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19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 activeTab="3"/>
  </bookViews>
  <sheets>
    <sheet name="Recap" sheetId="19" r:id="rId1"/>
    <sheet name="Masques" sheetId="27" r:id="rId2"/>
    <sheet name="Models" sheetId="6" r:id="rId3"/>
    <sheet name="Réglage perte" sheetId="7" r:id="rId4"/>
    <sheet name="2019" sheetId="1" r:id="rId5"/>
    <sheet name="2020" sheetId="15" r:id="rId6"/>
    <sheet name="2021" sheetId="16" r:id="rId7"/>
    <sheet name="2022" sheetId="17" r:id="rId8"/>
    <sheet name="2023" sheetId="18" r:id="rId9"/>
    <sheet name="2024" sheetId="20" r:id="rId10"/>
    <sheet name="2025" sheetId="22" r:id="rId11"/>
    <sheet name="2026" sheetId="23" r:id="rId12"/>
    <sheet name="2027" sheetId="24" r:id="rId13"/>
    <sheet name="2028" sheetId="25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'2019'!$E$8</definedName>
    <definedName name="Acti_net" localSheetId="5">'2020'!$E$8</definedName>
    <definedName name="Acti_net" localSheetId="6">'2021'!$E$8</definedName>
    <definedName name="Acti_net" localSheetId="7">'2022'!$E$8</definedName>
    <definedName name="Acti_net" localSheetId="8">'2023'!$E$8</definedName>
    <definedName name="Acti_net" localSheetId="9">'2024'!$E$8</definedName>
    <definedName name="Acti_net" localSheetId="10">'2025'!$E$8</definedName>
    <definedName name="Acti_net" localSheetId="11">'2026'!$E$8</definedName>
    <definedName name="Acti_net" localSheetId="12">'2027'!$E$8</definedName>
    <definedName name="Acti_net" localSheetId="13">'2028'!$E$8</definedName>
    <definedName name="Acti_tai" localSheetId="4">'2019'!$F$8</definedName>
    <definedName name="Acti_tai" localSheetId="5">'2020'!$F$8</definedName>
    <definedName name="Acti_tai" localSheetId="6">'2021'!$F$8</definedName>
    <definedName name="Acti_tai" localSheetId="7">'2022'!$F$8</definedName>
    <definedName name="Acti_tai" localSheetId="8">'2023'!$F$8</definedName>
    <definedName name="Acti_tai" localSheetId="9">'2024'!$F$8</definedName>
    <definedName name="Acti_tai" localSheetId="10">'2025'!$F$8</definedName>
    <definedName name="Acti_tai" localSheetId="11">'2026'!$F$8</definedName>
    <definedName name="Acti_tai" localSheetId="12">'2027'!$F$8</definedName>
    <definedName name="Acti_tai" localSheetId="13">'2028'!$F$8</definedName>
    <definedName name="Ajust_M">Models!$Y$1</definedName>
    <definedName name="Amaj">'2019'!$G$3</definedName>
    <definedName name="An" localSheetId="4">'2019'!$J$1</definedName>
    <definedName name="An" localSheetId="5">'2020'!$J$1</definedName>
    <definedName name="An" localSheetId="6">'2021'!$J$1</definedName>
    <definedName name="An" localSheetId="7">'2022'!$J$1</definedName>
    <definedName name="An" localSheetId="8">'2023'!$J$1</definedName>
    <definedName name="An" localSheetId="9">'2024'!$J$1</definedName>
    <definedName name="An" localSheetId="10">'2025'!$J$1</definedName>
    <definedName name="An" localSheetId="11">'2026'!$J$1</definedName>
    <definedName name="An" localSheetId="12">'2027'!$J$1</definedName>
    <definedName name="An" localSheetId="13">'2028'!$J$1</definedName>
    <definedName name="An_max" localSheetId="4">'2019'!$J$15:$J$380</definedName>
    <definedName name="An_max" localSheetId="5">'2020'!$J$15:$J$380</definedName>
    <definedName name="An_max" localSheetId="6">'2021'!$J$15:$J$380</definedName>
    <definedName name="An_max" localSheetId="7">'2022'!$J$15:$J$380</definedName>
    <definedName name="An_max" localSheetId="8">'2023'!$J$15:$J$380</definedName>
    <definedName name="An_max" localSheetId="9">'2024'!$J$15:$J$380</definedName>
    <definedName name="An_max" localSheetId="10">'2025'!$J$15:$J$380</definedName>
    <definedName name="An_max" localSheetId="11">'2026'!$J$15:$J$380</definedName>
    <definedName name="An_max" localSheetId="12">'2027'!$J$15:$J$380</definedName>
    <definedName name="An_max" localSheetId="13">'2028'!$J$15:$J$380</definedName>
    <definedName name="An_Tnet" localSheetId="4">'2019'!$F$7</definedName>
    <definedName name="An_Tnet" localSheetId="5">'2020'!$F$7</definedName>
    <definedName name="An_Tnet" localSheetId="6">'2021'!$F$7</definedName>
    <definedName name="An_Tnet" localSheetId="7">'2022'!$F$7</definedName>
    <definedName name="An_Tnet" localSheetId="8">'2023'!$F$7</definedName>
    <definedName name="An_Tnet" localSheetId="9">'2024'!$F$7</definedName>
    <definedName name="An_Tnet" localSheetId="10">'2025'!$F$7</definedName>
    <definedName name="An_Tnet" localSheetId="11">'2026'!$F$7</definedName>
    <definedName name="An_Tnet" localSheetId="12">'2027'!$F$7</definedName>
    <definedName name="An_Tnet" localSheetId="13">'2028'!$F$7</definedName>
    <definedName name="Azi_decal">Masques!$AF$56:$AF$79</definedName>
    <definedName name="Azi_pv_sel">Masques!$N$5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'2019'!$P$12</definedName>
    <definedName name="Croi_tai" localSheetId="5">'2020'!$P$12</definedName>
    <definedName name="Croi_tai" localSheetId="6">'2021'!$P$12</definedName>
    <definedName name="Croi_tai" localSheetId="7">'2022'!$P$12</definedName>
    <definedName name="Croi_tai" localSheetId="8">'2023'!$P$12</definedName>
    <definedName name="Croi_tai" localSheetId="9">'2024'!$P$12</definedName>
    <definedName name="Croi_tai" localSheetId="10">'2025'!$P$12</definedName>
    <definedName name="Croi_tai" localSheetId="11">'2026'!$P$12</definedName>
    <definedName name="Croi_tai" localSheetId="12">'2027'!$P$12</definedName>
    <definedName name="Croi_tai" localSheetId="13">'2028'!$P$12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'2019'!$Q$12</definedName>
    <definedName name="Dd" localSheetId="5">'2020'!$Q$12</definedName>
    <definedName name="Dd" localSheetId="6">'2021'!$Q$12</definedName>
    <definedName name="Dd" localSheetId="7">'2022'!$Q$12</definedName>
    <definedName name="Dd" localSheetId="8">'2023'!$Q$12</definedName>
    <definedName name="Dd" localSheetId="9">'2024'!$Q$12</definedName>
    <definedName name="Dd" localSheetId="10">'2025'!$Q$12</definedName>
    <definedName name="Dd" localSheetId="11">'2026'!$Q$12</definedName>
    <definedName name="Dd" localSheetId="12">'2027'!$Q$12</definedName>
    <definedName name="Dd" localSheetId="13">'2028'!$Q$12</definedName>
    <definedName name="Dd_s" localSheetId="4">'2019'!$AE$12</definedName>
    <definedName name="Dd_s" localSheetId="5">'2020'!$AE$12</definedName>
    <definedName name="Dd_s" localSheetId="6">'2021'!$AE$12</definedName>
    <definedName name="Dd_s" localSheetId="7">'2022'!$AE$12</definedName>
    <definedName name="Dd_s" localSheetId="8">'2023'!$AE$12</definedName>
    <definedName name="Dd_s" localSheetId="9">'2024'!$AE$12</definedName>
    <definedName name="Dd_s" localSheetId="10">'2025'!$AE$12</definedName>
    <definedName name="Dd_s" localSheetId="11">'2026'!$AE$12</definedName>
    <definedName name="Dd_s" localSheetId="12">'2027'!$AE$12</definedName>
    <definedName name="Dd_s" localSheetId="13">'2028'!$AE$12</definedName>
    <definedName name="Dens" localSheetId="4">'2019'!$Q$11</definedName>
    <definedName name="Dens" localSheetId="5">'2020'!$Q$11</definedName>
    <definedName name="Dens" localSheetId="6">'2021'!$Q$11</definedName>
    <definedName name="Dens" localSheetId="7">'2022'!$Q$11</definedName>
    <definedName name="Dens" localSheetId="8">'2023'!$Q$11</definedName>
    <definedName name="Dens" localSheetId="9">'2024'!$Q$11</definedName>
    <definedName name="Dens" localSheetId="10">'2025'!$Q$11</definedName>
    <definedName name="Dens" localSheetId="11">'2026'!$Q$11</definedName>
    <definedName name="Dens" localSheetId="12">'2027'!$Q$11</definedName>
    <definedName name="Dens" localSheetId="13">'2028'!$Q$11</definedName>
    <definedName name="Dens_2019">'Réglage perte'!$C$11</definedName>
    <definedName name="Dens_2020">'Réglage perte'!$I$11</definedName>
    <definedName name="Dens_2021">'Réglage perte'!$O$11</definedName>
    <definedName name="Dens_2022">'Réglage perte'!$U$11</definedName>
    <definedName name="Dens_2023">'Réglage perte'!$AA$11</definedName>
    <definedName name="Dens_2024">'Réglage perte'!$AG$11</definedName>
    <definedName name="Dens_2025">'Réglage perte'!$AM$11</definedName>
    <definedName name="Dens_2026">'Réglage perte'!$AS$11</definedName>
    <definedName name="Dens_2027">'Réglage perte'!$AY$11</definedName>
    <definedName name="Dens_2028">'Réglage perte'!$BE$11</definedName>
    <definedName name="Dens_2029">'Réglage perte'!$BK$11</definedName>
    <definedName name="Dens_2030">'Réglage perte'!$BQ$11</definedName>
    <definedName name="Dens_2031">'Réglage perte'!$BW$11</definedName>
    <definedName name="Dens_s" localSheetId="5">'2020'!$AE$11</definedName>
    <definedName name="Dens_s" localSheetId="6">'2021'!$AE$11</definedName>
    <definedName name="Dens_s" localSheetId="7">'2022'!$AE$11</definedName>
    <definedName name="Dens_s" localSheetId="8">'2023'!$AE$11</definedName>
    <definedName name="Dens_s" localSheetId="9">'2024'!$AE$11</definedName>
    <definedName name="Dens_s" localSheetId="10">'2025'!$AE$11</definedName>
    <definedName name="Dens_s" localSheetId="11">'2026'!$AE$11</definedName>
    <definedName name="Dens_s" localSheetId="12">'2027'!$AE$11</definedName>
    <definedName name="Dens_s" localSheetId="13">'2028'!$AE$11</definedName>
    <definedName name="Dépas_env" localSheetId="4">'2019'!$G$12</definedName>
    <definedName name="Dépas_env" localSheetId="5">'2020'!$G$12</definedName>
    <definedName name="Dépas_env" localSheetId="6">'2021'!$G$12</definedName>
    <definedName name="Dépas_env" localSheetId="7">'2022'!$G$12</definedName>
    <definedName name="Dépas_env" localSheetId="8">'2023'!$G$12</definedName>
    <definedName name="Dépas_env" localSheetId="9">'2024'!$G$12</definedName>
    <definedName name="Dépas_env" localSheetId="10">'2025'!$G$12</definedName>
    <definedName name="Dépas_env" localSheetId="11">'2026'!$G$12</definedName>
    <definedName name="Dépas_env" localSheetId="12">'2027'!$G$12</definedName>
    <definedName name="Dépas_env" localSheetId="13">'2028'!$G$12</definedName>
    <definedName name="Df" localSheetId="4">'2019'!$Q$379</definedName>
    <definedName name="Df" localSheetId="5">'2020'!$Q$379</definedName>
    <definedName name="Df" localSheetId="6">'2021'!$Q$379</definedName>
    <definedName name="Df" localSheetId="7">'2022'!$Q$379</definedName>
    <definedName name="Df" localSheetId="8">'2023'!$Q$379</definedName>
    <definedName name="Df" localSheetId="9">'2024'!$Q$379</definedName>
    <definedName name="Df" localSheetId="10">'2025'!$Q$379</definedName>
    <definedName name="Df" localSheetId="11">'2026'!$Q$379</definedName>
    <definedName name="Df" localSheetId="12">'2027'!$Q$379</definedName>
    <definedName name="Df" localSheetId="13">'2028'!$Q$379</definedName>
    <definedName name="Df_s" localSheetId="4">'2019'!$AE$379</definedName>
    <definedName name="Df_s" localSheetId="5">'2020'!$AE$379</definedName>
    <definedName name="Df_s" localSheetId="6">'2021'!$AE$379</definedName>
    <definedName name="Df_s" localSheetId="7">'2022'!$AE$379</definedName>
    <definedName name="Df_s" localSheetId="8">'2023'!$AE$379</definedName>
    <definedName name="Df_s" localSheetId="9">'2024'!$AE$379</definedName>
    <definedName name="Df_s" localSheetId="10">'2025'!$AE$379</definedName>
    <definedName name="Df_s" localSheetId="11">'2026'!$AE$379</definedName>
    <definedName name="Df_s" localSheetId="12">'2027'!$AE$379</definedName>
    <definedName name="Df_s" localSheetId="13">'2028'!$AE$379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'2019'!$V$15:$V$380</definedName>
    <definedName name="Env_an" localSheetId="5">'2020'!$V$15:$V$380</definedName>
    <definedName name="Env_an" localSheetId="6">'2021'!$V$15:$V$380</definedName>
    <definedName name="Env_an" localSheetId="7">'2022'!$V$15:$V$380</definedName>
    <definedName name="Env_an" localSheetId="8">'2023'!$V$15:$V$380</definedName>
    <definedName name="Env_an" localSheetId="9">'2024'!$V$15:$V$380</definedName>
    <definedName name="Env_an" localSheetId="10">'2025'!$V$15:$V$380</definedName>
    <definedName name="Env_an" localSheetId="11">'2026'!$V$15:$V$380</definedName>
    <definedName name="Env_an" localSheetId="12">'2027'!$V$15:$V$380</definedName>
    <definedName name="Env_an" localSheetId="13">'2028'!$V$15:$V$380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'2019'!$U$12</definedName>
    <definedName name="Hdd" localSheetId="5">'2020'!$U$12</definedName>
    <definedName name="Hdd" localSheetId="6">'2021'!$U$12</definedName>
    <definedName name="Hdd" localSheetId="7">'2022'!$U$12</definedName>
    <definedName name="Hdd" localSheetId="8">'2023'!$U$12</definedName>
    <definedName name="Hdd" localSheetId="9">'2024'!$U$12</definedName>
    <definedName name="Hdd" localSheetId="10">'2025'!$U$12</definedName>
    <definedName name="Hdd" localSheetId="11">'2026'!$U$12</definedName>
    <definedName name="Hdd" localSheetId="12">'2027'!$U$12</definedName>
    <definedName name="Hdd" localSheetId="13">'2028'!$U$12</definedName>
    <definedName name="Hdd_s" localSheetId="4">'2019'!$AI$12</definedName>
    <definedName name="Hdd_s" localSheetId="5">'2020'!$AI$12</definedName>
    <definedName name="Hdd_s" localSheetId="6">'2021'!$AI$12</definedName>
    <definedName name="Hdd_s" localSheetId="7">'2022'!$AI$12</definedName>
    <definedName name="Hdd_s" localSheetId="8">'2023'!$AI$12</definedName>
    <definedName name="Hdd_s" localSheetId="9">'2024'!$AI$12</definedName>
    <definedName name="Hdd_s" localSheetId="10">'2025'!$AI$12</definedName>
    <definedName name="Hdd_s" localSheetId="11">'2026'!$AI$12</definedName>
    <definedName name="Hdd_s" localSheetId="12">'2027'!$AI$12</definedName>
    <definedName name="Hdd_s" localSheetId="13">'2028'!$AI$12</definedName>
    <definedName name="Hdf" localSheetId="4">'2019'!$U$379</definedName>
    <definedName name="Hdf" localSheetId="5">'2020'!$U$379</definedName>
    <definedName name="Hdf" localSheetId="6">'2021'!$U$379</definedName>
    <definedName name="Hdf" localSheetId="7">'2022'!$U$379</definedName>
    <definedName name="Hdf" localSheetId="8">'2023'!$U$379</definedName>
    <definedName name="Hdf" localSheetId="9">'2024'!$U$379</definedName>
    <definedName name="Hdf" localSheetId="10">'2025'!$U$379</definedName>
    <definedName name="Hdf" localSheetId="11">'2026'!$U$379</definedName>
    <definedName name="Hdf" localSheetId="12">'2027'!$U$379</definedName>
    <definedName name="Hdf" localSheetId="13">'2028'!$U$379</definedName>
    <definedName name="Hdf_s" localSheetId="4">'2019'!$AI$379</definedName>
    <definedName name="Hdf_s" localSheetId="5">'2020'!$AI$379</definedName>
    <definedName name="Hdf_s" localSheetId="6">'2021'!$AI$379</definedName>
    <definedName name="Hdf_s" localSheetId="7">'2022'!$AI$379</definedName>
    <definedName name="Hdf_s" localSheetId="8">'2023'!$AI$379</definedName>
    <definedName name="Hdf_s" localSheetId="9">'2024'!$AI$379</definedName>
    <definedName name="Hdf_s" localSheetId="10">'2025'!$AI$379</definedName>
    <definedName name="Hdf_s" localSheetId="11">'2026'!$AI$379</definedName>
    <definedName name="Hdf_s" localSheetId="12">'2027'!$AI$379</definedName>
    <definedName name="Hdf_s" localSheetId="13">'2028'!$AI$379</definedName>
    <definedName name="Hdtai_s" localSheetId="4">'2019'!$AI$11</definedName>
    <definedName name="Hdtai_s" localSheetId="5">'2020'!$AI$11</definedName>
    <definedName name="Hdtai_s" localSheetId="6">'2021'!$AI$11</definedName>
    <definedName name="Hdtai_s" localSheetId="7">'2022'!$AI$11</definedName>
    <definedName name="Hdtai_s" localSheetId="8">'2023'!$AI$11</definedName>
    <definedName name="Hdtai_s" localSheetId="9">'2024'!$AI$11</definedName>
    <definedName name="Hdtai_s" localSheetId="10">'2025'!$AI$11</definedName>
    <definedName name="Hdtai_s" localSheetId="11">'2026'!$AI$11</definedName>
    <definedName name="Hdtai_s" localSheetId="12">'2027'!$AI$11</definedName>
    <definedName name="Hdtai_s" localSheetId="13">'2028'!$AI$11</definedName>
    <definedName name="Hdtf" localSheetId="4">'2019'!$U$11</definedName>
    <definedName name="Hdtf" localSheetId="5">'2020'!$U$11</definedName>
    <definedName name="Hdtf" localSheetId="6">'2021'!$U$11</definedName>
    <definedName name="Hdtf" localSheetId="7">'2022'!$U$11</definedName>
    <definedName name="Hdtf" localSheetId="8">'2023'!$U$11</definedName>
    <definedName name="Hdtf" localSheetId="9">'2024'!$U$11</definedName>
    <definedName name="Hdtf" localSheetId="10">'2025'!$U$11</definedName>
    <definedName name="Hdtf" localSheetId="11">'2026'!$U$11</definedName>
    <definedName name="Hdtf" localSheetId="12">'2027'!$U$11</definedName>
    <definedName name="Hdtf" localSheetId="13">'2028'!$U$11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'2019'!$U$15:$U$380</definedName>
    <definedName name="Hp_vg" localSheetId="5">'2020'!$U$15:$U$380</definedName>
    <definedName name="Hp_vg" localSheetId="6">'2021'!$U$15:$U$380</definedName>
    <definedName name="Hp_vg" localSheetId="7">'2022'!$U$15:$U$380</definedName>
    <definedName name="Hp_vg" localSheetId="8">'2023'!$U$15:$U$380</definedName>
    <definedName name="Hp_vg" localSheetId="9">'2024'!$U$15:$U$380</definedName>
    <definedName name="Hp_vg" localSheetId="10">'2025'!$U$15:$U$380</definedName>
    <definedName name="Hp_vg" localSheetId="11">'2026'!$U$15:$U$380</definedName>
    <definedName name="Hp_vg" localSheetId="12">'2027'!$U$15:$U$380</definedName>
    <definedName name="Hp_vg" localSheetId="13">'2028'!$U$15:$U$380</definedName>
    <definedName name="Hp_vg_s" comment="Hauteur  pousse _végétation (°) sans action de taille" localSheetId="4">'2019'!$AI$15:$AI$380</definedName>
    <definedName name="Hp_vg_s" localSheetId="5">'2020'!$AI$15:$AI$380</definedName>
    <definedName name="Hp_vg_s" localSheetId="6">'2021'!$AI$15:$AI$380</definedName>
    <definedName name="Hp_vg_s" localSheetId="7">'2022'!$AI$15:$AI$380</definedName>
    <definedName name="Hp_vg_s" localSheetId="8">'2023'!$AI$15:$AI$380</definedName>
    <definedName name="Hp_vg_s" localSheetId="9">'2024'!$AI$15:$AI$380</definedName>
    <definedName name="Hp_vg_s" localSheetId="10">'2025'!$AI$15:$AI$380</definedName>
    <definedName name="Hp_vg_s" localSheetId="11">'2026'!$AI$15:$AI$380</definedName>
    <definedName name="Hp_vg_s" localSheetId="12">'2027'!$AI$15:$AI$380</definedName>
    <definedName name="Hp_vg_s" localSheetId="13">'2028'!$AI$15:$AI$380</definedName>
    <definedName name="Hrm" localSheetId="1">Masques!$E$8</definedName>
    <definedName name="Htf_2019">'Réglage perte'!$D$11</definedName>
    <definedName name="Htf_2020">'Réglage perte'!$J$11</definedName>
    <definedName name="Htf_2021">'Réglage perte'!$P$11</definedName>
    <definedName name="Htf_2022">'Réglage perte'!$V$11</definedName>
    <definedName name="Htf_2023">'Réglage perte'!$AB$11</definedName>
    <definedName name="Htf_2024">'Réglage perte'!$AH$11</definedName>
    <definedName name="Htf_2025">'Réglage perte'!$AN$11</definedName>
    <definedName name="Htf_2026">'Réglage perte'!$AT$11</definedName>
    <definedName name="Htf_2027">'Réglage perte'!$AZ$11</definedName>
    <definedName name="Htf_2028">'Réglage perte'!$BF$11</definedName>
    <definedName name="Htf_2029">'Réglage perte'!$BL$11</definedName>
    <definedName name="Htf_2030">'Réglage perte'!$BR$11</definedName>
    <definedName name="Htf_2031">'Réglage perte'!$BX$11</definedName>
    <definedName name="Inflex" localSheetId="4">'2019'!$E$7</definedName>
    <definedName name="Inflex" localSheetId="5">'2020'!$E$7</definedName>
    <definedName name="Inflex" localSheetId="6">'2021'!$E$7</definedName>
    <definedName name="Inflex" localSheetId="7">'2022'!$E$7</definedName>
    <definedName name="Inflex" localSheetId="8">'2023'!$E$7</definedName>
    <definedName name="Inflex" localSheetId="9">'2024'!$E$7</definedName>
    <definedName name="Inflex" localSheetId="10">'2025'!$E$7</definedName>
    <definedName name="Inflex" localSheetId="11">'2026'!$E$7</definedName>
    <definedName name="Inflex" localSheetId="12">'2027'!$E$7</definedName>
    <definedName name="Inflex" localSheetId="13">'2028'!$E$7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'2019'!$I$15:$I$380</definedName>
    <definedName name="Maxi_hp" localSheetId="5">'2020'!$I$15:$I$380</definedName>
    <definedName name="Maxi_hp" localSheetId="6">'2021'!$I$15:$I$380</definedName>
    <definedName name="Maxi_hp" localSheetId="7">'2022'!$I$15:$I$380</definedName>
    <definedName name="Maxi_hp" localSheetId="8">'2023'!$I$15:$I$380</definedName>
    <definedName name="Maxi_hp" localSheetId="9">'2024'!$I$15:$I$380</definedName>
    <definedName name="Maxi_hp" localSheetId="10">'2025'!$I$15:$I$380</definedName>
    <definedName name="Maxi_hp" localSheetId="11">'2026'!$I$15:$I$380</definedName>
    <definedName name="Maxi_hp" localSheetId="12">'2027'!$I$15:$I$380</definedName>
    <definedName name="Maxi_hp" localSheetId="13">'2028'!$I$15:$I$380</definedName>
    <definedName name="MaxiM">Models!$J$15:$J$380</definedName>
    <definedName name="Notai" localSheetId="4">'2019'!$P$10</definedName>
    <definedName name="Notai" localSheetId="5">'2020'!$P$10</definedName>
    <definedName name="Notai" localSheetId="6">'2021'!$P$10</definedName>
    <definedName name="Notai" localSheetId="7">'2022'!$P$10</definedName>
    <definedName name="Notai" localSheetId="8">'2023'!$P$10</definedName>
    <definedName name="Notai" localSheetId="9">'2024'!$P$10</definedName>
    <definedName name="Notai" localSheetId="10">'2025'!$P$10</definedName>
    <definedName name="Notai" localSheetId="11">'2026'!$P$10</definedName>
    <definedName name="Notai" localSheetId="12">'2027'!$P$10</definedName>
    <definedName name="Notai" localSheetId="13">'2028'!$P$10</definedName>
    <definedName name="NoTnet" localSheetId="4">'2019'!$AC$12</definedName>
    <definedName name="NoTnet" localSheetId="5">'2020'!$AC$12</definedName>
    <definedName name="NoTnet" localSheetId="6">'2021'!$AC$12</definedName>
    <definedName name="NoTnet" localSheetId="7">'2022'!$AC$12</definedName>
    <definedName name="NoTnet" localSheetId="8">'2023'!$AC$12</definedName>
    <definedName name="NoTnet" localSheetId="9">'2024'!$AC$12</definedName>
    <definedName name="NoTnet" localSheetId="10">'2025'!$AC$12</definedName>
    <definedName name="NoTnet" localSheetId="11">'2026'!$AC$12</definedName>
    <definedName name="NoTnet" localSheetId="12">'2027'!$AC$12</definedName>
    <definedName name="NoTnet" localSheetId="13">'2028'!$AC$12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'2019'!$Q$10</definedName>
    <definedName name="PousD" localSheetId="5">'2020'!$Q$10</definedName>
    <definedName name="PousD" localSheetId="6">'2021'!$Q$10</definedName>
    <definedName name="PousD" localSheetId="7">'2022'!$Q$10</definedName>
    <definedName name="PousD" localSheetId="8">'2023'!$Q$10</definedName>
    <definedName name="PousD" localSheetId="9">'2024'!$Q$10</definedName>
    <definedName name="PousD" localSheetId="10">'2025'!$Q$10</definedName>
    <definedName name="PousD" localSheetId="11">'2026'!$Q$10</definedName>
    <definedName name="PousD" localSheetId="12">'2027'!$Q$10</definedName>
    <definedName name="PousD" localSheetId="13">'2028'!$Q$10</definedName>
    <definedName name="PousH" localSheetId="4">'2019'!$U$10</definedName>
    <definedName name="PousH" localSheetId="5">'2020'!$U$10</definedName>
    <definedName name="PousH" localSheetId="6">'2021'!$U$10</definedName>
    <definedName name="PousH" localSheetId="7">'2022'!$U$10</definedName>
    <definedName name="PousH" localSheetId="8">'2023'!$U$10</definedName>
    <definedName name="PousH" localSheetId="9">'2024'!$U$10</definedName>
    <definedName name="PousH" localSheetId="10">'2025'!$U$10</definedName>
    <definedName name="PousH" localSheetId="11">'2026'!$U$10</definedName>
    <definedName name="PousH" localSheetId="12">'2027'!$U$10</definedName>
    <definedName name="PousH" localSheetId="13">'2028'!$U$10</definedName>
    <definedName name="PousHi">'Réglage perte'!$AM$2</definedName>
    <definedName name="Ppv" localSheetId="4">'2019'!$L$15:$L$380</definedName>
    <definedName name="Ppv" localSheetId="5">'2020'!$L$15:$L$380</definedName>
    <definedName name="Ppv" localSheetId="6">'2021'!$L$15:$L$380</definedName>
    <definedName name="Ppv" localSheetId="7">'2022'!$L$15:$L$380</definedName>
    <definedName name="Ppv" localSheetId="8">'2023'!$L$15:$L$380</definedName>
    <definedName name="Ppv" localSheetId="9">'2024'!$L$15:$L$380</definedName>
    <definedName name="Ppv" localSheetId="10">'2025'!$L$15:$L$380</definedName>
    <definedName name="Ppv" localSheetId="11">'2026'!$L$15:$L$380</definedName>
    <definedName name="Ppv" localSheetId="12">'2027'!$L$15:$L$380</definedName>
    <definedName name="Ppv" localSheetId="13">'2028'!$L$15:$L$380</definedName>
    <definedName name="Prod_an" localSheetId="4">'2019'!$H$9</definedName>
    <definedName name="Prod_an" localSheetId="5">'2020'!$H$9</definedName>
    <definedName name="Prod_an" localSheetId="6">'2021'!$H$9</definedName>
    <definedName name="Prod_an" localSheetId="7">'2022'!$H$9</definedName>
    <definedName name="Prod_an" localSheetId="8">'2023'!$H$9</definedName>
    <definedName name="Prod_an" localSheetId="9">'2024'!$H$9</definedName>
    <definedName name="Prod_an" localSheetId="10">'2025'!$H$9</definedName>
    <definedName name="Prod_an" localSheetId="11">'2026'!$H$9</definedName>
    <definedName name="Prod_an" localSheetId="12">'2027'!$H$9</definedName>
    <definedName name="Prod_an" localSheetId="13">'2028'!$H$9</definedName>
    <definedName name="Prod_an_s" localSheetId="4">'2019'!$X$9</definedName>
    <definedName name="Prod_an_s" localSheetId="5">'2020'!$X$9</definedName>
    <definedName name="Prod_an_s" localSheetId="6">'2021'!$X$9</definedName>
    <definedName name="Prod_an_s" localSheetId="7">'2022'!$X$9</definedName>
    <definedName name="Prod_an_s" localSheetId="8">'2023'!$X$9</definedName>
    <definedName name="Prod_an_s" localSheetId="9">'2024'!$X$9</definedName>
    <definedName name="Prod_an_s" localSheetId="10">'2025'!$X$9</definedName>
    <definedName name="Prod_an_s" localSheetId="11">'2026'!$X$9</definedName>
    <definedName name="Prod_an_s" localSheetId="12">'2027'!$X$9</definedName>
    <definedName name="Prod_an_s" localSheetId="13">'2028'!$X$9</definedName>
    <definedName name="Psa" localSheetId="4">'2019'!$O$15:$O$380</definedName>
    <definedName name="Psa" localSheetId="5">'2020'!$O$15:$O$380</definedName>
    <definedName name="Psa" localSheetId="6">'2021'!$O$15:$O$380</definedName>
    <definedName name="Psa" localSheetId="7">'2022'!$O$15:$O$380</definedName>
    <definedName name="Psa" localSheetId="8">'2023'!$O$15:$O$380</definedName>
    <definedName name="Psa" localSheetId="9">'2024'!$O$15:$O$380</definedName>
    <definedName name="Psa" localSheetId="10">'2025'!$O$15:$O$380</definedName>
    <definedName name="Psa" localSheetId="11">'2026'!$O$15:$O$380</definedName>
    <definedName name="Psa" localSheetId="12">'2027'!$O$15:$O$380</definedName>
    <definedName name="Psa" localSheetId="13">'2028'!$O$15:$O$380</definedName>
    <definedName name="Psa_s" localSheetId="4">'2019'!$AC$15:$AC$380</definedName>
    <definedName name="Psa_s" localSheetId="5">'2020'!$AC$15:$AC$380</definedName>
    <definedName name="Psa_s" localSheetId="6">'2021'!$AC$15:$AC$380</definedName>
    <definedName name="Psa_s" localSheetId="7">'2022'!$AC$15:$AC$380</definedName>
    <definedName name="Psa_s" localSheetId="8">'2023'!$AC$15:$AC$380</definedName>
    <definedName name="Psa_s" localSheetId="9">'2024'!$AC$15:$AC$380</definedName>
    <definedName name="Psa_s" localSheetId="10">'2025'!$AC$15:$AC$380</definedName>
    <definedName name="Psa_s" localSheetId="11">'2026'!$AC$15:$AC$380</definedName>
    <definedName name="Psa_s" localSheetId="12">'2027'!$AC$15:$AC$380</definedName>
    <definedName name="Psa_s" localSheetId="13">'2028'!$AC$15:$AC$380</definedName>
    <definedName name="Pspv" localSheetId="4">'2019'!$L$12</definedName>
    <definedName name="Pspv" localSheetId="5">'2020'!$L$12</definedName>
    <definedName name="Pspv" localSheetId="6">'2021'!$L$12</definedName>
    <definedName name="Pspv" localSheetId="7">'2022'!$L$12</definedName>
    <definedName name="Pspv" localSheetId="8">'2023'!$L$12</definedName>
    <definedName name="Pspv" localSheetId="9">'2024'!$L$12</definedName>
    <definedName name="Pspv" localSheetId="10">'2025'!$L$12</definedName>
    <definedName name="Pspv" localSheetId="11">'2026'!$L$12</definedName>
    <definedName name="Pspv" localSheetId="12">'2027'!$L$12</definedName>
    <definedName name="Pspv" localSheetId="13">'2028'!$L$12</definedName>
    <definedName name="Pspv_2019">'Réglage perte'!$C$9</definedName>
    <definedName name="Pspv_2020">'Réglage perte'!$I$9</definedName>
    <definedName name="Pspv_2021">'Réglage perte'!$O$9</definedName>
    <definedName name="Pspv_2022">'Réglage perte'!$U$9</definedName>
    <definedName name="Pspv_2023">'Réglage perte'!$AA$9</definedName>
    <definedName name="Pspv_2024">'Réglage perte'!$AG$9</definedName>
    <definedName name="Pspv_2025">'Réglage perte'!$AM$9</definedName>
    <definedName name="Pspv_2026">'Réglage perte'!$AS$9</definedName>
    <definedName name="Pspv_2027">'Réglage perte'!$AY$9</definedName>
    <definedName name="Pspv_2028">'Réglage perte'!$BE$9</definedName>
    <definedName name="Pspv_2029">'Réglage perte'!$BK$9</definedName>
    <definedName name="Pspv_2030">'Réglage perte'!$BQ$9</definedName>
    <definedName name="Pspv_2031">'Réglage perte'!$BW$9</definedName>
    <definedName name="Pvg" localSheetId="4">'2019'!$P$15:$P$380</definedName>
    <definedName name="Pvg" localSheetId="5">'2020'!$P$15:$P$380</definedName>
    <definedName name="Pvg" localSheetId="6">'2021'!$P$15:$P$380</definedName>
    <definedName name="Pvg" localSheetId="7">'2022'!$P$15:$P$380</definedName>
    <definedName name="Pvg" localSheetId="8">'2023'!$P$15:$P$380</definedName>
    <definedName name="Pvg" localSheetId="9">'2024'!$P$15:$P$380</definedName>
    <definedName name="Pvg" localSheetId="10">'2025'!$P$15:$P$380</definedName>
    <definedName name="Pvg" localSheetId="11">'2026'!$P$15:$P$380</definedName>
    <definedName name="Pvg" localSheetId="12">'2027'!$P$15:$P$380</definedName>
    <definedName name="Pvg" localSheetId="13">'2028'!$P$15:$P$380</definedName>
    <definedName name="Pvg_s" localSheetId="4">'2019'!$AD$15:$AD$380</definedName>
    <definedName name="Pvg_s" localSheetId="5">'2020'!$AD$15:$AD$380</definedName>
    <definedName name="Pvg_s" localSheetId="6">'2021'!$AD$15:$AD$380</definedName>
    <definedName name="Pvg_s" localSheetId="7">'2022'!$AD$15:$AD$380</definedName>
    <definedName name="Pvg_s" localSheetId="8">'2023'!$AD$15:$AD$380</definedName>
    <definedName name="Pvg_s" localSheetId="9">'2024'!$AD$15:$AD$380</definedName>
    <definedName name="Pvg_s" localSheetId="10">'2025'!$AD$15:$AD$380</definedName>
    <definedName name="Pvg_s" localSheetId="11">'2026'!$AD$15:$AD$380</definedName>
    <definedName name="Pvg_s" localSheetId="12">'2027'!$AD$15:$AD$380</definedName>
    <definedName name="Pvg_s" localSheetId="13">'2028'!$AD$15:$AD$380</definedName>
    <definedName name="R\Max" localSheetId="4">'2019'!$G$15:$G$380</definedName>
    <definedName name="R\Max" localSheetId="5">'2020'!$G$15:$G$380</definedName>
    <definedName name="R\Max" localSheetId="6">'2021'!$G$15:$G$380</definedName>
    <definedName name="R\Max" localSheetId="7">'2022'!$G$15:$G$380</definedName>
    <definedName name="R\Max" localSheetId="8">'2023'!$G$15:$G$380</definedName>
    <definedName name="R\Max" localSheetId="9">'2024'!$G$15:$G$380</definedName>
    <definedName name="R\Max" localSheetId="10">'2025'!$G$15:$G$380</definedName>
    <definedName name="R\Max" localSheetId="11">'2026'!$G$15:$G$380</definedName>
    <definedName name="R\Max" localSheetId="12">'2027'!$G$15:$G$380</definedName>
    <definedName name="R\Max" localSheetId="13">'2028'!$G$15:$G$380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'2019'!$O$10</definedName>
    <definedName name="Resal" localSheetId="5">'2020'!$O$10</definedName>
    <definedName name="Resal" localSheetId="6">'2021'!$O$10</definedName>
    <definedName name="Resal" localSheetId="7">'2022'!$O$10</definedName>
    <definedName name="Resal" localSheetId="8">'2023'!$O$10</definedName>
    <definedName name="Resal" localSheetId="9">'2024'!$O$10</definedName>
    <definedName name="Resal" localSheetId="10">'2025'!$O$10</definedName>
    <definedName name="Resal" localSheetId="11">'2026'!$O$10</definedName>
    <definedName name="Resal" localSheetId="12">'2027'!$O$10</definedName>
    <definedName name="Resal" localSheetId="13">'2028'!$O$10</definedName>
    <definedName name="Resal_2019">'Réglage perte'!$C$10</definedName>
    <definedName name="Resal_2020">'Réglage perte'!$I$10</definedName>
    <definedName name="Resal_2021">'Réglage perte'!$O$10</definedName>
    <definedName name="Resal_2022">'Réglage perte'!$U$10</definedName>
    <definedName name="Resal_2023">'Réglage perte'!$AA$10</definedName>
    <definedName name="Resal_2024">'Réglage perte'!$AG$10</definedName>
    <definedName name="Resal_2025">'Réglage perte'!$AM$10</definedName>
    <definedName name="Resal_2026">'Réglage perte'!$AS$10</definedName>
    <definedName name="Resal_2027">'Réglage perte'!$AY$10</definedName>
    <definedName name="Resal_2028">'Réglage perte'!$BE$10</definedName>
    <definedName name="Resal_2029">'Réglage perte'!$BK$10</definedName>
    <definedName name="Resal_2030">'Réglage perte'!$BQ$10</definedName>
    <definedName name="Resal_2031">'Réglage perte'!$BW$10</definedName>
    <definedName name="Resal_s" localSheetId="4">'2019'!$AC$10</definedName>
    <definedName name="Resal_s" localSheetId="5">'2020'!$AC$10</definedName>
    <definedName name="Resal_s" localSheetId="6">'2021'!$AC$10</definedName>
    <definedName name="Resal_s" localSheetId="7">'2022'!$AC$10</definedName>
    <definedName name="Resal_s" localSheetId="8">'2023'!$AC$10</definedName>
    <definedName name="Resal_s" localSheetId="9">'2024'!$AC$10</definedName>
    <definedName name="Resal_s" localSheetId="10">'2025'!$AC$10</definedName>
    <definedName name="Resal_s" localSheetId="11">'2026'!$AC$10</definedName>
    <definedName name="Resal_s" localSheetId="12">'2027'!$AC$10</definedName>
    <definedName name="Resal_s" localSheetId="13">'2028'!$AC$10</definedName>
    <definedName name="Salcycl">Models!$BF$15:$BF$380</definedName>
    <definedName name="Salim" localSheetId="4">'2019'!$O$11</definedName>
    <definedName name="Salim" localSheetId="5">'2020'!$O$11</definedName>
    <definedName name="Salim" localSheetId="6">'2021'!$O$11</definedName>
    <definedName name="Salim" localSheetId="7">'2022'!$O$11</definedName>
    <definedName name="Salim" localSheetId="8">'2023'!$O$11</definedName>
    <definedName name="Salim" localSheetId="9">'2024'!$O$11</definedName>
    <definedName name="Salim" localSheetId="10">'2025'!$O$11</definedName>
    <definedName name="Salim" localSheetId="11">'2026'!$O$11</definedName>
    <definedName name="Salim" localSheetId="12">'2027'!$O$11</definedName>
    <definedName name="Salim" localSheetId="13">'2028'!$O$11</definedName>
    <definedName name="Salim_2019">'Réglage perte'!$D$10</definedName>
    <definedName name="Salim_2020">'Réglage perte'!$J$10</definedName>
    <definedName name="Salim_2021">'Réglage perte'!$P$10</definedName>
    <definedName name="Salim_2022">'Réglage perte'!$V$10</definedName>
    <definedName name="Salim_2023">'Réglage perte'!$AB$10</definedName>
    <definedName name="Salim_2024">'Réglage perte'!$AH$10</definedName>
    <definedName name="Salim_2025">'Réglage perte'!$AN$10</definedName>
    <definedName name="Salim_2026">'Réglage perte'!$AT$10</definedName>
    <definedName name="Salim_2027">'Réglage perte'!$AZ$10</definedName>
    <definedName name="Salim_2028">'Réglage perte'!$BF$10</definedName>
    <definedName name="Salim_2029">'Réglage perte'!$BL$10</definedName>
    <definedName name="Salim_2030">'Réglage perte'!$BR$10</definedName>
    <definedName name="Salim_2031">'Réglage perte'!$BX$10</definedName>
    <definedName name="Salim_i">'Réglage perte'!$Z$1</definedName>
    <definedName name="Sdif">Models!$BP$3</definedName>
    <definedName name="Station">'2019'!$E$4</definedName>
    <definedName name="t" localSheetId="4">'2019'!$A$15:$A$380</definedName>
    <definedName name="t" localSheetId="5">'2020'!$A$15:$A$380</definedName>
    <definedName name="t" localSheetId="6">'2021'!$A$15:$A$380</definedName>
    <definedName name="t" localSheetId="7">'2022'!$A$15:$A$380</definedName>
    <definedName name="t" localSheetId="8">'2023'!$A$15:$A$380</definedName>
    <definedName name="t" localSheetId="9">'2024'!$A$15:$A$380</definedName>
    <definedName name="t" localSheetId="10">'2025'!$A$15:$A$380</definedName>
    <definedName name="t" localSheetId="11">'2026'!$A$15:$A$380</definedName>
    <definedName name="t" localSheetId="12">'2027'!$A$15:$A$380</definedName>
    <definedName name="t" localSheetId="13">'2028'!$A$15:$A$380</definedName>
    <definedName name="T0">'2019'!$E$5</definedName>
    <definedName name="Tau_2019">'Réglage perte'!$E$10</definedName>
    <definedName name="Tau_2020">'Réglage perte'!$K$10</definedName>
    <definedName name="Tau_2021">'Réglage perte'!$Q$10</definedName>
    <definedName name="Tau_2022">'Réglage perte'!$W$10</definedName>
    <definedName name="Tau_2023">'Réglage perte'!$AC$10</definedName>
    <definedName name="Tau_2024">'Réglage perte'!$AI$10</definedName>
    <definedName name="Tau_2025">'Réglage perte'!$AO$10</definedName>
    <definedName name="Tau_2026">'Réglage perte'!$AU$10</definedName>
    <definedName name="Tau_2027">'Réglage perte'!$BA$10</definedName>
    <definedName name="Tau_2028">'Réglage perte'!$BG$10</definedName>
    <definedName name="Tau_2029">'Réglage perte'!$BM$10</definedName>
    <definedName name="Tau_2030">'Réglage perte'!$BS$10</definedName>
    <definedName name="Tau_2031">'Réglage perte'!$BY$10</definedName>
    <definedName name="Tau_i">'Réglage perte'!$AF$2</definedName>
    <definedName name="Tau_ij">'Réglage perte'!$AG$2</definedName>
    <definedName name="Tau_j" localSheetId="4">'2019'!$O$12</definedName>
    <definedName name="Tau_j" localSheetId="5">'2020'!$O$12</definedName>
    <definedName name="Tau_j" localSheetId="6">'2021'!$O$12</definedName>
    <definedName name="Tau_j" localSheetId="7">'2022'!$O$12</definedName>
    <definedName name="Tau_j" localSheetId="8">'2023'!$O$12</definedName>
    <definedName name="Tau_j" localSheetId="9">'2024'!$O$12</definedName>
    <definedName name="Tau_j" localSheetId="10">'2025'!$O$12</definedName>
    <definedName name="Tau_j" localSheetId="11">'2026'!$O$12</definedName>
    <definedName name="Tau_j" localSheetId="12">'2027'!$O$12</definedName>
    <definedName name="Tau_j" localSheetId="13">'2028'!$O$12</definedName>
    <definedName name="Tmaj">'2019'!$E$3</definedName>
    <definedName name="Tnet" localSheetId="4">'2019'!$O$9</definedName>
    <definedName name="Tnet" localSheetId="5">'2020'!$O$9</definedName>
    <definedName name="Tnet" localSheetId="6">'2021'!$O$9</definedName>
    <definedName name="Tnet" localSheetId="7">'2022'!$O$9</definedName>
    <definedName name="Tnet" localSheetId="8">'2023'!$O$9</definedName>
    <definedName name="Tnet" localSheetId="9">'2024'!$O$9</definedName>
    <definedName name="Tnet" localSheetId="10">'2025'!$O$9</definedName>
    <definedName name="Tnet" localSheetId="11">'2026'!$O$9</definedName>
    <definedName name="Tnet" localSheetId="12">'2027'!$O$9</definedName>
    <definedName name="Tnet" localSheetId="13">'2028'!$O$9</definedName>
    <definedName name="Tnet_2019">'Réglage perte'!$B$10</definedName>
    <definedName name="Tnet_2020">'Réglage perte'!$H$10</definedName>
    <definedName name="Tnet_2021">'Réglage perte'!$N$10</definedName>
    <definedName name="Tnet_2022">'Réglage perte'!$T$10</definedName>
    <definedName name="Tnet_2023">'Réglage perte'!$Z$10</definedName>
    <definedName name="Tnet_2024">'Réglage perte'!$AF$10</definedName>
    <definedName name="Tnet_2025">'Réglage perte'!$AL$10</definedName>
    <definedName name="Tnet_2026">'Réglage perte'!$AR$10</definedName>
    <definedName name="Tnet_2027">'Réglage perte'!$AX$10</definedName>
    <definedName name="Tnet_2028">'Réglage perte'!$BD$10</definedName>
    <definedName name="Tnet_2029">'Réglage perte'!$BJ$10</definedName>
    <definedName name="Tnet_2030">'Réglage perte'!$BP$10</definedName>
    <definedName name="Tnet_2031">'Réglage perte'!$BV$10</definedName>
    <definedName name="Tnet_s" localSheetId="4">'2019'!$AC$9</definedName>
    <definedName name="Tnet_s" localSheetId="5">'2020'!$AC$9</definedName>
    <definedName name="Tnet_s" localSheetId="6">'2021'!$AC$9</definedName>
    <definedName name="Tnet_s" localSheetId="7">'2022'!$AC$9</definedName>
    <definedName name="Tnet_s" localSheetId="8">'2023'!$AC$9</definedName>
    <definedName name="Tnet_s" localSheetId="9">'2024'!$AC$9</definedName>
    <definedName name="Tnet_s" localSheetId="10">'2025'!$AC$9</definedName>
    <definedName name="Tnet_s" localSheetId="11">'2026'!$AC$9</definedName>
    <definedName name="Tnet_s" localSheetId="12">'2027'!$AC$9</definedName>
    <definedName name="Tnet_s" localSheetId="13">'2028'!$AC$9</definedName>
    <definedName name="Tservice">'2019'!$E$6</definedName>
    <definedName name="Ttai" localSheetId="4">'2019'!$P$11</definedName>
    <definedName name="Ttai" localSheetId="5">'2020'!$P$11</definedName>
    <definedName name="Ttai" localSheetId="6">'2021'!$P$11</definedName>
    <definedName name="Ttai" localSheetId="7">'2022'!$P$11</definedName>
    <definedName name="Ttai" localSheetId="8">'2023'!$P$11</definedName>
    <definedName name="Ttai" localSheetId="9">'2024'!$P$11</definedName>
    <definedName name="Ttai" localSheetId="10">'2025'!$P$11</definedName>
    <definedName name="Ttai" localSheetId="11">'2026'!$P$11</definedName>
    <definedName name="Ttai" localSheetId="12">'2027'!$P$11</definedName>
    <definedName name="Ttai" localSheetId="13">'2028'!$P$11</definedName>
    <definedName name="Ttai_2019">'Réglage perte'!$B$11</definedName>
    <definedName name="Ttai_2020">'Réglage perte'!$H$11</definedName>
    <definedName name="Ttai_2021">'Réglage perte'!$N$11</definedName>
    <definedName name="Ttai_2022">'Réglage perte'!$T$11</definedName>
    <definedName name="Ttai_2023">'Réglage perte'!$Z$11</definedName>
    <definedName name="Ttai_2024">'Réglage perte'!$AF$11</definedName>
    <definedName name="Ttai_2025">'Réglage perte'!$AL$11</definedName>
    <definedName name="Ttai_2026">'Réglage perte'!$AR$11</definedName>
    <definedName name="Ttai_2027">'Réglage perte'!$AX$11</definedName>
    <definedName name="Ttai_2028">'Réglage perte'!$BD$11</definedName>
    <definedName name="Ttai_2029">'Réglage perte'!$BJ$11</definedName>
    <definedName name="Ttai_2030">'Réglage perte'!$BP$11</definedName>
    <definedName name="Ttai_2031">'Réglage perte'!$BV$11</definedName>
    <definedName name="Tvie" localSheetId="4">'2019'!$L$11</definedName>
    <definedName name="Tvie" localSheetId="5">'2020'!$L$11</definedName>
    <definedName name="Tvie" localSheetId="6">'2021'!$L$11</definedName>
    <definedName name="Tvie" localSheetId="7">'2022'!$L$11</definedName>
    <definedName name="Tvie" localSheetId="8">'2023'!$L$11</definedName>
    <definedName name="Tvie" localSheetId="9">'2024'!$L$11</definedName>
    <definedName name="Tvie" localSheetId="10">'2025'!$L$11</definedName>
    <definedName name="Tvie" localSheetId="11">'2026'!$L$11</definedName>
    <definedName name="Tvie" localSheetId="12">'2027'!$L$11</definedName>
    <definedName name="Tvie" localSheetId="13">'2028'!$L$11</definedName>
    <definedName name="Tvie_2019">'Réglage perte'!$B$9</definedName>
    <definedName name="Tvie_2020">'Réglage perte'!$H$9</definedName>
    <definedName name="Tvie_2021">'Réglage perte'!$N$9</definedName>
    <definedName name="Tvie_2022">'Réglage perte'!$T$9</definedName>
    <definedName name="Tvie_2023">'Réglage perte'!$Z$9</definedName>
    <definedName name="Tvie_2024">'Réglage perte'!$AF$9</definedName>
    <definedName name="Tvie_2025">'Réglage perte'!$AL$9</definedName>
    <definedName name="Tvie_2026">'Réglage perte'!$AR$9</definedName>
    <definedName name="Tvie_2027">'Réglage perte'!$AX$9</definedName>
    <definedName name="Tvie_2028">'Réglage perte'!$BD$9</definedName>
    <definedName name="Tvie_2029">'Réglage perte'!$BJ$9</definedName>
    <definedName name="Tvie_2030">'Réglage perte'!$BP$9</definedName>
    <definedName name="Tvie_2031">'Réglage perte'!$BV$9</definedName>
    <definedName name="Wh" localSheetId="4">'2019'!$B$15:$B$380</definedName>
    <definedName name="Wh" localSheetId="5">'2020'!$B$15:$B$380</definedName>
    <definedName name="Wh" localSheetId="6">'2021'!$B$15:$B$380</definedName>
    <definedName name="Wh" localSheetId="7">'2022'!$B$15:$B$380</definedName>
    <definedName name="Wh" localSheetId="8">'2023'!$B$15:$B$380</definedName>
    <definedName name="Wh" localSheetId="9">'2024'!$B$15:$B$380</definedName>
    <definedName name="Wh" localSheetId="10">'2025'!$B$15:$B$380</definedName>
    <definedName name="Wh" localSheetId="11">'2026'!$B$15:$B$380</definedName>
    <definedName name="Wh" localSheetId="12">'2027'!$B$15:$B$380</definedName>
    <definedName name="Wh" localSheetId="13">'2028'!$B$15:$B$380</definedName>
    <definedName name="Wh_gain_sa" localSheetId="4">'2019'!$Z$5</definedName>
    <definedName name="Wh_gain_sa" localSheetId="5">'2020'!$Z$5</definedName>
    <definedName name="Wh_gain_sa" localSheetId="6">'2021'!$Z$5</definedName>
    <definedName name="Wh_gain_sa" localSheetId="7">'2022'!$Z$5</definedName>
    <definedName name="Wh_gain_sa" localSheetId="8">'2023'!$Z$5</definedName>
    <definedName name="Wh_gain_sa" localSheetId="9">'2024'!$Z$5</definedName>
    <definedName name="Wh_gain_sa" localSheetId="10">'2025'!$Z$5</definedName>
    <definedName name="Wh_gain_sa" localSheetId="11">'2026'!$Z$5</definedName>
    <definedName name="Wh_gain_sa" localSheetId="12">'2027'!$Z$5</definedName>
    <definedName name="Wh_gain_sa" localSheetId="13">'2028'!$Z$5</definedName>
    <definedName name="Wh_gain_vg" localSheetId="4">'2019'!$AA$5</definedName>
    <definedName name="Wh_gain_vg" localSheetId="5">'2020'!$AA$5</definedName>
    <definedName name="Wh_gain_vg" localSheetId="6">'2021'!$AA$5</definedName>
    <definedName name="Wh_gain_vg" localSheetId="7">'2022'!$AA$5</definedName>
    <definedName name="Wh_gain_vg" localSheetId="8">'2023'!$AA$5</definedName>
    <definedName name="Wh_gain_vg" localSheetId="9">'2024'!$AA$5</definedName>
    <definedName name="Wh_gain_vg" localSheetId="10">'2025'!$AA$5</definedName>
    <definedName name="Wh_gain_vg" localSheetId="11">'2026'!$AA$5</definedName>
    <definedName name="Wh_gain_vg" localSheetId="12">'2027'!$AA$5</definedName>
    <definedName name="Wh_gain_vg" localSheetId="13">'2028'!$AA$5</definedName>
    <definedName name="Wh_hp" localSheetId="4">'2019'!$F$15:$F$380</definedName>
    <definedName name="Wh_hp" localSheetId="5">'2020'!$F$15:$F$380</definedName>
    <definedName name="Wh_hp" localSheetId="6">'2021'!$F$15:$F$380</definedName>
    <definedName name="Wh_hp" localSheetId="7">'2022'!$F$15:$F$380</definedName>
    <definedName name="Wh_hp" localSheetId="8">'2023'!$F$15:$F$380</definedName>
    <definedName name="Wh_hp" localSheetId="9">'2024'!$F$15:$F$380</definedName>
    <definedName name="Wh_hp" localSheetId="10">'2025'!$F$15:$F$380</definedName>
    <definedName name="Wh_hp" localSheetId="11">'2026'!$F$15:$F$380</definedName>
    <definedName name="Wh_hp" localSheetId="12">'2027'!$F$15:$F$380</definedName>
    <definedName name="Wh_hp" localSheetId="13">'2028'!$F$15:$F$380</definedName>
    <definedName name="Wh_Ppv" localSheetId="4">'2019'!$D$11</definedName>
    <definedName name="Wh_Ppv" localSheetId="5">'2020'!$D$11</definedName>
    <definedName name="Wh_Ppv" localSheetId="6">'2021'!$D$11</definedName>
    <definedName name="Wh_Ppv" localSheetId="7">'2022'!$D$11</definedName>
    <definedName name="Wh_Ppv" localSheetId="8">'2023'!$D$11</definedName>
    <definedName name="Wh_Ppv" localSheetId="9">'2024'!$D$11</definedName>
    <definedName name="Wh_Ppv" localSheetId="10">'2025'!$D$11</definedName>
    <definedName name="Wh_Ppv" localSheetId="11">'2026'!$D$11</definedName>
    <definedName name="Wh_Ppv" localSheetId="12">'2027'!$D$11</definedName>
    <definedName name="Wh_Ppv" localSheetId="13">'2028'!$D$11</definedName>
    <definedName name="Wh_Psa" localSheetId="4">'2019'!$E$11</definedName>
    <definedName name="Wh_Psa" localSheetId="5">'2020'!$E$11</definedName>
    <definedName name="Wh_Psa" localSheetId="6">'2021'!$E$11</definedName>
    <definedName name="Wh_Psa" localSheetId="7">'2022'!$E$11</definedName>
    <definedName name="Wh_Psa" localSheetId="8">'2023'!$E$11</definedName>
    <definedName name="Wh_Psa" localSheetId="9">'2024'!$E$11</definedName>
    <definedName name="Wh_Psa" localSheetId="10">'2025'!$E$11</definedName>
    <definedName name="Wh_Psa" localSheetId="11">'2026'!$E$11</definedName>
    <definedName name="Wh_Psa" localSheetId="12">'2027'!$E$11</definedName>
    <definedName name="Wh_Psa" localSheetId="13">'2028'!$E$11</definedName>
    <definedName name="Wh_Psa_s" localSheetId="4">'2019'!$Z$11</definedName>
    <definedName name="Wh_Psa_s" localSheetId="5">'2020'!$Z$11</definedName>
    <definedName name="Wh_Psa_s" localSheetId="6">'2021'!$Z$11</definedName>
    <definedName name="Wh_Psa_s" localSheetId="7">'2022'!$Z$11</definedName>
    <definedName name="Wh_Psa_s" localSheetId="8">'2023'!$Z$11</definedName>
    <definedName name="Wh_Psa_s" localSheetId="9">'2024'!$Z$11</definedName>
    <definedName name="Wh_Psa_s" localSheetId="10">'2025'!$Z$11</definedName>
    <definedName name="Wh_Psa_s" localSheetId="11">'2026'!$Z$11</definedName>
    <definedName name="Wh_Psa_s" localSheetId="12">'2027'!$Z$11</definedName>
    <definedName name="Wh_Psa_s" localSheetId="13">'2028'!$Z$11</definedName>
    <definedName name="Wh_Pvg" localSheetId="4">'2019'!$F$11</definedName>
    <definedName name="Wh_Pvg" localSheetId="5">'2020'!$F$11</definedName>
    <definedName name="Wh_Pvg" localSheetId="6">'2021'!$F$11</definedName>
    <definedName name="Wh_Pvg" localSheetId="7">'2022'!$F$11</definedName>
    <definedName name="Wh_Pvg" localSheetId="8">'2023'!$F$11</definedName>
    <definedName name="Wh_Pvg" localSheetId="9">'2024'!$F$11</definedName>
    <definedName name="Wh_Pvg" localSheetId="10">'2025'!$F$11</definedName>
    <definedName name="Wh_Pvg" localSheetId="11">'2026'!$F$11</definedName>
    <definedName name="Wh_Pvg" localSheetId="12">'2027'!$F$11</definedName>
    <definedName name="Wh_Pvg" localSheetId="13">'2028'!$F$11</definedName>
    <definedName name="Wh_Pvg_s" localSheetId="4">'2019'!$AA$11</definedName>
    <definedName name="Wh_Pvg_s" localSheetId="5">'2020'!$AA$11</definedName>
    <definedName name="Wh_Pvg_s" localSheetId="6">'2021'!$AA$11</definedName>
    <definedName name="Wh_Pvg_s" localSheetId="7">'2022'!$AA$11</definedName>
    <definedName name="Wh_Pvg_s" localSheetId="8">'2023'!$AA$11</definedName>
    <definedName name="Wh_Pvg_s" localSheetId="9">'2024'!$AA$11</definedName>
    <definedName name="Wh_Pvg_s" localSheetId="10">'2025'!$AA$11</definedName>
    <definedName name="Wh_Pvg_s" localSheetId="11">'2026'!$AA$11</definedName>
    <definedName name="Wh_Pvg_s" localSheetId="12">'2027'!$AA$11</definedName>
    <definedName name="Wh_Pvg_s" localSheetId="13">'2028'!$AA$11</definedName>
    <definedName name="Wh_pvt" localSheetId="4">'2019'!$D$15:$D$380</definedName>
    <definedName name="Wh_pvt" localSheetId="5">'2020'!$D$15:$D$380</definedName>
    <definedName name="Wh_pvt" localSheetId="6">'2021'!$D$15:$D$380</definedName>
    <definedName name="Wh_pvt" localSheetId="7">'2022'!$D$15:$D$380</definedName>
    <definedName name="Wh_pvt" localSheetId="8">'2023'!$D$15:$D$380</definedName>
    <definedName name="Wh_pvt" localSheetId="9">'2024'!$D$15:$D$380</definedName>
    <definedName name="Wh_pvt" localSheetId="10">'2025'!$D$15:$D$380</definedName>
    <definedName name="Wh_pvt" localSheetId="11">'2026'!$D$15:$D$380</definedName>
    <definedName name="Wh_pvt" localSheetId="12">'2027'!$D$15:$D$380</definedName>
    <definedName name="Wh_pvt" localSheetId="13">'2028'!$D$15:$D$380</definedName>
    <definedName name="Wh_pvt_s" localSheetId="4">'2019'!$Z$15:$Z$380</definedName>
    <definedName name="Wh_pvt_s" localSheetId="5">'2020'!$Z$15:$Z$380</definedName>
    <definedName name="Wh_pvt_s" localSheetId="6">'2021'!$Z$15:$Z$380</definedName>
    <definedName name="Wh_pvt_s" localSheetId="7">'2022'!$Z$15:$Z$380</definedName>
    <definedName name="Wh_pvt_s" localSheetId="8">'2023'!$Z$15:$Z$380</definedName>
    <definedName name="Wh_pvt_s" localSheetId="9">'2024'!$Z$15:$Z$380</definedName>
    <definedName name="Wh_pvt_s" localSheetId="10">'2025'!$Z$15:$Z$380</definedName>
    <definedName name="Wh_pvt_s" localSheetId="11">'2026'!$Z$15:$Z$380</definedName>
    <definedName name="Wh_pvt_s" localSheetId="12">'2027'!$Z$15:$Z$380</definedName>
    <definedName name="Wh_pvt_s" localSheetId="13">'2028'!$Z$15:$Z$380</definedName>
    <definedName name="Wh_s" localSheetId="4">'2019'!$Y$15:$Y$380</definedName>
    <definedName name="Wh_s" localSheetId="5">'2020'!$Y$15:$Y$380</definedName>
    <definedName name="Wh_s" localSheetId="6">'2021'!$Y$15:$Y$380</definedName>
    <definedName name="Wh_s" localSheetId="7">'2022'!$Y$15:$Y$380</definedName>
    <definedName name="Wh_s" localSheetId="8">'2023'!$Y$15:$Y$380</definedName>
    <definedName name="Wh_s" localSheetId="9">'2024'!$Y$15:$Y$380</definedName>
    <definedName name="Wh_s" localSheetId="10">'2025'!$Y$15:$Y$380</definedName>
    <definedName name="Wh_s" localSheetId="11">'2026'!$Y$15:$Y$380</definedName>
    <definedName name="Wh_s" localSheetId="12">'2027'!$Y$15:$Y$380</definedName>
    <definedName name="Wh_s" localSheetId="13">'2028'!$Y$15:$Y$380</definedName>
    <definedName name="Wh_sa" localSheetId="4">'2019'!$E$15:$E$380</definedName>
    <definedName name="Wh_sa" localSheetId="5">'2020'!$E$15:$E$380</definedName>
    <definedName name="Wh_sa" localSheetId="6">'2021'!$E$15:$E$380</definedName>
    <definedName name="Wh_sa" localSheetId="7">'2022'!$E$15:$E$380</definedName>
    <definedName name="Wh_sa" localSheetId="8">'2023'!$E$15:$E$380</definedName>
    <definedName name="Wh_sa" localSheetId="9">'2024'!$E$15:$E$380</definedName>
    <definedName name="Wh_sa" localSheetId="10">'2025'!$E$15:$E$380</definedName>
    <definedName name="Wh_sa" localSheetId="11">'2026'!$E$15:$E$380</definedName>
    <definedName name="Wh_sa" localSheetId="12">'2027'!$E$15:$E$380</definedName>
    <definedName name="Wh_sa" localSheetId="13">'2028'!$E$15:$E$380</definedName>
    <definedName name="Wh_sa_s" localSheetId="4">'2019'!$AA$15:$AA$380</definedName>
    <definedName name="Wh_sa_s" localSheetId="5">'2020'!$AA$15:$AA$380</definedName>
    <definedName name="Wh_sa_s" localSheetId="6">'2021'!$AA$15:$AA$380</definedName>
    <definedName name="Wh_sa_s" localSheetId="7">'2022'!$AA$15:$AA$380</definedName>
    <definedName name="Wh_sa_s" localSheetId="8">'2023'!$AA$15:$AA$380</definedName>
    <definedName name="Wh_sa_s" localSheetId="9">'2024'!$AA$15:$AA$380</definedName>
    <definedName name="Wh_sa_s" localSheetId="10">'2025'!$AA$15:$AA$380</definedName>
    <definedName name="Wh_sa_s" localSheetId="11">'2026'!$AA$15:$AA$380</definedName>
    <definedName name="Wh_sa_s" localSheetId="12">'2027'!$AA$15:$AA$380</definedName>
    <definedName name="Wh_sa_s" localSheetId="13">'2028'!$AA$15:$AA$380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B379" i="25" l="1"/>
  <c r="B378" i="25"/>
  <c r="B377" i="25"/>
  <c r="B376" i="25"/>
  <c r="B375" i="25"/>
  <c r="B374" i="25"/>
  <c r="B373" i="25"/>
  <c r="B372" i="25"/>
  <c r="B371" i="25"/>
  <c r="B370" i="25"/>
  <c r="B369" i="25"/>
  <c r="B368" i="25"/>
  <c r="B367" i="25"/>
  <c r="B366" i="25"/>
  <c r="B365" i="25"/>
  <c r="B364" i="25"/>
  <c r="B363" i="25"/>
  <c r="B362" i="25"/>
  <c r="B361" i="25"/>
  <c r="B360" i="25"/>
  <c r="B359" i="25"/>
  <c r="B358" i="25"/>
  <c r="B357" i="25"/>
  <c r="B356" i="25"/>
  <c r="B355" i="25"/>
  <c r="B354" i="25"/>
  <c r="B353" i="25"/>
  <c r="B352" i="25"/>
  <c r="B351" i="25"/>
  <c r="B350" i="25"/>
  <c r="B349" i="25"/>
  <c r="B348" i="25"/>
  <c r="B347" i="25"/>
  <c r="B346" i="25"/>
  <c r="B345" i="25"/>
  <c r="B344" i="25"/>
  <c r="B343" i="25"/>
  <c r="B342" i="25"/>
  <c r="B341" i="25"/>
  <c r="B340" i="25"/>
  <c r="B339" i="25"/>
  <c r="B338" i="25"/>
  <c r="B337" i="25"/>
  <c r="B336" i="25"/>
  <c r="B335" i="25"/>
  <c r="B334" i="25"/>
  <c r="B333" i="25"/>
  <c r="B332" i="25"/>
  <c r="B331" i="25"/>
  <c r="B330" i="25"/>
  <c r="B329" i="25"/>
  <c r="B328" i="25"/>
  <c r="B327" i="25"/>
  <c r="B326" i="25"/>
  <c r="B325" i="25"/>
  <c r="B324" i="25"/>
  <c r="B323" i="25"/>
  <c r="B322" i="25"/>
  <c r="B321" i="25"/>
  <c r="B320" i="25"/>
  <c r="B319" i="25"/>
  <c r="B318" i="25"/>
  <c r="B317" i="25"/>
  <c r="B316" i="25"/>
  <c r="B315" i="25"/>
  <c r="B314" i="25"/>
  <c r="B313" i="25"/>
  <c r="B312" i="25"/>
  <c r="B311" i="25"/>
  <c r="B310" i="25"/>
  <c r="B309" i="25"/>
  <c r="B308" i="25"/>
  <c r="B307" i="25"/>
  <c r="B306" i="25"/>
  <c r="B305" i="25"/>
  <c r="B304" i="25"/>
  <c r="B303" i="25"/>
  <c r="B302" i="25"/>
  <c r="B301" i="25"/>
  <c r="B300" i="25"/>
  <c r="B299" i="25"/>
  <c r="B298" i="25"/>
  <c r="B297" i="25"/>
  <c r="B296" i="25"/>
  <c r="B295" i="25"/>
  <c r="B294" i="25"/>
  <c r="B293" i="25"/>
  <c r="B292" i="25"/>
  <c r="B291" i="25"/>
  <c r="B290" i="25"/>
  <c r="B289" i="25"/>
  <c r="B288" i="25"/>
  <c r="B287" i="25"/>
  <c r="B286" i="25"/>
  <c r="B285" i="25"/>
  <c r="B284" i="25"/>
  <c r="B283" i="25"/>
  <c r="B282" i="25"/>
  <c r="B281" i="25"/>
  <c r="B280" i="25"/>
  <c r="B279" i="25"/>
  <c r="B278" i="25"/>
  <c r="B277" i="25"/>
  <c r="B276" i="25"/>
  <c r="B275" i="25"/>
  <c r="B274" i="25"/>
  <c r="B273" i="25"/>
  <c r="B272" i="25"/>
  <c r="B271" i="25"/>
  <c r="B270" i="25"/>
  <c r="B269" i="25"/>
  <c r="B268" i="25"/>
  <c r="B267" i="25"/>
  <c r="B266" i="25"/>
  <c r="B265" i="25"/>
  <c r="B264" i="25"/>
  <c r="B263" i="25"/>
  <c r="B262" i="25"/>
  <c r="B261" i="25"/>
  <c r="B260" i="25"/>
  <c r="B259" i="25"/>
  <c r="B258" i="25"/>
  <c r="B257" i="25"/>
  <c r="B256" i="25"/>
  <c r="B255" i="25"/>
  <c r="B254" i="25"/>
  <c r="B253" i="25"/>
  <c r="B252" i="25"/>
  <c r="B251" i="25"/>
  <c r="B250" i="25"/>
  <c r="B249" i="25"/>
  <c r="B248" i="25"/>
  <c r="B247" i="25"/>
  <c r="B246" i="25"/>
  <c r="B245" i="25"/>
  <c r="B244" i="25"/>
  <c r="B243" i="25"/>
  <c r="B242" i="25"/>
  <c r="B241" i="25"/>
  <c r="B240" i="25"/>
  <c r="B239" i="25"/>
  <c r="B238" i="25"/>
  <c r="B237" i="25"/>
  <c r="B236" i="25"/>
  <c r="B235" i="25"/>
  <c r="B234" i="25"/>
  <c r="B233" i="25"/>
  <c r="B232" i="25"/>
  <c r="B231" i="25"/>
  <c r="B230" i="25"/>
  <c r="B229" i="25"/>
  <c r="B228" i="25"/>
  <c r="B227" i="25"/>
  <c r="B226" i="25"/>
  <c r="B225" i="25"/>
  <c r="B224" i="25"/>
  <c r="B223" i="25"/>
  <c r="B222" i="25"/>
  <c r="B221" i="25"/>
  <c r="B220" i="25"/>
  <c r="B219" i="25"/>
  <c r="B218" i="25"/>
  <c r="B217" i="25"/>
  <c r="B216" i="25"/>
  <c r="B215" i="25"/>
  <c r="B214" i="25"/>
  <c r="B213" i="25"/>
  <c r="B212" i="25"/>
  <c r="B211" i="25"/>
  <c r="B210" i="25"/>
  <c r="B209" i="25"/>
  <c r="B208" i="25"/>
  <c r="B207" i="25"/>
  <c r="B206" i="25"/>
  <c r="B205" i="25"/>
  <c r="B204" i="25"/>
  <c r="B203" i="25"/>
  <c r="B202" i="25"/>
  <c r="B201" i="25"/>
  <c r="B200" i="25"/>
  <c r="B199" i="25"/>
  <c r="B198" i="25"/>
  <c r="B197" i="25"/>
  <c r="B196" i="25"/>
  <c r="B195" i="25"/>
  <c r="B194" i="25"/>
  <c r="B193" i="25"/>
  <c r="B192" i="25"/>
  <c r="B191" i="25"/>
  <c r="B190" i="25"/>
  <c r="B189" i="25"/>
  <c r="B188" i="25"/>
  <c r="B187" i="25"/>
  <c r="B186" i="25"/>
  <c r="B185" i="25"/>
  <c r="B184" i="25"/>
  <c r="B183" i="25"/>
  <c r="B182" i="25"/>
  <c r="B181" i="25"/>
  <c r="B180" i="25"/>
  <c r="B179" i="25"/>
  <c r="B178" i="25"/>
  <c r="B177" i="25"/>
  <c r="B176" i="25"/>
  <c r="B175" i="25"/>
  <c r="B174" i="25"/>
  <c r="B173" i="25"/>
  <c r="B172" i="25"/>
  <c r="B171" i="25"/>
  <c r="B170" i="25"/>
  <c r="B169" i="25"/>
  <c r="B168" i="25"/>
  <c r="B167" i="25"/>
  <c r="B166" i="25"/>
  <c r="B165" i="25"/>
  <c r="B164" i="25"/>
  <c r="B163" i="25"/>
  <c r="B162" i="25"/>
  <c r="B161" i="25"/>
  <c r="B160" i="25"/>
  <c r="B159" i="25"/>
  <c r="B158" i="25"/>
  <c r="B157" i="25"/>
  <c r="B156" i="25"/>
  <c r="B155" i="25"/>
  <c r="B154" i="25"/>
  <c r="B153" i="25"/>
  <c r="B152" i="25"/>
  <c r="B151" i="25"/>
  <c r="B150" i="25"/>
  <c r="B149" i="25"/>
  <c r="B148" i="25"/>
  <c r="B147" i="25"/>
  <c r="B146" i="25"/>
  <c r="B145" i="25"/>
  <c r="B144" i="25"/>
  <c r="B143" i="25"/>
  <c r="B142" i="25"/>
  <c r="B141" i="25"/>
  <c r="B140" i="25"/>
  <c r="B139" i="25"/>
  <c r="B138" i="25"/>
  <c r="B137" i="25"/>
  <c r="B136" i="25"/>
  <c r="B135" i="25"/>
  <c r="B134" i="25"/>
  <c r="B133" i="25"/>
  <c r="B132" i="25"/>
  <c r="B131" i="25"/>
  <c r="B130" i="25"/>
  <c r="B129" i="25"/>
  <c r="B128" i="25"/>
  <c r="B127" i="25"/>
  <c r="B126" i="25"/>
  <c r="B125" i="25"/>
  <c r="B124" i="25"/>
  <c r="B123" i="25"/>
  <c r="B122" i="25"/>
  <c r="B121" i="25"/>
  <c r="B120" i="25"/>
  <c r="B119" i="25"/>
  <c r="B118" i="25"/>
  <c r="B117" i="25"/>
  <c r="B116" i="25"/>
  <c r="B115" i="25"/>
  <c r="B114" i="25"/>
  <c r="B113" i="25"/>
  <c r="B112" i="25"/>
  <c r="B111" i="25"/>
  <c r="B110" i="25"/>
  <c r="B109" i="25"/>
  <c r="B108" i="25"/>
  <c r="B107" i="25"/>
  <c r="B106" i="25"/>
  <c r="B105" i="25"/>
  <c r="B104" i="25"/>
  <c r="B103" i="25"/>
  <c r="B102" i="25"/>
  <c r="B101" i="25"/>
  <c r="B100" i="25"/>
  <c r="B99" i="25"/>
  <c r="B98" i="25"/>
  <c r="B97" i="25"/>
  <c r="B96" i="25"/>
  <c r="B95" i="25"/>
  <c r="B94" i="25"/>
  <c r="B93" i="25"/>
  <c r="B92" i="25"/>
  <c r="B91" i="25"/>
  <c r="B90" i="25"/>
  <c r="B89" i="25"/>
  <c r="B88" i="25"/>
  <c r="B87" i="25"/>
  <c r="B86" i="25"/>
  <c r="B85" i="25"/>
  <c r="B84" i="25"/>
  <c r="B83" i="25"/>
  <c r="B82" i="25"/>
  <c r="B81" i="25"/>
  <c r="B80" i="25"/>
  <c r="B79" i="25"/>
  <c r="B78" i="25"/>
  <c r="B77" i="25"/>
  <c r="B76" i="25"/>
  <c r="B75" i="25"/>
  <c r="B74" i="25"/>
  <c r="B73" i="25"/>
  <c r="B72" i="25"/>
  <c r="B71" i="25"/>
  <c r="B70" i="25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379" i="24"/>
  <c r="B378" i="24"/>
  <c r="B377" i="24"/>
  <c r="B376" i="24"/>
  <c r="B375" i="24"/>
  <c r="B374" i="24"/>
  <c r="B373" i="24"/>
  <c r="B372" i="24"/>
  <c r="B371" i="24"/>
  <c r="B370" i="24"/>
  <c r="B369" i="24"/>
  <c r="B368" i="24"/>
  <c r="B367" i="24"/>
  <c r="B366" i="24"/>
  <c r="B365" i="24"/>
  <c r="B364" i="24"/>
  <c r="B363" i="24"/>
  <c r="B362" i="24"/>
  <c r="B361" i="24"/>
  <c r="B360" i="24"/>
  <c r="B359" i="24"/>
  <c r="B358" i="24"/>
  <c r="B357" i="24"/>
  <c r="B356" i="24"/>
  <c r="B355" i="24"/>
  <c r="B354" i="24"/>
  <c r="B353" i="24"/>
  <c r="B352" i="24"/>
  <c r="B351" i="24"/>
  <c r="B350" i="24"/>
  <c r="B349" i="24"/>
  <c r="B348" i="24"/>
  <c r="B347" i="24"/>
  <c r="B346" i="24"/>
  <c r="B345" i="24"/>
  <c r="B344" i="24"/>
  <c r="B343" i="24"/>
  <c r="B342" i="24"/>
  <c r="B341" i="24"/>
  <c r="B340" i="24"/>
  <c r="B339" i="24"/>
  <c r="B338" i="24"/>
  <c r="B337" i="24"/>
  <c r="B336" i="24"/>
  <c r="B335" i="24"/>
  <c r="B334" i="24"/>
  <c r="B333" i="24"/>
  <c r="B332" i="24"/>
  <c r="B331" i="24"/>
  <c r="B330" i="24"/>
  <c r="B329" i="24"/>
  <c r="B328" i="24"/>
  <c r="B327" i="24"/>
  <c r="B326" i="24"/>
  <c r="B325" i="24"/>
  <c r="B324" i="24"/>
  <c r="B323" i="24"/>
  <c r="B322" i="24"/>
  <c r="B321" i="24"/>
  <c r="B320" i="24"/>
  <c r="B319" i="24"/>
  <c r="B318" i="24"/>
  <c r="B317" i="24"/>
  <c r="B316" i="24"/>
  <c r="B315" i="24"/>
  <c r="B314" i="24"/>
  <c r="B313" i="24"/>
  <c r="B312" i="24"/>
  <c r="B311" i="24"/>
  <c r="B310" i="24"/>
  <c r="B309" i="24"/>
  <c r="B308" i="24"/>
  <c r="B307" i="24"/>
  <c r="B306" i="24"/>
  <c r="B305" i="24"/>
  <c r="B304" i="24"/>
  <c r="B303" i="24"/>
  <c r="B302" i="24"/>
  <c r="B301" i="24"/>
  <c r="B300" i="24"/>
  <c r="B299" i="24"/>
  <c r="B298" i="24"/>
  <c r="B297" i="24"/>
  <c r="B296" i="24"/>
  <c r="B295" i="24"/>
  <c r="B294" i="24"/>
  <c r="B293" i="24"/>
  <c r="B292" i="24"/>
  <c r="B291" i="24"/>
  <c r="B290" i="24"/>
  <c r="B289" i="24"/>
  <c r="B288" i="24"/>
  <c r="B287" i="24"/>
  <c r="B286" i="24"/>
  <c r="B285" i="24"/>
  <c r="B284" i="24"/>
  <c r="B283" i="24"/>
  <c r="B282" i="24"/>
  <c r="B281" i="24"/>
  <c r="B280" i="24"/>
  <c r="B279" i="24"/>
  <c r="B278" i="24"/>
  <c r="B277" i="24"/>
  <c r="B276" i="24"/>
  <c r="B275" i="24"/>
  <c r="B274" i="24"/>
  <c r="B273" i="24"/>
  <c r="B272" i="24"/>
  <c r="B271" i="24"/>
  <c r="B270" i="24"/>
  <c r="B269" i="24"/>
  <c r="B268" i="24"/>
  <c r="B267" i="24"/>
  <c r="B266" i="24"/>
  <c r="B265" i="24"/>
  <c r="B264" i="24"/>
  <c r="B263" i="24"/>
  <c r="B262" i="24"/>
  <c r="B261" i="24"/>
  <c r="B260" i="24"/>
  <c r="B259" i="24"/>
  <c r="B258" i="24"/>
  <c r="B257" i="24"/>
  <c r="B256" i="24"/>
  <c r="B255" i="24"/>
  <c r="B254" i="24"/>
  <c r="B253" i="24"/>
  <c r="B252" i="24"/>
  <c r="B251" i="24"/>
  <c r="B250" i="24"/>
  <c r="B249" i="24"/>
  <c r="B248" i="24"/>
  <c r="B247" i="24"/>
  <c r="B246" i="24"/>
  <c r="B245" i="24"/>
  <c r="B244" i="24"/>
  <c r="B243" i="24"/>
  <c r="B242" i="24"/>
  <c r="B241" i="24"/>
  <c r="B240" i="24"/>
  <c r="B239" i="24"/>
  <c r="B238" i="24"/>
  <c r="B237" i="24"/>
  <c r="B236" i="24"/>
  <c r="B235" i="24"/>
  <c r="B234" i="24"/>
  <c r="B233" i="24"/>
  <c r="B232" i="24"/>
  <c r="B231" i="24"/>
  <c r="B230" i="24"/>
  <c r="B229" i="24"/>
  <c r="B228" i="24"/>
  <c r="B227" i="24"/>
  <c r="B226" i="24"/>
  <c r="B225" i="24"/>
  <c r="B224" i="24"/>
  <c r="B223" i="24"/>
  <c r="B222" i="24"/>
  <c r="B221" i="24"/>
  <c r="B220" i="24"/>
  <c r="B219" i="24"/>
  <c r="B218" i="24"/>
  <c r="B217" i="24"/>
  <c r="B216" i="24"/>
  <c r="B215" i="24"/>
  <c r="B214" i="24"/>
  <c r="B213" i="24"/>
  <c r="B212" i="24"/>
  <c r="B211" i="24"/>
  <c r="B210" i="24"/>
  <c r="B209" i="24"/>
  <c r="B208" i="24"/>
  <c r="B207" i="24"/>
  <c r="B206" i="24"/>
  <c r="B205" i="24"/>
  <c r="B204" i="24"/>
  <c r="B203" i="24"/>
  <c r="B202" i="24"/>
  <c r="B201" i="24"/>
  <c r="B200" i="24"/>
  <c r="B199" i="24"/>
  <c r="B198" i="24"/>
  <c r="B197" i="24"/>
  <c r="B196" i="24"/>
  <c r="B195" i="24"/>
  <c r="B194" i="24"/>
  <c r="B193" i="24"/>
  <c r="B192" i="24"/>
  <c r="B191" i="24"/>
  <c r="B190" i="24"/>
  <c r="B189" i="24"/>
  <c r="B188" i="24"/>
  <c r="B187" i="24"/>
  <c r="B186" i="24"/>
  <c r="B185" i="24"/>
  <c r="B184" i="24"/>
  <c r="B183" i="24"/>
  <c r="B182" i="24"/>
  <c r="B181" i="24"/>
  <c r="B180" i="24"/>
  <c r="B179" i="24"/>
  <c r="B178" i="24"/>
  <c r="B177" i="24"/>
  <c r="B176" i="24"/>
  <c r="B175" i="24"/>
  <c r="B174" i="24"/>
  <c r="B173" i="24"/>
  <c r="B172" i="24"/>
  <c r="B171" i="24"/>
  <c r="B170" i="24"/>
  <c r="B169" i="24"/>
  <c r="B168" i="24"/>
  <c r="B167" i="24"/>
  <c r="B166" i="24"/>
  <c r="B165" i="24"/>
  <c r="B164" i="24"/>
  <c r="B163" i="24"/>
  <c r="B162" i="24"/>
  <c r="B161" i="24"/>
  <c r="B160" i="24"/>
  <c r="B159" i="24"/>
  <c r="B158" i="24"/>
  <c r="B157" i="24"/>
  <c r="B156" i="24"/>
  <c r="B155" i="24"/>
  <c r="B154" i="24"/>
  <c r="B153" i="24"/>
  <c r="B152" i="24"/>
  <c r="B151" i="24"/>
  <c r="B150" i="24"/>
  <c r="B149" i="24"/>
  <c r="B148" i="24"/>
  <c r="B147" i="24"/>
  <c r="B146" i="24"/>
  <c r="B145" i="24"/>
  <c r="B144" i="24"/>
  <c r="B143" i="24"/>
  <c r="B142" i="24"/>
  <c r="B141" i="24"/>
  <c r="B140" i="24"/>
  <c r="B139" i="24"/>
  <c r="B138" i="24"/>
  <c r="B137" i="24"/>
  <c r="B136" i="24"/>
  <c r="B135" i="24"/>
  <c r="B134" i="24"/>
  <c r="B133" i="24"/>
  <c r="B132" i="24"/>
  <c r="B131" i="24"/>
  <c r="B130" i="24"/>
  <c r="B129" i="24"/>
  <c r="B128" i="24"/>
  <c r="B127" i="24"/>
  <c r="B126" i="24"/>
  <c r="B125" i="24"/>
  <c r="B124" i="24"/>
  <c r="B123" i="24"/>
  <c r="B122" i="24"/>
  <c r="B121" i="24"/>
  <c r="B120" i="24"/>
  <c r="B119" i="24"/>
  <c r="B118" i="24"/>
  <c r="B117" i="24"/>
  <c r="B116" i="24"/>
  <c r="B115" i="24"/>
  <c r="B114" i="24"/>
  <c r="B113" i="24"/>
  <c r="B112" i="24"/>
  <c r="B111" i="24"/>
  <c r="B110" i="24"/>
  <c r="B109" i="24"/>
  <c r="B108" i="24"/>
  <c r="B107" i="24"/>
  <c r="B106" i="24"/>
  <c r="B105" i="24"/>
  <c r="B104" i="24"/>
  <c r="B103" i="24"/>
  <c r="B102" i="24"/>
  <c r="B101" i="24"/>
  <c r="B100" i="24"/>
  <c r="B99" i="24"/>
  <c r="B98" i="24"/>
  <c r="B97" i="24"/>
  <c r="B96" i="24"/>
  <c r="B95" i="24"/>
  <c r="B94" i="24"/>
  <c r="B93" i="24"/>
  <c r="B92" i="24"/>
  <c r="B91" i="24"/>
  <c r="B90" i="24"/>
  <c r="B89" i="24"/>
  <c r="B88" i="24"/>
  <c r="B87" i="24"/>
  <c r="B86" i="24"/>
  <c r="B85" i="24"/>
  <c r="B84" i="24"/>
  <c r="B83" i="24"/>
  <c r="B82" i="24"/>
  <c r="B81" i="24"/>
  <c r="B80" i="24"/>
  <c r="B79" i="24"/>
  <c r="B78" i="24"/>
  <c r="B77" i="24"/>
  <c r="B76" i="24"/>
  <c r="B75" i="24"/>
  <c r="B74" i="24"/>
  <c r="B73" i="24"/>
  <c r="B72" i="24"/>
  <c r="B71" i="24"/>
  <c r="B70" i="24"/>
  <c r="B69" i="24"/>
  <c r="B68" i="24"/>
  <c r="B67" i="24"/>
  <c r="B66" i="24"/>
  <c r="B65" i="24"/>
  <c r="B64" i="24"/>
  <c r="B63" i="24"/>
  <c r="B62" i="24"/>
  <c r="B61" i="24"/>
  <c r="B60" i="24"/>
  <c r="B59" i="24"/>
  <c r="B58" i="24"/>
  <c r="B57" i="24"/>
  <c r="B56" i="24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379" i="23"/>
  <c r="B378" i="23"/>
  <c r="B377" i="23"/>
  <c r="B376" i="23"/>
  <c r="B375" i="23"/>
  <c r="B374" i="23"/>
  <c r="B373" i="23"/>
  <c r="B372" i="23"/>
  <c r="B371" i="23"/>
  <c r="B370" i="23"/>
  <c r="B369" i="23"/>
  <c r="B368" i="23"/>
  <c r="B367" i="23"/>
  <c r="B366" i="23"/>
  <c r="B365" i="23"/>
  <c r="B364" i="23"/>
  <c r="B363" i="23"/>
  <c r="B362" i="23"/>
  <c r="B361" i="23"/>
  <c r="B360" i="23"/>
  <c r="B359" i="23"/>
  <c r="B358" i="23"/>
  <c r="B357" i="23"/>
  <c r="B356" i="23"/>
  <c r="B355" i="23"/>
  <c r="B354" i="23"/>
  <c r="B353" i="23"/>
  <c r="B352" i="23"/>
  <c r="B351" i="23"/>
  <c r="B350" i="23"/>
  <c r="B349" i="23"/>
  <c r="B348" i="23"/>
  <c r="B347" i="23"/>
  <c r="B346" i="23"/>
  <c r="B345" i="23"/>
  <c r="B344" i="23"/>
  <c r="B343" i="23"/>
  <c r="B342" i="23"/>
  <c r="B341" i="23"/>
  <c r="B340" i="23"/>
  <c r="B339" i="23"/>
  <c r="B338" i="23"/>
  <c r="B337" i="23"/>
  <c r="B336" i="23"/>
  <c r="B335" i="23"/>
  <c r="B334" i="23"/>
  <c r="B333" i="23"/>
  <c r="B332" i="23"/>
  <c r="B331" i="23"/>
  <c r="B330" i="23"/>
  <c r="B329" i="23"/>
  <c r="B328" i="23"/>
  <c r="B327" i="23"/>
  <c r="B326" i="23"/>
  <c r="B325" i="23"/>
  <c r="B324" i="23"/>
  <c r="B323" i="23"/>
  <c r="B322" i="23"/>
  <c r="B321" i="23"/>
  <c r="B320" i="23"/>
  <c r="B319" i="23"/>
  <c r="B318" i="23"/>
  <c r="B317" i="23"/>
  <c r="B316" i="23"/>
  <c r="B315" i="23"/>
  <c r="B314" i="23"/>
  <c r="B313" i="23"/>
  <c r="B312" i="23"/>
  <c r="B311" i="23"/>
  <c r="B310" i="23"/>
  <c r="B309" i="23"/>
  <c r="B308" i="23"/>
  <c r="B307" i="23"/>
  <c r="B306" i="23"/>
  <c r="B305" i="23"/>
  <c r="B304" i="23"/>
  <c r="B303" i="23"/>
  <c r="B302" i="23"/>
  <c r="B301" i="23"/>
  <c r="B300" i="23"/>
  <c r="B299" i="23"/>
  <c r="B298" i="23"/>
  <c r="B297" i="23"/>
  <c r="B296" i="23"/>
  <c r="B295" i="23"/>
  <c r="B294" i="23"/>
  <c r="B293" i="23"/>
  <c r="B292" i="23"/>
  <c r="B291" i="23"/>
  <c r="B290" i="23"/>
  <c r="B289" i="23"/>
  <c r="B288" i="23"/>
  <c r="B287" i="23"/>
  <c r="B286" i="23"/>
  <c r="B285" i="23"/>
  <c r="B284" i="23"/>
  <c r="B283" i="23"/>
  <c r="B282" i="23"/>
  <c r="B281" i="23"/>
  <c r="B280" i="23"/>
  <c r="B279" i="23"/>
  <c r="B278" i="23"/>
  <c r="B277" i="23"/>
  <c r="B276" i="23"/>
  <c r="B275" i="23"/>
  <c r="B274" i="23"/>
  <c r="B273" i="23"/>
  <c r="B272" i="23"/>
  <c r="B271" i="23"/>
  <c r="B270" i="23"/>
  <c r="B269" i="23"/>
  <c r="B268" i="23"/>
  <c r="B267" i="23"/>
  <c r="B266" i="23"/>
  <c r="B265" i="23"/>
  <c r="B264" i="23"/>
  <c r="B263" i="23"/>
  <c r="B262" i="23"/>
  <c r="B261" i="23"/>
  <c r="B260" i="23"/>
  <c r="B259" i="23"/>
  <c r="B258" i="23"/>
  <c r="B257" i="23"/>
  <c r="B256" i="23"/>
  <c r="B255" i="23"/>
  <c r="B254" i="23"/>
  <c r="B253" i="23"/>
  <c r="B252" i="23"/>
  <c r="B251" i="23"/>
  <c r="B250" i="23"/>
  <c r="B249" i="23"/>
  <c r="B248" i="23"/>
  <c r="B247" i="23"/>
  <c r="B246" i="23"/>
  <c r="B245" i="23"/>
  <c r="B244" i="23"/>
  <c r="B243" i="23"/>
  <c r="B242" i="23"/>
  <c r="B241" i="23"/>
  <c r="B240" i="23"/>
  <c r="B239" i="23"/>
  <c r="B238" i="23"/>
  <c r="B237" i="23"/>
  <c r="B236" i="23"/>
  <c r="B235" i="23"/>
  <c r="B234" i="23"/>
  <c r="B233" i="23"/>
  <c r="B232" i="23"/>
  <c r="B231" i="23"/>
  <c r="B230" i="23"/>
  <c r="B229" i="23"/>
  <c r="B228" i="23"/>
  <c r="B227" i="23"/>
  <c r="B226" i="23"/>
  <c r="B225" i="23"/>
  <c r="B224" i="23"/>
  <c r="B223" i="23"/>
  <c r="B222" i="23"/>
  <c r="B221" i="23"/>
  <c r="B220" i="23"/>
  <c r="B219" i="23"/>
  <c r="B218" i="23"/>
  <c r="B217" i="23"/>
  <c r="B216" i="23"/>
  <c r="B215" i="23"/>
  <c r="B214" i="23"/>
  <c r="B213" i="23"/>
  <c r="B212" i="23"/>
  <c r="B211" i="23"/>
  <c r="B210" i="23"/>
  <c r="B209" i="23"/>
  <c r="B208" i="23"/>
  <c r="B207" i="23"/>
  <c r="B206" i="23"/>
  <c r="B205" i="23"/>
  <c r="B204" i="23"/>
  <c r="B203" i="23"/>
  <c r="B202" i="23"/>
  <c r="B201" i="23"/>
  <c r="B200" i="23"/>
  <c r="B199" i="23"/>
  <c r="B198" i="23"/>
  <c r="B197" i="23"/>
  <c r="B196" i="23"/>
  <c r="B195" i="23"/>
  <c r="B194" i="23"/>
  <c r="B193" i="23"/>
  <c r="B192" i="23"/>
  <c r="B191" i="23"/>
  <c r="B190" i="23"/>
  <c r="B189" i="23"/>
  <c r="B188" i="23"/>
  <c r="B187" i="23"/>
  <c r="B186" i="23"/>
  <c r="B185" i="23"/>
  <c r="B184" i="23"/>
  <c r="B183" i="23"/>
  <c r="B182" i="23"/>
  <c r="B181" i="23"/>
  <c r="B180" i="23"/>
  <c r="B179" i="23"/>
  <c r="B178" i="23"/>
  <c r="B177" i="23"/>
  <c r="B176" i="23"/>
  <c r="B175" i="23"/>
  <c r="B174" i="23"/>
  <c r="B173" i="23"/>
  <c r="B172" i="23"/>
  <c r="B171" i="23"/>
  <c r="B170" i="23"/>
  <c r="B169" i="23"/>
  <c r="B168" i="23"/>
  <c r="B167" i="23"/>
  <c r="B166" i="23"/>
  <c r="B165" i="23"/>
  <c r="B164" i="23"/>
  <c r="B163" i="23"/>
  <c r="B162" i="23"/>
  <c r="B161" i="23"/>
  <c r="B160" i="23"/>
  <c r="B159" i="23"/>
  <c r="B158" i="23"/>
  <c r="B157" i="23"/>
  <c r="B156" i="23"/>
  <c r="B155" i="23"/>
  <c r="B154" i="23"/>
  <c r="B153" i="23"/>
  <c r="B152" i="23"/>
  <c r="B151" i="23"/>
  <c r="B150" i="23"/>
  <c r="B149" i="23"/>
  <c r="B148" i="23"/>
  <c r="B147" i="23"/>
  <c r="B146" i="23"/>
  <c r="B145" i="23"/>
  <c r="B144" i="23"/>
  <c r="B143" i="23"/>
  <c r="B142" i="23"/>
  <c r="B141" i="23"/>
  <c r="B140" i="23"/>
  <c r="B139" i="23"/>
  <c r="B138" i="23"/>
  <c r="B137" i="23"/>
  <c r="B136" i="23"/>
  <c r="B135" i="23"/>
  <c r="B134" i="23"/>
  <c r="B133" i="23"/>
  <c r="B132" i="23"/>
  <c r="B131" i="23"/>
  <c r="B130" i="23"/>
  <c r="B129" i="23"/>
  <c r="B128" i="23"/>
  <c r="B127" i="23"/>
  <c r="B126" i="23"/>
  <c r="B125" i="23"/>
  <c r="B124" i="23"/>
  <c r="B123" i="23"/>
  <c r="B122" i="23"/>
  <c r="B121" i="23"/>
  <c r="B120" i="23"/>
  <c r="B119" i="23"/>
  <c r="B118" i="23"/>
  <c r="B117" i="23"/>
  <c r="B116" i="23"/>
  <c r="B115" i="23"/>
  <c r="B114" i="23"/>
  <c r="B113" i="23"/>
  <c r="B112" i="23"/>
  <c r="B111" i="23"/>
  <c r="B110" i="23"/>
  <c r="B109" i="23"/>
  <c r="B108" i="23"/>
  <c r="B107" i="23"/>
  <c r="B106" i="23"/>
  <c r="B105" i="23"/>
  <c r="B104" i="23"/>
  <c r="B103" i="23"/>
  <c r="B102" i="23"/>
  <c r="B101" i="23"/>
  <c r="B100" i="23"/>
  <c r="B99" i="23"/>
  <c r="B98" i="23"/>
  <c r="B97" i="23"/>
  <c r="B96" i="23"/>
  <c r="B95" i="23"/>
  <c r="B94" i="23"/>
  <c r="B93" i="23"/>
  <c r="B92" i="23"/>
  <c r="B91" i="23"/>
  <c r="B90" i="23"/>
  <c r="B89" i="23"/>
  <c r="B88" i="23"/>
  <c r="B87" i="23"/>
  <c r="B86" i="23"/>
  <c r="B85" i="23"/>
  <c r="B84" i="23"/>
  <c r="B83" i="23"/>
  <c r="B82" i="23"/>
  <c r="B81" i="23"/>
  <c r="B80" i="23"/>
  <c r="B79" i="23"/>
  <c r="B78" i="23"/>
  <c r="B77" i="23"/>
  <c r="B76" i="23"/>
  <c r="B75" i="23"/>
  <c r="B74" i="23"/>
  <c r="B73" i="23"/>
  <c r="B72" i="23"/>
  <c r="B71" i="23"/>
  <c r="B70" i="23"/>
  <c r="B69" i="23"/>
  <c r="B68" i="23"/>
  <c r="B67" i="23"/>
  <c r="B66" i="23"/>
  <c r="B65" i="23"/>
  <c r="B64" i="23"/>
  <c r="B63" i="23"/>
  <c r="B62" i="23"/>
  <c r="B61" i="23"/>
  <c r="B60" i="23"/>
  <c r="B59" i="23"/>
  <c r="B58" i="23"/>
  <c r="B57" i="23"/>
  <c r="B56" i="23"/>
  <c r="B55" i="23"/>
  <c r="B54" i="23"/>
  <c r="B53" i="23"/>
  <c r="B52" i="23"/>
  <c r="B51" i="23"/>
  <c r="B50" i="23"/>
  <c r="B49" i="23"/>
  <c r="B48" i="23"/>
  <c r="B47" i="23"/>
  <c r="B46" i="23"/>
  <c r="B45" i="23"/>
  <c r="B44" i="23"/>
  <c r="B43" i="23"/>
  <c r="B42" i="23"/>
  <c r="B41" i="23"/>
  <c r="B40" i="23"/>
  <c r="B39" i="23"/>
  <c r="B38" i="23"/>
  <c r="B37" i="23"/>
  <c r="B36" i="23"/>
  <c r="B35" i="23"/>
  <c r="B34" i="23"/>
  <c r="B33" i="23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B379" i="22"/>
  <c r="B378" i="22"/>
  <c r="B377" i="22"/>
  <c r="B376" i="22"/>
  <c r="B375" i="22"/>
  <c r="B374" i="22"/>
  <c r="B373" i="22"/>
  <c r="B372" i="22"/>
  <c r="B371" i="22"/>
  <c r="B370" i="22"/>
  <c r="B369" i="22"/>
  <c r="B368" i="22"/>
  <c r="B367" i="22"/>
  <c r="B366" i="22"/>
  <c r="B365" i="22"/>
  <c r="B364" i="22"/>
  <c r="B363" i="22"/>
  <c r="B362" i="22"/>
  <c r="B361" i="22"/>
  <c r="B360" i="22"/>
  <c r="B359" i="22"/>
  <c r="B358" i="22"/>
  <c r="B357" i="22"/>
  <c r="B356" i="22"/>
  <c r="B355" i="22"/>
  <c r="B354" i="22"/>
  <c r="B353" i="22"/>
  <c r="B352" i="22"/>
  <c r="B351" i="22"/>
  <c r="B350" i="22"/>
  <c r="B349" i="22"/>
  <c r="B348" i="22"/>
  <c r="B347" i="22"/>
  <c r="B346" i="22"/>
  <c r="B345" i="22"/>
  <c r="B344" i="22"/>
  <c r="B343" i="22"/>
  <c r="B342" i="22"/>
  <c r="B341" i="22"/>
  <c r="B340" i="22"/>
  <c r="B339" i="22"/>
  <c r="B338" i="22"/>
  <c r="B337" i="22"/>
  <c r="B336" i="22"/>
  <c r="B335" i="22"/>
  <c r="B334" i="22"/>
  <c r="B333" i="22"/>
  <c r="B332" i="22"/>
  <c r="B331" i="22"/>
  <c r="B330" i="22"/>
  <c r="B329" i="22"/>
  <c r="B328" i="22"/>
  <c r="B327" i="22"/>
  <c r="B326" i="22"/>
  <c r="B325" i="22"/>
  <c r="B324" i="22"/>
  <c r="B323" i="22"/>
  <c r="B322" i="22"/>
  <c r="B321" i="22"/>
  <c r="B320" i="22"/>
  <c r="B319" i="22"/>
  <c r="B318" i="22"/>
  <c r="B317" i="22"/>
  <c r="B316" i="22"/>
  <c r="B315" i="22"/>
  <c r="B314" i="22"/>
  <c r="B313" i="22"/>
  <c r="B312" i="22"/>
  <c r="B311" i="22"/>
  <c r="B310" i="22"/>
  <c r="B309" i="22"/>
  <c r="B308" i="22"/>
  <c r="B307" i="22"/>
  <c r="B306" i="22"/>
  <c r="B305" i="22"/>
  <c r="B304" i="22"/>
  <c r="B303" i="22"/>
  <c r="B302" i="22"/>
  <c r="B301" i="22"/>
  <c r="B300" i="22"/>
  <c r="B299" i="22"/>
  <c r="B298" i="22"/>
  <c r="B297" i="22"/>
  <c r="B296" i="22"/>
  <c r="B295" i="22"/>
  <c r="B294" i="22"/>
  <c r="B293" i="22"/>
  <c r="B292" i="22"/>
  <c r="B291" i="22"/>
  <c r="B290" i="22"/>
  <c r="B289" i="22"/>
  <c r="B288" i="22"/>
  <c r="B287" i="22"/>
  <c r="B286" i="22"/>
  <c r="B285" i="22"/>
  <c r="B284" i="22"/>
  <c r="B283" i="22"/>
  <c r="B282" i="22"/>
  <c r="B281" i="22"/>
  <c r="B280" i="22"/>
  <c r="B279" i="22"/>
  <c r="B278" i="22"/>
  <c r="B277" i="22"/>
  <c r="B276" i="22"/>
  <c r="B275" i="22"/>
  <c r="B274" i="22"/>
  <c r="B273" i="22"/>
  <c r="B272" i="22"/>
  <c r="B271" i="22"/>
  <c r="B270" i="22"/>
  <c r="B269" i="22"/>
  <c r="B268" i="22"/>
  <c r="B267" i="22"/>
  <c r="B266" i="22"/>
  <c r="B265" i="22"/>
  <c r="B264" i="22"/>
  <c r="B263" i="22"/>
  <c r="B262" i="22"/>
  <c r="B261" i="22"/>
  <c r="B260" i="22"/>
  <c r="B259" i="22"/>
  <c r="B258" i="22"/>
  <c r="B257" i="22"/>
  <c r="B256" i="22"/>
  <c r="B255" i="22"/>
  <c r="B254" i="22"/>
  <c r="B253" i="22"/>
  <c r="B252" i="22"/>
  <c r="B251" i="22"/>
  <c r="B250" i="22"/>
  <c r="B249" i="22"/>
  <c r="B248" i="22"/>
  <c r="B247" i="22"/>
  <c r="B246" i="22"/>
  <c r="B245" i="22"/>
  <c r="B244" i="22"/>
  <c r="B243" i="22"/>
  <c r="B242" i="22"/>
  <c r="B241" i="22"/>
  <c r="B240" i="22"/>
  <c r="B239" i="22"/>
  <c r="B238" i="22"/>
  <c r="B237" i="22"/>
  <c r="B236" i="22"/>
  <c r="B235" i="22"/>
  <c r="B234" i="22"/>
  <c r="B233" i="22"/>
  <c r="B232" i="22"/>
  <c r="B231" i="22"/>
  <c r="B230" i="22"/>
  <c r="B229" i="22"/>
  <c r="B228" i="22"/>
  <c r="B227" i="22"/>
  <c r="B226" i="22"/>
  <c r="B225" i="22"/>
  <c r="B224" i="22"/>
  <c r="B223" i="22"/>
  <c r="B222" i="22"/>
  <c r="B221" i="22"/>
  <c r="B220" i="22"/>
  <c r="B219" i="22"/>
  <c r="B218" i="22"/>
  <c r="B217" i="22"/>
  <c r="B216" i="22"/>
  <c r="B215" i="22"/>
  <c r="B214" i="22"/>
  <c r="B213" i="22"/>
  <c r="B212" i="22"/>
  <c r="B211" i="22"/>
  <c r="B210" i="22"/>
  <c r="B209" i="22"/>
  <c r="B208" i="22"/>
  <c r="B207" i="22"/>
  <c r="B206" i="22"/>
  <c r="B205" i="22"/>
  <c r="B204" i="22"/>
  <c r="B203" i="22"/>
  <c r="B202" i="22"/>
  <c r="B201" i="22"/>
  <c r="B200" i="22"/>
  <c r="B199" i="22"/>
  <c r="B198" i="22"/>
  <c r="B197" i="22"/>
  <c r="B196" i="22"/>
  <c r="B195" i="22"/>
  <c r="B194" i="22"/>
  <c r="B193" i="22"/>
  <c r="B192" i="22"/>
  <c r="B191" i="22"/>
  <c r="B190" i="22"/>
  <c r="B189" i="22"/>
  <c r="B188" i="22"/>
  <c r="B187" i="22"/>
  <c r="B186" i="22"/>
  <c r="B185" i="22"/>
  <c r="B184" i="22"/>
  <c r="B183" i="22"/>
  <c r="B182" i="22"/>
  <c r="B181" i="22"/>
  <c r="B180" i="22"/>
  <c r="B179" i="22"/>
  <c r="B178" i="22"/>
  <c r="B177" i="22"/>
  <c r="B176" i="22"/>
  <c r="B175" i="22"/>
  <c r="B174" i="22"/>
  <c r="B173" i="22"/>
  <c r="B172" i="22"/>
  <c r="B171" i="22"/>
  <c r="B170" i="22"/>
  <c r="B169" i="22"/>
  <c r="B168" i="22"/>
  <c r="B167" i="22"/>
  <c r="B166" i="22"/>
  <c r="B165" i="22"/>
  <c r="B164" i="22"/>
  <c r="B163" i="22"/>
  <c r="B162" i="22"/>
  <c r="B161" i="22"/>
  <c r="B160" i="22"/>
  <c r="B159" i="22"/>
  <c r="B158" i="22"/>
  <c r="B157" i="22"/>
  <c r="B156" i="22"/>
  <c r="B155" i="22"/>
  <c r="B154" i="22"/>
  <c r="B153" i="22"/>
  <c r="B152" i="22"/>
  <c r="B151" i="22"/>
  <c r="B150" i="22"/>
  <c r="B149" i="22"/>
  <c r="B148" i="22"/>
  <c r="B147" i="22"/>
  <c r="B146" i="22"/>
  <c r="B145" i="22"/>
  <c r="B144" i="22"/>
  <c r="B143" i="22"/>
  <c r="B142" i="22"/>
  <c r="B141" i="22"/>
  <c r="B140" i="22"/>
  <c r="B139" i="22"/>
  <c r="B138" i="22"/>
  <c r="B137" i="22"/>
  <c r="B136" i="22"/>
  <c r="B135" i="22"/>
  <c r="B134" i="22"/>
  <c r="B133" i="22"/>
  <c r="B132" i="22"/>
  <c r="B131" i="22"/>
  <c r="B130" i="22"/>
  <c r="B129" i="22"/>
  <c r="B128" i="22"/>
  <c r="B127" i="22"/>
  <c r="B126" i="22"/>
  <c r="B125" i="22"/>
  <c r="B124" i="22"/>
  <c r="B123" i="22"/>
  <c r="B122" i="22"/>
  <c r="B121" i="22"/>
  <c r="B120" i="22"/>
  <c r="B119" i="22"/>
  <c r="B118" i="22"/>
  <c r="B117" i="22"/>
  <c r="B116" i="22"/>
  <c r="B115" i="22"/>
  <c r="B114" i="22"/>
  <c r="B113" i="22"/>
  <c r="B112" i="22"/>
  <c r="B111" i="22"/>
  <c r="B110" i="22"/>
  <c r="B109" i="22"/>
  <c r="B108" i="22"/>
  <c r="B107" i="22"/>
  <c r="B106" i="22"/>
  <c r="B105" i="22"/>
  <c r="B104" i="22"/>
  <c r="B103" i="22"/>
  <c r="B102" i="22"/>
  <c r="B101" i="22"/>
  <c r="B100" i="22"/>
  <c r="B99" i="22"/>
  <c r="B98" i="22"/>
  <c r="B97" i="22"/>
  <c r="B96" i="22"/>
  <c r="B95" i="22"/>
  <c r="B94" i="22"/>
  <c r="B93" i="22"/>
  <c r="B92" i="22"/>
  <c r="B91" i="22"/>
  <c r="B90" i="22"/>
  <c r="B89" i="22"/>
  <c r="B88" i="22"/>
  <c r="B87" i="22"/>
  <c r="B86" i="22"/>
  <c r="B85" i="22"/>
  <c r="B84" i="22"/>
  <c r="B83" i="22"/>
  <c r="B82" i="22"/>
  <c r="B81" i="22"/>
  <c r="B80" i="22"/>
  <c r="B79" i="22"/>
  <c r="B78" i="22"/>
  <c r="B77" i="22"/>
  <c r="B76" i="22"/>
  <c r="B75" i="22"/>
  <c r="B74" i="22"/>
  <c r="B73" i="22"/>
  <c r="B72" i="22"/>
  <c r="B71" i="22"/>
  <c r="B70" i="22"/>
  <c r="B69" i="22"/>
  <c r="B68" i="22"/>
  <c r="B67" i="22"/>
  <c r="B66" i="22"/>
  <c r="B65" i="22"/>
  <c r="B64" i="22"/>
  <c r="B63" i="22"/>
  <c r="B62" i="22"/>
  <c r="B61" i="22"/>
  <c r="B60" i="22"/>
  <c r="B59" i="22"/>
  <c r="B58" i="22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379" i="20"/>
  <c r="B378" i="20"/>
  <c r="B377" i="20"/>
  <c r="B376" i="20"/>
  <c r="B375" i="20"/>
  <c r="B374" i="20"/>
  <c r="B373" i="20"/>
  <c r="B372" i="20"/>
  <c r="B371" i="20"/>
  <c r="B370" i="20"/>
  <c r="B369" i="20"/>
  <c r="B368" i="20"/>
  <c r="B367" i="20"/>
  <c r="B366" i="20"/>
  <c r="B365" i="20"/>
  <c r="B364" i="20"/>
  <c r="B363" i="20"/>
  <c r="B362" i="20"/>
  <c r="B361" i="20"/>
  <c r="B360" i="20"/>
  <c r="B359" i="20"/>
  <c r="B358" i="20"/>
  <c r="B357" i="20"/>
  <c r="B356" i="20"/>
  <c r="B355" i="20"/>
  <c r="B354" i="20"/>
  <c r="B353" i="20"/>
  <c r="B352" i="20"/>
  <c r="B351" i="20"/>
  <c r="B350" i="20"/>
  <c r="B349" i="20"/>
  <c r="B348" i="20"/>
  <c r="B347" i="20"/>
  <c r="B346" i="20"/>
  <c r="B345" i="20"/>
  <c r="B344" i="20"/>
  <c r="B343" i="20"/>
  <c r="B342" i="20"/>
  <c r="B341" i="20"/>
  <c r="B340" i="20"/>
  <c r="B339" i="20"/>
  <c r="B338" i="20"/>
  <c r="B337" i="20"/>
  <c r="B336" i="20"/>
  <c r="B335" i="20"/>
  <c r="B334" i="20"/>
  <c r="B333" i="20"/>
  <c r="B332" i="20"/>
  <c r="B331" i="20"/>
  <c r="B330" i="20"/>
  <c r="B329" i="20"/>
  <c r="B328" i="20"/>
  <c r="B327" i="20"/>
  <c r="B326" i="20"/>
  <c r="B325" i="20"/>
  <c r="B324" i="20"/>
  <c r="B323" i="20"/>
  <c r="B322" i="20"/>
  <c r="B321" i="20"/>
  <c r="B320" i="20"/>
  <c r="B319" i="20"/>
  <c r="B318" i="20"/>
  <c r="B317" i="20"/>
  <c r="B316" i="20"/>
  <c r="B315" i="20"/>
  <c r="B314" i="20"/>
  <c r="B313" i="20"/>
  <c r="B312" i="20"/>
  <c r="B311" i="20"/>
  <c r="B310" i="20"/>
  <c r="B309" i="20"/>
  <c r="B308" i="20"/>
  <c r="B307" i="20"/>
  <c r="B306" i="20"/>
  <c r="B305" i="20"/>
  <c r="B304" i="20"/>
  <c r="B303" i="20"/>
  <c r="B302" i="20"/>
  <c r="B301" i="20"/>
  <c r="B300" i="20"/>
  <c r="B299" i="20"/>
  <c r="B298" i="20"/>
  <c r="B297" i="20"/>
  <c r="B296" i="20"/>
  <c r="B295" i="20"/>
  <c r="B294" i="20"/>
  <c r="B293" i="20"/>
  <c r="B292" i="20"/>
  <c r="B291" i="20"/>
  <c r="B290" i="20"/>
  <c r="B289" i="20"/>
  <c r="B288" i="20"/>
  <c r="B287" i="20"/>
  <c r="B286" i="20"/>
  <c r="B285" i="20"/>
  <c r="B284" i="20"/>
  <c r="B283" i="20"/>
  <c r="B282" i="20"/>
  <c r="B281" i="20"/>
  <c r="B280" i="20"/>
  <c r="B279" i="20"/>
  <c r="B278" i="20"/>
  <c r="B277" i="20"/>
  <c r="B276" i="20"/>
  <c r="B275" i="20"/>
  <c r="B274" i="20"/>
  <c r="B273" i="20"/>
  <c r="B272" i="20"/>
  <c r="B271" i="20"/>
  <c r="B270" i="20"/>
  <c r="B269" i="20"/>
  <c r="B268" i="20"/>
  <c r="B267" i="20"/>
  <c r="B266" i="20"/>
  <c r="B265" i="20"/>
  <c r="B264" i="20"/>
  <c r="B263" i="20"/>
  <c r="B262" i="20"/>
  <c r="B261" i="20"/>
  <c r="B260" i="20"/>
  <c r="B259" i="20"/>
  <c r="B258" i="20"/>
  <c r="B257" i="20"/>
  <c r="B256" i="20"/>
  <c r="B255" i="20"/>
  <c r="B254" i="20"/>
  <c r="B253" i="20"/>
  <c r="B252" i="20"/>
  <c r="B251" i="20"/>
  <c r="B250" i="20"/>
  <c r="B249" i="20"/>
  <c r="B248" i="20"/>
  <c r="B247" i="20"/>
  <c r="B246" i="20"/>
  <c r="B245" i="20"/>
  <c r="B244" i="20"/>
  <c r="B243" i="20"/>
  <c r="B242" i="20"/>
  <c r="B241" i="20"/>
  <c r="B240" i="20"/>
  <c r="B239" i="20"/>
  <c r="B238" i="20"/>
  <c r="B237" i="20"/>
  <c r="B236" i="20"/>
  <c r="B235" i="20"/>
  <c r="B234" i="20"/>
  <c r="B233" i="20"/>
  <c r="B232" i="20"/>
  <c r="B231" i="20"/>
  <c r="B230" i="20"/>
  <c r="B229" i="20"/>
  <c r="B228" i="20"/>
  <c r="B227" i="20"/>
  <c r="B226" i="20"/>
  <c r="B225" i="20"/>
  <c r="B224" i="20"/>
  <c r="B223" i="20"/>
  <c r="B222" i="20"/>
  <c r="B221" i="20"/>
  <c r="B220" i="20"/>
  <c r="B219" i="20"/>
  <c r="B218" i="20"/>
  <c r="B217" i="20"/>
  <c r="B216" i="20"/>
  <c r="B215" i="20"/>
  <c r="B214" i="20"/>
  <c r="B213" i="20"/>
  <c r="B212" i="20"/>
  <c r="B211" i="20"/>
  <c r="B210" i="20"/>
  <c r="B209" i="20"/>
  <c r="B208" i="20"/>
  <c r="B207" i="20"/>
  <c r="B206" i="20"/>
  <c r="B205" i="20"/>
  <c r="B204" i="20"/>
  <c r="B203" i="20"/>
  <c r="B202" i="20"/>
  <c r="B201" i="20"/>
  <c r="B200" i="20"/>
  <c r="B199" i="20"/>
  <c r="B198" i="20"/>
  <c r="B197" i="20"/>
  <c r="B196" i="20"/>
  <c r="B195" i="20"/>
  <c r="B194" i="20"/>
  <c r="B193" i="20"/>
  <c r="B192" i="20"/>
  <c r="B191" i="20"/>
  <c r="B190" i="20"/>
  <c r="B189" i="20"/>
  <c r="B188" i="20"/>
  <c r="B187" i="20"/>
  <c r="B186" i="20"/>
  <c r="B185" i="20"/>
  <c r="B184" i="20"/>
  <c r="B183" i="20"/>
  <c r="B182" i="20"/>
  <c r="B181" i="20"/>
  <c r="B180" i="20"/>
  <c r="B179" i="20"/>
  <c r="B178" i="20"/>
  <c r="B177" i="20"/>
  <c r="B176" i="20"/>
  <c r="B175" i="20"/>
  <c r="B174" i="20"/>
  <c r="B173" i="20"/>
  <c r="B172" i="20"/>
  <c r="B171" i="20"/>
  <c r="B170" i="20"/>
  <c r="B169" i="20"/>
  <c r="B168" i="20"/>
  <c r="B167" i="20"/>
  <c r="B166" i="20"/>
  <c r="B165" i="20"/>
  <c r="B164" i="20"/>
  <c r="B163" i="20"/>
  <c r="B162" i="20"/>
  <c r="B161" i="20"/>
  <c r="B160" i="20"/>
  <c r="B159" i="20"/>
  <c r="B158" i="20"/>
  <c r="B157" i="20"/>
  <c r="B156" i="20"/>
  <c r="B155" i="20"/>
  <c r="B154" i="20"/>
  <c r="B153" i="20"/>
  <c r="B152" i="20"/>
  <c r="B151" i="20"/>
  <c r="B150" i="20"/>
  <c r="B149" i="20"/>
  <c r="B148" i="20"/>
  <c r="B147" i="20"/>
  <c r="B146" i="20"/>
  <c r="B145" i="20"/>
  <c r="B144" i="20"/>
  <c r="B143" i="20"/>
  <c r="B142" i="20"/>
  <c r="B141" i="20"/>
  <c r="B140" i="20"/>
  <c r="B139" i="20"/>
  <c r="B138" i="20"/>
  <c r="B137" i="20"/>
  <c r="B136" i="20"/>
  <c r="B135" i="20"/>
  <c r="B134" i="20"/>
  <c r="B133" i="20"/>
  <c r="B132" i="20"/>
  <c r="B131" i="20"/>
  <c r="B130" i="20"/>
  <c r="B129" i="20"/>
  <c r="B128" i="20"/>
  <c r="B127" i="20"/>
  <c r="B126" i="20"/>
  <c r="B125" i="20"/>
  <c r="B124" i="20"/>
  <c r="B123" i="20"/>
  <c r="B122" i="20"/>
  <c r="B121" i="20"/>
  <c r="B120" i="20"/>
  <c r="B119" i="20"/>
  <c r="B118" i="20"/>
  <c r="B117" i="20"/>
  <c r="B116" i="20"/>
  <c r="B115" i="20"/>
  <c r="B114" i="20"/>
  <c r="B113" i="20"/>
  <c r="B112" i="20"/>
  <c r="B111" i="20"/>
  <c r="B110" i="20"/>
  <c r="B109" i="20"/>
  <c r="B108" i="20"/>
  <c r="B107" i="20"/>
  <c r="B106" i="20"/>
  <c r="B105" i="20"/>
  <c r="B104" i="20"/>
  <c r="B103" i="20"/>
  <c r="B102" i="20"/>
  <c r="B101" i="20"/>
  <c r="B100" i="20"/>
  <c r="B99" i="20"/>
  <c r="B98" i="20"/>
  <c r="B97" i="20"/>
  <c r="B96" i="20"/>
  <c r="B95" i="20"/>
  <c r="B94" i="20"/>
  <c r="B93" i="20"/>
  <c r="B92" i="20"/>
  <c r="B91" i="20"/>
  <c r="B90" i="20"/>
  <c r="B89" i="20"/>
  <c r="B88" i="20"/>
  <c r="B87" i="20"/>
  <c r="B86" i="20"/>
  <c r="B85" i="20"/>
  <c r="B84" i="20"/>
  <c r="B83" i="20"/>
  <c r="B82" i="20"/>
  <c r="B81" i="20"/>
  <c r="B80" i="20"/>
  <c r="B79" i="20"/>
  <c r="B78" i="20"/>
  <c r="B77" i="20"/>
  <c r="B76" i="20"/>
  <c r="B75" i="20"/>
  <c r="B74" i="20"/>
  <c r="B73" i="20"/>
  <c r="B72" i="20"/>
  <c r="B71" i="20"/>
  <c r="B70" i="20"/>
  <c r="B69" i="20"/>
  <c r="B68" i="20"/>
  <c r="B67" i="20"/>
  <c r="B66" i="20"/>
  <c r="B65" i="20"/>
  <c r="B64" i="20"/>
  <c r="B63" i="20"/>
  <c r="B62" i="20"/>
  <c r="B61" i="20"/>
  <c r="B60" i="20"/>
  <c r="B59" i="20"/>
  <c r="B58" i="20"/>
  <c r="B57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43" i="20"/>
  <c r="B42" i="20"/>
  <c r="B41" i="20"/>
  <c r="B40" i="20"/>
  <c r="B39" i="20"/>
  <c r="B38" i="20"/>
  <c r="B37" i="20"/>
  <c r="B36" i="20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35" i="18" l="1"/>
  <c r="B34" i="18"/>
  <c r="B33" i="18"/>
  <c r="B32" i="18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L32" i="19" l="1"/>
  <c r="K32" i="19"/>
  <c r="L8" i="19" l="1"/>
  <c r="K8" i="19"/>
  <c r="M7" i="19" l="1"/>
  <c r="F10" i="7" l="1"/>
  <c r="M32" i="19" l="1"/>
  <c r="X10" i="7"/>
  <c r="AD10" i="7" s="1"/>
  <c r="AJ10" i="7" s="1"/>
  <c r="AP10" i="7" s="1"/>
  <c r="AV10" i="7" s="1"/>
  <c r="BB10" i="7" s="1"/>
  <c r="BH10" i="7" s="1"/>
  <c r="BN10" i="7" s="1"/>
  <c r="BT10" i="7" s="1"/>
  <c r="BZ10" i="7" s="1"/>
  <c r="T10" i="7"/>
  <c r="W10" i="7" s="1"/>
  <c r="N10" i="7"/>
  <c r="P10" i="7" s="1"/>
  <c r="H10" i="7"/>
  <c r="K10" i="7" s="1"/>
  <c r="E10" i="7"/>
  <c r="C10" i="7"/>
  <c r="L10" i="7" s="1"/>
  <c r="R10" i="7" s="1"/>
  <c r="B10" i="7"/>
  <c r="D10" i="7" s="1"/>
  <c r="F9" i="7"/>
  <c r="L9" i="7" s="1"/>
  <c r="R9" i="7" s="1"/>
  <c r="B9" i="7"/>
  <c r="O10" i="7" l="1"/>
  <c r="Q10" i="7"/>
  <c r="AC5" i="7" s="1"/>
  <c r="H9" i="7"/>
  <c r="C9" i="7"/>
  <c r="J10" i="7"/>
  <c r="V10" i="7"/>
  <c r="X9" i="7"/>
  <c r="Z10" i="7" s="1"/>
  <c r="I10" i="7"/>
  <c r="U10" i="7"/>
  <c r="AB5" i="7" l="1"/>
  <c r="AB10" i="7" s="1"/>
  <c r="AC10" i="7"/>
  <c r="AD9" i="7"/>
  <c r="I9" i="7"/>
  <c r="N9" i="7"/>
  <c r="T9" i="7" l="1"/>
  <c r="O9" i="7"/>
  <c r="Z9" i="7" l="1"/>
  <c r="U9" i="7"/>
  <c r="AF9" i="7" l="1"/>
  <c r="AA9" i="7"/>
  <c r="AG9" i="7" l="1"/>
  <c r="AM9" i="7" s="1"/>
  <c r="AS9" i="7" s="1"/>
  <c r="AY9" i="7" s="1"/>
  <c r="BE9" i="7" s="1"/>
  <c r="BK9" i="7" s="1"/>
  <c r="BQ9" i="7" s="1"/>
  <c r="BW9" i="7" s="1"/>
  <c r="AL9" i="7"/>
  <c r="AR9" i="7" s="1"/>
  <c r="AX9" i="7" s="1"/>
  <c r="BD9" i="7" s="1"/>
  <c r="BJ9" i="7" s="1"/>
  <c r="BP9" i="7" s="1"/>
  <c r="BV9" i="7" s="1"/>
  <c r="W5" i="7" l="1"/>
  <c r="CE380" i="6"/>
  <c r="CD380" i="6"/>
  <c r="CC380" i="6"/>
  <c r="CA380" i="6"/>
  <c r="BZ380" i="6"/>
  <c r="BY380" i="6"/>
  <c r="BW380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A35" i="19" l="1"/>
  <c r="I33" i="27" l="1"/>
  <c r="I34" i="27" s="1"/>
  <c r="I35" i="27" s="1"/>
  <c r="I36" i="27" s="1"/>
  <c r="I37" i="27" s="1"/>
  <c r="D11" i="27" l="1"/>
  <c r="E11" i="27" s="1"/>
  <c r="W11" i="27"/>
  <c r="I5" i="27"/>
  <c r="A1" i="27" l="1"/>
  <c r="M5" i="27" l="1"/>
  <c r="L19" i="27" l="1"/>
  <c r="K19" i="27"/>
  <c r="J19" i="27"/>
  <c r="K18" i="27"/>
  <c r="K17" i="27"/>
  <c r="K16" i="27"/>
  <c r="M42" i="27"/>
  <c r="L42" i="27"/>
  <c r="F78" i="27" s="1"/>
  <c r="K42" i="27"/>
  <c r="J42" i="27"/>
  <c r="M41" i="27"/>
  <c r="N77" i="27" s="1"/>
  <c r="L41" i="27"/>
  <c r="K77" i="27" s="1"/>
  <c r="K41" i="27"/>
  <c r="J41" i="27"/>
  <c r="M40" i="27"/>
  <c r="N76" i="27" s="1"/>
  <c r="L40" i="27"/>
  <c r="K76" i="27" s="1"/>
  <c r="K40" i="27"/>
  <c r="J40" i="27"/>
  <c r="M39" i="27"/>
  <c r="N75" i="27" s="1"/>
  <c r="K39" i="27"/>
  <c r="M38" i="27"/>
  <c r="N74" i="27" s="1"/>
  <c r="K38" i="27"/>
  <c r="M37" i="27"/>
  <c r="N73" i="27" s="1"/>
  <c r="K37" i="27"/>
  <c r="M36" i="27"/>
  <c r="N72" i="27" s="1"/>
  <c r="K36" i="27"/>
  <c r="M35" i="27"/>
  <c r="N71" i="27" s="1"/>
  <c r="K35" i="27"/>
  <c r="M34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1" i="27"/>
  <c r="M20" i="27"/>
  <c r="N56" i="27" s="1"/>
  <c r="L20" i="27"/>
  <c r="K56" i="27" s="1"/>
  <c r="K20" i="27"/>
  <c r="J20" i="27"/>
  <c r="BN12" i="6"/>
  <c r="BN13" i="6"/>
  <c r="D13" i="27"/>
  <c r="E13" i="27" s="1"/>
  <c r="AW56" i="27"/>
  <c r="AU56" i="27"/>
  <c r="AS56" i="27"/>
  <c r="M79" i="27"/>
  <c r="L79" i="27"/>
  <c r="K79" i="27"/>
  <c r="J79" i="27"/>
  <c r="I79" i="27"/>
  <c r="H79" i="27"/>
  <c r="G79" i="27"/>
  <c r="F79" i="27"/>
  <c r="E79" i="27"/>
  <c r="D79" i="27"/>
  <c r="C79" i="27"/>
  <c r="A62" i="27"/>
  <c r="AF62" i="27"/>
  <c r="AF56" i="27"/>
  <c r="N79" i="27"/>
  <c r="N78" i="27"/>
  <c r="N34" i="27"/>
  <c r="O70" i="27" s="1"/>
  <c r="N35" i="27"/>
  <c r="O71" i="27" s="1"/>
  <c r="N36" i="27"/>
  <c r="O72" i="27" s="1"/>
  <c r="N37" i="27"/>
  <c r="O73" i="27" s="1"/>
  <c r="J4" i="19"/>
  <c r="I4" i="19"/>
  <c r="BO14" i="6"/>
  <c r="BO13" i="6"/>
  <c r="BP13" i="6" s="1"/>
  <c r="BO12" i="6"/>
  <c r="N39" i="27"/>
  <c r="O75" i="27" s="1"/>
  <c r="N38" i="27"/>
  <c r="O74" i="27" s="1"/>
  <c r="N33" i="27"/>
  <c r="O69" i="27" s="1"/>
  <c r="N32" i="27"/>
  <c r="O68" i="27" s="1"/>
  <c r="N22" i="27"/>
  <c r="O58" i="27" s="1"/>
  <c r="N23" i="27"/>
  <c r="O59" i="27" s="1"/>
  <c r="N24" i="27"/>
  <c r="O60" i="27" s="1"/>
  <c r="N25" i="27"/>
  <c r="O61" i="27" s="1"/>
  <c r="N26" i="27"/>
  <c r="O62" i="27" s="1"/>
  <c r="N27" i="27"/>
  <c r="O63" i="27" s="1"/>
  <c r="N28" i="27"/>
  <c r="O64" i="27" s="1"/>
  <c r="N29" i="27"/>
  <c r="O65" i="27" s="1"/>
  <c r="N30" i="27"/>
  <c r="O66" i="27" s="1"/>
  <c r="N31" i="27"/>
  <c r="O67" i="27" s="1"/>
  <c r="N14" i="27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F71" i="27"/>
  <c r="A71" i="27"/>
  <c r="A70" i="27"/>
  <c r="A69" i="27"/>
  <c r="AF68" i="27"/>
  <c r="A68" i="27"/>
  <c r="A67" i="27"/>
  <c r="A66" i="27"/>
  <c r="A65" i="27"/>
  <c r="A64" i="27"/>
  <c r="A63" i="27"/>
  <c r="A61" i="27"/>
  <c r="A60" i="27"/>
  <c r="A59" i="27"/>
  <c r="A58" i="27"/>
  <c r="AF57" i="27"/>
  <c r="A57" i="27"/>
  <c r="A56" i="27"/>
  <c r="V55" i="27"/>
  <c r="I55" i="27"/>
  <c r="G55" i="27"/>
  <c r="AA54" i="27"/>
  <c r="O54" i="27"/>
  <c r="A54" i="27"/>
  <c r="H53" i="27"/>
  <c r="N43" i="27"/>
  <c r="O79" i="27" s="1"/>
  <c r="N42" i="27"/>
  <c r="O78" i="27" s="1"/>
  <c r="N41" i="27"/>
  <c r="O77" i="27"/>
  <c r="N40" i="27"/>
  <c r="O76" i="27"/>
  <c r="N21" i="27"/>
  <c r="O57" i="27" s="1"/>
  <c r="N20" i="27"/>
  <c r="O56" i="27"/>
  <c r="N19" i="27"/>
  <c r="N18" i="27"/>
  <c r="N17" i="27"/>
  <c r="N16" i="27"/>
  <c r="L12" i="27"/>
  <c r="H12" i="27"/>
  <c r="F12" i="27" s="1"/>
  <c r="L11" i="27"/>
  <c r="H11" i="27"/>
  <c r="G11" i="27" s="1"/>
  <c r="L10" i="27"/>
  <c r="H10" i="27"/>
  <c r="F10" i="27" s="1"/>
  <c r="C6" i="27"/>
  <c r="B6" i="27"/>
  <c r="N5" i="27"/>
  <c r="D5" i="27"/>
  <c r="F5" i="27"/>
  <c r="C6" i="19" s="1"/>
  <c r="J3" i="27"/>
  <c r="I20" i="27" s="1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P4" i="6"/>
  <c r="AO12" i="6"/>
  <c r="AN12" i="6"/>
  <c r="AM12" i="6"/>
  <c r="AM17" i="6"/>
  <c r="AM21" i="6"/>
  <c r="AL12" i="6"/>
  <c r="AK12" i="6"/>
  <c r="AJ12" i="6"/>
  <c r="AJ17" i="6"/>
  <c r="AI12" i="6"/>
  <c r="AH12" i="6"/>
  <c r="AG12" i="6"/>
  <c r="AF12" i="6"/>
  <c r="AE19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U12" i="6"/>
  <c r="T12" i="6"/>
  <c r="Q28" i="6"/>
  <c r="S12" i="6"/>
  <c r="R12" i="6"/>
  <c r="Q12" i="6"/>
  <c r="P12" i="6"/>
  <c r="O19" i="6"/>
  <c r="O12" i="6"/>
  <c r="N12" i="6"/>
  <c r="N17" i="6"/>
  <c r="M12" i="6"/>
  <c r="L12" i="6"/>
  <c r="AM13" i="6"/>
  <c r="Z44" i="6" s="1"/>
  <c r="M3" i="6"/>
  <c r="AL13" i="6"/>
  <c r="AL18" i="6" s="1"/>
  <c r="AK13" i="6"/>
  <c r="AL16" i="6" s="1"/>
  <c r="AJ13" i="6"/>
  <c r="AJ18" i="6" s="1"/>
  <c r="AI13" i="6"/>
  <c r="E316" i="6" s="1"/>
  <c r="AH13" i="6"/>
  <c r="AG20" i="6" s="1"/>
  <c r="AG13" i="6"/>
  <c r="AF20" i="6" s="1"/>
  <c r="AF13" i="6"/>
  <c r="AE20" i="6" s="1"/>
  <c r="AE13" i="6"/>
  <c r="E260" i="6" s="1"/>
  <c r="AD13" i="6"/>
  <c r="AD18" i="6" s="1"/>
  <c r="AC13" i="6"/>
  <c r="U44" i="6" s="1"/>
  <c r="AB13" i="6"/>
  <c r="AB18" i="6" s="1"/>
  <c r="AA13" i="6"/>
  <c r="AB16" i="6" s="1"/>
  <c r="Z13" i="6"/>
  <c r="E190" i="6" s="1"/>
  <c r="Y13" i="6"/>
  <c r="Y18" i="6" s="1"/>
  <c r="X13" i="6"/>
  <c r="E162" i="6" s="1"/>
  <c r="W13" i="6"/>
  <c r="X16" i="6" s="1"/>
  <c r="V13" i="6"/>
  <c r="W16" i="6" s="1"/>
  <c r="U13" i="6"/>
  <c r="T20" i="6" s="1"/>
  <c r="T13" i="6"/>
  <c r="Q29" i="6" s="1"/>
  <c r="S13" i="6"/>
  <c r="T16" i="6" s="1"/>
  <c r="R13" i="6"/>
  <c r="P29" i="6" s="1"/>
  <c r="Q13" i="6"/>
  <c r="Q18" i="6" s="1"/>
  <c r="P13" i="6"/>
  <c r="E50" i="6" s="1"/>
  <c r="O13" i="6"/>
  <c r="P16" i="6" s="1"/>
  <c r="N13" i="6"/>
  <c r="N18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Y14" i="1" s="1"/>
  <c r="G3" i="1"/>
  <c r="AF10" i="7" s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E13" i="7" s="1"/>
  <c r="C11" i="7"/>
  <c r="Q11" i="1" s="1"/>
  <c r="L11" i="1"/>
  <c r="AE12" i="1"/>
  <c r="I380" i="1"/>
  <c r="H9" i="16"/>
  <c r="B13" i="19" s="1"/>
  <c r="H9" i="15"/>
  <c r="B12" i="19" s="1"/>
  <c r="H9" i="1"/>
  <c r="B11" i="19" s="1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 s="1"/>
  <c r="T1" i="7"/>
  <c r="B381" i="1"/>
  <c r="B382" i="1"/>
  <c r="B383" i="1"/>
  <c r="J381" i="1"/>
  <c r="J382" i="1"/>
  <c r="J383" i="1"/>
  <c r="Q12" i="1"/>
  <c r="C15" i="7" s="1"/>
  <c r="I15" i="1"/>
  <c r="Z43" i="6"/>
  <c r="Y49" i="6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W22" i="6"/>
  <c r="V19" i="6"/>
  <c r="AA17" i="6"/>
  <c r="Z19" i="6"/>
  <c r="AB15" i="6"/>
  <c r="T43" i="6"/>
  <c r="S49" i="6"/>
  <c r="AD15" i="6"/>
  <c r="AD21" i="6"/>
  <c r="AD19" i="6"/>
  <c r="AE17" i="6"/>
  <c r="AE22" i="6"/>
  <c r="X28" i="6"/>
  <c r="AK19" i="6"/>
  <c r="Z28" i="6"/>
  <c r="AM15" i="6"/>
  <c r="AL17" i="6"/>
  <c r="AN17" i="6"/>
  <c r="R43" i="6"/>
  <c r="U45" i="6"/>
  <c r="T47" i="6"/>
  <c r="P49" i="6"/>
  <c r="N28" i="6"/>
  <c r="X17" i="6"/>
  <c r="W19" i="6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BR5" i="6"/>
  <c r="F190" i="6"/>
  <c r="H190" i="6"/>
  <c r="Z22" i="6"/>
  <c r="N32" i="6"/>
  <c r="O30" i="6"/>
  <c r="M34" i="6"/>
  <c r="N21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BR7" i="6"/>
  <c r="BR10" i="6"/>
  <c r="BR8" i="6"/>
  <c r="R30" i="6"/>
  <c r="P34" i="6"/>
  <c r="Q32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X32" i="6"/>
  <c r="L43" i="6"/>
  <c r="M45" i="6"/>
  <c r="N45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T36" i="6"/>
  <c r="R34" i="6"/>
  <c r="S32" i="6"/>
  <c r="AA15" i="6"/>
  <c r="AA21" i="6"/>
  <c r="T28" i="6"/>
  <c r="Y19" i="6"/>
  <c r="V28" i="6"/>
  <c r="V32" i="6"/>
  <c r="AD17" i="6"/>
  <c r="AE15" i="6"/>
  <c r="AE21" i="6"/>
  <c r="AC19" i="6"/>
  <c r="W28" i="6"/>
  <c r="AG15" i="6"/>
  <c r="AG21" i="6"/>
  <c r="AI15" i="6"/>
  <c r="AH17" i="6"/>
  <c r="AG19" i="6"/>
  <c r="AI19" i="6"/>
  <c r="Y28" i="6"/>
  <c r="Z30" i="6"/>
  <c r="AK15" i="6"/>
  <c r="Y43" i="6"/>
  <c r="AL15" i="6"/>
  <c r="AL21" i="6"/>
  <c r="Y32" i="6"/>
  <c r="Y37" i="6"/>
  <c r="X34" i="6"/>
  <c r="X37" i="6"/>
  <c r="W30" i="6"/>
  <c r="U34" i="6"/>
  <c r="U37" i="6"/>
  <c r="U30" i="6"/>
  <c r="U36" i="6"/>
  <c r="S34" i="6"/>
  <c r="T32" i="6"/>
  <c r="S37" i="6"/>
  <c r="T22" i="6"/>
  <c r="P22" i="6"/>
  <c r="P30" i="6"/>
  <c r="G288" i="6"/>
  <c r="AD22" i="6"/>
  <c r="S30" i="6"/>
  <c r="S36" i="6"/>
  <c r="Q34" i="6"/>
  <c r="Q37" i="6"/>
  <c r="R32" i="6"/>
  <c r="R37" i="6"/>
  <c r="N30" i="6"/>
  <c r="N36" i="6"/>
  <c r="M32" i="6"/>
  <c r="M37" i="6"/>
  <c r="L28" i="6"/>
  <c r="M30" i="6"/>
  <c r="Y36" i="6"/>
  <c r="R36" i="6"/>
  <c r="T37" i="6"/>
  <c r="AP338" i="6"/>
  <c r="AR338" i="6"/>
  <c r="AQ318" i="6"/>
  <c r="AP349" i="6"/>
  <c r="AR349" i="6"/>
  <c r="AP321" i="6"/>
  <c r="AR321" i="6"/>
  <c r="AQ321" i="6"/>
  <c r="AP347" i="6"/>
  <c r="AR347" i="6"/>
  <c r="AQ344" i="6"/>
  <c r="AP350" i="6"/>
  <c r="AR350" i="6"/>
  <c r="AP314" i="6"/>
  <c r="AR314" i="6"/>
  <c r="AP334" i="6"/>
  <c r="AR334" i="6"/>
  <c r="AQ334" i="6"/>
  <c r="AP303" i="6"/>
  <c r="AR303" i="6"/>
  <c r="AP302" i="6"/>
  <c r="AR302" i="6"/>
  <c r="AQ331" i="6"/>
  <c r="AP324" i="6"/>
  <c r="AR324" i="6"/>
  <c r="AQ319" i="6"/>
  <c r="AQ348" i="6"/>
  <c r="AP331" i="6"/>
  <c r="AR331" i="6"/>
  <c r="AS331" i="6"/>
  <c r="AP328" i="6"/>
  <c r="AR328" i="6"/>
  <c r="AP306" i="6"/>
  <c r="AR306" i="6"/>
  <c r="AQ302" i="6"/>
  <c r="AQ326" i="6"/>
  <c r="AP340" i="6"/>
  <c r="AR340" i="6"/>
  <c r="AP335" i="6"/>
  <c r="AR335" i="6"/>
  <c r="AS335" i="6"/>
  <c r="AQ310" i="6"/>
  <c r="AQ338" i="6"/>
  <c r="AQ332" i="6"/>
  <c r="AP354" i="6"/>
  <c r="AR354" i="6"/>
  <c r="AP342" i="6"/>
  <c r="AR342" i="6"/>
  <c r="AQ314" i="6"/>
  <c r="AP355" i="6"/>
  <c r="AR355" i="6"/>
  <c r="AQ345" i="6"/>
  <c r="AQ306" i="6"/>
  <c r="AQ354" i="6"/>
  <c r="AP357" i="6"/>
  <c r="AR357" i="6"/>
  <c r="AP337" i="6"/>
  <c r="AR337" i="6"/>
  <c r="AP309" i="6"/>
  <c r="AR309" i="6"/>
  <c r="AQ343" i="6"/>
  <c r="AQ350" i="6"/>
  <c r="AQ303" i="6"/>
  <c r="AQ323" i="6"/>
  <c r="AP322" i="6"/>
  <c r="AR322" i="6"/>
  <c r="AP356" i="6"/>
  <c r="AR356" i="6"/>
  <c r="AQ341" i="6"/>
  <c r="AQ190" i="6"/>
  <c r="AP190" i="6"/>
  <c r="AR190" i="6"/>
  <c r="AS190" i="6"/>
  <c r="AQ198" i="6"/>
  <c r="AQ245" i="6"/>
  <c r="AP225" i="6"/>
  <c r="AR225" i="6"/>
  <c r="AQ199" i="6"/>
  <c r="AP230" i="6"/>
  <c r="AR230" i="6"/>
  <c r="AQ192" i="6"/>
  <c r="AQ222" i="6"/>
  <c r="AP204" i="6"/>
  <c r="AR204" i="6"/>
  <c r="AQ227" i="6"/>
  <c r="AP233" i="6"/>
  <c r="AR233" i="6"/>
  <c r="AP226" i="6"/>
  <c r="AR226" i="6"/>
  <c r="AP191" i="6"/>
  <c r="AR191" i="6"/>
  <c r="AQ210" i="6"/>
  <c r="AQ206" i="6"/>
  <c r="AS206" i="6"/>
  <c r="AP221" i="6"/>
  <c r="AR221" i="6"/>
  <c r="AP219" i="6"/>
  <c r="AR219" i="6"/>
  <c r="AS219" i="6"/>
  <c r="AQ234" i="6"/>
  <c r="AQ237" i="6"/>
  <c r="AS237" i="6"/>
  <c r="AQ194" i="6"/>
  <c r="AQ236" i="6"/>
  <c r="AQ201" i="6"/>
  <c r="AQ191" i="6"/>
  <c r="AP223" i="6"/>
  <c r="AR223" i="6"/>
  <c r="AP205" i="6"/>
  <c r="AR205" i="6"/>
  <c r="AP231" i="6"/>
  <c r="AR231" i="6"/>
  <c r="AP217" i="6"/>
  <c r="AR217" i="6"/>
  <c r="AP229" i="6"/>
  <c r="AR229" i="6"/>
  <c r="AP198" i="6"/>
  <c r="AR198" i="6"/>
  <c r="AQ203" i="6"/>
  <c r="AQ216" i="6"/>
  <c r="AP209" i="6"/>
  <c r="AR209" i="6"/>
  <c r="AQ244" i="6"/>
  <c r="AP216" i="6"/>
  <c r="AR216" i="6"/>
  <c r="AQ197" i="6"/>
  <c r="AQ218" i="6"/>
  <c r="AP228" i="6"/>
  <c r="AR228" i="6"/>
  <c r="AP236" i="6"/>
  <c r="AR236" i="6"/>
  <c r="AP244" i="6"/>
  <c r="AR244" i="6"/>
  <c r="AS244" i="6"/>
  <c r="AP192" i="6"/>
  <c r="AR192" i="6"/>
  <c r="AQ213" i="6"/>
  <c r="AQ224" i="6"/>
  <c r="AP232" i="6"/>
  <c r="AR232" i="6"/>
  <c r="AQ231" i="6"/>
  <c r="AP197" i="6"/>
  <c r="AR197" i="6"/>
  <c r="AS197" i="6"/>
  <c r="AP195" i="6"/>
  <c r="AR195" i="6"/>
  <c r="AP245" i="6"/>
  <c r="AR245" i="6"/>
  <c r="AQ205" i="6"/>
  <c r="AP201" i="6"/>
  <c r="AR201" i="6"/>
  <c r="AS201" i="6"/>
  <c r="AQ243" i="6"/>
  <c r="AQ240" i="6"/>
  <c r="AQ208" i="6"/>
  <c r="AQ204" i="6"/>
  <c r="AQ238" i="6"/>
  <c r="AQ226" i="6"/>
  <c r="AP242" i="6"/>
  <c r="AR242" i="6"/>
  <c r="AP202" i="6"/>
  <c r="AR202" i="6"/>
  <c r="AP206" i="6"/>
  <c r="AR206" i="6"/>
  <c r="AP238" i="6"/>
  <c r="AR238" i="6"/>
  <c r="AS238" i="6"/>
  <c r="AQ200" i="6"/>
  <c r="AQ241" i="6"/>
  <c r="AP196" i="6"/>
  <c r="AR196" i="6"/>
  <c r="AQ233" i="6"/>
  <c r="AQ214" i="6"/>
  <c r="AQ195" i="6"/>
  <c r="AS195" i="6"/>
  <c r="AQ239" i="6"/>
  <c r="AQ217" i="6"/>
  <c r="AQ202" i="6"/>
  <c r="AP227" i="6"/>
  <c r="AR227" i="6"/>
  <c r="AS227" i="6"/>
  <c r="AQ212" i="6"/>
  <c r="AQ207" i="6"/>
  <c r="AS207" i="6"/>
  <c r="AQ235" i="6"/>
  <c r="AQ209" i="6"/>
  <c r="AS209" i="6"/>
  <c r="AQ211" i="6"/>
  <c r="AP224" i="6"/>
  <c r="AR224" i="6"/>
  <c r="AS224" i="6"/>
  <c r="AP222" i="6"/>
  <c r="AR222" i="6"/>
  <c r="AQ229" i="6"/>
  <c r="AQ215" i="6"/>
  <c r="AP240" i="6"/>
  <c r="AR240" i="6"/>
  <c r="AQ230" i="6"/>
  <c r="AP215" i="6"/>
  <c r="AR215" i="6"/>
  <c r="AS215" i="6"/>
  <c r="AQ223" i="6"/>
  <c r="AP218" i="6"/>
  <c r="AR218" i="6"/>
  <c r="AP194" i="6"/>
  <c r="AR194" i="6"/>
  <c r="AS194" i="6"/>
  <c r="AP234" i="6"/>
  <c r="AR234" i="6"/>
  <c r="AS234" i="6"/>
  <c r="AQ232" i="6"/>
  <c r="AP208" i="6"/>
  <c r="AR208" i="6"/>
  <c r="AP207" i="6"/>
  <c r="AR207" i="6"/>
  <c r="AP211" i="6"/>
  <c r="AR211" i="6"/>
  <c r="AS211" i="6"/>
  <c r="AQ221" i="6"/>
  <c r="AP214" i="6"/>
  <c r="AR214" i="6"/>
  <c r="AS214" i="6"/>
  <c r="AQ193" i="6"/>
  <c r="AP203" i="6"/>
  <c r="AR203" i="6"/>
  <c r="AS203" i="6"/>
  <c r="AP213" i="6"/>
  <c r="AR213" i="6"/>
  <c r="AQ242" i="6"/>
  <c r="AS242" i="6"/>
  <c r="AP243" i="6"/>
  <c r="AR243" i="6"/>
  <c r="AS243" i="6"/>
  <c r="AP241" i="6"/>
  <c r="AR241" i="6"/>
  <c r="AS241" i="6"/>
  <c r="AQ225" i="6"/>
  <c r="AP239" i="6"/>
  <c r="AR239" i="6"/>
  <c r="AS239" i="6"/>
  <c r="AP193" i="6"/>
  <c r="AR193" i="6"/>
  <c r="AS193" i="6"/>
  <c r="AP212" i="6"/>
  <c r="AR212" i="6"/>
  <c r="AS212" i="6"/>
  <c r="AQ220" i="6"/>
  <c r="AQ196" i="6"/>
  <c r="AS196" i="6"/>
  <c r="AP237" i="6"/>
  <c r="AR237" i="6"/>
  <c r="AQ228" i="6"/>
  <c r="AP220" i="6"/>
  <c r="AR220" i="6"/>
  <c r="AP235" i="6"/>
  <c r="AR235" i="6"/>
  <c r="AS235" i="6"/>
  <c r="AQ219" i="6"/>
  <c r="AP210" i="6"/>
  <c r="AR210" i="6"/>
  <c r="AS210" i="6"/>
  <c r="AP200" i="6"/>
  <c r="AR200" i="6"/>
  <c r="AP199" i="6"/>
  <c r="AR199" i="6"/>
  <c r="AS199" i="6"/>
  <c r="M36" i="6"/>
  <c r="W55" i="27"/>
  <c r="G12" i="27"/>
  <c r="BP14" i="6"/>
  <c r="AF63" i="27"/>
  <c r="AF70" i="27"/>
  <c r="AF65" i="27"/>
  <c r="BW15" i="7"/>
  <c r="W36" i="6"/>
  <c r="Y47" i="6"/>
  <c r="Y52" i="6"/>
  <c r="Z45" i="6"/>
  <c r="Z51" i="6"/>
  <c r="AQ304" i="6"/>
  <c r="AQ337" i="6"/>
  <c r="AP352" i="6"/>
  <c r="AR352" i="6"/>
  <c r="AQ340" i="6"/>
  <c r="AS340" i="6"/>
  <c r="AQ308" i="6"/>
  <c r="AQ305" i="6"/>
  <c r="AP353" i="6"/>
  <c r="AR353" i="6"/>
  <c r="AQ320" i="6"/>
  <c r="AQ327" i="6"/>
  <c r="AP330" i="6"/>
  <c r="AR330" i="6"/>
  <c r="AQ336" i="6"/>
  <c r="AP308" i="6"/>
  <c r="AR308" i="6"/>
  <c r="AP343" i="6"/>
  <c r="AR343" i="6"/>
  <c r="AQ356" i="6"/>
  <c r="AS356" i="6"/>
  <c r="AQ352" i="6"/>
  <c r="AQ351" i="6"/>
  <c r="AQ324" i="6"/>
  <c r="AS324" i="6"/>
  <c r="AQ335" i="6"/>
  <c r="AQ339" i="6"/>
  <c r="AQ329" i="6"/>
  <c r="AQ349" i="6"/>
  <c r="AQ307" i="6"/>
  <c r="AP316" i="6"/>
  <c r="AR316" i="6"/>
  <c r="AP320" i="6"/>
  <c r="AR320" i="6"/>
  <c r="AS320" i="6"/>
  <c r="AQ333" i="6"/>
  <c r="AQ357" i="6"/>
  <c r="AS357" i="6"/>
  <c r="AP317" i="6"/>
  <c r="AR317" i="6"/>
  <c r="AQ313" i="6"/>
  <c r="Z36" i="6"/>
  <c r="AP345" i="6"/>
  <c r="AR345" i="6"/>
  <c r="AQ353" i="6"/>
  <c r="AQ316" i="6"/>
  <c r="AP304" i="6"/>
  <c r="AR304" i="6"/>
  <c r="AP312" i="6"/>
  <c r="AR312" i="6"/>
  <c r="AP319" i="6"/>
  <c r="AR319" i="6"/>
  <c r="AQ317" i="6"/>
  <c r="AQ325" i="6"/>
  <c r="AP351" i="6"/>
  <c r="AR351" i="6"/>
  <c r="AQ309" i="6"/>
  <c r="AS309" i="6"/>
  <c r="AP341" i="6"/>
  <c r="AR341" i="6"/>
  <c r="AP318" i="6"/>
  <c r="AR318" i="6"/>
  <c r="AP332" i="6"/>
  <c r="AR332" i="6"/>
  <c r="AS332" i="6"/>
  <c r="AP305" i="6"/>
  <c r="AR305" i="6"/>
  <c r="AP344" i="6"/>
  <c r="AR344" i="6"/>
  <c r="AS344" i="6"/>
  <c r="AQ330" i="6"/>
  <c r="AP348" i="6"/>
  <c r="AR348" i="6"/>
  <c r="AS348" i="6"/>
  <c r="AP315" i="6"/>
  <c r="AR315" i="6"/>
  <c r="AP346" i="6"/>
  <c r="AR346" i="6"/>
  <c r="AP336" i="6"/>
  <c r="AR336" i="6"/>
  <c r="AQ322" i="6"/>
  <c r="AP323" i="6"/>
  <c r="AR323" i="6"/>
  <c r="AS323" i="6"/>
  <c r="AQ347" i="6"/>
  <c r="AP313" i="6"/>
  <c r="AR313" i="6"/>
  <c r="AS313" i="6"/>
  <c r="AP325" i="6"/>
  <c r="AR325" i="6"/>
  <c r="AQ328" i="6"/>
  <c r="AS328" i="6"/>
  <c r="AQ346" i="6"/>
  <c r="AP329" i="6"/>
  <c r="AR329" i="6"/>
  <c r="AS329" i="6"/>
  <c r="AQ355" i="6"/>
  <c r="AS355" i="6"/>
  <c r="AP327" i="6"/>
  <c r="AR327" i="6"/>
  <c r="AQ315" i="6"/>
  <c r="AP310" i="6"/>
  <c r="AR310" i="6"/>
  <c r="AS310" i="6"/>
  <c r="AQ311" i="6"/>
  <c r="AP339" i="6"/>
  <c r="AR339" i="6"/>
  <c r="AP333" i="6"/>
  <c r="AR333" i="6"/>
  <c r="AP307" i="6"/>
  <c r="AR307" i="6"/>
  <c r="AS307" i="6"/>
  <c r="AQ312" i="6"/>
  <c r="AP326" i="6"/>
  <c r="AR326" i="6"/>
  <c r="AQ342" i="6"/>
  <c r="AS342" i="6"/>
  <c r="AP311" i="6"/>
  <c r="AR311" i="6"/>
  <c r="X49" i="6"/>
  <c r="W32" i="6"/>
  <c r="X30" i="6"/>
  <c r="X36" i="6"/>
  <c r="V34" i="6"/>
  <c r="V37" i="6"/>
  <c r="Q30" i="6"/>
  <c r="Q36" i="6"/>
  <c r="P32" i="6"/>
  <c r="O34" i="6"/>
  <c r="O32" i="6"/>
  <c r="N34" i="6"/>
  <c r="N37" i="6"/>
  <c r="M51" i="6"/>
  <c r="V36" i="6"/>
  <c r="S45" i="6"/>
  <c r="Q49" i="6"/>
  <c r="R47" i="6"/>
  <c r="F288" i="6"/>
  <c r="H288" i="6"/>
  <c r="AG22" i="6"/>
  <c r="V49" i="6"/>
  <c r="W47" i="6"/>
  <c r="N47" i="6"/>
  <c r="O45" i="6"/>
  <c r="M49" i="6"/>
  <c r="M52" i="6"/>
  <c r="W15" i="6"/>
  <c r="W21" i="6"/>
  <c r="V17" i="6"/>
  <c r="S43" i="6"/>
  <c r="Z15" i="6"/>
  <c r="Z21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Q52" i="6"/>
  <c r="R45" i="6"/>
  <c r="R51" i="6"/>
  <c r="O43" i="6"/>
  <c r="R15" i="6"/>
  <c r="R21" i="6"/>
  <c r="P43" i="6"/>
  <c r="T15" i="6"/>
  <c r="T21" i="6"/>
  <c r="R19" i="6"/>
  <c r="R22" i="6"/>
  <c r="S17" i="6"/>
  <c r="O22" i="6"/>
  <c r="AN22" i="6"/>
  <c r="P15" i="6"/>
  <c r="P21" i="6"/>
  <c r="N19" i="6"/>
  <c r="N22" i="6"/>
  <c r="F32" i="6"/>
  <c r="H32" i="6"/>
  <c r="G32" i="6"/>
  <c r="F28" i="6"/>
  <c r="H28" i="6"/>
  <c r="F176" i="6"/>
  <c r="H176" i="6"/>
  <c r="G182" i="6"/>
  <c r="G30" i="6"/>
  <c r="F150" i="6"/>
  <c r="H150" i="6"/>
  <c r="F16" i="6"/>
  <c r="H16" i="6"/>
  <c r="G15" i="6"/>
  <c r="F182" i="6"/>
  <c r="H182" i="6"/>
  <c r="I182" i="6"/>
  <c r="F145" i="6"/>
  <c r="H145" i="6"/>
  <c r="G139" i="6"/>
  <c r="F26" i="6"/>
  <c r="H26" i="6"/>
  <c r="AB19" i="6"/>
  <c r="AB22" i="6"/>
  <c r="AC17" i="6"/>
  <c r="AC21" i="6"/>
  <c r="U43" i="6"/>
  <c r="AF15" i="6"/>
  <c r="AF21" i="6"/>
  <c r="V43" i="6"/>
  <c r="AK17" i="6"/>
  <c r="AJ19" i="6"/>
  <c r="AJ22" i="6"/>
  <c r="AM19" i="6"/>
  <c r="AM22" i="6"/>
  <c r="AA28" i="6"/>
  <c r="BR11" i="6"/>
  <c r="BR6" i="6"/>
  <c r="BR9" i="6"/>
  <c r="AS222" i="6"/>
  <c r="AS230" i="6"/>
  <c r="AS302" i="6"/>
  <c r="AS221" i="6"/>
  <c r="AS200" i="6"/>
  <c r="AS208" i="6"/>
  <c r="AK22" i="6"/>
  <c r="G335" i="6"/>
  <c r="G333" i="6"/>
  <c r="F370" i="6"/>
  <c r="H370" i="6"/>
  <c r="F325" i="6"/>
  <c r="H325" i="6"/>
  <c r="F355" i="6"/>
  <c r="H355" i="6"/>
  <c r="G363" i="6"/>
  <c r="F346" i="6"/>
  <c r="H346" i="6"/>
  <c r="G328" i="6"/>
  <c r="F374" i="6"/>
  <c r="H374" i="6"/>
  <c r="G342" i="6"/>
  <c r="F339" i="6"/>
  <c r="H339" i="6"/>
  <c r="G326" i="6"/>
  <c r="F341" i="6"/>
  <c r="H341" i="6"/>
  <c r="G343" i="6"/>
  <c r="G327" i="6"/>
  <c r="AK21" i="6"/>
  <c r="F302" i="6"/>
  <c r="H302" i="6"/>
  <c r="G305" i="6"/>
  <c r="G299" i="6"/>
  <c r="G307" i="6"/>
  <c r="G289" i="6"/>
  <c r="F309" i="6"/>
  <c r="H309" i="6"/>
  <c r="F313" i="6"/>
  <c r="H313" i="6"/>
  <c r="F315" i="6"/>
  <c r="H315" i="6"/>
  <c r="G302" i="6"/>
  <c r="G295" i="6"/>
  <c r="G312" i="6"/>
  <c r="G300" i="6"/>
  <c r="G331" i="6"/>
  <c r="F334" i="6"/>
  <c r="H334" i="6"/>
  <c r="F318" i="6"/>
  <c r="H318" i="6"/>
  <c r="F316" i="6"/>
  <c r="H316" i="6"/>
  <c r="F289" i="6"/>
  <c r="H289" i="6"/>
  <c r="I289" i="6"/>
  <c r="F298" i="6"/>
  <c r="H298" i="6"/>
  <c r="F292" i="6"/>
  <c r="H292" i="6"/>
  <c r="G297" i="6"/>
  <c r="G314" i="6"/>
  <c r="G306" i="6"/>
  <c r="F294" i="6"/>
  <c r="H294" i="6"/>
  <c r="F342" i="6"/>
  <c r="H342" i="6"/>
  <c r="G341" i="6"/>
  <c r="F323" i="6"/>
  <c r="H323" i="6"/>
  <c r="G292" i="6"/>
  <c r="G294" i="6"/>
  <c r="F293" i="6"/>
  <c r="H293" i="6"/>
  <c r="F296" i="6"/>
  <c r="H296" i="6"/>
  <c r="G301" i="6"/>
  <c r="F299" i="6"/>
  <c r="H299" i="6"/>
  <c r="G303" i="6"/>
  <c r="V47" i="6"/>
  <c r="V52" i="6"/>
  <c r="W45" i="6"/>
  <c r="W51" i="6"/>
  <c r="U49" i="6"/>
  <c r="T49" i="6"/>
  <c r="T52" i="6"/>
  <c r="V45" i="6"/>
  <c r="V51" i="6"/>
  <c r="U47" i="6"/>
  <c r="F329" i="6"/>
  <c r="H329" i="6"/>
  <c r="G323" i="6"/>
  <c r="P47" i="6"/>
  <c r="O49" i="6"/>
  <c r="Q45" i="6"/>
  <c r="Q51" i="6"/>
  <c r="O47" i="6"/>
  <c r="O52" i="6"/>
  <c r="P45" i="6"/>
  <c r="P51" i="6"/>
  <c r="N49" i="6"/>
  <c r="AI22" i="6"/>
  <c r="AI21" i="6"/>
  <c r="S47" i="6"/>
  <c r="S52" i="6"/>
  <c r="T45" i="6"/>
  <c r="T51" i="6"/>
  <c r="R49" i="6"/>
  <c r="N52" i="6"/>
  <c r="F371" i="6"/>
  <c r="H371" i="6"/>
  <c r="F366" i="6"/>
  <c r="H366" i="6"/>
  <c r="F319" i="6"/>
  <c r="H319" i="6"/>
  <c r="G224" i="6"/>
  <c r="G368" i="6"/>
  <c r="F220" i="6"/>
  <c r="H220" i="6"/>
  <c r="G332" i="6"/>
  <c r="F338" i="6"/>
  <c r="H338" i="6"/>
  <c r="G338" i="6"/>
  <c r="G318" i="6"/>
  <c r="G340" i="6"/>
  <c r="F332" i="6"/>
  <c r="H332" i="6"/>
  <c r="I332" i="6"/>
  <c r="G275" i="6"/>
  <c r="F286" i="6"/>
  <c r="H286" i="6"/>
  <c r="F276" i="6"/>
  <c r="H276" i="6"/>
  <c r="F281" i="6"/>
  <c r="H281" i="6"/>
  <c r="G285" i="6"/>
  <c r="G287" i="6"/>
  <c r="G269" i="6"/>
  <c r="F277" i="6"/>
  <c r="H277" i="6"/>
  <c r="F273" i="6"/>
  <c r="H273" i="6"/>
  <c r="G279" i="6"/>
  <c r="G265" i="6"/>
  <c r="G274" i="6"/>
  <c r="F282" i="6"/>
  <c r="H282" i="6"/>
  <c r="G272" i="6"/>
  <c r="G290" i="6"/>
  <c r="G304" i="6"/>
  <c r="F304" i="6"/>
  <c r="H304" i="6"/>
  <c r="G308" i="6"/>
  <c r="F314" i="6"/>
  <c r="H314" i="6"/>
  <c r="I314" i="6"/>
  <c r="G310" i="6"/>
  <c r="G298" i="6"/>
  <c r="F310" i="6"/>
  <c r="H310" i="6"/>
  <c r="I310" i="6"/>
  <c r="F297" i="6"/>
  <c r="H297" i="6"/>
  <c r="F307" i="6"/>
  <c r="H307" i="6"/>
  <c r="G313" i="6"/>
  <c r="F295" i="6"/>
  <c r="H295" i="6"/>
  <c r="F311" i="6"/>
  <c r="H311" i="6"/>
  <c r="F258" i="6"/>
  <c r="H258" i="6"/>
  <c r="F234" i="6"/>
  <c r="H234" i="6"/>
  <c r="G256" i="6"/>
  <c r="F247" i="6"/>
  <c r="H247" i="6"/>
  <c r="F236" i="6"/>
  <c r="H236" i="6"/>
  <c r="G251" i="6"/>
  <c r="G238" i="6"/>
  <c r="G237" i="6"/>
  <c r="G249" i="6"/>
  <c r="G242" i="6"/>
  <c r="F250" i="6"/>
  <c r="H250" i="6"/>
  <c r="F243" i="6"/>
  <c r="H243" i="6"/>
  <c r="G245" i="6"/>
  <c r="F232" i="6"/>
  <c r="H232" i="6"/>
  <c r="F290" i="6"/>
  <c r="H290" i="6"/>
  <c r="F305" i="6"/>
  <c r="H305" i="6"/>
  <c r="F213" i="6"/>
  <c r="H213" i="6"/>
  <c r="F230" i="6"/>
  <c r="H230" i="6"/>
  <c r="G374" i="6"/>
  <c r="I374" i="6"/>
  <c r="G352" i="6"/>
  <c r="G231" i="6"/>
  <c r="F226" i="6"/>
  <c r="H226" i="6"/>
  <c r="G376" i="6"/>
  <c r="G321" i="6"/>
  <c r="G354" i="6"/>
  <c r="G320" i="6"/>
  <c r="F193" i="6"/>
  <c r="H193" i="6"/>
  <c r="G214" i="6"/>
  <c r="F224" i="6"/>
  <c r="H224" i="6"/>
  <c r="F229" i="6"/>
  <c r="H229" i="6"/>
  <c r="G229" i="6"/>
  <c r="G198" i="6"/>
  <c r="G373" i="6"/>
  <c r="F351" i="6"/>
  <c r="H351" i="6"/>
  <c r="G350" i="6"/>
  <c r="G353" i="6"/>
  <c r="F216" i="6"/>
  <c r="H216" i="6"/>
  <c r="F222" i="6"/>
  <c r="H222" i="6"/>
  <c r="G212" i="6"/>
  <c r="G197" i="6"/>
  <c r="F376" i="6"/>
  <c r="H376" i="6"/>
  <c r="I376" i="6"/>
  <c r="F337" i="6"/>
  <c r="H337" i="6"/>
  <c r="F354" i="6"/>
  <c r="H354" i="6"/>
  <c r="I354" i="6"/>
  <c r="G370" i="6"/>
  <c r="G356" i="6"/>
  <c r="F373" i="6"/>
  <c r="H373" i="6"/>
  <c r="G322" i="6"/>
  <c r="F353" i="6"/>
  <c r="H353" i="6"/>
  <c r="I353" i="6"/>
  <c r="F367" i="6"/>
  <c r="H367" i="6"/>
  <c r="F361" i="6"/>
  <c r="H361" i="6"/>
  <c r="F192" i="6"/>
  <c r="H192" i="6"/>
  <c r="F215" i="6"/>
  <c r="H215" i="6"/>
  <c r="G216" i="6"/>
  <c r="G228" i="6"/>
  <c r="G220" i="6"/>
  <c r="G213" i="6"/>
  <c r="F227" i="6"/>
  <c r="H227" i="6"/>
  <c r="F211" i="6"/>
  <c r="H211" i="6"/>
  <c r="F203" i="6"/>
  <c r="H203" i="6"/>
  <c r="G372" i="6"/>
  <c r="G377" i="6"/>
  <c r="F330" i="6"/>
  <c r="H330" i="6"/>
  <c r="G365" i="6"/>
  <c r="F369" i="6"/>
  <c r="H369" i="6"/>
  <c r="F347" i="6"/>
  <c r="H347" i="6"/>
  <c r="G361" i="6"/>
  <c r="F225" i="6"/>
  <c r="H225" i="6"/>
  <c r="F194" i="6"/>
  <c r="H194" i="6"/>
  <c r="G217" i="6"/>
  <c r="G207" i="6"/>
  <c r="F228" i="6"/>
  <c r="H228" i="6"/>
  <c r="G215" i="6"/>
  <c r="G227" i="6"/>
  <c r="G194" i="6"/>
  <c r="G202" i="6"/>
  <c r="G380" i="6"/>
  <c r="F326" i="6"/>
  <c r="H326" i="6"/>
  <c r="I326" i="6"/>
  <c r="G334" i="6"/>
  <c r="F363" i="6"/>
  <c r="H363" i="6"/>
  <c r="G362" i="6"/>
  <c r="G367" i="6"/>
  <c r="G359" i="6"/>
  <c r="F368" i="6"/>
  <c r="H368" i="6"/>
  <c r="I368" i="6"/>
  <c r="G371" i="6"/>
  <c r="F197" i="6"/>
  <c r="H197" i="6"/>
  <c r="G199" i="6"/>
  <c r="F336" i="6"/>
  <c r="H336" i="6"/>
  <c r="F331" i="6"/>
  <c r="H331" i="6"/>
  <c r="F345" i="6"/>
  <c r="H345" i="6"/>
  <c r="G355" i="6"/>
  <c r="F356" i="6"/>
  <c r="H356" i="6"/>
  <c r="G192" i="6"/>
  <c r="F195" i="6"/>
  <c r="H195" i="6"/>
  <c r="F199" i="6"/>
  <c r="H199" i="6"/>
  <c r="F321" i="6"/>
  <c r="H321" i="6"/>
  <c r="G337" i="6"/>
  <c r="Y21" i="6"/>
  <c r="O37" i="6"/>
  <c r="O36" i="6"/>
  <c r="AQ179" i="6"/>
  <c r="AP171" i="6"/>
  <c r="AR171" i="6"/>
  <c r="AQ125" i="6"/>
  <c r="AP82" i="6"/>
  <c r="AR82" i="6"/>
  <c r="AP64" i="6"/>
  <c r="AR64" i="6"/>
  <c r="AP54" i="6"/>
  <c r="AR54" i="6"/>
  <c r="AQ81" i="6"/>
  <c r="AQ176" i="6"/>
  <c r="AP159" i="6"/>
  <c r="AR159" i="6"/>
  <c r="AP148" i="6"/>
  <c r="AR148" i="6"/>
  <c r="AP43" i="6"/>
  <c r="AR43" i="6"/>
  <c r="AP22" i="6"/>
  <c r="AR22" i="6"/>
  <c r="AP33" i="6"/>
  <c r="AR33" i="6"/>
  <c r="AQ33" i="6"/>
  <c r="AP127" i="6"/>
  <c r="AR127" i="6"/>
  <c r="AP188" i="6"/>
  <c r="AR188" i="6"/>
  <c r="AQ50" i="6"/>
  <c r="AP189" i="6"/>
  <c r="AR189" i="6"/>
  <c r="AP110" i="6"/>
  <c r="AR110" i="6"/>
  <c r="AP80" i="6"/>
  <c r="AR80" i="6"/>
  <c r="AQ95" i="6"/>
  <c r="AP141" i="6"/>
  <c r="AR141" i="6"/>
  <c r="AP119" i="6"/>
  <c r="AR119" i="6"/>
  <c r="AQ122" i="6"/>
  <c r="AQ159" i="6"/>
  <c r="AP74" i="6"/>
  <c r="AR74" i="6"/>
  <c r="AP52" i="6"/>
  <c r="AR52" i="6"/>
  <c r="AP167" i="6"/>
  <c r="AR167" i="6"/>
  <c r="AP138" i="6"/>
  <c r="AR138" i="6"/>
  <c r="AP70" i="6"/>
  <c r="AR70" i="6"/>
  <c r="AQ153" i="6"/>
  <c r="AP101" i="6"/>
  <c r="AR101" i="6"/>
  <c r="AQ45" i="6"/>
  <c r="AQ170" i="6"/>
  <c r="AQ87" i="6"/>
  <c r="AQ98" i="6"/>
  <c r="AP169" i="6"/>
  <c r="AR169" i="6"/>
  <c r="AQ178" i="6"/>
  <c r="AP165" i="6"/>
  <c r="AR165" i="6"/>
  <c r="AP86" i="6"/>
  <c r="AR86" i="6"/>
  <c r="AP72" i="6"/>
  <c r="AR72" i="6"/>
  <c r="AP58" i="6"/>
  <c r="AR58" i="6"/>
  <c r="AQ105" i="6"/>
  <c r="AP61" i="6"/>
  <c r="AR61" i="6"/>
  <c r="AQ22" i="6"/>
  <c r="AQ128" i="6"/>
  <c r="AQ146" i="6"/>
  <c r="AP75" i="6"/>
  <c r="AR75" i="6"/>
  <c r="AQ140" i="6"/>
  <c r="AQ77" i="6"/>
  <c r="AP186" i="6"/>
  <c r="AR186" i="6"/>
  <c r="AQ42" i="6"/>
  <c r="AP77" i="6"/>
  <c r="AR77" i="6"/>
  <c r="AP139" i="6"/>
  <c r="AR139" i="6"/>
  <c r="AQ94" i="6"/>
  <c r="AQ134" i="6"/>
  <c r="AQ30" i="6"/>
  <c r="AP88" i="6"/>
  <c r="AR88" i="6"/>
  <c r="AP62" i="6"/>
  <c r="AR62" i="6"/>
  <c r="AQ113" i="6"/>
  <c r="AQ24" i="6"/>
  <c r="AQ73" i="6"/>
  <c r="AQ164" i="6"/>
  <c r="AQ166" i="6"/>
  <c r="AP116" i="6"/>
  <c r="AR116" i="6"/>
  <c r="AP59" i="6"/>
  <c r="AR59" i="6"/>
  <c r="AQ52" i="6"/>
  <c r="AP37" i="6"/>
  <c r="AR37" i="6"/>
  <c r="AP132" i="6"/>
  <c r="AR132" i="6"/>
  <c r="AP96" i="6"/>
  <c r="AR96" i="6"/>
  <c r="AP79" i="6"/>
  <c r="AR79" i="6"/>
  <c r="AP161" i="6"/>
  <c r="AR161" i="6"/>
  <c r="AP29" i="6"/>
  <c r="AR29" i="6"/>
  <c r="AQ67" i="6"/>
  <c r="AP95" i="6"/>
  <c r="AR95" i="6"/>
  <c r="AS95" i="6"/>
  <c r="AQ85" i="6"/>
  <c r="AP35" i="6"/>
  <c r="AR35" i="6"/>
  <c r="AP99" i="6"/>
  <c r="AR99" i="6"/>
  <c r="AQ171" i="6"/>
  <c r="AQ107" i="6"/>
  <c r="AP160" i="6"/>
  <c r="AR160" i="6"/>
  <c r="AP174" i="6"/>
  <c r="AR174" i="6"/>
  <c r="AQ66" i="6"/>
  <c r="AQ132" i="6"/>
  <c r="AQ150" i="6"/>
  <c r="AP81" i="6"/>
  <c r="AR81" i="6"/>
  <c r="AQ189" i="6"/>
  <c r="AQ180" i="6"/>
  <c r="AP34" i="6"/>
  <c r="AR34" i="6"/>
  <c r="AQ93" i="6"/>
  <c r="AP17" i="6"/>
  <c r="AR17" i="6"/>
  <c r="AP151" i="6"/>
  <c r="AR151" i="6"/>
  <c r="AP32" i="6"/>
  <c r="AR32" i="6"/>
  <c r="AQ106" i="6"/>
  <c r="AQ78" i="6"/>
  <c r="AQ160" i="6"/>
  <c r="AP25" i="6"/>
  <c r="AR25" i="6"/>
  <c r="AP105" i="6"/>
  <c r="AR105" i="6"/>
  <c r="AP178" i="6"/>
  <c r="AR178" i="6"/>
  <c r="AQ16" i="6"/>
  <c r="AQ123" i="6"/>
  <c r="AQ72" i="6"/>
  <c r="AP36" i="6"/>
  <c r="AR36" i="6"/>
  <c r="AP51" i="6"/>
  <c r="AR51" i="6"/>
  <c r="AP164" i="6"/>
  <c r="AR164" i="6"/>
  <c r="AQ60" i="6"/>
  <c r="AQ86" i="6"/>
  <c r="AQ135" i="6"/>
  <c r="AQ114" i="6"/>
  <c r="AQ162" i="6"/>
  <c r="AQ130" i="6"/>
  <c r="AQ99" i="6"/>
  <c r="AQ155" i="6"/>
  <c r="AP115" i="6"/>
  <c r="AR115" i="6"/>
  <c r="AP41" i="6"/>
  <c r="AR41" i="6"/>
  <c r="AP65" i="6"/>
  <c r="AR65" i="6"/>
  <c r="AQ43" i="6"/>
  <c r="AQ65" i="6"/>
  <c r="AQ127" i="6"/>
  <c r="AP134" i="6"/>
  <c r="AR134" i="6"/>
  <c r="AQ141" i="6"/>
  <c r="AQ18" i="6"/>
  <c r="AQ174" i="6"/>
  <c r="AQ61" i="6"/>
  <c r="AQ149" i="6"/>
  <c r="AP135" i="6"/>
  <c r="AR135" i="6"/>
  <c r="AQ56" i="6"/>
  <c r="AP24" i="6"/>
  <c r="AR24" i="6"/>
  <c r="AP107" i="6"/>
  <c r="AR107" i="6"/>
  <c r="AP118" i="6"/>
  <c r="AR118" i="6"/>
  <c r="AP103" i="6"/>
  <c r="AR103" i="6"/>
  <c r="AQ181" i="6"/>
  <c r="AQ38" i="6"/>
  <c r="AP147" i="6"/>
  <c r="AR147" i="6"/>
  <c r="AP98" i="6"/>
  <c r="AR98" i="6"/>
  <c r="AQ63" i="6"/>
  <c r="AQ91" i="6"/>
  <c r="AQ129" i="6"/>
  <c r="AP130" i="6"/>
  <c r="AR130" i="6"/>
  <c r="AQ29" i="6"/>
  <c r="AQ117" i="6"/>
  <c r="AQ175" i="6"/>
  <c r="AQ19" i="6"/>
  <c r="AP181" i="6"/>
  <c r="AR181" i="6"/>
  <c r="AS181" i="6"/>
  <c r="AP162" i="6"/>
  <c r="AR162" i="6"/>
  <c r="AP68" i="6"/>
  <c r="AR68" i="6"/>
  <c r="AP50" i="6"/>
  <c r="AR50" i="6"/>
  <c r="AS50" i="6"/>
  <c r="AQ158" i="6"/>
  <c r="AQ96" i="6"/>
  <c r="AP121" i="6"/>
  <c r="AR121" i="6"/>
  <c r="AQ103" i="6"/>
  <c r="AQ133" i="6"/>
  <c r="AQ163" i="6"/>
  <c r="AP53" i="6"/>
  <c r="AR53" i="6"/>
  <c r="AQ35" i="6"/>
  <c r="AQ76" i="6"/>
  <c r="AP183" i="6"/>
  <c r="AR183" i="6"/>
  <c r="AQ68" i="6"/>
  <c r="AP100" i="6"/>
  <c r="AR100" i="6"/>
  <c r="AP173" i="6"/>
  <c r="AR173" i="6"/>
  <c r="AP46" i="6"/>
  <c r="AR46" i="6"/>
  <c r="AP93" i="6"/>
  <c r="AR93" i="6"/>
  <c r="AQ23" i="6"/>
  <c r="AQ92" i="6"/>
  <c r="AP66" i="6"/>
  <c r="AR66" i="6"/>
  <c r="AQ124" i="6"/>
  <c r="AQ184" i="6"/>
  <c r="AP92" i="6"/>
  <c r="AR92" i="6"/>
  <c r="AS92" i="6"/>
  <c r="AQ112" i="6"/>
  <c r="AP177" i="6"/>
  <c r="AR177" i="6"/>
  <c r="AP179" i="6"/>
  <c r="AR179" i="6"/>
  <c r="AS179" i="6"/>
  <c r="AP85" i="6"/>
  <c r="AR85" i="6"/>
  <c r="AP128" i="6"/>
  <c r="AR128" i="6"/>
  <c r="AQ177" i="6"/>
  <c r="AS177" i="6"/>
  <c r="AP67" i="6"/>
  <c r="AR67" i="6"/>
  <c r="AP175" i="6"/>
  <c r="AR175" i="6"/>
  <c r="AS175" i="6"/>
  <c r="AP137" i="6"/>
  <c r="AR137" i="6"/>
  <c r="AP57" i="6"/>
  <c r="AR57" i="6"/>
  <c r="AQ75" i="6"/>
  <c r="AQ119" i="6"/>
  <c r="AQ15" i="6"/>
  <c r="AP131" i="6"/>
  <c r="AR131" i="6"/>
  <c r="AP142" i="6"/>
  <c r="AR142" i="6"/>
  <c r="AQ173" i="6"/>
  <c r="AP76" i="6"/>
  <c r="AR76" i="6"/>
  <c r="AQ48" i="6"/>
  <c r="AP140" i="6"/>
  <c r="AR140" i="6"/>
  <c r="AQ152" i="6"/>
  <c r="AP182" i="6"/>
  <c r="AR182" i="6"/>
  <c r="AQ27" i="6"/>
  <c r="AP28" i="6"/>
  <c r="AR28" i="6"/>
  <c r="AQ108" i="6"/>
  <c r="AQ21" i="6"/>
  <c r="AP83" i="6"/>
  <c r="AR83" i="6"/>
  <c r="AP163" i="6"/>
  <c r="AR163" i="6"/>
  <c r="AP152" i="6"/>
  <c r="AR152" i="6"/>
  <c r="AP47" i="6"/>
  <c r="AR47" i="6"/>
  <c r="AQ144" i="6"/>
  <c r="AP150" i="6"/>
  <c r="AR150" i="6"/>
  <c r="AS150" i="6"/>
  <c r="AQ84" i="6"/>
  <c r="AP73" i="6"/>
  <c r="AR73" i="6"/>
  <c r="AQ79" i="6"/>
  <c r="AP44" i="6"/>
  <c r="AR44" i="6"/>
  <c r="AQ143" i="6"/>
  <c r="AQ154" i="6"/>
  <c r="AQ139" i="6"/>
  <c r="AS139" i="6"/>
  <c r="AP122" i="6"/>
  <c r="AR122" i="6"/>
  <c r="AP120" i="6"/>
  <c r="AR120" i="6"/>
  <c r="AP19" i="6"/>
  <c r="AR19" i="6"/>
  <c r="AQ138" i="6"/>
  <c r="AP69" i="6"/>
  <c r="AR69" i="6"/>
  <c r="AP184" i="6"/>
  <c r="AR184" i="6"/>
  <c r="AP49" i="6"/>
  <c r="AR49" i="6"/>
  <c r="AQ20" i="6"/>
  <c r="AP38" i="6"/>
  <c r="AR38" i="6"/>
  <c r="AP146" i="6"/>
  <c r="AR146" i="6"/>
  <c r="AP55" i="6"/>
  <c r="AR55" i="6"/>
  <c r="AP23" i="6"/>
  <c r="AR23" i="6"/>
  <c r="AP40" i="6"/>
  <c r="AR40" i="6"/>
  <c r="AP108" i="6"/>
  <c r="AR108" i="6"/>
  <c r="AS108" i="6"/>
  <c r="AP91" i="6"/>
  <c r="AR91" i="6"/>
  <c r="AP113" i="6"/>
  <c r="AR113" i="6"/>
  <c r="AS113" i="6"/>
  <c r="AP136" i="6"/>
  <c r="AR136" i="6"/>
  <c r="AQ104" i="6"/>
  <c r="AQ46" i="6"/>
  <c r="AQ32" i="6"/>
  <c r="AQ136" i="6"/>
  <c r="AP176" i="6"/>
  <c r="AR176" i="6"/>
  <c r="AS176" i="6"/>
  <c r="AP87" i="6"/>
  <c r="AR87" i="6"/>
  <c r="AS87" i="6"/>
  <c r="AQ55" i="6"/>
  <c r="AQ57" i="6"/>
  <c r="AQ64" i="6"/>
  <c r="AP89" i="6"/>
  <c r="AR89" i="6"/>
  <c r="AQ168" i="6"/>
  <c r="AP157" i="6"/>
  <c r="AR157" i="6"/>
  <c r="AP185" i="6"/>
  <c r="AR185" i="6"/>
  <c r="AQ137" i="6"/>
  <c r="AP102" i="6"/>
  <c r="AR102" i="6"/>
  <c r="AQ116" i="6"/>
  <c r="AQ126" i="6"/>
  <c r="AQ118" i="6"/>
  <c r="AP124" i="6"/>
  <c r="AR124" i="6"/>
  <c r="AS124" i="6"/>
  <c r="AP15" i="6"/>
  <c r="AP144" i="6"/>
  <c r="AR144" i="6"/>
  <c r="AS144" i="6"/>
  <c r="AP125" i="6"/>
  <c r="AR125" i="6"/>
  <c r="AS125" i="6"/>
  <c r="AQ102" i="6"/>
  <c r="AQ147" i="6"/>
  <c r="P37" i="6"/>
  <c r="P36" i="6"/>
  <c r="AP187" i="6"/>
  <c r="AR187" i="6"/>
  <c r="AP94" i="6"/>
  <c r="AR94" i="6"/>
  <c r="AS94" i="6"/>
  <c r="AP60" i="6"/>
  <c r="AR60" i="6"/>
  <c r="AS60" i="6"/>
  <c r="AQ74" i="6"/>
  <c r="AP155" i="6"/>
  <c r="AR155" i="6"/>
  <c r="AQ120" i="6"/>
  <c r="AQ100" i="6"/>
  <c r="AQ156" i="6"/>
  <c r="AQ187" i="6"/>
  <c r="AQ186" i="6"/>
  <c r="AQ34" i="6"/>
  <c r="AP30" i="6"/>
  <c r="AR30" i="6"/>
  <c r="AP117" i="6"/>
  <c r="AR117" i="6"/>
  <c r="AQ83" i="6"/>
  <c r="AQ69" i="6"/>
  <c r="AQ188" i="6"/>
  <c r="AQ28" i="6"/>
  <c r="AP109" i="6"/>
  <c r="AR109" i="6"/>
  <c r="AQ148" i="6"/>
  <c r="AS148" i="6"/>
  <c r="AP143" i="6"/>
  <c r="AR143" i="6"/>
  <c r="AP158" i="6"/>
  <c r="AR158" i="6"/>
  <c r="AQ41" i="6"/>
  <c r="AQ31" i="6"/>
  <c r="AQ110" i="6"/>
  <c r="AS110" i="6"/>
  <c r="AP106" i="6"/>
  <c r="AR106" i="6"/>
  <c r="AS106" i="6"/>
  <c r="AP56" i="6"/>
  <c r="AR56" i="6"/>
  <c r="AP84" i="6"/>
  <c r="AR84" i="6"/>
  <c r="AS84" i="6"/>
  <c r="AP31" i="6"/>
  <c r="AR31" i="6"/>
  <c r="AP123" i="6"/>
  <c r="AR123" i="6"/>
  <c r="AP39" i="6"/>
  <c r="AR39" i="6"/>
  <c r="AQ47" i="6"/>
  <c r="AQ172" i="6"/>
  <c r="AQ131" i="6"/>
  <c r="AQ71" i="6"/>
  <c r="AP154" i="6"/>
  <c r="AR154" i="6"/>
  <c r="AP170" i="6"/>
  <c r="AR170" i="6"/>
  <c r="AQ97" i="6"/>
  <c r="AQ40" i="6"/>
  <c r="AQ88" i="6"/>
  <c r="AQ111" i="6"/>
  <c r="AQ167" i="6"/>
  <c r="AQ90" i="6"/>
  <c r="AQ157" i="6"/>
  <c r="AP20" i="6"/>
  <c r="AQ165" i="6"/>
  <c r="AP114" i="6"/>
  <c r="AR114" i="6"/>
  <c r="AS114" i="6"/>
  <c r="AQ37" i="6"/>
  <c r="AP112" i="6"/>
  <c r="AR112" i="6"/>
  <c r="AP111" i="6"/>
  <c r="AR111" i="6"/>
  <c r="AP27" i="6"/>
  <c r="AR27" i="6"/>
  <c r="AQ101" i="6"/>
  <c r="AQ70" i="6"/>
  <c r="AP63" i="6"/>
  <c r="AR63" i="6"/>
  <c r="AS63" i="6"/>
  <c r="AQ151" i="6"/>
  <c r="AP42" i="6"/>
  <c r="AR42" i="6"/>
  <c r="AS42" i="6"/>
  <c r="AQ36" i="6"/>
  <c r="AS36" i="6"/>
  <c r="AQ49" i="6"/>
  <c r="AQ53" i="6"/>
  <c r="AP126" i="6"/>
  <c r="AR126" i="6"/>
  <c r="AQ54" i="6"/>
  <c r="AP168" i="6"/>
  <c r="AR168" i="6"/>
  <c r="AS168" i="6"/>
  <c r="AP26" i="6"/>
  <c r="AR26" i="6"/>
  <c r="AQ109" i="6"/>
  <c r="AQ182" i="6"/>
  <c r="AQ115" i="6"/>
  <c r="AQ82" i="6"/>
  <c r="AP48" i="6"/>
  <c r="AR48" i="6"/>
  <c r="AS48" i="6"/>
  <c r="AP149" i="6"/>
  <c r="AR149" i="6"/>
  <c r="AP18" i="6"/>
  <c r="AR18" i="6"/>
  <c r="AQ17" i="6"/>
  <c r="AQ142" i="6"/>
  <c r="AP71" i="6"/>
  <c r="AR71" i="6"/>
  <c r="AS71" i="6"/>
  <c r="AQ59" i="6"/>
  <c r="AQ39" i="6"/>
  <c r="AQ183" i="6"/>
  <c r="AP133" i="6"/>
  <c r="AR133" i="6"/>
  <c r="AP78" i="6"/>
  <c r="AR78" i="6"/>
  <c r="AP45" i="6"/>
  <c r="AR45" i="6"/>
  <c r="AQ44" i="6"/>
  <c r="AQ62" i="6"/>
  <c r="AP153" i="6"/>
  <c r="AR153" i="6"/>
  <c r="AP180" i="6"/>
  <c r="AR180" i="6"/>
  <c r="AS180" i="6"/>
  <c r="AQ89" i="6"/>
  <c r="AQ26" i="6"/>
  <c r="AQ169" i="6"/>
  <c r="AQ80" i="6"/>
  <c r="AQ161" i="6"/>
  <c r="AQ25" i="6"/>
  <c r="AS25" i="6"/>
  <c r="AP104" i="6"/>
  <c r="AR104" i="6"/>
  <c r="AP97" i="6"/>
  <c r="AR97" i="6"/>
  <c r="AP16" i="6"/>
  <c r="AR16" i="6"/>
  <c r="AP156" i="6"/>
  <c r="AR156" i="6"/>
  <c r="AS156" i="6"/>
  <c r="AP145" i="6"/>
  <c r="AR145" i="6"/>
  <c r="AQ121" i="6"/>
  <c r="AQ145" i="6"/>
  <c r="AQ185" i="6"/>
  <c r="AP166" i="6"/>
  <c r="AR166" i="6"/>
  <c r="AP90" i="6"/>
  <c r="AR90" i="6"/>
  <c r="AQ58" i="6"/>
  <c r="AQ51" i="6"/>
  <c r="AP172" i="6"/>
  <c r="AR172" i="6"/>
  <c r="AP129" i="6"/>
  <c r="AR129" i="6"/>
  <c r="AS129" i="6"/>
  <c r="AP21" i="6"/>
  <c r="AR21" i="6"/>
  <c r="AA32" i="6"/>
  <c r="Z34" i="6"/>
  <c r="Z37" i="6"/>
  <c r="AB28" i="6"/>
  <c r="AA34" i="6"/>
  <c r="AC22" i="6"/>
  <c r="F221" i="6"/>
  <c r="H221" i="6"/>
  <c r="G210" i="6"/>
  <c r="F217" i="6"/>
  <c r="H217" i="6"/>
  <c r="F231" i="6"/>
  <c r="H231" i="6"/>
  <c r="F260" i="6"/>
  <c r="H260" i="6"/>
  <c r="F285" i="6"/>
  <c r="H285" i="6"/>
  <c r="F287" i="6"/>
  <c r="H287" i="6"/>
  <c r="F280" i="6"/>
  <c r="H280" i="6"/>
  <c r="F265" i="6"/>
  <c r="H265" i="6"/>
  <c r="I265" i="6"/>
  <c r="F271" i="6"/>
  <c r="H271" i="6"/>
  <c r="G277" i="6"/>
  <c r="F266" i="6"/>
  <c r="H266" i="6"/>
  <c r="F262" i="6"/>
  <c r="H262" i="6"/>
  <c r="F268" i="6"/>
  <c r="H268" i="6"/>
  <c r="G262" i="6"/>
  <c r="F269" i="6"/>
  <c r="H269" i="6"/>
  <c r="G278" i="6"/>
  <c r="F275" i="6"/>
  <c r="H275" i="6"/>
  <c r="G258" i="6"/>
  <c r="G236" i="6"/>
  <c r="F242" i="6"/>
  <c r="H242" i="6"/>
  <c r="I242" i="6"/>
  <c r="F253" i="6"/>
  <c r="H253" i="6"/>
  <c r="F238" i="6"/>
  <c r="H238" i="6"/>
  <c r="G259" i="6"/>
  <c r="F251" i="6"/>
  <c r="H251" i="6"/>
  <c r="G247" i="6"/>
  <c r="G240" i="6"/>
  <c r="G257" i="6"/>
  <c r="G239" i="6"/>
  <c r="G232" i="6"/>
  <c r="G252" i="6"/>
  <c r="G280" i="6"/>
  <c r="G270" i="6"/>
  <c r="G263" i="6"/>
  <c r="F270" i="6"/>
  <c r="H270" i="6"/>
  <c r="I270" i="6"/>
  <c r="G267" i="6"/>
  <c r="G271" i="6"/>
  <c r="G286" i="6"/>
  <c r="F235" i="6"/>
  <c r="H235" i="6"/>
  <c r="F254" i="6"/>
  <c r="H254" i="6"/>
  <c r="G243" i="6"/>
  <c r="I243" i="6"/>
  <c r="F248" i="6"/>
  <c r="H248" i="6"/>
  <c r="F252" i="6"/>
  <c r="H252" i="6"/>
  <c r="G234" i="6"/>
  <c r="F239" i="6"/>
  <c r="H239" i="6"/>
  <c r="I239" i="6"/>
  <c r="G254" i="6"/>
  <c r="F279" i="6"/>
  <c r="H279" i="6"/>
  <c r="F261" i="6"/>
  <c r="H261" i="6"/>
  <c r="G282" i="6"/>
  <c r="I282" i="6"/>
  <c r="G268" i="6"/>
  <c r="F274" i="6"/>
  <c r="H274" i="6"/>
  <c r="G266" i="6"/>
  <c r="G273" i="6"/>
  <c r="F237" i="6"/>
  <c r="H237" i="6"/>
  <c r="G253" i="6"/>
  <c r="G244" i="6"/>
  <c r="G233" i="6"/>
  <c r="F257" i="6"/>
  <c r="H257" i="6"/>
  <c r="I257" i="6"/>
  <c r="F241" i="6"/>
  <c r="H241" i="6"/>
  <c r="F255" i="6"/>
  <c r="H255" i="6"/>
  <c r="G336" i="6"/>
  <c r="F168" i="6"/>
  <c r="H168" i="6"/>
  <c r="G184" i="6"/>
  <c r="G177" i="6"/>
  <c r="G166" i="6"/>
  <c r="F188" i="6"/>
  <c r="H188" i="6"/>
  <c r="F135" i="6"/>
  <c r="H135" i="6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/>
  <c r="G149" i="6"/>
  <c r="F27" i="6"/>
  <c r="H27" i="6"/>
  <c r="G151" i="6"/>
  <c r="G157" i="6"/>
  <c r="G153" i="6"/>
  <c r="G150" i="6"/>
  <c r="G154" i="6"/>
  <c r="F147" i="6"/>
  <c r="H147" i="6"/>
  <c r="G143" i="6"/>
  <c r="G142" i="6"/>
  <c r="G141" i="6"/>
  <c r="F148" i="6"/>
  <c r="H148" i="6"/>
  <c r="G152" i="6"/>
  <c r="G135" i="6"/>
  <c r="G159" i="6"/>
  <c r="F159" i="6"/>
  <c r="H159" i="6"/>
  <c r="F151" i="6"/>
  <c r="H151" i="6"/>
  <c r="I151" i="6"/>
  <c r="S21" i="6"/>
  <c r="G31" i="6"/>
  <c r="F169" i="6"/>
  <c r="H169" i="6"/>
  <c r="F17" i="6"/>
  <c r="G134" i="6"/>
  <c r="G185" i="6"/>
  <c r="G34" i="6"/>
  <c r="G170" i="6"/>
  <c r="G25" i="6"/>
  <c r="F171" i="6"/>
  <c r="H171" i="6"/>
  <c r="G183" i="6"/>
  <c r="F160" i="6"/>
  <c r="H160" i="6"/>
  <c r="G28" i="6"/>
  <c r="F140" i="6"/>
  <c r="H140" i="6"/>
  <c r="F136" i="6"/>
  <c r="H136" i="6"/>
  <c r="G156" i="6"/>
  <c r="F155" i="6"/>
  <c r="H155" i="6"/>
  <c r="F146" i="6"/>
  <c r="H146" i="6"/>
  <c r="G147" i="6"/>
  <c r="G146" i="6"/>
  <c r="G138" i="6"/>
  <c r="F154" i="6"/>
  <c r="H154" i="6"/>
  <c r="I154" i="6"/>
  <c r="F138" i="6"/>
  <c r="H138" i="6"/>
  <c r="I138" i="6"/>
  <c r="F142" i="6"/>
  <c r="H142" i="6"/>
  <c r="G18" i="6"/>
  <c r="G24" i="6"/>
  <c r="I24" i="6"/>
  <c r="F24" i="6"/>
  <c r="H24" i="6"/>
  <c r="F33" i="6"/>
  <c r="H33" i="6"/>
  <c r="F170" i="6"/>
  <c r="H170" i="6"/>
  <c r="G21" i="6"/>
  <c r="F180" i="6"/>
  <c r="H180" i="6"/>
  <c r="F189" i="6"/>
  <c r="H189" i="6"/>
  <c r="F187" i="6"/>
  <c r="H187" i="6"/>
  <c r="F31" i="6"/>
  <c r="H31" i="6"/>
  <c r="G19" i="6"/>
  <c r="F181" i="6"/>
  <c r="H181" i="6"/>
  <c r="I181" i="6"/>
  <c r="F167" i="6"/>
  <c r="H167" i="6"/>
  <c r="G35" i="6"/>
  <c r="F35" i="6"/>
  <c r="H35" i="6"/>
  <c r="F144" i="6"/>
  <c r="H144" i="6"/>
  <c r="G160" i="6"/>
  <c r="F158" i="6"/>
  <c r="H158" i="6"/>
  <c r="G137" i="6"/>
  <c r="F152" i="6"/>
  <c r="H152" i="6"/>
  <c r="F184" i="6"/>
  <c r="H184" i="6"/>
  <c r="F161" i="6"/>
  <c r="H161" i="6"/>
  <c r="F139" i="6"/>
  <c r="H139" i="6"/>
  <c r="G161" i="6"/>
  <c r="F30" i="6"/>
  <c r="H30" i="6"/>
  <c r="F23" i="6"/>
  <c r="F19" i="6"/>
  <c r="H19" i="6"/>
  <c r="I19" i="6"/>
  <c r="F186" i="6"/>
  <c r="H186" i="6"/>
  <c r="F165" i="6"/>
  <c r="H165" i="6"/>
  <c r="I165" i="6"/>
  <c r="G23" i="6"/>
  <c r="G16" i="6"/>
  <c r="F174" i="6"/>
  <c r="H174" i="6"/>
  <c r="F179" i="6"/>
  <c r="H179" i="6"/>
  <c r="F175" i="6"/>
  <c r="H175" i="6"/>
  <c r="F185" i="6"/>
  <c r="H185" i="6"/>
  <c r="G168" i="6"/>
  <c r="F166" i="6"/>
  <c r="H166" i="6"/>
  <c r="F149" i="6"/>
  <c r="H149" i="6"/>
  <c r="F20" i="6"/>
  <c r="H20" i="6"/>
  <c r="F141" i="6"/>
  <c r="H141" i="6"/>
  <c r="F156" i="6"/>
  <c r="H156" i="6"/>
  <c r="F177" i="6"/>
  <c r="H177" i="6"/>
  <c r="G169" i="6"/>
  <c r="F157" i="6"/>
  <c r="H157" i="6"/>
  <c r="G26" i="6"/>
  <c r="F164" i="6"/>
  <c r="H164" i="6"/>
  <c r="G171" i="6"/>
  <c r="G144" i="6"/>
  <c r="G188" i="6"/>
  <c r="S22" i="6"/>
  <c r="F93" i="6"/>
  <c r="H93" i="6"/>
  <c r="F109" i="6"/>
  <c r="H109" i="6"/>
  <c r="F124" i="6"/>
  <c r="H124" i="6"/>
  <c r="G99" i="6"/>
  <c r="G96" i="6"/>
  <c r="G95" i="6"/>
  <c r="G127" i="6"/>
  <c r="G102" i="6"/>
  <c r="G120" i="6"/>
  <c r="G121" i="6"/>
  <c r="G109" i="6"/>
  <c r="F108" i="6"/>
  <c r="H108" i="6"/>
  <c r="G117" i="6"/>
  <c r="F125" i="6"/>
  <c r="H125" i="6"/>
  <c r="G115" i="6"/>
  <c r="F117" i="6"/>
  <c r="H117" i="6"/>
  <c r="G130" i="6"/>
  <c r="F132" i="6"/>
  <c r="H132" i="6"/>
  <c r="F133" i="6"/>
  <c r="H133" i="6"/>
  <c r="F110" i="6"/>
  <c r="H110" i="6"/>
  <c r="G107" i="6"/>
  <c r="G124" i="6"/>
  <c r="F107" i="6"/>
  <c r="H107" i="6"/>
  <c r="I107" i="6"/>
  <c r="G90" i="6"/>
  <c r="G64" i="6"/>
  <c r="G78" i="6"/>
  <c r="F78" i="6"/>
  <c r="H78" i="6"/>
  <c r="G86" i="6"/>
  <c r="G76" i="6"/>
  <c r="G68" i="6"/>
  <c r="F82" i="6"/>
  <c r="H82" i="6"/>
  <c r="G66" i="6"/>
  <c r="F77" i="6"/>
  <c r="H77" i="6"/>
  <c r="F79" i="6"/>
  <c r="H79" i="6"/>
  <c r="F89" i="6"/>
  <c r="H89" i="6"/>
  <c r="F90" i="6"/>
  <c r="H90" i="6"/>
  <c r="I90" i="6"/>
  <c r="F72" i="6"/>
  <c r="H72" i="6"/>
  <c r="G91" i="6"/>
  <c r="F64" i="6"/>
  <c r="H64" i="6"/>
  <c r="G77" i="6"/>
  <c r="I77" i="6"/>
  <c r="F91" i="6"/>
  <c r="H91" i="6"/>
  <c r="F80" i="6"/>
  <c r="H80" i="6"/>
  <c r="F86" i="6"/>
  <c r="H86" i="6"/>
  <c r="G83" i="6"/>
  <c r="G87" i="6"/>
  <c r="G69" i="6"/>
  <c r="F37" i="6"/>
  <c r="H37" i="6"/>
  <c r="G43" i="6"/>
  <c r="G59" i="6"/>
  <c r="F60" i="6"/>
  <c r="H60" i="6"/>
  <c r="I60" i="6"/>
  <c r="G61" i="6"/>
  <c r="G51" i="6"/>
  <c r="I51" i="6"/>
  <c r="G37" i="6"/>
  <c r="G48" i="6"/>
  <c r="F48" i="6"/>
  <c r="H48" i="6"/>
  <c r="G57" i="6"/>
  <c r="G49" i="6"/>
  <c r="F54" i="6"/>
  <c r="H54" i="6"/>
  <c r="I54" i="6"/>
  <c r="F41" i="6"/>
  <c r="H41" i="6"/>
  <c r="F46" i="6"/>
  <c r="H46" i="6"/>
  <c r="F58" i="6"/>
  <c r="H58" i="6"/>
  <c r="G36" i="6"/>
  <c r="G45" i="6"/>
  <c r="F52" i="6"/>
  <c r="H52" i="6"/>
  <c r="F42" i="6"/>
  <c r="H42" i="6"/>
  <c r="G50" i="6"/>
  <c r="F51" i="6"/>
  <c r="H51" i="6"/>
  <c r="G54" i="6"/>
  <c r="F95" i="6"/>
  <c r="H95" i="6"/>
  <c r="F85" i="6"/>
  <c r="H85" i="6"/>
  <c r="G73" i="6"/>
  <c r="G88" i="6"/>
  <c r="F112" i="6"/>
  <c r="H112" i="6"/>
  <c r="G125" i="6"/>
  <c r="F126" i="6"/>
  <c r="H126" i="6"/>
  <c r="F84" i="6"/>
  <c r="H84" i="6"/>
  <c r="F40" i="6"/>
  <c r="H40" i="6"/>
  <c r="G53" i="6"/>
  <c r="F92" i="6"/>
  <c r="H92" i="6"/>
  <c r="F97" i="6"/>
  <c r="H97" i="6"/>
  <c r="G52" i="6"/>
  <c r="G81" i="6"/>
  <c r="F39" i="6"/>
  <c r="H39" i="6"/>
  <c r="F57" i="6"/>
  <c r="H57" i="6"/>
  <c r="I57" i="6"/>
  <c r="G98" i="6"/>
  <c r="F129" i="6"/>
  <c r="H129" i="6"/>
  <c r="G100" i="6"/>
  <c r="F49" i="6"/>
  <c r="H49" i="6"/>
  <c r="G56" i="6"/>
  <c r="F121" i="6"/>
  <c r="H121" i="6"/>
  <c r="I121" i="6"/>
  <c r="G38" i="6"/>
  <c r="G46" i="6"/>
  <c r="G123" i="6"/>
  <c r="F102" i="6"/>
  <c r="H102" i="6"/>
  <c r="I102" i="6"/>
  <c r="F134" i="6"/>
  <c r="H134" i="6"/>
  <c r="I134" i="6"/>
  <c r="G136" i="6"/>
  <c r="I136" i="6"/>
  <c r="F137" i="6"/>
  <c r="H137" i="6"/>
  <c r="I137" i="6"/>
  <c r="F22" i="6"/>
  <c r="H22" i="6"/>
  <c r="F162" i="6"/>
  <c r="H162" i="6"/>
  <c r="G164" i="6"/>
  <c r="I164" i="6"/>
  <c r="F163" i="6"/>
  <c r="H163" i="6"/>
  <c r="G187" i="6"/>
  <c r="I187" i="6"/>
  <c r="G163" i="6"/>
  <c r="G33" i="6"/>
  <c r="G172" i="6"/>
  <c r="G180" i="6"/>
  <c r="I180" i="6"/>
  <c r="F173" i="6"/>
  <c r="H173" i="6"/>
  <c r="G155" i="6"/>
  <c r="F18" i="6"/>
  <c r="H18" i="6"/>
  <c r="I18" i="6"/>
  <c r="G105" i="6"/>
  <c r="F94" i="6"/>
  <c r="H94" i="6"/>
  <c r="F114" i="6"/>
  <c r="H114" i="6"/>
  <c r="F104" i="6"/>
  <c r="H104" i="6"/>
  <c r="F105" i="6"/>
  <c r="H105" i="6"/>
  <c r="I105" i="6"/>
  <c r="F131" i="6"/>
  <c r="H131" i="6"/>
  <c r="F96" i="6"/>
  <c r="H96" i="6"/>
  <c r="I96" i="6"/>
  <c r="F113" i="6"/>
  <c r="H113" i="6"/>
  <c r="F122" i="6"/>
  <c r="H122" i="6"/>
  <c r="G112" i="6"/>
  <c r="G133" i="6"/>
  <c r="F106" i="6"/>
  <c r="H106" i="6"/>
  <c r="G126" i="6"/>
  <c r="I126" i="6"/>
  <c r="G108" i="6"/>
  <c r="G111" i="6"/>
  <c r="G106" i="6"/>
  <c r="G122" i="6"/>
  <c r="F87" i="6"/>
  <c r="H87" i="6"/>
  <c r="I87" i="6"/>
  <c r="G79" i="6"/>
  <c r="F67" i="6"/>
  <c r="H67" i="6"/>
  <c r="F69" i="6"/>
  <c r="H69" i="6"/>
  <c r="G80" i="6"/>
  <c r="F83" i="6"/>
  <c r="H83" i="6"/>
  <c r="I83" i="6"/>
  <c r="G75" i="6"/>
  <c r="G70" i="6"/>
  <c r="F68" i="6"/>
  <c r="H68" i="6"/>
  <c r="G85" i="6"/>
  <c r="F70" i="6"/>
  <c r="H70" i="6"/>
  <c r="F74" i="6"/>
  <c r="H74" i="6"/>
  <c r="I74" i="6"/>
  <c r="G55" i="6"/>
  <c r="F50" i="6"/>
  <c r="H50" i="6"/>
  <c r="F45" i="6"/>
  <c r="H45" i="6"/>
  <c r="I45" i="6"/>
  <c r="F55" i="6"/>
  <c r="H55" i="6"/>
  <c r="I55" i="6"/>
  <c r="G40" i="6"/>
  <c r="F47" i="6"/>
  <c r="H47" i="6"/>
  <c r="I47" i="6"/>
  <c r="F36" i="6"/>
  <c r="H36" i="6"/>
  <c r="G44" i="6"/>
  <c r="G63" i="6"/>
  <c r="G42" i="6"/>
  <c r="G89" i="6"/>
  <c r="G41" i="6"/>
  <c r="F103" i="6"/>
  <c r="H103" i="6"/>
  <c r="F127" i="6"/>
  <c r="H127" i="6"/>
  <c r="I127" i="6"/>
  <c r="G101" i="6"/>
  <c r="G94" i="6"/>
  <c r="I94" i="6"/>
  <c r="G29" i="6"/>
  <c r="G20" i="6"/>
  <c r="G145" i="6"/>
  <c r="G186" i="6"/>
  <c r="G175" i="6"/>
  <c r="F99" i="6"/>
  <c r="H99" i="6"/>
  <c r="I99" i="6"/>
  <c r="G118" i="6"/>
  <c r="G97" i="6"/>
  <c r="F128" i="6"/>
  <c r="H128" i="6"/>
  <c r="F115" i="6"/>
  <c r="H115" i="6"/>
  <c r="F120" i="6"/>
  <c r="H120" i="6"/>
  <c r="I120" i="6"/>
  <c r="F116" i="6"/>
  <c r="H116" i="6"/>
  <c r="F118" i="6"/>
  <c r="H118" i="6"/>
  <c r="I118" i="6"/>
  <c r="G113" i="6"/>
  <c r="G74" i="6"/>
  <c r="F65" i="6"/>
  <c r="H65" i="6"/>
  <c r="F75" i="6"/>
  <c r="H75" i="6"/>
  <c r="I75" i="6"/>
  <c r="G67" i="6"/>
  <c r="F71" i="6"/>
  <c r="H71" i="6"/>
  <c r="G71" i="6"/>
  <c r="F61" i="6"/>
  <c r="H61" i="6"/>
  <c r="I61" i="6"/>
  <c r="G47" i="6"/>
  <c r="G58" i="6"/>
  <c r="F38" i="6"/>
  <c r="H38" i="6"/>
  <c r="I38" i="6"/>
  <c r="G60" i="6"/>
  <c r="G116" i="6"/>
  <c r="G119" i="6"/>
  <c r="F130" i="6"/>
  <c r="H130" i="6"/>
  <c r="F81" i="6"/>
  <c r="H81" i="6"/>
  <c r="F98" i="6"/>
  <c r="H98" i="6"/>
  <c r="I98" i="6"/>
  <c r="G39" i="6"/>
  <c r="I39" i="6"/>
  <c r="G104" i="6"/>
  <c r="G93" i="6"/>
  <c r="G178" i="6"/>
  <c r="F183" i="6"/>
  <c r="H183" i="6"/>
  <c r="G176" i="6"/>
  <c r="I176" i="6"/>
  <c r="G140" i="6"/>
  <c r="F178" i="6"/>
  <c r="H178" i="6"/>
  <c r="I178" i="6"/>
  <c r="G148" i="6"/>
  <c r="I148" i="6"/>
  <c r="G22" i="6"/>
  <c r="G92" i="6"/>
  <c r="G128" i="6"/>
  <c r="G114" i="6"/>
  <c r="G103" i="6"/>
  <c r="I103" i="6"/>
  <c r="F123" i="6"/>
  <c r="H123" i="6"/>
  <c r="I123" i="6"/>
  <c r="F119" i="6"/>
  <c r="H119" i="6"/>
  <c r="F111" i="6"/>
  <c r="H111" i="6"/>
  <c r="G110" i="6"/>
  <c r="I110" i="6"/>
  <c r="G132" i="6"/>
  <c r="G84" i="6"/>
  <c r="G82" i="6"/>
  <c r="I82" i="6"/>
  <c r="G72" i="6"/>
  <c r="F66" i="6"/>
  <c r="H66" i="6"/>
  <c r="F76" i="6"/>
  <c r="H76" i="6"/>
  <c r="G65" i="6"/>
  <c r="F44" i="6"/>
  <c r="H44" i="6"/>
  <c r="G62" i="6"/>
  <c r="F56" i="6"/>
  <c r="H56" i="6"/>
  <c r="I56" i="6"/>
  <c r="F53" i="6"/>
  <c r="H53" i="6"/>
  <c r="F62" i="6"/>
  <c r="H62" i="6"/>
  <c r="F59" i="6"/>
  <c r="H59" i="6"/>
  <c r="I59" i="6"/>
  <c r="F63" i="6"/>
  <c r="H63" i="6"/>
  <c r="I63" i="6"/>
  <c r="F101" i="6"/>
  <c r="H101" i="6"/>
  <c r="I101" i="6"/>
  <c r="F73" i="6"/>
  <c r="H73" i="6"/>
  <c r="I73" i="6"/>
  <c r="G129" i="6"/>
  <c r="F88" i="6"/>
  <c r="H88" i="6"/>
  <c r="G131" i="6"/>
  <c r="F43" i="6"/>
  <c r="H43" i="6"/>
  <c r="F100" i="6"/>
  <c r="H100" i="6"/>
  <c r="I100" i="6"/>
  <c r="Z49" i="6"/>
  <c r="Z52" i="6"/>
  <c r="AA47" i="6"/>
  <c r="AB43" i="6"/>
  <c r="AA49" i="6"/>
  <c r="Y45" i="6"/>
  <c r="Y51" i="6"/>
  <c r="X47" i="6"/>
  <c r="W49" i="6"/>
  <c r="V22" i="6"/>
  <c r="V21" i="6"/>
  <c r="O51" i="6"/>
  <c r="W52" i="6"/>
  <c r="F375" i="6"/>
  <c r="H375" i="6"/>
  <c r="G191" i="6"/>
  <c r="G344" i="6"/>
  <c r="F202" i="6"/>
  <c r="H202" i="6"/>
  <c r="I202" i="6"/>
  <c r="F209" i="6"/>
  <c r="H209" i="6"/>
  <c r="F198" i="6"/>
  <c r="H198" i="6"/>
  <c r="I198" i="6"/>
  <c r="F210" i="6"/>
  <c r="H210" i="6"/>
  <c r="I210" i="6"/>
  <c r="F320" i="6"/>
  <c r="H320" i="6"/>
  <c r="I320" i="6"/>
  <c r="F335" i="6"/>
  <c r="H335" i="6"/>
  <c r="I335" i="6"/>
  <c r="F317" i="6"/>
  <c r="H317" i="6"/>
  <c r="F333" i="6"/>
  <c r="H333" i="6"/>
  <c r="I333" i="6"/>
  <c r="G316" i="6"/>
  <c r="F264" i="6"/>
  <c r="H264" i="6"/>
  <c r="G284" i="6"/>
  <c r="F263" i="6"/>
  <c r="H263" i="6"/>
  <c r="I263" i="6"/>
  <c r="F272" i="6"/>
  <c r="H272" i="6"/>
  <c r="G261" i="6"/>
  <c r="G260" i="6"/>
  <c r="F278" i="6"/>
  <c r="H278" i="6"/>
  <c r="G264" i="6"/>
  <c r="F284" i="6"/>
  <c r="H284" i="6"/>
  <c r="G283" i="6"/>
  <c r="F283" i="6"/>
  <c r="H283" i="6"/>
  <c r="G276" i="6"/>
  <c r="I276" i="6"/>
  <c r="F267" i="6"/>
  <c r="H267" i="6"/>
  <c r="I267" i="6"/>
  <c r="G281" i="6"/>
  <c r="F300" i="6"/>
  <c r="H300" i="6"/>
  <c r="G315" i="6"/>
  <c r="F312" i="6"/>
  <c r="H312" i="6"/>
  <c r="I312" i="6"/>
  <c r="G291" i="6"/>
  <c r="F301" i="6"/>
  <c r="H301" i="6"/>
  <c r="I301" i="6"/>
  <c r="F291" i="6"/>
  <c r="H291" i="6"/>
  <c r="I291" i="6"/>
  <c r="G309" i="6"/>
  <c r="I309" i="6"/>
  <c r="G311" i="6"/>
  <c r="I311" i="6"/>
  <c r="G293" i="6"/>
  <c r="F303" i="6"/>
  <c r="H303" i="6"/>
  <c r="G296" i="6"/>
  <c r="F308" i="6"/>
  <c r="H308" i="6"/>
  <c r="G235" i="6"/>
  <c r="F249" i="6"/>
  <c r="H249" i="6"/>
  <c r="G241" i="6"/>
  <c r="F246" i="6"/>
  <c r="H246" i="6"/>
  <c r="F256" i="6"/>
  <c r="H256" i="6"/>
  <c r="I256" i="6"/>
  <c r="G246" i="6"/>
  <c r="F259" i="6"/>
  <c r="H259" i="6"/>
  <c r="G250" i="6"/>
  <c r="F240" i="6"/>
  <c r="H240" i="6"/>
  <c r="G248" i="6"/>
  <c r="I248" i="6"/>
  <c r="F245" i="6"/>
  <c r="H245" i="6"/>
  <c r="F244" i="6"/>
  <c r="H244" i="6"/>
  <c r="G255" i="6"/>
  <c r="F233" i="6"/>
  <c r="H233" i="6"/>
  <c r="F306" i="6"/>
  <c r="H306" i="6"/>
  <c r="I306" i="6"/>
  <c r="R52" i="6"/>
  <c r="S51" i="6"/>
  <c r="F219" i="6"/>
  <c r="H219" i="6"/>
  <c r="F204" i="6"/>
  <c r="H204" i="6"/>
  <c r="F322" i="6"/>
  <c r="H322" i="6"/>
  <c r="G357" i="6"/>
  <c r="G226" i="6"/>
  <c r="G195" i="6"/>
  <c r="I195" i="6"/>
  <c r="F327" i="6"/>
  <c r="H327" i="6"/>
  <c r="G366" i="6"/>
  <c r="G369" i="6"/>
  <c r="I369" i="6"/>
  <c r="F365" i="6"/>
  <c r="H365" i="6"/>
  <c r="I365" i="6"/>
  <c r="G200" i="6"/>
  <c r="F205" i="6"/>
  <c r="H205" i="6"/>
  <c r="G221" i="6"/>
  <c r="F208" i="6"/>
  <c r="H208" i="6"/>
  <c r="F223" i="6"/>
  <c r="H223" i="6"/>
  <c r="G375" i="6"/>
  <c r="G329" i="6"/>
  <c r="F357" i="6"/>
  <c r="H357" i="6"/>
  <c r="G348" i="6"/>
  <c r="G225" i="6"/>
  <c r="I225" i="6"/>
  <c r="G211" i="6"/>
  <c r="G219" i="6"/>
  <c r="G218" i="6"/>
  <c r="G379" i="6"/>
  <c r="F324" i="6"/>
  <c r="H324" i="6"/>
  <c r="F358" i="6"/>
  <c r="H358" i="6"/>
  <c r="G358" i="6"/>
  <c r="F352" i="6"/>
  <c r="H352" i="6"/>
  <c r="I352" i="6"/>
  <c r="F377" i="6"/>
  <c r="H377" i="6"/>
  <c r="I377" i="6"/>
  <c r="F201" i="6"/>
  <c r="H201" i="6"/>
  <c r="G319" i="6"/>
  <c r="F350" i="6"/>
  <c r="H350" i="6"/>
  <c r="G378" i="6"/>
  <c r="F196" i="6"/>
  <c r="H196" i="6"/>
  <c r="F328" i="6"/>
  <c r="H328" i="6"/>
  <c r="I328" i="6"/>
  <c r="G209" i="6"/>
  <c r="G230" i="6"/>
  <c r="I230" i="6"/>
  <c r="G205" i="6"/>
  <c r="F218" i="6"/>
  <c r="H218" i="6"/>
  <c r="I218" i="6"/>
  <c r="F214" i="6"/>
  <c r="H214" i="6"/>
  <c r="I214" i="6"/>
  <c r="G206" i="6"/>
  <c r="G223" i="6"/>
  <c r="G193" i="6"/>
  <c r="F378" i="6"/>
  <c r="H378" i="6"/>
  <c r="G317" i="6"/>
  <c r="I317" i="6"/>
  <c r="F348" i="6"/>
  <c r="H348" i="6"/>
  <c r="F359" i="6"/>
  <c r="H359" i="6"/>
  <c r="G351" i="6"/>
  <c r="G364" i="6"/>
  <c r="F349" i="6"/>
  <c r="H349" i="6"/>
  <c r="G204" i="6"/>
  <c r="G222" i="6"/>
  <c r="F206" i="6"/>
  <c r="H206" i="6"/>
  <c r="F200" i="6"/>
  <c r="H200" i="6"/>
  <c r="G208" i="6"/>
  <c r="F207" i="6"/>
  <c r="H207" i="6"/>
  <c r="F212" i="6"/>
  <c r="H212" i="6"/>
  <c r="F191" i="6"/>
  <c r="H191" i="6"/>
  <c r="F372" i="6"/>
  <c r="H372" i="6"/>
  <c r="F380" i="6"/>
  <c r="H380" i="6"/>
  <c r="G325" i="6"/>
  <c r="I325" i="6"/>
  <c r="G330" i="6"/>
  <c r="F344" i="6"/>
  <c r="H344" i="6"/>
  <c r="G349" i="6"/>
  <c r="F362" i="6"/>
  <c r="H362" i="6"/>
  <c r="G360" i="6"/>
  <c r="G347" i="6"/>
  <c r="G201" i="6"/>
  <c r="G196" i="6"/>
  <c r="F340" i="6"/>
  <c r="H340" i="6"/>
  <c r="F343" i="6"/>
  <c r="H343" i="6"/>
  <c r="I343" i="6"/>
  <c r="F360" i="6"/>
  <c r="H360" i="6"/>
  <c r="I360" i="6"/>
  <c r="G345" i="6"/>
  <c r="F364" i="6"/>
  <c r="H364" i="6"/>
  <c r="G346" i="6"/>
  <c r="F379" i="6"/>
  <c r="H379" i="6"/>
  <c r="G203" i="6"/>
  <c r="I203" i="6"/>
  <c r="G339" i="6"/>
  <c r="G324" i="6"/>
  <c r="N51" i="6"/>
  <c r="W37" i="6"/>
  <c r="AQ288" i="6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/>
  <c r="AP293" i="6"/>
  <c r="AR293" i="6"/>
  <c r="AP273" i="6"/>
  <c r="AR273" i="6"/>
  <c r="AQ300" i="6"/>
  <c r="AP261" i="6"/>
  <c r="AR261" i="6"/>
  <c r="AQ291" i="6"/>
  <c r="AP281" i="6"/>
  <c r="AR281" i="6"/>
  <c r="AP258" i="6"/>
  <c r="AR258" i="6"/>
  <c r="AQ259" i="6"/>
  <c r="AQ269" i="6"/>
  <c r="AP277" i="6"/>
  <c r="AR277" i="6"/>
  <c r="AQ257" i="6"/>
  <c r="AQ293" i="6"/>
  <c r="AQ273" i="6"/>
  <c r="AP266" i="6"/>
  <c r="AR266" i="6"/>
  <c r="AP268" i="6"/>
  <c r="AR268" i="6"/>
  <c r="AS268" i="6"/>
  <c r="AQ268" i="6"/>
  <c r="AQ281" i="6"/>
  <c r="AQ278" i="6"/>
  <c r="AQ277" i="6"/>
  <c r="AS277" i="6"/>
  <c r="AP292" i="6"/>
  <c r="AR292" i="6"/>
  <c r="AS292" i="6"/>
  <c r="AQ301" i="6"/>
  <c r="AQ285" i="6"/>
  <c r="AQ286" i="6"/>
  <c r="AP287" i="6"/>
  <c r="AR287" i="6"/>
  <c r="AP276" i="6"/>
  <c r="AR276" i="6"/>
  <c r="AQ284" i="6"/>
  <c r="AP267" i="6"/>
  <c r="AR267" i="6"/>
  <c r="AQ295" i="6"/>
  <c r="AP257" i="6"/>
  <c r="AR257" i="6"/>
  <c r="AS257" i="6"/>
  <c r="AP299" i="6"/>
  <c r="AR299" i="6"/>
  <c r="AS299" i="6"/>
  <c r="AQ250" i="6"/>
  <c r="AQ274" i="6"/>
  <c r="AP289" i="6"/>
  <c r="AR289" i="6"/>
  <c r="AP249" i="6"/>
  <c r="AR249" i="6"/>
  <c r="AP297" i="6"/>
  <c r="AR297" i="6"/>
  <c r="AP282" i="6"/>
  <c r="AR282" i="6"/>
  <c r="AP251" i="6"/>
  <c r="AR251" i="6"/>
  <c r="AS251" i="6"/>
  <c r="AP246" i="6"/>
  <c r="AR246" i="6"/>
  <c r="AP270" i="6"/>
  <c r="AR270" i="6"/>
  <c r="AS270" i="6"/>
  <c r="AP300" i="6"/>
  <c r="AR300" i="6"/>
  <c r="AQ260" i="6"/>
  <c r="AP271" i="6"/>
  <c r="AR271" i="6"/>
  <c r="AS271" i="6"/>
  <c r="AQ266" i="6"/>
  <c r="AQ251" i="6"/>
  <c r="AP294" i="6"/>
  <c r="AR294" i="6"/>
  <c r="AQ292" i="6"/>
  <c r="AP253" i="6"/>
  <c r="AR253" i="6"/>
  <c r="AQ252" i="6"/>
  <c r="AQ246" i="6"/>
  <c r="AQ276" i="6"/>
  <c r="AQ296" i="6"/>
  <c r="AP274" i="6"/>
  <c r="AR274" i="6"/>
  <c r="AS274" i="6"/>
  <c r="AP283" i="6"/>
  <c r="AR283" i="6"/>
  <c r="AS283" i="6"/>
  <c r="AQ254" i="6"/>
  <c r="AP248" i="6"/>
  <c r="AR248" i="6"/>
  <c r="AP290" i="6"/>
  <c r="AR290" i="6"/>
  <c r="AP295" i="6"/>
  <c r="AR295" i="6"/>
  <c r="AS295" i="6"/>
  <c r="AP285" i="6"/>
  <c r="AR285" i="6"/>
  <c r="AP278" i="6"/>
  <c r="AR278" i="6"/>
  <c r="AS278" i="6"/>
  <c r="AP265" i="6"/>
  <c r="AR265" i="6"/>
  <c r="AP250" i="6"/>
  <c r="AR250" i="6"/>
  <c r="AS250" i="6"/>
  <c r="AQ247" i="6"/>
  <c r="AP269" i="6"/>
  <c r="AR269" i="6"/>
  <c r="AQ287" i="6"/>
  <c r="AP252" i="6"/>
  <c r="AR252" i="6"/>
  <c r="AS252" i="6"/>
  <c r="AQ298" i="6"/>
  <c r="AQ265" i="6"/>
  <c r="AP262" i="6"/>
  <c r="AR262" i="6"/>
  <c r="AP254" i="6"/>
  <c r="AR254" i="6"/>
  <c r="AS254" i="6"/>
  <c r="AQ290" i="6"/>
  <c r="AS290" i="6"/>
  <c r="AQ289" i="6"/>
  <c r="AQ294" i="6"/>
  <c r="AP247" i="6"/>
  <c r="AR247" i="6"/>
  <c r="AS247" i="6"/>
  <c r="AQ275" i="6"/>
  <c r="AS275" i="6"/>
  <c r="AQ264" i="6"/>
  <c r="AQ267" i="6"/>
  <c r="AP255" i="6"/>
  <c r="AR255" i="6"/>
  <c r="AQ262" i="6"/>
  <c r="AP263" i="6"/>
  <c r="AR263" i="6"/>
  <c r="AP264" i="6"/>
  <c r="AR264" i="6"/>
  <c r="AQ253" i="6"/>
  <c r="AQ280" i="6"/>
  <c r="AP280" i="6"/>
  <c r="AR280" i="6"/>
  <c r="AS280" i="6"/>
  <c r="AQ255" i="6"/>
  <c r="AQ261" i="6"/>
  <c r="AP291" i="6"/>
  <c r="AR291" i="6"/>
  <c r="AS291" i="6"/>
  <c r="AP259" i="6"/>
  <c r="AR259" i="6"/>
  <c r="AP288" i="6"/>
  <c r="AR288" i="6"/>
  <c r="AS288" i="6"/>
  <c r="AP279" i="6"/>
  <c r="AR279" i="6"/>
  <c r="AS279" i="6"/>
  <c r="AQ256" i="6"/>
  <c r="AQ258" i="6"/>
  <c r="AS346" i="6"/>
  <c r="AS312" i="6"/>
  <c r="AS304" i="6"/>
  <c r="AS17" i="6"/>
  <c r="AS287" i="6"/>
  <c r="AS256" i="6"/>
  <c r="AU378" i="6"/>
  <c r="AW378" i="6"/>
  <c r="AV314" i="6"/>
  <c r="AU260" i="6"/>
  <c r="AW260" i="6"/>
  <c r="AV279" i="6"/>
  <c r="AU305" i="6"/>
  <c r="AW305" i="6"/>
  <c r="AU294" i="6"/>
  <c r="AW294" i="6"/>
  <c r="AV267" i="6"/>
  <c r="AU266" i="6"/>
  <c r="AW266" i="6"/>
  <c r="AV263" i="6"/>
  <c r="AV286" i="6"/>
  <c r="AU261" i="6"/>
  <c r="AW261" i="6"/>
  <c r="AV315" i="6"/>
  <c r="AU292" i="6"/>
  <c r="AW292" i="6"/>
  <c r="AU279" i="6"/>
  <c r="AW279" i="6"/>
  <c r="AX279" i="6"/>
  <c r="AU302" i="6"/>
  <c r="AW302" i="6"/>
  <c r="AU281" i="6"/>
  <c r="AW281" i="6"/>
  <c r="AV291" i="6"/>
  <c r="AU296" i="6"/>
  <c r="AW296" i="6"/>
  <c r="AV304" i="6"/>
  <c r="AU312" i="6"/>
  <c r="AW312" i="6"/>
  <c r="AV297" i="6"/>
  <c r="AV300" i="6"/>
  <c r="AU315" i="6"/>
  <c r="AW315" i="6"/>
  <c r="AV277" i="6"/>
  <c r="AV264" i="6"/>
  <c r="AV295" i="6"/>
  <c r="AV308" i="6"/>
  <c r="AU285" i="6"/>
  <c r="AW285" i="6"/>
  <c r="AV276" i="6"/>
  <c r="AU380" i="6"/>
  <c r="AW380" i="6"/>
  <c r="AV372" i="6"/>
  <c r="AU375" i="6"/>
  <c r="AW375" i="6"/>
  <c r="AV379" i="6"/>
  <c r="AU254" i="6"/>
  <c r="AW254" i="6"/>
  <c r="AU212" i="6"/>
  <c r="AW212" i="6"/>
  <c r="AV220" i="6"/>
  <c r="AU230" i="6"/>
  <c r="AW230" i="6"/>
  <c r="AU242" i="6"/>
  <c r="AW242" i="6"/>
  <c r="AV214" i="6"/>
  <c r="AV210" i="6"/>
  <c r="AU207" i="6"/>
  <c r="AW207" i="6"/>
  <c r="AX207" i="6"/>
  <c r="AV251" i="6"/>
  <c r="AU211" i="6"/>
  <c r="AW211" i="6"/>
  <c r="AV253" i="6"/>
  <c r="AV237" i="6"/>
  <c r="AV247" i="6"/>
  <c r="AV208" i="6"/>
  <c r="AV215" i="6"/>
  <c r="AU234" i="6"/>
  <c r="AW234" i="6"/>
  <c r="X52" i="6"/>
  <c r="AU244" i="6"/>
  <c r="AW244" i="6"/>
  <c r="AV244" i="6"/>
  <c r="AU243" i="6"/>
  <c r="AW243" i="6"/>
  <c r="AU249" i="6"/>
  <c r="AW249" i="6"/>
  <c r="AV216" i="6"/>
  <c r="AU221" i="6"/>
  <c r="AW221" i="6"/>
  <c r="AV238" i="6"/>
  <c r="AU257" i="6"/>
  <c r="AW257" i="6"/>
  <c r="AV206" i="6"/>
  <c r="AV249" i="6"/>
  <c r="AU248" i="6"/>
  <c r="AW248" i="6"/>
  <c r="AU239" i="6"/>
  <c r="AW239" i="6"/>
  <c r="AU224" i="6"/>
  <c r="AW224" i="6"/>
  <c r="AU245" i="6"/>
  <c r="AW245" i="6"/>
  <c r="AU206" i="6"/>
  <c r="AW206" i="6"/>
  <c r="AX206" i="6"/>
  <c r="AV241" i="6"/>
  <c r="AV252" i="6"/>
  <c r="AU228" i="6"/>
  <c r="AW228" i="6"/>
  <c r="AV211" i="6"/>
  <c r="AU205" i="6"/>
  <c r="AW205" i="6"/>
  <c r="AV232" i="6"/>
  <c r="AV217" i="6"/>
  <c r="AU233" i="6"/>
  <c r="AW233" i="6"/>
  <c r="AU229" i="6"/>
  <c r="AW229" i="6"/>
  <c r="AU210" i="6"/>
  <c r="AW210" i="6"/>
  <c r="AX210" i="6"/>
  <c r="AU217" i="6"/>
  <c r="AW217" i="6"/>
  <c r="AX217" i="6"/>
  <c r="AU253" i="6"/>
  <c r="AW253" i="6"/>
  <c r="AV209" i="6"/>
  <c r="AU231" i="6"/>
  <c r="AW231" i="6"/>
  <c r="AV229" i="6"/>
  <c r="AV207" i="6"/>
  <c r="AU251" i="6"/>
  <c r="AW251" i="6"/>
  <c r="AX251" i="6"/>
  <c r="AV218" i="6"/>
  <c r="AU256" i="6"/>
  <c r="AW256" i="6"/>
  <c r="AU223" i="6"/>
  <c r="AW223" i="6"/>
  <c r="AV234" i="6"/>
  <c r="AV250" i="6"/>
  <c r="AV227" i="6"/>
  <c r="AV256" i="6"/>
  <c r="AV282" i="6"/>
  <c r="AU290" i="6"/>
  <c r="AW290" i="6"/>
  <c r="AU298" i="6"/>
  <c r="AW298" i="6"/>
  <c r="AU280" i="6"/>
  <c r="AW280" i="6"/>
  <c r="AV275" i="6"/>
  <c r="AU288" i="6"/>
  <c r="AW288" i="6"/>
  <c r="AU270" i="6"/>
  <c r="AW270" i="6"/>
  <c r="AV296" i="6"/>
  <c r="AV293" i="6"/>
  <c r="AU265" i="6"/>
  <c r="AW265" i="6"/>
  <c r="AV280" i="6"/>
  <c r="AU269" i="6"/>
  <c r="AW269" i="6"/>
  <c r="AU278" i="6"/>
  <c r="AW278" i="6"/>
  <c r="AU303" i="6"/>
  <c r="AW303" i="6"/>
  <c r="AV303" i="6"/>
  <c r="AU274" i="6"/>
  <c r="AW274" i="6"/>
  <c r="AU287" i="6"/>
  <c r="AW287" i="6"/>
  <c r="AU263" i="6"/>
  <c r="AW263" i="6"/>
  <c r="AX263" i="6"/>
  <c r="AU308" i="6"/>
  <c r="AW308" i="6"/>
  <c r="AV271" i="6"/>
  <c r="AV262" i="6"/>
  <c r="AV285" i="6"/>
  <c r="AU299" i="6"/>
  <c r="AW299" i="6"/>
  <c r="AU276" i="6"/>
  <c r="AW276" i="6"/>
  <c r="AU277" i="6"/>
  <c r="AW277" i="6"/>
  <c r="AX277" i="6"/>
  <c r="AU313" i="6"/>
  <c r="AW313" i="6"/>
  <c r="AV269" i="6"/>
  <c r="AV375" i="6"/>
  <c r="AV377" i="6"/>
  <c r="AU379" i="6"/>
  <c r="AW379" i="6"/>
  <c r="AU222" i="6"/>
  <c r="AW222" i="6"/>
  <c r="AV225" i="6"/>
  <c r="AU259" i="6"/>
  <c r="AW259" i="6"/>
  <c r="AU226" i="6"/>
  <c r="AW226" i="6"/>
  <c r="AV236" i="6"/>
  <c r="AV254" i="6"/>
  <c r="AU240" i="6"/>
  <c r="AW240" i="6"/>
  <c r="AV243" i="6"/>
  <c r="AV224" i="6"/>
  <c r="AU236" i="6"/>
  <c r="AW236" i="6"/>
  <c r="AU213" i="6"/>
  <c r="AW213" i="6"/>
  <c r="AV258" i="6"/>
  <c r="AV235" i="6"/>
  <c r="AU372" i="6"/>
  <c r="AW372" i="6"/>
  <c r="AV222" i="6"/>
  <c r="AV213" i="6"/>
  <c r="AU250" i="6"/>
  <c r="AW250" i="6"/>
  <c r="AU218" i="6"/>
  <c r="AW218" i="6"/>
  <c r="AV205" i="6"/>
  <c r="AV228" i="6"/>
  <c r="AV246" i="6"/>
  <c r="AV231" i="6"/>
  <c r="AV239" i="6"/>
  <c r="AU241" i="6"/>
  <c r="AW241" i="6"/>
  <c r="AX241" i="6"/>
  <c r="AU220" i="6"/>
  <c r="AW220" i="6"/>
  <c r="AV245" i="6"/>
  <c r="AU232" i="6"/>
  <c r="AW232" i="6"/>
  <c r="AV212" i="6"/>
  <c r="AV230" i="6"/>
  <c r="AV221" i="6"/>
  <c r="AV226" i="6"/>
  <c r="AU237" i="6"/>
  <c r="AW237" i="6"/>
  <c r="AX237" i="6"/>
  <c r="AU227" i="6"/>
  <c r="AW227" i="6"/>
  <c r="AU216" i="6"/>
  <c r="AW216" i="6"/>
  <c r="AX216" i="6"/>
  <c r="AU371" i="6"/>
  <c r="AW371" i="6"/>
  <c r="AV326" i="6"/>
  <c r="AU319" i="6"/>
  <c r="AW319" i="6"/>
  <c r="AV362" i="6"/>
  <c r="AU348" i="6"/>
  <c r="AW348" i="6"/>
  <c r="AU323" i="6"/>
  <c r="AW323" i="6"/>
  <c r="AV339" i="6"/>
  <c r="AU367" i="6"/>
  <c r="AW367" i="6"/>
  <c r="AX367" i="6"/>
  <c r="AU352" i="6"/>
  <c r="AW352" i="6"/>
  <c r="AU345" i="6"/>
  <c r="AW345" i="6"/>
  <c r="AV336" i="6"/>
  <c r="AU353" i="6"/>
  <c r="AW353" i="6"/>
  <c r="AU340" i="6"/>
  <c r="AW340" i="6"/>
  <c r="AV337" i="6"/>
  <c r="AV317" i="6"/>
  <c r="AU338" i="6"/>
  <c r="AW338" i="6"/>
  <c r="AV370" i="6"/>
  <c r="AU365" i="6"/>
  <c r="AW365" i="6"/>
  <c r="AV328" i="6"/>
  <c r="AV352" i="6"/>
  <c r="AU334" i="6"/>
  <c r="AW334" i="6"/>
  <c r="AU366" i="6"/>
  <c r="AW366" i="6"/>
  <c r="AV363" i="6"/>
  <c r="AV322" i="6"/>
  <c r="AU364" i="6"/>
  <c r="AW364" i="6"/>
  <c r="AV341" i="6"/>
  <c r="AU336" i="6"/>
  <c r="AW336" i="6"/>
  <c r="AX336" i="6"/>
  <c r="AV342" i="6"/>
  <c r="AU327" i="6"/>
  <c r="AW327" i="6"/>
  <c r="AV354" i="6"/>
  <c r="AV360" i="6"/>
  <c r="AU342" i="6"/>
  <c r="AW342" i="6"/>
  <c r="AX342" i="6"/>
  <c r="AU357" i="6"/>
  <c r="AW357" i="6"/>
  <c r="AV347" i="6"/>
  <c r="AV367" i="6"/>
  <c r="AU347" i="6"/>
  <c r="AW347" i="6"/>
  <c r="AX347" i="6"/>
  <c r="AU363" i="6"/>
  <c r="AW363" i="6"/>
  <c r="AU358" i="6"/>
  <c r="AW358" i="6"/>
  <c r="AU343" i="6"/>
  <c r="AW343" i="6"/>
  <c r="AV332" i="6"/>
  <c r="AU355" i="6"/>
  <c r="AW355" i="6"/>
  <c r="AU329" i="6"/>
  <c r="AW329" i="6"/>
  <c r="AU349" i="6"/>
  <c r="AW349" i="6"/>
  <c r="AV364" i="6"/>
  <c r="AU360" i="6"/>
  <c r="AW360" i="6"/>
  <c r="AV316" i="6"/>
  <c r="AU317" i="6"/>
  <c r="AW317" i="6"/>
  <c r="AX317" i="6"/>
  <c r="AV325" i="6"/>
  <c r="AV327" i="6"/>
  <c r="AV344" i="6"/>
  <c r="AU337" i="6"/>
  <c r="AW337" i="6"/>
  <c r="AV357" i="6"/>
  <c r="AU341" i="6"/>
  <c r="AW341" i="6"/>
  <c r="AU373" i="6"/>
  <c r="AW373" i="6"/>
  <c r="AU374" i="6"/>
  <c r="AW374" i="6"/>
  <c r="AU258" i="6"/>
  <c r="AW258" i="6"/>
  <c r="AU255" i="6"/>
  <c r="AW255" i="6"/>
  <c r="AU238" i="6"/>
  <c r="AW238" i="6"/>
  <c r="AV242" i="6"/>
  <c r="AU225" i="6"/>
  <c r="AW225" i="6"/>
  <c r="AU215" i="6"/>
  <c r="AW215" i="6"/>
  <c r="AX215" i="6"/>
  <c r="AU209" i="6"/>
  <c r="AW209" i="6"/>
  <c r="AV240" i="6"/>
  <c r="AU246" i="6"/>
  <c r="AW246" i="6"/>
  <c r="AX246" i="6"/>
  <c r="AV257" i="6"/>
  <c r="AX257" i="6"/>
  <c r="AU219" i="6"/>
  <c r="AW219" i="6"/>
  <c r="AV255" i="6"/>
  <c r="AU247" i="6"/>
  <c r="AW247" i="6"/>
  <c r="AX247" i="6"/>
  <c r="AU208" i="6"/>
  <c r="AW208" i="6"/>
  <c r="AV248" i="6"/>
  <c r="AX248" i="6"/>
  <c r="AU214" i="6"/>
  <c r="AW214" i="6"/>
  <c r="AX214" i="6"/>
  <c r="AU252" i="6"/>
  <c r="AW252" i="6"/>
  <c r="AV233" i="6"/>
  <c r="AV259" i="6"/>
  <c r="AV223" i="6"/>
  <c r="AV219" i="6"/>
  <c r="AU235" i="6"/>
  <c r="AW235" i="6"/>
  <c r="AX235" i="6"/>
  <c r="AV351" i="6"/>
  <c r="AU331" i="6"/>
  <c r="AW331" i="6"/>
  <c r="AU370" i="6"/>
  <c r="AW370" i="6"/>
  <c r="AV333" i="6"/>
  <c r="AU324" i="6"/>
  <c r="AW324" i="6"/>
  <c r="AU322" i="6"/>
  <c r="AW322" i="6"/>
  <c r="AX322" i="6"/>
  <c r="AV323" i="6"/>
  <c r="AV365" i="6"/>
  <c r="AV355" i="6"/>
  <c r="AV330" i="6"/>
  <c r="AV318" i="6"/>
  <c r="AV348" i="6"/>
  <c r="AV331" i="6"/>
  <c r="AU332" i="6"/>
  <c r="AW332" i="6"/>
  <c r="AU318" i="6"/>
  <c r="AW318" i="6"/>
  <c r="AU359" i="6"/>
  <c r="AW359" i="6"/>
  <c r="AU333" i="6"/>
  <c r="AW333" i="6"/>
  <c r="AU351" i="6"/>
  <c r="AW351" i="6"/>
  <c r="AX351" i="6"/>
  <c r="AV343" i="6"/>
  <c r="AV368" i="6"/>
  <c r="AX368" i="6"/>
  <c r="AU361" i="6"/>
  <c r="AW361" i="6"/>
  <c r="AV369" i="6"/>
  <c r="AV371" i="6"/>
  <c r="AV359" i="6"/>
  <c r="AV346" i="6"/>
  <c r="AV334" i="6"/>
  <c r="AV324" i="6"/>
  <c r="AV361" i="6"/>
  <c r="AV340" i="6"/>
  <c r="AV366" i="6"/>
  <c r="AU368" i="6"/>
  <c r="AW368" i="6"/>
  <c r="AU330" i="6"/>
  <c r="AW330" i="6"/>
  <c r="AU369" i="6"/>
  <c r="AW369" i="6"/>
  <c r="AU354" i="6"/>
  <c r="AW354" i="6"/>
  <c r="AX354" i="6"/>
  <c r="AU320" i="6"/>
  <c r="AW320" i="6"/>
  <c r="AU316" i="6"/>
  <c r="AW316" i="6"/>
  <c r="AX316" i="6"/>
  <c r="AU356" i="6"/>
  <c r="AW356" i="6"/>
  <c r="AU350" i="6"/>
  <c r="AW350" i="6"/>
  <c r="AV319" i="6"/>
  <c r="AV349" i="6"/>
  <c r="AU335" i="6"/>
  <c r="AW335" i="6"/>
  <c r="AV358" i="6"/>
  <c r="AV345" i="6"/>
  <c r="AV353" i="6"/>
  <c r="AV335" i="6"/>
  <c r="AU326" i="6"/>
  <c r="AW326" i="6"/>
  <c r="AU346" i="6"/>
  <c r="AW346" i="6"/>
  <c r="AX346" i="6"/>
  <c r="AU344" i="6"/>
  <c r="AW344" i="6"/>
  <c r="AU362" i="6"/>
  <c r="AW362" i="6"/>
  <c r="AU325" i="6"/>
  <c r="AW325" i="6"/>
  <c r="AV356" i="6"/>
  <c r="AU321" i="6"/>
  <c r="AW321" i="6"/>
  <c r="AV338" i="6"/>
  <c r="AV321" i="6"/>
  <c r="AU328" i="6"/>
  <c r="AW328" i="6"/>
  <c r="AX328" i="6"/>
  <c r="AV350" i="6"/>
  <c r="AU339" i="6"/>
  <c r="AW339" i="6"/>
  <c r="AX339" i="6"/>
  <c r="AV329" i="6"/>
  <c r="AV320" i="6"/>
  <c r="X51" i="6"/>
  <c r="AV376" i="6"/>
  <c r="AV374" i="6"/>
  <c r="AU376" i="6"/>
  <c r="AW376" i="6"/>
  <c r="AX376" i="6"/>
  <c r="AV298" i="6"/>
  <c r="AV310" i="6"/>
  <c r="AU271" i="6"/>
  <c r="AW271" i="6"/>
  <c r="AX271" i="6"/>
  <c r="AU267" i="6"/>
  <c r="AW267" i="6"/>
  <c r="AU310" i="6"/>
  <c r="AW310" i="6"/>
  <c r="AX310" i="6"/>
  <c r="AU304" i="6"/>
  <c r="AW304" i="6"/>
  <c r="AU293" i="6"/>
  <c r="AW293" i="6"/>
  <c r="AX293" i="6"/>
  <c r="AV283" i="6"/>
  <c r="AV306" i="6"/>
  <c r="AV289" i="6"/>
  <c r="AV290" i="6"/>
  <c r="AV270" i="6"/>
  <c r="AV307" i="6"/>
  <c r="AU309" i="6"/>
  <c r="AW309" i="6"/>
  <c r="AU291" i="6"/>
  <c r="AW291" i="6"/>
  <c r="AX291" i="6"/>
  <c r="AU272" i="6"/>
  <c r="AW272" i="6"/>
  <c r="AV278" i="6"/>
  <c r="AV260" i="6"/>
  <c r="AV261" i="6"/>
  <c r="AV313" i="6"/>
  <c r="AV272" i="6"/>
  <c r="AV284" i="6"/>
  <c r="AU282" i="6"/>
  <c r="AW282" i="6"/>
  <c r="AX282" i="6"/>
  <c r="AV309" i="6"/>
  <c r="AV305" i="6"/>
  <c r="AU301" i="6"/>
  <c r="AW301" i="6"/>
  <c r="AU283" i="6"/>
  <c r="AW283" i="6"/>
  <c r="AX283" i="6"/>
  <c r="AV268" i="6"/>
  <c r="AV292" i="6"/>
  <c r="AV380" i="6"/>
  <c r="AV378" i="6"/>
  <c r="AV373" i="6"/>
  <c r="AU377" i="6"/>
  <c r="AW377" i="6"/>
  <c r="AX377" i="6"/>
  <c r="AV266" i="6"/>
  <c r="AU300" i="6"/>
  <c r="AW300" i="6"/>
  <c r="AX300" i="6"/>
  <c r="AU268" i="6"/>
  <c r="AW268" i="6"/>
  <c r="AX268" i="6"/>
  <c r="AU311" i="6"/>
  <c r="AW311" i="6"/>
  <c r="AU306" i="6"/>
  <c r="AW306" i="6"/>
  <c r="AU295" i="6"/>
  <c r="AW295" i="6"/>
  <c r="AX295" i="6"/>
  <c r="AU289" i="6"/>
  <c r="AW289" i="6"/>
  <c r="AX289" i="6"/>
  <c r="AU273" i="6"/>
  <c r="AW273" i="6"/>
  <c r="AV274" i="6"/>
  <c r="AU286" i="6"/>
  <c r="AW286" i="6"/>
  <c r="AV302" i="6"/>
  <c r="AU262" i="6"/>
  <c r="AW262" i="6"/>
  <c r="AU264" i="6"/>
  <c r="AW264" i="6"/>
  <c r="AV299" i="6"/>
  <c r="AV287" i="6"/>
  <c r="AV311" i="6"/>
  <c r="AU314" i="6"/>
  <c r="AW314" i="6"/>
  <c r="AV288" i="6"/>
  <c r="AV265" i="6"/>
  <c r="AU275" i="6"/>
  <c r="AW275" i="6"/>
  <c r="AX275" i="6"/>
  <c r="AV294" i="6"/>
  <c r="AU297" i="6"/>
  <c r="AW297" i="6"/>
  <c r="AX297" i="6"/>
  <c r="AU307" i="6"/>
  <c r="AW307" i="6"/>
  <c r="AV312" i="6"/>
  <c r="AV301" i="6"/>
  <c r="AX301" i="6"/>
  <c r="AU284" i="6"/>
  <c r="AW284" i="6"/>
  <c r="AV273" i="6"/>
  <c r="AV281" i="6"/>
  <c r="I22" i="6"/>
  <c r="I21" i="6"/>
  <c r="AA37" i="6"/>
  <c r="AA36" i="6"/>
  <c r="AQ373" i="6"/>
  <c r="AP369" i="6"/>
  <c r="AR369" i="6"/>
  <c r="AQ365" i="6"/>
  <c r="AP363" i="6"/>
  <c r="AR363" i="6"/>
  <c r="AQ364" i="6"/>
  <c r="AQ359" i="6"/>
  <c r="AQ363" i="6"/>
  <c r="AQ360" i="6"/>
  <c r="AP359" i="6"/>
  <c r="AR359" i="6"/>
  <c r="AQ367" i="6"/>
  <c r="AQ361" i="6"/>
  <c r="AQ368" i="6"/>
  <c r="AQ371" i="6"/>
  <c r="AQ366" i="6"/>
  <c r="AQ358" i="6"/>
  <c r="AP371" i="6"/>
  <c r="AR371" i="6"/>
  <c r="AQ378" i="6"/>
  <c r="AP361" i="6"/>
  <c r="AR361" i="6"/>
  <c r="AQ362" i="6"/>
  <c r="AP370" i="6"/>
  <c r="AR370" i="6"/>
  <c r="AP375" i="6"/>
  <c r="AR375" i="6"/>
  <c r="AQ377" i="6"/>
  <c r="AP362" i="6"/>
  <c r="AR362" i="6"/>
  <c r="AS362" i="6"/>
  <c r="AP377" i="6"/>
  <c r="AR377" i="6"/>
  <c r="AS377" i="6"/>
  <c r="AP368" i="6"/>
  <c r="AR368" i="6"/>
  <c r="AP379" i="6"/>
  <c r="AR379" i="6"/>
  <c r="AQ376" i="6"/>
  <c r="AQ379" i="6"/>
  <c r="AQ374" i="6"/>
  <c r="AP372" i="6"/>
  <c r="AR372" i="6"/>
  <c r="AP374" i="6"/>
  <c r="AR374" i="6"/>
  <c r="AS374" i="6"/>
  <c r="AP376" i="6"/>
  <c r="AR376" i="6"/>
  <c r="AP360" i="6"/>
  <c r="AR360" i="6"/>
  <c r="AQ372" i="6"/>
  <c r="AS372" i="6"/>
  <c r="AP364" i="6"/>
  <c r="AR364" i="6"/>
  <c r="AS364" i="6"/>
  <c r="AQ375" i="6"/>
  <c r="AS375" i="6"/>
  <c r="AQ370" i="6"/>
  <c r="AP378" i="6"/>
  <c r="AR378" i="6"/>
  <c r="AQ369" i="6"/>
  <c r="AP373" i="6"/>
  <c r="AR373" i="6"/>
  <c r="AP366" i="6"/>
  <c r="AR366" i="6"/>
  <c r="AP367" i="6"/>
  <c r="AR367" i="6"/>
  <c r="AS367" i="6"/>
  <c r="AP365" i="6"/>
  <c r="AR365" i="6"/>
  <c r="AS365" i="6"/>
  <c r="AP380" i="6"/>
  <c r="AR380" i="6"/>
  <c r="AP358" i="6"/>
  <c r="AR358" i="6"/>
  <c r="AS358" i="6"/>
  <c r="AQ380" i="6"/>
  <c r="AS173" i="6"/>
  <c r="AS37" i="6"/>
  <c r="AS88" i="6"/>
  <c r="AS82" i="6"/>
  <c r="I227" i="6"/>
  <c r="I249" i="6"/>
  <c r="I220" i="6"/>
  <c r="I334" i="6"/>
  <c r="AS284" i="6"/>
  <c r="AA52" i="6"/>
  <c r="AA51" i="6"/>
  <c r="I67" i="6"/>
  <c r="I40" i="6"/>
  <c r="I112" i="6"/>
  <c r="I48" i="6"/>
  <c r="I93" i="6"/>
  <c r="I135" i="6"/>
  <c r="I147" i="6"/>
  <c r="I34" i="6"/>
  <c r="I280" i="6"/>
  <c r="AS109" i="6"/>
  <c r="AR15" i="6"/>
  <c r="AS157" i="6"/>
  <c r="AS73" i="6"/>
  <c r="AS137" i="6"/>
  <c r="AS184" i="6"/>
  <c r="AS103" i="6"/>
  <c r="AS178" i="6"/>
  <c r="AS77" i="6"/>
  <c r="AS127" i="6"/>
  <c r="I337" i="6"/>
  <c r="I351" i="6"/>
  <c r="I305" i="6"/>
  <c r="I273" i="6"/>
  <c r="P52" i="6"/>
  <c r="AU121" i="6"/>
  <c r="AW121" i="6"/>
  <c r="AU95" i="6"/>
  <c r="AW95" i="6"/>
  <c r="AU179" i="6"/>
  <c r="AW179" i="6"/>
  <c r="AV124" i="6"/>
  <c r="AV107" i="6"/>
  <c r="AV175" i="6"/>
  <c r="AU102" i="6"/>
  <c r="AW102" i="6"/>
  <c r="AU177" i="6"/>
  <c r="AW177" i="6"/>
  <c r="AV108" i="6"/>
  <c r="AV157" i="6"/>
  <c r="AU146" i="6"/>
  <c r="AW146" i="6"/>
  <c r="AU124" i="6"/>
  <c r="AW124" i="6"/>
  <c r="AX124" i="6"/>
  <c r="AU110" i="6"/>
  <c r="AW110" i="6"/>
  <c r="AU166" i="6"/>
  <c r="AW166" i="6"/>
  <c r="AV104" i="6"/>
  <c r="AU153" i="6"/>
  <c r="AW153" i="6"/>
  <c r="AV203" i="6"/>
  <c r="AV184" i="6"/>
  <c r="AV172" i="6"/>
  <c r="AU152" i="6"/>
  <c r="AW152" i="6"/>
  <c r="AU134" i="6"/>
  <c r="AW134" i="6"/>
  <c r="AV202" i="6"/>
  <c r="AV187" i="6"/>
  <c r="AV100" i="6"/>
  <c r="AV133" i="6"/>
  <c r="AU163" i="6"/>
  <c r="AW163" i="6"/>
  <c r="AV134" i="6"/>
  <c r="AV127" i="6"/>
  <c r="AV190" i="6"/>
  <c r="AU136" i="6"/>
  <c r="AW136" i="6"/>
  <c r="AU184" i="6"/>
  <c r="AW184" i="6"/>
  <c r="AV149" i="6"/>
  <c r="AU157" i="6"/>
  <c r="AW157" i="6"/>
  <c r="AX157" i="6"/>
  <c r="AU173" i="6"/>
  <c r="AW173" i="6"/>
  <c r="AV141" i="6"/>
  <c r="AU139" i="6"/>
  <c r="AW139" i="6"/>
  <c r="AV183" i="6"/>
  <c r="AU97" i="6"/>
  <c r="AW97" i="6"/>
  <c r="AV158" i="6"/>
  <c r="AV129" i="6"/>
  <c r="AU193" i="6"/>
  <c r="AW193" i="6"/>
  <c r="AV147" i="6"/>
  <c r="AU133" i="6"/>
  <c r="AW133" i="6"/>
  <c r="AX133" i="6"/>
  <c r="AV193" i="6"/>
  <c r="AX193" i="6"/>
  <c r="AV186" i="6"/>
  <c r="AV154" i="6"/>
  <c r="AU156" i="6"/>
  <c r="AW156" i="6"/>
  <c r="AU116" i="6"/>
  <c r="AW116" i="6"/>
  <c r="AV132" i="6"/>
  <c r="AU203" i="6"/>
  <c r="AW203" i="6"/>
  <c r="AX203" i="6"/>
  <c r="AU189" i="6"/>
  <c r="AW189" i="6"/>
  <c r="AV102" i="6"/>
  <c r="AU148" i="6"/>
  <c r="AW148" i="6"/>
  <c r="AV161" i="6"/>
  <c r="AU183" i="6"/>
  <c r="AW183" i="6"/>
  <c r="AV106" i="6"/>
  <c r="AU196" i="6"/>
  <c r="AW196" i="6"/>
  <c r="AU155" i="6"/>
  <c r="AW155" i="6"/>
  <c r="AV98" i="6"/>
  <c r="AV64" i="6"/>
  <c r="AU91" i="6"/>
  <c r="AW91" i="6"/>
  <c r="AU65" i="6"/>
  <c r="AW65" i="6"/>
  <c r="AX65" i="6"/>
  <c r="AV88" i="6"/>
  <c r="AV54" i="6"/>
  <c r="AU141" i="6"/>
  <c r="AW141" i="6"/>
  <c r="AX141" i="6"/>
  <c r="AU160" i="6"/>
  <c r="AW160" i="6"/>
  <c r="AU82" i="6"/>
  <c r="AW82" i="6"/>
  <c r="AV77" i="6"/>
  <c r="AU57" i="6"/>
  <c r="AW57" i="6"/>
  <c r="AV36" i="6"/>
  <c r="AU161" i="6"/>
  <c r="AW161" i="6"/>
  <c r="AX161" i="6"/>
  <c r="AV112" i="6"/>
  <c r="AV82" i="6"/>
  <c r="AU71" i="6"/>
  <c r="AW71" i="6"/>
  <c r="AV79" i="6"/>
  <c r="AV162" i="6"/>
  <c r="AU103" i="6"/>
  <c r="AW103" i="6"/>
  <c r="AV165" i="6"/>
  <c r="AU185" i="6"/>
  <c r="AW185" i="6"/>
  <c r="AX185" i="6"/>
  <c r="AU190" i="6"/>
  <c r="AW190" i="6"/>
  <c r="AX190" i="6"/>
  <c r="AU77" i="6"/>
  <c r="AW77" i="6"/>
  <c r="AU61" i="6"/>
  <c r="AW61" i="6"/>
  <c r="AU45" i="6"/>
  <c r="AW45" i="6"/>
  <c r="AV86" i="6"/>
  <c r="AV51" i="6"/>
  <c r="AU81" i="6"/>
  <c r="AW81" i="6"/>
  <c r="AU49" i="6"/>
  <c r="AW49" i="6"/>
  <c r="AV65" i="6"/>
  <c r="AV91" i="6"/>
  <c r="AV96" i="6"/>
  <c r="AU67" i="6"/>
  <c r="AW67" i="6"/>
  <c r="AX67" i="6"/>
  <c r="AV53" i="6"/>
  <c r="AU55" i="6"/>
  <c r="AW55" i="6"/>
  <c r="AV60" i="6"/>
  <c r="AU164" i="6"/>
  <c r="AW164" i="6"/>
  <c r="AU93" i="6"/>
  <c r="AW93" i="6"/>
  <c r="AU84" i="6"/>
  <c r="AW84" i="6"/>
  <c r="AV74" i="6"/>
  <c r="AU41" i="6"/>
  <c r="AW41" i="6"/>
  <c r="AU34" i="6"/>
  <c r="AW34" i="6"/>
  <c r="AU15" i="6"/>
  <c r="AW15" i="6"/>
  <c r="AX15" i="6"/>
  <c r="AU20" i="6"/>
  <c r="AW20" i="6"/>
  <c r="AV35" i="6"/>
  <c r="AV23" i="6"/>
  <c r="AU22" i="6"/>
  <c r="AW22" i="6"/>
  <c r="AV22" i="6"/>
  <c r="AV34" i="6"/>
  <c r="AV21" i="6"/>
  <c r="AV26" i="6"/>
  <c r="AV33" i="6"/>
  <c r="AU29" i="6"/>
  <c r="AW29" i="6"/>
  <c r="AU27" i="6"/>
  <c r="AW27" i="6"/>
  <c r="AV24" i="6"/>
  <c r="AU24" i="6"/>
  <c r="AW24" i="6"/>
  <c r="AU21" i="6"/>
  <c r="AW21" i="6"/>
  <c r="AV27" i="6"/>
  <c r="AU30" i="6"/>
  <c r="AW30" i="6"/>
  <c r="AV16" i="6"/>
  <c r="AU23" i="6"/>
  <c r="AW23" i="6"/>
  <c r="AX23" i="6"/>
  <c r="AU17" i="6"/>
  <c r="AW17" i="6"/>
  <c r="AV173" i="6"/>
  <c r="AU192" i="6"/>
  <c r="AW192" i="6"/>
  <c r="AU176" i="6"/>
  <c r="AW176" i="6"/>
  <c r="AV159" i="6"/>
  <c r="AV140" i="6"/>
  <c r="AV113" i="6"/>
  <c r="AU115" i="6"/>
  <c r="AW115" i="6"/>
  <c r="AV169" i="6"/>
  <c r="AU129" i="6"/>
  <c r="AW129" i="6"/>
  <c r="AX129" i="6"/>
  <c r="AV153" i="6"/>
  <c r="AU145" i="6"/>
  <c r="AW145" i="6"/>
  <c r="AV171" i="6"/>
  <c r="AV119" i="6"/>
  <c r="AV185" i="6"/>
  <c r="AV125" i="6"/>
  <c r="AV122" i="6"/>
  <c r="AU194" i="6"/>
  <c r="AW194" i="6"/>
  <c r="AV194" i="6"/>
  <c r="AV111" i="6"/>
  <c r="AV198" i="6"/>
  <c r="AV80" i="6"/>
  <c r="AV48" i="6"/>
  <c r="AU80" i="6"/>
  <c r="AW80" i="6"/>
  <c r="AX80" i="6"/>
  <c r="AU48" i="6"/>
  <c r="AW48" i="6"/>
  <c r="AX48" i="6"/>
  <c r="AV70" i="6"/>
  <c r="AV38" i="6"/>
  <c r="AV177" i="6"/>
  <c r="AX177" i="6"/>
  <c r="AU88" i="6"/>
  <c r="AW88" i="6"/>
  <c r="AX88" i="6"/>
  <c r="AU50" i="6"/>
  <c r="AW50" i="6"/>
  <c r="AV45" i="6"/>
  <c r="AV68" i="6"/>
  <c r="AX68" i="6"/>
  <c r="AU105" i="6"/>
  <c r="AW105" i="6"/>
  <c r="AV191" i="6"/>
  <c r="AX191" i="6"/>
  <c r="AU68" i="6"/>
  <c r="AW68" i="6"/>
  <c r="AV50" i="6"/>
  <c r="AU56" i="6"/>
  <c r="AW56" i="6"/>
  <c r="AV47" i="6"/>
  <c r="AU125" i="6"/>
  <c r="AW125" i="6"/>
  <c r="AU168" i="6"/>
  <c r="AW168" i="6"/>
  <c r="AU172" i="6"/>
  <c r="AW172" i="6"/>
  <c r="AX172" i="6"/>
  <c r="AU107" i="6"/>
  <c r="AW107" i="6"/>
  <c r="AV123" i="6"/>
  <c r="AU75" i="6"/>
  <c r="AW75" i="6"/>
  <c r="AU59" i="6"/>
  <c r="AW59" i="6"/>
  <c r="AU43" i="6"/>
  <c r="AW43" i="6"/>
  <c r="AV67" i="6"/>
  <c r="AV87" i="6"/>
  <c r="AU64" i="6"/>
  <c r="AW64" i="6"/>
  <c r="AV81" i="6"/>
  <c r="AV49" i="6"/>
  <c r="AU132" i="6"/>
  <c r="AW132" i="6"/>
  <c r="AX132" i="6"/>
  <c r="AV144" i="6"/>
  <c r="AV90" i="6"/>
  <c r="AU78" i="6"/>
  <c r="AW78" i="6"/>
  <c r="AU40" i="6"/>
  <c r="AW40" i="6"/>
  <c r="AU149" i="6"/>
  <c r="AW149" i="6"/>
  <c r="AV105" i="6"/>
  <c r="AU53" i="6"/>
  <c r="AW53" i="6"/>
  <c r="AX53" i="6"/>
  <c r="AV55" i="6"/>
  <c r="AU92" i="6"/>
  <c r="AW92" i="6"/>
  <c r="AV42" i="6"/>
  <c r="AV32" i="6"/>
  <c r="AU18" i="6"/>
  <c r="AW18" i="6"/>
  <c r="AU33" i="6"/>
  <c r="AW33" i="6"/>
  <c r="AX33" i="6"/>
  <c r="AU32" i="6"/>
  <c r="AW32" i="6"/>
  <c r="AV15" i="6"/>
  <c r="AU35" i="6"/>
  <c r="AW35" i="6"/>
  <c r="AU26" i="6"/>
  <c r="AW26" i="6"/>
  <c r="AV20" i="6"/>
  <c r="AX20" i="6"/>
  <c r="AU31" i="6"/>
  <c r="AW31" i="6"/>
  <c r="AV29" i="6"/>
  <c r="AV18" i="6"/>
  <c r="AV28" i="6"/>
  <c r="AU16" i="6"/>
  <c r="AV25" i="6"/>
  <c r="AU25" i="6"/>
  <c r="AW25" i="6"/>
  <c r="AV31" i="6"/>
  <c r="AV19" i="6"/>
  <c r="AV17" i="6"/>
  <c r="AU28" i="6"/>
  <c r="AW28" i="6"/>
  <c r="AU19" i="6"/>
  <c r="AW19" i="6"/>
  <c r="AV30" i="6"/>
  <c r="AV160" i="6"/>
  <c r="AX160" i="6"/>
  <c r="AU126" i="6"/>
  <c r="AW126" i="6"/>
  <c r="AU99" i="6"/>
  <c r="AW99" i="6"/>
  <c r="AV176" i="6"/>
  <c r="AU106" i="6"/>
  <c r="AW106" i="6"/>
  <c r="AV199" i="6"/>
  <c r="AU175" i="6"/>
  <c r="AW175" i="6"/>
  <c r="AX175" i="6"/>
  <c r="AV110" i="6"/>
  <c r="AV101" i="6"/>
  <c r="AU165" i="6"/>
  <c r="AW165" i="6"/>
  <c r="AX165" i="6"/>
  <c r="AV201" i="6"/>
  <c r="AV156" i="6"/>
  <c r="AV94" i="6"/>
  <c r="AV93" i="6"/>
  <c r="AU140" i="6"/>
  <c r="AW140" i="6"/>
  <c r="AU122" i="6"/>
  <c r="AW122" i="6"/>
  <c r="AX122" i="6"/>
  <c r="AU104" i="6"/>
  <c r="AW104" i="6"/>
  <c r="AX104" i="6"/>
  <c r="AV197" i="6"/>
  <c r="AV99" i="6"/>
  <c r="AU144" i="6"/>
  <c r="AW144" i="6"/>
  <c r="AX144" i="6"/>
  <c r="AV181" i="6"/>
  <c r="AV103" i="6"/>
  <c r="AV189" i="6"/>
  <c r="AU150" i="6"/>
  <c r="AW150" i="6"/>
  <c r="AU119" i="6"/>
  <c r="AW119" i="6"/>
  <c r="AU195" i="6"/>
  <c r="AW195" i="6"/>
  <c r="AV148" i="6"/>
  <c r="AV151" i="6"/>
  <c r="AV137" i="6"/>
  <c r="AU199" i="6"/>
  <c r="AW199" i="6"/>
  <c r="AU169" i="6"/>
  <c r="AW169" i="6"/>
  <c r="AX169" i="6"/>
  <c r="AU120" i="6"/>
  <c r="AW120" i="6"/>
  <c r="AV196" i="6"/>
  <c r="AU159" i="6"/>
  <c r="AW159" i="6"/>
  <c r="AX159" i="6"/>
  <c r="AV116" i="6"/>
  <c r="AV95" i="6"/>
  <c r="AU158" i="6"/>
  <c r="AW158" i="6"/>
  <c r="AX158" i="6"/>
  <c r="AU202" i="6"/>
  <c r="AW202" i="6"/>
  <c r="AU170" i="6"/>
  <c r="AW170" i="6"/>
  <c r="AV152" i="6"/>
  <c r="AU178" i="6"/>
  <c r="AW178" i="6"/>
  <c r="AU109" i="6"/>
  <c r="AW109" i="6"/>
  <c r="AV138" i="6"/>
  <c r="AV145" i="6"/>
  <c r="AU118" i="6"/>
  <c r="AW118" i="6"/>
  <c r="AV114" i="6"/>
  <c r="AU142" i="6"/>
  <c r="AW142" i="6"/>
  <c r="AV109" i="6"/>
  <c r="AV56" i="6"/>
  <c r="AU90" i="6"/>
  <c r="AW90" i="6"/>
  <c r="AU63" i="6"/>
  <c r="AW63" i="6"/>
  <c r="AV78" i="6"/>
  <c r="AV46" i="6"/>
  <c r="AU113" i="6"/>
  <c r="AW113" i="6"/>
  <c r="AX113" i="6"/>
  <c r="AV155" i="6"/>
  <c r="AU69" i="6"/>
  <c r="AW69" i="6"/>
  <c r="AV61" i="6"/>
  <c r="AV84" i="6"/>
  <c r="AU137" i="6"/>
  <c r="AW137" i="6"/>
  <c r="AX137" i="6"/>
  <c r="AV143" i="6"/>
  <c r="AU89" i="6"/>
  <c r="AW89" i="6"/>
  <c r="AV66" i="6"/>
  <c r="AU62" i="6"/>
  <c r="AW62" i="6"/>
  <c r="AV63" i="6"/>
  <c r="AU135" i="6"/>
  <c r="AW135" i="6"/>
  <c r="AU182" i="6"/>
  <c r="AW182" i="6"/>
  <c r="AV146" i="6"/>
  <c r="AU171" i="6"/>
  <c r="AW171" i="6"/>
  <c r="AX171" i="6"/>
  <c r="AV130" i="6"/>
  <c r="AU76" i="6"/>
  <c r="AW76" i="6"/>
  <c r="AU60" i="6"/>
  <c r="AW60" i="6"/>
  <c r="AX60" i="6"/>
  <c r="AU44" i="6"/>
  <c r="AW44" i="6"/>
  <c r="AV75" i="6"/>
  <c r="AV43" i="6"/>
  <c r="AU79" i="6"/>
  <c r="AW79" i="6"/>
  <c r="AU47" i="6"/>
  <c r="AW47" i="6"/>
  <c r="AV57" i="6"/>
  <c r="AV178" i="6"/>
  <c r="AV163" i="6"/>
  <c r="AU52" i="6"/>
  <c r="AW52" i="6"/>
  <c r="AV37" i="6"/>
  <c r="AU46" i="6"/>
  <c r="AW46" i="6"/>
  <c r="AV44" i="6"/>
  <c r="AV128" i="6"/>
  <c r="AV182" i="6"/>
  <c r="AU66" i="6"/>
  <c r="AW66" i="6"/>
  <c r="AX66" i="6"/>
  <c r="AV58" i="6"/>
  <c r="AV71" i="6"/>
  <c r="AV192" i="6"/>
  <c r="AU131" i="6"/>
  <c r="AW131" i="6"/>
  <c r="AU108" i="6"/>
  <c r="AW108" i="6"/>
  <c r="AU128" i="6"/>
  <c r="AW128" i="6"/>
  <c r="AU96" i="6"/>
  <c r="AW96" i="6"/>
  <c r="AV167" i="6"/>
  <c r="AV142" i="6"/>
  <c r="AV139" i="6"/>
  <c r="AV195" i="6"/>
  <c r="AU117" i="6"/>
  <c r="AW117" i="6"/>
  <c r="AV166" i="6"/>
  <c r="AV126" i="6"/>
  <c r="AV115" i="6"/>
  <c r="AV174" i="6"/>
  <c r="AU130" i="6"/>
  <c r="AW130" i="6"/>
  <c r="AU112" i="6"/>
  <c r="AW112" i="6"/>
  <c r="AX112" i="6"/>
  <c r="AU180" i="6"/>
  <c r="AW180" i="6"/>
  <c r="AV136" i="6"/>
  <c r="AU167" i="6"/>
  <c r="AW167" i="6"/>
  <c r="AU98" i="6"/>
  <c r="AW98" i="6"/>
  <c r="AX98" i="6"/>
  <c r="AV120" i="6"/>
  <c r="AV188" i="6"/>
  <c r="AU154" i="6"/>
  <c r="AW154" i="6"/>
  <c r="AU143" i="6"/>
  <c r="AW143" i="6"/>
  <c r="AU94" i="6"/>
  <c r="AW94" i="6"/>
  <c r="AX94" i="6"/>
  <c r="AU162" i="6"/>
  <c r="AW162" i="6"/>
  <c r="AX162" i="6"/>
  <c r="AV118" i="6"/>
  <c r="AU174" i="6"/>
  <c r="AW174" i="6"/>
  <c r="AU201" i="6"/>
  <c r="AW201" i="6"/>
  <c r="AX201" i="6"/>
  <c r="AU187" i="6"/>
  <c r="AW187" i="6"/>
  <c r="AX187" i="6"/>
  <c r="AU127" i="6"/>
  <c r="AW127" i="6"/>
  <c r="AU101" i="6"/>
  <c r="AW101" i="6"/>
  <c r="AV170" i="6"/>
  <c r="AV150" i="6"/>
  <c r="AV180" i="6"/>
  <c r="AV121" i="6"/>
  <c r="AU138" i="6"/>
  <c r="AW138" i="6"/>
  <c r="AU198" i="6"/>
  <c r="AW198" i="6"/>
  <c r="AU188" i="6"/>
  <c r="AW188" i="6"/>
  <c r="AV131" i="6"/>
  <c r="AV179" i="6"/>
  <c r="AV168" i="6"/>
  <c r="AV135" i="6"/>
  <c r="AX135" i="6"/>
  <c r="AU147" i="6"/>
  <c r="AW147" i="6"/>
  <c r="AV200" i="6"/>
  <c r="AU197" i="6"/>
  <c r="AW197" i="6"/>
  <c r="AV164" i="6"/>
  <c r="AV72" i="6"/>
  <c r="AV40" i="6"/>
  <c r="AU70" i="6"/>
  <c r="AW70" i="6"/>
  <c r="AU38" i="6"/>
  <c r="AW38" i="6"/>
  <c r="AV62" i="6"/>
  <c r="AV89" i="6"/>
  <c r="AX89" i="6"/>
  <c r="AU181" i="6"/>
  <c r="AW181" i="6"/>
  <c r="AU85" i="6"/>
  <c r="AW85" i="6"/>
  <c r="AU37" i="6"/>
  <c r="AW37" i="6"/>
  <c r="AU86" i="6"/>
  <c r="AW86" i="6"/>
  <c r="AV52" i="6"/>
  <c r="AU186" i="6"/>
  <c r="AW186" i="6"/>
  <c r="AX186" i="6"/>
  <c r="AU114" i="6"/>
  <c r="AW114" i="6"/>
  <c r="AU51" i="6"/>
  <c r="AW51" i="6"/>
  <c r="AX51" i="6"/>
  <c r="AV85" i="6"/>
  <c r="AU39" i="6"/>
  <c r="AW39" i="6"/>
  <c r="AV83" i="6"/>
  <c r="AU111" i="6"/>
  <c r="AW111" i="6"/>
  <c r="AX111" i="6"/>
  <c r="AU191" i="6"/>
  <c r="AW191" i="6"/>
  <c r="AV117" i="6"/>
  <c r="AU100" i="6"/>
  <c r="AW100" i="6"/>
  <c r="AV92" i="6"/>
  <c r="AU74" i="6"/>
  <c r="AW74" i="6"/>
  <c r="AU58" i="6"/>
  <c r="AW58" i="6"/>
  <c r="AX58" i="6"/>
  <c r="AU42" i="6"/>
  <c r="AW42" i="6"/>
  <c r="AV59" i="6"/>
  <c r="AX59" i="6"/>
  <c r="AU83" i="6"/>
  <c r="AW83" i="6"/>
  <c r="AX83" i="6"/>
  <c r="AU54" i="6"/>
  <c r="AW54" i="6"/>
  <c r="AV73" i="6"/>
  <c r="AV41" i="6"/>
  <c r="AU200" i="6"/>
  <c r="AW200" i="6"/>
  <c r="AV97" i="6"/>
  <c r="AV69" i="6"/>
  <c r="AU72" i="6"/>
  <c r="AW72" i="6"/>
  <c r="AX72" i="6"/>
  <c r="AV76" i="6"/>
  <c r="AU123" i="6"/>
  <c r="AW123" i="6"/>
  <c r="AX123" i="6"/>
  <c r="AU151" i="6"/>
  <c r="AW151" i="6"/>
  <c r="AU87" i="6"/>
  <c r="AW87" i="6"/>
  <c r="AX87" i="6"/>
  <c r="AU36" i="6"/>
  <c r="AW36" i="6"/>
  <c r="AX36" i="6"/>
  <c r="AU73" i="6"/>
  <c r="AW73" i="6"/>
  <c r="AV39" i="6"/>
  <c r="U51" i="6"/>
  <c r="AV204" i="6"/>
  <c r="AU204" i="6"/>
  <c r="AW204" i="6"/>
  <c r="U52" i="6"/>
  <c r="I294" i="6"/>
  <c r="I302" i="6"/>
  <c r="AX101" i="6"/>
  <c r="AX24" i="6"/>
  <c r="AX116" i="6"/>
  <c r="AX314" i="6"/>
  <c r="AX370" i="6"/>
  <c r="AX219" i="6"/>
  <c r="AX261" i="6"/>
  <c r="AX164" i="6"/>
  <c r="AX189" i="6"/>
  <c r="AX343" i="6"/>
  <c r="C54" i="27"/>
  <c r="H25" i="27"/>
  <c r="H30" i="27"/>
  <c r="H22" i="27"/>
  <c r="H29" i="27"/>
  <c r="J55" i="27"/>
  <c r="BN14" i="6"/>
  <c r="F55" i="27"/>
  <c r="U55" i="27"/>
  <c r="BQ14" i="6"/>
  <c r="K55" i="27"/>
  <c r="X55" i="27"/>
  <c r="BR14" i="6"/>
  <c r="Y55" i="27"/>
  <c r="L55" i="27"/>
  <c r="T55" i="27"/>
  <c r="E55" i="27"/>
  <c r="BM14" i="6"/>
  <c r="D55" i="27"/>
  <c r="S55" i="27"/>
  <c r="BL14" i="6"/>
  <c r="M55" i="27"/>
  <c r="Z55" i="27"/>
  <c r="BS14" i="6"/>
  <c r="BT14" i="6"/>
  <c r="AA55" i="27"/>
  <c r="C55" i="27"/>
  <c r="BK14" i="6"/>
  <c r="R55" i="27"/>
  <c r="Q55" i="27"/>
  <c r="BJ14" i="6"/>
  <c r="I144" i="6"/>
  <c r="I262" i="6"/>
  <c r="I260" i="6"/>
  <c r="I217" i="6"/>
  <c r="AX196" i="6"/>
  <c r="AS289" i="6"/>
  <c r="I122" i="6"/>
  <c r="AX181" i="6"/>
  <c r="AX46" i="6"/>
  <c r="AX26" i="6"/>
  <c r="AX78" i="6"/>
  <c r="AX264" i="6"/>
  <c r="AX302" i="6"/>
  <c r="AX260" i="6"/>
  <c r="AX304" i="6"/>
  <c r="AX267" i="6"/>
  <c r="AX252" i="6"/>
  <c r="AX208" i="6"/>
  <c r="AX225" i="6"/>
  <c r="AX238" i="6"/>
  <c r="AX258" i="6"/>
  <c r="AX299" i="6"/>
  <c r="AX308" i="6"/>
  <c r="AX278" i="6"/>
  <c r="AX205" i="6"/>
  <c r="AX245" i="6"/>
  <c r="I191" i="6"/>
  <c r="I200" i="6"/>
  <c r="I349" i="6"/>
  <c r="I358" i="6"/>
  <c r="I53" i="6"/>
  <c r="I111" i="6"/>
  <c r="I81" i="6"/>
  <c r="I70" i="6"/>
  <c r="I68" i="6"/>
  <c r="AS233" i="6"/>
  <c r="AS341" i="6"/>
  <c r="I108" i="6"/>
  <c r="I173" i="6"/>
  <c r="I163" i="6"/>
  <c r="I95" i="6"/>
  <c r="I86" i="6"/>
  <c r="I72" i="6"/>
  <c r="I166" i="6"/>
  <c r="I30" i="6"/>
  <c r="I139" i="6"/>
  <c r="I35" i="6"/>
  <c r="I237" i="6"/>
  <c r="I275" i="6"/>
  <c r="I269" i="6"/>
  <c r="I285" i="6"/>
  <c r="AS21" i="6"/>
  <c r="AS78" i="6"/>
  <c r="AS123" i="6"/>
  <c r="AS155" i="6"/>
  <c r="AS64" i="6"/>
  <c r="AS55" i="6"/>
  <c r="AS146" i="6"/>
  <c r="AS138" i="6"/>
  <c r="AS160" i="6"/>
  <c r="AS151" i="6"/>
  <c r="AS59" i="6"/>
  <c r="AS74" i="6"/>
  <c r="I321" i="6"/>
  <c r="I197" i="6"/>
  <c r="I367" i="6"/>
  <c r="I363" i="6"/>
  <c r="I229" i="6"/>
  <c r="I290" i="6"/>
  <c r="I295" i="6"/>
  <c r="I307" i="6"/>
  <c r="I298" i="6"/>
  <c r="I304" i="6"/>
  <c r="I281" i="6"/>
  <c r="I371" i="6"/>
  <c r="I323" i="6"/>
  <c r="I313" i="6"/>
  <c r="AS311" i="6"/>
  <c r="AS339" i="6"/>
  <c r="AS327" i="6"/>
  <c r="AS336" i="6"/>
  <c r="AX176" i="6"/>
  <c r="AX222" i="6"/>
  <c r="AS99" i="6"/>
  <c r="AS217" i="6"/>
  <c r="AS204" i="6"/>
  <c r="AX114" i="6"/>
  <c r="AX70" i="6"/>
  <c r="AX197" i="6"/>
  <c r="AX143" i="6"/>
  <c r="AX128" i="6"/>
  <c r="AX79" i="6"/>
  <c r="AX178" i="6"/>
  <c r="AX119" i="6"/>
  <c r="AX19" i="6"/>
  <c r="AX35" i="6"/>
  <c r="AX192" i="6"/>
  <c r="AX27" i="6"/>
  <c r="AX34" i="6"/>
  <c r="AS373" i="6"/>
  <c r="AS376" i="6"/>
  <c r="AS361" i="6"/>
  <c r="AS363" i="6"/>
  <c r="AX307" i="6"/>
  <c r="AX306" i="6"/>
  <c r="AX272" i="6"/>
  <c r="AX209" i="6"/>
  <c r="AX220" i="6"/>
  <c r="AX239" i="6"/>
  <c r="I207" i="6"/>
  <c r="I327" i="6"/>
  <c r="I233" i="6"/>
  <c r="I43" i="6"/>
  <c r="I88" i="6"/>
  <c r="I62" i="6"/>
  <c r="I44" i="6"/>
  <c r="I76" i="6"/>
  <c r="I119" i="6"/>
  <c r="I71" i="6"/>
  <c r="I65" i="6"/>
  <c r="I115" i="6"/>
  <c r="I89" i="6"/>
  <c r="I36" i="6"/>
  <c r="I50" i="6"/>
  <c r="I33" i="6"/>
  <c r="I46" i="6"/>
  <c r="I91" i="6"/>
  <c r="I117" i="6"/>
  <c r="I109" i="6"/>
  <c r="I141" i="6"/>
  <c r="I149" i="6"/>
  <c r="I152" i="6"/>
  <c r="I158" i="6"/>
  <c r="I170" i="6"/>
  <c r="I159" i="6"/>
  <c r="I27" i="6"/>
  <c r="AS166" i="6"/>
  <c r="AS16" i="6"/>
  <c r="AS104" i="6"/>
  <c r="AS128" i="6"/>
  <c r="AS96" i="6"/>
  <c r="AS162" i="6"/>
  <c r="AS107" i="6"/>
  <c r="AS326" i="6"/>
  <c r="AS317" i="6"/>
  <c r="AS353" i="6"/>
  <c r="AS352" i="6"/>
  <c r="AS27" i="6"/>
  <c r="AS170" i="6"/>
  <c r="AS41" i="6"/>
  <c r="AS188" i="6"/>
  <c r="AS83" i="6"/>
  <c r="AS91" i="6"/>
  <c r="AS38" i="6"/>
  <c r="AS93" i="6"/>
  <c r="AS135" i="6"/>
  <c r="AS134" i="6"/>
  <c r="AS86" i="6"/>
  <c r="AS132" i="6"/>
  <c r="AS33" i="6"/>
  <c r="I331" i="6"/>
  <c r="AS333" i="6"/>
  <c r="AS345" i="6"/>
  <c r="AS330" i="6"/>
  <c r="AS337" i="6"/>
  <c r="AS213" i="6"/>
  <c r="AS236" i="6"/>
  <c r="AS216" i="6"/>
  <c r="AX117" i="6"/>
  <c r="AX131" i="6"/>
  <c r="AX99" i="6"/>
  <c r="AX105" i="6"/>
  <c r="AX82" i="6"/>
  <c r="AX64" i="6"/>
  <c r="AX106" i="6"/>
  <c r="AX149" i="6"/>
  <c r="AX152" i="6"/>
  <c r="AX179" i="6"/>
  <c r="AX349" i="6"/>
  <c r="AX355" i="6"/>
  <c r="AX366" i="6"/>
  <c r="AX338" i="6"/>
  <c r="AX353" i="6"/>
  <c r="AX345" i="6"/>
  <c r="AX221" i="6"/>
  <c r="AS253" i="6"/>
  <c r="AS267" i="6"/>
  <c r="I42" i="6"/>
  <c r="I79" i="6"/>
  <c r="I254" i="6"/>
  <c r="AX41" i="6"/>
  <c r="AX39" i="6"/>
  <c r="AX28" i="6"/>
  <c r="AX25" i="6"/>
  <c r="AX81" i="6"/>
  <c r="AX273" i="6"/>
  <c r="AX309" i="6"/>
  <c r="AX369" i="6"/>
  <c r="AX361" i="6"/>
  <c r="AX373" i="6"/>
  <c r="AX236" i="6"/>
  <c r="AX303" i="6"/>
  <c r="AX269" i="6"/>
  <c r="AX280" i="6"/>
  <c r="AX290" i="6"/>
  <c r="AX218" i="6"/>
  <c r="AX253" i="6"/>
  <c r="AX379" i="6"/>
  <c r="AX372" i="6"/>
  <c r="AS264" i="6"/>
  <c r="I348" i="6"/>
  <c r="I201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25" i="6"/>
  <c r="I172" i="6"/>
  <c r="I253" i="6"/>
  <c r="AS172" i="6"/>
  <c r="AS39" i="6"/>
  <c r="AS126" i="6"/>
  <c r="AS111" i="6"/>
  <c r="AS131" i="6"/>
  <c r="AS31" i="6"/>
  <c r="AS158" i="6"/>
  <c r="AS89" i="6"/>
  <c r="AS136" i="6"/>
  <c r="AS40" i="6"/>
  <c r="AS143" i="6"/>
  <c r="AS152" i="6"/>
  <c r="AS76" i="6"/>
  <c r="AS66" i="6"/>
  <c r="AS183" i="6"/>
  <c r="AS35" i="6"/>
  <c r="AS130" i="6"/>
  <c r="AS149" i="6"/>
  <c r="AS67" i="6"/>
  <c r="AS122" i="6"/>
  <c r="AS80" i="6"/>
  <c r="I299" i="6"/>
  <c r="I296" i="6"/>
  <c r="I297" i="6"/>
  <c r="I316" i="6"/>
  <c r="AS308" i="6"/>
  <c r="AS223" i="6"/>
  <c r="AS26" i="6"/>
  <c r="AS32" i="6"/>
  <c r="AS29" i="6"/>
  <c r="AS164" i="6"/>
  <c r="I211" i="6"/>
  <c r="I361" i="6"/>
  <c r="I193" i="6"/>
  <c r="I236" i="6"/>
  <c r="I258" i="6"/>
  <c r="I277" i="6"/>
  <c r="I286" i="6"/>
  <c r="I319" i="6"/>
  <c r="I346" i="6"/>
  <c r="AS202" i="6"/>
  <c r="AS240" i="6"/>
  <c r="AS232" i="6"/>
  <c r="AS228" i="6"/>
  <c r="AS191" i="6"/>
  <c r="AS306" i="6"/>
  <c r="AS350" i="6"/>
  <c r="AS296" i="6"/>
  <c r="AS260" i="6"/>
  <c r="I213" i="6"/>
  <c r="AX54" i="6"/>
  <c r="AX37" i="6"/>
  <c r="AX188" i="6"/>
  <c r="AX127" i="6"/>
  <c r="AX194" i="6"/>
  <c r="AX30" i="6"/>
  <c r="AX61" i="6"/>
  <c r="AX362" i="6"/>
  <c r="AX335" i="6"/>
  <c r="AX356" i="6"/>
  <c r="AX333" i="6"/>
  <c r="AX250" i="6"/>
  <c r="AX249" i="6"/>
  <c r="I364" i="6"/>
  <c r="I344" i="6"/>
  <c r="I372" i="6"/>
  <c r="I378" i="6"/>
  <c r="I324" i="6"/>
  <c r="I223" i="6"/>
  <c r="I322" i="6"/>
  <c r="I219" i="6"/>
  <c r="I244" i="6"/>
  <c r="I303" i="6"/>
  <c r="I130" i="6"/>
  <c r="I116" i="6"/>
  <c r="I106" i="6"/>
  <c r="I58" i="6"/>
  <c r="I64" i="6"/>
  <c r="I175" i="6"/>
  <c r="I174" i="6"/>
  <c r="I161" i="6"/>
  <c r="I143" i="6"/>
  <c r="I241" i="6"/>
  <c r="I274" i="6"/>
  <c r="I287" i="6"/>
  <c r="I231" i="6"/>
  <c r="AS145" i="6"/>
  <c r="AS45" i="6"/>
  <c r="AS112" i="6"/>
  <c r="AS56" i="6"/>
  <c r="AS47" i="6"/>
  <c r="AS163" i="6"/>
  <c r="AS28" i="6"/>
  <c r="AS57" i="6"/>
  <c r="AS65" i="6"/>
  <c r="AS61" i="6"/>
  <c r="AS58" i="6"/>
  <c r="AS70" i="6"/>
  <c r="AS189" i="6"/>
  <c r="AS54" i="6"/>
  <c r="I356" i="6"/>
  <c r="I315" i="6"/>
  <c r="AX45" i="6"/>
  <c r="AX136" i="6"/>
  <c r="AX102" i="6"/>
  <c r="AS379" i="6"/>
  <c r="AX211" i="6"/>
  <c r="I261" i="6"/>
  <c r="AS69" i="6"/>
  <c r="AS116" i="6"/>
  <c r="AX151" i="6"/>
  <c r="AX74" i="6"/>
  <c r="AX100" i="6"/>
  <c r="AX86" i="6"/>
  <c r="AX38" i="6"/>
  <c r="AX147" i="6"/>
  <c r="AX168" i="6"/>
  <c r="AX198" i="6"/>
  <c r="AX150" i="6"/>
  <c r="AX174" i="6"/>
  <c r="AX154" i="6"/>
  <c r="AX180" i="6"/>
  <c r="AX130" i="6"/>
  <c r="AX96" i="6"/>
  <c r="AX47" i="6"/>
  <c r="AX44" i="6"/>
  <c r="AX76" i="6"/>
  <c r="AX90" i="6"/>
  <c r="AX109" i="6"/>
  <c r="AX202" i="6"/>
  <c r="AX140" i="6"/>
  <c r="AX32" i="6"/>
  <c r="AX125" i="6"/>
  <c r="AX56" i="6"/>
  <c r="AX55" i="6"/>
  <c r="AX184" i="6"/>
  <c r="AX134" i="6"/>
  <c r="AS366" i="6"/>
  <c r="AS360" i="6"/>
  <c r="AS368" i="6"/>
  <c r="AS359" i="6"/>
  <c r="AX262" i="6"/>
  <c r="AX286" i="6"/>
  <c r="AX325" i="6"/>
  <c r="AX344" i="6"/>
  <c r="AX326" i="6"/>
  <c r="AX350" i="6"/>
  <c r="AX330" i="6"/>
  <c r="AX359" i="6"/>
  <c r="AX324" i="6"/>
  <c r="AX255" i="6"/>
  <c r="AX374" i="6"/>
  <c r="AX341" i="6"/>
  <c r="AX337" i="6"/>
  <c r="AX329" i="6"/>
  <c r="AX340" i="6"/>
  <c r="AX371" i="6"/>
  <c r="AX298" i="6"/>
  <c r="AX244" i="6"/>
  <c r="AX254" i="6"/>
  <c r="AX315" i="6"/>
  <c r="AX378" i="6"/>
  <c r="AS259" i="6"/>
  <c r="AS255" i="6"/>
  <c r="AS294" i="6"/>
  <c r="AS262" i="6"/>
  <c r="AS265" i="6"/>
  <c r="AS285" i="6"/>
  <c r="AS246" i="6"/>
  <c r="AS282" i="6"/>
  <c r="AS273" i="6"/>
  <c r="AS301" i="6"/>
  <c r="I330" i="6"/>
  <c r="I196" i="6"/>
  <c r="I204" i="6"/>
  <c r="I245" i="6"/>
  <c r="I240" i="6"/>
  <c r="I259" i="6"/>
  <c r="I246" i="6"/>
  <c r="I235" i="6"/>
  <c r="I300" i="6"/>
  <c r="I272" i="6"/>
  <c r="I66" i="6"/>
  <c r="I49" i="6"/>
  <c r="I52" i="6"/>
  <c r="I171" i="6"/>
  <c r="I20" i="6"/>
  <c r="I179" i="6"/>
  <c r="I186" i="6"/>
  <c r="I184" i="6"/>
  <c r="I31" i="6"/>
  <c r="I155" i="6"/>
  <c r="I167" i="6"/>
  <c r="I153" i="6"/>
  <c r="I279" i="6"/>
  <c r="I238" i="6"/>
  <c r="AS90" i="6"/>
  <c r="AS30" i="6"/>
  <c r="AS23" i="6"/>
  <c r="AS44" i="6"/>
  <c r="AS85" i="6"/>
  <c r="AS118" i="6"/>
  <c r="AS24" i="6"/>
  <c r="AS174" i="6"/>
  <c r="AS22" i="6"/>
  <c r="AS72" i="6"/>
  <c r="AS52" i="6"/>
  <c r="AS43" i="6"/>
  <c r="I228" i="6"/>
  <c r="I373" i="6"/>
  <c r="I234" i="6"/>
  <c r="I292" i="6"/>
  <c r="I318" i="6"/>
  <c r="I16" i="6"/>
  <c r="AS351" i="6"/>
  <c r="AS354" i="6"/>
  <c r="AS303" i="6"/>
  <c r="I32" i="6"/>
  <c r="AS325" i="6"/>
  <c r="AS322" i="6"/>
  <c r="AS318" i="6"/>
  <c r="AS343" i="6"/>
  <c r="AS226" i="6"/>
  <c r="AS225" i="6"/>
  <c r="AS231" i="6"/>
  <c r="AS192" i="6"/>
  <c r="AS198" i="6"/>
  <c r="AS338" i="6"/>
  <c r="AX204" i="6"/>
  <c r="AX73" i="6"/>
  <c r="AX138" i="6"/>
  <c r="AX167" i="6"/>
  <c r="AX182" i="6"/>
  <c r="AX63" i="6"/>
  <c r="AX18" i="6"/>
  <c r="AX17" i="6"/>
  <c r="AX21" i="6"/>
  <c r="AX22" i="6"/>
  <c r="AX84" i="6"/>
  <c r="AX103" i="6"/>
  <c r="AX139" i="6"/>
  <c r="AS370" i="6"/>
  <c r="AX320" i="6"/>
  <c r="AX318" i="6"/>
  <c r="AX331" i="6"/>
  <c r="AX360" i="6"/>
  <c r="AX358" i="6"/>
  <c r="AX357" i="6"/>
  <c r="AX365" i="6"/>
  <c r="AX352" i="6"/>
  <c r="AX319" i="6"/>
  <c r="AX287" i="6"/>
  <c r="AX265" i="6"/>
  <c r="AX296" i="6"/>
  <c r="AX288" i="6"/>
  <c r="AX256" i="6"/>
  <c r="AX231" i="6"/>
  <c r="AX233" i="6"/>
  <c r="AS269" i="6"/>
  <c r="AS248" i="6"/>
  <c r="AS249" i="6"/>
  <c r="AS276" i="6"/>
  <c r="AS286" i="6"/>
  <c r="AS272" i="6"/>
  <c r="I206" i="6"/>
  <c r="I283" i="6"/>
  <c r="I92" i="6"/>
  <c r="I80" i="6"/>
  <c r="I226" i="6"/>
  <c r="AX52" i="6"/>
  <c r="AX62" i="6"/>
  <c r="AX92" i="6"/>
  <c r="AX40" i="6"/>
  <c r="AX75" i="6"/>
  <c r="AX115" i="6"/>
  <c r="AX71" i="6"/>
  <c r="AX155" i="6"/>
  <c r="AX97" i="6"/>
  <c r="AX153" i="6"/>
  <c r="AX166" i="6"/>
  <c r="AX110" i="6"/>
  <c r="AX146" i="6"/>
  <c r="AX107" i="6"/>
  <c r="AX95" i="6"/>
  <c r="AX121" i="6"/>
  <c r="AX311" i="6"/>
  <c r="AX313" i="6"/>
  <c r="AX364" i="6"/>
  <c r="AX334" i="6"/>
  <c r="AX323" i="6"/>
  <c r="AX348" i="6"/>
  <c r="AX240" i="6"/>
  <c r="AX259" i="6"/>
  <c r="AX274" i="6"/>
  <c r="AX224" i="6"/>
  <c r="AX242" i="6"/>
  <c r="AX375" i="6"/>
  <c r="AX380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97" i="6"/>
  <c r="AS120" i="6"/>
  <c r="AS187" i="6"/>
  <c r="AS102" i="6"/>
  <c r="AS147" i="6"/>
  <c r="AS105" i="6"/>
  <c r="AS34" i="6"/>
  <c r="AS62" i="6"/>
  <c r="AS171" i="6"/>
  <c r="I192" i="6"/>
  <c r="I232" i="6"/>
  <c r="I145" i="6"/>
  <c r="AS316" i="6"/>
  <c r="I26" i="6"/>
  <c r="I28" i="6"/>
  <c r="I150" i="6"/>
  <c r="I168" i="6"/>
  <c r="I221" i="6"/>
  <c r="AS182" i="6"/>
  <c r="AS142" i="6"/>
  <c r="AS46" i="6"/>
  <c r="AS100" i="6"/>
  <c r="AS53" i="6"/>
  <c r="AS133" i="6"/>
  <c r="AS115" i="6"/>
  <c r="AS161" i="6"/>
  <c r="AS79" i="6"/>
  <c r="AS165" i="6"/>
  <c r="AS169" i="6"/>
  <c r="AS98" i="6"/>
  <c r="AS101" i="6"/>
  <c r="AS119" i="6"/>
  <c r="AS159" i="6"/>
  <c r="I336" i="6"/>
  <c r="I380" i="6"/>
  <c r="I194" i="6"/>
  <c r="I215" i="6"/>
  <c r="I347" i="6"/>
  <c r="I212" i="6"/>
  <c r="I216" i="6"/>
  <c r="I350" i="6"/>
  <c r="I366" i="6"/>
  <c r="I329" i="6"/>
  <c r="I293" i="6"/>
  <c r="I341" i="6"/>
  <c r="I339" i="6"/>
  <c r="I355" i="6"/>
  <c r="I370" i="6"/>
  <c r="AS315" i="6"/>
  <c r="AS347" i="6"/>
  <c r="AS205" i="6"/>
  <c r="AS245" i="6"/>
  <c r="AS218" i="6"/>
  <c r="AS319" i="6"/>
  <c r="AS334" i="6"/>
  <c r="AS321" i="6"/>
  <c r="AS349" i="6"/>
  <c r="I288" i="6"/>
  <c r="I190" i="6"/>
  <c r="H23" i="6"/>
  <c r="I23" i="6"/>
  <c r="F12" i="6"/>
  <c r="G12" i="6"/>
  <c r="I146" i="6"/>
  <c r="I266" i="6"/>
  <c r="I271" i="6"/>
  <c r="AS49" i="6"/>
  <c r="AQ13" i="6"/>
  <c r="AR20" i="6"/>
  <c r="AR13" i="6"/>
  <c r="AP13" i="6"/>
  <c r="AP12" i="6"/>
  <c r="AX200" i="6"/>
  <c r="AX108" i="6"/>
  <c r="AX69" i="6"/>
  <c r="AX142" i="6"/>
  <c r="AX118" i="6"/>
  <c r="AX195" i="6"/>
  <c r="AV12" i="6"/>
  <c r="AX43" i="6"/>
  <c r="AX145" i="6"/>
  <c r="AX57" i="6"/>
  <c r="AX183" i="6"/>
  <c r="AX327" i="6"/>
  <c r="AX213" i="6"/>
  <c r="AX234" i="6"/>
  <c r="AX266" i="6"/>
  <c r="AX294" i="6"/>
  <c r="I278" i="6"/>
  <c r="I209" i="6"/>
  <c r="I131" i="6"/>
  <c r="AQ12" i="6"/>
  <c r="AS15" i="6"/>
  <c r="AS121" i="6"/>
  <c r="AS68" i="6"/>
  <c r="AS51" i="6"/>
  <c r="AS186" i="6"/>
  <c r="AX42" i="6"/>
  <c r="AX85" i="6"/>
  <c r="AX170" i="6"/>
  <c r="AX120" i="6"/>
  <c r="AX199" i="6"/>
  <c r="AX126" i="6"/>
  <c r="AV13" i="6"/>
  <c r="AW16" i="6"/>
  <c r="AX16" i="6"/>
  <c r="AU13" i="6"/>
  <c r="AU12" i="6"/>
  <c r="AX31" i="6"/>
  <c r="AX50" i="6"/>
  <c r="AX29" i="6"/>
  <c r="AX93" i="6"/>
  <c r="AX49" i="6"/>
  <c r="AX77" i="6"/>
  <c r="AX91" i="6"/>
  <c r="AX148" i="6"/>
  <c r="AX156" i="6"/>
  <c r="AX173" i="6"/>
  <c r="AX163" i="6"/>
  <c r="AS380" i="6"/>
  <c r="AS378" i="6"/>
  <c r="AS371" i="6"/>
  <c r="AS369" i="6"/>
  <c r="AX284" i="6"/>
  <c r="AX321" i="6"/>
  <c r="AX332" i="6"/>
  <c r="AX363" i="6"/>
  <c r="AX227" i="6"/>
  <c r="AX232" i="6"/>
  <c r="AX226" i="6"/>
  <c r="AX276" i="6"/>
  <c r="AX270" i="6"/>
  <c r="AX223" i="6"/>
  <c r="AX229" i="6"/>
  <c r="AX228" i="6"/>
  <c r="AX243" i="6"/>
  <c r="AX230" i="6"/>
  <c r="AX212" i="6"/>
  <c r="AX285" i="6"/>
  <c r="AX312" i="6"/>
  <c r="AS298" i="6"/>
  <c r="I362" i="6"/>
  <c r="I359" i="6"/>
  <c r="I183" i="6"/>
  <c r="I37" i="6"/>
  <c r="I133" i="6"/>
  <c r="I132" i="6"/>
  <c r="I124" i="6"/>
  <c r="H17" i="6"/>
  <c r="F13" i="6"/>
  <c r="G13" i="6"/>
  <c r="I29" i="6"/>
  <c r="I255" i="6"/>
  <c r="AS18" i="6"/>
  <c r="AS185" i="6"/>
  <c r="AS19" i="6"/>
  <c r="I199" i="6"/>
  <c r="I224" i="6"/>
  <c r="I247" i="6"/>
  <c r="I342" i="6"/>
  <c r="AS263" i="6"/>
  <c r="AS300" i="6"/>
  <c r="AS297" i="6"/>
  <c r="AS281" i="6"/>
  <c r="I379" i="6"/>
  <c r="I340" i="6"/>
  <c r="I208" i="6"/>
  <c r="I308" i="6"/>
  <c r="I162" i="6"/>
  <c r="I129" i="6"/>
  <c r="I157" i="6"/>
  <c r="I188" i="6"/>
  <c r="I251" i="6"/>
  <c r="AS153" i="6"/>
  <c r="AS154" i="6"/>
  <c r="AS117" i="6"/>
  <c r="AS140" i="6"/>
  <c r="AS81" i="6"/>
  <c r="AS75" i="6"/>
  <c r="AS167" i="6"/>
  <c r="AS141" i="6"/>
  <c r="I222" i="6"/>
  <c r="I338" i="6"/>
  <c r="AS305" i="6"/>
  <c r="AS220" i="6"/>
  <c r="AS229" i="6"/>
  <c r="AS314" i="6"/>
  <c r="AX13" i="6"/>
  <c r="AX12" i="6"/>
  <c r="AW13" i="6"/>
  <c r="I17" i="6"/>
  <c r="H13" i="6"/>
  <c r="H12" i="6"/>
  <c r="AW12" i="6"/>
  <c r="AS20" i="6"/>
  <c r="AS13" i="6"/>
  <c r="AR12" i="6"/>
  <c r="AS12" i="6"/>
  <c r="I12" i="6"/>
  <c r="I13" i="6"/>
  <c r="AI10" i="7" l="1"/>
  <c r="AO10" i="7" s="1"/>
  <c r="AU10" i="7" s="1"/>
  <c r="BA10" i="7" s="1"/>
  <c r="BG10" i="7" s="1"/>
  <c r="BM10" i="7" s="1"/>
  <c r="BS10" i="7" s="1"/>
  <c r="BY10" i="7" s="1"/>
  <c r="AH10" i="7"/>
  <c r="AN10" i="7" s="1"/>
  <c r="AT10" i="7" s="1"/>
  <c r="AZ10" i="7" s="1"/>
  <c r="BF10" i="7" s="1"/>
  <c r="BL10" i="7" s="1"/>
  <c r="BR10" i="7" s="1"/>
  <c r="BX10" i="7" s="1"/>
  <c r="AJ9" i="7"/>
  <c r="AL10" i="7" s="1"/>
  <c r="AP9" i="7" s="1"/>
  <c r="AR10" i="7" s="1"/>
  <c r="AV9" i="7" s="1"/>
  <c r="AX10" i="7" s="1"/>
  <c r="BB9" i="7" s="1"/>
  <c r="BD10" i="7" s="1"/>
  <c r="BH9" i="7" s="1"/>
  <c r="BJ10" i="7" s="1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S29" i="6"/>
  <c r="T31" i="6" s="1"/>
  <c r="O44" i="6"/>
  <c r="P46" i="6" s="1"/>
  <c r="E120" i="6"/>
  <c r="P54" i="27"/>
  <c r="H33" i="27"/>
  <c r="H34" i="27" s="1"/>
  <c r="H35" i="27" s="1"/>
  <c r="H36" i="27" s="1"/>
  <c r="H37" i="27" s="1"/>
  <c r="H21" i="27"/>
  <c r="AE57" i="27" s="1"/>
  <c r="H32" i="27"/>
  <c r="N70" i="27"/>
  <c r="I12" i="27"/>
  <c r="AY79" i="27"/>
  <c r="H24" i="27"/>
  <c r="AE60" i="27" s="1"/>
  <c r="H28" i="27"/>
  <c r="AE64" i="27" s="1"/>
  <c r="H27" i="27"/>
  <c r="H23" i="27"/>
  <c r="AE58" i="27" s="1"/>
  <c r="O5" i="27"/>
  <c r="O9" i="1"/>
  <c r="BP13" i="7" s="1"/>
  <c r="E78" i="6"/>
  <c r="E358" i="6"/>
  <c r="AE16" i="6"/>
  <c r="R44" i="6"/>
  <c r="Q50" i="6" s="1"/>
  <c r="E232" i="6"/>
  <c r="AC18" i="6"/>
  <c r="AC20" i="6"/>
  <c r="AD16" i="6"/>
  <c r="Q44" i="6"/>
  <c r="R46" i="6" s="1"/>
  <c r="P44" i="6"/>
  <c r="Q46" i="6" s="1"/>
  <c r="AE18" i="6"/>
  <c r="U18" i="6"/>
  <c r="N44" i="6"/>
  <c r="M50" i="6" s="1"/>
  <c r="T50" i="6"/>
  <c r="U48" i="6"/>
  <c r="V46" i="6"/>
  <c r="AB20" i="6"/>
  <c r="AB24" i="6" s="1"/>
  <c r="AB23" i="6" s="1"/>
  <c r="AB25" i="6" s="1"/>
  <c r="X20" i="6"/>
  <c r="V16" i="6"/>
  <c r="E64" i="6"/>
  <c r="R16" i="6"/>
  <c r="N20" i="6"/>
  <c r="E204" i="6"/>
  <c r="AG16" i="6"/>
  <c r="Q20" i="6"/>
  <c r="V18" i="6"/>
  <c r="E302" i="6"/>
  <c r="U29" i="6"/>
  <c r="U33" i="6" s="1"/>
  <c r="AK20" i="6"/>
  <c r="S16" i="6"/>
  <c r="AF18" i="6"/>
  <c r="AA16" i="6"/>
  <c r="Y29" i="6"/>
  <c r="Y33" i="6" s="1"/>
  <c r="E330" i="6"/>
  <c r="E372" i="6"/>
  <c r="Z29" i="6"/>
  <c r="Y35" i="6" s="1"/>
  <c r="X29" i="6"/>
  <c r="Y31" i="6" s="1"/>
  <c r="AI16" i="6"/>
  <c r="L29" i="6"/>
  <c r="M31" i="6" s="1"/>
  <c r="Y16" i="6"/>
  <c r="E134" i="6"/>
  <c r="AH18" i="6"/>
  <c r="Y20" i="6"/>
  <c r="AM16" i="6"/>
  <c r="L13" i="6"/>
  <c r="O20" i="6"/>
  <c r="AC16" i="6"/>
  <c r="E106" i="6"/>
  <c r="AL20" i="6"/>
  <c r="AL24" i="6" s="1"/>
  <c r="AL23" i="6" s="1"/>
  <c r="AL25" i="6" s="1"/>
  <c r="E246" i="6"/>
  <c r="AM18" i="6"/>
  <c r="W29" i="6"/>
  <c r="W33" i="6" s="1"/>
  <c r="V29" i="6"/>
  <c r="U35" i="6" s="1"/>
  <c r="S20" i="6"/>
  <c r="Y50" i="6"/>
  <c r="Z48" i="6"/>
  <c r="AA46" i="6"/>
  <c r="AN16" i="6"/>
  <c r="M13" i="6"/>
  <c r="AK16" i="6"/>
  <c r="AI20" i="6"/>
  <c r="AJ20" i="6"/>
  <c r="E344" i="6"/>
  <c r="Y44" i="6"/>
  <c r="L44" i="6"/>
  <c r="M46" i="6" s="1"/>
  <c r="AK18" i="6"/>
  <c r="AJ16" i="6"/>
  <c r="W44" i="6"/>
  <c r="AI18" i="6"/>
  <c r="X46" i="6"/>
  <c r="AH16" i="6"/>
  <c r="E176" i="6"/>
  <c r="Z16" i="6"/>
  <c r="S44" i="6"/>
  <c r="R50" i="6" s="1"/>
  <c r="E148" i="6"/>
  <c r="W18" i="6"/>
  <c r="E92" i="6"/>
  <c r="S18" i="6"/>
  <c r="R20" i="6"/>
  <c r="P18" i="6"/>
  <c r="O29" i="6"/>
  <c r="O33" i="6" s="1"/>
  <c r="O18" i="6"/>
  <c r="E36" i="6"/>
  <c r="AO13" i="6"/>
  <c r="AH20" i="6"/>
  <c r="X44" i="6"/>
  <c r="E288" i="6"/>
  <c r="AG18" i="6"/>
  <c r="AF16" i="6"/>
  <c r="E274" i="6"/>
  <c r="AD20" i="6"/>
  <c r="V44" i="6"/>
  <c r="E218" i="6"/>
  <c r="AA20" i="6"/>
  <c r="AA18" i="6"/>
  <c r="T44" i="6"/>
  <c r="Z20" i="6"/>
  <c r="T29" i="6"/>
  <c r="Z18" i="6"/>
  <c r="W20" i="6"/>
  <c r="X18" i="6"/>
  <c r="V20" i="6"/>
  <c r="R29" i="6"/>
  <c r="U20" i="6"/>
  <c r="R31" i="6"/>
  <c r="Q33" i="6"/>
  <c r="P35" i="6"/>
  <c r="U16" i="6"/>
  <c r="T18" i="6"/>
  <c r="R18" i="6"/>
  <c r="P33" i="6"/>
  <c r="O35" i="6"/>
  <c r="Q31" i="6"/>
  <c r="Q16" i="6"/>
  <c r="AB29" i="6"/>
  <c r="AA35" i="6" s="1"/>
  <c r="O48" i="6"/>
  <c r="P20" i="6"/>
  <c r="AB44" i="6"/>
  <c r="AA50" i="6" s="1"/>
  <c r="E22" i="6"/>
  <c r="AN13" i="6"/>
  <c r="N29" i="6"/>
  <c r="N33" i="6" s="1"/>
  <c r="O16" i="6"/>
  <c r="M20" i="6"/>
  <c r="O55" i="27"/>
  <c r="H26" i="27"/>
  <c r="P62" i="27" s="1"/>
  <c r="Q54" i="27"/>
  <c r="P70" i="27"/>
  <c r="I38" i="27"/>
  <c r="I39" i="27" s="1"/>
  <c r="I40" i="27" s="1"/>
  <c r="I41" i="27" s="1"/>
  <c r="I42" i="27" s="1"/>
  <c r="I43" i="27" s="1"/>
  <c r="AY60" i="27"/>
  <c r="AY64" i="27"/>
  <c r="AY68" i="27"/>
  <c r="AY72" i="27"/>
  <c r="AY76" i="27"/>
  <c r="AY58" i="27"/>
  <c r="AY62" i="27"/>
  <c r="AY66" i="27"/>
  <c r="AY70" i="27"/>
  <c r="AY74" i="27"/>
  <c r="AY78" i="27"/>
  <c r="AY57" i="27"/>
  <c r="AO57" i="27" s="1"/>
  <c r="AY59" i="27"/>
  <c r="AY61" i="27"/>
  <c r="AY63" i="27"/>
  <c r="AY65" i="27"/>
  <c r="AY67" i="27"/>
  <c r="AY69" i="27"/>
  <c r="AY71" i="27"/>
  <c r="AY73" i="27"/>
  <c r="AO73" i="27" s="1"/>
  <c r="AY75" i="27"/>
  <c r="AY77" i="27"/>
  <c r="H38" i="27"/>
  <c r="H31" i="27"/>
  <c r="AE66" i="27" s="1"/>
  <c r="AY56" i="27"/>
  <c r="AX58" i="27"/>
  <c r="AX59" i="27"/>
  <c r="AX60" i="27"/>
  <c r="AX61" i="27"/>
  <c r="AX62" i="27"/>
  <c r="AX63" i="27"/>
  <c r="AX64" i="27"/>
  <c r="AX65" i="27"/>
  <c r="AX66" i="27"/>
  <c r="AX67" i="27"/>
  <c r="AX68" i="27"/>
  <c r="AX69" i="27"/>
  <c r="AX70" i="27"/>
  <c r="AX71" i="27"/>
  <c r="AX72" i="27"/>
  <c r="AX73" i="27"/>
  <c r="AX74" i="27"/>
  <c r="AX75" i="27"/>
  <c r="AX76" i="27"/>
  <c r="AX77" i="27"/>
  <c r="AX78" i="27"/>
  <c r="AX79" i="27"/>
  <c r="M21" i="27"/>
  <c r="N57" i="27" s="1"/>
  <c r="M22" i="27"/>
  <c r="N58" i="27" s="1"/>
  <c r="M23" i="27"/>
  <c r="N59" i="27" s="1"/>
  <c r="M24" i="27"/>
  <c r="N60" i="27" s="1"/>
  <c r="M25" i="27"/>
  <c r="N61" i="27" s="1"/>
  <c r="M26" i="27"/>
  <c r="N62" i="27" s="1"/>
  <c r="M27" i="27"/>
  <c r="N63" i="27" s="1"/>
  <c r="M28" i="27"/>
  <c r="N64" i="27" s="1"/>
  <c r="M29" i="27"/>
  <c r="N65" i="27" s="1"/>
  <c r="M30" i="27"/>
  <c r="N66" i="27" s="1"/>
  <c r="M31" i="27"/>
  <c r="N67" i="27" s="1"/>
  <c r="M32" i="27"/>
  <c r="N68" i="27" s="1"/>
  <c r="M33" i="27"/>
  <c r="N69" i="27" s="1"/>
  <c r="AO79" i="27"/>
  <c r="I77" i="27"/>
  <c r="C78" i="27"/>
  <c r="D78" i="27"/>
  <c r="H56" i="27"/>
  <c r="E78" i="27"/>
  <c r="G56" i="27"/>
  <c r="C76" i="27"/>
  <c r="J77" i="27"/>
  <c r="I78" i="27"/>
  <c r="L78" i="27"/>
  <c r="C56" i="27"/>
  <c r="H76" i="27"/>
  <c r="G10" i="27"/>
  <c r="I10" i="27" s="1"/>
  <c r="J32" i="27" s="1"/>
  <c r="L32" i="27" s="1"/>
  <c r="F68" i="27" s="1"/>
  <c r="F56" i="27"/>
  <c r="J56" i="27"/>
  <c r="M56" i="27"/>
  <c r="I56" i="27"/>
  <c r="E56" i="27"/>
  <c r="L56" i="27"/>
  <c r="D56" i="27"/>
  <c r="G76" i="27"/>
  <c r="F76" i="27"/>
  <c r="F77" i="27"/>
  <c r="C77" i="27"/>
  <c r="K78" i="27"/>
  <c r="J78" i="27"/>
  <c r="M78" i="27"/>
  <c r="F11" i="27"/>
  <c r="I11" i="27" s="1"/>
  <c r="BQ15" i="7"/>
  <c r="BK15" i="7"/>
  <c r="J1" i="15"/>
  <c r="A62" i="19" s="1"/>
  <c r="A6" i="6"/>
  <c r="V14" i="1"/>
  <c r="A3" i="7"/>
  <c r="B11" i="7" s="1"/>
  <c r="BS13" i="7"/>
  <c r="A11" i="19"/>
  <c r="O11" i="1"/>
  <c r="BX13" i="7" s="1"/>
  <c r="L1" i="1"/>
  <c r="A15" i="1"/>
  <c r="F7" i="1"/>
  <c r="AC12" i="1" s="1"/>
  <c r="X1" i="1"/>
  <c r="A61" i="19"/>
  <c r="F14" i="1"/>
  <c r="L12" i="1"/>
  <c r="M76" i="27"/>
  <c r="I76" i="27"/>
  <c r="E76" i="27"/>
  <c r="J76" i="27"/>
  <c r="L76" i="27"/>
  <c r="D76" i="27"/>
  <c r="L77" i="27"/>
  <c r="H77" i="27"/>
  <c r="D77" i="27"/>
  <c r="G77" i="27"/>
  <c r="M77" i="27"/>
  <c r="E77" i="27"/>
  <c r="G78" i="27"/>
  <c r="H78" i="27"/>
  <c r="P71" i="27"/>
  <c r="H20" i="27"/>
  <c r="P56" i="27" s="1"/>
  <c r="BH9" i="6"/>
  <c r="U12" i="1" s="1"/>
  <c r="P65" i="27"/>
  <c r="AE65" i="27"/>
  <c r="P57" i="27"/>
  <c r="E7" i="1"/>
  <c r="J1" i="16"/>
  <c r="L1" i="16" s="1"/>
  <c r="BJ13" i="7"/>
  <c r="B15" i="7"/>
  <c r="P11" i="1"/>
  <c r="E8" i="1"/>
  <c r="K11" i="19" s="1"/>
  <c r="K35" i="19" s="1"/>
  <c r="AJ380" i="1"/>
  <c r="BM13" i="7"/>
  <c r="BY13" i="7"/>
  <c r="C6" i="6"/>
  <c r="AB15" i="1"/>
  <c r="A16" i="1"/>
  <c r="BV13" i="7"/>
  <c r="B13" i="7"/>
  <c r="BN9" i="7" l="1"/>
  <c r="BP10" i="7" s="1"/>
  <c r="BK10" i="7"/>
  <c r="AC9" i="1"/>
  <c r="Q48" i="6"/>
  <c r="Q54" i="6" s="1"/>
  <c r="Q53" i="6" s="1"/>
  <c r="Q55" i="6" s="1"/>
  <c r="AD24" i="6"/>
  <c r="AD23" i="6" s="1"/>
  <c r="AD25" i="6" s="1"/>
  <c r="S46" i="6"/>
  <c r="S33" i="6"/>
  <c r="R35" i="6"/>
  <c r="P50" i="6"/>
  <c r="N50" i="6"/>
  <c r="O46" i="6"/>
  <c r="N48" i="6"/>
  <c r="R48" i="6"/>
  <c r="R54" i="6" s="1"/>
  <c r="R53" i="6" s="1"/>
  <c r="R55" i="6" s="1"/>
  <c r="AO72" i="27"/>
  <c r="AE63" i="27"/>
  <c r="AO65" i="27"/>
  <c r="AO78" i="27"/>
  <c r="P63" i="27"/>
  <c r="G26" i="27" s="1"/>
  <c r="AE59" i="27"/>
  <c r="K68" i="27"/>
  <c r="J1" i="17"/>
  <c r="A12" i="19"/>
  <c r="A36" i="19" s="1"/>
  <c r="F14" i="15"/>
  <c r="X1" i="16"/>
  <c r="Y14" i="15"/>
  <c r="L1" i="15"/>
  <c r="A15" i="15"/>
  <c r="X15" i="15" s="1"/>
  <c r="AE24" i="6"/>
  <c r="AE23" i="6" s="1"/>
  <c r="AE25" i="6" s="1"/>
  <c r="AJ24" i="6"/>
  <c r="AJ23" i="6" s="1"/>
  <c r="AJ25" i="6" s="1"/>
  <c r="V24" i="6"/>
  <c r="V23" i="6" s="1"/>
  <c r="V25" i="6" s="1"/>
  <c r="W24" i="6"/>
  <c r="W23" i="6" s="1"/>
  <c r="W25" i="6" s="1"/>
  <c r="X24" i="6"/>
  <c r="X23" i="6" s="1"/>
  <c r="X25" i="6" s="1"/>
  <c r="AC24" i="6"/>
  <c r="AC23" i="6" s="1"/>
  <c r="AC25" i="6" s="1"/>
  <c r="AG24" i="6"/>
  <c r="AG23" i="6" s="1"/>
  <c r="AG25" i="6" s="1"/>
  <c r="P24" i="6"/>
  <c r="P23" i="6" s="1"/>
  <c r="P25" i="6" s="1"/>
  <c r="U24" i="6"/>
  <c r="U23" i="6" s="1"/>
  <c r="U25" i="6" s="1"/>
  <c r="J127" i="6" s="1"/>
  <c r="X31" i="6"/>
  <c r="X35" i="6"/>
  <c r="O50" i="6"/>
  <c r="O54" i="6" s="1"/>
  <c r="O53" i="6" s="1"/>
  <c r="Z31" i="6"/>
  <c r="Y24" i="6"/>
  <c r="Y23" i="6" s="1"/>
  <c r="Y25" i="6" s="1"/>
  <c r="P48" i="6"/>
  <c r="Q24" i="6"/>
  <c r="Q23" i="6" s="1"/>
  <c r="Q25" i="6" s="1"/>
  <c r="R24" i="6"/>
  <c r="R23" i="6" s="1"/>
  <c r="R25" i="6" s="1"/>
  <c r="AA31" i="6"/>
  <c r="V35" i="6"/>
  <c r="AF24" i="6"/>
  <c r="AF23" i="6" s="1"/>
  <c r="AF25" i="6" s="1"/>
  <c r="S24" i="6"/>
  <c r="S23" i="6" s="1"/>
  <c r="AK24" i="6"/>
  <c r="AK23" i="6" s="1"/>
  <c r="AK25" i="6" s="1"/>
  <c r="Z33" i="6"/>
  <c r="V31" i="6"/>
  <c r="T35" i="6"/>
  <c r="AI24" i="6"/>
  <c r="AI23" i="6" s="1"/>
  <c r="AI25" i="6" s="1"/>
  <c r="W35" i="6"/>
  <c r="X33" i="6"/>
  <c r="M29" i="6"/>
  <c r="M16" i="6"/>
  <c r="S25" i="6"/>
  <c r="J91" i="6" s="1"/>
  <c r="W31" i="6"/>
  <c r="AH24" i="6"/>
  <c r="AH23" i="6" s="1"/>
  <c r="AH25" i="6" s="1"/>
  <c r="V33" i="6"/>
  <c r="M18" i="6"/>
  <c r="N16" i="6"/>
  <c r="N24" i="6" s="1"/>
  <c r="N23" i="6" s="1"/>
  <c r="N25" i="6" s="1"/>
  <c r="M44" i="6"/>
  <c r="X50" i="6"/>
  <c r="Y48" i="6"/>
  <c r="Z46" i="6"/>
  <c r="W48" i="6"/>
  <c r="V50" i="6"/>
  <c r="Z24" i="6"/>
  <c r="Z23" i="6" s="1"/>
  <c r="Z25" i="6" s="1"/>
  <c r="T46" i="6"/>
  <c r="S48" i="6"/>
  <c r="E12" i="6"/>
  <c r="P31" i="6"/>
  <c r="P39" i="6" s="1"/>
  <c r="P38" i="6" s="1"/>
  <c r="N35" i="6"/>
  <c r="AN20" i="6"/>
  <c r="AA44" i="6"/>
  <c r="E13" i="6"/>
  <c r="X48" i="6"/>
  <c r="Y46" i="6"/>
  <c r="W50" i="6"/>
  <c r="Y39" i="6"/>
  <c r="Y38" i="6" s="1"/>
  <c r="Y40" i="6" s="1"/>
  <c r="W46" i="6"/>
  <c r="U50" i="6"/>
  <c r="V48" i="6"/>
  <c r="AA24" i="6"/>
  <c r="AA23" i="6" s="1"/>
  <c r="AA25" i="6" s="1"/>
  <c r="T48" i="6"/>
  <c r="S50" i="6"/>
  <c r="U46" i="6"/>
  <c r="U31" i="6"/>
  <c r="S35" i="6"/>
  <c r="T33" i="6"/>
  <c r="Q35" i="6"/>
  <c r="Q39" i="6" s="1"/>
  <c r="Q38" i="6" s="1"/>
  <c r="S31" i="6"/>
  <c r="R33" i="6"/>
  <c r="T24" i="6"/>
  <c r="T23" i="6" s="1"/>
  <c r="O24" i="6"/>
  <c r="O23" i="6" s="1"/>
  <c r="O25" i="6" s="1"/>
  <c r="AM20" i="6"/>
  <c r="AM24" i="6" s="1"/>
  <c r="AM23" i="6" s="1"/>
  <c r="AM25" i="6" s="1"/>
  <c r="AN18" i="6"/>
  <c r="AA29" i="6"/>
  <c r="M35" i="6"/>
  <c r="O31" i="6"/>
  <c r="O39" i="6" s="1"/>
  <c r="O38" i="6" s="1"/>
  <c r="BR13" i="7"/>
  <c r="AE61" i="27"/>
  <c r="AO56" i="27"/>
  <c r="AO63" i="27"/>
  <c r="AE62" i="27"/>
  <c r="AO64" i="27"/>
  <c r="AE71" i="27"/>
  <c r="AE68" i="27"/>
  <c r="AO74" i="27"/>
  <c r="AO71" i="27"/>
  <c r="AO66" i="27"/>
  <c r="AO58" i="27"/>
  <c r="AO77" i="27"/>
  <c r="AO69" i="27"/>
  <c r="AO61" i="27"/>
  <c r="AO76" i="27"/>
  <c r="AO68" i="27"/>
  <c r="AO60" i="27"/>
  <c r="AO62" i="27"/>
  <c r="AO70" i="27"/>
  <c r="AO75" i="27"/>
  <c r="AO67" i="27"/>
  <c r="AO59" i="27"/>
  <c r="P72" i="27"/>
  <c r="G36" i="27"/>
  <c r="AE72" i="27"/>
  <c r="P68" i="27"/>
  <c r="AE67" i="27"/>
  <c r="AE69" i="27"/>
  <c r="AE70" i="27"/>
  <c r="D68" i="27"/>
  <c r="I68" i="27"/>
  <c r="H68" i="27"/>
  <c r="G68" i="27"/>
  <c r="L68" i="27"/>
  <c r="M68" i="27"/>
  <c r="C68" i="27"/>
  <c r="J39" i="27"/>
  <c r="L39" i="27" s="1"/>
  <c r="M75" i="27" s="1"/>
  <c r="J37" i="27"/>
  <c r="L37" i="27" s="1"/>
  <c r="J35" i="27"/>
  <c r="L35" i="27" s="1"/>
  <c r="F71" i="27" s="1"/>
  <c r="J33" i="27"/>
  <c r="L33" i="27" s="1"/>
  <c r="J38" i="27"/>
  <c r="L38" i="27" s="1"/>
  <c r="M74" i="27" s="1"/>
  <c r="J36" i="27"/>
  <c r="L36" i="27" s="1"/>
  <c r="H72" i="27" s="1"/>
  <c r="J34" i="27"/>
  <c r="L34" i="27" s="1"/>
  <c r="P73" i="27"/>
  <c r="E68" i="27"/>
  <c r="J68" i="27"/>
  <c r="J18" i="27"/>
  <c r="L18" i="27" s="1"/>
  <c r="J17" i="27"/>
  <c r="L17" i="27" s="1"/>
  <c r="J16" i="27"/>
  <c r="L16" i="27" s="1"/>
  <c r="J30" i="27"/>
  <c r="L30" i="27" s="1"/>
  <c r="J28" i="27"/>
  <c r="L28" i="27" s="1"/>
  <c r="C64" i="27" s="1"/>
  <c r="J26" i="27"/>
  <c r="L26" i="27" s="1"/>
  <c r="J62" i="27" s="1"/>
  <c r="J24" i="27"/>
  <c r="L24" i="27" s="1"/>
  <c r="D60" i="27" s="1"/>
  <c r="J22" i="27"/>
  <c r="L22" i="27" s="1"/>
  <c r="J31" i="27"/>
  <c r="L31" i="27" s="1"/>
  <c r="J29" i="27"/>
  <c r="L29" i="27" s="1"/>
  <c r="I65" i="27" s="1"/>
  <c r="J27" i="27"/>
  <c r="L27" i="27" s="1"/>
  <c r="J25" i="27"/>
  <c r="L25" i="27" s="1"/>
  <c r="J23" i="27"/>
  <c r="L23" i="27" s="1"/>
  <c r="J21" i="27"/>
  <c r="L21" i="27" s="1"/>
  <c r="F64" i="27"/>
  <c r="AI12" i="1"/>
  <c r="G20" i="27"/>
  <c r="BL13" i="7"/>
  <c r="D13" i="7"/>
  <c r="B6" i="6"/>
  <c r="X1" i="15"/>
  <c r="G3" i="7"/>
  <c r="L12" i="15" s="1"/>
  <c r="V14" i="15"/>
  <c r="L15" i="1"/>
  <c r="K15" i="1"/>
  <c r="AB15" i="15"/>
  <c r="X15" i="1"/>
  <c r="AK15" i="1"/>
  <c r="AJ15" i="1"/>
  <c r="L11" i="15"/>
  <c r="G35" i="27"/>
  <c r="G34" i="27"/>
  <c r="AT56" i="27"/>
  <c r="AV56" i="27"/>
  <c r="AE56" i="27"/>
  <c r="AP56" i="27"/>
  <c r="AR56" i="27"/>
  <c r="H39" i="27"/>
  <c r="BH10" i="6"/>
  <c r="D11" i="7"/>
  <c r="U11" i="1" s="1"/>
  <c r="AT2" i="7"/>
  <c r="F14" i="16"/>
  <c r="M3" i="7"/>
  <c r="A13" i="19"/>
  <c r="A37" i="19" s="1"/>
  <c r="V14" i="16"/>
  <c r="A15" i="16"/>
  <c r="A63" i="19"/>
  <c r="Y14" i="16"/>
  <c r="BW16" i="7"/>
  <c r="BK16" i="7"/>
  <c r="C16" i="7"/>
  <c r="BQ16" i="7"/>
  <c r="AB16" i="1"/>
  <c r="AK16" i="1"/>
  <c r="X16" i="1"/>
  <c r="AJ16" i="1"/>
  <c r="K16" i="1"/>
  <c r="L16" i="1"/>
  <c r="A17" i="1"/>
  <c r="S3" i="7"/>
  <c r="X1" i="17"/>
  <c r="A14" i="19"/>
  <c r="A38" i="19" s="1"/>
  <c r="J1" i="18"/>
  <c r="Y14" i="17"/>
  <c r="D6" i="6"/>
  <c r="A15" i="17"/>
  <c r="F14" i="17"/>
  <c r="A64" i="19"/>
  <c r="V14" i="17"/>
  <c r="L1" i="17"/>
  <c r="O10" i="1"/>
  <c r="AC10" i="1"/>
  <c r="AC15" i="1" s="1"/>
  <c r="F8" i="1"/>
  <c r="P12" i="1"/>
  <c r="AK380" i="1"/>
  <c r="BT9" i="7" l="1"/>
  <c r="BV10" i="7" s="1"/>
  <c r="BQ10" i="7"/>
  <c r="J324" i="6"/>
  <c r="J316" i="6"/>
  <c r="J227" i="6"/>
  <c r="R39" i="6"/>
  <c r="R38" i="6" s="1"/>
  <c r="R40" i="6" s="1"/>
  <c r="J237" i="6"/>
  <c r="J229" i="6"/>
  <c r="J238" i="6"/>
  <c r="P54" i="6"/>
  <c r="P53" i="6" s="1"/>
  <c r="J268" i="6"/>
  <c r="G72" i="27"/>
  <c r="K72" i="27"/>
  <c r="J80" i="6"/>
  <c r="J204" i="6"/>
  <c r="J83" i="6"/>
  <c r="K15" i="15"/>
  <c r="A16" i="15"/>
  <c r="X16" i="15" s="1"/>
  <c r="J220" i="6"/>
  <c r="J226" i="6"/>
  <c r="J218" i="6"/>
  <c r="J234" i="6"/>
  <c r="J232" i="6"/>
  <c r="J230" i="6"/>
  <c r="J223" i="6"/>
  <c r="J221" i="6"/>
  <c r="J233" i="6"/>
  <c r="J236" i="6"/>
  <c r="J225" i="6"/>
  <c r="J235" i="6"/>
  <c r="J208" i="6"/>
  <c r="J211" i="6"/>
  <c r="J369" i="6"/>
  <c r="W39" i="6"/>
  <c r="W38" i="6" s="1"/>
  <c r="J283" i="6"/>
  <c r="J224" i="6"/>
  <c r="J228" i="6"/>
  <c r="J219" i="6"/>
  <c r="J222" i="6"/>
  <c r="J244" i="6"/>
  <c r="J245" i="6"/>
  <c r="J240" i="6"/>
  <c r="J243" i="6"/>
  <c r="J241" i="6"/>
  <c r="J231" i="6"/>
  <c r="J239" i="6"/>
  <c r="J242" i="6"/>
  <c r="J163" i="6"/>
  <c r="J134" i="6"/>
  <c r="J205" i="6"/>
  <c r="X39" i="6"/>
  <c r="X38" i="6" s="1"/>
  <c r="X40" i="6" s="1"/>
  <c r="P55" i="6"/>
  <c r="AY113" i="6" s="1"/>
  <c r="J123" i="6"/>
  <c r="J319" i="6"/>
  <c r="J327" i="6"/>
  <c r="J311" i="6"/>
  <c r="J81" i="6"/>
  <c r="S54" i="6"/>
  <c r="S53" i="6" s="1"/>
  <c r="S55" i="6" s="1"/>
  <c r="J315" i="6"/>
  <c r="J336" i="6"/>
  <c r="J330" i="6"/>
  <c r="J341" i="6"/>
  <c r="J355" i="6"/>
  <c r="J348" i="6"/>
  <c r="J126" i="6"/>
  <c r="J87" i="6"/>
  <c r="J130" i="6"/>
  <c r="J133" i="6"/>
  <c r="J78" i="6"/>
  <c r="J84" i="6"/>
  <c r="J82" i="6"/>
  <c r="J167" i="6"/>
  <c r="T39" i="6"/>
  <c r="T38" i="6" s="1"/>
  <c r="T40" i="6" s="1"/>
  <c r="J312" i="6"/>
  <c r="J302" i="6"/>
  <c r="J353" i="6"/>
  <c r="J349" i="6"/>
  <c r="V39" i="6"/>
  <c r="V38" i="6" s="1"/>
  <c r="V40" i="6" s="1"/>
  <c r="J329" i="6"/>
  <c r="J307" i="6"/>
  <c r="J303" i="6"/>
  <c r="J322" i="6"/>
  <c r="J325" i="6"/>
  <c r="J310" i="6"/>
  <c r="J305" i="6"/>
  <c r="J317" i="6"/>
  <c r="J313" i="6"/>
  <c r="J314" i="6"/>
  <c r="J328" i="6"/>
  <c r="J304" i="6"/>
  <c r="J308" i="6"/>
  <c r="J326" i="6"/>
  <c r="J323" i="6"/>
  <c r="J320" i="6"/>
  <c r="J306" i="6"/>
  <c r="J309" i="6"/>
  <c r="J318" i="6"/>
  <c r="J321" i="6"/>
  <c r="M24" i="6"/>
  <c r="M23" i="6" s="1"/>
  <c r="J350" i="6"/>
  <c r="J357" i="6"/>
  <c r="J342" i="6"/>
  <c r="J343" i="6"/>
  <c r="J345" i="6"/>
  <c r="J337" i="6"/>
  <c r="J354" i="6"/>
  <c r="M33" i="6"/>
  <c r="M39" i="6" s="1"/>
  <c r="M38" i="6" s="1"/>
  <c r="M40" i="6" s="1"/>
  <c r="N31" i="6"/>
  <c r="N39" i="6" s="1"/>
  <c r="N38" i="6" s="1"/>
  <c r="N40" i="6" s="1"/>
  <c r="J210" i="6"/>
  <c r="J215" i="6"/>
  <c r="J88" i="6"/>
  <c r="J89" i="6"/>
  <c r="J79" i="6"/>
  <c r="J86" i="6"/>
  <c r="J90" i="6"/>
  <c r="J85" i="6"/>
  <c r="J344" i="6"/>
  <c r="J351" i="6"/>
  <c r="J338" i="6"/>
  <c r="J333" i="6"/>
  <c r="J356" i="6"/>
  <c r="J334" i="6"/>
  <c r="J335" i="6"/>
  <c r="J347" i="6"/>
  <c r="J352" i="6"/>
  <c r="J346" i="6"/>
  <c r="J339" i="6"/>
  <c r="J331" i="6"/>
  <c r="J340" i="6"/>
  <c r="J332" i="6"/>
  <c r="M48" i="6"/>
  <c r="N46" i="6"/>
  <c r="M25" i="6"/>
  <c r="J17" i="6" s="1"/>
  <c r="J358" i="6"/>
  <c r="J257" i="6"/>
  <c r="J286" i="6"/>
  <c r="J274" i="6"/>
  <c r="J246" i="6"/>
  <c r="J263" i="6"/>
  <c r="J276" i="6"/>
  <c r="J279" i="6"/>
  <c r="J285" i="6"/>
  <c r="J248" i="6"/>
  <c r="J266" i="6"/>
  <c r="J265" i="6"/>
  <c r="J250" i="6"/>
  <c r="J251" i="6"/>
  <c r="J259" i="6"/>
  <c r="J270" i="6"/>
  <c r="J262" i="6"/>
  <c r="J253" i="6"/>
  <c r="J190" i="6"/>
  <c r="J201" i="6"/>
  <c r="J185" i="6"/>
  <c r="J214" i="6"/>
  <c r="J209" i="6"/>
  <c r="J206" i="6"/>
  <c r="J213" i="6"/>
  <c r="J216" i="6"/>
  <c r="J212" i="6"/>
  <c r="J217" i="6"/>
  <c r="J207" i="6"/>
  <c r="J186" i="6"/>
  <c r="J188" i="6"/>
  <c r="J183" i="6"/>
  <c r="J194" i="6"/>
  <c r="J195" i="6"/>
  <c r="J178" i="6"/>
  <c r="J189" i="6"/>
  <c r="J177" i="6"/>
  <c r="J192" i="6"/>
  <c r="J198" i="6"/>
  <c r="J196" i="6"/>
  <c r="J202" i="6"/>
  <c r="J173" i="6"/>
  <c r="J174" i="6"/>
  <c r="J168" i="6"/>
  <c r="J138" i="6"/>
  <c r="J146" i="6"/>
  <c r="AA48" i="6"/>
  <c r="AA54" i="6" s="1"/>
  <c r="AA53" i="6" s="1"/>
  <c r="Z50" i="6"/>
  <c r="Z54" i="6" s="1"/>
  <c r="Z53" i="6" s="1"/>
  <c r="Z55" i="6" s="1"/>
  <c r="J359" i="6"/>
  <c r="J360" i="6"/>
  <c r="J364" i="6"/>
  <c r="J366" i="6"/>
  <c r="J371" i="6"/>
  <c r="Y54" i="6"/>
  <c r="Y53" i="6" s="1"/>
  <c r="X54" i="6"/>
  <c r="X53" i="6" s="1"/>
  <c r="X55" i="6" s="1"/>
  <c r="AT311" i="6"/>
  <c r="J294" i="6"/>
  <c r="J298" i="6"/>
  <c r="J296" i="6"/>
  <c r="J293" i="6"/>
  <c r="J290" i="6"/>
  <c r="J297" i="6"/>
  <c r="J300" i="6"/>
  <c r="J291" i="6"/>
  <c r="J292" i="6"/>
  <c r="J288" i="6"/>
  <c r="J280" i="6"/>
  <c r="J287" i="6"/>
  <c r="J275" i="6"/>
  <c r="J284" i="6"/>
  <c r="J281" i="6"/>
  <c r="J282" i="6"/>
  <c r="J278" i="6"/>
  <c r="J295" i="6"/>
  <c r="J289" i="6"/>
  <c r="J299" i="6"/>
  <c r="J301" i="6"/>
  <c r="J277" i="6"/>
  <c r="J256" i="6"/>
  <c r="J249" i="6"/>
  <c r="J254" i="6"/>
  <c r="J258" i="6"/>
  <c r="J255" i="6"/>
  <c r="J247" i="6"/>
  <c r="J252" i="6"/>
  <c r="J269" i="6"/>
  <c r="J260" i="6"/>
  <c r="J273" i="6"/>
  <c r="J271" i="6"/>
  <c r="J267" i="6"/>
  <c r="J261" i="6"/>
  <c r="J272" i="6"/>
  <c r="V54" i="6"/>
  <c r="V53" i="6" s="1"/>
  <c r="V55" i="6" s="1"/>
  <c r="W54" i="6"/>
  <c r="W53" i="6" s="1"/>
  <c r="W40" i="6"/>
  <c r="J264" i="6"/>
  <c r="U54" i="6"/>
  <c r="U53" i="6" s="1"/>
  <c r="T54" i="6"/>
  <c r="T53" i="6" s="1"/>
  <c r="T55" i="6" s="1"/>
  <c r="J187" i="6"/>
  <c r="J182" i="6"/>
  <c r="J176" i="6"/>
  <c r="J180" i="6"/>
  <c r="J181" i="6"/>
  <c r="J184" i="6"/>
  <c r="J179" i="6"/>
  <c r="J193" i="6"/>
  <c r="J200" i="6"/>
  <c r="J191" i="6"/>
  <c r="J199" i="6"/>
  <c r="J203" i="6"/>
  <c r="J197" i="6"/>
  <c r="U39" i="6"/>
  <c r="U38" i="6" s="1"/>
  <c r="J175" i="6"/>
  <c r="J155" i="6"/>
  <c r="J166" i="6"/>
  <c r="J171" i="6"/>
  <c r="J169" i="6"/>
  <c r="J172" i="6"/>
  <c r="J162" i="6"/>
  <c r="J170" i="6"/>
  <c r="J147" i="6"/>
  <c r="J152" i="6"/>
  <c r="J149" i="6"/>
  <c r="J164" i="6"/>
  <c r="J165" i="6"/>
  <c r="J144" i="6"/>
  <c r="J158" i="6"/>
  <c r="J136" i="6"/>
  <c r="J141" i="6"/>
  <c r="J160" i="6"/>
  <c r="S39" i="6"/>
  <c r="S38" i="6" s="1"/>
  <c r="J125" i="6"/>
  <c r="J129" i="6"/>
  <c r="J150" i="6"/>
  <c r="J137" i="6"/>
  <c r="J143" i="6"/>
  <c r="J139" i="6"/>
  <c r="J142" i="6"/>
  <c r="J135" i="6"/>
  <c r="J140" i="6"/>
  <c r="J161" i="6"/>
  <c r="J153" i="6"/>
  <c r="J157" i="6"/>
  <c r="J148" i="6"/>
  <c r="J151" i="6"/>
  <c r="J154" i="6"/>
  <c r="J156" i="6"/>
  <c r="J145" i="6"/>
  <c r="J159" i="6"/>
  <c r="T25" i="6"/>
  <c r="J103" i="6" s="1"/>
  <c r="J131" i="6"/>
  <c r="J128" i="6"/>
  <c r="J121" i="6"/>
  <c r="J120" i="6"/>
  <c r="J122" i="6"/>
  <c r="J124" i="6"/>
  <c r="J132" i="6"/>
  <c r="J52" i="6"/>
  <c r="Q40" i="6"/>
  <c r="J61" i="6"/>
  <c r="J73" i="6"/>
  <c r="J77" i="6"/>
  <c r="J66" i="6"/>
  <c r="J76" i="6"/>
  <c r="J64" i="6"/>
  <c r="J72" i="6"/>
  <c r="J67" i="6"/>
  <c r="J65" i="6"/>
  <c r="J74" i="6"/>
  <c r="J60" i="6"/>
  <c r="J56" i="6"/>
  <c r="O55" i="6"/>
  <c r="J70" i="6"/>
  <c r="J68" i="6"/>
  <c r="J75" i="6"/>
  <c r="J69" i="6"/>
  <c r="J71" i="6"/>
  <c r="J63" i="6"/>
  <c r="J62" i="6"/>
  <c r="J50" i="6"/>
  <c r="J57" i="6"/>
  <c r="P40" i="6"/>
  <c r="J51" i="6"/>
  <c r="J54" i="6"/>
  <c r="J53" i="6"/>
  <c r="J59" i="6"/>
  <c r="J55" i="6"/>
  <c r="J58" i="6"/>
  <c r="J367" i="6"/>
  <c r="J370" i="6"/>
  <c r="J361" i="6"/>
  <c r="J368" i="6"/>
  <c r="J362" i="6"/>
  <c r="J363" i="6"/>
  <c r="J365" i="6"/>
  <c r="J30" i="6"/>
  <c r="J43" i="6"/>
  <c r="J41" i="6"/>
  <c r="J46" i="6"/>
  <c r="J49" i="6"/>
  <c r="J29" i="6"/>
  <c r="J24" i="6"/>
  <c r="J32" i="6"/>
  <c r="J25" i="6"/>
  <c r="J33" i="6"/>
  <c r="J28" i="6"/>
  <c r="J39" i="6"/>
  <c r="O40" i="6"/>
  <c r="AN24" i="6"/>
  <c r="AN23" i="6" s="1"/>
  <c r="J23" i="6"/>
  <c r="J27" i="6"/>
  <c r="J35" i="6"/>
  <c r="J26" i="6"/>
  <c r="J34" i="6"/>
  <c r="J22" i="6"/>
  <c r="J42" i="6"/>
  <c r="J45" i="6"/>
  <c r="J47" i="6"/>
  <c r="J48" i="6"/>
  <c r="J36" i="6"/>
  <c r="J31" i="6"/>
  <c r="AA33" i="6"/>
  <c r="Z35" i="6"/>
  <c r="E64" i="27"/>
  <c r="D72" i="27"/>
  <c r="M72" i="27"/>
  <c r="K62" i="27"/>
  <c r="AX56" i="27"/>
  <c r="M71" i="27"/>
  <c r="D75" i="27"/>
  <c r="L71" i="27"/>
  <c r="H71" i="27"/>
  <c r="K74" i="27"/>
  <c r="I72" i="27"/>
  <c r="F60" i="27"/>
  <c r="C72" i="27"/>
  <c r="J72" i="27"/>
  <c r="E72" i="27"/>
  <c r="G37" i="27"/>
  <c r="P74" i="27"/>
  <c r="J70" i="27"/>
  <c r="L70" i="27"/>
  <c r="I70" i="27"/>
  <c r="K70" i="27"/>
  <c r="D70" i="27"/>
  <c r="C70" i="27"/>
  <c r="F70" i="27"/>
  <c r="G70" i="27"/>
  <c r="E70" i="27"/>
  <c r="M70" i="27"/>
  <c r="H70" i="27"/>
  <c r="G74" i="27"/>
  <c r="F74" i="27"/>
  <c r="D74" i="27"/>
  <c r="L74" i="27"/>
  <c r="J74" i="27"/>
  <c r="H74" i="27"/>
  <c r="I71" i="27"/>
  <c r="C71" i="27"/>
  <c r="J71" i="27"/>
  <c r="G71" i="27"/>
  <c r="L75" i="27"/>
  <c r="F75" i="27"/>
  <c r="C75" i="27"/>
  <c r="AE73" i="27"/>
  <c r="K71" i="27"/>
  <c r="E71" i="27"/>
  <c r="K75" i="27"/>
  <c r="I75" i="27"/>
  <c r="J75" i="27"/>
  <c r="G75" i="27"/>
  <c r="I74" i="27"/>
  <c r="D71" i="27"/>
  <c r="E74" i="27"/>
  <c r="C74" i="27"/>
  <c r="H75" i="27"/>
  <c r="E75" i="27"/>
  <c r="F72" i="27"/>
  <c r="L72" i="27"/>
  <c r="L69" i="27"/>
  <c r="I69" i="27"/>
  <c r="J69" i="27"/>
  <c r="G69" i="27"/>
  <c r="H69" i="27"/>
  <c r="C69" i="27"/>
  <c r="E69" i="27"/>
  <c r="K69" i="27"/>
  <c r="M69" i="27"/>
  <c r="F69" i="27"/>
  <c r="D69" i="27"/>
  <c r="F73" i="27"/>
  <c r="C73" i="27"/>
  <c r="J73" i="27"/>
  <c r="I73" i="27"/>
  <c r="H73" i="27"/>
  <c r="G73" i="27"/>
  <c r="E73" i="27"/>
  <c r="K73" i="27"/>
  <c r="L73" i="27"/>
  <c r="D73" i="27"/>
  <c r="M73" i="27"/>
  <c r="H62" i="27"/>
  <c r="C65" i="27"/>
  <c r="L65" i="27"/>
  <c r="D65" i="27"/>
  <c r="G60" i="27"/>
  <c r="M60" i="27"/>
  <c r="H64" i="27"/>
  <c r="D64" i="27"/>
  <c r="G62" i="27"/>
  <c r="F62" i="27"/>
  <c r="G65" i="27"/>
  <c r="M65" i="27"/>
  <c r="F65" i="27"/>
  <c r="L64" i="27"/>
  <c r="K64" i="27"/>
  <c r="M62" i="27"/>
  <c r="C62" i="27"/>
  <c r="K65" i="27"/>
  <c r="E65" i="27"/>
  <c r="J65" i="27"/>
  <c r="H65" i="27"/>
  <c r="D62" i="27"/>
  <c r="C57" i="27"/>
  <c r="J57" i="27"/>
  <c r="K57" i="27"/>
  <c r="M57" i="27"/>
  <c r="G57" i="27"/>
  <c r="D57" i="27"/>
  <c r="I57" i="27"/>
  <c r="H57" i="27"/>
  <c r="F57" i="27"/>
  <c r="L57" i="27"/>
  <c r="E57" i="27"/>
  <c r="F61" i="27"/>
  <c r="E61" i="27"/>
  <c r="K61" i="27"/>
  <c r="L61" i="27"/>
  <c r="I61" i="27"/>
  <c r="D61" i="27"/>
  <c r="G61" i="27"/>
  <c r="H61" i="27"/>
  <c r="J61" i="27"/>
  <c r="C61" i="27"/>
  <c r="M61" i="27"/>
  <c r="D58" i="27"/>
  <c r="H58" i="27"/>
  <c r="G58" i="27"/>
  <c r="M58" i="27"/>
  <c r="I58" i="27"/>
  <c r="C58" i="27"/>
  <c r="F58" i="27"/>
  <c r="K58" i="27"/>
  <c r="J58" i="27"/>
  <c r="L58" i="27"/>
  <c r="E58" i="27"/>
  <c r="E62" i="27"/>
  <c r="I62" i="27"/>
  <c r="L62" i="27"/>
  <c r="L66" i="27"/>
  <c r="K66" i="27"/>
  <c r="F66" i="27"/>
  <c r="E66" i="27"/>
  <c r="G66" i="27"/>
  <c r="M66" i="27"/>
  <c r="D66" i="27"/>
  <c r="I66" i="27"/>
  <c r="C66" i="27"/>
  <c r="J66" i="27"/>
  <c r="H66" i="27"/>
  <c r="G59" i="27"/>
  <c r="M59" i="27"/>
  <c r="K59" i="27"/>
  <c r="D59" i="27"/>
  <c r="E59" i="27"/>
  <c r="I59" i="27"/>
  <c r="L59" i="27"/>
  <c r="H59" i="27"/>
  <c r="F59" i="27"/>
  <c r="J59" i="27"/>
  <c r="C59" i="27"/>
  <c r="I63" i="27"/>
  <c r="E63" i="27"/>
  <c r="C63" i="27"/>
  <c r="M63" i="27"/>
  <c r="D63" i="27"/>
  <c r="K63" i="27"/>
  <c r="F63" i="27"/>
  <c r="H63" i="27"/>
  <c r="J63" i="27"/>
  <c r="L63" i="27"/>
  <c r="G63" i="27"/>
  <c r="C67" i="27"/>
  <c r="G67" i="27"/>
  <c r="K67" i="27"/>
  <c r="L67" i="27"/>
  <c r="E67" i="27"/>
  <c r="I67" i="27"/>
  <c r="H67" i="27"/>
  <c r="J67" i="27"/>
  <c r="F67" i="27"/>
  <c r="M67" i="27"/>
  <c r="D67" i="27"/>
  <c r="L60" i="27"/>
  <c r="K60" i="27"/>
  <c r="C60" i="27"/>
  <c r="J60" i="27"/>
  <c r="E60" i="27"/>
  <c r="H60" i="27"/>
  <c r="I60" i="27"/>
  <c r="M64" i="27"/>
  <c r="G64" i="27"/>
  <c r="J64" i="27"/>
  <c r="I64" i="27"/>
  <c r="J40" i="6"/>
  <c r="J38" i="6"/>
  <c r="J44" i="6"/>
  <c r="J37" i="6"/>
  <c r="AY125" i="6"/>
  <c r="AY140" i="6"/>
  <c r="AY122" i="6"/>
  <c r="AY121" i="6"/>
  <c r="AY142" i="6"/>
  <c r="AY130" i="6"/>
  <c r="AY127" i="6"/>
  <c r="AY147" i="6"/>
  <c r="AY143" i="6"/>
  <c r="AY124" i="6"/>
  <c r="AY131" i="6"/>
  <c r="AY129" i="6"/>
  <c r="AY123" i="6"/>
  <c r="AY126" i="6"/>
  <c r="AY139" i="6"/>
  <c r="AY132" i="6"/>
  <c r="AY133" i="6"/>
  <c r="AY136" i="6"/>
  <c r="AY128" i="6"/>
  <c r="AY135" i="6"/>
  <c r="AY134" i="6"/>
  <c r="AY120" i="6"/>
  <c r="AY144" i="6"/>
  <c r="AY141" i="6"/>
  <c r="AY145" i="6"/>
  <c r="AY137" i="6"/>
  <c r="AY138" i="6"/>
  <c r="AY146" i="6"/>
  <c r="O9" i="15"/>
  <c r="AJ16" i="15" s="1"/>
  <c r="AC16" i="1"/>
  <c r="AB16" i="15"/>
  <c r="L16" i="15"/>
  <c r="D16" i="15" s="1"/>
  <c r="L15" i="15"/>
  <c r="D15" i="15" s="1"/>
  <c r="L11" i="16"/>
  <c r="AE74" i="27"/>
  <c r="H40" i="27"/>
  <c r="P75" i="27"/>
  <c r="G38" i="27" s="1"/>
  <c r="BH11" i="6"/>
  <c r="BH12" i="6" s="1"/>
  <c r="BH220" i="6" s="1"/>
  <c r="L12" i="16"/>
  <c r="L15" i="16" s="1"/>
  <c r="D15" i="16" s="1"/>
  <c r="K15" i="16"/>
  <c r="AB15" i="16"/>
  <c r="A16" i="16"/>
  <c r="X15" i="16"/>
  <c r="C13" i="7"/>
  <c r="BW13" i="7"/>
  <c r="BQ13" i="7"/>
  <c r="BK13" i="7"/>
  <c r="O15" i="1"/>
  <c r="A16" i="17"/>
  <c r="X15" i="17"/>
  <c r="K15" i="17"/>
  <c r="AB15" i="17"/>
  <c r="L12" i="17"/>
  <c r="O16" i="1"/>
  <c r="X17" i="1"/>
  <c r="AK17" i="1"/>
  <c r="L17" i="1"/>
  <c r="K17" i="1"/>
  <c r="AC17" i="1"/>
  <c r="A18" i="1"/>
  <c r="O17" i="1"/>
  <c r="AJ17" i="1"/>
  <c r="AB17" i="1"/>
  <c r="AE11" i="1"/>
  <c r="L11" i="19"/>
  <c r="Q10" i="1"/>
  <c r="P10" i="1"/>
  <c r="Q17" i="1" s="1"/>
  <c r="AI11" i="1"/>
  <c r="U10" i="1"/>
  <c r="V14" i="18"/>
  <c r="E6" i="6"/>
  <c r="A15" i="18"/>
  <c r="L1" i="18"/>
  <c r="J1" i="20"/>
  <c r="Y14" i="18"/>
  <c r="Y3" i="7"/>
  <c r="A15" i="19"/>
  <c r="A39" i="19" s="1"/>
  <c r="A65" i="19"/>
  <c r="F14" i="18"/>
  <c r="X1" i="18"/>
  <c r="BZ9" i="7" l="1"/>
  <c r="BW10" i="7"/>
  <c r="BH286" i="6"/>
  <c r="BH337" i="6"/>
  <c r="BH327" i="6"/>
  <c r="BH161" i="6"/>
  <c r="BH290" i="6"/>
  <c r="BH104" i="6"/>
  <c r="BH45" i="6"/>
  <c r="AY109" i="6"/>
  <c r="AY99" i="6"/>
  <c r="A17" i="15"/>
  <c r="L14" i="27"/>
  <c r="I24" i="27" s="1"/>
  <c r="K16" i="15"/>
  <c r="AY149" i="6"/>
  <c r="AY160" i="6"/>
  <c r="AY199" i="6"/>
  <c r="AY92" i="6"/>
  <c r="AY116" i="6"/>
  <c r="AY100" i="6"/>
  <c r="AY119" i="6"/>
  <c r="AY111" i="6"/>
  <c r="AY98" i="6"/>
  <c r="AY117" i="6"/>
  <c r="AY96" i="6"/>
  <c r="AY95" i="6"/>
  <c r="AY93" i="6"/>
  <c r="AY114" i="6"/>
  <c r="AT319" i="6"/>
  <c r="AT318" i="6"/>
  <c r="AT307" i="6"/>
  <c r="AY161" i="6"/>
  <c r="AY157" i="6"/>
  <c r="AY164" i="6"/>
  <c r="AY150" i="6"/>
  <c r="AY152" i="6"/>
  <c r="AY103" i="6"/>
  <c r="AY112" i="6"/>
  <c r="AY108" i="6"/>
  <c r="AY97" i="6"/>
  <c r="AY94" i="6"/>
  <c r="AY110" i="6"/>
  <c r="AY115" i="6"/>
  <c r="AY107" i="6"/>
  <c r="AY118" i="6"/>
  <c r="AY106" i="6"/>
  <c r="AY102" i="6"/>
  <c r="AY105" i="6"/>
  <c r="AY101" i="6"/>
  <c r="AY104" i="6"/>
  <c r="AY162" i="6"/>
  <c r="AY174" i="6"/>
  <c r="AY159" i="6"/>
  <c r="AY148" i="6"/>
  <c r="AY165" i="6"/>
  <c r="AY169" i="6"/>
  <c r="AY168" i="6"/>
  <c r="AY167" i="6"/>
  <c r="AT262" i="6"/>
  <c r="AT272" i="6"/>
  <c r="AT317" i="6"/>
  <c r="AT324" i="6"/>
  <c r="AT316" i="6"/>
  <c r="AT305" i="6"/>
  <c r="AT306" i="6"/>
  <c r="AT315" i="6"/>
  <c r="AT323" i="6"/>
  <c r="AT310" i="6"/>
  <c r="AT328" i="6"/>
  <c r="AT327" i="6"/>
  <c r="AT308" i="6"/>
  <c r="AT302" i="6"/>
  <c r="AT325" i="6"/>
  <c r="AT313" i="6"/>
  <c r="AT320" i="6"/>
  <c r="AT314" i="6"/>
  <c r="AT321" i="6"/>
  <c r="AT312" i="6"/>
  <c r="AT326" i="6"/>
  <c r="AT303" i="6"/>
  <c r="AT322" i="6"/>
  <c r="AT304" i="6"/>
  <c r="AT309" i="6"/>
  <c r="AT329" i="6"/>
  <c r="J16" i="6"/>
  <c r="AY163" i="6"/>
  <c r="AY154" i="6"/>
  <c r="AY171" i="6"/>
  <c r="AY155" i="6"/>
  <c r="AY170" i="6"/>
  <c r="AY156" i="6"/>
  <c r="AY172" i="6"/>
  <c r="AY158" i="6"/>
  <c r="AY173" i="6"/>
  <c r="AY153" i="6"/>
  <c r="AY151" i="6"/>
  <c r="AY175" i="6"/>
  <c r="AY166" i="6"/>
  <c r="AT260" i="6"/>
  <c r="AT298" i="6"/>
  <c r="AT295" i="6"/>
  <c r="AT274" i="6"/>
  <c r="AT284" i="6"/>
  <c r="J15" i="6"/>
  <c r="AT96" i="6"/>
  <c r="AZ96" i="6" s="1"/>
  <c r="J18" i="6"/>
  <c r="J95" i="6"/>
  <c r="AT113" i="6"/>
  <c r="AZ113" i="6" s="1"/>
  <c r="J92" i="6"/>
  <c r="J116" i="6"/>
  <c r="AT267" i="6"/>
  <c r="AT270" i="6"/>
  <c r="AT282" i="6"/>
  <c r="AT299" i="6"/>
  <c r="AT289" i="6"/>
  <c r="AT275" i="6"/>
  <c r="M54" i="6"/>
  <c r="M53" i="6" s="1"/>
  <c r="J20" i="6"/>
  <c r="J19" i="6"/>
  <c r="J21" i="6"/>
  <c r="N54" i="6"/>
  <c r="N53" i="6" s="1"/>
  <c r="N55" i="6" s="1"/>
  <c r="AT249" i="6"/>
  <c r="AT253" i="6"/>
  <c r="AT246" i="6"/>
  <c r="AT248" i="6"/>
  <c r="AT285" i="6"/>
  <c r="AT286" i="6"/>
  <c r="AT278" i="6"/>
  <c r="AT300" i="6"/>
  <c r="AT297" i="6"/>
  <c r="AT283" i="6"/>
  <c r="AT291" i="6"/>
  <c r="AT287" i="6"/>
  <c r="AT258" i="6"/>
  <c r="AT128" i="6"/>
  <c r="AZ128" i="6" s="1"/>
  <c r="J106" i="6"/>
  <c r="AT133" i="6"/>
  <c r="AZ133" i="6" s="1"/>
  <c r="AT126" i="6"/>
  <c r="AZ126" i="6" s="1"/>
  <c r="J102" i="6"/>
  <c r="J111" i="6"/>
  <c r="J107" i="6"/>
  <c r="J104" i="6"/>
  <c r="J96" i="6"/>
  <c r="J108" i="6"/>
  <c r="J118" i="6"/>
  <c r="J93" i="6"/>
  <c r="J109" i="6"/>
  <c r="J105" i="6"/>
  <c r="J101" i="6"/>
  <c r="J99" i="6"/>
  <c r="J115" i="6"/>
  <c r="J117" i="6"/>
  <c r="J113" i="6"/>
  <c r="J112" i="6"/>
  <c r="J114" i="6"/>
  <c r="J119" i="6"/>
  <c r="J97" i="6"/>
  <c r="J98" i="6"/>
  <c r="J110" i="6"/>
  <c r="J100" i="6"/>
  <c r="J94" i="6"/>
  <c r="AT112" i="6"/>
  <c r="AZ112" i="6" s="1"/>
  <c r="AT120" i="6"/>
  <c r="AZ120" i="6" s="1"/>
  <c r="U380" i="6" s="1"/>
  <c r="U381" i="6" s="1"/>
  <c r="AT130" i="6"/>
  <c r="AZ130" i="6" s="1"/>
  <c r="AT110" i="6"/>
  <c r="AT66" i="6"/>
  <c r="AT103" i="6"/>
  <c r="AZ103" i="6" s="1"/>
  <c r="AA55" i="6"/>
  <c r="AY380" i="6" s="1"/>
  <c r="AT30" i="6"/>
  <c r="AT56" i="6"/>
  <c r="Y55" i="6"/>
  <c r="AY364" i="6" s="1"/>
  <c r="AT259" i="6"/>
  <c r="AT269" i="6"/>
  <c r="AT256" i="6"/>
  <c r="AT251" i="6"/>
  <c r="AT250" i="6"/>
  <c r="W55" i="6"/>
  <c r="AY297" i="6" s="1"/>
  <c r="AT266" i="6"/>
  <c r="AT271" i="6"/>
  <c r="AT261" i="6"/>
  <c r="AT263" i="6"/>
  <c r="AT257" i="6"/>
  <c r="AT268" i="6"/>
  <c r="AT301" i="6"/>
  <c r="AT280" i="6"/>
  <c r="AT292" i="6"/>
  <c r="AT277" i="6"/>
  <c r="AT296" i="6"/>
  <c r="AT279" i="6"/>
  <c r="AT281" i="6"/>
  <c r="AT294" i="6"/>
  <c r="AT290" i="6"/>
  <c r="AT288" i="6"/>
  <c r="AT276" i="6"/>
  <c r="AT293" i="6"/>
  <c r="AT264" i="6"/>
  <c r="AT273" i="6"/>
  <c r="AT265" i="6"/>
  <c r="AT255" i="6"/>
  <c r="AT252" i="6"/>
  <c r="AT254" i="6"/>
  <c r="AT247" i="6"/>
  <c r="AY187" i="6"/>
  <c r="AY202" i="6"/>
  <c r="AY194" i="6"/>
  <c r="AY196" i="6"/>
  <c r="AY191" i="6"/>
  <c r="AY180" i="6"/>
  <c r="AY193" i="6"/>
  <c r="AY203" i="6"/>
  <c r="AY192" i="6"/>
  <c r="AY186" i="6"/>
  <c r="AY178" i="6"/>
  <c r="AY190" i="6"/>
  <c r="AY188" i="6"/>
  <c r="AY183" i="6"/>
  <c r="AY181" i="6"/>
  <c r="AY201" i="6"/>
  <c r="AY179" i="6"/>
  <c r="AY182" i="6"/>
  <c r="AY184" i="6"/>
  <c r="U55" i="6"/>
  <c r="AY242" i="6" s="1"/>
  <c r="AY200" i="6"/>
  <c r="AY176" i="6"/>
  <c r="AY198" i="6"/>
  <c r="AY195" i="6"/>
  <c r="AY197" i="6"/>
  <c r="AY177" i="6"/>
  <c r="AY189" i="6"/>
  <c r="AY185" i="6"/>
  <c r="U40" i="6"/>
  <c r="S40" i="6"/>
  <c r="AT185" i="6" s="1"/>
  <c r="AZ185" i="6" s="1"/>
  <c r="AT95" i="6"/>
  <c r="AT86" i="6"/>
  <c r="AT108" i="6"/>
  <c r="AZ108" i="6" s="1"/>
  <c r="AT127" i="6"/>
  <c r="AZ127" i="6" s="1"/>
  <c r="AT122" i="6"/>
  <c r="AZ122" i="6" s="1"/>
  <c r="AT125" i="6"/>
  <c r="AZ125" i="6" s="1"/>
  <c r="AT116" i="6"/>
  <c r="AZ116" i="6" s="1"/>
  <c r="AT118" i="6"/>
  <c r="AT111" i="6"/>
  <c r="AT98" i="6"/>
  <c r="AT99" i="6"/>
  <c r="AT79" i="6"/>
  <c r="AT83" i="6"/>
  <c r="AT121" i="6"/>
  <c r="AZ121" i="6" s="1"/>
  <c r="AT107" i="6"/>
  <c r="AT123" i="6"/>
  <c r="AZ123" i="6" s="1"/>
  <c r="AT109" i="6"/>
  <c r="AT124" i="6"/>
  <c r="AZ124" i="6" s="1"/>
  <c r="AT114" i="6"/>
  <c r="AT117" i="6"/>
  <c r="AZ117" i="6" s="1"/>
  <c r="AT129" i="6"/>
  <c r="AZ129" i="6" s="1"/>
  <c r="AT131" i="6"/>
  <c r="AZ131" i="6" s="1"/>
  <c r="AT115" i="6"/>
  <c r="AZ115" i="6" s="1"/>
  <c r="AT132" i="6"/>
  <c r="AZ132" i="6" s="1"/>
  <c r="AT106" i="6"/>
  <c r="AT119" i="6"/>
  <c r="AT40" i="6"/>
  <c r="AT45" i="6"/>
  <c r="AT58" i="6"/>
  <c r="AT53" i="6"/>
  <c r="AT28" i="6"/>
  <c r="AT29" i="6"/>
  <c r="AT34" i="6"/>
  <c r="AT43" i="6"/>
  <c r="AT67" i="6"/>
  <c r="AT64" i="6"/>
  <c r="AT76" i="6"/>
  <c r="AT55" i="6"/>
  <c r="AT104" i="6"/>
  <c r="AT93" i="6"/>
  <c r="AT100" i="6"/>
  <c r="AT78" i="6"/>
  <c r="AT90" i="6"/>
  <c r="AT81" i="6"/>
  <c r="AT105" i="6"/>
  <c r="AY87" i="6"/>
  <c r="AY69" i="6"/>
  <c r="AY76" i="6"/>
  <c r="AY78" i="6"/>
  <c r="AY67" i="6"/>
  <c r="AY72" i="6"/>
  <c r="AY75" i="6"/>
  <c r="AY68" i="6"/>
  <c r="AY66" i="6"/>
  <c r="AY70" i="6"/>
  <c r="AY91" i="6"/>
  <c r="AY90" i="6"/>
  <c r="AY88" i="6"/>
  <c r="AY89" i="6"/>
  <c r="AY80" i="6"/>
  <c r="AY82" i="6"/>
  <c r="AY65" i="6"/>
  <c r="AY64" i="6"/>
  <c r="AY77" i="6"/>
  <c r="AY85" i="6"/>
  <c r="AY84" i="6"/>
  <c r="AY71" i="6"/>
  <c r="AY73" i="6"/>
  <c r="AY81" i="6"/>
  <c r="AY83" i="6"/>
  <c r="AY79" i="6"/>
  <c r="AY74" i="6"/>
  <c r="AY86" i="6"/>
  <c r="AT32" i="6"/>
  <c r="AT35" i="6"/>
  <c r="AT49" i="6"/>
  <c r="AT23" i="6"/>
  <c r="AT26" i="6"/>
  <c r="AT25" i="6"/>
  <c r="AT46" i="6"/>
  <c r="AT72" i="6"/>
  <c r="AT63" i="6"/>
  <c r="AT61" i="6"/>
  <c r="AT71" i="6"/>
  <c r="AT57" i="6"/>
  <c r="AT70" i="6"/>
  <c r="AT52" i="6"/>
  <c r="AT91" i="6"/>
  <c r="AT89" i="6"/>
  <c r="AT88" i="6"/>
  <c r="AT97" i="6"/>
  <c r="AT94" i="6"/>
  <c r="AT92" i="6"/>
  <c r="AT84" i="6"/>
  <c r="AZ84" i="6" s="1"/>
  <c r="AT85" i="6"/>
  <c r="AZ85" i="6" s="1"/>
  <c r="AT82" i="6"/>
  <c r="AT80" i="6"/>
  <c r="AT102" i="6"/>
  <c r="AT101" i="6"/>
  <c r="AZ101" i="6" s="1"/>
  <c r="AT87" i="6"/>
  <c r="AT37" i="6"/>
  <c r="AT47" i="6"/>
  <c r="AT44" i="6"/>
  <c r="AT41" i="6"/>
  <c r="AT36" i="6"/>
  <c r="AT42" i="6"/>
  <c r="AT48" i="6"/>
  <c r="AT33" i="6"/>
  <c r="AT22" i="6"/>
  <c r="AT39" i="6"/>
  <c r="AT38" i="6"/>
  <c r="AT31" i="6"/>
  <c r="AT27" i="6"/>
  <c r="AT24" i="6"/>
  <c r="AT69" i="6"/>
  <c r="AT74" i="6"/>
  <c r="AZ74" i="6" s="1"/>
  <c r="AT68" i="6"/>
  <c r="AT73" i="6"/>
  <c r="AZ73" i="6" s="1"/>
  <c r="AT51" i="6"/>
  <c r="AT59" i="6"/>
  <c r="AT54" i="6"/>
  <c r="AT77" i="6"/>
  <c r="AT65" i="6"/>
  <c r="AT75" i="6"/>
  <c r="AT50" i="6"/>
  <c r="AT62" i="6"/>
  <c r="AT60" i="6"/>
  <c r="AN25" i="6"/>
  <c r="J374" i="6" s="1"/>
  <c r="AT18" i="6"/>
  <c r="AT15" i="6"/>
  <c r="AT21" i="6"/>
  <c r="AT20" i="6"/>
  <c r="Z39" i="6"/>
  <c r="Z38" i="6" s="1"/>
  <c r="Z40" i="6" s="1"/>
  <c r="AT16" i="6"/>
  <c r="AT17" i="6"/>
  <c r="AT19" i="6"/>
  <c r="AA39" i="6"/>
  <c r="AA38" i="6" s="1"/>
  <c r="BH32" i="6"/>
  <c r="BH15" i="6"/>
  <c r="BH20" i="6"/>
  <c r="BH250" i="6"/>
  <c r="BH373" i="6"/>
  <c r="BH217" i="6"/>
  <c r="BH26" i="6"/>
  <c r="BH261" i="6"/>
  <c r="BH162" i="6"/>
  <c r="BH228" i="6"/>
  <c r="BH34" i="6"/>
  <c r="BH51" i="6"/>
  <c r="BH326" i="6"/>
  <c r="BH192" i="6"/>
  <c r="BH379" i="6"/>
  <c r="BH283" i="6"/>
  <c r="BH199" i="6"/>
  <c r="BH22" i="6"/>
  <c r="BH277" i="6"/>
  <c r="BH23" i="6"/>
  <c r="BH305" i="6"/>
  <c r="BH113" i="6"/>
  <c r="BH176" i="6"/>
  <c r="BH367" i="6"/>
  <c r="BH350" i="6"/>
  <c r="I23" i="27"/>
  <c r="BH97" i="6"/>
  <c r="BH121" i="6"/>
  <c r="BH72" i="6"/>
  <c r="BH19" i="6"/>
  <c r="BH53" i="6"/>
  <c r="BH57" i="6"/>
  <c r="BH366" i="6"/>
  <c r="BH79" i="6"/>
  <c r="BH282" i="6"/>
  <c r="BH197" i="6"/>
  <c r="BH183" i="6"/>
  <c r="BH147" i="6"/>
  <c r="BH237" i="6"/>
  <c r="BH334" i="6"/>
  <c r="BH329" i="6"/>
  <c r="BH279" i="6"/>
  <c r="BH359" i="6"/>
  <c r="BH362" i="6"/>
  <c r="BH335" i="6"/>
  <c r="BH259" i="6"/>
  <c r="BH357" i="6"/>
  <c r="BH300" i="6"/>
  <c r="BH24" i="6"/>
  <c r="BH203" i="6"/>
  <c r="BH186" i="6"/>
  <c r="BH216" i="6"/>
  <c r="BH245" i="6"/>
  <c r="BH231" i="6"/>
  <c r="BH73" i="6"/>
  <c r="BH311" i="6"/>
  <c r="BH224" i="6"/>
  <c r="BH69" i="6"/>
  <c r="BH262" i="6"/>
  <c r="BH256" i="6"/>
  <c r="BH146" i="6"/>
  <c r="BH267" i="6"/>
  <c r="BH377" i="6"/>
  <c r="BH60" i="6"/>
  <c r="BH170" i="6"/>
  <c r="BH370" i="6"/>
  <c r="BH345" i="6"/>
  <c r="BH260" i="6"/>
  <c r="BH365" i="6"/>
  <c r="BH154" i="6"/>
  <c r="BH333" i="6"/>
  <c r="BH130" i="6"/>
  <c r="BH226" i="6"/>
  <c r="BH185" i="6"/>
  <c r="BH179" i="6"/>
  <c r="BH89" i="6"/>
  <c r="BH101" i="6"/>
  <c r="BH318" i="6"/>
  <c r="BH103" i="6"/>
  <c r="BH39" i="6"/>
  <c r="BH221" i="6"/>
  <c r="BH323" i="6"/>
  <c r="BH268" i="6"/>
  <c r="BH257" i="6"/>
  <c r="BH276" i="6"/>
  <c r="BH281" i="6"/>
  <c r="BH343" i="6"/>
  <c r="BH252" i="6"/>
  <c r="BH242" i="6"/>
  <c r="BH174" i="6"/>
  <c r="BH368" i="6"/>
  <c r="BH48" i="6"/>
  <c r="BH116" i="6"/>
  <c r="BH227" i="6"/>
  <c r="BH105" i="6"/>
  <c r="BH188" i="6"/>
  <c r="BH361" i="6"/>
  <c r="BH158" i="6"/>
  <c r="BH200" i="6"/>
  <c r="BH240" i="6"/>
  <c r="BH223" i="6"/>
  <c r="BH107" i="6"/>
  <c r="BH98" i="6"/>
  <c r="BH310" i="6"/>
  <c r="BH278" i="6"/>
  <c r="BH232" i="6"/>
  <c r="BH152" i="6"/>
  <c r="BH122" i="6"/>
  <c r="BH21" i="6"/>
  <c r="BH249" i="6"/>
  <c r="BH273" i="6"/>
  <c r="BH78" i="6"/>
  <c r="BH248" i="6"/>
  <c r="BH36" i="6"/>
  <c r="BH204" i="6"/>
  <c r="BH143" i="6"/>
  <c r="BH83" i="6"/>
  <c r="BH336" i="6"/>
  <c r="BH157" i="6"/>
  <c r="BH258" i="6"/>
  <c r="BH124" i="6"/>
  <c r="BH86" i="6"/>
  <c r="BH58" i="6"/>
  <c r="BH66" i="6"/>
  <c r="BH229" i="6"/>
  <c r="BH169" i="6"/>
  <c r="BH126" i="6"/>
  <c r="BH29" i="6"/>
  <c r="BH288" i="6"/>
  <c r="E8" i="15"/>
  <c r="K12" i="19" s="1"/>
  <c r="K36" i="19" s="1"/>
  <c r="I11" i="7"/>
  <c r="Q11" i="15" s="1"/>
  <c r="BH293" i="6"/>
  <c r="BH85" i="6"/>
  <c r="BH304" i="6"/>
  <c r="BH70" i="6"/>
  <c r="H13" i="7"/>
  <c r="F7" i="15"/>
  <c r="AJ15" i="15"/>
  <c r="P11" i="15"/>
  <c r="AK17" i="15" s="1"/>
  <c r="H15" i="7"/>
  <c r="BH196" i="6"/>
  <c r="BH364" i="6"/>
  <c r="BH344" i="6"/>
  <c r="BH239" i="6"/>
  <c r="BH71" i="6"/>
  <c r="BH175" i="6"/>
  <c r="BH356" i="6"/>
  <c r="BH118" i="6"/>
  <c r="BH339" i="6"/>
  <c r="BH87" i="6"/>
  <c r="BH50" i="6"/>
  <c r="BH209" i="6"/>
  <c r="BH135" i="6"/>
  <c r="BH46" i="6"/>
  <c r="BH347" i="6"/>
  <c r="BH74" i="6"/>
  <c r="BH156" i="6"/>
  <c r="BH38" i="6"/>
  <c r="BH84" i="6"/>
  <c r="BH25" i="6"/>
  <c r="BH342" i="6"/>
  <c r="BH225" i="6"/>
  <c r="BH67" i="6"/>
  <c r="BH372" i="6"/>
  <c r="BH61" i="6"/>
  <c r="BH81" i="6"/>
  <c r="BH275" i="6"/>
  <c r="BH292" i="6"/>
  <c r="BH238" i="6"/>
  <c r="BH149" i="6"/>
  <c r="BH378" i="6"/>
  <c r="BH37" i="6"/>
  <c r="BH303" i="6"/>
  <c r="BH355" i="6"/>
  <c r="BH198" i="6"/>
  <c r="BH163" i="6"/>
  <c r="BH294" i="6"/>
  <c r="BH115" i="6"/>
  <c r="BH264" i="6"/>
  <c r="BH18" i="6"/>
  <c r="BH100" i="6"/>
  <c r="BH193" i="6"/>
  <c r="BH172" i="6"/>
  <c r="BH301" i="6"/>
  <c r="BH330" i="6"/>
  <c r="BH207" i="6"/>
  <c r="BH270" i="6"/>
  <c r="BH119" i="6"/>
  <c r="BH63" i="6"/>
  <c r="BH214" i="6"/>
  <c r="BH17" i="6"/>
  <c r="BH299" i="6"/>
  <c r="BH315" i="6"/>
  <c r="BH324" i="6"/>
  <c r="BH140" i="6"/>
  <c r="BH168" i="6"/>
  <c r="BH306" i="6"/>
  <c r="BH351" i="6"/>
  <c r="BH68" i="6"/>
  <c r="BH201" i="6"/>
  <c r="BH243" i="6"/>
  <c r="BH165" i="6"/>
  <c r="BH123" i="6"/>
  <c r="BH47" i="6"/>
  <c r="BH341" i="6"/>
  <c r="BH187" i="6"/>
  <c r="BH128" i="6"/>
  <c r="BH298" i="6"/>
  <c r="BH230" i="6"/>
  <c r="BH109" i="6"/>
  <c r="BH184" i="6"/>
  <c r="BH313" i="6"/>
  <c r="BH235" i="6"/>
  <c r="BH269" i="6"/>
  <c r="BH317" i="6"/>
  <c r="BH346" i="6"/>
  <c r="BH236" i="6"/>
  <c r="BH164" i="6"/>
  <c r="BH284" i="6"/>
  <c r="BH30" i="6"/>
  <c r="BH173" i="6"/>
  <c r="BH312" i="6"/>
  <c r="BH234" i="6"/>
  <c r="BH285" i="6"/>
  <c r="BH43" i="6"/>
  <c r="BH127" i="6"/>
  <c r="BH263" i="6"/>
  <c r="BH35" i="6"/>
  <c r="BH136" i="6"/>
  <c r="BH212" i="6"/>
  <c r="BH117" i="6"/>
  <c r="BH375" i="6"/>
  <c r="BH177" i="6"/>
  <c r="BH99" i="6"/>
  <c r="BH289" i="6"/>
  <c r="BH181" i="6"/>
  <c r="BH316" i="6"/>
  <c r="BH153" i="6"/>
  <c r="BH64" i="6"/>
  <c r="BH353" i="6"/>
  <c r="BH266" i="6"/>
  <c r="BH90" i="6"/>
  <c r="BH251" i="6"/>
  <c r="BH31" i="6"/>
  <c r="BH332" i="6"/>
  <c r="BH167" i="6"/>
  <c r="BH75" i="6"/>
  <c r="BH93" i="6"/>
  <c r="BH171" i="6"/>
  <c r="BH208" i="6"/>
  <c r="BH33" i="6"/>
  <c r="BH325" i="6"/>
  <c r="BH82" i="6"/>
  <c r="BH348" i="6"/>
  <c r="BH110" i="6"/>
  <c r="BH338" i="6"/>
  <c r="BH95" i="6"/>
  <c r="BH112" i="6"/>
  <c r="BH374" i="6"/>
  <c r="BH16" i="6"/>
  <c r="BH191" i="6"/>
  <c r="BH138" i="6"/>
  <c r="BH253" i="6"/>
  <c r="BH309" i="6"/>
  <c r="BH222" i="6"/>
  <c r="BH141" i="6"/>
  <c r="BH320" i="6"/>
  <c r="BH28" i="6"/>
  <c r="BH296" i="6"/>
  <c r="BH151" i="6"/>
  <c r="BH27" i="6"/>
  <c r="BH271" i="6"/>
  <c r="BH331" i="6"/>
  <c r="BH166" i="6"/>
  <c r="BH213" i="6"/>
  <c r="BH246" i="6"/>
  <c r="BH150" i="6"/>
  <c r="BH182" i="6"/>
  <c r="BH272" i="6"/>
  <c r="BH106" i="6"/>
  <c r="BH108" i="6"/>
  <c r="BH328" i="6"/>
  <c r="BH211" i="6"/>
  <c r="BH132" i="6"/>
  <c r="BH219" i="6"/>
  <c r="BH155" i="6"/>
  <c r="BH319" i="6"/>
  <c r="BH241" i="6"/>
  <c r="BH233" i="6"/>
  <c r="BH189" i="6"/>
  <c r="BH160" i="6"/>
  <c r="BH49" i="6"/>
  <c r="BH206" i="6"/>
  <c r="BH314" i="6"/>
  <c r="BH195" i="6"/>
  <c r="BH133" i="6"/>
  <c r="BH302" i="6"/>
  <c r="BH352" i="6"/>
  <c r="BH159" i="6"/>
  <c r="BH114" i="6"/>
  <c r="BH145" i="6"/>
  <c r="BH202" i="6"/>
  <c r="BH102" i="6"/>
  <c r="BH42" i="6"/>
  <c r="BH94" i="6"/>
  <c r="BH111" i="6"/>
  <c r="BH120" i="6"/>
  <c r="BH178" i="6"/>
  <c r="BH354" i="6"/>
  <c r="BH76" i="6"/>
  <c r="BH265" i="6"/>
  <c r="BH96" i="6"/>
  <c r="BH295" i="6"/>
  <c r="BH194" i="6"/>
  <c r="BH88" i="6"/>
  <c r="BH55" i="6"/>
  <c r="BH297" i="6"/>
  <c r="BH274" i="6"/>
  <c r="BH137" i="6"/>
  <c r="BH91" i="6"/>
  <c r="BH363" i="6"/>
  <c r="BH41" i="6"/>
  <c r="BH125" i="6"/>
  <c r="BH59" i="6"/>
  <c r="BH210" i="6"/>
  <c r="BH360" i="6"/>
  <c r="BH80" i="6"/>
  <c r="BH56" i="6"/>
  <c r="BH54" i="6"/>
  <c r="BH322" i="6"/>
  <c r="BH321" i="6"/>
  <c r="BH308" i="6"/>
  <c r="BH218" i="6"/>
  <c r="BH380" i="6"/>
  <c r="BH148" i="6"/>
  <c r="BH376" i="6"/>
  <c r="BH255" i="6"/>
  <c r="BH307" i="6"/>
  <c r="BH65" i="6"/>
  <c r="BH291" i="6"/>
  <c r="BH52" i="6"/>
  <c r="BH358" i="6"/>
  <c r="BH44" i="6"/>
  <c r="BH142" i="6"/>
  <c r="BH180" i="6"/>
  <c r="BH280" i="6"/>
  <c r="BH247" i="6"/>
  <c r="BH131" i="6"/>
  <c r="BH62" i="6"/>
  <c r="BH349" i="6"/>
  <c r="BH40" i="6"/>
  <c r="BH254" i="6"/>
  <c r="BH369" i="6"/>
  <c r="BH134" i="6"/>
  <c r="BH190" i="6"/>
  <c r="BH92" i="6"/>
  <c r="BH371" i="6"/>
  <c r="BH129" i="6"/>
  <c r="BH287" i="6"/>
  <c r="BH77" i="6"/>
  <c r="BH340" i="6"/>
  <c r="BH244" i="6"/>
  <c r="BH215" i="6"/>
  <c r="BH205" i="6"/>
  <c r="BH139" i="6"/>
  <c r="BH144" i="6"/>
  <c r="AJ17" i="15"/>
  <c r="X17" i="15"/>
  <c r="AB17" i="15"/>
  <c r="A18" i="15"/>
  <c r="K17" i="15"/>
  <c r="L17" i="15"/>
  <c r="D17" i="15" s="1"/>
  <c r="L11" i="17"/>
  <c r="L15" i="17" s="1"/>
  <c r="P76" i="27"/>
  <c r="G39" i="27" s="1"/>
  <c r="AE75" i="27"/>
  <c r="H41" i="27"/>
  <c r="N15" i="7"/>
  <c r="P11" i="16"/>
  <c r="A17" i="16"/>
  <c r="X16" i="16"/>
  <c r="L16" i="16"/>
  <c r="D16" i="16" s="1"/>
  <c r="AK16" i="16"/>
  <c r="AB16" i="16"/>
  <c r="K16" i="16"/>
  <c r="L12" i="18"/>
  <c r="Y14" i="20"/>
  <c r="AE3" i="7"/>
  <c r="A15" i="20"/>
  <c r="V14" i="20"/>
  <c r="F6" i="6"/>
  <c r="L1" i="20"/>
  <c r="J1" i="22"/>
  <c r="A16" i="19"/>
  <c r="A40" i="19" s="1"/>
  <c r="X1" i="20"/>
  <c r="F14" i="20"/>
  <c r="X15" i="18"/>
  <c r="AB15" i="18"/>
  <c r="K15" i="18"/>
  <c r="A16" i="18"/>
  <c r="AE369" i="1"/>
  <c r="AE353" i="1"/>
  <c r="AE341" i="1"/>
  <c r="AE336" i="1"/>
  <c r="AE335" i="1"/>
  <c r="AE334" i="1"/>
  <c r="AE327" i="1"/>
  <c r="AE326" i="1"/>
  <c r="AE317" i="1"/>
  <c r="AE310" i="1"/>
  <c r="AE292" i="1"/>
  <c r="AE274" i="1"/>
  <c r="AE258" i="1"/>
  <c r="AE239" i="1"/>
  <c r="AE238" i="1"/>
  <c r="AE228" i="1"/>
  <c r="AE214" i="1"/>
  <c r="AE213" i="1"/>
  <c r="AE212" i="1"/>
  <c r="AE203" i="1"/>
  <c r="AE200" i="1"/>
  <c r="AE170" i="1"/>
  <c r="AE165" i="1"/>
  <c r="AE164" i="1"/>
  <c r="AE156" i="1"/>
  <c r="AE148" i="1"/>
  <c r="AE118" i="1"/>
  <c r="AE113" i="1"/>
  <c r="AE106" i="1"/>
  <c r="AE105" i="1"/>
  <c r="AE100" i="1"/>
  <c r="AE92" i="1"/>
  <c r="AE91" i="1"/>
  <c r="AE90" i="1"/>
  <c r="AE56" i="1"/>
  <c r="AE42" i="1"/>
  <c r="AE38" i="1"/>
  <c r="AE24" i="1"/>
  <c r="AE373" i="1"/>
  <c r="AE362" i="1"/>
  <c r="AE361" i="1"/>
  <c r="AE280" i="1"/>
  <c r="AE244" i="1"/>
  <c r="AE243" i="1"/>
  <c r="AE232" i="1"/>
  <c r="AE186" i="1"/>
  <c r="AE183" i="1"/>
  <c r="AE182" i="1"/>
  <c r="AE175" i="1"/>
  <c r="AE174" i="1"/>
  <c r="AE152" i="1"/>
  <c r="AE96" i="1"/>
  <c r="AE50" i="1"/>
  <c r="AE49" i="1"/>
  <c r="AE48" i="1"/>
  <c r="AE173" i="1"/>
  <c r="AE221" i="1"/>
  <c r="AE217" i="1"/>
  <c r="AE206" i="1"/>
  <c r="AE136" i="1"/>
  <c r="AE363" i="1"/>
  <c r="AE229" i="1"/>
  <c r="AE23" i="1"/>
  <c r="AE279" i="1"/>
  <c r="AE293" i="1"/>
  <c r="AE83" i="1"/>
  <c r="AE97" i="1"/>
  <c r="AE197" i="1"/>
  <c r="AE223" i="1"/>
  <c r="AE192" i="1"/>
  <c r="AE265" i="1"/>
  <c r="AE159" i="1"/>
  <c r="AE15" i="1"/>
  <c r="AE267" i="1"/>
  <c r="AE297" i="1"/>
  <c r="AE71" i="1"/>
  <c r="AE137" i="1"/>
  <c r="AE124" i="1"/>
  <c r="AE316" i="1"/>
  <c r="AE33" i="1"/>
  <c r="AE21" i="1"/>
  <c r="AE163" i="1"/>
  <c r="AE251" i="1"/>
  <c r="AE343" i="1"/>
  <c r="AE342" i="1"/>
  <c r="AE273" i="1"/>
  <c r="AE275" i="1"/>
  <c r="AE227" i="1"/>
  <c r="AE359" i="1"/>
  <c r="AE117" i="1"/>
  <c r="AE143" i="1"/>
  <c r="AE65" i="1"/>
  <c r="AE112" i="1"/>
  <c r="AE245" i="1"/>
  <c r="AE211" i="1"/>
  <c r="AE225" i="1"/>
  <c r="AE345" i="1"/>
  <c r="AE85" i="1"/>
  <c r="AE108" i="1"/>
  <c r="AE256" i="1"/>
  <c r="AE322" i="1"/>
  <c r="AE84" i="1"/>
  <c r="AE122" i="1"/>
  <c r="AE252" i="1"/>
  <c r="AE315" i="1"/>
  <c r="AE235" i="1"/>
  <c r="AE370" i="1"/>
  <c r="AE43" i="1"/>
  <c r="AE257" i="1"/>
  <c r="AE248" i="1"/>
  <c r="AE114" i="1"/>
  <c r="AE57" i="1"/>
  <c r="AE191" i="1"/>
  <c r="AE27" i="1"/>
  <c r="AE193" i="1"/>
  <c r="AE53" i="1"/>
  <c r="AE127" i="1"/>
  <c r="AE289" i="1"/>
  <c r="AE231" i="1"/>
  <c r="AE285" i="1"/>
  <c r="AE219" i="1"/>
  <c r="AE323" i="1"/>
  <c r="BY15" i="7"/>
  <c r="AE205" i="1"/>
  <c r="AE180" i="1"/>
  <c r="AE330" i="1"/>
  <c r="AE222" i="1"/>
  <c r="AE99" i="1"/>
  <c r="AE261" i="1"/>
  <c r="AE82" i="1"/>
  <c r="AE349" i="1"/>
  <c r="AE304" i="1"/>
  <c r="AE303" i="1"/>
  <c r="AE298" i="1"/>
  <c r="AE268" i="1"/>
  <c r="AE263" i="1"/>
  <c r="AE262" i="1"/>
  <c r="AE220" i="1"/>
  <c r="AE160" i="1"/>
  <c r="AE142" i="1"/>
  <c r="AE135" i="1"/>
  <c r="AE130" i="1"/>
  <c r="AE76" i="1"/>
  <c r="AE73" i="1"/>
  <c r="AE72" i="1"/>
  <c r="AE67" i="1"/>
  <c r="AE66" i="1"/>
  <c r="AE34" i="1"/>
  <c r="AE379" i="1"/>
  <c r="AE12" i="15" s="1"/>
  <c r="AE89" i="1"/>
  <c r="AE287" i="1"/>
  <c r="AE95" i="1"/>
  <c r="AE313" i="1"/>
  <c r="AE169" i="1"/>
  <c r="BM15" i="7"/>
  <c r="AE107" i="1"/>
  <c r="AE249" i="1"/>
  <c r="AE74" i="1"/>
  <c r="AE45" i="1"/>
  <c r="AE145" i="1"/>
  <c r="AE254" i="1"/>
  <c r="AE281" i="1"/>
  <c r="AE63" i="1"/>
  <c r="AE272" i="1"/>
  <c r="AE340" i="1"/>
  <c r="AE264" i="1"/>
  <c r="AE147" i="1"/>
  <c r="AE215" i="1"/>
  <c r="AE259" i="1"/>
  <c r="AE305" i="1"/>
  <c r="AE269" i="1"/>
  <c r="AE355" i="1"/>
  <c r="AE301" i="1"/>
  <c r="AE64" i="1"/>
  <c r="AE290" i="1"/>
  <c r="AE25" i="1"/>
  <c r="AE378" i="1"/>
  <c r="AE185" i="1"/>
  <c r="AE161" i="1"/>
  <c r="AE344" i="1"/>
  <c r="AE309" i="1"/>
  <c r="AE312" i="1"/>
  <c r="AE196" i="1"/>
  <c r="AE47" i="1"/>
  <c r="AE184" i="1"/>
  <c r="AE302" i="1"/>
  <c r="AE68" i="1"/>
  <c r="AE216" i="1"/>
  <c r="AE157" i="1"/>
  <c r="AE202" i="1"/>
  <c r="AE320" i="1"/>
  <c r="AE101" i="1"/>
  <c r="AE153" i="1"/>
  <c r="AE360" i="1"/>
  <c r="BS15" i="7"/>
  <c r="AE35" i="1"/>
  <c r="AE337" i="1"/>
  <c r="AE131" i="1"/>
  <c r="AE104" i="1"/>
  <c r="AE242" i="1"/>
  <c r="AE208" i="1"/>
  <c r="AE40" i="1"/>
  <c r="AE19" i="1"/>
  <c r="AE234" i="1"/>
  <c r="AE365" i="1"/>
  <c r="AE138" i="1"/>
  <c r="AE356" i="1"/>
  <c r="AE198" i="1"/>
  <c r="AE318" i="1"/>
  <c r="AE253" i="1"/>
  <c r="AE224" i="1"/>
  <c r="AE321" i="1"/>
  <c r="AE233" i="1"/>
  <c r="AE144" i="1"/>
  <c r="AE41" i="1"/>
  <c r="AE80" i="1"/>
  <c r="AE194" i="1"/>
  <c r="AE346" i="1"/>
  <c r="AE300" i="1"/>
  <c r="AE155" i="1"/>
  <c r="AE247" i="1"/>
  <c r="AE181" i="1"/>
  <c r="AE237" i="1"/>
  <c r="AE78" i="1"/>
  <c r="AE366" i="1"/>
  <c r="AE271" i="1"/>
  <c r="AE255" i="1"/>
  <c r="AE20" i="1"/>
  <c r="AE352" i="1"/>
  <c r="AE77" i="1"/>
  <c r="AE333" i="1"/>
  <c r="AE204" i="1"/>
  <c r="AE55" i="1"/>
  <c r="AE109" i="1"/>
  <c r="AE151" i="1"/>
  <c r="AE59" i="1"/>
  <c r="E15" i="7"/>
  <c r="AE209" i="1"/>
  <c r="AE176" i="1"/>
  <c r="AE354" i="1"/>
  <c r="AE149" i="1"/>
  <c r="AE282" i="1"/>
  <c r="AE51" i="1"/>
  <c r="AE331" i="1"/>
  <c r="AE358" i="1"/>
  <c r="AE81" i="1"/>
  <c r="AE126" i="1"/>
  <c r="AE201" i="1"/>
  <c r="AE123" i="1"/>
  <c r="AE283" i="1"/>
  <c r="AE75" i="1"/>
  <c r="AE266" i="1"/>
  <c r="AE125" i="1"/>
  <c r="AE311" i="1"/>
  <c r="AE328" i="1"/>
  <c r="AE171" i="1"/>
  <c r="AE195" i="1"/>
  <c r="AE246" i="1"/>
  <c r="AE69" i="1"/>
  <c r="AE119" i="1"/>
  <c r="AE187" i="1"/>
  <c r="AE291" i="1"/>
  <c r="AE16" i="1"/>
  <c r="AE166" i="1"/>
  <c r="AE314" i="1"/>
  <c r="AE37" i="1"/>
  <c r="AE240" i="1"/>
  <c r="AE325" i="1"/>
  <c r="AE199" i="1"/>
  <c r="AE30" i="1"/>
  <c r="AE286" i="1"/>
  <c r="AE60" i="1"/>
  <c r="AE129" i="1"/>
  <c r="AE350" i="1"/>
  <c r="AE79" i="1"/>
  <c r="AE299" i="1"/>
  <c r="AE374" i="1"/>
  <c r="AE93" i="1"/>
  <c r="AE141" i="1"/>
  <c r="AE179" i="1"/>
  <c r="AE134" i="1"/>
  <c r="AE284" i="1"/>
  <c r="AE348" i="1"/>
  <c r="AE18" i="1"/>
  <c r="AE17" i="1"/>
  <c r="AE26" i="1"/>
  <c r="AE29" i="1"/>
  <c r="AE39" i="1"/>
  <c r="AE46" i="1"/>
  <c r="AE54" i="1"/>
  <c r="AE70" i="1"/>
  <c r="AE28" i="1"/>
  <c r="AE58" i="1"/>
  <c r="AE87" i="1"/>
  <c r="AE110" i="1"/>
  <c r="AE128" i="1"/>
  <c r="AE140" i="1"/>
  <c r="AE167" i="1"/>
  <c r="AE260" i="1"/>
  <c r="AE296" i="1"/>
  <c r="AE319" i="1"/>
  <c r="AE347" i="1"/>
  <c r="AE371" i="1"/>
  <c r="AE44" i="1"/>
  <c r="AE115" i="1"/>
  <c r="AE172" i="1"/>
  <c r="AE189" i="1"/>
  <c r="AE230" i="1"/>
  <c r="AE276" i="1"/>
  <c r="AE338" i="1"/>
  <c r="AE367" i="1"/>
  <c r="AE375" i="1"/>
  <c r="AE22" i="1"/>
  <c r="AE36" i="1"/>
  <c r="AE61" i="1"/>
  <c r="AE88" i="1"/>
  <c r="AE103" i="1"/>
  <c r="AE116" i="1"/>
  <c r="AE132" i="1"/>
  <c r="AE146" i="1"/>
  <c r="AE162" i="1"/>
  <c r="AE177" i="1"/>
  <c r="AE190" i="1"/>
  <c r="AE226" i="1"/>
  <c r="AE250" i="1"/>
  <c r="AE277" i="1"/>
  <c r="AE295" i="1"/>
  <c r="AE308" i="1"/>
  <c r="AE332" i="1"/>
  <c r="AE351" i="1"/>
  <c r="AE368" i="1"/>
  <c r="AE376" i="1"/>
  <c r="AE32" i="1"/>
  <c r="AE62" i="1"/>
  <c r="AE102" i="1"/>
  <c r="AE120" i="1"/>
  <c r="AE133" i="1"/>
  <c r="AE158" i="1"/>
  <c r="AE218" i="1"/>
  <c r="AE294" i="1"/>
  <c r="AE307" i="1"/>
  <c r="AE329" i="1"/>
  <c r="AE94" i="1"/>
  <c r="AE150" i="1"/>
  <c r="AE178" i="1"/>
  <c r="AE207" i="1"/>
  <c r="AE241" i="1"/>
  <c r="AE278" i="1"/>
  <c r="AE357" i="1"/>
  <c r="AE377" i="1"/>
  <c r="AE372" i="1"/>
  <c r="AE31" i="1"/>
  <c r="AE52" i="1"/>
  <c r="AE86" i="1"/>
  <c r="AE98" i="1"/>
  <c r="AE111" i="1"/>
  <c r="AE121" i="1"/>
  <c r="AE139" i="1"/>
  <c r="AE154" i="1"/>
  <c r="AE168" i="1"/>
  <c r="AE188" i="1"/>
  <c r="AE210" i="1"/>
  <c r="AE236" i="1"/>
  <c r="AE270" i="1"/>
  <c r="AE288" i="1"/>
  <c r="AE306" i="1"/>
  <c r="AE324" i="1"/>
  <c r="AE339" i="1"/>
  <c r="AE364" i="1"/>
  <c r="Q18" i="1"/>
  <c r="K18" i="1"/>
  <c r="L18" i="1"/>
  <c r="A19" i="1"/>
  <c r="X18" i="1"/>
  <c r="AC18" i="1"/>
  <c r="AK18" i="1"/>
  <c r="AJ18" i="1"/>
  <c r="AB18" i="1"/>
  <c r="U18" i="1"/>
  <c r="T18" i="1" s="1"/>
  <c r="O18" i="1"/>
  <c r="AB16" i="17"/>
  <c r="K16" i="17"/>
  <c r="X16" i="17"/>
  <c r="A17" i="17"/>
  <c r="AI66" i="1"/>
  <c r="AH66" i="1" s="1"/>
  <c r="AI298" i="1"/>
  <c r="AH298" i="1" s="1"/>
  <c r="AI302" i="1"/>
  <c r="AH302" i="1" s="1"/>
  <c r="AI267" i="1"/>
  <c r="AH267" i="1" s="1"/>
  <c r="AI119" i="1"/>
  <c r="AI200" i="1"/>
  <c r="AH200" i="1" s="1"/>
  <c r="AI198" i="1"/>
  <c r="AH198" i="1" s="1"/>
  <c r="AI371" i="1"/>
  <c r="AI293" i="1"/>
  <c r="AH293" i="1" s="1"/>
  <c r="AI299" i="1"/>
  <c r="AH299" i="1" s="1"/>
  <c r="AI213" i="1"/>
  <c r="AH213" i="1" s="1"/>
  <c r="AI106" i="1"/>
  <c r="AH106" i="1" s="1"/>
  <c r="AI224" i="1"/>
  <c r="AH224" i="1" s="1"/>
  <c r="AI122" i="1"/>
  <c r="AI355" i="1"/>
  <c r="AH355" i="1" s="1"/>
  <c r="AI84" i="1"/>
  <c r="AH84" i="1" s="1"/>
  <c r="AI311" i="1"/>
  <c r="AH311" i="1" s="1"/>
  <c r="AI124" i="1"/>
  <c r="AI148" i="1"/>
  <c r="AH148" i="1" s="1"/>
  <c r="AI329" i="1"/>
  <c r="AH329" i="1" s="1"/>
  <c r="AI351" i="1"/>
  <c r="AH351" i="1" s="1"/>
  <c r="AI252" i="1"/>
  <c r="AH252" i="1" s="1"/>
  <c r="AI151" i="1"/>
  <c r="AH151" i="1" s="1"/>
  <c r="AI230" i="1"/>
  <c r="AH230" i="1" s="1"/>
  <c r="AI317" i="1"/>
  <c r="AI338" i="1"/>
  <c r="AH338" i="1" s="1"/>
  <c r="AI138" i="1"/>
  <c r="AH138" i="1" s="1"/>
  <c r="AI353" i="1"/>
  <c r="AH353" i="1" s="1"/>
  <c r="AI354" i="1"/>
  <c r="AH354" i="1" s="1"/>
  <c r="AI229" i="1"/>
  <c r="AH229" i="1" s="1"/>
  <c r="AI139" i="1"/>
  <c r="AH139" i="1" s="1"/>
  <c r="AI94" i="1"/>
  <c r="AH94" i="1" s="1"/>
  <c r="AI272" i="1"/>
  <c r="AH272" i="1" s="1"/>
  <c r="AI357" i="1"/>
  <c r="AH357" i="1" s="1"/>
  <c r="AI321" i="1"/>
  <c r="AI323" i="1"/>
  <c r="AH323" i="1" s="1"/>
  <c r="AI117" i="1"/>
  <c r="AH117" i="1" s="1"/>
  <c r="AI133" i="1"/>
  <c r="AH133" i="1" s="1"/>
  <c r="AI284" i="1"/>
  <c r="AI215" i="1"/>
  <c r="AI143" i="1"/>
  <c r="AH143" i="1" s="1"/>
  <c r="AI211" i="1"/>
  <c r="AI37" i="1"/>
  <c r="AI170" i="1"/>
  <c r="AI346" i="1"/>
  <c r="AI168" i="1"/>
  <c r="AH168" i="1" s="1"/>
  <c r="AI74" i="1"/>
  <c r="AH74" i="1" s="1"/>
  <c r="AI93" i="1"/>
  <c r="AH93" i="1" s="1"/>
  <c r="AI370" i="1"/>
  <c r="AH370" i="1" s="1"/>
  <c r="AI26" i="1"/>
  <c r="AH26" i="1" s="1"/>
  <c r="AI83" i="1"/>
  <c r="AH83" i="1" s="1"/>
  <c r="AI115" i="1"/>
  <c r="AH115" i="1" s="1"/>
  <c r="AI39" i="1"/>
  <c r="AH39" i="1" s="1"/>
  <c r="AI32" i="1"/>
  <c r="AI330" i="1"/>
  <c r="AI29" i="1"/>
  <c r="AH29" i="1" s="1"/>
  <c r="AI27" i="1"/>
  <c r="AH27" i="1" s="1"/>
  <c r="AI269" i="1"/>
  <c r="AI214" i="1"/>
  <c r="AH214" i="1" s="1"/>
  <c r="AI324" i="1"/>
  <c r="AH324" i="1" s="1"/>
  <c r="AI276" i="1"/>
  <c r="AI86" i="1"/>
  <c r="AI199" i="1"/>
  <c r="AH199" i="1" s="1"/>
  <c r="AI263" i="1"/>
  <c r="AH263" i="1" s="1"/>
  <c r="AI52" i="1"/>
  <c r="AH52" i="1" s="1"/>
  <c r="AI235" i="1"/>
  <c r="AH235" i="1" s="1"/>
  <c r="AI116" i="1"/>
  <c r="AH116" i="1" s="1"/>
  <c r="AI343" i="1"/>
  <c r="AH343" i="1" s="1"/>
  <c r="AI359" i="1"/>
  <c r="AI131" i="1"/>
  <c r="AH131" i="1" s="1"/>
  <c r="AI57" i="1"/>
  <c r="AH57" i="1" s="1"/>
  <c r="AI59" i="1"/>
  <c r="AH59" i="1" s="1"/>
  <c r="AI331" i="1"/>
  <c r="AH331" i="1" s="1"/>
  <c r="AI348" i="1"/>
  <c r="AI368" i="1"/>
  <c r="AH368" i="1" s="1"/>
  <c r="AI265" i="1"/>
  <c r="AH265" i="1" s="1"/>
  <c r="AI73" i="1"/>
  <c r="AI126" i="1"/>
  <c r="AH126" i="1" s="1"/>
  <c r="AI195" i="1"/>
  <c r="AH195" i="1" s="1"/>
  <c r="AI205" i="1"/>
  <c r="AH205" i="1" s="1"/>
  <c r="AI241" i="1"/>
  <c r="AI48" i="1"/>
  <c r="AH48" i="1" s="1"/>
  <c r="AI340" i="1"/>
  <c r="AH340" i="1" s="1"/>
  <c r="AI242" i="1"/>
  <c r="AH242" i="1" s="1"/>
  <c r="AI56" i="1"/>
  <c r="AH56" i="1" s="1"/>
  <c r="AI91" i="1"/>
  <c r="AH91" i="1" s="1"/>
  <c r="AI163" i="1"/>
  <c r="AH163" i="1" s="1"/>
  <c r="AI76" i="1"/>
  <c r="AH76" i="1" s="1"/>
  <c r="AI180" i="1"/>
  <c r="AH180" i="1" s="1"/>
  <c r="AI100" i="1"/>
  <c r="AH100" i="1" s="1"/>
  <c r="AI258" i="1"/>
  <c r="AH258" i="1" s="1"/>
  <c r="AI278" i="1"/>
  <c r="AH278" i="1" s="1"/>
  <c r="AI275" i="1"/>
  <c r="AH275" i="1" s="1"/>
  <c r="AI35" i="1"/>
  <c r="AI182" i="1"/>
  <c r="AH182" i="1" s="1"/>
  <c r="AI256" i="1"/>
  <c r="AH256" i="1" s="1"/>
  <c r="AI206" i="1"/>
  <c r="AI162" i="1"/>
  <c r="AI88" i="1"/>
  <c r="AH88" i="1" s="1"/>
  <c r="AI166" i="1"/>
  <c r="AH166" i="1" s="1"/>
  <c r="AI144" i="1"/>
  <c r="AI239" i="1"/>
  <c r="AI150" i="1"/>
  <c r="AH150" i="1" s="1"/>
  <c r="AI77" i="1"/>
  <c r="AH77" i="1" s="1"/>
  <c r="AI145" i="1"/>
  <c r="AH145" i="1" s="1"/>
  <c r="AI342" i="1"/>
  <c r="AH342" i="1" s="1"/>
  <c r="AI217" i="1"/>
  <c r="AH217" i="1" s="1"/>
  <c r="AI62" i="1"/>
  <c r="AI373" i="1"/>
  <c r="AH373" i="1" s="1"/>
  <c r="AI152" i="1"/>
  <c r="AI326" i="1"/>
  <c r="AH326" i="1" s="1"/>
  <c r="AI332" i="1"/>
  <c r="AI286" i="1"/>
  <c r="AH286" i="1" s="1"/>
  <c r="AI349" i="1"/>
  <c r="AI282" i="1"/>
  <c r="AI316" i="1"/>
  <c r="AH316" i="1" s="1"/>
  <c r="AI130" i="1"/>
  <c r="AI240" i="1"/>
  <c r="AH240" i="1" s="1"/>
  <c r="AI352" i="1"/>
  <c r="AH352" i="1" s="1"/>
  <c r="E16" i="7"/>
  <c r="AI16" i="1"/>
  <c r="AI41" i="1"/>
  <c r="AI207" i="1"/>
  <c r="AH207" i="1" s="1"/>
  <c r="AI201" i="1"/>
  <c r="AH201" i="1" s="1"/>
  <c r="AI158" i="1"/>
  <c r="BS16" i="7"/>
  <c r="AI261" i="1"/>
  <c r="AI108" i="1"/>
  <c r="AI374" i="1"/>
  <c r="AH374" i="1" s="1"/>
  <c r="AI270" i="1"/>
  <c r="AI53" i="1"/>
  <c r="AH53" i="1" s="1"/>
  <c r="AI318" i="1"/>
  <c r="AI249" i="1"/>
  <c r="AI283" i="1"/>
  <c r="AI42" i="1"/>
  <c r="AH42" i="1" s="1"/>
  <c r="AI231" i="1"/>
  <c r="AH231" i="1" s="1"/>
  <c r="AI377" i="1"/>
  <c r="AH377" i="1" s="1"/>
  <c r="AI315" i="1"/>
  <c r="AI379" i="1"/>
  <c r="AI177" i="1"/>
  <c r="AH177" i="1" s="1"/>
  <c r="AI79" i="1"/>
  <c r="AH79" i="1" s="1"/>
  <c r="AI227" i="1"/>
  <c r="AH227" i="1" s="1"/>
  <c r="AI189" i="1"/>
  <c r="AH189" i="1" s="1"/>
  <c r="AI103" i="1"/>
  <c r="AH103" i="1" s="1"/>
  <c r="AI44" i="1"/>
  <c r="AH44" i="1" s="1"/>
  <c r="AI142" i="1"/>
  <c r="AH142" i="1" s="1"/>
  <c r="AI266" i="1"/>
  <c r="AH266" i="1" s="1"/>
  <c r="AI157" i="1"/>
  <c r="AH157" i="1" s="1"/>
  <c r="AI184" i="1"/>
  <c r="AH184" i="1" s="1"/>
  <c r="AI85" i="1"/>
  <c r="AH85" i="1" s="1"/>
  <c r="AI307" i="1"/>
  <c r="AH307" i="1" s="1"/>
  <c r="AI23" i="1"/>
  <c r="AH23" i="1" s="1"/>
  <c r="AI253" i="1"/>
  <c r="AH253" i="1" s="1"/>
  <c r="AI277" i="1"/>
  <c r="AH277" i="1" s="1"/>
  <c r="AI101" i="1"/>
  <c r="AH101" i="1" s="1"/>
  <c r="AI141" i="1"/>
  <c r="AH141" i="1" s="1"/>
  <c r="AI280" i="1"/>
  <c r="AH280" i="1" s="1"/>
  <c r="AI327" i="1"/>
  <c r="AH327" i="1" s="1"/>
  <c r="AI22" i="1"/>
  <c r="AH22" i="1" s="1"/>
  <c r="AI173" i="1"/>
  <c r="AH173" i="1" s="1"/>
  <c r="AI197" i="1"/>
  <c r="AH197" i="1" s="1"/>
  <c r="AI271" i="1"/>
  <c r="AH271" i="1" s="1"/>
  <c r="AI90" i="1"/>
  <c r="AH90" i="1" s="1"/>
  <c r="AI361" i="1"/>
  <c r="AH361" i="1" s="1"/>
  <c r="AI187" i="1"/>
  <c r="AH187" i="1" s="1"/>
  <c r="AI118" i="1"/>
  <c r="AH118" i="1" s="1"/>
  <c r="AI72" i="1"/>
  <c r="AH72" i="1" s="1"/>
  <c r="AI337" i="1"/>
  <c r="AH337" i="1" s="1"/>
  <c r="AI107" i="1"/>
  <c r="AH107" i="1" s="1"/>
  <c r="AI75" i="1"/>
  <c r="AH75" i="1" s="1"/>
  <c r="AI196" i="1"/>
  <c r="AH196" i="1" s="1"/>
  <c r="AI268" i="1"/>
  <c r="AH268" i="1" s="1"/>
  <c r="AI193" i="1"/>
  <c r="AH193" i="1" s="1"/>
  <c r="AI181" i="1"/>
  <c r="AH181" i="1" s="1"/>
  <c r="AI262" i="1"/>
  <c r="AH262" i="1" s="1"/>
  <c r="AI363" i="1"/>
  <c r="AH363" i="1" s="1"/>
  <c r="AI243" i="1"/>
  <c r="AH243" i="1" s="1"/>
  <c r="AI80" i="1"/>
  <c r="AH80" i="1" s="1"/>
  <c r="AI18" i="1"/>
  <c r="AH18" i="1" s="1"/>
  <c r="AI292" i="1"/>
  <c r="AH292" i="1" s="1"/>
  <c r="BY16" i="7"/>
  <c r="AI288" i="1"/>
  <c r="AH288" i="1" s="1"/>
  <c r="AI291" i="1"/>
  <c r="AI339" i="1"/>
  <c r="AH339" i="1" s="1"/>
  <c r="AI313" i="1"/>
  <c r="AH313" i="1" s="1"/>
  <c r="AI82" i="1"/>
  <c r="AH82" i="1" s="1"/>
  <c r="AI202" i="1"/>
  <c r="AH202" i="1" s="1"/>
  <c r="AI222" i="1"/>
  <c r="AI223" i="1"/>
  <c r="AH223" i="1" s="1"/>
  <c r="AI45" i="1"/>
  <c r="AH45" i="1" s="1"/>
  <c r="AI314" i="1"/>
  <c r="AH314" i="1" s="1"/>
  <c r="AI179" i="1"/>
  <c r="AH179" i="1" s="1"/>
  <c r="AI219" i="1"/>
  <c r="AH219" i="1" s="1"/>
  <c r="AI165" i="1"/>
  <c r="AI289" i="1"/>
  <c r="AH289" i="1" s="1"/>
  <c r="AI204" i="1"/>
  <c r="AH204" i="1" s="1"/>
  <c r="AI364" i="1"/>
  <c r="AH364" i="1" s="1"/>
  <c r="AI255" i="1"/>
  <c r="AH255" i="1" s="1"/>
  <c r="AI132" i="1"/>
  <c r="AH132" i="1" s="1"/>
  <c r="AI121" i="1"/>
  <c r="AH121" i="1" s="1"/>
  <c r="AI335" i="1"/>
  <c r="AH335" i="1" s="1"/>
  <c r="AI300" i="1"/>
  <c r="AI203" i="1"/>
  <c r="AH203" i="1" s="1"/>
  <c r="AI153" i="1"/>
  <c r="AH153" i="1" s="1"/>
  <c r="AI31" i="1"/>
  <c r="AI104" i="1"/>
  <c r="AH104" i="1" s="1"/>
  <c r="AI303" i="1"/>
  <c r="AH303" i="1" s="1"/>
  <c r="AI236" i="1"/>
  <c r="AH236" i="1" s="1"/>
  <c r="AI183" i="1"/>
  <c r="AH183" i="1" s="1"/>
  <c r="AI251" i="1"/>
  <c r="AH251" i="1" s="1"/>
  <c r="AI63" i="1"/>
  <c r="AH63" i="1" s="1"/>
  <c r="AI220" i="1"/>
  <c r="AH220" i="1" s="1"/>
  <c r="AI113" i="1"/>
  <c r="AH113" i="1" s="1"/>
  <c r="AI212" i="1"/>
  <c r="AH212" i="1" s="1"/>
  <c r="AI70" i="1"/>
  <c r="AH70" i="1" s="1"/>
  <c r="AI167" i="1"/>
  <c r="AH167" i="1" s="1"/>
  <c r="AI310" i="1"/>
  <c r="AH310" i="1" s="1"/>
  <c r="AI109" i="1"/>
  <c r="AH109" i="1" s="1"/>
  <c r="AI19" i="1"/>
  <c r="AH19" i="1" s="1"/>
  <c r="AI259" i="1"/>
  <c r="AH259" i="1" s="1"/>
  <c r="AI33" i="1"/>
  <c r="AH33" i="1" s="1"/>
  <c r="BM16" i="7"/>
  <c r="AI260" i="1"/>
  <c r="AI58" i="1"/>
  <c r="AH58" i="1" s="1"/>
  <c r="AI350" i="1"/>
  <c r="AH350" i="1" s="1"/>
  <c r="AI232" i="1"/>
  <c r="AH232" i="1" s="1"/>
  <c r="AI279" i="1"/>
  <c r="AH279" i="1" s="1"/>
  <c r="AI234" i="1"/>
  <c r="AH234" i="1" s="1"/>
  <c r="AI175" i="1"/>
  <c r="AH175" i="1" s="1"/>
  <c r="AI89" i="1"/>
  <c r="AH89" i="1" s="1"/>
  <c r="AI285" i="1"/>
  <c r="AH285" i="1" s="1"/>
  <c r="AI185" i="1"/>
  <c r="AH185" i="1" s="1"/>
  <c r="AI105" i="1"/>
  <c r="AH105" i="1" s="1"/>
  <c r="AI248" i="1"/>
  <c r="AH248" i="1" s="1"/>
  <c r="AI15" i="1"/>
  <c r="AI225" i="1"/>
  <c r="AI188" i="1"/>
  <c r="AI68" i="1"/>
  <c r="AI155" i="1"/>
  <c r="AI111" i="1"/>
  <c r="AI336" i="1"/>
  <c r="AI320" i="1"/>
  <c r="AI156" i="1"/>
  <c r="AH156" i="1" s="1"/>
  <c r="AG156" i="1" s="1"/>
  <c r="AF156" i="1" s="1"/>
  <c r="AI362" i="1"/>
  <c r="AH362" i="1" s="1"/>
  <c r="AG362" i="1" s="1"/>
  <c r="AF362" i="1" s="1"/>
  <c r="AI137" i="1"/>
  <c r="AH137" i="1" s="1"/>
  <c r="AG137" i="1" s="1"/>
  <c r="AF137" i="1" s="1"/>
  <c r="AI147" i="1"/>
  <c r="AH147" i="1" s="1"/>
  <c r="AG147" i="1" s="1"/>
  <c r="AF147" i="1" s="1"/>
  <c r="AI164" i="1"/>
  <c r="AH164" i="1" s="1"/>
  <c r="AG164" i="1" s="1"/>
  <c r="AF164" i="1" s="1"/>
  <c r="AI345" i="1"/>
  <c r="AH345" i="1" s="1"/>
  <c r="AG345" i="1" s="1"/>
  <c r="AF345" i="1" s="1"/>
  <c r="AI25" i="1"/>
  <c r="AH25" i="1" s="1"/>
  <c r="AG25" i="1" s="1"/>
  <c r="AF25" i="1" s="1"/>
  <c r="AI127" i="1"/>
  <c r="AH127" i="1" s="1"/>
  <c r="AG127" i="1" s="1"/>
  <c r="AF127" i="1" s="1"/>
  <c r="AI194" i="1"/>
  <c r="AH194" i="1" s="1"/>
  <c r="AG194" i="1" s="1"/>
  <c r="AF194" i="1" s="1"/>
  <c r="AI295" i="1"/>
  <c r="AH295" i="1" s="1"/>
  <c r="AG295" i="1" s="1"/>
  <c r="AF295" i="1" s="1"/>
  <c r="AI250" i="1"/>
  <c r="AH250" i="1" s="1"/>
  <c r="AG250" i="1" s="1"/>
  <c r="AF250" i="1" s="1"/>
  <c r="AI375" i="1"/>
  <c r="AH375" i="1" s="1"/>
  <c r="AG375" i="1" s="1"/>
  <c r="AF375" i="1" s="1"/>
  <c r="AI334" i="1"/>
  <c r="AH334" i="1" s="1"/>
  <c r="AG334" i="1" s="1"/>
  <c r="AF334" i="1" s="1"/>
  <c r="AI296" i="1"/>
  <c r="AH296" i="1" s="1"/>
  <c r="AG296" i="1" s="1"/>
  <c r="AF296" i="1" s="1"/>
  <c r="AI149" i="1"/>
  <c r="AH149" i="1" s="1"/>
  <c r="AG149" i="1" s="1"/>
  <c r="AF149" i="1" s="1"/>
  <c r="AI78" i="1"/>
  <c r="AH78" i="1" s="1"/>
  <c r="AG78" i="1" s="1"/>
  <c r="AF78" i="1" s="1"/>
  <c r="AI238" i="1"/>
  <c r="AH238" i="1" s="1"/>
  <c r="AG238" i="1" s="1"/>
  <c r="AF238" i="1" s="1"/>
  <c r="AI190" i="1"/>
  <c r="AH190" i="1" s="1"/>
  <c r="AG190" i="1" s="1"/>
  <c r="AF190" i="1" s="1"/>
  <c r="AI372" i="1"/>
  <c r="AH372" i="1" s="1"/>
  <c r="AG372" i="1" s="1"/>
  <c r="AF372" i="1" s="1"/>
  <c r="AI319" i="1"/>
  <c r="AH319" i="1" s="1"/>
  <c r="AG319" i="1" s="1"/>
  <c r="AF319" i="1" s="1"/>
  <c r="AI264" i="1"/>
  <c r="AH264" i="1" s="1"/>
  <c r="AG264" i="1" s="1"/>
  <c r="AF264" i="1" s="1"/>
  <c r="AI210" i="1"/>
  <c r="AH210" i="1" s="1"/>
  <c r="AG210" i="1" s="1"/>
  <c r="AF210" i="1" s="1"/>
  <c r="AI287" i="1"/>
  <c r="AH287" i="1" s="1"/>
  <c r="AG287" i="1" s="1"/>
  <c r="AF287" i="1" s="1"/>
  <c r="AI358" i="1"/>
  <c r="AH358" i="1" s="1"/>
  <c r="AG358" i="1" s="1"/>
  <c r="AF358" i="1" s="1"/>
  <c r="AI102" i="1"/>
  <c r="AH102" i="1" s="1"/>
  <c r="AG102" i="1" s="1"/>
  <c r="AF102" i="1" s="1"/>
  <c r="AI169" i="1"/>
  <c r="AH169" i="1" s="1"/>
  <c r="AG169" i="1" s="1"/>
  <c r="AF169" i="1" s="1"/>
  <c r="AI125" i="1"/>
  <c r="AH125" i="1" s="1"/>
  <c r="AG125" i="1" s="1"/>
  <c r="AF125" i="1" s="1"/>
  <c r="AI97" i="1"/>
  <c r="AH97" i="1" s="1"/>
  <c r="AG97" i="1" s="1"/>
  <c r="AF97" i="1" s="1"/>
  <c r="AI308" i="1"/>
  <c r="AH308" i="1" s="1"/>
  <c r="AG308" i="1" s="1"/>
  <c r="AF308" i="1" s="1"/>
  <c r="AI38" i="1"/>
  <c r="AH38" i="1" s="1"/>
  <c r="AG38" i="1" s="1"/>
  <c r="AF38" i="1" s="1"/>
  <c r="AI54" i="1"/>
  <c r="AH54" i="1" s="1"/>
  <c r="AG54" i="1" s="1"/>
  <c r="AF54" i="1" s="1"/>
  <c r="AI67" i="1"/>
  <c r="AH67" i="1" s="1"/>
  <c r="AG67" i="1" s="1"/>
  <c r="AF67" i="1" s="1"/>
  <c r="AI216" i="1"/>
  <c r="AH216" i="1" s="1"/>
  <c r="AG216" i="1" s="1"/>
  <c r="AF216" i="1" s="1"/>
  <c r="AI306" i="1"/>
  <c r="AH306" i="1" s="1"/>
  <c r="AG306" i="1" s="1"/>
  <c r="AF306" i="1" s="1"/>
  <c r="AI322" i="1"/>
  <c r="AH322" i="1" s="1"/>
  <c r="AG322" i="1" s="1"/>
  <c r="AF322" i="1" s="1"/>
  <c r="AI134" i="1"/>
  <c r="AH134" i="1" s="1"/>
  <c r="AG134" i="1" s="1"/>
  <c r="AF134" i="1" s="1"/>
  <c r="AI246" i="1"/>
  <c r="AH246" i="1" s="1"/>
  <c r="AG246" i="1" s="1"/>
  <c r="AF246" i="1" s="1"/>
  <c r="AI254" i="1"/>
  <c r="AH254" i="1" s="1"/>
  <c r="AG254" i="1" s="1"/>
  <c r="AF254" i="1" s="1"/>
  <c r="AI221" i="1"/>
  <c r="AH221" i="1" s="1"/>
  <c r="AG221" i="1" s="1"/>
  <c r="AF221" i="1" s="1"/>
  <c r="AI136" i="1"/>
  <c r="AH136" i="1" s="1"/>
  <c r="AG136" i="1" s="1"/>
  <c r="AF136" i="1" s="1"/>
  <c r="AI65" i="1"/>
  <c r="AH65" i="1" s="1"/>
  <c r="AG65" i="1" s="1"/>
  <c r="AF65" i="1" s="1"/>
  <c r="AI92" i="1"/>
  <c r="AH92" i="1" s="1"/>
  <c r="AG92" i="1" s="1"/>
  <c r="AF92" i="1" s="1"/>
  <c r="AI304" i="1"/>
  <c r="AH304" i="1" s="1"/>
  <c r="AG304" i="1" s="1"/>
  <c r="AF304" i="1" s="1"/>
  <c r="AI176" i="1"/>
  <c r="AH176" i="1" s="1"/>
  <c r="AG176" i="1" s="1"/>
  <c r="AF176" i="1" s="1"/>
  <c r="AI24" i="1"/>
  <c r="AH24" i="1" s="1"/>
  <c r="AG24" i="1" s="1"/>
  <c r="AF24" i="1" s="1"/>
  <c r="AI191" i="1"/>
  <c r="AH191" i="1" s="1"/>
  <c r="AG191" i="1" s="1"/>
  <c r="AF191" i="1" s="1"/>
  <c r="AI233" i="1"/>
  <c r="AH233" i="1" s="1"/>
  <c r="AG233" i="1" s="1"/>
  <c r="AF233" i="1" s="1"/>
  <c r="AI69" i="1"/>
  <c r="AH69" i="1" s="1"/>
  <c r="AG69" i="1" s="1"/>
  <c r="AF69" i="1" s="1"/>
  <c r="AI112" i="1"/>
  <c r="AH112" i="1" s="1"/>
  <c r="AG112" i="1" s="1"/>
  <c r="AF112" i="1" s="1"/>
  <c r="AI51" i="1"/>
  <c r="AH51" i="1" s="1"/>
  <c r="AG51" i="1" s="1"/>
  <c r="AF51" i="1" s="1"/>
  <c r="AI341" i="1"/>
  <c r="AH341" i="1" s="1"/>
  <c r="AI328" i="1"/>
  <c r="AH328" i="1" s="1"/>
  <c r="AI20" i="1"/>
  <c r="AH20" i="1" s="1"/>
  <c r="AG20" i="1" s="1"/>
  <c r="AF20" i="1" s="1"/>
  <c r="AI365" i="1"/>
  <c r="AH365" i="1" s="1"/>
  <c r="AG365" i="1" s="1"/>
  <c r="AF365" i="1" s="1"/>
  <c r="AI301" i="1"/>
  <c r="AH301" i="1" s="1"/>
  <c r="AG301" i="1" s="1"/>
  <c r="AF301" i="1" s="1"/>
  <c r="AI98" i="1"/>
  <c r="AH98" i="1" s="1"/>
  <c r="AG98" i="1" s="1"/>
  <c r="AF98" i="1" s="1"/>
  <c r="AI273" i="1"/>
  <c r="AH273" i="1" s="1"/>
  <c r="AI40" i="1"/>
  <c r="AH40" i="1" s="1"/>
  <c r="AG40" i="1" s="1"/>
  <c r="AF40" i="1" s="1"/>
  <c r="AI297" i="1"/>
  <c r="AH297" i="1" s="1"/>
  <c r="AI128" i="1"/>
  <c r="AH128" i="1" s="1"/>
  <c r="AI71" i="1"/>
  <c r="AH71" i="1" s="1"/>
  <c r="AG71" i="1" s="1"/>
  <c r="AF71" i="1" s="1"/>
  <c r="AI60" i="1"/>
  <c r="AH60" i="1" s="1"/>
  <c r="AG60" i="1" s="1"/>
  <c r="AF60" i="1" s="1"/>
  <c r="AI209" i="1"/>
  <c r="AH209" i="1" s="1"/>
  <c r="AG209" i="1" s="1"/>
  <c r="AF209" i="1" s="1"/>
  <c r="AI99" i="1"/>
  <c r="AH99" i="1" s="1"/>
  <c r="AG99" i="1" s="1"/>
  <c r="AF99" i="1" s="1"/>
  <c r="AI244" i="1"/>
  <c r="AH244" i="1" s="1"/>
  <c r="AG244" i="1" s="1"/>
  <c r="AF244" i="1" s="1"/>
  <c r="AI17" i="1"/>
  <c r="AH17" i="1" s="1"/>
  <c r="AG17" i="1" s="1"/>
  <c r="AI46" i="1"/>
  <c r="AH46" i="1" s="1"/>
  <c r="AG46" i="1" s="1"/>
  <c r="AF46" i="1" s="1"/>
  <c r="AI64" i="1"/>
  <c r="AH64" i="1" s="1"/>
  <c r="AG64" i="1" s="1"/>
  <c r="AF64" i="1" s="1"/>
  <c r="AI174" i="1"/>
  <c r="AH174" i="1" s="1"/>
  <c r="AG174" i="1" s="1"/>
  <c r="AF174" i="1" s="1"/>
  <c r="AI120" i="1"/>
  <c r="AH120" i="1" s="1"/>
  <c r="AG120" i="1" s="1"/>
  <c r="AF120" i="1" s="1"/>
  <c r="AI30" i="1"/>
  <c r="AH30" i="1" s="1"/>
  <c r="AI290" i="1"/>
  <c r="AH290" i="1" s="1"/>
  <c r="AI376" i="1"/>
  <c r="AH376" i="1" s="1"/>
  <c r="AI123" i="1"/>
  <c r="AH123" i="1" s="1"/>
  <c r="AI245" i="1"/>
  <c r="AH245" i="1" s="1"/>
  <c r="AI333" i="1"/>
  <c r="AH333" i="1" s="1"/>
  <c r="AI257" i="1"/>
  <c r="AH257" i="1" s="1"/>
  <c r="AI347" i="1"/>
  <c r="AH347" i="1" s="1"/>
  <c r="AI360" i="1"/>
  <c r="AH360" i="1" s="1"/>
  <c r="AI49" i="1"/>
  <c r="AH49" i="1" s="1"/>
  <c r="AI218" i="1"/>
  <c r="AH218" i="1" s="1"/>
  <c r="AI344" i="1"/>
  <c r="AH344" i="1" s="1"/>
  <c r="AI247" i="1"/>
  <c r="AH247" i="1" s="1"/>
  <c r="AI356" i="1"/>
  <c r="AH356" i="1" s="1"/>
  <c r="AI294" i="1"/>
  <c r="AH294" i="1" s="1"/>
  <c r="AI226" i="1"/>
  <c r="AH226" i="1" s="1"/>
  <c r="AI96" i="1"/>
  <c r="AH96" i="1" s="1"/>
  <c r="AI95" i="1"/>
  <c r="AH95" i="1" s="1"/>
  <c r="AI161" i="1"/>
  <c r="AH161" i="1" s="1"/>
  <c r="AI186" i="1"/>
  <c r="AH186" i="1" s="1"/>
  <c r="AI34" i="1"/>
  <c r="AH34" i="1" s="1"/>
  <c r="AI274" i="1"/>
  <c r="AH274" i="1" s="1"/>
  <c r="AI159" i="1"/>
  <c r="AH159" i="1" s="1"/>
  <c r="AI154" i="1"/>
  <c r="AH154" i="1" s="1"/>
  <c r="AI208" i="1"/>
  <c r="AH208" i="1" s="1"/>
  <c r="AI114" i="1"/>
  <c r="AH114" i="1" s="1"/>
  <c r="AI87" i="1"/>
  <c r="AH87" i="1" s="1"/>
  <c r="AI43" i="1"/>
  <c r="AH43" i="1" s="1"/>
  <c r="AI171" i="1"/>
  <c r="AH171" i="1" s="1"/>
  <c r="AI192" i="1"/>
  <c r="AH192" i="1" s="1"/>
  <c r="AI110" i="1"/>
  <c r="AH110" i="1" s="1"/>
  <c r="AI28" i="1"/>
  <c r="AH28" i="1" s="1"/>
  <c r="AI309" i="1"/>
  <c r="AH309" i="1" s="1"/>
  <c r="AI160" i="1"/>
  <c r="AH160" i="1" s="1"/>
  <c r="AI325" i="1"/>
  <c r="AH325" i="1" s="1"/>
  <c r="AI55" i="1"/>
  <c r="AH55" i="1" s="1"/>
  <c r="AI369" i="1"/>
  <c r="AH369" i="1" s="1"/>
  <c r="AI378" i="1"/>
  <c r="AH378" i="1" s="1"/>
  <c r="AI172" i="1"/>
  <c r="AH172" i="1" s="1"/>
  <c r="AI47" i="1"/>
  <c r="AH47" i="1" s="1"/>
  <c r="AI366" i="1"/>
  <c r="AH366" i="1" s="1"/>
  <c r="AI21" i="1"/>
  <c r="AH21" i="1" s="1"/>
  <c r="AG21" i="1" s="1"/>
  <c r="AF21" i="1" s="1"/>
  <c r="AI50" i="1"/>
  <c r="AH50" i="1" s="1"/>
  <c r="AI140" i="1"/>
  <c r="AH140" i="1" s="1"/>
  <c r="AI129" i="1"/>
  <c r="AH129" i="1" s="1"/>
  <c r="AI178" i="1"/>
  <c r="AH178" i="1" s="1"/>
  <c r="AI146" i="1"/>
  <c r="AH146" i="1" s="1"/>
  <c r="AI367" i="1"/>
  <c r="AH367" i="1" s="1"/>
  <c r="AI36" i="1"/>
  <c r="AH36" i="1" s="1"/>
  <c r="AI61" i="1"/>
  <c r="AH61" i="1" s="1"/>
  <c r="AI281" i="1"/>
  <c r="AH281" i="1" s="1"/>
  <c r="AI305" i="1"/>
  <c r="AH305" i="1" s="1"/>
  <c r="AI135" i="1"/>
  <c r="AH135" i="1" s="1"/>
  <c r="AG135" i="1" s="1"/>
  <c r="AF135" i="1" s="1"/>
  <c r="AI237" i="1"/>
  <c r="AH237" i="1" s="1"/>
  <c r="AI81" i="1"/>
  <c r="AH81" i="1" s="1"/>
  <c r="AG81" i="1" s="1"/>
  <c r="AF81" i="1" s="1"/>
  <c r="AI228" i="1"/>
  <c r="AH228" i="1" s="1"/>
  <c r="AI312" i="1"/>
  <c r="AH312" i="1" s="1"/>
  <c r="Q16" i="1"/>
  <c r="U15" i="1"/>
  <c r="U16" i="1"/>
  <c r="T16" i="1" s="1"/>
  <c r="Q15" i="1"/>
  <c r="U17" i="1"/>
  <c r="T17" i="1" s="1"/>
  <c r="P11" i="17"/>
  <c r="AK16" i="17" s="1"/>
  <c r="T15" i="7"/>
  <c r="AD221" i="1" l="1"/>
  <c r="AF17" i="1"/>
  <c r="AD17" i="1" s="1"/>
  <c r="AD46" i="1"/>
  <c r="AD244" i="1"/>
  <c r="AD301" i="1"/>
  <c r="AD322" i="1"/>
  <c r="AD149" i="1"/>
  <c r="AD194" i="1"/>
  <c r="AZ99" i="6"/>
  <c r="AZ109" i="6"/>
  <c r="E7" i="15"/>
  <c r="AC10" i="15" s="1"/>
  <c r="I25" i="27"/>
  <c r="I28" i="27"/>
  <c r="I22" i="27"/>
  <c r="I29" i="27"/>
  <c r="I30" i="27"/>
  <c r="I27" i="27"/>
  <c r="I31" i="27"/>
  <c r="I26" i="27"/>
  <c r="O11" i="7"/>
  <c r="Q11" i="16" s="1"/>
  <c r="AZ119" i="6"/>
  <c r="AZ92" i="6"/>
  <c r="S380" i="6" s="1"/>
  <c r="S381" i="6" s="1"/>
  <c r="AZ100" i="6"/>
  <c r="AZ93" i="6"/>
  <c r="AZ98" i="6"/>
  <c r="AZ105" i="6"/>
  <c r="AZ104" i="6"/>
  <c r="AY372" i="6"/>
  <c r="AY375" i="6"/>
  <c r="AZ114" i="6"/>
  <c r="AZ111" i="6"/>
  <c r="AZ95" i="6"/>
  <c r="AZ102" i="6"/>
  <c r="AZ94" i="6"/>
  <c r="AZ118" i="6"/>
  <c r="AZ97" i="6"/>
  <c r="AZ106" i="6"/>
  <c r="T380" i="6" s="1"/>
  <c r="T381" i="6" s="1"/>
  <c r="AZ107" i="6"/>
  <c r="AZ110" i="6"/>
  <c r="AT157" i="6"/>
  <c r="AZ157" i="6" s="1"/>
  <c r="AT158" i="6"/>
  <c r="AT136" i="6"/>
  <c r="AZ136" i="6" s="1"/>
  <c r="AT140" i="6"/>
  <c r="AZ140" i="6" s="1"/>
  <c r="AT154" i="6"/>
  <c r="AZ154" i="6" s="1"/>
  <c r="AT137" i="6"/>
  <c r="AZ137" i="6" s="1"/>
  <c r="AZ297" i="6"/>
  <c r="AZ158" i="6"/>
  <c r="AT149" i="6"/>
  <c r="AZ149" i="6" s="1"/>
  <c r="AY377" i="6"/>
  <c r="AZ65" i="6"/>
  <c r="AY376" i="6"/>
  <c r="AY373" i="6"/>
  <c r="AY374" i="6"/>
  <c r="AY378" i="6"/>
  <c r="AY379" i="6"/>
  <c r="AZ66" i="6"/>
  <c r="AZ67" i="6"/>
  <c r="AZ76" i="6"/>
  <c r="AT144" i="6"/>
  <c r="AZ144" i="6" s="1"/>
  <c r="AT139" i="6"/>
  <c r="AZ139" i="6" s="1"/>
  <c r="AT147" i="6"/>
  <c r="AZ147" i="6" s="1"/>
  <c r="AT155" i="6"/>
  <c r="AZ155" i="6" s="1"/>
  <c r="AT146" i="6"/>
  <c r="AZ146" i="6" s="1"/>
  <c r="AT134" i="6"/>
  <c r="AZ134" i="6" s="1"/>
  <c r="V380" i="6" s="1"/>
  <c r="V381" i="6" s="1"/>
  <c r="AT138" i="6"/>
  <c r="AZ138" i="6" s="1"/>
  <c r="AZ78" i="6"/>
  <c r="R380" i="6" s="1"/>
  <c r="R381" i="6" s="1"/>
  <c r="AY60" i="6"/>
  <c r="AZ60" i="6" s="1"/>
  <c r="AY58" i="6"/>
  <c r="AY55" i="6"/>
  <c r="AZ55" i="6" s="1"/>
  <c r="AY47" i="6"/>
  <c r="AZ47" i="6" s="1"/>
  <c r="AY48" i="6"/>
  <c r="AZ48" i="6" s="1"/>
  <c r="AY59" i="6"/>
  <c r="AZ59" i="6" s="1"/>
  <c r="AY39" i="6"/>
  <c r="AZ39" i="6" s="1"/>
  <c r="AY40" i="6"/>
  <c r="AY43" i="6"/>
  <c r="AZ43" i="6" s="1"/>
  <c r="AY41" i="6"/>
  <c r="AZ41" i="6" s="1"/>
  <c r="AY63" i="6"/>
  <c r="AZ63" i="6" s="1"/>
  <c r="AY37" i="6"/>
  <c r="AZ37" i="6" s="1"/>
  <c r="AY62" i="6"/>
  <c r="AZ62" i="6" s="1"/>
  <c r="AY36" i="6"/>
  <c r="AZ36" i="6" s="1"/>
  <c r="O380" i="6" s="1"/>
  <c r="O381" i="6" s="1"/>
  <c r="AY52" i="6"/>
  <c r="AZ52" i="6" s="1"/>
  <c r="AY44" i="6"/>
  <c r="AZ44" i="6" s="1"/>
  <c r="AY53" i="6"/>
  <c r="AY57" i="6"/>
  <c r="AZ57" i="6" s="1"/>
  <c r="AY45" i="6"/>
  <c r="AZ45" i="6" s="1"/>
  <c r="AY38" i="6"/>
  <c r="AZ38" i="6" s="1"/>
  <c r="AY54" i="6"/>
  <c r="AZ54" i="6" s="1"/>
  <c r="AY51" i="6"/>
  <c r="AZ51" i="6" s="1"/>
  <c r="AY50" i="6"/>
  <c r="AZ50" i="6" s="1"/>
  <c r="P380" i="6" s="1"/>
  <c r="P381" i="6" s="1"/>
  <c r="AY46" i="6"/>
  <c r="AZ46" i="6" s="1"/>
  <c r="AY49" i="6"/>
  <c r="AZ49" i="6" s="1"/>
  <c r="AY56" i="6"/>
  <c r="AZ56" i="6" s="1"/>
  <c r="AY42" i="6"/>
  <c r="AZ42" i="6" s="1"/>
  <c r="AY61" i="6"/>
  <c r="AZ61" i="6" s="1"/>
  <c r="M55" i="6"/>
  <c r="AY34" i="6" s="1"/>
  <c r="AZ34" i="6" s="1"/>
  <c r="AZ75" i="6"/>
  <c r="AZ87" i="6"/>
  <c r="AZ82" i="6"/>
  <c r="AZ70" i="6"/>
  <c r="AZ69" i="6"/>
  <c r="AZ80" i="6"/>
  <c r="AD112" i="1"/>
  <c r="AY324" i="6"/>
  <c r="AZ324" i="6" s="1"/>
  <c r="AY330" i="6"/>
  <c r="AY323" i="6"/>
  <c r="AZ323" i="6" s="1"/>
  <c r="AY322" i="6"/>
  <c r="AZ322" i="6" s="1"/>
  <c r="AY320" i="6"/>
  <c r="AZ320" i="6" s="1"/>
  <c r="AY342" i="6"/>
  <c r="AY332" i="6"/>
  <c r="AY365" i="6"/>
  <c r="AY321" i="6"/>
  <c r="AZ321" i="6" s="1"/>
  <c r="AY338" i="6"/>
  <c r="AY341" i="6"/>
  <c r="AY316" i="6"/>
  <c r="AZ316" i="6" s="1"/>
  <c r="AI380" i="6" s="1"/>
  <c r="AI381" i="6" s="1"/>
  <c r="AY370" i="6"/>
  <c r="AY340" i="6"/>
  <c r="AY325" i="6"/>
  <c r="AZ325" i="6" s="1"/>
  <c r="AY335" i="6"/>
  <c r="AY350" i="6"/>
  <c r="AY357" i="6"/>
  <c r="AY348" i="6"/>
  <c r="AY345" i="6"/>
  <c r="AY349" i="6"/>
  <c r="AY344" i="6"/>
  <c r="AY351" i="6"/>
  <c r="AY355" i="6"/>
  <c r="AY360" i="6"/>
  <c r="AY346" i="6"/>
  <c r="AY358" i="6"/>
  <c r="AY333" i="6"/>
  <c r="AY326" i="6"/>
  <c r="AZ326" i="6" s="1"/>
  <c r="AY343" i="6"/>
  <c r="AY331" i="6"/>
  <c r="AY336" i="6"/>
  <c r="AY318" i="6"/>
  <c r="AZ318" i="6" s="1"/>
  <c r="AY352" i="6"/>
  <c r="AY367" i="6"/>
  <c r="AY329" i="6"/>
  <c r="AZ329" i="6" s="1"/>
  <c r="AY319" i="6"/>
  <c r="AZ319" i="6" s="1"/>
  <c r="AY337" i="6"/>
  <c r="AY366" i="6"/>
  <c r="AY334" i="6"/>
  <c r="AY339" i="6"/>
  <c r="AY327" i="6"/>
  <c r="AZ327" i="6" s="1"/>
  <c r="AY317" i="6"/>
  <c r="AZ317" i="6" s="1"/>
  <c r="AY354" i="6"/>
  <c r="AY356" i="6"/>
  <c r="AY359" i="6"/>
  <c r="AY353" i="6"/>
  <c r="AY347" i="6"/>
  <c r="AY362" i="6"/>
  <c r="AY369" i="6"/>
  <c r="AY363" i="6"/>
  <c r="AY368" i="6"/>
  <c r="AY361" i="6"/>
  <c r="AY371" i="6"/>
  <c r="AY328" i="6"/>
  <c r="AZ328" i="6" s="1"/>
  <c r="AY260" i="6"/>
  <c r="AZ260" i="6" s="1"/>
  <c r="AE380" i="6" s="1"/>
  <c r="AE381" i="6" s="1"/>
  <c r="AY283" i="6"/>
  <c r="AZ283" i="6" s="1"/>
  <c r="AY280" i="6"/>
  <c r="AZ280" i="6" s="1"/>
  <c r="AY282" i="6"/>
  <c r="AZ282" i="6" s="1"/>
  <c r="AY261" i="6"/>
  <c r="AY286" i="6"/>
  <c r="AZ286" i="6" s="1"/>
  <c r="AY262" i="6"/>
  <c r="AZ262" i="6" s="1"/>
  <c r="AY288" i="6"/>
  <c r="AY296" i="6"/>
  <c r="AY295" i="6"/>
  <c r="AZ295" i="6" s="1"/>
  <c r="AY289" i="6"/>
  <c r="AZ289" i="6" s="1"/>
  <c r="AY308" i="6"/>
  <c r="AZ308" i="6" s="1"/>
  <c r="AY310" i="6"/>
  <c r="AZ310" i="6" s="1"/>
  <c r="AY292" i="6"/>
  <c r="AZ296" i="6"/>
  <c r="AZ292" i="6"/>
  <c r="AZ261" i="6"/>
  <c r="AY276" i="6"/>
  <c r="AZ276" i="6" s="1"/>
  <c r="AY284" i="6"/>
  <c r="AZ284" i="6" s="1"/>
  <c r="AY271" i="6"/>
  <c r="AZ271" i="6" s="1"/>
  <c r="AY277" i="6"/>
  <c r="AY287" i="6"/>
  <c r="AZ287" i="6" s="1"/>
  <c r="AY267" i="6"/>
  <c r="AZ267" i="6" s="1"/>
  <c r="AY264" i="6"/>
  <c r="AZ264" i="6" s="1"/>
  <c r="AY309" i="6"/>
  <c r="AZ309" i="6" s="1"/>
  <c r="AY315" i="6"/>
  <c r="AZ315" i="6" s="1"/>
  <c r="AY304" i="6"/>
  <c r="AZ304" i="6" s="1"/>
  <c r="AY291" i="6"/>
  <c r="AZ291" i="6" s="1"/>
  <c r="AY311" i="6"/>
  <c r="AZ311" i="6" s="1"/>
  <c r="AY305" i="6"/>
  <c r="AZ305" i="6" s="1"/>
  <c r="AY314" i="6"/>
  <c r="AZ314" i="6" s="1"/>
  <c r="AZ288" i="6"/>
  <c r="AG380" i="6" s="1"/>
  <c r="AG381" i="6" s="1"/>
  <c r="AZ277" i="6"/>
  <c r="AY281" i="6"/>
  <c r="AZ281" i="6" s="1"/>
  <c r="AY278" i="6"/>
  <c r="AZ278" i="6" s="1"/>
  <c r="AY279" i="6"/>
  <c r="AZ279" i="6" s="1"/>
  <c r="AY269" i="6"/>
  <c r="AZ269" i="6" s="1"/>
  <c r="AY263" i="6"/>
  <c r="AZ263" i="6" s="1"/>
  <c r="AY266" i="6"/>
  <c r="AZ266" i="6" s="1"/>
  <c r="AY274" i="6"/>
  <c r="AZ274" i="6" s="1"/>
  <c r="AF380" i="6" s="1"/>
  <c r="AF381" i="6" s="1"/>
  <c r="AY270" i="6"/>
  <c r="AZ270" i="6" s="1"/>
  <c r="AY275" i="6"/>
  <c r="AZ275" i="6" s="1"/>
  <c r="AY272" i="6"/>
  <c r="AZ272" i="6" s="1"/>
  <c r="AY273" i="6"/>
  <c r="AZ273" i="6" s="1"/>
  <c r="AY265" i="6"/>
  <c r="AZ265" i="6" s="1"/>
  <c r="AY285" i="6"/>
  <c r="AZ285" i="6" s="1"/>
  <c r="AY268" i="6"/>
  <c r="AZ268" i="6" s="1"/>
  <c r="AY312" i="6"/>
  <c r="AZ312" i="6" s="1"/>
  <c r="AY298" i="6"/>
  <c r="AZ298" i="6" s="1"/>
  <c r="AY313" i="6"/>
  <c r="AZ313" i="6" s="1"/>
  <c r="AY307" i="6"/>
  <c r="AZ307" i="6" s="1"/>
  <c r="AY294" i="6"/>
  <c r="AZ294" i="6" s="1"/>
  <c r="AY300" i="6"/>
  <c r="AZ300" i="6" s="1"/>
  <c r="AY290" i="6"/>
  <c r="AZ290" i="6" s="1"/>
  <c r="AY299" i="6"/>
  <c r="AZ299" i="6" s="1"/>
  <c r="AY301" i="6"/>
  <c r="AZ301" i="6" s="1"/>
  <c r="AY306" i="6"/>
  <c r="AZ306" i="6" s="1"/>
  <c r="AY302" i="6"/>
  <c r="AZ302" i="6" s="1"/>
  <c r="AH380" i="6" s="1"/>
  <c r="AH381" i="6" s="1"/>
  <c r="AY293" i="6"/>
  <c r="AZ293" i="6" s="1"/>
  <c r="AY303" i="6"/>
  <c r="AZ303" i="6" s="1"/>
  <c r="AZ58" i="6"/>
  <c r="AY230" i="6"/>
  <c r="AY223" i="6"/>
  <c r="AY205" i="6"/>
  <c r="AY209" i="6"/>
  <c r="AY207" i="6"/>
  <c r="AY211" i="6"/>
  <c r="AY215" i="6"/>
  <c r="AY204" i="6"/>
  <c r="AY206" i="6"/>
  <c r="AY213" i="6"/>
  <c r="AY226" i="6"/>
  <c r="AY227" i="6"/>
  <c r="AY231" i="6"/>
  <c r="AY221" i="6"/>
  <c r="AY250" i="6"/>
  <c r="AZ250" i="6" s="1"/>
  <c r="AY233" i="6"/>
  <c r="AY241" i="6"/>
  <c r="AY253" i="6"/>
  <c r="AZ253" i="6" s="1"/>
  <c r="AY252" i="6"/>
  <c r="AZ252" i="6" s="1"/>
  <c r="AY234" i="6"/>
  <c r="AY255" i="6"/>
  <c r="AZ255" i="6" s="1"/>
  <c r="AY248" i="6"/>
  <c r="AZ248" i="6" s="1"/>
  <c r="AY256" i="6"/>
  <c r="AZ256" i="6" s="1"/>
  <c r="AY237" i="6"/>
  <c r="AY239" i="6"/>
  <c r="AY245" i="6"/>
  <c r="AY249" i="6"/>
  <c r="AZ249" i="6" s="1"/>
  <c r="AY243" i="6"/>
  <c r="AY216" i="6"/>
  <c r="AY217" i="6"/>
  <c r="AY220" i="6"/>
  <c r="AY228" i="6"/>
  <c r="AY229" i="6"/>
  <c r="AY219" i="6"/>
  <c r="AY222" i="6"/>
  <c r="AY208" i="6"/>
  <c r="AY218" i="6"/>
  <c r="AY224" i="6"/>
  <c r="AY212" i="6"/>
  <c r="AY210" i="6"/>
  <c r="AY225" i="6"/>
  <c r="AY214" i="6"/>
  <c r="AY258" i="6"/>
  <c r="AZ258" i="6" s="1"/>
  <c r="AY254" i="6"/>
  <c r="AZ254" i="6" s="1"/>
  <c r="AY259" i="6"/>
  <c r="AZ259" i="6" s="1"/>
  <c r="AY247" i="6"/>
  <c r="AZ247" i="6" s="1"/>
  <c r="AY246" i="6"/>
  <c r="AZ246" i="6" s="1"/>
  <c r="AD380" i="6" s="1"/>
  <c r="AD381" i="6" s="1"/>
  <c r="AY244" i="6"/>
  <c r="AY238" i="6"/>
  <c r="AY251" i="6"/>
  <c r="AZ251" i="6" s="1"/>
  <c r="AY236" i="6"/>
  <c r="AY232" i="6"/>
  <c r="AY240" i="6"/>
  <c r="AY235" i="6"/>
  <c r="AY257" i="6"/>
  <c r="AZ257" i="6" s="1"/>
  <c r="AT187" i="6"/>
  <c r="AZ187" i="6" s="1"/>
  <c r="AT173" i="6"/>
  <c r="AZ173" i="6" s="1"/>
  <c r="AT183" i="6"/>
  <c r="AZ183" i="6" s="1"/>
  <c r="AT191" i="6"/>
  <c r="AZ191" i="6" s="1"/>
  <c r="AT207" i="6"/>
  <c r="AT199" i="6"/>
  <c r="AZ199" i="6" s="1"/>
  <c r="AT204" i="6"/>
  <c r="AZ204" i="6" s="1"/>
  <c r="AA380" i="6" s="1"/>
  <c r="AA381" i="6" s="1"/>
  <c r="AT192" i="6"/>
  <c r="AZ192" i="6" s="1"/>
  <c r="AT216" i="6"/>
  <c r="AT193" i="6"/>
  <c r="AZ193" i="6" s="1"/>
  <c r="AT210" i="6"/>
  <c r="AT217" i="6"/>
  <c r="AT208" i="6"/>
  <c r="AZ208" i="6" s="1"/>
  <c r="AT202" i="6"/>
  <c r="AZ202" i="6" s="1"/>
  <c r="AT213" i="6"/>
  <c r="AZ213" i="6" s="1"/>
  <c r="AT195" i="6"/>
  <c r="AZ195" i="6" s="1"/>
  <c r="AT211" i="6"/>
  <c r="AZ211" i="6" s="1"/>
  <c r="AT206" i="6"/>
  <c r="AZ206" i="6" s="1"/>
  <c r="AT198" i="6"/>
  <c r="AZ198" i="6" s="1"/>
  <c r="AT214" i="6"/>
  <c r="AT222" i="6"/>
  <c r="AT230" i="6"/>
  <c r="AZ230" i="6" s="1"/>
  <c r="AT223" i="6"/>
  <c r="AZ223" i="6" s="1"/>
  <c r="AT225" i="6"/>
  <c r="AZ225" i="6" s="1"/>
  <c r="AT221" i="6"/>
  <c r="AZ221" i="6" s="1"/>
  <c r="AT233" i="6"/>
  <c r="AT231" i="6"/>
  <c r="AT243" i="6"/>
  <c r="AT226" i="6"/>
  <c r="AT239" i="6"/>
  <c r="AZ239" i="6" s="1"/>
  <c r="AT224" i="6"/>
  <c r="AZ224" i="6" s="1"/>
  <c r="AT229" i="6"/>
  <c r="AZ229" i="6" s="1"/>
  <c r="AT235" i="6"/>
  <c r="AZ235" i="6" s="1"/>
  <c r="AT227" i="6"/>
  <c r="AT145" i="6"/>
  <c r="AZ145" i="6" s="1"/>
  <c r="AT159" i="6"/>
  <c r="AZ159" i="6" s="1"/>
  <c r="AT161" i="6"/>
  <c r="AZ161" i="6" s="1"/>
  <c r="AT150" i="6"/>
  <c r="AZ150" i="6" s="1"/>
  <c r="AT143" i="6"/>
  <c r="AZ143" i="6" s="1"/>
  <c r="AT156" i="6"/>
  <c r="AZ156" i="6" s="1"/>
  <c r="AT160" i="6"/>
  <c r="AZ160" i="6" s="1"/>
  <c r="AT148" i="6"/>
  <c r="AZ148" i="6" s="1"/>
  <c r="W380" i="6" s="1"/>
  <c r="W381" i="6" s="1"/>
  <c r="AT151" i="6"/>
  <c r="AZ151" i="6" s="1"/>
  <c r="AT153" i="6"/>
  <c r="AZ153" i="6" s="1"/>
  <c r="AT135" i="6"/>
  <c r="AZ135" i="6" s="1"/>
  <c r="AT152" i="6"/>
  <c r="AZ152" i="6" s="1"/>
  <c r="AT141" i="6"/>
  <c r="AZ141" i="6" s="1"/>
  <c r="AT142" i="6"/>
  <c r="AZ142" i="6" s="1"/>
  <c r="AT171" i="6"/>
  <c r="AZ171" i="6" s="1"/>
  <c r="AT162" i="6"/>
  <c r="AZ162" i="6" s="1"/>
  <c r="X380" i="6" s="1"/>
  <c r="X381" i="6" s="1"/>
  <c r="AT170" i="6"/>
  <c r="AZ170" i="6" s="1"/>
  <c r="AT189" i="6"/>
  <c r="AZ189" i="6" s="1"/>
  <c r="AT196" i="6"/>
  <c r="AZ196" i="6" s="1"/>
  <c r="AT190" i="6"/>
  <c r="AZ190" i="6" s="1"/>
  <c r="Z380" i="6" s="1"/>
  <c r="Z381" i="6" s="1"/>
  <c r="AT201" i="6"/>
  <c r="AZ201" i="6" s="1"/>
  <c r="AT212" i="6"/>
  <c r="AZ212" i="6" s="1"/>
  <c r="AT215" i="6"/>
  <c r="AT200" i="6"/>
  <c r="AZ200" i="6" s="1"/>
  <c r="AT203" i="6"/>
  <c r="AZ203" i="6" s="1"/>
  <c r="AT194" i="6"/>
  <c r="AZ194" i="6" s="1"/>
  <c r="AT205" i="6"/>
  <c r="AT197" i="6"/>
  <c r="AZ197" i="6" s="1"/>
  <c r="AT209" i="6"/>
  <c r="AZ209" i="6" s="1"/>
  <c r="AT245" i="6"/>
  <c r="AT234" i="6"/>
  <c r="AT237" i="6"/>
  <c r="AT220" i="6"/>
  <c r="AT236" i="6"/>
  <c r="AT242" i="6"/>
  <c r="AZ242" i="6" s="1"/>
  <c r="AT228" i="6"/>
  <c r="AT240" i="6"/>
  <c r="AT238" i="6"/>
  <c r="AZ238" i="6" s="1"/>
  <c r="AT244" i="6"/>
  <c r="AZ244" i="6" s="1"/>
  <c r="AT241" i="6"/>
  <c r="AZ241" i="6" s="1"/>
  <c r="AT232" i="6"/>
  <c r="AZ232" i="6" s="1"/>
  <c r="AC380" i="6" s="1"/>
  <c r="AC381" i="6" s="1"/>
  <c r="AT218" i="6"/>
  <c r="AZ218" i="6" s="1"/>
  <c r="AB380" i="6" s="1"/>
  <c r="AB381" i="6" s="1"/>
  <c r="AT219" i="6"/>
  <c r="AZ219" i="6" s="1"/>
  <c r="AT178" i="6"/>
  <c r="AZ178" i="6" s="1"/>
  <c r="AT165" i="6"/>
  <c r="AZ165" i="6" s="1"/>
  <c r="AT186" i="6"/>
  <c r="AZ186" i="6" s="1"/>
  <c r="AT163" i="6"/>
  <c r="AZ163" i="6" s="1"/>
  <c r="AT169" i="6"/>
  <c r="AZ169" i="6" s="1"/>
  <c r="AT188" i="6"/>
  <c r="AZ188" i="6" s="1"/>
  <c r="AT166" i="6"/>
  <c r="AZ166" i="6" s="1"/>
  <c r="AZ86" i="6"/>
  <c r="AZ79" i="6"/>
  <c r="AZ81" i="6"/>
  <c r="AZ64" i="6"/>
  <c r="Q380" i="6" s="1"/>
  <c r="Q381" i="6" s="1"/>
  <c r="AZ40" i="6"/>
  <c r="AT168" i="6"/>
  <c r="AZ168" i="6" s="1"/>
  <c r="AT181" i="6"/>
  <c r="AZ181" i="6" s="1"/>
  <c r="AT164" i="6"/>
  <c r="AZ164" i="6" s="1"/>
  <c r="AT167" i="6"/>
  <c r="AZ167" i="6" s="1"/>
  <c r="AT172" i="6"/>
  <c r="AZ172" i="6" s="1"/>
  <c r="AT177" i="6"/>
  <c r="AZ177" i="6" s="1"/>
  <c r="AT174" i="6"/>
  <c r="AZ174" i="6" s="1"/>
  <c r="AT184" i="6"/>
  <c r="AZ184" i="6" s="1"/>
  <c r="AT182" i="6"/>
  <c r="AZ182" i="6" s="1"/>
  <c r="AT179" i="6"/>
  <c r="AZ179" i="6" s="1"/>
  <c r="AT175" i="6"/>
  <c r="AZ175" i="6" s="1"/>
  <c r="AT180" i="6"/>
  <c r="AZ180" i="6" s="1"/>
  <c r="AT176" i="6"/>
  <c r="AZ176" i="6" s="1"/>
  <c r="Y380" i="6" s="1"/>
  <c r="Y381" i="6" s="1"/>
  <c r="AZ83" i="6"/>
  <c r="AZ53" i="6"/>
  <c r="AZ77" i="6"/>
  <c r="AZ88" i="6"/>
  <c r="AZ91" i="6"/>
  <c r="AZ71" i="6"/>
  <c r="AZ90" i="6"/>
  <c r="AZ68" i="6"/>
  <c r="AZ89" i="6"/>
  <c r="AZ72" i="6"/>
  <c r="J375" i="6"/>
  <c r="AD375" i="1" s="1"/>
  <c r="J379" i="6"/>
  <c r="J376" i="6"/>
  <c r="J373" i="6"/>
  <c r="AA40" i="6"/>
  <c r="AT380" i="6" s="1"/>
  <c r="AZ380" i="6" s="1"/>
  <c r="AT330" i="6"/>
  <c r="AT333" i="6"/>
  <c r="AT338" i="6"/>
  <c r="AT332" i="6"/>
  <c r="AT341" i="6"/>
  <c r="AT340" i="6"/>
  <c r="AT349" i="6"/>
  <c r="AT339" i="6"/>
  <c r="AT336" i="6"/>
  <c r="AT346" i="6"/>
  <c r="AT355" i="6"/>
  <c r="AT335" i="6"/>
  <c r="AT354" i="6"/>
  <c r="AT351" i="6"/>
  <c r="AT331" i="6"/>
  <c r="AT350" i="6"/>
  <c r="AT353" i="6"/>
  <c r="AT337" i="6"/>
  <c r="AT348" i="6"/>
  <c r="AT356" i="6"/>
  <c r="AT345" i="6"/>
  <c r="AT342" i="6"/>
  <c r="AT347" i="6"/>
  <c r="AT352" i="6"/>
  <c r="AT357" i="6"/>
  <c r="AT344" i="6"/>
  <c r="AT334" i="6"/>
  <c r="AT343" i="6"/>
  <c r="J372" i="6"/>
  <c r="J380" i="6"/>
  <c r="J378" i="6"/>
  <c r="J377" i="6"/>
  <c r="AD250" i="1"/>
  <c r="AD81" i="1"/>
  <c r="AD174" i="1"/>
  <c r="AD209" i="1"/>
  <c r="AD20" i="1"/>
  <c r="AD24" i="1"/>
  <c r="AD304" i="1"/>
  <c r="AD246" i="1"/>
  <c r="AD216" i="1"/>
  <c r="AD308" i="1"/>
  <c r="AD334" i="1"/>
  <c r="AD25" i="1"/>
  <c r="AD164" i="1"/>
  <c r="AD135" i="1"/>
  <c r="AD71" i="1"/>
  <c r="AD233" i="1"/>
  <c r="AD65" i="1"/>
  <c r="AD54" i="1"/>
  <c r="AD125" i="1"/>
  <c r="AD102" i="1"/>
  <c r="AD287" i="1"/>
  <c r="AD264" i="1"/>
  <c r="AD238" i="1"/>
  <c r="AD137" i="1"/>
  <c r="AD156" i="1"/>
  <c r="O9" i="16"/>
  <c r="AJ17" i="16" s="1"/>
  <c r="AD21" i="1"/>
  <c r="AD98" i="1"/>
  <c r="AD365" i="1"/>
  <c r="AD51" i="1"/>
  <c r="AD69" i="1"/>
  <c r="AD191" i="1"/>
  <c r="AD176" i="1"/>
  <c r="AD97" i="1"/>
  <c r="AD345" i="1"/>
  <c r="AD319" i="1"/>
  <c r="AD190" i="1"/>
  <c r="AD295" i="1"/>
  <c r="AD147" i="1"/>
  <c r="AK15" i="15"/>
  <c r="F8" i="15"/>
  <c r="P12" i="15"/>
  <c r="AK16" i="15"/>
  <c r="AC12" i="15"/>
  <c r="O12" i="15"/>
  <c r="O11" i="15"/>
  <c r="AC9" i="15"/>
  <c r="AD120" i="1"/>
  <c r="AD64" i="1"/>
  <c r="AD99" i="1"/>
  <c r="AD60" i="1"/>
  <c r="AD40" i="1"/>
  <c r="AD92" i="1"/>
  <c r="AD136" i="1"/>
  <c r="AD254" i="1"/>
  <c r="AD134" i="1"/>
  <c r="AD306" i="1"/>
  <c r="AD67" i="1"/>
  <c r="AD38" i="1"/>
  <c r="AD169" i="1"/>
  <c r="AD358" i="1"/>
  <c r="AD210" i="1"/>
  <c r="AD78" i="1"/>
  <c r="AD296" i="1"/>
  <c r="AD127" i="1"/>
  <c r="AD362" i="1"/>
  <c r="L16" i="17"/>
  <c r="AB18" i="15"/>
  <c r="A19" i="15"/>
  <c r="X18" i="15"/>
  <c r="K18" i="15"/>
  <c r="AJ18" i="15"/>
  <c r="AK18" i="15"/>
  <c r="L18" i="15"/>
  <c r="D18" i="15" s="1"/>
  <c r="L15" i="18"/>
  <c r="L11" i="18"/>
  <c r="H42" i="27"/>
  <c r="AE76" i="27"/>
  <c r="P77" i="27"/>
  <c r="G40" i="27" s="1"/>
  <c r="X17" i="16"/>
  <c r="A18" i="16"/>
  <c r="L17" i="16"/>
  <c r="D17" i="16" s="1"/>
  <c r="AB17" i="16"/>
  <c r="K17" i="16"/>
  <c r="AK17" i="16"/>
  <c r="F8" i="16"/>
  <c r="P12" i="16"/>
  <c r="AK15" i="16"/>
  <c r="S17" i="1"/>
  <c r="R17" i="1" s="1"/>
  <c r="P17" i="1" s="1"/>
  <c r="V17" i="1" s="1"/>
  <c r="S16" i="1"/>
  <c r="R16" i="1" s="1"/>
  <c r="P16" i="1" s="1"/>
  <c r="V16" i="1" s="1"/>
  <c r="AG228" i="1"/>
  <c r="AF228" i="1" s="1"/>
  <c r="AD228" i="1" s="1"/>
  <c r="AG237" i="1"/>
  <c r="AF237" i="1" s="1"/>
  <c r="AD237" i="1" s="1"/>
  <c r="AG305" i="1"/>
  <c r="AF305" i="1" s="1"/>
  <c r="AD305" i="1" s="1"/>
  <c r="AG61" i="1"/>
  <c r="AF61" i="1" s="1"/>
  <c r="AD61" i="1" s="1"/>
  <c r="AG367" i="1"/>
  <c r="AF367" i="1" s="1"/>
  <c r="AD367" i="1" s="1"/>
  <c r="AG178" i="1"/>
  <c r="AF178" i="1" s="1"/>
  <c r="AD178" i="1" s="1"/>
  <c r="AG140" i="1"/>
  <c r="AF140" i="1" s="1"/>
  <c r="AD140" i="1" s="1"/>
  <c r="AG47" i="1"/>
  <c r="AF47" i="1" s="1"/>
  <c r="AD47" i="1" s="1"/>
  <c r="AG378" i="1"/>
  <c r="AF378" i="1" s="1"/>
  <c r="AG55" i="1"/>
  <c r="AF55" i="1" s="1"/>
  <c r="AD55" i="1" s="1"/>
  <c r="AG160" i="1"/>
  <c r="AF160" i="1" s="1"/>
  <c r="AD160" i="1" s="1"/>
  <c r="AG28" i="1"/>
  <c r="AF28" i="1" s="1"/>
  <c r="AD28" i="1" s="1"/>
  <c r="AG192" i="1"/>
  <c r="AF192" i="1" s="1"/>
  <c r="AD192" i="1" s="1"/>
  <c r="AG43" i="1"/>
  <c r="AF43" i="1" s="1"/>
  <c r="AD43" i="1" s="1"/>
  <c r="AG114" i="1"/>
  <c r="AF114" i="1" s="1"/>
  <c r="AD114" i="1" s="1"/>
  <c r="AG154" i="1"/>
  <c r="AF154" i="1" s="1"/>
  <c r="AD154" i="1" s="1"/>
  <c r="AG274" i="1"/>
  <c r="AF274" i="1" s="1"/>
  <c r="AD274" i="1" s="1"/>
  <c r="AG186" i="1"/>
  <c r="AF186" i="1" s="1"/>
  <c r="AD186" i="1" s="1"/>
  <c r="AG95" i="1"/>
  <c r="AF95" i="1" s="1"/>
  <c r="AD95" i="1" s="1"/>
  <c r="AG226" i="1"/>
  <c r="AF226" i="1" s="1"/>
  <c r="AD226" i="1" s="1"/>
  <c r="AG356" i="1"/>
  <c r="AF356" i="1" s="1"/>
  <c r="AD356" i="1" s="1"/>
  <c r="AG344" i="1"/>
  <c r="AF344" i="1" s="1"/>
  <c r="AD344" i="1" s="1"/>
  <c r="AG49" i="1"/>
  <c r="AF49" i="1" s="1"/>
  <c r="AD49" i="1" s="1"/>
  <c r="AG347" i="1"/>
  <c r="AF347" i="1" s="1"/>
  <c r="AD347" i="1" s="1"/>
  <c r="AG333" i="1"/>
  <c r="AF333" i="1" s="1"/>
  <c r="AD333" i="1" s="1"/>
  <c r="AG123" i="1"/>
  <c r="AF123" i="1" s="1"/>
  <c r="AD123" i="1" s="1"/>
  <c r="AG290" i="1"/>
  <c r="AF290" i="1" s="1"/>
  <c r="AD290" i="1" s="1"/>
  <c r="AG128" i="1"/>
  <c r="AF128" i="1" s="1"/>
  <c r="AD128" i="1" s="1"/>
  <c r="AG328" i="1"/>
  <c r="AF328" i="1" s="1"/>
  <c r="AD328" i="1" s="1"/>
  <c r="AH320" i="1"/>
  <c r="AH111" i="1"/>
  <c r="AH68" i="1"/>
  <c r="AH225" i="1"/>
  <c r="AG248" i="1"/>
  <c r="AF248" i="1" s="1"/>
  <c r="AD248" i="1" s="1"/>
  <c r="AG185" i="1"/>
  <c r="AF185" i="1" s="1"/>
  <c r="AD185" i="1" s="1"/>
  <c r="AG89" i="1"/>
  <c r="AF89" i="1" s="1"/>
  <c r="AD89" i="1" s="1"/>
  <c r="AG234" i="1"/>
  <c r="AF234" i="1" s="1"/>
  <c r="AD234" i="1" s="1"/>
  <c r="AG232" i="1"/>
  <c r="AF232" i="1" s="1"/>
  <c r="AD232" i="1" s="1"/>
  <c r="AG58" i="1"/>
  <c r="AF58" i="1" s="1"/>
  <c r="AD58" i="1" s="1"/>
  <c r="AG259" i="1"/>
  <c r="AF259" i="1" s="1"/>
  <c r="AD259" i="1" s="1"/>
  <c r="AG109" i="1"/>
  <c r="AF109" i="1" s="1"/>
  <c r="AD109" i="1" s="1"/>
  <c r="AG167" i="1"/>
  <c r="AF167" i="1" s="1"/>
  <c r="AD167" i="1" s="1"/>
  <c r="AG212" i="1"/>
  <c r="AF212" i="1" s="1"/>
  <c r="AD212" i="1" s="1"/>
  <c r="AG220" i="1"/>
  <c r="AF220" i="1" s="1"/>
  <c r="AD220" i="1" s="1"/>
  <c r="AG251" i="1"/>
  <c r="AF251" i="1" s="1"/>
  <c r="AD251" i="1" s="1"/>
  <c r="AG236" i="1"/>
  <c r="AF236" i="1" s="1"/>
  <c r="AD236" i="1" s="1"/>
  <c r="AG104" i="1"/>
  <c r="AF104" i="1" s="1"/>
  <c r="AD104" i="1" s="1"/>
  <c r="AG153" i="1"/>
  <c r="AF153" i="1" s="1"/>
  <c r="AD153" i="1" s="1"/>
  <c r="AH300" i="1"/>
  <c r="AG121" i="1"/>
  <c r="AF121" i="1" s="1"/>
  <c r="AD121" i="1" s="1"/>
  <c r="AG255" i="1"/>
  <c r="AF255" i="1" s="1"/>
  <c r="AD255" i="1" s="1"/>
  <c r="AG204" i="1"/>
  <c r="AF204" i="1" s="1"/>
  <c r="AD204" i="1" s="1"/>
  <c r="AH165" i="1"/>
  <c r="AG179" i="1"/>
  <c r="AF179" i="1" s="1"/>
  <c r="AD179" i="1" s="1"/>
  <c r="AG45" i="1"/>
  <c r="AF45" i="1" s="1"/>
  <c r="AD45" i="1" s="1"/>
  <c r="AH222" i="1"/>
  <c r="AG82" i="1"/>
  <c r="AF82" i="1" s="1"/>
  <c r="AD82" i="1" s="1"/>
  <c r="AG339" i="1"/>
  <c r="AF339" i="1" s="1"/>
  <c r="AD339" i="1" s="1"/>
  <c r="AG288" i="1"/>
  <c r="AF288" i="1" s="1"/>
  <c r="AD288" i="1" s="1"/>
  <c r="AG292" i="1"/>
  <c r="AF292" i="1" s="1"/>
  <c r="AD292" i="1" s="1"/>
  <c r="AG80" i="1"/>
  <c r="AF80" i="1" s="1"/>
  <c r="AD80" i="1" s="1"/>
  <c r="AG363" i="1"/>
  <c r="AF363" i="1" s="1"/>
  <c r="AD363" i="1" s="1"/>
  <c r="AG181" i="1"/>
  <c r="AF181" i="1" s="1"/>
  <c r="AD181" i="1" s="1"/>
  <c r="AG268" i="1"/>
  <c r="AF268" i="1" s="1"/>
  <c r="AD268" i="1" s="1"/>
  <c r="AG75" i="1"/>
  <c r="AF75" i="1" s="1"/>
  <c r="AD75" i="1" s="1"/>
  <c r="AG337" i="1"/>
  <c r="AF337" i="1" s="1"/>
  <c r="AD337" i="1" s="1"/>
  <c r="AG118" i="1"/>
  <c r="AF118" i="1" s="1"/>
  <c r="AD118" i="1" s="1"/>
  <c r="AG361" i="1"/>
  <c r="AF361" i="1" s="1"/>
  <c r="AD361" i="1" s="1"/>
  <c r="AG271" i="1"/>
  <c r="AF271" i="1" s="1"/>
  <c r="AD271" i="1" s="1"/>
  <c r="AG173" i="1"/>
  <c r="AF173" i="1" s="1"/>
  <c r="AD173" i="1" s="1"/>
  <c r="AG327" i="1"/>
  <c r="AF327" i="1" s="1"/>
  <c r="AD327" i="1" s="1"/>
  <c r="AG141" i="1"/>
  <c r="AF141" i="1" s="1"/>
  <c r="AD141" i="1" s="1"/>
  <c r="AG277" i="1"/>
  <c r="AF277" i="1" s="1"/>
  <c r="AD277" i="1" s="1"/>
  <c r="AG23" i="1"/>
  <c r="AF23" i="1" s="1"/>
  <c r="AD23" i="1" s="1"/>
  <c r="AG85" i="1"/>
  <c r="AF85" i="1" s="1"/>
  <c r="AD85" i="1" s="1"/>
  <c r="AG157" i="1"/>
  <c r="AF157" i="1" s="1"/>
  <c r="AD157" i="1" s="1"/>
  <c r="AG142" i="1"/>
  <c r="AF142" i="1" s="1"/>
  <c r="AD142" i="1" s="1"/>
  <c r="AG103" i="1"/>
  <c r="AF103" i="1" s="1"/>
  <c r="AD103" i="1" s="1"/>
  <c r="AG227" i="1"/>
  <c r="AF227" i="1" s="1"/>
  <c r="AD227" i="1" s="1"/>
  <c r="AG177" i="1"/>
  <c r="AF177" i="1" s="1"/>
  <c r="AD177" i="1" s="1"/>
  <c r="AH315" i="1"/>
  <c r="AG231" i="1"/>
  <c r="AF231" i="1" s="1"/>
  <c r="AD231" i="1" s="1"/>
  <c r="AH283" i="1"/>
  <c r="AH318" i="1"/>
  <c r="AH270" i="1"/>
  <c r="AH108" i="1"/>
  <c r="AG201" i="1"/>
  <c r="AF201" i="1" s="1"/>
  <c r="AD201" i="1" s="1"/>
  <c r="AH41" i="1"/>
  <c r="AG240" i="1"/>
  <c r="AF240" i="1" s="1"/>
  <c r="AD240" i="1" s="1"/>
  <c r="AG316" i="1"/>
  <c r="AF316" i="1" s="1"/>
  <c r="AD316" i="1" s="1"/>
  <c r="AH349" i="1"/>
  <c r="AH332" i="1"/>
  <c r="AH152" i="1"/>
  <c r="AH62" i="1"/>
  <c r="AG342" i="1"/>
  <c r="AF342" i="1" s="1"/>
  <c r="AD342" i="1" s="1"/>
  <c r="AG77" i="1"/>
  <c r="AF77" i="1" s="1"/>
  <c r="AD77" i="1" s="1"/>
  <c r="AH239" i="1"/>
  <c r="AG166" i="1"/>
  <c r="AF166" i="1" s="1"/>
  <c r="AD166" i="1" s="1"/>
  <c r="AH162" i="1"/>
  <c r="AG256" i="1"/>
  <c r="AF256" i="1" s="1"/>
  <c r="AD256" i="1" s="1"/>
  <c r="AH35" i="1"/>
  <c r="AG35" i="1" s="1"/>
  <c r="AF35" i="1" s="1"/>
  <c r="AD35" i="1" s="1"/>
  <c r="AG278" i="1"/>
  <c r="AF278" i="1" s="1"/>
  <c r="AD278" i="1" s="1"/>
  <c r="AG100" i="1"/>
  <c r="AF100" i="1" s="1"/>
  <c r="AD100" i="1" s="1"/>
  <c r="AG76" i="1"/>
  <c r="AF76" i="1" s="1"/>
  <c r="AD76" i="1" s="1"/>
  <c r="AG91" i="1"/>
  <c r="AF91" i="1" s="1"/>
  <c r="AD91" i="1" s="1"/>
  <c r="AG242" i="1"/>
  <c r="AF242" i="1" s="1"/>
  <c r="AD242" i="1" s="1"/>
  <c r="AG48" i="1"/>
  <c r="AF48" i="1" s="1"/>
  <c r="AD48" i="1" s="1"/>
  <c r="AG205" i="1"/>
  <c r="AF205" i="1" s="1"/>
  <c r="AD205" i="1" s="1"/>
  <c r="AG126" i="1"/>
  <c r="AF126" i="1" s="1"/>
  <c r="AD126" i="1" s="1"/>
  <c r="AG265" i="1"/>
  <c r="AF265" i="1" s="1"/>
  <c r="AD265" i="1" s="1"/>
  <c r="AH348" i="1"/>
  <c r="AG59" i="1"/>
  <c r="AF59" i="1" s="1"/>
  <c r="AD59" i="1" s="1"/>
  <c r="AG131" i="1"/>
  <c r="AF131" i="1" s="1"/>
  <c r="AD131" i="1" s="1"/>
  <c r="AG343" i="1"/>
  <c r="AF343" i="1" s="1"/>
  <c r="AD343" i="1" s="1"/>
  <c r="AG235" i="1"/>
  <c r="AF235" i="1" s="1"/>
  <c r="AD235" i="1" s="1"/>
  <c r="AG263" i="1"/>
  <c r="AF263" i="1" s="1"/>
  <c r="AD263" i="1" s="1"/>
  <c r="AH86" i="1"/>
  <c r="AG324" i="1"/>
  <c r="AF324" i="1" s="1"/>
  <c r="AD324" i="1" s="1"/>
  <c r="AH269" i="1"/>
  <c r="AG29" i="1"/>
  <c r="AF29" i="1" s="1"/>
  <c r="AD29" i="1" s="1"/>
  <c r="AH32" i="1"/>
  <c r="AG115" i="1"/>
  <c r="AF115" i="1" s="1"/>
  <c r="AD115" i="1" s="1"/>
  <c r="AG26" i="1"/>
  <c r="AF26" i="1" s="1"/>
  <c r="AD26" i="1" s="1"/>
  <c r="AG93" i="1"/>
  <c r="AF93" i="1" s="1"/>
  <c r="AD93" i="1" s="1"/>
  <c r="AG168" i="1"/>
  <c r="AF168" i="1" s="1"/>
  <c r="AD168" i="1" s="1"/>
  <c r="AH170" i="1"/>
  <c r="AH211" i="1"/>
  <c r="AH215" i="1"/>
  <c r="AG133" i="1"/>
  <c r="AF133" i="1" s="1"/>
  <c r="AD133" i="1" s="1"/>
  <c r="AG323" i="1"/>
  <c r="AF323" i="1" s="1"/>
  <c r="AD323" i="1" s="1"/>
  <c r="AG357" i="1"/>
  <c r="AF357" i="1" s="1"/>
  <c r="AD357" i="1" s="1"/>
  <c r="AG94" i="1"/>
  <c r="AF94" i="1" s="1"/>
  <c r="AD94" i="1" s="1"/>
  <c r="AG229" i="1"/>
  <c r="AF229" i="1" s="1"/>
  <c r="AD229" i="1" s="1"/>
  <c r="AG353" i="1"/>
  <c r="AF353" i="1" s="1"/>
  <c r="AD353" i="1" s="1"/>
  <c r="AG338" i="1"/>
  <c r="AF338" i="1" s="1"/>
  <c r="AD338" i="1" s="1"/>
  <c r="AG230" i="1"/>
  <c r="AF230" i="1" s="1"/>
  <c r="AD230" i="1" s="1"/>
  <c r="AG252" i="1"/>
  <c r="AF252" i="1" s="1"/>
  <c r="AD252" i="1" s="1"/>
  <c r="AG329" i="1"/>
  <c r="AF329" i="1" s="1"/>
  <c r="AD329" i="1" s="1"/>
  <c r="AH124" i="1"/>
  <c r="AG124" i="1" s="1"/>
  <c r="AF124" i="1" s="1"/>
  <c r="AD124" i="1" s="1"/>
  <c r="AG84" i="1"/>
  <c r="AF84" i="1" s="1"/>
  <c r="AD84" i="1" s="1"/>
  <c r="AH122" i="1"/>
  <c r="AG106" i="1"/>
  <c r="AF106" i="1" s="1"/>
  <c r="AD106" i="1" s="1"/>
  <c r="AG299" i="1"/>
  <c r="AF299" i="1" s="1"/>
  <c r="AD299" i="1" s="1"/>
  <c r="AH371" i="1"/>
  <c r="AG200" i="1"/>
  <c r="AF200" i="1" s="1"/>
  <c r="AD200" i="1" s="1"/>
  <c r="AG267" i="1"/>
  <c r="AF267" i="1" s="1"/>
  <c r="AD267" i="1" s="1"/>
  <c r="AG298" i="1"/>
  <c r="AF298" i="1" s="1"/>
  <c r="AD298" i="1" s="1"/>
  <c r="A18" i="17"/>
  <c r="K17" i="17"/>
  <c r="X17" i="17"/>
  <c r="L17" i="17"/>
  <c r="AB17" i="17"/>
  <c r="AK17" i="17"/>
  <c r="AE381" i="1"/>
  <c r="X16" i="18"/>
  <c r="L16" i="18"/>
  <c r="A17" i="18"/>
  <c r="AB16" i="18"/>
  <c r="K16" i="18"/>
  <c r="A15" i="22"/>
  <c r="Y14" i="22"/>
  <c r="A17" i="19"/>
  <c r="A41" i="19" s="1"/>
  <c r="G6" i="6"/>
  <c r="AK3" i="7"/>
  <c r="F14" i="22"/>
  <c r="X1" i="22"/>
  <c r="V14" i="22"/>
  <c r="L1" i="22"/>
  <c r="J1" i="23"/>
  <c r="A16" i="20"/>
  <c r="K15" i="20"/>
  <c r="AB15" i="20"/>
  <c r="X15" i="20"/>
  <c r="Z15" i="7"/>
  <c r="P11" i="18"/>
  <c r="AK16" i="18" s="1"/>
  <c r="P12" i="17"/>
  <c r="F8" i="17"/>
  <c r="AK380" i="17"/>
  <c r="AK15" i="17"/>
  <c r="T15" i="1"/>
  <c r="AG312" i="1"/>
  <c r="AF312" i="1" s="1"/>
  <c r="AD312" i="1" s="1"/>
  <c r="AG281" i="1"/>
  <c r="AF281" i="1" s="1"/>
  <c r="AD281" i="1" s="1"/>
  <c r="AG36" i="1"/>
  <c r="AF36" i="1" s="1"/>
  <c r="AD36" i="1" s="1"/>
  <c r="AG146" i="1"/>
  <c r="AF146" i="1" s="1"/>
  <c r="AD146" i="1" s="1"/>
  <c r="AG129" i="1"/>
  <c r="AF129" i="1" s="1"/>
  <c r="AD129" i="1" s="1"/>
  <c r="AG50" i="1"/>
  <c r="AF50" i="1" s="1"/>
  <c r="AD50" i="1" s="1"/>
  <c r="AG366" i="1"/>
  <c r="AF366" i="1" s="1"/>
  <c r="AD366" i="1" s="1"/>
  <c r="AG172" i="1"/>
  <c r="AF172" i="1" s="1"/>
  <c r="AD172" i="1" s="1"/>
  <c r="AG369" i="1"/>
  <c r="AF369" i="1" s="1"/>
  <c r="AD369" i="1" s="1"/>
  <c r="AG325" i="1"/>
  <c r="AF325" i="1" s="1"/>
  <c r="AD325" i="1" s="1"/>
  <c r="AG309" i="1"/>
  <c r="AF309" i="1" s="1"/>
  <c r="AD309" i="1" s="1"/>
  <c r="AG110" i="1"/>
  <c r="AF110" i="1" s="1"/>
  <c r="AD110" i="1" s="1"/>
  <c r="AG171" i="1"/>
  <c r="AF171" i="1" s="1"/>
  <c r="AD171" i="1" s="1"/>
  <c r="AG87" i="1"/>
  <c r="AF87" i="1" s="1"/>
  <c r="AD87" i="1" s="1"/>
  <c r="AG208" i="1"/>
  <c r="AF208" i="1" s="1"/>
  <c r="AD208" i="1" s="1"/>
  <c r="AG159" i="1"/>
  <c r="AF159" i="1" s="1"/>
  <c r="AD159" i="1" s="1"/>
  <c r="AG34" i="1"/>
  <c r="AF34" i="1" s="1"/>
  <c r="AD34" i="1" s="1"/>
  <c r="AG161" i="1"/>
  <c r="AF161" i="1" s="1"/>
  <c r="AD161" i="1" s="1"/>
  <c r="AG96" i="1"/>
  <c r="AF96" i="1" s="1"/>
  <c r="AD96" i="1" s="1"/>
  <c r="AG294" i="1"/>
  <c r="AF294" i="1" s="1"/>
  <c r="AD294" i="1" s="1"/>
  <c r="AG247" i="1"/>
  <c r="AF247" i="1" s="1"/>
  <c r="AD247" i="1" s="1"/>
  <c r="AG218" i="1"/>
  <c r="AF218" i="1" s="1"/>
  <c r="AD218" i="1" s="1"/>
  <c r="AG360" i="1"/>
  <c r="AF360" i="1" s="1"/>
  <c r="AD360" i="1" s="1"/>
  <c r="AG257" i="1"/>
  <c r="AF257" i="1" s="1"/>
  <c r="AD257" i="1" s="1"/>
  <c r="AG245" i="1"/>
  <c r="AF245" i="1" s="1"/>
  <c r="AD245" i="1" s="1"/>
  <c r="AG376" i="1"/>
  <c r="AF376" i="1" s="1"/>
  <c r="AG30" i="1"/>
  <c r="AF30" i="1" s="1"/>
  <c r="AD30" i="1" s="1"/>
  <c r="AG297" i="1"/>
  <c r="AF297" i="1" s="1"/>
  <c r="AD297" i="1" s="1"/>
  <c r="AG273" i="1"/>
  <c r="AF273" i="1" s="1"/>
  <c r="AD273" i="1" s="1"/>
  <c r="AG341" i="1"/>
  <c r="AF341" i="1" s="1"/>
  <c r="AD341" i="1" s="1"/>
  <c r="AH336" i="1"/>
  <c r="AH155" i="1"/>
  <c r="AH188" i="1"/>
  <c r="AH15" i="1"/>
  <c r="AI381" i="1"/>
  <c r="AI383" i="1"/>
  <c r="AI382" i="1"/>
  <c r="AG105" i="1"/>
  <c r="AF105" i="1" s="1"/>
  <c r="AD105" i="1" s="1"/>
  <c r="AG285" i="1"/>
  <c r="AF285" i="1" s="1"/>
  <c r="AD285" i="1" s="1"/>
  <c r="AG175" i="1"/>
  <c r="AF175" i="1" s="1"/>
  <c r="AD175" i="1" s="1"/>
  <c r="AG279" i="1"/>
  <c r="AF279" i="1" s="1"/>
  <c r="AD279" i="1" s="1"/>
  <c r="AG350" i="1"/>
  <c r="AF350" i="1" s="1"/>
  <c r="AD350" i="1" s="1"/>
  <c r="AH260" i="1"/>
  <c r="AG33" i="1"/>
  <c r="AF33" i="1" s="1"/>
  <c r="AD33" i="1" s="1"/>
  <c r="AG19" i="1"/>
  <c r="AF19" i="1" s="1"/>
  <c r="AD19" i="1" s="1"/>
  <c r="AG310" i="1"/>
  <c r="AF310" i="1" s="1"/>
  <c r="AD310" i="1" s="1"/>
  <c r="AG70" i="1"/>
  <c r="AF70" i="1" s="1"/>
  <c r="AD70" i="1" s="1"/>
  <c r="AG113" i="1"/>
  <c r="AF113" i="1" s="1"/>
  <c r="AD113" i="1" s="1"/>
  <c r="AG63" i="1"/>
  <c r="AF63" i="1" s="1"/>
  <c r="AD63" i="1" s="1"/>
  <c r="AG183" i="1"/>
  <c r="AF183" i="1" s="1"/>
  <c r="AD183" i="1" s="1"/>
  <c r="AG303" i="1"/>
  <c r="AF303" i="1" s="1"/>
  <c r="AD303" i="1" s="1"/>
  <c r="AH31" i="1"/>
  <c r="AG203" i="1"/>
  <c r="AF203" i="1" s="1"/>
  <c r="AD203" i="1" s="1"/>
  <c r="AG335" i="1"/>
  <c r="AF335" i="1" s="1"/>
  <c r="AD335" i="1" s="1"/>
  <c r="AG132" i="1"/>
  <c r="AF132" i="1" s="1"/>
  <c r="AD132" i="1" s="1"/>
  <c r="AG364" i="1"/>
  <c r="AF364" i="1" s="1"/>
  <c r="AD364" i="1" s="1"/>
  <c r="AG289" i="1"/>
  <c r="AF289" i="1" s="1"/>
  <c r="AD289" i="1" s="1"/>
  <c r="AG219" i="1"/>
  <c r="AF219" i="1" s="1"/>
  <c r="AD219" i="1" s="1"/>
  <c r="AG314" i="1"/>
  <c r="AF314" i="1" s="1"/>
  <c r="AD314" i="1" s="1"/>
  <c r="AG223" i="1"/>
  <c r="AF223" i="1" s="1"/>
  <c r="AD223" i="1" s="1"/>
  <c r="AG202" i="1"/>
  <c r="AF202" i="1" s="1"/>
  <c r="AD202" i="1" s="1"/>
  <c r="AG313" i="1"/>
  <c r="AF313" i="1" s="1"/>
  <c r="AD313" i="1" s="1"/>
  <c r="AH291" i="1"/>
  <c r="AG18" i="1"/>
  <c r="AF18" i="1" s="1"/>
  <c r="AD18" i="1" s="1"/>
  <c r="AG243" i="1"/>
  <c r="AF243" i="1" s="1"/>
  <c r="AD243" i="1" s="1"/>
  <c r="AG262" i="1"/>
  <c r="AF262" i="1" s="1"/>
  <c r="AD262" i="1" s="1"/>
  <c r="AG193" i="1"/>
  <c r="AF193" i="1" s="1"/>
  <c r="AD193" i="1" s="1"/>
  <c r="AG196" i="1"/>
  <c r="AF196" i="1" s="1"/>
  <c r="AD196" i="1" s="1"/>
  <c r="AG107" i="1"/>
  <c r="AF107" i="1" s="1"/>
  <c r="AD107" i="1" s="1"/>
  <c r="AG72" i="1"/>
  <c r="AF72" i="1" s="1"/>
  <c r="AD72" i="1" s="1"/>
  <c r="AG187" i="1"/>
  <c r="AF187" i="1" s="1"/>
  <c r="AD187" i="1" s="1"/>
  <c r="AG90" i="1"/>
  <c r="AF90" i="1" s="1"/>
  <c r="AD90" i="1" s="1"/>
  <c r="AG197" i="1"/>
  <c r="AF197" i="1" s="1"/>
  <c r="AD197" i="1" s="1"/>
  <c r="AG22" i="1"/>
  <c r="AF22" i="1" s="1"/>
  <c r="AD22" i="1" s="1"/>
  <c r="AG280" i="1"/>
  <c r="AF280" i="1" s="1"/>
  <c r="AD280" i="1" s="1"/>
  <c r="AG101" i="1"/>
  <c r="AF101" i="1" s="1"/>
  <c r="AD101" i="1" s="1"/>
  <c r="AG253" i="1"/>
  <c r="AF253" i="1" s="1"/>
  <c r="AD253" i="1" s="1"/>
  <c r="AG307" i="1"/>
  <c r="AF307" i="1" s="1"/>
  <c r="AD307" i="1" s="1"/>
  <c r="AG184" i="1"/>
  <c r="AF184" i="1" s="1"/>
  <c r="AD184" i="1" s="1"/>
  <c r="AG266" i="1"/>
  <c r="AF266" i="1" s="1"/>
  <c r="AD266" i="1" s="1"/>
  <c r="AG44" i="1"/>
  <c r="AF44" i="1" s="1"/>
  <c r="AD44" i="1" s="1"/>
  <c r="AG189" i="1"/>
  <c r="AF189" i="1" s="1"/>
  <c r="AD189" i="1" s="1"/>
  <c r="AG79" i="1"/>
  <c r="AF79" i="1" s="1"/>
  <c r="AD79" i="1" s="1"/>
  <c r="AH379" i="1"/>
  <c r="AI12" i="15"/>
  <c r="AG377" i="1"/>
  <c r="AF377" i="1" s="1"/>
  <c r="AG42" i="1"/>
  <c r="AF42" i="1" s="1"/>
  <c r="AD42" i="1" s="1"/>
  <c r="AH249" i="1"/>
  <c r="AG53" i="1"/>
  <c r="AF53" i="1" s="1"/>
  <c r="AD53" i="1" s="1"/>
  <c r="AG374" i="1"/>
  <c r="AF374" i="1" s="1"/>
  <c r="AD374" i="1" s="1"/>
  <c r="AH261" i="1"/>
  <c r="AH158" i="1"/>
  <c r="AG207" i="1"/>
  <c r="AF207" i="1" s="1"/>
  <c r="AD207" i="1" s="1"/>
  <c r="AH16" i="1"/>
  <c r="AG352" i="1"/>
  <c r="AF352" i="1" s="1"/>
  <c r="AD352" i="1" s="1"/>
  <c r="AH130" i="1"/>
  <c r="AH282" i="1"/>
  <c r="AG286" i="1"/>
  <c r="AF286" i="1" s="1"/>
  <c r="AD286" i="1" s="1"/>
  <c r="AG326" i="1"/>
  <c r="AF326" i="1" s="1"/>
  <c r="AD326" i="1" s="1"/>
  <c r="AG373" i="1"/>
  <c r="AF373" i="1" s="1"/>
  <c r="AG217" i="1"/>
  <c r="AF217" i="1" s="1"/>
  <c r="AD217" i="1" s="1"/>
  <c r="AG145" i="1"/>
  <c r="AF145" i="1" s="1"/>
  <c r="AD145" i="1" s="1"/>
  <c r="AG150" i="1"/>
  <c r="AF150" i="1" s="1"/>
  <c r="AD150" i="1" s="1"/>
  <c r="AH144" i="1"/>
  <c r="AG88" i="1"/>
  <c r="AF88" i="1" s="1"/>
  <c r="AD88" i="1" s="1"/>
  <c r="AH206" i="1"/>
  <c r="AG182" i="1"/>
  <c r="AF182" i="1" s="1"/>
  <c r="AD182" i="1" s="1"/>
  <c r="AG275" i="1"/>
  <c r="AF275" i="1" s="1"/>
  <c r="AD275" i="1" s="1"/>
  <c r="AG258" i="1"/>
  <c r="AF258" i="1" s="1"/>
  <c r="AD258" i="1" s="1"/>
  <c r="AG180" i="1"/>
  <c r="AF180" i="1" s="1"/>
  <c r="AD180" i="1" s="1"/>
  <c r="AG163" i="1"/>
  <c r="AF163" i="1" s="1"/>
  <c r="AD163" i="1" s="1"/>
  <c r="AG56" i="1"/>
  <c r="AF56" i="1" s="1"/>
  <c r="AD56" i="1" s="1"/>
  <c r="AG340" i="1"/>
  <c r="AF340" i="1" s="1"/>
  <c r="AD340" i="1" s="1"/>
  <c r="AH241" i="1"/>
  <c r="AG241" i="1" s="1"/>
  <c r="AF241" i="1" s="1"/>
  <c r="AD241" i="1" s="1"/>
  <c r="AG195" i="1"/>
  <c r="AF195" i="1" s="1"/>
  <c r="AD195" i="1" s="1"/>
  <c r="AH73" i="1"/>
  <c r="AG368" i="1"/>
  <c r="AF368" i="1" s="1"/>
  <c r="AD368" i="1" s="1"/>
  <c r="AG331" i="1"/>
  <c r="AF331" i="1" s="1"/>
  <c r="AD331" i="1" s="1"/>
  <c r="AG57" i="1"/>
  <c r="AF57" i="1" s="1"/>
  <c r="AD57" i="1" s="1"/>
  <c r="AH359" i="1"/>
  <c r="AG116" i="1"/>
  <c r="AF116" i="1" s="1"/>
  <c r="AD116" i="1" s="1"/>
  <c r="AG52" i="1"/>
  <c r="AF52" i="1" s="1"/>
  <c r="AD52" i="1" s="1"/>
  <c r="AG199" i="1"/>
  <c r="AF199" i="1" s="1"/>
  <c r="AD199" i="1" s="1"/>
  <c r="AH276" i="1"/>
  <c r="AG214" i="1"/>
  <c r="AF214" i="1" s="1"/>
  <c r="AD214" i="1" s="1"/>
  <c r="AG27" i="1"/>
  <c r="AF27" i="1" s="1"/>
  <c r="AD27" i="1" s="1"/>
  <c r="AH330" i="1"/>
  <c r="AG39" i="1"/>
  <c r="AF39" i="1" s="1"/>
  <c r="AD39" i="1" s="1"/>
  <c r="AG83" i="1"/>
  <c r="AF83" i="1" s="1"/>
  <c r="AD83" i="1" s="1"/>
  <c r="AG370" i="1"/>
  <c r="AF370" i="1" s="1"/>
  <c r="AD370" i="1" s="1"/>
  <c r="AG74" i="1"/>
  <c r="AF74" i="1" s="1"/>
  <c r="AD74" i="1" s="1"/>
  <c r="AH346" i="1"/>
  <c r="AH37" i="1"/>
  <c r="AG143" i="1"/>
  <c r="AF143" i="1" s="1"/>
  <c r="AD143" i="1" s="1"/>
  <c r="AH284" i="1"/>
  <c r="AG117" i="1"/>
  <c r="AF117" i="1" s="1"/>
  <c r="AD117" i="1" s="1"/>
  <c r="AH321" i="1"/>
  <c r="AG272" i="1"/>
  <c r="AF272" i="1" s="1"/>
  <c r="AD272" i="1" s="1"/>
  <c r="AG139" i="1"/>
  <c r="AF139" i="1" s="1"/>
  <c r="AD139" i="1" s="1"/>
  <c r="AG354" i="1"/>
  <c r="AF354" i="1" s="1"/>
  <c r="AD354" i="1" s="1"/>
  <c r="AG138" i="1"/>
  <c r="AF138" i="1" s="1"/>
  <c r="AD138" i="1" s="1"/>
  <c r="AH317" i="1"/>
  <c r="AG317" i="1" s="1"/>
  <c r="AF317" i="1" s="1"/>
  <c r="AD317" i="1" s="1"/>
  <c r="AG151" i="1"/>
  <c r="AF151" i="1" s="1"/>
  <c r="AD151" i="1" s="1"/>
  <c r="AG351" i="1"/>
  <c r="AF351" i="1" s="1"/>
  <c r="AD351" i="1" s="1"/>
  <c r="AG148" i="1"/>
  <c r="AF148" i="1" s="1"/>
  <c r="AD148" i="1" s="1"/>
  <c r="AG311" i="1"/>
  <c r="AF311" i="1" s="1"/>
  <c r="AD311" i="1" s="1"/>
  <c r="AG355" i="1"/>
  <c r="AF355" i="1" s="1"/>
  <c r="AD355" i="1" s="1"/>
  <c r="AG224" i="1"/>
  <c r="AF224" i="1" s="1"/>
  <c r="AD224" i="1" s="1"/>
  <c r="AG213" i="1"/>
  <c r="AF213" i="1" s="1"/>
  <c r="AD213" i="1" s="1"/>
  <c r="AG293" i="1"/>
  <c r="AF293" i="1" s="1"/>
  <c r="AD293" i="1" s="1"/>
  <c r="AG198" i="1"/>
  <c r="AF198" i="1" s="1"/>
  <c r="AD198" i="1" s="1"/>
  <c r="AH119" i="1"/>
  <c r="AG302" i="1"/>
  <c r="AF302" i="1" s="1"/>
  <c r="AD302" i="1" s="1"/>
  <c r="AG66" i="1"/>
  <c r="AF66" i="1" s="1"/>
  <c r="AD66" i="1" s="1"/>
  <c r="S18" i="1"/>
  <c r="R18" i="1" s="1"/>
  <c r="P18" i="1" s="1"/>
  <c r="V18" i="1" s="1"/>
  <c r="AK19" i="1"/>
  <c r="L19" i="1"/>
  <c r="Q19" i="1"/>
  <c r="AJ19" i="1"/>
  <c r="AB19" i="1"/>
  <c r="A20" i="1"/>
  <c r="K19" i="1"/>
  <c r="O19" i="1"/>
  <c r="AC19" i="1"/>
  <c r="X19" i="1"/>
  <c r="U19" i="1"/>
  <c r="T19" i="1" s="1"/>
  <c r="AE382" i="1"/>
  <c r="AE383" i="1"/>
  <c r="J13" i="7" l="1"/>
  <c r="K13" i="7"/>
  <c r="AZ210" i="6"/>
  <c r="AZ234" i="6"/>
  <c r="O10" i="15"/>
  <c r="I13" i="7" s="1"/>
  <c r="AZ236" i="6"/>
  <c r="U11" i="7"/>
  <c r="Q11" i="17" s="1"/>
  <c r="AD378" i="1"/>
  <c r="AD377" i="1"/>
  <c r="AD376" i="1"/>
  <c r="AZ348" i="6"/>
  <c r="AZ353" i="6"/>
  <c r="AZ331" i="6"/>
  <c r="AZ349" i="6"/>
  <c r="AZ341" i="6"/>
  <c r="AY25" i="6"/>
  <c r="AZ25" i="6" s="1"/>
  <c r="AY24" i="6"/>
  <c r="AZ24" i="6" s="1"/>
  <c r="AY35" i="6"/>
  <c r="AZ35" i="6" s="1"/>
  <c r="AY31" i="6"/>
  <c r="AZ31" i="6" s="1"/>
  <c r="AY21" i="6"/>
  <c r="AZ21" i="6" s="1"/>
  <c r="AY15" i="6"/>
  <c r="AZ15" i="6" s="1"/>
  <c r="AY32" i="6"/>
  <c r="AZ32" i="6" s="1"/>
  <c r="AY16" i="6"/>
  <c r="AZ16" i="6" s="1"/>
  <c r="AY20" i="6"/>
  <c r="AZ20" i="6" s="1"/>
  <c r="AY18" i="6"/>
  <c r="AZ18" i="6" s="1"/>
  <c r="AY33" i="6"/>
  <c r="AZ33" i="6" s="1"/>
  <c r="AY30" i="6"/>
  <c r="AZ30" i="6" s="1"/>
  <c r="AY23" i="6"/>
  <c r="AZ23" i="6" s="1"/>
  <c r="AY27" i="6"/>
  <c r="AZ27" i="6" s="1"/>
  <c r="AY22" i="6"/>
  <c r="AZ22" i="6" s="1"/>
  <c r="N380" i="6" s="1"/>
  <c r="N381" i="6" s="1"/>
  <c r="AY29" i="6"/>
  <c r="AZ29" i="6" s="1"/>
  <c r="AY19" i="6"/>
  <c r="AZ19" i="6" s="1"/>
  <c r="AY17" i="6"/>
  <c r="AZ17" i="6" s="1"/>
  <c r="AY28" i="6"/>
  <c r="AZ28" i="6" s="1"/>
  <c r="AY26" i="6"/>
  <c r="AZ26" i="6" s="1"/>
  <c r="AZ356" i="6"/>
  <c r="AZ350" i="6"/>
  <c r="AZ351" i="6"/>
  <c r="AZ339" i="6"/>
  <c r="AZ332" i="6"/>
  <c r="AZ334" i="6"/>
  <c r="AZ357" i="6"/>
  <c r="AZ347" i="6"/>
  <c r="AZ345" i="6"/>
  <c r="AZ354" i="6"/>
  <c r="AZ355" i="6"/>
  <c r="AZ336" i="6"/>
  <c r="AZ338" i="6"/>
  <c r="AZ343" i="6"/>
  <c r="AZ344" i="6"/>
  <c r="AK380" i="6" s="1"/>
  <c r="AK381" i="6" s="1"/>
  <c r="AZ352" i="6"/>
  <c r="AZ342" i="6"/>
  <c r="AZ337" i="6"/>
  <c r="AZ335" i="6"/>
  <c r="AZ346" i="6"/>
  <c r="AZ340" i="6"/>
  <c r="AZ333" i="6"/>
  <c r="AZ240" i="6"/>
  <c r="AZ220" i="6"/>
  <c r="AZ205" i="6"/>
  <c r="AZ215" i="6"/>
  <c r="AZ226" i="6"/>
  <c r="AZ231" i="6"/>
  <c r="AZ222" i="6"/>
  <c r="AZ216" i="6"/>
  <c r="AZ207" i="6"/>
  <c r="AZ228" i="6"/>
  <c r="AZ237" i="6"/>
  <c r="AZ245" i="6"/>
  <c r="AZ227" i="6"/>
  <c r="AZ243" i="6"/>
  <c r="AZ233" i="6"/>
  <c r="AZ214" i="6"/>
  <c r="AZ217" i="6"/>
  <c r="AD373" i="1"/>
  <c r="V380" i="24"/>
  <c r="V380" i="1"/>
  <c r="AT364" i="6"/>
  <c r="AZ364" i="6" s="1"/>
  <c r="AT375" i="6"/>
  <c r="AZ375" i="6" s="1"/>
  <c r="AT365" i="6"/>
  <c r="AZ365" i="6" s="1"/>
  <c r="AT366" i="6"/>
  <c r="AZ366" i="6" s="1"/>
  <c r="AT368" i="6"/>
  <c r="AZ368" i="6" s="1"/>
  <c r="AT369" i="6"/>
  <c r="AZ369" i="6" s="1"/>
  <c r="AT370" i="6"/>
  <c r="AZ370" i="6" s="1"/>
  <c r="AT361" i="6"/>
  <c r="AZ361" i="6" s="1"/>
  <c r="AT376" i="6"/>
  <c r="AZ376" i="6" s="1"/>
  <c r="AT373" i="6"/>
  <c r="AZ373" i="6" s="1"/>
  <c r="AT360" i="6"/>
  <c r="AZ360" i="6" s="1"/>
  <c r="AT362" i="6"/>
  <c r="AZ362" i="6" s="1"/>
  <c r="J13" i="6"/>
  <c r="J12" i="6"/>
  <c r="AZ330" i="6"/>
  <c r="AD372" i="1"/>
  <c r="AT363" i="6"/>
  <c r="AZ363" i="6" s="1"/>
  <c r="AT359" i="6"/>
  <c r="AZ359" i="6" s="1"/>
  <c r="AT374" i="6"/>
  <c r="AZ374" i="6" s="1"/>
  <c r="AT367" i="6"/>
  <c r="AZ367" i="6" s="1"/>
  <c r="AT379" i="6"/>
  <c r="AZ379" i="6" s="1"/>
  <c r="AT378" i="6"/>
  <c r="AZ378" i="6" s="1"/>
  <c r="AT358" i="6"/>
  <c r="AZ358" i="6" s="1"/>
  <c r="AL380" i="6" s="1"/>
  <c r="AL381" i="6" s="1"/>
  <c r="AT372" i="6"/>
  <c r="AZ372" i="6" s="1"/>
  <c r="AM380" i="6" s="1"/>
  <c r="AM381" i="6" s="1"/>
  <c r="AT377" i="6"/>
  <c r="AZ377" i="6" s="1"/>
  <c r="AT371" i="6"/>
  <c r="AZ371" i="6" s="1"/>
  <c r="O9" i="17"/>
  <c r="AJ18" i="17" s="1"/>
  <c r="AJ15" i="16"/>
  <c r="N13" i="7"/>
  <c r="AJ16" i="16"/>
  <c r="F7" i="16"/>
  <c r="O11" i="16" s="1"/>
  <c r="AE11" i="15"/>
  <c r="AI11" i="15"/>
  <c r="L12" i="19"/>
  <c r="P10" i="15"/>
  <c r="A20" i="15"/>
  <c r="X19" i="15"/>
  <c r="K19" i="15"/>
  <c r="AB19" i="15"/>
  <c r="AK19" i="15"/>
  <c r="AJ19" i="15"/>
  <c r="L19" i="15"/>
  <c r="D19" i="15" s="1"/>
  <c r="AC19" i="15"/>
  <c r="AC15" i="15"/>
  <c r="AC16" i="15"/>
  <c r="AC18" i="15"/>
  <c r="AC17" i="15"/>
  <c r="L11" i="20"/>
  <c r="L12" i="20"/>
  <c r="AC20" i="15"/>
  <c r="H43" i="27"/>
  <c r="AE77" i="27"/>
  <c r="P78" i="27"/>
  <c r="G41" i="27" s="1"/>
  <c r="I17" i="1"/>
  <c r="AI11" i="16"/>
  <c r="AE11" i="16"/>
  <c r="L13" i="19"/>
  <c r="P10" i="16"/>
  <c r="A19" i="16"/>
  <c r="AB18" i="16"/>
  <c r="L18" i="16"/>
  <c r="D18" i="16" s="1"/>
  <c r="AK18" i="16"/>
  <c r="K18" i="16"/>
  <c r="X18" i="16"/>
  <c r="AJ18" i="16"/>
  <c r="P11" i="20"/>
  <c r="AK16" i="20" s="1"/>
  <c r="AF15" i="7"/>
  <c r="AC20" i="1"/>
  <c r="A21" i="1"/>
  <c r="X20" i="1"/>
  <c r="O20" i="1"/>
  <c r="AK20" i="1"/>
  <c r="AB20" i="1"/>
  <c r="Q20" i="1"/>
  <c r="AJ20" i="1"/>
  <c r="L20" i="1"/>
  <c r="K20" i="1"/>
  <c r="U20" i="1"/>
  <c r="T20" i="1" s="1"/>
  <c r="AG321" i="1"/>
  <c r="AF321" i="1" s="1"/>
  <c r="AD321" i="1" s="1"/>
  <c r="AG284" i="1"/>
  <c r="AF284" i="1" s="1"/>
  <c r="AD284" i="1" s="1"/>
  <c r="AG37" i="1"/>
  <c r="AF37" i="1" s="1"/>
  <c r="AD37" i="1" s="1"/>
  <c r="AG346" i="1"/>
  <c r="AF346" i="1" s="1"/>
  <c r="AD346" i="1" s="1"/>
  <c r="AG330" i="1"/>
  <c r="AF330" i="1" s="1"/>
  <c r="AD330" i="1" s="1"/>
  <c r="AG276" i="1"/>
  <c r="AF276" i="1" s="1"/>
  <c r="AD276" i="1" s="1"/>
  <c r="AG206" i="1"/>
  <c r="AF206" i="1" s="1"/>
  <c r="AD206" i="1" s="1"/>
  <c r="AG144" i="1"/>
  <c r="AF144" i="1" s="1"/>
  <c r="AD144" i="1" s="1"/>
  <c r="AG282" i="1"/>
  <c r="AF282" i="1" s="1"/>
  <c r="AD282" i="1" s="1"/>
  <c r="AG130" i="1"/>
  <c r="AF130" i="1" s="1"/>
  <c r="AD130" i="1" s="1"/>
  <c r="AG16" i="1"/>
  <c r="AF16" i="1" s="1"/>
  <c r="AD16" i="1" s="1"/>
  <c r="AA16" i="1" s="1"/>
  <c r="Z16" i="1" s="1"/>
  <c r="Y16" i="1" s="1"/>
  <c r="AG158" i="1"/>
  <c r="AF158" i="1" s="1"/>
  <c r="AD158" i="1" s="1"/>
  <c r="AG379" i="1"/>
  <c r="AF379" i="1" s="1"/>
  <c r="AD379" i="1" s="1"/>
  <c r="AG291" i="1"/>
  <c r="AF291" i="1" s="1"/>
  <c r="AD291" i="1" s="1"/>
  <c r="AG31" i="1"/>
  <c r="AF31" i="1" s="1"/>
  <c r="AD31" i="1" s="1"/>
  <c r="AG260" i="1"/>
  <c r="AF260" i="1" s="1"/>
  <c r="AD260" i="1" s="1"/>
  <c r="AG15" i="1"/>
  <c r="AH381" i="1"/>
  <c r="AH383" i="1"/>
  <c r="AH382" i="1"/>
  <c r="AG188" i="1"/>
  <c r="AF188" i="1" s="1"/>
  <c r="AD188" i="1" s="1"/>
  <c r="AG155" i="1"/>
  <c r="AF155" i="1" s="1"/>
  <c r="AD155" i="1" s="1"/>
  <c r="AG336" i="1"/>
  <c r="AF336" i="1" s="1"/>
  <c r="AD336" i="1" s="1"/>
  <c r="AI11" i="17"/>
  <c r="P10" i="17"/>
  <c r="L14" i="19"/>
  <c r="AE11" i="17"/>
  <c r="K16" i="20"/>
  <c r="AB16" i="20"/>
  <c r="X16" i="20"/>
  <c r="A17" i="20"/>
  <c r="K15" i="22"/>
  <c r="A16" i="22"/>
  <c r="X15" i="22"/>
  <c r="AB15" i="22"/>
  <c r="AB17" i="18"/>
  <c r="L17" i="18"/>
  <c r="A18" i="18"/>
  <c r="X17" i="18"/>
  <c r="K17" i="18"/>
  <c r="AK17" i="18"/>
  <c r="AB18" i="17"/>
  <c r="A19" i="17"/>
  <c r="L18" i="17"/>
  <c r="X18" i="17"/>
  <c r="K18" i="17"/>
  <c r="AK18" i="17"/>
  <c r="AG215" i="1"/>
  <c r="AF215" i="1" s="1"/>
  <c r="AD215" i="1" s="1"/>
  <c r="AG211" i="1"/>
  <c r="AF211" i="1" s="1"/>
  <c r="AD211" i="1" s="1"/>
  <c r="AG170" i="1"/>
  <c r="AF170" i="1" s="1"/>
  <c r="AD170" i="1" s="1"/>
  <c r="AG32" i="1"/>
  <c r="AF32" i="1" s="1"/>
  <c r="AD32" i="1" s="1"/>
  <c r="AG269" i="1"/>
  <c r="AF269" i="1" s="1"/>
  <c r="AD269" i="1" s="1"/>
  <c r="AG86" i="1"/>
  <c r="AF86" i="1" s="1"/>
  <c r="AD86" i="1" s="1"/>
  <c r="AG162" i="1"/>
  <c r="AF162" i="1" s="1"/>
  <c r="AD162" i="1" s="1"/>
  <c r="AG239" i="1"/>
  <c r="AF239" i="1" s="1"/>
  <c r="AD239" i="1" s="1"/>
  <c r="AG62" i="1"/>
  <c r="AF62" i="1" s="1"/>
  <c r="AD62" i="1" s="1"/>
  <c r="AG152" i="1"/>
  <c r="AF152" i="1" s="1"/>
  <c r="AD152" i="1" s="1"/>
  <c r="AG332" i="1"/>
  <c r="AF332" i="1" s="1"/>
  <c r="AD332" i="1" s="1"/>
  <c r="AG349" i="1"/>
  <c r="AF349" i="1" s="1"/>
  <c r="AD349" i="1" s="1"/>
  <c r="AG41" i="1"/>
  <c r="AF41" i="1" s="1"/>
  <c r="AD41" i="1" s="1"/>
  <c r="AG108" i="1"/>
  <c r="AF108" i="1" s="1"/>
  <c r="AD108" i="1" s="1"/>
  <c r="AG222" i="1"/>
  <c r="AF222" i="1" s="1"/>
  <c r="AD222" i="1" s="1"/>
  <c r="AG165" i="1"/>
  <c r="AF165" i="1" s="1"/>
  <c r="AD165" i="1" s="1"/>
  <c r="AG300" i="1"/>
  <c r="AF300" i="1" s="1"/>
  <c r="AD300" i="1" s="1"/>
  <c r="AG225" i="1"/>
  <c r="AF225" i="1" s="1"/>
  <c r="AD225" i="1" s="1"/>
  <c r="AG68" i="1"/>
  <c r="AF68" i="1" s="1"/>
  <c r="AD68" i="1" s="1"/>
  <c r="AG111" i="1"/>
  <c r="AF111" i="1" s="1"/>
  <c r="AD111" i="1" s="1"/>
  <c r="S19" i="1"/>
  <c r="R19" i="1" s="1"/>
  <c r="P19" i="1" s="1"/>
  <c r="V19" i="1" s="1"/>
  <c r="AG119" i="1"/>
  <c r="AF119" i="1" s="1"/>
  <c r="AD119" i="1" s="1"/>
  <c r="AG359" i="1"/>
  <c r="AF359" i="1" s="1"/>
  <c r="AD359" i="1" s="1"/>
  <c r="AG73" i="1"/>
  <c r="AF73" i="1" s="1"/>
  <c r="AD73" i="1" s="1"/>
  <c r="AG261" i="1"/>
  <c r="AF261" i="1" s="1"/>
  <c r="AD261" i="1" s="1"/>
  <c r="AG249" i="1"/>
  <c r="AF249" i="1" s="1"/>
  <c r="AD249" i="1" s="1"/>
  <c r="S15" i="1"/>
  <c r="P12" i="18"/>
  <c r="F8" i="18"/>
  <c r="AK380" i="18"/>
  <c r="AK15" i="18"/>
  <c r="L1" i="23"/>
  <c r="J1" i="24"/>
  <c r="V14" i="23"/>
  <c r="A15" i="23"/>
  <c r="Y14" i="23"/>
  <c r="A18" i="19"/>
  <c r="A42" i="19" s="1"/>
  <c r="F14" i="23"/>
  <c r="H6" i="6"/>
  <c r="AQ3" i="7"/>
  <c r="X1" i="23"/>
  <c r="AG371" i="1"/>
  <c r="AF371" i="1" s="1"/>
  <c r="AD371" i="1" s="1"/>
  <c r="AG122" i="1"/>
  <c r="AF122" i="1" s="1"/>
  <c r="AD122" i="1" s="1"/>
  <c r="AG348" i="1"/>
  <c r="AF348" i="1" s="1"/>
  <c r="AD348" i="1" s="1"/>
  <c r="AG270" i="1"/>
  <c r="AF270" i="1" s="1"/>
  <c r="AD270" i="1" s="1"/>
  <c r="AG318" i="1"/>
  <c r="AF318" i="1" s="1"/>
  <c r="AD318" i="1" s="1"/>
  <c r="AG283" i="1"/>
  <c r="AF283" i="1" s="1"/>
  <c r="AD283" i="1" s="1"/>
  <c r="AG315" i="1"/>
  <c r="AF315" i="1" s="1"/>
  <c r="AD315" i="1" s="1"/>
  <c r="AG320" i="1"/>
  <c r="AF320" i="1" s="1"/>
  <c r="AD320" i="1" s="1"/>
  <c r="I16" i="1"/>
  <c r="AA17" i="1"/>
  <c r="Z17" i="1" s="1"/>
  <c r="Y17" i="1" s="1"/>
  <c r="O20" i="15" l="1"/>
  <c r="O15" i="15"/>
  <c r="O18" i="15"/>
  <c r="E18" i="15" s="1"/>
  <c r="O17" i="15"/>
  <c r="E17" i="15" s="1"/>
  <c r="O19" i="15"/>
  <c r="O16" i="15"/>
  <c r="E16" i="15" s="1"/>
  <c r="AA11" i="7"/>
  <c r="AG11" i="7" s="1"/>
  <c r="Q11" i="20" s="1"/>
  <c r="AY13" i="6"/>
  <c r="AY12" i="6"/>
  <c r="AT12" i="6"/>
  <c r="AT13" i="6"/>
  <c r="AJ380" i="6"/>
  <c r="AJ381" i="6" s="1"/>
  <c r="AZ12" i="6"/>
  <c r="AZ13" i="6"/>
  <c r="E19" i="15"/>
  <c r="O9" i="18"/>
  <c r="AJ18" i="18" s="1"/>
  <c r="AC9" i="16"/>
  <c r="AC12" i="16"/>
  <c r="O12" i="16"/>
  <c r="AJ15" i="17"/>
  <c r="F7" i="17"/>
  <c r="AJ16" i="17"/>
  <c r="AJ380" i="17"/>
  <c r="T13" i="7"/>
  <c r="AJ17" i="17"/>
  <c r="P13" i="7"/>
  <c r="O11" i="17"/>
  <c r="AB20" i="15"/>
  <c r="AJ20" i="15"/>
  <c r="AK20" i="15"/>
  <c r="X20" i="15"/>
  <c r="A21" i="15"/>
  <c r="L20" i="15"/>
  <c r="D20" i="15" s="1"/>
  <c r="E20" i="15" s="1"/>
  <c r="K20" i="15"/>
  <c r="L15" i="20"/>
  <c r="L16" i="20"/>
  <c r="L11" i="22"/>
  <c r="AR57" i="27"/>
  <c r="AP57" i="27"/>
  <c r="AE79" i="27"/>
  <c r="AV57" i="27"/>
  <c r="AT57" i="27"/>
  <c r="AE78" i="27"/>
  <c r="P79" i="27"/>
  <c r="G42" i="27" s="1"/>
  <c r="AB19" i="16"/>
  <c r="AK19" i="16"/>
  <c r="K19" i="16"/>
  <c r="X19" i="16"/>
  <c r="AJ19" i="16"/>
  <c r="A20" i="16"/>
  <c r="L19" i="16"/>
  <c r="D19" i="16" s="1"/>
  <c r="I19" i="1"/>
  <c r="AA19" i="1"/>
  <c r="Z19" i="1" s="1"/>
  <c r="Y19" i="1" s="1"/>
  <c r="I18" i="1"/>
  <c r="AA18" i="1"/>
  <c r="Z18" i="1" s="1"/>
  <c r="Y18" i="1" s="1"/>
  <c r="K15" i="23"/>
  <c r="A16" i="23"/>
  <c r="X15" i="23"/>
  <c r="AB15" i="23"/>
  <c r="A15" i="24"/>
  <c r="L1" i="24"/>
  <c r="J1" i="25"/>
  <c r="AW3" i="7"/>
  <c r="F14" i="24"/>
  <c r="A19" i="19"/>
  <c r="A43" i="19" s="1"/>
  <c r="V14" i="24"/>
  <c r="Y14" i="24"/>
  <c r="X1" i="24"/>
  <c r="I6" i="6"/>
  <c r="P10" i="18"/>
  <c r="AI11" i="18"/>
  <c r="AE11" i="18"/>
  <c r="L15" i="19"/>
  <c r="X19" i="17"/>
  <c r="AB19" i="17"/>
  <c r="L19" i="17"/>
  <c r="K19" i="17"/>
  <c r="A20" i="17"/>
  <c r="AK19" i="17"/>
  <c r="AJ19" i="17"/>
  <c r="AB16" i="22"/>
  <c r="A17" i="22"/>
  <c r="X16" i="22"/>
  <c r="K16" i="22"/>
  <c r="P11" i="22"/>
  <c r="AL15" i="7"/>
  <c r="AG381" i="1"/>
  <c r="AG383" i="1"/>
  <c r="AG382" i="1"/>
  <c r="AF15" i="1"/>
  <c r="X21" i="1"/>
  <c r="L21" i="1"/>
  <c r="Q21" i="1"/>
  <c r="AK21" i="1"/>
  <c r="AB21" i="1"/>
  <c r="O21" i="1"/>
  <c r="K21" i="1"/>
  <c r="A22" i="1"/>
  <c r="AJ21" i="1"/>
  <c r="AC21" i="1"/>
  <c r="U21" i="1"/>
  <c r="L12" i="22"/>
  <c r="L15" i="22" s="1"/>
  <c r="P12" i="20"/>
  <c r="F8" i="20"/>
  <c r="AK15" i="20"/>
  <c r="E15" i="15"/>
  <c r="E8" i="16"/>
  <c r="K13" i="19" s="1"/>
  <c r="K37" i="19" s="1"/>
  <c r="E7" i="16"/>
  <c r="R15" i="1"/>
  <c r="X18" i="18"/>
  <c r="K18" i="18"/>
  <c r="L18" i="18"/>
  <c r="AB18" i="18"/>
  <c r="A19" i="18"/>
  <c r="AK18" i="18"/>
  <c r="K17" i="20"/>
  <c r="AB17" i="20"/>
  <c r="L17" i="20"/>
  <c r="A18" i="20"/>
  <c r="X17" i="20"/>
  <c r="AK17" i="20"/>
  <c r="S20" i="1"/>
  <c r="R20" i="1" s="1"/>
  <c r="P20" i="1" s="1"/>
  <c r="V20" i="1" s="1"/>
  <c r="Q13" i="7" l="1"/>
  <c r="Q11" i="18"/>
  <c r="AX57" i="27"/>
  <c r="AN57" i="27" s="1"/>
  <c r="AN58" i="27" s="1"/>
  <c r="AN59" i="27" s="1"/>
  <c r="AN60" i="27" s="1"/>
  <c r="AN61" i="27" s="1"/>
  <c r="AN62" i="27" s="1"/>
  <c r="AN63" i="27" s="1"/>
  <c r="AN64" i="27" s="1"/>
  <c r="AN65" i="27" s="1"/>
  <c r="AN66" i="27" s="1"/>
  <c r="AN67" i="27" s="1"/>
  <c r="O9" i="20"/>
  <c r="AJ18" i="20" s="1"/>
  <c r="AC12" i="17"/>
  <c r="AC9" i="17"/>
  <c r="O12" i="17"/>
  <c r="AJ15" i="18"/>
  <c r="F7" i="18"/>
  <c r="AJ380" i="18"/>
  <c r="AJ16" i="18"/>
  <c r="Z13" i="7"/>
  <c r="AJ17" i="18"/>
  <c r="V13" i="7"/>
  <c r="O11" i="18"/>
  <c r="X21" i="15"/>
  <c r="AJ21" i="15"/>
  <c r="A22" i="15"/>
  <c r="AC21" i="15"/>
  <c r="L21" i="15"/>
  <c r="D21" i="15" s="1"/>
  <c r="K21" i="15"/>
  <c r="AK21" i="15"/>
  <c r="AB21" i="15"/>
  <c r="O21" i="15"/>
  <c r="L11" i="23"/>
  <c r="AM11" i="7"/>
  <c r="K20" i="16"/>
  <c r="A21" i="16"/>
  <c r="L20" i="16"/>
  <c r="D20" i="16" s="1"/>
  <c r="AJ20" i="16"/>
  <c r="X20" i="16"/>
  <c r="AB20" i="16"/>
  <c r="AK20" i="16"/>
  <c r="K19" i="18"/>
  <c r="L19" i="18"/>
  <c r="AB19" i="18"/>
  <c r="A20" i="18"/>
  <c r="X19" i="18"/>
  <c r="AK19" i="18"/>
  <c r="AJ19" i="18"/>
  <c r="P15" i="1"/>
  <c r="O10" i="16"/>
  <c r="AC10" i="16"/>
  <c r="AC19" i="16" s="1"/>
  <c r="L12" i="23"/>
  <c r="A23" i="1"/>
  <c r="K22" i="1"/>
  <c r="Q22" i="1"/>
  <c r="AB22" i="1"/>
  <c r="X22" i="1"/>
  <c r="AK22" i="1"/>
  <c r="AJ22" i="1"/>
  <c r="O22" i="1"/>
  <c r="AC22" i="1"/>
  <c r="L22" i="1"/>
  <c r="U22" i="1"/>
  <c r="T22" i="1" s="1"/>
  <c r="S22" i="1" s="1"/>
  <c r="R22" i="1" s="1"/>
  <c r="P22" i="1" s="1"/>
  <c r="AF381" i="1"/>
  <c r="AF382" i="1"/>
  <c r="AF383" i="1"/>
  <c r="AD15" i="1"/>
  <c r="F8" i="22"/>
  <c r="P12" i="22"/>
  <c r="AK15" i="22"/>
  <c r="AK16" i="22"/>
  <c r="A21" i="17"/>
  <c r="AB20" i="17"/>
  <c r="X20" i="17"/>
  <c r="L20" i="17"/>
  <c r="K20" i="17"/>
  <c r="AJ20" i="17"/>
  <c r="AK20" i="17"/>
  <c r="K16" i="23"/>
  <c r="AB16" i="23"/>
  <c r="X16" i="23"/>
  <c r="A17" i="23"/>
  <c r="A19" i="20"/>
  <c r="K18" i="20"/>
  <c r="AB18" i="20"/>
  <c r="X18" i="20"/>
  <c r="L18" i="20"/>
  <c r="AK18" i="20"/>
  <c r="AR15" i="7"/>
  <c r="P11" i="23"/>
  <c r="P10" i="20"/>
  <c r="L16" i="19"/>
  <c r="T21" i="1"/>
  <c r="L16" i="22"/>
  <c r="X17" i="22"/>
  <c r="L17" i="22"/>
  <c r="K17" i="22"/>
  <c r="AB17" i="22"/>
  <c r="A18" i="22"/>
  <c r="AK17" i="22"/>
  <c r="BC3" i="7"/>
  <c r="A20" i="19"/>
  <c r="A44" i="19" s="1"/>
  <c r="A15" i="25"/>
  <c r="L1" i="25"/>
  <c r="V14" i="25"/>
  <c r="J6" i="6"/>
  <c r="X1" i="25"/>
  <c r="F14" i="25"/>
  <c r="Y14" i="25"/>
  <c r="A16" i="24"/>
  <c r="K15" i="24"/>
  <c r="X15" i="24"/>
  <c r="AB15" i="24"/>
  <c r="E21" i="15" l="1"/>
  <c r="W13" i="7"/>
  <c r="L15" i="23"/>
  <c r="AC18" i="16"/>
  <c r="AC15" i="16"/>
  <c r="AC20" i="16"/>
  <c r="AC17" i="16"/>
  <c r="AC16" i="16"/>
  <c r="AN56" i="27"/>
  <c r="AC20" i="17"/>
  <c r="O9" i="22"/>
  <c r="AJ18" i="22" s="1"/>
  <c r="O12" i="18"/>
  <c r="AC12" i="18"/>
  <c r="AC9" i="18"/>
  <c r="AJ16" i="20"/>
  <c r="AF13" i="7"/>
  <c r="F7" i="20"/>
  <c r="O11" i="20" s="1"/>
  <c r="AJ15" i="20"/>
  <c r="AJ17" i="20"/>
  <c r="AB13" i="7"/>
  <c r="O22" i="15"/>
  <c r="L22" i="15"/>
  <c r="D22" i="15" s="1"/>
  <c r="AK22" i="15"/>
  <c r="AJ22" i="15"/>
  <c r="AC22" i="15"/>
  <c r="A23" i="15"/>
  <c r="K22" i="15"/>
  <c r="X22" i="15"/>
  <c r="AB22" i="15"/>
  <c r="L11" i="24"/>
  <c r="AN68" i="27"/>
  <c r="AN69" i="27" s="1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AC15" i="17"/>
  <c r="AC16" i="17"/>
  <c r="AC19" i="17"/>
  <c r="AC17" i="17"/>
  <c r="AC18" i="17"/>
  <c r="K21" i="16"/>
  <c r="L21" i="16"/>
  <c r="D21" i="16" s="1"/>
  <c r="X21" i="16"/>
  <c r="AK21" i="16"/>
  <c r="AB21" i="16"/>
  <c r="A22" i="16"/>
  <c r="AJ21" i="16"/>
  <c r="AC21" i="16"/>
  <c r="Q11" i="22"/>
  <c r="AS11" i="7"/>
  <c r="Q11" i="23" s="1"/>
  <c r="A17" i="24"/>
  <c r="AB16" i="24"/>
  <c r="X16" i="24"/>
  <c r="K16" i="24"/>
  <c r="A19" i="22"/>
  <c r="X18" i="22"/>
  <c r="L18" i="22"/>
  <c r="K18" i="22"/>
  <c r="AB18" i="22"/>
  <c r="AK18" i="22"/>
  <c r="P11" i="24"/>
  <c r="AK16" i="24" s="1"/>
  <c r="AX15" i="7"/>
  <c r="A22" i="17"/>
  <c r="K21" i="17"/>
  <c r="AB21" i="17"/>
  <c r="L21" i="17"/>
  <c r="X21" i="17"/>
  <c r="AK21" i="17"/>
  <c r="AJ21" i="17"/>
  <c r="AC21" i="17"/>
  <c r="AD383" i="1"/>
  <c r="AD382" i="1"/>
  <c r="AD381" i="1"/>
  <c r="AK23" i="1"/>
  <c r="AJ23" i="1"/>
  <c r="O23" i="1"/>
  <c r="L23" i="1"/>
  <c r="AC23" i="1"/>
  <c r="K23" i="1"/>
  <c r="AB23" i="1"/>
  <c r="A24" i="1"/>
  <c r="X23" i="1"/>
  <c r="Q23" i="1"/>
  <c r="U23" i="1"/>
  <c r="V15" i="1"/>
  <c r="AA15" i="1" s="1"/>
  <c r="AB20" i="18"/>
  <c r="X20" i="18"/>
  <c r="K20" i="18"/>
  <c r="A21" i="18"/>
  <c r="L20" i="18"/>
  <c r="AK20" i="18"/>
  <c r="AJ20" i="18"/>
  <c r="K15" i="25"/>
  <c r="AB15" i="25"/>
  <c r="A16" i="25"/>
  <c r="X15" i="25"/>
  <c r="S21" i="1"/>
  <c r="AK380" i="23"/>
  <c r="F8" i="23"/>
  <c r="P12" i="23"/>
  <c r="AK15" i="23"/>
  <c r="X19" i="20"/>
  <c r="AB19" i="20"/>
  <c r="L19" i="20"/>
  <c r="A20" i="20"/>
  <c r="K19" i="20"/>
  <c r="AK19" i="20"/>
  <c r="AJ19" i="20"/>
  <c r="AK16" i="23"/>
  <c r="A18" i="23"/>
  <c r="K17" i="23"/>
  <c r="L17" i="23"/>
  <c r="X17" i="23"/>
  <c r="AB17" i="23"/>
  <c r="AK17" i="23"/>
  <c r="L16" i="23"/>
  <c r="AE11" i="22"/>
  <c r="AI11" i="22"/>
  <c r="P10" i="22"/>
  <c r="L17" i="19"/>
  <c r="V22" i="1"/>
  <c r="L12" i="24"/>
  <c r="L15" i="24" s="1"/>
  <c r="O17" i="16"/>
  <c r="E17" i="16" s="1"/>
  <c r="O20" i="16"/>
  <c r="E20" i="16" s="1"/>
  <c r="O13" i="7"/>
  <c r="O19" i="16"/>
  <c r="E19" i="16" s="1"/>
  <c r="O21" i="16"/>
  <c r="O18" i="16"/>
  <c r="E18" i="16" s="1"/>
  <c r="O15" i="16"/>
  <c r="O16" i="16"/>
  <c r="E16" i="16" s="1"/>
  <c r="AC13" i="7" l="1"/>
  <c r="AK61" i="27"/>
  <c r="AM61" i="27" s="1"/>
  <c r="AK73" i="27"/>
  <c r="AL73" i="27" s="1"/>
  <c r="AK66" i="27"/>
  <c r="AL66" i="27" s="1"/>
  <c r="AK76" i="27"/>
  <c r="AL76" i="27" s="1"/>
  <c r="AK60" i="27"/>
  <c r="AL60" i="27" s="1"/>
  <c r="AK65" i="27"/>
  <c r="AM65" i="27" s="1"/>
  <c r="AK79" i="27"/>
  <c r="AM79" i="27" s="1"/>
  <c r="AK78" i="27"/>
  <c r="AL78" i="27" s="1"/>
  <c r="AK74" i="27"/>
  <c r="AL74" i="27" s="1"/>
  <c r="AK56" i="27"/>
  <c r="AL56" i="27" s="1"/>
  <c r="AK62" i="27"/>
  <c r="AL62" i="27" s="1"/>
  <c r="AK63" i="27"/>
  <c r="AM63" i="27" s="1"/>
  <c r="AK59" i="27"/>
  <c r="AM59" i="27" s="1"/>
  <c r="AK77" i="27"/>
  <c r="AL77" i="27" s="1"/>
  <c r="AK75" i="27"/>
  <c r="AM75" i="27" s="1"/>
  <c r="AK71" i="27"/>
  <c r="AM71" i="27" s="1"/>
  <c r="AK72" i="27"/>
  <c r="AL72" i="27" s="1"/>
  <c r="AK70" i="27"/>
  <c r="AL70" i="27" s="1"/>
  <c r="AK57" i="27"/>
  <c r="AL57" i="27" s="1"/>
  <c r="AK64" i="27"/>
  <c r="AL64" i="27" s="1"/>
  <c r="AK68" i="27"/>
  <c r="AL68" i="27" s="1"/>
  <c r="AK69" i="27"/>
  <c r="AL69" i="27" s="1"/>
  <c r="AK67" i="27"/>
  <c r="AM67" i="27" s="1"/>
  <c r="AK58" i="27"/>
  <c r="AL58" i="27" s="1"/>
  <c r="AM57" i="27"/>
  <c r="AM69" i="27"/>
  <c r="AM60" i="27"/>
  <c r="AY11" i="7"/>
  <c r="Q11" i="24" s="1"/>
  <c r="AC9" i="20"/>
  <c r="AC12" i="20"/>
  <c r="O12" i="20"/>
  <c r="O9" i="23"/>
  <c r="AJ18" i="23" s="1"/>
  <c r="AJ15" i="22"/>
  <c r="AJ16" i="22"/>
  <c r="F7" i="22"/>
  <c r="AL13" i="7"/>
  <c r="AJ17" i="22"/>
  <c r="AH13" i="7"/>
  <c r="O11" i="22"/>
  <c r="E8" i="17"/>
  <c r="K14" i="19" s="1"/>
  <c r="K38" i="19" s="1"/>
  <c r="E7" i="17"/>
  <c r="E22" i="15"/>
  <c r="A24" i="15"/>
  <c r="AJ23" i="15"/>
  <c r="X23" i="15"/>
  <c r="AC23" i="15"/>
  <c r="L23" i="15"/>
  <c r="D23" i="15" s="1"/>
  <c r="AK23" i="15"/>
  <c r="AB23" i="15"/>
  <c r="K23" i="15"/>
  <c r="O23" i="15"/>
  <c r="E23" i="15" s="1"/>
  <c r="E21" i="16"/>
  <c r="L11" i="25"/>
  <c r="L16" i="24"/>
  <c r="R21" i="1"/>
  <c r="A23" i="16"/>
  <c r="L22" i="16"/>
  <c r="D22" i="16" s="1"/>
  <c r="K22" i="16"/>
  <c r="AJ22" i="16"/>
  <c r="O22" i="16"/>
  <c r="AB22" i="16"/>
  <c r="X22" i="16"/>
  <c r="AK22" i="16"/>
  <c r="AC22" i="16"/>
  <c r="E15" i="16"/>
  <c r="L12" i="25"/>
  <c r="L15" i="25" s="1"/>
  <c r="AA20" i="1"/>
  <c r="Z20" i="1" s="1"/>
  <c r="Y20" i="1" s="1"/>
  <c r="I20" i="1"/>
  <c r="A19" i="23"/>
  <c r="AB18" i="23"/>
  <c r="X18" i="23"/>
  <c r="K18" i="23"/>
  <c r="L18" i="23"/>
  <c r="AK18" i="23"/>
  <c r="A21" i="20"/>
  <c r="AB20" i="20"/>
  <c r="L20" i="20"/>
  <c r="X20" i="20"/>
  <c r="K20" i="20"/>
  <c r="AJ20" i="20"/>
  <c r="AK20" i="20"/>
  <c r="P10" i="23"/>
  <c r="L18" i="19"/>
  <c r="X21" i="18"/>
  <c r="K21" i="18"/>
  <c r="L21" i="18"/>
  <c r="A22" i="18"/>
  <c r="AB21" i="18"/>
  <c r="AJ21" i="18"/>
  <c r="AK21" i="18"/>
  <c r="L24" i="1"/>
  <c r="K24" i="1"/>
  <c r="AB24" i="1"/>
  <c r="AJ24" i="1"/>
  <c r="A25" i="1"/>
  <c r="Q24" i="1"/>
  <c r="AC24" i="1"/>
  <c r="O24" i="1"/>
  <c r="X24" i="1"/>
  <c r="AK24" i="1"/>
  <c r="U24" i="1"/>
  <c r="Z15" i="1"/>
  <c r="A23" i="17"/>
  <c r="K22" i="17"/>
  <c r="X22" i="17"/>
  <c r="AB22" i="17"/>
  <c r="L22" i="17"/>
  <c r="AJ22" i="17"/>
  <c r="AK22" i="17"/>
  <c r="AC22" i="17"/>
  <c r="P11" i="25"/>
  <c r="BD15" i="7"/>
  <c r="K16" i="25"/>
  <c r="A17" i="25"/>
  <c r="AB16" i="25"/>
  <c r="L16" i="25"/>
  <c r="X16" i="25"/>
  <c r="T23" i="1"/>
  <c r="F8" i="24"/>
  <c r="P12" i="24"/>
  <c r="AK380" i="24"/>
  <c r="AK15" i="24"/>
  <c r="K19" i="22"/>
  <c r="L19" i="22"/>
  <c r="AB19" i="22"/>
  <c r="A20" i="22"/>
  <c r="X19" i="22"/>
  <c r="AJ19" i="22"/>
  <c r="AK19" i="22"/>
  <c r="K17" i="24"/>
  <c r="X17" i="24"/>
  <c r="L17" i="24"/>
  <c r="A18" i="24"/>
  <c r="AB17" i="24"/>
  <c r="AK17" i="24"/>
  <c r="AI13" i="7" l="1"/>
  <c r="BE11" i="7"/>
  <c r="Q11" i="25" s="1"/>
  <c r="AL61" i="27"/>
  <c r="AJ61" i="27" s="1"/>
  <c r="U61" i="27" s="1"/>
  <c r="AL71" i="27"/>
  <c r="AM73" i="27"/>
  <c r="AJ73" i="27" s="1"/>
  <c r="R73" i="27" s="1"/>
  <c r="AM56" i="27"/>
  <c r="AM76" i="27"/>
  <c r="AJ76" i="27" s="1"/>
  <c r="Y76" i="27" s="1"/>
  <c r="AM58" i="27"/>
  <c r="AM68" i="27"/>
  <c r="AJ68" i="27" s="1"/>
  <c r="V68" i="27" s="1"/>
  <c r="AL67" i="27"/>
  <c r="AJ67" i="27" s="1"/>
  <c r="T67" i="27" s="1"/>
  <c r="AM64" i="27"/>
  <c r="AJ64" i="27" s="1"/>
  <c r="Q64" i="27" s="1"/>
  <c r="AM66" i="27"/>
  <c r="AJ66" i="27" s="1"/>
  <c r="Q66" i="27" s="1"/>
  <c r="AL65" i="27"/>
  <c r="AJ65" i="27" s="1"/>
  <c r="AM70" i="27"/>
  <c r="AJ70" i="27" s="1"/>
  <c r="U70" i="27" s="1"/>
  <c r="AM77" i="27"/>
  <c r="AJ77" i="27" s="1"/>
  <c r="Z77" i="27" s="1"/>
  <c r="AM78" i="27"/>
  <c r="AJ78" i="27" s="1"/>
  <c r="AL63" i="27"/>
  <c r="AJ63" i="27" s="1"/>
  <c r="AM74" i="27"/>
  <c r="AJ74" i="27" s="1"/>
  <c r="AL79" i="27"/>
  <c r="AJ79" i="27" s="1"/>
  <c r="U79" i="27" s="1"/>
  <c r="AM72" i="27"/>
  <c r="AJ72" i="27" s="1"/>
  <c r="AL75" i="27"/>
  <c r="AJ75" i="27" s="1"/>
  <c r="AL59" i="27"/>
  <c r="AJ59" i="27" s="1"/>
  <c r="AM62" i="27"/>
  <c r="AJ62" i="27" s="1"/>
  <c r="AJ58" i="27"/>
  <c r="Z58" i="27" s="1"/>
  <c r="AJ69" i="27"/>
  <c r="R69" i="27" s="1"/>
  <c r="AJ60" i="27"/>
  <c r="AJ57" i="27"/>
  <c r="AJ71" i="27"/>
  <c r="X71" i="27" s="1"/>
  <c r="AJ56" i="27"/>
  <c r="AA56" i="27" s="1"/>
  <c r="AC12" i="22"/>
  <c r="AC9" i="22"/>
  <c r="O12" i="22"/>
  <c r="AJ380" i="23"/>
  <c r="AJ16" i="23"/>
  <c r="F7" i="23"/>
  <c r="O11" i="23" s="1"/>
  <c r="AR13" i="7"/>
  <c r="AJ15" i="23"/>
  <c r="AJ17" i="23"/>
  <c r="O9" i="24"/>
  <c r="AJ18" i="24" s="1"/>
  <c r="AN13" i="7"/>
  <c r="AK16" i="25"/>
  <c r="O10" i="17"/>
  <c r="AC10" i="17"/>
  <c r="E22" i="16"/>
  <c r="L24" i="15"/>
  <c r="D24" i="15" s="1"/>
  <c r="AJ24" i="15"/>
  <c r="K24" i="15"/>
  <c r="AC24" i="15"/>
  <c r="AB24" i="15"/>
  <c r="AK24" i="15"/>
  <c r="X24" i="15"/>
  <c r="A25" i="15"/>
  <c r="O24" i="15"/>
  <c r="E24" i="15" s="1"/>
  <c r="P21" i="1"/>
  <c r="K23" i="16"/>
  <c r="X23" i="16"/>
  <c r="AK23" i="16"/>
  <c r="AC23" i="16"/>
  <c r="AB23" i="16"/>
  <c r="A24" i="16"/>
  <c r="L23" i="16"/>
  <c r="D23" i="16" s="1"/>
  <c r="AJ23" i="16"/>
  <c r="O23" i="16"/>
  <c r="I22" i="1"/>
  <c r="AA22" i="1"/>
  <c r="Z22" i="1" s="1"/>
  <c r="Y22" i="1" s="1"/>
  <c r="X18" i="24"/>
  <c r="A19" i="24"/>
  <c r="L18" i="24"/>
  <c r="K18" i="24"/>
  <c r="AB18" i="24"/>
  <c r="AK18" i="24"/>
  <c r="S23" i="1"/>
  <c r="T24" i="1"/>
  <c r="L25" i="1"/>
  <c r="O25" i="1"/>
  <c r="AB25" i="1"/>
  <c r="AJ25" i="1"/>
  <c r="AK25" i="1"/>
  <c r="K25" i="1"/>
  <c r="X25" i="1"/>
  <c r="A26" i="1"/>
  <c r="AC25" i="1"/>
  <c r="Q25" i="1"/>
  <c r="U25" i="1"/>
  <c r="K19" i="23"/>
  <c r="X19" i="23"/>
  <c r="L19" i="23"/>
  <c r="AB19" i="23"/>
  <c r="A20" i="23"/>
  <c r="AK19" i="23"/>
  <c r="AJ19" i="23"/>
  <c r="AB20" i="22"/>
  <c r="L20" i="22"/>
  <c r="K20" i="22"/>
  <c r="X20" i="22"/>
  <c r="A21" i="22"/>
  <c r="AJ20" i="22"/>
  <c r="AK20" i="22"/>
  <c r="P10" i="24"/>
  <c r="L19" i="19"/>
  <c r="K17" i="25"/>
  <c r="L17" i="25"/>
  <c r="A18" i="25"/>
  <c r="X17" i="25"/>
  <c r="AB17" i="25"/>
  <c r="AK17" i="25"/>
  <c r="BK11" i="7"/>
  <c r="BL11" i="7"/>
  <c r="BJ15" i="7"/>
  <c r="F8" i="25"/>
  <c r="P12" i="25"/>
  <c r="AK15" i="25"/>
  <c r="K23" i="17"/>
  <c r="A24" i="17"/>
  <c r="L23" i="17"/>
  <c r="AB23" i="17"/>
  <c r="X23" i="17"/>
  <c r="AJ23" i="17"/>
  <c r="AK23" i="17"/>
  <c r="AC23" i="17"/>
  <c r="O23" i="17"/>
  <c r="Y15" i="1"/>
  <c r="A23" i="18"/>
  <c r="L22" i="18"/>
  <c r="K22" i="18"/>
  <c r="X22" i="18"/>
  <c r="AB22" i="18"/>
  <c r="AJ22" i="18"/>
  <c r="AK22" i="18"/>
  <c r="X21" i="20"/>
  <c r="A22" i="20"/>
  <c r="AB21" i="20"/>
  <c r="L21" i="20"/>
  <c r="K21" i="20"/>
  <c r="AJ21" i="20"/>
  <c r="AK21" i="20"/>
  <c r="AO13" i="7" l="1"/>
  <c r="T63" i="27"/>
  <c r="W63" i="27"/>
  <c r="R71" i="27"/>
  <c r="S78" i="27"/>
  <c r="Q78" i="27"/>
  <c r="S56" i="27"/>
  <c r="S74" i="27"/>
  <c r="Z74" i="27"/>
  <c r="AA79" i="27"/>
  <c r="AB79" i="27" s="1"/>
  <c r="AC79" i="27" s="1"/>
  <c r="AD79" i="27" s="1"/>
  <c r="Q76" i="27"/>
  <c r="V73" i="27"/>
  <c r="Q77" i="27"/>
  <c r="T69" i="27"/>
  <c r="Z64" i="27"/>
  <c r="W58" i="27"/>
  <c r="AA72" i="27"/>
  <c r="X72" i="27"/>
  <c r="T64" i="27"/>
  <c r="S58" i="27"/>
  <c r="S63" i="27"/>
  <c r="Q68" i="27"/>
  <c r="S66" i="27"/>
  <c r="U64" i="27"/>
  <c r="Y69" i="27"/>
  <c r="V58" i="27"/>
  <c r="U63" i="27"/>
  <c r="S67" i="27"/>
  <c r="R66" i="27"/>
  <c r="AA71" i="27"/>
  <c r="T70" i="27"/>
  <c r="U68" i="27"/>
  <c r="Y68" i="27"/>
  <c r="V66" i="27"/>
  <c r="W67" i="27"/>
  <c r="R67" i="27"/>
  <c r="V69" i="27"/>
  <c r="AA78" i="27"/>
  <c r="AB78" i="27" s="1"/>
  <c r="AC78" i="27" s="1"/>
  <c r="AD78" i="27" s="1"/>
  <c r="T74" i="27"/>
  <c r="R74" i="27"/>
  <c r="W56" i="27"/>
  <c r="V71" i="27"/>
  <c r="W70" i="27"/>
  <c r="AA64" i="27"/>
  <c r="R64" i="27"/>
  <c r="U69" i="27"/>
  <c r="W69" i="27"/>
  <c r="T58" i="27"/>
  <c r="X58" i="27"/>
  <c r="Y63" i="27"/>
  <c r="Q63" i="27"/>
  <c r="S68" i="27"/>
  <c r="Z68" i="27"/>
  <c r="Y67" i="27"/>
  <c r="Z67" i="27"/>
  <c r="Y66" i="27"/>
  <c r="U66" i="27"/>
  <c r="T61" i="27"/>
  <c r="X61" i="27"/>
  <c r="AA61" i="27"/>
  <c r="S61" i="27"/>
  <c r="Y61" i="27"/>
  <c r="S79" i="27"/>
  <c r="W76" i="27"/>
  <c r="X73" i="27"/>
  <c r="T77" i="27"/>
  <c r="U72" i="27"/>
  <c r="W64" i="27"/>
  <c r="Y64" i="27"/>
  <c r="V64" i="27"/>
  <c r="S64" i="27"/>
  <c r="X64" i="27"/>
  <c r="Q69" i="27"/>
  <c r="S69" i="27"/>
  <c r="X69" i="27"/>
  <c r="Z69" i="27"/>
  <c r="AA69" i="27"/>
  <c r="AA58" i="27"/>
  <c r="U58" i="27"/>
  <c r="Y58" i="27"/>
  <c r="Q58" i="27"/>
  <c r="R58" i="27"/>
  <c r="X63" i="27"/>
  <c r="AA63" i="27"/>
  <c r="Z63" i="27"/>
  <c r="V63" i="27"/>
  <c r="R63" i="27"/>
  <c r="Y78" i="27"/>
  <c r="V78" i="27"/>
  <c r="U78" i="27"/>
  <c r="Q74" i="27"/>
  <c r="X74" i="27"/>
  <c r="V56" i="27"/>
  <c r="Y56" i="27"/>
  <c r="R56" i="27"/>
  <c r="Q71" i="27"/>
  <c r="S71" i="27"/>
  <c r="Z70" i="27"/>
  <c r="V70" i="27"/>
  <c r="Q70" i="27"/>
  <c r="X68" i="27"/>
  <c r="W68" i="27"/>
  <c r="T68" i="27"/>
  <c r="AA68" i="27"/>
  <c r="R68" i="27"/>
  <c r="U67" i="27"/>
  <c r="AA67" i="27"/>
  <c r="V67" i="27"/>
  <c r="Q67" i="27"/>
  <c r="X67" i="27"/>
  <c r="T66" i="27"/>
  <c r="X66" i="27"/>
  <c r="AA66" i="27"/>
  <c r="AB66" i="27" s="1"/>
  <c r="AC66" i="27" s="1"/>
  <c r="AF67" i="27" s="1"/>
  <c r="P67" i="27" s="1"/>
  <c r="G31" i="27" s="1"/>
  <c r="Z66" i="27"/>
  <c r="W66" i="27"/>
  <c r="Z61" i="27"/>
  <c r="Q61" i="27"/>
  <c r="W61" i="27"/>
  <c r="R61" i="27"/>
  <c r="V61" i="27"/>
  <c r="X79" i="27"/>
  <c r="Q79" i="27"/>
  <c r="W79" i="27"/>
  <c r="R76" i="27"/>
  <c r="Z76" i="27"/>
  <c r="V76" i="27"/>
  <c r="Q73" i="27"/>
  <c r="W73" i="27"/>
  <c r="AA73" i="27"/>
  <c r="AB72" i="27" s="1"/>
  <c r="AC72" i="27" s="1"/>
  <c r="AD72" i="27" s="1"/>
  <c r="W77" i="27"/>
  <c r="Y77" i="27"/>
  <c r="X77" i="27"/>
  <c r="T72" i="27"/>
  <c r="R72" i="27"/>
  <c r="W72" i="27"/>
  <c r="AB63" i="27"/>
  <c r="AC63" i="27" s="1"/>
  <c r="Y60" i="27"/>
  <c r="X60" i="27"/>
  <c r="Q60" i="27"/>
  <c r="W60" i="27"/>
  <c r="Z60" i="27"/>
  <c r="R60" i="27"/>
  <c r="AA60" i="27"/>
  <c r="U60" i="27"/>
  <c r="V60" i="27"/>
  <c r="S60" i="27"/>
  <c r="T60" i="27"/>
  <c r="R65" i="27"/>
  <c r="W65" i="27"/>
  <c r="U65" i="27"/>
  <c r="T65" i="27"/>
  <c r="Z65" i="27"/>
  <c r="S65" i="27"/>
  <c r="Y65" i="27"/>
  <c r="AA65" i="27"/>
  <c r="X65" i="27"/>
  <c r="V65" i="27"/>
  <c r="Q65" i="27"/>
  <c r="X78" i="27"/>
  <c r="Z78" i="27"/>
  <c r="R78" i="27"/>
  <c r="W78" i="27"/>
  <c r="T78" i="27"/>
  <c r="W74" i="27"/>
  <c r="V74" i="27"/>
  <c r="AA74" i="27"/>
  <c r="U74" i="27"/>
  <c r="Y74" i="27"/>
  <c r="T56" i="27"/>
  <c r="Q56" i="27"/>
  <c r="U56" i="27"/>
  <c r="X56" i="27"/>
  <c r="Z56" i="27"/>
  <c r="Y71" i="27"/>
  <c r="Z71" i="27"/>
  <c r="W71" i="27"/>
  <c r="T71" i="27"/>
  <c r="U71" i="27"/>
  <c r="R70" i="27"/>
  <c r="AA70" i="27"/>
  <c r="AB70" i="27" s="1"/>
  <c r="AC70" i="27" s="1"/>
  <c r="AD70" i="27" s="1"/>
  <c r="X70" i="27"/>
  <c r="Y70" i="27"/>
  <c r="S70" i="27"/>
  <c r="Z57" i="27"/>
  <c r="U57" i="27"/>
  <c r="Q57" i="27"/>
  <c r="T57" i="27"/>
  <c r="R57" i="27"/>
  <c r="X57" i="27"/>
  <c r="W57" i="27"/>
  <c r="Y57" i="27"/>
  <c r="S57" i="27"/>
  <c r="V57" i="27"/>
  <c r="AA57" i="27"/>
  <c r="AB57" i="27" s="1"/>
  <c r="AC57" i="27" s="1"/>
  <c r="S62" i="27"/>
  <c r="T62" i="27"/>
  <c r="U62" i="27"/>
  <c r="AA62" i="27"/>
  <c r="AB62" i="27" s="1"/>
  <c r="AC62" i="27" s="1"/>
  <c r="AD62" i="27" s="1"/>
  <c r="Z62" i="27"/>
  <c r="Y62" i="27"/>
  <c r="R62" i="27"/>
  <c r="X62" i="27"/>
  <c r="Q62" i="27"/>
  <c r="W62" i="27"/>
  <c r="V62" i="27"/>
  <c r="Q59" i="27"/>
  <c r="Z59" i="27"/>
  <c r="AA59" i="27"/>
  <c r="AB58" i="27" s="1"/>
  <c r="AC58" i="27" s="1"/>
  <c r="V59" i="27"/>
  <c r="S59" i="27"/>
  <c r="U59" i="27"/>
  <c r="T59" i="27"/>
  <c r="R59" i="27"/>
  <c r="X59" i="27"/>
  <c r="W59" i="27"/>
  <c r="Y59" i="27"/>
  <c r="Z79" i="27"/>
  <c r="V79" i="27"/>
  <c r="R79" i="27"/>
  <c r="Y79" i="27"/>
  <c r="T79" i="27"/>
  <c r="T76" i="27"/>
  <c r="X76" i="27"/>
  <c r="U76" i="27"/>
  <c r="S76" i="27"/>
  <c r="AA76" i="27"/>
  <c r="U73" i="27"/>
  <c r="T73" i="27"/>
  <c r="S73" i="27"/>
  <c r="Y73" i="27"/>
  <c r="Z73" i="27"/>
  <c r="S77" i="27"/>
  <c r="AA77" i="27"/>
  <c r="U77" i="27"/>
  <c r="R77" i="27"/>
  <c r="V77" i="27"/>
  <c r="V72" i="27"/>
  <c r="Q72" i="27"/>
  <c r="Y72" i="27"/>
  <c r="Z72" i="27"/>
  <c r="S72" i="27"/>
  <c r="AJ15" i="24"/>
  <c r="AJ16" i="24"/>
  <c r="AJ380" i="24"/>
  <c r="F7" i="24"/>
  <c r="O11" i="24" s="1"/>
  <c r="AX13" i="7"/>
  <c r="AJ17" i="24"/>
  <c r="O9" i="25"/>
  <c r="AJ18" i="25" s="1"/>
  <c r="AC9" i="23"/>
  <c r="O12" i="23"/>
  <c r="AC12" i="23"/>
  <c r="AT13" i="7"/>
  <c r="U13" i="7"/>
  <c r="AA10" i="7" s="1"/>
  <c r="O20" i="17"/>
  <c r="O18" i="17"/>
  <c r="O21" i="17"/>
  <c r="O17" i="17"/>
  <c r="O15" i="17"/>
  <c r="O19" i="17"/>
  <c r="O16" i="17"/>
  <c r="O22" i="17"/>
  <c r="AJ25" i="15"/>
  <c r="L25" i="15"/>
  <c r="D25" i="15" s="1"/>
  <c r="K25" i="15"/>
  <c r="AK25" i="15"/>
  <c r="O25" i="15"/>
  <c r="A26" i="15"/>
  <c r="AB25" i="15"/>
  <c r="X25" i="15"/>
  <c r="AC25" i="15"/>
  <c r="X75" i="27"/>
  <c r="AA75" i="27"/>
  <c r="U75" i="27"/>
  <c r="S75" i="27"/>
  <c r="T75" i="27"/>
  <c r="V75" i="27"/>
  <c r="W75" i="27"/>
  <c r="Q75" i="27"/>
  <c r="Z75" i="27"/>
  <c r="R75" i="27"/>
  <c r="Y75" i="27"/>
  <c r="R23" i="1"/>
  <c r="A25" i="16"/>
  <c r="L24" i="16"/>
  <c r="D24" i="16" s="1"/>
  <c r="K24" i="16"/>
  <c r="AJ24" i="16"/>
  <c r="O24" i="16"/>
  <c r="AB24" i="16"/>
  <c r="AC24" i="16"/>
  <c r="X24" i="16"/>
  <c r="AK24" i="16"/>
  <c r="V21" i="1"/>
  <c r="E23" i="16"/>
  <c r="X23" i="18"/>
  <c r="A24" i="18"/>
  <c r="L23" i="18"/>
  <c r="AB23" i="18"/>
  <c r="K23" i="18"/>
  <c r="AJ23" i="18"/>
  <c r="AK23" i="18"/>
  <c r="P10" i="25"/>
  <c r="L20" i="19"/>
  <c r="AI11" i="25"/>
  <c r="AE11" i="25"/>
  <c r="K20" i="23"/>
  <c r="X20" i="23"/>
  <c r="L20" i="23"/>
  <c r="AB20" i="23"/>
  <c r="A21" i="23"/>
  <c r="AJ20" i="23"/>
  <c r="AK20" i="23"/>
  <c r="AC26" i="1"/>
  <c r="L26" i="1"/>
  <c r="X26" i="1"/>
  <c r="O26" i="1"/>
  <c r="A27" i="1"/>
  <c r="AB26" i="1"/>
  <c r="AJ26" i="1"/>
  <c r="AK26" i="1"/>
  <c r="K26" i="1"/>
  <c r="Q26" i="1"/>
  <c r="U26" i="1"/>
  <c r="T26" i="1" s="1"/>
  <c r="K22" i="20"/>
  <c r="L22" i="20"/>
  <c r="A23" i="20"/>
  <c r="AB22" i="20"/>
  <c r="X22" i="20"/>
  <c r="AJ22" i="20"/>
  <c r="AK22" i="20"/>
  <c r="X24" i="17"/>
  <c r="A25" i="17"/>
  <c r="L24" i="17"/>
  <c r="AB24" i="17"/>
  <c r="K24" i="17"/>
  <c r="AK24" i="17"/>
  <c r="AJ24" i="17"/>
  <c r="O24" i="17"/>
  <c r="AC24" i="17"/>
  <c r="BP15" i="7"/>
  <c r="BR11" i="7"/>
  <c r="BQ11" i="7"/>
  <c r="K18" i="25"/>
  <c r="AB18" i="25"/>
  <c r="A19" i="25"/>
  <c r="L18" i="25"/>
  <c r="X18" i="25"/>
  <c r="AK18" i="25"/>
  <c r="K21" i="22"/>
  <c r="X21" i="22"/>
  <c r="A22" i="22"/>
  <c r="AB21" i="22"/>
  <c r="L21" i="22"/>
  <c r="AJ21" i="22"/>
  <c r="AK21" i="22"/>
  <c r="T25" i="1"/>
  <c r="S24" i="1"/>
  <c r="R24" i="1" s="1"/>
  <c r="P24" i="1" s="1"/>
  <c r="V24" i="1" s="1"/>
  <c r="A20" i="24"/>
  <c r="K19" i="24"/>
  <c r="AB19" i="24"/>
  <c r="L19" i="24"/>
  <c r="X19" i="24"/>
  <c r="AJ19" i="24"/>
  <c r="AK19" i="24"/>
  <c r="AZ13" i="7" l="1"/>
  <c r="AU13" i="7"/>
  <c r="AB71" i="27"/>
  <c r="AC71" i="27" s="1"/>
  <c r="AD71" i="27" s="1"/>
  <c r="AB77" i="27"/>
  <c r="AC77" i="27" s="1"/>
  <c r="AD77" i="27" s="1"/>
  <c r="AF58" i="27"/>
  <c r="P58" i="27" s="1"/>
  <c r="AB68" i="27"/>
  <c r="AC68" i="27" s="1"/>
  <c r="AB67" i="27"/>
  <c r="AC67" i="27" s="1"/>
  <c r="AD67" i="27" s="1"/>
  <c r="AB60" i="27"/>
  <c r="AC60" i="27" s="1"/>
  <c r="AB73" i="27"/>
  <c r="AC73" i="27" s="1"/>
  <c r="AD73" i="27" s="1"/>
  <c r="AB69" i="27"/>
  <c r="AC69" i="27" s="1"/>
  <c r="AB64" i="27"/>
  <c r="AC64" i="27" s="1"/>
  <c r="AB65" i="27"/>
  <c r="AC65" i="27" s="1"/>
  <c r="AF66" i="27" s="1"/>
  <c r="P66" i="27" s="1"/>
  <c r="AB59" i="27"/>
  <c r="AC59" i="27" s="1"/>
  <c r="AF59" i="27" s="1"/>
  <c r="P59" i="27" s="1"/>
  <c r="AB61" i="27"/>
  <c r="AC61" i="27" s="1"/>
  <c r="AB56" i="27"/>
  <c r="AC56" i="27" s="1"/>
  <c r="AD56" i="27" s="1"/>
  <c r="AB76" i="27"/>
  <c r="AC76" i="27" s="1"/>
  <c r="AD76" i="27" s="1"/>
  <c r="AB75" i="27"/>
  <c r="AC75" i="27" s="1"/>
  <c r="AD75" i="27" s="1"/>
  <c r="AJ16" i="25"/>
  <c r="AJ17" i="25"/>
  <c r="F7" i="25"/>
  <c r="AJ15" i="25"/>
  <c r="BD13" i="7"/>
  <c r="AC12" i="24"/>
  <c r="O12" i="24"/>
  <c r="AC9" i="24"/>
  <c r="E7" i="18"/>
  <c r="E8" i="18"/>
  <c r="K15" i="19" s="1"/>
  <c r="K39" i="19" s="1"/>
  <c r="X26" i="15"/>
  <c r="L26" i="15"/>
  <c r="D26" i="15" s="1"/>
  <c r="AC26" i="15"/>
  <c r="K26" i="15"/>
  <c r="O26" i="15"/>
  <c r="AB26" i="15"/>
  <c r="AJ26" i="15"/>
  <c r="A27" i="15"/>
  <c r="AK26" i="15"/>
  <c r="E24" i="16"/>
  <c r="E25" i="15"/>
  <c r="AB74" i="27"/>
  <c r="AC74" i="27" s="1"/>
  <c r="AD74" i="27" s="1"/>
  <c r="P23" i="1"/>
  <c r="X25" i="16"/>
  <c r="L25" i="16"/>
  <c r="D25" i="16" s="1"/>
  <c r="K25" i="16"/>
  <c r="AK25" i="16"/>
  <c r="O25" i="16"/>
  <c r="AB25" i="16"/>
  <c r="A26" i="16"/>
  <c r="AJ25" i="16"/>
  <c r="AC25" i="16"/>
  <c r="AA24" i="1"/>
  <c r="Z24" i="1" s="1"/>
  <c r="Y24" i="1" s="1"/>
  <c r="A21" i="24"/>
  <c r="K20" i="24"/>
  <c r="L20" i="24"/>
  <c r="AB20" i="24"/>
  <c r="X20" i="24"/>
  <c r="AJ20" i="24"/>
  <c r="AK20" i="24"/>
  <c r="S25" i="1"/>
  <c r="R25" i="1" s="1"/>
  <c r="P25" i="1" s="1"/>
  <c r="V25" i="1" s="1"/>
  <c r="K19" i="25"/>
  <c r="L19" i="25"/>
  <c r="A20" i="25"/>
  <c r="X19" i="25"/>
  <c r="AB19" i="25"/>
  <c r="AJ19" i="25"/>
  <c r="AK19" i="25"/>
  <c r="BX11" i="7"/>
  <c r="BV15" i="7"/>
  <c r="BW11" i="7"/>
  <c r="A26" i="17"/>
  <c r="K25" i="17"/>
  <c r="AB25" i="17"/>
  <c r="X25" i="17"/>
  <c r="L25" i="17"/>
  <c r="AJ25" i="17"/>
  <c r="AK25" i="17"/>
  <c r="AC25" i="17"/>
  <c r="O25" i="17"/>
  <c r="K22" i="22"/>
  <c r="L22" i="22"/>
  <c r="X22" i="22"/>
  <c r="AB22" i="22"/>
  <c r="A23" i="22"/>
  <c r="AJ22" i="22"/>
  <c r="AK22" i="22"/>
  <c r="AB23" i="20"/>
  <c r="K23" i="20"/>
  <c r="X23" i="20"/>
  <c r="L23" i="20"/>
  <c r="A24" i="20"/>
  <c r="AJ23" i="20"/>
  <c r="AK23" i="20"/>
  <c r="S26" i="1"/>
  <c r="R26" i="1" s="1"/>
  <c r="P26" i="1" s="1"/>
  <c r="V26" i="1" s="1"/>
  <c r="AB27" i="1"/>
  <c r="AC27" i="1"/>
  <c r="AJ27" i="1"/>
  <c r="X27" i="1"/>
  <c r="AK27" i="1"/>
  <c r="L27" i="1"/>
  <c r="O27" i="1"/>
  <c r="A28" i="1"/>
  <c r="K27" i="1"/>
  <c r="Q27" i="1"/>
  <c r="U27" i="1"/>
  <c r="T27" i="1" s="1"/>
  <c r="K21" i="23"/>
  <c r="X21" i="23"/>
  <c r="A22" i="23"/>
  <c r="L21" i="23"/>
  <c r="AB21" i="23"/>
  <c r="AJ21" i="23"/>
  <c r="AK21" i="23"/>
  <c r="AB24" i="18"/>
  <c r="X24" i="18"/>
  <c r="K24" i="18"/>
  <c r="A25" i="18"/>
  <c r="L24" i="18"/>
  <c r="AJ24" i="18"/>
  <c r="AK24" i="18"/>
  <c r="BA13" i="7" l="1"/>
  <c r="AF61" i="27"/>
  <c r="P61" i="27" s="1"/>
  <c r="G25" i="27" s="1"/>
  <c r="AD61" i="27" s="1"/>
  <c r="AF60" i="27"/>
  <c r="P60" i="27" s="1"/>
  <c r="AF64" i="27"/>
  <c r="P64" i="27" s="1"/>
  <c r="G21" i="27"/>
  <c r="AD57" i="27" s="1"/>
  <c r="G22" i="27"/>
  <c r="AD58" i="27" s="1"/>
  <c r="AF69" i="27"/>
  <c r="P69" i="27" s="1"/>
  <c r="G30" i="27"/>
  <c r="AD66" i="27" s="1"/>
  <c r="G29" i="27"/>
  <c r="AD65" i="27" s="1"/>
  <c r="O12" i="25"/>
  <c r="BG13" i="7" s="1"/>
  <c r="AC9" i="25"/>
  <c r="AC12" i="25"/>
  <c r="O11" i="25"/>
  <c r="BF13" i="7" s="1"/>
  <c r="O10" i="18"/>
  <c r="O25" i="18" s="1"/>
  <c r="AC10" i="18"/>
  <c r="AC25" i="18" s="1"/>
  <c r="K27" i="15"/>
  <c r="X27" i="15"/>
  <c r="A28" i="15"/>
  <c r="AK27" i="15"/>
  <c r="AC27" i="15"/>
  <c r="AB27" i="15"/>
  <c r="AJ27" i="15"/>
  <c r="L27" i="15"/>
  <c r="D27" i="15" s="1"/>
  <c r="O27" i="15"/>
  <c r="E26" i="15"/>
  <c r="I24" i="1"/>
  <c r="E25" i="16"/>
  <c r="V23" i="1"/>
  <c r="AB26" i="16"/>
  <c r="L26" i="16"/>
  <c r="D26" i="16" s="1"/>
  <c r="AK26" i="16"/>
  <c r="AC26" i="16"/>
  <c r="A27" i="16"/>
  <c r="X26" i="16"/>
  <c r="K26" i="16"/>
  <c r="AJ26" i="16"/>
  <c r="O26" i="16"/>
  <c r="AA21" i="1"/>
  <c r="I21" i="1"/>
  <c r="I25" i="1"/>
  <c r="AA25" i="1"/>
  <c r="Z25" i="1" s="1"/>
  <c r="Y25" i="1" s="1"/>
  <c r="AB22" i="23"/>
  <c r="X22" i="23"/>
  <c r="L22" i="23"/>
  <c r="A23" i="23"/>
  <c r="K22" i="23"/>
  <c r="AJ22" i="23"/>
  <c r="AK22" i="23"/>
  <c r="S27" i="1"/>
  <c r="R27" i="1" s="1"/>
  <c r="P27" i="1" s="1"/>
  <c r="V27" i="1" s="1"/>
  <c r="A24" i="22"/>
  <c r="K23" i="22"/>
  <c r="L23" i="22"/>
  <c r="AB23" i="22"/>
  <c r="X23" i="22"/>
  <c r="AJ23" i="22"/>
  <c r="AK23" i="22"/>
  <c r="AB26" i="17"/>
  <c r="K26" i="17"/>
  <c r="X26" i="17"/>
  <c r="L26" i="17"/>
  <c r="A27" i="17"/>
  <c r="AK26" i="17"/>
  <c r="AJ26" i="17"/>
  <c r="AC26" i="17"/>
  <c r="O26" i="17"/>
  <c r="X20" i="25"/>
  <c r="A21" i="25"/>
  <c r="K20" i="25"/>
  <c r="L20" i="25"/>
  <c r="AB20" i="25"/>
  <c r="AJ20" i="25"/>
  <c r="AK20" i="25"/>
  <c r="X25" i="18"/>
  <c r="L25" i="18"/>
  <c r="A26" i="18"/>
  <c r="K25" i="18"/>
  <c r="AB25" i="18"/>
  <c r="AK25" i="18"/>
  <c r="AJ25" i="18"/>
  <c r="AJ28" i="1"/>
  <c r="A29" i="1"/>
  <c r="AC28" i="1"/>
  <c r="Q28" i="1"/>
  <c r="AK28" i="1"/>
  <c r="AB28" i="1"/>
  <c r="L28" i="1"/>
  <c r="X28" i="1"/>
  <c r="O28" i="1"/>
  <c r="K28" i="1"/>
  <c r="U28" i="1"/>
  <c r="T28" i="1" s="1"/>
  <c r="X24" i="20"/>
  <c r="K24" i="20"/>
  <c r="AB24" i="20"/>
  <c r="L24" i="20"/>
  <c r="A25" i="20"/>
  <c r="AJ24" i="20"/>
  <c r="AK24" i="20"/>
  <c r="A22" i="24"/>
  <c r="K21" i="24"/>
  <c r="X21" i="24"/>
  <c r="AB21" i="24"/>
  <c r="L21" i="24"/>
  <c r="AJ21" i="24"/>
  <c r="AK21" i="24"/>
  <c r="AC24" i="20" l="1"/>
  <c r="AC22" i="18"/>
  <c r="AC18" i="18"/>
  <c r="AC15" i="18"/>
  <c r="AC17" i="18"/>
  <c r="AC21" i="18"/>
  <c r="AC23" i="18"/>
  <c r="AC19" i="18"/>
  <c r="AC16" i="18"/>
  <c r="AC20" i="18"/>
  <c r="AC24" i="18"/>
  <c r="G23" i="27"/>
  <c r="AD59" i="27" s="1"/>
  <c r="G24" i="27"/>
  <c r="AD60" i="27" s="1"/>
  <c r="A82" i="27" a="1"/>
  <c r="X92" i="27" s="1"/>
  <c r="G28" i="27"/>
  <c r="AD64" i="27" s="1"/>
  <c r="G27" i="27"/>
  <c r="AD63" i="27" s="1"/>
  <c r="G32" i="27"/>
  <c r="AD68" i="27" s="1"/>
  <c r="G33" i="27"/>
  <c r="AD69" i="27" s="1"/>
  <c r="AC16" i="20"/>
  <c r="AC19" i="20"/>
  <c r="AC15" i="20"/>
  <c r="AC17" i="20"/>
  <c r="AC18" i="20"/>
  <c r="AC20" i="20"/>
  <c r="AC21" i="20"/>
  <c r="AC22" i="20"/>
  <c r="AC23" i="20"/>
  <c r="AA13" i="7"/>
  <c r="AG10" i="7" s="1"/>
  <c r="O16" i="18"/>
  <c r="O17" i="18"/>
  <c r="O15" i="18"/>
  <c r="O18" i="18"/>
  <c r="O19" i="18"/>
  <c r="O20" i="18"/>
  <c r="O21" i="18"/>
  <c r="O22" i="18"/>
  <c r="O23" i="18"/>
  <c r="O24" i="18"/>
  <c r="E27" i="15"/>
  <c r="X28" i="15"/>
  <c r="AK28" i="15"/>
  <c r="AB28" i="15"/>
  <c r="AC28" i="15"/>
  <c r="A29" i="15"/>
  <c r="K28" i="15"/>
  <c r="L28" i="15"/>
  <c r="D28" i="15" s="1"/>
  <c r="AJ28" i="15"/>
  <c r="O28" i="15"/>
  <c r="AA27" i="1"/>
  <c r="Z27" i="1" s="1"/>
  <c r="Y27" i="1" s="1"/>
  <c r="Z21" i="1"/>
  <c r="E26" i="16"/>
  <c r="X27" i="16"/>
  <c r="L27" i="16"/>
  <c r="D27" i="16" s="1"/>
  <c r="AJ27" i="16"/>
  <c r="AC27" i="16"/>
  <c r="A28" i="16"/>
  <c r="AB27" i="16"/>
  <c r="K27" i="16"/>
  <c r="AK27" i="16"/>
  <c r="O27" i="16"/>
  <c r="L22" i="24"/>
  <c r="AB22" i="24"/>
  <c r="A23" i="24"/>
  <c r="X22" i="24"/>
  <c r="K22" i="24"/>
  <c r="AK22" i="24"/>
  <c r="AJ22" i="24"/>
  <c r="A30" i="1"/>
  <c r="AB29" i="1"/>
  <c r="X29" i="1"/>
  <c r="AK29" i="1"/>
  <c r="AC29" i="1"/>
  <c r="A20" i="7"/>
  <c r="L29" i="1"/>
  <c r="AJ29" i="1"/>
  <c r="O29" i="1"/>
  <c r="C20" i="7" s="1"/>
  <c r="K29" i="1"/>
  <c r="Q29" i="1"/>
  <c r="U29" i="1"/>
  <c r="T29" i="1" s="1"/>
  <c r="X26" i="18"/>
  <c r="K26" i="18"/>
  <c r="L26" i="18"/>
  <c r="A27" i="18"/>
  <c r="AB26" i="18"/>
  <c r="AK26" i="18"/>
  <c r="O26" i="18"/>
  <c r="AJ26" i="18"/>
  <c r="AC26" i="18"/>
  <c r="A28" i="17"/>
  <c r="L27" i="17"/>
  <c r="AB27" i="17"/>
  <c r="K27" i="17"/>
  <c r="X27" i="17"/>
  <c r="AJ27" i="17"/>
  <c r="AK27" i="17"/>
  <c r="AC27" i="17"/>
  <c r="O27" i="17"/>
  <c r="A25" i="22"/>
  <c r="L24" i="22"/>
  <c r="K24" i="22"/>
  <c r="AB24" i="22"/>
  <c r="X24" i="22"/>
  <c r="AK24" i="22"/>
  <c r="AJ24" i="22"/>
  <c r="X25" i="20"/>
  <c r="A26" i="20"/>
  <c r="K25" i="20"/>
  <c r="L25" i="20"/>
  <c r="AB25" i="20"/>
  <c r="AK25" i="20"/>
  <c r="AJ25" i="20"/>
  <c r="AC25" i="20"/>
  <c r="S28" i="1"/>
  <c r="R28" i="1" s="1"/>
  <c r="X21" i="25"/>
  <c r="K21" i="25"/>
  <c r="AB21" i="25"/>
  <c r="A22" i="25"/>
  <c r="L21" i="25"/>
  <c r="AJ21" i="25"/>
  <c r="AK21" i="25"/>
  <c r="I26" i="1"/>
  <c r="AA26" i="1"/>
  <c r="Z26" i="1" s="1"/>
  <c r="Y26" i="1" s="1"/>
  <c r="A24" i="23"/>
  <c r="K23" i="23"/>
  <c r="L23" i="23"/>
  <c r="X23" i="23"/>
  <c r="AB23" i="23"/>
  <c r="AJ23" i="23"/>
  <c r="AK23" i="23"/>
  <c r="M82" i="27" l="1"/>
  <c r="I90" i="27"/>
  <c r="L93" i="27"/>
  <c r="M93" i="27"/>
  <c r="Z93" i="27"/>
  <c r="R83" i="27"/>
  <c r="C84" i="27"/>
  <c r="A89" i="27"/>
  <c r="B94" i="27"/>
  <c r="A82" i="27"/>
  <c r="J91" i="27"/>
  <c r="O94" i="27"/>
  <c r="B90" i="27"/>
  <c r="Z91" i="27"/>
  <c r="F87" i="27"/>
  <c r="A92" i="27"/>
  <c r="D89" i="27"/>
  <c r="V94" i="27"/>
  <c r="E87" i="27"/>
  <c r="Y82" i="27"/>
  <c r="U94" i="27"/>
  <c r="H94" i="27"/>
  <c r="G85" i="27"/>
  <c r="D85" i="27"/>
  <c r="K87" i="27"/>
  <c r="G92" i="27"/>
  <c r="D83" i="27"/>
  <c r="I86" i="27"/>
  <c r="U89" i="27"/>
  <c r="L86" i="27"/>
  <c r="X90" i="27"/>
  <c r="I84" i="27"/>
  <c r="H85" i="27"/>
  <c r="G86" i="27"/>
  <c r="S89" i="27"/>
  <c r="I88" i="27"/>
  <c r="O83" i="27"/>
  <c r="J93" i="27"/>
  <c r="P91" i="27"/>
  <c r="T93" i="27"/>
  <c r="A83" i="27"/>
  <c r="H86" i="27"/>
  <c r="D88" i="27"/>
  <c r="D93" i="27"/>
  <c r="F92" i="27"/>
  <c r="C92" i="27"/>
  <c r="X94" i="27"/>
  <c r="O82" i="27"/>
  <c r="F91" i="27"/>
  <c r="S93" i="27"/>
  <c r="Z90" i="27"/>
  <c r="P90" i="27"/>
  <c r="P84" i="27"/>
  <c r="Q83" i="27"/>
  <c r="W92" i="27"/>
  <c r="A91" i="27"/>
  <c r="R89" i="27"/>
  <c r="Y90" i="27"/>
  <c r="H83" i="27"/>
  <c r="U88" i="27"/>
  <c r="M85" i="27"/>
  <c r="A93" i="27"/>
  <c r="E84" i="27"/>
  <c r="S86" i="27"/>
  <c r="D92" i="27"/>
  <c r="J86" i="27"/>
  <c r="X91" i="27"/>
  <c r="Q85" i="27"/>
  <c r="B85" i="27"/>
  <c r="O92" i="27"/>
  <c r="O91" i="27"/>
  <c r="M86" i="27"/>
  <c r="P85" i="27"/>
  <c r="K84" i="27"/>
  <c r="Z86" i="27"/>
  <c r="Y92" i="27"/>
  <c r="O88" i="27"/>
  <c r="V90" i="27"/>
  <c r="C94" i="27"/>
  <c r="D86" i="27"/>
  <c r="P92" i="27"/>
  <c r="O85" i="27"/>
  <c r="M89" i="27"/>
  <c r="A88" i="27"/>
  <c r="F93" i="27"/>
  <c r="H92" i="27"/>
  <c r="A94" i="27"/>
  <c r="Y91" i="27"/>
  <c r="O87" i="27"/>
  <c r="K92" i="27"/>
  <c r="P94" i="27"/>
  <c r="G83" i="27"/>
  <c r="N86" i="27"/>
  <c r="T84" i="27"/>
  <c r="M94" i="27"/>
  <c r="N90" i="27"/>
  <c r="J90" i="27"/>
  <c r="V84" i="27"/>
  <c r="W94" i="27"/>
  <c r="R94" i="27"/>
  <c r="E82" i="27"/>
  <c r="C87" i="27"/>
  <c r="W85" i="27"/>
  <c r="F94" i="27"/>
  <c r="B88" i="27"/>
  <c r="G82" i="27"/>
  <c r="I93" i="27"/>
  <c r="I89" i="27"/>
  <c r="X85" i="27"/>
  <c r="W87" i="27"/>
  <c r="E90" i="27"/>
  <c r="T82" i="27"/>
  <c r="V92" i="27"/>
  <c r="L83" i="27"/>
  <c r="X88" i="27"/>
  <c r="X89" i="27"/>
  <c r="O89" i="27"/>
  <c r="Q91" i="27"/>
  <c r="U87" i="27"/>
  <c r="Z89" i="27"/>
  <c r="T92" i="27"/>
  <c r="G93" i="27"/>
  <c r="Y83" i="27"/>
  <c r="F83" i="27"/>
  <c r="U91" i="27"/>
  <c r="X83" i="27"/>
  <c r="J82" i="27"/>
  <c r="N83" i="27"/>
  <c r="T89" i="27"/>
  <c r="E86" i="27"/>
  <c r="X82" i="27"/>
  <c r="K93" i="27"/>
  <c r="B82" i="27"/>
  <c r="P83" i="27"/>
  <c r="V83" i="27"/>
  <c r="C89" i="27"/>
  <c r="B91" i="27"/>
  <c r="P93" i="27"/>
  <c r="K94" i="27"/>
  <c r="E94" i="27"/>
  <c r="U85" i="27"/>
  <c r="Z88" i="27"/>
  <c r="S82" i="27"/>
  <c r="N82" i="27"/>
  <c r="O84" i="27"/>
  <c r="W83" i="27"/>
  <c r="S91" i="27"/>
  <c r="P86" i="27"/>
  <c r="E93" i="27"/>
  <c r="E92" i="27"/>
  <c r="V88" i="27"/>
  <c r="L90" i="27"/>
  <c r="D91" i="27"/>
  <c r="I85" i="27"/>
  <c r="U83" i="27"/>
  <c r="Y86" i="27"/>
  <c r="E85" i="27"/>
  <c r="P88" i="27"/>
  <c r="M87" i="27"/>
  <c r="H89" i="27"/>
  <c r="K89" i="27"/>
  <c r="N88" i="27"/>
  <c r="Q86" i="27"/>
  <c r="U82" i="27"/>
  <c r="K90" i="27"/>
  <c r="O86" i="27"/>
  <c r="D90" i="27"/>
  <c r="F88" i="27"/>
  <c r="Z92" i="27"/>
  <c r="B93" i="27"/>
  <c r="T88" i="27"/>
  <c r="V87" i="27"/>
  <c r="P82" i="27"/>
  <c r="X84" i="27"/>
  <c r="C88" i="27"/>
  <c r="A84" i="27"/>
  <c r="N92" i="27"/>
  <c r="I92" i="27"/>
  <c r="A85" i="27"/>
  <c r="H91" i="27"/>
  <c r="Q84" i="27"/>
  <c r="T86" i="27"/>
  <c r="T90" i="27"/>
  <c r="Y88" i="27"/>
  <c r="D82" i="27"/>
  <c r="L89" i="27"/>
  <c r="J87" i="27"/>
  <c r="S83" i="27"/>
  <c r="V89" i="27"/>
  <c r="A90" i="27"/>
  <c r="Q90" i="27"/>
  <c r="N89" i="27"/>
  <c r="D87" i="27"/>
  <c r="A87" i="27"/>
  <c r="E89" i="27"/>
  <c r="W82" i="27"/>
  <c r="Y84" i="27"/>
  <c r="Y87" i="27"/>
  <c r="B83" i="27"/>
  <c r="N94" i="27"/>
  <c r="P87" i="27"/>
  <c r="I87" i="27"/>
  <c r="B84" i="27"/>
  <c r="R91" i="27"/>
  <c r="R84" i="27"/>
  <c r="G94" i="27"/>
  <c r="O90" i="27"/>
  <c r="U84" i="27"/>
  <c r="L87" i="27"/>
  <c r="I82" i="27"/>
  <c r="C86" i="27"/>
  <c r="L85" i="27"/>
  <c r="S85" i="27"/>
  <c r="S88" i="27"/>
  <c r="G88" i="27"/>
  <c r="J92" i="27"/>
  <c r="X86" i="27"/>
  <c r="O93" i="27"/>
  <c r="B92" i="27"/>
  <c r="S90" i="27"/>
  <c r="Z84" i="27"/>
  <c r="J89" i="27"/>
  <c r="R87" i="27"/>
  <c r="N84" i="27"/>
  <c r="M92" i="27"/>
  <c r="U92" i="27"/>
  <c r="B86" i="27"/>
  <c r="R93" i="27"/>
  <c r="C85" i="27"/>
  <c r="C91" i="27"/>
  <c r="J84" i="27"/>
  <c r="Y93" i="27"/>
  <c r="L92" i="27"/>
  <c r="L88" i="27"/>
  <c r="F82" i="27"/>
  <c r="S92" i="27"/>
  <c r="Z87" i="27"/>
  <c r="Y94" i="27"/>
  <c r="Z85" i="27"/>
  <c r="H93" i="27"/>
  <c r="K91" i="27"/>
  <c r="L84" i="27"/>
  <c r="R90" i="27"/>
  <c r="Q88" i="27"/>
  <c r="U93" i="27"/>
  <c r="G87" i="27"/>
  <c r="V91" i="27"/>
  <c r="M83" i="27"/>
  <c r="R86" i="27"/>
  <c r="M84" i="27"/>
  <c r="Q89" i="27"/>
  <c r="L82" i="27"/>
  <c r="G89" i="27"/>
  <c r="G90" i="27"/>
  <c r="T94" i="27"/>
  <c r="V86" i="27"/>
  <c r="H90" i="27"/>
  <c r="Z82" i="27"/>
  <c r="M88" i="27"/>
  <c r="B87" i="27"/>
  <c r="M91" i="27"/>
  <c r="P89" i="27"/>
  <c r="S94" i="27"/>
  <c r="Y89" i="27"/>
  <c r="X93" i="27"/>
  <c r="W91" i="27"/>
  <c r="E88" i="27"/>
  <c r="U90" i="27"/>
  <c r="F86" i="27"/>
  <c r="T83" i="27"/>
  <c r="H84" i="27"/>
  <c r="S87" i="27"/>
  <c r="W86" i="27"/>
  <c r="G84" i="27"/>
  <c r="D84" i="27"/>
  <c r="A86" i="27"/>
  <c r="V85" i="27"/>
  <c r="F89" i="27"/>
  <c r="T85" i="27"/>
  <c r="W84" i="27"/>
  <c r="F90" i="27"/>
  <c r="L91" i="27"/>
  <c r="D94" i="27"/>
  <c r="K83" i="27"/>
  <c r="Q92" i="27"/>
  <c r="R85" i="27"/>
  <c r="N91" i="27"/>
  <c r="J83" i="27"/>
  <c r="L94" i="27"/>
  <c r="W89" i="27"/>
  <c r="W90" i="27"/>
  <c r="Q93" i="27"/>
  <c r="F85" i="27"/>
  <c r="C93" i="27"/>
  <c r="C82" i="27"/>
  <c r="U86" i="27"/>
  <c r="R88" i="27"/>
  <c r="I94" i="27"/>
  <c r="I91" i="27"/>
  <c r="K86" i="27"/>
  <c r="Q87" i="27"/>
  <c r="B89" i="27"/>
  <c r="K88" i="27"/>
  <c r="C83" i="27"/>
  <c r="E91" i="27"/>
  <c r="N93" i="27"/>
  <c r="S84" i="27"/>
  <c r="Y85" i="27"/>
  <c r="J94" i="27"/>
  <c r="M90" i="27"/>
  <c r="R92" i="27"/>
  <c r="G91" i="27"/>
  <c r="K85" i="27"/>
  <c r="Q94" i="27"/>
  <c r="I83" i="27"/>
  <c r="K82" i="27"/>
  <c r="F84" i="27"/>
  <c r="H87" i="27"/>
  <c r="N87" i="27"/>
  <c r="Z94" i="27"/>
  <c r="T87" i="27"/>
  <c r="W88" i="27"/>
  <c r="J85" i="27"/>
  <c r="R82" i="27"/>
  <c r="T91" i="27"/>
  <c r="H88" i="27"/>
  <c r="X87" i="27"/>
  <c r="W93" i="27"/>
  <c r="H82" i="27"/>
  <c r="V82" i="27"/>
  <c r="Z83" i="27"/>
  <c r="C90" i="27"/>
  <c r="Q82" i="27"/>
  <c r="J88" i="27"/>
  <c r="E83" i="27"/>
  <c r="V93" i="27"/>
  <c r="N85" i="27"/>
  <c r="I27" i="1"/>
  <c r="E8" i="20"/>
  <c r="K16" i="19" s="1"/>
  <c r="E7" i="20"/>
  <c r="E28" i="15"/>
  <c r="A32" i="7"/>
  <c r="A30" i="15"/>
  <c r="AC29" i="15"/>
  <c r="L29" i="15"/>
  <c r="AK29" i="15"/>
  <c r="X29" i="15"/>
  <c r="AJ29" i="15"/>
  <c r="K29" i="15"/>
  <c r="AB29" i="15"/>
  <c r="O29" i="15"/>
  <c r="C32" i="7" s="1"/>
  <c r="E27" i="16"/>
  <c r="Y21" i="1"/>
  <c r="P28" i="1"/>
  <c r="I23" i="1"/>
  <c r="AA23" i="1"/>
  <c r="K28" i="16"/>
  <c r="L28" i="16"/>
  <c r="D28" i="16" s="1"/>
  <c r="AJ28" i="16"/>
  <c r="AC28" i="16"/>
  <c r="A29" i="16"/>
  <c r="AB28" i="16"/>
  <c r="X28" i="16"/>
  <c r="AK28" i="16"/>
  <c r="O28" i="16"/>
  <c r="A25" i="23"/>
  <c r="K24" i="23"/>
  <c r="X24" i="23"/>
  <c r="L24" i="23"/>
  <c r="AB24" i="23"/>
  <c r="AK24" i="23"/>
  <c r="AJ24" i="23"/>
  <c r="K22" i="25"/>
  <c r="AB22" i="25"/>
  <c r="X22" i="25"/>
  <c r="A23" i="25"/>
  <c r="L22" i="25"/>
  <c r="AJ22" i="25"/>
  <c r="AK22" i="25"/>
  <c r="K26" i="20"/>
  <c r="AB26" i="20"/>
  <c r="X26" i="20"/>
  <c r="A27" i="20"/>
  <c r="L26" i="20"/>
  <c r="AK26" i="20"/>
  <c r="AJ26" i="20"/>
  <c r="AC26" i="20"/>
  <c r="A26" i="22"/>
  <c r="L25" i="22"/>
  <c r="X25" i="22"/>
  <c r="AB25" i="22"/>
  <c r="K25" i="22"/>
  <c r="AK25" i="22"/>
  <c r="AJ25" i="22"/>
  <c r="A29" i="17"/>
  <c r="L28" i="17"/>
  <c r="K28" i="17"/>
  <c r="X28" i="17"/>
  <c r="AB28" i="17"/>
  <c r="AJ28" i="17"/>
  <c r="AK28" i="17"/>
  <c r="AC28" i="17"/>
  <c r="O28" i="17"/>
  <c r="A28" i="18"/>
  <c r="L27" i="18"/>
  <c r="K27" i="18"/>
  <c r="AB27" i="18"/>
  <c r="X27" i="18"/>
  <c r="AJ27" i="18"/>
  <c r="AK27" i="18"/>
  <c r="O27" i="18"/>
  <c r="AC27" i="18"/>
  <c r="S29" i="1"/>
  <c r="R29" i="1" s="1"/>
  <c r="P29" i="1" s="1"/>
  <c r="A24" i="24"/>
  <c r="AB23" i="24"/>
  <c r="L23" i="24"/>
  <c r="K23" i="24"/>
  <c r="X23" i="24"/>
  <c r="AJ23" i="24"/>
  <c r="AK23" i="24"/>
  <c r="B20" i="7"/>
  <c r="K30" i="1"/>
  <c r="AK30" i="1"/>
  <c r="A31" i="1"/>
  <c r="AB30" i="1"/>
  <c r="AJ30" i="1"/>
  <c r="O30" i="1"/>
  <c r="X30" i="1"/>
  <c r="Q30" i="1"/>
  <c r="L30" i="1"/>
  <c r="AC30" i="1"/>
  <c r="U30" i="1"/>
  <c r="T30" i="1" s="1"/>
  <c r="K40" i="19" l="1"/>
  <c r="O10" i="20"/>
  <c r="O27" i="20" s="1"/>
  <c r="AC10" i="20"/>
  <c r="AC26" i="22" s="1"/>
  <c r="D29" i="15"/>
  <c r="E29" i="15" s="1"/>
  <c r="B32" i="7"/>
  <c r="A31" i="15"/>
  <c r="AK30" i="15"/>
  <c r="AB30" i="15"/>
  <c r="AJ30" i="15"/>
  <c r="X30" i="15"/>
  <c r="K30" i="15"/>
  <c r="AC30" i="15"/>
  <c r="L30" i="15"/>
  <c r="D30" i="15" s="1"/>
  <c r="O30" i="15"/>
  <c r="E28" i="16"/>
  <c r="D20" i="7"/>
  <c r="V29" i="1"/>
  <c r="X29" i="16"/>
  <c r="K29" i="16"/>
  <c r="L29" i="16"/>
  <c r="AJ29" i="16"/>
  <c r="AC29" i="16"/>
  <c r="AB29" i="16"/>
  <c r="A44" i="7"/>
  <c r="A30" i="16"/>
  <c r="AK29" i="16"/>
  <c r="O29" i="16"/>
  <c r="C44" i="7" s="1"/>
  <c r="Z23" i="1"/>
  <c r="V28" i="1"/>
  <c r="A29" i="18"/>
  <c r="L28" i="18"/>
  <c r="X28" i="18"/>
  <c r="AB28" i="18"/>
  <c r="K28" i="18"/>
  <c r="AK28" i="18"/>
  <c r="O28" i="18"/>
  <c r="AJ28" i="18"/>
  <c r="AC28" i="18"/>
  <c r="K25" i="23"/>
  <c r="A26" i="23"/>
  <c r="AB25" i="23"/>
  <c r="L25" i="23"/>
  <c r="X25" i="23"/>
  <c r="AK25" i="23"/>
  <c r="AJ25" i="23"/>
  <c r="S30" i="1"/>
  <c r="R30" i="1" s="1"/>
  <c r="P30" i="1" s="1"/>
  <c r="A32" i="1"/>
  <c r="AK31" i="1"/>
  <c r="O31" i="1"/>
  <c r="L31" i="1"/>
  <c r="X31" i="1"/>
  <c r="Q31" i="1"/>
  <c r="AJ31" i="1"/>
  <c r="AC31" i="1"/>
  <c r="AB31" i="1"/>
  <c r="K31" i="1"/>
  <c r="U31" i="1"/>
  <c r="K24" i="24"/>
  <c r="X24" i="24"/>
  <c r="AB24" i="24"/>
  <c r="L24" i="24"/>
  <c r="A25" i="24"/>
  <c r="AK24" i="24"/>
  <c r="AJ24" i="24"/>
  <c r="A56" i="7"/>
  <c r="X29" i="17"/>
  <c r="L29" i="17"/>
  <c r="A30" i="17"/>
  <c r="AB29" i="17"/>
  <c r="K29" i="17"/>
  <c r="AK29" i="17"/>
  <c r="AJ29" i="17"/>
  <c r="O29" i="17"/>
  <c r="C56" i="7" s="1"/>
  <c r="AC29" i="17"/>
  <c r="X26" i="22"/>
  <c r="A27" i="22"/>
  <c r="K26" i="22"/>
  <c r="AB26" i="22"/>
  <c r="L26" i="22"/>
  <c r="AK26" i="22"/>
  <c r="AJ26" i="22"/>
  <c r="X27" i="20"/>
  <c r="A28" i="20"/>
  <c r="K27" i="20"/>
  <c r="L27" i="20"/>
  <c r="AB27" i="20"/>
  <c r="AJ27" i="20"/>
  <c r="AK27" i="20"/>
  <c r="AC27" i="20"/>
  <c r="A24" i="25"/>
  <c r="AB23" i="25"/>
  <c r="L23" i="25"/>
  <c r="X23" i="25"/>
  <c r="K23" i="25"/>
  <c r="AJ23" i="25"/>
  <c r="AK23" i="25"/>
  <c r="E30" i="15" l="1"/>
  <c r="AC17" i="22"/>
  <c r="AC16" i="22"/>
  <c r="AC19" i="22"/>
  <c r="AC15" i="22"/>
  <c r="AC18" i="22"/>
  <c r="AC20" i="22"/>
  <c r="AC21" i="22"/>
  <c r="AC22" i="22"/>
  <c r="AC23" i="22"/>
  <c r="AC24" i="22"/>
  <c r="AC25" i="22"/>
  <c r="AG13" i="7"/>
  <c r="AM10" i="7" s="1"/>
  <c r="O15" i="20"/>
  <c r="O16" i="20"/>
  <c r="O17" i="20"/>
  <c r="O18" i="20"/>
  <c r="O19" i="20"/>
  <c r="O20" i="20"/>
  <c r="O21" i="20"/>
  <c r="O22" i="20"/>
  <c r="O23" i="20"/>
  <c r="O24" i="20"/>
  <c r="O25" i="20"/>
  <c r="O26" i="20"/>
  <c r="K31" i="15"/>
  <c r="AJ31" i="15"/>
  <c r="AB31" i="15"/>
  <c r="AK31" i="15"/>
  <c r="L31" i="15"/>
  <c r="D31" i="15" s="1"/>
  <c r="X31" i="15"/>
  <c r="AC31" i="15"/>
  <c r="A32" i="15"/>
  <c r="O31" i="15"/>
  <c r="V30" i="1"/>
  <c r="X30" i="16"/>
  <c r="AB30" i="16"/>
  <c r="A31" i="16"/>
  <c r="AJ30" i="16"/>
  <c r="O30" i="16"/>
  <c r="K30" i="16"/>
  <c r="L30" i="16"/>
  <c r="D30" i="16" s="1"/>
  <c r="AK30" i="16"/>
  <c r="AC30" i="16"/>
  <c r="Y23" i="1"/>
  <c r="D29" i="16"/>
  <c r="E29" i="16" s="1"/>
  <c r="B44" i="7"/>
  <c r="X27" i="22"/>
  <c r="L27" i="22"/>
  <c r="A28" i="22"/>
  <c r="AB27" i="22"/>
  <c r="K27" i="22"/>
  <c r="AJ27" i="22"/>
  <c r="AK27" i="22"/>
  <c r="AC27" i="22"/>
  <c r="AB30" i="17"/>
  <c r="L30" i="17"/>
  <c r="X30" i="17"/>
  <c r="K30" i="17"/>
  <c r="A31" i="17"/>
  <c r="AJ30" i="17"/>
  <c r="AK30" i="17"/>
  <c r="AC30" i="17"/>
  <c r="O30" i="17"/>
  <c r="AB26" i="23"/>
  <c r="X26" i="23"/>
  <c r="K26" i="23"/>
  <c r="A27" i="23"/>
  <c r="L26" i="23"/>
  <c r="AK26" i="23"/>
  <c r="AJ26" i="23"/>
  <c r="AB29" i="18"/>
  <c r="X29" i="18"/>
  <c r="A68" i="7"/>
  <c r="K29" i="18"/>
  <c r="A30" i="18"/>
  <c r="L29" i="18"/>
  <c r="AJ29" i="18"/>
  <c r="AK29" i="18"/>
  <c r="O29" i="18"/>
  <c r="C68" i="7" s="1"/>
  <c r="AC29" i="18"/>
  <c r="A25" i="25"/>
  <c r="K24" i="25"/>
  <c r="AB24" i="25"/>
  <c r="L24" i="25"/>
  <c r="X24" i="25"/>
  <c r="AJ24" i="25"/>
  <c r="AK24" i="25"/>
  <c r="A29" i="20"/>
  <c r="AB28" i="20"/>
  <c r="L28" i="20"/>
  <c r="X28" i="20"/>
  <c r="K28" i="20"/>
  <c r="AJ28" i="20"/>
  <c r="AK28" i="20"/>
  <c r="O28" i="20"/>
  <c r="AC28" i="20"/>
  <c r="B56" i="7"/>
  <c r="K25" i="24"/>
  <c r="A26" i="24"/>
  <c r="X25" i="24"/>
  <c r="AB25" i="24"/>
  <c r="L25" i="24"/>
  <c r="AJ25" i="24"/>
  <c r="AK25" i="24"/>
  <c r="T31" i="1"/>
  <c r="AJ32" i="1"/>
  <c r="A33" i="1"/>
  <c r="Q32" i="1"/>
  <c r="L32" i="1"/>
  <c r="O32" i="1"/>
  <c r="K32" i="1"/>
  <c r="AK32" i="1"/>
  <c r="X32" i="1"/>
  <c r="AB32" i="1"/>
  <c r="AC32" i="1"/>
  <c r="U32" i="1"/>
  <c r="T32" i="1" s="1"/>
  <c r="AA29" i="1"/>
  <c r="Z29" i="1" s="1"/>
  <c r="Y29" i="1" s="1"/>
  <c r="I29" i="1"/>
  <c r="E8" i="22" l="1"/>
  <c r="K17" i="19" s="1"/>
  <c r="K41" i="19" s="1"/>
  <c r="E7" i="22"/>
  <c r="E30" i="16"/>
  <c r="K32" i="15"/>
  <c r="AB32" i="15"/>
  <c r="O32" i="15"/>
  <c r="A33" i="15"/>
  <c r="AC32" i="15"/>
  <c r="X32" i="15"/>
  <c r="AJ32" i="15"/>
  <c r="L32" i="15"/>
  <c r="D32" i="15" s="1"/>
  <c r="AK32" i="15"/>
  <c r="E31" i="15"/>
  <c r="I28" i="1"/>
  <c r="AA28" i="1"/>
  <c r="AB31" i="16"/>
  <c r="X31" i="16"/>
  <c r="K31" i="16"/>
  <c r="AJ31" i="16"/>
  <c r="O31" i="16"/>
  <c r="A32" i="16"/>
  <c r="L31" i="16"/>
  <c r="D31" i="16" s="1"/>
  <c r="AK31" i="16"/>
  <c r="AC31" i="16"/>
  <c r="AA30" i="1"/>
  <c r="Z30" i="1" s="1"/>
  <c r="Y30" i="1" s="1"/>
  <c r="I30" i="1"/>
  <c r="A34" i="1"/>
  <c r="AK33" i="1"/>
  <c r="O33" i="1"/>
  <c r="AC33" i="1"/>
  <c r="X33" i="1"/>
  <c r="AJ33" i="1"/>
  <c r="AB33" i="1"/>
  <c r="K33" i="1"/>
  <c r="L33" i="1"/>
  <c r="Q33" i="1"/>
  <c r="U33" i="1"/>
  <c r="T33" i="1" s="1"/>
  <c r="X26" i="24"/>
  <c r="K26" i="24"/>
  <c r="A27" i="24"/>
  <c r="AB26" i="24"/>
  <c r="L26" i="24"/>
  <c r="AJ26" i="24"/>
  <c r="AK26" i="24"/>
  <c r="X30" i="18"/>
  <c r="L30" i="18"/>
  <c r="AB30" i="18"/>
  <c r="A31" i="18"/>
  <c r="K30" i="18"/>
  <c r="O30" i="18"/>
  <c r="AK30" i="18"/>
  <c r="AJ30" i="18"/>
  <c r="AC30" i="18"/>
  <c r="AB27" i="23"/>
  <c r="K27" i="23"/>
  <c r="X27" i="23"/>
  <c r="A28" i="23"/>
  <c r="L27" i="23"/>
  <c r="AJ27" i="23"/>
  <c r="AK27" i="23"/>
  <c r="A32" i="17"/>
  <c r="L31" i="17"/>
  <c r="K31" i="17"/>
  <c r="X31" i="17"/>
  <c r="AB31" i="17"/>
  <c r="AJ31" i="17"/>
  <c r="AK31" i="17"/>
  <c r="AC31" i="17"/>
  <c r="O31" i="17"/>
  <c r="S32" i="1"/>
  <c r="R32" i="1" s="1"/>
  <c r="P32" i="1" s="1"/>
  <c r="V32" i="1" s="1"/>
  <c r="S31" i="1"/>
  <c r="R31" i="1" s="1"/>
  <c r="P31" i="1" s="1"/>
  <c r="AE20" i="7"/>
  <c r="L29" i="20"/>
  <c r="X29" i="20"/>
  <c r="AB29" i="20"/>
  <c r="A30" i="20"/>
  <c r="K29" i="20"/>
  <c r="AJ29" i="20"/>
  <c r="AK29" i="20"/>
  <c r="O29" i="20"/>
  <c r="AG20" i="7" s="1"/>
  <c r="AC29" i="20"/>
  <c r="K25" i="25"/>
  <c r="X25" i="25"/>
  <c r="AB25" i="25"/>
  <c r="L25" i="25"/>
  <c r="A26" i="25"/>
  <c r="AJ25" i="25"/>
  <c r="AK25" i="25"/>
  <c r="B68" i="7"/>
  <c r="X28" i="22"/>
  <c r="AB28" i="22"/>
  <c r="A29" i="22"/>
  <c r="K28" i="22"/>
  <c r="L28" i="22"/>
  <c r="AJ28" i="22"/>
  <c r="AK28" i="22"/>
  <c r="AC28" i="22"/>
  <c r="O10" i="22" l="1"/>
  <c r="AC10" i="22"/>
  <c r="AC28" i="23" s="1"/>
  <c r="E31" i="16"/>
  <c r="K33" i="15"/>
  <c r="AJ33" i="15"/>
  <c r="AB33" i="15"/>
  <c r="AK33" i="15"/>
  <c r="L33" i="15"/>
  <c r="D33" i="15" s="1"/>
  <c r="X33" i="15"/>
  <c r="AC33" i="15"/>
  <c r="A34" i="15"/>
  <c r="O33" i="15"/>
  <c r="E33" i="15" s="1"/>
  <c r="E32" i="15"/>
  <c r="AA32" i="1"/>
  <c r="Z32" i="1" s="1"/>
  <c r="Y32" i="1" s="1"/>
  <c r="Z28" i="1"/>
  <c r="A33" i="16"/>
  <c r="K32" i="16"/>
  <c r="AK32" i="16"/>
  <c r="AC32" i="16"/>
  <c r="X32" i="16"/>
  <c r="AB32" i="16"/>
  <c r="L32" i="16"/>
  <c r="D32" i="16" s="1"/>
  <c r="AJ32" i="16"/>
  <c r="O32" i="16"/>
  <c r="V31" i="1"/>
  <c r="AE32" i="7"/>
  <c r="A30" i="22"/>
  <c r="K29" i="22"/>
  <c r="L29" i="22"/>
  <c r="AB29" i="22"/>
  <c r="X29" i="22"/>
  <c r="AJ29" i="22"/>
  <c r="AK29" i="22"/>
  <c r="AC29" i="22"/>
  <c r="X26" i="25"/>
  <c r="L26" i="25"/>
  <c r="A27" i="25"/>
  <c r="K26" i="25"/>
  <c r="AB26" i="25"/>
  <c r="AJ26" i="25"/>
  <c r="AK26" i="25"/>
  <c r="AB30" i="20"/>
  <c r="K30" i="20"/>
  <c r="X30" i="20"/>
  <c r="A31" i="20"/>
  <c r="L30" i="20"/>
  <c r="AJ30" i="20"/>
  <c r="AK30" i="20"/>
  <c r="O30" i="20"/>
  <c r="AC30" i="20"/>
  <c r="AB32" i="17"/>
  <c r="K32" i="17"/>
  <c r="A33" i="17"/>
  <c r="L32" i="17"/>
  <c r="X32" i="17"/>
  <c r="AK32" i="17"/>
  <c r="AJ32" i="17"/>
  <c r="AC32" i="17"/>
  <c r="O32" i="17"/>
  <c r="X28" i="23"/>
  <c r="A29" i="23"/>
  <c r="K28" i="23"/>
  <c r="L28" i="23"/>
  <c r="AB28" i="23"/>
  <c r="AJ28" i="23"/>
  <c r="AK28" i="23"/>
  <c r="S33" i="1"/>
  <c r="R33" i="1" s="1"/>
  <c r="P33" i="1" s="1"/>
  <c r="V33" i="1" s="1"/>
  <c r="AB34" i="1"/>
  <c r="AC34" i="1"/>
  <c r="AK34" i="1"/>
  <c r="L34" i="1"/>
  <c r="X34" i="1"/>
  <c r="A35" i="1"/>
  <c r="AJ34" i="1"/>
  <c r="O34" i="1"/>
  <c r="K34" i="1"/>
  <c r="Q34" i="1"/>
  <c r="U34" i="1"/>
  <c r="T34" i="1" s="1"/>
  <c r="S34" i="1" s="1"/>
  <c r="R34" i="1" s="1"/>
  <c r="AF20" i="7"/>
  <c r="A32" i="18"/>
  <c r="AB31" i="18"/>
  <c r="L31" i="18"/>
  <c r="X31" i="18"/>
  <c r="K31" i="18"/>
  <c r="AK31" i="18"/>
  <c r="O31" i="18"/>
  <c r="AJ31" i="18"/>
  <c r="AC31" i="18"/>
  <c r="A28" i="24"/>
  <c r="L27" i="24"/>
  <c r="X27" i="24"/>
  <c r="K27" i="24"/>
  <c r="AB27" i="24"/>
  <c r="AJ27" i="24"/>
  <c r="AK27" i="24"/>
  <c r="O29" i="22" l="1"/>
  <c r="AG32" i="7" s="1"/>
  <c r="AC26" i="23"/>
  <c r="AC17" i="23"/>
  <c r="AC20" i="23"/>
  <c r="AC19" i="23"/>
  <c r="AC21" i="23"/>
  <c r="AC23" i="23"/>
  <c r="AC25" i="23"/>
  <c r="AC27" i="23"/>
  <c r="AC16" i="23"/>
  <c r="AC15" i="23"/>
  <c r="AC18" i="23"/>
  <c r="AC22" i="23"/>
  <c r="AC24" i="23"/>
  <c r="O27" i="22"/>
  <c r="O17" i="22"/>
  <c r="O18" i="22"/>
  <c r="O20" i="22"/>
  <c r="O22" i="22"/>
  <c r="O24" i="22"/>
  <c r="O26" i="22"/>
  <c r="AM13" i="7"/>
  <c r="AS10" i="7" s="1"/>
  <c r="O15" i="22"/>
  <c r="O16" i="22"/>
  <c r="O19" i="22"/>
  <c r="O21" i="22"/>
  <c r="O23" i="22"/>
  <c r="O25" i="22"/>
  <c r="O28" i="22"/>
  <c r="AB34" i="15"/>
  <c r="AK34" i="15"/>
  <c r="L34" i="15"/>
  <c r="D34" i="15" s="1"/>
  <c r="K34" i="15"/>
  <c r="AC34" i="15"/>
  <c r="X34" i="15"/>
  <c r="O34" i="15"/>
  <c r="A35" i="15"/>
  <c r="AJ34" i="15"/>
  <c r="I32" i="1"/>
  <c r="E32" i="16"/>
  <c r="K33" i="16"/>
  <c r="L33" i="16"/>
  <c r="D33" i="16" s="1"/>
  <c r="AJ33" i="16"/>
  <c r="AC33" i="16"/>
  <c r="A34" i="16"/>
  <c r="X33" i="16"/>
  <c r="O33" i="16"/>
  <c r="AB33" i="16"/>
  <c r="AK33" i="16"/>
  <c r="Y28" i="1"/>
  <c r="AA31" i="1"/>
  <c r="L32" i="18"/>
  <c r="A33" i="18"/>
  <c r="AB32" i="18"/>
  <c r="X32" i="18"/>
  <c r="K32" i="18"/>
  <c r="O32" i="18"/>
  <c r="AK32" i="18"/>
  <c r="AJ32" i="18"/>
  <c r="AC32" i="18"/>
  <c r="L35" i="1"/>
  <c r="O35" i="1"/>
  <c r="X35" i="1"/>
  <c r="A36" i="1"/>
  <c r="K35" i="1"/>
  <c r="AB35" i="1"/>
  <c r="AC35" i="1"/>
  <c r="Q35" i="1"/>
  <c r="AJ35" i="1"/>
  <c r="AK35" i="1"/>
  <c r="U35" i="1"/>
  <c r="T35" i="1" s="1"/>
  <c r="AE44" i="7"/>
  <c r="L29" i="23"/>
  <c r="A30" i="23"/>
  <c r="AB29" i="23"/>
  <c r="K29" i="23"/>
  <c r="X29" i="23"/>
  <c r="AJ29" i="23"/>
  <c r="AK29" i="23"/>
  <c r="AC29" i="23"/>
  <c r="A34" i="17"/>
  <c r="K33" i="17"/>
  <c r="X33" i="17"/>
  <c r="L33" i="17"/>
  <c r="AB33" i="17"/>
  <c r="AJ33" i="17"/>
  <c r="AK33" i="17"/>
  <c r="AC33" i="17"/>
  <c r="O33" i="17"/>
  <c r="A32" i="20"/>
  <c r="L31" i="20"/>
  <c r="K31" i="20"/>
  <c r="AB31" i="20"/>
  <c r="X31" i="20"/>
  <c r="AJ31" i="20"/>
  <c r="AK31" i="20"/>
  <c r="O31" i="20"/>
  <c r="AC31" i="20"/>
  <c r="X27" i="25"/>
  <c r="K27" i="25"/>
  <c r="A28" i="25"/>
  <c r="AB27" i="25"/>
  <c r="L27" i="25"/>
  <c r="AK27" i="25"/>
  <c r="AJ27" i="25"/>
  <c r="L28" i="24"/>
  <c r="A29" i="24"/>
  <c r="X28" i="24"/>
  <c r="AB28" i="24"/>
  <c r="K28" i="24"/>
  <c r="AK28" i="24"/>
  <c r="AJ28" i="24"/>
  <c r="P34" i="1"/>
  <c r="V34" i="1" s="1"/>
  <c r="AF32" i="7"/>
  <c r="X30" i="22"/>
  <c r="L30" i="22"/>
  <c r="A31" i="22"/>
  <c r="K30" i="22"/>
  <c r="AB30" i="22"/>
  <c r="AK30" i="22"/>
  <c r="AJ30" i="22"/>
  <c r="O30" i="22"/>
  <c r="AC30" i="22"/>
  <c r="E7" i="23" l="1"/>
  <c r="E8" i="23"/>
  <c r="K18" i="19" s="1"/>
  <c r="K42" i="19" s="1"/>
  <c r="I31" i="1"/>
  <c r="K35" i="15"/>
  <c r="AK35" i="15"/>
  <c r="A36" i="15"/>
  <c r="AB35" i="15"/>
  <c r="AC35" i="15"/>
  <c r="L35" i="15"/>
  <c r="D35" i="15" s="1"/>
  <c r="O35" i="15"/>
  <c r="X35" i="15"/>
  <c r="AJ35" i="15"/>
  <c r="E34" i="15"/>
  <c r="Z31" i="1"/>
  <c r="E33" i="16"/>
  <c r="A35" i="16"/>
  <c r="X34" i="16"/>
  <c r="L34" i="16"/>
  <c r="D34" i="16" s="1"/>
  <c r="AK34" i="16"/>
  <c r="O34" i="16"/>
  <c r="K34" i="16"/>
  <c r="AB34" i="16"/>
  <c r="AJ34" i="16"/>
  <c r="AC34" i="16"/>
  <c r="K31" i="22"/>
  <c r="X31" i="22"/>
  <c r="L31" i="22"/>
  <c r="A32" i="22"/>
  <c r="AB31" i="22"/>
  <c r="AJ31" i="22"/>
  <c r="AK31" i="22"/>
  <c r="O31" i="22"/>
  <c r="AC31" i="22"/>
  <c r="K29" i="24"/>
  <c r="A30" i="24"/>
  <c r="X29" i="24"/>
  <c r="AE56" i="7"/>
  <c r="AB29" i="24"/>
  <c r="L29" i="24"/>
  <c r="AK29" i="24"/>
  <c r="AJ29" i="24"/>
  <c r="K28" i="25"/>
  <c r="AB28" i="25"/>
  <c r="A29" i="25"/>
  <c r="L28" i="25"/>
  <c r="X28" i="25"/>
  <c r="AJ28" i="25"/>
  <c r="AK28" i="25"/>
  <c r="K34" i="17"/>
  <c r="X34" i="17"/>
  <c r="L34" i="17"/>
  <c r="A35" i="17"/>
  <c r="AB34" i="17"/>
  <c r="AJ34" i="17"/>
  <c r="AK34" i="17"/>
  <c r="O34" i="17"/>
  <c r="AC34" i="17"/>
  <c r="AF44" i="7"/>
  <c r="S35" i="1"/>
  <c r="R35" i="1" s="1"/>
  <c r="P35" i="1" s="1"/>
  <c r="V35" i="1" s="1"/>
  <c r="A34" i="18"/>
  <c r="K33" i="18"/>
  <c r="X33" i="18"/>
  <c r="AB33" i="18"/>
  <c r="L33" i="18"/>
  <c r="AK33" i="18"/>
  <c r="O33" i="18"/>
  <c r="AJ33" i="18"/>
  <c r="AC33" i="18"/>
  <c r="AA33" i="1"/>
  <c r="Z33" i="1" s="1"/>
  <c r="Y33" i="1" s="1"/>
  <c r="I33" i="1"/>
  <c r="K32" i="20"/>
  <c r="A33" i="20"/>
  <c r="AB32" i="20"/>
  <c r="L32" i="20"/>
  <c r="X32" i="20"/>
  <c r="AK32" i="20"/>
  <c r="AJ32" i="20"/>
  <c r="O32" i="20"/>
  <c r="AC32" i="20"/>
  <c r="X30" i="23"/>
  <c r="L30" i="23"/>
  <c r="AB30" i="23"/>
  <c r="K30" i="23"/>
  <c r="A31" i="23"/>
  <c r="AJ30" i="23"/>
  <c r="AK30" i="23"/>
  <c r="AC30" i="23"/>
  <c r="AB36" i="1"/>
  <c r="L36" i="1"/>
  <c r="A37" i="1"/>
  <c r="AK36" i="1"/>
  <c r="X36" i="1"/>
  <c r="O36" i="1"/>
  <c r="K36" i="1"/>
  <c r="AJ36" i="1"/>
  <c r="Q36" i="1"/>
  <c r="AC36" i="1"/>
  <c r="U36" i="1"/>
  <c r="O10" i="23" l="1"/>
  <c r="O31" i="23" s="1"/>
  <c r="AC10" i="23"/>
  <c r="AC30" i="24" s="1"/>
  <c r="E35" i="15"/>
  <c r="AB36" i="15"/>
  <c r="O36" i="15"/>
  <c r="L36" i="15"/>
  <c r="D36" i="15" s="1"/>
  <c r="AJ36" i="15"/>
  <c r="A37" i="15"/>
  <c r="AK36" i="15"/>
  <c r="K36" i="15"/>
  <c r="X36" i="15"/>
  <c r="AC36" i="15"/>
  <c r="Y31" i="1"/>
  <c r="E34" i="16"/>
  <c r="L35" i="16"/>
  <c r="D35" i="16" s="1"/>
  <c r="K35" i="16"/>
  <c r="AK35" i="16"/>
  <c r="AC35" i="16"/>
  <c r="A36" i="16"/>
  <c r="AB35" i="16"/>
  <c r="X35" i="16"/>
  <c r="AJ35" i="16"/>
  <c r="O35" i="16"/>
  <c r="I34" i="1"/>
  <c r="AA34" i="1"/>
  <c r="Z34" i="1" s="1"/>
  <c r="Y34" i="1" s="1"/>
  <c r="X35" i="17"/>
  <c r="A36" i="17"/>
  <c r="L35" i="17"/>
  <c r="AB35" i="17"/>
  <c r="K35" i="17"/>
  <c r="AJ35" i="17"/>
  <c r="AK35" i="17"/>
  <c r="AC35" i="17"/>
  <c r="O35" i="17"/>
  <c r="K29" i="25"/>
  <c r="X29" i="25"/>
  <c r="AB29" i="25"/>
  <c r="L29" i="25"/>
  <c r="AE68" i="7"/>
  <c r="A30" i="25"/>
  <c r="AJ29" i="25"/>
  <c r="AK29" i="25"/>
  <c r="T36" i="1"/>
  <c r="L37" i="1"/>
  <c r="K37" i="1"/>
  <c r="AJ37" i="1"/>
  <c r="O37" i="1"/>
  <c r="A38" i="1"/>
  <c r="Q37" i="1"/>
  <c r="AB37" i="1"/>
  <c r="X37" i="1"/>
  <c r="AC37" i="1"/>
  <c r="AK37" i="1"/>
  <c r="U37" i="1"/>
  <c r="T37" i="1" s="1"/>
  <c r="K31" i="23"/>
  <c r="X31" i="23"/>
  <c r="A32" i="23"/>
  <c r="AB31" i="23"/>
  <c r="L31" i="23"/>
  <c r="AJ31" i="23"/>
  <c r="AK31" i="23"/>
  <c r="AC31" i="23"/>
  <c r="AB33" i="20"/>
  <c r="X33" i="20"/>
  <c r="A34" i="20"/>
  <c r="L33" i="20"/>
  <c r="K33" i="20"/>
  <c r="AJ33" i="20"/>
  <c r="AK33" i="20"/>
  <c r="O33" i="20"/>
  <c r="AC33" i="20"/>
  <c r="A35" i="18"/>
  <c r="X34" i="18"/>
  <c r="K34" i="18"/>
  <c r="AB34" i="18"/>
  <c r="L34" i="18"/>
  <c r="AJ34" i="18"/>
  <c r="AK34" i="18"/>
  <c r="O34" i="18"/>
  <c r="AC34" i="18"/>
  <c r="AF56" i="7"/>
  <c r="L30" i="24"/>
  <c r="A31" i="24"/>
  <c r="X30" i="24"/>
  <c r="AB30" i="24"/>
  <c r="K30" i="24"/>
  <c r="AJ30" i="24"/>
  <c r="AK30" i="24"/>
  <c r="A33" i="22"/>
  <c r="K32" i="22"/>
  <c r="AB32" i="22"/>
  <c r="X32" i="22"/>
  <c r="L32" i="22"/>
  <c r="AJ32" i="22"/>
  <c r="AK32" i="22"/>
  <c r="O32" i="22"/>
  <c r="AC32" i="22"/>
  <c r="AC28" i="24" l="1"/>
  <c r="AC26" i="24"/>
  <c r="AC17" i="24"/>
  <c r="AC22" i="24"/>
  <c r="AC15" i="24"/>
  <c r="AC19" i="24"/>
  <c r="AC23" i="24"/>
  <c r="AC27" i="24"/>
  <c r="AC16" i="24"/>
  <c r="AC20" i="24"/>
  <c r="AC24" i="24"/>
  <c r="AC18" i="24"/>
  <c r="AC21" i="24"/>
  <c r="AC25" i="24"/>
  <c r="AC29" i="24"/>
  <c r="O27" i="23"/>
  <c r="AS13" i="7"/>
  <c r="AY10" i="7" s="1"/>
  <c r="O16" i="23"/>
  <c r="O26" i="23"/>
  <c r="O24" i="23"/>
  <c r="O18" i="23"/>
  <c r="O23" i="23"/>
  <c r="O19" i="23"/>
  <c r="O29" i="23"/>
  <c r="AG44" i="7" s="1"/>
  <c r="O22" i="23"/>
  <c r="O15" i="23"/>
  <c r="O20" i="23"/>
  <c r="O28" i="23"/>
  <c r="O25" i="23"/>
  <c r="O21" i="23"/>
  <c r="O17" i="23"/>
  <c r="O30" i="23"/>
  <c r="L37" i="15"/>
  <c r="D37" i="15" s="1"/>
  <c r="AJ37" i="15"/>
  <c r="AB37" i="15"/>
  <c r="AK37" i="15"/>
  <c r="K37" i="15"/>
  <c r="X37" i="15"/>
  <c r="AC37" i="15"/>
  <c r="A38" i="15"/>
  <c r="O37" i="15"/>
  <c r="E36" i="15"/>
  <c r="AB36" i="16"/>
  <c r="X36" i="16"/>
  <c r="AJ36" i="16"/>
  <c r="AC36" i="16"/>
  <c r="L36" i="16"/>
  <c r="D36" i="16" s="1"/>
  <c r="AK36" i="16"/>
  <c r="K36" i="16"/>
  <c r="A37" i="16"/>
  <c r="O36" i="16"/>
  <c r="E35" i="16"/>
  <c r="X33" i="22"/>
  <c r="AB33" i="22"/>
  <c r="A34" i="22"/>
  <c r="K33" i="22"/>
  <c r="L33" i="22"/>
  <c r="AJ33" i="22"/>
  <c r="AK33" i="22"/>
  <c r="O33" i="22"/>
  <c r="AC33" i="22"/>
  <c r="AB31" i="24"/>
  <c r="A32" i="24"/>
  <c r="L31" i="24"/>
  <c r="X31" i="24"/>
  <c r="K31" i="24"/>
  <c r="AJ31" i="24"/>
  <c r="AK31" i="24"/>
  <c r="AC31" i="24"/>
  <c r="K35" i="18"/>
  <c r="L35" i="18"/>
  <c r="X35" i="18"/>
  <c r="AB35" i="18"/>
  <c r="A36" i="18"/>
  <c r="O35" i="18"/>
  <c r="AK35" i="18"/>
  <c r="AJ35" i="18"/>
  <c r="AC35" i="18"/>
  <c r="A33" i="23"/>
  <c r="K32" i="23"/>
  <c r="AB32" i="23"/>
  <c r="X32" i="23"/>
  <c r="L32" i="23"/>
  <c r="AJ32" i="23"/>
  <c r="AK32" i="23"/>
  <c r="O32" i="23"/>
  <c r="AC32" i="23"/>
  <c r="X36" i="17"/>
  <c r="K36" i="17"/>
  <c r="L36" i="17"/>
  <c r="AB36" i="17"/>
  <c r="A37" i="17"/>
  <c r="AJ36" i="17"/>
  <c r="AK36" i="17"/>
  <c r="AC36" i="17"/>
  <c r="O36" i="17"/>
  <c r="A35" i="20"/>
  <c r="L34" i="20"/>
  <c r="X34" i="20"/>
  <c r="K34" i="20"/>
  <c r="AB34" i="20"/>
  <c r="AJ34" i="20"/>
  <c r="AK34" i="20"/>
  <c r="O34" i="20"/>
  <c r="AC34" i="20"/>
  <c r="S37" i="1"/>
  <c r="R37" i="1" s="1"/>
  <c r="P37" i="1" s="1"/>
  <c r="V37" i="1" s="1"/>
  <c r="K38" i="1"/>
  <c r="X38" i="1"/>
  <c r="A39" i="1"/>
  <c r="AK38" i="1"/>
  <c r="AJ38" i="1"/>
  <c r="AB38" i="1"/>
  <c r="Q38" i="1"/>
  <c r="L38" i="1"/>
  <c r="AC38" i="1"/>
  <c r="O38" i="1"/>
  <c r="U38" i="1"/>
  <c r="T38" i="1" s="1"/>
  <c r="S36" i="1"/>
  <c r="R36" i="1" s="1"/>
  <c r="P36" i="1" s="1"/>
  <c r="V36" i="1" s="1"/>
  <c r="A31" i="25"/>
  <c r="K30" i="25"/>
  <c r="X30" i="25"/>
  <c r="L30" i="25"/>
  <c r="AB30" i="25"/>
  <c r="AK30" i="25"/>
  <c r="AJ30" i="25"/>
  <c r="AF68" i="7"/>
  <c r="I35" i="1"/>
  <c r="AA35" i="1"/>
  <c r="Z35" i="1" s="1"/>
  <c r="Y35" i="1" s="1"/>
  <c r="E7" i="24" l="1"/>
  <c r="E8" i="24"/>
  <c r="K19" i="19" s="1"/>
  <c r="K43" i="19" s="1"/>
  <c r="L38" i="15"/>
  <c r="D38" i="15" s="1"/>
  <c r="AK38" i="15"/>
  <c r="A39" i="15"/>
  <c r="AJ38" i="15"/>
  <c r="AB38" i="15"/>
  <c r="X38" i="15"/>
  <c r="O38" i="15"/>
  <c r="K38" i="15"/>
  <c r="AC38" i="15"/>
  <c r="E37" i="15"/>
  <c r="I37" i="1"/>
  <c r="X37" i="16"/>
  <c r="K37" i="16"/>
  <c r="A38" i="16"/>
  <c r="AJ37" i="16"/>
  <c r="O37" i="16"/>
  <c r="AB37" i="16"/>
  <c r="L37" i="16"/>
  <c r="D37" i="16" s="1"/>
  <c r="E37" i="16" s="1"/>
  <c r="AK37" i="16"/>
  <c r="AC37" i="16"/>
  <c r="E36" i="16"/>
  <c r="X31" i="25"/>
  <c r="A32" i="25"/>
  <c r="K31" i="25"/>
  <c r="L31" i="25"/>
  <c r="AB31" i="25"/>
  <c r="AJ31" i="25"/>
  <c r="AK31" i="25"/>
  <c r="AA36" i="1"/>
  <c r="Z36" i="1" s="1"/>
  <c r="Y36" i="1" s="1"/>
  <c r="I36" i="1"/>
  <c r="S38" i="1"/>
  <c r="R38" i="1" s="1"/>
  <c r="P38" i="1" s="1"/>
  <c r="V38" i="1" s="1"/>
  <c r="AJ39" i="1"/>
  <c r="A40" i="1"/>
  <c r="X39" i="1"/>
  <c r="K39" i="1"/>
  <c r="AK39" i="1"/>
  <c r="AB39" i="1"/>
  <c r="L39" i="1"/>
  <c r="AC39" i="1"/>
  <c r="O39" i="1"/>
  <c r="Q39" i="1"/>
  <c r="U39" i="1"/>
  <c r="T39" i="1" s="1"/>
  <c r="S39" i="1" s="1"/>
  <c r="R39" i="1" s="1"/>
  <c r="AB35" i="20"/>
  <c r="A36" i="20"/>
  <c r="X35" i="20"/>
  <c r="K35" i="20"/>
  <c r="L35" i="20"/>
  <c r="AJ35" i="20"/>
  <c r="AK35" i="20"/>
  <c r="O35" i="20"/>
  <c r="AC35" i="20"/>
  <c r="K37" i="17"/>
  <c r="X37" i="17"/>
  <c r="L37" i="17"/>
  <c r="AB37" i="17"/>
  <c r="A38" i="17"/>
  <c r="AK37" i="17"/>
  <c r="AJ37" i="17"/>
  <c r="AC37" i="17"/>
  <c r="O37" i="17"/>
  <c r="A34" i="23"/>
  <c r="X33" i="23"/>
  <c r="AB33" i="23"/>
  <c r="K33" i="23"/>
  <c r="L33" i="23"/>
  <c r="AK33" i="23"/>
  <c r="AJ33" i="23"/>
  <c r="O33" i="23"/>
  <c r="AC33" i="23"/>
  <c r="X36" i="18"/>
  <c r="L36" i="18"/>
  <c r="K36" i="18"/>
  <c r="A37" i="18"/>
  <c r="AB36" i="18"/>
  <c r="AK36" i="18"/>
  <c r="O36" i="18"/>
  <c r="AJ36" i="18"/>
  <c r="AC36" i="18"/>
  <c r="K32" i="24"/>
  <c r="L32" i="24"/>
  <c r="X32" i="24"/>
  <c r="A33" i="24"/>
  <c r="AB32" i="24"/>
  <c r="AJ32" i="24"/>
  <c r="AK32" i="24"/>
  <c r="AC32" i="24"/>
  <c r="X34" i="22"/>
  <c r="L34" i="22"/>
  <c r="AB34" i="22"/>
  <c r="A35" i="22"/>
  <c r="K34" i="22"/>
  <c r="AJ34" i="22"/>
  <c r="AK34" i="22"/>
  <c r="O34" i="22"/>
  <c r="AC34" i="22"/>
  <c r="O10" i="24" l="1"/>
  <c r="AC10" i="24"/>
  <c r="AA37" i="1"/>
  <c r="Z37" i="1" s="1"/>
  <c r="Y37" i="1" s="1"/>
  <c r="X39" i="15"/>
  <c r="AB39" i="15"/>
  <c r="AC39" i="15"/>
  <c r="A40" i="15"/>
  <c r="O39" i="15"/>
  <c r="K39" i="15"/>
  <c r="AJ39" i="15"/>
  <c r="L39" i="15"/>
  <c r="D39" i="15" s="1"/>
  <c r="AK39" i="15"/>
  <c r="E38" i="15"/>
  <c r="P39" i="1"/>
  <c r="V39" i="1" s="1"/>
  <c r="A39" i="16"/>
  <c r="X38" i="16"/>
  <c r="AJ38" i="16"/>
  <c r="AC38" i="16"/>
  <c r="L38" i="16"/>
  <c r="D38" i="16" s="1"/>
  <c r="AB38" i="16"/>
  <c r="K38" i="16"/>
  <c r="AK38" i="16"/>
  <c r="O38" i="16"/>
  <c r="X33" i="24"/>
  <c r="AB33" i="24"/>
  <c r="K33" i="24"/>
  <c r="L33" i="24"/>
  <c r="A34" i="24"/>
  <c r="AJ33" i="24"/>
  <c r="AK33" i="24"/>
  <c r="O33" i="24"/>
  <c r="AC33" i="24"/>
  <c r="AB38" i="17"/>
  <c r="L38" i="17"/>
  <c r="K38" i="17"/>
  <c r="X38" i="17"/>
  <c r="A39" i="17"/>
  <c r="AJ38" i="17"/>
  <c r="AK38" i="17"/>
  <c r="AC38" i="17"/>
  <c r="O38" i="17"/>
  <c r="A37" i="20"/>
  <c r="X36" i="20"/>
  <c r="L36" i="20"/>
  <c r="AB36" i="20"/>
  <c r="K36" i="20"/>
  <c r="AJ36" i="20"/>
  <c r="AK36" i="20"/>
  <c r="O36" i="20"/>
  <c r="AC36" i="20"/>
  <c r="AB35" i="22"/>
  <c r="K35" i="22"/>
  <c r="X35" i="22"/>
  <c r="A36" i="22"/>
  <c r="L35" i="22"/>
  <c r="AJ35" i="22"/>
  <c r="AK35" i="22"/>
  <c r="O35" i="22"/>
  <c r="AC35" i="22"/>
  <c r="A38" i="18"/>
  <c r="L37" i="18"/>
  <c r="AB37" i="18"/>
  <c r="X37" i="18"/>
  <c r="K37" i="18"/>
  <c r="AJ37" i="18"/>
  <c r="O37" i="18"/>
  <c r="AK37" i="18"/>
  <c r="AC37" i="18"/>
  <c r="A35" i="23"/>
  <c r="L34" i="23"/>
  <c r="X34" i="23"/>
  <c r="K34" i="23"/>
  <c r="AB34" i="23"/>
  <c r="AJ34" i="23"/>
  <c r="AK34" i="23"/>
  <c r="O34" i="23"/>
  <c r="AC34" i="23"/>
  <c r="O40" i="1"/>
  <c r="A41" i="1"/>
  <c r="AC40" i="1"/>
  <c r="L40" i="1"/>
  <c r="AB40" i="1"/>
  <c r="Q40" i="1"/>
  <c r="K40" i="1"/>
  <c r="AK40" i="1"/>
  <c r="AJ40" i="1"/>
  <c r="X40" i="1"/>
  <c r="U40" i="1"/>
  <c r="AB32" i="25"/>
  <c r="A33" i="25"/>
  <c r="X32" i="25"/>
  <c r="K32" i="25"/>
  <c r="L32" i="25"/>
  <c r="AJ32" i="25"/>
  <c r="AK32" i="25"/>
  <c r="AC28" i="25" l="1"/>
  <c r="AC18" i="25"/>
  <c r="AC21" i="25"/>
  <c r="AC25" i="25"/>
  <c r="AC15" i="25"/>
  <c r="AC20" i="25"/>
  <c r="AC24" i="25"/>
  <c r="AC29" i="25"/>
  <c r="AC26" i="25"/>
  <c r="AC16" i="25"/>
  <c r="AC23" i="25"/>
  <c r="AC19" i="25"/>
  <c r="AC17" i="25"/>
  <c r="AC22" i="25"/>
  <c r="AC27" i="25"/>
  <c r="AC30" i="25"/>
  <c r="AC31" i="25"/>
  <c r="AC32" i="25"/>
  <c r="O27" i="24"/>
  <c r="O17" i="24"/>
  <c r="O22" i="24"/>
  <c r="O26" i="24"/>
  <c r="O18" i="24"/>
  <c r="O19" i="24"/>
  <c r="O23" i="24"/>
  <c r="O28" i="24"/>
  <c r="O30" i="24"/>
  <c r="O29" i="24"/>
  <c r="AG56" i="7" s="1"/>
  <c r="O15" i="24"/>
  <c r="O20" i="24"/>
  <c r="O24" i="24"/>
  <c r="AY13" i="7"/>
  <c r="BE10" i="7" s="1"/>
  <c r="O16" i="24"/>
  <c r="O21" i="24"/>
  <c r="O25" i="24"/>
  <c r="O31" i="24"/>
  <c r="O32" i="24"/>
  <c r="E39" i="15"/>
  <c r="L40" i="15"/>
  <c r="D40" i="15" s="1"/>
  <c r="AB40" i="15"/>
  <c r="AC40" i="15"/>
  <c r="X40" i="15"/>
  <c r="O40" i="15"/>
  <c r="E40" i="15" s="1"/>
  <c r="K40" i="15"/>
  <c r="AJ40" i="15"/>
  <c r="A41" i="15"/>
  <c r="AK40" i="15"/>
  <c r="E38" i="16"/>
  <c r="AB39" i="16"/>
  <c r="K39" i="16"/>
  <c r="X39" i="16"/>
  <c r="AJ39" i="16"/>
  <c r="O39" i="16"/>
  <c r="L39" i="16"/>
  <c r="D39" i="16" s="1"/>
  <c r="A40" i="16"/>
  <c r="AK39" i="16"/>
  <c r="AC39" i="16"/>
  <c r="Q41" i="1"/>
  <c r="L41" i="1"/>
  <c r="O41" i="1"/>
  <c r="A42" i="1"/>
  <c r="K41" i="1"/>
  <c r="AJ41" i="1"/>
  <c r="X41" i="1"/>
  <c r="AC41" i="1"/>
  <c r="AK41" i="1"/>
  <c r="AB41" i="1"/>
  <c r="U41" i="1"/>
  <c r="T41" i="1" s="1"/>
  <c r="A39" i="18"/>
  <c r="X38" i="18"/>
  <c r="K38" i="18"/>
  <c r="AB38" i="18"/>
  <c r="L38" i="18"/>
  <c r="O38" i="18"/>
  <c r="AJ38" i="18"/>
  <c r="AK38" i="18"/>
  <c r="AC38" i="18"/>
  <c r="AB36" i="22"/>
  <c r="L36" i="22"/>
  <c r="K36" i="22"/>
  <c r="X36" i="22"/>
  <c r="A37" i="22"/>
  <c r="AJ36" i="22"/>
  <c r="AK36" i="22"/>
  <c r="O36" i="22"/>
  <c r="AC36" i="22"/>
  <c r="I39" i="1"/>
  <c r="AA39" i="1"/>
  <c r="Z39" i="1" s="1"/>
  <c r="Y39" i="1" s="1"/>
  <c r="X37" i="20"/>
  <c r="K37" i="20"/>
  <c r="A38" i="20"/>
  <c r="AB37" i="20"/>
  <c r="L37" i="20"/>
  <c r="AJ37" i="20"/>
  <c r="AK37" i="20"/>
  <c r="O37" i="20"/>
  <c r="AC37" i="20"/>
  <c r="K33" i="25"/>
  <c r="A34" i="25"/>
  <c r="L33" i="25"/>
  <c r="AB33" i="25"/>
  <c r="X33" i="25"/>
  <c r="AJ33" i="25"/>
  <c r="AK33" i="25"/>
  <c r="AC33" i="25"/>
  <c r="T40" i="1"/>
  <c r="X35" i="23"/>
  <c r="A36" i="23"/>
  <c r="AB35" i="23"/>
  <c r="L35" i="23"/>
  <c r="K35" i="23"/>
  <c r="AK35" i="23"/>
  <c r="AJ35" i="23"/>
  <c r="O35" i="23"/>
  <c r="AC35" i="23"/>
  <c r="K39" i="17"/>
  <c r="L39" i="17"/>
  <c r="A40" i="17"/>
  <c r="X39" i="17"/>
  <c r="AB39" i="17"/>
  <c r="AK39" i="17"/>
  <c r="AJ39" i="17"/>
  <c r="AC39" i="17"/>
  <c r="O39" i="17"/>
  <c r="X34" i="24"/>
  <c r="L34" i="24"/>
  <c r="K34" i="24"/>
  <c r="AB34" i="24"/>
  <c r="A35" i="24"/>
  <c r="AJ34" i="24"/>
  <c r="AK34" i="24"/>
  <c r="O34" i="24"/>
  <c r="AC34" i="24"/>
  <c r="I38" i="1"/>
  <c r="AA38" i="1"/>
  <c r="Z38" i="1" s="1"/>
  <c r="Y38" i="1" s="1"/>
  <c r="E7" i="25" l="1"/>
  <c r="E8" i="25"/>
  <c r="K20" i="19" s="1"/>
  <c r="K44" i="19" s="1"/>
  <c r="AB41" i="15"/>
  <c r="A42" i="15"/>
  <c r="AC41" i="15"/>
  <c r="X41" i="15"/>
  <c r="O41" i="15"/>
  <c r="K41" i="15"/>
  <c r="AJ41" i="15"/>
  <c r="L41" i="15"/>
  <c r="D41" i="15" s="1"/>
  <c r="AK41" i="15"/>
  <c r="E39" i="16"/>
  <c r="X40" i="16"/>
  <c r="K40" i="16"/>
  <c r="AK40" i="16"/>
  <c r="AC40" i="16"/>
  <c r="A41" i="16"/>
  <c r="L40" i="16"/>
  <c r="D40" i="16" s="1"/>
  <c r="AB40" i="16"/>
  <c r="AJ40" i="16"/>
  <c r="O40" i="16"/>
  <c r="A36" i="24"/>
  <c r="X35" i="24"/>
  <c r="K35" i="24"/>
  <c r="L35" i="24"/>
  <c r="AB35" i="24"/>
  <c r="AJ35" i="24"/>
  <c r="AK35" i="24"/>
  <c r="O35" i="24"/>
  <c r="AC35" i="24"/>
  <c r="X36" i="23"/>
  <c r="AB36" i="23"/>
  <c r="L36" i="23"/>
  <c r="K36" i="23"/>
  <c r="A37" i="23"/>
  <c r="AJ36" i="23"/>
  <c r="AK36" i="23"/>
  <c r="O36" i="23"/>
  <c r="AC36" i="23"/>
  <c r="X38" i="20"/>
  <c r="A39" i="20"/>
  <c r="L38" i="20"/>
  <c r="K38" i="20"/>
  <c r="AB38" i="20"/>
  <c r="AJ38" i="20"/>
  <c r="AK38" i="20"/>
  <c r="O38" i="20"/>
  <c r="AC38" i="20"/>
  <c r="AB37" i="22"/>
  <c r="K37" i="22"/>
  <c r="L37" i="22"/>
  <c r="X37" i="22"/>
  <c r="A38" i="22"/>
  <c r="AJ37" i="22"/>
  <c r="AK37" i="22"/>
  <c r="O37" i="22"/>
  <c r="AC37" i="22"/>
  <c r="AB39" i="18"/>
  <c r="X39" i="18"/>
  <c r="A40" i="18"/>
  <c r="L39" i="18"/>
  <c r="K39" i="18"/>
  <c r="AJ39" i="18"/>
  <c r="AK39" i="18"/>
  <c r="O39" i="18"/>
  <c r="AC39" i="18"/>
  <c r="S41" i="1"/>
  <c r="R41" i="1" s="1"/>
  <c r="P41" i="1" s="1"/>
  <c r="V41" i="1" s="1"/>
  <c r="A41" i="17"/>
  <c r="L40" i="17"/>
  <c r="X40" i="17"/>
  <c r="AB40" i="17"/>
  <c r="K40" i="17"/>
  <c r="AJ40" i="17"/>
  <c r="AK40" i="17"/>
  <c r="AC40" i="17"/>
  <c r="O40" i="17"/>
  <c r="S40" i="1"/>
  <c r="R40" i="1" s="1"/>
  <c r="P40" i="1" s="1"/>
  <c r="AB34" i="25"/>
  <c r="A35" i="25"/>
  <c r="X34" i="25"/>
  <c r="K34" i="25"/>
  <c r="L34" i="25"/>
  <c r="AJ34" i="25"/>
  <c r="AK34" i="25"/>
  <c r="AC34" i="25"/>
  <c r="A43" i="1"/>
  <c r="O42" i="1"/>
  <c r="X42" i="1"/>
  <c r="K42" i="1"/>
  <c r="L42" i="1"/>
  <c r="Q42" i="1"/>
  <c r="AB42" i="1"/>
  <c r="AJ42" i="1"/>
  <c r="AK42" i="1"/>
  <c r="AC42" i="1"/>
  <c r="U42" i="1"/>
  <c r="T42" i="1" s="1"/>
  <c r="O10" i="25" l="1"/>
  <c r="AC10" i="25"/>
  <c r="AB42" i="15"/>
  <c r="AK42" i="15"/>
  <c r="L42" i="15"/>
  <c r="D42" i="15" s="1"/>
  <c r="AJ42" i="15"/>
  <c r="X42" i="15"/>
  <c r="A43" i="15"/>
  <c r="O42" i="15"/>
  <c r="K42" i="15"/>
  <c r="AC42" i="15"/>
  <c r="E41" i="15"/>
  <c r="E40" i="16"/>
  <c r="K41" i="16"/>
  <c r="L41" i="16"/>
  <c r="D41" i="16" s="1"/>
  <c r="X41" i="16"/>
  <c r="AK41" i="16"/>
  <c r="O41" i="16"/>
  <c r="A42" i="16"/>
  <c r="AB41" i="16"/>
  <c r="AJ41" i="16"/>
  <c r="AC41" i="16"/>
  <c r="V40" i="1"/>
  <c r="I41" i="1"/>
  <c r="AA41" i="1"/>
  <c r="Z41" i="1" s="1"/>
  <c r="Y41" i="1" s="1"/>
  <c r="X35" i="25"/>
  <c r="K35" i="25"/>
  <c r="L35" i="25"/>
  <c r="A36" i="25"/>
  <c r="AB35" i="25"/>
  <c r="AK35" i="25"/>
  <c r="AJ35" i="25"/>
  <c r="O35" i="25"/>
  <c r="AC35" i="25"/>
  <c r="K38" i="22"/>
  <c r="X38" i="22"/>
  <c r="A39" i="22"/>
  <c r="AB38" i="22"/>
  <c r="L38" i="22"/>
  <c r="AJ38" i="22"/>
  <c r="AK38" i="22"/>
  <c r="O38" i="22"/>
  <c r="AC38" i="22"/>
  <c r="A40" i="20"/>
  <c r="K39" i="20"/>
  <c r="AB39" i="20"/>
  <c r="L39" i="20"/>
  <c r="X39" i="20"/>
  <c r="AJ39" i="20"/>
  <c r="AK39" i="20"/>
  <c r="O39" i="20"/>
  <c r="AC39" i="20"/>
  <c r="K37" i="23"/>
  <c r="X37" i="23"/>
  <c r="A38" i="23"/>
  <c r="L37" i="23"/>
  <c r="AB37" i="23"/>
  <c r="AJ37" i="23"/>
  <c r="AK37" i="23"/>
  <c r="O37" i="23"/>
  <c r="AC37" i="23"/>
  <c r="X36" i="24"/>
  <c r="A37" i="24"/>
  <c r="L36" i="24"/>
  <c r="K36" i="24"/>
  <c r="AB36" i="24"/>
  <c r="AK36" i="24"/>
  <c r="AJ36" i="24"/>
  <c r="O36" i="24"/>
  <c r="AC36" i="24"/>
  <c r="S42" i="1"/>
  <c r="R42" i="1" s="1"/>
  <c r="P42" i="1" s="1"/>
  <c r="V42" i="1" s="1"/>
  <c r="K43" i="1"/>
  <c r="O43" i="1"/>
  <c r="AC43" i="1"/>
  <c r="Q43" i="1"/>
  <c r="A44" i="1"/>
  <c r="L43" i="1"/>
  <c r="AK43" i="1"/>
  <c r="X43" i="1"/>
  <c r="AB43" i="1"/>
  <c r="AJ43" i="1"/>
  <c r="U43" i="1"/>
  <c r="T43" i="1" s="1"/>
  <c r="L41" i="17"/>
  <c r="K41" i="17"/>
  <c r="A42" i="17"/>
  <c r="X41" i="17"/>
  <c r="AB41" i="17"/>
  <c r="AK41" i="17"/>
  <c r="AJ41" i="17"/>
  <c r="AC41" i="17"/>
  <c r="O41" i="17"/>
  <c r="A41" i="18"/>
  <c r="AB40" i="18"/>
  <c r="K40" i="18"/>
  <c r="X40" i="18"/>
  <c r="L40" i="18"/>
  <c r="O40" i="18"/>
  <c r="AK40" i="18"/>
  <c r="AJ40" i="18"/>
  <c r="AC40" i="18"/>
  <c r="BE13" i="7" l="1"/>
  <c r="O32" i="25"/>
  <c r="O16" i="25"/>
  <c r="O21" i="25"/>
  <c r="O17" i="25"/>
  <c r="O26" i="25"/>
  <c r="O15" i="25"/>
  <c r="O29" i="25"/>
  <c r="AG68" i="7" s="1"/>
  <c r="O23" i="25"/>
  <c r="O20" i="25"/>
  <c r="O30" i="25"/>
  <c r="O18" i="25"/>
  <c r="O25" i="25"/>
  <c r="O28" i="25"/>
  <c r="O22" i="25"/>
  <c r="O27" i="25"/>
  <c r="O19" i="25"/>
  <c r="O24" i="25"/>
  <c r="O31" i="25"/>
  <c r="O33" i="25"/>
  <c r="O34" i="25"/>
  <c r="AB43" i="15"/>
  <c r="AK43" i="15"/>
  <c r="L43" i="15"/>
  <c r="D43" i="15" s="1"/>
  <c r="K43" i="15"/>
  <c r="O43" i="15"/>
  <c r="E43" i="15" s="1"/>
  <c r="X43" i="15"/>
  <c r="AC43" i="15"/>
  <c r="A44" i="15"/>
  <c r="AJ43" i="15"/>
  <c r="E42" i="15"/>
  <c r="I42" i="1"/>
  <c r="E41" i="16"/>
  <c r="A43" i="16"/>
  <c r="AB42" i="16"/>
  <c r="L42" i="16"/>
  <c r="D42" i="16" s="1"/>
  <c r="AK42" i="16"/>
  <c r="O42" i="16"/>
  <c r="X42" i="16"/>
  <c r="K42" i="16"/>
  <c r="AJ42" i="16"/>
  <c r="AC42" i="16"/>
  <c r="K42" i="17"/>
  <c r="L42" i="17"/>
  <c r="X42" i="17"/>
  <c r="AB42" i="17"/>
  <c r="A43" i="17"/>
  <c r="AJ42" i="17"/>
  <c r="AK42" i="17"/>
  <c r="AC42" i="17"/>
  <c r="O42" i="17"/>
  <c r="S43" i="1"/>
  <c r="R43" i="1" s="1"/>
  <c r="P43" i="1" s="1"/>
  <c r="V43" i="1" s="1"/>
  <c r="AC44" i="1"/>
  <c r="AB44" i="1"/>
  <c r="Q44" i="1"/>
  <c r="AK44" i="1"/>
  <c r="L44" i="1"/>
  <c r="O44" i="1"/>
  <c r="K44" i="1"/>
  <c r="A45" i="1"/>
  <c r="AJ44" i="1"/>
  <c r="X44" i="1"/>
  <c r="U44" i="1"/>
  <c r="T44" i="1" s="1"/>
  <c r="X37" i="24"/>
  <c r="AB37" i="24"/>
  <c r="A38" i="24"/>
  <c r="L37" i="24"/>
  <c r="K37" i="24"/>
  <c r="AK37" i="24"/>
  <c r="AJ37" i="24"/>
  <c r="O37" i="24"/>
  <c r="AC37" i="24"/>
  <c r="A39" i="23"/>
  <c r="AB38" i="23"/>
  <c r="X38" i="23"/>
  <c r="K38" i="23"/>
  <c r="L38" i="23"/>
  <c r="AJ38" i="23"/>
  <c r="AK38" i="23"/>
  <c r="O38" i="23"/>
  <c r="AC38" i="23"/>
  <c r="AA40" i="1"/>
  <c r="Z40" i="1" s="1"/>
  <c r="Y40" i="1" s="1"/>
  <c r="I40" i="1"/>
  <c r="AB41" i="18"/>
  <c r="A42" i="18"/>
  <c r="K41" i="18"/>
  <c r="X41" i="18"/>
  <c r="L41" i="18"/>
  <c r="AK41" i="18"/>
  <c r="AJ41" i="18"/>
  <c r="O41" i="18"/>
  <c r="AC41" i="18"/>
  <c r="K40" i="20"/>
  <c r="L40" i="20"/>
  <c r="X40" i="20"/>
  <c r="AB40" i="20"/>
  <c r="A41" i="20"/>
  <c r="AJ40" i="20"/>
  <c r="AK40" i="20"/>
  <c r="O40" i="20"/>
  <c r="AC40" i="20"/>
  <c r="A40" i="22"/>
  <c r="K39" i="22"/>
  <c r="AB39" i="22"/>
  <c r="L39" i="22"/>
  <c r="X39" i="22"/>
  <c r="AJ39" i="22"/>
  <c r="AK39" i="22"/>
  <c r="O39" i="22"/>
  <c r="AC39" i="22"/>
  <c r="X36" i="25"/>
  <c r="L36" i="25"/>
  <c r="AB36" i="25"/>
  <c r="K36" i="25"/>
  <c r="A37" i="25"/>
  <c r="AJ36" i="25"/>
  <c r="AK36" i="25"/>
  <c r="O36" i="25"/>
  <c r="AC36" i="25"/>
  <c r="A45" i="15" l="1"/>
  <c r="AK44" i="15"/>
  <c r="X44" i="15"/>
  <c r="K44" i="15"/>
  <c r="O44" i="15"/>
  <c r="AB44" i="15"/>
  <c r="AC44" i="15"/>
  <c r="L44" i="15"/>
  <c r="D44" i="15" s="1"/>
  <c r="AJ44" i="15"/>
  <c r="AA42" i="1"/>
  <c r="Z42" i="1" s="1"/>
  <c r="Y42" i="1" s="1"/>
  <c r="E42" i="16"/>
  <c r="X43" i="16"/>
  <c r="L43" i="16"/>
  <c r="D43" i="16" s="1"/>
  <c r="A44" i="16"/>
  <c r="AJ43" i="16"/>
  <c r="O43" i="16"/>
  <c r="AB43" i="16"/>
  <c r="K43" i="16"/>
  <c r="AK43" i="16"/>
  <c r="AC43" i="16"/>
  <c r="AB37" i="25"/>
  <c r="X37" i="25"/>
  <c r="K37" i="25"/>
  <c r="A38" i="25"/>
  <c r="L37" i="25"/>
  <c r="AJ37" i="25"/>
  <c r="O37" i="25"/>
  <c r="AK37" i="25"/>
  <c r="AC37" i="25"/>
  <c r="AB40" i="22"/>
  <c r="A41" i="22"/>
  <c r="K40" i="22"/>
  <c r="X40" i="22"/>
  <c r="L40" i="22"/>
  <c r="AK40" i="22"/>
  <c r="AJ40" i="22"/>
  <c r="O40" i="22"/>
  <c r="AC40" i="22"/>
  <c r="AB38" i="24"/>
  <c r="L38" i="24"/>
  <c r="A39" i="24"/>
  <c r="K38" i="24"/>
  <c r="X38" i="24"/>
  <c r="AK38" i="24"/>
  <c r="AJ38" i="24"/>
  <c r="O38" i="24"/>
  <c r="AC38" i="24"/>
  <c r="AJ45" i="1"/>
  <c r="AC45" i="1"/>
  <c r="AB45" i="1"/>
  <c r="L45" i="1"/>
  <c r="A46" i="1"/>
  <c r="AK45" i="1"/>
  <c r="Q45" i="1"/>
  <c r="O45" i="1"/>
  <c r="K45" i="1"/>
  <c r="X45" i="1"/>
  <c r="U45" i="1"/>
  <c r="T45" i="1" s="1"/>
  <c r="A44" i="17"/>
  <c r="K43" i="17"/>
  <c r="L43" i="17"/>
  <c r="AB43" i="17"/>
  <c r="X43" i="17"/>
  <c r="AJ43" i="17"/>
  <c r="AK43" i="17"/>
  <c r="O43" i="17"/>
  <c r="AC43" i="17"/>
  <c r="A42" i="20"/>
  <c r="L41" i="20"/>
  <c r="AB41" i="20"/>
  <c r="X41" i="20"/>
  <c r="K41" i="20"/>
  <c r="AJ41" i="20"/>
  <c r="AK41" i="20"/>
  <c r="O41" i="20"/>
  <c r="AC41" i="20"/>
  <c r="X42" i="18"/>
  <c r="L42" i="18"/>
  <c r="A43" i="18"/>
  <c r="AB42" i="18"/>
  <c r="K42" i="18"/>
  <c r="AJ42" i="18"/>
  <c r="AK42" i="18"/>
  <c r="O42" i="18"/>
  <c r="AC42" i="18"/>
  <c r="X39" i="23"/>
  <c r="L39" i="23"/>
  <c r="K39" i="23"/>
  <c r="A40" i="23"/>
  <c r="AB39" i="23"/>
  <c r="AJ39" i="23"/>
  <c r="AK39" i="23"/>
  <c r="O39" i="23"/>
  <c r="AC39" i="23"/>
  <c r="S44" i="1"/>
  <c r="R44" i="1" s="1"/>
  <c r="P44" i="1" s="1"/>
  <c r="V44" i="1" s="1"/>
  <c r="E44" i="15" l="1"/>
  <c r="A46" i="15"/>
  <c r="AC45" i="15"/>
  <c r="L45" i="15"/>
  <c r="D45" i="15" s="1"/>
  <c r="AJ45" i="15"/>
  <c r="K45" i="15"/>
  <c r="AK45" i="15"/>
  <c r="AB45" i="15"/>
  <c r="X45" i="15"/>
  <c r="O45" i="15"/>
  <c r="E43" i="16"/>
  <c r="L44" i="16"/>
  <c r="D44" i="16" s="1"/>
  <c r="A45" i="16"/>
  <c r="AK44" i="16"/>
  <c r="AC44" i="16"/>
  <c r="AB44" i="16"/>
  <c r="K44" i="16"/>
  <c r="X44" i="16"/>
  <c r="AJ44" i="16"/>
  <c r="O44" i="16"/>
  <c r="AA44" i="1"/>
  <c r="Z44" i="1" s="1"/>
  <c r="Y44" i="1" s="1"/>
  <c r="AB40" i="23"/>
  <c r="L40" i="23"/>
  <c r="A41" i="23"/>
  <c r="K40" i="23"/>
  <c r="X40" i="23"/>
  <c r="AK40" i="23"/>
  <c r="AJ40" i="23"/>
  <c r="O40" i="23"/>
  <c r="AC40" i="23"/>
  <c r="A44" i="18"/>
  <c r="X43" i="18"/>
  <c r="L43" i="18"/>
  <c r="AB43" i="18"/>
  <c r="K43" i="18"/>
  <c r="O43" i="18"/>
  <c r="AJ43" i="18"/>
  <c r="AK43" i="18"/>
  <c r="AC43" i="18"/>
  <c r="AB42" i="20"/>
  <c r="K42" i="20"/>
  <c r="X42" i="20"/>
  <c r="L42" i="20"/>
  <c r="A43" i="20"/>
  <c r="AJ42" i="20"/>
  <c r="AK42" i="20"/>
  <c r="O42" i="20"/>
  <c r="AC42" i="20"/>
  <c r="A45" i="17"/>
  <c r="K44" i="17"/>
  <c r="L44" i="17"/>
  <c r="AB44" i="17"/>
  <c r="X44" i="17"/>
  <c r="AJ44" i="17"/>
  <c r="AK44" i="17"/>
  <c r="AC44" i="17"/>
  <c r="O44" i="17"/>
  <c r="AB39" i="24"/>
  <c r="L39" i="24"/>
  <c r="K39" i="24"/>
  <c r="X39" i="24"/>
  <c r="A40" i="24"/>
  <c r="AJ39" i="24"/>
  <c r="AK39" i="24"/>
  <c r="O39" i="24"/>
  <c r="AC39" i="24"/>
  <c r="AB38" i="25"/>
  <c r="A39" i="25"/>
  <c r="L38" i="25"/>
  <c r="X38" i="25"/>
  <c r="K38" i="25"/>
  <c r="AJ38" i="25"/>
  <c r="O38" i="25"/>
  <c r="AK38" i="25"/>
  <c r="AC38" i="25"/>
  <c r="S45" i="1"/>
  <c r="R45" i="1" s="1"/>
  <c r="P45" i="1" s="1"/>
  <c r="V45" i="1" s="1"/>
  <c r="X46" i="1"/>
  <c r="K46" i="1"/>
  <c r="AJ46" i="1"/>
  <c r="L46" i="1"/>
  <c r="O46" i="1"/>
  <c r="AC46" i="1"/>
  <c r="AK46" i="1"/>
  <c r="AB46" i="1"/>
  <c r="A47" i="1"/>
  <c r="U46" i="1"/>
  <c r="Q46" i="1"/>
  <c r="I43" i="1"/>
  <c r="AA43" i="1"/>
  <c r="Z43" i="1" s="1"/>
  <c r="Y43" i="1" s="1"/>
  <c r="X41" i="22"/>
  <c r="K41" i="22"/>
  <c r="A42" i="22"/>
  <c r="L41" i="22"/>
  <c r="AB41" i="22"/>
  <c r="AK41" i="22"/>
  <c r="AJ41" i="22"/>
  <c r="O41" i="22"/>
  <c r="AC41" i="22"/>
  <c r="E45" i="15" l="1"/>
  <c r="AB46" i="15"/>
  <c r="O46" i="15"/>
  <c r="L46" i="15"/>
  <c r="D46" i="15" s="1"/>
  <c r="AK46" i="15"/>
  <c r="X46" i="15"/>
  <c r="AJ46" i="15"/>
  <c r="A47" i="15"/>
  <c r="K46" i="15"/>
  <c r="AC46" i="15"/>
  <c r="I44" i="1"/>
  <c r="E44" i="16"/>
  <c r="X45" i="16"/>
  <c r="L45" i="16"/>
  <c r="D45" i="16" s="1"/>
  <c r="AK45" i="16"/>
  <c r="AC45" i="16"/>
  <c r="AB45" i="16"/>
  <c r="A46" i="16"/>
  <c r="K45" i="16"/>
  <c r="AJ45" i="16"/>
  <c r="O45" i="16"/>
  <c r="A43" i="22"/>
  <c r="L42" i="22"/>
  <c r="X42" i="22"/>
  <c r="K42" i="22"/>
  <c r="AB42" i="22"/>
  <c r="AJ42" i="22"/>
  <c r="AK42" i="22"/>
  <c r="O42" i="22"/>
  <c r="AC42" i="22"/>
  <c r="X47" i="1"/>
  <c r="AC47" i="1"/>
  <c r="K47" i="1"/>
  <c r="AJ47" i="1"/>
  <c r="Q47" i="1"/>
  <c r="A48" i="1"/>
  <c r="AB47" i="1"/>
  <c r="O47" i="1"/>
  <c r="AK47" i="1"/>
  <c r="L47" i="1"/>
  <c r="U47" i="1"/>
  <c r="T47" i="1" s="1"/>
  <c r="AB39" i="25"/>
  <c r="K39" i="25"/>
  <c r="X39" i="25"/>
  <c r="A40" i="25"/>
  <c r="L39" i="25"/>
  <c r="AJ39" i="25"/>
  <c r="AK39" i="25"/>
  <c r="O39" i="25"/>
  <c r="AC39" i="25"/>
  <c r="X45" i="17"/>
  <c r="A46" i="17"/>
  <c r="AB45" i="17"/>
  <c r="L45" i="17"/>
  <c r="K45" i="17"/>
  <c r="AK45" i="17"/>
  <c r="AJ45" i="17"/>
  <c r="AC45" i="17"/>
  <c r="O45" i="17"/>
  <c r="K44" i="18"/>
  <c r="X44" i="18"/>
  <c r="A45" i="18"/>
  <c r="AB44" i="18"/>
  <c r="L44" i="18"/>
  <c r="AJ44" i="18"/>
  <c r="AK44" i="18"/>
  <c r="O44" i="18"/>
  <c r="AC44" i="18"/>
  <c r="T46" i="1"/>
  <c r="A41" i="24"/>
  <c r="X40" i="24"/>
  <c r="AB40" i="24"/>
  <c r="K40" i="24"/>
  <c r="L40" i="24"/>
  <c r="AK40" i="24"/>
  <c r="O40" i="24"/>
  <c r="AJ40" i="24"/>
  <c r="AC40" i="24"/>
  <c r="AB43" i="20"/>
  <c r="K43" i="20"/>
  <c r="L43" i="20"/>
  <c r="A44" i="20"/>
  <c r="X43" i="20"/>
  <c r="AJ43" i="20"/>
  <c r="AK43" i="20"/>
  <c r="O43" i="20"/>
  <c r="AC43" i="20"/>
  <c r="AB41" i="23"/>
  <c r="X41" i="23"/>
  <c r="K41" i="23"/>
  <c r="A42" i="23"/>
  <c r="L41" i="23"/>
  <c r="AJ41" i="23"/>
  <c r="AK41" i="23"/>
  <c r="O41" i="23"/>
  <c r="AC41" i="23"/>
  <c r="E46" i="15" l="1"/>
  <c r="L47" i="15"/>
  <c r="D47" i="15" s="1"/>
  <c r="AJ47" i="15"/>
  <c r="A48" i="15"/>
  <c r="AK47" i="15"/>
  <c r="K47" i="15"/>
  <c r="X47" i="15"/>
  <c r="AC47" i="15"/>
  <c r="AB47" i="15"/>
  <c r="O47" i="15"/>
  <c r="K46" i="16"/>
  <c r="AB46" i="16"/>
  <c r="X46" i="16"/>
  <c r="AJ46" i="16"/>
  <c r="O46" i="16"/>
  <c r="A47" i="16"/>
  <c r="L46" i="16"/>
  <c r="D46" i="16" s="1"/>
  <c r="AK46" i="16"/>
  <c r="AC46" i="16"/>
  <c r="E45" i="16"/>
  <c r="X42" i="23"/>
  <c r="AB42" i="23"/>
  <c r="A43" i="23"/>
  <c r="L42" i="23"/>
  <c r="K42" i="23"/>
  <c r="AJ42" i="23"/>
  <c r="AK42" i="23"/>
  <c r="O42" i="23"/>
  <c r="AC42" i="23"/>
  <c r="AB48" i="1"/>
  <c r="AK48" i="1"/>
  <c r="K48" i="1"/>
  <c r="X48" i="1"/>
  <c r="L48" i="1"/>
  <c r="Q48" i="1"/>
  <c r="AJ48" i="1"/>
  <c r="AC48" i="1"/>
  <c r="O48" i="1"/>
  <c r="A49" i="1"/>
  <c r="U48" i="1"/>
  <c r="T48" i="1" s="1"/>
  <c r="AB43" i="22"/>
  <c r="L43" i="22"/>
  <c r="X43" i="22"/>
  <c r="A44" i="22"/>
  <c r="K43" i="22"/>
  <c r="AJ43" i="22"/>
  <c r="AK43" i="22"/>
  <c r="O43" i="22"/>
  <c r="AC43" i="22"/>
  <c r="AA45" i="1"/>
  <c r="Z45" i="1" s="1"/>
  <c r="Y45" i="1" s="1"/>
  <c r="I45" i="1"/>
  <c r="X44" i="20"/>
  <c r="A45" i="20"/>
  <c r="AB44" i="20"/>
  <c r="L44" i="20"/>
  <c r="K44" i="20"/>
  <c r="AK44" i="20"/>
  <c r="AJ44" i="20"/>
  <c r="O44" i="20"/>
  <c r="AC44" i="20"/>
  <c r="X41" i="24"/>
  <c r="A42" i="24"/>
  <c r="AB41" i="24"/>
  <c r="K41" i="24"/>
  <c r="L41" i="24"/>
  <c r="AJ41" i="24"/>
  <c r="AK41" i="24"/>
  <c r="O41" i="24"/>
  <c r="AC41" i="24"/>
  <c r="S46" i="1"/>
  <c r="R46" i="1" s="1"/>
  <c r="P46" i="1" s="1"/>
  <c r="A46" i="18"/>
  <c r="AB45" i="18"/>
  <c r="L45" i="18"/>
  <c r="K45" i="18"/>
  <c r="X45" i="18"/>
  <c r="O45" i="18"/>
  <c r="AJ45" i="18"/>
  <c r="AK45" i="18"/>
  <c r="AC45" i="18"/>
  <c r="K46" i="17"/>
  <c r="AB46" i="17"/>
  <c r="L46" i="17"/>
  <c r="A47" i="17"/>
  <c r="X46" i="17"/>
  <c r="AK46" i="17"/>
  <c r="AJ46" i="17"/>
  <c r="AC46" i="17"/>
  <c r="O46" i="17"/>
  <c r="AB40" i="25"/>
  <c r="L40" i="25"/>
  <c r="K40" i="25"/>
  <c r="A41" i="25"/>
  <c r="X40" i="25"/>
  <c r="AK40" i="25"/>
  <c r="AJ40" i="25"/>
  <c r="O40" i="25"/>
  <c r="AC40" i="25"/>
  <c r="S47" i="1"/>
  <c r="R47" i="1" s="1"/>
  <c r="P47" i="1" s="1"/>
  <c r="V47" i="1" s="1"/>
  <c r="E46" i="16" l="1"/>
  <c r="L48" i="15"/>
  <c r="D48" i="15" s="1"/>
  <c r="O48" i="15"/>
  <c r="K48" i="15"/>
  <c r="AJ48" i="15"/>
  <c r="A49" i="15"/>
  <c r="AK48" i="15"/>
  <c r="AB48" i="15"/>
  <c r="X48" i="15"/>
  <c r="AC48" i="15"/>
  <c r="E47" i="15"/>
  <c r="K47" i="16"/>
  <c r="L47" i="16"/>
  <c r="D47" i="16" s="1"/>
  <c r="AJ47" i="16"/>
  <c r="AC47" i="16"/>
  <c r="AB47" i="16"/>
  <c r="A48" i="16"/>
  <c r="X47" i="16"/>
  <c r="AK47" i="16"/>
  <c r="O47" i="16"/>
  <c r="AA47" i="1"/>
  <c r="Z47" i="1" s="1"/>
  <c r="Y47" i="1" s="1"/>
  <c r="I47" i="1"/>
  <c r="V46" i="1"/>
  <c r="A43" i="24"/>
  <c r="AB42" i="24"/>
  <c r="X42" i="24"/>
  <c r="K42" i="24"/>
  <c r="L42" i="24"/>
  <c r="AJ42" i="24"/>
  <c r="AK42" i="24"/>
  <c r="O42" i="24"/>
  <c r="AC42" i="24"/>
  <c r="K49" i="1"/>
  <c r="Q49" i="1"/>
  <c r="AB49" i="1"/>
  <c r="AC49" i="1"/>
  <c r="A50" i="1"/>
  <c r="L49" i="1"/>
  <c r="AK49" i="1"/>
  <c r="X49" i="1"/>
  <c r="O49" i="1"/>
  <c r="AJ49" i="1"/>
  <c r="U49" i="1"/>
  <c r="A44" i="23"/>
  <c r="AB43" i="23"/>
  <c r="K43" i="23"/>
  <c r="X43" i="23"/>
  <c r="L43" i="23"/>
  <c r="AK43" i="23"/>
  <c r="AJ43" i="23"/>
  <c r="O43" i="23"/>
  <c r="AC43" i="23"/>
  <c r="AB41" i="25"/>
  <c r="K41" i="25"/>
  <c r="A42" i="25"/>
  <c r="X41" i="25"/>
  <c r="L41" i="25"/>
  <c r="AJ41" i="25"/>
  <c r="O41" i="25"/>
  <c r="AK41" i="25"/>
  <c r="AC41" i="25"/>
  <c r="K47" i="17"/>
  <c r="L47" i="17"/>
  <c r="A48" i="17"/>
  <c r="AB47" i="17"/>
  <c r="X47" i="17"/>
  <c r="AJ47" i="17"/>
  <c r="AK47" i="17"/>
  <c r="AC47" i="17"/>
  <c r="O47" i="17"/>
  <c r="K46" i="18"/>
  <c r="X46" i="18"/>
  <c r="L46" i="18"/>
  <c r="A47" i="18"/>
  <c r="AB46" i="18"/>
  <c r="AJ46" i="18"/>
  <c r="O46" i="18"/>
  <c r="AK46" i="18"/>
  <c r="AC46" i="18"/>
  <c r="AB45" i="20"/>
  <c r="X45" i="20"/>
  <c r="A46" i="20"/>
  <c r="K45" i="20"/>
  <c r="L45" i="20"/>
  <c r="AJ45" i="20"/>
  <c r="AK45" i="20"/>
  <c r="O45" i="20"/>
  <c r="AC45" i="20"/>
  <c r="AB44" i="22"/>
  <c r="L44" i="22"/>
  <c r="K44" i="22"/>
  <c r="X44" i="22"/>
  <c r="A45" i="22"/>
  <c r="AJ44" i="22"/>
  <c r="AK44" i="22"/>
  <c r="O44" i="22"/>
  <c r="AC44" i="22"/>
  <c r="S48" i="1"/>
  <c r="R48" i="1" s="1"/>
  <c r="P48" i="1" s="1"/>
  <c r="V48" i="1" s="1"/>
  <c r="E48" i="15" l="1"/>
  <c r="K49" i="15"/>
  <c r="AB49" i="15"/>
  <c r="O49" i="15"/>
  <c r="A50" i="15"/>
  <c r="AC49" i="15"/>
  <c r="L49" i="15"/>
  <c r="D49" i="15" s="1"/>
  <c r="AJ49" i="15"/>
  <c r="X49" i="15"/>
  <c r="AK49" i="15"/>
  <c r="E47" i="16"/>
  <c r="K48" i="16"/>
  <c r="X48" i="16"/>
  <c r="AK48" i="16"/>
  <c r="AC48" i="16"/>
  <c r="A49" i="16"/>
  <c r="L48" i="16"/>
  <c r="D48" i="16" s="1"/>
  <c r="AB48" i="16"/>
  <c r="AJ48" i="16"/>
  <c r="O48" i="16"/>
  <c r="AA46" i="1"/>
  <c r="Z46" i="1" s="1"/>
  <c r="Y46" i="1" s="1"/>
  <c r="I46" i="1"/>
  <c r="A45" i="23"/>
  <c r="L44" i="23"/>
  <c r="X44" i="23"/>
  <c r="K44" i="23"/>
  <c r="AB44" i="23"/>
  <c r="AJ44" i="23"/>
  <c r="AK44" i="23"/>
  <c r="O44" i="23"/>
  <c r="AC44" i="23"/>
  <c r="T49" i="1"/>
  <c r="A51" i="1"/>
  <c r="K50" i="1"/>
  <c r="L50" i="1"/>
  <c r="AC50" i="1"/>
  <c r="Q50" i="1"/>
  <c r="AJ50" i="1"/>
  <c r="AB50" i="1"/>
  <c r="O50" i="1"/>
  <c r="AK50" i="1"/>
  <c r="X50" i="1"/>
  <c r="U50" i="1"/>
  <c r="T50" i="1" s="1"/>
  <c r="S50" i="1" s="1"/>
  <c r="R50" i="1" s="1"/>
  <c r="P50" i="1" s="1"/>
  <c r="AB45" i="22"/>
  <c r="A46" i="22"/>
  <c r="X45" i="22"/>
  <c r="L45" i="22"/>
  <c r="K45" i="22"/>
  <c r="AJ45" i="22"/>
  <c r="AK45" i="22"/>
  <c r="O45" i="22"/>
  <c r="AC45" i="22"/>
  <c r="X46" i="20"/>
  <c r="L46" i="20"/>
  <c r="A47" i="20"/>
  <c r="K46" i="20"/>
  <c r="AB46" i="20"/>
  <c r="AJ46" i="20"/>
  <c r="AK46" i="20"/>
  <c r="O46" i="20"/>
  <c r="AC46" i="20"/>
  <c r="A48" i="18"/>
  <c r="K47" i="18"/>
  <c r="AB47" i="18"/>
  <c r="L47" i="18"/>
  <c r="X47" i="18"/>
  <c r="AK47" i="18"/>
  <c r="O47" i="18"/>
  <c r="AJ47" i="18"/>
  <c r="AC47" i="18"/>
  <c r="X48" i="17"/>
  <c r="L48" i="17"/>
  <c r="K48" i="17"/>
  <c r="A49" i="17"/>
  <c r="AB48" i="17"/>
  <c r="AJ48" i="17"/>
  <c r="AK48" i="17"/>
  <c r="AC48" i="17"/>
  <c r="O48" i="17"/>
  <c r="A43" i="25"/>
  <c r="X42" i="25"/>
  <c r="AB42" i="25"/>
  <c r="L42" i="25"/>
  <c r="K42" i="25"/>
  <c r="AJ42" i="25"/>
  <c r="AK42" i="25"/>
  <c r="O42" i="25"/>
  <c r="AC42" i="25"/>
  <c r="K43" i="24"/>
  <c r="A44" i="24"/>
  <c r="AB43" i="24"/>
  <c r="X43" i="24"/>
  <c r="L43" i="24"/>
  <c r="AJ43" i="24"/>
  <c r="AK43" i="24"/>
  <c r="O43" i="24"/>
  <c r="AC43" i="24"/>
  <c r="E49" i="15" l="1"/>
  <c r="AB50" i="15"/>
  <c r="AK50" i="15"/>
  <c r="L50" i="15"/>
  <c r="D50" i="15" s="1"/>
  <c r="A51" i="15"/>
  <c r="AC50" i="15"/>
  <c r="K50" i="15"/>
  <c r="O50" i="15"/>
  <c r="X50" i="15"/>
  <c r="AJ50" i="15"/>
  <c r="E48" i="16"/>
  <c r="X49" i="16"/>
  <c r="AB49" i="16"/>
  <c r="K49" i="16"/>
  <c r="AK49" i="16"/>
  <c r="O49" i="16"/>
  <c r="A50" i="16"/>
  <c r="AJ49" i="16"/>
  <c r="AC49" i="16"/>
  <c r="L49" i="16"/>
  <c r="D49" i="16" s="1"/>
  <c r="E49" i="16" s="1"/>
  <c r="K44" i="24"/>
  <c r="X44" i="24"/>
  <c r="A45" i="24"/>
  <c r="L44" i="24"/>
  <c r="AB44" i="24"/>
  <c r="AJ44" i="24"/>
  <c r="AK44" i="24"/>
  <c r="O44" i="24"/>
  <c r="AC44" i="24"/>
  <c r="X43" i="25"/>
  <c r="AB43" i="25"/>
  <c r="A44" i="25"/>
  <c r="L43" i="25"/>
  <c r="K43" i="25"/>
  <c r="AJ43" i="25"/>
  <c r="AK43" i="25"/>
  <c r="O43" i="25"/>
  <c r="AC43" i="25"/>
  <c r="AB49" i="17"/>
  <c r="K49" i="17"/>
  <c r="A50" i="17"/>
  <c r="X49" i="17"/>
  <c r="L49" i="17"/>
  <c r="AJ49" i="17"/>
  <c r="AK49" i="17"/>
  <c r="AC49" i="17"/>
  <c r="O49" i="17"/>
  <c r="K47" i="20"/>
  <c r="L47" i="20"/>
  <c r="AB47" i="20"/>
  <c r="A48" i="20"/>
  <c r="X47" i="20"/>
  <c r="AK47" i="20"/>
  <c r="AJ47" i="20"/>
  <c r="O47" i="20"/>
  <c r="AC47" i="20"/>
  <c r="AB46" i="22"/>
  <c r="K46" i="22"/>
  <c r="L46" i="22"/>
  <c r="A47" i="22"/>
  <c r="X46" i="22"/>
  <c r="AJ46" i="22"/>
  <c r="AK46" i="22"/>
  <c r="O46" i="22"/>
  <c r="AC46" i="22"/>
  <c r="AB45" i="23"/>
  <c r="A46" i="23"/>
  <c r="L45" i="23"/>
  <c r="X45" i="23"/>
  <c r="K45" i="23"/>
  <c r="AK45" i="23"/>
  <c r="AJ45" i="23"/>
  <c r="O45" i="23"/>
  <c r="AC45" i="23"/>
  <c r="AA48" i="1"/>
  <c r="Z48" i="1" s="1"/>
  <c r="Y48" i="1" s="1"/>
  <c r="I48" i="1"/>
  <c r="X48" i="18"/>
  <c r="A49" i="18"/>
  <c r="AB48" i="18"/>
  <c r="L48" i="18"/>
  <c r="K48" i="18"/>
  <c r="AK48" i="18"/>
  <c r="O48" i="18"/>
  <c r="AJ48" i="18"/>
  <c r="AC48" i="18"/>
  <c r="V50" i="1"/>
  <c r="A52" i="1"/>
  <c r="K51" i="1"/>
  <c r="AC51" i="1"/>
  <c r="L51" i="1"/>
  <c r="Q51" i="1"/>
  <c r="AK51" i="1"/>
  <c r="X51" i="1"/>
  <c r="O51" i="1"/>
  <c r="AJ51" i="1"/>
  <c r="AB51" i="1"/>
  <c r="U51" i="1"/>
  <c r="T51" i="1" s="1"/>
  <c r="S51" i="1" s="1"/>
  <c r="R51" i="1" s="1"/>
  <c r="P51" i="1" s="1"/>
  <c r="S49" i="1"/>
  <c r="R49" i="1" s="1"/>
  <c r="P49" i="1" s="1"/>
  <c r="K51" i="15" l="1"/>
  <c r="AK51" i="15"/>
  <c r="L51" i="15"/>
  <c r="D51" i="15" s="1"/>
  <c r="X51" i="15"/>
  <c r="AC51" i="15"/>
  <c r="A52" i="15"/>
  <c r="O51" i="15"/>
  <c r="AB51" i="15"/>
  <c r="AJ51" i="15"/>
  <c r="E50" i="15"/>
  <c r="L50" i="16"/>
  <c r="D50" i="16" s="1"/>
  <c r="AB50" i="16"/>
  <c r="A51" i="16"/>
  <c r="AJ50" i="16"/>
  <c r="O50" i="16"/>
  <c r="X50" i="16"/>
  <c r="K50" i="16"/>
  <c r="AK50" i="16"/>
  <c r="AC50" i="16"/>
  <c r="V49" i="1"/>
  <c r="V51" i="1"/>
  <c r="AB46" i="23"/>
  <c r="L46" i="23"/>
  <c r="X46" i="23"/>
  <c r="K46" i="23"/>
  <c r="A47" i="23"/>
  <c r="AJ46" i="23"/>
  <c r="AK46" i="23"/>
  <c r="O46" i="23"/>
  <c r="AC46" i="23"/>
  <c r="X47" i="22"/>
  <c r="AB47" i="22"/>
  <c r="A48" i="22"/>
  <c r="K47" i="22"/>
  <c r="L47" i="22"/>
  <c r="AJ47" i="22"/>
  <c r="AK47" i="22"/>
  <c r="O47" i="22"/>
  <c r="AC47" i="22"/>
  <c r="AB50" i="17"/>
  <c r="X50" i="17"/>
  <c r="K50" i="17"/>
  <c r="A51" i="17"/>
  <c r="L50" i="17"/>
  <c r="AK50" i="17"/>
  <c r="AJ50" i="17"/>
  <c r="O50" i="17"/>
  <c r="AC50" i="17"/>
  <c r="AB45" i="24"/>
  <c r="A46" i="24"/>
  <c r="X45" i="24"/>
  <c r="K45" i="24"/>
  <c r="L45" i="24"/>
  <c r="AJ45" i="24"/>
  <c r="AK45" i="24"/>
  <c r="O45" i="24"/>
  <c r="AC45" i="24"/>
  <c r="O52" i="1"/>
  <c r="AK52" i="1"/>
  <c r="AC52" i="1"/>
  <c r="X52" i="1"/>
  <c r="Q52" i="1"/>
  <c r="AJ52" i="1"/>
  <c r="K52" i="1"/>
  <c r="AB52" i="1"/>
  <c r="L52" i="1"/>
  <c r="A53" i="1"/>
  <c r="U52" i="1"/>
  <c r="K49" i="18"/>
  <c r="AB49" i="18"/>
  <c r="L49" i="18"/>
  <c r="X49" i="18"/>
  <c r="A50" i="18"/>
  <c r="AK49" i="18"/>
  <c r="O49" i="18"/>
  <c r="AJ49" i="18"/>
  <c r="AC49" i="18"/>
  <c r="X48" i="20"/>
  <c r="A49" i="20"/>
  <c r="AB48" i="20"/>
  <c r="L48" i="20"/>
  <c r="K48" i="20"/>
  <c r="AJ48" i="20"/>
  <c r="AK48" i="20"/>
  <c r="O48" i="20"/>
  <c r="AC48" i="20"/>
  <c r="AB44" i="25"/>
  <c r="L44" i="25"/>
  <c r="K44" i="25"/>
  <c r="A45" i="25"/>
  <c r="X44" i="25"/>
  <c r="AJ44" i="25"/>
  <c r="AK44" i="25"/>
  <c r="O44" i="25"/>
  <c r="AC44" i="25"/>
  <c r="I50" i="1" l="1"/>
  <c r="AA50" i="1"/>
  <c r="Z50" i="1" s="1"/>
  <c r="Y50" i="1" s="1"/>
  <c r="A53" i="15"/>
  <c r="O52" i="15"/>
  <c r="K52" i="15"/>
  <c r="AJ52" i="15"/>
  <c r="L52" i="15"/>
  <c r="D52" i="15" s="1"/>
  <c r="AK52" i="15"/>
  <c r="AB52" i="15"/>
  <c r="X52" i="15"/>
  <c r="AC52" i="15"/>
  <c r="E51" i="15"/>
  <c r="AB51" i="16"/>
  <c r="A52" i="16"/>
  <c r="AJ51" i="16"/>
  <c r="AC51" i="16"/>
  <c r="X51" i="16"/>
  <c r="L51" i="16"/>
  <c r="D51" i="16" s="1"/>
  <c r="K51" i="16"/>
  <c r="AK51" i="16"/>
  <c r="O51" i="16"/>
  <c r="E50" i="16"/>
  <c r="X45" i="25"/>
  <c r="K45" i="25"/>
  <c r="L45" i="25"/>
  <c r="A46" i="25"/>
  <c r="AB45" i="25"/>
  <c r="AJ45" i="25"/>
  <c r="O45" i="25"/>
  <c r="AK45" i="25"/>
  <c r="AC45" i="25"/>
  <c r="AB50" i="18"/>
  <c r="X50" i="18"/>
  <c r="A51" i="18"/>
  <c r="L50" i="18"/>
  <c r="K50" i="18"/>
  <c r="O50" i="18"/>
  <c r="AJ50" i="18"/>
  <c r="AK50" i="18"/>
  <c r="AC50" i="18"/>
  <c r="AC53" i="1"/>
  <c r="AK53" i="1"/>
  <c r="AJ53" i="1"/>
  <c r="K53" i="1"/>
  <c r="L53" i="1"/>
  <c r="O53" i="1"/>
  <c r="AB53" i="1"/>
  <c r="Q53" i="1"/>
  <c r="A54" i="1"/>
  <c r="X53" i="1"/>
  <c r="U53" i="1"/>
  <c r="T53" i="1" s="1"/>
  <c r="K48" i="22"/>
  <c r="L48" i="22"/>
  <c r="A49" i="22"/>
  <c r="AB48" i="22"/>
  <c r="X48" i="22"/>
  <c r="AJ48" i="22"/>
  <c r="AK48" i="22"/>
  <c r="O48" i="22"/>
  <c r="AC48" i="22"/>
  <c r="I49" i="1"/>
  <c r="AA49" i="1"/>
  <c r="Z49" i="1" s="1"/>
  <c r="Y49" i="1" s="1"/>
  <c r="K49" i="20"/>
  <c r="A50" i="20"/>
  <c r="X49" i="20"/>
  <c r="L49" i="20"/>
  <c r="AB49" i="20"/>
  <c r="AJ49" i="20"/>
  <c r="AK49" i="20"/>
  <c r="O49" i="20"/>
  <c r="AC49" i="20"/>
  <c r="T52" i="1"/>
  <c r="A47" i="24"/>
  <c r="X46" i="24"/>
  <c r="L46" i="24"/>
  <c r="K46" i="24"/>
  <c r="AB46" i="24"/>
  <c r="AJ46" i="24"/>
  <c r="AK46" i="24"/>
  <c r="O46" i="24"/>
  <c r="AC46" i="24"/>
  <c r="AB51" i="17"/>
  <c r="X51" i="17"/>
  <c r="L51" i="17"/>
  <c r="K51" i="17"/>
  <c r="A52" i="17"/>
  <c r="AJ51" i="17"/>
  <c r="AK51" i="17"/>
  <c r="O51" i="17"/>
  <c r="AC51" i="17"/>
  <c r="X47" i="23"/>
  <c r="A48" i="23"/>
  <c r="AB47" i="23"/>
  <c r="K47" i="23"/>
  <c r="L47" i="23"/>
  <c r="AJ47" i="23"/>
  <c r="AK47" i="23"/>
  <c r="O47" i="23"/>
  <c r="AC47" i="23"/>
  <c r="E52" i="15" l="1"/>
  <c r="K53" i="15"/>
  <c r="O53" i="15"/>
  <c r="A54" i="15"/>
  <c r="AJ53" i="15"/>
  <c r="L53" i="15"/>
  <c r="D53" i="15" s="1"/>
  <c r="AK53" i="15"/>
  <c r="AB53" i="15"/>
  <c r="X53" i="15"/>
  <c r="AC53" i="15"/>
  <c r="E51" i="16"/>
  <c r="L52" i="16"/>
  <c r="D52" i="16" s="1"/>
  <c r="X52" i="16"/>
  <c r="AK52" i="16"/>
  <c r="AC52" i="16"/>
  <c r="A53" i="16"/>
  <c r="K52" i="16"/>
  <c r="AB52" i="16"/>
  <c r="AJ52" i="16"/>
  <c r="O52" i="16"/>
  <c r="S52" i="1"/>
  <c r="R52" i="1" s="1"/>
  <c r="P52" i="1" s="1"/>
  <c r="V52" i="1" s="1"/>
  <c r="K50" i="20"/>
  <c r="L50" i="20"/>
  <c r="AB50" i="20"/>
  <c r="A51" i="20"/>
  <c r="X50" i="20"/>
  <c r="AJ50" i="20"/>
  <c r="AK50" i="20"/>
  <c r="O50" i="20"/>
  <c r="AC50" i="20"/>
  <c r="K49" i="22"/>
  <c r="L49" i="22"/>
  <c r="A50" i="22"/>
  <c r="X49" i="22"/>
  <c r="AB49" i="22"/>
  <c r="AJ49" i="22"/>
  <c r="AK49" i="22"/>
  <c r="O49" i="22"/>
  <c r="AC49" i="22"/>
  <c r="A52" i="18"/>
  <c r="X51" i="18"/>
  <c r="K51" i="18"/>
  <c r="L51" i="18"/>
  <c r="AB51" i="18"/>
  <c r="O51" i="18"/>
  <c r="AJ51" i="18"/>
  <c r="AK51" i="18"/>
  <c r="AC51" i="18"/>
  <c r="A47" i="25"/>
  <c r="X46" i="25"/>
  <c r="L46" i="25"/>
  <c r="K46" i="25"/>
  <c r="AB46" i="25"/>
  <c r="AJ46" i="25"/>
  <c r="O46" i="25"/>
  <c r="AK46" i="25"/>
  <c r="AC46" i="25"/>
  <c r="AA51" i="1"/>
  <c r="Z51" i="1" s="1"/>
  <c r="Y51" i="1" s="1"/>
  <c r="I51" i="1"/>
  <c r="X48" i="23"/>
  <c r="AB48" i="23"/>
  <c r="A49" i="23"/>
  <c r="L48" i="23"/>
  <c r="K48" i="23"/>
  <c r="AJ48" i="23"/>
  <c r="AK48" i="23"/>
  <c r="O48" i="23"/>
  <c r="AC48" i="23"/>
  <c r="K52" i="17"/>
  <c r="L52" i="17"/>
  <c r="AB52" i="17"/>
  <c r="X52" i="17"/>
  <c r="A53" i="17"/>
  <c r="AJ52" i="17"/>
  <c r="AK52" i="17"/>
  <c r="AC52" i="17"/>
  <c r="O52" i="17"/>
  <c r="K47" i="24"/>
  <c r="A48" i="24"/>
  <c r="X47" i="24"/>
  <c r="AB47" i="24"/>
  <c r="L47" i="24"/>
  <c r="AK47" i="24"/>
  <c r="AJ47" i="24"/>
  <c r="O47" i="24"/>
  <c r="AC47" i="24"/>
  <c r="S53" i="1"/>
  <c r="R53" i="1" s="1"/>
  <c r="P53" i="1" s="1"/>
  <c r="V53" i="1" s="1"/>
  <c r="O54" i="1"/>
  <c r="AK54" i="1"/>
  <c r="A55" i="1"/>
  <c r="AC54" i="1"/>
  <c r="K54" i="1"/>
  <c r="L54" i="1"/>
  <c r="X54" i="1"/>
  <c r="AJ54" i="1"/>
  <c r="AB54" i="1"/>
  <c r="U54" i="1"/>
  <c r="T54" i="1" s="1"/>
  <c r="Q54" i="1"/>
  <c r="E53" i="15" l="1"/>
  <c r="L54" i="15"/>
  <c r="D54" i="15" s="1"/>
  <c r="AK54" i="15"/>
  <c r="X54" i="15"/>
  <c r="AJ54" i="15"/>
  <c r="AB54" i="15"/>
  <c r="K54" i="15"/>
  <c r="AC54" i="15"/>
  <c r="A55" i="15"/>
  <c r="O54" i="15"/>
  <c r="X53" i="16"/>
  <c r="L53" i="16"/>
  <c r="D53" i="16" s="1"/>
  <c r="AB53" i="16"/>
  <c r="AJ53" i="16"/>
  <c r="O53" i="16"/>
  <c r="K53" i="16"/>
  <c r="A54" i="16"/>
  <c r="AK53" i="16"/>
  <c r="AC53" i="16"/>
  <c r="E52" i="16"/>
  <c r="S54" i="1"/>
  <c r="R54" i="1" s="1"/>
  <c r="P54" i="1" s="1"/>
  <c r="V54" i="1" s="1"/>
  <c r="AB48" i="24"/>
  <c r="A49" i="24"/>
  <c r="K48" i="24"/>
  <c r="L48" i="24"/>
  <c r="X48" i="24"/>
  <c r="AK48" i="24"/>
  <c r="AJ48" i="24"/>
  <c r="O48" i="24"/>
  <c r="AC48" i="24"/>
  <c r="K53" i="17"/>
  <c r="L53" i="17"/>
  <c r="A54" i="17"/>
  <c r="AB53" i="17"/>
  <c r="X53" i="17"/>
  <c r="AJ53" i="17"/>
  <c r="AK53" i="17"/>
  <c r="AC53" i="17"/>
  <c r="O53" i="17"/>
  <c r="K52" i="18"/>
  <c r="A53" i="18"/>
  <c r="L52" i="18"/>
  <c r="AB52" i="18"/>
  <c r="X52" i="18"/>
  <c r="AK52" i="18"/>
  <c r="AJ52" i="18"/>
  <c r="O52" i="18"/>
  <c r="AC52" i="18"/>
  <c r="A51" i="22"/>
  <c r="X50" i="22"/>
  <c r="K50" i="22"/>
  <c r="L50" i="22"/>
  <c r="AB50" i="22"/>
  <c r="AK50" i="22"/>
  <c r="AJ50" i="22"/>
  <c r="O50" i="22"/>
  <c r="AC50" i="22"/>
  <c r="X51" i="20"/>
  <c r="A52" i="20"/>
  <c r="AB51" i="20"/>
  <c r="K51" i="20"/>
  <c r="L51" i="20"/>
  <c r="AJ51" i="20"/>
  <c r="AK51" i="20"/>
  <c r="O51" i="20"/>
  <c r="AC51" i="20"/>
  <c r="I52" i="1"/>
  <c r="AA52" i="1"/>
  <c r="Z52" i="1" s="1"/>
  <c r="Y52" i="1" s="1"/>
  <c r="A56" i="1"/>
  <c r="K55" i="1"/>
  <c r="X55" i="1"/>
  <c r="AB55" i="1"/>
  <c r="L55" i="1"/>
  <c r="Q55" i="1"/>
  <c r="AJ55" i="1"/>
  <c r="AC55" i="1"/>
  <c r="O55" i="1"/>
  <c r="AK55" i="1"/>
  <c r="U55" i="1"/>
  <c r="T55" i="1" s="1"/>
  <c r="AB49" i="23"/>
  <c r="A50" i="23"/>
  <c r="L49" i="23"/>
  <c r="X49" i="23"/>
  <c r="K49" i="23"/>
  <c r="AJ49" i="23"/>
  <c r="AK49" i="23"/>
  <c r="O49" i="23"/>
  <c r="AC49" i="23"/>
  <c r="X47" i="25"/>
  <c r="AB47" i="25"/>
  <c r="A48" i="25"/>
  <c r="L47" i="25"/>
  <c r="K47" i="25"/>
  <c r="AJ47" i="25"/>
  <c r="O47" i="25"/>
  <c r="AK47" i="25"/>
  <c r="AC47" i="25"/>
  <c r="L55" i="15" l="1"/>
  <c r="D55" i="15" s="1"/>
  <c r="AK55" i="15"/>
  <c r="X55" i="15"/>
  <c r="AJ55" i="15"/>
  <c r="AB55" i="15"/>
  <c r="K55" i="15"/>
  <c r="AC55" i="15"/>
  <c r="A56" i="15"/>
  <c r="O55" i="15"/>
  <c r="E55" i="15" s="1"/>
  <c r="E54" i="15"/>
  <c r="E53" i="16"/>
  <c r="AB54" i="16"/>
  <c r="A55" i="16"/>
  <c r="L54" i="16"/>
  <c r="D54" i="16" s="1"/>
  <c r="AK54" i="16"/>
  <c r="O54" i="16"/>
  <c r="K54" i="16"/>
  <c r="X54" i="16"/>
  <c r="AJ54" i="16"/>
  <c r="AC54" i="16"/>
  <c r="X48" i="25"/>
  <c r="AB48" i="25"/>
  <c r="K48" i="25"/>
  <c r="A49" i="25"/>
  <c r="L48" i="25"/>
  <c r="AJ48" i="25"/>
  <c r="O48" i="25"/>
  <c r="AK48" i="25"/>
  <c r="AC48" i="25"/>
  <c r="K50" i="23"/>
  <c r="L50" i="23"/>
  <c r="A51" i="23"/>
  <c r="X50" i="23"/>
  <c r="AB50" i="23"/>
  <c r="AK50" i="23"/>
  <c r="AJ50" i="23"/>
  <c r="O50" i="23"/>
  <c r="AC50" i="23"/>
  <c r="A53" i="20"/>
  <c r="X52" i="20"/>
  <c r="L52" i="20"/>
  <c r="AB52" i="20"/>
  <c r="K52" i="20"/>
  <c r="AJ52" i="20"/>
  <c r="AK52" i="20"/>
  <c r="O52" i="20"/>
  <c r="AC52" i="20"/>
  <c r="A52" i="22"/>
  <c r="L51" i="22"/>
  <c r="AB51" i="22"/>
  <c r="X51" i="22"/>
  <c r="K51" i="22"/>
  <c r="AJ51" i="22"/>
  <c r="AK51" i="22"/>
  <c r="O51" i="22"/>
  <c r="AC51" i="22"/>
  <c r="AB53" i="18"/>
  <c r="K53" i="18"/>
  <c r="X53" i="18"/>
  <c r="A54" i="18"/>
  <c r="L53" i="18"/>
  <c r="AJ53" i="18"/>
  <c r="AK53" i="18"/>
  <c r="O53" i="18"/>
  <c r="AC53" i="18"/>
  <c r="K49" i="24"/>
  <c r="A50" i="24"/>
  <c r="X49" i="24"/>
  <c r="AB49" i="24"/>
  <c r="L49" i="24"/>
  <c r="AK49" i="24"/>
  <c r="O49" i="24"/>
  <c r="AJ49" i="24"/>
  <c r="AC49" i="24"/>
  <c r="S55" i="1"/>
  <c r="R55" i="1" s="1"/>
  <c r="P55" i="1" s="1"/>
  <c r="V55" i="1" s="1"/>
  <c r="A57" i="1"/>
  <c r="AJ56" i="1"/>
  <c r="K56" i="1"/>
  <c r="Q56" i="1"/>
  <c r="X56" i="1"/>
  <c r="L56" i="1"/>
  <c r="AC56" i="1"/>
  <c r="O56" i="1"/>
  <c r="AB56" i="1"/>
  <c r="AK56" i="1"/>
  <c r="U56" i="1"/>
  <c r="T56" i="1" s="1"/>
  <c r="S56" i="1" s="1"/>
  <c r="R56" i="1" s="1"/>
  <c r="X54" i="17"/>
  <c r="L54" i="17"/>
  <c r="AB54" i="17"/>
  <c r="A55" i="17"/>
  <c r="K54" i="17"/>
  <c r="AJ54" i="17"/>
  <c r="AK54" i="17"/>
  <c r="AC54" i="17"/>
  <c r="O54" i="17"/>
  <c r="AA53" i="1"/>
  <c r="Z53" i="1" s="1"/>
  <c r="Y53" i="1" s="1"/>
  <c r="I53" i="1"/>
  <c r="X56" i="15" l="1"/>
  <c r="O56" i="15"/>
  <c r="L56" i="15"/>
  <c r="D56" i="15" s="1"/>
  <c r="AJ56" i="15"/>
  <c r="AB56" i="15"/>
  <c r="AK56" i="15"/>
  <c r="A57" i="15"/>
  <c r="K56" i="15"/>
  <c r="AC56" i="15"/>
  <c r="K55" i="16"/>
  <c r="A56" i="16"/>
  <c r="AJ55" i="16"/>
  <c r="AC55" i="16"/>
  <c r="L55" i="16"/>
  <c r="D55" i="16" s="1"/>
  <c r="AB55" i="16"/>
  <c r="X55" i="16"/>
  <c r="AK55" i="16"/>
  <c r="O55" i="16"/>
  <c r="E54" i="16"/>
  <c r="K50" i="24"/>
  <c r="AB50" i="24"/>
  <c r="A51" i="24"/>
  <c r="X50" i="24"/>
  <c r="L50" i="24"/>
  <c r="AJ50" i="24"/>
  <c r="AK50" i="24"/>
  <c r="O50" i="24"/>
  <c r="AC50" i="24"/>
  <c r="A55" i="18"/>
  <c r="AB54" i="18"/>
  <c r="L54" i="18"/>
  <c r="K54" i="18"/>
  <c r="AJ54" i="18"/>
  <c r="X54" i="18"/>
  <c r="AK54" i="18"/>
  <c r="O54" i="18"/>
  <c r="AC54" i="18"/>
  <c r="X52" i="22"/>
  <c r="A53" i="22"/>
  <c r="AB52" i="22"/>
  <c r="K52" i="22"/>
  <c r="L52" i="22"/>
  <c r="AK52" i="22"/>
  <c r="AJ52" i="22"/>
  <c r="O52" i="22"/>
  <c r="AC52" i="22"/>
  <c r="I54" i="1"/>
  <c r="AA54" i="1"/>
  <c r="Z54" i="1" s="1"/>
  <c r="Y54" i="1" s="1"/>
  <c r="AB55" i="17"/>
  <c r="L55" i="17"/>
  <c r="K55" i="17"/>
  <c r="X55" i="17"/>
  <c r="A56" i="17"/>
  <c r="AK55" i="17"/>
  <c r="AJ55" i="17"/>
  <c r="AC55" i="17"/>
  <c r="O55" i="17"/>
  <c r="P56" i="1"/>
  <c r="V56" i="1" s="1"/>
  <c r="A58" i="1"/>
  <c r="AB57" i="1"/>
  <c r="X57" i="1"/>
  <c r="AC57" i="1"/>
  <c r="Q57" i="1"/>
  <c r="O57" i="1"/>
  <c r="AK57" i="1"/>
  <c r="L57" i="1"/>
  <c r="K57" i="1"/>
  <c r="AJ57" i="1"/>
  <c r="U57" i="1"/>
  <c r="T57" i="1" s="1"/>
  <c r="A54" i="20"/>
  <c r="K53" i="20"/>
  <c r="L53" i="20"/>
  <c r="X53" i="20"/>
  <c r="AB53" i="20"/>
  <c r="AK53" i="20"/>
  <c r="AJ53" i="20"/>
  <c r="O53" i="20"/>
  <c r="AC53" i="20"/>
  <c r="A52" i="23"/>
  <c r="L51" i="23"/>
  <c r="X51" i="23"/>
  <c r="AB51" i="23"/>
  <c r="K51" i="23"/>
  <c r="AJ51" i="23"/>
  <c r="AK51" i="23"/>
  <c r="O51" i="23"/>
  <c r="AC51" i="23"/>
  <c r="A50" i="25"/>
  <c r="AB49" i="25"/>
  <c r="X49" i="25"/>
  <c r="L49" i="25"/>
  <c r="K49" i="25"/>
  <c r="AK49" i="25"/>
  <c r="AJ49" i="25"/>
  <c r="O49" i="25"/>
  <c r="AC49" i="25"/>
  <c r="AK57" i="15" l="1"/>
  <c r="L57" i="15"/>
  <c r="D57" i="15" s="1"/>
  <c r="AJ57" i="15"/>
  <c r="K57" i="15"/>
  <c r="O57" i="15"/>
  <c r="AB57" i="15"/>
  <c r="X57" i="15"/>
  <c r="AC57" i="15"/>
  <c r="A58" i="15"/>
  <c r="E56" i="15"/>
  <c r="K56" i="16"/>
  <c r="L56" i="16"/>
  <c r="D56" i="16" s="1"/>
  <c r="A57" i="16"/>
  <c r="AJ56" i="16"/>
  <c r="O56" i="16"/>
  <c r="AB56" i="16"/>
  <c r="X56" i="16"/>
  <c r="AK56" i="16"/>
  <c r="AC56" i="16"/>
  <c r="E55" i="16"/>
  <c r="A51" i="25"/>
  <c r="L50" i="25"/>
  <c r="AB50" i="25"/>
  <c r="K50" i="25"/>
  <c r="X50" i="25"/>
  <c r="AJ50" i="25"/>
  <c r="AK50" i="25"/>
  <c r="O50" i="25"/>
  <c r="AC50" i="25"/>
  <c r="K54" i="20"/>
  <c r="X54" i="20"/>
  <c r="AB54" i="20"/>
  <c r="L54" i="20"/>
  <c r="A55" i="20"/>
  <c r="AK54" i="20"/>
  <c r="AJ54" i="20"/>
  <c r="O54" i="20"/>
  <c r="AC54" i="20"/>
  <c r="S57" i="1"/>
  <c r="R57" i="1" s="1"/>
  <c r="P57" i="1" s="1"/>
  <c r="V57" i="1" s="1"/>
  <c r="A59" i="1"/>
  <c r="AK58" i="1"/>
  <c r="L58" i="1"/>
  <c r="O58" i="1"/>
  <c r="AB58" i="1"/>
  <c r="Q58" i="1"/>
  <c r="AJ58" i="1"/>
  <c r="K58" i="1"/>
  <c r="X58" i="1"/>
  <c r="AC58" i="1"/>
  <c r="U58" i="1"/>
  <c r="T58" i="1" s="1"/>
  <c r="K56" i="17"/>
  <c r="X56" i="17"/>
  <c r="A57" i="17"/>
  <c r="L56" i="17"/>
  <c r="AB56" i="17"/>
  <c r="AK56" i="17"/>
  <c r="AJ56" i="17"/>
  <c r="AC56" i="17"/>
  <c r="O56" i="17"/>
  <c r="X52" i="23"/>
  <c r="A53" i="23"/>
  <c r="L52" i="23"/>
  <c r="AB52" i="23"/>
  <c r="K52" i="23"/>
  <c r="AJ52" i="23"/>
  <c r="AK52" i="23"/>
  <c r="O52" i="23"/>
  <c r="AC52" i="23"/>
  <c r="K53" i="22"/>
  <c r="X53" i="22"/>
  <c r="AB53" i="22"/>
  <c r="A54" i="22"/>
  <c r="L53" i="22"/>
  <c r="AJ53" i="22"/>
  <c r="AK53" i="22"/>
  <c r="O53" i="22"/>
  <c r="AC53" i="22"/>
  <c r="A56" i="18"/>
  <c r="L55" i="18"/>
  <c r="K55" i="18"/>
  <c r="X55" i="18"/>
  <c r="AB55" i="18"/>
  <c r="AK55" i="18"/>
  <c r="O55" i="18"/>
  <c r="AJ55" i="18"/>
  <c r="AC55" i="18"/>
  <c r="K51" i="24"/>
  <c r="L51" i="24"/>
  <c r="X51" i="24"/>
  <c r="AB51" i="24"/>
  <c r="A52" i="24"/>
  <c r="AJ51" i="24"/>
  <c r="AK51" i="24"/>
  <c r="O51" i="24"/>
  <c r="AC51" i="24"/>
  <c r="AA55" i="1"/>
  <c r="Z55" i="1" s="1"/>
  <c r="Y55" i="1" s="1"/>
  <c r="I55" i="1"/>
  <c r="AB58" i="15" l="1"/>
  <c r="AK58" i="15"/>
  <c r="A59" i="15"/>
  <c r="X58" i="15"/>
  <c r="AC58" i="15"/>
  <c r="L58" i="15"/>
  <c r="D58" i="15" s="1"/>
  <c r="O58" i="15"/>
  <c r="K58" i="15"/>
  <c r="AJ58" i="15"/>
  <c r="E57" i="15"/>
  <c r="E56" i="16"/>
  <c r="AC57" i="16"/>
  <c r="A58" i="16"/>
  <c r="L57" i="16"/>
  <c r="D57" i="16" s="1"/>
  <c r="K57" i="16"/>
  <c r="AK57" i="16"/>
  <c r="O57" i="16"/>
  <c r="AB57" i="16"/>
  <c r="X57" i="16"/>
  <c r="AJ57" i="16"/>
  <c r="A53" i="24"/>
  <c r="L52" i="24"/>
  <c r="AB52" i="24"/>
  <c r="K52" i="24"/>
  <c r="X52" i="24"/>
  <c r="AK52" i="24"/>
  <c r="AJ52" i="24"/>
  <c r="O52" i="24"/>
  <c r="AC52" i="24"/>
  <c r="AB53" i="23"/>
  <c r="L53" i="23"/>
  <c r="A54" i="23"/>
  <c r="X53" i="23"/>
  <c r="K53" i="23"/>
  <c r="AJ53" i="23"/>
  <c r="AK53" i="23"/>
  <c r="O53" i="23"/>
  <c r="AC53" i="23"/>
  <c r="AA56" i="1"/>
  <c r="Z56" i="1" s="1"/>
  <c r="Y56" i="1" s="1"/>
  <c r="I56" i="1"/>
  <c r="A52" i="25"/>
  <c r="K51" i="25"/>
  <c r="X51" i="25"/>
  <c r="AB51" i="25"/>
  <c r="L51" i="25"/>
  <c r="AK51" i="25"/>
  <c r="AJ51" i="25"/>
  <c r="O51" i="25"/>
  <c r="AC51" i="25"/>
  <c r="L56" i="18"/>
  <c r="A57" i="18"/>
  <c r="AB56" i="18"/>
  <c r="X56" i="18"/>
  <c r="K56" i="18"/>
  <c r="AK56" i="18"/>
  <c r="O56" i="18"/>
  <c r="AJ56" i="18"/>
  <c r="AC56" i="18"/>
  <c r="A55" i="22"/>
  <c r="K54" i="22"/>
  <c r="AB54" i="22"/>
  <c r="X54" i="22"/>
  <c r="L54" i="22"/>
  <c r="AJ54" i="22"/>
  <c r="AK54" i="22"/>
  <c r="O54" i="22"/>
  <c r="AC54" i="22"/>
  <c r="K57" i="17"/>
  <c r="X57" i="17"/>
  <c r="L57" i="17"/>
  <c r="AB57" i="17"/>
  <c r="A58" i="17"/>
  <c r="AJ57" i="17"/>
  <c r="AK57" i="17"/>
  <c r="O57" i="17"/>
  <c r="AC57" i="17"/>
  <c r="S58" i="1"/>
  <c r="R58" i="1" s="1"/>
  <c r="P58" i="1" s="1"/>
  <c r="V58" i="1" s="1"/>
  <c r="AK59" i="1"/>
  <c r="L59" i="1"/>
  <c r="O59" i="1"/>
  <c r="A60" i="1"/>
  <c r="AJ59" i="1"/>
  <c r="Q59" i="1"/>
  <c r="AC59" i="1"/>
  <c r="AB59" i="1"/>
  <c r="K59" i="1"/>
  <c r="X59" i="1"/>
  <c r="U59" i="1"/>
  <c r="T59" i="1" s="1"/>
  <c r="K55" i="20"/>
  <c r="L55" i="20"/>
  <c r="AB55" i="20"/>
  <c r="X55" i="20"/>
  <c r="A56" i="20"/>
  <c r="AJ55" i="20"/>
  <c r="AK55" i="20"/>
  <c r="O55" i="20"/>
  <c r="AC55" i="20"/>
  <c r="E58" i="15" l="1"/>
  <c r="K59" i="15"/>
  <c r="AB59" i="15"/>
  <c r="AC59" i="15"/>
  <c r="L59" i="15"/>
  <c r="D59" i="15" s="1"/>
  <c r="O59" i="15"/>
  <c r="A60" i="15"/>
  <c r="AJ59" i="15"/>
  <c r="X59" i="15"/>
  <c r="AK59" i="15"/>
  <c r="E57" i="16"/>
  <c r="X58" i="16"/>
  <c r="AB58" i="16"/>
  <c r="AK58" i="16"/>
  <c r="AC58" i="16"/>
  <c r="K58" i="16"/>
  <c r="A59" i="16"/>
  <c r="L58" i="16"/>
  <c r="D58" i="16" s="1"/>
  <c r="AJ58" i="16"/>
  <c r="O58" i="16"/>
  <c r="K56" i="20"/>
  <c r="A57" i="20"/>
  <c r="L56" i="20"/>
  <c r="X56" i="20"/>
  <c r="AB56" i="20"/>
  <c r="AJ56" i="20"/>
  <c r="AK56" i="20"/>
  <c r="O56" i="20"/>
  <c r="AC56" i="20"/>
  <c r="X60" i="1"/>
  <c r="AJ60" i="1"/>
  <c r="Q60" i="1"/>
  <c r="A61" i="1"/>
  <c r="AB60" i="1"/>
  <c r="AC60" i="1"/>
  <c r="O60" i="1"/>
  <c r="C21" i="7" s="1"/>
  <c r="A21" i="7"/>
  <c r="K60" i="1"/>
  <c r="AK60" i="1"/>
  <c r="L60" i="1"/>
  <c r="U60" i="1"/>
  <c r="T60" i="1" s="1"/>
  <c r="AB58" i="17"/>
  <c r="A59" i="17"/>
  <c r="X58" i="17"/>
  <c r="K58" i="17"/>
  <c r="L58" i="17"/>
  <c r="AJ58" i="17"/>
  <c r="AK58" i="17"/>
  <c r="AC58" i="17"/>
  <c r="O58" i="17"/>
  <c r="K55" i="22"/>
  <c r="L55" i="22"/>
  <c r="A56" i="22"/>
  <c r="X55" i="22"/>
  <c r="AB55" i="22"/>
  <c r="AJ55" i="22"/>
  <c r="AK55" i="22"/>
  <c r="O55" i="22"/>
  <c r="AC55" i="22"/>
  <c r="K57" i="18"/>
  <c r="AB57" i="18"/>
  <c r="L57" i="18"/>
  <c r="A58" i="18"/>
  <c r="AJ57" i="18"/>
  <c r="X57" i="18"/>
  <c r="O57" i="18"/>
  <c r="AK57" i="18"/>
  <c r="AC57" i="18"/>
  <c r="AB54" i="23"/>
  <c r="A55" i="23"/>
  <c r="K54" i="23"/>
  <c r="L54" i="23"/>
  <c r="X54" i="23"/>
  <c r="AK54" i="23"/>
  <c r="AJ54" i="23"/>
  <c r="O54" i="23"/>
  <c r="AC54" i="23"/>
  <c r="A54" i="24"/>
  <c r="AB53" i="24"/>
  <c r="L53" i="24"/>
  <c r="X53" i="24"/>
  <c r="K53" i="24"/>
  <c r="AK53" i="24"/>
  <c r="AJ53" i="24"/>
  <c r="O53" i="24"/>
  <c r="AC53" i="24"/>
  <c r="S59" i="1"/>
  <c r="R59" i="1" s="1"/>
  <c r="P59" i="1" s="1"/>
  <c r="V59" i="1" s="1"/>
  <c r="I57" i="1"/>
  <c r="AA57" i="1"/>
  <c r="Z57" i="1" s="1"/>
  <c r="Y57" i="1" s="1"/>
  <c r="X52" i="25"/>
  <c r="A53" i="25"/>
  <c r="K52" i="25"/>
  <c r="AB52" i="25"/>
  <c r="L52" i="25"/>
  <c r="AJ52" i="25"/>
  <c r="O52" i="25"/>
  <c r="AK52" i="25"/>
  <c r="AC52" i="25"/>
  <c r="E59" i="15" l="1"/>
  <c r="K60" i="15"/>
  <c r="L60" i="15"/>
  <c r="AC60" i="15"/>
  <c r="AB60" i="15"/>
  <c r="AJ60" i="15"/>
  <c r="X60" i="15"/>
  <c r="AK60" i="15"/>
  <c r="A33" i="7"/>
  <c r="A61" i="15"/>
  <c r="O60" i="15"/>
  <c r="C33" i="7" s="1"/>
  <c r="X59" i="16"/>
  <c r="A60" i="16"/>
  <c r="AJ59" i="16"/>
  <c r="AC59" i="16"/>
  <c r="L59" i="16"/>
  <c r="D59" i="16" s="1"/>
  <c r="AB59" i="16"/>
  <c r="O59" i="16"/>
  <c r="K59" i="16"/>
  <c r="AK59" i="16"/>
  <c r="E58" i="16"/>
  <c r="AB53" i="25"/>
  <c r="X53" i="25"/>
  <c r="K53" i="25"/>
  <c r="L53" i="25"/>
  <c r="A54" i="25"/>
  <c r="AJ53" i="25"/>
  <c r="AK53" i="25"/>
  <c r="O53" i="25"/>
  <c r="AC53" i="25"/>
  <c r="A60" i="17"/>
  <c r="AB59" i="17"/>
  <c r="X59" i="17"/>
  <c r="K59" i="17"/>
  <c r="L59" i="17"/>
  <c r="AJ59" i="17"/>
  <c r="AK59" i="17"/>
  <c r="AC59" i="17"/>
  <c r="O59" i="17"/>
  <c r="S60" i="1"/>
  <c r="R60" i="1" s="1"/>
  <c r="P60" i="1" s="1"/>
  <c r="AB61" i="1"/>
  <c r="L61" i="1"/>
  <c r="K61" i="1"/>
  <c r="AC61" i="1"/>
  <c r="AJ61" i="1"/>
  <c r="O61" i="1"/>
  <c r="AK61" i="1"/>
  <c r="A62" i="1"/>
  <c r="X61" i="1"/>
  <c r="Q61" i="1"/>
  <c r="U61" i="1"/>
  <c r="T61" i="1" s="1"/>
  <c r="X54" i="24"/>
  <c r="A55" i="24"/>
  <c r="AB54" i="24"/>
  <c r="K54" i="24"/>
  <c r="L54" i="24"/>
  <c r="AK54" i="24"/>
  <c r="AJ54" i="24"/>
  <c r="O54" i="24"/>
  <c r="AC54" i="24"/>
  <c r="X55" i="23"/>
  <c r="K55" i="23"/>
  <c r="L55" i="23"/>
  <c r="A56" i="23"/>
  <c r="AB55" i="23"/>
  <c r="AJ55" i="23"/>
  <c r="AK55" i="23"/>
  <c r="O55" i="23"/>
  <c r="AC55" i="23"/>
  <c r="AA58" i="1"/>
  <c r="Z58" i="1" s="1"/>
  <c r="Y58" i="1" s="1"/>
  <c r="I58" i="1"/>
  <c r="A59" i="18"/>
  <c r="K58" i="18"/>
  <c r="X58" i="18"/>
  <c r="AB58" i="18"/>
  <c r="L58" i="18"/>
  <c r="AJ58" i="18"/>
  <c r="AK58" i="18"/>
  <c r="O58" i="18"/>
  <c r="AC58" i="18"/>
  <c r="X56" i="22"/>
  <c r="A57" i="22"/>
  <c r="L56" i="22"/>
  <c r="K56" i="22"/>
  <c r="AB56" i="22"/>
  <c r="AJ56" i="22"/>
  <c r="AK56" i="22"/>
  <c r="O56" i="22"/>
  <c r="AC56" i="22"/>
  <c r="B21" i="7"/>
  <c r="K57" i="20"/>
  <c r="L57" i="20"/>
  <c r="AB57" i="20"/>
  <c r="A58" i="20"/>
  <c r="X57" i="20"/>
  <c r="AK57" i="20"/>
  <c r="AJ57" i="20"/>
  <c r="O57" i="20"/>
  <c r="AC57" i="20"/>
  <c r="D60" i="15" l="1"/>
  <c r="E60" i="15" s="1"/>
  <c r="B33" i="7"/>
  <c r="L61" i="15"/>
  <c r="D61" i="15" s="1"/>
  <c r="A62" i="15"/>
  <c r="O61" i="15"/>
  <c r="E61" i="15" s="1"/>
  <c r="X61" i="15"/>
  <c r="AC61" i="15"/>
  <c r="AB61" i="15"/>
  <c r="AK61" i="15"/>
  <c r="K61" i="15"/>
  <c r="AJ61" i="15"/>
  <c r="E59" i="16"/>
  <c r="A61" i="16"/>
  <c r="A45" i="7"/>
  <c r="X60" i="16"/>
  <c r="AK60" i="16"/>
  <c r="O60" i="16"/>
  <c r="C45" i="7" s="1"/>
  <c r="AC60" i="16"/>
  <c r="K60" i="16"/>
  <c r="AB60" i="16"/>
  <c r="L60" i="16"/>
  <c r="AJ60" i="16"/>
  <c r="D21" i="7"/>
  <c r="V60" i="1"/>
  <c r="AA59" i="1"/>
  <c r="Z59" i="1" s="1"/>
  <c r="Y59" i="1" s="1"/>
  <c r="I59" i="1"/>
  <c r="A58" i="22"/>
  <c r="AB57" i="22"/>
  <c r="X57" i="22"/>
  <c r="K57" i="22"/>
  <c r="L57" i="22"/>
  <c r="AJ57" i="22"/>
  <c r="AK57" i="22"/>
  <c r="O57" i="22"/>
  <c r="AC57" i="22"/>
  <c r="A60" i="18"/>
  <c r="X59" i="18"/>
  <c r="L59" i="18"/>
  <c r="K59" i="18"/>
  <c r="AJ59" i="18"/>
  <c r="AB59" i="18"/>
  <c r="AK59" i="18"/>
  <c r="O59" i="18"/>
  <c r="AC59" i="18"/>
  <c r="AB55" i="24"/>
  <c r="A56" i="24"/>
  <c r="X55" i="24"/>
  <c r="K55" i="24"/>
  <c r="L55" i="24"/>
  <c r="AJ55" i="24"/>
  <c r="AK55" i="24"/>
  <c r="O55" i="24"/>
  <c r="AC55" i="24"/>
  <c r="S61" i="1"/>
  <c r="R61" i="1" s="1"/>
  <c r="P61" i="1" s="1"/>
  <c r="V61" i="1" s="1"/>
  <c r="K58" i="20"/>
  <c r="X58" i="20"/>
  <c r="L58" i="20"/>
  <c r="A59" i="20"/>
  <c r="AB58" i="20"/>
  <c r="AJ58" i="20"/>
  <c r="AK58" i="20"/>
  <c r="O58" i="20"/>
  <c r="AC58" i="20"/>
  <c r="K56" i="23"/>
  <c r="L56" i="23"/>
  <c r="A57" i="23"/>
  <c r="AB56" i="23"/>
  <c r="X56" i="23"/>
  <c r="AK56" i="23"/>
  <c r="AJ56" i="23"/>
  <c r="O56" i="23"/>
  <c r="AC56" i="23"/>
  <c r="X62" i="1"/>
  <c r="AJ62" i="1"/>
  <c r="A63" i="1"/>
  <c r="AB62" i="1"/>
  <c r="L62" i="1"/>
  <c r="AC62" i="1"/>
  <c r="K62" i="1"/>
  <c r="O62" i="1"/>
  <c r="AK62" i="1"/>
  <c r="Q62" i="1"/>
  <c r="U62" i="1"/>
  <c r="T62" i="1" s="1"/>
  <c r="S62" i="1" s="1"/>
  <c r="R62" i="1" s="1"/>
  <c r="K60" i="17"/>
  <c r="X60" i="17"/>
  <c r="A57" i="7"/>
  <c r="A61" i="17"/>
  <c r="L60" i="17"/>
  <c r="AB60" i="17"/>
  <c r="AJ60" i="17"/>
  <c r="AK60" i="17"/>
  <c r="O60" i="17"/>
  <c r="C57" i="7" s="1"/>
  <c r="AC60" i="17"/>
  <c r="A55" i="25"/>
  <c r="L54" i="25"/>
  <c r="K54" i="25"/>
  <c r="X54" i="25"/>
  <c r="AB54" i="25"/>
  <c r="AJ54" i="25"/>
  <c r="O54" i="25"/>
  <c r="AK54" i="25"/>
  <c r="AC54" i="25"/>
  <c r="P62" i="1" l="1"/>
  <c r="V62" i="1" s="1"/>
  <c r="A63" i="15"/>
  <c r="AK62" i="15"/>
  <c r="L62" i="15"/>
  <c r="D62" i="15" s="1"/>
  <c r="X62" i="15"/>
  <c r="AC62" i="15"/>
  <c r="AB62" i="15"/>
  <c r="O62" i="15"/>
  <c r="K62" i="15"/>
  <c r="AJ62" i="15"/>
  <c r="D60" i="16"/>
  <c r="E60" i="16" s="1"/>
  <c r="B45" i="7"/>
  <c r="AB61" i="16"/>
  <c r="K61" i="16"/>
  <c r="AK61" i="16"/>
  <c r="AC61" i="16"/>
  <c r="A62" i="16"/>
  <c r="L61" i="16"/>
  <c r="D61" i="16" s="1"/>
  <c r="X61" i="16"/>
  <c r="AJ61" i="16"/>
  <c r="O61" i="16"/>
  <c r="AA61" i="1"/>
  <c r="Z61" i="1" s="1"/>
  <c r="Y61" i="1" s="1"/>
  <c r="AA60" i="1"/>
  <c r="Z60" i="1" s="1"/>
  <c r="Y60" i="1" s="1"/>
  <c r="I60" i="1"/>
  <c r="B57" i="7"/>
  <c r="AC63" i="1"/>
  <c r="AK63" i="1"/>
  <c r="Q63" i="1"/>
  <c r="AJ63" i="1"/>
  <c r="O63" i="1"/>
  <c r="K63" i="1"/>
  <c r="AB63" i="1"/>
  <c r="A64" i="1"/>
  <c r="X63" i="1"/>
  <c r="L63" i="1"/>
  <c r="U63" i="1"/>
  <c r="T63" i="1" s="1"/>
  <c r="K56" i="24"/>
  <c r="X56" i="24"/>
  <c r="A57" i="24"/>
  <c r="L56" i="24"/>
  <c r="AB56" i="24"/>
  <c r="AJ56" i="24"/>
  <c r="AK56" i="24"/>
  <c r="O56" i="24"/>
  <c r="AC56" i="24"/>
  <c r="A61" i="18"/>
  <c r="L60" i="18"/>
  <c r="A69" i="7"/>
  <c r="X60" i="18"/>
  <c r="AB60" i="18"/>
  <c r="K60" i="18"/>
  <c r="AJ60" i="18"/>
  <c r="O60" i="18"/>
  <c r="C69" i="7" s="1"/>
  <c r="AK60" i="18"/>
  <c r="AC60" i="18"/>
  <c r="X55" i="25"/>
  <c r="L55" i="25"/>
  <c r="AB55" i="25"/>
  <c r="A56" i="25"/>
  <c r="K55" i="25"/>
  <c r="AJ55" i="25"/>
  <c r="O55" i="25"/>
  <c r="AK55" i="25"/>
  <c r="AC55" i="25"/>
  <c r="A62" i="17"/>
  <c r="L61" i="17"/>
  <c r="AB61" i="17"/>
  <c r="X61" i="17"/>
  <c r="K61" i="17"/>
  <c r="AJ61" i="17"/>
  <c r="AK61" i="17"/>
  <c r="AC61" i="17"/>
  <c r="O61" i="17"/>
  <c r="X57" i="23"/>
  <c r="K57" i="23"/>
  <c r="A58" i="23"/>
  <c r="L57" i="23"/>
  <c r="AB57" i="23"/>
  <c r="AJ57" i="23"/>
  <c r="AK57" i="23"/>
  <c r="O57" i="23"/>
  <c r="AC57" i="23"/>
  <c r="K59" i="20"/>
  <c r="AB59" i="20"/>
  <c r="X59" i="20"/>
  <c r="A60" i="20"/>
  <c r="L59" i="20"/>
  <c r="AK59" i="20"/>
  <c r="AJ59" i="20"/>
  <c r="O59" i="20"/>
  <c r="AC59" i="20"/>
  <c r="K58" i="22"/>
  <c r="X58" i="22"/>
  <c r="L58" i="22"/>
  <c r="A59" i="22"/>
  <c r="AB58" i="22"/>
  <c r="AJ58" i="22"/>
  <c r="AK58" i="22"/>
  <c r="O58" i="22"/>
  <c r="AC58" i="22"/>
  <c r="E62" i="15" l="1"/>
  <c r="K63" i="15"/>
  <c r="AJ63" i="15"/>
  <c r="AB63" i="15"/>
  <c r="AK63" i="15"/>
  <c r="A64" i="15"/>
  <c r="L63" i="15"/>
  <c r="D63" i="15" s="1"/>
  <c r="AC63" i="15"/>
  <c r="X63" i="15"/>
  <c r="O63" i="15"/>
  <c r="E61" i="16"/>
  <c r="I61" i="1"/>
  <c r="A63" i="16"/>
  <c r="L62" i="16"/>
  <c r="D62" i="16" s="1"/>
  <c r="AK62" i="16"/>
  <c r="AC62" i="16"/>
  <c r="X62" i="16"/>
  <c r="AB62" i="16"/>
  <c r="K62" i="16"/>
  <c r="AJ62" i="16"/>
  <c r="O62" i="16"/>
  <c r="AA62" i="1"/>
  <c r="Z62" i="1" s="1"/>
  <c r="Y62" i="1" s="1"/>
  <c r="I62" i="1"/>
  <c r="K61" i="18"/>
  <c r="X61" i="18"/>
  <c r="L61" i="18"/>
  <c r="AB61" i="18"/>
  <c r="A62" i="18"/>
  <c r="AK61" i="18"/>
  <c r="O61" i="18"/>
  <c r="AJ61" i="18"/>
  <c r="AC61" i="18"/>
  <c r="S63" i="1"/>
  <c r="R63" i="1" s="1"/>
  <c r="P63" i="1" s="1"/>
  <c r="V63" i="1" s="1"/>
  <c r="X59" i="22"/>
  <c r="A60" i="22"/>
  <c r="AB59" i="22"/>
  <c r="K59" i="22"/>
  <c r="L59" i="22"/>
  <c r="AJ59" i="22"/>
  <c r="AK59" i="22"/>
  <c r="O59" i="22"/>
  <c r="AC59" i="22"/>
  <c r="AE21" i="7"/>
  <c r="X60" i="20"/>
  <c r="K60" i="20"/>
  <c r="L60" i="20"/>
  <c r="AB60" i="20"/>
  <c r="A61" i="20"/>
  <c r="AJ60" i="20"/>
  <c r="AK60" i="20"/>
  <c r="O60" i="20"/>
  <c r="AG21" i="7" s="1"/>
  <c r="AC60" i="20"/>
  <c r="L58" i="23"/>
  <c r="X58" i="23"/>
  <c r="K58" i="23"/>
  <c r="A59" i="23"/>
  <c r="AB58" i="23"/>
  <c r="AK58" i="23"/>
  <c r="AJ58" i="23"/>
  <c r="O58" i="23"/>
  <c r="AC58" i="23"/>
  <c r="X62" i="17"/>
  <c r="K62" i="17"/>
  <c r="AB62" i="17"/>
  <c r="L62" i="17"/>
  <c r="A63" i="17"/>
  <c r="AJ62" i="17"/>
  <c r="AK62" i="17"/>
  <c r="AC62" i="17"/>
  <c r="O62" i="17"/>
  <c r="AB56" i="25"/>
  <c r="X56" i="25"/>
  <c r="L56" i="25"/>
  <c r="A57" i="25"/>
  <c r="K56" i="25"/>
  <c r="AJ56" i="25"/>
  <c r="AK56" i="25"/>
  <c r="O56" i="25"/>
  <c r="AC56" i="25"/>
  <c r="B69" i="7"/>
  <c r="K57" i="24"/>
  <c r="L57" i="24"/>
  <c r="X57" i="24"/>
  <c r="AB57" i="24"/>
  <c r="A58" i="24"/>
  <c r="AK57" i="24"/>
  <c r="AJ57" i="24"/>
  <c r="O57" i="24"/>
  <c r="AC57" i="24"/>
  <c r="A65" i="1"/>
  <c r="AK64" i="1"/>
  <c r="K64" i="1"/>
  <c r="O64" i="1"/>
  <c r="X64" i="1"/>
  <c r="AB64" i="1"/>
  <c r="L64" i="1"/>
  <c r="AJ64" i="1"/>
  <c r="AC64" i="1"/>
  <c r="Q64" i="1"/>
  <c r="U64" i="1"/>
  <c r="T64" i="1" s="1"/>
  <c r="AB64" i="15" l="1"/>
  <c r="AK64" i="15"/>
  <c r="K64" i="15"/>
  <c r="A65" i="15"/>
  <c r="AC64" i="15"/>
  <c r="L64" i="15"/>
  <c r="D64" i="15" s="1"/>
  <c r="O64" i="15"/>
  <c r="X64" i="15"/>
  <c r="AJ64" i="15"/>
  <c r="E63" i="15"/>
  <c r="A64" i="16"/>
  <c r="L63" i="16"/>
  <c r="D63" i="16" s="1"/>
  <c r="AB63" i="16"/>
  <c r="AK63" i="16"/>
  <c r="O63" i="16"/>
  <c r="K63" i="16"/>
  <c r="X63" i="16"/>
  <c r="AJ63" i="16"/>
  <c r="AC63" i="16"/>
  <c r="E62" i="16"/>
  <c r="A59" i="24"/>
  <c r="L58" i="24"/>
  <c r="X58" i="24"/>
  <c r="K58" i="24"/>
  <c r="AB58" i="24"/>
  <c r="AJ58" i="24"/>
  <c r="AK58" i="24"/>
  <c r="O58" i="24"/>
  <c r="AC58" i="24"/>
  <c r="X59" i="23"/>
  <c r="K59" i="23"/>
  <c r="A60" i="23"/>
  <c r="AB59" i="23"/>
  <c r="L59" i="23"/>
  <c r="AJ59" i="23"/>
  <c r="AK59" i="23"/>
  <c r="O59" i="23"/>
  <c r="AC59" i="23"/>
  <c r="X61" i="20"/>
  <c r="K61" i="20"/>
  <c r="AB61" i="20"/>
  <c r="L61" i="20"/>
  <c r="A62" i="20"/>
  <c r="AJ61" i="20"/>
  <c r="AK61" i="20"/>
  <c r="O61" i="20"/>
  <c r="AC61" i="20"/>
  <c r="AF21" i="7"/>
  <c r="S64" i="1"/>
  <c r="R64" i="1" s="1"/>
  <c r="P64" i="1" s="1"/>
  <c r="V64" i="1" s="1"/>
  <c r="X65" i="1"/>
  <c r="AB65" i="1"/>
  <c r="A66" i="1"/>
  <c r="L65" i="1"/>
  <c r="O65" i="1"/>
  <c r="Q65" i="1"/>
  <c r="AJ65" i="1"/>
  <c r="K65" i="1"/>
  <c r="AC65" i="1"/>
  <c r="AK65" i="1"/>
  <c r="U65" i="1"/>
  <c r="T65" i="1" s="1"/>
  <c r="A58" i="25"/>
  <c r="AB57" i="25"/>
  <c r="L57" i="25"/>
  <c r="X57" i="25"/>
  <c r="K57" i="25"/>
  <c r="AJ57" i="25"/>
  <c r="O57" i="25"/>
  <c r="AK57" i="25"/>
  <c r="AC57" i="25"/>
  <c r="X63" i="17"/>
  <c r="L63" i="17"/>
  <c r="A64" i="17"/>
  <c r="K63" i="17"/>
  <c r="AB63" i="17"/>
  <c r="AJ63" i="17"/>
  <c r="AK63" i="17"/>
  <c r="O63" i="17"/>
  <c r="AC63" i="17"/>
  <c r="AB60" i="22"/>
  <c r="X60" i="22"/>
  <c r="L60" i="22"/>
  <c r="K60" i="22"/>
  <c r="AE33" i="7"/>
  <c r="A61" i="22"/>
  <c r="AK60" i="22"/>
  <c r="AJ60" i="22"/>
  <c r="O60" i="22"/>
  <c r="AG33" i="7" s="1"/>
  <c r="AC60" i="22"/>
  <c r="AB62" i="18"/>
  <c r="L62" i="18"/>
  <c r="K62" i="18"/>
  <c r="A63" i="18"/>
  <c r="X62" i="18"/>
  <c r="AJ62" i="18"/>
  <c r="O62" i="18"/>
  <c r="AK62" i="18"/>
  <c r="AC62" i="18"/>
  <c r="A66" i="15" l="1"/>
  <c r="AK65" i="15"/>
  <c r="X65" i="15"/>
  <c r="AB65" i="15"/>
  <c r="O65" i="15"/>
  <c r="L65" i="15"/>
  <c r="D65" i="15" s="1"/>
  <c r="AC65" i="15"/>
  <c r="K65" i="15"/>
  <c r="AJ65" i="15"/>
  <c r="E64" i="15"/>
  <c r="I64" i="1"/>
  <c r="E63" i="16"/>
  <c r="X64" i="16"/>
  <c r="A65" i="16"/>
  <c r="L64" i="16"/>
  <c r="D64" i="16" s="1"/>
  <c r="AK64" i="16"/>
  <c r="O64" i="16"/>
  <c r="AB64" i="16"/>
  <c r="AC64" i="16"/>
  <c r="K64" i="16"/>
  <c r="AJ64" i="16"/>
  <c r="X63" i="18"/>
  <c r="L63" i="18"/>
  <c r="K63" i="18"/>
  <c r="AB63" i="18"/>
  <c r="A64" i="18"/>
  <c r="O63" i="18"/>
  <c r="AK63" i="18"/>
  <c r="AJ63" i="18"/>
  <c r="AC63" i="18"/>
  <c r="K61" i="22"/>
  <c r="L61" i="22"/>
  <c r="AB61" i="22"/>
  <c r="A62" i="22"/>
  <c r="X61" i="22"/>
  <c r="AJ61" i="22"/>
  <c r="AK61" i="22"/>
  <c r="O61" i="22"/>
  <c r="AC61" i="22"/>
  <c r="X64" i="17"/>
  <c r="K64" i="17"/>
  <c r="A65" i="17"/>
  <c r="AB64" i="17"/>
  <c r="L64" i="17"/>
  <c r="AJ64" i="17"/>
  <c r="AK64" i="17"/>
  <c r="AC64" i="17"/>
  <c r="O64" i="17"/>
  <c r="X58" i="25"/>
  <c r="K58" i="25"/>
  <c r="A59" i="25"/>
  <c r="L58" i="25"/>
  <c r="AB58" i="25"/>
  <c r="AJ58" i="25"/>
  <c r="O58" i="25"/>
  <c r="AK58" i="25"/>
  <c r="AC58" i="25"/>
  <c r="S65" i="1"/>
  <c r="R65" i="1" s="1"/>
  <c r="P65" i="1" s="1"/>
  <c r="V65" i="1" s="1"/>
  <c r="L66" i="1"/>
  <c r="O66" i="1"/>
  <c r="X66" i="1"/>
  <c r="Q66" i="1"/>
  <c r="AC66" i="1"/>
  <c r="K66" i="1"/>
  <c r="AB66" i="1"/>
  <c r="AK66" i="1"/>
  <c r="A67" i="1"/>
  <c r="AJ66" i="1"/>
  <c r="U66" i="1"/>
  <c r="T66" i="1" s="1"/>
  <c r="S66" i="1" s="1"/>
  <c r="R66" i="1" s="1"/>
  <c r="K62" i="20"/>
  <c r="A63" i="20"/>
  <c r="AB62" i="20"/>
  <c r="L62" i="20"/>
  <c r="X62" i="20"/>
  <c r="AJ62" i="20"/>
  <c r="AK62" i="20"/>
  <c r="O62" i="20"/>
  <c r="AC62" i="20"/>
  <c r="AF33" i="7"/>
  <c r="I63" i="1"/>
  <c r="AA63" i="1"/>
  <c r="Z63" i="1" s="1"/>
  <c r="Y63" i="1" s="1"/>
  <c r="AB60" i="23"/>
  <c r="AE45" i="7"/>
  <c r="A61" i="23"/>
  <c r="L60" i="23"/>
  <c r="X60" i="23"/>
  <c r="K60" i="23"/>
  <c r="AJ60" i="23"/>
  <c r="AK60" i="23"/>
  <c r="O60" i="23"/>
  <c r="AG45" i="7" s="1"/>
  <c r="AC60" i="23"/>
  <c r="K59" i="24"/>
  <c r="L59" i="24"/>
  <c r="AB59" i="24"/>
  <c r="A60" i="24"/>
  <c r="X59" i="24"/>
  <c r="AJ59" i="24"/>
  <c r="AK59" i="24"/>
  <c r="O59" i="24"/>
  <c r="AC59" i="24"/>
  <c r="AA64" i="1" l="1"/>
  <c r="Z64" i="1" s="1"/>
  <c r="Y64" i="1" s="1"/>
  <c r="E65" i="15"/>
  <c r="P66" i="1"/>
  <c r="V66" i="1" s="1"/>
  <c r="L66" i="15"/>
  <c r="D66" i="15" s="1"/>
  <c r="O66" i="15"/>
  <c r="A67" i="15"/>
  <c r="AK66" i="15"/>
  <c r="AB66" i="15"/>
  <c r="AJ66" i="15"/>
  <c r="K66" i="15"/>
  <c r="X66" i="15"/>
  <c r="AC66" i="15"/>
  <c r="E64" i="16"/>
  <c r="AA65" i="1"/>
  <c r="Z65" i="1" s="1"/>
  <c r="Y65" i="1" s="1"/>
  <c r="AB65" i="16"/>
  <c r="X65" i="16"/>
  <c r="K65" i="16"/>
  <c r="AJ65" i="16"/>
  <c r="O65" i="16"/>
  <c r="A66" i="16"/>
  <c r="L65" i="16"/>
  <c r="D65" i="16" s="1"/>
  <c r="E65" i="16" s="1"/>
  <c r="AK65" i="16"/>
  <c r="AC65" i="16"/>
  <c r="I65" i="1"/>
  <c r="A62" i="23"/>
  <c r="AB61" i="23"/>
  <c r="K61" i="23"/>
  <c r="L61" i="23"/>
  <c r="X61" i="23"/>
  <c r="AJ61" i="23"/>
  <c r="AK61" i="23"/>
  <c r="O61" i="23"/>
  <c r="AC61" i="23"/>
  <c r="AB63" i="20"/>
  <c r="K63" i="20"/>
  <c r="L63" i="20"/>
  <c r="A64" i="20"/>
  <c r="X63" i="20"/>
  <c r="AJ63" i="20"/>
  <c r="AK63" i="20"/>
  <c r="O63" i="20"/>
  <c r="AC63" i="20"/>
  <c r="Q67" i="1"/>
  <c r="AB67" i="1"/>
  <c r="O67" i="1"/>
  <c r="K67" i="1"/>
  <c r="X67" i="1"/>
  <c r="A68" i="1"/>
  <c r="L67" i="1"/>
  <c r="AC67" i="1"/>
  <c r="AJ67" i="1"/>
  <c r="AK67" i="1"/>
  <c r="U67" i="1"/>
  <c r="T67" i="1" s="1"/>
  <c r="AB65" i="17"/>
  <c r="A66" i="17"/>
  <c r="X65" i="17"/>
  <c r="K65" i="17"/>
  <c r="L65" i="17"/>
  <c r="AJ65" i="17"/>
  <c r="AK65" i="17"/>
  <c r="AC65" i="17"/>
  <c r="O65" i="17"/>
  <c r="AB62" i="22"/>
  <c r="X62" i="22"/>
  <c r="L62" i="22"/>
  <c r="A63" i="22"/>
  <c r="K62" i="22"/>
  <c r="AJ62" i="22"/>
  <c r="AK62" i="22"/>
  <c r="O62" i="22"/>
  <c r="AC62" i="22"/>
  <c r="AB64" i="18"/>
  <c r="K64" i="18"/>
  <c r="A65" i="18"/>
  <c r="L64" i="18"/>
  <c r="X64" i="18"/>
  <c r="O64" i="18"/>
  <c r="AJ64" i="18"/>
  <c r="AK64" i="18"/>
  <c r="AC64" i="18"/>
  <c r="K60" i="24"/>
  <c r="A61" i="24"/>
  <c r="L60" i="24"/>
  <c r="X60" i="24"/>
  <c r="AE57" i="7"/>
  <c r="AB60" i="24"/>
  <c r="AK60" i="24"/>
  <c r="AJ60" i="24"/>
  <c r="O60" i="24"/>
  <c r="AG57" i="7" s="1"/>
  <c r="AC60" i="24"/>
  <c r="AF45" i="7"/>
  <c r="X59" i="25"/>
  <c r="L59" i="25"/>
  <c r="K59" i="25"/>
  <c r="AB59" i="25"/>
  <c r="A60" i="25"/>
  <c r="AJ59" i="25"/>
  <c r="O59" i="25"/>
  <c r="AK59" i="25"/>
  <c r="AC59" i="25"/>
  <c r="AB67" i="15" l="1"/>
  <c r="X67" i="15"/>
  <c r="O67" i="15"/>
  <c r="A68" i="15"/>
  <c r="AC67" i="15"/>
  <c r="L67" i="15"/>
  <c r="D67" i="15" s="1"/>
  <c r="AJ67" i="15"/>
  <c r="K67" i="15"/>
  <c r="AK67" i="15"/>
  <c r="E66" i="15"/>
  <c r="AB66" i="16"/>
  <c r="X66" i="16"/>
  <c r="AK66" i="16"/>
  <c r="AC66" i="16"/>
  <c r="A67" i="16"/>
  <c r="L66" i="16"/>
  <c r="D66" i="16" s="1"/>
  <c r="K66" i="16"/>
  <c r="AJ66" i="16"/>
  <c r="O66" i="16"/>
  <c r="AF57" i="7"/>
  <c r="AB66" i="17"/>
  <c r="A67" i="17"/>
  <c r="K66" i="17"/>
  <c r="L66" i="17"/>
  <c r="X66" i="17"/>
  <c r="AJ66" i="17"/>
  <c r="AK66" i="17"/>
  <c r="O66" i="17"/>
  <c r="AC66" i="17"/>
  <c r="O68" i="1"/>
  <c r="L68" i="1"/>
  <c r="Q68" i="1"/>
  <c r="A69" i="1"/>
  <c r="X68" i="1"/>
  <c r="AK68" i="1"/>
  <c r="K68" i="1"/>
  <c r="AC68" i="1"/>
  <c r="AB68" i="1"/>
  <c r="AJ68" i="1"/>
  <c r="U68" i="1"/>
  <c r="T68" i="1" s="1"/>
  <c r="L62" i="23"/>
  <c r="AB62" i="23"/>
  <c r="K62" i="23"/>
  <c r="A63" i="23"/>
  <c r="X62" i="23"/>
  <c r="AJ62" i="23"/>
  <c r="AK62" i="23"/>
  <c r="O62" i="23"/>
  <c r="AC62" i="23"/>
  <c r="X60" i="25"/>
  <c r="AE69" i="7"/>
  <c r="A61" i="25"/>
  <c r="L60" i="25"/>
  <c r="K60" i="25"/>
  <c r="AB60" i="25"/>
  <c r="AJ60" i="25"/>
  <c r="O60" i="25"/>
  <c r="AG69" i="7" s="1"/>
  <c r="AK60" i="25"/>
  <c r="AC60" i="25"/>
  <c r="K61" i="24"/>
  <c r="A62" i="24"/>
  <c r="X61" i="24"/>
  <c r="AB61" i="24"/>
  <c r="L61" i="24"/>
  <c r="AJ61" i="24"/>
  <c r="AK61" i="24"/>
  <c r="O61" i="24"/>
  <c r="AC61" i="24"/>
  <c r="K65" i="18"/>
  <c r="L65" i="18"/>
  <c r="X65" i="18"/>
  <c r="AJ65" i="18"/>
  <c r="A66" i="18"/>
  <c r="AB65" i="18"/>
  <c r="O65" i="18"/>
  <c r="AK65" i="18"/>
  <c r="AC65" i="18"/>
  <c r="AB63" i="22"/>
  <c r="L63" i="22"/>
  <c r="K63" i="22"/>
  <c r="X63" i="22"/>
  <c r="A64" i="22"/>
  <c r="AJ63" i="22"/>
  <c r="AK63" i="22"/>
  <c r="O63" i="22"/>
  <c r="AC63" i="22"/>
  <c r="S67" i="1"/>
  <c r="R67" i="1" s="1"/>
  <c r="P67" i="1" s="1"/>
  <c r="V67" i="1" s="1"/>
  <c r="K64" i="20"/>
  <c r="X64" i="20"/>
  <c r="AB64" i="20"/>
  <c r="L64" i="20"/>
  <c r="A65" i="20"/>
  <c r="AJ64" i="20"/>
  <c r="AK64" i="20"/>
  <c r="O64" i="20"/>
  <c r="AC64" i="20"/>
  <c r="E67" i="15" l="1"/>
  <c r="L68" i="15"/>
  <c r="D68" i="15" s="1"/>
  <c r="AK68" i="15"/>
  <c r="X68" i="15"/>
  <c r="AJ68" i="15"/>
  <c r="A69" i="15"/>
  <c r="K68" i="15"/>
  <c r="AC68" i="15"/>
  <c r="AB68" i="15"/>
  <c r="O68" i="15"/>
  <c r="X67" i="16"/>
  <c r="L67" i="16"/>
  <c r="D67" i="16" s="1"/>
  <c r="AK67" i="16"/>
  <c r="AC67" i="16"/>
  <c r="AB67" i="16"/>
  <c r="A68" i="16"/>
  <c r="K67" i="16"/>
  <c r="AJ67" i="16"/>
  <c r="O67" i="16"/>
  <c r="E66" i="16"/>
  <c r="K65" i="20"/>
  <c r="AB65" i="20"/>
  <c r="A66" i="20"/>
  <c r="L65" i="20"/>
  <c r="X65" i="20"/>
  <c r="AK65" i="20"/>
  <c r="AJ65" i="20"/>
  <c r="O65" i="20"/>
  <c r="AC65" i="20"/>
  <c r="I66" i="1"/>
  <c r="AA66" i="1"/>
  <c r="Z66" i="1" s="1"/>
  <c r="Y66" i="1" s="1"/>
  <c r="A65" i="22"/>
  <c r="X64" i="22"/>
  <c r="L64" i="22"/>
  <c r="K64" i="22"/>
  <c r="AB64" i="22"/>
  <c r="AJ64" i="22"/>
  <c r="AK64" i="22"/>
  <c r="O64" i="22"/>
  <c r="AC64" i="22"/>
  <c r="A63" i="24"/>
  <c r="K62" i="24"/>
  <c r="X62" i="24"/>
  <c r="AB62" i="24"/>
  <c r="L62" i="24"/>
  <c r="AK62" i="24"/>
  <c r="AJ62" i="24"/>
  <c r="O62" i="24"/>
  <c r="AC62" i="24"/>
  <c r="AF69" i="7"/>
  <c r="AK69" i="1"/>
  <c r="X69" i="1"/>
  <c r="Q69" i="1"/>
  <c r="K69" i="1"/>
  <c r="L69" i="1"/>
  <c r="O69" i="1"/>
  <c r="A70" i="1"/>
  <c r="AJ69" i="1"/>
  <c r="AB69" i="1"/>
  <c r="AC69" i="1"/>
  <c r="U69" i="1"/>
  <c r="T69" i="1" s="1"/>
  <c r="X67" i="17"/>
  <c r="AB67" i="17"/>
  <c r="A68" i="17"/>
  <c r="K67" i="17"/>
  <c r="L67" i="17"/>
  <c r="AJ67" i="17"/>
  <c r="AK67" i="17"/>
  <c r="O67" i="17"/>
  <c r="AC67" i="17"/>
  <c r="AB66" i="18"/>
  <c r="A67" i="18"/>
  <c r="K66" i="18"/>
  <c r="X66" i="18"/>
  <c r="L66" i="18"/>
  <c r="AJ66" i="18"/>
  <c r="AK66" i="18"/>
  <c r="O66" i="18"/>
  <c r="AC66" i="18"/>
  <c r="K61" i="25"/>
  <c r="L61" i="25"/>
  <c r="X61" i="25"/>
  <c r="AB61" i="25"/>
  <c r="A62" i="25"/>
  <c r="AJ61" i="25"/>
  <c r="O61" i="25"/>
  <c r="AK61" i="25"/>
  <c r="AC61" i="25"/>
  <c r="X63" i="23"/>
  <c r="L63" i="23"/>
  <c r="A64" i="23"/>
  <c r="AB63" i="23"/>
  <c r="K63" i="23"/>
  <c r="AJ63" i="23"/>
  <c r="AK63" i="23"/>
  <c r="O63" i="23"/>
  <c r="AC63" i="23"/>
  <c r="S68" i="1"/>
  <c r="R68" i="1" s="1"/>
  <c r="P68" i="1" s="1"/>
  <c r="V68" i="1" s="1"/>
  <c r="A70" i="15" l="1"/>
  <c r="AC69" i="15"/>
  <c r="L69" i="15"/>
  <c r="D69" i="15" s="1"/>
  <c r="AJ69" i="15"/>
  <c r="AB69" i="15"/>
  <c r="AK69" i="15"/>
  <c r="K69" i="15"/>
  <c r="X69" i="15"/>
  <c r="O69" i="15"/>
  <c r="E68" i="15"/>
  <c r="E67" i="16"/>
  <c r="X68" i="16"/>
  <c r="A69" i="16"/>
  <c r="K68" i="16"/>
  <c r="AK68" i="16"/>
  <c r="O68" i="16"/>
  <c r="L68" i="16"/>
  <c r="D68" i="16" s="1"/>
  <c r="AB68" i="16"/>
  <c r="AJ68" i="16"/>
  <c r="AC68" i="16"/>
  <c r="X62" i="25"/>
  <c r="L62" i="25"/>
  <c r="AB62" i="25"/>
  <c r="A63" i="25"/>
  <c r="K62" i="25"/>
  <c r="AJ62" i="25"/>
  <c r="AK62" i="25"/>
  <c r="O62" i="25"/>
  <c r="AC62" i="25"/>
  <c r="K68" i="17"/>
  <c r="L68" i="17"/>
  <c r="AB68" i="17"/>
  <c r="A69" i="17"/>
  <c r="X68" i="17"/>
  <c r="AK68" i="17"/>
  <c r="AJ68" i="17"/>
  <c r="O68" i="17"/>
  <c r="AC68" i="17"/>
  <c r="S69" i="1"/>
  <c r="R69" i="1" s="1"/>
  <c r="P69" i="1" s="1"/>
  <c r="V69" i="1" s="1"/>
  <c r="AK70" i="1"/>
  <c r="AB70" i="1"/>
  <c r="K70" i="1"/>
  <c r="L70" i="1"/>
  <c r="X70" i="1"/>
  <c r="AJ70" i="1"/>
  <c r="O70" i="1"/>
  <c r="AC70" i="1"/>
  <c r="A71" i="1"/>
  <c r="Q70" i="1"/>
  <c r="U70" i="1"/>
  <c r="T70" i="1" s="1"/>
  <c r="AB64" i="23"/>
  <c r="A65" i="23"/>
  <c r="K64" i="23"/>
  <c r="X64" i="23"/>
  <c r="L64" i="23"/>
  <c r="AJ64" i="23"/>
  <c r="AK64" i="23"/>
  <c r="O64" i="23"/>
  <c r="AC64" i="23"/>
  <c r="A68" i="18"/>
  <c r="X67" i="18"/>
  <c r="K67" i="18"/>
  <c r="AB67" i="18"/>
  <c r="L67" i="18"/>
  <c r="AJ67" i="18"/>
  <c r="AK67" i="18"/>
  <c r="O67" i="18"/>
  <c r="AC67" i="18"/>
  <c r="I67" i="1"/>
  <c r="AA67" i="1"/>
  <c r="Z67" i="1" s="1"/>
  <c r="Y67" i="1" s="1"/>
  <c r="AB63" i="24"/>
  <c r="X63" i="24"/>
  <c r="K63" i="24"/>
  <c r="A64" i="24"/>
  <c r="L63" i="24"/>
  <c r="AK63" i="24"/>
  <c r="AJ63" i="24"/>
  <c r="O63" i="24"/>
  <c r="AC63" i="24"/>
  <c r="AB65" i="22"/>
  <c r="L65" i="22"/>
  <c r="X65" i="22"/>
  <c r="K65" i="22"/>
  <c r="A66" i="22"/>
  <c r="AK65" i="22"/>
  <c r="AJ65" i="22"/>
  <c r="O65" i="22"/>
  <c r="AC65" i="22"/>
  <c r="X66" i="20"/>
  <c r="L66" i="20"/>
  <c r="A67" i="20"/>
  <c r="K66" i="20"/>
  <c r="AB66" i="20"/>
  <c r="AJ66" i="20"/>
  <c r="AK66" i="20"/>
  <c r="O66" i="20"/>
  <c r="AC66" i="20"/>
  <c r="E69" i="15" l="1"/>
  <c r="AB70" i="15"/>
  <c r="AJ70" i="15"/>
  <c r="K70" i="15"/>
  <c r="L70" i="15"/>
  <c r="D70" i="15" s="1"/>
  <c r="O70" i="15"/>
  <c r="X70" i="15"/>
  <c r="AC70" i="15"/>
  <c r="A71" i="15"/>
  <c r="AK70" i="15"/>
  <c r="E68" i="16"/>
  <c r="K69" i="16"/>
  <c r="X69" i="16"/>
  <c r="AJ69" i="16"/>
  <c r="AC69" i="16"/>
  <c r="AB69" i="16"/>
  <c r="L69" i="16"/>
  <c r="D69" i="16" s="1"/>
  <c r="A70" i="16"/>
  <c r="AK69" i="16"/>
  <c r="O69" i="16"/>
  <c r="A68" i="20"/>
  <c r="AB67" i="20"/>
  <c r="K67" i="20"/>
  <c r="L67" i="20"/>
  <c r="X67" i="20"/>
  <c r="AJ67" i="20"/>
  <c r="AK67" i="20"/>
  <c r="O67" i="20"/>
  <c r="AC67" i="20"/>
  <c r="K68" i="18"/>
  <c r="A69" i="18"/>
  <c r="AB68" i="18"/>
  <c r="X68" i="18"/>
  <c r="L68" i="18"/>
  <c r="AK68" i="18"/>
  <c r="O68" i="18"/>
  <c r="AJ68" i="18"/>
  <c r="AC68" i="18"/>
  <c r="K65" i="23"/>
  <c r="AB65" i="23"/>
  <c r="X65" i="23"/>
  <c r="A66" i="23"/>
  <c r="L65" i="23"/>
  <c r="AJ65" i="23"/>
  <c r="AK65" i="23"/>
  <c r="O65" i="23"/>
  <c r="AC65" i="23"/>
  <c r="S70" i="1"/>
  <c r="R70" i="1" s="1"/>
  <c r="P70" i="1" s="1"/>
  <c r="V70" i="1" s="1"/>
  <c r="A72" i="1"/>
  <c r="L71" i="1"/>
  <c r="AC71" i="1"/>
  <c r="X71" i="1"/>
  <c r="Q71" i="1"/>
  <c r="AB71" i="1"/>
  <c r="O71" i="1"/>
  <c r="AJ71" i="1"/>
  <c r="K71" i="1"/>
  <c r="AK71" i="1"/>
  <c r="U71" i="1"/>
  <c r="T71" i="1" s="1"/>
  <c r="K69" i="17"/>
  <c r="AB69" i="17"/>
  <c r="A70" i="17"/>
  <c r="X69" i="17"/>
  <c r="L69" i="17"/>
  <c r="AJ69" i="17"/>
  <c r="AK69" i="17"/>
  <c r="O69" i="17"/>
  <c r="AC69" i="17"/>
  <c r="A67" i="22"/>
  <c r="L66" i="22"/>
  <c r="AB66" i="22"/>
  <c r="X66" i="22"/>
  <c r="K66" i="22"/>
  <c r="AJ66" i="22"/>
  <c r="AK66" i="22"/>
  <c r="O66" i="22"/>
  <c r="AC66" i="22"/>
  <c r="K64" i="24"/>
  <c r="A65" i="24"/>
  <c r="X64" i="24"/>
  <c r="AB64" i="24"/>
  <c r="L64" i="24"/>
  <c r="AJ64" i="24"/>
  <c r="AK64" i="24"/>
  <c r="O64" i="24"/>
  <c r="AC64" i="24"/>
  <c r="X63" i="25"/>
  <c r="L63" i="25"/>
  <c r="K63" i="25"/>
  <c r="AB63" i="25"/>
  <c r="A64" i="25"/>
  <c r="AJ63" i="25"/>
  <c r="AK63" i="25"/>
  <c r="O63" i="25"/>
  <c r="AC63" i="25"/>
  <c r="AA68" i="1"/>
  <c r="Z68" i="1" s="1"/>
  <c r="Y68" i="1" s="1"/>
  <c r="I68" i="1"/>
  <c r="E70" i="15" l="1"/>
  <c r="L71" i="15"/>
  <c r="D71" i="15" s="1"/>
  <c r="AJ71" i="15"/>
  <c r="A72" i="15"/>
  <c r="K71" i="15"/>
  <c r="AC71" i="15"/>
  <c r="AB71" i="15"/>
  <c r="O71" i="15"/>
  <c r="X71" i="15"/>
  <c r="AK71" i="15"/>
  <c r="E69" i="16"/>
  <c r="AB70" i="16"/>
  <c r="A71" i="16"/>
  <c r="AK70" i="16"/>
  <c r="AC70" i="16"/>
  <c r="X70" i="16"/>
  <c r="L70" i="16"/>
  <c r="D70" i="16" s="1"/>
  <c r="K70" i="16"/>
  <c r="AJ70" i="16"/>
  <c r="O70" i="16"/>
  <c r="I69" i="1"/>
  <c r="AA69" i="1"/>
  <c r="Z69" i="1" s="1"/>
  <c r="Y69" i="1" s="1"/>
  <c r="AB65" i="24"/>
  <c r="L65" i="24"/>
  <c r="K65" i="24"/>
  <c r="X65" i="24"/>
  <c r="A66" i="24"/>
  <c r="AJ65" i="24"/>
  <c r="AK65" i="24"/>
  <c r="O65" i="24"/>
  <c r="AC65" i="24"/>
  <c r="A71" i="17"/>
  <c r="X70" i="17"/>
  <c r="AB70" i="17"/>
  <c r="K70" i="17"/>
  <c r="L70" i="17"/>
  <c r="AK70" i="17"/>
  <c r="AJ70" i="17"/>
  <c r="AC70" i="17"/>
  <c r="O70" i="17"/>
  <c r="S71" i="1"/>
  <c r="R71" i="1" s="1"/>
  <c r="P71" i="1" s="1"/>
  <c r="V71" i="1" s="1"/>
  <c r="AC72" i="1"/>
  <c r="AJ72" i="1"/>
  <c r="A73" i="1"/>
  <c r="O72" i="1"/>
  <c r="Q72" i="1"/>
  <c r="L72" i="1"/>
  <c r="X72" i="1"/>
  <c r="AK72" i="1"/>
  <c r="K72" i="1"/>
  <c r="AB72" i="1"/>
  <c r="U72" i="1"/>
  <c r="T72" i="1" s="1"/>
  <c r="X66" i="23"/>
  <c r="A67" i="23"/>
  <c r="AB66" i="23"/>
  <c r="K66" i="23"/>
  <c r="L66" i="23"/>
  <c r="AJ66" i="23"/>
  <c r="AK66" i="23"/>
  <c r="O66" i="23"/>
  <c r="AC66" i="23"/>
  <c r="K69" i="18"/>
  <c r="L69" i="18"/>
  <c r="X69" i="18"/>
  <c r="AB69" i="18"/>
  <c r="A70" i="18"/>
  <c r="AJ69" i="18"/>
  <c r="AK69" i="18"/>
  <c r="O69" i="18"/>
  <c r="AC69" i="18"/>
  <c r="AB64" i="25"/>
  <c r="L64" i="25"/>
  <c r="X64" i="25"/>
  <c r="K64" i="25"/>
  <c r="A65" i="25"/>
  <c r="AJ64" i="25"/>
  <c r="AK64" i="25"/>
  <c r="O64" i="25"/>
  <c r="AC64" i="25"/>
  <c r="AB67" i="22"/>
  <c r="X67" i="22"/>
  <c r="A68" i="22"/>
  <c r="L67" i="22"/>
  <c r="K67" i="22"/>
  <c r="AK67" i="22"/>
  <c r="AJ67" i="22"/>
  <c r="O67" i="22"/>
  <c r="AC67" i="22"/>
  <c r="AB68" i="20"/>
  <c r="A69" i="20"/>
  <c r="K68" i="20"/>
  <c r="X68" i="20"/>
  <c r="L68" i="20"/>
  <c r="AJ68" i="20"/>
  <c r="AK68" i="20"/>
  <c r="O68" i="20"/>
  <c r="AC68" i="20"/>
  <c r="K72" i="15" l="1"/>
  <c r="AJ72" i="15"/>
  <c r="AB72" i="15"/>
  <c r="AK72" i="15"/>
  <c r="A73" i="15"/>
  <c r="L72" i="15"/>
  <c r="D72" i="15" s="1"/>
  <c r="AC72" i="15"/>
  <c r="X72" i="15"/>
  <c r="O72" i="15"/>
  <c r="E71" i="15"/>
  <c r="E70" i="16"/>
  <c r="AA71" i="1"/>
  <c r="Z71" i="1" s="1"/>
  <c r="Y71" i="1" s="1"/>
  <c r="K71" i="16"/>
  <c r="A72" i="16"/>
  <c r="AK71" i="16"/>
  <c r="AC71" i="16"/>
  <c r="L71" i="16"/>
  <c r="D71" i="16" s="1"/>
  <c r="AB71" i="16"/>
  <c r="X71" i="16"/>
  <c r="AJ71" i="16"/>
  <c r="O71" i="16"/>
  <c r="I71" i="1"/>
  <c r="AB65" i="25"/>
  <c r="A66" i="25"/>
  <c r="K65" i="25"/>
  <c r="L65" i="25"/>
  <c r="X65" i="25"/>
  <c r="AJ65" i="25"/>
  <c r="AK65" i="25"/>
  <c r="O65" i="25"/>
  <c r="AC65" i="25"/>
  <c r="L67" i="23"/>
  <c r="K67" i="23"/>
  <c r="A68" i="23"/>
  <c r="X67" i="23"/>
  <c r="AB67" i="23"/>
  <c r="AK67" i="23"/>
  <c r="AJ67" i="23"/>
  <c r="O67" i="23"/>
  <c r="AC67" i="23"/>
  <c r="S72" i="1"/>
  <c r="R72" i="1" s="1"/>
  <c r="P72" i="1" s="1"/>
  <c r="V72" i="1" s="1"/>
  <c r="X73" i="1"/>
  <c r="K73" i="1"/>
  <c r="A74" i="1"/>
  <c r="AK73" i="1"/>
  <c r="Q73" i="1"/>
  <c r="AJ73" i="1"/>
  <c r="L73" i="1"/>
  <c r="AC73" i="1"/>
  <c r="AB73" i="1"/>
  <c r="O73" i="1"/>
  <c r="U73" i="1"/>
  <c r="T73" i="1" s="1"/>
  <c r="AB66" i="24"/>
  <c r="A67" i="24"/>
  <c r="X66" i="24"/>
  <c r="K66" i="24"/>
  <c r="L66" i="24"/>
  <c r="AJ66" i="24"/>
  <c r="AK66" i="24"/>
  <c r="O66" i="24"/>
  <c r="AC66" i="24"/>
  <c r="X69" i="20"/>
  <c r="A70" i="20"/>
  <c r="AB69" i="20"/>
  <c r="K69" i="20"/>
  <c r="L69" i="20"/>
  <c r="AK69" i="20"/>
  <c r="AJ69" i="20"/>
  <c r="O69" i="20"/>
  <c r="AC69" i="20"/>
  <c r="X68" i="22"/>
  <c r="A69" i="22"/>
  <c r="AB68" i="22"/>
  <c r="K68" i="22"/>
  <c r="L68" i="22"/>
  <c r="AJ68" i="22"/>
  <c r="AK68" i="22"/>
  <c r="O68" i="22"/>
  <c r="AC68" i="22"/>
  <c r="AA70" i="1"/>
  <c r="Z70" i="1" s="1"/>
  <c r="Y70" i="1" s="1"/>
  <c r="I70" i="1"/>
  <c r="AB70" i="18"/>
  <c r="K70" i="18"/>
  <c r="AJ70" i="18"/>
  <c r="X70" i="18"/>
  <c r="L70" i="18"/>
  <c r="A71" i="18"/>
  <c r="O70" i="18"/>
  <c r="AK70" i="18"/>
  <c r="AC70" i="18"/>
  <c r="K71" i="17"/>
  <c r="AB71" i="17"/>
  <c r="X71" i="17"/>
  <c r="L71" i="17"/>
  <c r="A72" i="17"/>
  <c r="AJ71" i="17"/>
  <c r="AK71" i="17"/>
  <c r="AC71" i="17"/>
  <c r="O71" i="17"/>
  <c r="E72" i="15" l="1"/>
  <c r="A74" i="15"/>
  <c r="AJ73" i="15"/>
  <c r="K73" i="15"/>
  <c r="AB73" i="15"/>
  <c r="AC73" i="15"/>
  <c r="X73" i="15"/>
  <c r="O73" i="15"/>
  <c r="L73" i="15"/>
  <c r="D73" i="15" s="1"/>
  <c r="AK73" i="15"/>
  <c r="AB72" i="16"/>
  <c r="X72" i="16"/>
  <c r="AK72" i="16"/>
  <c r="AC72" i="16"/>
  <c r="L72" i="16"/>
  <c r="D72" i="16" s="1"/>
  <c r="A73" i="16"/>
  <c r="K72" i="16"/>
  <c r="AJ72" i="16"/>
  <c r="O72" i="16"/>
  <c r="E71" i="16"/>
  <c r="A70" i="22"/>
  <c r="K69" i="22"/>
  <c r="AB69" i="22"/>
  <c r="L69" i="22"/>
  <c r="X69" i="22"/>
  <c r="AJ69" i="22"/>
  <c r="AK69" i="22"/>
  <c r="O69" i="22"/>
  <c r="AC69" i="22"/>
  <c r="AB67" i="24"/>
  <c r="A68" i="24"/>
  <c r="X67" i="24"/>
  <c r="L67" i="24"/>
  <c r="K67" i="24"/>
  <c r="AK67" i="24"/>
  <c r="O67" i="24"/>
  <c r="AJ67" i="24"/>
  <c r="AC67" i="24"/>
  <c r="S73" i="1"/>
  <c r="R73" i="1" s="1"/>
  <c r="P73" i="1" s="1"/>
  <c r="V73" i="1" s="1"/>
  <c r="X74" i="1"/>
  <c r="AC74" i="1"/>
  <c r="AK74" i="1"/>
  <c r="Q74" i="1"/>
  <c r="A75" i="1"/>
  <c r="AB74" i="1"/>
  <c r="L74" i="1"/>
  <c r="O74" i="1"/>
  <c r="K74" i="1"/>
  <c r="AJ74" i="1"/>
  <c r="U74" i="1"/>
  <c r="T74" i="1" s="1"/>
  <c r="A73" i="17"/>
  <c r="L72" i="17"/>
  <c r="K72" i="17"/>
  <c r="X72" i="17"/>
  <c r="AB72" i="17"/>
  <c r="AJ72" i="17"/>
  <c r="AK72" i="17"/>
  <c r="O72" i="17"/>
  <c r="AC72" i="17"/>
  <c r="X71" i="18"/>
  <c r="K71" i="18"/>
  <c r="A72" i="18"/>
  <c r="AB71" i="18"/>
  <c r="L71" i="18"/>
  <c r="AK71" i="18"/>
  <c r="O71" i="18"/>
  <c r="AJ71" i="18"/>
  <c r="AC71" i="18"/>
  <c r="AB70" i="20"/>
  <c r="X70" i="20"/>
  <c r="A71" i="20"/>
  <c r="K70" i="20"/>
  <c r="L70" i="20"/>
  <c r="AJ70" i="20"/>
  <c r="AK70" i="20"/>
  <c r="O70" i="20"/>
  <c r="AC70" i="20"/>
  <c r="A69" i="23"/>
  <c r="X68" i="23"/>
  <c r="L68" i="23"/>
  <c r="AB68" i="23"/>
  <c r="K68" i="23"/>
  <c r="AJ68" i="23"/>
  <c r="AK68" i="23"/>
  <c r="O68" i="23"/>
  <c r="AC68" i="23"/>
  <c r="K66" i="25"/>
  <c r="L66" i="25"/>
  <c r="AB66" i="25"/>
  <c r="A67" i="25"/>
  <c r="X66" i="25"/>
  <c r="AJ66" i="25"/>
  <c r="O66" i="25"/>
  <c r="AK66" i="25"/>
  <c r="AC66" i="25"/>
  <c r="K74" i="15" l="1"/>
  <c r="AK74" i="15"/>
  <c r="L74" i="15"/>
  <c r="D74" i="15" s="1"/>
  <c r="X74" i="15"/>
  <c r="AC74" i="15"/>
  <c r="A75" i="15"/>
  <c r="O74" i="15"/>
  <c r="AB74" i="15"/>
  <c r="AJ74" i="15"/>
  <c r="E73" i="15"/>
  <c r="I73" i="1"/>
  <c r="A74" i="16"/>
  <c r="K73" i="16"/>
  <c r="X73" i="16"/>
  <c r="AK73" i="16"/>
  <c r="O73" i="16"/>
  <c r="L73" i="16"/>
  <c r="D73" i="16" s="1"/>
  <c r="AB73" i="16"/>
  <c r="AJ73" i="16"/>
  <c r="AC73" i="16"/>
  <c r="E72" i="16"/>
  <c r="A68" i="25"/>
  <c r="K67" i="25"/>
  <c r="L67" i="25"/>
  <c r="AB67" i="25"/>
  <c r="X67" i="25"/>
  <c r="AJ67" i="25"/>
  <c r="AK67" i="25"/>
  <c r="O67" i="25"/>
  <c r="AC67" i="25"/>
  <c r="AB69" i="23"/>
  <c r="L69" i="23"/>
  <c r="K69" i="23"/>
  <c r="A70" i="23"/>
  <c r="X69" i="23"/>
  <c r="AK69" i="23"/>
  <c r="AJ69" i="23"/>
  <c r="O69" i="23"/>
  <c r="AC69" i="23"/>
  <c r="K71" i="20"/>
  <c r="A72" i="20"/>
  <c r="AB71" i="20"/>
  <c r="L71" i="20"/>
  <c r="X71" i="20"/>
  <c r="AK71" i="20"/>
  <c r="AJ71" i="20"/>
  <c r="O71" i="20"/>
  <c r="AC71" i="20"/>
  <c r="I72" i="1"/>
  <c r="AA72" i="1"/>
  <c r="Z72" i="1" s="1"/>
  <c r="Y72" i="1" s="1"/>
  <c r="S74" i="1"/>
  <c r="R74" i="1" s="1"/>
  <c r="P74" i="1" s="1"/>
  <c r="V74" i="1" s="1"/>
  <c r="K75" i="1"/>
  <c r="A76" i="1"/>
  <c r="AC75" i="1"/>
  <c r="Q75" i="1"/>
  <c r="L75" i="1"/>
  <c r="X75" i="1"/>
  <c r="AB75" i="1"/>
  <c r="AJ75" i="1"/>
  <c r="O75" i="1"/>
  <c r="AK75" i="1"/>
  <c r="U75" i="1"/>
  <c r="T75" i="1" s="1"/>
  <c r="K68" i="24"/>
  <c r="L68" i="24"/>
  <c r="X68" i="24"/>
  <c r="AB68" i="24"/>
  <c r="A69" i="24"/>
  <c r="AK68" i="24"/>
  <c r="AJ68" i="24"/>
  <c r="O68" i="24"/>
  <c r="AC68" i="24"/>
  <c r="AB70" i="22"/>
  <c r="L70" i="22"/>
  <c r="A71" i="22"/>
  <c r="K70" i="22"/>
  <c r="X70" i="22"/>
  <c r="AJ70" i="22"/>
  <c r="AK70" i="22"/>
  <c r="O70" i="22"/>
  <c r="AC70" i="22"/>
  <c r="A73" i="18"/>
  <c r="L72" i="18"/>
  <c r="K72" i="18"/>
  <c r="X72" i="18"/>
  <c r="AB72" i="18"/>
  <c r="AJ72" i="18"/>
  <c r="AK72" i="18"/>
  <c r="O72" i="18"/>
  <c r="AC72" i="18"/>
  <c r="X73" i="17"/>
  <c r="AB73" i="17"/>
  <c r="K73" i="17"/>
  <c r="L73" i="17"/>
  <c r="A74" i="17"/>
  <c r="AJ73" i="17"/>
  <c r="AK73" i="17"/>
  <c r="AC73" i="17"/>
  <c r="O73" i="17"/>
  <c r="E73" i="16" l="1"/>
  <c r="AA73" i="1"/>
  <c r="Z73" i="1" s="1"/>
  <c r="Y73" i="1" s="1"/>
  <c r="K75" i="15"/>
  <c r="O75" i="15"/>
  <c r="L75" i="15"/>
  <c r="D75" i="15" s="1"/>
  <c r="AJ75" i="15"/>
  <c r="A76" i="15"/>
  <c r="AK75" i="15"/>
  <c r="AB75" i="15"/>
  <c r="X75" i="15"/>
  <c r="AC75" i="15"/>
  <c r="E74" i="15"/>
  <c r="AB74" i="16"/>
  <c r="K74" i="16"/>
  <c r="A75" i="16"/>
  <c r="AJ74" i="16"/>
  <c r="O74" i="16"/>
  <c r="X74" i="16"/>
  <c r="L74" i="16"/>
  <c r="D74" i="16" s="1"/>
  <c r="AK74" i="16"/>
  <c r="AC74" i="16"/>
  <c r="AB74" i="17"/>
  <c r="A75" i="17"/>
  <c r="L74" i="17"/>
  <c r="X74" i="17"/>
  <c r="K74" i="17"/>
  <c r="AJ74" i="17"/>
  <c r="AK74" i="17"/>
  <c r="AC74" i="17"/>
  <c r="O74" i="17"/>
  <c r="A70" i="24"/>
  <c r="AB69" i="24"/>
  <c r="K69" i="24"/>
  <c r="L69" i="24"/>
  <c r="X69" i="24"/>
  <c r="AK69" i="24"/>
  <c r="AJ69" i="24"/>
  <c r="O69" i="24"/>
  <c r="AC69" i="24"/>
  <c r="AK76" i="1"/>
  <c r="AC76" i="1"/>
  <c r="AB76" i="1"/>
  <c r="Q76" i="1"/>
  <c r="A77" i="1"/>
  <c r="X76" i="1"/>
  <c r="K76" i="1"/>
  <c r="AJ76" i="1"/>
  <c r="L76" i="1"/>
  <c r="O76" i="1"/>
  <c r="U76" i="1"/>
  <c r="T76" i="1" s="1"/>
  <c r="AB72" i="20"/>
  <c r="X72" i="20"/>
  <c r="A73" i="20"/>
  <c r="K72" i="20"/>
  <c r="L72" i="20"/>
  <c r="AJ72" i="20"/>
  <c r="AK72" i="20"/>
  <c r="O72" i="20"/>
  <c r="AC72" i="20"/>
  <c r="A74" i="18"/>
  <c r="AB73" i="18"/>
  <c r="L73" i="18"/>
  <c r="X73" i="18"/>
  <c r="K73" i="18"/>
  <c r="AK73" i="18"/>
  <c r="O73" i="18"/>
  <c r="AJ73" i="18"/>
  <c r="AC73" i="18"/>
  <c r="L71" i="22"/>
  <c r="X71" i="22"/>
  <c r="K71" i="22"/>
  <c r="A72" i="22"/>
  <c r="AB71" i="22"/>
  <c r="AJ71" i="22"/>
  <c r="AK71" i="22"/>
  <c r="O71" i="22"/>
  <c r="AC71" i="22"/>
  <c r="S75" i="1"/>
  <c r="R75" i="1" s="1"/>
  <c r="P75" i="1" s="1"/>
  <c r="V75" i="1" s="1"/>
  <c r="A71" i="23"/>
  <c r="L70" i="23"/>
  <c r="K70" i="23"/>
  <c r="AB70" i="23"/>
  <c r="X70" i="23"/>
  <c r="AJ70" i="23"/>
  <c r="AK70" i="23"/>
  <c r="O70" i="23"/>
  <c r="AC70" i="23"/>
  <c r="X68" i="25"/>
  <c r="AB68" i="25"/>
  <c r="A69" i="25"/>
  <c r="L68" i="25"/>
  <c r="K68" i="25"/>
  <c r="AJ68" i="25"/>
  <c r="O68" i="25"/>
  <c r="AK68" i="25"/>
  <c r="AC68" i="25"/>
  <c r="E74" i="16" l="1"/>
  <c r="L76" i="15"/>
  <c r="D76" i="15" s="1"/>
  <c r="AK76" i="15"/>
  <c r="AB76" i="15"/>
  <c r="AJ76" i="15"/>
  <c r="A77" i="15"/>
  <c r="K76" i="15"/>
  <c r="AC76" i="15"/>
  <c r="X76" i="15"/>
  <c r="O76" i="15"/>
  <c r="E76" i="15" s="1"/>
  <c r="E75" i="15"/>
  <c r="A76" i="16"/>
  <c r="L75" i="16"/>
  <c r="D75" i="16" s="1"/>
  <c r="AJ75" i="16"/>
  <c r="AC75" i="16"/>
  <c r="K75" i="16"/>
  <c r="AB75" i="16"/>
  <c r="X75" i="16"/>
  <c r="AK75" i="16"/>
  <c r="O75" i="16"/>
  <c r="X69" i="25"/>
  <c r="K69" i="25"/>
  <c r="AB69" i="25"/>
  <c r="L69" i="25"/>
  <c r="A70" i="25"/>
  <c r="AJ69" i="25"/>
  <c r="AK69" i="25"/>
  <c r="O69" i="25"/>
  <c r="AC69" i="25"/>
  <c r="I74" i="1"/>
  <c r="AA74" i="1"/>
  <c r="Z74" i="1" s="1"/>
  <c r="Y74" i="1" s="1"/>
  <c r="K74" i="18"/>
  <c r="A75" i="18"/>
  <c r="X74" i="18"/>
  <c r="AB74" i="18"/>
  <c r="L74" i="18"/>
  <c r="AJ74" i="18"/>
  <c r="AK74" i="18"/>
  <c r="O74" i="18"/>
  <c r="AC74" i="18"/>
  <c r="A71" i="24"/>
  <c r="K70" i="24"/>
  <c r="L70" i="24"/>
  <c r="AB70" i="24"/>
  <c r="X70" i="24"/>
  <c r="AJ70" i="24"/>
  <c r="AK70" i="24"/>
  <c r="O70" i="24"/>
  <c r="AC70" i="24"/>
  <c r="AB75" i="17"/>
  <c r="X75" i="17"/>
  <c r="L75" i="17"/>
  <c r="A76" i="17"/>
  <c r="K75" i="17"/>
  <c r="AK75" i="17"/>
  <c r="AJ75" i="17"/>
  <c r="AC75" i="17"/>
  <c r="O75" i="17"/>
  <c r="K71" i="23"/>
  <c r="L71" i="23"/>
  <c r="AB71" i="23"/>
  <c r="A72" i="23"/>
  <c r="X71" i="23"/>
  <c r="AJ71" i="23"/>
  <c r="AK71" i="23"/>
  <c r="O71" i="23"/>
  <c r="AC71" i="23"/>
  <c r="X72" i="22"/>
  <c r="K72" i="22"/>
  <c r="A73" i="22"/>
  <c r="L72" i="22"/>
  <c r="AB72" i="22"/>
  <c r="AJ72" i="22"/>
  <c r="AK72" i="22"/>
  <c r="O72" i="22"/>
  <c r="AC72" i="22"/>
  <c r="A74" i="20"/>
  <c r="K73" i="20"/>
  <c r="X73" i="20"/>
  <c r="L73" i="20"/>
  <c r="AB73" i="20"/>
  <c r="AK73" i="20"/>
  <c r="AJ73" i="20"/>
  <c r="O73" i="20"/>
  <c r="AC73" i="20"/>
  <c r="S76" i="1"/>
  <c r="R76" i="1" s="1"/>
  <c r="P76" i="1" s="1"/>
  <c r="V76" i="1" s="1"/>
  <c r="AC77" i="1"/>
  <c r="L77" i="1"/>
  <c r="K77" i="1"/>
  <c r="Q77" i="1"/>
  <c r="X77" i="1"/>
  <c r="AB77" i="1"/>
  <c r="AJ77" i="1"/>
  <c r="AK77" i="1"/>
  <c r="A78" i="1"/>
  <c r="O77" i="1"/>
  <c r="U77" i="1"/>
  <c r="T77" i="1" s="1"/>
  <c r="I75" i="1" l="1"/>
  <c r="L77" i="15"/>
  <c r="D77" i="15" s="1"/>
  <c r="O77" i="15"/>
  <c r="AB77" i="15"/>
  <c r="AJ77" i="15"/>
  <c r="K77" i="15"/>
  <c r="AK77" i="15"/>
  <c r="A78" i="15"/>
  <c r="X77" i="15"/>
  <c r="AC77" i="15"/>
  <c r="E75" i="16"/>
  <c r="AA75" i="1"/>
  <c r="Z75" i="1" s="1"/>
  <c r="Y75" i="1" s="1"/>
  <c r="AB76" i="16"/>
  <c r="X76" i="16"/>
  <c r="AJ76" i="16"/>
  <c r="AC76" i="16"/>
  <c r="K76" i="16"/>
  <c r="L76" i="16"/>
  <c r="D76" i="16" s="1"/>
  <c r="A77" i="16"/>
  <c r="AK76" i="16"/>
  <c r="O76" i="16"/>
  <c r="S77" i="1"/>
  <c r="R77" i="1" s="1"/>
  <c r="P77" i="1" s="1"/>
  <c r="V77" i="1" s="1"/>
  <c r="AJ78" i="1"/>
  <c r="A79" i="1"/>
  <c r="AB78" i="1"/>
  <c r="AK78" i="1"/>
  <c r="AC78" i="1"/>
  <c r="X78" i="1"/>
  <c r="L78" i="1"/>
  <c r="O78" i="1"/>
  <c r="Q78" i="1"/>
  <c r="K78" i="1"/>
  <c r="U78" i="1"/>
  <c r="T78" i="1" s="1"/>
  <c r="AB76" i="17"/>
  <c r="X76" i="17"/>
  <c r="K76" i="17"/>
  <c r="L76" i="17"/>
  <c r="A77" i="17"/>
  <c r="AJ76" i="17"/>
  <c r="AK76" i="17"/>
  <c r="AC76" i="17"/>
  <c r="O76" i="17"/>
  <c r="X71" i="24"/>
  <c r="AB71" i="24"/>
  <c r="L71" i="24"/>
  <c r="A72" i="24"/>
  <c r="K71" i="24"/>
  <c r="AK71" i="24"/>
  <c r="AJ71" i="24"/>
  <c r="O71" i="24"/>
  <c r="AC71" i="24"/>
  <c r="X75" i="18"/>
  <c r="L75" i="18"/>
  <c r="A76" i="18"/>
  <c r="K75" i="18"/>
  <c r="AB75" i="18"/>
  <c r="O75" i="18"/>
  <c r="AJ75" i="18"/>
  <c r="AK75" i="18"/>
  <c r="AC75" i="18"/>
  <c r="X74" i="20"/>
  <c r="A75" i="20"/>
  <c r="L74" i="20"/>
  <c r="K74" i="20"/>
  <c r="AB74" i="20"/>
  <c r="AK74" i="20"/>
  <c r="AJ74" i="20"/>
  <c r="O74" i="20"/>
  <c r="AC74" i="20"/>
  <c r="AB73" i="22"/>
  <c r="A74" i="22"/>
  <c r="X73" i="22"/>
  <c r="K73" i="22"/>
  <c r="L73" i="22"/>
  <c r="AJ73" i="22"/>
  <c r="AK73" i="22"/>
  <c r="O73" i="22"/>
  <c r="AC73" i="22"/>
  <c r="A73" i="23"/>
  <c r="L72" i="23"/>
  <c r="K72" i="23"/>
  <c r="AB72" i="23"/>
  <c r="X72" i="23"/>
  <c r="AJ72" i="23"/>
  <c r="AK72" i="23"/>
  <c r="O72" i="23"/>
  <c r="AC72" i="23"/>
  <c r="X70" i="25"/>
  <c r="A71" i="25"/>
  <c r="K70" i="25"/>
  <c r="L70" i="25"/>
  <c r="AB70" i="25"/>
  <c r="AJ70" i="25"/>
  <c r="O70" i="25"/>
  <c r="AK70" i="25"/>
  <c r="AC70" i="25"/>
  <c r="E77" i="15" l="1"/>
  <c r="X78" i="15"/>
  <c r="AJ78" i="15"/>
  <c r="K78" i="15"/>
  <c r="AB78" i="15"/>
  <c r="AC78" i="15"/>
  <c r="A79" i="15"/>
  <c r="O78" i="15"/>
  <c r="L78" i="15"/>
  <c r="D78" i="15" s="1"/>
  <c r="AK78" i="15"/>
  <c r="E76" i="16"/>
  <c r="K77" i="16"/>
  <c r="X77" i="16"/>
  <c r="AK77" i="16"/>
  <c r="AC77" i="16"/>
  <c r="L77" i="16"/>
  <c r="D77" i="16" s="1"/>
  <c r="A78" i="16"/>
  <c r="AB77" i="16"/>
  <c r="AJ77" i="16"/>
  <c r="O77" i="16"/>
  <c r="A74" i="23"/>
  <c r="X73" i="23"/>
  <c r="K73" i="23"/>
  <c r="AB73" i="23"/>
  <c r="L73" i="23"/>
  <c r="AK73" i="23"/>
  <c r="AJ73" i="23"/>
  <c r="O73" i="23"/>
  <c r="AC73" i="23"/>
  <c r="AB74" i="22"/>
  <c r="K74" i="22"/>
  <c r="A75" i="22"/>
  <c r="X74" i="22"/>
  <c r="L74" i="22"/>
  <c r="AJ74" i="22"/>
  <c r="AK74" i="22"/>
  <c r="O74" i="22"/>
  <c r="AC74" i="22"/>
  <c r="AA76" i="1"/>
  <c r="Z76" i="1" s="1"/>
  <c r="Y76" i="1" s="1"/>
  <c r="I76" i="1"/>
  <c r="AB79" i="1"/>
  <c r="O79" i="1"/>
  <c r="AJ79" i="1"/>
  <c r="K79" i="1"/>
  <c r="AC79" i="1"/>
  <c r="L79" i="1"/>
  <c r="AK79" i="1"/>
  <c r="A80" i="1"/>
  <c r="X79" i="1"/>
  <c r="Q79" i="1"/>
  <c r="U79" i="1"/>
  <c r="T79" i="1" s="1"/>
  <c r="A72" i="25"/>
  <c r="AB71" i="25"/>
  <c r="K71" i="25"/>
  <c r="X71" i="25"/>
  <c r="L71" i="25"/>
  <c r="AJ71" i="25"/>
  <c r="O71" i="25"/>
  <c r="AK71" i="25"/>
  <c r="AC71" i="25"/>
  <c r="X75" i="20"/>
  <c r="L75" i="20"/>
  <c r="K75" i="20"/>
  <c r="A76" i="20"/>
  <c r="AB75" i="20"/>
  <c r="AJ75" i="20"/>
  <c r="AK75" i="20"/>
  <c r="O75" i="20"/>
  <c r="AC75" i="20"/>
  <c r="AB76" i="18"/>
  <c r="X76" i="18"/>
  <c r="A77" i="18"/>
  <c r="K76" i="18"/>
  <c r="L76" i="18"/>
  <c r="AJ76" i="18"/>
  <c r="O76" i="18"/>
  <c r="AK76" i="18"/>
  <c r="AC76" i="18"/>
  <c r="AB72" i="24"/>
  <c r="X72" i="24"/>
  <c r="A73" i="24"/>
  <c r="L72" i="24"/>
  <c r="K72" i="24"/>
  <c r="AK72" i="24"/>
  <c r="O72" i="24"/>
  <c r="AJ72" i="24"/>
  <c r="AC72" i="24"/>
  <c r="A78" i="17"/>
  <c r="K77" i="17"/>
  <c r="X77" i="17"/>
  <c r="L77" i="17"/>
  <c r="AB77" i="17"/>
  <c r="AJ77" i="17"/>
  <c r="AK77" i="17"/>
  <c r="AC77" i="17"/>
  <c r="O77" i="17"/>
  <c r="S78" i="1"/>
  <c r="R78" i="1" s="1"/>
  <c r="P78" i="1" s="1"/>
  <c r="V78" i="1" s="1"/>
  <c r="E78" i="15" l="1"/>
  <c r="A80" i="15"/>
  <c r="O79" i="15"/>
  <c r="L79" i="15"/>
  <c r="D79" i="15" s="1"/>
  <c r="AJ79" i="15"/>
  <c r="AB79" i="15"/>
  <c r="AK79" i="15"/>
  <c r="K79" i="15"/>
  <c r="X79" i="15"/>
  <c r="AC79" i="15"/>
  <c r="L78" i="16"/>
  <c r="D78" i="16" s="1"/>
  <c r="A79" i="16"/>
  <c r="AB78" i="16"/>
  <c r="AJ78" i="16"/>
  <c r="O78" i="16"/>
  <c r="X78" i="16"/>
  <c r="K78" i="16"/>
  <c r="AK78" i="16"/>
  <c r="AC78" i="16"/>
  <c r="E77" i="16"/>
  <c r="X77" i="18"/>
  <c r="K77" i="18"/>
  <c r="A78" i="18"/>
  <c r="AB77" i="18"/>
  <c r="L77" i="18"/>
  <c r="O77" i="18"/>
  <c r="AJ77" i="18"/>
  <c r="AK77" i="18"/>
  <c r="AC77" i="18"/>
  <c r="X76" i="20"/>
  <c r="AB76" i="20"/>
  <c r="A77" i="20"/>
  <c r="L76" i="20"/>
  <c r="K76" i="20"/>
  <c r="AJ76" i="20"/>
  <c r="AK76" i="20"/>
  <c r="O76" i="20"/>
  <c r="AC76" i="20"/>
  <c r="X72" i="25"/>
  <c r="AB72" i="25"/>
  <c r="A73" i="25"/>
  <c r="L72" i="25"/>
  <c r="K72" i="25"/>
  <c r="AJ72" i="25"/>
  <c r="AK72" i="25"/>
  <c r="O72" i="25"/>
  <c r="AC72" i="25"/>
  <c r="A81" i="1"/>
  <c r="K80" i="1"/>
  <c r="Q80" i="1"/>
  <c r="L80" i="1"/>
  <c r="O80" i="1"/>
  <c r="AJ80" i="1"/>
  <c r="AK80" i="1"/>
  <c r="AC80" i="1"/>
  <c r="AB80" i="1"/>
  <c r="X80" i="1"/>
  <c r="U80" i="1"/>
  <c r="T80" i="1" s="1"/>
  <c r="AA77" i="1"/>
  <c r="Z77" i="1" s="1"/>
  <c r="Y77" i="1" s="1"/>
  <c r="I77" i="1"/>
  <c r="AB74" i="23"/>
  <c r="L74" i="23"/>
  <c r="A75" i="23"/>
  <c r="K74" i="23"/>
  <c r="X74" i="23"/>
  <c r="AJ74" i="23"/>
  <c r="AK74" i="23"/>
  <c r="O74" i="23"/>
  <c r="AC74" i="23"/>
  <c r="X78" i="17"/>
  <c r="L78" i="17"/>
  <c r="AB78" i="17"/>
  <c r="A79" i="17"/>
  <c r="K78" i="17"/>
  <c r="AK78" i="17"/>
  <c r="AJ78" i="17"/>
  <c r="AC78" i="17"/>
  <c r="O78" i="17"/>
  <c r="AB73" i="24"/>
  <c r="K73" i="24"/>
  <c r="A74" i="24"/>
  <c r="X73" i="24"/>
  <c r="L73" i="24"/>
  <c r="AJ73" i="24"/>
  <c r="AK73" i="24"/>
  <c r="O73" i="24"/>
  <c r="AC73" i="24"/>
  <c r="S79" i="1"/>
  <c r="R79" i="1" s="1"/>
  <c r="P79" i="1" s="1"/>
  <c r="V79" i="1" s="1"/>
  <c r="K75" i="22"/>
  <c r="L75" i="22"/>
  <c r="X75" i="22"/>
  <c r="A76" i="22"/>
  <c r="AB75" i="22"/>
  <c r="AJ75" i="22"/>
  <c r="AK75" i="22"/>
  <c r="O75" i="22"/>
  <c r="AC75" i="22"/>
  <c r="E79" i="15" l="1"/>
  <c r="AB80" i="15"/>
  <c r="O80" i="15"/>
  <c r="L80" i="15"/>
  <c r="D80" i="15" s="1"/>
  <c r="AJ80" i="15"/>
  <c r="K80" i="15"/>
  <c r="AK80" i="15"/>
  <c r="A81" i="15"/>
  <c r="X80" i="15"/>
  <c r="AC80" i="15"/>
  <c r="E78" i="16"/>
  <c r="K79" i="16"/>
  <c r="A80" i="16"/>
  <c r="AJ79" i="16"/>
  <c r="AC79" i="16"/>
  <c r="X79" i="16"/>
  <c r="L79" i="16"/>
  <c r="D79" i="16" s="1"/>
  <c r="AB79" i="16"/>
  <c r="AK79" i="16"/>
  <c r="O79" i="16"/>
  <c r="AB76" i="22"/>
  <c r="L76" i="22"/>
  <c r="X76" i="22"/>
  <c r="A77" i="22"/>
  <c r="K76" i="22"/>
  <c r="AJ76" i="22"/>
  <c r="AK76" i="22"/>
  <c r="O76" i="22"/>
  <c r="AC76" i="22"/>
  <c r="X74" i="24"/>
  <c r="A75" i="24"/>
  <c r="K74" i="24"/>
  <c r="AB74" i="24"/>
  <c r="L74" i="24"/>
  <c r="AJ74" i="24"/>
  <c r="AK74" i="24"/>
  <c r="O74" i="24"/>
  <c r="AC74" i="24"/>
  <c r="K79" i="17"/>
  <c r="A80" i="17"/>
  <c r="X79" i="17"/>
  <c r="L79" i="17"/>
  <c r="AB79" i="17"/>
  <c r="AJ79" i="17"/>
  <c r="AK79" i="17"/>
  <c r="AC79" i="17"/>
  <c r="O79" i="17"/>
  <c r="K73" i="25"/>
  <c r="AB73" i="25"/>
  <c r="A74" i="25"/>
  <c r="X73" i="25"/>
  <c r="L73" i="25"/>
  <c r="AJ73" i="25"/>
  <c r="O73" i="25"/>
  <c r="AK73" i="25"/>
  <c r="AC73" i="25"/>
  <c r="K77" i="20"/>
  <c r="L77" i="20"/>
  <c r="X77" i="20"/>
  <c r="A78" i="20"/>
  <c r="AB77" i="20"/>
  <c r="AJ77" i="20"/>
  <c r="AK77" i="20"/>
  <c r="O77" i="20"/>
  <c r="AC77" i="20"/>
  <c r="AA78" i="1"/>
  <c r="Z78" i="1" s="1"/>
  <c r="Y78" i="1" s="1"/>
  <c r="I78" i="1"/>
  <c r="K75" i="23"/>
  <c r="L75" i="23"/>
  <c r="AB75" i="23"/>
  <c r="X75" i="23"/>
  <c r="A76" i="23"/>
  <c r="AJ75" i="23"/>
  <c r="AK75" i="23"/>
  <c r="O75" i="23"/>
  <c r="AC75" i="23"/>
  <c r="S80" i="1"/>
  <c r="R80" i="1" s="1"/>
  <c r="P80" i="1" s="1"/>
  <c r="V80" i="1" s="1"/>
  <c r="A82" i="1"/>
  <c r="AB81" i="1"/>
  <c r="AJ81" i="1"/>
  <c r="O81" i="1"/>
  <c r="AK81" i="1"/>
  <c r="L81" i="1"/>
  <c r="X81" i="1"/>
  <c r="K81" i="1"/>
  <c r="Q81" i="1"/>
  <c r="AC81" i="1"/>
  <c r="U81" i="1"/>
  <c r="T81" i="1" s="1"/>
  <c r="X78" i="18"/>
  <c r="A79" i="18"/>
  <c r="K78" i="18"/>
  <c r="AB78" i="18"/>
  <c r="L78" i="18"/>
  <c r="AJ78" i="18"/>
  <c r="AK78" i="18"/>
  <c r="O78" i="18"/>
  <c r="AC78" i="18"/>
  <c r="E80" i="15" l="1"/>
  <c r="A82" i="15"/>
  <c r="AC81" i="15"/>
  <c r="AB81" i="15"/>
  <c r="AK81" i="15"/>
  <c r="X81" i="15"/>
  <c r="AJ81" i="15"/>
  <c r="L81" i="15"/>
  <c r="D81" i="15" s="1"/>
  <c r="K81" i="15"/>
  <c r="O81" i="15"/>
  <c r="E81" i="15" s="1"/>
  <c r="E79" i="16"/>
  <c r="AB80" i="16"/>
  <c r="A81" i="16"/>
  <c r="X80" i="16"/>
  <c r="AJ80" i="16"/>
  <c r="O80" i="16"/>
  <c r="L80" i="16"/>
  <c r="D80" i="16" s="1"/>
  <c r="K80" i="16"/>
  <c r="AK80" i="16"/>
  <c r="AC80" i="16"/>
  <c r="AB78" i="20"/>
  <c r="X78" i="20"/>
  <c r="L78" i="20"/>
  <c r="A79" i="20"/>
  <c r="K78" i="20"/>
  <c r="AJ78" i="20"/>
  <c r="AK78" i="20"/>
  <c r="O78" i="20"/>
  <c r="AC78" i="20"/>
  <c r="AA79" i="1"/>
  <c r="Z79" i="1" s="1"/>
  <c r="Y79" i="1" s="1"/>
  <c r="I79" i="1"/>
  <c r="AB80" i="17"/>
  <c r="K80" i="17"/>
  <c r="X80" i="17"/>
  <c r="A81" i="17"/>
  <c r="L80" i="17"/>
  <c r="AJ80" i="17"/>
  <c r="AK80" i="17"/>
  <c r="AC80" i="17"/>
  <c r="O80" i="17"/>
  <c r="A80" i="18"/>
  <c r="AB79" i="18"/>
  <c r="K79" i="18"/>
  <c r="X79" i="18"/>
  <c r="L79" i="18"/>
  <c r="O79" i="18"/>
  <c r="AK79" i="18"/>
  <c r="AJ79" i="18"/>
  <c r="AC79" i="18"/>
  <c r="S81" i="1"/>
  <c r="R81" i="1" s="1"/>
  <c r="P81" i="1" s="1"/>
  <c r="V81" i="1" s="1"/>
  <c r="A83" i="1"/>
  <c r="L82" i="1"/>
  <c r="AJ82" i="1"/>
  <c r="X82" i="1"/>
  <c r="O82" i="1"/>
  <c r="AC82" i="1"/>
  <c r="AB82" i="1"/>
  <c r="Q82" i="1"/>
  <c r="AK82" i="1"/>
  <c r="K82" i="1"/>
  <c r="U82" i="1"/>
  <c r="T82" i="1" s="1"/>
  <c r="K76" i="23"/>
  <c r="A77" i="23"/>
  <c r="AB76" i="23"/>
  <c r="L76" i="23"/>
  <c r="X76" i="23"/>
  <c r="AK76" i="23"/>
  <c r="AJ76" i="23"/>
  <c r="O76" i="23"/>
  <c r="AC76" i="23"/>
  <c r="K74" i="25"/>
  <c r="L74" i="25"/>
  <c r="A75" i="25"/>
  <c r="X74" i="25"/>
  <c r="AB74" i="25"/>
  <c r="AJ74" i="25"/>
  <c r="O74" i="25"/>
  <c r="AK74" i="25"/>
  <c r="AC74" i="25"/>
  <c r="A76" i="24"/>
  <c r="L75" i="24"/>
  <c r="AB75" i="24"/>
  <c r="X75" i="24"/>
  <c r="K75" i="24"/>
  <c r="AJ75" i="24"/>
  <c r="AK75" i="24"/>
  <c r="O75" i="24"/>
  <c r="AC75" i="24"/>
  <c r="A78" i="22"/>
  <c r="X77" i="22"/>
  <c r="K77" i="22"/>
  <c r="AB77" i="22"/>
  <c r="L77" i="22"/>
  <c r="AJ77" i="22"/>
  <c r="AK77" i="22"/>
  <c r="O77" i="22"/>
  <c r="AC77" i="22"/>
  <c r="I81" i="1" l="1"/>
  <c r="A83" i="15"/>
  <c r="O82" i="15"/>
  <c r="AB82" i="15"/>
  <c r="AJ82" i="15"/>
  <c r="L82" i="15"/>
  <c r="D82" i="15" s="1"/>
  <c r="AK82" i="15"/>
  <c r="X82" i="15"/>
  <c r="K82" i="15"/>
  <c r="AC82" i="15"/>
  <c r="E80" i="16"/>
  <c r="L81" i="16"/>
  <c r="D81" i="16" s="1"/>
  <c r="AB81" i="16"/>
  <c r="A82" i="16"/>
  <c r="AK81" i="16"/>
  <c r="O81" i="16"/>
  <c r="K81" i="16"/>
  <c r="X81" i="16"/>
  <c r="AJ81" i="16"/>
  <c r="AC81" i="16"/>
  <c r="AA81" i="1"/>
  <c r="Z81" i="1" s="1"/>
  <c r="Y81" i="1" s="1"/>
  <c r="X78" i="22"/>
  <c r="K78" i="22"/>
  <c r="L78" i="22"/>
  <c r="AB78" i="22"/>
  <c r="A79" i="22"/>
  <c r="AJ78" i="22"/>
  <c r="AK78" i="22"/>
  <c r="O78" i="22"/>
  <c r="AC78" i="22"/>
  <c r="A78" i="23"/>
  <c r="L77" i="23"/>
  <c r="AB77" i="23"/>
  <c r="X77" i="23"/>
  <c r="K77" i="23"/>
  <c r="AK77" i="23"/>
  <c r="AJ77" i="23"/>
  <c r="O77" i="23"/>
  <c r="AC77" i="23"/>
  <c r="S82" i="1"/>
  <c r="R82" i="1" s="1"/>
  <c r="P82" i="1" s="1"/>
  <c r="V82" i="1" s="1"/>
  <c r="AJ83" i="1"/>
  <c r="X83" i="1"/>
  <c r="AB83" i="1"/>
  <c r="Q83" i="1"/>
  <c r="AC83" i="1"/>
  <c r="AK83" i="1"/>
  <c r="A84" i="1"/>
  <c r="L83" i="1"/>
  <c r="O83" i="1"/>
  <c r="K83" i="1"/>
  <c r="U83" i="1"/>
  <c r="T83" i="1" s="1"/>
  <c r="I80" i="1"/>
  <c r="AA80" i="1"/>
  <c r="Z80" i="1" s="1"/>
  <c r="Y80" i="1" s="1"/>
  <c r="A77" i="24"/>
  <c r="L76" i="24"/>
  <c r="X76" i="24"/>
  <c r="AB76" i="24"/>
  <c r="K76" i="24"/>
  <c r="AJ76" i="24"/>
  <c r="AK76" i="24"/>
  <c r="O76" i="24"/>
  <c r="AC76" i="24"/>
  <c r="L75" i="25"/>
  <c r="K75" i="25"/>
  <c r="AB75" i="25"/>
  <c r="X75" i="25"/>
  <c r="A76" i="25"/>
  <c r="AJ75" i="25"/>
  <c r="AK75" i="25"/>
  <c r="O75" i="25"/>
  <c r="AC75" i="25"/>
  <c r="X80" i="18"/>
  <c r="AB80" i="18"/>
  <c r="L80" i="18"/>
  <c r="K80" i="18"/>
  <c r="A81" i="18"/>
  <c r="O80" i="18"/>
  <c r="AK80" i="18"/>
  <c r="AJ80" i="18"/>
  <c r="AC80" i="18"/>
  <c r="X81" i="17"/>
  <c r="L81" i="17"/>
  <c r="K81" i="17"/>
  <c r="AB81" i="17"/>
  <c r="A82" i="17"/>
  <c r="AJ81" i="17"/>
  <c r="AK81" i="17"/>
  <c r="AC81" i="17"/>
  <c r="O81" i="17"/>
  <c r="AB79" i="20"/>
  <c r="K79" i="20"/>
  <c r="A80" i="20"/>
  <c r="X79" i="20"/>
  <c r="L79" i="20"/>
  <c r="AJ79" i="20"/>
  <c r="AK79" i="20"/>
  <c r="O79" i="20"/>
  <c r="AC79" i="20"/>
  <c r="E82" i="15" l="1"/>
  <c r="AB83" i="15"/>
  <c r="AK83" i="15"/>
  <c r="A84" i="15"/>
  <c r="X83" i="15"/>
  <c r="AC83" i="15"/>
  <c r="K83" i="15"/>
  <c r="O83" i="15"/>
  <c r="L83" i="15"/>
  <c r="D83" i="15" s="1"/>
  <c r="AJ83" i="15"/>
  <c r="I82" i="1"/>
  <c r="L82" i="16"/>
  <c r="D82" i="16" s="1"/>
  <c r="X82" i="16"/>
  <c r="AJ82" i="16"/>
  <c r="AC82" i="16"/>
  <c r="K82" i="16"/>
  <c r="A83" i="16"/>
  <c r="AB82" i="16"/>
  <c r="AK82" i="16"/>
  <c r="O82" i="16"/>
  <c r="E81" i="16"/>
  <c r="A81" i="20"/>
  <c r="L80" i="20"/>
  <c r="AB80" i="20"/>
  <c r="X80" i="20"/>
  <c r="K80" i="20"/>
  <c r="AJ80" i="20"/>
  <c r="AK80" i="20"/>
  <c r="O80" i="20"/>
  <c r="AC80" i="20"/>
  <c r="X81" i="18"/>
  <c r="A82" i="18"/>
  <c r="K81" i="18"/>
  <c r="L81" i="18"/>
  <c r="AB81" i="18"/>
  <c r="AK81" i="18"/>
  <c r="O81" i="18"/>
  <c r="AJ81" i="18"/>
  <c r="AC81" i="18"/>
  <c r="L77" i="24"/>
  <c r="K77" i="24"/>
  <c r="AB77" i="24"/>
  <c r="A78" i="24"/>
  <c r="X77" i="24"/>
  <c r="AK77" i="24"/>
  <c r="AJ77" i="24"/>
  <c r="O77" i="24"/>
  <c r="AC77" i="24"/>
  <c r="X78" i="23"/>
  <c r="AB78" i="23"/>
  <c r="A79" i="23"/>
  <c r="K78" i="23"/>
  <c r="L78" i="23"/>
  <c r="AJ78" i="23"/>
  <c r="AK78" i="23"/>
  <c r="O78" i="23"/>
  <c r="AC78" i="23"/>
  <c r="K82" i="17"/>
  <c r="X82" i="17"/>
  <c r="L82" i="17"/>
  <c r="AB82" i="17"/>
  <c r="A83" i="17"/>
  <c r="AK82" i="17"/>
  <c r="AJ82" i="17"/>
  <c r="O82" i="17"/>
  <c r="AC82" i="17"/>
  <c r="X76" i="25"/>
  <c r="L76" i="25"/>
  <c r="K76" i="25"/>
  <c r="AB76" i="25"/>
  <c r="A77" i="25"/>
  <c r="AK76" i="25"/>
  <c r="AJ76" i="25"/>
  <c r="O76" i="25"/>
  <c r="AC76" i="25"/>
  <c r="S83" i="1"/>
  <c r="R83" i="1" s="1"/>
  <c r="P83" i="1" s="1"/>
  <c r="V83" i="1" s="1"/>
  <c r="K84" i="1"/>
  <c r="A85" i="1"/>
  <c r="AJ84" i="1"/>
  <c r="L84" i="1"/>
  <c r="AC84" i="1"/>
  <c r="O84" i="1"/>
  <c r="X84" i="1"/>
  <c r="AK84" i="1"/>
  <c r="AB84" i="1"/>
  <c r="Q84" i="1"/>
  <c r="U84" i="1"/>
  <c r="T84" i="1" s="1"/>
  <c r="A80" i="22"/>
  <c r="AB79" i="22"/>
  <c r="X79" i="22"/>
  <c r="K79" i="22"/>
  <c r="L79" i="22"/>
  <c r="AJ79" i="22"/>
  <c r="AK79" i="22"/>
  <c r="O79" i="22"/>
  <c r="AC79" i="22"/>
  <c r="AA82" i="1" l="1"/>
  <c r="Z82" i="1" s="1"/>
  <c r="Y82" i="1" s="1"/>
  <c r="E83" i="15"/>
  <c r="K84" i="15"/>
  <c r="O84" i="15"/>
  <c r="AB84" i="15"/>
  <c r="AJ84" i="15"/>
  <c r="X84" i="15"/>
  <c r="AK84" i="15"/>
  <c r="A85" i="15"/>
  <c r="L84" i="15"/>
  <c r="D84" i="15" s="1"/>
  <c r="E84" i="15" s="1"/>
  <c r="AC84" i="15"/>
  <c r="AB83" i="16"/>
  <c r="L83" i="16"/>
  <c r="D83" i="16" s="1"/>
  <c r="AK83" i="16"/>
  <c r="AC83" i="16"/>
  <c r="A84" i="16"/>
  <c r="K83" i="16"/>
  <c r="X83" i="16"/>
  <c r="AJ83" i="16"/>
  <c r="O83" i="16"/>
  <c r="AA83" i="1"/>
  <c r="Z83" i="1" s="1"/>
  <c r="Y83" i="1" s="1"/>
  <c r="E82" i="16"/>
  <c r="A81" i="22"/>
  <c r="L80" i="22"/>
  <c r="AB80" i="22"/>
  <c r="X80" i="22"/>
  <c r="K80" i="22"/>
  <c r="AJ80" i="22"/>
  <c r="AK80" i="22"/>
  <c r="O80" i="22"/>
  <c r="AC80" i="22"/>
  <c r="S84" i="1"/>
  <c r="R84" i="1" s="1"/>
  <c r="P84" i="1" s="1"/>
  <c r="V84" i="1" s="1"/>
  <c r="AB77" i="25"/>
  <c r="X77" i="25"/>
  <c r="A78" i="25"/>
  <c r="L77" i="25"/>
  <c r="K77" i="25"/>
  <c r="AJ77" i="25"/>
  <c r="O77" i="25"/>
  <c r="AK77" i="25"/>
  <c r="AC77" i="25"/>
  <c r="X79" i="23"/>
  <c r="L79" i="23"/>
  <c r="K79" i="23"/>
  <c r="A80" i="23"/>
  <c r="AB79" i="23"/>
  <c r="AJ79" i="23"/>
  <c r="AK79" i="23"/>
  <c r="O79" i="23"/>
  <c r="AC79" i="23"/>
  <c r="A79" i="24"/>
  <c r="L78" i="24"/>
  <c r="K78" i="24"/>
  <c r="X78" i="24"/>
  <c r="AB78" i="24"/>
  <c r="AJ78" i="24"/>
  <c r="AK78" i="24"/>
  <c r="O78" i="24"/>
  <c r="AC78" i="24"/>
  <c r="D84" i="1"/>
  <c r="E84" i="1" s="1"/>
  <c r="K85" i="1"/>
  <c r="L85" i="1"/>
  <c r="AK85" i="1"/>
  <c r="Q85" i="1"/>
  <c r="AC85" i="1"/>
  <c r="AJ85" i="1"/>
  <c r="A86" i="1"/>
  <c r="O85" i="1"/>
  <c r="AB85" i="1"/>
  <c r="X85" i="1"/>
  <c r="U85" i="1"/>
  <c r="T85" i="1" s="1"/>
  <c r="X83" i="17"/>
  <c r="L83" i="17"/>
  <c r="A84" i="17"/>
  <c r="K83" i="17"/>
  <c r="AB83" i="17"/>
  <c r="AJ83" i="17"/>
  <c r="AK83" i="17"/>
  <c r="AC83" i="17"/>
  <c r="O83" i="17"/>
  <c r="X82" i="18"/>
  <c r="K82" i="18"/>
  <c r="L82" i="18"/>
  <c r="A83" i="18"/>
  <c r="AB82" i="18"/>
  <c r="O82" i="18"/>
  <c r="AJ82" i="18"/>
  <c r="AK82" i="18"/>
  <c r="AC82" i="18"/>
  <c r="X81" i="20"/>
  <c r="A82" i="20"/>
  <c r="K81" i="20"/>
  <c r="L81" i="20"/>
  <c r="AB81" i="20"/>
  <c r="AJ81" i="20"/>
  <c r="AK81" i="20"/>
  <c r="O81" i="20"/>
  <c r="AC81" i="20"/>
  <c r="L85" i="15" l="1"/>
  <c r="D85" i="15" s="1"/>
  <c r="AC85" i="15"/>
  <c r="X85" i="15"/>
  <c r="AJ85" i="15"/>
  <c r="K85" i="15"/>
  <c r="AK85" i="15"/>
  <c r="AB85" i="15"/>
  <c r="A86" i="15"/>
  <c r="O85" i="15"/>
  <c r="E83" i="16"/>
  <c r="I83" i="1"/>
  <c r="L84" i="16"/>
  <c r="D84" i="16" s="1"/>
  <c r="X84" i="16"/>
  <c r="AK84" i="16"/>
  <c r="AC84" i="16"/>
  <c r="A85" i="16"/>
  <c r="AB84" i="16"/>
  <c r="K84" i="16"/>
  <c r="AJ84" i="16"/>
  <c r="O84" i="16"/>
  <c r="F84" i="1"/>
  <c r="G84" i="1" s="1"/>
  <c r="BW84" i="6" s="1"/>
  <c r="A84" i="18"/>
  <c r="K83" i="18"/>
  <c r="L83" i="18"/>
  <c r="AB83" i="18"/>
  <c r="AJ83" i="18"/>
  <c r="X83" i="18"/>
  <c r="AK83" i="18"/>
  <c r="O83" i="18"/>
  <c r="AC83" i="18"/>
  <c r="AB84" i="17"/>
  <c r="A85" i="17"/>
  <c r="X84" i="17"/>
  <c r="K84" i="17"/>
  <c r="L84" i="17"/>
  <c r="AJ84" i="17"/>
  <c r="AK84" i="17"/>
  <c r="AC84" i="17"/>
  <c r="O84" i="17"/>
  <c r="D85" i="1"/>
  <c r="E85" i="1" s="1"/>
  <c r="X78" i="25"/>
  <c r="L78" i="25"/>
  <c r="K78" i="25"/>
  <c r="A79" i="25"/>
  <c r="AB78" i="25"/>
  <c r="AJ78" i="25"/>
  <c r="AK78" i="25"/>
  <c r="O78" i="25"/>
  <c r="AC78" i="25"/>
  <c r="X82" i="20"/>
  <c r="L82" i="20"/>
  <c r="A83" i="20"/>
  <c r="K82" i="20"/>
  <c r="AB82" i="20"/>
  <c r="AJ82" i="20"/>
  <c r="AK82" i="20"/>
  <c r="O82" i="20"/>
  <c r="AC82" i="20"/>
  <c r="S85" i="1"/>
  <c r="R85" i="1" s="1"/>
  <c r="P85" i="1" s="1"/>
  <c r="V85" i="1" s="1"/>
  <c r="L86" i="1"/>
  <c r="AC86" i="1"/>
  <c r="AK86" i="1"/>
  <c r="X86" i="1"/>
  <c r="K86" i="1"/>
  <c r="AB86" i="1"/>
  <c r="AJ86" i="1"/>
  <c r="O86" i="1"/>
  <c r="A87" i="1"/>
  <c r="Q86" i="1"/>
  <c r="U86" i="1"/>
  <c r="T86" i="1" s="1"/>
  <c r="A80" i="24"/>
  <c r="K79" i="24"/>
  <c r="AB79" i="24"/>
  <c r="X79" i="24"/>
  <c r="L79" i="24"/>
  <c r="AK79" i="24"/>
  <c r="AJ79" i="24"/>
  <c r="O79" i="24"/>
  <c r="AC79" i="24"/>
  <c r="AB80" i="23"/>
  <c r="L80" i="23"/>
  <c r="A81" i="23"/>
  <c r="K80" i="23"/>
  <c r="X80" i="23"/>
  <c r="AJ80" i="23"/>
  <c r="AK80" i="23"/>
  <c r="O80" i="23"/>
  <c r="AC80" i="23"/>
  <c r="K81" i="22"/>
  <c r="AB81" i="22"/>
  <c r="X81" i="22"/>
  <c r="A82" i="22"/>
  <c r="L81" i="22"/>
  <c r="AJ81" i="22"/>
  <c r="AK81" i="22"/>
  <c r="O81" i="22"/>
  <c r="AC81" i="22"/>
  <c r="AA84" i="1" l="1"/>
  <c r="Z84" i="1" s="1"/>
  <c r="Y84" i="1" s="1"/>
  <c r="L86" i="15"/>
  <c r="D86" i="15" s="1"/>
  <c r="K86" i="15"/>
  <c r="AC86" i="15"/>
  <c r="AB86" i="15"/>
  <c r="O86" i="15"/>
  <c r="X86" i="15"/>
  <c r="AJ86" i="15"/>
  <c r="A87" i="15"/>
  <c r="AK86" i="15"/>
  <c r="E85" i="15"/>
  <c r="I84" i="1"/>
  <c r="L85" i="16"/>
  <c r="D85" i="16" s="1"/>
  <c r="X85" i="16"/>
  <c r="AJ85" i="16"/>
  <c r="AC85" i="16"/>
  <c r="AB85" i="16"/>
  <c r="K85" i="16"/>
  <c r="A86" i="16"/>
  <c r="AK85" i="16"/>
  <c r="O85" i="16"/>
  <c r="E84" i="16"/>
  <c r="A82" i="23"/>
  <c r="L81" i="23"/>
  <c r="X81" i="23"/>
  <c r="K81" i="23"/>
  <c r="AB81" i="23"/>
  <c r="AJ81" i="23"/>
  <c r="AK81" i="23"/>
  <c r="O81" i="23"/>
  <c r="AC81" i="23"/>
  <c r="S86" i="1"/>
  <c r="R86" i="1" s="1"/>
  <c r="P86" i="1" s="1"/>
  <c r="V86" i="1" s="1"/>
  <c r="L87" i="1"/>
  <c r="X87" i="1"/>
  <c r="K87" i="1"/>
  <c r="AK87" i="1"/>
  <c r="AB87" i="1"/>
  <c r="A88" i="1"/>
  <c r="O87" i="1"/>
  <c r="AJ87" i="1"/>
  <c r="Q87" i="1"/>
  <c r="AC87" i="1"/>
  <c r="U87" i="1"/>
  <c r="T87" i="1" s="1"/>
  <c r="D86" i="1"/>
  <c r="E86" i="1" s="1"/>
  <c r="X79" i="25"/>
  <c r="AB79" i="25"/>
  <c r="K79" i="25"/>
  <c r="A80" i="25"/>
  <c r="L79" i="25"/>
  <c r="AJ79" i="25"/>
  <c r="AK79" i="25"/>
  <c r="O79" i="25"/>
  <c r="AC79" i="25"/>
  <c r="F85" i="1"/>
  <c r="A86" i="17"/>
  <c r="K85" i="17"/>
  <c r="AB85" i="17"/>
  <c r="L85" i="17"/>
  <c r="X85" i="17"/>
  <c r="AK85" i="17"/>
  <c r="AJ85" i="17"/>
  <c r="AC85" i="17"/>
  <c r="O85" i="17"/>
  <c r="A83" i="22"/>
  <c r="X82" i="22"/>
  <c r="AB82" i="22"/>
  <c r="L82" i="22"/>
  <c r="K82" i="22"/>
  <c r="AK82" i="22"/>
  <c r="AJ82" i="22"/>
  <c r="O82" i="22"/>
  <c r="AC82" i="22"/>
  <c r="AB80" i="24"/>
  <c r="A81" i="24"/>
  <c r="K80" i="24"/>
  <c r="L80" i="24"/>
  <c r="X80" i="24"/>
  <c r="AK80" i="24"/>
  <c r="AJ80" i="24"/>
  <c r="O80" i="24"/>
  <c r="AC80" i="24"/>
  <c r="AB83" i="20"/>
  <c r="X83" i="20"/>
  <c r="K83" i="20"/>
  <c r="A84" i="20"/>
  <c r="L83" i="20"/>
  <c r="AJ83" i="20"/>
  <c r="AK83" i="20"/>
  <c r="O83" i="20"/>
  <c r="AC83" i="20"/>
  <c r="AB84" i="18"/>
  <c r="L84" i="18"/>
  <c r="A85" i="18"/>
  <c r="K84" i="18"/>
  <c r="X84" i="18"/>
  <c r="O84" i="18"/>
  <c r="AJ84" i="18"/>
  <c r="AK84" i="18"/>
  <c r="AC84" i="18"/>
  <c r="AB87" i="15" l="1"/>
  <c r="AK87" i="15"/>
  <c r="A88" i="15"/>
  <c r="K87" i="15"/>
  <c r="AC87" i="15"/>
  <c r="L87" i="15"/>
  <c r="D87" i="15" s="1"/>
  <c r="O87" i="15"/>
  <c r="X87" i="15"/>
  <c r="AJ87" i="15"/>
  <c r="E86" i="15"/>
  <c r="F86" i="1"/>
  <c r="G86" i="1" s="1"/>
  <c r="BW86" i="6" s="1"/>
  <c r="AB86" i="16"/>
  <c r="L86" i="16"/>
  <c r="D86" i="16" s="1"/>
  <c r="A87" i="16"/>
  <c r="AK86" i="16"/>
  <c r="O86" i="16"/>
  <c r="K86" i="16"/>
  <c r="X86" i="16"/>
  <c r="AJ86" i="16"/>
  <c r="AC86" i="16"/>
  <c r="E85" i="16"/>
  <c r="X84" i="20"/>
  <c r="AB84" i="20"/>
  <c r="A85" i="20"/>
  <c r="K84" i="20"/>
  <c r="L84" i="20"/>
  <c r="AJ84" i="20"/>
  <c r="AK84" i="20"/>
  <c r="O84" i="20"/>
  <c r="AC84" i="20"/>
  <c r="K83" i="22"/>
  <c r="A84" i="22"/>
  <c r="L83" i="22"/>
  <c r="X83" i="22"/>
  <c r="AB83" i="22"/>
  <c r="AK83" i="22"/>
  <c r="AJ83" i="22"/>
  <c r="O83" i="22"/>
  <c r="AC83" i="22"/>
  <c r="AA85" i="1"/>
  <c r="Z85" i="1" s="1"/>
  <c r="Y85" i="1" s="1"/>
  <c r="G85" i="1"/>
  <c r="BW85" i="6" s="1"/>
  <c r="I85" i="1"/>
  <c r="A81" i="25"/>
  <c r="X80" i="25"/>
  <c r="AB80" i="25"/>
  <c r="K80" i="25"/>
  <c r="L80" i="25"/>
  <c r="AJ80" i="25"/>
  <c r="O80" i="25"/>
  <c r="AK80" i="25"/>
  <c r="AC80" i="25"/>
  <c r="S87" i="1"/>
  <c r="R87" i="1" s="1"/>
  <c r="P87" i="1" s="1"/>
  <c r="V87" i="1" s="1"/>
  <c r="D87" i="1"/>
  <c r="E87" i="1" s="1"/>
  <c r="AB85" i="18"/>
  <c r="X85" i="18"/>
  <c r="A86" i="18"/>
  <c r="L85" i="18"/>
  <c r="K85" i="18"/>
  <c r="AJ85" i="18"/>
  <c r="AK85" i="18"/>
  <c r="O85" i="18"/>
  <c r="AC85" i="18"/>
  <c r="X81" i="24"/>
  <c r="L81" i="24"/>
  <c r="K81" i="24"/>
  <c r="AB81" i="24"/>
  <c r="A82" i="24"/>
  <c r="AK81" i="24"/>
  <c r="AJ81" i="24"/>
  <c r="O81" i="24"/>
  <c r="AC81" i="24"/>
  <c r="X86" i="17"/>
  <c r="L86" i="17"/>
  <c r="K86" i="17"/>
  <c r="AB86" i="17"/>
  <c r="A87" i="17"/>
  <c r="AJ86" i="17"/>
  <c r="AK86" i="17"/>
  <c r="O86" i="17"/>
  <c r="AC86" i="17"/>
  <c r="AC88" i="1"/>
  <c r="L88" i="1"/>
  <c r="AK88" i="1"/>
  <c r="O88" i="1"/>
  <c r="C22" i="7" s="1"/>
  <c r="A22" i="7"/>
  <c r="Q88" i="1"/>
  <c r="AJ88" i="1"/>
  <c r="AB88" i="1"/>
  <c r="A89" i="1"/>
  <c r="X88" i="1"/>
  <c r="K88" i="1"/>
  <c r="U88" i="1"/>
  <c r="T88" i="1" s="1"/>
  <c r="AB82" i="23"/>
  <c r="A83" i="23"/>
  <c r="X82" i="23"/>
  <c r="K82" i="23"/>
  <c r="L82" i="23"/>
  <c r="AJ82" i="23"/>
  <c r="AK82" i="23"/>
  <c r="O82" i="23"/>
  <c r="AC82" i="23"/>
  <c r="E87" i="15" l="1"/>
  <c r="A89" i="15"/>
  <c r="AJ88" i="15"/>
  <c r="L88" i="15"/>
  <c r="X88" i="15"/>
  <c r="AC88" i="15"/>
  <c r="A34" i="7"/>
  <c r="AB88" i="15"/>
  <c r="O88" i="15"/>
  <c r="C34" i="7" s="1"/>
  <c r="K88" i="15"/>
  <c r="AK88" i="15"/>
  <c r="E86" i="16"/>
  <c r="AA86" i="1"/>
  <c r="Z86" i="1" s="1"/>
  <c r="Y86" i="1" s="1"/>
  <c r="I86" i="1"/>
  <c r="K87" i="16"/>
  <c r="L87" i="16"/>
  <c r="D87" i="16" s="1"/>
  <c r="AK87" i="16"/>
  <c r="AC87" i="16"/>
  <c r="AB87" i="16"/>
  <c r="A88" i="16"/>
  <c r="X87" i="16"/>
  <c r="AJ87" i="16"/>
  <c r="O87" i="16"/>
  <c r="K89" i="1"/>
  <c r="O89" i="1"/>
  <c r="AK89" i="1"/>
  <c r="AB89" i="1"/>
  <c r="A90" i="1"/>
  <c r="X89" i="1"/>
  <c r="L89" i="1"/>
  <c r="AC89" i="1"/>
  <c r="Q89" i="1"/>
  <c r="AJ89" i="1"/>
  <c r="U89" i="1"/>
  <c r="T89" i="1" s="1"/>
  <c r="A87" i="18"/>
  <c r="X86" i="18"/>
  <c r="K86" i="18"/>
  <c r="AB86" i="18"/>
  <c r="L86" i="18"/>
  <c r="AJ86" i="18"/>
  <c r="AK86" i="18"/>
  <c r="O86" i="18"/>
  <c r="AC86" i="18"/>
  <c r="F87" i="1"/>
  <c r="X84" i="22"/>
  <c r="AB84" i="22"/>
  <c r="K84" i="22"/>
  <c r="L84" i="22"/>
  <c r="A85" i="22"/>
  <c r="AJ84" i="22"/>
  <c r="AK84" i="22"/>
  <c r="O84" i="22"/>
  <c r="AC84" i="22"/>
  <c r="K85" i="20"/>
  <c r="L85" i="20"/>
  <c r="A86" i="20"/>
  <c r="X85" i="20"/>
  <c r="AB85" i="20"/>
  <c r="AJ85" i="20"/>
  <c r="AK85" i="20"/>
  <c r="O85" i="20"/>
  <c r="AC85" i="20"/>
  <c r="X83" i="23"/>
  <c r="L83" i="23"/>
  <c r="K83" i="23"/>
  <c r="AB83" i="23"/>
  <c r="A84" i="23"/>
  <c r="AJ83" i="23"/>
  <c r="AK83" i="23"/>
  <c r="O83" i="23"/>
  <c r="AC83" i="23"/>
  <c r="S88" i="1"/>
  <c r="R88" i="1" s="1"/>
  <c r="P88" i="1" s="1"/>
  <c r="B22" i="7"/>
  <c r="D88" i="1"/>
  <c r="E88" i="1" s="1"/>
  <c r="A88" i="17"/>
  <c r="L87" i="17"/>
  <c r="AB87" i="17"/>
  <c r="X87" i="17"/>
  <c r="K87" i="17"/>
  <c r="AJ87" i="17"/>
  <c r="AK87" i="17"/>
  <c r="AC87" i="17"/>
  <c r="O87" i="17"/>
  <c r="K82" i="24"/>
  <c r="L82" i="24"/>
  <c r="AB82" i="24"/>
  <c r="X82" i="24"/>
  <c r="A83" i="24"/>
  <c r="AK82" i="24"/>
  <c r="AJ82" i="24"/>
  <c r="O82" i="24"/>
  <c r="AC82" i="24"/>
  <c r="K81" i="25"/>
  <c r="X81" i="25"/>
  <c r="A82" i="25"/>
  <c r="L81" i="25"/>
  <c r="AB81" i="25"/>
  <c r="AJ81" i="25"/>
  <c r="AK81" i="25"/>
  <c r="O81" i="25"/>
  <c r="AC81" i="25"/>
  <c r="B34" i="7" l="1"/>
  <c r="D88" i="15"/>
  <c r="E88" i="15" s="1"/>
  <c r="K89" i="15"/>
  <c r="A90" i="15"/>
  <c r="AC89" i="15"/>
  <c r="AB89" i="15"/>
  <c r="O89" i="15"/>
  <c r="L89" i="15"/>
  <c r="D89" i="15" s="1"/>
  <c r="AJ89" i="15"/>
  <c r="X89" i="15"/>
  <c r="AK89" i="15"/>
  <c r="E87" i="16"/>
  <c r="L88" i="16"/>
  <c r="X88" i="16"/>
  <c r="A89" i="16"/>
  <c r="AK88" i="16"/>
  <c r="AC88" i="16"/>
  <c r="K88" i="16"/>
  <c r="A46" i="7"/>
  <c r="AB88" i="16"/>
  <c r="AJ88" i="16"/>
  <c r="O88" i="16"/>
  <c r="C46" i="7" s="1"/>
  <c r="D22" i="7"/>
  <c r="V88" i="1"/>
  <c r="F88" i="1" s="1"/>
  <c r="X83" i="24"/>
  <c r="K83" i="24"/>
  <c r="L83" i="24"/>
  <c r="AB83" i="24"/>
  <c r="A84" i="24"/>
  <c r="AJ83" i="24"/>
  <c r="AK83" i="24"/>
  <c r="O83" i="24"/>
  <c r="AC83" i="24"/>
  <c r="K86" i="20"/>
  <c r="L86" i="20"/>
  <c r="A87" i="20"/>
  <c r="X86" i="20"/>
  <c r="AB86" i="20"/>
  <c r="AJ86" i="20"/>
  <c r="AK86" i="20"/>
  <c r="O86" i="20"/>
  <c r="AC86" i="20"/>
  <c r="S89" i="1"/>
  <c r="R89" i="1" s="1"/>
  <c r="P89" i="1" s="1"/>
  <c r="V89" i="1" s="1"/>
  <c r="D89" i="1"/>
  <c r="E89" i="1" s="1"/>
  <c r="X90" i="1"/>
  <c r="AB90" i="1"/>
  <c r="AC90" i="1"/>
  <c r="K90" i="1"/>
  <c r="O90" i="1"/>
  <c r="L90" i="1"/>
  <c r="AJ90" i="1"/>
  <c r="A91" i="1"/>
  <c r="AK90" i="1"/>
  <c r="Q90" i="1"/>
  <c r="U90" i="1"/>
  <c r="T90" i="1" s="1"/>
  <c r="S90" i="1" s="1"/>
  <c r="R90" i="1" s="1"/>
  <c r="AB82" i="25"/>
  <c r="K82" i="25"/>
  <c r="A83" i="25"/>
  <c r="L82" i="25"/>
  <c r="X82" i="25"/>
  <c r="AJ82" i="25"/>
  <c r="O82" i="25"/>
  <c r="AK82" i="25"/>
  <c r="AC82" i="25"/>
  <c r="AB88" i="17"/>
  <c r="A89" i="17"/>
  <c r="A58" i="7"/>
  <c r="X88" i="17"/>
  <c r="K88" i="17"/>
  <c r="L88" i="17"/>
  <c r="AK88" i="17"/>
  <c r="AJ88" i="17"/>
  <c r="AC88" i="17"/>
  <c r="O88" i="17"/>
  <c r="C58" i="7" s="1"/>
  <c r="K84" i="23"/>
  <c r="AB84" i="23"/>
  <c r="L84" i="23"/>
  <c r="X84" i="23"/>
  <c r="A85" i="23"/>
  <c r="AJ84" i="23"/>
  <c r="AK84" i="23"/>
  <c r="O84" i="23"/>
  <c r="AC84" i="23"/>
  <c r="A86" i="22"/>
  <c r="AB85" i="22"/>
  <c r="X85" i="22"/>
  <c r="L85" i="22"/>
  <c r="K85" i="22"/>
  <c r="AJ85" i="22"/>
  <c r="AK85" i="22"/>
  <c r="O85" i="22"/>
  <c r="AC85" i="22"/>
  <c r="G87" i="1"/>
  <c r="BW87" i="6" s="1"/>
  <c r="AA87" i="1"/>
  <c r="Z87" i="1" s="1"/>
  <c r="Y87" i="1" s="1"/>
  <c r="I87" i="1"/>
  <c r="AB87" i="18"/>
  <c r="L87" i="18"/>
  <c r="A88" i="18"/>
  <c r="K87" i="18"/>
  <c r="X87" i="18"/>
  <c r="O87" i="18"/>
  <c r="AJ87" i="18"/>
  <c r="AK87" i="18"/>
  <c r="AC87" i="18"/>
  <c r="K90" i="15" l="1"/>
  <c r="O90" i="15"/>
  <c r="AC90" i="15"/>
  <c r="L90" i="15"/>
  <c r="D90" i="15" s="1"/>
  <c r="E90" i="15" s="1"/>
  <c r="AB90" i="15"/>
  <c r="AK90" i="15"/>
  <c r="A91" i="15"/>
  <c r="X90" i="15"/>
  <c r="AJ90" i="15"/>
  <c r="E89" i="15"/>
  <c r="F89" i="1"/>
  <c r="I89" i="1" s="1"/>
  <c r="X89" i="16"/>
  <c r="K89" i="16"/>
  <c r="AB89" i="16"/>
  <c r="AK89" i="16"/>
  <c r="O89" i="16"/>
  <c r="A90" i="16"/>
  <c r="AJ89" i="16"/>
  <c r="AC89" i="16"/>
  <c r="L89" i="16"/>
  <c r="D89" i="16" s="1"/>
  <c r="E89" i="16" s="1"/>
  <c r="D88" i="16"/>
  <c r="E88" i="16" s="1"/>
  <c r="B46" i="7"/>
  <c r="A89" i="18"/>
  <c r="L88" i="18"/>
  <c r="A70" i="7"/>
  <c r="X88" i="18"/>
  <c r="AB88" i="18"/>
  <c r="K88" i="18"/>
  <c r="AJ88" i="18"/>
  <c r="AK88" i="18"/>
  <c r="O88" i="18"/>
  <c r="C70" i="7" s="1"/>
  <c r="AC88" i="18"/>
  <c r="X86" i="22"/>
  <c r="A87" i="22"/>
  <c r="AB86" i="22"/>
  <c r="K86" i="22"/>
  <c r="L86" i="22"/>
  <c r="AK86" i="22"/>
  <c r="AJ86" i="22"/>
  <c r="O86" i="22"/>
  <c r="AC86" i="22"/>
  <c r="G88" i="1"/>
  <c r="BW88" i="6" s="1"/>
  <c r="AA88" i="1"/>
  <c r="Z88" i="1" s="1"/>
  <c r="Y88" i="1" s="1"/>
  <c r="I88" i="1"/>
  <c r="X83" i="25"/>
  <c r="K83" i="25"/>
  <c r="A84" i="25"/>
  <c r="L83" i="25"/>
  <c r="AB83" i="25"/>
  <c r="AJ83" i="25"/>
  <c r="O83" i="25"/>
  <c r="AK83" i="25"/>
  <c r="AC83" i="25"/>
  <c r="K91" i="1"/>
  <c r="AC91" i="1"/>
  <c r="AB91" i="1"/>
  <c r="O91" i="1"/>
  <c r="A92" i="1"/>
  <c r="AJ91" i="1"/>
  <c r="X91" i="1"/>
  <c r="AK91" i="1"/>
  <c r="L91" i="1"/>
  <c r="Q91" i="1"/>
  <c r="U91" i="1"/>
  <c r="D90" i="1"/>
  <c r="E90" i="1" s="1"/>
  <c r="AB87" i="20"/>
  <c r="K87" i="20"/>
  <c r="L87" i="20"/>
  <c r="X87" i="20"/>
  <c r="A88" i="20"/>
  <c r="AJ87" i="20"/>
  <c r="AK87" i="20"/>
  <c r="O87" i="20"/>
  <c r="AC87" i="20"/>
  <c r="X85" i="23"/>
  <c r="K85" i="23"/>
  <c r="AB85" i="23"/>
  <c r="L85" i="23"/>
  <c r="A86" i="23"/>
  <c r="AJ85" i="23"/>
  <c r="AK85" i="23"/>
  <c r="O85" i="23"/>
  <c r="AC85" i="23"/>
  <c r="B58" i="7"/>
  <c r="X89" i="17"/>
  <c r="A90" i="17"/>
  <c r="L89" i="17"/>
  <c r="AB89" i="17"/>
  <c r="K89" i="17"/>
  <c r="AK89" i="17"/>
  <c r="AJ89" i="17"/>
  <c r="O89" i="17"/>
  <c r="AC89" i="17"/>
  <c r="P90" i="1"/>
  <c r="V90" i="1" s="1"/>
  <c r="A85" i="24"/>
  <c r="L84" i="24"/>
  <c r="K84" i="24"/>
  <c r="AB84" i="24"/>
  <c r="X84" i="24"/>
  <c r="AJ84" i="24"/>
  <c r="AK84" i="24"/>
  <c r="O84" i="24"/>
  <c r="AC84" i="24"/>
  <c r="G89" i="1" l="1"/>
  <c r="BW89" i="6" s="1"/>
  <c r="AA89" i="1"/>
  <c r="Z89" i="1" s="1"/>
  <c r="Y89" i="1" s="1"/>
  <c r="X91" i="15"/>
  <c r="AK91" i="15"/>
  <c r="A92" i="15"/>
  <c r="AB91" i="15"/>
  <c r="O91" i="15"/>
  <c r="K91" i="15"/>
  <c r="AC91" i="15"/>
  <c r="L91" i="15"/>
  <c r="D91" i="15" s="1"/>
  <c r="AJ91" i="15"/>
  <c r="F90" i="1"/>
  <c r="I90" i="1" s="1"/>
  <c r="K90" i="16"/>
  <c r="AB90" i="16"/>
  <c r="AJ90" i="16"/>
  <c r="AC90" i="16"/>
  <c r="X90" i="16"/>
  <c r="A91" i="16"/>
  <c r="L90" i="16"/>
  <c r="D90" i="16" s="1"/>
  <c r="AK90" i="16"/>
  <c r="O90" i="16"/>
  <c r="K86" i="23"/>
  <c r="L86" i="23"/>
  <c r="AB86" i="23"/>
  <c r="A87" i="23"/>
  <c r="X86" i="23"/>
  <c r="AJ86" i="23"/>
  <c r="AK86" i="23"/>
  <c r="O86" i="23"/>
  <c r="AC86" i="23"/>
  <c r="X88" i="20"/>
  <c r="AE22" i="7"/>
  <c r="L88" i="20"/>
  <c r="A89" i="20"/>
  <c r="K88" i="20"/>
  <c r="AB88" i="20"/>
  <c r="AK88" i="20"/>
  <c r="AJ88" i="20"/>
  <c r="O88" i="20"/>
  <c r="AG22" i="7" s="1"/>
  <c r="AC88" i="20"/>
  <c r="T91" i="1"/>
  <c r="D91" i="1"/>
  <c r="E91" i="1" s="1"/>
  <c r="A93" i="1"/>
  <c r="AC92" i="1"/>
  <c r="AK92" i="1"/>
  <c r="K92" i="1"/>
  <c r="X92" i="1"/>
  <c r="AJ92" i="1"/>
  <c r="L92" i="1"/>
  <c r="Q92" i="1"/>
  <c r="AB92" i="1"/>
  <c r="O92" i="1"/>
  <c r="U92" i="1"/>
  <c r="T92" i="1" s="1"/>
  <c r="A88" i="22"/>
  <c r="AB87" i="22"/>
  <c r="K87" i="22"/>
  <c r="L87" i="22"/>
  <c r="X87" i="22"/>
  <c r="AJ87" i="22"/>
  <c r="AK87" i="22"/>
  <c r="O87" i="22"/>
  <c r="AC87" i="22"/>
  <c r="A90" i="18"/>
  <c r="AB89" i="18"/>
  <c r="L89" i="18"/>
  <c r="X89" i="18"/>
  <c r="K89" i="18"/>
  <c r="O89" i="18"/>
  <c r="AJ89" i="18"/>
  <c r="AK89" i="18"/>
  <c r="AC89" i="18"/>
  <c r="K85" i="24"/>
  <c r="A86" i="24"/>
  <c r="X85" i="24"/>
  <c r="AB85" i="24"/>
  <c r="L85" i="24"/>
  <c r="AJ85" i="24"/>
  <c r="AK85" i="24"/>
  <c r="O85" i="24"/>
  <c r="AC85" i="24"/>
  <c r="A91" i="17"/>
  <c r="K90" i="17"/>
  <c r="AB90" i="17"/>
  <c r="L90" i="17"/>
  <c r="X90" i="17"/>
  <c r="AJ90" i="17"/>
  <c r="AK90" i="17"/>
  <c r="AC90" i="17"/>
  <c r="O90" i="17"/>
  <c r="A85" i="25"/>
  <c r="X84" i="25"/>
  <c r="K84" i="25"/>
  <c r="AB84" i="25"/>
  <c r="L84" i="25"/>
  <c r="AJ84" i="25"/>
  <c r="AK84" i="25"/>
  <c r="O84" i="25"/>
  <c r="AC84" i="25"/>
  <c r="B70" i="7"/>
  <c r="E91" i="15" l="1"/>
  <c r="G90" i="1"/>
  <c r="BW90" i="6" s="1"/>
  <c r="X92" i="15"/>
  <c r="O92" i="15"/>
  <c r="L92" i="15"/>
  <c r="D92" i="15" s="1"/>
  <c r="AJ92" i="15"/>
  <c r="K92" i="15"/>
  <c r="AK92" i="15"/>
  <c r="AB92" i="15"/>
  <c r="A93" i="15"/>
  <c r="AC92" i="15"/>
  <c r="AA90" i="1"/>
  <c r="Z90" i="1" s="1"/>
  <c r="Y90" i="1" s="1"/>
  <c r="E90" i="16"/>
  <c r="AB91" i="16"/>
  <c r="K91" i="16"/>
  <c r="L91" i="16"/>
  <c r="D91" i="16" s="1"/>
  <c r="AK91" i="16"/>
  <c r="O91" i="16"/>
  <c r="A92" i="16"/>
  <c r="X91" i="16"/>
  <c r="AJ91" i="16"/>
  <c r="AC91" i="16"/>
  <c r="X86" i="24"/>
  <c r="A87" i="24"/>
  <c r="L86" i="24"/>
  <c r="K86" i="24"/>
  <c r="AB86" i="24"/>
  <c r="AJ86" i="24"/>
  <c r="AK86" i="24"/>
  <c r="O86" i="24"/>
  <c r="AC86" i="24"/>
  <c r="K90" i="18"/>
  <c r="AJ90" i="18"/>
  <c r="A91" i="18"/>
  <c r="X90" i="18"/>
  <c r="AB90" i="18"/>
  <c r="L90" i="18"/>
  <c r="O90" i="18"/>
  <c r="AK90" i="18"/>
  <c r="AC90" i="18"/>
  <c r="S92" i="1"/>
  <c r="R92" i="1" s="1"/>
  <c r="P92" i="1" s="1"/>
  <c r="V92" i="1" s="1"/>
  <c r="D92" i="1"/>
  <c r="AK93" i="1"/>
  <c r="AC93" i="1"/>
  <c r="Q93" i="1"/>
  <c r="L93" i="1"/>
  <c r="A94" i="1"/>
  <c r="O93" i="1"/>
  <c r="AB93" i="1"/>
  <c r="X93" i="1"/>
  <c r="AJ93" i="1"/>
  <c r="K93" i="1"/>
  <c r="U93" i="1"/>
  <c r="T93" i="1" s="1"/>
  <c r="S91" i="1"/>
  <c r="R91" i="1" s="1"/>
  <c r="P91" i="1" s="1"/>
  <c r="V91" i="1" s="1"/>
  <c r="AF22" i="7"/>
  <c r="K85" i="25"/>
  <c r="X85" i="25"/>
  <c r="A86" i="25"/>
  <c r="AB85" i="25"/>
  <c r="L85" i="25"/>
  <c r="AK85" i="25"/>
  <c r="AJ85" i="25"/>
  <c r="O85" i="25"/>
  <c r="AC85" i="25"/>
  <c r="AB91" i="17"/>
  <c r="L91" i="17"/>
  <c r="X91" i="17"/>
  <c r="K91" i="17"/>
  <c r="A92" i="17"/>
  <c r="AJ91" i="17"/>
  <c r="AK91" i="17"/>
  <c r="AC91" i="17"/>
  <c r="O91" i="17"/>
  <c r="A89" i="22"/>
  <c r="AB88" i="22"/>
  <c r="X88" i="22"/>
  <c r="L88" i="22"/>
  <c r="AE34" i="7"/>
  <c r="K88" i="22"/>
  <c r="AK88" i="22"/>
  <c r="AJ88" i="22"/>
  <c r="O88" i="22"/>
  <c r="AG34" i="7" s="1"/>
  <c r="AC88" i="22"/>
  <c r="E92" i="1"/>
  <c r="A90" i="20"/>
  <c r="X89" i="20"/>
  <c r="K89" i="20"/>
  <c r="L89" i="20"/>
  <c r="AB89" i="20"/>
  <c r="AK89" i="20"/>
  <c r="AJ89" i="20"/>
  <c r="O89" i="20"/>
  <c r="AC89" i="20"/>
  <c r="K87" i="23"/>
  <c r="AB87" i="23"/>
  <c r="X87" i="23"/>
  <c r="A88" i="23"/>
  <c r="L87" i="23"/>
  <c r="AJ87" i="23"/>
  <c r="AK87" i="23"/>
  <c r="O87" i="23"/>
  <c r="AC87" i="23"/>
  <c r="E92" i="15" l="1"/>
  <c r="K93" i="15"/>
  <c r="O93" i="15"/>
  <c r="AB93" i="15"/>
  <c r="AK93" i="15"/>
  <c r="A94" i="15"/>
  <c r="AJ93" i="15"/>
  <c r="L93" i="15"/>
  <c r="D93" i="15" s="1"/>
  <c r="X93" i="15"/>
  <c r="AC93" i="15"/>
  <c r="E91" i="16"/>
  <c r="X92" i="16"/>
  <c r="L92" i="16"/>
  <c r="D92" i="16" s="1"/>
  <c r="A93" i="16"/>
  <c r="AJ92" i="16"/>
  <c r="O92" i="16"/>
  <c r="AB92" i="16"/>
  <c r="K92" i="16"/>
  <c r="AK92" i="16"/>
  <c r="AC92" i="16"/>
  <c r="K89" i="22"/>
  <c r="A90" i="22"/>
  <c r="L89" i="22"/>
  <c r="X89" i="22"/>
  <c r="AB89" i="22"/>
  <c r="AJ89" i="22"/>
  <c r="AK89" i="22"/>
  <c r="O89" i="22"/>
  <c r="AC89" i="22"/>
  <c r="F91" i="1"/>
  <c r="D93" i="1"/>
  <c r="E93" i="1" s="1"/>
  <c r="F92" i="1"/>
  <c r="K91" i="18"/>
  <c r="AB91" i="18"/>
  <c r="L91" i="18"/>
  <c r="A92" i="18"/>
  <c r="AJ91" i="18"/>
  <c r="X91" i="18"/>
  <c r="O91" i="18"/>
  <c r="AK91" i="18"/>
  <c r="AC91" i="18"/>
  <c r="A88" i="24"/>
  <c r="X87" i="24"/>
  <c r="L87" i="24"/>
  <c r="AB87" i="24"/>
  <c r="K87" i="24"/>
  <c r="AK87" i="24"/>
  <c r="AJ87" i="24"/>
  <c r="O87" i="24"/>
  <c r="AC87" i="24"/>
  <c r="AB88" i="23"/>
  <c r="X88" i="23"/>
  <c r="L88" i="23"/>
  <c r="A89" i="23"/>
  <c r="K88" i="23"/>
  <c r="AE46" i="7"/>
  <c r="AJ88" i="23"/>
  <c r="AK88" i="23"/>
  <c r="O88" i="23"/>
  <c r="AG46" i="7" s="1"/>
  <c r="AC88" i="23"/>
  <c r="A91" i="20"/>
  <c r="X90" i="20"/>
  <c r="K90" i="20"/>
  <c r="L90" i="20"/>
  <c r="AB90" i="20"/>
  <c r="AJ90" i="20"/>
  <c r="AK90" i="20"/>
  <c r="O90" i="20"/>
  <c r="AC90" i="20"/>
  <c r="AF34" i="7"/>
  <c r="X92" i="17"/>
  <c r="A93" i="17"/>
  <c r="AB92" i="17"/>
  <c r="L92" i="17"/>
  <c r="K92" i="17"/>
  <c r="AJ92" i="17"/>
  <c r="AK92" i="17"/>
  <c r="AC92" i="17"/>
  <c r="O92" i="17"/>
  <c r="K86" i="25"/>
  <c r="X86" i="25"/>
  <c r="L86" i="25"/>
  <c r="AB86" i="25"/>
  <c r="A87" i="25"/>
  <c r="AJ86" i="25"/>
  <c r="O86" i="25"/>
  <c r="AK86" i="25"/>
  <c r="AC86" i="25"/>
  <c r="S93" i="1"/>
  <c r="R93" i="1" s="1"/>
  <c r="P93" i="1" s="1"/>
  <c r="V93" i="1" s="1"/>
  <c r="F93" i="1" s="1"/>
  <c r="A95" i="1"/>
  <c r="AJ94" i="1"/>
  <c r="O94" i="1"/>
  <c r="L94" i="1"/>
  <c r="X94" i="1"/>
  <c r="Q94" i="1"/>
  <c r="AK94" i="1"/>
  <c r="AB94" i="1"/>
  <c r="AC94" i="1"/>
  <c r="K94" i="1"/>
  <c r="U94" i="1"/>
  <c r="T94" i="1" s="1"/>
  <c r="E93" i="15" l="1"/>
  <c r="AB94" i="15"/>
  <c r="O94" i="15"/>
  <c r="L94" i="15"/>
  <c r="D94" i="15" s="1"/>
  <c r="AK94" i="15"/>
  <c r="K94" i="15"/>
  <c r="AJ94" i="15"/>
  <c r="X94" i="15"/>
  <c r="A95" i="15"/>
  <c r="AC94" i="15"/>
  <c r="E92" i="16"/>
  <c r="A94" i="16"/>
  <c r="L93" i="16"/>
  <c r="D93" i="16" s="1"/>
  <c r="X93" i="16"/>
  <c r="AK93" i="16"/>
  <c r="O93" i="16"/>
  <c r="K93" i="16"/>
  <c r="AB93" i="16"/>
  <c r="AJ93" i="16"/>
  <c r="AC93" i="16"/>
  <c r="I93" i="1"/>
  <c r="AA93" i="1"/>
  <c r="Z93" i="1" s="1"/>
  <c r="Y93" i="1" s="1"/>
  <c r="G93" i="1"/>
  <c r="BW93" i="6" s="1"/>
  <c r="S94" i="1"/>
  <c r="R94" i="1" s="1"/>
  <c r="P94" i="1" s="1"/>
  <c r="V94" i="1" s="1"/>
  <c r="X95" i="1"/>
  <c r="AJ95" i="1"/>
  <c r="K95" i="1"/>
  <c r="AB95" i="1"/>
  <c r="O95" i="1"/>
  <c r="AC95" i="1"/>
  <c r="L95" i="1"/>
  <c r="AK95" i="1"/>
  <c r="A96" i="1"/>
  <c r="Q95" i="1"/>
  <c r="U95" i="1"/>
  <c r="T95" i="1" s="1"/>
  <c r="S95" i="1" s="1"/>
  <c r="R95" i="1" s="1"/>
  <c r="AF46" i="7"/>
  <c r="AA91" i="1"/>
  <c r="Z91" i="1" s="1"/>
  <c r="Y91" i="1" s="1"/>
  <c r="G91" i="1"/>
  <c r="BW91" i="6" s="1"/>
  <c r="I91" i="1"/>
  <c r="D94" i="1"/>
  <c r="E94" i="1" s="1"/>
  <c r="F94" i="1" s="1"/>
  <c r="X87" i="25"/>
  <c r="L87" i="25"/>
  <c r="K87" i="25"/>
  <c r="AB87" i="25"/>
  <c r="A88" i="25"/>
  <c r="AJ87" i="25"/>
  <c r="O87" i="25"/>
  <c r="AK87" i="25"/>
  <c r="AC87" i="25"/>
  <c r="A94" i="17"/>
  <c r="K93" i="17"/>
  <c r="X93" i="17"/>
  <c r="AB93" i="17"/>
  <c r="L93" i="17"/>
  <c r="AJ93" i="17"/>
  <c r="AK93" i="17"/>
  <c r="AC93" i="17"/>
  <c r="O93" i="17"/>
  <c r="X91" i="20"/>
  <c r="AB91" i="20"/>
  <c r="A92" i="20"/>
  <c r="L91" i="20"/>
  <c r="K91" i="20"/>
  <c r="AJ91" i="20"/>
  <c r="AK91" i="20"/>
  <c r="O91" i="20"/>
  <c r="AC91" i="20"/>
  <c r="A90" i="23"/>
  <c r="AB89" i="23"/>
  <c r="L89" i="23"/>
  <c r="X89" i="23"/>
  <c r="K89" i="23"/>
  <c r="AJ89" i="23"/>
  <c r="AK89" i="23"/>
  <c r="O89" i="23"/>
  <c r="AC89" i="23"/>
  <c r="X88" i="24"/>
  <c r="AB88" i="24"/>
  <c r="K88" i="24"/>
  <c r="L88" i="24"/>
  <c r="A89" i="24"/>
  <c r="AE58" i="7"/>
  <c r="AK88" i="24"/>
  <c r="O88" i="24"/>
  <c r="AG58" i="7" s="1"/>
  <c r="AJ88" i="24"/>
  <c r="AC88" i="24"/>
  <c r="X92" i="18"/>
  <c r="AJ92" i="18"/>
  <c r="A93" i="18"/>
  <c r="K92" i="18"/>
  <c r="AB92" i="18"/>
  <c r="L92" i="18"/>
  <c r="AK92" i="18"/>
  <c r="O92" i="18"/>
  <c r="AC92" i="18"/>
  <c r="I92" i="1"/>
  <c r="G92" i="1"/>
  <c r="BW92" i="6" s="1"/>
  <c r="AA92" i="1"/>
  <c r="Z92" i="1" s="1"/>
  <c r="Y92" i="1" s="1"/>
  <c r="AB90" i="22"/>
  <c r="L90" i="22"/>
  <c r="K90" i="22"/>
  <c r="X90" i="22"/>
  <c r="A91" i="22"/>
  <c r="AK90" i="22"/>
  <c r="AJ90" i="22"/>
  <c r="O90" i="22"/>
  <c r="AC90" i="22"/>
  <c r="E94" i="15" l="1"/>
  <c r="X95" i="15"/>
  <c r="AB95" i="15"/>
  <c r="K95" i="15"/>
  <c r="O95" i="15"/>
  <c r="AK95" i="15"/>
  <c r="AC95" i="15"/>
  <c r="L95" i="15"/>
  <c r="D95" i="15" s="1"/>
  <c r="AJ95" i="15"/>
  <c r="A96" i="15"/>
  <c r="E93" i="16"/>
  <c r="X94" i="16"/>
  <c r="A95" i="16"/>
  <c r="K94" i="16"/>
  <c r="O94" i="16"/>
  <c r="L94" i="16"/>
  <c r="D94" i="16" s="1"/>
  <c r="AB94" i="16"/>
  <c r="AK94" i="16"/>
  <c r="AC94" i="16"/>
  <c r="AJ94" i="16"/>
  <c r="I94" i="1"/>
  <c r="AA94" i="1"/>
  <c r="Z94" i="1" s="1"/>
  <c r="Y94" i="1" s="1"/>
  <c r="G94" i="1"/>
  <c r="BW94" i="6" s="1"/>
  <c r="K91" i="22"/>
  <c r="A92" i="22"/>
  <c r="L91" i="22"/>
  <c r="AB91" i="22"/>
  <c r="X91" i="22"/>
  <c r="AJ91" i="22"/>
  <c r="AK91" i="22"/>
  <c r="O91" i="22"/>
  <c r="AC91" i="22"/>
  <c r="X93" i="18"/>
  <c r="K93" i="18"/>
  <c r="A94" i="18"/>
  <c r="AB93" i="18"/>
  <c r="L93" i="18"/>
  <c r="AK93" i="18"/>
  <c r="AJ93" i="18"/>
  <c r="O93" i="18"/>
  <c r="AC93" i="18"/>
  <c r="K89" i="24"/>
  <c r="L89" i="24"/>
  <c r="X89" i="24"/>
  <c r="AB89" i="24"/>
  <c r="A90" i="24"/>
  <c r="AJ89" i="24"/>
  <c r="AK89" i="24"/>
  <c r="O89" i="24"/>
  <c r="AC89" i="24"/>
  <c r="AB92" i="20"/>
  <c r="X92" i="20"/>
  <c r="A93" i="20"/>
  <c r="L92" i="20"/>
  <c r="K92" i="20"/>
  <c r="AJ92" i="20"/>
  <c r="AK92" i="20"/>
  <c r="O92" i="20"/>
  <c r="AC92" i="20"/>
  <c r="K88" i="25"/>
  <c r="A89" i="25"/>
  <c r="AE70" i="7"/>
  <c r="X88" i="25"/>
  <c r="AB88" i="25"/>
  <c r="L88" i="25"/>
  <c r="AJ88" i="25"/>
  <c r="AK88" i="25"/>
  <c r="O88" i="25"/>
  <c r="AG70" i="7" s="1"/>
  <c r="AC88" i="25"/>
  <c r="AF58" i="7"/>
  <c r="A91" i="23"/>
  <c r="L90" i="23"/>
  <c r="AB90" i="23"/>
  <c r="X90" i="23"/>
  <c r="K90" i="23"/>
  <c r="AJ90" i="23"/>
  <c r="AK90" i="23"/>
  <c r="O90" i="23"/>
  <c r="AC90" i="23"/>
  <c r="A95" i="17"/>
  <c r="AB94" i="17"/>
  <c r="K94" i="17"/>
  <c r="L94" i="17"/>
  <c r="X94" i="17"/>
  <c r="AJ94" i="17"/>
  <c r="AK94" i="17"/>
  <c r="O94" i="17"/>
  <c r="AC94" i="17"/>
  <c r="P95" i="1"/>
  <c r="V95" i="1" s="1"/>
  <c r="A97" i="1"/>
  <c r="L96" i="1"/>
  <c r="AB96" i="1"/>
  <c r="AC96" i="1"/>
  <c r="X96" i="1"/>
  <c r="AK96" i="1"/>
  <c r="K96" i="1"/>
  <c r="AJ96" i="1"/>
  <c r="O96" i="1"/>
  <c r="Q96" i="1"/>
  <c r="U96" i="1"/>
  <c r="T96" i="1" s="1"/>
  <c r="D95" i="1"/>
  <c r="E95" i="1" s="1"/>
  <c r="K96" i="15" l="1"/>
  <c r="A97" i="15"/>
  <c r="AC96" i="15"/>
  <c r="L96" i="15"/>
  <c r="D96" i="15" s="1"/>
  <c r="O96" i="15"/>
  <c r="AB96" i="15"/>
  <c r="AJ96" i="15"/>
  <c r="X96" i="15"/>
  <c r="AK96" i="15"/>
  <c r="E95" i="15"/>
  <c r="AB95" i="16"/>
  <c r="A96" i="16"/>
  <c r="AK95" i="16"/>
  <c r="AC95" i="16"/>
  <c r="L95" i="16"/>
  <c r="D95" i="16" s="1"/>
  <c r="K95" i="16"/>
  <c r="X95" i="16"/>
  <c r="AJ95" i="16"/>
  <c r="O95" i="16"/>
  <c r="E94" i="16"/>
  <c r="S96" i="1"/>
  <c r="R96" i="1" s="1"/>
  <c r="P96" i="1" s="1"/>
  <c r="V96" i="1" s="1"/>
  <c r="AK97" i="1"/>
  <c r="L97" i="1"/>
  <c r="Q97" i="1"/>
  <c r="K97" i="1"/>
  <c r="X97" i="1"/>
  <c r="AC97" i="1"/>
  <c r="AB97" i="1"/>
  <c r="O97" i="1"/>
  <c r="A98" i="1"/>
  <c r="AJ97" i="1"/>
  <c r="U97" i="1"/>
  <c r="T97" i="1" s="1"/>
  <c r="K95" i="17"/>
  <c r="X95" i="17"/>
  <c r="L95" i="17"/>
  <c r="AB95" i="17"/>
  <c r="A96" i="17"/>
  <c r="AJ95" i="17"/>
  <c r="AK95" i="17"/>
  <c r="O95" i="17"/>
  <c r="AC95" i="17"/>
  <c r="K91" i="23"/>
  <c r="L91" i="23"/>
  <c r="AB91" i="23"/>
  <c r="X91" i="23"/>
  <c r="A92" i="23"/>
  <c r="AK91" i="23"/>
  <c r="AJ91" i="23"/>
  <c r="O91" i="23"/>
  <c r="AC91" i="23"/>
  <c r="X90" i="24"/>
  <c r="L90" i="24"/>
  <c r="A91" i="24"/>
  <c r="K90" i="24"/>
  <c r="AB90" i="24"/>
  <c r="AJ90" i="24"/>
  <c r="AK90" i="24"/>
  <c r="O90" i="24"/>
  <c r="AC90" i="24"/>
  <c r="F95" i="1"/>
  <c r="D96" i="1"/>
  <c r="E96" i="1" s="1"/>
  <c r="AF70" i="7"/>
  <c r="X89" i="25"/>
  <c r="AB89" i="25"/>
  <c r="K89" i="25"/>
  <c r="A90" i="25"/>
  <c r="L89" i="25"/>
  <c r="AJ89" i="25"/>
  <c r="AK89" i="25"/>
  <c r="O89" i="25"/>
  <c r="AC89" i="25"/>
  <c r="X93" i="20"/>
  <c r="L93" i="20"/>
  <c r="AB93" i="20"/>
  <c r="K93" i="20"/>
  <c r="A94" i="20"/>
  <c r="AK93" i="20"/>
  <c r="AJ93" i="20"/>
  <c r="O93" i="20"/>
  <c r="AC93" i="20"/>
  <c r="K94" i="18"/>
  <c r="L94" i="18"/>
  <c r="AB94" i="18"/>
  <c r="A95" i="18"/>
  <c r="X94" i="18"/>
  <c r="AJ94" i="18"/>
  <c r="AK94" i="18"/>
  <c r="O94" i="18"/>
  <c r="AC94" i="18"/>
  <c r="K92" i="22"/>
  <c r="A93" i="22"/>
  <c r="AB92" i="22"/>
  <c r="L92" i="22"/>
  <c r="X92" i="22"/>
  <c r="AJ92" i="22"/>
  <c r="AK92" i="22"/>
  <c r="O92" i="22"/>
  <c r="AC92" i="22"/>
  <c r="AB97" i="15" l="1"/>
  <c r="AJ97" i="15"/>
  <c r="X97" i="15"/>
  <c r="AK97" i="15"/>
  <c r="L97" i="15"/>
  <c r="D97" i="15" s="1"/>
  <c r="K97" i="15"/>
  <c r="AC97" i="15"/>
  <c r="A98" i="15"/>
  <c r="O97" i="15"/>
  <c r="E97" i="15" s="1"/>
  <c r="E96" i="15"/>
  <c r="E95" i="16"/>
  <c r="F96" i="1"/>
  <c r="G96" i="1" s="1"/>
  <c r="BW96" i="6" s="1"/>
  <c r="L96" i="16"/>
  <c r="D96" i="16" s="1"/>
  <c r="A97" i="16"/>
  <c r="K96" i="16"/>
  <c r="AK96" i="16"/>
  <c r="O96" i="16"/>
  <c r="AB96" i="16"/>
  <c r="X96" i="16"/>
  <c r="AJ96" i="16"/>
  <c r="AC96" i="16"/>
  <c r="AA96" i="1"/>
  <c r="Z96" i="1" s="1"/>
  <c r="Y96" i="1" s="1"/>
  <c r="AB95" i="18"/>
  <c r="L95" i="18"/>
  <c r="A96" i="18"/>
  <c r="K95" i="18"/>
  <c r="X95" i="18"/>
  <c r="AK95" i="18"/>
  <c r="O95" i="18"/>
  <c r="AJ95" i="18"/>
  <c r="AC95" i="18"/>
  <c r="A95" i="20"/>
  <c r="L94" i="20"/>
  <c r="X94" i="20"/>
  <c r="AB94" i="20"/>
  <c r="K94" i="20"/>
  <c r="AJ94" i="20"/>
  <c r="AK94" i="20"/>
  <c r="O94" i="20"/>
  <c r="AC94" i="20"/>
  <c r="AB90" i="25"/>
  <c r="L90" i="25"/>
  <c r="A91" i="25"/>
  <c r="K90" i="25"/>
  <c r="X90" i="25"/>
  <c r="AK90" i="25"/>
  <c r="AJ90" i="25"/>
  <c r="O90" i="25"/>
  <c r="AC90" i="25"/>
  <c r="A92" i="24"/>
  <c r="L91" i="24"/>
  <c r="X91" i="24"/>
  <c r="K91" i="24"/>
  <c r="AB91" i="24"/>
  <c r="AJ91" i="24"/>
  <c r="AK91" i="24"/>
  <c r="O91" i="24"/>
  <c r="AC91" i="24"/>
  <c r="A97" i="17"/>
  <c r="AB96" i="17"/>
  <c r="L96" i="17"/>
  <c r="X96" i="17"/>
  <c r="K96" i="17"/>
  <c r="AJ96" i="17"/>
  <c r="AK96" i="17"/>
  <c r="AC96" i="17"/>
  <c r="O96" i="17"/>
  <c r="D97" i="1"/>
  <c r="E97" i="1" s="1"/>
  <c r="K93" i="22"/>
  <c r="X93" i="22"/>
  <c r="A94" i="22"/>
  <c r="L93" i="22"/>
  <c r="AB93" i="22"/>
  <c r="AK93" i="22"/>
  <c r="AJ93" i="22"/>
  <c r="O93" i="22"/>
  <c r="AC93" i="22"/>
  <c r="AA95" i="1"/>
  <c r="Z95" i="1" s="1"/>
  <c r="Y95" i="1" s="1"/>
  <c r="G95" i="1"/>
  <c r="BW95" i="6" s="1"/>
  <c r="I95" i="1"/>
  <c r="A93" i="23"/>
  <c r="K92" i="23"/>
  <c r="X92" i="23"/>
  <c r="AB92" i="23"/>
  <c r="L92" i="23"/>
  <c r="AK92" i="23"/>
  <c r="AJ92" i="23"/>
  <c r="O92" i="23"/>
  <c r="AC92" i="23"/>
  <c r="S97" i="1"/>
  <c r="R97" i="1" s="1"/>
  <c r="P97" i="1" s="1"/>
  <c r="V97" i="1" s="1"/>
  <c r="AC98" i="1"/>
  <c r="AK98" i="1"/>
  <c r="A99" i="1"/>
  <c r="O98" i="1"/>
  <c r="Q98" i="1"/>
  <c r="K98" i="1"/>
  <c r="L98" i="1"/>
  <c r="AJ98" i="1"/>
  <c r="X98" i="1"/>
  <c r="AB98" i="1"/>
  <c r="U98" i="1"/>
  <c r="T98" i="1" s="1"/>
  <c r="L98" i="15" l="1"/>
  <c r="D98" i="15" s="1"/>
  <c r="K98" i="15"/>
  <c r="O98" i="15"/>
  <c r="E98" i="15" s="1"/>
  <c r="X98" i="15"/>
  <c r="AC98" i="15"/>
  <c r="A99" i="15"/>
  <c r="AK98" i="15"/>
  <c r="AB98" i="15"/>
  <c r="AJ98" i="15"/>
  <c r="F97" i="1"/>
  <c r="AA97" i="1" s="1"/>
  <c r="Z97" i="1" s="1"/>
  <c r="Y97" i="1" s="1"/>
  <c r="I96" i="1"/>
  <c r="E96" i="16"/>
  <c r="K97" i="16"/>
  <c r="A98" i="16"/>
  <c r="AK97" i="16"/>
  <c r="AC97" i="16"/>
  <c r="AB97" i="16"/>
  <c r="L97" i="16"/>
  <c r="D97" i="16" s="1"/>
  <c r="X97" i="16"/>
  <c r="AJ97" i="16"/>
  <c r="O97" i="16"/>
  <c r="I97" i="1"/>
  <c r="X94" i="22"/>
  <c r="A95" i="22"/>
  <c r="AB94" i="22"/>
  <c r="L94" i="22"/>
  <c r="K94" i="22"/>
  <c r="AJ94" i="22"/>
  <c r="AK94" i="22"/>
  <c r="O94" i="22"/>
  <c r="AC94" i="22"/>
  <c r="X97" i="17"/>
  <c r="A98" i="17"/>
  <c r="AB97" i="17"/>
  <c r="L97" i="17"/>
  <c r="K97" i="17"/>
  <c r="AJ97" i="17"/>
  <c r="AK97" i="17"/>
  <c r="AC97" i="17"/>
  <c r="O97" i="17"/>
  <c r="A92" i="25"/>
  <c r="AB91" i="25"/>
  <c r="L91" i="25"/>
  <c r="X91" i="25"/>
  <c r="K91" i="25"/>
  <c r="AJ91" i="25"/>
  <c r="O91" i="25"/>
  <c r="AK91" i="25"/>
  <c r="AC91" i="25"/>
  <c r="A97" i="18"/>
  <c r="X96" i="18"/>
  <c r="L96" i="18"/>
  <c r="AB96" i="18"/>
  <c r="AJ96" i="18"/>
  <c r="K96" i="18"/>
  <c r="O96" i="18"/>
  <c r="AK96" i="18"/>
  <c r="AC96" i="18"/>
  <c r="S98" i="1"/>
  <c r="R98" i="1" s="1"/>
  <c r="P98" i="1" s="1"/>
  <c r="V98" i="1" s="1"/>
  <c r="D98" i="1"/>
  <c r="E98" i="1" s="1"/>
  <c r="K99" i="1"/>
  <c r="Q99" i="1"/>
  <c r="AJ99" i="1"/>
  <c r="AB99" i="1"/>
  <c r="A100" i="1"/>
  <c r="L99" i="1"/>
  <c r="O99" i="1"/>
  <c r="AK99" i="1"/>
  <c r="AC99" i="1"/>
  <c r="X99" i="1"/>
  <c r="U99" i="1"/>
  <c r="T99" i="1" s="1"/>
  <c r="A94" i="23"/>
  <c r="AB93" i="23"/>
  <c r="X93" i="23"/>
  <c r="K93" i="23"/>
  <c r="L93" i="23"/>
  <c r="AJ93" i="23"/>
  <c r="AK93" i="23"/>
  <c r="O93" i="23"/>
  <c r="AC93" i="23"/>
  <c r="X92" i="24"/>
  <c r="K92" i="24"/>
  <c r="L92" i="24"/>
  <c r="A93" i="24"/>
  <c r="AB92" i="24"/>
  <c r="AJ92" i="24"/>
  <c r="AK92" i="24"/>
  <c r="O92" i="24"/>
  <c r="AC92" i="24"/>
  <c r="X95" i="20"/>
  <c r="K95" i="20"/>
  <c r="L95" i="20"/>
  <c r="A96" i="20"/>
  <c r="AB95" i="20"/>
  <c r="AJ95" i="20"/>
  <c r="AK95" i="20"/>
  <c r="O95" i="20"/>
  <c r="AC95" i="20"/>
  <c r="G97" i="1" l="1"/>
  <c r="BW97" i="6" s="1"/>
  <c r="K99" i="15"/>
  <c r="AJ99" i="15"/>
  <c r="L99" i="15"/>
  <c r="D99" i="15" s="1"/>
  <c r="AK99" i="15"/>
  <c r="AB99" i="15"/>
  <c r="A100" i="15"/>
  <c r="AC99" i="15"/>
  <c r="X99" i="15"/>
  <c r="O99" i="15"/>
  <c r="F98" i="1"/>
  <c r="I98" i="1" s="1"/>
  <c r="E97" i="16"/>
  <c r="A99" i="16"/>
  <c r="L98" i="16"/>
  <c r="D98" i="16" s="1"/>
  <c r="AJ98" i="16"/>
  <c r="AC98" i="16"/>
  <c r="X98" i="16"/>
  <c r="K98" i="16"/>
  <c r="AB98" i="16"/>
  <c r="AK98" i="16"/>
  <c r="O98" i="16"/>
  <c r="X93" i="24"/>
  <c r="L93" i="24"/>
  <c r="K93" i="24"/>
  <c r="A94" i="24"/>
  <c r="AB93" i="24"/>
  <c r="AJ93" i="24"/>
  <c r="AK93" i="24"/>
  <c r="O93" i="24"/>
  <c r="AC93" i="24"/>
  <c r="AB94" i="23"/>
  <c r="L94" i="23"/>
  <c r="X94" i="23"/>
  <c r="A95" i="23"/>
  <c r="K94" i="23"/>
  <c r="AJ94" i="23"/>
  <c r="AK94" i="23"/>
  <c r="O94" i="23"/>
  <c r="AC94" i="23"/>
  <c r="D99" i="1"/>
  <c r="E99" i="1" s="1"/>
  <c r="X97" i="18"/>
  <c r="K97" i="18"/>
  <c r="AJ97" i="18"/>
  <c r="AB97" i="18"/>
  <c r="L97" i="18"/>
  <c r="A98" i="18"/>
  <c r="AK97" i="18"/>
  <c r="O97" i="18"/>
  <c r="AC97" i="18"/>
  <c r="K95" i="22"/>
  <c r="AB95" i="22"/>
  <c r="L95" i="22"/>
  <c r="X95" i="22"/>
  <c r="A96" i="22"/>
  <c r="AJ95" i="22"/>
  <c r="AK95" i="22"/>
  <c r="O95" i="22"/>
  <c r="AC95" i="22"/>
  <c r="X96" i="20"/>
  <c r="A97" i="20"/>
  <c r="L96" i="20"/>
  <c r="AB96" i="20"/>
  <c r="K96" i="20"/>
  <c r="AK96" i="20"/>
  <c r="AJ96" i="20"/>
  <c r="O96" i="20"/>
  <c r="AC96" i="20"/>
  <c r="S99" i="1"/>
  <c r="R99" i="1" s="1"/>
  <c r="P99" i="1" s="1"/>
  <c r="V99" i="1" s="1"/>
  <c r="AC100" i="1"/>
  <c r="AK100" i="1"/>
  <c r="X100" i="1"/>
  <c r="A101" i="1"/>
  <c r="AJ100" i="1"/>
  <c r="O100" i="1"/>
  <c r="L100" i="1"/>
  <c r="AB100" i="1"/>
  <c r="Q100" i="1"/>
  <c r="K100" i="1"/>
  <c r="U100" i="1"/>
  <c r="T100" i="1" s="1"/>
  <c r="K92" i="25"/>
  <c r="X92" i="25"/>
  <c r="AB92" i="25"/>
  <c r="L92" i="25"/>
  <c r="A93" i="25"/>
  <c r="AJ92" i="25"/>
  <c r="O92" i="25"/>
  <c r="AK92" i="25"/>
  <c r="AC92" i="25"/>
  <c r="AB98" i="17"/>
  <c r="K98" i="17"/>
  <c r="X98" i="17"/>
  <c r="A99" i="17"/>
  <c r="L98" i="17"/>
  <c r="AK98" i="17"/>
  <c r="AJ98" i="17"/>
  <c r="AC98" i="17"/>
  <c r="O98" i="17"/>
  <c r="AA98" i="1" l="1"/>
  <c r="Z98" i="1" s="1"/>
  <c r="Y98" i="1" s="1"/>
  <c r="G98" i="1"/>
  <c r="BW98" i="6" s="1"/>
  <c r="L100" i="15"/>
  <c r="D100" i="15" s="1"/>
  <c r="O100" i="15"/>
  <c r="AB100" i="15"/>
  <c r="AJ100" i="15"/>
  <c r="A101" i="15"/>
  <c r="AK100" i="15"/>
  <c r="K100" i="15"/>
  <c r="X100" i="15"/>
  <c r="AC100" i="15"/>
  <c r="E99" i="15"/>
  <c r="F99" i="1"/>
  <c r="G99" i="1" s="1"/>
  <c r="BW99" i="6" s="1"/>
  <c r="E98" i="16"/>
  <c r="A100" i="16"/>
  <c r="L99" i="16"/>
  <c r="D99" i="16" s="1"/>
  <c r="X99" i="16"/>
  <c r="AJ99" i="16"/>
  <c r="O99" i="16"/>
  <c r="K99" i="16"/>
  <c r="AB99" i="16"/>
  <c r="AK99" i="16"/>
  <c r="AC99" i="16"/>
  <c r="S100" i="1"/>
  <c r="R100" i="1" s="1"/>
  <c r="P100" i="1" s="1"/>
  <c r="V100" i="1" s="1"/>
  <c r="D100" i="1"/>
  <c r="E100" i="1" s="1"/>
  <c r="A99" i="18"/>
  <c r="K98" i="18"/>
  <c r="L98" i="18"/>
  <c r="AB98" i="18"/>
  <c r="AJ98" i="18"/>
  <c r="X98" i="18"/>
  <c r="AK98" i="18"/>
  <c r="O98" i="18"/>
  <c r="AC98" i="18"/>
  <c r="AB95" i="23"/>
  <c r="K95" i="23"/>
  <c r="L95" i="23"/>
  <c r="A96" i="23"/>
  <c r="X95" i="23"/>
  <c r="AJ95" i="23"/>
  <c r="AK95" i="23"/>
  <c r="O95" i="23"/>
  <c r="AC95" i="23"/>
  <c r="AB99" i="17"/>
  <c r="K99" i="17"/>
  <c r="A100" i="17"/>
  <c r="X99" i="17"/>
  <c r="L99" i="17"/>
  <c r="AJ99" i="17"/>
  <c r="AK99" i="17"/>
  <c r="AC99" i="17"/>
  <c r="O99" i="17"/>
  <c r="AB93" i="25"/>
  <c r="A94" i="25"/>
  <c r="X93" i="25"/>
  <c r="L93" i="25"/>
  <c r="K93" i="25"/>
  <c r="AK93" i="25"/>
  <c r="AJ93" i="25"/>
  <c r="O93" i="25"/>
  <c r="AC93" i="25"/>
  <c r="AK101" i="1"/>
  <c r="L101" i="1"/>
  <c r="AC101" i="1"/>
  <c r="A102" i="1"/>
  <c r="K101" i="1"/>
  <c r="X101" i="1"/>
  <c r="AJ101" i="1"/>
  <c r="Q101" i="1"/>
  <c r="AB101" i="1"/>
  <c r="O101" i="1"/>
  <c r="U101" i="1"/>
  <c r="T101" i="1" s="1"/>
  <c r="X97" i="20"/>
  <c r="K97" i="20"/>
  <c r="A98" i="20"/>
  <c r="AB97" i="20"/>
  <c r="L97" i="20"/>
  <c r="AJ97" i="20"/>
  <c r="AK97" i="20"/>
  <c r="O97" i="20"/>
  <c r="AC97" i="20"/>
  <c r="AB96" i="22"/>
  <c r="L96" i="22"/>
  <c r="K96" i="22"/>
  <c r="A97" i="22"/>
  <c r="X96" i="22"/>
  <c r="AJ96" i="22"/>
  <c r="AK96" i="22"/>
  <c r="O96" i="22"/>
  <c r="AC96" i="22"/>
  <c r="A95" i="24"/>
  <c r="L94" i="24"/>
  <c r="AB94" i="24"/>
  <c r="X94" i="24"/>
  <c r="K94" i="24"/>
  <c r="AK94" i="24"/>
  <c r="AJ94" i="24"/>
  <c r="O94" i="24"/>
  <c r="AC94" i="24"/>
  <c r="AA99" i="1" l="1"/>
  <c r="Z99" i="1" s="1"/>
  <c r="Y99" i="1" s="1"/>
  <c r="I99" i="1"/>
  <c r="X101" i="15"/>
  <c r="L101" i="15"/>
  <c r="D101" i="15" s="1"/>
  <c r="AC101" i="15"/>
  <c r="AB101" i="15"/>
  <c r="O101" i="15"/>
  <c r="K101" i="15"/>
  <c r="AK101" i="15"/>
  <c r="A102" i="15"/>
  <c r="AJ101" i="15"/>
  <c r="E100" i="15"/>
  <c r="E99" i="16"/>
  <c r="L100" i="16"/>
  <c r="D100" i="16" s="1"/>
  <c r="X100" i="16"/>
  <c r="K100" i="16"/>
  <c r="AJ100" i="16"/>
  <c r="O100" i="16"/>
  <c r="AB100" i="16"/>
  <c r="A101" i="16"/>
  <c r="AK100" i="16"/>
  <c r="AC100" i="16"/>
  <c r="K98" i="20"/>
  <c r="L98" i="20"/>
  <c r="AB98" i="20"/>
  <c r="A99" i="20"/>
  <c r="X98" i="20"/>
  <c r="AJ98" i="20"/>
  <c r="AK98" i="20"/>
  <c r="O98" i="20"/>
  <c r="AC98" i="20"/>
  <c r="AJ102" i="1"/>
  <c r="AB102" i="1"/>
  <c r="L102" i="1"/>
  <c r="X102" i="1"/>
  <c r="O102" i="1"/>
  <c r="A103" i="1"/>
  <c r="AK102" i="1"/>
  <c r="Q102" i="1"/>
  <c r="K102" i="1"/>
  <c r="AC102" i="1"/>
  <c r="U102" i="1"/>
  <c r="T102" i="1" s="1"/>
  <c r="S102" i="1" s="1"/>
  <c r="R102" i="1" s="1"/>
  <c r="D101" i="1"/>
  <c r="E101" i="1" s="1"/>
  <c r="F100" i="1"/>
  <c r="X95" i="24"/>
  <c r="A96" i="24"/>
  <c r="AB95" i="24"/>
  <c r="L95" i="24"/>
  <c r="K95" i="24"/>
  <c r="AJ95" i="24"/>
  <c r="AK95" i="24"/>
  <c r="O95" i="24"/>
  <c r="AC95" i="24"/>
  <c r="AB97" i="22"/>
  <c r="A98" i="22"/>
  <c r="K97" i="22"/>
  <c r="L97" i="22"/>
  <c r="X97" i="22"/>
  <c r="AJ97" i="22"/>
  <c r="AK97" i="22"/>
  <c r="O97" i="22"/>
  <c r="AC97" i="22"/>
  <c r="S101" i="1"/>
  <c r="R101" i="1" s="1"/>
  <c r="P101" i="1" s="1"/>
  <c r="V101" i="1" s="1"/>
  <c r="F101" i="1" s="1"/>
  <c r="X94" i="25"/>
  <c r="AB94" i="25"/>
  <c r="A95" i="25"/>
  <c r="K94" i="25"/>
  <c r="L94" i="25"/>
  <c r="AJ94" i="25"/>
  <c r="O94" i="25"/>
  <c r="AK94" i="25"/>
  <c r="AC94" i="25"/>
  <c r="X100" i="17"/>
  <c r="K100" i="17"/>
  <c r="L100" i="17"/>
  <c r="AB100" i="17"/>
  <c r="A101" i="17"/>
  <c r="AJ100" i="17"/>
  <c r="AK100" i="17"/>
  <c r="AC100" i="17"/>
  <c r="O100" i="17"/>
  <c r="A97" i="23"/>
  <c r="K96" i="23"/>
  <c r="L96" i="23"/>
  <c r="X96" i="23"/>
  <c r="AB96" i="23"/>
  <c r="AJ96" i="23"/>
  <c r="AK96" i="23"/>
  <c r="O96" i="23"/>
  <c r="AC96" i="23"/>
  <c r="K99" i="18"/>
  <c r="AJ99" i="18"/>
  <c r="A100" i="18"/>
  <c r="X99" i="18"/>
  <c r="AB99" i="18"/>
  <c r="L99" i="18"/>
  <c r="AK99" i="18"/>
  <c r="O99" i="18"/>
  <c r="AC99" i="18"/>
  <c r="P102" i="1" l="1"/>
  <c r="V102" i="1" s="1"/>
  <c r="E101" i="15"/>
  <c r="AB102" i="15"/>
  <c r="AC102" i="15"/>
  <c r="O102" i="15"/>
  <c r="L102" i="15"/>
  <c r="D102" i="15" s="1"/>
  <c r="A103" i="15"/>
  <c r="AK102" i="15"/>
  <c r="X102" i="15"/>
  <c r="K102" i="15"/>
  <c r="AJ102" i="15"/>
  <c r="L101" i="16"/>
  <c r="D101" i="16" s="1"/>
  <c r="AB101" i="16"/>
  <c r="AK101" i="16"/>
  <c r="AC101" i="16"/>
  <c r="A102" i="16"/>
  <c r="K101" i="16"/>
  <c r="X101" i="16"/>
  <c r="AJ101" i="16"/>
  <c r="O101" i="16"/>
  <c r="E100" i="16"/>
  <c r="G101" i="1"/>
  <c r="BW101" i="6" s="1"/>
  <c r="AA101" i="1"/>
  <c r="Z101" i="1" s="1"/>
  <c r="Y101" i="1" s="1"/>
  <c r="I101" i="1"/>
  <c r="K97" i="23"/>
  <c r="AB97" i="23"/>
  <c r="X97" i="23"/>
  <c r="L97" i="23"/>
  <c r="A98" i="23"/>
  <c r="AJ97" i="23"/>
  <c r="AK97" i="23"/>
  <c r="O97" i="23"/>
  <c r="AC97" i="23"/>
  <c r="X101" i="17"/>
  <c r="K101" i="17"/>
  <c r="A102" i="17"/>
  <c r="AB101" i="17"/>
  <c r="L101" i="17"/>
  <c r="AJ101" i="17"/>
  <c r="AK101" i="17"/>
  <c r="O101" i="17"/>
  <c r="AC101" i="17"/>
  <c r="A96" i="25"/>
  <c r="L95" i="25"/>
  <c r="K95" i="25"/>
  <c r="AB95" i="25"/>
  <c r="X95" i="25"/>
  <c r="AJ95" i="25"/>
  <c r="O95" i="25"/>
  <c r="AK95" i="25"/>
  <c r="AC95" i="25"/>
  <c r="X98" i="22"/>
  <c r="A99" i="22"/>
  <c r="L98" i="22"/>
  <c r="AB98" i="22"/>
  <c r="K98" i="22"/>
  <c r="AJ98" i="22"/>
  <c r="AK98" i="22"/>
  <c r="O98" i="22"/>
  <c r="AC98" i="22"/>
  <c r="D102" i="1"/>
  <c r="E102" i="1" s="1"/>
  <c r="AB100" i="18"/>
  <c r="K100" i="18"/>
  <c r="A101" i="18"/>
  <c r="X100" i="18"/>
  <c r="L100" i="18"/>
  <c r="O100" i="18"/>
  <c r="AJ100" i="18"/>
  <c r="AK100" i="18"/>
  <c r="AC100" i="18"/>
  <c r="K96" i="24"/>
  <c r="L96" i="24"/>
  <c r="A97" i="24"/>
  <c r="X96" i="24"/>
  <c r="AB96" i="24"/>
  <c r="AJ96" i="24"/>
  <c r="AK96" i="24"/>
  <c r="O96" i="24"/>
  <c r="AC96" i="24"/>
  <c r="AA100" i="1"/>
  <c r="Z100" i="1" s="1"/>
  <c r="Y100" i="1" s="1"/>
  <c r="I100" i="1"/>
  <c r="G100" i="1"/>
  <c r="BW100" i="6" s="1"/>
  <c r="A104" i="1"/>
  <c r="AC103" i="1"/>
  <c r="AK103" i="1"/>
  <c r="AB103" i="1"/>
  <c r="AJ103" i="1"/>
  <c r="L103" i="1"/>
  <c r="Q103" i="1"/>
  <c r="K103" i="1"/>
  <c r="X103" i="1"/>
  <c r="O103" i="1"/>
  <c r="U103" i="1"/>
  <c r="T103" i="1" s="1"/>
  <c r="A100" i="20"/>
  <c r="X99" i="20"/>
  <c r="AB99" i="20"/>
  <c r="L99" i="20"/>
  <c r="K99" i="20"/>
  <c r="AJ99" i="20"/>
  <c r="AK99" i="20"/>
  <c r="O99" i="20"/>
  <c r="AC99" i="20"/>
  <c r="E102" i="15" l="1"/>
  <c r="L103" i="15"/>
  <c r="D103" i="15" s="1"/>
  <c r="AJ103" i="15"/>
  <c r="A104" i="15"/>
  <c r="AK103" i="15"/>
  <c r="AB103" i="15"/>
  <c r="K103" i="15"/>
  <c r="AC103" i="15"/>
  <c r="X103" i="15"/>
  <c r="O103" i="15"/>
  <c r="AB102" i="16"/>
  <c r="X102" i="16"/>
  <c r="AJ102" i="16"/>
  <c r="AC102" i="16"/>
  <c r="K102" i="16"/>
  <c r="L102" i="16"/>
  <c r="D102" i="16" s="1"/>
  <c r="A103" i="16"/>
  <c r="AK102" i="16"/>
  <c r="O102" i="16"/>
  <c r="E101" i="16"/>
  <c r="X100" i="20"/>
  <c r="L100" i="20"/>
  <c r="AB100" i="20"/>
  <c r="A101" i="20"/>
  <c r="K100" i="20"/>
  <c r="AJ100" i="20"/>
  <c r="AK100" i="20"/>
  <c r="O100" i="20"/>
  <c r="AC100" i="20"/>
  <c r="D103" i="1"/>
  <c r="E103" i="1" s="1"/>
  <c r="X101" i="18"/>
  <c r="L101" i="18"/>
  <c r="A102" i="18"/>
  <c r="K101" i="18"/>
  <c r="AB101" i="18"/>
  <c r="O101" i="18"/>
  <c r="AJ101" i="18"/>
  <c r="AK101" i="18"/>
  <c r="AC101" i="18"/>
  <c r="AB99" i="22"/>
  <c r="X99" i="22"/>
  <c r="A100" i="22"/>
  <c r="K99" i="22"/>
  <c r="L99" i="22"/>
  <c r="AJ99" i="22"/>
  <c r="AK99" i="22"/>
  <c r="O99" i="22"/>
  <c r="AC99" i="22"/>
  <c r="X96" i="25"/>
  <c r="A97" i="25"/>
  <c r="K96" i="25"/>
  <c r="L96" i="25"/>
  <c r="AB96" i="25"/>
  <c r="AJ96" i="25"/>
  <c r="AK96" i="25"/>
  <c r="O96" i="25"/>
  <c r="AC96" i="25"/>
  <c r="S103" i="1"/>
  <c r="R103" i="1" s="1"/>
  <c r="P103" i="1" s="1"/>
  <c r="V103" i="1" s="1"/>
  <c r="O104" i="1"/>
  <c r="A105" i="1"/>
  <c r="Q104" i="1"/>
  <c r="X104" i="1"/>
  <c r="AC104" i="1"/>
  <c r="AK104" i="1"/>
  <c r="AJ104" i="1"/>
  <c r="AB104" i="1"/>
  <c r="K104" i="1"/>
  <c r="L104" i="1"/>
  <c r="U104" i="1"/>
  <c r="T104" i="1" s="1"/>
  <c r="K97" i="24"/>
  <c r="L97" i="24"/>
  <c r="X97" i="24"/>
  <c r="A98" i="24"/>
  <c r="AB97" i="24"/>
  <c r="AK97" i="24"/>
  <c r="AJ97" i="24"/>
  <c r="O97" i="24"/>
  <c r="AC97" i="24"/>
  <c r="F102" i="1"/>
  <c r="AB102" i="17"/>
  <c r="K102" i="17"/>
  <c r="A103" i="17"/>
  <c r="X102" i="17"/>
  <c r="L102" i="17"/>
  <c r="AK102" i="17"/>
  <c r="AJ102" i="17"/>
  <c r="AC102" i="17"/>
  <c r="O102" i="17"/>
  <c r="K98" i="23"/>
  <c r="AB98" i="23"/>
  <c r="A99" i="23"/>
  <c r="L98" i="23"/>
  <c r="X98" i="23"/>
  <c r="AJ98" i="23"/>
  <c r="AK98" i="23"/>
  <c r="O98" i="23"/>
  <c r="AC98" i="23"/>
  <c r="K104" i="15" l="1"/>
  <c r="AK104" i="15"/>
  <c r="L104" i="15"/>
  <c r="D104" i="15" s="1"/>
  <c r="AJ104" i="15"/>
  <c r="AB104" i="15"/>
  <c r="A105" i="15"/>
  <c r="AC104" i="15"/>
  <c r="X104" i="15"/>
  <c r="O104" i="15"/>
  <c r="E103" i="15"/>
  <c r="E102" i="16"/>
  <c r="A104" i="16"/>
  <c r="X103" i="16"/>
  <c r="L103" i="16"/>
  <c r="D103" i="16" s="1"/>
  <c r="AJ103" i="16"/>
  <c r="O103" i="16"/>
  <c r="AB103" i="16"/>
  <c r="K103" i="16"/>
  <c r="AK103" i="16"/>
  <c r="AC103" i="16"/>
  <c r="F103" i="1"/>
  <c r="AB103" i="17"/>
  <c r="X103" i="17"/>
  <c r="L103" i="17"/>
  <c r="K103" i="17"/>
  <c r="A104" i="17"/>
  <c r="AJ103" i="17"/>
  <c r="AK103" i="17"/>
  <c r="AC103" i="17"/>
  <c r="O103" i="17"/>
  <c r="S104" i="1"/>
  <c r="R104" i="1" s="1"/>
  <c r="P104" i="1" s="1"/>
  <c r="V104" i="1" s="1"/>
  <c r="AB102" i="18"/>
  <c r="K102" i="18"/>
  <c r="L102" i="18"/>
  <c r="A103" i="18"/>
  <c r="X102" i="18"/>
  <c r="AJ102" i="18"/>
  <c r="AK102" i="18"/>
  <c r="O102" i="18"/>
  <c r="AC102" i="18"/>
  <c r="X99" i="23"/>
  <c r="K99" i="23"/>
  <c r="A100" i="23"/>
  <c r="L99" i="23"/>
  <c r="AB99" i="23"/>
  <c r="AJ99" i="23"/>
  <c r="AK99" i="23"/>
  <c r="O99" i="23"/>
  <c r="AC99" i="23"/>
  <c r="G102" i="1"/>
  <c r="BW102" i="6" s="1"/>
  <c r="AA102" i="1"/>
  <c r="Z102" i="1" s="1"/>
  <c r="Y102" i="1" s="1"/>
  <c r="I102" i="1"/>
  <c r="AB98" i="24"/>
  <c r="L98" i="24"/>
  <c r="A99" i="24"/>
  <c r="X98" i="24"/>
  <c r="K98" i="24"/>
  <c r="AK98" i="24"/>
  <c r="AJ98" i="24"/>
  <c r="O98" i="24"/>
  <c r="AC98" i="24"/>
  <c r="D104" i="1"/>
  <c r="E104" i="1" s="1"/>
  <c r="X105" i="1"/>
  <c r="AC105" i="1"/>
  <c r="AJ105" i="1"/>
  <c r="AB105" i="1"/>
  <c r="L105" i="1"/>
  <c r="K105" i="1"/>
  <c r="O105" i="1"/>
  <c r="A106" i="1"/>
  <c r="AK105" i="1"/>
  <c r="Q105" i="1"/>
  <c r="U105" i="1"/>
  <c r="T105" i="1" s="1"/>
  <c r="K97" i="25"/>
  <c r="A98" i="25"/>
  <c r="X97" i="25"/>
  <c r="AB97" i="25"/>
  <c r="L97" i="25"/>
  <c r="AJ97" i="25"/>
  <c r="O97" i="25"/>
  <c r="AK97" i="25"/>
  <c r="AC97" i="25"/>
  <c r="K100" i="22"/>
  <c r="X100" i="22"/>
  <c r="A101" i="22"/>
  <c r="AB100" i="22"/>
  <c r="L100" i="22"/>
  <c r="AJ100" i="22"/>
  <c r="AK100" i="22"/>
  <c r="O100" i="22"/>
  <c r="AC100" i="22"/>
  <c r="X101" i="20"/>
  <c r="AB101" i="20"/>
  <c r="L101" i="20"/>
  <c r="A102" i="20"/>
  <c r="K101" i="20"/>
  <c r="AJ101" i="20"/>
  <c r="AK101" i="20"/>
  <c r="O101" i="20"/>
  <c r="AC101" i="20"/>
  <c r="E104" i="15" l="1"/>
  <c r="X105" i="15"/>
  <c r="AK105" i="15"/>
  <c r="L105" i="15"/>
  <c r="D105" i="15" s="1"/>
  <c r="K105" i="15"/>
  <c r="AC105" i="15"/>
  <c r="AB105" i="15"/>
  <c r="O105" i="15"/>
  <c r="E105" i="15" s="1"/>
  <c r="A106" i="15"/>
  <c r="AJ105" i="15"/>
  <c r="F104" i="1"/>
  <c r="G104" i="1" s="1"/>
  <c r="BW104" i="6" s="1"/>
  <c r="E103" i="16"/>
  <c r="L104" i="16"/>
  <c r="D104" i="16" s="1"/>
  <c r="AB104" i="16"/>
  <c r="AJ104" i="16"/>
  <c r="AC104" i="16"/>
  <c r="K104" i="16"/>
  <c r="X104" i="16"/>
  <c r="A105" i="16"/>
  <c r="AK104" i="16"/>
  <c r="O104" i="16"/>
  <c r="X102" i="20"/>
  <c r="K102" i="20"/>
  <c r="AB102" i="20"/>
  <c r="A103" i="20"/>
  <c r="L102" i="20"/>
  <c r="AK102" i="20"/>
  <c r="AJ102" i="20"/>
  <c r="O102" i="20"/>
  <c r="AC102" i="20"/>
  <c r="AC106" i="1"/>
  <c r="AJ106" i="1"/>
  <c r="Q106" i="1"/>
  <c r="O106" i="1"/>
  <c r="AK106" i="1"/>
  <c r="X106" i="1"/>
  <c r="K106" i="1"/>
  <c r="A107" i="1"/>
  <c r="AB106" i="1"/>
  <c r="L106" i="1"/>
  <c r="U106" i="1"/>
  <c r="T106" i="1" s="1"/>
  <c r="AB99" i="24"/>
  <c r="K99" i="24"/>
  <c r="X99" i="24"/>
  <c r="L99" i="24"/>
  <c r="A100" i="24"/>
  <c r="AK99" i="24"/>
  <c r="AJ99" i="24"/>
  <c r="O99" i="24"/>
  <c r="AC99" i="24"/>
  <c r="AB100" i="23"/>
  <c r="L100" i="23"/>
  <c r="K100" i="23"/>
  <c r="A101" i="23"/>
  <c r="X100" i="23"/>
  <c r="AK100" i="23"/>
  <c r="AJ100" i="23"/>
  <c r="O100" i="23"/>
  <c r="AC100" i="23"/>
  <c r="K103" i="18"/>
  <c r="L103" i="18"/>
  <c r="X103" i="18"/>
  <c r="A104" i="18"/>
  <c r="AB103" i="18"/>
  <c r="O103" i="18"/>
  <c r="AK103" i="18"/>
  <c r="AJ103" i="18"/>
  <c r="AC103" i="18"/>
  <c r="AB101" i="22"/>
  <c r="L101" i="22"/>
  <c r="K101" i="22"/>
  <c r="A102" i="22"/>
  <c r="X101" i="22"/>
  <c r="AJ101" i="22"/>
  <c r="AK101" i="22"/>
  <c r="O101" i="22"/>
  <c r="AC101" i="22"/>
  <c r="AB98" i="25"/>
  <c r="A99" i="25"/>
  <c r="L98" i="25"/>
  <c r="K98" i="25"/>
  <c r="X98" i="25"/>
  <c r="AJ98" i="25"/>
  <c r="AK98" i="25"/>
  <c r="O98" i="25"/>
  <c r="AC98" i="25"/>
  <c r="S105" i="1"/>
  <c r="R105" i="1" s="1"/>
  <c r="P105" i="1" s="1"/>
  <c r="V105" i="1" s="1"/>
  <c r="D105" i="1"/>
  <c r="E105" i="1" s="1"/>
  <c r="K104" i="17"/>
  <c r="X104" i="17"/>
  <c r="L104" i="17"/>
  <c r="A105" i="17"/>
  <c r="AB104" i="17"/>
  <c r="AJ104" i="17"/>
  <c r="AK104" i="17"/>
  <c r="O104" i="17"/>
  <c r="AC104" i="17"/>
  <c r="AA103" i="1"/>
  <c r="Z103" i="1" s="1"/>
  <c r="Y103" i="1" s="1"/>
  <c r="G103" i="1"/>
  <c r="BW103" i="6" s="1"/>
  <c r="I103" i="1"/>
  <c r="I104" i="1" l="1"/>
  <c r="A107" i="15"/>
  <c r="O106" i="15"/>
  <c r="AB106" i="15"/>
  <c r="AC106" i="15"/>
  <c r="L106" i="15"/>
  <c r="D106" i="15" s="1"/>
  <c r="K106" i="15"/>
  <c r="X106" i="15"/>
  <c r="AK106" i="15"/>
  <c r="AJ106" i="15"/>
  <c r="F105" i="1"/>
  <c r="G105" i="1" s="1"/>
  <c r="BW105" i="6" s="1"/>
  <c r="AA104" i="1"/>
  <c r="Z104" i="1" s="1"/>
  <c r="Y104" i="1" s="1"/>
  <c r="AB105" i="16"/>
  <c r="K105" i="16"/>
  <c r="AJ105" i="16"/>
  <c r="AC105" i="16"/>
  <c r="L105" i="16"/>
  <c r="D105" i="16" s="1"/>
  <c r="X105" i="16"/>
  <c r="A106" i="16"/>
  <c r="AK105" i="16"/>
  <c r="O105" i="16"/>
  <c r="E104" i="16"/>
  <c r="I105" i="1"/>
  <c r="A106" i="17"/>
  <c r="K105" i="17"/>
  <c r="L105" i="17"/>
  <c r="X105" i="17"/>
  <c r="AB105" i="17"/>
  <c r="AJ105" i="17"/>
  <c r="AK105" i="17"/>
  <c r="AC105" i="17"/>
  <c r="O105" i="17"/>
  <c r="AB99" i="25"/>
  <c r="A100" i="25"/>
  <c r="X99" i="25"/>
  <c r="K99" i="25"/>
  <c r="L99" i="25"/>
  <c r="AJ99" i="25"/>
  <c r="O99" i="25"/>
  <c r="AK99" i="25"/>
  <c r="AC99" i="25"/>
  <c r="AB104" i="18"/>
  <c r="AJ104" i="18"/>
  <c r="A105" i="18"/>
  <c r="X104" i="18"/>
  <c r="K104" i="18"/>
  <c r="L104" i="18"/>
  <c r="AK104" i="18"/>
  <c r="O104" i="18"/>
  <c r="AC104" i="18"/>
  <c r="S106" i="1"/>
  <c r="R106" i="1" s="1"/>
  <c r="P106" i="1" s="1"/>
  <c r="V106" i="1" s="1"/>
  <c r="AB103" i="20"/>
  <c r="L103" i="20"/>
  <c r="K103" i="20"/>
  <c r="X103" i="20"/>
  <c r="A104" i="20"/>
  <c r="AJ103" i="20"/>
  <c r="AK103" i="20"/>
  <c r="O103" i="20"/>
  <c r="AC103" i="20"/>
  <c r="AB102" i="22"/>
  <c r="X102" i="22"/>
  <c r="K102" i="22"/>
  <c r="L102" i="22"/>
  <c r="A103" i="22"/>
  <c r="AJ102" i="22"/>
  <c r="AK102" i="22"/>
  <c r="O102" i="22"/>
  <c r="AC102" i="22"/>
  <c r="K101" i="23"/>
  <c r="X101" i="23"/>
  <c r="L101" i="23"/>
  <c r="AB101" i="23"/>
  <c r="A102" i="23"/>
  <c r="AK101" i="23"/>
  <c r="AJ101" i="23"/>
  <c r="O101" i="23"/>
  <c r="AC101" i="23"/>
  <c r="A101" i="24"/>
  <c r="X100" i="24"/>
  <c r="AB100" i="24"/>
  <c r="L100" i="24"/>
  <c r="K100" i="24"/>
  <c r="AK100" i="24"/>
  <c r="AJ100" i="24"/>
  <c r="O100" i="24"/>
  <c r="AC100" i="24"/>
  <c r="D106" i="1"/>
  <c r="E106" i="1" s="1"/>
  <c r="AK107" i="1"/>
  <c r="AJ107" i="1"/>
  <c r="AB107" i="1"/>
  <c r="AC107" i="1"/>
  <c r="K107" i="1"/>
  <c r="L107" i="1"/>
  <c r="Q107" i="1"/>
  <c r="A108" i="1"/>
  <c r="X107" i="1"/>
  <c r="O107" i="1"/>
  <c r="U107" i="1"/>
  <c r="T107" i="1" s="1"/>
  <c r="S107" i="1" s="1"/>
  <c r="R107" i="1" s="1"/>
  <c r="P107" i="1" l="1"/>
  <c r="AA105" i="1"/>
  <c r="Z105" i="1" s="1"/>
  <c r="Y105" i="1" s="1"/>
  <c r="A108" i="15"/>
  <c r="AK107" i="15"/>
  <c r="L107" i="15"/>
  <c r="D107" i="15" s="1"/>
  <c r="X107" i="15"/>
  <c r="O107" i="15"/>
  <c r="E107" i="15" s="1"/>
  <c r="K107" i="15"/>
  <c r="AC107" i="15"/>
  <c r="AB107" i="15"/>
  <c r="AJ107" i="15"/>
  <c r="E106" i="15"/>
  <c r="F106" i="1"/>
  <c r="G106" i="1" s="1"/>
  <c r="BW106" i="6" s="1"/>
  <c r="AB106" i="16"/>
  <c r="K106" i="16"/>
  <c r="AK106" i="16"/>
  <c r="AC106" i="16"/>
  <c r="X106" i="16"/>
  <c r="L106" i="16"/>
  <c r="D106" i="16" s="1"/>
  <c r="A107" i="16"/>
  <c r="AJ106" i="16"/>
  <c r="O106" i="16"/>
  <c r="E105" i="16"/>
  <c r="X102" i="23"/>
  <c r="A103" i="23"/>
  <c r="K102" i="23"/>
  <c r="L102" i="23"/>
  <c r="AB102" i="23"/>
  <c r="AJ102" i="23"/>
  <c r="AK102" i="23"/>
  <c r="O102" i="23"/>
  <c r="AC102" i="23"/>
  <c r="K103" i="22"/>
  <c r="AB103" i="22"/>
  <c r="L103" i="22"/>
  <c r="A104" i="22"/>
  <c r="X103" i="22"/>
  <c r="AK103" i="22"/>
  <c r="AJ103" i="22"/>
  <c r="O103" i="22"/>
  <c r="AC103" i="22"/>
  <c r="K105" i="18"/>
  <c r="A106" i="18"/>
  <c r="X105" i="18"/>
  <c r="L105" i="18"/>
  <c r="AB105" i="18"/>
  <c r="AJ105" i="18"/>
  <c r="AK105" i="18"/>
  <c r="O105" i="18"/>
  <c r="AC105" i="18"/>
  <c r="A101" i="25"/>
  <c r="L100" i="25"/>
  <c r="AB100" i="25"/>
  <c r="K100" i="25"/>
  <c r="X100" i="25"/>
  <c r="AJ100" i="25"/>
  <c r="O100" i="25"/>
  <c r="AK100" i="25"/>
  <c r="AC100" i="25"/>
  <c r="A107" i="17"/>
  <c r="L106" i="17"/>
  <c r="K106" i="17"/>
  <c r="X106" i="17"/>
  <c r="AB106" i="17"/>
  <c r="AJ106" i="17"/>
  <c r="AK106" i="17"/>
  <c r="O106" i="17"/>
  <c r="AC106" i="17"/>
  <c r="A109" i="1"/>
  <c r="AJ108" i="1"/>
  <c r="K108" i="1"/>
  <c r="X108" i="1"/>
  <c r="L108" i="1"/>
  <c r="Q108" i="1"/>
  <c r="AK108" i="1"/>
  <c r="AB108" i="1"/>
  <c r="O108" i="1"/>
  <c r="AC108" i="1"/>
  <c r="U108" i="1"/>
  <c r="T108" i="1" s="1"/>
  <c r="D107" i="1"/>
  <c r="E107" i="1" s="1"/>
  <c r="V107" i="1"/>
  <c r="AB101" i="24"/>
  <c r="K101" i="24"/>
  <c r="L101" i="24"/>
  <c r="A102" i="24"/>
  <c r="X101" i="24"/>
  <c r="AJ101" i="24"/>
  <c r="AK101" i="24"/>
  <c r="O101" i="24"/>
  <c r="AC101" i="24"/>
  <c r="A105" i="20"/>
  <c r="X104" i="20"/>
  <c r="AB104" i="20"/>
  <c r="K104" i="20"/>
  <c r="L104" i="20"/>
  <c r="AJ104" i="20"/>
  <c r="AK104" i="20"/>
  <c r="O104" i="20"/>
  <c r="AC104" i="20"/>
  <c r="I106" i="1" l="1"/>
  <c r="L108" i="15"/>
  <c r="D108" i="15" s="1"/>
  <c r="AK108" i="15"/>
  <c r="A109" i="15"/>
  <c r="AJ108" i="15"/>
  <c r="K108" i="15"/>
  <c r="X108" i="15"/>
  <c r="AC108" i="15"/>
  <c r="AB108" i="15"/>
  <c r="O108" i="15"/>
  <c r="AA106" i="1"/>
  <c r="Z106" i="1" s="1"/>
  <c r="Y106" i="1" s="1"/>
  <c r="E106" i="16"/>
  <c r="F107" i="1"/>
  <c r="I107" i="1" s="1"/>
  <c r="AB107" i="16"/>
  <c r="L107" i="16"/>
  <c r="D107" i="16" s="1"/>
  <c r="K107" i="16"/>
  <c r="AJ107" i="16"/>
  <c r="O107" i="16"/>
  <c r="X107" i="16"/>
  <c r="A108" i="16"/>
  <c r="AK107" i="16"/>
  <c r="AC107" i="16"/>
  <c r="X102" i="24"/>
  <c r="L102" i="24"/>
  <c r="A103" i="24"/>
  <c r="K102" i="24"/>
  <c r="AB102" i="24"/>
  <c r="AJ102" i="24"/>
  <c r="AK102" i="24"/>
  <c r="O102" i="24"/>
  <c r="AC102" i="24"/>
  <c r="S108" i="1"/>
  <c r="R108" i="1" s="1"/>
  <c r="P108" i="1" s="1"/>
  <c r="V108" i="1" s="1"/>
  <c r="D108" i="1"/>
  <c r="E108" i="1" s="1"/>
  <c r="K109" i="1"/>
  <c r="O109" i="1"/>
  <c r="AK109" i="1"/>
  <c r="AJ109" i="1"/>
  <c r="Q109" i="1"/>
  <c r="A110" i="1"/>
  <c r="L109" i="1"/>
  <c r="AC109" i="1"/>
  <c r="X109" i="1"/>
  <c r="AB109" i="1"/>
  <c r="U109" i="1"/>
  <c r="T109" i="1" s="1"/>
  <c r="S109" i="1" s="1"/>
  <c r="R109" i="1" s="1"/>
  <c r="P109" i="1" s="1"/>
  <c r="A108" i="17"/>
  <c r="K107" i="17"/>
  <c r="AB107" i="17"/>
  <c r="X107" i="17"/>
  <c r="L107" i="17"/>
  <c r="AJ107" i="17"/>
  <c r="AK107" i="17"/>
  <c r="AC107" i="17"/>
  <c r="O107" i="17"/>
  <c r="X101" i="25"/>
  <c r="K101" i="25"/>
  <c r="L101" i="25"/>
  <c r="AB101" i="25"/>
  <c r="A102" i="25"/>
  <c r="AJ101" i="25"/>
  <c r="AK101" i="25"/>
  <c r="O101" i="25"/>
  <c r="AC101" i="25"/>
  <c r="AB106" i="18"/>
  <c r="A107" i="18"/>
  <c r="AJ106" i="18"/>
  <c r="K106" i="18"/>
  <c r="L106" i="18"/>
  <c r="X106" i="18"/>
  <c r="O106" i="18"/>
  <c r="AK106" i="18"/>
  <c r="AC106" i="18"/>
  <c r="AB103" i="23"/>
  <c r="X103" i="23"/>
  <c r="A104" i="23"/>
  <c r="L103" i="23"/>
  <c r="K103" i="23"/>
  <c r="AK103" i="23"/>
  <c r="AJ103" i="23"/>
  <c r="O103" i="23"/>
  <c r="AC103" i="23"/>
  <c r="K105" i="20"/>
  <c r="AB105" i="20"/>
  <c r="X105" i="20"/>
  <c r="L105" i="20"/>
  <c r="A106" i="20"/>
  <c r="AK105" i="20"/>
  <c r="AJ105" i="20"/>
  <c r="O105" i="20"/>
  <c r="AC105" i="20"/>
  <c r="K104" i="22"/>
  <c r="L104" i="22"/>
  <c r="X104" i="22"/>
  <c r="AB104" i="22"/>
  <c r="A105" i="22"/>
  <c r="AK104" i="22"/>
  <c r="AJ104" i="22"/>
  <c r="O104" i="22"/>
  <c r="AC104" i="22"/>
  <c r="G107" i="1" l="1"/>
  <c r="BW107" i="6" s="1"/>
  <c r="AA107" i="1"/>
  <c r="Z107" i="1" s="1"/>
  <c r="Y107" i="1" s="1"/>
  <c r="X109" i="15"/>
  <c r="AK109" i="15"/>
  <c r="A110" i="15"/>
  <c r="K109" i="15"/>
  <c r="AC109" i="15"/>
  <c r="AB109" i="15"/>
  <c r="O109" i="15"/>
  <c r="L109" i="15"/>
  <c r="D109" i="15" s="1"/>
  <c r="AJ109" i="15"/>
  <c r="E108" i="15"/>
  <c r="E107" i="16"/>
  <c r="K108" i="16"/>
  <c r="O108" i="16"/>
  <c r="L108" i="16"/>
  <c r="D108" i="16" s="1"/>
  <c r="A109" i="16"/>
  <c r="AJ108" i="16"/>
  <c r="AC108" i="16"/>
  <c r="X108" i="16"/>
  <c r="AB108" i="16"/>
  <c r="AK108" i="16"/>
  <c r="F108" i="1"/>
  <c r="X106" i="20"/>
  <c r="AB106" i="20"/>
  <c r="K106" i="20"/>
  <c r="L106" i="20"/>
  <c r="A107" i="20"/>
  <c r="AJ106" i="20"/>
  <c r="AK106" i="20"/>
  <c r="O106" i="20"/>
  <c r="AC106" i="20"/>
  <c r="X107" i="18"/>
  <c r="L107" i="18"/>
  <c r="K107" i="18"/>
  <c r="AB107" i="18"/>
  <c r="A108" i="18"/>
  <c r="AK107" i="18"/>
  <c r="O107" i="18"/>
  <c r="AJ107" i="18"/>
  <c r="AC107" i="18"/>
  <c r="K102" i="25"/>
  <c r="AB102" i="25"/>
  <c r="L102" i="25"/>
  <c r="A103" i="25"/>
  <c r="X102" i="25"/>
  <c r="AJ102" i="25"/>
  <c r="O102" i="25"/>
  <c r="AK102" i="25"/>
  <c r="AC102" i="25"/>
  <c r="D109" i="1"/>
  <c r="E109" i="1" s="1"/>
  <c r="V109" i="1"/>
  <c r="A104" i="24"/>
  <c r="X103" i="24"/>
  <c r="K103" i="24"/>
  <c r="AB103" i="24"/>
  <c r="L103" i="24"/>
  <c r="AK103" i="24"/>
  <c r="O103" i="24"/>
  <c r="AJ103" i="24"/>
  <c r="AC103" i="24"/>
  <c r="AB105" i="22"/>
  <c r="A106" i="22"/>
  <c r="K105" i="22"/>
  <c r="L105" i="22"/>
  <c r="X105" i="22"/>
  <c r="AK105" i="22"/>
  <c r="AJ105" i="22"/>
  <c r="O105" i="22"/>
  <c r="AC105" i="22"/>
  <c r="AB104" i="23"/>
  <c r="K104" i="23"/>
  <c r="A105" i="23"/>
  <c r="L104" i="23"/>
  <c r="X104" i="23"/>
  <c r="AJ104" i="23"/>
  <c r="AK104" i="23"/>
  <c r="O104" i="23"/>
  <c r="AC104" i="23"/>
  <c r="A109" i="17"/>
  <c r="K108" i="17"/>
  <c r="L108" i="17"/>
  <c r="X108" i="17"/>
  <c r="AB108" i="17"/>
  <c r="AK108" i="17"/>
  <c r="AJ108" i="17"/>
  <c r="AC108" i="17"/>
  <c r="O108" i="17"/>
  <c r="K110" i="1"/>
  <c r="L110" i="1"/>
  <c r="X110" i="1"/>
  <c r="AB110" i="1"/>
  <c r="AK110" i="1"/>
  <c r="O110" i="1"/>
  <c r="AJ110" i="1"/>
  <c r="A111" i="1"/>
  <c r="AC110" i="1"/>
  <c r="Q110" i="1"/>
  <c r="U110" i="1"/>
  <c r="T110" i="1" s="1"/>
  <c r="L110" i="15" l="1"/>
  <c r="D110" i="15" s="1"/>
  <c r="AJ110" i="15"/>
  <c r="X110" i="15"/>
  <c r="AK110" i="15"/>
  <c r="AB110" i="15"/>
  <c r="A111" i="15"/>
  <c r="O110" i="15"/>
  <c r="E110" i="15" s="1"/>
  <c r="K110" i="15"/>
  <c r="AC110" i="15"/>
  <c r="E109" i="15"/>
  <c r="F109" i="1"/>
  <c r="G109" i="1" s="1"/>
  <c r="BW109" i="6" s="1"/>
  <c r="E108" i="16"/>
  <c r="X109" i="16"/>
  <c r="K109" i="16"/>
  <c r="AB109" i="16"/>
  <c r="AK109" i="16"/>
  <c r="O109" i="16"/>
  <c r="L109" i="16"/>
  <c r="D109" i="16" s="1"/>
  <c r="A110" i="16"/>
  <c r="AJ109" i="16"/>
  <c r="AC109" i="16"/>
  <c r="S110" i="1"/>
  <c r="R110" i="1" s="1"/>
  <c r="P110" i="1" s="1"/>
  <c r="V110" i="1" s="1"/>
  <c r="A107" i="22"/>
  <c r="K106" i="22"/>
  <c r="L106" i="22"/>
  <c r="X106" i="22"/>
  <c r="AB106" i="22"/>
  <c r="AJ106" i="22"/>
  <c r="AK106" i="22"/>
  <c r="O106" i="22"/>
  <c r="AC106" i="22"/>
  <c r="AB104" i="24"/>
  <c r="A105" i="24"/>
  <c r="L104" i="24"/>
  <c r="K104" i="24"/>
  <c r="X104" i="24"/>
  <c r="AK104" i="24"/>
  <c r="AJ104" i="24"/>
  <c r="O104" i="24"/>
  <c r="AC104" i="24"/>
  <c r="I109" i="1"/>
  <c r="A104" i="25"/>
  <c r="X103" i="25"/>
  <c r="AB103" i="25"/>
  <c r="L103" i="25"/>
  <c r="K103" i="25"/>
  <c r="AJ103" i="25"/>
  <c r="AK103" i="25"/>
  <c r="O103" i="25"/>
  <c r="AC103" i="25"/>
  <c r="A109" i="18"/>
  <c r="AB108" i="18"/>
  <c r="K108" i="18"/>
  <c r="L108" i="18"/>
  <c r="X108" i="18"/>
  <c r="AJ108" i="18"/>
  <c r="O108" i="18"/>
  <c r="AK108" i="18"/>
  <c r="AC108" i="18"/>
  <c r="G108" i="1"/>
  <c r="BW108" i="6" s="1"/>
  <c r="AA108" i="1"/>
  <c r="Z108" i="1" s="1"/>
  <c r="Y108" i="1" s="1"/>
  <c r="I108" i="1"/>
  <c r="A112" i="1"/>
  <c r="X111" i="1"/>
  <c r="AB111" i="1"/>
  <c r="L111" i="1"/>
  <c r="AJ111" i="1"/>
  <c r="AC111" i="1"/>
  <c r="K111" i="1"/>
  <c r="O111" i="1"/>
  <c r="AK111" i="1"/>
  <c r="Q111" i="1"/>
  <c r="U111" i="1"/>
  <c r="T111" i="1" s="1"/>
  <c r="S111" i="1" s="1"/>
  <c r="R111" i="1" s="1"/>
  <c r="D110" i="1"/>
  <c r="E110" i="1" s="1"/>
  <c r="AB109" i="17"/>
  <c r="L109" i="17"/>
  <c r="X109" i="17"/>
  <c r="A110" i="17"/>
  <c r="K109" i="17"/>
  <c r="AJ109" i="17"/>
  <c r="AK109" i="17"/>
  <c r="AC109" i="17"/>
  <c r="O109" i="17"/>
  <c r="X105" i="23"/>
  <c r="K105" i="23"/>
  <c r="L105" i="23"/>
  <c r="A106" i="23"/>
  <c r="AB105" i="23"/>
  <c r="AJ105" i="23"/>
  <c r="AK105" i="23"/>
  <c r="O105" i="23"/>
  <c r="AC105" i="23"/>
  <c r="A108" i="20"/>
  <c r="X107" i="20"/>
  <c r="L107" i="20"/>
  <c r="AB107" i="20"/>
  <c r="K107" i="20"/>
  <c r="AJ107" i="20"/>
  <c r="AK107" i="20"/>
  <c r="O107" i="20"/>
  <c r="AC107" i="20"/>
  <c r="AA109" i="1" l="1"/>
  <c r="Z109" i="1" s="1"/>
  <c r="Y109" i="1" s="1"/>
  <c r="L111" i="15"/>
  <c r="D111" i="15" s="1"/>
  <c r="AK111" i="15"/>
  <c r="AB111" i="15"/>
  <c r="K111" i="15"/>
  <c r="AC111" i="15"/>
  <c r="A112" i="15"/>
  <c r="O111" i="15"/>
  <c r="X111" i="15"/>
  <c r="AJ111" i="15"/>
  <c r="E109" i="16"/>
  <c r="X110" i="16"/>
  <c r="L110" i="16"/>
  <c r="D110" i="16" s="1"/>
  <c r="AJ110" i="16"/>
  <c r="AC110" i="16"/>
  <c r="K110" i="16"/>
  <c r="A111" i="16"/>
  <c r="AB110" i="16"/>
  <c r="AK110" i="16"/>
  <c r="O110" i="16"/>
  <c r="K108" i="20"/>
  <c r="L108" i="20"/>
  <c r="A109" i="20"/>
  <c r="X108" i="20"/>
  <c r="AB108" i="20"/>
  <c r="AJ108" i="20"/>
  <c r="AK108" i="20"/>
  <c r="O108" i="20"/>
  <c r="AC108" i="20"/>
  <c r="A107" i="23"/>
  <c r="K106" i="23"/>
  <c r="L106" i="23"/>
  <c r="AB106" i="23"/>
  <c r="X106" i="23"/>
  <c r="AK106" i="23"/>
  <c r="AJ106" i="23"/>
  <c r="O106" i="23"/>
  <c r="AC106" i="23"/>
  <c r="F110" i="1"/>
  <c r="D111" i="1"/>
  <c r="E111" i="1" s="1"/>
  <c r="A105" i="25"/>
  <c r="K104" i="25"/>
  <c r="AB104" i="25"/>
  <c r="L104" i="25"/>
  <c r="X104" i="25"/>
  <c r="AJ104" i="25"/>
  <c r="AK104" i="25"/>
  <c r="O104" i="25"/>
  <c r="AC104" i="25"/>
  <c r="K110" i="17"/>
  <c r="AB110" i="17"/>
  <c r="A111" i="17"/>
  <c r="L110" i="17"/>
  <c r="X110" i="17"/>
  <c r="AK110" i="17"/>
  <c r="AJ110" i="17"/>
  <c r="AC110" i="17"/>
  <c r="O110" i="17"/>
  <c r="P111" i="1"/>
  <c r="V111" i="1" s="1"/>
  <c r="X112" i="1"/>
  <c r="AC112" i="1"/>
  <c r="AK112" i="1"/>
  <c r="K112" i="1"/>
  <c r="A113" i="1"/>
  <c r="L112" i="1"/>
  <c r="O112" i="1"/>
  <c r="AJ112" i="1"/>
  <c r="AB112" i="1"/>
  <c r="Q112" i="1"/>
  <c r="U112" i="1"/>
  <c r="K109" i="18"/>
  <c r="L109" i="18"/>
  <c r="AB109" i="18"/>
  <c r="X109" i="18"/>
  <c r="A110" i="18"/>
  <c r="AK109" i="18"/>
  <c r="AJ109" i="18"/>
  <c r="O109" i="18"/>
  <c r="AC109" i="18"/>
  <c r="A106" i="24"/>
  <c r="AB105" i="24"/>
  <c r="K105" i="24"/>
  <c r="X105" i="24"/>
  <c r="L105" i="24"/>
  <c r="AJ105" i="24"/>
  <c r="AK105" i="24"/>
  <c r="O105" i="24"/>
  <c r="AC105" i="24"/>
  <c r="K107" i="22"/>
  <c r="X107" i="22"/>
  <c r="A108" i="22"/>
  <c r="AB107" i="22"/>
  <c r="L107" i="22"/>
  <c r="AK107" i="22"/>
  <c r="AJ107" i="22"/>
  <c r="O107" i="22"/>
  <c r="AC107" i="22"/>
  <c r="F111" i="1" l="1"/>
  <c r="G111" i="1" s="1"/>
  <c r="BW111" i="6" s="1"/>
  <c r="E110" i="16"/>
  <c r="E111" i="15"/>
  <c r="A113" i="15"/>
  <c r="AJ112" i="15"/>
  <c r="L112" i="15"/>
  <c r="D112" i="15" s="1"/>
  <c r="X112" i="15"/>
  <c r="AC112" i="15"/>
  <c r="K112" i="15"/>
  <c r="O112" i="15"/>
  <c r="AB112" i="15"/>
  <c r="AK112" i="15"/>
  <c r="L111" i="16"/>
  <c r="D111" i="16" s="1"/>
  <c r="A112" i="16"/>
  <c r="K111" i="16"/>
  <c r="AJ111" i="16"/>
  <c r="O111" i="16"/>
  <c r="X111" i="16"/>
  <c r="AB111" i="16"/>
  <c r="AK111" i="16"/>
  <c r="AC111" i="16"/>
  <c r="K108" i="22"/>
  <c r="AB108" i="22"/>
  <c r="L108" i="22"/>
  <c r="X108" i="22"/>
  <c r="A109" i="22"/>
  <c r="AJ108" i="22"/>
  <c r="AK108" i="22"/>
  <c r="O108" i="22"/>
  <c r="AC108" i="22"/>
  <c r="T112" i="1"/>
  <c r="AK113" i="1"/>
  <c r="AB113" i="1"/>
  <c r="A114" i="1"/>
  <c r="X113" i="1"/>
  <c r="O113" i="1"/>
  <c r="AJ113" i="1"/>
  <c r="Q113" i="1"/>
  <c r="AC113" i="1"/>
  <c r="L113" i="1"/>
  <c r="K113" i="1"/>
  <c r="U113" i="1"/>
  <c r="AB111" i="17"/>
  <c r="L111" i="17"/>
  <c r="X111" i="17"/>
  <c r="K111" i="17"/>
  <c r="A112" i="17"/>
  <c r="AJ111" i="17"/>
  <c r="AK111" i="17"/>
  <c r="AC111" i="17"/>
  <c r="O111" i="17"/>
  <c r="AA110" i="1"/>
  <c r="Z110" i="1" s="1"/>
  <c r="Y110" i="1" s="1"/>
  <c r="G110" i="1"/>
  <c r="BW110" i="6" s="1"/>
  <c r="I110" i="1"/>
  <c r="X107" i="23"/>
  <c r="L107" i="23"/>
  <c r="AB107" i="23"/>
  <c r="K107" i="23"/>
  <c r="A108" i="23"/>
  <c r="AK107" i="23"/>
  <c r="AJ107" i="23"/>
  <c r="O107" i="23"/>
  <c r="AC107" i="23"/>
  <c r="X106" i="24"/>
  <c r="L106" i="24"/>
  <c r="K106" i="24"/>
  <c r="A107" i="24"/>
  <c r="AB106" i="24"/>
  <c r="AJ106" i="24"/>
  <c r="AK106" i="24"/>
  <c r="O106" i="24"/>
  <c r="AC106" i="24"/>
  <c r="AB110" i="18"/>
  <c r="X110" i="18"/>
  <c r="A111" i="18"/>
  <c r="L110" i="18"/>
  <c r="K110" i="18"/>
  <c r="O110" i="18"/>
  <c r="AJ110" i="18"/>
  <c r="AK110" i="18"/>
  <c r="AC110" i="18"/>
  <c r="D112" i="1"/>
  <c r="E112" i="1" s="1"/>
  <c r="X105" i="25"/>
  <c r="A106" i="25"/>
  <c r="AB105" i="25"/>
  <c r="K105" i="25"/>
  <c r="L105" i="25"/>
  <c r="AK105" i="25"/>
  <c r="AJ105" i="25"/>
  <c r="O105" i="25"/>
  <c r="AC105" i="25"/>
  <c r="A110" i="20"/>
  <c r="AB109" i="20"/>
  <c r="X109" i="20"/>
  <c r="K109" i="20"/>
  <c r="L109" i="20"/>
  <c r="AK109" i="20"/>
  <c r="AJ109" i="20"/>
  <c r="O109" i="20"/>
  <c r="AC109" i="20"/>
  <c r="AA111" i="1" l="1"/>
  <c r="Z111" i="1" s="1"/>
  <c r="Y111" i="1" s="1"/>
  <c r="I111" i="1"/>
  <c r="E112" i="15"/>
  <c r="K113" i="15"/>
  <c r="AJ113" i="15"/>
  <c r="A114" i="15"/>
  <c r="AK113" i="15"/>
  <c r="X113" i="15"/>
  <c r="AB113" i="15"/>
  <c r="O113" i="15"/>
  <c r="L113" i="15"/>
  <c r="D113" i="15" s="1"/>
  <c r="AC113" i="15"/>
  <c r="E111" i="16"/>
  <c r="L112" i="16"/>
  <c r="D112" i="16" s="1"/>
  <c r="X112" i="16"/>
  <c r="K112" i="16"/>
  <c r="AK112" i="16"/>
  <c r="O112" i="16"/>
  <c r="A113" i="16"/>
  <c r="AB112" i="16"/>
  <c r="AJ112" i="16"/>
  <c r="AC112" i="16"/>
  <c r="X110" i="20"/>
  <c r="K110" i="20"/>
  <c r="A111" i="20"/>
  <c r="AB110" i="20"/>
  <c r="L110" i="20"/>
  <c r="AJ110" i="20"/>
  <c r="AK110" i="20"/>
  <c r="O110" i="20"/>
  <c r="AC110" i="20"/>
  <c r="X106" i="25"/>
  <c r="AB106" i="25"/>
  <c r="K106" i="25"/>
  <c r="A107" i="25"/>
  <c r="L106" i="25"/>
  <c r="AJ106" i="25"/>
  <c r="O106" i="25"/>
  <c r="AK106" i="25"/>
  <c r="AC106" i="25"/>
  <c r="S112" i="1"/>
  <c r="R112" i="1" s="1"/>
  <c r="P112" i="1" s="1"/>
  <c r="V112" i="1" s="1"/>
  <c r="F112" i="1" s="1"/>
  <c r="A110" i="22"/>
  <c r="X109" i="22"/>
  <c r="K109" i="22"/>
  <c r="L109" i="22"/>
  <c r="AB109" i="22"/>
  <c r="AJ109" i="22"/>
  <c r="AK109" i="22"/>
  <c r="O109" i="22"/>
  <c r="AC109" i="22"/>
  <c r="K111" i="18"/>
  <c r="X111" i="18"/>
  <c r="AB111" i="18"/>
  <c r="A112" i="18"/>
  <c r="L111" i="18"/>
  <c r="O111" i="18"/>
  <c r="AK111" i="18"/>
  <c r="AJ111" i="18"/>
  <c r="AC111" i="18"/>
  <c r="K107" i="24"/>
  <c r="L107" i="24"/>
  <c r="X107" i="24"/>
  <c r="A108" i="24"/>
  <c r="AB107" i="24"/>
  <c r="AK107" i="24"/>
  <c r="O107" i="24"/>
  <c r="AJ107" i="24"/>
  <c r="AC107" i="24"/>
  <c r="AB108" i="23"/>
  <c r="A109" i="23"/>
  <c r="K108" i="23"/>
  <c r="L108" i="23"/>
  <c r="X108" i="23"/>
  <c r="AJ108" i="23"/>
  <c r="AK108" i="23"/>
  <c r="O108" i="23"/>
  <c r="AC108" i="23"/>
  <c r="K112" i="17"/>
  <c r="X112" i="17"/>
  <c r="L112" i="17"/>
  <c r="A113" i="17"/>
  <c r="AB112" i="17"/>
  <c r="AK112" i="17"/>
  <c r="AJ112" i="17"/>
  <c r="O112" i="17"/>
  <c r="AC112" i="17"/>
  <c r="T113" i="1"/>
  <c r="D113" i="1"/>
  <c r="E113" i="1" s="1"/>
  <c r="AJ114" i="1"/>
  <c r="L114" i="1"/>
  <c r="O114" i="1"/>
  <c r="K114" i="1"/>
  <c r="AB114" i="1"/>
  <c r="A115" i="1"/>
  <c r="AK114" i="1"/>
  <c r="AC114" i="1"/>
  <c r="X114" i="1"/>
  <c r="Q114" i="1"/>
  <c r="U114" i="1"/>
  <c r="T114" i="1" s="1"/>
  <c r="S114" i="1" s="1"/>
  <c r="R114" i="1" s="1"/>
  <c r="E113" i="15" l="1"/>
  <c r="X114" i="15"/>
  <c r="O114" i="15"/>
  <c r="L114" i="15"/>
  <c r="D114" i="15" s="1"/>
  <c r="AJ114" i="15"/>
  <c r="A115" i="15"/>
  <c r="AK114" i="15"/>
  <c r="AB114" i="15"/>
  <c r="K114" i="15"/>
  <c r="AC114" i="15"/>
  <c r="E112" i="16"/>
  <c r="A114" i="16"/>
  <c r="K113" i="16"/>
  <c r="X113" i="16"/>
  <c r="AK113" i="16"/>
  <c r="O113" i="16"/>
  <c r="AB113" i="16"/>
  <c r="L113" i="16"/>
  <c r="D113" i="16" s="1"/>
  <c r="E113" i="16" s="1"/>
  <c r="AJ113" i="16"/>
  <c r="AC113" i="16"/>
  <c r="AK115" i="1"/>
  <c r="Q115" i="1"/>
  <c r="A116" i="1"/>
  <c r="O115" i="1"/>
  <c r="K115" i="1"/>
  <c r="L115" i="1"/>
  <c r="X115" i="1"/>
  <c r="AC115" i="1"/>
  <c r="AJ115" i="1"/>
  <c r="AB115" i="1"/>
  <c r="U115" i="1"/>
  <c r="T115" i="1" s="1"/>
  <c r="D114" i="1"/>
  <c r="X113" i="17"/>
  <c r="K113" i="17"/>
  <c r="A114" i="17"/>
  <c r="L113" i="17"/>
  <c r="AB113" i="17"/>
  <c r="AJ113" i="17"/>
  <c r="AK113" i="17"/>
  <c r="AC113" i="17"/>
  <c r="O113" i="17"/>
  <c r="A110" i="23"/>
  <c r="AB109" i="23"/>
  <c r="K109" i="23"/>
  <c r="L109" i="23"/>
  <c r="X109" i="23"/>
  <c r="AJ109" i="23"/>
  <c r="AK109" i="23"/>
  <c r="O109" i="23"/>
  <c r="AC109" i="23"/>
  <c r="K112" i="18"/>
  <c r="X112" i="18"/>
  <c r="AB112" i="18"/>
  <c r="A113" i="18"/>
  <c r="L112" i="18"/>
  <c r="AJ112" i="18"/>
  <c r="AK112" i="18"/>
  <c r="O112" i="18"/>
  <c r="AC112" i="18"/>
  <c r="G112" i="1"/>
  <c r="BW112" i="6" s="1"/>
  <c r="AA112" i="1"/>
  <c r="Z112" i="1" s="1"/>
  <c r="Y112" i="1" s="1"/>
  <c r="I112" i="1"/>
  <c r="AB107" i="25"/>
  <c r="K107" i="25"/>
  <c r="X107" i="25"/>
  <c r="A108" i="25"/>
  <c r="L107" i="25"/>
  <c r="AJ107" i="25"/>
  <c r="AK107" i="25"/>
  <c r="O107" i="25"/>
  <c r="AC107" i="25"/>
  <c r="AB111" i="20"/>
  <c r="X111" i="20"/>
  <c r="L111" i="20"/>
  <c r="A112" i="20"/>
  <c r="K111" i="20"/>
  <c r="AJ111" i="20"/>
  <c r="AK111" i="20"/>
  <c r="O111" i="20"/>
  <c r="AC111" i="20"/>
  <c r="P114" i="1"/>
  <c r="V114" i="1" s="1"/>
  <c r="E114" i="1"/>
  <c r="S113" i="1"/>
  <c r="R113" i="1" s="1"/>
  <c r="P113" i="1" s="1"/>
  <c r="V113" i="1" s="1"/>
  <c r="F113" i="1" s="1"/>
  <c r="X108" i="24"/>
  <c r="L108" i="24"/>
  <c r="K108" i="24"/>
  <c r="AB108" i="24"/>
  <c r="A109" i="24"/>
  <c r="AJ108" i="24"/>
  <c r="AK108" i="24"/>
  <c r="O108" i="24"/>
  <c r="AC108" i="24"/>
  <c r="AB110" i="22"/>
  <c r="K110" i="22"/>
  <c r="A111" i="22"/>
  <c r="L110" i="22"/>
  <c r="X110" i="22"/>
  <c r="AJ110" i="22"/>
  <c r="AK110" i="22"/>
  <c r="O110" i="22"/>
  <c r="AC110" i="22"/>
  <c r="E114" i="15" l="1"/>
  <c r="AB115" i="15"/>
  <c r="AK115" i="15"/>
  <c r="K115" i="15"/>
  <c r="AJ115" i="15"/>
  <c r="L115" i="15"/>
  <c r="D115" i="15" s="1"/>
  <c r="A116" i="15"/>
  <c r="AC115" i="15"/>
  <c r="X115" i="15"/>
  <c r="O115" i="15"/>
  <c r="E115" i="15" s="1"/>
  <c r="X114" i="16"/>
  <c r="A115" i="16"/>
  <c r="AK114" i="16"/>
  <c r="AC114" i="16"/>
  <c r="AB114" i="16"/>
  <c r="L114" i="16"/>
  <c r="D114" i="16" s="1"/>
  <c r="K114" i="16"/>
  <c r="AJ114" i="16"/>
  <c r="O114" i="16"/>
  <c r="A112" i="22"/>
  <c r="AB111" i="22"/>
  <c r="K111" i="22"/>
  <c r="L111" i="22"/>
  <c r="X111" i="22"/>
  <c r="AJ111" i="22"/>
  <c r="AK111" i="22"/>
  <c r="O111" i="22"/>
  <c r="AC111" i="22"/>
  <c r="I113" i="1"/>
  <c r="AA113" i="1"/>
  <c r="Z113" i="1" s="1"/>
  <c r="Y113" i="1" s="1"/>
  <c r="G113" i="1"/>
  <c r="BW113" i="6" s="1"/>
  <c r="AB108" i="25"/>
  <c r="K108" i="25"/>
  <c r="X108" i="25"/>
  <c r="A109" i="25"/>
  <c r="L108" i="25"/>
  <c r="AK108" i="25"/>
  <c r="AJ108" i="25"/>
  <c r="O108" i="25"/>
  <c r="AC108" i="25"/>
  <c r="X113" i="18"/>
  <c r="AB113" i="18"/>
  <c r="L113" i="18"/>
  <c r="A114" i="18"/>
  <c r="K113" i="18"/>
  <c r="O113" i="18"/>
  <c r="AJ113" i="18"/>
  <c r="AK113" i="18"/>
  <c r="AC113" i="18"/>
  <c r="X110" i="23"/>
  <c r="L110" i="23"/>
  <c r="K110" i="23"/>
  <c r="A111" i="23"/>
  <c r="AB110" i="23"/>
  <c r="AK110" i="23"/>
  <c r="AJ110" i="23"/>
  <c r="O110" i="23"/>
  <c r="AC110" i="23"/>
  <c r="X114" i="17"/>
  <c r="AB114" i="17"/>
  <c r="K114" i="17"/>
  <c r="L114" i="17"/>
  <c r="A115" i="17"/>
  <c r="AJ114" i="17"/>
  <c r="AK114" i="17"/>
  <c r="O114" i="17"/>
  <c r="AC114" i="17"/>
  <c r="F114" i="1"/>
  <c r="S115" i="1"/>
  <c r="R115" i="1" s="1"/>
  <c r="P115" i="1" s="1"/>
  <c r="V115" i="1" s="1"/>
  <c r="O116" i="1"/>
  <c r="K116" i="1"/>
  <c r="AC116" i="1"/>
  <c r="AK116" i="1"/>
  <c r="L116" i="1"/>
  <c r="X116" i="1"/>
  <c r="AB116" i="1"/>
  <c r="A117" i="1"/>
  <c r="AJ116" i="1"/>
  <c r="Q116" i="1"/>
  <c r="U116" i="1"/>
  <c r="T116" i="1" s="1"/>
  <c r="S116" i="1" s="1"/>
  <c r="R116" i="1" s="1"/>
  <c r="X109" i="24"/>
  <c r="AB109" i="24"/>
  <c r="K109" i="24"/>
  <c r="L109" i="24"/>
  <c r="A110" i="24"/>
  <c r="AK109" i="24"/>
  <c r="AJ109" i="24"/>
  <c r="O109" i="24"/>
  <c r="AC109" i="24"/>
  <c r="AB112" i="20"/>
  <c r="L112" i="20"/>
  <c r="A113" i="20"/>
  <c r="K112" i="20"/>
  <c r="X112" i="20"/>
  <c r="AJ112" i="20"/>
  <c r="AK112" i="20"/>
  <c r="O112" i="20"/>
  <c r="AC112" i="20"/>
  <c r="D115" i="1"/>
  <c r="E115" i="1" s="1"/>
  <c r="X116" i="15" l="1"/>
  <c r="AK116" i="15"/>
  <c r="L116" i="15"/>
  <c r="D116" i="15" s="1"/>
  <c r="AJ116" i="15"/>
  <c r="AB116" i="15"/>
  <c r="K116" i="15"/>
  <c r="AC116" i="15"/>
  <c r="A117" i="15"/>
  <c r="O116" i="15"/>
  <c r="E114" i="16"/>
  <c r="AB115" i="16"/>
  <c r="L115" i="16"/>
  <c r="D115" i="16" s="1"/>
  <c r="AJ115" i="16"/>
  <c r="AC115" i="16"/>
  <c r="A116" i="16"/>
  <c r="X115" i="16"/>
  <c r="K115" i="16"/>
  <c r="AK115" i="16"/>
  <c r="O115" i="16"/>
  <c r="X113" i="20"/>
  <c r="A114" i="20"/>
  <c r="AB113" i="20"/>
  <c r="K113" i="20"/>
  <c r="L113" i="20"/>
  <c r="AJ113" i="20"/>
  <c r="AK113" i="20"/>
  <c r="O113" i="20"/>
  <c r="AC113" i="20"/>
  <c r="A118" i="1"/>
  <c r="AC117" i="1"/>
  <c r="AK117" i="1"/>
  <c r="K117" i="1"/>
  <c r="L117" i="1"/>
  <c r="X117" i="1"/>
  <c r="O117" i="1"/>
  <c r="AB117" i="1"/>
  <c r="AJ117" i="1"/>
  <c r="Q117" i="1"/>
  <c r="U117" i="1"/>
  <c r="T117" i="1" s="1"/>
  <c r="G114" i="1"/>
  <c r="BW114" i="6" s="1"/>
  <c r="AA114" i="1"/>
  <c r="Z114" i="1" s="1"/>
  <c r="Y114" i="1" s="1"/>
  <c r="I114" i="1"/>
  <c r="AB111" i="23"/>
  <c r="L111" i="23"/>
  <c r="X111" i="23"/>
  <c r="A112" i="23"/>
  <c r="K111" i="23"/>
  <c r="AJ111" i="23"/>
  <c r="AK111" i="23"/>
  <c r="O111" i="23"/>
  <c r="AC111" i="23"/>
  <c r="A110" i="25"/>
  <c r="K109" i="25"/>
  <c r="AB109" i="25"/>
  <c r="X109" i="25"/>
  <c r="L109" i="25"/>
  <c r="AJ109" i="25"/>
  <c r="O109" i="25"/>
  <c r="AK109" i="25"/>
  <c r="AC109" i="25"/>
  <c r="F115" i="1"/>
  <c r="AB110" i="24"/>
  <c r="L110" i="24"/>
  <c r="K110" i="24"/>
  <c r="A111" i="24"/>
  <c r="X110" i="24"/>
  <c r="AJ110" i="24"/>
  <c r="AK110" i="24"/>
  <c r="O110" i="24"/>
  <c r="AC110" i="24"/>
  <c r="P116" i="1"/>
  <c r="V116" i="1" s="1"/>
  <c r="D116" i="1"/>
  <c r="E116" i="1" s="1"/>
  <c r="AB115" i="17"/>
  <c r="A116" i="17"/>
  <c r="K115" i="17"/>
  <c r="L115" i="17"/>
  <c r="X115" i="17"/>
  <c r="AK115" i="17"/>
  <c r="AJ115" i="17"/>
  <c r="AC115" i="17"/>
  <c r="O115" i="17"/>
  <c r="AB114" i="18"/>
  <c r="K114" i="18"/>
  <c r="AJ114" i="18"/>
  <c r="A115" i="18"/>
  <c r="L114" i="18"/>
  <c r="X114" i="18"/>
  <c r="AK114" i="18"/>
  <c r="O114" i="18"/>
  <c r="AC114" i="18"/>
  <c r="AB112" i="22"/>
  <c r="X112" i="22"/>
  <c r="K112" i="22"/>
  <c r="A113" i="22"/>
  <c r="L112" i="22"/>
  <c r="AJ112" i="22"/>
  <c r="AK112" i="22"/>
  <c r="O112" i="22"/>
  <c r="AC112" i="22"/>
  <c r="E116" i="15" l="1"/>
  <c r="K117" i="15"/>
  <c r="O117" i="15"/>
  <c r="AB117" i="15"/>
  <c r="AJ117" i="15"/>
  <c r="L117" i="15"/>
  <c r="D117" i="15" s="1"/>
  <c r="AK117" i="15"/>
  <c r="X117" i="15"/>
  <c r="A118" i="15"/>
  <c r="AC117" i="15"/>
  <c r="F116" i="1"/>
  <c r="G116" i="1" s="1"/>
  <c r="BW116" i="6" s="1"/>
  <c r="A117" i="16"/>
  <c r="L116" i="16"/>
  <c r="D116" i="16" s="1"/>
  <c r="AJ116" i="16"/>
  <c r="AC116" i="16"/>
  <c r="AB116" i="16"/>
  <c r="K116" i="16"/>
  <c r="AK116" i="16"/>
  <c r="O116" i="16"/>
  <c r="X116" i="16"/>
  <c r="E115" i="16"/>
  <c r="A114" i="22"/>
  <c r="L113" i="22"/>
  <c r="X113" i="22"/>
  <c r="K113" i="22"/>
  <c r="AB113" i="22"/>
  <c r="AJ113" i="22"/>
  <c r="AK113" i="22"/>
  <c r="O113" i="22"/>
  <c r="AC113" i="22"/>
  <c r="X116" i="17"/>
  <c r="K116" i="17"/>
  <c r="A117" i="17"/>
  <c r="L116" i="17"/>
  <c r="AB116" i="17"/>
  <c r="AJ116" i="17"/>
  <c r="AK116" i="17"/>
  <c r="O116" i="17"/>
  <c r="AC116" i="17"/>
  <c r="AB111" i="24"/>
  <c r="A112" i="24"/>
  <c r="K111" i="24"/>
  <c r="L111" i="24"/>
  <c r="X111" i="24"/>
  <c r="AJ111" i="24"/>
  <c r="AK111" i="24"/>
  <c r="O111" i="24"/>
  <c r="AC111" i="24"/>
  <c r="G115" i="1"/>
  <c r="BW115" i="6" s="1"/>
  <c r="I115" i="1"/>
  <c r="AA115" i="1"/>
  <c r="Z115" i="1" s="1"/>
  <c r="Y115" i="1" s="1"/>
  <c r="K110" i="25"/>
  <c r="A111" i="25"/>
  <c r="X110" i="25"/>
  <c r="L110" i="25"/>
  <c r="AB110" i="25"/>
  <c r="AJ110" i="25"/>
  <c r="AK110" i="25"/>
  <c r="O110" i="25"/>
  <c r="AC110" i="25"/>
  <c r="X112" i="23"/>
  <c r="AB112" i="23"/>
  <c r="L112" i="23"/>
  <c r="A113" i="23"/>
  <c r="K112" i="23"/>
  <c r="AK112" i="23"/>
  <c r="AJ112" i="23"/>
  <c r="O112" i="23"/>
  <c r="AC112" i="23"/>
  <c r="S117" i="1"/>
  <c r="R117" i="1" s="1"/>
  <c r="P117" i="1" s="1"/>
  <c r="V117" i="1" s="1"/>
  <c r="D117" i="1"/>
  <c r="E117" i="1" s="1"/>
  <c r="O118" i="1"/>
  <c r="X118" i="1"/>
  <c r="Q118" i="1"/>
  <c r="AK118" i="1"/>
  <c r="AB118" i="1"/>
  <c r="AJ118" i="1"/>
  <c r="AC118" i="1"/>
  <c r="A119" i="1"/>
  <c r="K118" i="1"/>
  <c r="L118" i="1"/>
  <c r="U118" i="1"/>
  <c r="T118" i="1" s="1"/>
  <c r="S118" i="1" s="1"/>
  <c r="R118" i="1" s="1"/>
  <c r="P118" i="1" s="1"/>
  <c r="AB115" i="18"/>
  <c r="AJ115" i="18"/>
  <c r="X115" i="18"/>
  <c r="K115" i="18"/>
  <c r="A116" i="18"/>
  <c r="L115" i="18"/>
  <c r="O115" i="18"/>
  <c r="AK115" i="18"/>
  <c r="AC115" i="18"/>
  <c r="K114" i="20"/>
  <c r="X114" i="20"/>
  <c r="AB114" i="20"/>
  <c r="A115" i="20"/>
  <c r="L114" i="20"/>
  <c r="AJ114" i="20"/>
  <c r="AK114" i="20"/>
  <c r="O114" i="20"/>
  <c r="AC114" i="20"/>
  <c r="F117" i="1" l="1"/>
  <c r="I117" i="1" s="1"/>
  <c r="AB118" i="15"/>
  <c r="AK118" i="15"/>
  <c r="X118" i="15"/>
  <c r="A119" i="15"/>
  <c r="O118" i="15"/>
  <c r="L118" i="15"/>
  <c r="D118" i="15" s="1"/>
  <c r="AC118" i="15"/>
  <c r="AJ118" i="15"/>
  <c r="K118" i="15"/>
  <c r="I116" i="1"/>
  <c r="E117" i="15"/>
  <c r="AA116" i="1"/>
  <c r="Z116" i="1" s="1"/>
  <c r="Y116" i="1" s="1"/>
  <c r="E116" i="16"/>
  <c r="A118" i="16"/>
  <c r="K117" i="16"/>
  <c r="AJ117" i="16"/>
  <c r="AC117" i="16"/>
  <c r="X117" i="16"/>
  <c r="AB117" i="16"/>
  <c r="L117" i="16"/>
  <c r="D117" i="16" s="1"/>
  <c r="AK117" i="16"/>
  <c r="O117" i="16"/>
  <c r="K115" i="20"/>
  <c r="L115" i="20"/>
  <c r="AB115" i="20"/>
  <c r="A116" i="20"/>
  <c r="X115" i="20"/>
  <c r="AJ115" i="20"/>
  <c r="AK115" i="20"/>
  <c r="O115" i="20"/>
  <c r="AC115" i="20"/>
  <c r="A114" i="23"/>
  <c r="K113" i="23"/>
  <c r="AB113" i="23"/>
  <c r="X113" i="23"/>
  <c r="L113" i="23"/>
  <c r="AJ113" i="23"/>
  <c r="AK113" i="23"/>
  <c r="O113" i="23"/>
  <c r="AC113" i="23"/>
  <c r="X112" i="24"/>
  <c r="L112" i="24"/>
  <c r="A113" i="24"/>
  <c r="AB112" i="24"/>
  <c r="K112" i="24"/>
  <c r="AJ112" i="24"/>
  <c r="AK112" i="24"/>
  <c r="O112" i="24"/>
  <c r="AC112" i="24"/>
  <c r="A118" i="17"/>
  <c r="L117" i="17"/>
  <c r="X117" i="17"/>
  <c r="AB117" i="17"/>
  <c r="K117" i="17"/>
  <c r="AJ117" i="17"/>
  <c r="AK117" i="17"/>
  <c r="AC117" i="17"/>
  <c r="O117" i="17"/>
  <c r="AB116" i="18"/>
  <c r="L116" i="18"/>
  <c r="X116" i="18"/>
  <c r="A117" i="18"/>
  <c r="K116" i="18"/>
  <c r="AJ116" i="18"/>
  <c r="O116" i="18"/>
  <c r="AK116" i="18"/>
  <c r="AC116" i="18"/>
  <c r="D118" i="1"/>
  <c r="E118" i="1" s="1"/>
  <c r="V118" i="1"/>
  <c r="AB119" i="1"/>
  <c r="AJ119" i="1"/>
  <c r="A120" i="1"/>
  <c r="X119" i="1"/>
  <c r="AC119" i="1"/>
  <c r="O119" i="1"/>
  <c r="C23" i="7" s="1"/>
  <c r="K119" i="1"/>
  <c r="Q119" i="1"/>
  <c r="L119" i="1"/>
  <c r="AK119" i="1"/>
  <c r="A23" i="7"/>
  <c r="U119" i="1"/>
  <c r="T119" i="1" s="1"/>
  <c r="S119" i="1" s="1"/>
  <c r="R119" i="1" s="1"/>
  <c r="P119" i="1" s="1"/>
  <c r="D23" i="7" s="1"/>
  <c r="AB111" i="25"/>
  <c r="X111" i="25"/>
  <c r="A112" i="25"/>
  <c r="K111" i="25"/>
  <c r="L111" i="25"/>
  <c r="AJ111" i="25"/>
  <c r="O111" i="25"/>
  <c r="AK111" i="25"/>
  <c r="AC111" i="25"/>
  <c r="K114" i="22"/>
  <c r="AB114" i="22"/>
  <c r="A115" i="22"/>
  <c r="X114" i="22"/>
  <c r="L114" i="22"/>
  <c r="AK114" i="22"/>
  <c r="AJ114" i="22"/>
  <c r="O114" i="22"/>
  <c r="AC114" i="22"/>
  <c r="G117" i="1" l="1"/>
  <c r="BW117" i="6" s="1"/>
  <c r="AA117" i="1"/>
  <c r="Z117" i="1" s="1"/>
  <c r="Y117" i="1" s="1"/>
  <c r="E118" i="15"/>
  <c r="K119" i="15"/>
  <c r="AJ119" i="15"/>
  <c r="A120" i="15"/>
  <c r="L119" i="15"/>
  <c r="O119" i="15"/>
  <c r="C35" i="7" s="1"/>
  <c r="A35" i="7"/>
  <c r="X119" i="15"/>
  <c r="AC119" i="15"/>
  <c r="AB119" i="15"/>
  <c r="AK119" i="15"/>
  <c r="E117" i="16"/>
  <c r="AB118" i="16"/>
  <c r="L118" i="16"/>
  <c r="D118" i="16" s="1"/>
  <c r="X118" i="16"/>
  <c r="AJ118" i="16"/>
  <c r="O118" i="16"/>
  <c r="K118" i="16"/>
  <c r="A119" i="16"/>
  <c r="AK118" i="16"/>
  <c r="AC118" i="16"/>
  <c r="AB115" i="22"/>
  <c r="A116" i="22"/>
  <c r="L115" i="22"/>
  <c r="K115" i="22"/>
  <c r="X115" i="22"/>
  <c r="AJ115" i="22"/>
  <c r="AK115" i="22"/>
  <c r="O115" i="22"/>
  <c r="AC115" i="22"/>
  <c r="AB112" i="25"/>
  <c r="L112" i="25"/>
  <c r="A113" i="25"/>
  <c r="K112" i="25"/>
  <c r="X112" i="25"/>
  <c r="AK112" i="25"/>
  <c r="AJ112" i="25"/>
  <c r="O112" i="25"/>
  <c r="AC112" i="25"/>
  <c r="D119" i="1"/>
  <c r="E119" i="1" s="1"/>
  <c r="B23" i="7"/>
  <c r="V119" i="1"/>
  <c r="AJ120" i="1"/>
  <c r="AC120" i="1"/>
  <c r="K120" i="1"/>
  <c r="O120" i="1"/>
  <c r="A121" i="1"/>
  <c r="AK120" i="1"/>
  <c r="Q120" i="1"/>
  <c r="X120" i="1"/>
  <c r="L120" i="1"/>
  <c r="AB120" i="1"/>
  <c r="U120" i="1"/>
  <c r="T120" i="1" s="1"/>
  <c r="K117" i="18"/>
  <c r="A118" i="18"/>
  <c r="L117" i="18"/>
  <c r="AB117" i="18"/>
  <c r="AJ117" i="18"/>
  <c r="X117" i="18"/>
  <c r="AK117" i="18"/>
  <c r="O117" i="18"/>
  <c r="AC117" i="18"/>
  <c r="AB114" i="23"/>
  <c r="K114" i="23"/>
  <c r="A115" i="23"/>
  <c r="X114" i="23"/>
  <c r="L114" i="23"/>
  <c r="AJ114" i="23"/>
  <c r="AK114" i="23"/>
  <c r="O114" i="23"/>
  <c r="AC114" i="23"/>
  <c r="K116" i="20"/>
  <c r="X116" i="20"/>
  <c r="AB116" i="20"/>
  <c r="L116" i="20"/>
  <c r="A117" i="20"/>
  <c r="AK116" i="20"/>
  <c r="AJ116" i="20"/>
  <c r="O116" i="20"/>
  <c r="AC116" i="20"/>
  <c r="F118" i="1"/>
  <c r="K118" i="17"/>
  <c r="A119" i="17"/>
  <c r="L118" i="17"/>
  <c r="X118" i="17"/>
  <c r="AB118" i="17"/>
  <c r="AJ118" i="17"/>
  <c r="AK118" i="17"/>
  <c r="AC118" i="17"/>
  <c r="O118" i="17"/>
  <c r="A114" i="24"/>
  <c r="L113" i="24"/>
  <c r="K113" i="24"/>
  <c r="AB113" i="24"/>
  <c r="X113" i="24"/>
  <c r="AK113" i="24"/>
  <c r="AJ113" i="24"/>
  <c r="O113" i="24"/>
  <c r="AC113" i="24"/>
  <c r="B35" i="7" l="1"/>
  <c r="D119" i="15"/>
  <c r="E119" i="15" s="1"/>
  <c r="K120" i="15"/>
  <c r="AJ120" i="15"/>
  <c r="A121" i="15"/>
  <c r="AB120" i="15"/>
  <c r="O120" i="15"/>
  <c r="X120" i="15"/>
  <c r="AC120" i="15"/>
  <c r="L120" i="15"/>
  <c r="D120" i="15" s="1"/>
  <c r="AK120" i="15"/>
  <c r="E118" i="16"/>
  <c r="L119" i="16"/>
  <c r="A47" i="7"/>
  <c r="A120" i="16"/>
  <c r="AK119" i="16"/>
  <c r="AC119" i="16"/>
  <c r="AB119" i="16"/>
  <c r="K119" i="16"/>
  <c r="X119" i="16"/>
  <c r="AJ119" i="16"/>
  <c r="O119" i="16"/>
  <c r="C47" i="7" s="1"/>
  <c r="K114" i="24"/>
  <c r="AB114" i="24"/>
  <c r="A115" i="24"/>
  <c r="L114" i="24"/>
  <c r="X114" i="24"/>
  <c r="AK114" i="24"/>
  <c r="AJ114" i="24"/>
  <c r="O114" i="24"/>
  <c r="AC114" i="24"/>
  <c r="A59" i="7"/>
  <c r="X119" i="17"/>
  <c r="L119" i="17"/>
  <c r="K119" i="17"/>
  <c r="A120" i="17"/>
  <c r="AB119" i="17"/>
  <c r="AK119" i="17"/>
  <c r="AJ119" i="17"/>
  <c r="AC119" i="17"/>
  <c r="O119" i="17"/>
  <c r="C59" i="7" s="1"/>
  <c r="X117" i="20"/>
  <c r="A118" i="20"/>
  <c r="L117" i="20"/>
  <c r="K117" i="20"/>
  <c r="AB117" i="20"/>
  <c r="AJ117" i="20"/>
  <c r="AK117" i="20"/>
  <c r="O117" i="20"/>
  <c r="AC117" i="20"/>
  <c r="X115" i="23"/>
  <c r="AB115" i="23"/>
  <c r="K115" i="23"/>
  <c r="A116" i="23"/>
  <c r="L115" i="23"/>
  <c r="AJ115" i="23"/>
  <c r="AK115" i="23"/>
  <c r="O115" i="23"/>
  <c r="AC115" i="23"/>
  <c r="F119" i="1"/>
  <c r="I118" i="1"/>
  <c r="AA118" i="1"/>
  <c r="Z118" i="1" s="1"/>
  <c r="Y118" i="1" s="1"/>
  <c r="G118" i="1"/>
  <c r="BW118" i="6" s="1"/>
  <c r="K118" i="18"/>
  <c r="A119" i="18"/>
  <c r="L118" i="18"/>
  <c r="X118" i="18"/>
  <c r="AJ118" i="18"/>
  <c r="AB118" i="18"/>
  <c r="O118" i="18"/>
  <c r="AK118" i="18"/>
  <c r="AC118" i="18"/>
  <c r="S120" i="1"/>
  <c r="R120" i="1" s="1"/>
  <c r="P120" i="1" s="1"/>
  <c r="V120" i="1" s="1"/>
  <c r="D120" i="1"/>
  <c r="E120" i="1" s="1"/>
  <c r="X121" i="1"/>
  <c r="AC121" i="1"/>
  <c r="L121" i="1"/>
  <c r="AJ121" i="1"/>
  <c r="Q121" i="1"/>
  <c r="A122" i="1"/>
  <c r="AB121" i="1"/>
  <c r="K121" i="1"/>
  <c r="AK121" i="1"/>
  <c r="O121" i="1"/>
  <c r="U121" i="1"/>
  <c r="T121" i="1" s="1"/>
  <c r="AB113" i="25"/>
  <c r="A114" i="25"/>
  <c r="X113" i="25"/>
  <c r="L113" i="25"/>
  <c r="K113" i="25"/>
  <c r="AJ113" i="25"/>
  <c r="AK113" i="25"/>
  <c r="O113" i="25"/>
  <c r="AC113" i="25"/>
  <c r="X116" i="22"/>
  <c r="K116" i="22"/>
  <c r="AB116" i="22"/>
  <c r="L116" i="22"/>
  <c r="A117" i="22"/>
  <c r="AJ116" i="22"/>
  <c r="AK116" i="22"/>
  <c r="O116" i="22"/>
  <c r="AC116" i="22"/>
  <c r="E120" i="15" l="1"/>
  <c r="L121" i="15"/>
  <c r="D121" i="15" s="1"/>
  <c r="AK121" i="15"/>
  <c r="K121" i="15"/>
  <c r="AB121" i="15"/>
  <c r="AC121" i="15"/>
  <c r="A122" i="15"/>
  <c r="O121" i="15"/>
  <c r="E121" i="15" s="1"/>
  <c r="X121" i="15"/>
  <c r="AJ121" i="15"/>
  <c r="F120" i="1"/>
  <c r="I120" i="1" s="1"/>
  <c r="A121" i="16"/>
  <c r="AB120" i="16"/>
  <c r="AJ120" i="16"/>
  <c r="AC120" i="16"/>
  <c r="K120" i="16"/>
  <c r="L120" i="16"/>
  <c r="D120" i="16" s="1"/>
  <c r="X120" i="16"/>
  <c r="AK120" i="16"/>
  <c r="O120" i="16"/>
  <c r="B47" i="7"/>
  <c r="D119" i="16"/>
  <c r="E119" i="16" s="1"/>
  <c r="AA120" i="1"/>
  <c r="Z120" i="1" s="1"/>
  <c r="Y120" i="1" s="1"/>
  <c r="X117" i="22"/>
  <c r="AB117" i="22"/>
  <c r="L117" i="22"/>
  <c r="A118" i="22"/>
  <c r="K117" i="22"/>
  <c r="AJ117" i="22"/>
  <c r="AK117" i="22"/>
  <c r="O117" i="22"/>
  <c r="AC117" i="22"/>
  <c r="X114" i="25"/>
  <c r="K114" i="25"/>
  <c r="A115" i="25"/>
  <c r="L114" i="25"/>
  <c r="AB114" i="25"/>
  <c r="AJ114" i="25"/>
  <c r="AK114" i="25"/>
  <c r="O114" i="25"/>
  <c r="AC114" i="25"/>
  <c r="S121" i="1"/>
  <c r="R121" i="1" s="1"/>
  <c r="P121" i="1" s="1"/>
  <c r="V121" i="1" s="1"/>
  <c r="D121" i="1"/>
  <c r="E121" i="1" s="1"/>
  <c r="AB119" i="18"/>
  <c r="X119" i="18"/>
  <c r="A120" i="18"/>
  <c r="K119" i="18"/>
  <c r="A71" i="7"/>
  <c r="L119" i="18"/>
  <c r="AK119" i="18"/>
  <c r="AJ119" i="18"/>
  <c r="O119" i="18"/>
  <c r="C71" i="7" s="1"/>
  <c r="AC119" i="18"/>
  <c r="I119" i="1"/>
  <c r="AA119" i="1"/>
  <c r="Z119" i="1" s="1"/>
  <c r="Y119" i="1" s="1"/>
  <c r="G119" i="1"/>
  <c r="BW119" i="6" s="1"/>
  <c r="AB115" i="24"/>
  <c r="A116" i="24"/>
  <c r="L115" i="24"/>
  <c r="K115" i="24"/>
  <c r="X115" i="24"/>
  <c r="AJ115" i="24"/>
  <c r="AK115" i="24"/>
  <c r="O115" i="24"/>
  <c r="AC115" i="24"/>
  <c r="L122" i="1"/>
  <c r="K122" i="1"/>
  <c r="AB122" i="1"/>
  <c r="X122" i="1"/>
  <c r="A123" i="1"/>
  <c r="O122" i="1"/>
  <c r="AC122" i="1"/>
  <c r="AJ122" i="1"/>
  <c r="Q122" i="1"/>
  <c r="AK122" i="1"/>
  <c r="U122" i="1"/>
  <c r="X116" i="23"/>
  <c r="A117" i="23"/>
  <c r="AB116" i="23"/>
  <c r="L116" i="23"/>
  <c r="K116" i="23"/>
  <c r="AJ116" i="23"/>
  <c r="AK116" i="23"/>
  <c r="O116" i="23"/>
  <c r="AC116" i="23"/>
  <c r="AB118" i="20"/>
  <c r="A119" i="20"/>
  <c r="K118" i="20"/>
  <c r="L118" i="20"/>
  <c r="X118" i="20"/>
  <c r="AJ118" i="20"/>
  <c r="AK118" i="20"/>
  <c r="O118" i="20"/>
  <c r="AC118" i="20"/>
  <c r="X120" i="17"/>
  <c r="A121" i="17"/>
  <c r="K120" i="17"/>
  <c r="L120" i="17"/>
  <c r="AB120" i="17"/>
  <c r="AJ120" i="17"/>
  <c r="AK120" i="17"/>
  <c r="AC120" i="17"/>
  <c r="O120" i="17"/>
  <c r="B59" i="7"/>
  <c r="AB122" i="15" l="1"/>
  <c r="AK122" i="15"/>
  <c r="X122" i="15"/>
  <c r="K122" i="15"/>
  <c r="AC122" i="15"/>
  <c r="L122" i="15"/>
  <c r="D122" i="15" s="1"/>
  <c r="O122" i="15"/>
  <c r="A123" i="15"/>
  <c r="AJ122" i="15"/>
  <c r="E120" i="16"/>
  <c r="G120" i="1"/>
  <c r="BW120" i="6" s="1"/>
  <c r="X121" i="16"/>
  <c r="L121" i="16"/>
  <c r="D121" i="16" s="1"/>
  <c r="A122" i="16"/>
  <c r="AK121" i="16"/>
  <c r="O121" i="16"/>
  <c r="K121" i="16"/>
  <c r="AB121" i="16"/>
  <c r="AJ121" i="16"/>
  <c r="AC121" i="16"/>
  <c r="A120" i="20"/>
  <c r="AB119" i="20"/>
  <c r="X119" i="20"/>
  <c r="AE23" i="7"/>
  <c r="L119" i="20"/>
  <c r="K119" i="20"/>
  <c r="AJ119" i="20"/>
  <c r="AK119" i="20"/>
  <c r="O119" i="20"/>
  <c r="AG23" i="7" s="1"/>
  <c r="AC119" i="20"/>
  <c r="B71" i="7"/>
  <c r="A116" i="25"/>
  <c r="X115" i="25"/>
  <c r="K115" i="25"/>
  <c r="L115" i="25"/>
  <c r="AB115" i="25"/>
  <c r="AJ115" i="25"/>
  <c r="O115" i="25"/>
  <c r="AK115" i="25"/>
  <c r="AC115" i="25"/>
  <c r="A119" i="22"/>
  <c r="X118" i="22"/>
  <c r="K118" i="22"/>
  <c r="L118" i="22"/>
  <c r="AB118" i="22"/>
  <c r="AJ118" i="22"/>
  <c r="AK118" i="22"/>
  <c r="O118" i="22"/>
  <c r="AC118" i="22"/>
  <c r="K121" i="17"/>
  <c r="L121" i="17"/>
  <c r="AB121" i="17"/>
  <c r="X121" i="17"/>
  <c r="A122" i="17"/>
  <c r="AJ121" i="17"/>
  <c r="AK121" i="17"/>
  <c r="O121" i="17"/>
  <c r="AC121" i="17"/>
  <c r="AB117" i="23"/>
  <c r="L117" i="23"/>
  <c r="X117" i="23"/>
  <c r="A118" i="23"/>
  <c r="K117" i="23"/>
  <c r="AK117" i="23"/>
  <c r="AJ117" i="23"/>
  <c r="O117" i="23"/>
  <c r="AC117" i="23"/>
  <c r="T122" i="1"/>
  <c r="X123" i="1"/>
  <c r="L123" i="1"/>
  <c r="AC123" i="1"/>
  <c r="A124" i="1"/>
  <c r="O123" i="1"/>
  <c r="AK123" i="1"/>
  <c r="K123" i="1"/>
  <c r="Q123" i="1"/>
  <c r="AJ123" i="1"/>
  <c r="AB123" i="1"/>
  <c r="U123" i="1"/>
  <c r="T123" i="1" s="1"/>
  <c r="D122" i="1"/>
  <c r="E122" i="1" s="1"/>
  <c r="AB116" i="24"/>
  <c r="A117" i="24"/>
  <c r="L116" i="24"/>
  <c r="X116" i="24"/>
  <c r="K116" i="24"/>
  <c r="AJ116" i="24"/>
  <c r="AK116" i="24"/>
  <c r="O116" i="24"/>
  <c r="AC116" i="24"/>
  <c r="X120" i="18"/>
  <c r="K120" i="18"/>
  <c r="A121" i="18"/>
  <c r="AB120" i="18"/>
  <c r="L120" i="18"/>
  <c r="AJ120" i="18"/>
  <c r="AK120" i="18"/>
  <c r="O120" i="18"/>
  <c r="AC120" i="18"/>
  <c r="F121" i="1"/>
  <c r="K123" i="15" l="1"/>
  <c r="AB123" i="15"/>
  <c r="O123" i="15"/>
  <c r="L123" i="15"/>
  <c r="D123" i="15" s="1"/>
  <c r="AC123" i="15"/>
  <c r="X123" i="15"/>
  <c r="AK123" i="15"/>
  <c r="A124" i="15"/>
  <c r="AJ123" i="15"/>
  <c r="E122" i="15"/>
  <c r="E121" i="16"/>
  <c r="L122" i="16"/>
  <c r="D122" i="16" s="1"/>
  <c r="X122" i="16"/>
  <c r="AJ122" i="16"/>
  <c r="AC122" i="16"/>
  <c r="AB122" i="16"/>
  <c r="A123" i="16"/>
  <c r="K122" i="16"/>
  <c r="AK122" i="16"/>
  <c r="O122" i="16"/>
  <c r="I121" i="1"/>
  <c r="G121" i="1"/>
  <c r="BW121" i="6" s="1"/>
  <c r="AA121" i="1"/>
  <c r="Z121" i="1" s="1"/>
  <c r="Y121" i="1" s="1"/>
  <c r="A118" i="24"/>
  <c r="L117" i="24"/>
  <c r="K117" i="24"/>
  <c r="X117" i="24"/>
  <c r="AB117" i="24"/>
  <c r="AJ117" i="24"/>
  <c r="AK117" i="24"/>
  <c r="O117" i="24"/>
  <c r="AC117" i="24"/>
  <c r="S123" i="1"/>
  <c r="R123" i="1" s="1"/>
  <c r="P123" i="1" s="1"/>
  <c r="V123" i="1" s="1"/>
  <c r="S122" i="1"/>
  <c r="R122" i="1" s="1"/>
  <c r="P122" i="1" s="1"/>
  <c r="V122" i="1" s="1"/>
  <c r="A119" i="23"/>
  <c r="L118" i="23"/>
  <c r="AB118" i="23"/>
  <c r="K118" i="23"/>
  <c r="X118" i="23"/>
  <c r="AJ118" i="23"/>
  <c r="AK118" i="23"/>
  <c r="O118" i="23"/>
  <c r="AC118" i="23"/>
  <c r="AB119" i="22"/>
  <c r="AE35" i="7"/>
  <c r="K119" i="22"/>
  <c r="L119" i="22"/>
  <c r="A120" i="22"/>
  <c r="X119" i="22"/>
  <c r="AJ119" i="22"/>
  <c r="AK119" i="22"/>
  <c r="O119" i="22"/>
  <c r="AG35" i="7" s="1"/>
  <c r="AC119" i="22"/>
  <c r="AF23" i="7"/>
  <c r="A121" i="20"/>
  <c r="K120" i="20"/>
  <c r="AB120" i="20"/>
  <c r="X120" i="20"/>
  <c r="L120" i="20"/>
  <c r="AJ120" i="20"/>
  <c r="AK120" i="20"/>
  <c r="O120" i="20"/>
  <c r="AC120" i="20"/>
  <c r="X121" i="18"/>
  <c r="AB121" i="18"/>
  <c r="K121" i="18"/>
  <c r="A122" i="18"/>
  <c r="AJ121" i="18"/>
  <c r="L121" i="18"/>
  <c r="AK121" i="18"/>
  <c r="O121" i="18"/>
  <c r="AC121" i="18"/>
  <c r="K124" i="1"/>
  <c r="X124" i="1"/>
  <c r="A125" i="1"/>
  <c r="O124" i="1"/>
  <c r="AK124" i="1"/>
  <c r="AB124" i="1"/>
  <c r="L124" i="1"/>
  <c r="AC124" i="1"/>
  <c r="AJ124" i="1"/>
  <c r="Q124" i="1"/>
  <c r="U124" i="1"/>
  <c r="T124" i="1" s="1"/>
  <c r="D123" i="1"/>
  <c r="E123" i="1" s="1"/>
  <c r="L122" i="17"/>
  <c r="AB122" i="17"/>
  <c r="A123" i="17"/>
  <c r="X122" i="17"/>
  <c r="K122" i="17"/>
  <c r="AJ122" i="17"/>
  <c r="AK122" i="17"/>
  <c r="AC122" i="17"/>
  <c r="O122" i="17"/>
  <c r="AB116" i="25"/>
  <c r="K116" i="25"/>
  <c r="X116" i="25"/>
  <c r="A117" i="25"/>
  <c r="L116" i="25"/>
  <c r="AJ116" i="25"/>
  <c r="O116" i="25"/>
  <c r="AK116" i="25"/>
  <c r="AC116" i="25"/>
  <c r="E123" i="15" l="1"/>
  <c r="K124" i="15"/>
  <c r="AB124" i="15"/>
  <c r="AC124" i="15"/>
  <c r="X124" i="15"/>
  <c r="O124" i="15"/>
  <c r="A125" i="15"/>
  <c r="AK124" i="15"/>
  <c r="L124" i="15"/>
  <c r="D124" i="15" s="1"/>
  <c r="AJ124" i="15"/>
  <c r="L123" i="16"/>
  <c r="D123" i="16" s="1"/>
  <c r="X123" i="16"/>
  <c r="AB123" i="16"/>
  <c r="AJ123" i="16"/>
  <c r="O123" i="16"/>
  <c r="K123" i="16"/>
  <c r="A124" i="16"/>
  <c r="AK123" i="16"/>
  <c r="AC123" i="16"/>
  <c r="E122" i="16"/>
  <c r="S124" i="1"/>
  <c r="R124" i="1" s="1"/>
  <c r="P124" i="1" s="1"/>
  <c r="V124" i="1" s="1"/>
  <c r="D124" i="1"/>
  <c r="E124" i="1" s="1"/>
  <c r="L125" i="1"/>
  <c r="AB125" i="1"/>
  <c r="AC125" i="1"/>
  <c r="AJ125" i="1"/>
  <c r="X125" i="1"/>
  <c r="AK125" i="1"/>
  <c r="Q125" i="1"/>
  <c r="A126" i="1"/>
  <c r="O125" i="1"/>
  <c r="K125" i="1"/>
  <c r="U125" i="1"/>
  <c r="K120" i="22"/>
  <c r="A121" i="22"/>
  <c r="X120" i="22"/>
  <c r="AB120" i="22"/>
  <c r="L120" i="22"/>
  <c r="AJ120" i="22"/>
  <c r="AK120" i="22"/>
  <c r="O120" i="22"/>
  <c r="AC120" i="22"/>
  <c r="F123" i="1"/>
  <c r="AB117" i="25"/>
  <c r="X117" i="25"/>
  <c r="K117" i="25"/>
  <c r="L117" i="25"/>
  <c r="A118" i="25"/>
  <c r="AJ117" i="25"/>
  <c r="O117" i="25"/>
  <c r="AK117" i="25"/>
  <c r="AC117" i="25"/>
  <c r="K123" i="17"/>
  <c r="L123" i="17"/>
  <c r="X123" i="17"/>
  <c r="A124" i="17"/>
  <c r="AB123" i="17"/>
  <c r="AJ123" i="17"/>
  <c r="AK123" i="17"/>
  <c r="O123" i="17"/>
  <c r="AC123" i="17"/>
  <c r="F122" i="1"/>
  <c r="K122" i="18"/>
  <c r="AB122" i="18"/>
  <c r="A123" i="18"/>
  <c r="L122" i="18"/>
  <c r="X122" i="18"/>
  <c r="AK122" i="18"/>
  <c r="AJ122" i="18"/>
  <c r="O122" i="18"/>
  <c r="AC122" i="18"/>
  <c r="A122" i="20"/>
  <c r="AB121" i="20"/>
  <c r="X121" i="20"/>
  <c r="L121" i="20"/>
  <c r="K121" i="20"/>
  <c r="AJ121" i="20"/>
  <c r="AK121" i="20"/>
  <c r="O121" i="20"/>
  <c r="AC121" i="20"/>
  <c r="AF35" i="7"/>
  <c r="K119" i="23"/>
  <c r="X119" i="23"/>
  <c r="L119" i="23"/>
  <c r="AE47" i="7"/>
  <c r="AB119" i="23"/>
  <c r="A120" i="23"/>
  <c r="AJ119" i="23"/>
  <c r="AK119" i="23"/>
  <c r="O119" i="23"/>
  <c r="AG47" i="7" s="1"/>
  <c r="AC119" i="23"/>
  <c r="X118" i="24"/>
  <c r="L118" i="24"/>
  <c r="K118" i="24"/>
  <c r="AB118" i="24"/>
  <c r="A119" i="24"/>
  <c r="AK118" i="24"/>
  <c r="AJ118" i="24"/>
  <c r="O118" i="24"/>
  <c r="AC118" i="24"/>
  <c r="E124" i="15" l="1"/>
  <c r="L125" i="15"/>
  <c r="D125" i="15" s="1"/>
  <c r="AJ125" i="15"/>
  <c r="K125" i="15"/>
  <c r="AK125" i="15"/>
  <c r="A126" i="15"/>
  <c r="AB125" i="15"/>
  <c r="AC125" i="15"/>
  <c r="X125" i="15"/>
  <c r="O125" i="15"/>
  <c r="X124" i="16"/>
  <c r="AB124" i="16"/>
  <c r="K124" i="16"/>
  <c r="L124" i="16"/>
  <c r="D124" i="16" s="1"/>
  <c r="AK124" i="16"/>
  <c r="O124" i="16"/>
  <c r="A125" i="16"/>
  <c r="AJ124" i="16"/>
  <c r="AC124" i="16"/>
  <c r="E123" i="16"/>
  <c r="AB119" i="24"/>
  <c r="AE59" i="7"/>
  <c r="K119" i="24"/>
  <c r="A120" i="24"/>
  <c r="X119" i="24"/>
  <c r="L119" i="24"/>
  <c r="AJ119" i="24"/>
  <c r="AK119" i="24"/>
  <c r="O119" i="24"/>
  <c r="AG59" i="7" s="1"/>
  <c r="AC119" i="24"/>
  <c r="AF47" i="7"/>
  <c r="A124" i="18"/>
  <c r="K123" i="18"/>
  <c r="X123" i="18"/>
  <c r="L123" i="18"/>
  <c r="AB123" i="18"/>
  <c r="O123" i="18"/>
  <c r="AJ123" i="18"/>
  <c r="AK123" i="18"/>
  <c r="AC123" i="18"/>
  <c r="X118" i="25"/>
  <c r="K118" i="25"/>
  <c r="L118" i="25"/>
  <c r="AB118" i="25"/>
  <c r="A119" i="25"/>
  <c r="AJ118" i="25"/>
  <c r="AK118" i="25"/>
  <c r="O118" i="25"/>
  <c r="AC118" i="25"/>
  <c r="I123" i="1"/>
  <c r="G123" i="1"/>
  <c r="BW123" i="6" s="1"/>
  <c r="AA123" i="1"/>
  <c r="Z123" i="1" s="1"/>
  <c r="Y123" i="1" s="1"/>
  <c r="AB121" i="22"/>
  <c r="K121" i="22"/>
  <c r="L121" i="22"/>
  <c r="A122" i="22"/>
  <c r="X121" i="22"/>
  <c r="AJ121" i="22"/>
  <c r="AK121" i="22"/>
  <c r="O121" i="22"/>
  <c r="AC121" i="22"/>
  <c r="T125" i="1"/>
  <c r="D125" i="1"/>
  <c r="E125" i="1" s="1"/>
  <c r="F124" i="1"/>
  <c r="K120" i="23"/>
  <c r="A121" i="23"/>
  <c r="L120" i="23"/>
  <c r="X120" i="23"/>
  <c r="AB120" i="23"/>
  <c r="AJ120" i="23"/>
  <c r="AK120" i="23"/>
  <c r="O120" i="23"/>
  <c r="AC120" i="23"/>
  <c r="X122" i="20"/>
  <c r="AB122" i="20"/>
  <c r="K122" i="20"/>
  <c r="A123" i="20"/>
  <c r="L122" i="20"/>
  <c r="AJ122" i="20"/>
  <c r="AK122" i="20"/>
  <c r="O122" i="20"/>
  <c r="AC122" i="20"/>
  <c r="AA122" i="1"/>
  <c r="Z122" i="1" s="1"/>
  <c r="Y122" i="1" s="1"/>
  <c r="I122" i="1"/>
  <c r="G122" i="1"/>
  <c r="BW122" i="6" s="1"/>
  <c r="K124" i="17"/>
  <c r="A125" i="17"/>
  <c r="X124" i="17"/>
  <c r="L124" i="17"/>
  <c r="AB124" i="17"/>
  <c r="O124" i="17"/>
  <c r="AJ124" i="17"/>
  <c r="AK124" i="17"/>
  <c r="AC124" i="17"/>
  <c r="A127" i="1"/>
  <c r="AK126" i="1"/>
  <c r="X126" i="1"/>
  <c r="Q126" i="1"/>
  <c r="L126" i="1"/>
  <c r="AB126" i="1"/>
  <c r="O126" i="1"/>
  <c r="AJ126" i="1"/>
  <c r="AC126" i="1"/>
  <c r="K126" i="1"/>
  <c r="U126" i="1"/>
  <c r="X126" i="15" l="1"/>
  <c r="O126" i="15"/>
  <c r="AB126" i="15"/>
  <c r="AJ126" i="15"/>
  <c r="K126" i="15"/>
  <c r="AK126" i="15"/>
  <c r="L126" i="15"/>
  <c r="D126" i="15" s="1"/>
  <c r="A127" i="15"/>
  <c r="AC126" i="15"/>
  <c r="E125" i="15"/>
  <c r="E124" i="16"/>
  <c r="A126" i="16"/>
  <c r="L125" i="16"/>
  <c r="D125" i="16" s="1"/>
  <c r="AK125" i="16"/>
  <c r="AC125" i="16"/>
  <c r="X125" i="16"/>
  <c r="AB125" i="16"/>
  <c r="K125" i="16"/>
  <c r="AJ125" i="16"/>
  <c r="O125" i="16"/>
  <c r="T126" i="1"/>
  <c r="D126" i="1"/>
  <c r="E126" i="1" s="1"/>
  <c r="AJ127" i="1"/>
  <c r="O127" i="1"/>
  <c r="AB127" i="1"/>
  <c r="AC127" i="1"/>
  <c r="A128" i="1"/>
  <c r="K127" i="1"/>
  <c r="X127" i="1"/>
  <c r="AK127" i="1"/>
  <c r="L127" i="1"/>
  <c r="Q127" i="1"/>
  <c r="U127" i="1"/>
  <c r="T127" i="1" s="1"/>
  <c r="AB125" i="17"/>
  <c r="K125" i="17"/>
  <c r="X125" i="17"/>
  <c r="A126" i="17"/>
  <c r="L125" i="17"/>
  <c r="O125" i="17"/>
  <c r="AK125" i="17"/>
  <c r="AJ125" i="17"/>
  <c r="AC125" i="17"/>
  <c r="K121" i="23"/>
  <c r="X121" i="23"/>
  <c r="A122" i="23"/>
  <c r="AB121" i="23"/>
  <c r="L121" i="23"/>
  <c r="AJ121" i="23"/>
  <c r="AK121" i="23"/>
  <c r="O121" i="23"/>
  <c r="AC121" i="23"/>
  <c r="AA124" i="1"/>
  <c r="Z124" i="1" s="1"/>
  <c r="Y124" i="1" s="1"/>
  <c r="I124" i="1"/>
  <c r="G124" i="1"/>
  <c r="BW124" i="6" s="1"/>
  <c r="AE71" i="7"/>
  <c r="K119" i="25"/>
  <c r="A120" i="25"/>
  <c r="L119" i="25"/>
  <c r="AB119" i="25"/>
  <c r="X119" i="25"/>
  <c r="AJ119" i="25"/>
  <c r="O119" i="25"/>
  <c r="AG71" i="7" s="1"/>
  <c r="AK119" i="25"/>
  <c r="AC119" i="25"/>
  <c r="AF59" i="7"/>
  <c r="X120" i="24"/>
  <c r="L120" i="24"/>
  <c r="A121" i="24"/>
  <c r="K120" i="24"/>
  <c r="AB120" i="24"/>
  <c r="AK120" i="24"/>
  <c r="AJ120" i="24"/>
  <c r="O120" i="24"/>
  <c r="AC120" i="24"/>
  <c r="AB123" i="20"/>
  <c r="L123" i="20"/>
  <c r="X123" i="20"/>
  <c r="K123" i="20"/>
  <c r="A124" i="20"/>
  <c r="AJ123" i="20"/>
  <c r="AK123" i="20"/>
  <c r="O123" i="20"/>
  <c r="AC123" i="20"/>
  <c r="S125" i="1"/>
  <c r="R125" i="1" s="1"/>
  <c r="P125" i="1" s="1"/>
  <c r="V125" i="1" s="1"/>
  <c r="K122" i="22"/>
  <c r="AB122" i="22"/>
  <c r="A123" i="22"/>
  <c r="X122" i="22"/>
  <c r="L122" i="22"/>
  <c r="AK122" i="22"/>
  <c r="AJ122" i="22"/>
  <c r="O122" i="22"/>
  <c r="AC122" i="22"/>
  <c r="A125" i="18"/>
  <c r="L124" i="18"/>
  <c r="K124" i="18"/>
  <c r="AB124" i="18"/>
  <c r="X124" i="18"/>
  <c r="AK124" i="18"/>
  <c r="AJ124" i="18"/>
  <c r="O124" i="18"/>
  <c r="AC124" i="18"/>
  <c r="L127" i="15" l="1"/>
  <c r="D127" i="15" s="1"/>
  <c r="AK127" i="15"/>
  <c r="A128" i="15"/>
  <c r="K127" i="15"/>
  <c r="O127" i="15"/>
  <c r="E127" i="15" s="1"/>
  <c r="AB127" i="15"/>
  <c r="AC127" i="15"/>
  <c r="X127" i="15"/>
  <c r="AJ127" i="15"/>
  <c r="E126" i="15"/>
  <c r="AB126" i="16"/>
  <c r="X126" i="16"/>
  <c r="L126" i="16"/>
  <c r="D126" i="16" s="1"/>
  <c r="AK126" i="16"/>
  <c r="AC126" i="16"/>
  <c r="A127" i="16"/>
  <c r="K126" i="16"/>
  <c r="AJ126" i="16"/>
  <c r="O126" i="16"/>
  <c r="E125" i="16"/>
  <c r="A126" i="18"/>
  <c r="L125" i="18"/>
  <c r="K125" i="18"/>
  <c r="AB125" i="18"/>
  <c r="X125" i="18"/>
  <c r="AJ125" i="18"/>
  <c r="O125" i="18"/>
  <c r="AK125" i="18"/>
  <c r="AC125" i="18"/>
  <c r="AF71" i="7"/>
  <c r="X122" i="23"/>
  <c r="L122" i="23"/>
  <c r="A123" i="23"/>
  <c r="AB122" i="23"/>
  <c r="K122" i="23"/>
  <c r="AK122" i="23"/>
  <c r="AJ122" i="23"/>
  <c r="O122" i="23"/>
  <c r="AC122" i="23"/>
  <c r="K126" i="17"/>
  <c r="AB126" i="17"/>
  <c r="X126" i="17"/>
  <c r="A127" i="17"/>
  <c r="L126" i="17"/>
  <c r="AJ126" i="17"/>
  <c r="O126" i="17"/>
  <c r="AK126" i="17"/>
  <c r="AC126" i="17"/>
  <c r="S127" i="1"/>
  <c r="R127" i="1" s="1"/>
  <c r="P127" i="1" s="1"/>
  <c r="V127" i="1" s="1"/>
  <c r="D127" i="1"/>
  <c r="E127" i="1" s="1"/>
  <c r="AK128" i="1"/>
  <c r="L128" i="1"/>
  <c r="Q128" i="1"/>
  <c r="O128" i="1"/>
  <c r="K128" i="1"/>
  <c r="AC128" i="1"/>
  <c r="AJ128" i="1"/>
  <c r="X128" i="1"/>
  <c r="A129" i="1"/>
  <c r="AB128" i="1"/>
  <c r="U128" i="1"/>
  <c r="T128" i="1" s="1"/>
  <c r="S128" i="1" s="1"/>
  <c r="R128" i="1" s="1"/>
  <c r="P128" i="1" s="1"/>
  <c r="F125" i="1"/>
  <c r="X123" i="22"/>
  <c r="AB123" i="22"/>
  <c r="L123" i="22"/>
  <c r="K123" i="22"/>
  <c r="A124" i="22"/>
  <c r="AK123" i="22"/>
  <c r="AJ123" i="22"/>
  <c r="O123" i="22"/>
  <c r="AC123" i="22"/>
  <c r="K124" i="20"/>
  <c r="A125" i="20"/>
  <c r="X124" i="20"/>
  <c r="L124" i="20"/>
  <c r="AB124" i="20"/>
  <c r="AJ124" i="20"/>
  <c r="AK124" i="20"/>
  <c r="O124" i="20"/>
  <c r="AC124" i="20"/>
  <c r="A122" i="24"/>
  <c r="K121" i="24"/>
  <c r="X121" i="24"/>
  <c r="L121" i="24"/>
  <c r="AB121" i="24"/>
  <c r="AJ121" i="24"/>
  <c r="AK121" i="24"/>
  <c r="O121" i="24"/>
  <c r="AC121" i="24"/>
  <c r="A121" i="25"/>
  <c r="K120" i="25"/>
  <c r="L120" i="25"/>
  <c r="X120" i="25"/>
  <c r="AB120" i="25"/>
  <c r="AJ120" i="25"/>
  <c r="AK120" i="25"/>
  <c r="O120" i="25"/>
  <c r="AC120" i="25"/>
  <c r="S126" i="1"/>
  <c r="R126" i="1" s="1"/>
  <c r="P126" i="1" s="1"/>
  <c r="V126" i="1" s="1"/>
  <c r="F126" i="1" s="1"/>
  <c r="A129" i="15" l="1"/>
  <c r="O128" i="15"/>
  <c r="L128" i="15"/>
  <c r="D128" i="15" s="1"/>
  <c r="AK128" i="15"/>
  <c r="X128" i="15"/>
  <c r="AJ128" i="15"/>
  <c r="K128" i="15"/>
  <c r="AB128" i="15"/>
  <c r="AC128" i="15"/>
  <c r="F127" i="1"/>
  <c r="AA127" i="1" s="1"/>
  <c r="Z127" i="1" s="1"/>
  <c r="Y127" i="1" s="1"/>
  <c r="E126" i="16"/>
  <c r="AB127" i="16"/>
  <c r="K127" i="16"/>
  <c r="X127" i="16"/>
  <c r="AK127" i="16"/>
  <c r="O127" i="16"/>
  <c r="L127" i="16"/>
  <c r="D127" i="16" s="1"/>
  <c r="A128" i="16"/>
  <c r="AJ127" i="16"/>
  <c r="AC127" i="16"/>
  <c r="I126" i="1"/>
  <c r="AA126" i="1"/>
  <c r="Z126" i="1" s="1"/>
  <c r="Y126" i="1" s="1"/>
  <c r="G126" i="1"/>
  <c r="BW126" i="6" s="1"/>
  <c r="K121" i="25"/>
  <c r="AB121" i="25"/>
  <c r="A122" i="25"/>
  <c r="L121" i="25"/>
  <c r="X121" i="25"/>
  <c r="AJ121" i="25"/>
  <c r="AK121" i="25"/>
  <c r="O121" i="25"/>
  <c r="AC121" i="25"/>
  <c r="X124" i="22"/>
  <c r="AB124" i="22"/>
  <c r="K124" i="22"/>
  <c r="L124" i="22"/>
  <c r="A125" i="22"/>
  <c r="AJ124" i="22"/>
  <c r="AK124" i="22"/>
  <c r="O124" i="22"/>
  <c r="AC124" i="22"/>
  <c r="A130" i="1"/>
  <c r="K129" i="1"/>
  <c r="AK129" i="1"/>
  <c r="AJ129" i="1"/>
  <c r="O129" i="1"/>
  <c r="X129" i="1"/>
  <c r="L129" i="1"/>
  <c r="AC129" i="1"/>
  <c r="Q129" i="1"/>
  <c r="AB129" i="1"/>
  <c r="U129" i="1"/>
  <c r="T129" i="1" s="1"/>
  <c r="A128" i="17"/>
  <c r="L127" i="17"/>
  <c r="AB127" i="17"/>
  <c r="K127" i="17"/>
  <c r="X127" i="17"/>
  <c r="O127" i="17"/>
  <c r="AJ127" i="17"/>
  <c r="AK127" i="17"/>
  <c r="AC127" i="17"/>
  <c r="K123" i="23"/>
  <c r="X123" i="23"/>
  <c r="L123" i="23"/>
  <c r="AB123" i="23"/>
  <c r="A124" i="23"/>
  <c r="AJ123" i="23"/>
  <c r="AK123" i="23"/>
  <c r="O123" i="23"/>
  <c r="AC123" i="23"/>
  <c r="AB126" i="18"/>
  <c r="L126" i="18"/>
  <c r="K126" i="18"/>
  <c r="A127" i="18"/>
  <c r="X126" i="18"/>
  <c r="AJ126" i="18"/>
  <c r="O126" i="18"/>
  <c r="AK126" i="18"/>
  <c r="AC126" i="18"/>
  <c r="K122" i="24"/>
  <c r="AB122" i="24"/>
  <c r="X122" i="24"/>
  <c r="A123" i="24"/>
  <c r="L122" i="24"/>
  <c r="AJ122" i="24"/>
  <c r="AK122" i="24"/>
  <c r="O122" i="24"/>
  <c r="AC122" i="24"/>
  <c r="X125" i="20"/>
  <c r="A126" i="20"/>
  <c r="L125" i="20"/>
  <c r="AB125" i="20"/>
  <c r="K125" i="20"/>
  <c r="AJ125" i="20"/>
  <c r="AK125" i="20"/>
  <c r="O125" i="20"/>
  <c r="AC125" i="20"/>
  <c r="G125" i="1"/>
  <c r="BW125" i="6" s="1"/>
  <c r="I125" i="1"/>
  <c r="AA125" i="1"/>
  <c r="Z125" i="1" s="1"/>
  <c r="Y125" i="1" s="1"/>
  <c r="D128" i="1"/>
  <c r="E128" i="1" s="1"/>
  <c r="V128" i="1"/>
  <c r="I127" i="1" l="1"/>
  <c r="E128" i="15"/>
  <c r="L129" i="15"/>
  <c r="D129" i="15" s="1"/>
  <c r="X129" i="15"/>
  <c r="AC129" i="15"/>
  <c r="A130" i="15"/>
  <c r="O129" i="15"/>
  <c r="E129" i="15" s="1"/>
  <c r="AB129" i="15"/>
  <c r="AJ129" i="15"/>
  <c r="K129" i="15"/>
  <c r="AK129" i="15"/>
  <c r="G127" i="1"/>
  <c r="BW127" i="6" s="1"/>
  <c r="E127" i="16"/>
  <c r="X128" i="16"/>
  <c r="L128" i="16"/>
  <c r="D128" i="16" s="1"/>
  <c r="K128" i="16"/>
  <c r="AK128" i="16"/>
  <c r="O128" i="16"/>
  <c r="A129" i="16"/>
  <c r="AB128" i="16"/>
  <c r="AJ128" i="16"/>
  <c r="AC128" i="16"/>
  <c r="F128" i="1"/>
  <c r="K126" i="20"/>
  <c r="X126" i="20"/>
  <c r="AB126" i="20"/>
  <c r="A127" i="20"/>
  <c r="L126" i="20"/>
  <c r="AK126" i="20"/>
  <c r="AJ126" i="20"/>
  <c r="O126" i="20"/>
  <c r="AC126" i="20"/>
  <c r="L127" i="18"/>
  <c r="A128" i="18"/>
  <c r="AB127" i="18"/>
  <c r="X127" i="18"/>
  <c r="K127" i="18"/>
  <c r="AJ127" i="18"/>
  <c r="O127" i="18"/>
  <c r="AK127" i="18"/>
  <c r="AC127" i="18"/>
  <c r="L128" i="17"/>
  <c r="K128" i="17"/>
  <c r="X128" i="17"/>
  <c r="AB128" i="17"/>
  <c r="A129" i="17"/>
  <c r="O128" i="17"/>
  <c r="AJ128" i="17"/>
  <c r="AK128" i="17"/>
  <c r="AC128" i="17"/>
  <c r="K125" i="22"/>
  <c r="A126" i="22"/>
  <c r="AB125" i="22"/>
  <c r="X125" i="22"/>
  <c r="L125" i="22"/>
  <c r="AJ125" i="22"/>
  <c r="AK125" i="22"/>
  <c r="O125" i="22"/>
  <c r="AC125" i="22"/>
  <c r="A123" i="25"/>
  <c r="AB122" i="25"/>
  <c r="X122" i="25"/>
  <c r="L122" i="25"/>
  <c r="K122" i="25"/>
  <c r="AK122" i="25"/>
  <c r="AJ122" i="25"/>
  <c r="O122" i="25"/>
  <c r="AC122" i="25"/>
  <c r="X123" i="24"/>
  <c r="L123" i="24"/>
  <c r="K123" i="24"/>
  <c r="A124" i="24"/>
  <c r="AB123" i="24"/>
  <c r="AK123" i="24"/>
  <c r="AJ123" i="24"/>
  <c r="O123" i="24"/>
  <c r="AC123" i="24"/>
  <c r="X124" i="23"/>
  <c r="AB124" i="23"/>
  <c r="A125" i="23"/>
  <c r="L124" i="23"/>
  <c r="K124" i="23"/>
  <c r="AJ124" i="23"/>
  <c r="AK124" i="23"/>
  <c r="O124" i="23"/>
  <c r="AC124" i="23"/>
  <c r="S129" i="1"/>
  <c r="R129" i="1" s="1"/>
  <c r="P129" i="1" s="1"/>
  <c r="V129" i="1" s="1"/>
  <c r="D129" i="1"/>
  <c r="E129" i="1" s="1"/>
  <c r="A131" i="1"/>
  <c r="AK130" i="1"/>
  <c r="K130" i="1"/>
  <c r="L130" i="1"/>
  <c r="AC130" i="1"/>
  <c r="O130" i="1"/>
  <c r="AJ130" i="1"/>
  <c r="AB130" i="1"/>
  <c r="X130" i="1"/>
  <c r="Q130" i="1"/>
  <c r="U130" i="1"/>
  <c r="T130" i="1" s="1"/>
  <c r="A131" i="15" l="1"/>
  <c r="AJ130" i="15"/>
  <c r="K130" i="15"/>
  <c r="X130" i="15"/>
  <c r="AC130" i="15"/>
  <c r="L130" i="15"/>
  <c r="D130" i="15" s="1"/>
  <c r="O130" i="15"/>
  <c r="AB130" i="15"/>
  <c r="AK130" i="15"/>
  <c r="E128" i="16"/>
  <c r="X129" i="16"/>
  <c r="K129" i="16"/>
  <c r="L129" i="16"/>
  <c r="D129" i="16" s="1"/>
  <c r="AK129" i="16"/>
  <c r="O129" i="16"/>
  <c r="AB129" i="16"/>
  <c r="A130" i="16"/>
  <c r="AJ129" i="16"/>
  <c r="AC129" i="16"/>
  <c r="S130" i="1"/>
  <c r="R130" i="1" s="1"/>
  <c r="P130" i="1" s="1"/>
  <c r="V130" i="1" s="1"/>
  <c r="A132" i="1"/>
  <c r="L131" i="1"/>
  <c r="AC131" i="1"/>
  <c r="K131" i="1"/>
  <c r="AB131" i="1"/>
  <c r="O131" i="1"/>
  <c r="X131" i="1"/>
  <c r="AJ131" i="1"/>
  <c r="AK131" i="1"/>
  <c r="Q131" i="1"/>
  <c r="U131" i="1"/>
  <c r="T131" i="1" s="1"/>
  <c r="F129" i="1"/>
  <c r="A127" i="22"/>
  <c r="AB126" i="22"/>
  <c r="L126" i="22"/>
  <c r="X126" i="22"/>
  <c r="K126" i="22"/>
  <c r="AJ126" i="22"/>
  <c r="AK126" i="22"/>
  <c r="O126" i="22"/>
  <c r="AC126" i="22"/>
  <c r="AB129" i="17"/>
  <c r="X129" i="17"/>
  <c r="K129" i="17"/>
  <c r="A130" i="17"/>
  <c r="L129" i="17"/>
  <c r="AJ129" i="17"/>
  <c r="O129" i="17"/>
  <c r="AK129" i="17"/>
  <c r="AC129" i="17"/>
  <c r="X128" i="18"/>
  <c r="A129" i="18"/>
  <c r="AB128" i="18"/>
  <c r="L128" i="18"/>
  <c r="K128" i="18"/>
  <c r="AJ128" i="18"/>
  <c r="AK128" i="18"/>
  <c r="O128" i="18"/>
  <c r="AC128" i="18"/>
  <c r="AA128" i="1"/>
  <c r="Z128" i="1" s="1"/>
  <c r="Y128" i="1" s="1"/>
  <c r="I128" i="1"/>
  <c r="G128" i="1"/>
  <c r="BW128" i="6" s="1"/>
  <c r="D130" i="1"/>
  <c r="E130" i="1" s="1"/>
  <c r="A126" i="23"/>
  <c r="K125" i="23"/>
  <c r="X125" i="23"/>
  <c r="AB125" i="23"/>
  <c r="L125" i="23"/>
  <c r="AJ125" i="23"/>
  <c r="AK125" i="23"/>
  <c r="O125" i="23"/>
  <c r="AC125" i="23"/>
  <c r="AB124" i="24"/>
  <c r="L124" i="24"/>
  <c r="A125" i="24"/>
  <c r="X124" i="24"/>
  <c r="K124" i="24"/>
  <c r="AJ124" i="24"/>
  <c r="AK124" i="24"/>
  <c r="O124" i="24"/>
  <c r="AC124" i="24"/>
  <c r="AB123" i="25"/>
  <c r="K123" i="25"/>
  <c r="A124" i="25"/>
  <c r="L123" i="25"/>
  <c r="X123" i="25"/>
  <c r="AJ123" i="25"/>
  <c r="O123" i="25"/>
  <c r="AK123" i="25"/>
  <c r="AC123" i="25"/>
  <c r="A128" i="20"/>
  <c r="AB127" i="20"/>
  <c r="L127" i="20"/>
  <c r="X127" i="20"/>
  <c r="K127" i="20"/>
  <c r="AJ127" i="20"/>
  <c r="AK127" i="20"/>
  <c r="O127" i="20"/>
  <c r="AC127" i="20"/>
  <c r="F130" i="1" l="1"/>
  <c r="AA130" i="1" s="1"/>
  <c r="Z130" i="1" s="1"/>
  <c r="Y130" i="1" s="1"/>
  <c r="E130" i="15"/>
  <c r="K131" i="15"/>
  <c r="AK131" i="15"/>
  <c r="A132" i="15"/>
  <c r="AB131" i="15"/>
  <c r="AC131" i="15"/>
  <c r="X131" i="15"/>
  <c r="O131" i="15"/>
  <c r="L131" i="15"/>
  <c r="D131" i="15" s="1"/>
  <c r="AJ131" i="15"/>
  <c r="A131" i="16"/>
  <c r="AB130" i="16"/>
  <c r="X130" i="16"/>
  <c r="AJ130" i="16"/>
  <c r="O130" i="16"/>
  <c r="L130" i="16"/>
  <c r="D130" i="16" s="1"/>
  <c r="K130" i="16"/>
  <c r="AK130" i="16"/>
  <c r="AC130" i="16"/>
  <c r="E129" i="16"/>
  <c r="K124" i="25"/>
  <c r="L124" i="25"/>
  <c r="AB124" i="25"/>
  <c r="X124" i="25"/>
  <c r="A125" i="25"/>
  <c r="AJ124" i="25"/>
  <c r="O124" i="25"/>
  <c r="AK124" i="25"/>
  <c r="AC124" i="25"/>
  <c r="AB126" i="23"/>
  <c r="L126" i="23"/>
  <c r="X126" i="23"/>
  <c r="K126" i="23"/>
  <c r="A127" i="23"/>
  <c r="AJ126" i="23"/>
  <c r="AK126" i="23"/>
  <c r="O126" i="23"/>
  <c r="AC126" i="23"/>
  <c r="A130" i="18"/>
  <c r="AB129" i="18"/>
  <c r="X129" i="18"/>
  <c r="L129" i="18"/>
  <c r="K129" i="18"/>
  <c r="AJ129" i="18"/>
  <c r="AK129" i="18"/>
  <c r="O129" i="18"/>
  <c r="AC129" i="18"/>
  <c r="S131" i="1"/>
  <c r="R131" i="1" s="1"/>
  <c r="P131" i="1" s="1"/>
  <c r="V131" i="1" s="1"/>
  <c r="K132" i="1"/>
  <c r="L132" i="1"/>
  <c r="AJ132" i="1"/>
  <c r="AC132" i="1"/>
  <c r="X132" i="1"/>
  <c r="AK132" i="1"/>
  <c r="O132" i="1"/>
  <c r="Q132" i="1"/>
  <c r="A133" i="1"/>
  <c r="AB132" i="1"/>
  <c r="U132" i="1"/>
  <c r="K128" i="20"/>
  <c r="AB128" i="20"/>
  <c r="A129" i="20"/>
  <c r="L128" i="20"/>
  <c r="X128" i="20"/>
  <c r="AJ128" i="20"/>
  <c r="AK128" i="20"/>
  <c r="O128" i="20"/>
  <c r="AC128" i="20"/>
  <c r="A126" i="24"/>
  <c r="K125" i="24"/>
  <c r="X125" i="24"/>
  <c r="L125" i="24"/>
  <c r="AB125" i="24"/>
  <c r="AK125" i="24"/>
  <c r="AJ125" i="24"/>
  <c r="O125" i="24"/>
  <c r="AC125" i="24"/>
  <c r="X130" i="17"/>
  <c r="A131" i="17"/>
  <c r="L130" i="17"/>
  <c r="K130" i="17"/>
  <c r="AB130" i="17"/>
  <c r="AJ130" i="17"/>
  <c r="O130" i="17"/>
  <c r="AK130" i="17"/>
  <c r="AC130" i="17"/>
  <c r="A128" i="22"/>
  <c r="X127" i="22"/>
  <c r="L127" i="22"/>
  <c r="AB127" i="22"/>
  <c r="K127" i="22"/>
  <c r="AJ127" i="22"/>
  <c r="AK127" i="22"/>
  <c r="O127" i="22"/>
  <c r="AC127" i="22"/>
  <c r="I129" i="1"/>
  <c r="G129" i="1"/>
  <c r="BW129" i="6" s="1"/>
  <c r="AA129" i="1"/>
  <c r="Z129" i="1" s="1"/>
  <c r="Y129" i="1" s="1"/>
  <c r="D131" i="1"/>
  <c r="E131" i="1" s="1"/>
  <c r="G130" i="1" l="1"/>
  <c r="BW130" i="6" s="1"/>
  <c r="I130" i="1"/>
  <c r="A133" i="15"/>
  <c r="AK132" i="15"/>
  <c r="X132" i="15"/>
  <c r="L132" i="15"/>
  <c r="D132" i="15" s="1"/>
  <c r="AC132" i="15"/>
  <c r="K132" i="15"/>
  <c r="O132" i="15"/>
  <c r="AB132" i="15"/>
  <c r="AJ132" i="15"/>
  <c r="E131" i="15"/>
  <c r="E130" i="16"/>
  <c r="K131" i="16"/>
  <c r="X131" i="16"/>
  <c r="AJ131" i="16"/>
  <c r="AC131" i="16"/>
  <c r="L131" i="16"/>
  <c r="D131" i="16" s="1"/>
  <c r="AB131" i="16"/>
  <c r="A132" i="16"/>
  <c r="AK131" i="16"/>
  <c r="O131" i="16"/>
  <c r="F131" i="1"/>
  <c r="A129" i="22"/>
  <c r="L128" i="22"/>
  <c r="AB128" i="22"/>
  <c r="K128" i="22"/>
  <c r="X128" i="22"/>
  <c r="AJ128" i="22"/>
  <c r="AK128" i="22"/>
  <c r="O128" i="22"/>
  <c r="AC128" i="22"/>
  <c r="A132" i="17"/>
  <c r="X131" i="17"/>
  <c r="AB131" i="17"/>
  <c r="L131" i="17"/>
  <c r="K131" i="17"/>
  <c r="AK131" i="17"/>
  <c r="AJ131" i="17"/>
  <c r="O131" i="17"/>
  <c r="AC131" i="17"/>
  <c r="K129" i="20"/>
  <c r="AB129" i="20"/>
  <c r="A130" i="20"/>
  <c r="X129" i="20"/>
  <c r="L129" i="20"/>
  <c r="AJ129" i="20"/>
  <c r="AK129" i="20"/>
  <c r="O129" i="20"/>
  <c r="AC129" i="20"/>
  <c r="D132" i="1"/>
  <c r="E132" i="1" s="1"/>
  <c r="L130" i="18"/>
  <c r="AB130" i="18"/>
  <c r="K130" i="18"/>
  <c r="X130" i="18"/>
  <c r="A131" i="18"/>
  <c r="AJ130" i="18"/>
  <c r="AK130" i="18"/>
  <c r="O130" i="18"/>
  <c r="AC130" i="18"/>
  <c r="A128" i="23"/>
  <c r="X127" i="23"/>
  <c r="L127" i="23"/>
  <c r="AB127" i="23"/>
  <c r="K127" i="23"/>
  <c r="AJ127" i="23"/>
  <c r="AK127" i="23"/>
  <c r="O127" i="23"/>
  <c r="AC127" i="23"/>
  <c r="K126" i="24"/>
  <c r="AB126" i="24"/>
  <c r="L126" i="24"/>
  <c r="A127" i="24"/>
  <c r="X126" i="24"/>
  <c r="AJ126" i="24"/>
  <c r="AK126" i="24"/>
  <c r="O126" i="24"/>
  <c r="AC126" i="24"/>
  <c r="T132" i="1"/>
  <c r="AJ133" i="1"/>
  <c r="AK133" i="1"/>
  <c r="Q133" i="1"/>
  <c r="K133" i="1"/>
  <c r="O133" i="1"/>
  <c r="X133" i="1"/>
  <c r="AC133" i="1"/>
  <c r="A134" i="1"/>
  <c r="L133" i="1"/>
  <c r="AB133" i="1"/>
  <c r="U133" i="1"/>
  <c r="T133" i="1" s="1"/>
  <c r="AB125" i="25"/>
  <c r="X125" i="25"/>
  <c r="K125" i="25"/>
  <c r="L125" i="25"/>
  <c r="A126" i="25"/>
  <c r="AJ125" i="25"/>
  <c r="O125" i="25"/>
  <c r="AK125" i="25"/>
  <c r="AC125" i="25"/>
  <c r="E132" i="15" l="1"/>
  <c r="O133" i="15"/>
  <c r="L133" i="15"/>
  <c r="D133" i="15" s="1"/>
  <c r="AJ133" i="15"/>
  <c r="X133" i="15"/>
  <c r="A134" i="15"/>
  <c r="K133" i="15"/>
  <c r="AB133" i="15"/>
  <c r="AC133" i="15"/>
  <c r="AK133" i="15"/>
  <c r="A133" i="16"/>
  <c r="L132" i="16"/>
  <c r="D132" i="16" s="1"/>
  <c r="K132" i="16"/>
  <c r="AK132" i="16"/>
  <c r="O132" i="16"/>
  <c r="X132" i="16"/>
  <c r="AB132" i="16"/>
  <c r="AJ132" i="16"/>
  <c r="AC132" i="16"/>
  <c r="E131" i="16"/>
  <c r="S133" i="1"/>
  <c r="R133" i="1" s="1"/>
  <c r="P133" i="1" s="1"/>
  <c r="V133" i="1" s="1"/>
  <c r="D133" i="1"/>
  <c r="E133" i="1" s="1"/>
  <c r="S132" i="1"/>
  <c r="R132" i="1" s="1"/>
  <c r="P132" i="1" s="1"/>
  <c r="V132" i="1" s="1"/>
  <c r="K127" i="24"/>
  <c r="A128" i="24"/>
  <c r="L127" i="24"/>
  <c r="AB127" i="24"/>
  <c r="X127" i="24"/>
  <c r="AK127" i="24"/>
  <c r="AJ127" i="24"/>
  <c r="O127" i="24"/>
  <c r="AC127" i="24"/>
  <c r="K131" i="18"/>
  <c r="AB131" i="18"/>
  <c r="X131" i="18"/>
  <c r="L131" i="18"/>
  <c r="A132" i="18"/>
  <c r="AJ131" i="18"/>
  <c r="O131" i="18"/>
  <c r="AK131" i="18"/>
  <c r="AC131" i="18"/>
  <c r="A133" i="17"/>
  <c r="X132" i="17"/>
  <c r="L132" i="17"/>
  <c r="K132" i="17"/>
  <c r="AB132" i="17"/>
  <c r="AJ132" i="17"/>
  <c r="O132" i="17"/>
  <c r="AK132" i="17"/>
  <c r="AC132" i="17"/>
  <c r="I131" i="1"/>
  <c r="G131" i="1"/>
  <c r="BW131" i="6" s="1"/>
  <c r="AA131" i="1"/>
  <c r="Z131" i="1" s="1"/>
  <c r="Y131" i="1" s="1"/>
  <c r="K126" i="25"/>
  <c r="X126" i="25"/>
  <c r="A127" i="25"/>
  <c r="L126" i="25"/>
  <c r="AB126" i="25"/>
  <c r="AJ126" i="25"/>
  <c r="O126" i="25"/>
  <c r="AK126" i="25"/>
  <c r="AC126" i="25"/>
  <c r="L134" i="1"/>
  <c r="AJ134" i="1"/>
  <c r="Q134" i="1"/>
  <c r="O134" i="1"/>
  <c r="A135" i="1"/>
  <c r="AK134" i="1"/>
  <c r="AC134" i="1"/>
  <c r="AB134" i="1"/>
  <c r="X134" i="1"/>
  <c r="K134" i="1"/>
  <c r="U134" i="1"/>
  <c r="T134" i="1" s="1"/>
  <c r="X128" i="23"/>
  <c r="K128" i="23"/>
  <c r="A129" i="23"/>
  <c r="AB128" i="23"/>
  <c r="L128" i="23"/>
  <c r="AJ128" i="23"/>
  <c r="AK128" i="23"/>
  <c r="O128" i="23"/>
  <c r="AC128" i="23"/>
  <c r="K130" i="20"/>
  <c r="A131" i="20"/>
  <c r="X130" i="20"/>
  <c r="AB130" i="20"/>
  <c r="L130" i="20"/>
  <c r="AJ130" i="20"/>
  <c r="AK130" i="20"/>
  <c r="O130" i="20"/>
  <c r="AC130" i="20"/>
  <c r="A130" i="22"/>
  <c r="AB129" i="22"/>
  <c r="L129" i="22"/>
  <c r="K129" i="22"/>
  <c r="X129" i="22"/>
  <c r="AK129" i="22"/>
  <c r="AJ129" i="22"/>
  <c r="O129" i="22"/>
  <c r="AC129" i="22"/>
  <c r="E133" i="15" l="1"/>
  <c r="AB134" i="15"/>
  <c r="AJ134" i="15"/>
  <c r="X134" i="15"/>
  <c r="AK134" i="15"/>
  <c r="K134" i="15"/>
  <c r="L134" i="15"/>
  <c r="D134" i="15" s="1"/>
  <c r="O134" i="15"/>
  <c r="A135" i="15"/>
  <c r="AC134" i="15"/>
  <c r="E132" i="16"/>
  <c r="AB133" i="16"/>
  <c r="K133" i="16"/>
  <c r="X133" i="16"/>
  <c r="AJ133" i="16"/>
  <c r="O133" i="16"/>
  <c r="A134" i="16"/>
  <c r="L133" i="16"/>
  <c r="D133" i="16" s="1"/>
  <c r="AK133" i="16"/>
  <c r="AC133" i="16"/>
  <c r="AB129" i="23"/>
  <c r="A130" i="23"/>
  <c r="X129" i="23"/>
  <c r="L129" i="23"/>
  <c r="K129" i="23"/>
  <c r="AJ129" i="23"/>
  <c r="AK129" i="23"/>
  <c r="O129" i="23"/>
  <c r="AC129" i="23"/>
  <c r="X127" i="25"/>
  <c r="L127" i="25"/>
  <c r="K127" i="25"/>
  <c r="A128" i="25"/>
  <c r="AB127" i="25"/>
  <c r="AJ127" i="25"/>
  <c r="O127" i="25"/>
  <c r="AK127" i="25"/>
  <c r="AC127" i="25"/>
  <c r="X133" i="17"/>
  <c r="K133" i="17"/>
  <c r="AB133" i="17"/>
  <c r="L133" i="17"/>
  <c r="A134" i="17"/>
  <c r="O133" i="17"/>
  <c r="AK133" i="17"/>
  <c r="AJ133" i="17"/>
  <c r="AC133" i="17"/>
  <c r="K128" i="24"/>
  <c r="X128" i="24"/>
  <c r="L128" i="24"/>
  <c r="A129" i="24"/>
  <c r="AB128" i="24"/>
  <c r="AJ128" i="24"/>
  <c r="AK128" i="24"/>
  <c r="O128" i="24"/>
  <c r="AC128" i="24"/>
  <c r="K130" i="22"/>
  <c r="A131" i="22"/>
  <c r="X130" i="22"/>
  <c r="AB130" i="22"/>
  <c r="L130" i="22"/>
  <c r="AJ130" i="22"/>
  <c r="AK130" i="22"/>
  <c r="O130" i="22"/>
  <c r="AC130" i="22"/>
  <c r="A132" i="20"/>
  <c r="L131" i="20"/>
  <c r="K131" i="20"/>
  <c r="X131" i="20"/>
  <c r="AB131" i="20"/>
  <c r="AK131" i="20"/>
  <c r="AJ131" i="20"/>
  <c r="O131" i="20"/>
  <c r="AC131" i="20"/>
  <c r="S134" i="1"/>
  <c r="R134" i="1" s="1"/>
  <c r="P134" i="1" s="1"/>
  <c r="V134" i="1" s="1"/>
  <c r="AB135" i="1"/>
  <c r="AK135" i="1"/>
  <c r="Q135" i="1"/>
  <c r="A136" i="1"/>
  <c r="AC135" i="1"/>
  <c r="X135" i="1"/>
  <c r="L135" i="1"/>
  <c r="K135" i="1"/>
  <c r="O135" i="1"/>
  <c r="AJ135" i="1"/>
  <c r="U135" i="1"/>
  <c r="T135" i="1" s="1"/>
  <c r="D134" i="1"/>
  <c r="E134" i="1" s="1"/>
  <c r="K132" i="18"/>
  <c r="L132" i="18"/>
  <c r="AB132" i="18"/>
  <c r="X132" i="18"/>
  <c r="A133" i="18"/>
  <c r="O132" i="18"/>
  <c r="AJ132" i="18"/>
  <c r="AK132" i="18"/>
  <c r="AC132" i="18"/>
  <c r="F133" i="1"/>
  <c r="F132" i="1"/>
  <c r="E133" i="16" l="1"/>
  <c r="E134" i="15"/>
  <c r="O135" i="15"/>
  <c r="AB135" i="15"/>
  <c r="AK135" i="15"/>
  <c r="K135" i="15"/>
  <c r="L135" i="15"/>
  <c r="D135" i="15" s="1"/>
  <c r="A136" i="15"/>
  <c r="X135" i="15"/>
  <c r="AC135" i="15"/>
  <c r="AJ135" i="15"/>
  <c r="F134" i="1"/>
  <c r="AA134" i="1" s="1"/>
  <c r="Z134" i="1" s="1"/>
  <c r="Y134" i="1" s="1"/>
  <c r="A135" i="16"/>
  <c r="K134" i="16"/>
  <c r="AB134" i="16"/>
  <c r="AK134" i="16"/>
  <c r="O134" i="16"/>
  <c r="X134" i="16"/>
  <c r="L134" i="16"/>
  <c r="D134" i="16" s="1"/>
  <c r="E134" i="16" s="1"/>
  <c r="AJ134" i="16"/>
  <c r="AC134" i="16"/>
  <c r="I134" i="1"/>
  <c r="I132" i="1"/>
  <c r="G132" i="1"/>
  <c r="BW132" i="6" s="1"/>
  <c r="AA132" i="1"/>
  <c r="Z132" i="1" s="1"/>
  <c r="Y132" i="1" s="1"/>
  <c r="X133" i="18"/>
  <c r="A134" i="18"/>
  <c r="K133" i="18"/>
  <c r="AB133" i="18"/>
  <c r="L133" i="18"/>
  <c r="AJ133" i="18"/>
  <c r="O133" i="18"/>
  <c r="AK133" i="18"/>
  <c r="AC133" i="18"/>
  <c r="K136" i="1"/>
  <c r="A137" i="1"/>
  <c r="X136" i="1"/>
  <c r="L136" i="1"/>
  <c r="AJ136" i="1"/>
  <c r="AK136" i="1"/>
  <c r="AB136" i="1"/>
  <c r="AC136" i="1"/>
  <c r="O136" i="1"/>
  <c r="Q136" i="1"/>
  <c r="U136" i="1"/>
  <c r="T136" i="1" s="1"/>
  <c r="A133" i="20"/>
  <c r="AB132" i="20"/>
  <c r="L132" i="20"/>
  <c r="K132" i="20"/>
  <c r="X132" i="20"/>
  <c r="AJ132" i="20"/>
  <c r="AK132" i="20"/>
  <c r="O132" i="20"/>
  <c r="AC132" i="20"/>
  <c r="AB131" i="22"/>
  <c r="A132" i="22"/>
  <c r="K131" i="22"/>
  <c r="L131" i="22"/>
  <c r="X131" i="22"/>
  <c r="AJ131" i="22"/>
  <c r="AK131" i="22"/>
  <c r="O131" i="22"/>
  <c r="AC131" i="22"/>
  <c r="K128" i="25"/>
  <c r="L128" i="25"/>
  <c r="A129" i="25"/>
  <c r="AB128" i="25"/>
  <c r="X128" i="25"/>
  <c r="AK128" i="25"/>
  <c r="AJ128" i="25"/>
  <c r="O128" i="25"/>
  <c r="AC128" i="25"/>
  <c r="X130" i="23"/>
  <c r="AB130" i="23"/>
  <c r="K130" i="23"/>
  <c r="L130" i="23"/>
  <c r="A131" i="23"/>
  <c r="AK130" i="23"/>
  <c r="AJ130" i="23"/>
  <c r="O130" i="23"/>
  <c r="AC130" i="23"/>
  <c r="AA133" i="1"/>
  <c r="Z133" i="1" s="1"/>
  <c r="Y133" i="1" s="1"/>
  <c r="I133" i="1"/>
  <c r="G133" i="1"/>
  <c r="BW133" i="6" s="1"/>
  <c r="S135" i="1"/>
  <c r="R135" i="1" s="1"/>
  <c r="P135" i="1" s="1"/>
  <c r="V135" i="1" s="1"/>
  <c r="D135" i="1"/>
  <c r="E135" i="1" s="1"/>
  <c r="AB129" i="24"/>
  <c r="L129" i="24"/>
  <c r="K129" i="24"/>
  <c r="X129" i="24"/>
  <c r="A130" i="24"/>
  <c r="AK129" i="24"/>
  <c r="AJ129" i="24"/>
  <c r="O129" i="24"/>
  <c r="AC129" i="24"/>
  <c r="AB134" i="17"/>
  <c r="A135" i="17"/>
  <c r="X134" i="17"/>
  <c r="K134" i="17"/>
  <c r="L134" i="17"/>
  <c r="AJ134" i="17"/>
  <c r="O134" i="17"/>
  <c r="AK134" i="17"/>
  <c r="AC134" i="17"/>
  <c r="E135" i="15" l="1"/>
  <c r="X136" i="15"/>
  <c r="AK136" i="15"/>
  <c r="K136" i="15"/>
  <c r="AJ136" i="15"/>
  <c r="L136" i="15"/>
  <c r="D136" i="15" s="1"/>
  <c r="AB136" i="15"/>
  <c r="AC136" i="15"/>
  <c r="A137" i="15"/>
  <c r="O136" i="15"/>
  <c r="G134" i="1"/>
  <c r="BW134" i="6" s="1"/>
  <c r="X135" i="16"/>
  <c r="L135" i="16"/>
  <c r="D135" i="16" s="1"/>
  <c r="AK135" i="16"/>
  <c r="AC135" i="16"/>
  <c r="AB135" i="16"/>
  <c r="K135" i="16"/>
  <c r="A136" i="16"/>
  <c r="AJ135" i="16"/>
  <c r="O135" i="16"/>
  <c r="F135" i="1"/>
  <c r="A136" i="17"/>
  <c r="L135" i="17"/>
  <c r="X135" i="17"/>
  <c r="K135" i="17"/>
  <c r="AB135" i="17"/>
  <c r="AJ135" i="17"/>
  <c r="O135" i="17"/>
  <c r="AK135" i="17"/>
  <c r="AC135" i="17"/>
  <c r="X130" i="24"/>
  <c r="K130" i="24"/>
  <c r="AB130" i="24"/>
  <c r="A131" i="24"/>
  <c r="L130" i="24"/>
  <c r="AJ130" i="24"/>
  <c r="AK130" i="24"/>
  <c r="O130" i="24"/>
  <c r="AC130" i="24"/>
  <c r="AB131" i="23"/>
  <c r="A132" i="23"/>
  <c r="K131" i="23"/>
  <c r="X131" i="23"/>
  <c r="L131" i="23"/>
  <c r="AJ131" i="23"/>
  <c r="AK131" i="23"/>
  <c r="O131" i="23"/>
  <c r="AC131" i="23"/>
  <c r="X132" i="22"/>
  <c r="K132" i="22"/>
  <c r="AB132" i="22"/>
  <c r="A133" i="22"/>
  <c r="L132" i="22"/>
  <c r="AJ132" i="22"/>
  <c r="AK132" i="22"/>
  <c r="O132" i="22"/>
  <c r="AC132" i="22"/>
  <c r="A134" i="20"/>
  <c r="K133" i="20"/>
  <c r="AB133" i="20"/>
  <c r="X133" i="20"/>
  <c r="L133" i="20"/>
  <c r="AJ133" i="20"/>
  <c r="AK133" i="20"/>
  <c r="O133" i="20"/>
  <c r="AC133" i="20"/>
  <c r="D136" i="1"/>
  <c r="E136" i="1" s="1"/>
  <c r="AK137" i="1"/>
  <c r="K137" i="1"/>
  <c r="Q137" i="1"/>
  <c r="L137" i="1"/>
  <c r="O137" i="1"/>
  <c r="AC137" i="1"/>
  <c r="X137" i="1"/>
  <c r="AB137" i="1"/>
  <c r="A138" i="1"/>
  <c r="AJ137" i="1"/>
  <c r="U137" i="1"/>
  <c r="T137" i="1" s="1"/>
  <c r="S137" i="1" s="1"/>
  <c r="R137" i="1" s="1"/>
  <c r="P137" i="1" s="1"/>
  <c r="K129" i="25"/>
  <c r="X129" i="25"/>
  <c r="A130" i="25"/>
  <c r="AB129" i="25"/>
  <c r="L129" i="25"/>
  <c r="AJ129" i="25"/>
  <c r="O129" i="25"/>
  <c r="AK129" i="25"/>
  <c r="AC129" i="25"/>
  <c r="S136" i="1"/>
  <c r="R136" i="1" s="1"/>
  <c r="P136" i="1" s="1"/>
  <c r="V136" i="1" s="1"/>
  <c r="AB134" i="18"/>
  <c r="X134" i="18"/>
  <c r="A135" i="18"/>
  <c r="L134" i="18"/>
  <c r="K134" i="18"/>
  <c r="AJ134" i="18"/>
  <c r="AK134" i="18"/>
  <c r="O134" i="18"/>
  <c r="AC134" i="18"/>
  <c r="L137" i="15" l="1"/>
  <c r="D137" i="15" s="1"/>
  <c r="AJ137" i="15"/>
  <c r="X137" i="15"/>
  <c r="AK137" i="15"/>
  <c r="K137" i="15"/>
  <c r="A138" i="15"/>
  <c r="O137" i="15"/>
  <c r="AB137" i="15"/>
  <c r="AC137" i="15"/>
  <c r="E136" i="15"/>
  <c r="E135" i="16"/>
  <c r="X136" i="16"/>
  <c r="A137" i="16"/>
  <c r="L136" i="16"/>
  <c r="D136" i="16" s="1"/>
  <c r="AJ136" i="16"/>
  <c r="O136" i="16"/>
  <c r="AB136" i="16"/>
  <c r="K136" i="16"/>
  <c r="AK136" i="16"/>
  <c r="AC136" i="16"/>
  <c r="AB135" i="18"/>
  <c r="A136" i="18"/>
  <c r="X135" i="18"/>
  <c r="AJ135" i="18"/>
  <c r="L135" i="18"/>
  <c r="K135" i="18"/>
  <c r="AK135" i="18"/>
  <c r="O135" i="18"/>
  <c r="AC135" i="18"/>
  <c r="A139" i="1"/>
  <c r="L138" i="1"/>
  <c r="K138" i="1"/>
  <c r="AJ138" i="1"/>
  <c r="AK138" i="1"/>
  <c r="AB138" i="1"/>
  <c r="X138" i="1"/>
  <c r="O138" i="1"/>
  <c r="Q138" i="1"/>
  <c r="AC138" i="1"/>
  <c r="U138" i="1"/>
  <c r="T138" i="1" s="1"/>
  <c r="F136" i="1"/>
  <c r="X131" i="24"/>
  <c r="AB131" i="24"/>
  <c r="A132" i="24"/>
  <c r="L131" i="24"/>
  <c r="K131" i="24"/>
  <c r="AK131" i="24"/>
  <c r="AJ131" i="24"/>
  <c r="O131" i="24"/>
  <c r="AC131" i="24"/>
  <c r="X136" i="17"/>
  <c r="AB136" i="17"/>
  <c r="L136" i="17"/>
  <c r="K136" i="17"/>
  <c r="A137" i="17"/>
  <c r="AJ136" i="17"/>
  <c r="O136" i="17"/>
  <c r="AK136" i="17"/>
  <c r="AC136" i="17"/>
  <c r="X130" i="25"/>
  <c r="AB130" i="25"/>
  <c r="L130" i="25"/>
  <c r="K130" i="25"/>
  <c r="A131" i="25"/>
  <c r="AJ130" i="25"/>
  <c r="O130" i="25"/>
  <c r="AK130" i="25"/>
  <c r="AC130" i="25"/>
  <c r="D137" i="1"/>
  <c r="E137" i="1" s="1"/>
  <c r="V137" i="1"/>
  <c r="AB134" i="20"/>
  <c r="K134" i="20"/>
  <c r="L134" i="20"/>
  <c r="A135" i="20"/>
  <c r="X134" i="20"/>
  <c r="AJ134" i="20"/>
  <c r="AK134" i="20"/>
  <c r="O134" i="20"/>
  <c r="AC134" i="20"/>
  <c r="AB133" i="22"/>
  <c r="A134" i="22"/>
  <c r="K133" i="22"/>
  <c r="X133" i="22"/>
  <c r="L133" i="22"/>
  <c r="AJ133" i="22"/>
  <c r="AK133" i="22"/>
  <c r="O133" i="22"/>
  <c r="AC133" i="22"/>
  <c r="AB132" i="23"/>
  <c r="L132" i="23"/>
  <c r="A133" i="23"/>
  <c r="K132" i="23"/>
  <c r="X132" i="23"/>
  <c r="AJ132" i="23"/>
  <c r="AK132" i="23"/>
  <c r="O132" i="23"/>
  <c r="AC132" i="23"/>
  <c r="I135" i="1"/>
  <c r="AA135" i="1"/>
  <c r="Z135" i="1" s="1"/>
  <c r="Y135" i="1" s="1"/>
  <c r="G135" i="1"/>
  <c r="BW135" i="6" s="1"/>
  <c r="AB138" i="15" l="1"/>
  <c r="AK138" i="15"/>
  <c r="X138" i="15"/>
  <c r="A139" i="15"/>
  <c r="O138" i="15"/>
  <c r="K138" i="15"/>
  <c r="AC138" i="15"/>
  <c r="L138" i="15"/>
  <c r="D138" i="15" s="1"/>
  <c r="AJ138" i="15"/>
  <c r="E137" i="15"/>
  <c r="AB137" i="16"/>
  <c r="K137" i="16"/>
  <c r="AJ137" i="16"/>
  <c r="AC137" i="16"/>
  <c r="X137" i="16"/>
  <c r="L137" i="16"/>
  <c r="D137" i="16" s="1"/>
  <c r="A138" i="16"/>
  <c r="AK137" i="16"/>
  <c r="O137" i="16"/>
  <c r="F137" i="1"/>
  <c r="AA137" i="1" s="1"/>
  <c r="Z137" i="1" s="1"/>
  <c r="Y137" i="1" s="1"/>
  <c r="E136" i="16"/>
  <c r="AB135" i="20"/>
  <c r="L135" i="20"/>
  <c r="K135" i="20"/>
  <c r="A136" i="20"/>
  <c r="X135" i="20"/>
  <c r="AK135" i="20"/>
  <c r="AJ135" i="20"/>
  <c r="O135" i="20"/>
  <c r="AC135" i="20"/>
  <c r="A132" i="25"/>
  <c r="L131" i="25"/>
  <c r="AB131" i="25"/>
  <c r="X131" i="25"/>
  <c r="K131" i="25"/>
  <c r="AJ131" i="25"/>
  <c r="AK131" i="25"/>
  <c r="O131" i="25"/>
  <c r="AC131" i="25"/>
  <c r="D138" i="1"/>
  <c r="E138" i="1" s="1"/>
  <c r="X133" i="23"/>
  <c r="A134" i="23"/>
  <c r="L133" i="23"/>
  <c r="K133" i="23"/>
  <c r="AB133" i="23"/>
  <c r="AJ133" i="23"/>
  <c r="AK133" i="23"/>
  <c r="O133" i="23"/>
  <c r="AC133" i="23"/>
  <c r="K134" i="22"/>
  <c r="L134" i="22"/>
  <c r="A135" i="22"/>
  <c r="AB134" i="22"/>
  <c r="X134" i="22"/>
  <c r="AJ134" i="22"/>
  <c r="AK134" i="22"/>
  <c r="O134" i="22"/>
  <c r="AC134" i="22"/>
  <c r="K137" i="17"/>
  <c r="X137" i="17"/>
  <c r="L137" i="17"/>
  <c r="A138" i="17"/>
  <c r="AB137" i="17"/>
  <c r="O137" i="17"/>
  <c r="AK137" i="17"/>
  <c r="AJ137" i="17"/>
  <c r="AC137" i="17"/>
  <c r="AB132" i="24"/>
  <c r="A133" i="24"/>
  <c r="X132" i="24"/>
  <c r="K132" i="24"/>
  <c r="L132" i="24"/>
  <c r="AJ132" i="24"/>
  <c r="AK132" i="24"/>
  <c r="O132" i="24"/>
  <c r="AC132" i="24"/>
  <c r="I136" i="1"/>
  <c r="AA136" i="1"/>
  <c r="Z136" i="1" s="1"/>
  <c r="Y136" i="1" s="1"/>
  <c r="G136" i="1"/>
  <c r="BW136" i="6" s="1"/>
  <c r="S138" i="1"/>
  <c r="R138" i="1" s="1"/>
  <c r="P138" i="1" s="1"/>
  <c r="V138" i="1" s="1"/>
  <c r="K139" i="1"/>
  <c r="AJ139" i="1"/>
  <c r="AB139" i="1"/>
  <c r="AK139" i="1"/>
  <c r="A140" i="1"/>
  <c r="O139" i="1"/>
  <c r="X139" i="1"/>
  <c r="Q139" i="1"/>
  <c r="L139" i="1"/>
  <c r="AC139" i="1"/>
  <c r="U139" i="1"/>
  <c r="T139" i="1" s="1"/>
  <c r="S139" i="1" s="1"/>
  <c r="R139" i="1" s="1"/>
  <c r="AB136" i="18"/>
  <c r="A137" i="18"/>
  <c r="K136" i="18"/>
  <c r="X136" i="18"/>
  <c r="L136" i="18"/>
  <c r="AJ136" i="18"/>
  <c r="O136" i="18"/>
  <c r="AK136" i="18"/>
  <c r="AC136" i="18"/>
  <c r="E138" i="15" l="1"/>
  <c r="A140" i="15"/>
  <c r="O139" i="15"/>
  <c r="K139" i="15"/>
  <c r="AJ139" i="15"/>
  <c r="AB139" i="15"/>
  <c r="AK139" i="15"/>
  <c r="X139" i="15"/>
  <c r="L139" i="15"/>
  <c r="D139" i="15" s="1"/>
  <c r="E139" i="15" s="1"/>
  <c r="AC139" i="15"/>
  <c r="G137" i="1"/>
  <c r="BW137" i="6" s="1"/>
  <c r="E137" i="16"/>
  <c r="F138" i="1"/>
  <c r="I138" i="1" s="1"/>
  <c r="I137" i="1"/>
  <c r="A139" i="16"/>
  <c r="L138" i="16"/>
  <c r="D138" i="16" s="1"/>
  <c r="K138" i="16"/>
  <c r="AK138" i="16"/>
  <c r="O138" i="16"/>
  <c r="X138" i="16"/>
  <c r="AB138" i="16"/>
  <c r="AJ138" i="16"/>
  <c r="AC138" i="16"/>
  <c r="A134" i="24"/>
  <c r="K133" i="24"/>
  <c r="X133" i="24"/>
  <c r="L133" i="24"/>
  <c r="AB133" i="24"/>
  <c r="AK133" i="24"/>
  <c r="O133" i="24"/>
  <c r="AJ133" i="24"/>
  <c r="AC133" i="24"/>
  <c r="K136" i="20"/>
  <c r="L136" i="20"/>
  <c r="A137" i="20"/>
  <c r="AB136" i="20"/>
  <c r="X136" i="20"/>
  <c r="AK136" i="20"/>
  <c r="AJ136" i="20"/>
  <c r="O136" i="20"/>
  <c r="AC136" i="20"/>
  <c r="AB137" i="18"/>
  <c r="AJ137" i="18"/>
  <c r="X137" i="18"/>
  <c r="K137" i="18"/>
  <c r="A138" i="18"/>
  <c r="L137" i="18"/>
  <c r="O137" i="18"/>
  <c r="AK137" i="18"/>
  <c r="AC137" i="18"/>
  <c r="P139" i="1"/>
  <c r="V139" i="1" s="1"/>
  <c r="D139" i="1"/>
  <c r="E139" i="1" s="1"/>
  <c r="AK140" i="1"/>
  <c r="K140" i="1"/>
  <c r="A141" i="1"/>
  <c r="O140" i="1"/>
  <c r="AJ140" i="1"/>
  <c r="X140" i="1"/>
  <c r="Q140" i="1"/>
  <c r="L140" i="1"/>
  <c r="AB140" i="1"/>
  <c r="AC140" i="1"/>
  <c r="U140" i="1"/>
  <c r="T140" i="1" s="1"/>
  <c r="X138" i="17"/>
  <c r="L138" i="17"/>
  <c r="AB138" i="17"/>
  <c r="K138" i="17"/>
  <c r="A139" i="17"/>
  <c r="AJ138" i="17"/>
  <c r="O138" i="17"/>
  <c r="AK138" i="17"/>
  <c r="AC138" i="17"/>
  <c r="AB135" i="22"/>
  <c r="A136" i="22"/>
  <c r="L135" i="22"/>
  <c r="X135" i="22"/>
  <c r="K135" i="22"/>
  <c r="AJ135" i="22"/>
  <c r="AK135" i="22"/>
  <c r="O135" i="22"/>
  <c r="AC135" i="22"/>
  <c r="X134" i="23"/>
  <c r="K134" i="23"/>
  <c r="AB134" i="23"/>
  <c r="A135" i="23"/>
  <c r="L134" i="23"/>
  <c r="AK134" i="23"/>
  <c r="AJ134" i="23"/>
  <c r="O134" i="23"/>
  <c r="AC134" i="23"/>
  <c r="K132" i="25"/>
  <c r="AB132" i="25"/>
  <c r="X132" i="25"/>
  <c r="L132" i="25"/>
  <c r="A133" i="25"/>
  <c r="AJ132" i="25"/>
  <c r="O132" i="25"/>
  <c r="AK132" i="25"/>
  <c r="AC132" i="25"/>
  <c r="AA138" i="1" l="1"/>
  <c r="Z138" i="1" s="1"/>
  <c r="Y138" i="1" s="1"/>
  <c r="G138" i="1"/>
  <c r="BW138" i="6" s="1"/>
  <c r="L140" i="15"/>
  <c r="D140" i="15" s="1"/>
  <c r="AK140" i="15"/>
  <c r="AB140" i="15"/>
  <c r="X140" i="15"/>
  <c r="AC140" i="15"/>
  <c r="K140" i="15"/>
  <c r="O140" i="15"/>
  <c r="A141" i="15"/>
  <c r="AJ140" i="15"/>
  <c r="E138" i="16"/>
  <c r="A140" i="16"/>
  <c r="AB139" i="16"/>
  <c r="AJ139" i="16"/>
  <c r="AC139" i="16"/>
  <c r="K139" i="16"/>
  <c r="L139" i="16"/>
  <c r="D139" i="16" s="1"/>
  <c r="X139" i="16"/>
  <c r="AK139" i="16"/>
  <c r="O139" i="16"/>
  <c r="K136" i="22"/>
  <c r="AB136" i="22"/>
  <c r="X136" i="22"/>
  <c r="L136" i="22"/>
  <c r="A137" i="22"/>
  <c r="AK136" i="22"/>
  <c r="AJ136" i="22"/>
  <c r="O136" i="22"/>
  <c r="AC136" i="22"/>
  <c r="AB139" i="17"/>
  <c r="X139" i="17"/>
  <c r="A140" i="17"/>
  <c r="K139" i="17"/>
  <c r="L139" i="17"/>
  <c r="AJ139" i="17"/>
  <c r="O139" i="17"/>
  <c r="AK139" i="17"/>
  <c r="AC139" i="17"/>
  <c r="D140" i="1"/>
  <c r="E140" i="1" s="1"/>
  <c r="A138" i="20"/>
  <c r="K137" i="20"/>
  <c r="AB137" i="20"/>
  <c r="L137" i="20"/>
  <c r="X137" i="20"/>
  <c r="AJ137" i="20"/>
  <c r="AK137" i="20"/>
  <c r="O137" i="20"/>
  <c r="AC137" i="20"/>
  <c r="F139" i="1"/>
  <c r="AB133" i="25"/>
  <c r="L133" i="25"/>
  <c r="X133" i="25"/>
  <c r="A134" i="25"/>
  <c r="K133" i="25"/>
  <c r="AJ133" i="25"/>
  <c r="AK133" i="25"/>
  <c r="O133" i="25"/>
  <c r="AC133" i="25"/>
  <c r="A136" i="23"/>
  <c r="AB135" i="23"/>
  <c r="K135" i="23"/>
  <c r="L135" i="23"/>
  <c r="X135" i="23"/>
  <c r="AJ135" i="23"/>
  <c r="AK135" i="23"/>
  <c r="O135" i="23"/>
  <c r="AC135" i="23"/>
  <c r="S140" i="1"/>
  <c r="R140" i="1" s="1"/>
  <c r="P140" i="1" s="1"/>
  <c r="V140" i="1" s="1"/>
  <c r="A142" i="1"/>
  <c r="O141" i="1"/>
  <c r="AB141" i="1"/>
  <c r="K141" i="1"/>
  <c r="AC141" i="1"/>
  <c r="L141" i="1"/>
  <c r="X141" i="1"/>
  <c r="AJ141" i="1"/>
  <c r="AK141" i="1"/>
  <c r="Q141" i="1"/>
  <c r="U141" i="1"/>
  <c r="T141" i="1" s="1"/>
  <c r="X138" i="18"/>
  <c r="L138" i="18"/>
  <c r="AJ138" i="18"/>
  <c r="AB138" i="18"/>
  <c r="A139" i="18"/>
  <c r="K138" i="18"/>
  <c r="AK138" i="18"/>
  <c r="O138" i="18"/>
  <c r="AC138" i="18"/>
  <c r="AB134" i="24"/>
  <c r="L134" i="24"/>
  <c r="A135" i="24"/>
  <c r="X134" i="24"/>
  <c r="K134" i="24"/>
  <c r="AJ134" i="24"/>
  <c r="AK134" i="24"/>
  <c r="O134" i="24"/>
  <c r="AC134" i="24"/>
  <c r="F140" i="1" l="1"/>
  <c r="G140" i="1" s="1"/>
  <c r="BW140" i="6" s="1"/>
  <c r="E140" i="15"/>
  <c r="L141" i="15"/>
  <c r="D141" i="15" s="1"/>
  <c r="AC141" i="15"/>
  <c r="K141" i="15"/>
  <c r="AK141" i="15"/>
  <c r="X141" i="15"/>
  <c r="AJ141" i="15"/>
  <c r="AB141" i="15"/>
  <c r="A142" i="15"/>
  <c r="O141" i="15"/>
  <c r="E139" i="16"/>
  <c r="A141" i="16"/>
  <c r="K140" i="16"/>
  <c r="AJ140" i="16"/>
  <c r="AC140" i="16"/>
  <c r="X140" i="16"/>
  <c r="L140" i="16"/>
  <c r="D140" i="16" s="1"/>
  <c r="AB140" i="16"/>
  <c r="AK140" i="16"/>
  <c r="O140" i="16"/>
  <c r="L139" i="18"/>
  <c r="X139" i="18"/>
  <c r="AB139" i="18"/>
  <c r="A140" i="18"/>
  <c r="K139" i="18"/>
  <c r="AJ139" i="18"/>
  <c r="O139" i="18"/>
  <c r="AK139" i="18"/>
  <c r="AC139" i="18"/>
  <c r="D141" i="1"/>
  <c r="E141" i="1" s="1"/>
  <c r="X140" i="17"/>
  <c r="A141" i="17"/>
  <c r="L140" i="17"/>
  <c r="AB140" i="17"/>
  <c r="K140" i="17"/>
  <c r="AJ140" i="17"/>
  <c r="AK140" i="17"/>
  <c r="O140" i="17"/>
  <c r="AC140" i="17"/>
  <c r="X137" i="22"/>
  <c r="AB137" i="22"/>
  <c r="K137" i="22"/>
  <c r="A138" i="22"/>
  <c r="L137" i="22"/>
  <c r="AK137" i="22"/>
  <c r="AJ137" i="22"/>
  <c r="O137" i="22"/>
  <c r="AC137" i="22"/>
  <c r="K135" i="24"/>
  <c r="L135" i="24"/>
  <c r="AB135" i="24"/>
  <c r="A136" i="24"/>
  <c r="X135" i="24"/>
  <c r="AJ135" i="24"/>
  <c r="AK135" i="24"/>
  <c r="O135" i="24"/>
  <c r="AC135" i="24"/>
  <c r="S141" i="1"/>
  <c r="R141" i="1" s="1"/>
  <c r="P141" i="1" s="1"/>
  <c r="V141" i="1" s="1"/>
  <c r="AB142" i="1"/>
  <c r="Q142" i="1"/>
  <c r="L142" i="1"/>
  <c r="O142" i="1"/>
  <c r="AC142" i="1"/>
  <c r="A143" i="1"/>
  <c r="AK142" i="1"/>
  <c r="X142" i="1"/>
  <c r="AJ142" i="1"/>
  <c r="K142" i="1"/>
  <c r="U142" i="1"/>
  <c r="T142" i="1" s="1"/>
  <c r="S142" i="1" s="1"/>
  <c r="R142" i="1" s="1"/>
  <c r="X136" i="23"/>
  <c r="AB136" i="23"/>
  <c r="A137" i="23"/>
  <c r="L136" i="23"/>
  <c r="K136" i="23"/>
  <c r="AK136" i="23"/>
  <c r="AJ136" i="23"/>
  <c r="O136" i="23"/>
  <c r="AC136" i="23"/>
  <c r="X134" i="25"/>
  <c r="AB134" i="25"/>
  <c r="A135" i="25"/>
  <c r="K134" i="25"/>
  <c r="L134" i="25"/>
  <c r="AJ134" i="25"/>
  <c r="AK134" i="25"/>
  <c r="O134" i="25"/>
  <c r="AC134" i="25"/>
  <c r="I139" i="1"/>
  <c r="AA139" i="1"/>
  <c r="Z139" i="1" s="1"/>
  <c r="Y139" i="1" s="1"/>
  <c r="G139" i="1"/>
  <c r="BW139" i="6" s="1"/>
  <c r="A139" i="20"/>
  <c r="L138" i="20"/>
  <c r="X138" i="20"/>
  <c r="K138" i="20"/>
  <c r="AB138" i="20"/>
  <c r="AJ138" i="20"/>
  <c r="AK138" i="20"/>
  <c r="O138" i="20"/>
  <c r="AC138" i="20"/>
  <c r="I140" i="1" l="1"/>
  <c r="AA140" i="1"/>
  <c r="Z140" i="1" s="1"/>
  <c r="Y140" i="1" s="1"/>
  <c r="P142" i="1"/>
  <c r="E141" i="15"/>
  <c r="L142" i="15"/>
  <c r="D142" i="15" s="1"/>
  <c r="O142" i="15"/>
  <c r="A143" i="15"/>
  <c r="K142" i="15"/>
  <c r="AB142" i="15"/>
  <c r="AK142" i="15"/>
  <c r="X142" i="15"/>
  <c r="AC142" i="15"/>
  <c r="AJ142" i="15"/>
  <c r="E140" i="16"/>
  <c r="F141" i="1"/>
  <c r="I141" i="1" s="1"/>
  <c r="A142" i="16"/>
  <c r="X141" i="16"/>
  <c r="AB141" i="16"/>
  <c r="AK141" i="16"/>
  <c r="O141" i="16"/>
  <c r="K141" i="16"/>
  <c r="L141" i="16"/>
  <c r="D141" i="16" s="1"/>
  <c r="AJ141" i="16"/>
  <c r="AC141" i="16"/>
  <c r="AA141" i="1"/>
  <c r="Z141" i="1" s="1"/>
  <c r="Y141" i="1" s="1"/>
  <c r="X139" i="20"/>
  <c r="AB139" i="20"/>
  <c r="K139" i="20"/>
  <c r="A140" i="20"/>
  <c r="L139" i="20"/>
  <c r="AJ139" i="20"/>
  <c r="AK139" i="20"/>
  <c r="O139" i="20"/>
  <c r="AC139" i="20"/>
  <c r="K135" i="25"/>
  <c r="L135" i="25"/>
  <c r="X135" i="25"/>
  <c r="A136" i="25"/>
  <c r="AB135" i="25"/>
  <c r="AJ135" i="25"/>
  <c r="AK135" i="25"/>
  <c r="O135" i="25"/>
  <c r="AC135" i="25"/>
  <c r="D142" i="1"/>
  <c r="E142" i="1" s="1"/>
  <c r="V142" i="1"/>
  <c r="A139" i="22"/>
  <c r="AB138" i="22"/>
  <c r="L138" i="22"/>
  <c r="K138" i="22"/>
  <c r="X138" i="22"/>
  <c r="AJ138" i="22"/>
  <c r="AK138" i="22"/>
  <c r="O138" i="22"/>
  <c r="AC138" i="22"/>
  <c r="X140" i="18"/>
  <c r="A141" i="18"/>
  <c r="L140" i="18"/>
  <c r="AB140" i="18"/>
  <c r="AJ140" i="18"/>
  <c r="K140" i="18"/>
  <c r="O140" i="18"/>
  <c r="AK140" i="18"/>
  <c r="AC140" i="18"/>
  <c r="AB137" i="23"/>
  <c r="X137" i="23"/>
  <c r="A138" i="23"/>
  <c r="K137" i="23"/>
  <c r="L137" i="23"/>
  <c r="AJ137" i="23"/>
  <c r="AK137" i="23"/>
  <c r="O137" i="23"/>
  <c r="AC137" i="23"/>
  <c r="AJ143" i="1"/>
  <c r="AC143" i="1"/>
  <c r="AB143" i="1"/>
  <c r="Q143" i="1"/>
  <c r="A144" i="1"/>
  <c r="X143" i="1"/>
  <c r="O143" i="1"/>
  <c r="K143" i="1"/>
  <c r="AK143" i="1"/>
  <c r="L143" i="1"/>
  <c r="U143" i="1"/>
  <c r="T143" i="1" s="1"/>
  <c r="AB136" i="24"/>
  <c r="L136" i="24"/>
  <c r="A137" i="24"/>
  <c r="X136" i="24"/>
  <c r="K136" i="24"/>
  <c r="AK136" i="24"/>
  <c r="AJ136" i="24"/>
  <c r="O136" i="24"/>
  <c r="AC136" i="24"/>
  <c r="K141" i="17"/>
  <c r="AB141" i="17"/>
  <c r="A142" i="17"/>
  <c r="L141" i="17"/>
  <c r="X141" i="17"/>
  <c r="AJ141" i="17"/>
  <c r="O141" i="17"/>
  <c r="AK141" i="17"/>
  <c r="AC141" i="17"/>
  <c r="E141" i="16" l="1"/>
  <c r="G141" i="1"/>
  <c r="BW141" i="6" s="1"/>
  <c r="AB143" i="15"/>
  <c r="AK143" i="15"/>
  <c r="X143" i="15"/>
  <c r="AJ143" i="15"/>
  <c r="L143" i="15"/>
  <c r="D143" i="15" s="1"/>
  <c r="K143" i="15"/>
  <c r="AC143" i="15"/>
  <c r="A144" i="15"/>
  <c r="O143" i="15"/>
  <c r="F142" i="1"/>
  <c r="I142" i="1" s="1"/>
  <c r="E142" i="15"/>
  <c r="K142" i="16"/>
  <c r="A143" i="16"/>
  <c r="X142" i="16"/>
  <c r="AK142" i="16"/>
  <c r="O142" i="16"/>
  <c r="AB142" i="16"/>
  <c r="L142" i="16"/>
  <c r="D142" i="16" s="1"/>
  <c r="AJ142" i="16"/>
  <c r="AC142" i="16"/>
  <c r="K142" i="17"/>
  <c r="A143" i="17"/>
  <c r="L142" i="17"/>
  <c r="X142" i="17"/>
  <c r="AB142" i="17"/>
  <c r="AJ142" i="17"/>
  <c r="O142" i="17"/>
  <c r="AK142" i="17"/>
  <c r="AC142" i="17"/>
  <c r="AB137" i="24"/>
  <c r="A138" i="24"/>
  <c r="K137" i="24"/>
  <c r="X137" i="24"/>
  <c r="L137" i="24"/>
  <c r="AJ137" i="24"/>
  <c r="AK137" i="24"/>
  <c r="O137" i="24"/>
  <c r="AC137" i="24"/>
  <c r="D143" i="1"/>
  <c r="E143" i="1" s="1"/>
  <c r="AB138" i="23"/>
  <c r="L138" i="23"/>
  <c r="A139" i="23"/>
  <c r="K138" i="23"/>
  <c r="X138" i="23"/>
  <c r="AJ138" i="23"/>
  <c r="AK138" i="23"/>
  <c r="O138" i="23"/>
  <c r="AC138" i="23"/>
  <c r="AB141" i="18"/>
  <c r="L141" i="18"/>
  <c r="A142" i="18"/>
  <c r="X141" i="18"/>
  <c r="K141" i="18"/>
  <c r="AJ141" i="18"/>
  <c r="O141" i="18"/>
  <c r="AK141" i="18"/>
  <c r="AC141" i="18"/>
  <c r="K139" i="22"/>
  <c r="AB139" i="22"/>
  <c r="X139" i="22"/>
  <c r="A140" i="22"/>
  <c r="L139" i="22"/>
  <c r="AJ139" i="22"/>
  <c r="AK139" i="22"/>
  <c r="O139" i="22"/>
  <c r="AC139" i="22"/>
  <c r="A141" i="20"/>
  <c r="L140" i="20"/>
  <c r="K140" i="20"/>
  <c r="X140" i="20"/>
  <c r="AB140" i="20"/>
  <c r="AJ140" i="20"/>
  <c r="AK140" i="20"/>
  <c r="O140" i="20"/>
  <c r="AC140" i="20"/>
  <c r="S143" i="1"/>
  <c r="R143" i="1" s="1"/>
  <c r="P143" i="1" s="1"/>
  <c r="V143" i="1" s="1"/>
  <c r="O144" i="1"/>
  <c r="A145" i="1"/>
  <c r="AJ144" i="1"/>
  <c r="AC144" i="1"/>
  <c r="L144" i="1"/>
  <c r="X144" i="1"/>
  <c r="Q144" i="1"/>
  <c r="AB144" i="1"/>
  <c r="K144" i="1"/>
  <c r="AK144" i="1"/>
  <c r="U144" i="1"/>
  <c r="A137" i="25"/>
  <c r="AB136" i="25"/>
  <c r="K136" i="25"/>
  <c r="L136" i="25"/>
  <c r="X136" i="25"/>
  <c r="AJ136" i="25"/>
  <c r="O136" i="25"/>
  <c r="AK136" i="25"/>
  <c r="AC136" i="25"/>
  <c r="E142" i="16" l="1"/>
  <c r="G142" i="1"/>
  <c r="BW142" i="6" s="1"/>
  <c r="AA142" i="1"/>
  <c r="Z142" i="1" s="1"/>
  <c r="Y142" i="1" s="1"/>
  <c r="K144" i="15"/>
  <c r="AJ144" i="15"/>
  <c r="X144" i="15"/>
  <c r="AK144" i="15"/>
  <c r="AB144" i="15"/>
  <c r="A145" i="15"/>
  <c r="AC144" i="15"/>
  <c r="L144" i="15"/>
  <c r="D144" i="15" s="1"/>
  <c r="O144" i="15"/>
  <c r="E143" i="15"/>
  <c r="AB143" i="16"/>
  <c r="A144" i="16"/>
  <c r="AJ143" i="16"/>
  <c r="AC143" i="16"/>
  <c r="X143" i="16"/>
  <c r="L143" i="16"/>
  <c r="D143" i="16" s="1"/>
  <c r="K143" i="16"/>
  <c r="AK143" i="16"/>
  <c r="O143" i="16"/>
  <c r="K137" i="25"/>
  <c r="X137" i="25"/>
  <c r="A138" i="25"/>
  <c r="AB137" i="25"/>
  <c r="L137" i="25"/>
  <c r="AJ137" i="25"/>
  <c r="O137" i="25"/>
  <c r="AK137" i="25"/>
  <c r="AC137" i="25"/>
  <c r="T144" i="1"/>
  <c r="D144" i="1"/>
  <c r="E144" i="1" s="1"/>
  <c r="X141" i="20"/>
  <c r="K141" i="20"/>
  <c r="A142" i="20"/>
  <c r="L141" i="20"/>
  <c r="AB141" i="20"/>
  <c r="AK141" i="20"/>
  <c r="AJ141" i="20"/>
  <c r="O141" i="20"/>
  <c r="AC141" i="20"/>
  <c r="AB140" i="22"/>
  <c r="L140" i="22"/>
  <c r="X140" i="22"/>
  <c r="K140" i="22"/>
  <c r="A141" i="22"/>
  <c r="AK140" i="22"/>
  <c r="AJ140" i="22"/>
  <c r="O140" i="22"/>
  <c r="AC140" i="22"/>
  <c r="X139" i="23"/>
  <c r="K139" i="23"/>
  <c r="A140" i="23"/>
  <c r="AB139" i="23"/>
  <c r="L139" i="23"/>
  <c r="AJ139" i="23"/>
  <c r="AK139" i="23"/>
  <c r="O139" i="23"/>
  <c r="AC139" i="23"/>
  <c r="F143" i="1"/>
  <c r="X143" i="17"/>
  <c r="A144" i="17"/>
  <c r="AB143" i="17"/>
  <c r="L143" i="17"/>
  <c r="K143" i="17"/>
  <c r="AK143" i="17"/>
  <c r="AJ143" i="17"/>
  <c r="O143" i="17"/>
  <c r="AC143" i="17"/>
  <c r="A146" i="1"/>
  <c r="O145" i="1"/>
  <c r="X145" i="1"/>
  <c r="K145" i="1"/>
  <c r="AK145" i="1"/>
  <c r="L145" i="1"/>
  <c r="AB145" i="1"/>
  <c r="Q145" i="1"/>
  <c r="AJ145" i="1"/>
  <c r="AC145" i="1"/>
  <c r="U145" i="1"/>
  <c r="AB142" i="18"/>
  <c r="K142" i="18"/>
  <c r="AJ142" i="18"/>
  <c r="A143" i="18"/>
  <c r="L142" i="18"/>
  <c r="X142" i="18"/>
  <c r="AK142" i="18"/>
  <c r="O142" i="18"/>
  <c r="AC142" i="18"/>
  <c r="A139" i="24"/>
  <c r="L138" i="24"/>
  <c r="AB138" i="24"/>
  <c r="X138" i="24"/>
  <c r="K138" i="24"/>
  <c r="AJ138" i="24"/>
  <c r="AK138" i="24"/>
  <c r="O138" i="24"/>
  <c r="AC138" i="24"/>
  <c r="X145" i="15" l="1"/>
  <c r="L145" i="15"/>
  <c r="D145" i="15" s="1"/>
  <c r="AC145" i="15"/>
  <c r="A146" i="15"/>
  <c r="O145" i="15"/>
  <c r="K145" i="15"/>
  <c r="AK145" i="15"/>
  <c r="AB145" i="15"/>
  <c r="AJ145" i="15"/>
  <c r="E144" i="15"/>
  <c r="E143" i="16"/>
  <c r="L144" i="16"/>
  <c r="D144" i="16" s="1"/>
  <c r="AB144" i="16"/>
  <c r="K144" i="16"/>
  <c r="AJ144" i="16"/>
  <c r="O144" i="16"/>
  <c r="A145" i="16"/>
  <c r="X144" i="16"/>
  <c r="AK144" i="16"/>
  <c r="AC144" i="16"/>
  <c r="A140" i="24"/>
  <c r="AB139" i="24"/>
  <c r="K139" i="24"/>
  <c r="L139" i="24"/>
  <c r="X139" i="24"/>
  <c r="AK139" i="24"/>
  <c r="AJ139" i="24"/>
  <c r="O139" i="24"/>
  <c r="AC139" i="24"/>
  <c r="X143" i="18"/>
  <c r="K143" i="18"/>
  <c r="L143" i="18"/>
  <c r="AB143" i="18"/>
  <c r="AJ143" i="18"/>
  <c r="A144" i="18"/>
  <c r="AK143" i="18"/>
  <c r="O143" i="18"/>
  <c r="AC143" i="18"/>
  <c r="D145" i="1"/>
  <c r="E145" i="1" s="1"/>
  <c r="A145" i="17"/>
  <c r="X144" i="17"/>
  <c r="K144" i="17"/>
  <c r="L144" i="17"/>
  <c r="AB144" i="17"/>
  <c r="AJ144" i="17"/>
  <c r="O144" i="17"/>
  <c r="AK144" i="17"/>
  <c r="AC144" i="17"/>
  <c r="A141" i="23"/>
  <c r="K140" i="23"/>
  <c r="AB140" i="23"/>
  <c r="L140" i="23"/>
  <c r="X140" i="23"/>
  <c r="AJ140" i="23"/>
  <c r="AK140" i="23"/>
  <c r="O140" i="23"/>
  <c r="AC140" i="23"/>
  <c r="K142" i="20"/>
  <c r="L142" i="20"/>
  <c r="A143" i="20"/>
  <c r="X142" i="20"/>
  <c r="AB142" i="20"/>
  <c r="AJ142" i="20"/>
  <c r="AK142" i="20"/>
  <c r="O142" i="20"/>
  <c r="AC142" i="20"/>
  <c r="S144" i="1"/>
  <c r="R144" i="1" s="1"/>
  <c r="P144" i="1" s="1"/>
  <c r="AB138" i="25"/>
  <c r="L138" i="25"/>
  <c r="K138" i="25"/>
  <c r="X138" i="25"/>
  <c r="A139" i="25"/>
  <c r="AK138" i="25"/>
  <c r="AJ138" i="25"/>
  <c r="O138" i="25"/>
  <c r="AC138" i="25"/>
  <c r="T145" i="1"/>
  <c r="S145" i="1" s="1"/>
  <c r="R145" i="1" s="1"/>
  <c r="P145" i="1" s="1"/>
  <c r="V145" i="1" s="1"/>
  <c r="L146" i="1"/>
  <c r="AJ146" i="1"/>
  <c r="Q146" i="1"/>
  <c r="X146" i="1"/>
  <c r="AC146" i="1"/>
  <c r="AK146" i="1"/>
  <c r="AB146" i="1"/>
  <c r="A147" i="1"/>
  <c r="K146" i="1"/>
  <c r="O146" i="1"/>
  <c r="U146" i="1"/>
  <c r="T146" i="1" s="1"/>
  <c r="I143" i="1"/>
  <c r="G143" i="1"/>
  <c r="BW143" i="6" s="1"/>
  <c r="AA143" i="1"/>
  <c r="Z143" i="1" s="1"/>
  <c r="Y143" i="1" s="1"/>
  <c r="A142" i="22"/>
  <c r="L141" i="22"/>
  <c r="AB141" i="22"/>
  <c r="K141" i="22"/>
  <c r="X141" i="22"/>
  <c r="AJ141" i="22"/>
  <c r="AK141" i="22"/>
  <c r="O141" i="22"/>
  <c r="AC141" i="22"/>
  <c r="E145" i="15" l="1"/>
  <c r="A147" i="15"/>
  <c r="X146" i="15"/>
  <c r="AC146" i="15"/>
  <c r="K146" i="15"/>
  <c r="O146" i="15"/>
  <c r="AB146" i="15"/>
  <c r="AJ146" i="15"/>
  <c r="L146" i="15"/>
  <c r="D146" i="15" s="1"/>
  <c r="AK146" i="15"/>
  <c r="F145" i="1"/>
  <c r="AA145" i="1" s="1"/>
  <c r="Z145" i="1" s="1"/>
  <c r="Y145" i="1" s="1"/>
  <c r="A146" i="16"/>
  <c r="L145" i="16"/>
  <c r="D145" i="16" s="1"/>
  <c r="X145" i="16"/>
  <c r="AK145" i="16"/>
  <c r="O145" i="16"/>
  <c r="K145" i="16"/>
  <c r="AB145" i="16"/>
  <c r="AJ145" i="16"/>
  <c r="AC145" i="16"/>
  <c r="E144" i="16"/>
  <c r="V144" i="1"/>
  <c r="F144" i="1" s="1"/>
  <c r="K142" i="22"/>
  <c r="L142" i="22"/>
  <c r="AB142" i="22"/>
  <c r="X142" i="22"/>
  <c r="A143" i="22"/>
  <c r="AJ142" i="22"/>
  <c r="AK142" i="22"/>
  <c r="O142" i="22"/>
  <c r="AC142" i="22"/>
  <c r="AJ147" i="1"/>
  <c r="X147" i="1"/>
  <c r="AB147" i="1"/>
  <c r="L147" i="1"/>
  <c r="AK147" i="1"/>
  <c r="A148" i="1"/>
  <c r="Q147" i="1"/>
  <c r="AC147" i="1"/>
  <c r="O147" i="1"/>
  <c r="K147" i="1"/>
  <c r="U147" i="1"/>
  <c r="T147" i="1" s="1"/>
  <c r="S147" i="1" s="1"/>
  <c r="R147" i="1" s="1"/>
  <c r="P147" i="1" s="1"/>
  <c r="K139" i="25"/>
  <c r="A140" i="25"/>
  <c r="L139" i="25"/>
  <c r="AB139" i="25"/>
  <c r="X139" i="25"/>
  <c r="AK139" i="25"/>
  <c r="AJ139" i="25"/>
  <c r="O139" i="25"/>
  <c r="AC139" i="25"/>
  <c r="K141" i="23"/>
  <c r="X141" i="23"/>
  <c r="L141" i="23"/>
  <c r="AB141" i="23"/>
  <c r="A142" i="23"/>
  <c r="AJ141" i="23"/>
  <c r="AK141" i="23"/>
  <c r="O141" i="23"/>
  <c r="AC141" i="23"/>
  <c r="S146" i="1"/>
  <c r="R146" i="1" s="1"/>
  <c r="P146" i="1" s="1"/>
  <c r="V146" i="1" s="1"/>
  <c r="D146" i="1"/>
  <c r="E146" i="1" s="1"/>
  <c r="X143" i="20"/>
  <c r="K143" i="20"/>
  <c r="AB143" i="20"/>
  <c r="L143" i="20"/>
  <c r="A144" i="20"/>
  <c r="AJ143" i="20"/>
  <c r="AK143" i="20"/>
  <c r="O143" i="20"/>
  <c r="AC143" i="20"/>
  <c r="K145" i="17"/>
  <c r="AB145" i="17"/>
  <c r="L145" i="17"/>
  <c r="A146" i="17"/>
  <c r="X145" i="17"/>
  <c r="O145" i="17"/>
  <c r="AK145" i="17"/>
  <c r="AJ145" i="17"/>
  <c r="AC145" i="17"/>
  <c r="K144" i="18"/>
  <c r="AB144" i="18"/>
  <c r="L144" i="18"/>
  <c r="X144" i="18"/>
  <c r="AJ144" i="18"/>
  <c r="A145" i="18"/>
  <c r="O144" i="18"/>
  <c r="AK144" i="18"/>
  <c r="AC144" i="18"/>
  <c r="K140" i="24"/>
  <c r="X140" i="24"/>
  <c r="AB140" i="24"/>
  <c r="L140" i="24"/>
  <c r="A141" i="24"/>
  <c r="AJ140" i="24"/>
  <c r="AK140" i="24"/>
  <c r="O140" i="24"/>
  <c r="AC140" i="24"/>
  <c r="I145" i="1" l="1"/>
  <c r="E146" i="15"/>
  <c r="G145" i="1"/>
  <c r="BW145" i="6" s="1"/>
  <c r="A148" i="15"/>
  <c r="AK147" i="15"/>
  <c r="AB147" i="15"/>
  <c r="AJ147" i="15"/>
  <c r="K147" i="15"/>
  <c r="X147" i="15"/>
  <c r="AC147" i="15"/>
  <c r="L147" i="15"/>
  <c r="D147" i="15" s="1"/>
  <c r="O147" i="15"/>
  <c r="E145" i="16"/>
  <c r="AJ146" i="16"/>
  <c r="K146" i="16"/>
  <c r="AB146" i="16"/>
  <c r="X146" i="16"/>
  <c r="AK146" i="16"/>
  <c r="O146" i="16"/>
  <c r="L146" i="16"/>
  <c r="D146" i="16" s="1"/>
  <c r="A147" i="16"/>
  <c r="AC146" i="16"/>
  <c r="G144" i="1"/>
  <c r="BW144" i="6" s="1"/>
  <c r="I144" i="1"/>
  <c r="AA144" i="1"/>
  <c r="Z144" i="1" s="1"/>
  <c r="Y144" i="1" s="1"/>
  <c r="X141" i="24"/>
  <c r="A142" i="24"/>
  <c r="K141" i="24"/>
  <c r="AB141" i="24"/>
  <c r="L141" i="24"/>
  <c r="AJ141" i="24"/>
  <c r="AK141" i="24"/>
  <c r="O141" i="24"/>
  <c r="AC141" i="24"/>
  <c r="A146" i="18"/>
  <c r="X145" i="18"/>
  <c r="AJ145" i="18"/>
  <c r="AB145" i="18"/>
  <c r="L145" i="18"/>
  <c r="K145" i="18"/>
  <c r="O145" i="18"/>
  <c r="AK145" i="18"/>
  <c r="AC145" i="18"/>
  <c r="A145" i="20"/>
  <c r="AB144" i="20"/>
  <c r="K144" i="20"/>
  <c r="X144" i="20"/>
  <c r="L144" i="20"/>
  <c r="AJ144" i="20"/>
  <c r="AK144" i="20"/>
  <c r="O144" i="20"/>
  <c r="AC144" i="20"/>
  <c r="F146" i="1"/>
  <c r="K148" i="1"/>
  <c r="O148" i="1"/>
  <c r="AC148" i="1"/>
  <c r="L148" i="1"/>
  <c r="AK148" i="1"/>
  <c r="AJ148" i="1"/>
  <c r="X148" i="1"/>
  <c r="Q148" i="1"/>
  <c r="A149" i="1"/>
  <c r="AB148" i="1"/>
  <c r="U148" i="1"/>
  <c r="D147" i="1"/>
  <c r="E147" i="1" s="1"/>
  <c r="V147" i="1"/>
  <c r="AB143" i="22"/>
  <c r="L143" i="22"/>
  <c r="K143" i="22"/>
  <c r="X143" i="22"/>
  <c r="A144" i="22"/>
  <c r="AJ143" i="22"/>
  <c r="AK143" i="22"/>
  <c r="O143" i="22"/>
  <c r="AC143" i="22"/>
  <c r="A147" i="17"/>
  <c r="X146" i="17"/>
  <c r="K146" i="17"/>
  <c r="AB146" i="17"/>
  <c r="L146" i="17"/>
  <c r="AJ146" i="17"/>
  <c r="O146" i="17"/>
  <c r="AK146" i="17"/>
  <c r="AC146" i="17"/>
  <c r="K142" i="23"/>
  <c r="X142" i="23"/>
  <c r="A143" i="23"/>
  <c r="AB142" i="23"/>
  <c r="L142" i="23"/>
  <c r="AJ142" i="23"/>
  <c r="AK142" i="23"/>
  <c r="O142" i="23"/>
  <c r="AC142" i="23"/>
  <c r="K140" i="25"/>
  <c r="X140" i="25"/>
  <c r="L140" i="25"/>
  <c r="AB140" i="25"/>
  <c r="A141" i="25"/>
  <c r="AK140" i="25"/>
  <c r="AJ140" i="25"/>
  <c r="O140" i="25"/>
  <c r="AC140" i="25"/>
  <c r="E147" i="15" l="1"/>
  <c r="AB148" i="15"/>
  <c r="AK148" i="15"/>
  <c r="K148" i="15"/>
  <c r="AJ148" i="15"/>
  <c r="A149" i="15"/>
  <c r="L148" i="15"/>
  <c r="D148" i="15" s="1"/>
  <c r="AC148" i="15"/>
  <c r="X148" i="15"/>
  <c r="O148" i="15"/>
  <c r="E146" i="16"/>
  <c r="AB147" i="16"/>
  <c r="K147" i="16"/>
  <c r="AK147" i="16"/>
  <c r="AC147" i="16"/>
  <c r="X147" i="16"/>
  <c r="L147" i="16"/>
  <c r="D147" i="16" s="1"/>
  <c r="A148" i="16"/>
  <c r="AJ147" i="16"/>
  <c r="O147" i="16"/>
  <c r="X141" i="25"/>
  <c r="K141" i="25"/>
  <c r="AB141" i="25"/>
  <c r="L141" i="25"/>
  <c r="A142" i="25"/>
  <c r="AJ141" i="25"/>
  <c r="AK141" i="25"/>
  <c r="O141" i="25"/>
  <c r="AC141" i="25"/>
  <c r="T148" i="1"/>
  <c r="AB149" i="1"/>
  <c r="A150" i="1"/>
  <c r="L149" i="1"/>
  <c r="Q149" i="1"/>
  <c r="AJ149" i="1"/>
  <c r="X149" i="1"/>
  <c r="K149" i="1"/>
  <c r="A24" i="7"/>
  <c r="AC149" i="1"/>
  <c r="O149" i="1"/>
  <c r="C24" i="7" s="1"/>
  <c r="AK149" i="1"/>
  <c r="U149" i="1"/>
  <c r="I146" i="1"/>
  <c r="G146" i="1"/>
  <c r="BW146" i="6" s="1"/>
  <c r="AA146" i="1"/>
  <c r="Z146" i="1" s="1"/>
  <c r="Y146" i="1" s="1"/>
  <c r="AJ146" i="18"/>
  <c r="A147" i="18"/>
  <c r="K146" i="18"/>
  <c r="AB146" i="18"/>
  <c r="X146" i="18"/>
  <c r="L146" i="18"/>
  <c r="AK146" i="18"/>
  <c r="O146" i="18"/>
  <c r="AC146" i="18"/>
  <c r="A143" i="24"/>
  <c r="X142" i="24"/>
  <c r="AB142" i="24"/>
  <c r="K142" i="24"/>
  <c r="L142" i="24"/>
  <c r="AJ142" i="24"/>
  <c r="AK142" i="24"/>
  <c r="O142" i="24"/>
  <c r="AC142" i="24"/>
  <c r="F147" i="1"/>
  <c r="A144" i="23"/>
  <c r="X143" i="23"/>
  <c r="AB143" i="23"/>
  <c r="L143" i="23"/>
  <c r="K143" i="23"/>
  <c r="AJ143" i="23"/>
  <c r="AK143" i="23"/>
  <c r="O143" i="23"/>
  <c r="AC143" i="23"/>
  <c r="A148" i="17"/>
  <c r="AB147" i="17"/>
  <c r="K147" i="17"/>
  <c r="L147" i="17"/>
  <c r="X147" i="17"/>
  <c r="O147" i="17"/>
  <c r="AK147" i="17"/>
  <c r="AJ147" i="17"/>
  <c r="AC147" i="17"/>
  <c r="AB144" i="22"/>
  <c r="A145" i="22"/>
  <c r="L144" i="22"/>
  <c r="X144" i="22"/>
  <c r="K144" i="22"/>
  <c r="AJ144" i="22"/>
  <c r="AK144" i="22"/>
  <c r="O144" i="22"/>
  <c r="AC144" i="22"/>
  <c r="D148" i="1"/>
  <c r="E148" i="1" s="1"/>
  <c r="A146" i="20"/>
  <c r="K145" i="20"/>
  <c r="AB145" i="20"/>
  <c r="L145" i="20"/>
  <c r="X145" i="20"/>
  <c r="AJ145" i="20"/>
  <c r="AK145" i="20"/>
  <c r="O145" i="20"/>
  <c r="AC145" i="20"/>
  <c r="E148" i="15" l="1"/>
  <c r="K149" i="15"/>
  <c r="A150" i="15"/>
  <c r="O149" i="15"/>
  <c r="C36" i="7" s="1"/>
  <c r="X149" i="15"/>
  <c r="AJ149" i="15"/>
  <c r="L149" i="15"/>
  <c r="AK149" i="15"/>
  <c r="AB149" i="15"/>
  <c r="A36" i="7"/>
  <c r="AC149" i="15"/>
  <c r="E147" i="16"/>
  <c r="AB148" i="16"/>
  <c r="K148" i="16"/>
  <c r="X148" i="16"/>
  <c r="AK148" i="16"/>
  <c r="O148" i="16"/>
  <c r="A149" i="16"/>
  <c r="L148" i="16"/>
  <c r="D148" i="16" s="1"/>
  <c r="E148" i="16" s="1"/>
  <c r="AJ148" i="16"/>
  <c r="AC148" i="16"/>
  <c r="A147" i="20"/>
  <c r="X146" i="20"/>
  <c r="K146" i="20"/>
  <c r="L146" i="20"/>
  <c r="AB146" i="20"/>
  <c r="AJ146" i="20"/>
  <c r="AK146" i="20"/>
  <c r="O146" i="20"/>
  <c r="AC146" i="20"/>
  <c r="K145" i="22"/>
  <c r="AB145" i="22"/>
  <c r="X145" i="22"/>
  <c r="L145" i="22"/>
  <c r="A146" i="22"/>
  <c r="AJ145" i="22"/>
  <c r="AK145" i="22"/>
  <c r="O145" i="22"/>
  <c r="AC145" i="22"/>
  <c r="AB144" i="23"/>
  <c r="X144" i="23"/>
  <c r="L144" i="23"/>
  <c r="A145" i="23"/>
  <c r="K144" i="23"/>
  <c r="AJ144" i="23"/>
  <c r="AK144" i="23"/>
  <c r="O144" i="23"/>
  <c r="AC144" i="23"/>
  <c r="AB143" i="24"/>
  <c r="L143" i="24"/>
  <c r="K143" i="24"/>
  <c r="X143" i="24"/>
  <c r="A144" i="24"/>
  <c r="AJ143" i="24"/>
  <c r="AK143" i="24"/>
  <c r="O143" i="24"/>
  <c r="AC143" i="24"/>
  <c r="K147" i="18"/>
  <c r="L147" i="18"/>
  <c r="X147" i="18"/>
  <c r="A148" i="18"/>
  <c r="AB147" i="18"/>
  <c r="AJ147" i="18"/>
  <c r="O147" i="18"/>
  <c r="AK147" i="18"/>
  <c r="AC147" i="18"/>
  <c r="B24" i="7"/>
  <c r="D149" i="1"/>
  <c r="E149" i="1" s="1"/>
  <c r="S148" i="1"/>
  <c r="R148" i="1" s="1"/>
  <c r="P148" i="1" s="1"/>
  <c r="K148" i="17"/>
  <c r="AB148" i="17"/>
  <c r="X148" i="17"/>
  <c r="L148" i="17"/>
  <c r="A149" i="17"/>
  <c r="AJ148" i="17"/>
  <c r="O148" i="17"/>
  <c r="AK148" i="17"/>
  <c r="AC148" i="17"/>
  <c r="AA147" i="1"/>
  <c r="Z147" i="1" s="1"/>
  <c r="Y147" i="1" s="1"/>
  <c r="I147" i="1"/>
  <c r="G147" i="1"/>
  <c r="BW147" i="6" s="1"/>
  <c r="T149" i="1"/>
  <c r="A151" i="1"/>
  <c r="O150" i="1"/>
  <c r="L150" i="1"/>
  <c r="AC150" i="1"/>
  <c r="AK150" i="1"/>
  <c r="Q150" i="1"/>
  <c r="AB150" i="1"/>
  <c r="K150" i="1"/>
  <c r="AJ150" i="1"/>
  <c r="X150" i="1"/>
  <c r="U150" i="1"/>
  <c r="T150" i="1" s="1"/>
  <c r="AB142" i="25"/>
  <c r="X142" i="25"/>
  <c r="K142" i="25"/>
  <c r="A143" i="25"/>
  <c r="L142" i="25"/>
  <c r="AJ142" i="25"/>
  <c r="O142" i="25"/>
  <c r="AK142" i="25"/>
  <c r="AC142" i="25"/>
  <c r="D149" i="15" l="1"/>
  <c r="E149" i="15" s="1"/>
  <c r="B36" i="7"/>
  <c r="AB150" i="15"/>
  <c r="AK150" i="15"/>
  <c r="L150" i="15"/>
  <c r="D150" i="15" s="1"/>
  <c r="K150" i="15"/>
  <c r="AC150" i="15"/>
  <c r="X150" i="15"/>
  <c r="O150" i="15"/>
  <c r="A151" i="15"/>
  <c r="AJ150" i="15"/>
  <c r="X149" i="16"/>
  <c r="K149" i="16"/>
  <c r="AB149" i="16"/>
  <c r="AK149" i="16"/>
  <c r="O149" i="16"/>
  <c r="C48" i="7" s="1"/>
  <c r="L149" i="16"/>
  <c r="A150" i="16"/>
  <c r="A48" i="7"/>
  <c r="AJ149" i="16"/>
  <c r="AC149" i="16"/>
  <c r="V148" i="1"/>
  <c r="F148" i="1" s="1"/>
  <c r="A150" i="17"/>
  <c r="AB149" i="17"/>
  <c r="X149" i="17"/>
  <c r="K149" i="17"/>
  <c r="L149" i="17"/>
  <c r="A60" i="7"/>
  <c r="AJ149" i="17"/>
  <c r="O149" i="17"/>
  <c r="C60" i="7" s="1"/>
  <c r="AK149" i="17"/>
  <c r="AC149" i="17"/>
  <c r="X143" i="25"/>
  <c r="AB143" i="25"/>
  <c r="L143" i="25"/>
  <c r="K143" i="25"/>
  <c r="A144" i="25"/>
  <c r="AJ143" i="25"/>
  <c r="O143" i="25"/>
  <c r="AK143" i="25"/>
  <c r="AC143" i="25"/>
  <c r="S150" i="1"/>
  <c r="R150" i="1" s="1"/>
  <c r="P150" i="1" s="1"/>
  <c r="V150" i="1" s="1"/>
  <c r="D150" i="1"/>
  <c r="E150" i="1" s="1"/>
  <c r="AJ151" i="1"/>
  <c r="Q151" i="1"/>
  <c r="L151" i="1"/>
  <c r="X151" i="1"/>
  <c r="O151" i="1"/>
  <c r="K151" i="1"/>
  <c r="AK151" i="1"/>
  <c r="A152" i="1"/>
  <c r="AC151" i="1"/>
  <c r="AB151" i="1"/>
  <c r="U151" i="1"/>
  <c r="T151" i="1" s="1"/>
  <c r="S149" i="1"/>
  <c r="R149" i="1" s="1"/>
  <c r="P149" i="1" s="1"/>
  <c r="AB148" i="18"/>
  <c r="AJ148" i="18"/>
  <c r="A149" i="18"/>
  <c r="K148" i="18"/>
  <c r="X148" i="18"/>
  <c r="L148" i="18"/>
  <c r="AK148" i="18"/>
  <c r="O148" i="18"/>
  <c r="AC148" i="18"/>
  <c r="X144" i="24"/>
  <c r="AB144" i="24"/>
  <c r="A145" i="24"/>
  <c r="L144" i="24"/>
  <c r="K144" i="24"/>
  <c r="AK144" i="24"/>
  <c r="O144" i="24"/>
  <c r="AJ144" i="24"/>
  <c r="AC144" i="24"/>
  <c r="A146" i="23"/>
  <c r="K145" i="23"/>
  <c r="L145" i="23"/>
  <c r="X145" i="23"/>
  <c r="AB145" i="23"/>
  <c r="AJ145" i="23"/>
  <c r="AK145" i="23"/>
  <c r="O145" i="23"/>
  <c r="AC145" i="23"/>
  <c r="X146" i="22"/>
  <c r="K146" i="22"/>
  <c r="AB146" i="22"/>
  <c r="L146" i="22"/>
  <c r="A147" i="22"/>
  <c r="AJ146" i="22"/>
  <c r="AK146" i="22"/>
  <c r="O146" i="22"/>
  <c r="AC146" i="22"/>
  <c r="K147" i="20"/>
  <c r="X147" i="20"/>
  <c r="A148" i="20"/>
  <c r="L147" i="20"/>
  <c r="AB147" i="20"/>
  <c r="AK147" i="20"/>
  <c r="AJ147" i="20"/>
  <c r="O147" i="20"/>
  <c r="AC147" i="20"/>
  <c r="K151" i="15" l="1"/>
  <c r="O151" i="15"/>
  <c r="AB151" i="15"/>
  <c r="AK151" i="15"/>
  <c r="L151" i="15"/>
  <c r="D151" i="15" s="1"/>
  <c r="AJ151" i="15"/>
  <c r="X151" i="15"/>
  <c r="A152" i="15"/>
  <c r="AC151" i="15"/>
  <c r="E150" i="15"/>
  <c r="A151" i="16"/>
  <c r="X150" i="16"/>
  <c r="AJ150" i="16"/>
  <c r="AC150" i="16"/>
  <c r="K150" i="16"/>
  <c r="L150" i="16"/>
  <c r="D150" i="16" s="1"/>
  <c r="AB150" i="16"/>
  <c r="AK150" i="16"/>
  <c r="O150" i="16"/>
  <c r="D149" i="16"/>
  <c r="E149" i="16" s="1"/>
  <c r="B48" i="7"/>
  <c r="D24" i="7"/>
  <c r="V149" i="1"/>
  <c r="F149" i="1" s="1"/>
  <c r="A149" i="20"/>
  <c r="L148" i="20"/>
  <c r="K148" i="20"/>
  <c r="AB148" i="20"/>
  <c r="X148" i="20"/>
  <c r="AJ148" i="20"/>
  <c r="AK148" i="20"/>
  <c r="O148" i="20"/>
  <c r="AC148" i="20"/>
  <c r="A147" i="23"/>
  <c r="AB146" i="23"/>
  <c r="K146" i="23"/>
  <c r="X146" i="23"/>
  <c r="L146" i="23"/>
  <c r="AJ146" i="23"/>
  <c r="AK146" i="23"/>
  <c r="O146" i="23"/>
  <c r="AC146" i="23"/>
  <c r="AB149" i="18"/>
  <c r="X149" i="18"/>
  <c r="AJ149" i="18"/>
  <c r="A150" i="18"/>
  <c r="L149" i="18"/>
  <c r="K149" i="18"/>
  <c r="A72" i="7"/>
  <c r="O149" i="18"/>
  <c r="C72" i="7" s="1"/>
  <c r="AK149" i="18"/>
  <c r="AC149" i="18"/>
  <c r="AB152" i="1"/>
  <c r="AC152" i="1"/>
  <c r="O152" i="1"/>
  <c r="Q152" i="1"/>
  <c r="X152" i="1"/>
  <c r="A153" i="1"/>
  <c r="K152" i="1"/>
  <c r="L152" i="1"/>
  <c r="AJ152" i="1"/>
  <c r="AK152" i="1"/>
  <c r="U152" i="1"/>
  <c r="T152" i="1" s="1"/>
  <c r="F150" i="1"/>
  <c r="K144" i="25"/>
  <c r="A145" i="25"/>
  <c r="L144" i="25"/>
  <c r="X144" i="25"/>
  <c r="AB144" i="25"/>
  <c r="AJ144" i="25"/>
  <c r="O144" i="25"/>
  <c r="AK144" i="25"/>
  <c r="AC144" i="25"/>
  <c r="B60" i="7"/>
  <c r="AB150" i="17"/>
  <c r="X150" i="17"/>
  <c r="L150" i="17"/>
  <c r="A151" i="17"/>
  <c r="K150" i="17"/>
  <c r="AJ150" i="17"/>
  <c r="O150" i="17"/>
  <c r="AK150" i="17"/>
  <c r="AC150" i="17"/>
  <c r="I148" i="1"/>
  <c r="AA148" i="1"/>
  <c r="Z148" i="1" s="1"/>
  <c r="Y148" i="1" s="1"/>
  <c r="G148" i="1"/>
  <c r="BW148" i="6" s="1"/>
  <c r="A148" i="22"/>
  <c r="AB147" i="22"/>
  <c r="X147" i="22"/>
  <c r="K147" i="22"/>
  <c r="L147" i="22"/>
  <c r="AJ147" i="22"/>
  <c r="AK147" i="22"/>
  <c r="O147" i="22"/>
  <c r="AC147" i="22"/>
  <c r="A146" i="24"/>
  <c r="L145" i="24"/>
  <c r="K145" i="24"/>
  <c r="X145" i="24"/>
  <c r="AB145" i="24"/>
  <c r="AK145" i="24"/>
  <c r="O145" i="24"/>
  <c r="AJ145" i="24"/>
  <c r="AC145" i="24"/>
  <c r="S151" i="1"/>
  <c r="R151" i="1" s="1"/>
  <c r="P151" i="1" s="1"/>
  <c r="V151" i="1" s="1"/>
  <c r="D151" i="1"/>
  <c r="E151" i="1" s="1"/>
  <c r="A153" i="15" l="1"/>
  <c r="L152" i="15"/>
  <c r="D152" i="15" s="1"/>
  <c r="O152" i="15"/>
  <c r="K152" i="15"/>
  <c r="AC152" i="15"/>
  <c r="X152" i="15"/>
  <c r="AJ152" i="15"/>
  <c r="AB152" i="15"/>
  <c r="AK152" i="15"/>
  <c r="E151" i="15"/>
  <c r="K151" i="16"/>
  <c r="A152" i="16"/>
  <c r="AK151" i="16"/>
  <c r="AC151" i="16"/>
  <c r="AB151" i="16"/>
  <c r="L151" i="16"/>
  <c r="D151" i="16" s="1"/>
  <c r="X151" i="16"/>
  <c r="AJ151" i="16"/>
  <c r="O151" i="16"/>
  <c r="E150" i="16"/>
  <c r="F151" i="1"/>
  <c r="X146" i="24"/>
  <c r="K146" i="24"/>
  <c r="AB146" i="24"/>
  <c r="L146" i="24"/>
  <c r="A147" i="24"/>
  <c r="AK146" i="24"/>
  <c r="AJ146" i="24"/>
  <c r="O146" i="24"/>
  <c r="AC146" i="24"/>
  <c r="K151" i="17"/>
  <c r="X151" i="17"/>
  <c r="L151" i="17"/>
  <c r="A152" i="17"/>
  <c r="AB151" i="17"/>
  <c r="O151" i="17"/>
  <c r="AK151" i="17"/>
  <c r="AJ151" i="17"/>
  <c r="AC151" i="17"/>
  <c r="X145" i="25"/>
  <c r="L145" i="25"/>
  <c r="A146" i="25"/>
  <c r="AB145" i="25"/>
  <c r="K145" i="25"/>
  <c r="AJ145" i="25"/>
  <c r="AK145" i="25"/>
  <c r="O145" i="25"/>
  <c r="AC145" i="25"/>
  <c r="G150" i="1"/>
  <c r="BW150" i="6" s="1"/>
  <c r="I150" i="1"/>
  <c r="AA150" i="1"/>
  <c r="Z150" i="1" s="1"/>
  <c r="Y150" i="1" s="1"/>
  <c r="D152" i="1"/>
  <c r="E152" i="1" s="1"/>
  <c r="L153" i="1"/>
  <c r="AB153" i="1"/>
  <c r="AJ153" i="1"/>
  <c r="K153" i="1"/>
  <c r="Q153" i="1"/>
  <c r="A154" i="1"/>
  <c r="O153" i="1"/>
  <c r="X153" i="1"/>
  <c r="AK153" i="1"/>
  <c r="AC153" i="1"/>
  <c r="U153" i="1"/>
  <c r="X150" i="18"/>
  <c r="AJ150" i="18"/>
  <c r="A151" i="18"/>
  <c r="K150" i="18"/>
  <c r="AB150" i="18"/>
  <c r="L150" i="18"/>
  <c r="AK150" i="18"/>
  <c r="O150" i="18"/>
  <c r="AC150" i="18"/>
  <c r="X147" i="23"/>
  <c r="L147" i="23"/>
  <c r="AB147" i="23"/>
  <c r="K147" i="23"/>
  <c r="A148" i="23"/>
  <c r="AK147" i="23"/>
  <c r="AJ147" i="23"/>
  <c r="O147" i="23"/>
  <c r="AC147" i="23"/>
  <c r="G149" i="1"/>
  <c r="BW149" i="6" s="1"/>
  <c r="AA149" i="1"/>
  <c r="Z149" i="1" s="1"/>
  <c r="Y149" i="1" s="1"/>
  <c r="I149" i="1"/>
  <c r="K148" i="22"/>
  <c r="X148" i="22"/>
  <c r="L148" i="22"/>
  <c r="AB148" i="22"/>
  <c r="A149" i="22"/>
  <c r="AJ148" i="22"/>
  <c r="AK148" i="22"/>
  <c r="O148" i="22"/>
  <c r="AC148" i="22"/>
  <c r="S152" i="1"/>
  <c r="R152" i="1" s="1"/>
  <c r="P152" i="1" s="1"/>
  <c r="V152" i="1" s="1"/>
  <c r="B72" i="7"/>
  <c r="K149" i="20"/>
  <c r="AE24" i="7"/>
  <c r="A150" i="20"/>
  <c r="L149" i="20"/>
  <c r="X149" i="20"/>
  <c r="AB149" i="20"/>
  <c r="AJ149" i="20"/>
  <c r="AK149" i="20"/>
  <c r="O149" i="20"/>
  <c r="AG24" i="7" s="1"/>
  <c r="AC149" i="20"/>
  <c r="E152" i="15" l="1"/>
  <c r="A154" i="15"/>
  <c r="AC153" i="15"/>
  <c r="K153" i="15"/>
  <c r="AJ153" i="15"/>
  <c r="L153" i="15"/>
  <c r="D153" i="15" s="1"/>
  <c r="AK153" i="15"/>
  <c r="AB153" i="15"/>
  <c r="X153" i="15"/>
  <c r="O153" i="15"/>
  <c r="E151" i="16"/>
  <c r="AB152" i="16"/>
  <c r="X152" i="16"/>
  <c r="A153" i="16"/>
  <c r="AK152" i="16"/>
  <c r="O152" i="16"/>
  <c r="K152" i="16"/>
  <c r="L152" i="16"/>
  <c r="D152" i="16" s="1"/>
  <c r="AJ152" i="16"/>
  <c r="AC152" i="16"/>
  <c r="AF24" i="7"/>
  <c r="AB149" i="22"/>
  <c r="A150" i="22"/>
  <c r="L149" i="22"/>
  <c r="AE36" i="7"/>
  <c r="X149" i="22"/>
  <c r="K149" i="22"/>
  <c r="AJ149" i="22"/>
  <c r="AK149" i="22"/>
  <c r="O149" i="22"/>
  <c r="AG36" i="7" s="1"/>
  <c r="AC149" i="22"/>
  <c r="A149" i="23"/>
  <c r="L148" i="23"/>
  <c r="AB148" i="23"/>
  <c r="X148" i="23"/>
  <c r="K148" i="23"/>
  <c r="AK148" i="23"/>
  <c r="AJ148" i="23"/>
  <c r="O148" i="23"/>
  <c r="AC148" i="23"/>
  <c r="X154" i="1"/>
  <c r="O154" i="1"/>
  <c r="K154" i="1"/>
  <c r="AC154" i="1"/>
  <c r="AK154" i="1"/>
  <c r="L154" i="1"/>
  <c r="Q154" i="1"/>
  <c r="A155" i="1"/>
  <c r="AJ154" i="1"/>
  <c r="AB154" i="1"/>
  <c r="U154" i="1"/>
  <c r="T154" i="1" s="1"/>
  <c r="X152" i="17"/>
  <c r="AB152" i="17"/>
  <c r="K152" i="17"/>
  <c r="A153" i="17"/>
  <c r="L152" i="17"/>
  <c r="AJ152" i="17"/>
  <c r="O152" i="17"/>
  <c r="AK152" i="17"/>
  <c r="AC152" i="17"/>
  <c r="A151" i="20"/>
  <c r="AB150" i="20"/>
  <c r="K150" i="20"/>
  <c r="L150" i="20"/>
  <c r="X150" i="20"/>
  <c r="AK150" i="20"/>
  <c r="AJ150" i="20"/>
  <c r="O150" i="20"/>
  <c r="AC150" i="20"/>
  <c r="F152" i="1"/>
  <c r="AB151" i="18"/>
  <c r="A152" i="18"/>
  <c r="L151" i="18"/>
  <c r="X151" i="18"/>
  <c r="AJ151" i="18"/>
  <c r="K151" i="18"/>
  <c r="AK151" i="18"/>
  <c r="O151" i="18"/>
  <c r="AC151" i="18"/>
  <c r="T153" i="1"/>
  <c r="D153" i="1"/>
  <c r="E153" i="1" s="1"/>
  <c r="A147" i="25"/>
  <c r="X146" i="25"/>
  <c r="L146" i="25"/>
  <c r="AB146" i="25"/>
  <c r="K146" i="25"/>
  <c r="AJ146" i="25"/>
  <c r="AK146" i="25"/>
  <c r="O146" i="25"/>
  <c r="AC146" i="25"/>
  <c r="K147" i="24"/>
  <c r="X147" i="24"/>
  <c r="L147" i="24"/>
  <c r="AB147" i="24"/>
  <c r="A148" i="24"/>
  <c r="AJ147" i="24"/>
  <c r="AK147" i="24"/>
  <c r="O147" i="24"/>
  <c r="AC147" i="24"/>
  <c r="G151" i="1"/>
  <c r="BW151" i="6" s="1"/>
  <c r="AA151" i="1"/>
  <c r="Z151" i="1" s="1"/>
  <c r="Y151" i="1" s="1"/>
  <c r="I151" i="1"/>
  <c r="E152" i="16" l="1"/>
  <c r="E153" i="15"/>
  <c r="X154" i="15"/>
  <c r="A155" i="15"/>
  <c r="AC154" i="15"/>
  <c r="AB154" i="15"/>
  <c r="O154" i="15"/>
  <c r="L154" i="15"/>
  <c r="D154" i="15" s="1"/>
  <c r="AK154" i="15"/>
  <c r="K154" i="15"/>
  <c r="AJ154" i="15"/>
  <c r="A154" i="16"/>
  <c r="X153" i="16"/>
  <c r="AJ153" i="16"/>
  <c r="AC153" i="16"/>
  <c r="AB153" i="16"/>
  <c r="L153" i="16"/>
  <c r="D153" i="16" s="1"/>
  <c r="K153" i="16"/>
  <c r="AK153" i="16"/>
  <c r="O153" i="16"/>
  <c r="K147" i="25"/>
  <c r="L147" i="25"/>
  <c r="A148" i="25"/>
  <c r="X147" i="25"/>
  <c r="AB147" i="25"/>
  <c r="AJ147" i="25"/>
  <c r="O147" i="25"/>
  <c r="AK147" i="25"/>
  <c r="AC147" i="25"/>
  <c r="S153" i="1"/>
  <c r="R153" i="1" s="1"/>
  <c r="P153" i="1" s="1"/>
  <c r="V153" i="1" s="1"/>
  <c r="F153" i="1" s="1"/>
  <c r="A153" i="18"/>
  <c r="AB152" i="18"/>
  <c r="L152" i="18"/>
  <c r="X152" i="18"/>
  <c r="AJ152" i="18"/>
  <c r="K152" i="18"/>
  <c r="AK152" i="18"/>
  <c r="O152" i="18"/>
  <c r="AC152" i="18"/>
  <c r="G152" i="1"/>
  <c r="BW152" i="6" s="1"/>
  <c r="AA152" i="1"/>
  <c r="Z152" i="1" s="1"/>
  <c r="Y152" i="1" s="1"/>
  <c r="I152" i="1"/>
  <c r="AB151" i="20"/>
  <c r="K151" i="20"/>
  <c r="A152" i="20"/>
  <c r="X151" i="20"/>
  <c r="L151" i="20"/>
  <c r="AJ151" i="20"/>
  <c r="AK151" i="20"/>
  <c r="O151" i="20"/>
  <c r="AC151" i="20"/>
  <c r="AB153" i="17"/>
  <c r="X153" i="17"/>
  <c r="A154" i="17"/>
  <c r="L153" i="17"/>
  <c r="K153" i="17"/>
  <c r="O153" i="17"/>
  <c r="AK153" i="17"/>
  <c r="AJ153" i="17"/>
  <c r="AC153" i="17"/>
  <c r="AJ155" i="1"/>
  <c r="AB155" i="1"/>
  <c r="O155" i="1"/>
  <c r="K155" i="1"/>
  <c r="L155" i="1"/>
  <c r="AK155" i="1"/>
  <c r="A156" i="1"/>
  <c r="X155" i="1"/>
  <c r="AC155" i="1"/>
  <c r="Q155" i="1"/>
  <c r="U155" i="1"/>
  <c r="T155" i="1" s="1"/>
  <c r="D154" i="1"/>
  <c r="E154" i="1" s="1"/>
  <c r="AE48" i="7"/>
  <c r="L149" i="23"/>
  <c r="A150" i="23"/>
  <c r="X149" i="23"/>
  <c r="K149" i="23"/>
  <c r="AB149" i="23"/>
  <c r="AJ149" i="23"/>
  <c r="AK149" i="23"/>
  <c r="O149" i="23"/>
  <c r="AG48" i="7" s="1"/>
  <c r="AC149" i="23"/>
  <c r="AF36" i="7"/>
  <c r="A149" i="24"/>
  <c r="K148" i="24"/>
  <c r="X148" i="24"/>
  <c r="L148" i="24"/>
  <c r="AB148" i="24"/>
  <c r="AJ148" i="24"/>
  <c r="AK148" i="24"/>
  <c r="O148" i="24"/>
  <c r="AC148" i="24"/>
  <c r="S154" i="1"/>
  <c r="R154" i="1" s="1"/>
  <c r="P154" i="1" s="1"/>
  <c r="V154" i="1" s="1"/>
  <c r="A151" i="22"/>
  <c r="AB150" i="22"/>
  <c r="K150" i="22"/>
  <c r="L150" i="22"/>
  <c r="X150" i="22"/>
  <c r="AJ150" i="22"/>
  <c r="AK150" i="22"/>
  <c r="O150" i="22"/>
  <c r="AC150" i="22"/>
  <c r="E154" i="15" l="1"/>
  <c r="K155" i="15"/>
  <c r="A156" i="15"/>
  <c r="AB155" i="15"/>
  <c r="AK155" i="15"/>
  <c r="AC155" i="15"/>
  <c r="X155" i="15"/>
  <c r="AJ155" i="15"/>
  <c r="L155" i="15"/>
  <c r="D155" i="15" s="1"/>
  <c r="O155" i="15"/>
  <c r="E153" i="16"/>
  <c r="F154" i="1"/>
  <c r="G154" i="1" s="1"/>
  <c r="BW154" i="6" s="1"/>
  <c r="L154" i="16"/>
  <c r="D154" i="16" s="1"/>
  <c r="A155" i="16"/>
  <c r="AJ154" i="16"/>
  <c r="AC154" i="16"/>
  <c r="AB154" i="16"/>
  <c r="K154" i="16"/>
  <c r="X154" i="16"/>
  <c r="AK154" i="16"/>
  <c r="O154" i="16"/>
  <c r="AB151" i="22"/>
  <c r="K151" i="22"/>
  <c r="A152" i="22"/>
  <c r="X151" i="22"/>
  <c r="L151" i="22"/>
  <c r="AK151" i="22"/>
  <c r="AJ151" i="22"/>
  <c r="O151" i="22"/>
  <c r="AC151" i="22"/>
  <c r="A150" i="24"/>
  <c r="L149" i="24"/>
  <c r="K149" i="24"/>
  <c r="X149" i="24"/>
  <c r="AE60" i="7"/>
  <c r="AB149" i="24"/>
  <c r="AJ149" i="24"/>
  <c r="AK149" i="24"/>
  <c r="O149" i="24"/>
  <c r="AG60" i="7" s="1"/>
  <c r="AC149" i="24"/>
  <c r="A151" i="23"/>
  <c r="K150" i="23"/>
  <c r="AB150" i="23"/>
  <c r="X150" i="23"/>
  <c r="L150" i="23"/>
  <c r="AJ150" i="23"/>
  <c r="AK150" i="23"/>
  <c r="O150" i="23"/>
  <c r="AC150" i="23"/>
  <c r="S155" i="1"/>
  <c r="R155" i="1" s="1"/>
  <c r="P155" i="1" s="1"/>
  <c r="V155" i="1" s="1"/>
  <c r="K156" i="1"/>
  <c r="X156" i="1"/>
  <c r="AJ156" i="1"/>
  <c r="AB156" i="1"/>
  <c r="AC156" i="1"/>
  <c r="A157" i="1"/>
  <c r="O156" i="1"/>
  <c r="Q156" i="1"/>
  <c r="AK156" i="1"/>
  <c r="L156" i="1"/>
  <c r="U156" i="1"/>
  <c r="T156" i="1" s="1"/>
  <c r="S156" i="1" s="1"/>
  <c r="R156" i="1" s="1"/>
  <c r="D155" i="1"/>
  <c r="E155" i="1" s="1"/>
  <c r="K154" i="17"/>
  <c r="L154" i="17"/>
  <c r="X154" i="17"/>
  <c r="AB154" i="17"/>
  <c r="A155" i="17"/>
  <c r="AJ154" i="17"/>
  <c r="O154" i="17"/>
  <c r="AK154" i="17"/>
  <c r="AC154" i="17"/>
  <c r="X153" i="18"/>
  <c r="L153" i="18"/>
  <c r="A154" i="18"/>
  <c r="AB153" i="18"/>
  <c r="K153" i="18"/>
  <c r="AJ153" i="18"/>
  <c r="O153" i="18"/>
  <c r="AK153" i="18"/>
  <c r="AC153" i="18"/>
  <c r="G153" i="1"/>
  <c r="BW153" i="6" s="1"/>
  <c r="I153" i="1"/>
  <c r="AA153" i="1"/>
  <c r="Z153" i="1" s="1"/>
  <c r="Y153" i="1" s="1"/>
  <c r="X148" i="25"/>
  <c r="A149" i="25"/>
  <c r="AB148" i="25"/>
  <c r="L148" i="25"/>
  <c r="K148" i="25"/>
  <c r="AJ148" i="25"/>
  <c r="AK148" i="25"/>
  <c r="O148" i="25"/>
  <c r="AC148" i="25"/>
  <c r="AF48" i="7"/>
  <c r="K152" i="20"/>
  <c r="L152" i="20"/>
  <c r="X152" i="20"/>
  <c r="A153" i="20"/>
  <c r="AB152" i="20"/>
  <c r="AJ152" i="20"/>
  <c r="AK152" i="20"/>
  <c r="O152" i="20"/>
  <c r="AC152" i="20"/>
  <c r="AB156" i="15" l="1"/>
  <c r="AK156" i="15"/>
  <c r="K156" i="15"/>
  <c r="A157" i="15"/>
  <c r="AC156" i="15"/>
  <c r="X156" i="15"/>
  <c r="O156" i="15"/>
  <c r="L156" i="15"/>
  <c r="D156" i="15" s="1"/>
  <c r="AJ156" i="15"/>
  <c r="E155" i="15"/>
  <c r="F155" i="1"/>
  <c r="I155" i="1" s="1"/>
  <c r="AA154" i="1"/>
  <c r="Z154" i="1" s="1"/>
  <c r="Y154" i="1" s="1"/>
  <c r="I154" i="1"/>
  <c r="A156" i="16"/>
  <c r="K155" i="16"/>
  <c r="AK155" i="16"/>
  <c r="AC155" i="16"/>
  <c r="X155" i="16"/>
  <c r="L155" i="16"/>
  <c r="D155" i="16" s="1"/>
  <c r="AB155" i="16"/>
  <c r="AJ155" i="16"/>
  <c r="O155" i="16"/>
  <c r="E154" i="16"/>
  <c r="D156" i="1"/>
  <c r="E156" i="1" s="1"/>
  <c r="AB157" i="1"/>
  <c r="AJ157" i="1"/>
  <c r="AC157" i="1"/>
  <c r="K157" i="1"/>
  <c r="X157" i="1"/>
  <c r="L157" i="1"/>
  <c r="O157" i="1"/>
  <c r="A158" i="1"/>
  <c r="AK157" i="1"/>
  <c r="Q157" i="1"/>
  <c r="U157" i="1"/>
  <c r="T157" i="1" s="1"/>
  <c r="K151" i="23"/>
  <c r="X151" i="23"/>
  <c r="L151" i="23"/>
  <c r="A152" i="23"/>
  <c r="AB151" i="23"/>
  <c r="AJ151" i="23"/>
  <c r="AK151" i="23"/>
  <c r="O151" i="23"/>
  <c r="AC151" i="23"/>
  <c r="A151" i="24"/>
  <c r="K150" i="24"/>
  <c r="L150" i="24"/>
  <c r="AB150" i="24"/>
  <c r="X150" i="24"/>
  <c r="AK150" i="24"/>
  <c r="AJ150" i="24"/>
  <c r="O150" i="24"/>
  <c r="AC150" i="24"/>
  <c r="X152" i="22"/>
  <c r="K152" i="22"/>
  <c r="AB152" i="22"/>
  <c r="L152" i="22"/>
  <c r="A153" i="22"/>
  <c r="AJ152" i="22"/>
  <c r="AK152" i="22"/>
  <c r="O152" i="22"/>
  <c r="AC152" i="22"/>
  <c r="X153" i="20"/>
  <c r="A154" i="20"/>
  <c r="L153" i="20"/>
  <c r="AB153" i="20"/>
  <c r="K153" i="20"/>
  <c r="AK153" i="20"/>
  <c r="AJ153" i="20"/>
  <c r="O153" i="20"/>
  <c r="AC153" i="20"/>
  <c r="AB149" i="25"/>
  <c r="L149" i="25"/>
  <c r="K149" i="25"/>
  <c r="X149" i="25"/>
  <c r="A150" i="25"/>
  <c r="AE72" i="7"/>
  <c r="AJ149" i="25"/>
  <c r="AK149" i="25"/>
  <c r="O149" i="25"/>
  <c r="AG72" i="7" s="1"/>
  <c r="AC149" i="25"/>
  <c r="A155" i="18"/>
  <c r="AJ154" i="18"/>
  <c r="L154" i="18"/>
  <c r="K154" i="18"/>
  <c r="X154" i="18"/>
  <c r="AB154" i="18"/>
  <c r="O154" i="18"/>
  <c r="AK154" i="18"/>
  <c r="AC154" i="18"/>
  <c r="K155" i="17"/>
  <c r="L155" i="17"/>
  <c r="X155" i="17"/>
  <c r="AB155" i="17"/>
  <c r="A156" i="17"/>
  <c r="AK155" i="17"/>
  <c r="AJ155" i="17"/>
  <c r="O155" i="17"/>
  <c r="AC155" i="17"/>
  <c r="P156" i="1"/>
  <c r="V156" i="1" s="1"/>
  <c r="F156" i="1" s="1"/>
  <c r="AF60" i="7"/>
  <c r="G155" i="1" l="1"/>
  <c r="BW155" i="6" s="1"/>
  <c r="AA155" i="1"/>
  <c r="Z155" i="1" s="1"/>
  <c r="Y155" i="1" s="1"/>
  <c r="E156" i="15"/>
  <c r="K157" i="15"/>
  <c r="X157" i="15"/>
  <c r="AC157" i="15"/>
  <c r="A158" i="15"/>
  <c r="O157" i="15"/>
  <c r="L157" i="15"/>
  <c r="D157" i="15" s="1"/>
  <c r="AK157" i="15"/>
  <c r="AB157" i="15"/>
  <c r="AJ157" i="15"/>
  <c r="E155" i="16"/>
  <c r="A157" i="16"/>
  <c r="X156" i="16"/>
  <c r="K156" i="16"/>
  <c r="AK156" i="16"/>
  <c r="O156" i="16"/>
  <c r="L156" i="16"/>
  <c r="D156" i="16" s="1"/>
  <c r="AB156" i="16"/>
  <c r="AJ156" i="16"/>
  <c r="AC156" i="16"/>
  <c r="G156" i="1"/>
  <c r="BW156" i="6" s="1"/>
  <c r="AA156" i="1"/>
  <c r="Z156" i="1" s="1"/>
  <c r="Y156" i="1" s="1"/>
  <c r="I156" i="1"/>
  <c r="A157" i="17"/>
  <c r="L156" i="17"/>
  <c r="K156" i="17"/>
  <c r="X156" i="17"/>
  <c r="AB156" i="17"/>
  <c r="O156" i="17"/>
  <c r="AJ156" i="17"/>
  <c r="AK156" i="17"/>
  <c r="AC156" i="17"/>
  <c r="K155" i="18"/>
  <c r="A156" i="18"/>
  <c r="AJ155" i="18"/>
  <c r="AB155" i="18"/>
  <c r="L155" i="18"/>
  <c r="X155" i="18"/>
  <c r="O155" i="18"/>
  <c r="AK155" i="18"/>
  <c r="AC155" i="18"/>
  <c r="AF72" i="7"/>
  <c r="A152" i="24"/>
  <c r="L151" i="24"/>
  <c r="AB151" i="24"/>
  <c r="X151" i="24"/>
  <c r="K151" i="24"/>
  <c r="AK151" i="24"/>
  <c r="AJ151" i="24"/>
  <c r="O151" i="24"/>
  <c r="AC151" i="24"/>
  <c r="K152" i="23"/>
  <c r="A153" i="23"/>
  <c r="AB152" i="23"/>
  <c r="X152" i="23"/>
  <c r="L152" i="23"/>
  <c r="AK152" i="23"/>
  <c r="AJ152" i="23"/>
  <c r="O152" i="23"/>
  <c r="AC152" i="23"/>
  <c r="S157" i="1"/>
  <c r="R157" i="1" s="1"/>
  <c r="P157" i="1" s="1"/>
  <c r="V157" i="1" s="1"/>
  <c r="K150" i="25"/>
  <c r="X150" i="25"/>
  <c r="AB150" i="25"/>
  <c r="L150" i="25"/>
  <c r="A151" i="25"/>
  <c r="AJ150" i="25"/>
  <c r="AK150" i="25"/>
  <c r="O150" i="25"/>
  <c r="AC150" i="25"/>
  <c r="X154" i="20"/>
  <c r="L154" i="20"/>
  <c r="K154" i="20"/>
  <c r="A155" i="20"/>
  <c r="AB154" i="20"/>
  <c r="AJ154" i="20"/>
  <c r="AK154" i="20"/>
  <c r="O154" i="20"/>
  <c r="AC154" i="20"/>
  <c r="X153" i="22"/>
  <c r="AB153" i="22"/>
  <c r="K153" i="22"/>
  <c r="L153" i="22"/>
  <c r="A154" i="22"/>
  <c r="AK153" i="22"/>
  <c r="AJ153" i="22"/>
  <c r="O153" i="22"/>
  <c r="AC153" i="22"/>
  <c r="L158" i="1"/>
  <c r="AC158" i="1"/>
  <c r="K158" i="1"/>
  <c r="X158" i="1"/>
  <c r="AK158" i="1"/>
  <c r="AJ158" i="1"/>
  <c r="O158" i="1"/>
  <c r="A159" i="1"/>
  <c r="AB158" i="1"/>
  <c r="Q158" i="1"/>
  <c r="U158" i="1"/>
  <c r="T158" i="1" s="1"/>
  <c r="D157" i="1"/>
  <c r="E157" i="1" s="1"/>
  <c r="E157" i="15" l="1"/>
  <c r="X158" i="15"/>
  <c r="K158" i="15"/>
  <c r="AC158" i="15"/>
  <c r="L158" i="15"/>
  <c r="D158" i="15" s="1"/>
  <c r="O158" i="15"/>
  <c r="AB158" i="15"/>
  <c r="AK158" i="15"/>
  <c r="A159" i="15"/>
  <c r="AJ158" i="15"/>
  <c r="X157" i="16"/>
  <c r="A158" i="16"/>
  <c r="L157" i="16"/>
  <c r="D157" i="16" s="1"/>
  <c r="AK157" i="16"/>
  <c r="O157" i="16"/>
  <c r="AB157" i="16"/>
  <c r="K157" i="16"/>
  <c r="AJ157" i="16"/>
  <c r="AC157" i="16"/>
  <c r="E156" i="16"/>
  <c r="F157" i="1"/>
  <c r="K159" i="1"/>
  <c r="L159" i="1"/>
  <c r="AC159" i="1"/>
  <c r="AK159" i="1"/>
  <c r="AJ159" i="1"/>
  <c r="AB159" i="1"/>
  <c r="X159" i="1"/>
  <c r="O159" i="1"/>
  <c r="A160" i="1"/>
  <c r="Q159" i="1"/>
  <c r="U159" i="1"/>
  <c r="T159" i="1" s="1"/>
  <c r="A155" i="22"/>
  <c r="AB154" i="22"/>
  <c r="X154" i="22"/>
  <c r="K154" i="22"/>
  <c r="L154" i="22"/>
  <c r="AJ154" i="22"/>
  <c r="AK154" i="22"/>
  <c r="O154" i="22"/>
  <c r="AC154" i="22"/>
  <c r="X155" i="20"/>
  <c r="L155" i="20"/>
  <c r="A156" i="20"/>
  <c r="AB155" i="20"/>
  <c r="K155" i="20"/>
  <c r="AK155" i="20"/>
  <c r="AJ155" i="20"/>
  <c r="O155" i="20"/>
  <c r="AC155" i="20"/>
  <c r="A152" i="25"/>
  <c r="L151" i="25"/>
  <c r="X151" i="25"/>
  <c r="K151" i="25"/>
  <c r="AB151" i="25"/>
  <c r="AJ151" i="25"/>
  <c r="AK151" i="25"/>
  <c r="O151" i="25"/>
  <c r="AC151" i="25"/>
  <c r="X153" i="23"/>
  <c r="AB153" i="23"/>
  <c r="A154" i="23"/>
  <c r="L153" i="23"/>
  <c r="K153" i="23"/>
  <c r="AJ153" i="23"/>
  <c r="AK153" i="23"/>
  <c r="O153" i="23"/>
  <c r="AC153" i="23"/>
  <c r="K152" i="24"/>
  <c r="AB152" i="24"/>
  <c r="X152" i="24"/>
  <c r="L152" i="24"/>
  <c r="A153" i="24"/>
  <c r="AJ152" i="24"/>
  <c r="AK152" i="24"/>
  <c r="O152" i="24"/>
  <c r="AC152" i="24"/>
  <c r="A157" i="18"/>
  <c r="AJ156" i="18"/>
  <c r="L156" i="18"/>
  <c r="X156" i="18"/>
  <c r="AB156" i="18"/>
  <c r="K156" i="18"/>
  <c r="AK156" i="18"/>
  <c r="O156" i="18"/>
  <c r="AC156" i="18"/>
  <c r="X157" i="17"/>
  <c r="L157" i="17"/>
  <c r="K157" i="17"/>
  <c r="A158" i="17"/>
  <c r="AB157" i="17"/>
  <c r="AJ157" i="17"/>
  <c r="AK157" i="17"/>
  <c r="O157" i="17"/>
  <c r="AC157" i="17"/>
  <c r="S158" i="1"/>
  <c r="R158" i="1" s="1"/>
  <c r="P158" i="1" s="1"/>
  <c r="V158" i="1" s="1"/>
  <c r="D158" i="1"/>
  <c r="E158" i="1" s="1"/>
  <c r="AB159" i="15" l="1"/>
  <c r="AK159" i="15"/>
  <c r="K159" i="15"/>
  <c r="X159" i="15"/>
  <c r="AC159" i="15"/>
  <c r="A160" i="15"/>
  <c r="O159" i="15"/>
  <c r="L159" i="15"/>
  <c r="D159" i="15" s="1"/>
  <c r="AJ159" i="15"/>
  <c r="E158" i="15"/>
  <c r="X158" i="16"/>
  <c r="A159" i="16"/>
  <c r="AJ158" i="16"/>
  <c r="AC158" i="16"/>
  <c r="K158" i="16"/>
  <c r="AB158" i="16"/>
  <c r="L158" i="16"/>
  <c r="D158" i="16" s="1"/>
  <c r="AK158" i="16"/>
  <c r="O158" i="16"/>
  <c r="E157" i="16"/>
  <c r="F158" i="1"/>
  <c r="K158" i="17"/>
  <c r="X158" i="17"/>
  <c r="A159" i="17"/>
  <c r="AB158" i="17"/>
  <c r="L158" i="17"/>
  <c r="O158" i="17"/>
  <c r="AJ158" i="17"/>
  <c r="AK158" i="17"/>
  <c r="AC158" i="17"/>
  <c r="X157" i="18"/>
  <c r="L157" i="18"/>
  <c r="A158" i="18"/>
  <c r="AB157" i="18"/>
  <c r="K157" i="18"/>
  <c r="AJ157" i="18"/>
  <c r="O157" i="18"/>
  <c r="AK157" i="18"/>
  <c r="AC157" i="18"/>
  <c r="K154" i="23"/>
  <c r="X154" i="23"/>
  <c r="A155" i="23"/>
  <c r="L154" i="23"/>
  <c r="AB154" i="23"/>
  <c r="AK154" i="23"/>
  <c r="AJ154" i="23"/>
  <c r="O154" i="23"/>
  <c r="AC154" i="23"/>
  <c r="K152" i="25"/>
  <c r="L152" i="25"/>
  <c r="X152" i="25"/>
  <c r="AB152" i="25"/>
  <c r="A153" i="25"/>
  <c r="AJ152" i="25"/>
  <c r="O152" i="25"/>
  <c r="AK152" i="25"/>
  <c r="AC152" i="25"/>
  <c r="S159" i="1"/>
  <c r="R159" i="1" s="1"/>
  <c r="P159" i="1" s="1"/>
  <c r="V159" i="1" s="1"/>
  <c r="A161" i="1"/>
  <c r="AC160" i="1"/>
  <c r="O160" i="1"/>
  <c r="Q160" i="1"/>
  <c r="L160" i="1"/>
  <c r="AK160" i="1"/>
  <c r="X160" i="1"/>
  <c r="K160" i="1"/>
  <c r="AB160" i="1"/>
  <c r="AJ160" i="1"/>
  <c r="U160" i="1"/>
  <c r="T160" i="1" s="1"/>
  <c r="A154" i="24"/>
  <c r="K153" i="24"/>
  <c r="AB153" i="24"/>
  <c r="X153" i="24"/>
  <c r="L153" i="24"/>
  <c r="AJ153" i="24"/>
  <c r="AK153" i="24"/>
  <c r="O153" i="24"/>
  <c r="AC153" i="24"/>
  <c r="K156" i="20"/>
  <c r="L156" i="20"/>
  <c r="AB156" i="20"/>
  <c r="X156" i="20"/>
  <c r="A157" i="20"/>
  <c r="AJ156" i="20"/>
  <c r="AK156" i="20"/>
  <c r="O156" i="20"/>
  <c r="AC156" i="20"/>
  <c r="AB155" i="22"/>
  <c r="A156" i="22"/>
  <c r="X155" i="22"/>
  <c r="K155" i="22"/>
  <c r="L155" i="22"/>
  <c r="AJ155" i="22"/>
  <c r="AK155" i="22"/>
  <c r="O155" i="22"/>
  <c r="AC155" i="22"/>
  <c r="D159" i="1"/>
  <c r="E159" i="1" s="1"/>
  <c r="I157" i="1"/>
  <c r="AA157" i="1"/>
  <c r="Z157" i="1" s="1"/>
  <c r="Y157" i="1" s="1"/>
  <c r="G157" i="1"/>
  <c r="BW157" i="6" s="1"/>
  <c r="E159" i="15" l="1"/>
  <c r="AB160" i="15"/>
  <c r="AJ160" i="15"/>
  <c r="K160" i="15"/>
  <c r="L160" i="15"/>
  <c r="D160" i="15" s="1"/>
  <c r="AC160" i="15"/>
  <c r="X160" i="15"/>
  <c r="O160" i="15"/>
  <c r="A161" i="15"/>
  <c r="AK160" i="15"/>
  <c r="F159" i="1"/>
  <c r="I159" i="1" s="1"/>
  <c r="E158" i="16"/>
  <c r="L159" i="16"/>
  <c r="D159" i="16" s="1"/>
  <c r="AB159" i="16"/>
  <c r="A160" i="16"/>
  <c r="AK159" i="16"/>
  <c r="O159" i="16"/>
  <c r="X159" i="16"/>
  <c r="K159" i="16"/>
  <c r="AJ159" i="16"/>
  <c r="AC159" i="16"/>
  <c r="AB156" i="22"/>
  <c r="L156" i="22"/>
  <c r="K156" i="22"/>
  <c r="X156" i="22"/>
  <c r="A157" i="22"/>
  <c r="AJ156" i="22"/>
  <c r="AK156" i="22"/>
  <c r="O156" i="22"/>
  <c r="AC156" i="22"/>
  <c r="AB157" i="20"/>
  <c r="X157" i="20"/>
  <c r="L157" i="20"/>
  <c r="K157" i="20"/>
  <c r="A158" i="20"/>
  <c r="AJ157" i="20"/>
  <c r="AK157" i="20"/>
  <c r="O157" i="20"/>
  <c r="AC157" i="20"/>
  <c r="A155" i="24"/>
  <c r="K154" i="24"/>
  <c r="X154" i="24"/>
  <c r="L154" i="24"/>
  <c r="AB154" i="24"/>
  <c r="AJ154" i="24"/>
  <c r="AK154" i="24"/>
  <c r="O154" i="24"/>
  <c r="AC154" i="24"/>
  <c r="AB153" i="25"/>
  <c r="X153" i="25"/>
  <c r="K153" i="25"/>
  <c r="A154" i="25"/>
  <c r="L153" i="25"/>
  <c r="AJ153" i="25"/>
  <c r="O153" i="25"/>
  <c r="AK153" i="25"/>
  <c r="AC153" i="25"/>
  <c r="X155" i="23"/>
  <c r="AB155" i="23"/>
  <c r="L155" i="23"/>
  <c r="A156" i="23"/>
  <c r="K155" i="23"/>
  <c r="AJ155" i="23"/>
  <c r="AK155" i="23"/>
  <c r="O155" i="23"/>
  <c r="AC155" i="23"/>
  <c r="A160" i="17"/>
  <c r="L159" i="17"/>
  <c r="X159" i="17"/>
  <c r="AB159" i="17"/>
  <c r="K159" i="17"/>
  <c r="AJ159" i="17"/>
  <c r="O159" i="17"/>
  <c r="AK159" i="17"/>
  <c r="AC159" i="17"/>
  <c r="G158" i="1"/>
  <c r="BW158" i="6" s="1"/>
  <c r="I158" i="1"/>
  <c r="AA158" i="1"/>
  <c r="Z158" i="1" s="1"/>
  <c r="Y158" i="1" s="1"/>
  <c r="S160" i="1"/>
  <c r="R160" i="1" s="1"/>
  <c r="P160" i="1" s="1"/>
  <c r="V160" i="1" s="1"/>
  <c r="D160" i="1"/>
  <c r="E160" i="1" s="1"/>
  <c r="A162" i="1"/>
  <c r="K161" i="1"/>
  <c r="AC161" i="1"/>
  <c r="AJ161" i="1"/>
  <c r="L161" i="1"/>
  <c r="Q161" i="1"/>
  <c r="AB161" i="1"/>
  <c r="O161" i="1"/>
  <c r="AK161" i="1"/>
  <c r="X161" i="1"/>
  <c r="U161" i="1"/>
  <c r="T161" i="1" s="1"/>
  <c r="A159" i="18"/>
  <c r="X158" i="18"/>
  <c r="AJ158" i="18"/>
  <c r="L158" i="18"/>
  <c r="AB158" i="18"/>
  <c r="K158" i="18"/>
  <c r="O158" i="18"/>
  <c r="AK158" i="18"/>
  <c r="AC158" i="18"/>
  <c r="AA159" i="1" l="1"/>
  <c r="Z159" i="1" s="1"/>
  <c r="Y159" i="1" s="1"/>
  <c r="E160" i="15"/>
  <c r="X161" i="15"/>
  <c r="AK161" i="15"/>
  <c r="A162" i="15"/>
  <c r="AB161" i="15"/>
  <c r="AC161" i="15"/>
  <c r="L161" i="15"/>
  <c r="D161" i="15" s="1"/>
  <c r="O161" i="15"/>
  <c r="K161" i="15"/>
  <c r="AJ161" i="15"/>
  <c r="G159" i="1"/>
  <c r="BW159" i="6" s="1"/>
  <c r="X160" i="16"/>
  <c r="K160" i="16"/>
  <c r="L160" i="16"/>
  <c r="D160" i="16" s="1"/>
  <c r="AJ160" i="16"/>
  <c r="O160" i="16"/>
  <c r="A161" i="16"/>
  <c r="AB160" i="16"/>
  <c r="AK160" i="16"/>
  <c r="AC160" i="16"/>
  <c r="E159" i="16"/>
  <c r="X159" i="18"/>
  <c r="L159" i="18"/>
  <c r="AJ159" i="18"/>
  <c r="AB159" i="18"/>
  <c r="K159" i="18"/>
  <c r="A160" i="18"/>
  <c r="AK159" i="18"/>
  <c r="O159" i="18"/>
  <c r="AC159" i="18"/>
  <c r="S161" i="1"/>
  <c r="R161" i="1" s="1"/>
  <c r="P161" i="1" s="1"/>
  <c r="V161" i="1" s="1"/>
  <c r="D161" i="1"/>
  <c r="O162" i="1"/>
  <c r="AB162" i="1"/>
  <c r="AC162" i="1"/>
  <c r="X162" i="1"/>
  <c r="A163" i="1"/>
  <c r="L162" i="1"/>
  <c r="AJ162" i="1"/>
  <c r="K162" i="1"/>
  <c r="Q162" i="1"/>
  <c r="AK162" i="1"/>
  <c r="U162" i="1"/>
  <c r="T162" i="1" s="1"/>
  <c r="X160" i="17"/>
  <c r="AB160" i="17"/>
  <c r="L160" i="17"/>
  <c r="K160" i="17"/>
  <c r="A161" i="17"/>
  <c r="AJ160" i="17"/>
  <c r="AK160" i="17"/>
  <c r="O160" i="17"/>
  <c r="AC160" i="17"/>
  <c r="L156" i="23"/>
  <c r="K156" i="23"/>
  <c r="X156" i="23"/>
  <c r="A157" i="23"/>
  <c r="AB156" i="23"/>
  <c r="AJ156" i="23"/>
  <c r="AK156" i="23"/>
  <c r="O156" i="23"/>
  <c r="AC156" i="23"/>
  <c r="K155" i="24"/>
  <c r="L155" i="24"/>
  <c r="X155" i="24"/>
  <c r="AB155" i="24"/>
  <c r="A156" i="24"/>
  <c r="AJ155" i="24"/>
  <c r="AK155" i="24"/>
  <c r="O155" i="24"/>
  <c r="AC155" i="24"/>
  <c r="K158" i="20"/>
  <c r="A159" i="20"/>
  <c r="L158" i="20"/>
  <c r="AB158" i="20"/>
  <c r="X158" i="20"/>
  <c r="AK158" i="20"/>
  <c r="AJ158" i="20"/>
  <c r="O158" i="20"/>
  <c r="AC158" i="20"/>
  <c r="E161" i="1"/>
  <c r="F160" i="1"/>
  <c r="A155" i="25"/>
  <c r="X154" i="25"/>
  <c r="K154" i="25"/>
  <c r="L154" i="25"/>
  <c r="AB154" i="25"/>
  <c r="AJ154" i="25"/>
  <c r="O154" i="25"/>
  <c r="AK154" i="25"/>
  <c r="AC154" i="25"/>
  <c r="K157" i="22"/>
  <c r="X157" i="22"/>
  <c r="A158" i="22"/>
  <c r="AB157" i="22"/>
  <c r="L157" i="22"/>
  <c r="AK157" i="22"/>
  <c r="AJ157" i="22"/>
  <c r="O157" i="22"/>
  <c r="AC157" i="22"/>
  <c r="E161" i="15" l="1"/>
  <c r="X162" i="15"/>
  <c r="AJ162" i="15"/>
  <c r="A163" i="15"/>
  <c r="AK162" i="15"/>
  <c r="AB162" i="15"/>
  <c r="K162" i="15"/>
  <c r="AC162" i="15"/>
  <c r="L162" i="15"/>
  <c r="D162" i="15" s="1"/>
  <c r="O162" i="15"/>
  <c r="F161" i="1"/>
  <c r="I161" i="1" s="1"/>
  <c r="A162" i="16"/>
  <c r="K161" i="16"/>
  <c r="AJ161" i="16"/>
  <c r="AC161" i="16"/>
  <c r="AB161" i="16"/>
  <c r="L161" i="16"/>
  <c r="D161" i="16" s="1"/>
  <c r="X161" i="16"/>
  <c r="AK161" i="16"/>
  <c r="O161" i="16"/>
  <c r="E160" i="16"/>
  <c r="A159" i="22"/>
  <c r="X158" i="22"/>
  <c r="L158" i="22"/>
  <c r="AB158" i="22"/>
  <c r="K158" i="22"/>
  <c r="AK158" i="22"/>
  <c r="AJ158" i="22"/>
  <c r="O158" i="22"/>
  <c r="AC158" i="22"/>
  <c r="G161" i="1"/>
  <c r="BW161" i="6" s="1"/>
  <c r="D162" i="1"/>
  <c r="X160" i="18"/>
  <c r="AB160" i="18"/>
  <c r="L160" i="18"/>
  <c r="A161" i="18"/>
  <c r="AJ160" i="18"/>
  <c r="K160" i="18"/>
  <c r="AK160" i="18"/>
  <c r="O160" i="18"/>
  <c r="AC160" i="18"/>
  <c r="X155" i="25"/>
  <c r="L155" i="25"/>
  <c r="A156" i="25"/>
  <c r="AB155" i="25"/>
  <c r="K155" i="25"/>
  <c r="AJ155" i="25"/>
  <c r="O155" i="25"/>
  <c r="AK155" i="25"/>
  <c r="AC155" i="25"/>
  <c r="AA160" i="1"/>
  <c r="Z160" i="1" s="1"/>
  <c r="Y160" i="1" s="1"/>
  <c r="G160" i="1"/>
  <c r="BW160" i="6" s="1"/>
  <c r="I160" i="1"/>
  <c r="A160" i="20"/>
  <c r="X159" i="20"/>
  <c r="K159" i="20"/>
  <c r="L159" i="20"/>
  <c r="AB159" i="20"/>
  <c r="AJ159" i="20"/>
  <c r="AK159" i="20"/>
  <c r="O159" i="20"/>
  <c r="AC159" i="20"/>
  <c r="K156" i="24"/>
  <c r="L156" i="24"/>
  <c r="A157" i="24"/>
  <c r="AB156" i="24"/>
  <c r="X156" i="24"/>
  <c r="AK156" i="24"/>
  <c r="AJ156" i="24"/>
  <c r="O156" i="24"/>
  <c r="AC156" i="24"/>
  <c r="K157" i="23"/>
  <c r="A158" i="23"/>
  <c r="AB157" i="23"/>
  <c r="L157" i="23"/>
  <c r="X157" i="23"/>
  <c r="AJ157" i="23"/>
  <c r="AK157" i="23"/>
  <c r="O157" i="23"/>
  <c r="AC157" i="23"/>
  <c r="K161" i="17"/>
  <c r="AB161" i="17"/>
  <c r="A162" i="17"/>
  <c r="L161" i="17"/>
  <c r="X161" i="17"/>
  <c r="AJ161" i="17"/>
  <c r="O161" i="17"/>
  <c r="AK161" i="17"/>
  <c r="AC161" i="17"/>
  <c r="S162" i="1"/>
  <c r="R162" i="1" s="1"/>
  <c r="P162" i="1" s="1"/>
  <c r="V162" i="1" s="1"/>
  <c r="Q163" i="1"/>
  <c r="AC163" i="1"/>
  <c r="AK163" i="1"/>
  <c r="A164" i="1"/>
  <c r="AB163" i="1"/>
  <c r="X163" i="1"/>
  <c r="K163" i="1"/>
  <c r="AJ163" i="1"/>
  <c r="O163" i="1"/>
  <c r="L163" i="1"/>
  <c r="U163" i="1"/>
  <c r="T163" i="1" s="1"/>
  <c r="E162" i="1"/>
  <c r="E162" i="15" l="1"/>
  <c r="AA161" i="1"/>
  <c r="Z161" i="1" s="1"/>
  <c r="Y161" i="1" s="1"/>
  <c r="X163" i="15"/>
  <c r="K163" i="15"/>
  <c r="O163" i="15"/>
  <c r="A164" i="15"/>
  <c r="AC163" i="15"/>
  <c r="L163" i="15"/>
  <c r="D163" i="15" s="1"/>
  <c r="AJ163" i="15"/>
  <c r="AB163" i="15"/>
  <c r="AK163" i="15"/>
  <c r="E161" i="16"/>
  <c r="F162" i="1"/>
  <c r="AA162" i="1" s="1"/>
  <c r="Z162" i="1" s="1"/>
  <c r="Y162" i="1" s="1"/>
  <c r="AB162" i="16"/>
  <c r="L162" i="16"/>
  <c r="D162" i="16" s="1"/>
  <c r="K162" i="16"/>
  <c r="AJ162" i="16"/>
  <c r="O162" i="16"/>
  <c r="A163" i="16"/>
  <c r="X162" i="16"/>
  <c r="AK162" i="16"/>
  <c r="AC162" i="16"/>
  <c r="G162" i="1"/>
  <c r="BW162" i="6" s="1"/>
  <c r="D163" i="1"/>
  <c r="E163" i="1" s="1"/>
  <c r="O164" i="1"/>
  <c r="A165" i="1"/>
  <c r="L164" i="1"/>
  <c r="Q164" i="1"/>
  <c r="AC164" i="1"/>
  <c r="K164" i="1"/>
  <c r="AK164" i="1"/>
  <c r="AB164" i="1"/>
  <c r="AJ164" i="1"/>
  <c r="X164" i="1"/>
  <c r="U164" i="1"/>
  <c r="T164" i="1" s="1"/>
  <c r="AB160" i="20"/>
  <c r="K160" i="20"/>
  <c r="L160" i="20"/>
  <c r="X160" i="20"/>
  <c r="A161" i="20"/>
  <c r="AJ160" i="20"/>
  <c r="AK160" i="20"/>
  <c r="O160" i="20"/>
  <c r="AC160" i="20"/>
  <c r="AB156" i="25"/>
  <c r="X156" i="25"/>
  <c r="L156" i="25"/>
  <c r="A157" i="25"/>
  <c r="K156" i="25"/>
  <c r="AK156" i="25"/>
  <c r="AJ156" i="25"/>
  <c r="O156" i="25"/>
  <c r="AC156" i="25"/>
  <c r="K161" i="18"/>
  <c r="L161" i="18"/>
  <c r="AB161" i="18"/>
  <c r="X161" i="18"/>
  <c r="A162" i="18"/>
  <c r="AJ161" i="18"/>
  <c r="AK161" i="18"/>
  <c r="O161" i="18"/>
  <c r="AC161" i="18"/>
  <c r="S163" i="1"/>
  <c r="R163" i="1" s="1"/>
  <c r="P163" i="1" s="1"/>
  <c r="V163" i="1" s="1"/>
  <c r="A163" i="17"/>
  <c r="K162" i="17"/>
  <c r="AB162" i="17"/>
  <c r="X162" i="17"/>
  <c r="L162" i="17"/>
  <c r="O162" i="17"/>
  <c r="AK162" i="17"/>
  <c r="AJ162" i="17"/>
  <c r="AC162" i="17"/>
  <c r="AB158" i="23"/>
  <c r="K158" i="23"/>
  <c r="X158" i="23"/>
  <c r="A159" i="23"/>
  <c r="L158" i="23"/>
  <c r="AK158" i="23"/>
  <c r="AJ158" i="23"/>
  <c r="O158" i="23"/>
  <c r="AC158" i="23"/>
  <c r="AB157" i="24"/>
  <c r="A158" i="24"/>
  <c r="K157" i="24"/>
  <c r="L157" i="24"/>
  <c r="X157" i="24"/>
  <c r="AK157" i="24"/>
  <c r="AJ157" i="24"/>
  <c r="O157" i="24"/>
  <c r="AC157" i="24"/>
  <c r="X159" i="22"/>
  <c r="AB159" i="22"/>
  <c r="A160" i="22"/>
  <c r="K159" i="22"/>
  <c r="L159" i="22"/>
  <c r="AK159" i="22"/>
  <c r="AJ159" i="22"/>
  <c r="O159" i="22"/>
  <c r="AC159" i="22"/>
  <c r="I162" i="1" l="1"/>
  <c r="X164" i="15"/>
  <c r="K164" i="15"/>
  <c r="O164" i="15"/>
  <c r="L164" i="15"/>
  <c r="D164" i="15" s="1"/>
  <c r="AC164" i="15"/>
  <c r="AB164" i="15"/>
  <c r="AJ164" i="15"/>
  <c r="A165" i="15"/>
  <c r="AK164" i="15"/>
  <c r="E163" i="15"/>
  <c r="E162" i="16"/>
  <c r="L163" i="16"/>
  <c r="D163" i="16" s="1"/>
  <c r="A164" i="16"/>
  <c r="AB163" i="16"/>
  <c r="AK163" i="16"/>
  <c r="O163" i="16"/>
  <c r="X163" i="16"/>
  <c r="K163" i="16"/>
  <c r="AJ163" i="16"/>
  <c r="AC163" i="16"/>
  <c r="AB160" i="22"/>
  <c r="A161" i="22"/>
  <c r="X160" i="22"/>
  <c r="K160" i="22"/>
  <c r="L160" i="22"/>
  <c r="AJ160" i="22"/>
  <c r="AK160" i="22"/>
  <c r="O160" i="22"/>
  <c r="AC160" i="22"/>
  <c r="A160" i="23"/>
  <c r="K159" i="23"/>
  <c r="X159" i="23"/>
  <c r="AB159" i="23"/>
  <c r="L159" i="23"/>
  <c r="AK159" i="23"/>
  <c r="AJ159" i="23"/>
  <c r="O159" i="23"/>
  <c r="AC159" i="23"/>
  <c r="X163" i="17"/>
  <c r="L163" i="17"/>
  <c r="AB163" i="17"/>
  <c r="A164" i="17"/>
  <c r="K163" i="17"/>
  <c r="AJ163" i="17"/>
  <c r="O163" i="17"/>
  <c r="AK163" i="17"/>
  <c r="AC163" i="17"/>
  <c r="S164" i="1"/>
  <c r="R164" i="1" s="1"/>
  <c r="P164" i="1" s="1"/>
  <c r="V164" i="1" s="1"/>
  <c r="D164" i="1"/>
  <c r="E164" i="1" s="1"/>
  <c r="F163" i="1"/>
  <c r="A159" i="24"/>
  <c r="K158" i="24"/>
  <c r="AB158" i="24"/>
  <c r="X158" i="24"/>
  <c r="L158" i="24"/>
  <c r="AK158" i="24"/>
  <c r="AJ158" i="24"/>
  <c r="O158" i="24"/>
  <c r="AC158" i="24"/>
  <c r="A163" i="18"/>
  <c r="L162" i="18"/>
  <c r="AB162" i="18"/>
  <c r="K162" i="18"/>
  <c r="X162" i="18"/>
  <c r="AJ162" i="18"/>
  <c r="O162" i="18"/>
  <c r="AK162" i="18"/>
  <c r="AC162" i="18"/>
  <c r="A158" i="25"/>
  <c r="X157" i="25"/>
  <c r="L157" i="25"/>
  <c r="AB157" i="25"/>
  <c r="K157" i="25"/>
  <c r="AK157" i="25"/>
  <c r="AJ157" i="25"/>
  <c r="O157" i="25"/>
  <c r="AC157" i="25"/>
  <c r="A162" i="20"/>
  <c r="L161" i="20"/>
  <c r="K161" i="20"/>
  <c r="AB161" i="20"/>
  <c r="X161" i="20"/>
  <c r="AJ161" i="20"/>
  <c r="AK161" i="20"/>
  <c r="O161" i="20"/>
  <c r="AC161" i="20"/>
  <c r="K165" i="1"/>
  <c r="Q165" i="1"/>
  <c r="AB165" i="1"/>
  <c r="X165" i="1"/>
  <c r="A166" i="1"/>
  <c r="AK165" i="1"/>
  <c r="O165" i="1"/>
  <c r="L165" i="1"/>
  <c r="AJ165" i="1"/>
  <c r="AC165" i="1"/>
  <c r="U165" i="1"/>
  <c r="T165" i="1" s="1"/>
  <c r="E164" i="15" l="1"/>
  <c r="A166" i="15"/>
  <c r="AK165" i="15"/>
  <c r="AB165" i="15"/>
  <c r="AJ165" i="15"/>
  <c r="X165" i="15"/>
  <c r="K165" i="15"/>
  <c r="AC165" i="15"/>
  <c r="L165" i="15"/>
  <c r="D165" i="15" s="1"/>
  <c r="O165" i="15"/>
  <c r="F164" i="1"/>
  <c r="I164" i="1" s="1"/>
  <c r="K164" i="16"/>
  <c r="A165" i="16"/>
  <c r="AJ164" i="16"/>
  <c r="AC164" i="16"/>
  <c r="L164" i="16"/>
  <c r="D164" i="16" s="1"/>
  <c r="X164" i="16"/>
  <c r="AB164" i="16"/>
  <c r="AK164" i="16"/>
  <c r="O164" i="16"/>
  <c r="E163" i="16"/>
  <c r="S165" i="1"/>
  <c r="R165" i="1" s="1"/>
  <c r="P165" i="1" s="1"/>
  <c r="V165" i="1" s="1"/>
  <c r="AK166" i="1"/>
  <c r="AJ166" i="1"/>
  <c r="A167" i="1"/>
  <c r="O166" i="1"/>
  <c r="AC166" i="1"/>
  <c r="L166" i="1"/>
  <c r="K166" i="1"/>
  <c r="Q166" i="1"/>
  <c r="X166" i="1"/>
  <c r="AB166" i="1"/>
  <c r="U166" i="1"/>
  <c r="T166" i="1" s="1"/>
  <c r="K158" i="25"/>
  <c r="L158" i="25"/>
  <c r="X158" i="25"/>
  <c r="AB158" i="25"/>
  <c r="A159" i="25"/>
  <c r="AJ158" i="25"/>
  <c r="O158" i="25"/>
  <c r="AK158" i="25"/>
  <c r="AC158" i="25"/>
  <c r="K159" i="24"/>
  <c r="X159" i="24"/>
  <c r="AB159" i="24"/>
  <c r="L159" i="24"/>
  <c r="A160" i="24"/>
  <c r="AJ159" i="24"/>
  <c r="AK159" i="24"/>
  <c r="O159" i="24"/>
  <c r="AC159" i="24"/>
  <c r="AB164" i="17"/>
  <c r="K164" i="17"/>
  <c r="L164" i="17"/>
  <c r="A165" i="17"/>
  <c r="X164" i="17"/>
  <c r="AJ164" i="17"/>
  <c r="O164" i="17"/>
  <c r="AK164" i="17"/>
  <c r="AC164" i="17"/>
  <c r="X160" i="23"/>
  <c r="A161" i="23"/>
  <c r="K160" i="23"/>
  <c r="AB160" i="23"/>
  <c r="L160" i="23"/>
  <c r="AJ160" i="23"/>
  <c r="AK160" i="23"/>
  <c r="O160" i="23"/>
  <c r="AC160" i="23"/>
  <c r="K161" i="22"/>
  <c r="A162" i="22"/>
  <c r="AB161" i="22"/>
  <c r="L161" i="22"/>
  <c r="X161" i="22"/>
  <c r="AJ161" i="22"/>
  <c r="AK161" i="22"/>
  <c r="O161" i="22"/>
  <c r="AC161" i="22"/>
  <c r="D165" i="1"/>
  <c r="E165" i="1" s="1"/>
  <c r="K162" i="20"/>
  <c r="AB162" i="20"/>
  <c r="X162" i="20"/>
  <c r="A163" i="20"/>
  <c r="L162" i="20"/>
  <c r="AK162" i="20"/>
  <c r="AJ162" i="20"/>
  <c r="O162" i="20"/>
  <c r="AC162" i="20"/>
  <c r="K163" i="18"/>
  <c r="AJ163" i="18"/>
  <c r="A164" i="18"/>
  <c r="X163" i="18"/>
  <c r="AB163" i="18"/>
  <c r="L163" i="18"/>
  <c r="O163" i="18"/>
  <c r="AK163" i="18"/>
  <c r="AC163" i="18"/>
  <c r="G163" i="1"/>
  <c r="BW163" i="6" s="1"/>
  <c r="AA163" i="1"/>
  <c r="Z163" i="1" s="1"/>
  <c r="Y163" i="1" s="1"/>
  <c r="I163" i="1"/>
  <c r="AA164" i="1" l="1"/>
  <c r="Z164" i="1" s="1"/>
  <c r="Y164" i="1" s="1"/>
  <c r="E165" i="15"/>
  <c r="X166" i="15"/>
  <c r="AK166" i="15"/>
  <c r="AB166" i="15"/>
  <c r="AJ166" i="15"/>
  <c r="L166" i="15"/>
  <c r="D166" i="15" s="1"/>
  <c r="K166" i="15"/>
  <c r="O166" i="15"/>
  <c r="E166" i="15" s="1"/>
  <c r="A167" i="15"/>
  <c r="AC166" i="15"/>
  <c r="G164" i="1"/>
  <c r="BW164" i="6" s="1"/>
  <c r="E164" i="16"/>
  <c r="L165" i="16"/>
  <c r="D165" i="16" s="1"/>
  <c r="X165" i="16"/>
  <c r="AJ165" i="16"/>
  <c r="AC165" i="16"/>
  <c r="A166" i="16"/>
  <c r="AB165" i="16"/>
  <c r="K165" i="16"/>
  <c r="AK165" i="16"/>
  <c r="O165" i="16"/>
  <c r="A165" i="18"/>
  <c r="AJ164" i="18"/>
  <c r="K164" i="18"/>
  <c r="X164" i="18"/>
  <c r="AB164" i="18"/>
  <c r="L164" i="18"/>
  <c r="O164" i="18"/>
  <c r="AK164" i="18"/>
  <c r="AC164" i="18"/>
  <c r="K163" i="20"/>
  <c r="A164" i="20"/>
  <c r="L163" i="20"/>
  <c r="X163" i="20"/>
  <c r="AB163" i="20"/>
  <c r="AJ163" i="20"/>
  <c r="AK163" i="20"/>
  <c r="O163" i="20"/>
  <c r="AC163" i="20"/>
  <c r="A162" i="23"/>
  <c r="L161" i="23"/>
  <c r="K161" i="23"/>
  <c r="AB161" i="23"/>
  <c r="X161" i="23"/>
  <c r="AJ161" i="23"/>
  <c r="AK161" i="23"/>
  <c r="O161" i="23"/>
  <c r="AC161" i="23"/>
  <c r="AB159" i="25"/>
  <c r="A160" i="25"/>
  <c r="X159" i="25"/>
  <c r="L159" i="25"/>
  <c r="K159" i="25"/>
  <c r="AJ159" i="25"/>
  <c r="O159" i="25"/>
  <c r="AK159" i="25"/>
  <c r="AC159" i="25"/>
  <c r="D166" i="1"/>
  <c r="E166" i="1" s="1"/>
  <c r="F165" i="1"/>
  <c r="A163" i="22"/>
  <c r="K162" i="22"/>
  <c r="L162" i="22"/>
  <c r="AB162" i="22"/>
  <c r="X162" i="22"/>
  <c r="AJ162" i="22"/>
  <c r="AK162" i="22"/>
  <c r="O162" i="22"/>
  <c r="AC162" i="22"/>
  <c r="K165" i="17"/>
  <c r="A166" i="17"/>
  <c r="L165" i="17"/>
  <c r="AB165" i="17"/>
  <c r="X165" i="17"/>
  <c r="O165" i="17"/>
  <c r="AJ165" i="17"/>
  <c r="AK165" i="17"/>
  <c r="AC165" i="17"/>
  <c r="A161" i="24"/>
  <c r="X160" i="24"/>
  <c r="AB160" i="24"/>
  <c r="K160" i="24"/>
  <c r="L160" i="24"/>
  <c r="AJ160" i="24"/>
  <c r="AK160" i="24"/>
  <c r="O160" i="24"/>
  <c r="AC160" i="24"/>
  <c r="S166" i="1"/>
  <c r="R166" i="1" s="1"/>
  <c r="P166" i="1" s="1"/>
  <c r="V166" i="1" s="1"/>
  <c r="A168" i="1"/>
  <c r="O167" i="1"/>
  <c r="AJ167" i="1"/>
  <c r="AB167" i="1"/>
  <c r="AK167" i="1"/>
  <c r="L167" i="1"/>
  <c r="K167" i="1"/>
  <c r="AC167" i="1"/>
  <c r="X167" i="1"/>
  <c r="Q167" i="1"/>
  <c r="U167" i="1"/>
  <c r="T167" i="1" s="1"/>
  <c r="AB167" i="15" l="1"/>
  <c r="O167" i="15"/>
  <c r="K167" i="15"/>
  <c r="AJ167" i="15"/>
  <c r="L167" i="15"/>
  <c r="D167" i="15" s="1"/>
  <c r="AK167" i="15"/>
  <c r="X167" i="15"/>
  <c r="A168" i="15"/>
  <c r="AC167" i="15"/>
  <c r="X166" i="16"/>
  <c r="A167" i="16"/>
  <c r="AJ166" i="16"/>
  <c r="AC166" i="16"/>
  <c r="AB166" i="16"/>
  <c r="K166" i="16"/>
  <c r="L166" i="16"/>
  <c r="D166" i="16" s="1"/>
  <c r="AK166" i="16"/>
  <c r="O166" i="16"/>
  <c r="E165" i="16"/>
  <c r="F166" i="1"/>
  <c r="S167" i="1"/>
  <c r="R167" i="1" s="1"/>
  <c r="P167" i="1" s="1"/>
  <c r="V167" i="1" s="1"/>
  <c r="O168" i="1"/>
  <c r="L168" i="1"/>
  <c r="AJ168" i="1"/>
  <c r="AB168" i="1"/>
  <c r="A169" i="1"/>
  <c r="K168" i="1"/>
  <c r="AC168" i="1"/>
  <c r="AK168" i="1"/>
  <c r="Q168" i="1"/>
  <c r="X168" i="1"/>
  <c r="U168" i="1"/>
  <c r="T168" i="1" s="1"/>
  <c r="AB161" i="24"/>
  <c r="X161" i="24"/>
  <c r="A162" i="24"/>
  <c r="K161" i="24"/>
  <c r="L161" i="24"/>
  <c r="AK161" i="24"/>
  <c r="AJ161" i="24"/>
  <c r="O161" i="24"/>
  <c r="AC161" i="24"/>
  <c r="X166" i="17"/>
  <c r="A167" i="17"/>
  <c r="AB166" i="17"/>
  <c r="L166" i="17"/>
  <c r="K166" i="17"/>
  <c r="AJ166" i="17"/>
  <c r="AK166" i="17"/>
  <c r="O166" i="17"/>
  <c r="AC166" i="17"/>
  <c r="X163" i="22"/>
  <c r="A164" i="22"/>
  <c r="L163" i="22"/>
  <c r="AB163" i="22"/>
  <c r="K163" i="22"/>
  <c r="AJ163" i="22"/>
  <c r="AK163" i="22"/>
  <c r="O163" i="22"/>
  <c r="AC163" i="22"/>
  <c r="I165" i="1"/>
  <c r="AA165" i="1"/>
  <c r="Z165" i="1" s="1"/>
  <c r="Y165" i="1" s="1"/>
  <c r="G165" i="1"/>
  <c r="BW165" i="6" s="1"/>
  <c r="D167" i="1"/>
  <c r="E167" i="1" s="1"/>
  <c r="X160" i="25"/>
  <c r="A161" i="25"/>
  <c r="AB160" i="25"/>
  <c r="L160" i="25"/>
  <c r="K160" i="25"/>
  <c r="AJ160" i="25"/>
  <c r="O160" i="25"/>
  <c r="AK160" i="25"/>
  <c r="AC160" i="25"/>
  <c r="A163" i="23"/>
  <c r="X162" i="23"/>
  <c r="K162" i="23"/>
  <c r="L162" i="23"/>
  <c r="AB162" i="23"/>
  <c r="AJ162" i="23"/>
  <c r="AK162" i="23"/>
  <c r="O162" i="23"/>
  <c r="AC162" i="23"/>
  <c r="K164" i="20"/>
  <c r="AB164" i="20"/>
  <c r="L164" i="20"/>
  <c r="A165" i="20"/>
  <c r="X164" i="20"/>
  <c r="AJ164" i="20"/>
  <c r="AK164" i="20"/>
  <c r="O164" i="20"/>
  <c r="AC164" i="20"/>
  <c r="X165" i="18"/>
  <c r="K165" i="18"/>
  <c r="L165" i="18"/>
  <c r="A166" i="18"/>
  <c r="AJ165" i="18"/>
  <c r="AB165" i="18"/>
  <c r="AK165" i="18"/>
  <c r="O165" i="18"/>
  <c r="AC165" i="18"/>
  <c r="K168" i="15" l="1"/>
  <c r="AK168" i="15"/>
  <c r="A169" i="15"/>
  <c r="X168" i="15"/>
  <c r="AC168" i="15"/>
  <c r="AB168" i="15"/>
  <c r="O168" i="15"/>
  <c r="L168" i="15"/>
  <c r="D168" i="15" s="1"/>
  <c r="AJ168" i="15"/>
  <c r="E167" i="15"/>
  <c r="E166" i="16"/>
  <c r="X167" i="16"/>
  <c r="K167" i="16"/>
  <c r="AJ167" i="16"/>
  <c r="AC167" i="16"/>
  <c r="AB167" i="16"/>
  <c r="L167" i="16"/>
  <c r="D167" i="16" s="1"/>
  <c r="A168" i="16"/>
  <c r="AK167" i="16"/>
  <c r="O167" i="16"/>
  <c r="X165" i="20"/>
  <c r="AB165" i="20"/>
  <c r="K165" i="20"/>
  <c r="L165" i="20"/>
  <c r="A166" i="20"/>
  <c r="AJ165" i="20"/>
  <c r="AK165" i="20"/>
  <c r="O165" i="20"/>
  <c r="AC165" i="20"/>
  <c r="AB163" i="23"/>
  <c r="A164" i="23"/>
  <c r="K163" i="23"/>
  <c r="X163" i="23"/>
  <c r="L163" i="23"/>
  <c r="AJ163" i="23"/>
  <c r="AK163" i="23"/>
  <c r="O163" i="23"/>
  <c r="AC163" i="23"/>
  <c r="K161" i="25"/>
  <c r="L161" i="25"/>
  <c r="X161" i="25"/>
  <c r="A162" i="25"/>
  <c r="AB161" i="25"/>
  <c r="AJ161" i="25"/>
  <c r="O161" i="25"/>
  <c r="AK161" i="25"/>
  <c r="AC161" i="25"/>
  <c r="K167" i="17"/>
  <c r="A168" i="17"/>
  <c r="X167" i="17"/>
  <c r="AB167" i="17"/>
  <c r="L167" i="17"/>
  <c r="AJ167" i="17"/>
  <c r="O167" i="17"/>
  <c r="AK167" i="17"/>
  <c r="AC167" i="17"/>
  <c r="S168" i="1"/>
  <c r="R168" i="1" s="1"/>
  <c r="P168" i="1" s="1"/>
  <c r="V168" i="1" s="1"/>
  <c r="AJ169" i="1"/>
  <c r="X169" i="1"/>
  <c r="Q169" i="1"/>
  <c r="AB169" i="1"/>
  <c r="L169" i="1"/>
  <c r="AK169" i="1"/>
  <c r="AC169" i="1"/>
  <c r="A170" i="1"/>
  <c r="K169" i="1"/>
  <c r="O169" i="1"/>
  <c r="U169" i="1"/>
  <c r="A167" i="18"/>
  <c r="AJ166" i="18"/>
  <c r="K166" i="18"/>
  <c r="X166" i="18"/>
  <c r="AB166" i="18"/>
  <c r="L166" i="18"/>
  <c r="O166" i="18"/>
  <c r="AK166" i="18"/>
  <c r="AC166" i="18"/>
  <c r="F167" i="1"/>
  <c r="K164" i="22"/>
  <c r="AB164" i="22"/>
  <c r="X164" i="22"/>
  <c r="A165" i="22"/>
  <c r="L164" i="22"/>
  <c r="AK164" i="22"/>
  <c r="AJ164" i="22"/>
  <c r="O164" i="22"/>
  <c r="AC164" i="22"/>
  <c r="X162" i="24"/>
  <c r="K162" i="24"/>
  <c r="AB162" i="24"/>
  <c r="A163" i="24"/>
  <c r="L162" i="24"/>
  <c r="AJ162" i="24"/>
  <c r="AK162" i="24"/>
  <c r="O162" i="24"/>
  <c r="AC162" i="24"/>
  <c r="D168" i="1"/>
  <c r="E168" i="1" s="1"/>
  <c r="G166" i="1"/>
  <c r="BW166" i="6" s="1"/>
  <c r="AA166" i="1"/>
  <c r="Z166" i="1" s="1"/>
  <c r="Y166" i="1" s="1"/>
  <c r="I166" i="1"/>
  <c r="E167" i="16" l="1"/>
  <c r="E168" i="15"/>
  <c r="A170" i="15"/>
  <c r="AJ169" i="15"/>
  <c r="X169" i="15"/>
  <c r="AK169" i="15"/>
  <c r="AB169" i="15"/>
  <c r="L169" i="15"/>
  <c r="D169" i="15" s="1"/>
  <c r="AC169" i="15"/>
  <c r="K169" i="15"/>
  <c r="O169" i="15"/>
  <c r="L168" i="16"/>
  <c r="D168" i="16" s="1"/>
  <c r="X168" i="16"/>
  <c r="K168" i="16"/>
  <c r="AK168" i="16"/>
  <c r="O168" i="16"/>
  <c r="AB168" i="16"/>
  <c r="A169" i="16"/>
  <c r="AJ168" i="16"/>
  <c r="AC168" i="16"/>
  <c r="F168" i="1"/>
  <c r="L163" i="24"/>
  <c r="K163" i="24"/>
  <c r="AB163" i="24"/>
  <c r="A164" i="24"/>
  <c r="X163" i="24"/>
  <c r="AK163" i="24"/>
  <c r="AJ163" i="24"/>
  <c r="O163" i="24"/>
  <c r="AC163" i="24"/>
  <c r="T169" i="1"/>
  <c r="D169" i="1"/>
  <c r="E169" i="1" s="1"/>
  <c r="AB168" i="17"/>
  <c r="X168" i="17"/>
  <c r="K168" i="17"/>
  <c r="A169" i="17"/>
  <c r="L168" i="17"/>
  <c r="O168" i="17"/>
  <c r="AK168" i="17"/>
  <c r="AJ168" i="17"/>
  <c r="AC168" i="17"/>
  <c r="X164" i="23"/>
  <c r="A165" i="23"/>
  <c r="L164" i="23"/>
  <c r="K164" i="23"/>
  <c r="AB164" i="23"/>
  <c r="AJ164" i="23"/>
  <c r="AK164" i="23"/>
  <c r="O164" i="23"/>
  <c r="AC164" i="23"/>
  <c r="AB166" i="20"/>
  <c r="K166" i="20"/>
  <c r="X166" i="20"/>
  <c r="A167" i="20"/>
  <c r="L166" i="20"/>
  <c r="AJ166" i="20"/>
  <c r="AK166" i="20"/>
  <c r="O166" i="20"/>
  <c r="AC166" i="20"/>
  <c r="K165" i="22"/>
  <c r="A166" i="22"/>
  <c r="L165" i="22"/>
  <c r="AB165" i="22"/>
  <c r="X165" i="22"/>
  <c r="AJ165" i="22"/>
  <c r="AK165" i="22"/>
  <c r="O165" i="22"/>
  <c r="AC165" i="22"/>
  <c r="AA167" i="1"/>
  <c r="Z167" i="1" s="1"/>
  <c r="Y167" i="1" s="1"/>
  <c r="I167" i="1"/>
  <c r="G167" i="1"/>
  <c r="BW167" i="6" s="1"/>
  <c r="A168" i="18"/>
  <c r="K167" i="18"/>
  <c r="AJ167" i="18"/>
  <c r="AB167" i="18"/>
  <c r="L167" i="18"/>
  <c r="X167" i="18"/>
  <c r="AK167" i="18"/>
  <c r="O167" i="18"/>
  <c r="AC167" i="18"/>
  <c r="AK170" i="1"/>
  <c r="K170" i="1"/>
  <c r="X170" i="1"/>
  <c r="O170" i="1"/>
  <c r="Q170" i="1"/>
  <c r="A171" i="1"/>
  <c r="AJ170" i="1"/>
  <c r="AC170" i="1"/>
  <c r="L170" i="1"/>
  <c r="AB170" i="1"/>
  <c r="U170" i="1"/>
  <c r="T170" i="1" s="1"/>
  <c r="L162" i="25"/>
  <c r="K162" i="25"/>
  <c r="AB162" i="25"/>
  <c r="A163" i="25"/>
  <c r="X162" i="25"/>
  <c r="AJ162" i="25"/>
  <c r="AK162" i="25"/>
  <c r="O162" i="25"/>
  <c r="AC162" i="25"/>
  <c r="E169" i="15" l="1"/>
  <c r="A171" i="15"/>
  <c r="AJ170" i="15"/>
  <c r="X170" i="15"/>
  <c r="AK170" i="15"/>
  <c r="K170" i="15"/>
  <c r="AB170" i="15"/>
  <c r="AC170" i="15"/>
  <c r="L170" i="15"/>
  <c r="D170" i="15" s="1"/>
  <c r="O170" i="15"/>
  <c r="A170" i="16"/>
  <c r="K169" i="16"/>
  <c r="AK169" i="16"/>
  <c r="AC169" i="16"/>
  <c r="L169" i="16"/>
  <c r="D169" i="16" s="1"/>
  <c r="X169" i="16"/>
  <c r="AB169" i="16"/>
  <c r="AJ169" i="16"/>
  <c r="O169" i="16"/>
  <c r="E168" i="16"/>
  <c r="AC171" i="1"/>
  <c r="A172" i="1"/>
  <c r="L171" i="1"/>
  <c r="Q171" i="1"/>
  <c r="O171" i="1"/>
  <c r="K171" i="1"/>
  <c r="AK171" i="1"/>
  <c r="AJ171" i="1"/>
  <c r="AB171" i="1"/>
  <c r="X171" i="1"/>
  <c r="U171" i="1"/>
  <c r="AB168" i="18"/>
  <c r="AJ168" i="18"/>
  <c r="K168" i="18"/>
  <c r="X168" i="18"/>
  <c r="A169" i="18"/>
  <c r="L168" i="18"/>
  <c r="O168" i="18"/>
  <c r="AK168" i="18"/>
  <c r="AC168" i="18"/>
  <c r="A167" i="22"/>
  <c r="L166" i="22"/>
  <c r="K166" i="22"/>
  <c r="AB166" i="22"/>
  <c r="X166" i="22"/>
  <c r="AJ166" i="22"/>
  <c r="AK166" i="22"/>
  <c r="O166" i="22"/>
  <c r="AC166" i="22"/>
  <c r="A166" i="23"/>
  <c r="AB165" i="23"/>
  <c r="K165" i="23"/>
  <c r="L165" i="23"/>
  <c r="X165" i="23"/>
  <c r="AJ165" i="23"/>
  <c r="AK165" i="23"/>
  <c r="O165" i="23"/>
  <c r="AC165" i="23"/>
  <c r="K169" i="17"/>
  <c r="AB169" i="17"/>
  <c r="X169" i="17"/>
  <c r="L169" i="17"/>
  <c r="A170" i="17"/>
  <c r="AJ169" i="17"/>
  <c r="O169" i="17"/>
  <c r="AK169" i="17"/>
  <c r="AC169" i="17"/>
  <c r="AB163" i="25"/>
  <c r="A164" i="25"/>
  <c r="X163" i="25"/>
  <c r="K163" i="25"/>
  <c r="L163" i="25"/>
  <c r="AJ163" i="25"/>
  <c r="AK163" i="25"/>
  <c r="O163" i="25"/>
  <c r="AC163" i="25"/>
  <c r="S170" i="1"/>
  <c r="R170" i="1" s="1"/>
  <c r="P170" i="1" s="1"/>
  <c r="V170" i="1" s="1"/>
  <c r="D170" i="1"/>
  <c r="E170" i="1" s="1"/>
  <c r="K167" i="20"/>
  <c r="AB167" i="20"/>
  <c r="L167" i="20"/>
  <c r="A168" i="20"/>
  <c r="X167" i="20"/>
  <c r="AK167" i="20"/>
  <c r="AJ167" i="20"/>
  <c r="O167" i="20"/>
  <c r="AC167" i="20"/>
  <c r="S169" i="1"/>
  <c r="R169" i="1" s="1"/>
  <c r="P169" i="1" s="1"/>
  <c r="V169" i="1" s="1"/>
  <c r="AB164" i="24"/>
  <c r="L164" i="24"/>
  <c r="X164" i="24"/>
  <c r="K164" i="24"/>
  <c r="A165" i="24"/>
  <c r="AK164" i="24"/>
  <c r="AJ164" i="24"/>
  <c r="O164" i="24"/>
  <c r="AC164" i="24"/>
  <c r="I168" i="1"/>
  <c r="G168" i="1"/>
  <c r="BW168" i="6" s="1"/>
  <c r="AA168" i="1"/>
  <c r="Z168" i="1" s="1"/>
  <c r="Y168" i="1" s="1"/>
  <c r="E170" i="15" l="1"/>
  <c r="K171" i="15"/>
  <c r="AB171" i="15"/>
  <c r="O171" i="15"/>
  <c r="X171" i="15"/>
  <c r="AC171" i="15"/>
  <c r="L171" i="15"/>
  <c r="D171" i="15" s="1"/>
  <c r="AJ171" i="15"/>
  <c r="A172" i="15"/>
  <c r="AK171" i="15"/>
  <c r="F169" i="1"/>
  <c r="G169" i="1" s="1"/>
  <c r="BW169" i="6" s="1"/>
  <c r="E169" i="16"/>
  <c r="K170" i="16"/>
  <c r="L170" i="16"/>
  <c r="D170" i="16" s="1"/>
  <c r="AJ170" i="16"/>
  <c r="AC170" i="16"/>
  <c r="A171" i="16"/>
  <c r="X170" i="16"/>
  <c r="AB170" i="16"/>
  <c r="AK170" i="16"/>
  <c r="O170" i="16"/>
  <c r="X170" i="17"/>
  <c r="A171" i="17"/>
  <c r="L170" i="17"/>
  <c r="K170" i="17"/>
  <c r="AB170" i="17"/>
  <c r="AJ170" i="17"/>
  <c r="O170" i="17"/>
  <c r="AK170" i="17"/>
  <c r="AC170" i="17"/>
  <c r="A167" i="23"/>
  <c r="L166" i="23"/>
  <c r="K166" i="23"/>
  <c r="X166" i="23"/>
  <c r="AB166" i="23"/>
  <c r="AJ166" i="23"/>
  <c r="AK166" i="23"/>
  <c r="O166" i="23"/>
  <c r="AC166" i="23"/>
  <c r="K169" i="18"/>
  <c r="AJ169" i="18"/>
  <c r="X169" i="18"/>
  <c r="A170" i="18"/>
  <c r="L169" i="18"/>
  <c r="AB169" i="18"/>
  <c r="AK169" i="18"/>
  <c r="O169" i="18"/>
  <c r="AC169" i="18"/>
  <c r="K172" i="1"/>
  <c r="AJ172" i="1"/>
  <c r="AB172" i="1"/>
  <c r="A173" i="1"/>
  <c r="L172" i="1"/>
  <c r="O172" i="1"/>
  <c r="AK172" i="1"/>
  <c r="Q172" i="1"/>
  <c r="X172" i="1"/>
  <c r="AC172" i="1"/>
  <c r="U172" i="1"/>
  <c r="T172" i="1" s="1"/>
  <c r="S172" i="1" s="1"/>
  <c r="R172" i="1" s="1"/>
  <c r="K165" i="24"/>
  <c r="X165" i="24"/>
  <c r="A166" i="24"/>
  <c r="L165" i="24"/>
  <c r="AB165" i="24"/>
  <c r="AJ165" i="24"/>
  <c r="AK165" i="24"/>
  <c r="O165" i="24"/>
  <c r="AC165" i="24"/>
  <c r="A169" i="20"/>
  <c r="X168" i="20"/>
  <c r="K168" i="20"/>
  <c r="AB168" i="20"/>
  <c r="L168" i="20"/>
  <c r="AK168" i="20"/>
  <c r="AJ168" i="20"/>
  <c r="O168" i="20"/>
  <c r="AC168" i="20"/>
  <c r="F170" i="1"/>
  <c r="A165" i="25"/>
  <c r="AB164" i="25"/>
  <c r="L164" i="25"/>
  <c r="X164" i="25"/>
  <c r="K164" i="25"/>
  <c r="AJ164" i="25"/>
  <c r="O164" i="25"/>
  <c r="AK164" i="25"/>
  <c r="AC164" i="25"/>
  <c r="K167" i="22"/>
  <c r="L167" i="22"/>
  <c r="AB167" i="22"/>
  <c r="X167" i="22"/>
  <c r="A168" i="22"/>
  <c r="AJ167" i="22"/>
  <c r="AK167" i="22"/>
  <c r="O167" i="22"/>
  <c r="AC167" i="22"/>
  <c r="T171" i="1"/>
  <c r="D171" i="1"/>
  <c r="E171" i="1" s="1"/>
  <c r="P172" i="1" l="1"/>
  <c r="V172" i="1" s="1"/>
  <c r="I169" i="1"/>
  <c r="E171" i="15"/>
  <c r="X172" i="15"/>
  <c r="O172" i="15"/>
  <c r="L172" i="15"/>
  <c r="D172" i="15" s="1"/>
  <c r="AK172" i="15"/>
  <c r="A173" i="15"/>
  <c r="AJ172" i="15"/>
  <c r="AB172" i="15"/>
  <c r="K172" i="15"/>
  <c r="AC172" i="15"/>
  <c r="AA169" i="1"/>
  <c r="Z169" i="1" s="1"/>
  <c r="Y169" i="1" s="1"/>
  <c r="A172" i="16"/>
  <c r="AB171" i="16"/>
  <c r="AK171" i="16"/>
  <c r="AC171" i="16"/>
  <c r="K171" i="16"/>
  <c r="L171" i="16"/>
  <c r="D171" i="16" s="1"/>
  <c r="X171" i="16"/>
  <c r="AJ171" i="16"/>
  <c r="O171" i="16"/>
  <c r="E170" i="16"/>
  <c r="A169" i="22"/>
  <c r="L168" i="22"/>
  <c r="X168" i="22"/>
  <c r="AB168" i="22"/>
  <c r="K168" i="22"/>
  <c r="AK168" i="22"/>
  <c r="AJ168" i="22"/>
  <c r="O168" i="22"/>
  <c r="AC168" i="22"/>
  <c r="A166" i="25"/>
  <c r="AB165" i="25"/>
  <c r="L165" i="25"/>
  <c r="K165" i="25"/>
  <c r="X165" i="25"/>
  <c r="AJ165" i="25"/>
  <c r="AK165" i="25"/>
  <c r="O165" i="25"/>
  <c r="AC165" i="25"/>
  <c r="X169" i="20"/>
  <c r="AB169" i="20"/>
  <c r="K169" i="20"/>
  <c r="L169" i="20"/>
  <c r="A170" i="20"/>
  <c r="AJ169" i="20"/>
  <c r="AK169" i="20"/>
  <c r="O169" i="20"/>
  <c r="AC169" i="20"/>
  <c r="D172" i="1"/>
  <c r="E172" i="1" s="1"/>
  <c r="X170" i="18"/>
  <c r="L170" i="18"/>
  <c r="K170" i="18"/>
  <c r="A171" i="18"/>
  <c r="AB170" i="18"/>
  <c r="AJ170" i="18"/>
  <c r="O170" i="18"/>
  <c r="AK170" i="18"/>
  <c r="AC170" i="18"/>
  <c r="K167" i="23"/>
  <c r="AB167" i="23"/>
  <c r="X167" i="23"/>
  <c r="L167" i="23"/>
  <c r="A168" i="23"/>
  <c r="AK167" i="23"/>
  <c r="AJ167" i="23"/>
  <c r="O167" i="23"/>
  <c r="AC167" i="23"/>
  <c r="S171" i="1"/>
  <c r="R171" i="1" s="1"/>
  <c r="P171" i="1" s="1"/>
  <c r="I170" i="1"/>
  <c r="G170" i="1"/>
  <c r="BW170" i="6" s="1"/>
  <c r="AA170" i="1"/>
  <c r="Z170" i="1" s="1"/>
  <c r="Y170" i="1" s="1"/>
  <c r="K166" i="24"/>
  <c r="L166" i="24"/>
  <c r="A167" i="24"/>
  <c r="X166" i="24"/>
  <c r="AB166" i="24"/>
  <c r="AK166" i="24"/>
  <c r="AJ166" i="24"/>
  <c r="O166" i="24"/>
  <c r="AC166" i="24"/>
  <c r="AB173" i="1"/>
  <c r="AC173" i="1"/>
  <c r="O173" i="1"/>
  <c r="AJ173" i="1"/>
  <c r="K173" i="1"/>
  <c r="L173" i="1"/>
  <c r="AK173" i="1"/>
  <c r="A174" i="1"/>
  <c r="X173" i="1"/>
  <c r="Q173" i="1"/>
  <c r="U173" i="1"/>
  <c r="T173" i="1" s="1"/>
  <c r="AB171" i="17"/>
  <c r="X171" i="17"/>
  <c r="A172" i="17"/>
  <c r="L171" i="17"/>
  <c r="K171" i="17"/>
  <c r="AJ171" i="17"/>
  <c r="O171" i="17"/>
  <c r="AK171" i="17"/>
  <c r="AC171" i="17"/>
  <c r="A174" i="15" l="1"/>
  <c r="K173" i="15"/>
  <c r="AC173" i="15"/>
  <c r="L173" i="15"/>
  <c r="D173" i="15" s="1"/>
  <c r="O173" i="15"/>
  <c r="X173" i="15"/>
  <c r="AJ173" i="15"/>
  <c r="AB173" i="15"/>
  <c r="AK173" i="15"/>
  <c r="E172" i="15"/>
  <c r="F172" i="1"/>
  <c r="AA172" i="1" s="1"/>
  <c r="Z172" i="1" s="1"/>
  <c r="Y172" i="1" s="1"/>
  <c r="E171" i="16"/>
  <c r="K172" i="16"/>
  <c r="X172" i="16"/>
  <c r="AJ172" i="16"/>
  <c r="L172" i="16"/>
  <c r="D172" i="16" s="1"/>
  <c r="AB172" i="16"/>
  <c r="A173" i="16"/>
  <c r="AK172" i="16"/>
  <c r="O172" i="16"/>
  <c r="AC172" i="16"/>
  <c r="V171" i="1"/>
  <c r="F171" i="1" s="1"/>
  <c r="S173" i="1"/>
  <c r="R173" i="1" s="1"/>
  <c r="P173" i="1" s="1"/>
  <c r="V173" i="1" s="1"/>
  <c r="A169" i="23"/>
  <c r="X168" i="23"/>
  <c r="K168" i="23"/>
  <c r="AB168" i="23"/>
  <c r="L168" i="23"/>
  <c r="AJ168" i="23"/>
  <c r="AK168" i="23"/>
  <c r="O168" i="23"/>
  <c r="AC168" i="23"/>
  <c r="A172" i="18"/>
  <c r="L171" i="18"/>
  <c r="K171" i="18"/>
  <c r="X171" i="18"/>
  <c r="AB171" i="18"/>
  <c r="AJ171" i="18"/>
  <c r="O171" i="18"/>
  <c r="AK171" i="18"/>
  <c r="AC171" i="18"/>
  <c r="X170" i="20"/>
  <c r="L170" i="20"/>
  <c r="A171" i="20"/>
  <c r="K170" i="20"/>
  <c r="AB170" i="20"/>
  <c r="AK170" i="20"/>
  <c r="AJ170" i="20"/>
  <c r="O170" i="20"/>
  <c r="AC170" i="20"/>
  <c r="AB172" i="17"/>
  <c r="X172" i="17"/>
  <c r="K172" i="17"/>
  <c r="A173" i="17"/>
  <c r="L172" i="17"/>
  <c r="AJ172" i="17"/>
  <c r="O172" i="17"/>
  <c r="AK172" i="17"/>
  <c r="AC172" i="17"/>
  <c r="L174" i="1"/>
  <c r="AB174" i="1"/>
  <c r="AK174" i="1"/>
  <c r="X174" i="1"/>
  <c r="Q174" i="1"/>
  <c r="A175" i="1"/>
  <c r="AJ174" i="1"/>
  <c r="O174" i="1"/>
  <c r="AC174" i="1"/>
  <c r="K174" i="1"/>
  <c r="U174" i="1"/>
  <c r="T174" i="1" s="1"/>
  <c r="S174" i="1" s="1"/>
  <c r="R174" i="1" s="1"/>
  <c r="P174" i="1" s="1"/>
  <c r="D173" i="1"/>
  <c r="E173" i="1" s="1"/>
  <c r="A168" i="24"/>
  <c r="X167" i="24"/>
  <c r="K167" i="24"/>
  <c r="L167" i="24"/>
  <c r="AB167" i="24"/>
  <c r="AJ167" i="24"/>
  <c r="AK167" i="24"/>
  <c r="O167" i="24"/>
  <c r="AC167" i="24"/>
  <c r="AB166" i="25"/>
  <c r="A167" i="25"/>
  <c r="K166" i="25"/>
  <c r="X166" i="25"/>
  <c r="L166" i="25"/>
  <c r="AJ166" i="25"/>
  <c r="AK166" i="25"/>
  <c r="O166" i="25"/>
  <c r="AC166" i="25"/>
  <c r="X169" i="22"/>
  <c r="A170" i="22"/>
  <c r="L169" i="22"/>
  <c r="AB169" i="22"/>
  <c r="K169" i="22"/>
  <c r="AJ169" i="22"/>
  <c r="AK169" i="22"/>
  <c r="O169" i="22"/>
  <c r="AC169" i="22"/>
  <c r="G172" i="1" l="1"/>
  <c r="BW172" i="6" s="1"/>
  <c r="E173" i="15"/>
  <c r="L174" i="15"/>
  <c r="D174" i="15" s="1"/>
  <c r="O174" i="15"/>
  <c r="X174" i="15"/>
  <c r="AK174" i="15"/>
  <c r="A175" i="15"/>
  <c r="AJ174" i="15"/>
  <c r="AB174" i="15"/>
  <c r="K174" i="15"/>
  <c r="AC174" i="15"/>
  <c r="I172" i="1"/>
  <c r="L173" i="16"/>
  <c r="D173" i="16" s="1"/>
  <c r="X173" i="16"/>
  <c r="A174" i="16"/>
  <c r="AK173" i="16"/>
  <c r="O173" i="16"/>
  <c r="AB173" i="16"/>
  <c r="K173" i="16"/>
  <c r="AJ173" i="16"/>
  <c r="AC173" i="16"/>
  <c r="E172" i="16"/>
  <c r="F173" i="1"/>
  <c r="K170" i="22"/>
  <c r="AB170" i="22"/>
  <c r="X170" i="22"/>
  <c r="L170" i="22"/>
  <c r="A171" i="22"/>
  <c r="AJ170" i="22"/>
  <c r="AK170" i="22"/>
  <c r="O170" i="22"/>
  <c r="AC170" i="22"/>
  <c r="K168" i="24"/>
  <c r="A169" i="24"/>
  <c r="X168" i="24"/>
  <c r="AB168" i="24"/>
  <c r="L168" i="24"/>
  <c r="AK168" i="24"/>
  <c r="AJ168" i="24"/>
  <c r="O168" i="24"/>
  <c r="AC168" i="24"/>
  <c r="X175" i="1"/>
  <c r="AC175" i="1"/>
  <c r="AK175" i="1"/>
  <c r="Q175" i="1"/>
  <c r="A176" i="1"/>
  <c r="K175" i="1"/>
  <c r="O175" i="1"/>
  <c r="AJ175" i="1"/>
  <c r="L175" i="1"/>
  <c r="AB175" i="1"/>
  <c r="U175" i="1"/>
  <c r="A170" i="23"/>
  <c r="L169" i="23"/>
  <c r="K169" i="23"/>
  <c r="X169" i="23"/>
  <c r="AB169" i="23"/>
  <c r="AJ169" i="23"/>
  <c r="AK169" i="23"/>
  <c r="O169" i="23"/>
  <c r="AC169" i="23"/>
  <c r="I171" i="1"/>
  <c r="AA171" i="1"/>
  <c r="Z171" i="1" s="1"/>
  <c r="Y171" i="1" s="1"/>
  <c r="G171" i="1"/>
  <c r="BW171" i="6" s="1"/>
  <c r="A168" i="25"/>
  <c r="AB167" i="25"/>
  <c r="L167" i="25"/>
  <c r="K167" i="25"/>
  <c r="X167" i="25"/>
  <c r="AJ167" i="25"/>
  <c r="O167" i="25"/>
  <c r="AK167" i="25"/>
  <c r="AC167" i="25"/>
  <c r="D174" i="1"/>
  <c r="E174" i="1" s="1"/>
  <c r="V174" i="1"/>
  <c r="X173" i="17"/>
  <c r="A174" i="17"/>
  <c r="AB173" i="17"/>
  <c r="K173" i="17"/>
  <c r="L173" i="17"/>
  <c r="O173" i="17"/>
  <c r="AK173" i="17"/>
  <c r="AJ173" i="17"/>
  <c r="AC173" i="17"/>
  <c r="X171" i="20"/>
  <c r="A172" i="20"/>
  <c r="L171" i="20"/>
  <c r="K171" i="20"/>
  <c r="AB171" i="20"/>
  <c r="AJ171" i="20"/>
  <c r="AK171" i="20"/>
  <c r="O171" i="20"/>
  <c r="AC171" i="20"/>
  <c r="K172" i="18"/>
  <c r="L172" i="18"/>
  <c r="X172" i="18"/>
  <c r="A173" i="18"/>
  <c r="AB172" i="18"/>
  <c r="AJ172" i="18"/>
  <c r="O172" i="18"/>
  <c r="AK172" i="18"/>
  <c r="AC172" i="18"/>
  <c r="L175" i="15" l="1"/>
  <c r="D175" i="15" s="1"/>
  <c r="K175" i="15"/>
  <c r="AC175" i="15"/>
  <c r="O175" i="15"/>
  <c r="AK175" i="15"/>
  <c r="A176" i="15"/>
  <c r="AJ175" i="15"/>
  <c r="X175" i="15"/>
  <c r="AB175" i="15"/>
  <c r="E174" i="15"/>
  <c r="X174" i="16"/>
  <c r="AB174" i="16"/>
  <c r="AK174" i="16"/>
  <c r="AC174" i="16"/>
  <c r="A175" i="16"/>
  <c r="L174" i="16"/>
  <c r="D174" i="16" s="1"/>
  <c r="K174" i="16"/>
  <c r="AJ174" i="16"/>
  <c r="O174" i="16"/>
  <c r="E173" i="16"/>
  <c r="A174" i="18"/>
  <c r="AB173" i="18"/>
  <c r="K173" i="18"/>
  <c r="X173" i="18"/>
  <c r="AJ173" i="18"/>
  <c r="L173" i="18"/>
  <c r="O173" i="18"/>
  <c r="AK173" i="18"/>
  <c r="AC173" i="18"/>
  <c r="A175" i="17"/>
  <c r="X174" i="17"/>
  <c r="K174" i="17"/>
  <c r="L174" i="17"/>
  <c r="AB174" i="17"/>
  <c r="AJ174" i="17"/>
  <c r="AK174" i="17"/>
  <c r="O174" i="17"/>
  <c r="AC174" i="17"/>
  <c r="AB168" i="25"/>
  <c r="X168" i="25"/>
  <c r="A169" i="25"/>
  <c r="K168" i="25"/>
  <c r="L168" i="25"/>
  <c r="AJ168" i="25"/>
  <c r="O168" i="25"/>
  <c r="AK168" i="25"/>
  <c r="AC168" i="25"/>
  <c r="F174" i="1"/>
  <c r="A170" i="24"/>
  <c r="L169" i="24"/>
  <c r="AB169" i="24"/>
  <c r="X169" i="24"/>
  <c r="K169" i="24"/>
  <c r="AJ169" i="24"/>
  <c r="AK169" i="24"/>
  <c r="O169" i="24"/>
  <c r="AC169" i="24"/>
  <c r="K171" i="22"/>
  <c r="AB171" i="22"/>
  <c r="L171" i="22"/>
  <c r="X171" i="22"/>
  <c r="A172" i="22"/>
  <c r="AJ171" i="22"/>
  <c r="AK171" i="22"/>
  <c r="O171" i="22"/>
  <c r="AC171" i="22"/>
  <c r="X172" i="20"/>
  <c r="A173" i="20"/>
  <c r="AB172" i="20"/>
  <c r="L172" i="20"/>
  <c r="K172" i="20"/>
  <c r="AK172" i="20"/>
  <c r="AJ172" i="20"/>
  <c r="O172" i="20"/>
  <c r="AC172" i="20"/>
  <c r="X170" i="23"/>
  <c r="AB170" i="23"/>
  <c r="K170" i="23"/>
  <c r="L170" i="23"/>
  <c r="A171" i="23"/>
  <c r="AK170" i="23"/>
  <c r="AJ170" i="23"/>
  <c r="O170" i="23"/>
  <c r="AC170" i="23"/>
  <c r="T175" i="1"/>
  <c r="S175" i="1" s="1"/>
  <c r="R175" i="1" s="1"/>
  <c r="P175" i="1" s="1"/>
  <c r="V175" i="1" s="1"/>
  <c r="D175" i="1"/>
  <c r="E175" i="1" s="1"/>
  <c r="AJ176" i="1"/>
  <c r="X176" i="1"/>
  <c r="L176" i="1"/>
  <c r="AC176" i="1"/>
  <c r="Q176" i="1"/>
  <c r="A177" i="1"/>
  <c r="AB176" i="1"/>
  <c r="O176" i="1"/>
  <c r="AK176" i="1"/>
  <c r="K176" i="1"/>
  <c r="U176" i="1"/>
  <c r="T176" i="1" s="1"/>
  <c r="G173" i="1"/>
  <c r="BW173" i="6" s="1"/>
  <c r="I173" i="1"/>
  <c r="AA173" i="1"/>
  <c r="Z173" i="1" s="1"/>
  <c r="Y173" i="1" s="1"/>
  <c r="E174" i="16" l="1"/>
  <c r="E175" i="15"/>
  <c r="L176" i="15"/>
  <c r="D176" i="15" s="1"/>
  <c r="O176" i="15"/>
  <c r="A177" i="15"/>
  <c r="AK176" i="15"/>
  <c r="X176" i="15"/>
  <c r="AJ176" i="15"/>
  <c r="K176" i="15"/>
  <c r="AB176" i="15"/>
  <c r="AC176" i="15"/>
  <c r="A176" i="16"/>
  <c r="K175" i="16"/>
  <c r="AB175" i="16"/>
  <c r="AK175" i="16"/>
  <c r="O175" i="16"/>
  <c r="L175" i="16"/>
  <c r="D175" i="16" s="1"/>
  <c r="X175" i="16"/>
  <c r="AJ175" i="16"/>
  <c r="AC175" i="16"/>
  <c r="S176" i="1"/>
  <c r="R176" i="1" s="1"/>
  <c r="P176" i="1" s="1"/>
  <c r="V176" i="1" s="1"/>
  <c r="D176" i="1"/>
  <c r="E176" i="1" s="1"/>
  <c r="F175" i="1"/>
  <c r="X170" i="24"/>
  <c r="L170" i="24"/>
  <c r="A171" i="24"/>
  <c r="K170" i="24"/>
  <c r="AB170" i="24"/>
  <c r="AK170" i="24"/>
  <c r="AJ170" i="24"/>
  <c r="O170" i="24"/>
  <c r="AC170" i="24"/>
  <c r="X175" i="17"/>
  <c r="AB175" i="17"/>
  <c r="K175" i="17"/>
  <c r="A176" i="17"/>
  <c r="L175" i="17"/>
  <c r="AJ175" i="17"/>
  <c r="O175" i="17"/>
  <c r="AK175" i="17"/>
  <c r="AC175" i="17"/>
  <c r="K174" i="18"/>
  <c r="L174" i="18"/>
  <c r="AB174" i="18"/>
  <c r="X174" i="18"/>
  <c r="A175" i="18"/>
  <c r="AJ174" i="18"/>
  <c r="O174" i="18"/>
  <c r="AK174" i="18"/>
  <c r="AC174" i="18"/>
  <c r="A178" i="1"/>
  <c r="AC177" i="1"/>
  <c r="Q177" i="1"/>
  <c r="AK177" i="1"/>
  <c r="O177" i="1"/>
  <c r="X177" i="1"/>
  <c r="K177" i="1"/>
  <c r="AJ177" i="1"/>
  <c r="L177" i="1"/>
  <c r="AB177" i="1"/>
  <c r="U177" i="1"/>
  <c r="T177" i="1" s="1"/>
  <c r="S177" i="1" s="1"/>
  <c r="R177" i="1" s="1"/>
  <c r="K171" i="23"/>
  <c r="X171" i="23"/>
  <c r="A172" i="23"/>
  <c r="L171" i="23"/>
  <c r="AB171" i="23"/>
  <c r="AJ171" i="23"/>
  <c r="AK171" i="23"/>
  <c r="O171" i="23"/>
  <c r="AC171" i="23"/>
  <c r="A174" i="20"/>
  <c r="X173" i="20"/>
  <c r="AB173" i="20"/>
  <c r="K173" i="20"/>
  <c r="L173" i="20"/>
  <c r="AJ173" i="20"/>
  <c r="AK173" i="20"/>
  <c r="O173" i="20"/>
  <c r="AC173" i="20"/>
  <c r="AB172" i="22"/>
  <c r="L172" i="22"/>
  <c r="A173" i="22"/>
  <c r="X172" i="22"/>
  <c r="K172" i="22"/>
  <c r="AJ172" i="22"/>
  <c r="AK172" i="22"/>
  <c r="O172" i="22"/>
  <c r="AC172" i="22"/>
  <c r="AA174" i="1"/>
  <c r="Z174" i="1" s="1"/>
  <c r="Y174" i="1" s="1"/>
  <c r="I174" i="1"/>
  <c r="G174" i="1"/>
  <c r="BW174" i="6" s="1"/>
  <c r="K169" i="25"/>
  <c r="X169" i="25"/>
  <c r="AB169" i="25"/>
  <c r="A170" i="25"/>
  <c r="L169" i="25"/>
  <c r="AJ169" i="25"/>
  <c r="O169" i="25"/>
  <c r="AK169" i="25"/>
  <c r="AC169" i="25"/>
  <c r="P177" i="1" l="1"/>
  <c r="V177" i="1" s="1"/>
  <c r="E176" i="15"/>
  <c r="X177" i="15"/>
  <c r="AK177" i="15"/>
  <c r="K177" i="15"/>
  <c r="AB177" i="15"/>
  <c r="AC177" i="15"/>
  <c r="A178" i="15"/>
  <c r="O177" i="15"/>
  <c r="L177" i="15"/>
  <c r="D177" i="15" s="1"/>
  <c r="AJ177" i="15"/>
  <c r="L176" i="16"/>
  <c r="D176" i="16" s="1"/>
  <c r="K176" i="16"/>
  <c r="AK176" i="16"/>
  <c r="AC176" i="16"/>
  <c r="X176" i="16"/>
  <c r="A177" i="16"/>
  <c r="AB176" i="16"/>
  <c r="AJ176" i="16"/>
  <c r="O176" i="16"/>
  <c r="E175" i="16"/>
  <c r="AB173" i="22"/>
  <c r="K173" i="22"/>
  <c r="A174" i="22"/>
  <c r="X173" i="22"/>
  <c r="L173" i="22"/>
  <c r="AJ173" i="22"/>
  <c r="AK173" i="22"/>
  <c r="O173" i="22"/>
  <c r="AC173" i="22"/>
  <c r="AB172" i="23"/>
  <c r="A173" i="23"/>
  <c r="L172" i="23"/>
  <c r="K172" i="23"/>
  <c r="X172" i="23"/>
  <c r="AJ172" i="23"/>
  <c r="AK172" i="23"/>
  <c r="O172" i="23"/>
  <c r="AC172" i="23"/>
  <c r="F176" i="1"/>
  <c r="K171" i="24"/>
  <c r="A172" i="24"/>
  <c r="AB171" i="24"/>
  <c r="X171" i="24"/>
  <c r="L171" i="24"/>
  <c r="AK171" i="24"/>
  <c r="AJ171" i="24"/>
  <c r="O171" i="24"/>
  <c r="AC171" i="24"/>
  <c r="AA175" i="1"/>
  <c r="Z175" i="1" s="1"/>
  <c r="Y175" i="1" s="1"/>
  <c r="I175" i="1"/>
  <c r="G175" i="1"/>
  <c r="BW175" i="6" s="1"/>
  <c r="X170" i="25"/>
  <c r="L170" i="25"/>
  <c r="AB170" i="25"/>
  <c r="A171" i="25"/>
  <c r="K170" i="25"/>
  <c r="AJ170" i="25"/>
  <c r="O170" i="25"/>
  <c r="AK170" i="25"/>
  <c r="AC170" i="25"/>
  <c r="K174" i="20"/>
  <c r="A175" i="20"/>
  <c r="AB174" i="20"/>
  <c r="X174" i="20"/>
  <c r="L174" i="20"/>
  <c r="AK174" i="20"/>
  <c r="AJ174" i="20"/>
  <c r="O174" i="20"/>
  <c r="AC174" i="20"/>
  <c r="D177" i="1"/>
  <c r="E177" i="1" s="1"/>
  <c r="X178" i="1"/>
  <c r="O178" i="1"/>
  <c r="AC178" i="1"/>
  <c r="AK178" i="1"/>
  <c r="A179" i="1"/>
  <c r="L178" i="1"/>
  <c r="K178" i="1"/>
  <c r="AJ178" i="1"/>
  <c r="Q178" i="1"/>
  <c r="AB178" i="1"/>
  <c r="U178" i="1"/>
  <c r="T178" i="1" s="1"/>
  <c r="S178" i="1" s="1"/>
  <c r="R178" i="1" s="1"/>
  <c r="P178" i="1" s="1"/>
  <c r="K175" i="18"/>
  <c r="X175" i="18"/>
  <c r="L175" i="18"/>
  <c r="AB175" i="18"/>
  <c r="AJ175" i="18"/>
  <c r="A176" i="18"/>
  <c r="AK175" i="18"/>
  <c r="O175" i="18"/>
  <c r="AC175" i="18"/>
  <c r="A177" i="17"/>
  <c r="AB176" i="17"/>
  <c r="K176" i="17"/>
  <c r="X176" i="17"/>
  <c r="L176" i="17"/>
  <c r="O176" i="17"/>
  <c r="AK176" i="17"/>
  <c r="AJ176" i="17"/>
  <c r="AC176" i="17"/>
  <c r="E177" i="15" l="1"/>
  <c r="L178" i="15"/>
  <c r="D178" i="15" s="1"/>
  <c r="AC178" i="15"/>
  <c r="X178" i="15"/>
  <c r="AJ178" i="15"/>
  <c r="A179" i="15"/>
  <c r="AK178" i="15"/>
  <c r="K178" i="15"/>
  <c r="AB178" i="15"/>
  <c r="O178" i="15"/>
  <c r="AB177" i="16"/>
  <c r="L177" i="16"/>
  <c r="D177" i="16" s="1"/>
  <c r="A178" i="16"/>
  <c r="AK177" i="16"/>
  <c r="O177" i="16"/>
  <c r="X177" i="16"/>
  <c r="K177" i="16"/>
  <c r="AJ177" i="16"/>
  <c r="AC177" i="16"/>
  <c r="E176" i="16"/>
  <c r="K176" i="18"/>
  <c r="AB176" i="18"/>
  <c r="L176" i="18"/>
  <c r="A177" i="18"/>
  <c r="AJ176" i="18"/>
  <c r="X176" i="18"/>
  <c r="AK176" i="18"/>
  <c r="O176" i="18"/>
  <c r="AC176" i="18"/>
  <c r="AJ179" i="1"/>
  <c r="AC179" i="1"/>
  <c r="AK179" i="1"/>
  <c r="Q179" i="1"/>
  <c r="A180" i="1"/>
  <c r="X179" i="1"/>
  <c r="K179" i="1"/>
  <c r="L179" i="1"/>
  <c r="AB179" i="1"/>
  <c r="O179" i="1"/>
  <c r="U179" i="1"/>
  <c r="T179" i="1" s="1"/>
  <c r="X177" i="17"/>
  <c r="K177" i="17"/>
  <c r="A178" i="17"/>
  <c r="L177" i="17"/>
  <c r="AB177" i="17"/>
  <c r="AJ177" i="17"/>
  <c r="AK177" i="17"/>
  <c r="O177" i="17"/>
  <c r="AC177" i="17"/>
  <c r="D178" i="1"/>
  <c r="E178" i="1" s="1"/>
  <c r="V178" i="1"/>
  <c r="F177" i="1"/>
  <c r="AB175" i="20"/>
  <c r="K175" i="20"/>
  <c r="L175" i="20"/>
  <c r="X175" i="20"/>
  <c r="A176" i="20"/>
  <c r="AJ175" i="20"/>
  <c r="AK175" i="20"/>
  <c r="O175" i="20"/>
  <c r="AC175" i="20"/>
  <c r="X171" i="25"/>
  <c r="A172" i="25"/>
  <c r="AB171" i="25"/>
  <c r="K171" i="25"/>
  <c r="L171" i="25"/>
  <c r="AJ171" i="25"/>
  <c r="AK171" i="25"/>
  <c r="O171" i="25"/>
  <c r="AC171" i="25"/>
  <c r="K172" i="24"/>
  <c r="AB172" i="24"/>
  <c r="X172" i="24"/>
  <c r="A173" i="24"/>
  <c r="L172" i="24"/>
  <c r="AJ172" i="24"/>
  <c r="AK172" i="24"/>
  <c r="O172" i="24"/>
  <c r="AC172" i="24"/>
  <c r="I176" i="1"/>
  <c r="AA176" i="1"/>
  <c r="Z176" i="1" s="1"/>
  <c r="Y176" i="1" s="1"/>
  <c r="G176" i="1"/>
  <c r="BW176" i="6" s="1"/>
  <c r="A174" i="23"/>
  <c r="X173" i="23"/>
  <c r="L173" i="23"/>
  <c r="K173" i="23"/>
  <c r="AB173" i="23"/>
  <c r="AK173" i="23"/>
  <c r="AJ173" i="23"/>
  <c r="O173" i="23"/>
  <c r="AC173" i="23"/>
  <c r="A175" i="22"/>
  <c r="X174" i="22"/>
  <c r="K174" i="22"/>
  <c r="AB174" i="22"/>
  <c r="L174" i="22"/>
  <c r="AJ174" i="22"/>
  <c r="AK174" i="22"/>
  <c r="O174" i="22"/>
  <c r="AC174" i="22"/>
  <c r="L179" i="15" l="1"/>
  <c r="D179" i="15" s="1"/>
  <c r="O179" i="15"/>
  <c r="AB179" i="15"/>
  <c r="AK179" i="15"/>
  <c r="A180" i="15"/>
  <c r="AJ179" i="15"/>
  <c r="K179" i="15"/>
  <c r="X179" i="15"/>
  <c r="AC179" i="15"/>
  <c r="E178" i="15"/>
  <c r="E177" i="16"/>
  <c r="F178" i="1"/>
  <c r="AA178" i="1" s="1"/>
  <c r="Z178" i="1" s="1"/>
  <c r="Y178" i="1" s="1"/>
  <c r="K178" i="16"/>
  <c r="A179" i="16"/>
  <c r="L178" i="16"/>
  <c r="D178" i="16" s="1"/>
  <c r="AK178" i="16"/>
  <c r="O178" i="16"/>
  <c r="AB178" i="16"/>
  <c r="X178" i="16"/>
  <c r="AJ178" i="16"/>
  <c r="AC178" i="16"/>
  <c r="X175" i="22"/>
  <c r="A176" i="22"/>
  <c r="K175" i="22"/>
  <c r="L175" i="22"/>
  <c r="AB175" i="22"/>
  <c r="AJ175" i="22"/>
  <c r="AK175" i="22"/>
  <c r="O175" i="22"/>
  <c r="AC175" i="22"/>
  <c r="AB173" i="24"/>
  <c r="A174" i="24"/>
  <c r="K173" i="24"/>
  <c r="X173" i="24"/>
  <c r="L173" i="24"/>
  <c r="AJ173" i="24"/>
  <c r="AK173" i="24"/>
  <c r="O173" i="24"/>
  <c r="AC173" i="24"/>
  <c r="G177" i="1"/>
  <c r="BW177" i="6" s="1"/>
  <c r="AA177" i="1"/>
  <c r="Z177" i="1" s="1"/>
  <c r="Y177" i="1" s="1"/>
  <c r="I177" i="1"/>
  <c r="S179" i="1"/>
  <c r="R179" i="1" s="1"/>
  <c r="P179" i="1" s="1"/>
  <c r="V179" i="1" s="1"/>
  <c r="A25" i="7"/>
  <c r="O180" i="1"/>
  <c r="C25" i="7" s="1"/>
  <c r="L180" i="1"/>
  <c r="AK180" i="1"/>
  <c r="AJ180" i="1"/>
  <c r="Q180" i="1"/>
  <c r="AB180" i="1"/>
  <c r="A181" i="1"/>
  <c r="K180" i="1"/>
  <c r="AC180" i="1"/>
  <c r="X180" i="1"/>
  <c r="U180" i="1"/>
  <c r="T180" i="1" s="1"/>
  <c r="K177" i="18"/>
  <c r="L177" i="18"/>
  <c r="X177" i="18"/>
  <c r="AB177" i="18"/>
  <c r="A178" i="18"/>
  <c r="AJ177" i="18"/>
  <c r="O177" i="18"/>
  <c r="AK177" i="18"/>
  <c r="AC177" i="18"/>
  <c r="AB174" i="23"/>
  <c r="K174" i="23"/>
  <c r="L174" i="23"/>
  <c r="A175" i="23"/>
  <c r="X174" i="23"/>
  <c r="AJ174" i="23"/>
  <c r="AK174" i="23"/>
  <c r="O174" i="23"/>
  <c r="AC174" i="23"/>
  <c r="K172" i="25"/>
  <c r="X172" i="25"/>
  <c r="A173" i="25"/>
  <c r="L172" i="25"/>
  <c r="AB172" i="25"/>
  <c r="AJ172" i="25"/>
  <c r="AK172" i="25"/>
  <c r="O172" i="25"/>
  <c r="AC172" i="25"/>
  <c r="AB176" i="20"/>
  <c r="A177" i="20"/>
  <c r="L176" i="20"/>
  <c r="X176" i="20"/>
  <c r="K176" i="20"/>
  <c r="AJ176" i="20"/>
  <c r="AK176" i="20"/>
  <c r="O176" i="20"/>
  <c r="AC176" i="20"/>
  <c r="K178" i="17"/>
  <c r="X178" i="17"/>
  <c r="AB178" i="17"/>
  <c r="A179" i="17"/>
  <c r="L178" i="17"/>
  <c r="AJ178" i="17"/>
  <c r="O178" i="17"/>
  <c r="AK178" i="17"/>
  <c r="AC178" i="17"/>
  <c r="D179" i="1"/>
  <c r="E179" i="1" s="1"/>
  <c r="I178" i="1" l="1"/>
  <c r="G178" i="1"/>
  <c r="BW178" i="6" s="1"/>
  <c r="A181" i="15"/>
  <c r="L180" i="15"/>
  <c r="O180" i="15"/>
  <c r="C37" i="7" s="1"/>
  <c r="K180" i="15"/>
  <c r="AK180" i="15"/>
  <c r="AB180" i="15"/>
  <c r="AJ180" i="15"/>
  <c r="X180" i="15"/>
  <c r="A37" i="7"/>
  <c r="AC180" i="15"/>
  <c r="E179" i="15"/>
  <c r="X179" i="16"/>
  <c r="K179" i="16"/>
  <c r="AJ179" i="16"/>
  <c r="AC179" i="16"/>
  <c r="A180" i="16"/>
  <c r="L179" i="16"/>
  <c r="D179" i="16" s="1"/>
  <c r="AB179" i="16"/>
  <c r="AK179" i="16"/>
  <c r="O179" i="16"/>
  <c r="E178" i="16"/>
  <c r="F179" i="1"/>
  <c r="K179" i="17"/>
  <c r="A180" i="17"/>
  <c r="X179" i="17"/>
  <c r="L179" i="17"/>
  <c r="AB179" i="17"/>
  <c r="AJ179" i="17"/>
  <c r="O179" i="17"/>
  <c r="AK179" i="17"/>
  <c r="AC179" i="17"/>
  <c r="AB177" i="20"/>
  <c r="K177" i="20"/>
  <c r="L177" i="20"/>
  <c r="A178" i="20"/>
  <c r="X177" i="20"/>
  <c r="AJ177" i="20"/>
  <c r="AK177" i="20"/>
  <c r="O177" i="20"/>
  <c r="AC177" i="20"/>
  <c r="AB173" i="25"/>
  <c r="L173" i="25"/>
  <c r="A174" i="25"/>
  <c r="K173" i="25"/>
  <c r="X173" i="25"/>
  <c r="AJ173" i="25"/>
  <c r="AK173" i="25"/>
  <c r="O173" i="25"/>
  <c r="AC173" i="25"/>
  <c r="S180" i="1"/>
  <c r="R180" i="1" s="1"/>
  <c r="P180" i="1" s="1"/>
  <c r="D25" i="7" s="1"/>
  <c r="AJ181" i="1"/>
  <c r="K181" i="1"/>
  <c r="Q181" i="1"/>
  <c r="X181" i="1"/>
  <c r="AC181" i="1"/>
  <c r="AK181" i="1"/>
  <c r="AB181" i="1"/>
  <c r="A182" i="1"/>
  <c r="L181" i="1"/>
  <c r="O181" i="1"/>
  <c r="U181" i="1"/>
  <c r="X176" i="22"/>
  <c r="K176" i="22"/>
  <c r="AB176" i="22"/>
  <c r="L176" i="22"/>
  <c r="A177" i="22"/>
  <c r="AJ176" i="22"/>
  <c r="AK176" i="22"/>
  <c r="O176" i="22"/>
  <c r="AC176" i="22"/>
  <c r="AB175" i="23"/>
  <c r="K175" i="23"/>
  <c r="A176" i="23"/>
  <c r="L175" i="23"/>
  <c r="X175" i="23"/>
  <c r="AJ175" i="23"/>
  <c r="AK175" i="23"/>
  <c r="O175" i="23"/>
  <c r="AC175" i="23"/>
  <c r="A179" i="18"/>
  <c r="X178" i="18"/>
  <c r="AJ178" i="18"/>
  <c r="AB178" i="18"/>
  <c r="L178" i="18"/>
  <c r="K178" i="18"/>
  <c r="O178" i="18"/>
  <c r="AK178" i="18"/>
  <c r="AC178" i="18"/>
  <c r="B25" i="7"/>
  <c r="D180" i="1"/>
  <c r="E180" i="1" s="1"/>
  <c r="AB174" i="24"/>
  <c r="A175" i="24"/>
  <c r="X174" i="24"/>
  <c r="L174" i="24"/>
  <c r="K174" i="24"/>
  <c r="AK174" i="24"/>
  <c r="O174" i="24"/>
  <c r="AJ174" i="24"/>
  <c r="AC174" i="24"/>
  <c r="E179" i="16" l="1"/>
  <c r="O181" i="15"/>
  <c r="K181" i="15"/>
  <c r="AK181" i="15"/>
  <c r="L181" i="15"/>
  <c r="D181" i="15" s="1"/>
  <c r="A182" i="15"/>
  <c r="AB181" i="15"/>
  <c r="X181" i="15"/>
  <c r="AC181" i="15"/>
  <c r="AJ181" i="15"/>
  <c r="D180" i="15"/>
  <c r="E180" i="15" s="1"/>
  <c r="B37" i="7"/>
  <c r="A49" i="7"/>
  <c r="AB180" i="16"/>
  <c r="L180" i="16"/>
  <c r="AJ180" i="16"/>
  <c r="AC180" i="16"/>
  <c r="K180" i="16"/>
  <c r="X180" i="16"/>
  <c r="A181" i="16"/>
  <c r="AK180" i="16"/>
  <c r="O180" i="16"/>
  <c r="C49" i="7" s="1"/>
  <c r="A180" i="18"/>
  <c r="AJ179" i="18"/>
  <c r="X179" i="18"/>
  <c r="K179" i="18"/>
  <c r="AB179" i="18"/>
  <c r="L179" i="18"/>
  <c r="O179" i="18"/>
  <c r="AK179" i="18"/>
  <c r="AC179" i="18"/>
  <c r="AB177" i="22"/>
  <c r="X177" i="22"/>
  <c r="L177" i="22"/>
  <c r="K177" i="22"/>
  <c r="A178" i="22"/>
  <c r="AJ177" i="22"/>
  <c r="AK177" i="22"/>
  <c r="O177" i="22"/>
  <c r="AC177" i="22"/>
  <c r="X182" i="1"/>
  <c r="L182" i="1"/>
  <c r="O182" i="1"/>
  <c r="AB182" i="1"/>
  <c r="Q182" i="1"/>
  <c r="A183" i="1"/>
  <c r="AJ182" i="1"/>
  <c r="K182" i="1"/>
  <c r="AK182" i="1"/>
  <c r="AC182" i="1"/>
  <c r="U182" i="1"/>
  <c r="T182" i="1" s="1"/>
  <c r="K175" i="24"/>
  <c r="A176" i="24"/>
  <c r="L175" i="24"/>
  <c r="X175" i="24"/>
  <c r="AB175" i="24"/>
  <c r="AJ175" i="24"/>
  <c r="AK175" i="24"/>
  <c r="O175" i="24"/>
  <c r="AC175" i="24"/>
  <c r="V180" i="1"/>
  <c r="F180" i="1" s="1"/>
  <c r="AB176" i="23"/>
  <c r="K176" i="23"/>
  <c r="A177" i="23"/>
  <c r="L176" i="23"/>
  <c r="X176" i="23"/>
  <c r="AJ176" i="23"/>
  <c r="AK176" i="23"/>
  <c r="O176" i="23"/>
  <c r="AC176" i="23"/>
  <c r="T181" i="1"/>
  <c r="D181" i="1"/>
  <c r="E181" i="1" s="1"/>
  <c r="A175" i="25"/>
  <c r="X174" i="25"/>
  <c r="K174" i="25"/>
  <c r="AB174" i="25"/>
  <c r="L174" i="25"/>
  <c r="AJ174" i="25"/>
  <c r="O174" i="25"/>
  <c r="AK174" i="25"/>
  <c r="AC174" i="25"/>
  <c r="A179" i="20"/>
  <c r="L178" i="20"/>
  <c r="K178" i="20"/>
  <c r="AB178" i="20"/>
  <c r="X178" i="20"/>
  <c r="AJ178" i="20"/>
  <c r="AK178" i="20"/>
  <c r="O178" i="20"/>
  <c r="AC178" i="20"/>
  <c r="AB180" i="17"/>
  <c r="A61" i="7"/>
  <c r="A181" i="17"/>
  <c r="X180" i="17"/>
  <c r="K180" i="17"/>
  <c r="L180" i="17"/>
  <c r="AJ180" i="17"/>
  <c r="O180" i="17"/>
  <c r="C61" i="7" s="1"/>
  <c r="AK180" i="17"/>
  <c r="AC180" i="17"/>
  <c r="AA179" i="1"/>
  <c r="Z179" i="1" s="1"/>
  <c r="Y179" i="1" s="1"/>
  <c r="I179" i="1"/>
  <c r="G179" i="1"/>
  <c r="BW179" i="6" s="1"/>
  <c r="L182" i="15" l="1"/>
  <c r="D182" i="15" s="1"/>
  <c r="AK182" i="15"/>
  <c r="A183" i="15"/>
  <c r="AJ182" i="15"/>
  <c r="K182" i="15"/>
  <c r="X182" i="15"/>
  <c r="O182" i="15"/>
  <c r="E182" i="15" s="1"/>
  <c r="AB182" i="15"/>
  <c r="AC182" i="15"/>
  <c r="E181" i="15"/>
  <c r="D180" i="16"/>
  <c r="E180" i="16" s="1"/>
  <c r="B49" i="7"/>
  <c r="AB181" i="16"/>
  <c r="K181" i="16"/>
  <c r="AK181" i="16"/>
  <c r="AC181" i="16"/>
  <c r="X181" i="16"/>
  <c r="L181" i="16"/>
  <c r="D181" i="16" s="1"/>
  <c r="A182" i="16"/>
  <c r="AJ181" i="16"/>
  <c r="O181" i="16"/>
  <c r="I180" i="1"/>
  <c r="G180" i="1"/>
  <c r="BW180" i="6" s="1"/>
  <c r="AA180" i="1"/>
  <c r="Z180" i="1" s="1"/>
  <c r="Y180" i="1" s="1"/>
  <c r="A182" i="17"/>
  <c r="X181" i="17"/>
  <c r="AB181" i="17"/>
  <c r="K181" i="17"/>
  <c r="L181" i="17"/>
  <c r="AJ181" i="17"/>
  <c r="O181" i="17"/>
  <c r="AK181" i="17"/>
  <c r="AC181" i="17"/>
  <c r="X175" i="25"/>
  <c r="L175" i="25"/>
  <c r="K175" i="25"/>
  <c r="A176" i="25"/>
  <c r="AB175" i="25"/>
  <c r="AJ175" i="25"/>
  <c r="O175" i="25"/>
  <c r="AK175" i="25"/>
  <c r="AC175" i="25"/>
  <c r="S181" i="1"/>
  <c r="R181" i="1" s="1"/>
  <c r="P181" i="1" s="1"/>
  <c r="V181" i="1" s="1"/>
  <c r="F181" i="1" s="1"/>
  <c r="A177" i="24"/>
  <c r="K176" i="24"/>
  <c r="L176" i="24"/>
  <c r="AB176" i="24"/>
  <c r="X176" i="24"/>
  <c r="AJ176" i="24"/>
  <c r="AK176" i="24"/>
  <c r="O176" i="24"/>
  <c r="AC176" i="24"/>
  <c r="S182" i="1"/>
  <c r="R182" i="1" s="1"/>
  <c r="P182" i="1" s="1"/>
  <c r="V182" i="1" s="1"/>
  <c r="A181" i="18"/>
  <c r="X180" i="18"/>
  <c r="L180" i="18"/>
  <c r="AJ180" i="18"/>
  <c r="AB180" i="18"/>
  <c r="A73" i="7"/>
  <c r="K180" i="18"/>
  <c r="AK180" i="18"/>
  <c r="O180" i="18"/>
  <c r="C73" i="7" s="1"/>
  <c r="AC180" i="18"/>
  <c r="B61" i="7"/>
  <c r="AB179" i="20"/>
  <c r="X179" i="20"/>
  <c r="A180" i="20"/>
  <c r="K179" i="20"/>
  <c r="L179" i="20"/>
  <c r="AK179" i="20"/>
  <c r="AJ179" i="20"/>
  <c r="O179" i="20"/>
  <c r="AC179" i="20"/>
  <c r="X177" i="23"/>
  <c r="K177" i="23"/>
  <c r="AB177" i="23"/>
  <c r="L177" i="23"/>
  <c r="A178" i="23"/>
  <c r="AJ177" i="23"/>
  <c r="AK177" i="23"/>
  <c r="O177" i="23"/>
  <c r="AC177" i="23"/>
  <c r="AJ183" i="1"/>
  <c r="AC183" i="1"/>
  <c r="AB183" i="1"/>
  <c r="Q183" i="1"/>
  <c r="A184" i="1"/>
  <c r="X183" i="1"/>
  <c r="O183" i="1"/>
  <c r="K183" i="1"/>
  <c r="L183" i="1"/>
  <c r="AK183" i="1"/>
  <c r="U183" i="1"/>
  <c r="T183" i="1" s="1"/>
  <c r="D182" i="1"/>
  <c r="E182" i="1" s="1"/>
  <c r="K178" i="22"/>
  <c r="AB178" i="22"/>
  <c r="X178" i="22"/>
  <c r="A179" i="22"/>
  <c r="L178" i="22"/>
  <c r="AK178" i="22"/>
  <c r="AJ178" i="22"/>
  <c r="O178" i="22"/>
  <c r="AC178" i="22"/>
  <c r="A184" i="15" l="1"/>
  <c r="X183" i="15"/>
  <c r="AC183" i="15"/>
  <c r="AB183" i="15"/>
  <c r="O183" i="15"/>
  <c r="L183" i="15"/>
  <c r="D183" i="15" s="1"/>
  <c r="AJ183" i="15"/>
  <c r="K183" i="15"/>
  <c r="AK183" i="15"/>
  <c r="E181" i="16"/>
  <c r="A183" i="16"/>
  <c r="L182" i="16"/>
  <c r="D182" i="16" s="1"/>
  <c r="AJ182" i="16"/>
  <c r="AC182" i="16"/>
  <c r="K182" i="16"/>
  <c r="AB182" i="16"/>
  <c r="X182" i="16"/>
  <c r="AK182" i="16"/>
  <c r="O182" i="16"/>
  <c r="AA181" i="1"/>
  <c r="Z181" i="1" s="1"/>
  <c r="Y181" i="1" s="1"/>
  <c r="I181" i="1"/>
  <c r="G181" i="1"/>
  <c r="BW181" i="6" s="1"/>
  <c r="F182" i="1"/>
  <c r="K178" i="23"/>
  <c r="A179" i="23"/>
  <c r="X178" i="23"/>
  <c r="AB178" i="23"/>
  <c r="L178" i="23"/>
  <c r="AJ178" i="23"/>
  <c r="AK178" i="23"/>
  <c r="O178" i="23"/>
  <c r="AC178" i="23"/>
  <c r="X177" i="24"/>
  <c r="L177" i="24"/>
  <c r="A178" i="24"/>
  <c r="K177" i="24"/>
  <c r="AB177" i="24"/>
  <c r="AK177" i="24"/>
  <c r="O177" i="24"/>
  <c r="AJ177" i="24"/>
  <c r="AC177" i="24"/>
  <c r="X176" i="25"/>
  <c r="L176" i="25"/>
  <c r="K176" i="25"/>
  <c r="AB176" i="25"/>
  <c r="A177" i="25"/>
  <c r="AJ176" i="25"/>
  <c r="O176" i="25"/>
  <c r="AK176" i="25"/>
  <c r="AC176" i="25"/>
  <c r="X182" i="17"/>
  <c r="AB182" i="17"/>
  <c r="L182" i="17"/>
  <c r="A183" i="17"/>
  <c r="K182" i="17"/>
  <c r="AJ182" i="17"/>
  <c r="AK182" i="17"/>
  <c r="O182" i="17"/>
  <c r="AC182" i="17"/>
  <c r="AB179" i="22"/>
  <c r="L179" i="22"/>
  <c r="K179" i="22"/>
  <c r="A180" i="22"/>
  <c r="X179" i="22"/>
  <c r="AK179" i="22"/>
  <c r="AJ179" i="22"/>
  <c r="O179" i="22"/>
  <c r="AC179" i="22"/>
  <c r="S183" i="1"/>
  <c r="R183" i="1" s="1"/>
  <c r="P183" i="1" s="1"/>
  <c r="V183" i="1" s="1"/>
  <c r="D183" i="1"/>
  <c r="E183" i="1" s="1"/>
  <c r="L184" i="1"/>
  <c r="AJ184" i="1"/>
  <c r="O184" i="1"/>
  <c r="A185" i="1"/>
  <c r="X184" i="1"/>
  <c r="K184" i="1"/>
  <c r="AC184" i="1"/>
  <c r="Q184" i="1"/>
  <c r="AK184" i="1"/>
  <c r="AB184" i="1"/>
  <c r="U184" i="1"/>
  <c r="T184" i="1" s="1"/>
  <c r="S184" i="1" s="1"/>
  <c r="R184" i="1" s="1"/>
  <c r="X180" i="20"/>
  <c r="K180" i="20"/>
  <c r="AE25" i="7"/>
  <c r="A181" i="20"/>
  <c r="L180" i="20"/>
  <c r="AB180" i="20"/>
  <c r="AJ180" i="20"/>
  <c r="AK180" i="20"/>
  <c r="O180" i="20"/>
  <c r="AG25" i="7" s="1"/>
  <c r="AC180" i="20"/>
  <c r="B73" i="7"/>
  <c r="X181" i="18"/>
  <c r="AJ181" i="18"/>
  <c r="A182" i="18"/>
  <c r="AB181" i="18"/>
  <c r="K181" i="18"/>
  <c r="L181" i="18"/>
  <c r="AK181" i="18"/>
  <c r="O181" i="18"/>
  <c r="AC181" i="18"/>
  <c r="E183" i="15" l="1"/>
  <c r="K184" i="15"/>
  <c r="X184" i="15"/>
  <c r="AC184" i="15"/>
  <c r="AB184" i="15"/>
  <c r="O184" i="15"/>
  <c r="L184" i="15"/>
  <c r="D184" i="15" s="1"/>
  <c r="AJ184" i="15"/>
  <c r="A185" i="15"/>
  <c r="AK184" i="15"/>
  <c r="P184" i="1"/>
  <c r="F183" i="1"/>
  <c r="AA183" i="1" s="1"/>
  <c r="Z183" i="1" s="1"/>
  <c r="Y183" i="1" s="1"/>
  <c r="E182" i="16"/>
  <c r="L183" i="16"/>
  <c r="D183" i="16" s="1"/>
  <c r="AB183" i="16"/>
  <c r="X183" i="16"/>
  <c r="AK183" i="16"/>
  <c r="O183" i="16"/>
  <c r="A184" i="16"/>
  <c r="K183" i="16"/>
  <c r="AJ183" i="16"/>
  <c r="AC183" i="16"/>
  <c r="K181" i="20"/>
  <c r="AB181" i="20"/>
  <c r="L181" i="20"/>
  <c r="X181" i="20"/>
  <c r="A182" i="20"/>
  <c r="AJ181" i="20"/>
  <c r="AK181" i="20"/>
  <c r="O181" i="20"/>
  <c r="AC181" i="20"/>
  <c r="D184" i="1"/>
  <c r="E184" i="1" s="1"/>
  <c r="V184" i="1"/>
  <c r="AE37" i="7"/>
  <c r="AB180" i="22"/>
  <c r="A181" i="22"/>
  <c r="X180" i="22"/>
  <c r="K180" i="22"/>
  <c r="L180" i="22"/>
  <c r="AJ180" i="22"/>
  <c r="AK180" i="22"/>
  <c r="O180" i="22"/>
  <c r="AG37" i="7" s="1"/>
  <c r="AC180" i="22"/>
  <c r="K178" i="24"/>
  <c r="X178" i="24"/>
  <c r="AB178" i="24"/>
  <c r="A179" i="24"/>
  <c r="L178" i="24"/>
  <c r="AJ178" i="24"/>
  <c r="AK178" i="24"/>
  <c r="O178" i="24"/>
  <c r="AC178" i="24"/>
  <c r="I182" i="1"/>
  <c r="AA182" i="1"/>
  <c r="Z182" i="1" s="1"/>
  <c r="Y182" i="1" s="1"/>
  <c r="G182" i="1"/>
  <c r="BW182" i="6" s="1"/>
  <c r="A183" i="18"/>
  <c r="L182" i="18"/>
  <c r="K182" i="18"/>
  <c r="AB182" i="18"/>
  <c r="X182" i="18"/>
  <c r="AJ182" i="18"/>
  <c r="O182" i="18"/>
  <c r="AK182" i="18"/>
  <c r="AC182" i="18"/>
  <c r="AF25" i="7"/>
  <c r="L185" i="1"/>
  <c r="K185" i="1"/>
  <c r="AC185" i="1"/>
  <c r="AB185" i="1"/>
  <c r="X185" i="1"/>
  <c r="AJ185" i="1"/>
  <c r="A186" i="1"/>
  <c r="AK185" i="1"/>
  <c r="O185" i="1"/>
  <c r="Q185" i="1"/>
  <c r="U185" i="1"/>
  <c r="A184" i="17"/>
  <c r="AB183" i="17"/>
  <c r="L183" i="17"/>
  <c r="X183" i="17"/>
  <c r="K183" i="17"/>
  <c r="AK183" i="17"/>
  <c r="AJ183" i="17"/>
  <c r="O183" i="17"/>
  <c r="AC183" i="17"/>
  <c r="AB177" i="25"/>
  <c r="X177" i="25"/>
  <c r="K177" i="25"/>
  <c r="L177" i="25"/>
  <c r="A178" i="25"/>
  <c r="AJ177" i="25"/>
  <c r="AK177" i="25"/>
  <c r="O177" i="25"/>
  <c r="AC177" i="25"/>
  <c r="X179" i="23"/>
  <c r="AB179" i="23"/>
  <c r="K179" i="23"/>
  <c r="A180" i="23"/>
  <c r="L179" i="23"/>
  <c r="AJ179" i="23"/>
  <c r="AK179" i="23"/>
  <c r="O179" i="23"/>
  <c r="AC179" i="23"/>
  <c r="I183" i="1" l="1"/>
  <c r="G183" i="1"/>
  <c r="BW183" i="6" s="1"/>
  <c r="L185" i="15"/>
  <c r="D185" i="15" s="1"/>
  <c r="AC185" i="15"/>
  <c r="K185" i="15"/>
  <c r="AJ185" i="15"/>
  <c r="AB185" i="15"/>
  <c r="AK185" i="15"/>
  <c r="A186" i="15"/>
  <c r="X185" i="15"/>
  <c r="O185" i="15"/>
  <c r="E184" i="15"/>
  <c r="F184" i="1"/>
  <c r="I184" i="1" s="1"/>
  <c r="AB184" i="16"/>
  <c r="K184" i="16"/>
  <c r="AK184" i="16"/>
  <c r="AC184" i="16"/>
  <c r="A185" i="16"/>
  <c r="L184" i="16"/>
  <c r="D184" i="16" s="1"/>
  <c r="X184" i="16"/>
  <c r="AJ184" i="16"/>
  <c r="O184" i="16"/>
  <c r="E183" i="16"/>
  <c r="A181" i="23"/>
  <c r="L180" i="23"/>
  <c r="X180" i="23"/>
  <c r="AB180" i="23"/>
  <c r="K180" i="23"/>
  <c r="AE49" i="7"/>
  <c r="AJ180" i="23"/>
  <c r="AK180" i="23"/>
  <c r="O180" i="23"/>
  <c r="AG49" i="7" s="1"/>
  <c r="AC180" i="23"/>
  <c r="A179" i="25"/>
  <c r="X178" i="25"/>
  <c r="K178" i="25"/>
  <c r="AB178" i="25"/>
  <c r="L178" i="25"/>
  <c r="AJ178" i="25"/>
  <c r="AK178" i="25"/>
  <c r="O178" i="25"/>
  <c r="AC178" i="25"/>
  <c r="K183" i="18"/>
  <c r="X183" i="18"/>
  <c r="AJ183" i="18"/>
  <c r="AB183" i="18"/>
  <c r="L183" i="18"/>
  <c r="A184" i="18"/>
  <c r="O183" i="18"/>
  <c r="AK183" i="18"/>
  <c r="AC183" i="18"/>
  <c r="AF37" i="7"/>
  <c r="AA184" i="1"/>
  <c r="Z184" i="1" s="1"/>
  <c r="Y184" i="1" s="1"/>
  <c r="K182" i="20"/>
  <c r="A183" i="20"/>
  <c r="L182" i="20"/>
  <c r="X182" i="20"/>
  <c r="AB182" i="20"/>
  <c r="AJ182" i="20"/>
  <c r="AK182" i="20"/>
  <c r="O182" i="20"/>
  <c r="AC182" i="20"/>
  <c r="AB184" i="17"/>
  <c r="L184" i="17"/>
  <c r="X184" i="17"/>
  <c r="A185" i="17"/>
  <c r="K184" i="17"/>
  <c r="AJ184" i="17"/>
  <c r="O184" i="17"/>
  <c r="AK184" i="17"/>
  <c r="AC184" i="17"/>
  <c r="T185" i="1"/>
  <c r="S185" i="1" s="1"/>
  <c r="R185" i="1" s="1"/>
  <c r="P185" i="1" s="1"/>
  <c r="V185" i="1" s="1"/>
  <c r="A187" i="1"/>
  <c r="O186" i="1"/>
  <c r="Q186" i="1"/>
  <c r="L186" i="1"/>
  <c r="AB186" i="1"/>
  <c r="X186" i="1"/>
  <c r="AJ186" i="1"/>
  <c r="K186" i="1"/>
  <c r="AK186" i="1"/>
  <c r="AC186" i="1"/>
  <c r="U186" i="1"/>
  <c r="D185" i="1"/>
  <c r="E185" i="1" s="1"/>
  <c r="X179" i="24"/>
  <c r="AB179" i="24"/>
  <c r="K179" i="24"/>
  <c r="L179" i="24"/>
  <c r="A180" i="24"/>
  <c r="AJ179" i="24"/>
  <c r="AK179" i="24"/>
  <c r="O179" i="24"/>
  <c r="AC179" i="24"/>
  <c r="K181" i="22"/>
  <c r="L181" i="22"/>
  <c r="AB181" i="22"/>
  <c r="X181" i="22"/>
  <c r="A182" i="22"/>
  <c r="AJ181" i="22"/>
  <c r="AK181" i="22"/>
  <c r="O181" i="22"/>
  <c r="AC181" i="22"/>
  <c r="AB186" i="15" l="1"/>
  <c r="AJ186" i="15"/>
  <c r="X186" i="15"/>
  <c r="AK186" i="15"/>
  <c r="L186" i="15"/>
  <c r="D186" i="15" s="1"/>
  <c r="K186" i="15"/>
  <c r="O186" i="15"/>
  <c r="E186" i="15" s="1"/>
  <c r="A187" i="15"/>
  <c r="AC186" i="15"/>
  <c r="E185" i="15"/>
  <c r="G184" i="1"/>
  <c r="BW184" i="6" s="1"/>
  <c r="E184" i="16"/>
  <c r="K185" i="16"/>
  <c r="A186" i="16"/>
  <c r="L185" i="16"/>
  <c r="D185" i="16" s="1"/>
  <c r="AK185" i="16"/>
  <c r="O185" i="16"/>
  <c r="X185" i="16"/>
  <c r="AB185" i="16"/>
  <c r="AJ185" i="16"/>
  <c r="AC185" i="16"/>
  <c r="K182" i="22"/>
  <c r="X182" i="22"/>
  <c r="A183" i="22"/>
  <c r="L182" i="22"/>
  <c r="AB182" i="22"/>
  <c r="AJ182" i="22"/>
  <c r="AK182" i="22"/>
  <c r="O182" i="22"/>
  <c r="AC182" i="22"/>
  <c r="T186" i="1"/>
  <c r="AK187" i="1"/>
  <c r="X187" i="1"/>
  <c r="A188" i="1"/>
  <c r="AJ187" i="1"/>
  <c r="O187" i="1"/>
  <c r="AB187" i="1"/>
  <c r="K187" i="1"/>
  <c r="Q187" i="1"/>
  <c r="L187" i="1"/>
  <c r="AC187" i="1"/>
  <c r="U187" i="1"/>
  <c r="T187" i="1" s="1"/>
  <c r="X183" i="20"/>
  <c r="AB183" i="20"/>
  <c r="A184" i="20"/>
  <c r="K183" i="20"/>
  <c r="L183" i="20"/>
  <c r="AJ183" i="20"/>
  <c r="AK183" i="20"/>
  <c r="O183" i="20"/>
  <c r="AC183" i="20"/>
  <c r="K184" i="18"/>
  <c r="AB184" i="18"/>
  <c r="AJ184" i="18"/>
  <c r="A185" i="18"/>
  <c r="L184" i="18"/>
  <c r="X184" i="18"/>
  <c r="O184" i="18"/>
  <c r="AK184" i="18"/>
  <c r="AC184" i="18"/>
  <c r="A180" i="25"/>
  <c r="X179" i="25"/>
  <c r="K179" i="25"/>
  <c r="AB179" i="25"/>
  <c r="L179" i="25"/>
  <c r="AJ179" i="25"/>
  <c r="O179" i="25"/>
  <c r="AK179" i="25"/>
  <c r="AC179" i="25"/>
  <c r="A182" i="23"/>
  <c r="K181" i="23"/>
  <c r="AB181" i="23"/>
  <c r="L181" i="23"/>
  <c r="X181" i="23"/>
  <c r="AK181" i="23"/>
  <c r="AJ181" i="23"/>
  <c r="O181" i="23"/>
  <c r="AC181" i="23"/>
  <c r="K180" i="24"/>
  <c r="A181" i="24"/>
  <c r="AE61" i="7"/>
  <c r="AB180" i="24"/>
  <c r="L180" i="24"/>
  <c r="X180" i="24"/>
  <c r="AJ180" i="24"/>
  <c r="AK180" i="24"/>
  <c r="O180" i="24"/>
  <c r="AG61" i="7" s="1"/>
  <c r="AC180" i="24"/>
  <c r="F185" i="1"/>
  <c r="D186" i="1"/>
  <c r="E186" i="1" s="1"/>
  <c r="AB185" i="17"/>
  <c r="X185" i="17"/>
  <c r="L185" i="17"/>
  <c r="A186" i="17"/>
  <c r="K185" i="17"/>
  <c r="AJ185" i="17"/>
  <c r="O185" i="17"/>
  <c r="AK185" i="17"/>
  <c r="AC185" i="17"/>
  <c r="AF49" i="7"/>
  <c r="X187" i="15" l="1"/>
  <c r="AK187" i="15"/>
  <c r="L187" i="15"/>
  <c r="D187" i="15" s="1"/>
  <c r="AJ187" i="15"/>
  <c r="A188" i="15"/>
  <c r="K187" i="15"/>
  <c r="O187" i="15"/>
  <c r="AB187" i="15"/>
  <c r="AC187" i="15"/>
  <c r="A187" i="16"/>
  <c r="AB186" i="16"/>
  <c r="AJ186" i="16"/>
  <c r="AC186" i="16"/>
  <c r="X186" i="16"/>
  <c r="L186" i="16"/>
  <c r="D186" i="16" s="1"/>
  <c r="K186" i="16"/>
  <c r="AK186" i="16"/>
  <c r="O186" i="16"/>
  <c r="E185" i="16"/>
  <c r="G185" i="1"/>
  <c r="BW185" i="6" s="1"/>
  <c r="AA185" i="1"/>
  <c r="Z185" i="1" s="1"/>
  <c r="Y185" i="1" s="1"/>
  <c r="I185" i="1"/>
  <c r="AF61" i="7"/>
  <c r="AB180" i="25"/>
  <c r="L180" i="25"/>
  <c r="AE73" i="7"/>
  <c r="X180" i="25"/>
  <c r="K180" i="25"/>
  <c r="A181" i="25"/>
  <c r="AK180" i="25"/>
  <c r="AJ180" i="25"/>
  <c r="O180" i="25"/>
  <c r="AG73" i="7" s="1"/>
  <c r="AC180" i="25"/>
  <c r="S187" i="1"/>
  <c r="R187" i="1" s="1"/>
  <c r="P187" i="1" s="1"/>
  <c r="V187" i="1" s="1"/>
  <c r="D187" i="1"/>
  <c r="E187" i="1" s="1"/>
  <c r="AJ188" i="1"/>
  <c r="Q188" i="1"/>
  <c r="AK188" i="1"/>
  <c r="A189" i="1"/>
  <c r="X188" i="1"/>
  <c r="O188" i="1"/>
  <c r="AB188" i="1"/>
  <c r="AC188" i="1"/>
  <c r="K188" i="1"/>
  <c r="L188" i="1"/>
  <c r="U188" i="1"/>
  <c r="T188" i="1" s="1"/>
  <c r="S186" i="1"/>
  <c r="R186" i="1" s="1"/>
  <c r="P186" i="1" s="1"/>
  <c r="A187" i="17"/>
  <c r="K186" i="17"/>
  <c r="AB186" i="17"/>
  <c r="X186" i="17"/>
  <c r="L186" i="17"/>
  <c r="O186" i="17"/>
  <c r="AK186" i="17"/>
  <c r="AJ186" i="17"/>
  <c r="AC186" i="17"/>
  <c r="K181" i="24"/>
  <c r="X181" i="24"/>
  <c r="A182" i="24"/>
  <c r="L181" i="24"/>
  <c r="AB181" i="24"/>
  <c r="AK181" i="24"/>
  <c r="AJ181" i="24"/>
  <c r="O181" i="24"/>
  <c r="AC181" i="24"/>
  <c r="AB182" i="23"/>
  <c r="K182" i="23"/>
  <c r="X182" i="23"/>
  <c r="L182" i="23"/>
  <c r="A183" i="23"/>
  <c r="AJ182" i="23"/>
  <c r="AK182" i="23"/>
  <c r="O182" i="23"/>
  <c r="AC182" i="23"/>
  <c r="K185" i="18"/>
  <c r="AJ185" i="18"/>
  <c r="AB185" i="18"/>
  <c r="X185" i="18"/>
  <c r="A186" i="18"/>
  <c r="L185" i="18"/>
  <c r="O185" i="18"/>
  <c r="AK185" i="18"/>
  <c r="AC185" i="18"/>
  <c r="A185" i="20"/>
  <c r="AB184" i="20"/>
  <c r="L184" i="20"/>
  <c r="X184" i="20"/>
  <c r="K184" i="20"/>
  <c r="AK184" i="20"/>
  <c r="AJ184" i="20"/>
  <c r="O184" i="20"/>
  <c r="AC184" i="20"/>
  <c r="X183" i="22"/>
  <c r="L183" i="22"/>
  <c r="K183" i="22"/>
  <c r="A184" i="22"/>
  <c r="AB183" i="22"/>
  <c r="AJ183" i="22"/>
  <c r="AK183" i="22"/>
  <c r="O183" i="22"/>
  <c r="AC183" i="22"/>
  <c r="E186" i="16" l="1"/>
  <c r="L188" i="15"/>
  <c r="D188" i="15" s="1"/>
  <c r="AJ188" i="15"/>
  <c r="X188" i="15"/>
  <c r="AK188" i="15"/>
  <c r="A189" i="15"/>
  <c r="K188" i="15"/>
  <c r="O188" i="15"/>
  <c r="E188" i="15" s="1"/>
  <c r="AB188" i="15"/>
  <c r="AC188" i="15"/>
  <c r="E187" i="15"/>
  <c r="F187" i="1"/>
  <c r="AA187" i="1" s="1"/>
  <c r="Z187" i="1" s="1"/>
  <c r="Y187" i="1" s="1"/>
  <c r="A188" i="16"/>
  <c r="AB187" i="16"/>
  <c r="K187" i="16"/>
  <c r="AK187" i="16"/>
  <c r="O187" i="16"/>
  <c r="L187" i="16"/>
  <c r="D187" i="16" s="1"/>
  <c r="X187" i="16"/>
  <c r="AJ187" i="16"/>
  <c r="AC187" i="16"/>
  <c r="V186" i="1"/>
  <c r="F186" i="1" s="1"/>
  <c r="AB186" i="18"/>
  <c r="AJ186" i="18"/>
  <c r="A187" i="18"/>
  <c r="K186" i="18"/>
  <c r="X186" i="18"/>
  <c r="L186" i="18"/>
  <c r="O186" i="18"/>
  <c r="AK186" i="18"/>
  <c r="AC186" i="18"/>
  <c r="AB183" i="23"/>
  <c r="A184" i="23"/>
  <c r="L183" i="23"/>
  <c r="K183" i="23"/>
  <c r="X183" i="23"/>
  <c r="AJ183" i="23"/>
  <c r="AK183" i="23"/>
  <c r="O183" i="23"/>
  <c r="AC183" i="23"/>
  <c r="D188" i="1"/>
  <c r="E188" i="1" s="1"/>
  <c r="AJ189" i="1"/>
  <c r="A190" i="1"/>
  <c r="AK189" i="1"/>
  <c r="Q189" i="1"/>
  <c r="K189" i="1"/>
  <c r="X189" i="1"/>
  <c r="AC189" i="1"/>
  <c r="AB189" i="1"/>
  <c r="L189" i="1"/>
  <c r="O189" i="1"/>
  <c r="U189" i="1"/>
  <c r="T189" i="1" s="1"/>
  <c r="A185" i="22"/>
  <c r="X184" i="22"/>
  <c r="K184" i="22"/>
  <c r="AB184" i="22"/>
  <c r="L184" i="22"/>
  <c r="AK184" i="22"/>
  <c r="AJ184" i="22"/>
  <c r="O184" i="22"/>
  <c r="AC184" i="22"/>
  <c r="K185" i="20"/>
  <c r="X185" i="20"/>
  <c r="A186" i="20"/>
  <c r="L185" i="20"/>
  <c r="AB185" i="20"/>
  <c r="AJ185" i="20"/>
  <c r="AK185" i="20"/>
  <c r="O185" i="20"/>
  <c r="AC185" i="20"/>
  <c r="X182" i="24"/>
  <c r="A183" i="24"/>
  <c r="L182" i="24"/>
  <c r="AB182" i="24"/>
  <c r="K182" i="24"/>
  <c r="AK182" i="24"/>
  <c r="AJ182" i="24"/>
  <c r="O182" i="24"/>
  <c r="AC182" i="24"/>
  <c r="AB187" i="17"/>
  <c r="A188" i="17"/>
  <c r="X187" i="17"/>
  <c r="K187" i="17"/>
  <c r="L187" i="17"/>
  <c r="AJ187" i="17"/>
  <c r="O187" i="17"/>
  <c r="AK187" i="17"/>
  <c r="AC187" i="17"/>
  <c r="S188" i="1"/>
  <c r="R188" i="1" s="1"/>
  <c r="P188" i="1" s="1"/>
  <c r="V188" i="1" s="1"/>
  <c r="A182" i="25"/>
  <c r="L181" i="25"/>
  <c r="K181" i="25"/>
  <c r="X181" i="25"/>
  <c r="AB181" i="25"/>
  <c r="AK181" i="25"/>
  <c r="AJ181" i="25"/>
  <c r="O181" i="25"/>
  <c r="AC181" i="25"/>
  <c r="AF73" i="7"/>
  <c r="I187" i="1" l="1"/>
  <c r="G187" i="1"/>
  <c r="BW187" i="6" s="1"/>
  <c r="AB189" i="15"/>
  <c r="AK189" i="15"/>
  <c r="L189" i="15"/>
  <c r="D189" i="15" s="1"/>
  <c r="AJ189" i="15"/>
  <c r="X189" i="15"/>
  <c r="K189" i="15"/>
  <c r="AC189" i="15"/>
  <c r="A190" i="15"/>
  <c r="O189" i="15"/>
  <c r="E189" i="15" s="1"/>
  <c r="E187" i="16"/>
  <c r="L188" i="16"/>
  <c r="D188" i="16" s="1"/>
  <c r="K188" i="16"/>
  <c r="A189" i="16"/>
  <c r="AK188" i="16"/>
  <c r="O188" i="16"/>
  <c r="X188" i="16"/>
  <c r="AB188" i="16"/>
  <c r="AJ188" i="16"/>
  <c r="AC188" i="16"/>
  <c r="K183" i="24"/>
  <c r="L183" i="24"/>
  <c r="A184" i="24"/>
  <c r="AB183" i="24"/>
  <c r="X183" i="24"/>
  <c r="AJ183" i="24"/>
  <c r="AK183" i="24"/>
  <c r="O183" i="24"/>
  <c r="AC183" i="24"/>
  <c r="A187" i="20"/>
  <c r="K186" i="20"/>
  <c r="AB186" i="20"/>
  <c r="X186" i="20"/>
  <c r="L186" i="20"/>
  <c r="AJ186" i="20"/>
  <c r="AK186" i="20"/>
  <c r="O186" i="20"/>
  <c r="AC186" i="20"/>
  <c r="AB190" i="1"/>
  <c r="X190" i="1"/>
  <c r="K190" i="1"/>
  <c r="A191" i="1"/>
  <c r="AK190" i="1"/>
  <c r="O190" i="1"/>
  <c r="AC190" i="1"/>
  <c r="Q190" i="1"/>
  <c r="AJ190" i="1"/>
  <c r="L190" i="1"/>
  <c r="U190" i="1"/>
  <c r="T190" i="1" s="1"/>
  <c r="F188" i="1"/>
  <c r="I186" i="1"/>
  <c r="G186" i="1"/>
  <c r="BW186" i="6" s="1"/>
  <c r="AA186" i="1"/>
  <c r="Z186" i="1" s="1"/>
  <c r="Y186" i="1" s="1"/>
  <c r="AB182" i="25"/>
  <c r="X182" i="25"/>
  <c r="L182" i="25"/>
  <c r="K182" i="25"/>
  <c r="A183" i="25"/>
  <c r="AJ182" i="25"/>
  <c r="AK182" i="25"/>
  <c r="O182" i="25"/>
  <c r="AC182" i="25"/>
  <c r="X188" i="17"/>
  <c r="L188" i="17"/>
  <c r="A189" i="17"/>
  <c r="K188" i="17"/>
  <c r="AB188" i="17"/>
  <c r="AK188" i="17"/>
  <c r="AJ188" i="17"/>
  <c r="O188" i="17"/>
  <c r="AC188" i="17"/>
  <c r="A186" i="22"/>
  <c r="L185" i="22"/>
  <c r="X185" i="22"/>
  <c r="K185" i="22"/>
  <c r="AB185" i="22"/>
  <c r="AK185" i="22"/>
  <c r="AJ185" i="22"/>
  <c r="O185" i="22"/>
  <c r="AC185" i="22"/>
  <c r="S189" i="1"/>
  <c r="R189" i="1" s="1"/>
  <c r="P189" i="1" s="1"/>
  <c r="V189" i="1" s="1"/>
  <c r="D189" i="1"/>
  <c r="E189" i="1" s="1"/>
  <c r="K184" i="23"/>
  <c r="AB184" i="23"/>
  <c r="A185" i="23"/>
  <c r="L184" i="23"/>
  <c r="X184" i="23"/>
  <c r="AJ184" i="23"/>
  <c r="AK184" i="23"/>
  <c r="O184" i="23"/>
  <c r="AC184" i="23"/>
  <c r="A188" i="18"/>
  <c r="AB187" i="18"/>
  <c r="AJ187" i="18"/>
  <c r="X187" i="18"/>
  <c r="L187" i="18"/>
  <c r="K187" i="18"/>
  <c r="AK187" i="18"/>
  <c r="O187" i="18"/>
  <c r="AC187" i="18"/>
  <c r="X190" i="15" l="1"/>
  <c r="L190" i="15"/>
  <c r="D190" i="15" s="1"/>
  <c r="AC190" i="15"/>
  <c r="A191" i="15"/>
  <c r="O190" i="15"/>
  <c r="AB190" i="15"/>
  <c r="AK190" i="15"/>
  <c r="K190" i="15"/>
  <c r="AJ190" i="15"/>
  <c r="F189" i="1"/>
  <c r="G189" i="1" s="1"/>
  <c r="BW189" i="6" s="1"/>
  <c r="A190" i="16"/>
  <c r="L189" i="16"/>
  <c r="D189" i="16" s="1"/>
  <c r="K189" i="16"/>
  <c r="AK189" i="16"/>
  <c r="O189" i="16"/>
  <c r="AB189" i="16"/>
  <c r="X189" i="16"/>
  <c r="AJ189" i="16"/>
  <c r="AC189" i="16"/>
  <c r="E188" i="16"/>
  <c r="A186" i="23"/>
  <c r="L185" i="23"/>
  <c r="AB185" i="23"/>
  <c r="K185" i="23"/>
  <c r="X185" i="23"/>
  <c r="AJ185" i="23"/>
  <c r="AK185" i="23"/>
  <c r="O185" i="23"/>
  <c r="AC185" i="23"/>
  <c r="A190" i="17"/>
  <c r="L189" i="17"/>
  <c r="K189" i="17"/>
  <c r="AB189" i="17"/>
  <c r="X189" i="17"/>
  <c r="AK189" i="17"/>
  <c r="AJ189" i="17"/>
  <c r="O189" i="17"/>
  <c r="AC189" i="17"/>
  <c r="G188" i="1"/>
  <c r="BW188" i="6" s="1"/>
  <c r="I188" i="1"/>
  <c r="AA188" i="1"/>
  <c r="Z188" i="1" s="1"/>
  <c r="Y188" i="1" s="1"/>
  <c r="D190" i="1"/>
  <c r="E190" i="1" s="1"/>
  <c r="K191" i="1"/>
  <c r="AJ191" i="1"/>
  <c r="AB191" i="1"/>
  <c r="AK191" i="1"/>
  <c r="Q191" i="1"/>
  <c r="A192" i="1"/>
  <c r="L191" i="1"/>
  <c r="AC191" i="1"/>
  <c r="O191" i="1"/>
  <c r="X191" i="1"/>
  <c r="U191" i="1"/>
  <c r="T191" i="1" s="1"/>
  <c r="A188" i="20"/>
  <c r="L187" i="20"/>
  <c r="K187" i="20"/>
  <c r="AB187" i="20"/>
  <c r="X187" i="20"/>
  <c r="AJ187" i="20"/>
  <c r="AK187" i="20"/>
  <c r="O187" i="20"/>
  <c r="AC187" i="20"/>
  <c r="AB188" i="18"/>
  <c r="K188" i="18"/>
  <c r="AJ188" i="18"/>
  <c r="X188" i="18"/>
  <c r="L188" i="18"/>
  <c r="A189" i="18"/>
  <c r="O188" i="18"/>
  <c r="AK188" i="18"/>
  <c r="AC188" i="18"/>
  <c r="X186" i="22"/>
  <c r="K186" i="22"/>
  <c r="A187" i="22"/>
  <c r="L186" i="22"/>
  <c r="AB186" i="22"/>
  <c r="AK186" i="22"/>
  <c r="AJ186" i="22"/>
  <c r="O186" i="22"/>
  <c r="AC186" i="22"/>
  <c r="X183" i="25"/>
  <c r="L183" i="25"/>
  <c r="AB183" i="25"/>
  <c r="A184" i="25"/>
  <c r="K183" i="25"/>
  <c r="AJ183" i="25"/>
  <c r="O183" i="25"/>
  <c r="AK183" i="25"/>
  <c r="AC183" i="25"/>
  <c r="S190" i="1"/>
  <c r="R190" i="1" s="1"/>
  <c r="P190" i="1" s="1"/>
  <c r="V190" i="1" s="1"/>
  <c r="F190" i="1" s="1"/>
  <c r="X184" i="24"/>
  <c r="K184" i="24"/>
  <c r="A185" i="24"/>
  <c r="AB184" i="24"/>
  <c r="L184" i="24"/>
  <c r="AK184" i="24"/>
  <c r="AJ184" i="24"/>
  <c r="O184" i="24"/>
  <c r="AC184" i="24"/>
  <c r="AA189" i="1" l="1"/>
  <c r="Z189" i="1" s="1"/>
  <c r="Y189" i="1" s="1"/>
  <c r="E189" i="16"/>
  <c r="A192" i="15"/>
  <c r="O191" i="15"/>
  <c r="X191" i="15"/>
  <c r="AJ191" i="15"/>
  <c r="K191" i="15"/>
  <c r="AK191" i="15"/>
  <c r="L191" i="15"/>
  <c r="D191" i="15" s="1"/>
  <c r="AB191" i="15"/>
  <c r="AC191" i="15"/>
  <c r="I189" i="1"/>
  <c r="E190" i="15"/>
  <c r="A191" i="16"/>
  <c r="L190" i="16"/>
  <c r="D190" i="16" s="1"/>
  <c r="AK190" i="16"/>
  <c r="AC190" i="16"/>
  <c r="K190" i="16"/>
  <c r="X190" i="16"/>
  <c r="AB190" i="16"/>
  <c r="AJ190" i="16"/>
  <c r="O190" i="16"/>
  <c r="G190" i="1"/>
  <c r="BW190" i="6" s="1"/>
  <c r="I190" i="1"/>
  <c r="AA190" i="1"/>
  <c r="Z190" i="1" s="1"/>
  <c r="Y190" i="1" s="1"/>
  <c r="A186" i="24"/>
  <c r="L185" i="24"/>
  <c r="K185" i="24"/>
  <c r="X185" i="24"/>
  <c r="AB185" i="24"/>
  <c r="AJ185" i="24"/>
  <c r="AK185" i="24"/>
  <c r="O185" i="24"/>
  <c r="AC185" i="24"/>
  <c r="AB184" i="25"/>
  <c r="A185" i="25"/>
  <c r="K184" i="25"/>
  <c r="X184" i="25"/>
  <c r="L184" i="25"/>
  <c r="AJ184" i="25"/>
  <c r="O184" i="25"/>
  <c r="AK184" i="25"/>
  <c r="AC184" i="25"/>
  <c r="K187" i="22"/>
  <c r="X187" i="22"/>
  <c r="AB187" i="22"/>
  <c r="L187" i="22"/>
  <c r="A188" i="22"/>
  <c r="AJ187" i="22"/>
  <c r="AK187" i="22"/>
  <c r="O187" i="22"/>
  <c r="AC187" i="22"/>
  <c r="A190" i="18"/>
  <c r="AB189" i="18"/>
  <c r="L189" i="18"/>
  <c r="K189" i="18"/>
  <c r="AJ189" i="18"/>
  <c r="X189" i="18"/>
  <c r="AK189" i="18"/>
  <c r="O189" i="18"/>
  <c r="AC189" i="18"/>
  <c r="AJ192" i="1"/>
  <c r="AB192" i="1"/>
  <c r="A193" i="1"/>
  <c r="O192" i="1"/>
  <c r="AK192" i="1"/>
  <c r="X192" i="1"/>
  <c r="Q192" i="1"/>
  <c r="L192" i="1"/>
  <c r="AC192" i="1"/>
  <c r="K192" i="1"/>
  <c r="U192" i="1"/>
  <c r="T192" i="1" s="1"/>
  <c r="S192" i="1" s="1"/>
  <c r="R192" i="1" s="1"/>
  <c r="P192" i="1" s="1"/>
  <c r="A187" i="23"/>
  <c r="K186" i="23"/>
  <c r="AB186" i="23"/>
  <c r="X186" i="23"/>
  <c r="L186" i="23"/>
  <c r="AJ186" i="23"/>
  <c r="AK186" i="23"/>
  <c r="O186" i="23"/>
  <c r="AC186" i="23"/>
  <c r="AB188" i="20"/>
  <c r="K188" i="20"/>
  <c r="X188" i="20"/>
  <c r="L188" i="20"/>
  <c r="A189" i="20"/>
  <c r="AJ188" i="20"/>
  <c r="AK188" i="20"/>
  <c r="O188" i="20"/>
  <c r="AC188" i="20"/>
  <c r="S191" i="1"/>
  <c r="R191" i="1" s="1"/>
  <c r="P191" i="1" s="1"/>
  <c r="V191" i="1" s="1"/>
  <c r="D191" i="1"/>
  <c r="E191" i="1" s="1"/>
  <c r="A191" i="17"/>
  <c r="K190" i="17"/>
  <c r="X190" i="17"/>
  <c r="L190" i="17"/>
  <c r="AB190" i="17"/>
  <c r="AJ190" i="17"/>
  <c r="O190" i="17"/>
  <c r="AK190" i="17"/>
  <c r="AC190" i="17"/>
  <c r="E191" i="15" l="1"/>
  <c r="K192" i="15"/>
  <c r="AJ192" i="15"/>
  <c r="X192" i="15"/>
  <c r="AK192" i="15"/>
  <c r="L192" i="15"/>
  <c r="D192" i="15" s="1"/>
  <c r="A193" i="15"/>
  <c r="AC192" i="15"/>
  <c r="AB192" i="15"/>
  <c r="O192" i="15"/>
  <c r="E192" i="15" s="1"/>
  <c r="E190" i="16"/>
  <c r="A192" i="16"/>
  <c r="L191" i="16"/>
  <c r="D191" i="16" s="1"/>
  <c r="K191" i="16"/>
  <c r="AK191" i="16"/>
  <c r="O191" i="16"/>
  <c r="X191" i="16"/>
  <c r="AJ191" i="16"/>
  <c r="AB191" i="16"/>
  <c r="AC191" i="16"/>
  <c r="X191" i="17"/>
  <c r="L191" i="17"/>
  <c r="K191" i="17"/>
  <c r="AB191" i="17"/>
  <c r="A192" i="17"/>
  <c r="AJ191" i="17"/>
  <c r="O191" i="17"/>
  <c r="AK191" i="17"/>
  <c r="AC191" i="17"/>
  <c r="A190" i="20"/>
  <c r="L189" i="20"/>
  <c r="X189" i="20"/>
  <c r="K189" i="20"/>
  <c r="AB189" i="20"/>
  <c r="AJ189" i="20"/>
  <c r="AK189" i="20"/>
  <c r="O189" i="20"/>
  <c r="AC189" i="20"/>
  <c r="K187" i="23"/>
  <c r="X187" i="23"/>
  <c r="A188" i="23"/>
  <c r="L187" i="23"/>
  <c r="AB187" i="23"/>
  <c r="AJ187" i="23"/>
  <c r="AK187" i="23"/>
  <c r="O187" i="23"/>
  <c r="AC187" i="23"/>
  <c r="D192" i="1"/>
  <c r="E192" i="1" s="1"/>
  <c r="V192" i="1"/>
  <c r="K190" i="18"/>
  <c r="AJ190" i="18"/>
  <c r="X190" i="18"/>
  <c r="A191" i="18"/>
  <c r="AB190" i="18"/>
  <c r="L190" i="18"/>
  <c r="O190" i="18"/>
  <c r="AK190" i="18"/>
  <c r="AC190" i="18"/>
  <c r="AB186" i="24"/>
  <c r="K186" i="24"/>
  <c r="A187" i="24"/>
  <c r="X186" i="24"/>
  <c r="L186" i="24"/>
  <c r="AJ186" i="24"/>
  <c r="AK186" i="24"/>
  <c r="O186" i="24"/>
  <c r="AC186" i="24"/>
  <c r="F191" i="1"/>
  <c r="AK193" i="1"/>
  <c r="X193" i="1"/>
  <c r="AB193" i="1"/>
  <c r="AJ193" i="1"/>
  <c r="AC193" i="1"/>
  <c r="L193" i="1"/>
  <c r="O193" i="1"/>
  <c r="A194" i="1"/>
  <c r="K193" i="1"/>
  <c r="Q193" i="1"/>
  <c r="U193" i="1"/>
  <c r="T193" i="1" s="1"/>
  <c r="K188" i="22"/>
  <c r="L188" i="22"/>
  <c r="X188" i="22"/>
  <c r="AB188" i="22"/>
  <c r="A189" i="22"/>
  <c r="AJ188" i="22"/>
  <c r="AK188" i="22"/>
  <c r="O188" i="22"/>
  <c r="AC188" i="22"/>
  <c r="K185" i="25"/>
  <c r="AB185" i="25"/>
  <c r="X185" i="25"/>
  <c r="L185" i="25"/>
  <c r="A186" i="25"/>
  <c r="AJ185" i="25"/>
  <c r="O185" i="25"/>
  <c r="AK185" i="25"/>
  <c r="AC185" i="25"/>
  <c r="X193" i="15" l="1"/>
  <c r="O193" i="15"/>
  <c r="K193" i="15"/>
  <c r="AJ193" i="15"/>
  <c r="L193" i="15"/>
  <c r="D193" i="15" s="1"/>
  <c r="AK193" i="15"/>
  <c r="AB193" i="15"/>
  <c r="A194" i="15"/>
  <c r="AC193" i="15"/>
  <c r="E191" i="16"/>
  <c r="X192" i="16"/>
  <c r="AB192" i="16"/>
  <c r="A193" i="16"/>
  <c r="AJ192" i="16"/>
  <c r="O192" i="16"/>
  <c r="K192" i="16"/>
  <c r="L192" i="16"/>
  <c r="D192" i="16" s="1"/>
  <c r="E192" i="16" s="1"/>
  <c r="AK192" i="16"/>
  <c r="AC192" i="16"/>
  <c r="AB189" i="22"/>
  <c r="A190" i="22"/>
  <c r="K189" i="22"/>
  <c r="L189" i="22"/>
  <c r="X189" i="22"/>
  <c r="AJ189" i="22"/>
  <c r="AK189" i="22"/>
  <c r="O189" i="22"/>
  <c r="AC189" i="22"/>
  <c r="O194" i="1"/>
  <c r="K194" i="1"/>
  <c r="AJ194" i="1"/>
  <c r="AB194" i="1"/>
  <c r="AK194" i="1"/>
  <c r="A195" i="1"/>
  <c r="Q194" i="1"/>
  <c r="AC194" i="1"/>
  <c r="X194" i="1"/>
  <c r="L194" i="1"/>
  <c r="U194" i="1"/>
  <c r="T194" i="1" s="1"/>
  <c r="D193" i="1"/>
  <c r="E193" i="1" s="1"/>
  <c r="G191" i="1"/>
  <c r="BW191" i="6" s="1"/>
  <c r="I191" i="1"/>
  <c r="AA191" i="1"/>
  <c r="Z191" i="1" s="1"/>
  <c r="Y191" i="1" s="1"/>
  <c r="X187" i="24"/>
  <c r="K187" i="24"/>
  <c r="A188" i="24"/>
  <c r="AB187" i="24"/>
  <c r="L187" i="24"/>
  <c r="AK187" i="24"/>
  <c r="AJ187" i="24"/>
  <c r="O187" i="24"/>
  <c r="AC187" i="24"/>
  <c r="K191" i="18"/>
  <c r="A192" i="18"/>
  <c r="L191" i="18"/>
  <c r="X191" i="18"/>
  <c r="AJ191" i="18"/>
  <c r="AB191" i="18"/>
  <c r="AK191" i="18"/>
  <c r="O191" i="18"/>
  <c r="AC191" i="18"/>
  <c r="A191" i="20"/>
  <c r="K190" i="20"/>
  <c r="L190" i="20"/>
  <c r="X190" i="20"/>
  <c r="AB190" i="20"/>
  <c r="AJ190" i="20"/>
  <c r="AK190" i="20"/>
  <c r="O190" i="20"/>
  <c r="AC190" i="20"/>
  <c r="X186" i="25"/>
  <c r="K186" i="25"/>
  <c r="A187" i="25"/>
  <c r="AB186" i="25"/>
  <c r="L186" i="25"/>
  <c r="AJ186" i="25"/>
  <c r="O186" i="25"/>
  <c r="AK186" i="25"/>
  <c r="AC186" i="25"/>
  <c r="S193" i="1"/>
  <c r="R193" i="1" s="1"/>
  <c r="P193" i="1" s="1"/>
  <c r="V193" i="1" s="1"/>
  <c r="F192" i="1"/>
  <c r="AB188" i="23"/>
  <c r="L188" i="23"/>
  <c r="X188" i="23"/>
  <c r="A189" i="23"/>
  <c r="K188" i="23"/>
  <c r="AJ188" i="23"/>
  <c r="AK188" i="23"/>
  <c r="O188" i="23"/>
  <c r="AC188" i="23"/>
  <c r="AB192" i="17"/>
  <c r="X192" i="17"/>
  <c r="A193" i="17"/>
  <c r="L192" i="17"/>
  <c r="K192" i="17"/>
  <c r="AJ192" i="17"/>
  <c r="O192" i="17"/>
  <c r="AK192" i="17"/>
  <c r="AC192" i="17"/>
  <c r="L194" i="15" l="1"/>
  <c r="D194" i="15" s="1"/>
  <c r="AK194" i="15"/>
  <c r="A195" i="15"/>
  <c r="X194" i="15"/>
  <c r="AC194" i="15"/>
  <c r="K194" i="15"/>
  <c r="O194" i="15"/>
  <c r="E194" i="15" s="1"/>
  <c r="AB194" i="15"/>
  <c r="AJ194" i="15"/>
  <c r="E193" i="15"/>
  <c r="X193" i="16"/>
  <c r="L193" i="16"/>
  <c r="D193" i="16" s="1"/>
  <c r="A194" i="16"/>
  <c r="AK193" i="16"/>
  <c r="O193" i="16"/>
  <c r="AB193" i="16"/>
  <c r="K193" i="16"/>
  <c r="AJ193" i="16"/>
  <c r="AC193" i="16"/>
  <c r="F193" i="1"/>
  <c r="AA193" i="1" s="1"/>
  <c r="Z193" i="1" s="1"/>
  <c r="Y193" i="1" s="1"/>
  <c r="AB193" i="17"/>
  <c r="L193" i="17"/>
  <c r="A194" i="17"/>
  <c r="X193" i="17"/>
  <c r="K193" i="17"/>
  <c r="AJ193" i="17"/>
  <c r="O193" i="17"/>
  <c r="AK193" i="17"/>
  <c r="AC193" i="17"/>
  <c r="X189" i="23"/>
  <c r="L189" i="23"/>
  <c r="AB189" i="23"/>
  <c r="A190" i="23"/>
  <c r="K189" i="23"/>
  <c r="AK189" i="23"/>
  <c r="AJ189" i="23"/>
  <c r="O189" i="23"/>
  <c r="AC189" i="23"/>
  <c r="G192" i="1"/>
  <c r="BW192" i="6" s="1"/>
  <c r="I192" i="1"/>
  <c r="AA192" i="1"/>
  <c r="Z192" i="1" s="1"/>
  <c r="Y192" i="1" s="1"/>
  <c r="A192" i="20"/>
  <c r="K191" i="20"/>
  <c r="X191" i="20"/>
  <c r="AB191" i="20"/>
  <c r="L191" i="20"/>
  <c r="AJ191" i="20"/>
  <c r="AK191" i="20"/>
  <c r="O191" i="20"/>
  <c r="AC191" i="20"/>
  <c r="AB192" i="18"/>
  <c r="AJ192" i="18"/>
  <c r="X192" i="18"/>
  <c r="K192" i="18"/>
  <c r="A193" i="18"/>
  <c r="L192" i="18"/>
  <c r="AK192" i="18"/>
  <c r="O192" i="18"/>
  <c r="AC192" i="18"/>
  <c r="AB188" i="24"/>
  <c r="X188" i="24"/>
  <c r="K188" i="24"/>
  <c r="L188" i="24"/>
  <c r="A189" i="24"/>
  <c r="AJ188" i="24"/>
  <c r="AK188" i="24"/>
  <c r="O188" i="24"/>
  <c r="AC188" i="24"/>
  <c r="S194" i="1"/>
  <c r="R194" i="1" s="1"/>
  <c r="P194" i="1" s="1"/>
  <c r="V194" i="1" s="1"/>
  <c r="K190" i="22"/>
  <c r="L190" i="22"/>
  <c r="X190" i="22"/>
  <c r="A191" i="22"/>
  <c r="AB190" i="22"/>
  <c r="AJ190" i="22"/>
  <c r="AK190" i="22"/>
  <c r="O190" i="22"/>
  <c r="AC190" i="22"/>
  <c r="K187" i="25"/>
  <c r="A188" i="25"/>
  <c r="L187" i="25"/>
  <c r="X187" i="25"/>
  <c r="AB187" i="25"/>
  <c r="AJ187" i="25"/>
  <c r="AK187" i="25"/>
  <c r="O187" i="25"/>
  <c r="AC187" i="25"/>
  <c r="D194" i="1"/>
  <c r="E194" i="1" s="1"/>
  <c r="AK195" i="1"/>
  <c r="L195" i="1"/>
  <c r="O195" i="1"/>
  <c r="AC195" i="1"/>
  <c r="A196" i="1"/>
  <c r="AJ195" i="1"/>
  <c r="AB195" i="1"/>
  <c r="Q195" i="1"/>
  <c r="X195" i="1"/>
  <c r="K195" i="1"/>
  <c r="U195" i="1"/>
  <c r="T195" i="1" s="1"/>
  <c r="S195" i="1" s="1"/>
  <c r="R195" i="1" s="1"/>
  <c r="P195" i="1" l="1"/>
  <c r="V195" i="1" s="1"/>
  <c r="G61" i="19" s="1"/>
  <c r="I193" i="1"/>
  <c r="A196" i="15"/>
  <c r="X195" i="15"/>
  <c r="AC195" i="15"/>
  <c r="L195" i="15"/>
  <c r="D195" i="15" s="1"/>
  <c r="O195" i="15"/>
  <c r="AB195" i="15"/>
  <c r="AJ195" i="15"/>
  <c r="K195" i="15"/>
  <c r="AK195" i="15"/>
  <c r="E193" i="16"/>
  <c r="G193" i="1"/>
  <c r="BW193" i="6" s="1"/>
  <c r="F194" i="1"/>
  <c r="AA194" i="1" s="1"/>
  <c r="Z194" i="1" s="1"/>
  <c r="Y194" i="1" s="1"/>
  <c r="X194" i="16"/>
  <c r="AB194" i="16"/>
  <c r="AK194" i="16"/>
  <c r="AC194" i="16"/>
  <c r="K194" i="16"/>
  <c r="L194" i="16"/>
  <c r="D194" i="16" s="1"/>
  <c r="A195" i="16"/>
  <c r="AJ194" i="16"/>
  <c r="O194" i="16"/>
  <c r="A197" i="1"/>
  <c r="AB196" i="1"/>
  <c r="Q196" i="1"/>
  <c r="AJ196" i="1"/>
  <c r="AC196" i="1"/>
  <c r="X196" i="1"/>
  <c r="K196" i="1"/>
  <c r="O196" i="1"/>
  <c r="AK196" i="1"/>
  <c r="L196" i="1"/>
  <c r="U196" i="1"/>
  <c r="T196" i="1" s="1"/>
  <c r="S196" i="1" s="1"/>
  <c r="R196" i="1" s="1"/>
  <c r="P196" i="1" s="1"/>
  <c r="AB188" i="25"/>
  <c r="A189" i="25"/>
  <c r="K188" i="25"/>
  <c r="X188" i="25"/>
  <c r="L188" i="25"/>
  <c r="AJ188" i="25"/>
  <c r="AK188" i="25"/>
  <c r="O188" i="25"/>
  <c r="AC188" i="25"/>
  <c r="AB189" i="24"/>
  <c r="L189" i="24"/>
  <c r="X189" i="24"/>
  <c r="A190" i="24"/>
  <c r="K189" i="24"/>
  <c r="AK189" i="24"/>
  <c r="O189" i="24"/>
  <c r="AJ189" i="24"/>
  <c r="AC189" i="24"/>
  <c r="X192" i="20"/>
  <c r="L192" i="20"/>
  <c r="AB192" i="20"/>
  <c r="K192" i="20"/>
  <c r="A193" i="20"/>
  <c r="AK192" i="20"/>
  <c r="AJ192" i="20"/>
  <c r="O192" i="20"/>
  <c r="AC192" i="20"/>
  <c r="D195" i="1"/>
  <c r="E195" i="1" s="1"/>
  <c r="A192" i="22"/>
  <c r="X191" i="22"/>
  <c r="K191" i="22"/>
  <c r="AB191" i="22"/>
  <c r="L191" i="22"/>
  <c r="AJ191" i="22"/>
  <c r="AK191" i="22"/>
  <c r="O191" i="22"/>
  <c r="AC191" i="22"/>
  <c r="K193" i="18"/>
  <c r="L193" i="18"/>
  <c r="X193" i="18"/>
  <c r="AB193" i="18"/>
  <c r="A194" i="18"/>
  <c r="AJ193" i="18"/>
  <c r="O193" i="18"/>
  <c r="AK193" i="18"/>
  <c r="AC193" i="18"/>
  <c r="A191" i="23"/>
  <c r="K190" i="23"/>
  <c r="AB190" i="23"/>
  <c r="X190" i="23"/>
  <c r="L190" i="23"/>
  <c r="AJ190" i="23"/>
  <c r="AK190" i="23"/>
  <c r="O190" i="23"/>
  <c r="AC190" i="23"/>
  <c r="K194" i="17"/>
  <c r="L194" i="17"/>
  <c r="X194" i="17"/>
  <c r="A195" i="17"/>
  <c r="AB194" i="17"/>
  <c r="AJ194" i="17"/>
  <c r="O194" i="17"/>
  <c r="AK194" i="17"/>
  <c r="AC194" i="17"/>
  <c r="E195" i="15" l="1"/>
  <c r="L196" i="15"/>
  <c r="D196" i="15" s="1"/>
  <c r="AJ196" i="15"/>
  <c r="K196" i="15"/>
  <c r="A197" i="15"/>
  <c r="AC196" i="15"/>
  <c r="AB196" i="15"/>
  <c r="O196" i="15"/>
  <c r="E196" i="15" s="1"/>
  <c r="X196" i="15"/>
  <c r="AK196" i="15"/>
  <c r="E194" i="16"/>
  <c r="G194" i="1"/>
  <c r="BW194" i="6" s="1"/>
  <c r="I194" i="1"/>
  <c r="K195" i="16"/>
  <c r="AB195" i="16"/>
  <c r="A196" i="16"/>
  <c r="AK195" i="16"/>
  <c r="O195" i="16"/>
  <c r="L195" i="16"/>
  <c r="D195" i="16" s="1"/>
  <c r="X195" i="16"/>
  <c r="AJ195" i="16"/>
  <c r="AC195" i="16"/>
  <c r="AB191" i="23"/>
  <c r="K191" i="23"/>
  <c r="L191" i="23"/>
  <c r="X191" i="23"/>
  <c r="A192" i="23"/>
  <c r="AJ191" i="23"/>
  <c r="AK191" i="23"/>
  <c r="O191" i="23"/>
  <c r="AC191" i="23"/>
  <c r="A193" i="22"/>
  <c r="AB192" i="22"/>
  <c r="L192" i="22"/>
  <c r="K192" i="22"/>
  <c r="X192" i="22"/>
  <c r="AK192" i="22"/>
  <c r="AJ192" i="22"/>
  <c r="O192" i="22"/>
  <c r="AC192" i="22"/>
  <c r="K189" i="25"/>
  <c r="A190" i="25"/>
  <c r="L189" i="25"/>
  <c r="X189" i="25"/>
  <c r="AB189" i="25"/>
  <c r="AK189" i="25"/>
  <c r="AJ189" i="25"/>
  <c r="O189" i="25"/>
  <c r="AC189" i="25"/>
  <c r="D196" i="1"/>
  <c r="E196" i="1" s="1"/>
  <c r="V196" i="1"/>
  <c r="A196" i="17"/>
  <c r="X195" i="17"/>
  <c r="L195" i="17"/>
  <c r="K195" i="17"/>
  <c r="AB195" i="17"/>
  <c r="AJ195" i="17"/>
  <c r="AK195" i="17"/>
  <c r="O195" i="17"/>
  <c r="AC195" i="17"/>
  <c r="A195" i="18"/>
  <c r="AJ194" i="18"/>
  <c r="AB194" i="18"/>
  <c r="K194" i="18"/>
  <c r="X194" i="18"/>
  <c r="L194" i="18"/>
  <c r="O194" i="18"/>
  <c r="AK194" i="18"/>
  <c r="AC194" i="18"/>
  <c r="F195" i="1"/>
  <c r="AB193" i="20"/>
  <c r="A194" i="20"/>
  <c r="K193" i="20"/>
  <c r="L193" i="20"/>
  <c r="X193" i="20"/>
  <c r="AJ193" i="20"/>
  <c r="AK193" i="20"/>
  <c r="O193" i="20"/>
  <c r="AC193" i="20"/>
  <c r="K190" i="24"/>
  <c r="A191" i="24"/>
  <c r="AB190" i="24"/>
  <c r="L190" i="24"/>
  <c r="X190" i="24"/>
  <c r="AJ190" i="24"/>
  <c r="AK190" i="24"/>
  <c r="O190" i="24"/>
  <c r="AC190" i="24"/>
  <c r="AK197" i="1"/>
  <c r="Q197" i="1"/>
  <c r="AC197" i="1"/>
  <c r="A198" i="1"/>
  <c r="AJ197" i="1"/>
  <c r="X197" i="1"/>
  <c r="O197" i="1"/>
  <c r="AB197" i="1"/>
  <c r="L197" i="1"/>
  <c r="K197" i="1"/>
  <c r="U197" i="1"/>
  <c r="T197" i="1" s="1"/>
  <c r="S197" i="1" s="1"/>
  <c r="R197" i="1" s="1"/>
  <c r="P197" i="1" l="1"/>
  <c r="V197" i="1" s="1"/>
  <c r="A198" i="15"/>
  <c r="AK197" i="15"/>
  <c r="K197" i="15"/>
  <c r="L197" i="15"/>
  <c r="D197" i="15" s="1"/>
  <c r="AC197" i="15"/>
  <c r="X197" i="15"/>
  <c r="O197" i="15"/>
  <c r="AB197" i="15"/>
  <c r="AJ197" i="15"/>
  <c r="E195" i="16"/>
  <c r="L196" i="16"/>
  <c r="D196" i="16" s="1"/>
  <c r="AB196" i="16"/>
  <c r="A197" i="16"/>
  <c r="AJ196" i="16"/>
  <c r="O196" i="16"/>
  <c r="K196" i="16"/>
  <c r="X196" i="16"/>
  <c r="AK196" i="16"/>
  <c r="AC196" i="16"/>
  <c r="D197" i="1"/>
  <c r="E197" i="1" s="1"/>
  <c r="AB194" i="20"/>
  <c r="L194" i="20"/>
  <c r="X194" i="20"/>
  <c r="K194" i="20"/>
  <c r="A195" i="20"/>
  <c r="AK194" i="20"/>
  <c r="AJ194" i="20"/>
  <c r="O194" i="20"/>
  <c r="AC194" i="20"/>
  <c r="AA195" i="1"/>
  <c r="Z195" i="1" s="1"/>
  <c r="Y195" i="1" s="1"/>
  <c r="I195" i="1"/>
  <c r="G195" i="1"/>
  <c r="BW195" i="6" s="1"/>
  <c r="K190" i="25"/>
  <c r="AB190" i="25"/>
  <c r="L190" i="25"/>
  <c r="A191" i="25"/>
  <c r="X190" i="25"/>
  <c r="AJ190" i="25"/>
  <c r="O190" i="25"/>
  <c r="AK190" i="25"/>
  <c r="AC190" i="25"/>
  <c r="X193" i="22"/>
  <c r="L193" i="22"/>
  <c r="K193" i="22"/>
  <c r="AB193" i="22"/>
  <c r="A194" i="22"/>
  <c r="AK193" i="22"/>
  <c r="AJ193" i="22"/>
  <c r="O193" i="22"/>
  <c r="AC193" i="22"/>
  <c r="AK198" i="1"/>
  <c r="A199" i="1"/>
  <c r="O198" i="1"/>
  <c r="X198" i="1"/>
  <c r="AB198" i="1"/>
  <c r="AC198" i="1"/>
  <c r="L198" i="1"/>
  <c r="K198" i="1"/>
  <c r="Q198" i="1"/>
  <c r="AJ198" i="1"/>
  <c r="U198" i="1"/>
  <c r="T198" i="1" s="1"/>
  <c r="X191" i="24"/>
  <c r="K191" i="24"/>
  <c r="A192" i="24"/>
  <c r="L191" i="24"/>
  <c r="AB191" i="24"/>
  <c r="AJ191" i="24"/>
  <c r="AK191" i="24"/>
  <c r="O191" i="24"/>
  <c r="AC191" i="24"/>
  <c r="X195" i="18"/>
  <c r="AJ195" i="18"/>
  <c r="AB195" i="18"/>
  <c r="A196" i="18"/>
  <c r="K195" i="18"/>
  <c r="L195" i="18"/>
  <c r="O195" i="18"/>
  <c r="AK195" i="18"/>
  <c r="AC195" i="18"/>
  <c r="K196" i="17"/>
  <c r="X196" i="17"/>
  <c r="A197" i="17"/>
  <c r="L196" i="17"/>
  <c r="AB196" i="17"/>
  <c r="O196" i="17"/>
  <c r="AJ196" i="17"/>
  <c r="AK196" i="17"/>
  <c r="AC196" i="17"/>
  <c r="F196" i="1"/>
  <c r="A193" i="23"/>
  <c r="L192" i="23"/>
  <c r="AB192" i="23"/>
  <c r="X192" i="23"/>
  <c r="K192" i="23"/>
  <c r="AJ192" i="23"/>
  <c r="AK192" i="23"/>
  <c r="O192" i="23"/>
  <c r="AC192" i="23"/>
  <c r="E197" i="15" l="1"/>
  <c r="AB198" i="15"/>
  <c r="K198" i="15"/>
  <c r="AC198" i="15"/>
  <c r="L198" i="15"/>
  <c r="D198" i="15" s="1"/>
  <c r="O198" i="15"/>
  <c r="X198" i="15"/>
  <c r="AK198" i="15"/>
  <c r="A199" i="15"/>
  <c r="AJ198" i="15"/>
  <c r="X197" i="16"/>
  <c r="L197" i="16"/>
  <c r="D197" i="16" s="1"/>
  <c r="AJ197" i="16"/>
  <c r="AC197" i="16"/>
  <c r="A198" i="16"/>
  <c r="K197" i="16"/>
  <c r="AB197" i="16"/>
  <c r="AK197" i="16"/>
  <c r="O197" i="16"/>
  <c r="E196" i="16"/>
  <c r="G196" i="1"/>
  <c r="BW196" i="6" s="1"/>
  <c r="AA196" i="1"/>
  <c r="Z196" i="1" s="1"/>
  <c r="Y196" i="1" s="1"/>
  <c r="I196" i="1"/>
  <c r="S198" i="1"/>
  <c r="R198" i="1" s="1"/>
  <c r="P198" i="1" s="1"/>
  <c r="V198" i="1" s="1"/>
  <c r="D198" i="1"/>
  <c r="E198" i="1" s="1"/>
  <c r="AB195" i="20"/>
  <c r="L195" i="20"/>
  <c r="K195" i="20"/>
  <c r="X195" i="20"/>
  <c r="A196" i="20"/>
  <c r="AJ195" i="20"/>
  <c r="AK195" i="20"/>
  <c r="O195" i="20"/>
  <c r="AC195" i="20"/>
  <c r="K193" i="23"/>
  <c r="A194" i="23"/>
  <c r="L193" i="23"/>
  <c r="AB193" i="23"/>
  <c r="X193" i="23"/>
  <c r="AJ193" i="23"/>
  <c r="AK193" i="23"/>
  <c r="O193" i="23"/>
  <c r="AC193" i="23"/>
  <c r="K197" i="17"/>
  <c r="L197" i="17"/>
  <c r="A198" i="17"/>
  <c r="AB197" i="17"/>
  <c r="X197" i="17"/>
  <c r="AJ197" i="17"/>
  <c r="O197" i="17"/>
  <c r="AK197" i="17"/>
  <c r="AC197" i="17"/>
  <c r="K196" i="18"/>
  <c r="L196" i="18"/>
  <c r="AB196" i="18"/>
  <c r="X196" i="18"/>
  <c r="A197" i="18"/>
  <c r="AJ196" i="18"/>
  <c r="O196" i="18"/>
  <c r="AK196" i="18"/>
  <c r="AC196" i="18"/>
  <c r="X192" i="24"/>
  <c r="K192" i="24"/>
  <c r="AB192" i="24"/>
  <c r="L192" i="24"/>
  <c r="A193" i="24"/>
  <c r="AJ192" i="24"/>
  <c r="AK192" i="24"/>
  <c r="O192" i="24"/>
  <c r="AC192" i="24"/>
  <c r="K199" i="1"/>
  <c r="AJ199" i="1"/>
  <c r="Q199" i="1"/>
  <c r="L199" i="1"/>
  <c r="AK199" i="1"/>
  <c r="AC199" i="1"/>
  <c r="X199" i="1"/>
  <c r="A200" i="1"/>
  <c r="O199" i="1"/>
  <c r="AB199" i="1"/>
  <c r="U199" i="1"/>
  <c r="T199" i="1" s="1"/>
  <c r="S199" i="1" s="1"/>
  <c r="R199" i="1" s="1"/>
  <c r="P199" i="1" s="1"/>
  <c r="A195" i="22"/>
  <c r="X194" i="22"/>
  <c r="AB194" i="22"/>
  <c r="L194" i="22"/>
  <c r="K194" i="22"/>
  <c r="AJ194" i="22"/>
  <c r="AK194" i="22"/>
  <c r="O194" i="22"/>
  <c r="AC194" i="22"/>
  <c r="K191" i="25"/>
  <c r="A192" i="25"/>
  <c r="AB191" i="25"/>
  <c r="L191" i="25"/>
  <c r="X191" i="25"/>
  <c r="AJ191" i="25"/>
  <c r="AK191" i="25"/>
  <c r="O191" i="25"/>
  <c r="AC191" i="25"/>
  <c r="F197" i="1"/>
  <c r="L199" i="15" l="1"/>
  <c r="D199" i="15" s="1"/>
  <c r="AK199" i="15"/>
  <c r="X199" i="15"/>
  <c r="AJ199" i="15"/>
  <c r="A200" i="15"/>
  <c r="AB199" i="15"/>
  <c r="AC199" i="15"/>
  <c r="K199" i="15"/>
  <c r="O199" i="15"/>
  <c r="E198" i="15"/>
  <c r="L198" i="16"/>
  <c r="D198" i="16" s="1"/>
  <c r="K198" i="16"/>
  <c r="AK198" i="16"/>
  <c r="AC198" i="16"/>
  <c r="AB198" i="16"/>
  <c r="A199" i="16"/>
  <c r="X198" i="16"/>
  <c r="AJ198" i="16"/>
  <c r="O198" i="16"/>
  <c r="E197" i="16"/>
  <c r="AB197" i="18"/>
  <c r="K197" i="18"/>
  <c r="AJ197" i="18"/>
  <c r="X197" i="18"/>
  <c r="L197" i="18"/>
  <c r="A198" i="18"/>
  <c r="O197" i="18"/>
  <c r="AK197" i="18"/>
  <c r="AC197" i="18"/>
  <c r="AA197" i="1"/>
  <c r="Z197" i="1" s="1"/>
  <c r="Y197" i="1" s="1"/>
  <c r="G197" i="1"/>
  <c r="BW197" i="6" s="1"/>
  <c r="I197" i="1"/>
  <c r="A193" i="25"/>
  <c r="AB192" i="25"/>
  <c r="L192" i="25"/>
  <c r="X192" i="25"/>
  <c r="K192" i="25"/>
  <c r="AJ192" i="25"/>
  <c r="O192" i="25"/>
  <c r="AK192" i="25"/>
  <c r="AC192" i="25"/>
  <c r="X195" i="22"/>
  <c r="L195" i="22"/>
  <c r="A196" i="22"/>
  <c r="AB195" i="22"/>
  <c r="K195" i="22"/>
  <c r="AJ195" i="22"/>
  <c r="AK195" i="22"/>
  <c r="O195" i="22"/>
  <c r="AC195" i="22"/>
  <c r="L200" i="1"/>
  <c r="AC200" i="1"/>
  <c r="O200" i="1"/>
  <c r="X200" i="1"/>
  <c r="Q200" i="1"/>
  <c r="AK200" i="1"/>
  <c r="AJ200" i="1"/>
  <c r="A201" i="1"/>
  <c r="K200" i="1"/>
  <c r="AB200" i="1"/>
  <c r="U200" i="1"/>
  <c r="T200" i="1" s="1"/>
  <c r="D199" i="1"/>
  <c r="E199" i="1" s="1"/>
  <c r="V199" i="1"/>
  <c r="AB193" i="24"/>
  <c r="X193" i="24"/>
  <c r="A194" i="24"/>
  <c r="K193" i="24"/>
  <c r="L193" i="24"/>
  <c r="AJ193" i="24"/>
  <c r="AK193" i="24"/>
  <c r="O193" i="24"/>
  <c r="AC193" i="24"/>
  <c r="A199" i="17"/>
  <c r="K198" i="17"/>
  <c r="L198" i="17"/>
  <c r="X198" i="17"/>
  <c r="AB198" i="17"/>
  <c r="AK198" i="17"/>
  <c r="AJ198" i="17"/>
  <c r="O198" i="17"/>
  <c r="AC198" i="17"/>
  <c r="AB194" i="23"/>
  <c r="L194" i="23"/>
  <c r="K194" i="23"/>
  <c r="A195" i="23"/>
  <c r="X194" i="23"/>
  <c r="AK194" i="23"/>
  <c r="AJ194" i="23"/>
  <c r="O194" i="23"/>
  <c r="AC194" i="23"/>
  <c r="A197" i="20"/>
  <c r="L196" i="20"/>
  <c r="AB196" i="20"/>
  <c r="K196" i="20"/>
  <c r="X196" i="20"/>
  <c r="AJ196" i="20"/>
  <c r="AK196" i="20"/>
  <c r="O196" i="20"/>
  <c r="AC196" i="20"/>
  <c r="F198" i="1"/>
  <c r="X200" i="15" l="1"/>
  <c r="AK200" i="15"/>
  <c r="A201" i="15"/>
  <c r="K200" i="15"/>
  <c r="AC200" i="15"/>
  <c r="AB200" i="15"/>
  <c r="O200" i="15"/>
  <c r="L200" i="15"/>
  <c r="D200" i="15" s="1"/>
  <c r="AJ200" i="15"/>
  <c r="E199" i="15"/>
  <c r="K199" i="16"/>
  <c r="X199" i="16"/>
  <c r="A200" i="16"/>
  <c r="AK199" i="16"/>
  <c r="O199" i="16"/>
  <c r="AB199" i="16"/>
  <c r="L199" i="16"/>
  <c r="D199" i="16" s="1"/>
  <c r="E199" i="16" s="1"/>
  <c r="AJ199" i="16"/>
  <c r="AC199" i="16"/>
  <c r="E198" i="16"/>
  <c r="A198" i="20"/>
  <c r="AB197" i="20"/>
  <c r="L197" i="20"/>
  <c r="K197" i="20"/>
  <c r="X197" i="20"/>
  <c r="AJ197" i="20"/>
  <c r="AK197" i="20"/>
  <c r="O197" i="20"/>
  <c r="AC197" i="20"/>
  <c r="X195" i="23"/>
  <c r="K195" i="23"/>
  <c r="A196" i="23"/>
  <c r="AB195" i="23"/>
  <c r="L195" i="23"/>
  <c r="AJ195" i="23"/>
  <c r="AK195" i="23"/>
  <c r="O195" i="23"/>
  <c r="AC195" i="23"/>
  <c r="AB199" i="17"/>
  <c r="L199" i="17"/>
  <c r="A200" i="17"/>
  <c r="K199" i="17"/>
  <c r="X199" i="17"/>
  <c r="AJ199" i="17"/>
  <c r="O199" i="17"/>
  <c r="AK199" i="17"/>
  <c r="AC199" i="17"/>
  <c r="K194" i="24"/>
  <c r="X194" i="24"/>
  <c r="AB194" i="24"/>
  <c r="L194" i="24"/>
  <c r="A195" i="24"/>
  <c r="AJ194" i="24"/>
  <c r="AK194" i="24"/>
  <c r="O194" i="24"/>
  <c r="AC194" i="24"/>
  <c r="L201" i="1"/>
  <c r="X201" i="1"/>
  <c r="AJ201" i="1"/>
  <c r="A202" i="1"/>
  <c r="Q201" i="1"/>
  <c r="K201" i="1"/>
  <c r="AK201" i="1"/>
  <c r="O201" i="1"/>
  <c r="AC201" i="1"/>
  <c r="AB201" i="1"/>
  <c r="U201" i="1"/>
  <c r="T201" i="1" s="1"/>
  <c r="AB196" i="22"/>
  <c r="X196" i="22"/>
  <c r="A197" i="22"/>
  <c r="K196" i="22"/>
  <c r="L196" i="22"/>
  <c r="AK196" i="22"/>
  <c r="AJ196" i="22"/>
  <c r="O196" i="22"/>
  <c r="AC196" i="22"/>
  <c r="AA198" i="1"/>
  <c r="Z198" i="1" s="1"/>
  <c r="Y198" i="1" s="1"/>
  <c r="I198" i="1"/>
  <c r="G198" i="1"/>
  <c r="BW198" i="6" s="1"/>
  <c r="F199" i="1"/>
  <c r="S200" i="1"/>
  <c r="R200" i="1" s="1"/>
  <c r="P200" i="1" s="1"/>
  <c r="V200" i="1" s="1"/>
  <c r="D200" i="1"/>
  <c r="E200" i="1" s="1"/>
  <c r="AB193" i="25"/>
  <c r="L193" i="25"/>
  <c r="A194" i="25"/>
  <c r="X193" i="25"/>
  <c r="K193" i="25"/>
  <c r="AJ193" i="25"/>
  <c r="O193" i="25"/>
  <c r="AK193" i="25"/>
  <c r="AC193" i="25"/>
  <c r="A199" i="18"/>
  <c r="AJ198" i="18"/>
  <c r="K198" i="18"/>
  <c r="AB198" i="18"/>
  <c r="X198" i="18"/>
  <c r="L198" i="18"/>
  <c r="O198" i="18"/>
  <c r="AK198" i="18"/>
  <c r="AC198" i="18"/>
  <c r="E200" i="15" l="1"/>
  <c r="A202" i="15"/>
  <c r="AB201" i="15"/>
  <c r="O201" i="15"/>
  <c r="L201" i="15"/>
  <c r="D201" i="15" s="1"/>
  <c r="AC201" i="15"/>
  <c r="X201" i="15"/>
  <c r="AJ201" i="15"/>
  <c r="K201" i="15"/>
  <c r="AK201" i="15"/>
  <c r="F200" i="1"/>
  <c r="G200" i="1" s="1"/>
  <c r="BW200" i="6" s="1"/>
  <c r="AB200" i="16"/>
  <c r="X200" i="16"/>
  <c r="A201" i="16"/>
  <c r="AK200" i="16"/>
  <c r="O200" i="16"/>
  <c r="K200" i="16"/>
  <c r="L200" i="16"/>
  <c r="D200" i="16" s="1"/>
  <c r="E200" i="16" s="1"/>
  <c r="AJ200" i="16"/>
  <c r="AC200" i="16"/>
  <c r="AA200" i="1"/>
  <c r="Z200" i="1" s="1"/>
  <c r="Y200" i="1" s="1"/>
  <c r="A195" i="25"/>
  <c r="AB194" i="25"/>
  <c r="X194" i="25"/>
  <c r="L194" i="25"/>
  <c r="K194" i="25"/>
  <c r="AJ194" i="25"/>
  <c r="O194" i="25"/>
  <c r="AK194" i="25"/>
  <c r="AC194" i="25"/>
  <c r="I199" i="1"/>
  <c r="AA199" i="1"/>
  <c r="Z199" i="1" s="1"/>
  <c r="Y199" i="1" s="1"/>
  <c r="G199" i="1"/>
  <c r="BW199" i="6" s="1"/>
  <c r="S201" i="1"/>
  <c r="R201" i="1" s="1"/>
  <c r="P201" i="1" s="1"/>
  <c r="V201" i="1" s="1"/>
  <c r="D201" i="1"/>
  <c r="E201" i="1" s="1"/>
  <c r="AB200" i="17"/>
  <c r="K200" i="17"/>
  <c r="A201" i="17"/>
  <c r="X200" i="17"/>
  <c r="L200" i="17"/>
  <c r="AK200" i="17"/>
  <c r="AJ200" i="17"/>
  <c r="O200" i="17"/>
  <c r="AC200" i="17"/>
  <c r="AB198" i="20"/>
  <c r="L198" i="20"/>
  <c r="K198" i="20"/>
  <c r="A199" i="20"/>
  <c r="X198" i="20"/>
  <c r="AJ198" i="20"/>
  <c r="AK198" i="20"/>
  <c r="O198" i="20"/>
  <c r="AC198" i="20"/>
  <c r="AB199" i="18"/>
  <c r="AJ199" i="18"/>
  <c r="K199" i="18"/>
  <c r="A200" i="18"/>
  <c r="X199" i="18"/>
  <c r="L199" i="18"/>
  <c r="O199" i="18"/>
  <c r="AK199" i="18"/>
  <c r="AC199" i="18"/>
  <c r="AB197" i="22"/>
  <c r="X197" i="22"/>
  <c r="A198" i="22"/>
  <c r="L197" i="22"/>
  <c r="K197" i="22"/>
  <c r="AK197" i="22"/>
  <c r="AJ197" i="22"/>
  <c r="O197" i="22"/>
  <c r="AC197" i="22"/>
  <c r="X202" i="1"/>
  <c r="L202" i="1"/>
  <c r="AK202" i="1"/>
  <c r="A203" i="1"/>
  <c r="AB202" i="1"/>
  <c r="K202" i="1"/>
  <c r="AC202" i="1"/>
  <c r="O202" i="1"/>
  <c r="Q202" i="1"/>
  <c r="AJ202" i="1"/>
  <c r="U202" i="1"/>
  <c r="T202" i="1" s="1"/>
  <c r="K195" i="24"/>
  <c r="X195" i="24"/>
  <c r="AB195" i="24"/>
  <c r="A196" i="24"/>
  <c r="L195" i="24"/>
  <c r="AJ195" i="24"/>
  <c r="AK195" i="24"/>
  <c r="O195" i="24"/>
  <c r="AC195" i="24"/>
  <c r="K196" i="23"/>
  <c r="L196" i="23"/>
  <c r="A197" i="23"/>
  <c r="AB196" i="23"/>
  <c r="X196" i="23"/>
  <c r="AJ196" i="23"/>
  <c r="AK196" i="23"/>
  <c r="O196" i="23"/>
  <c r="AC196" i="23"/>
  <c r="E201" i="15" l="1"/>
  <c r="A203" i="15"/>
  <c r="AK202" i="15"/>
  <c r="L202" i="15"/>
  <c r="D202" i="15" s="1"/>
  <c r="AJ202" i="15"/>
  <c r="AB202" i="15"/>
  <c r="K202" i="15"/>
  <c r="O202" i="15"/>
  <c r="X202" i="15"/>
  <c r="AC202" i="15"/>
  <c r="I200" i="1"/>
  <c r="AJ201" i="16"/>
  <c r="A202" i="16"/>
  <c r="AB201" i="16"/>
  <c r="X201" i="16"/>
  <c r="AK201" i="16"/>
  <c r="O201" i="16"/>
  <c r="K201" i="16"/>
  <c r="L201" i="16"/>
  <c r="D201" i="16" s="1"/>
  <c r="E201" i="16" s="1"/>
  <c r="AC201" i="16"/>
  <c r="X196" i="24"/>
  <c r="L196" i="24"/>
  <c r="AB196" i="24"/>
  <c r="A197" i="24"/>
  <c r="K196" i="24"/>
  <c r="AK196" i="24"/>
  <c r="AJ196" i="24"/>
  <c r="O196" i="24"/>
  <c r="AC196" i="24"/>
  <c r="S202" i="1"/>
  <c r="R202" i="1" s="1"/>
  <c r="P202" i="1" s="1"/>
  <c r="V202" i="1" s="1"/>
  <c r="A199" i="22"/>
  <c r="AB198" i="22"/>
  <c r="K198" i="22"/>
  <c r="L198" i="22"/>
  <c r="X198" i="22"/>
  <c r="AK198" i="22"/>
  <c r="AJ198" i="22"/>
  <c r="O198" i="22"/>
  <c r="AC198" i="22"/>
  <c r="A201" i="18"/>
  <c r="AB200" i="18"/>
  <c r="L200" i="18"/>
  <c r="K200" i="18"/>
  <c r="AJ200" i="18"/>
  <c r="X200" i="18"/>
  <c r="AK200" i="18"/>
  <c r="O200" i="18"/>
  <c r="AC200" i="18"/>
  <c r="A200" i="20"/>
  <c r="AB199" i="20"/>
  <c r="X199" i="20"/>
  <c r="L199" i="20"/>
  <c r="K199" i="20"/>
  <c r="AK199" i="20"/>
  <c r="AJ199" i="20"/>
  <c r="O199" i="20"/>
  <c r="AC199" i="20"/>
  <c r="AB197" i="23"/>
  <c r="L197" i="23"/>
  <c r="X197" i="23"/>
  <c r="K197" i="23"/>
  <c r="A198" i="23"/>
  <c r="AJ197" i="23"/>
  <c r="AK197" i="23"/>
  <c r="O197" i="23"/>
  <c r="AC197" i="23"/>
  <c r="AJ203" i="1"/>
  <c r="L203" i="1"/>
  <c r="Q203" i="1"/>
  <c r="AK203" i="1"/>
  <c r="AC203" i="1"/>
  <c r="AB203" i="1"/>
  <c r="O203" i="1"/>
  <c r="K203" i="1"/>
  <c r="X203" i="1"/>
  <c r="A204" i="1"/>
  <c r="U203" i="1"/>
  <c r="T203" i="1" s="1"/>
  <c r="D202" i="1"/>
  <c r="E202" i="1" s="1"/>
  <c r="F201" i="1"/>
  <c r="AB201" i="17"/>
  <c r="X201" i="17"/>
  <c r="A202" i="17"/>
  <c r="K201" i="17"/>
  <c r="L201" i="17"/>
  <c r="AJ201" i="17"/>
  <c r="O201" i="17"/>
  <c r="AK201" i="17"/>
  <c r="AC201" i="17"/>
  <c r="AB195" i="25"/>
  <c r="L195" i="25"/>
  <c r="A196" i="25"/>
  <c r="X195" i="25"/>
  <c r="K195" i="25"/>
  <c r="AJ195" i="25"/>
  <c r="AK195" i="25"/>
  <c r="O195" i="25"/>
  <c r="AC195" i="25"/>
  <c r="F202" i="1" l="1"/>
  <c r="I202" i="1" s="1"/>
  <c r="E202" i="15"/>
  <c r="X203" i="15"/>
  <c r="O203" i="15"/>
  <c r="L203" i="15"/>
  <c r="D203" i="15" s="1"/>
  <c r="AJ203" i="15"/>
  <c r="A204" i="15"/>
  <c r="AK203" i="15"/>
  <c r="AB203" i="15"/>
  <c r="K203" i="15"/>
  <c r="AC203" i="15"/>
  <c r="K202" i="16"/>
  <c r="L202" i="16"/>
  <c r="D202" i="16" s="1"/>
  <c r="AB202" i="16"/>
  <c r="AJ202" i="16"/>
  <c r="O202" i="16"/>
  <c r="X202" i="16"/>
  <c r="A203" i="16"/>
  <c r="AK202" i="16"/>
  <c r="AC202" i="16"/>
  <c r="AB196" i="25"/>
  <c r="L196" i="25"/>
  <c r="X196" i="25"/>
  <c r="A197" i="25"/>
  <c r="K196" i="25"/>
  <c r="AK196" i="25"/>
  <c r="AJ196" i="25"/>
  <c r="O196" i="25"/>
  <c r="AC196" i="25"/>
  <c r="AA201" i="1"/>
  <c r="Z201" i="1" s="1"/>
  <c r="Y201" i="1" s="1"/>
  <c r="G201" i="1"/>
  <c r="BW201" i="6" s="1"/>
  <c r="I201" i="1"/>
  <c r="X204" i="1"/>
  <c r="O204" i="1"/>
  <c r="Q204" i="1"/>
  <c r="A205" i="1"/>
  <c r="AB204" i="1"/>
  <c r="AC204" i="1"/>
  <c r="L204" i="1"/>
  <c r="AJ204" i="1"/>
  <c r="K204" i="1"/>
  <c r="AK204" i="1"/>
  <c r="U204" i="1"/>
  <c r="T204" i="1" s="1"/>
  <c r="D203" i="1"/>
  <c r="E203" i="1" s="1"/>
  <c r="X200" i="20"/>
  <c r="L200" i="20"/>
  <c r="K200" i="20"/>
  <c r="A201" i="20"/>
  <c r="AB200" i="20"/>
  <c r="AJ200" i="20"/>
  <c r="AK200" i="20"/>
  <c r="O200" i="20"/>
  <c r="AC200" i="20"/>
  <c r="A200" i="22"/>
  <c r="L199" i="22"/>
  <c r="X199" i="22"/>
  <c r="AB199" i="22"/>
  <c r="K199" i="22"/>
  <c r="AJ199" i="22"/>
  <c r="AK199" i="22"/>
  <c r="O199" i="22"/>
  <c r="AC199" i="22"/>
  <c r="AB197" i="24"/>
  <c r="L197" i="24"/>
  <c r="A198" i="24"/>
  <c r="K197" i="24"/>
  <c r="X197" i="24"/>
  <c r="AJ197" i="24"/>
  <c r="AK197" i="24"/>
  <c r="O197" i="24"/>
  <c r="AC197" i="24"/>
  <c r="A203" i="17"/>
  <c r="K202" i="17"/>
  <c r="L202" i="17"/>
  <c r="AB202" i="17"/>
  <c r="X202" i="17"/>
  <c r="AJ202" i="17"/>
  <c r="AK202" i="17"/>
  <c r="O202" i="17"/>
  <c r="AC202" i="17"/>
  <c r="S203" i="1"/>
  <c r="R203" i="1" s="1"/>
  <c r="P203" i="1" s="1"/>
  <c r="V203" i="1" s="1"/>
  <c r="AB198" i="23"/>
  <c r="K198" i="23"/>
  <c r="X198" i="23"/>
  <c r="L198" i="23"/>
  <c r="A199" i="23"/>
  <c r="AJ198" i="23"/>
  <c r="AK198" i="23"/>
  <c r="O198" i="23"/>
  <c r="AC198" i="23"/>
  <c r="AB201" i="18"/>
  <c r="AJ201" i="18"/>
  <c r="L201" i="18"/>
  <c r="A202" i="18"/>
  <c r="K201" i="18"/>
  <c r="X201" i="18"/>
  <c r="O201" i="18"/>
  <c r="AK201" i="18"/>
  <c r="AC201" i="18"/>
  <c r="G202" i="1" l="1"/>
  <c r="BW202" i="6" s="1"/>
  <c r="AA202" i="1"/>
  <c r="Z202" i="1" s="1"/>
  <c r="Y202" i="1" s="1"/>
  <c r="E203" i="15"/>
  <c r="A205" i="15"/>
  <c r="O204" i="15"/>
  <c r="X204" i="15"/>
  <c r="AJ204" i="15"/>
  <c r="AB204" i="15"/>
  <c r="AK204" i="15"/>
  <c r="L204" i="15"/>
  <c r="D204" i="15" s="1"/>
  <c r="K204" i="15"/>
  <c r="AC204" i="15"/>
  <c r="E202" i="16"/>
  <c r="A204" i="16"/>
  <c r="L203" i="16"/>
  <c r="D203" i="16" s="1"/>
  <c r="AB203" i="16"/>
  <c r="AK203" i="16"/>
  <c r="O203" i="16"/>
  <c r="X203" i="16"/>
  <c r="AJ203" i="16"/>
  <c r="K203" i="16"/>
  <c r="AC203" i="16"/>
  <c r="X202" i="18"/>
  <c r="L202" i="18"/>
  <c r="AB202" i="18"/>
  <c r="K202" i="18"/>
  <c r="A203" i="18"/>
  <c r="AJ202" i="18"/>
  <c r="O202" i="18"/>
  <c r="AK202" i="18"/>
  <c r="AC202" i="18"/>
  <c r="F203" i="1"/>
  <c r="AB203" i="17"/>
  <c r="X203" i="17"/>
  <c r="A204" i="17"/>
  <c r="K203" i="17"/>
  <c r="L203" i="17"/>
  <c r="O203" i="17"/>
  <c r="AJ203" i="17"/>
  <c r="AK203" i="17"/>
  <c r="AC203" i="17"/>
  <c r="AB198" i="24"/>
  <c r="A199" i="24"/>
  <c r="X198" i="24"/>
  <c r="L198" i="24"/>
  <c r="K198" i="24"/>
  <c r="AK198" i="24"/>
  <c r="AJ198" i="24"/>
  <c r="O198" i="24"/>
  <c r="AC198" i="24"/>
  <c r="X201" i="20"/>
  <c r="A202" i="20"/>
  <c r="L201" i="20"/>
  <c r="AB201" i="20"/>
  <c r="K201" i="20"/>
  <c r="AJ201" i="20"/>
  <c r="AK201" i="20"/>
  <c r="O201" i="20"/>
  <c r="AC201" i="20"/>
  <c r="S204" i="1"/>
  <c r="R204" i="1" s="1"/>
  <c r="P204" i="1" s="1"/>
  <c r="V204" i="1" s="1"/>
  <c r="D204" i="1"/>
  <c r="E204" i="1" s="1"/>
  <c r="X197" i="25"/>
  <c r="L197" i="25"/>
  <c r="A198" i="25"/>
  <c r="K197" i="25"/>
  <c r="AB197" i="25"/>
  <c r="AJ197" i="25"/>
  <c r="O197" i="25"/>
  <c r="AK197" i="25"/>
  <c r="AC197" i="25"/>
  <c r="A200" i="23"/>
  <c r="K199" i="23"/>
  <c r="X199" i="23"/>
  <c r="AB199" i="23"/>
  <c r="L199" i="23"/>
  <c r="AJ199" i="23"/>
  <c r="AK199" i="23"/>
  <c r="O199" i="23"/>
  <c r="AC199" i="23"/>
  <c r="AB200" i="22"/>
  <c r="K200" i="22"/>
  <c r="A201" i="22"/>
  <c r="X200" i="22"/>
  <c r="L200" i="22"/>
  <c r="AJ200" i="22"/>
  <c r="AK200" i="22"/>
  <c r="O200" i="22"/>
  <c r="AC200" i="22"/>
  <c r="AJ205" i="1"/>
  <c r="X205" i="1"/>
  <c r="A206" i="1"/>
  <c r="K205" i="1"/>
  <c r="Q205" i="1"/>
  <c r="L205" i="1"/>
  <c r="O205" i="1"/>
  <c r="AB205" i="1"/>
  <c r="AC205" i="1"/>
  <c r="AK205" i="1"/>
  <c r="U205" i="1"/>
  <c r="T205" i="1" s="1"/>
  <c r="E204" i="15" l="1"/>
  <c r="AB205" i="15"/>
  <c r="AJ205" i="15"/>
  <c r="L205" i="15"/>
  <c r="D205" i="15" s="1"/>
  <c r="X205" i="15"/>
  <c r="O205" i="15"/>
  <c r="E205" i="15" s="1"/>
  <c r="A206" i="15"/>
  <c r="AC205" i="15"/>
  <c r="K205" i="15"/>
  <c r="AK205" i="15"/>
  <c r="A205" i="16"/>
  <c r="L204" i="16"/>
  <c r="D204" i="16" s="1"/>
  <c r="AJ204" i="16"/>
  <c r="AC204" i="16"/>
  <c r="AB204" i="16"/>
  <c r="K204" i="16"/>
  <c r="X204" i="16"/>
  <c r="AK204" i="16"/>
  <c r="O204" i="16"/>
  <c r="E203" i="16"/>
  <c r="S205" i="1"/>
  <c r="R205" i="1" s="1"/>
  <c r="P205" i="1" s="1"/>
  <c r="V205" i="1" s="1"/>
  <c r="AB206" i="1"/>
  <c r="X206" i="1"/>
  <c r="Q206" i="1"/>
  <c r="K206" i="1"/>
  <c r="L206" i="1"/>
  <c r="O206" i="1"/>
  <c r="AC206" i="1"/>
  <c r="AK206" i="1"/>
  <c r="A207" i="1"/>
  <c r="AJ206" i="1"/>
  <c r="U206" i="1"/>
  <c r="T206" i="1" s="1"/>
  <c r="A200" i="24"/>
  <c r="K199" i="24"/>
  <c r="X199" i="24"/>
  <c r="AB199" i="24"/>
  <c r="L199" i="24"/>
  <c r="AJ199" i="24"/>
  <c r="AK199" i="24"/>
  <c r="O199" i="24"/>
  <c r="AC199" i="24"/>
  <c r="A205" i="17"/>
  <c r="AB204" i="17"/>
  <c r="K204" i="17"/>
  <c r="L204" i="17"/>
  <c r="X204" i="17"/>
  <c r="AK204" i="17"/>
  <c r="AJ204" i="17"/>
  <c r="O204" i="17"/>
  <c r="AC204" i="17"/>
  <c r="G203" i="1"/>
  <c r="BW203" i="6" s="1"/>
  <c r="AA203" i="1"/>
  <c r="Z203" i="1" s="1"/>
  <c r="Y203" i="1" s="1"/>
  <c r="I203" i="1"/>
  <c r="AB203" i="18"/>
  <c r="K203" i="18"/>
  <c r="AJ203" i="18"/>
  <c r="A204" i="18"/>
  <c r="L203" i="18"/>
  <c r="X203" i="18"/>
  <c r="AK203" i="18"/>
  <c r="O203" i="18"/>
  <c r="AC203" i="18"/>
  <c r="D205" i="1"/>
  <c r="E205" i="1" s="1"/>
  <c r="K201" i="22"/>
  <c r="AB201" i="22"/>
  <c r="L201" i="22"/>
  <c r="X201" i="22"/>
  <c r="A202" i="22"/>
  <c r="AJ201" i="22"/>
  <c r="AK201" i="22"/>
  <c r="O201" i="22"/>
  <c r="AC201" i="22"/>
  <c r="AB200" i="23"/>
  <c r="X200" i="23"/>
  <c r="L200" i="23"/>
  <c r="K200" i="23"/>
  <c r="A201" i="23"/>
  <c r="AJ200" i="23"/>
  <c r="AK200" i="23"/>
  <c r="O200" i="23"/>
  <c r="AC200" i="23"/>
  <c r="X198" i="25"/>
  <c r="A199" i="25"/>
  <c r="AB198" i="25"/>
  <c r="L198" i="25"/>
  <c r="K198" i="25"/>
  <c r="AJ198" i="25"/>
  <c r="O198" i="25"/>
  <c r="AK198" i="25"/>
  <c r="AC198" i="25"/>
  <c r="F204" i="1"/>
  <c r="A203" i="20"/>
  <c r="X202" i="20"/>
  <c r="L202" i="20"/>
  <c r="AB202" i="20"/>
  <c r="K202" i="20"/>
  <c r="AJ202" i="20"/>
  <c r="AK202" i="20"/>
  <c r="O202" i="20"/>
  <c r="AC202" i="20"/>
  <c r="X206" i="15" l="1"/>
  <c r="AB206" i="15"/>
  <c r="AC206" i="15"/>
  <c r="A207" i="15"/>
  <c r="O206" i="15"/>
  <c r="L206" i="15"/>
  <c r="D206" i="15" s="1"/>
  <c r="AK206" i="15"/>
  <c r="K206" i="15"/>
  <c r="AJ206" i="15"/>
  <c r="E204" i="16"/>
  <c r="F205" i="1"/>
  <c r="I205" i="1" s="1"/>
  <c r="K205" i="16"/>
  <c r="L205" i="16"/>
  <c r="D205" i="16" s="1"/>
  <c r="AB205" i="16"/>
  <c r="AJ205" i="16"/>
  <c r="O205" i="16"/>
  <c r="X205" i="16"/>
  <c r="A206" i="16"/>
  <c r="AK205" i="16"/>
  <c r="AC205" i="16"/>
  <c r="G205" i="1"/>
  <c r="BW205" i="6" s="1"/>
  <c r="AB203" i="20"/>
  <c r="A204" i="20"/>
  <c r="X203" i="20"/>
  <c r="K203" i="20"/>
  <c r="L203" i="20"/>
  <c r="AJ203" i="20"/>
  <c r="AK203" i="20"/>
  <c r="O203" i="20"/>
  <c r="AC203" i="20"/>
  <c r="AB202" i="22"/>
  <c r="K202" i="22"/>
  <c r="X202" i="22"/>
  <c r="A203" i="22"/>
  <c r="L202" i="22"/>
  <c r="AJ202" i="22"/>
  <c r="AK202" i="22"/>
  <c r="O202" i="22"/>
  <c r="AC202" i="22"/>
  <c r="AJ204" i="18"/>
  <c r="A205" i="18"/>
  <c r="X204" i="18"/>
  <c r="AB204" i="18"/>
  <c r="K204" i="18"/>
  <c r="L204" i="18"/>
  <c r="O204" i="18"/>
  <c r="AK204" i="18"/>
  <c r="AC204" i="18"/>
  <c r="A201" i="24"/>
  <c r="X200" i="24"/>
  <c r="AB200" i="24"/>
  <c r="K200" i="24"/>
  <c r="L200" i="24"/>
  <c r="AK200" i="24"/>
  <c r="O200" i="24"/>
  <c r="AJ200" i="24"/>
  <c r="AC200" i="24"/>
  <c r="I204" i="1"/>
  <c r="AA204" i="1"/>
  <c r="Z204" i="1" s="1"/>
  <c r="Y204" i="1" s="1"/>
  <c r="G204" i="1"/>
  <c r="BW204" i="6" s="1"/>
  <c r="AB199" i="25"/>
  <c r="X199" i="25"/>
  <c r="A200" i="25"/>
  <c r="K199" i="25"/>
  <c r="L199" i="25"/>
  <c r="AJ199" i="25"/>
  <c r="AK199" i="25"/>
  <c r="O199" i="25"/>
  <c r="AC199" i="25"/>
  <c r="K201" i="23"/>
  <c r="AB201" i="23"/>
  <c r="X201" i="23"/>
  <c r="A202" i="23"/>
  <c r="L201" i="23"/>
  <c r="AJ201" i="23"/>
  <c r="AK201" i="23"/>
  <c r="O201" i="23"/>
  <c r="AC201" i="23"/>
  <c r="A206" i="17"/>
  <c r="K205" i="17"/>
  <c r="AB205" i="17"/>
  <c r="X205" i="17"/>
  <c r="L205" i="17"/>
  <c r="AJ205" i="17"/>
  <c r="O205" i="17"/>
  <c r="AK205" i="17"/>
  <c r="AC205" i="17"/>
  <c r="S206" i="1"/>
  <c r="R206" i="1" s="1"/>
  <c r="P206" i="1" s="1"/>
  <c r="V206" i="1" s="1"/>
  <c r="A208" i="1"/>
  <c r="AC207" i="1"/>
  <c r="K207" i="1"/>
  <c r="L207" i="1"/>
  <c r="AB207" i="1"/>
  <c r="AJ207" i="1"/>
  <c r="Q207" i="1"/>
  <c r="AK207" i="1"/>
  <c r="O207" i="1"/>
  <c r="X207" i="1"/>
  <c r="U207" i="1"/>
  <c r="T207" i="1" s="1"/>
  <c r="S207" i="1" s="1"/>
  <c r="R207" i="1" s="1"/>
  <c r="P207" i="1" s="1"/>
  <c r="D206" i="1"/>
  <c r="E206" i="1" s="1"/>
  <c r="AB207" i="15" l="1"/>
  <c r="K207" i="15"/>
  <c r="O207" i="15"/>
  <c r="X207" i="15"/>
  <c r="AC207" i="15"/>
  <c r="A208" i="15"/>
  <c r="AJ207" i="15"/>
  <c r="L207" i="15"/>
  <c r="D207" i="15" s="1"/>
  <c r="AK207" i="15"/>
  <c r="AA205" i="1"/>
  <c r="Z205" i="1" s="1"/>
  <c r="Y205" i="1" s="1"/>
  <c r="E206" i="15"/>
  <c r="E205" i="16"/>
  <c r="AB206" i="16"/>
  <c r="A207" i="16"/>
  <c r="L206" i="16"/>
  <c r="D206" i="16" s="1"/>
  <c r="AK206" i="16"/>
  <c r="O206" i="16"/>
  <c r="K206" i="16"/>
  <c r="X206" i="16"/>
  <c r="AJ206" i="16"/>
  <c r="AC206" i="16"/>
  <c r="AK208" i="1"/>
  <c r="A209" i="1"/>
  <c r="AJ208" i="1"/>
  <c r="AB208" i="1"/>
  <c r="L208" i="1"/>
  <c r="X208" i="1"/>
  <c r="O208" i="1"/>
  <c r="AC208" i="1"/>
  <c r="K208" i="1"/>
  <c r="Q208" i="1"/>
  <c r="U208" i="1"/>
  <c r="T208" i="1" s="1"/>
  <c r="F206" i="1"/>
  <c r="K205" i="18"/>
  <c r="X205" i="18"/>
  <c r="AJ205" i="18"/>
  <c r="AB205" i="18"/>
  <c r="L205" i="18"/>
  <c r="A206" i="18"/>
  <c r="AK205" i="18"/>
  <c r="O205" i="18"/>
  <c r="AC205" i="18"/>
  <c r="AB204" i="20"/>
  <c r="L204" i="20"/>
  <c r="A205" i="20"/>
  <c r="K204" i="20"/>
  <c r="X204" i="20"/>
  <c r="AJ204" i="20"/>
  <c r="AK204" i="20"/>
  <c r="O204" i="20"/>
  <c r="AC204" i="20"/>
  <c r="D207" i="1"/>
  <c r="E207" i="1" s="1"/>
  <c r="V207" i="1"/>
  <c r="A207" i="17"/>
  <c r="AB206" i="17"/>
  <c r="K206" i="17"/>
  <c r="X206" i="17"/>
  <c r="L206" i="17"/>
  <c r="AJ206" i="17"/>
  <c r="O206" i="17"/>
  <c r="AK206" i="17"/>
  <c r="AC206" i="17"/>
  <c r="K202" i="23"/>
  <c r="X202" i="23"/>
  <c r="AB202" i="23"/>
  <c r="L202" i="23"/>
  <c r="A203" i="23"/>
  <c r="AJ202" i="23"/>
  <c r="AK202" i="23"/>
  <c r="O202" i="23"/>
  <c r="AC202" i="23"/>
  <c r="AB200" i="25"/>
  <c r="L200" i="25"/>
  <c r="K200" i="25"/>
  <c r="A201" i="25"/>
  <c r="X200" i="25"/>
  <c r="AJ200" i="25"/>
  <c r="O200" i="25"/>
  <c r="AK200" i="25"/>
  <c r="AC200" i="25"/>
  <c r="X201" i="24"/>
  <c r="K201" i="24"/>
  <c r="AB201" i="24"/>
  <c r="A202" i="24"/>
  <c r="L201" i="24"/>
  <c r="AK201" i="24"/>
  <c r="AJ201" i="24"/>
  <c r="O201" i="24"/>
  <c r="AC201" i="24"/>
  <c r="A204" i="22"/>
  <c r="K203" i="22"/>
  <c r="AB203" i="22"/>
  <c r="L203" i="22"/>
  <c r="X203" i="22"/>
  <c r="AK203" i="22"/>
  <c r="AJ203" i="22"/>
  <c r="O203" i="22"/>
  <c r="AC203" i="22"/>
  <c r="E207" i="15" l="1"/>
  <c r="L208" i="15"/>
  <c r="D208" i="15" s="1"/>
  <c r="K208" i="15"/>
  <c r="A209" i="15"/>
  <c r="O208" i="15"/>
  <c r="AK208" i="15"/>
  <c r="AC208" i="15"/>
  <c r="AB208" i="15"/>
  <c r="AJ208" i="15"/>
  <c r="X208" i="15"/>
  <c r="F207" i="1"/>
  <c r="I207" i="1" s="1"/>
  <c r="K207" i="16"/>
  <c r="L207" i="16"/>
  <c r="D207" i="16" s="1"/>
  <c r="X207" i="16"/>
  <c r="AK207" i="16"/>
  <c r="O207" i="16"/>
  <c r="AB207" i="16"/>
  <c r="A208" i="16"/>
  <c r="AJ207" i="16"/>
  <c r="AC207" i="16"/>
  <c r="E206" i="16"/>
  <c r="AB202" i="24"/>
  <c r="K202" i="24"/>
  <c r="L202" i="24"/>
  <c r="A203" i="24"/>
  <c r="X202" i="24"/>
  <c r="AJ202" i="24"/>
  <c r="AK202" i="24"/>
  <c r="O202" i="24"/>
  <c r="AC202" i="24"/>
  <c r="A202" i="25"/>
  <c r="X201" i="25"/>
  <c r="K201" i="25"/>
  <c r="AB201" i="25"/>
  <c r="L201" i="25"/>
  <c r="AJ201" i="25"/>
  <c r="O201" i="25"/>
  <c r="AK201" i="25"/>
  <c r="AC201" i="25"/>
  <c r="X203" i="23"/>
  <c r="K203" i="23"/>
  <c r="AB203" i="23"/>
  <c r="L203" i="23"/>
  <c r="A204" i="23"/>
  <c r="AJ203" i="23"/>
  <c r="AK203" i="23"/>
  <c r="O203" i="23"/>
  <c r="AC203" i="23"/>
  <c r="Q209" i="1"/>
  <c r="K209" i="1"/>
  <c r="X209" i="1"/>
  <c r="AB209" i="1"/>
  <c r="AC209" i="1"/>
  <c r="L209" i="1"/>
  <c r="AJ209" i="1"/>
  <c r="A210" i="1"/>
  <c r="O209" i="1"/>
  <c r="AK209" i="1"/>
  <c r="U209" i="1"/>
  <c r="T209" i="1" s="1"/>
  <c r="AB204" i="22"/>
  <c r="L204" i="22"/>
  <c r="A205" i="22"/>
  <c r="K204" i="22"/>
  <c r="X204" i="22"/>
  <c r="AJ204" i="22"/>
  <c r="AK204" i="22"/>
  <c r="O204" i="22"/>
  <c r="AC204" i="22"/>
  <c r="AB207" i="17"/>
  <c r="X207" i="17"/>
  <c r="A208" i="17"/>
  <c r="K207" i="17"/>
  <c r="L207" i="17"/>
  <c r="AJ207" i="17"/>
  <c r="O207" i="17"/>
  <c r="AK207" i="17"/>
  <c r="AC207" i="17"/>
  <c r="K205" i="20"/>
  <c r="L205" i="20"/>
  <c r="X205" i="20"/>
  <c r="A206" i="20"/>
  <c r="AB205" i="20"/>
  <c r="AK205" i="20"/>
  <c r="AJ205" i="20"/>
  <c r="O205" i="20"/>
  <c r="AC205" i="20"/>
  <c r="A207" i="18"/>
  <c r="AB206" i="18"/>
  <c r="AJ206" i="18"/>
  <c r="K206" i="18"/>
  <c r="L206" i="18"/>
  <c r="X206" i="18"/>
  <c r="O206" i="18"/>
  <c r="AK206" i="18"/>
  <c r="AC206" i="18"/>
  <c r="I206" i="1"/>
  <c r="AA206" i="1"/>
  <c r="Z206" i="1" s="1"/>
  <c r="Y206" i="1" s="1"/>
  <c r="G206" i="1"/>
  <c r="BW206" i="6" s="1"/>
  <c r="S208" i="1"/>
  <c r="R208" i="1" s="1"/>
  <c r="P208" i="1" s="1"/>
  <c r="V208" i="1" s="1"/>
  <c r="D208" i="1"/>
  <c r="E208" i="1" s="1"/>
  <c r="E208" i="15" l="1"/>
  <c r="G207" i="1"/>
  <c r="BW207" i="6" s="1"/>
  <c r="AA207" i="1"/>
  <c r="Z207" i="1" s="1"/>
  <c r="Y207" i="1" s="1"/>
  <c r="X209" i="15"/>
  <c r="AK209" i="15"/>
  <c r="K209" i="15"/>
  <c r="AJ209" i="15"/>
  <c r="AB209" i="15"/>
  <c r="L209" i="15"/>
  <c r="D209" i="15" s="1"/>
  <c r="AC209" i="15"/>
  <c r="A210" i="15"/>
  <c r="O209" i="15"/>
  <c r="L208" i="16"/>
  <c r="D208" i="16" s="1"/>
  <c r="K208" i="16"/>
  <c r="X208" i="16"/>
  <c r="AK208" i="16"/>
  <c r="O208" i="16"/>
  <c r="A209" i="16"/>
  <c r="AB208" i="16"/>
  <c r="AJ208" i="16"/>
  <c r="AC208" i="16"/>
  <c r="E207" i="16"/>
  <c r="F208" i="1"/>
  <c r="AB207" i="18"/>
  <c r="K207" i="18"/>
  <c r="AJ207" i="18"/>
  <c r="A208" i="18"/>
  <c r="L207" i="18"/>
  <c r="X207" i="18"/>
  <c r="O207" i="18"/>
  <c r="AK207" i="18"/>
  <c r="AC207" i="18"/>
  <c r="AB206" i="20"/>
  <c r="A207" i="20"/>
  <c r="X206" i="20"/>
  <c r="L206" i="20"/>
  <c r="K206" i="20"/>
  <c r="AK206" i="20"/>
  <c r="AJ206" i="20"/>
  <c r="O206" i="20"/>
  <c r="AC206" i="20"/>
  <c r="X208" i="17"/>
  <c r="AB208" i="17"/>
  <c r="L208" i="17"/>
  <c r="A209" i="17"/>
  <c r="K208" i="17"/>
  <c r="AJ208" i="17"/>
  <c r="AK208" i="17"/>
  <c r="O208" i="17"/>
  <c r="AC208" i="17"/>
  <c r="S209" i="1"/>
  <c r="R209" i="1" s="1"/>
  <c r="P209" i="1" s="1"/>
  <c r="V209" i="1" s="1"/>
  <c r="A203" i="25"/>
  <c r="K202" i="25"/>
  <c r="AB202" i="25"/>
  <c r="L202" i="25"/>
  <c r="X202" i="25"/>
  <c r="AJ202" i="25"/>
  <c r="O202" i="25"/>
  <c r="AK202" i="25"/>
  <c r="AC202" i="25"/>
  <c r="AB203" i="24"/>
  <c r="K203" i="24"/>
  <c r="L203" i="24"/>
  <c r="X203" i="24"/>
  <c r="A204" i="24"/>
  <c r="AJ203" i="24"/>
  <c r="AK203" i="24"/>
  <c r="O203" i="24"/>
  <c r="AC203" i="24"/>
  <c r="X205" i="22"/>
  <c r="A206" i="22"/>
  <c r="K205" i="22"/>
  <c r="AB205" i="22"/>
  <c r="L205" i="22"/>
  <c r="AJ205" i="22"/>
  <c r="AK205" i="22"/>
  <c r="O205" i="22"/>
  <c r="AC205" i="22"/>
  <c r="O210" i="1"/>
  <c r="C26" i="7" s="1"/>
  <c r="AC210" i="1"/>
  <c r="K210" i="1"/>
  <c r="X210" i="1"/>
  <c r="AB210" i="1"/>
  <c r="L210" i="1"/>
  <c r="A26" i="7"/>
  <c r="AK210" i="1"/>
  <c r="A211" i="1"/>
  <c r="Q210" i="1"/>
  <c r="AJ210" i="1"/>
  <c r="U210" i="1"/>
  <c r="D209" i="1"/>
  <c r="E209" i="1" s="1"/>
  <c r="K204" i="23"/>
  <c r="A205" i="23"/>
  <c r="L204" i="23"/>
  <c r="AB204" i="23"/>
  <c r="X204" i="23"/>
  <c r="AK204" i="23"/>
  <c r="AJ204" i="23"/>
  <c r="O204" i="23"/>
  <c r="AC204" i="23"/>
  <c r="A38" i="7" l="1"/>
  <c r="AB210" i="15"/>
  <c r="X210" i="15"/>
  <c r="O210" i="15"/>
  <c r="C38" i="7" s="1"/>
  <c r="L210" i="15"/>
  <c r="AK210" i="15"/>
  <c r="A211" i="15"/>
  <c r="AJ210" i="15"/>
  <c r="K210" i="15"/>
  <c r="AC210" i="15"/>
  <c r="E209" i="15"/>
  <c r="X209" i="16"/>
  <c r="A210" i="16"/>
  <c r="L209" i="16"/>
  <c r="D209" i="16" s="1"/>
  <c r="AK209" i="16"/>
  <c r="O209" i="16"/>
  <c r="K209" i="16"/>
  <c r="AB209" i="16"/>
  <c r="AJ209" i="16"/>
  <c r="AC209" i="16"/>
  <c r="E208" i="16"/>
  <c r="AB205" i="23"/>
  <c r="A206" i="23"/>
  <c r="K205" i="23"/>
  <c r="L205" i="23"/>
  <c r="X205" i="23"/>
  <c r="AJ205" i="23"/>
  <c r="AK205" i="23"/>
  <c r="O205" i="23"/>
  <c r="AC205" i="23"/>
  <c r="F209" i="1"/>
  <c r="K211" i="1"/>
  <c r="AK211" i="1"/>
  <c r="X211" i="1"/>
  <c r="Q211" i="1"/>
  <c r="AC211" i="1"/>
  <c r="AB211" i="1"/>
  <c r="AJ211" i="1"/>
  <c r="L211" i="1"/>
  <c r="A212" i="1"/>
  <c r="O211" i="1"/>
  <c r="U211" i="1"/>
  <c r="T211" i="1" s="1"/>
  <c r="AB206" i="22"/>
  <c r="A207" i="22"/>
  <c r="K206" i="22"/>
  <c r="X206" i="22"/>
  <c r="L206" i="22"/>
  <c r="AJ206" i="22"/>
  <c r="AK206" i="22"/>
  <c r="O206" i="22"/>
  <c r="AC206" i="22"/>
  <c r="X204" i="24"/>
  <c r="L204" i="24"/>
  <c r="A205" i="24"/>
  <c r="AB204" i="24"/>
  <c r="K204" i="24"/>
  <c r="AJ204" i="24"/>
  <c r="AK204" i="24"/>
  <c r="O204" i="24"/>
  <c r="AC204" i="24"/>
  <c r="K207" i="20"/>
  <c r="L207" i="20"/>
  <c r="AB207" i="20"/>
  <c r="X207" i="20"/>
  <c r="A208" i="20"/>
  <c r="AJ207" i="20"/>
  <c r="AK207" i="20"/>
  <c r="O207" i="20"/>
  <c r="AC207" i="20"/>
  <c r="T210" i="1"/>
  <c r="B26" i="7"/>
  <c r="D210" i="1"/>
  <c r="E210" i="1" s="1"/>
  <c r="K203" i="25"/>
  <c r="L203" i="25"/>
  <c r="A204" i="25"/>
  <c r="X203" i="25"/>
  <c r="AB203" i="25"/>
  <c r="AJ203" i="25"/>
  <c r="AK203" i="25"/>
  <c r="O203" i="25"/>
  <c r="AC203" i="25"/>
  <c r="AB209" i="17"/>
  <c r="K209" i="17"/>
  <c r="X209" i="17"/>
  <c r="A210" i="17"/>
  <c r="L209" i="17"/>
  <c r="AJ209" i="17"/>
  <c r="O209" i="17"/>
  <c r="AK209" i="17"/>
  <c r="AC209" i="17"/>
  <c r="K208" i="18"/>
  <c r="L208" i="18"/>
  <c r="X208" i="18"/>
  <c r="AB208" i="18"/>
  <c r="A209" i="18"/>
  <c r="AJ208" i="18"/>
  <c r="O208" i="18"/>
  <c r="AK208" i="18"/>
  <c r="AC208" i="18"/>
  <c r="G208" i="1"/>
  <c r="BW208" i="6" s="1"/>
  <c r="AA208" i="1"/>
  <c r="Z208" i="1" s="1"/>
  <c r="Y208" i="1" s="1"/>
  <c r="I208" i="1"/>
  <c r="A212" i="15" l="1"/>
  <c r="AJ211" i="15"/>
  <c r="AB211" i="15"/>
  <c r="AK211" i="15"/>
  <c r="L211" i="15"/>
  <c r="D211" i="15" s="1"/>
  <c r="K211" i="15"/>
  <c r="AC211" i="15"/>
  <c r="X211" i="15"/>
  <c r="O211" i="15"/>
  <c r="D210" i="15"/>
  <c r="E210" i="15" s="1"/>
  <c r="B38" i="7"/>
  <c r="E209" i="16"/>
  <c r="X210" i="16"/>
  <c r="A211" i="16"/>
  <c r="L210" i="16"/>
  <c r="AK210" i="16"/>
  <c r="O210" i="16"/>
  <c r="C50" i="7" s="1"/>
  <c r="A50" i="7"/>
  <c r="AB210" i="16"/>
  <c r="K210" i="16"/>
  <c r="AJ210" i="16"/>
  <c r="AC210" i="16"/>
  <c r="A210" i="18"/>
  <c r="AB209" i="18"/>
  <c r="AJ209" i="18"/>
  <c r="X209" i="18"/>
  <c r="L209" i="18"/>
  <c r="K209" i="18"/>
  <c r="AK209" i="18"/>
  <c r="O209" i="18"/>
  <c r="AC209" i="18"/>
  <c r="AB210" i="17"/>
  <c r="A62" i="7"/>
  <c r="K210" i="17"/>
  <c r="A211" i="17"/>
  <c r="X210" i="17"/>
  <c r="L210" i="17"/>
  <c r="O210" i="17"/>
  <c r="C62" i="7" s="1"/>
  <c r="AK210" i="17"/>
  <c r="AJ210" i="17"/>
  <c r="AC210" i="17"/>
  <c r="AB204" i="25"/>
  <c r="A205" i="25"/>
  <c r="X204" i="25"/>
  <c r="L204" i="25"/>
  <c r="K204" i="25"/>
  <c r="AK204" i="25"/>
  <c r="AJ204" i="25"/>
  <c r="O204" i="25"/>
  <c r="AC204" i="25"/>
  <c r="S210" i="1"/>
  <c r="R210" i="1" s="1"/>
  <c r="P210" i="1" s="1"/>
  <c r="D211" i="1"/>
  <c r="E211" i="1" s="1"/>
  <c r="I209" i="1"/>
  <c r="G209" i="1"/>
  <c r="BW209" i="6" s="1"/>
  <c r="AA209" i="1"/>
  <c r="Z209" i="1" s="1"/>
  <c r="Y209" i="1" s="1"/>
  <c r="A209" i="20"/>
  <c r="L208" i="20"/>
  <c r="K208" i="20"/>
  <c r="X208" i="20"/>
  <c r="AB208" i="20"/>
  <c r="AJ208" i="20"/>
  <c r="AK208" i="20"/>
  <c r="O208" i="20"/>
  <c r="AC208" i="20"/>
  <c r="A206" i="24"/>
  <c r="L205" i="24"/>
  <c r="K205" i="24"/>
  <c r="X205" i="24"/>
  <c r="AB205" i="24"/>
  <c r="AJ205" i="24"/>
  <c r="AK205" i="24"/>
  <c r="O205" i="24"/>
  <c r="AC205" i="24"/>
  <c r="K207" i="22"/>
  <c r="AB207" i="22"/>
  <c r="A208" i="22"/>
  <c r="L207" i="22"/>
  <c r="X207" i="22"/>
  <c r="AJ207" i="22"/>
  <c r="AK207" i="22"/>
  <c r="O207" i="22"/>
  <c r="AC207" i="22"/>
  <c r="S211" i="1"/>
  <c r="R211" i="1" s="1"/>
  <c r="P211" i="1" s="1"/>
  <c r="V211" i="1" s="1"/>
  <c r="AJ212" i="1"/>
  <c r="AB212" i="1"/>
  <c r="X212" i="1"/>
  <c r="AK212" i="1"/>
  <c r="O212" i="1"/>
  <c r="AC212" i="1"/>
  <c r="A213" i="1"/>
  <c r="L212" i="1"/>
  <c r="K212" i="1"/>
  <c r="Q212" i="1"/>
  <c r="U212" i="1"/>
  <c r="A207" i="23"/>
  <c r="AB206" i="23"/>
  <c r="X206" i="23"/>
  <c r="L206" i="23"/>
  <c r="K206" i="23"/>
  <c r="AJ206" i="23"/>
  <c r="AK206" i="23"/>
  <c r="O206" i="23"/>
  <c r="AC206" i="23"/>
  <c r="E211" i="15" l="1"/>
  <c r="A213" i="15"/>
  <c r="AK212" i="15"/>
  <c r="L212" i="15"/>
  <c r="D212" i="15" s="1"/>
  <c r="AJ212" i="15"/>
  <c r="X212" i="15"/>
  <c r="AB212" i="15"/>
  <c r="AC212" i="15"/>
  <c r="K212" i="15"/>
  <c r="O212" i="15"/>
  <c r="B50" i="7"/>
  <c r="D210" i="16"/>
  <c r="E210" i="16" s="1"/>
  <c r="K211" i="16"/>
  <c r="X211" i="16"/>
  <c r="AK211" i="16"/>
  <c r="AC211" i="16"/>
  <c r="AB211" i="16"/>
  <c r="L211" i="16"/>
  <c r="D211" i="16" s="1"/>
  <c r="A212" i="16"/>
  <c r="AJ211" i="16"/>
  <c r="O211" i="16"/>
  <c r="D26" i="7"/>
  <c r="V210" i="1"/>
  <c r="F210" i="1" s="1"/>
  <c r="D212" i="1"/>
  <c r="AB208" i="22"/>
  <c r="K208" i="22"/>
  <c r="L208" i="22"/>
  <c r="X208" i="22"/>
  <c r="A209" i="22"/>
  <c r="AJ208" i="22"/>
  <c r="AK208" i="22"/>
  <c r="O208" i="22"/>
  <c r="AC208" i="22"/>
  <c r="K209" i="20"/>
  <c r="AB209" i="20"/>
  <c r="X209" i="20"/>
  <c r="A210" i="20"/>
  <c r="L209" i="20"/>
  <c r="AK209" i="20"/>
  <c r="AJ209" i="20"/>
  <c r="O209" i="20"/>
  <c r="AC209" i="20"/>
  <c r="F211" i="1"/>
  <c r="AB205" i="25"/>
  <c r="X205" i="25"/>
  <c r="L205" i="25"/>
  <c r="K205" i="25"/>
  <c r="A206" i="25"/>
  <c r="AK205" i="25"/>
  <c r="AJ205" i="25"/>
  <c r="O205" i="25"/>
  <c r="AC205" i="25"/>
  <c r="B62" i="7"/>
  <c r="A212" i="17"/>
  <c r="AB211" i="17"/>
  <c r="X211" i="17"/>
  <c r="L211" i="17"/>
  <c r="K211" i="17"/>
  <c r="AJ211" i="17"/>
  <c r="O211" i="17"/>
  <c r="AK211" i="17"/>
  <c r="AC211" i="17"/>
  <c r="AB210" i="18"/>
  <c r="AJ210" i="18"/>
  <c r="A74" i="7"/>
  <c r="X210" i="18"/>
  <c r="A211" i="18"/>
  <c r="K210" i="18"/>
  <c r="L210" i="18"/>
  <c r="O210" i="18"/>
  <c r="C74" i="7" s="1"/>
  <c r="AK210" i="18"/>
  <c r="AC210" i="18"/>
  <c r="A208" i="23"/>
  <c r="L207" i="23"/>
  <c r="AB207" i="23"/>
  <c r="X207" i="23"/>
  <c r="K207" i="23"/>
  <c r="AJ207" i="23"/>
  <c r="AK207" i="23"/>
  <c r="O207" i="23"/>
  <c r="AC207" i="23"/>
  <c r="T212" i="1"/>
  <c r="K213" i="1"/>
  <c r="L213" i="1"/>
  <c r="A214" i="1"/>
  <c r="AB213" i="1"/>
  <c r="O213" i="1"/>
  <c r="Q213" i="1"/>
  <c r="AK213" i="1"/>
  <c r="AC213" i="1"/>
  <c r="AJ213" i="1"/>
  <c r="X213" i="1"/>
  <c r="U213" i="1"/>
  <c r="T213" i="1" s="1"/>
  <c r="E212" i="1"/>
  <c r="AB206" i="24"/>
  <c r="A207" i="24"/>
  <c r="K206" i="24"/>
  <c r="L206" i="24"/>
  <c r="X206" i="24"/>
  <c r="AK206" i="24"/>
  <c r="AJ206" i="24"/>
  <c r="O206" i="24"/>
  <c r="AC206" i="24"/>
  <c r="E211" i="16" l="1"/>
  <c r="E212" i="15"/>
  <c r="AB213" i="15"/>
  <c r="O213" i="15"/>
  <c r="L213" i="15"/>
  <c r="D213" i="15" s="1"/>
  <c r="AJ213" i="15"/>
  <c r="K213" i="15"/>
  <c r="AK213" i="15"/>
  <c r="A214" i="15"/>
  <c r="X213" i="15"/>
  <c r="AC213" i="15"/>
  <c r="L212" i="16"/>
  <c r="D212" i="16" s="1"/>
  <c r="A213" i="16"/>
  <c r="AB212" i="16"/>
  <c r="AK212" i="16"/>
  <c r="O212" i="16"/>
  <c r="X212" i="16"/>
  <c r="K212" i="16"/>
  <c r="AJ212" i="16"/>
  <c r="AC212" i="16"/>
  <c r="A208" i="24"/>
  <c r="AB207" i="24"/>
  <c r="K207" i="24"/>
  <c r="L207" i="24"/>
  <c r="X207" i="24"/>
  <c r="AJ207" i="24"/>
  <c r="AK207" i="24"/>
  <c r="O207" i="24"/>
  <c r="AC207" i="24"/>
  <c r="D213" i="1"/>
  <c r="E213" i="1" s="1"/>
  <c r="AB208" i="23"/>
  <c r="L208" i="23"/>
  <c r="K208" i="23"/>
  <c r="A209" i="23"/>
  <c r="X208" i="23"/>
  <c r="AJ208" i="23"/>
  <c r="AK208" i="23"/>
  <c r="O208" i="23"/>
  <c r="AC208" i="23"/>
  <c r="B74" i="7"/>
  <c r="K211" i="18"/>
  <c r="AJ211" i="18"/>
  <c r="X211" i="18"/>
  <c r="L211" i="18"/>
  <c r="AB211" i="18"/>
  <c r="A212" i="18"/>
  <c r="O211" i="18"/>
  <c r="AK211" i="18"/>
  <c r="AC211" i="18"/>
  <c r="I210" i="1"/>
  <c r="G210" i="1"/>
  <c r="BW210" i="6" s="1"/>
  <c r="AA210" i="1"/>
  <c r="Z210" i="1" s="1"/>
  <c r="Y210" i="1" s="1"/>
  <c r="S213" i="1"/>
  <c r="R213" i="1" s="1"/>
  <c r="P213" i="1" s="1"/>
  <c r="V213" i="1" s="1"/>
  <c r="A215" i="1"/>
  <c r="X214" i="1"/>
  <c r="K214" i="1"/>
  <c r="AB214" i="1"/>
  <c r="Q214" i="1"/>
  <c r="AJ214" i="1"/>
  <c r="AK214" i="1"/>
  <c r="L214" i="1"/>
  <c r="O214" i="1"/>
  <c r="AC214" i="1"/>
  <c r="U214" i="1"/>
  <c r="T214" i="1" s="1"/>
  <c r="S212" i="1"/>
  <c r="R212" i="1" s="1"/>
  <c r="P212" i="1" s="1"/>
  <c r="V212" i="1" s="1"/>
  <c r="F212" i="1" s="1"/>
  <c r="X212" i="17"/>
  <c r="L212" i="17"/>
  <c r="K212" i="17"/>
  <c r="AB212" i="17"/>
  <c r="A213" i="17"/>
  <c r="AJ212" i="17"/>
  <c r="O212" i="17"/>
  <c r="AK212" i="17"/>
  <c r="AC212" i="17"/>
  <c r="X206" i="25"/>
  <c r="K206" i="25"/>
  <c r="A207" i="25"/>
  <c r="AB206" i="25"/>
  <c r="L206" i="25"/>
  <c r="AJ206" i="25"/>
  <c r="O206" i="25"/>
  <c r="AK206" i="25"/>
  <c r="AC206" i="25"/>
  <c r="I211" i="1"/>
  <c r="AA211" i="1"/>
  <c r="Z211" i="1" s="1"/>
  <c r="Y211" i="1" s="1"/>
  <c r="G211" i="1"/>
  <c r="BW211" i="6" s="1"/>
  <c r="X210" i="20"/>
  <c r="K210" i="20"/>
  <c r="A211" i="20"/>
  <c r="L210" i="20"/>
  <c r="AB210" i="20"/>
  <c r="AE26" i="7"/>
  <c r="AJ210" i="20"/>
  <c r="AK210" i="20"/>
  <c r="O210" i="20"/>
  <c r="AG26" i="7" s="1"/>
  <c r="AC210" i="20"/>
  <c r="X209" i="22"/>
  <c r="AB209" i="22"/>
  <c r="A210" i="22"/>
  <c r="L209" i="22"/>
  <c r="K209" i="22"/>
  <c r="AJ209" i="22"/>
  <c r="AK209" i="22"/>
  <c r="O209" i="22"/>
  <c r="AC209" i="22"/>
  <c r="E213" i="15" l="1"/>
  <c r="L214" i="15"/>
  <c r="D214" i="15" s="1"/>
  <c r="O214" i="15"/>
  <c r="K214" i="15"/>
  <c r="AK214" i="15"/>
  <c r="AB214" i="15"/>
  <c r="AJ214" i="15"/>
  <c r="X214" i="15"/>
  <c r="A215" i="15"/>
  <c r="AC214" i="15"/>
  <c r="K213" i="16"/>
  <c r="AB213" i="16"/>
  <c r="A214" i="16"/>
  <c r="AJ213" i="16"/>
  <c r="O213" i="16"/>
  <c r="L213" i="16"/>
  <c r="D213" i="16" s="1"/>
  <c r="X213" i="16"/>
  <c r="AK213" i="16"/>
  <c r="AC213" i="16"/>
  <c r="E212" i="16"/>
  <c r="AF26" i="7"/>
  <c r="K213" i="17"/>
  <c r="A214" i="17"/>
  <c r="X213" i="17"/>
  <c r="AB213" i="17"/>
  <c r="L213" i="17"/>
  <c r="O213" i="17"/>
  <c r="AK213" i="17"/>
  <c r="AJ213" i="17"/>
  <c r="AC213" i="17"/>
  <c r="G212" i="1"/>
  <c r="BW212" i="6" s="1"/>
  <c r="I212" i="1"/>
  <c r="AA212" i="1"/>
  <c r="Z212" i="1" s="1"/>
  <c r="Y212" i="1" s="1"/>
  <c r="S214" i="1"/>
  <c r="R214" i="1" s="1"/>
  <c r="P214" i="1" s="1"/>
  <c r="V214" i="1" s="1"/>
  <c r="AC215" i="1"/>
  <c r="Q215" i="1"/>
  <c r="AK215" i="1"/>
  <c r="O215" i="1"/>
  <c r="AB215" i="1"/>
  <c r="K215" i="1"/>
  <c r="L215" i="1"/>
  <c r="A216" i="1"/>
  <c r="AJ215" i="1"/>
  <c r="X215" i="1"/>
  <c r="U215" i="1"/>
  <c r="T215" i="1" s="1"/>
  <c r="K212" i="18"/>
  <c r="AJ212" i="18"/>
  <c r="X212" i="18"/>
  <c r="AB212" i="18"/>
  <c r="A213" i="18"/>
  <c r="L212" i="18"/>
  <c r="O212" i="18"/>
  <c r="AK212" i="18"/>
  <c r="AC212" i="18"/>
  <c r="F213" i="1"/>
  <c r="AB210" i="22"/>
  <c r="A211" i="22"/>
  <c r="X210" i="22"/>
  <c r="AE38" i="7"/>
  <c r="K210" i="22"/>
  <c r="L210" i="22"/>
  <c r="AJ210" i="22"/>
  <c r="AK210" i="22"/>
  <c r="O210" i="22"/>
  <c r="AG38" i="7" s="1"/>
  <c r="AC210" i="22"/>
  <c r="K211" i="20"/>
  <c r="X211" i="20"/>
  <c r="A212" i="20"/>
  <c r="AB211" i="20"/>
  <c r="L211" i="20"/>
  <c r="AK211" i="20"/>
  <c r="AJ211" i="20"/>
  <c r="O211" i="20"/>
  <c r="AC211" i="20"/>
  <c r="K207" i="25"/>
  <c r="A208" i="25"/>
  <c r="AB207" i="25"/>
  <c r="L207" i="25"/>
  <c r="X207" i="25"/>
  <c r="AJ207" i="25"/>
  <c r="O207" i="25"/>
  <c r="AK207" i="25"/>
  <c r="AC207" i="25"/>
  <c r="D214" i="1"/>
  <c r="E214" i="1" s="1"/>
  <c r="A210" i="23"/>
  <c r="AB209" i="23"/>
  <c r="X209" i="23"/>
  <c r="L209" i="23"/>
  <c r="K209" i="23"/>
  <c r="AK209" i="23"/>
  <c r="AJ209" i="23"/>
  <c r="O209" i="23"/>
  <c r="AC209" i="23"/>
  <c r="K208" i="24"/>
  <c r="L208" i="24"/>
  <c r="AB208" i="24"/>
  <c r="A209" i="24"/>
  <c r="X208" i="24"/>
  <c r="AJ208" i="24"/>
  <c r="AK208" i="24"/>
  <c r="O208" i="24"/>
  <c r="AC208" i="24"/>
  <c r="X215" i="15" l="1"/>
  <c r="L215" i="15"/>
  <c r="D215" i="15" s="1"/>
  <c r="AB215" i="15"/>
  <c r="AK215" i="15"/>
  <c r="AC215" i="15"/>
  <c r="A216" i="15"/>
  <c r="AJ215" i="15"/>
  <c r="K215" i="15"/>
  <c r="O215" i="15"/>
  <c r="E214" i="15"/>
  <c r="E213" i="16"/>
  <c r="AB214" i="16"/>
  <c r="A215" i="16"/>
  <c r="L214" i="16"/>
  <c r="D214" i="16" s="1"/>
  <c r="AK214" i="16"/>
  <c r="O214" i="16"/>
  <c r="K214" i="16"/>
  <c r="X214" i="16"/>
  <c r="AJ214" i="16"/>
  <c r="AC214" i="16"/>
  <c r="F214" i="1"/>
  <c r="A209" i="25"/>
  <c r="AB208" i="25"/>
  <c r="L208" i="25"/>
  <c r="K208" i="25"/>
  <c r="X208" i="25"/>
  <c r="AJ208" i="25"/>
  <c r="AK208" i="25"/>
  <c r="O208" i="25"/>
  <c r="AC208" i="25"/>
  <c r="A213" i="20"/>
  <c r="L212" i="20"/>
  <c r="AB212" i="20"/>
  <c r="X212" i="20"/>
  <c r="K212" i="20"/>
  <c r="AJ212" i="20"/>
  <c r="AK212" i="20"/>
  <c r="O212" i="20"/>
  <c r="AC212" i="20"/>
  <c r="K213" i="18"/>
  <c r="AJ213" i="18"/>
  <c r="X213" i="18"/>
  <c r="AB213" i="18"/>
  <c r="A214" i="18"/>
  <c r="L213" i="18"/>
  <c r="O213" i="18"/>
  <c r="AK213" i="18"/>
  <c r="AC213" i="18"/>
  <c r="AC216" i="1"/>
  <c r="Q216" i="1"/>
  <c r="X216" i="1"/>
  <c r="L216" i="1"/>
  <c r="AB216" i="1"/>
  <c r="O216" i="1"/>
  <c r="AK216" i="1"/>
  <c r="K216" i="1"/>
  <c r="A217" i="1"/>
  <c r="AJ216" i="1"/>
  <c r="U216" i="1"/>
  <c r="A210" i="24"/>
  <c r="X209" i="24"/>
  <c r="K209" i="24"/>
  <c r="L209" i="24"/>
  <c r="AB209" i="24"/>
  <c r="AJ209" i="24"/>
  <c r="AK209" i="24"/>
  <c r="O209" i="24"/>
  <c r="AC209" i="24"/>
  <c r="X210" i="23"/>
  <c r="A211" i="23"/>
  <c r="L210" i="23"/>
  <c r="AB210" i="23"/>
  <c r="K210" i="23"/>
  <c r="AE50" i="7"/>
  <c r="AJ210" i="23"/>
  <c r="AK210" i="23"/>
  <c r="O210" i="23"/>
  <c r="AG50" i="7" s="1"/>
  <c r="AC210" i="23"/>
  <c r="AF38" i="7"/>
  <c r="AB211" i="22"/>
  <c r="X211" i="22"/>
  <c r="A212" i="22"/>
  <c r="L211" i="22"/>
  <c r="K211" i="22"/>
  <c r="AJ211" i="22"/>
  <c r="AK211" i="22"/>
  <c r="O211" i="22"/>
  <c r="AC211" i="22"/>
  <c r="I213" i="1"/>
  <c r="AA213" i="1"/>
  <c r="Z213" i="1" s="1"/>
  <c r="Y213" i="1" s="1"/>
  <c r="G213" i="1"/>
  <c r="BW213" i="6" s="1"/>
  <c r="S215" i="1"/>
  <c r="R215" i="1" s="1"/>
  <c r="P215" i="1" s="1"/>
  <c r="V215" i="1" s="1"/>
  <c r="D215" i="1"/>
  <c r="E215" i="1" s="1"/>
  <c r="AB214" i="17"/>
  <c r="K214" i="17"/>
  <c r="L214" i="17"/>
  <c r="A215" i="17"/>
  <c r="X214" i="17"/>
  <c r="AJ214" i="17"/>
  <c r="O214" i="17"/>
  <c r="AK214" i="17"/>
  <c r="AC214" i="17"/>
  <c r="E215" i="15" l="1"/>
  <c r="K216" i="15"/>
  <c r="O216" i="15"/>
  <c r="A217" i="15"/>
  <c r="AJ216" i="15"/>
  <c r="X216" i="15"/>
  <c r="AK216" i="15"/>
  <c r="AB216" i="15"/>
  <c r="L216" i="15"/>
  <c r="D216" i="15" s="1"/>
  <c r="AC216" i="15"/>
  <c r="E214" i="16"/>
  <c r="K215" i="16"/>
  <c r="AB215" i="16"/>
  <c r="L215" i="16"/>
  <c r="D215" i="16" s="1"/>
  <c r="AK215" i="16"/>
  <c r="O215" i="16"/>
  <c r="A216" i="16"/>
  <c r="X215" i="16"/>
  <c r="AJ215" i="16"/>
  <c r="AC215" i="16"/>
  <c r="F215" i="1"/>
  <c r="A216" i="17"/>
  <c r="K215" i="17"/>
  <c r="AB215" i="17"/>
  <c r="X215" i="17"/>
  <c r="L215" i="17"/>
  <c r="AJ215" i="17"/>
  <c r="O215" i="17"/>
  <c r="AK215" i="17"/>
  <c r="AC215" i="17"/>
  <c r="X212" i="22"/>
  <c r="A213" i="22"/>
  <c r="L212" i="22"/>
  <c r="K212" i="22"/>
  <c r="AB212" i="22"/>
  <c r="AK212" i="22"/>
  <c r="AJ212" i="22"/>
  <c r="O212" i="22"/>
  <c r="AC212" i="22"/>
  <c r="A212" i="23"/>
  <c r="AB211" i="23"/>
  <c r="K211" i="23"/>
  <c r="X211" i="23"/>
  <c r="L211" i="23"/>
  <c r="AK211" i="23"/>
  <c r="AJ211" i="23"/>
  <c r="O211" i="23"/>
  <c r="AC211" i="23"/>
  <c r="AE62" i="7"/>
  <c r="L210" i="24"/>
  <c r="K210" i="24"/>
  <c r="A211" i="24"/>
  <c r="AB210" i="24"/>
  <c r="X210" i="24"/>
  <c r="AK210" i="24"/>
  <c r="O210" i="24"/>
  <c r="AG62" i="7" s="1"/>
  <c r="AJ210" i="24"/>
  <c r="AC210" i="24"/>
  <c r="T216" i="1"/>
  <c r="O217" i="1"/>
  <c r="Q217" i="1"/>
  <c r="AJ217" i="1"/>
  <c r="L217" i="1"/>
  <c r="X217" i="1"/>
  <c r="A218" i="1"/>
  <c r="AC217" i="1"/>
  <c r="AK217" i="1"/>
  <c r="K217" i="1"/>
  <c r="AB217" i="1"/>
  <c r="U217" i="1"/>
  <c r="T217" i="1" s="1"/>
  <c r="X213" i="20"/>
  <c r="K213" i="20"/>
  <c r="AB213" i="20"/>
  <c r="L213" i="20"/>
  <c r="A214" i="20"/>
  <c r="AJ213" i="20"/>
  <c r="AK213" i="20"/>
  <c r="O213" i="20"/>
  <c r="AC213" i="20"/>
  <c r="AF50" i="7"/>
  <c r="D216" i="1"/>
  <c r="E216" i="1" s="1"/>
  <c r="A215" i="18"/>
  <c r="L214" i="18"/>
  <c r="X214" i="18"/>
  <c r="K214" i="18"/>
  <c r="AB214" i="18"/>
  <c r="AJ214" i="18"/>
  <c r="O214" i="18"/>
  <c r="AK214" i="18"/>
  <c r="AC214" i="18"/>
  <c r="K209" i="25"/>
  <c r="AB209" i="25"/>
  <c r="X209" i="25"/>
  <c r="L209" i="25"/>
  <c r="A210" i="25"/>
  <c r="AJ209" i="25"/>
  <c r="AK209" i="25"/>
  <c r="O209" i="25"/>
  <c r="AC209" i="25"/>
  <c r="AA214" i="1"/>
  <c r="Z214" i="1" s="1"/>
  <c r="Y214" i="1" s="1"/>
  <c r="I214" i="1"/>
  <c r="G214" i="1"/>
  <c r="BW214" i="6" s="1"/>
  <c r="E216" i="15" l="1"/>
  <c r="A218" i="15"/>
  <c r="AJ217" i="15"/>
  <c r="AC217" i="15"/>
  <c r="L217" i="15"/>
  <c r="D217" i="15" s="1"/>
  <c r="X217" i="15"/>
  <c r="K217" i="15"/>
  <c r="O217" i="15"/>
  <c r="AB217" i="15"/>
  <c r="AK217" i="15"/>
  <c r="X216" i="16"/>
  <c r="AB216" i="16"/>
  <c r="AJ216" i="16"/>
  <c r="AC216" i="16"/>
  <c r="L216" i="16"/>
  <c r="D216" i="16" s="1"/>
  <c r="K216" i="16"/>
  <c r="A217" i="16"/>
  <c r="AK216" i="16"/>
  <c r="O216" i="16"/>
  <c r="E215" i="16"/>
  <c r="AB215" i="18"/>
  <c r="K215" i="18"/>
  <c r="AJ215" i="18"/>
  <c r="A216" i="18"/>
  <c r="L215" i="18"/>
  <c r="X215" i="18"/>
  <c r="AK215" i="18"/>
  <c r="O215" i="18"/>
  <c r="AC215" i="18"/>
  <c r="S217" i="1"/>
  <c r="R217" i="1" s="1"/>
  <c r="P217" i="1" s="1"/>
  <c r="V217" i="1" s="1"/>
  <c r="X213" i="22"/>
  <c r="A214" i="22"/>
  <c r="K213" i="22"/>
  <c r="L213" i="22"/>
  <c r="AB213" i="22"/>
  <c r="AK213" i="22"/>
  <c r="AJ213" i="22"/>
  <c r="O213" i="22"/>
  <c r="AC213" i="22"/>
  <c r="G215" i="1"/>
  <c r="BW215" i="6" s="1"/>
  <c r="AA215" i="1"/>
  <c r="Z215" i="1" s="1"/>
  <c r="Y215" i="1" s="1"/>
  <c r="I215" i="1"/>
  <c r="X210" i="25"/>
  <c r="L210" i="25"/>
  <c r="A211" i="25"/>
  <c r="K210" i="25"/>
  <c r="AE74" i="7"/>
  <c r="AB210" i="25"/>
  <c r="AJ210" i="25"/>
  <c r="O210" i="25"/>
  <c r="AG74" i="7" s="1"/>
  <c r="AK210" i="25"/>
  <c r="AC210" i="25"/>
  <c r="AB214" i="20"/>
  <c r="A215" i="20"/>
  <c r="X214" i="20"/>
  <c r="K214" i="20"/>
  <c r="L214" i="20"/>
  <c r="AJ214" i="20"/>
  <c r="AK214" i="20"/>
  <c r="O214" i="20"/>
  <c r="AC214" i="20"/>
  <c r="AB218" i="1"/>
  <c r="X218" i="1"/>
  <c r="Q218" i="1"/>
  <c r="K218" i="1"/>
  <c r="AJ218" i="1"/>
  <c r="O218" i="1"/>
  <c r="A219" i="1"/>
  <c r="AC218" i="1"/>
  <c r="AK218" i="1"/>
  <c r="L218" i="1"/>
  <c r="U218" i="1"/>
  <c r="T218" i="1" s="1"/>
  <c r="D217" i="1"/>
  <c r="E217" i="1" s="1"/>
  <c r="S216" i="1"/>
  <c r="R216" i="1" s="1"/>
  <c r="P216" i="1" s="1"/>
  <c r="V216" i="1" s="1"/>
  <c r="AB211" i="24"/>
  <c r="A212" i="24"/>
  <c r="K211" i="24"/>
  <c r="X211" i="24"/>
  <c r="L211" i="24"/>
  <c r="AK211" i="24"/>
  <c r="AJ211" i="24"/>
  <c r="O211" i="24"/>
  <c r="AC211" i="24"/>
  <c r="AF62" i="7"/>
  <c r="AB212" i="23"/>
  <c r="K212" i="23"/>
  <c r="L212" i="23"/>
  <c r="A213" i="23"/>
  <c r="X212" i="23"/>
  <c r="AJ212" i="23"/>
  <c r="AK212" i="23"/>
  <c r="O212" i="23"/>
  <c r="AC212" i="23"/>
  <c r="K216" i="17"/>
  <c r="A217" i="17"/>
  <c r="L216" i="17"/>
  <c r="X216" i="17"/>
  <c r="AB216" i="17"/>
  <c r="AJ216" i="17"/>
  <c r="AK216" i="17"/>
  <c r="O216" i="17"/>
  <c r="AC216" i="17"/>
  <c r="K218" i="15" l="1"/>
  <c r="AK218" i="15"/>
  <c r="L218" i="15"/>
  <c r="D218" i="15" s="1"/>
  <c r="AB218" i="15"/>
  <c r="AC218" i="15"/>
  <c r="A219" i="15"/>
  <c r="O218" i="15"/>
  <c r="X218" i="15"/>
  <c r="AJ218" i="15"/>
  <c r="E217" i="15"/>
  <c r="A218" i="16"/>
  <c r="L217" i="16"/>
  <c r="D217" i="16" s="1"/>
  <c r="K217" i="16"/>
  <c r="AK217" i="16"/>
  <c r="O217" i="16"/>
  <c r="AB217" i="16"/>
  <c r="X217" i="16"/>
  <c r="AJ217" i="16"/>
  <c r="AC217" i="16"/>
  <c r="E216" i="16"/>
  <c r="X217" i="17"/>
  <c r="A218" i="17"/>
  <c r="L217" i="17"/>
  <c r="AB217" i="17"/>
  <c r="K217" i="17"/>
  <c r="O217" i="17"/>
  <c r="AK217" i="17"/>
  <c r="AJ217" i="17"/>
  <c r="AC217" i="17"/>
  <c r="AB212" i="24"/>
  <c r="A213" i="24"/>
  <c r="L212" i="24"/>
  <c r="K212" i="24"/>
  <c r="X212" i="24"/>
  <c r="AJ212" i="24"/>
  <c r="AK212" i="24"/>
  <c r="O212" i="24"/>
  <c r="AC212" i="24"/>
  <c r="S218" i="1"/>
  <c r="R218" i="1" s="1"/>
  <c r="P218" i="1" s="1"/>
  <c r="V218" i="1" s="1"/>
  <c r="X219" i="1"/>
  <c r="AK219" i="1"/>
  <c r="K219" i="1"/>
  <c r="A220" i="1"/>
  <c r="AC219" i="1"/>
  <c r="AB219" i="1"/>
  <c r="O219" i="1"/>
  <c r="AJ219" i="1"/>
  <c r="L219" i="1"/>
  <c r="Q219" i="1"/>
  <c r="U219" i="1"/>
  <c r="T219" i="1" s="1"/>
  <c r="A216" i="20"/>
  <c r="AB215" i="20"/>
  <c r="K215" i="20"/>
  <c r="X215" i="20"/>
  <c r="L215" i="20"/>
  <c r="AJ215" i="20"/>
  <c r="AK215" i="20"/>
  <c r="O215" i="20"/>
  <c r="AC215" i="20"/>
  <c r="AF74" i="7"/>
  <c r="AB214" i="22"/>
  <c r="X214" i="22"/>
  <c r="A215" i="22"/>
  <c r="L214" i="22"/>
  <c r="K214" i="22"/>
  <c r="AJ214" i="22"/>
  <c r="AK214" i="22"/>
  <c r="O214" i="22"/>
  <c r="AC214" i="22"/>
  <c r="F217" i="1"/>
  <c r="A217" i="18"/>
  <c r="X216" i="18"/>
  <c r="AJ216" i="18"/>
  <c r="K216" i="18"/>
  <c r="L216" i="18"/>
  <c r="AB216" i="18"/>
  <c r="O216" i="18"/>
  <c r="AK216" i="18"/>
  <c r="AC216" i="18"/>
  <c r="F216" i="1"/>
  <c r="AB213" i="23"/>
  <c r="K213" i="23"/>
  <c r="L213" i="23"/>
  <c r="X213" i="23"/>
  <c r="A214" i="23"/>
  <c r="AJ213" i="23"/>
  <c r="AK213" i="23"/>
  <c r="O213" i="23"/>
  <c r="AC213" i="23"/>
  <c r="D218" i="1"/>
  <c r="E218" i="1" s="1"/>
  <c r="X211" i="25"/>
  <c r="L211" i="25"/>
  <c r="K211" i="25"/>
  <c r="AB211" i="25"/>
  <c r="A212" i="25"/>
  <c r="AJ211" i="25"/>
  <c r="AK211" i="25"/>
  <c r="O211" i="25"/>
  <c r="AC211" i="25"/>
  <c r="K219" i="15" l="1"/>
  <c r="O219" i="15"/>
  <c r="X219" i="15"/>
  <c r="AJ219" i="15"/>
  <c r="L219" i="15"/>
  <c r="D219" i="15" s="1"/>
  <c r="AK219" i="15"/>
  <c r="A220" i="15"/>
  <c r="AB219" i="15"/>
  <c r="AC219" i="15"/>
  <c r="E218" i="15"/>
  <c r="A219" i="16"/>
  <c r="L218" i="16"/>
  <c r="D218" i="16" s="1"/>
  <c r="AJ218" i="16"/>
  <c r="AC218" i="16"/>
  <c r="K218" i="16"/>
  <c r="AB218" i="16"/>
  <c r="X218" i="16"/>
  <c r="AK218" i="16"/>
  <c r="O218" i="16"/>
  <c r="F218" i="1"/>
  <c r="I218" i="1" s="1"/>
  <c r="E217" i="16"/>
  <c r="AA218" i="1"/>
  <c r="Z218" i="1" s="1"/>
  <c r="Y218" i="1" s="1"/>
  <c r="AB214" i="23"/>
  <c r="K214" i="23"/>
  <c r="L214" i="23"/>
  <c r="A215" i="23"/>
  <c r="X214" i="23"/>
  <c r="AJ214" i="23"/>
  <c r="AK214" i="23"/>
  <c r="O214" i="23"/>
  <c r="AC214" i="23"/>
  <c r="A218" i="18"/>
  <c r="K217" i="18"/>
  <c r="L217" i="18"/>
  <c r="X217" i="18"/>
  <c r="AJ217" i="18"/>
  <c r="AB217" i="18"/>
  <c r="O217" i="18"/>
  <c r="AK217" i="18"/>
  <c r="AC217" i="18"/>
  <c r="K215" i="22"/>
  <c r="AB215" i="22"/>
  <c r="L215" i="22"/>
  <c r="X215" i="22"/>
  <c r="A216" i="22"/>
  <c r="AJ215" i="22"/>
  <c r="AK215" i="22"/>
  <c r="O215" i="22"/>
  <c r="AC215" i="22"/>
  <c r="A217" i="20"/>
  <c r="L216" i="20"/>
  <c r="K216" i="20"/>
  <c r="X216" i="20"/>
  <c r="AB216" i="20"/>
  <c r="AJ216" i="20"/>
  <c r="AK216" i="20"/>
  <c r="O216" i="20"/>
  <c r="AC216" i="20"/>
  <c r="AJ220" i="1"/>
  <c r="X220" i="1"/>
  <c r="AK220" i="1"/>
  <c r="A221" i="1"/>
  <c r="AB220" i="1"/>
  <c r="AC220" i="1"/>
  <c r="L220" i="1"/>
  <c r="Q220" i="1"/>
  <c r="O220" i="1"/>
  <c r="K220" i="1"/>
  <c r="U220" i="1"/>
  <c r="T220" i="1" s="1"/>
  <c r="K212" i="25"/>
  <c r="AB212" i="25"/>
  <c r="A213" i="25"/>
  <c r="L212" i="25"/>
  <c r="X212" i="25"/>
  <c r="AK212" i="25"/>
  <c r="AJ212" i="25"/>
  <c r="O212" i="25"/>
  <c r="AC212" i="25"/>
  <c r="I216" i="1"/>
  <c r="AA216" i="1"/>
  <c r="Z216" i="1" s="1"/>
  <c r="Y216" i="1" s="1"/>
  <c r="G216" i="1"/>
  <c r="BW216" i="6" s="1"/>
  <c r="G217" i="1"/>
  <c r="BW217" i="6" s="1"/>
  <c r="I217" i="1"/>
  <c r="AA217" i="1"/>
  <c r="Z217" i="1" s="1"/>
  <c r="Y217" i="1" s="1"/>
  <c r="S219" i="1"/>
  <c r="R219" i="1" s="1"/>
  <c r="P219" i="1" s="1"/>
  <c r="V219" i="1" s="1"/>
  <c r="D219" i="1"/>
  <c r="E219" i="1" s="1"/>
  <c r="K213" i="24"/>
  <c r="A214" i="24"/>
  <c r="AB213" i="24"/>
  <c r="X213" i="24"/>
  <c r="L213" i="24"/>
  <c r="AJ213" i="24"/>
  <c r="AK213" i="24"/>
  <c r="O213" i="24"/>
  <c r="AC213" i="24"/>
  <c r="K218" i="17"/>
  <c r="AB218" i="17"/>
  <c r="A219" i="17"/>
  <c r="L218" i="17"/>
  <c r="X218" i="17"/>
  <c r="AJ218" i="17"/>
  <c r="O218" i="17"/>
  <c r="AK218" i="17"/>
  <c r="AC218" i="17"/>
  <c r="A221" i="15" l="1"/>
  <c r="O220" i="15"/>
  <c r="L220" i="15"/>
  <c r="D220" i="15" s="1"/>
  <c r="AJ220" i="15"/>
  <c r="AB220" i="15"/>
  <c r="AK220" i="15"/>
  <c r="X220" i="15"/>
  <c r="K220" i="15"/>
  <c r="AC220" i="15"/>
  <c r="E219" i="15"/>
  <c r="E218" i="16"/>
  <c r="G218" i="1"/>
  <c r="BW218" i="6" s="1"/>
  <c r="K219" i="16"/>
  <c r="AB219" i="16"/>
  <c r="AJ219" i="16"/>
  <c r="AC219" i="16"/>
  <c r="X219" i="16"/>
  <c r="A220" i="16"/>
  <c r="L219" i="16"/>
  <c r="D219" i="16" s="1"/>
  <c r="AK219" i="16"/>
  <c r="O219" i="16"/>
  <c r="AB219" i="17"/>
  <c r="A220" i="17"/>
  <c r="K219" i="17"/>
  <c r="L219" i="17"/>
  <c r="X219" i="17"/>
  <c r="AJ219" i="17"/>
  <c r="O219" i="17"/>
  <c r="AK219" i="17"/>
  <c r="AC219" i="17"/>
  <c r="A214" i="25"/>
  <c r="L213" i="25"/>
  <c r="X213" i="25"/>
  <c r="AB213" i="25"/>
  <c r="K213" i="25"/>
  <c r="AJ213" i="25"/>
  <c r="AK213" i="25"/>
  <c r="O213" i="25"/>
  <c r="AC213" i="25"/>
  <c r="X221" i="1"/>
  <c r="O221" i="1"/>
  <c r="K221" i="1"/>
  <c r="L221" i="1"/>
  <c r="Q221" i="1"/>
  <c r="AK221" i="1"/>
  <c r="AB221" i="1"/>
  <c r="AC221" i="1"/>
  <c r="AJ221" i="1"/>
  <c r="A222" i="1"/>
  <c r="U221" i="1"/>
  <c r="T221" i="1" s="1"/>
  <c r="S221" i="1" s="1"/>
  <c r="R221" i="1" s="1"/>
  <c r="P221" i="1" s="1"/>
  <c r="AB217" i="20"/>
  <c r="X217" i="20"/>
  <c r="A218" i="20"/>
  <c r="L217" i="20"/>
  <c r="K217" i="20"/>
  <c r="AJ217" i="20"/>
  <c r="AK217" i="20"/>
  <c r="O217" i="20"/>
  <c r="AC217" i="20"/>
  <c r="K218" i="18"/>
  <c r="L218" i="18"/>
  <c r="X218" i="18"/>
  <c r="AJ218" i="18"/>
  <c r="AB218" i="18"/>
  <c r="A219" i="18"/>
  <c r="AK218" i="18"/>
  <c r="O218" i="18"/>
  <c r="AC218" i="18"/>
  <c r="X214" i="24"/>
  <c r="L214" i="24"/>
  <c r="AB214" i="24"/>
  <c r="K214" i="24"/>
  <c r="A215" i="24"/>
  <c r="AK214" i="24"/>
  <c r="AJ214" i="24"/>
  <c r="O214" i="24"/>
  <c r="AC214" i="24"/>
  <c r="F219" i="1"/>
  <c r="S220" i="1"/>
  <c r="R220" i="1" s="1"/>
  <c r="P220" i="1" s="1"/>
  <c r="V220" i="1" s="1"/>
  <c r="D220" i="1"/>
  <c r="E220" i="1" s="1"/>
  <c r="AB216" i="22"/>
  <c r="A217" i="22"/>
  <c r="K216" i="22"/>
  <c r="X216" i="22"/>
  <c r="L216" i="22"/>
  <c r="AJ216" i="22"/>
  <c r="AK216" i="22"/>
  <c r="O216" i="22"/>
  <c r="AC216" i="22"/>
  <c r="AB215" i="23"/>
  <c r="K215" i="23"/>
  <c r="A216" i="23"/>
  <c r="X215" i="23"/>
  <c r="L215" i="23"/>
  <c r="AJ215" i="23"/>
  <c r="AK215" i="23"/>
  <c r="O215" i="23"/>
  <c r="AC215" i="23"/>
  <c r="E220" i="15" l="1"/>
  <c r="K221" i="15"/>
  <c r="AJ221" i="15"/>
  <c r="A222" i="15"/>
  <c r="X221" i="15"/>
  <c r="AC221" i="15"/>
  <c r="AB221" i="15"/>
  <c r="O221" i="15"/>
  <c r="L221" i="15"/>
  <c r="D221" i="15" s="1"/>
  <c r="AK221" i="15"/>
  <c r="X220" i="16"/>
  <c r="A221" i="16"/>
  <c r="L220" i="16"/>
  <c r="D220" i="16" s="1"/>
  <c r="AJ220" i="16"/>
  <c r="O220" i="16"/>
  <c r="AB220" i="16"/>
  <c r="K220" i="16"/>
  <c r="AK220" i="16"/>
  <c r="AC220" i="16"/>
  <c r="E219" i="16"/>
  <c r="F220" i="1"/>
  <c r="I219" i="1"/>
  <c r="G219" i="1"/>
  <c r="BW219" i="6" s="1"/>
  <c r="AA219" i="1"/>
  <c r="Z219" i="1" s="1"/>
  <c r="Y219" i="1" s="1"/>
  <c r="X219" i="18"/>
  <c r="K219" i="18"/>
  <c r="AJ219" i="18"/>
  <c r="A220" i="18"/>
  <c r="L219" i="18"/>
  <c r="AB219" i="18"/>
  <c r="O219" i="18"/>
  <c r="AK219" i="18"/>
  <c r="AC219" i="18"/>
  <c r="AB218" i="20"/>
  <c r="L218" i="20"/>
  <c r="X218" i="20"/>
  <c r="A219" i="20"/>
  <c r="K218" i="20"/>
  <c r="AJ218" i="20"/>
  <c r="AK218" i="20"/>
  <c r="O218" i="20"/>
  <c r="AC218" i="20"/>
  <c r="AJ222" i="1"/>
  <c r="A223" i="1"/>
  <c r="AB222" i="1"/>
  <c r="AK222" i="1"/>
  <c r="Q222" i="1"/>
  <c r="AC222" i="1"/>
  <c r="O222" i="1"/>
  <c r="X222" i="1"/>
  <c r="L222" i="1"/>
  <c r="K222" i="1"/>
  <c r="U222" i="1"/>
  <c r="T222" i="1" s="1"/>
  <c r="D221" i="1"/>
  <c r="V221" i="1"/>
  <c r="E221" i="1"/>
  <c r="X214" i="25"/>
  <c r="A215" i="25"/>
  <c r="K214" i="25"/>
  <c r="AB214" i="25"/>
  <c r="L214" i="25"/>
  <c r="AJ214" i="25"/>
  <c r="AK214" i="25"/>
  <c r="O214" i="25"/>
  <c r="AC214" i="25"/>
  <c r="AB216" i="23"/>
  <c r="X216" i="23"/>
  <c r="K216" i="23"/>
  <c r="L216" i="23"/>
  <c r="A217" i="23"/>
  <c r="AK216" i="23"/>
  <c r="AJ216" i="23"/>
  <c r="O216" i="23"/>
  <c r="AC216" i="23"/>
  <c r="A218" i="22"/>
  <c r="AB217" i="22"/>
  <c r="K217" i="22"/>
  <c r="L217" i="22"/>
  <c r="X217" i="22"/>
  <c r="AJ217" i="22"/>
  <c r="AK217" i="22"/>
  <c r="O217" i="22"/>
  <c r="AC217" i="22"/>
  <c r="A216" i="24"/>
  <c r="L215" i="24"/>
  <c r="AB215" i="24"/>
  <c r="X215" i="24"/>
  <c r="K215" i="24"/>
  <c r="AJ215" i="24"/>
  <c r="AK215" i="24"/>
  <c r="O215" i="24"/>
  <c r="AC215" i="24"/>
  <c r="X220" i="17"/>
  <c r="L220" i="17"/>
  <c r="AB220" i="17"/>
  <c r="A221" i="17"/>
  <c r="K220" i="17"/>
  <c r="AK220" i="17"/>
  <c r="AJ220" i="17"/>
  <c r="O220" i="17"/>
  <c r="AC220" i="17"/>
  <c r="AB222" i="15" l="1"/>
  <c r="A223" i="15"/>
  <c r="AJ222" i="15"/>
  <c r="X222" i="15"/>
  <c r="L222" i="15"/>
  <c r="D222" i="15" s="1"/>
  <c r="AK222" i="15"/>
  <c r="K222" i="15"/>
  <c r="O222" i="15"/>
  <c r="AC222" i="15"/>
  <c r="E221" i="15"/>
  <c r="X221" i="16"/>
  <c r="L221" i="16"/>
  <c r="D221" i="16" s="1"/>
  <c r="AJ221" i="16"/>
  <c r="AC221" i="16"/>
  <c r="AB221" i="16"/>
  <c r="K221" i="16"/>
  <c r="A222" i="16"/>
  <c r="AK221" i="16"/>
  <c r="O221" i="16"/>
  <c r="F221" i="1"/>
  <c r="G221" i="1" s="1"/>
  <c r="BW221" i="6" s="1"/>
  <c r="E220" i="16"/>
  <c r="X216" i="24"/>
  <c r="AB216" i="24"/>
  <c r="L216" i="24"/>
  <c r="A217" i="24"/>
  <c r="K216" i="24"/>
  <c r="AJ216" i="24"/>
  <c r="AK216" i="24"/>
  <c r="O216" i="24"/>
  <c r="AC216" i="24"/>
  <c r="A218" i="23"/>
  <c r="AB217" i="23"/>
  <c r="L217" i="23"/>
  <c r="K217" i="23"/>
  <c r="X217" i="23"/>
  <c r="AJ217" i="23"/>
  <c r="AK217" i="23"/>
  <c r="O217" i="23"/>
  <c r="AC217" i="23"/>
  <c r="A216" i="25"/>
  <c r="X215" i="25"/>
  <c r="AB215" i="25"/>
  <c r="K215" i="25"/>
  <c r="L215" i="25"/>
  <c r="AJ215" i="25"/>
  <c r="O215" i="25"/>
  <c r="AK215" i="25"/>
  <c r="AC215" i="25"/>
  <c r="O223" i="1"/>
  <c r="AJ223" i="1"/>
  <c r="AC223" i="1"/>
  <c r="L223" i="1"/>
  <c r="Q223" i="1"/>
  <c r="A224" i="1"/>
  <c r="K223" i="1"/>
  <c r="AB223" i="1"/>
  <c r="AK223" i="1"/>
  <c r="X223" i="1"/>
  <c r="U223" i="1"/>
  <c r="T223" i="1" s="1"/>
  <c r="X220" i="18"/>
  <c r="A221" i="18"/>
  <c r="L220" i="18"/>
  <c r="AB220" i="18"/>
  <c r="AJ220" i="18"/>
  <c r="K220" i="18"/>
  <c r="O220" i="18"/>
  <c r="AK220" i="18"/>
  <c r="AC220" i="18"/>
  <c r="AA220" i="1"/>
  <c r="Z220" i="1" s="1"/>
  <c r="Y220" i="1" s="1"/>
  <c r="I220" i="1"/>
  <c r="G220" i="1"/>
  <c r="BW220" i="6" s="1"/>
  <c r="K221" i="17"/>
  <c r="L221" i="17"/>
  <c r="X221" i="17"/>
  <c r="A222" i="17"/>
  <c r="AB221" i="17"/>
  <c r="AJ221" i="17"/>
  <c r="O221" i="17"/>
  <c r="AK221" i="17"/>
  <c r="AC221" i="17"/>
  <c r="A219" i="22"/>
  <c r="AB218" i="22"/>
  <c r="L218" i="22"/>
  <c r="X218" i="22"/>
  <c r="K218" i="22"/>
  <c r="AK218" i="22"/>
  <c r="AJ218" i="22"/>
  <c r="O218" i="22"/>
  <c r="AC218" i="22"/>
  <c r="S222" i="1"/>
  <c r="R222" i="1" s="1"/>
  <c r="P222" i="1" s="1"/>
  <c r="V222" i="1" s="1"/>
  <c r="D222" i="1"/>
  <c r="E222" i="1" s="1"/>
  <c r="AB219" i="20"/>
  <c r="K219" i="20"/>
  <c r="X219" i="20"/>
  <c r="A220" i="20"/>
  <c r="L219" i="20"/>
  <c r="AJ219" i="20"/>
  <c r="AK219" i="20"/>
  <c r="O219" i="20"/>
  <c r="AC219" i="20"/>
  <c r="AA221" i="1" l="1"/>
  <c r="Z221" i="1" s="1"/>
  <c r="Y221" i="1" s="1"/>
  <c r="I221" i="1"/>
  <c r="A224" i="15"/>
  <c r="AJ223" i="15"/>
  <c r="K223" i="15"/>
  <c r="AK223" i="15"/>
  <c r="AB223" i="15"/>
  <c r="L223" i="15"/>
  <c r="D223" i="15" s="1"/>
  <c r="AC223" i="15"/>
  <c r="X223" i="15"/>
  <c r="O223" i="15"/>
  <c r="E222" i="15"/>
  <c r="F222" i="1"/>
  <c r="AA222" i="1" s="1"/>
  <c r="Z222" i="1" s="1"/>
  <c r="Y222" i="1" s="1"/>
  <c r="A223" i="16"/>
  <c r="AB222" i="16"/>
  <c r="L222" i="16"/>
  <c r="D222" i="16" s="1"/>
  <c r="AJ222" i="16"/>
  <c r="O222" i="16"/>
  <c r="K222" i="16"/>
  <c r="X222" i="16"/>
  <c r="AK222" i="16"/>
  <c r="AC222" i="16"/>
  <c r="E221" i="16"/>
  <c r="AB219" i="22"/>
  <c r="X219" i="22"/>
  <c r="A220" i="22"/>
  <c r="L219" i="22"/>
  <c r="K219" i="22"/>
  <c r="AJ219" i="22"/>
  <c r="AK219" i="22"/>
  <c r="O219" i="22"/>
  <c r="AC219" i="22"/>
  <c r="K224" i="1"/>
  <c r="L224" i="1"/>
  <c r="AC224" i="1"/>
  <c r="Q224" i="1"/>
  <c r="A225" i="1"/>
  <c r="AK224" i="1"/>
  <c r="O224" i="1"/>
  <c r="AJ224" i="1"/>
  <c r="X224" i="1"/>
  <c r="AB224" i="1"/>
  <c r="U224" i="1"/>
  <c r="D223" i="1"/>
  <c r="E223" i="1" s="1"/>
  <c r="AB218" i="23"/>
  <c r="L218" i="23"/>
  <c r="X218" i="23"/>
  <c r="A219" i="23"/>
  <c r="K218" i="23"/>
  <c r="AK218" i="23"/>
  <c r="AJ218" i="23"/>
  <c r="O218" i="23"/>
  <c r="AC218" i="23"/>
  <c r="K217" i="24"/>
  <c r="A218" i="24"/>
  <c r="AB217" i="24"/>
  <c r="X217" i="24"/>
  <c r="L217" i="24"/>
  <c r="AK217" i="24"/>
  <c r="AJ217" i="24"/>
  <c r="O217" i="24"/>
  <c r="AC217" i="24"/>
  <c r="X220" i="20"/>
  <c r="AB220" i="20"/>
  <c r="A221" i="20"/>
  <c r="L220" i="20"/>
  <c r="K220" i="20"/>
  <c r="AJ220" i="20"/>
  <c r="AK220" i="20"/>
  <c r="O220" i="20"/>
  <c r="AC220" i="20"/>
  <c r="X222" i="17"/>
  <c r="L222" i="17"/>
  <c r="A223" i="17"/>
  <c r="AB222" i="17"/>
  <c r="K222" i="17"/>
  <c r="AJ222" i="17"/>
  <c r="O222" i="17"/>
  <c r="AK222" i="17"/>
  <c r="AC222" i="17"/>
  <c r="AB221" i="18"/>
  <c r="AJ221" i="18"/>
  <c r="L221" i="18"/>
  <c r="K221" i="18"/>
  <c r="X221" i="18"/>
  <c r="A222" i="18"/>
  <c r="O221" i="18"/>
  <c r="AK221" i="18"/>
  <c r="AC221" i="18"/>
  <c r="S223" i="1"/>
  <c r="R223" i="1" s="1"/>
  <c r="P223" i="1" s="1"/>
  <c r="V223" i="1" s="1"/>
  <c r="A217" i="25"/>
  <c r="K216" i="25"/>
  <c r="L216" i="25"/>
  <c r="AB216" i="25"/>
  <c r="X216" i="25"/>
  <c r="AJ216" i="25"/>
  <c r="O216" i="25"/>
  <c r="AK216" i="25"/>
  <c r="AC216" i="25"/>
  <c r="G222" i="1" l="1"/>
  <c r="BW222" i="6" s="1"/>
  <c r="E223" i="15"/>
  <c r="X224" i="15"/>
  <c r="AJ224" i="15"/>
  <c r="L224" i="15"/>
  <c r="D224" i="15" s="1"/>
  <c r="AK224" i="15"/>
  <c r="K224" i="15"/>
  <c r="AB224" i="15"/>
  <c r="AC224" i="15"/>
  <c r="A225" i="15"/>
  <c r="O224" i="15"/>
  <c r="I222" i="1"/>
  <c r="E222" i="16"/>
  <c r="A224" i="16"/>
  <c r="AB223" i="16"/>
  <c r="AJ223" i="16"/>
  <c r="AC223" i="16"/>
  <c r="L223" i="16"/>
  <c r="D223" i="16" s="1"/>
  <c r="K223" i="16"/>
  <c r="X223" i="16"/>
  <c r="AK223" i="16"/>
  <c r="O223" i="16"/>
  <c r="A218" i="25"/>
  <c r="X217" i="25"/>
  <c r="AB217" i="25"/>
  <c r="K217" i="25"/>
  <c r="L217" i="25"/>
  <c r="AK217" i="25"/>
  <c r="AJ217" i="25"/>
  <c r="O217" i="25"/>
  <c r="AC217" i="25"/>
  <c r="K221" i="20"/>
  <c r="L221" i="20"/>
  <c r="A222" i="20"/>
  <c r="X221" i="20"/>
  <c r="AB221" i="20"/>
  <c r="AJ221" i="20"/>
  <c r="AK221" i="20"/>
  <c r="O221" i="20"/>
  <c r="AC221" i="20"/>
  <c r="A219" i="24"/>
  <c r="L218" i="24"/>
  <c r="AB218" i="24"/>
  <c r="K218" i="24"/>
  <c r="X218" i="24"/>
  <c r="AK218" i="24"/>
  <c r="AJ218" i="24"/>
  <c r="O218" i="24"/>
  <c r="AC218" i="24"/>
  <c r="T224" i="1"/>
  <c r="K225" i="1"/>
  <c r="AJ225" i="1"/>
  <c r="A226" i="1"/>
  <c r="L225" i="1"/>
  <c r="AB225" i="1"/>
  <c r="AC225" i="1"/>
  <c r="AK225" i="1"/>
  <c r="O225" i="1"/>
  <c r="X225" i="1"/>
  <c r="Q225" i="1"/>
  <c r="U225" i="1"/>
  <c r="T225" i="1" s="1"/>
  <c r="X220" i="22"/>
  <c r="AB220" i="22"/>
  <c r="K220" i="22"/>
  <c r="L220" i="22"/>
  <c r="A221" i="22"/>
  <c r="AK220" i="22"/>
  <c r="AJ220" i="22"/>
  <c r="O220" i="22"/>
  <c r="AC220" i="22"/>
  <c r="F223" i="1"/>
  <c r="AB222" i="18"/>
  <c r="AJ222" i="18"/>
  <c r="X222" i="18"/>
  <c r="K222" i="18"/>
  <c r="A223" i="18"/>
  <c r="L222" i="18"/>
  <c r="AK222" i="18"/>
  <c r="O222" i="18"/>
  <c r="AC222" i="18"/>
  <c r="K223" i="17"/>
  <c r="L223" i="17"/>
  <c r="A224" i="17"/>
  <c r="AB223" i="17"/>
  <c r="X223" i="17"/>
  <c r="AJ223" i="17"/>
  <c r="AK223" i="17"/>
  <c r="O223" i="17"/>
  <c r="AC223" i="17"/>
  <c r="A220" i="23"/>
  <c r="X219" i="23"/>
  <c r="AB219" i="23"/>
  <c r="L219" i="23"/>
  <c r="K219" i="23"/>
  <c r="AJ219" i="23"/>
  <c r="AK219" i="23"/>
  <c r="O219" i="23"/>
  <c r="AC219" i="23"/>
  <c r="D224" i="1"/>
  <c r="E224" i="1" s="1"/>
  <c r="A226" i="15" l="1"/>
  <c r="AB225" i="15"/>
  <c r="AC225" i="15"/>
  <c r="X225" i="15"/>
  <c r="O225" i="15"/>
  <c r="K225" i="15"/>
  <c r="AK225" i="15"/>
  <c r="L225" i="15"/>
  <c r="D225" i="15" s="1"/>
  <c r="AJ225" i="15"/>
  <c r="E224" i="15"/>
  <c r="E223" i="16"/>
  <c r="AB224" i="16"/>
  <c r="X224" i="16"/>
  <c r="A225" i="16"/>
  <c r="AJ224" i="16"/>
  <c r="O224" i="16"/>
  <c r="L224" i="16"/>
  <c r="D224" i="16" s="1"/>
  <c r="K224" i="16"/>
  <c r="AK224" i="16"/>
  <c r="AC224" i="16"/>
  <c r="AB223" i="18"/>
  <c r="AJ223" i="18"/>
  <c r="K223" i="18"/>
  <c r="X223" i="18"/>
  <c r="A224" i="18"/>
  <c r="L223" i="18"/>
  <c r="O223" i="18"/>
  <c r="AK223" i="18"/>
  <c r="AC223" i="18"/>
  <c r="AB221" i="22"/>
  <c r="K221" i="22"/>
  <c r="A222" i="22"/>
  <c r="L221" i="22"/>
  <c r="X221" i="22"/>
  <c r="AK221" i="22"/>
  <c r="AJ221" i="22"/>
  <c r="O221" i="22"/>
  <c r="AC221" i="22"/>
  <c r="D225" i="1"/>
  <c r="E225" i="1" s="1"/>
  <c r="S224" i="1"/>
  <c r="R224" i="1" s="1"/>
  <c r="P224" i="1" s="1"/>
  <c r="V224" i="1" s="1"/>
  <c r="F224" i="1" s="1"/>
  <c r="AB218" i="25"/>
  <c r="X218" i="25"/>
  <c r="K218" i="25"/>
  <c r="A219" i="25"/>
  <c r="L218" i="25"/>
  <c r="AJ218" i="25"/>
  <c r="O218" i="25"/>
  <c r="AK218" i="25"/>
  <c r="AC218" i="25"/>
  <c r="AB220" i="23"/>
  <c r="L220" i="23"/>
  <c r="K220" i="23"/>
  <c r="X220" i="23"/>
  <c r="A221" i="23"/>
  <c r="AJ220" i="23"/>
  <c r="AK220" i="23"/>
  <c r="O220" i="23"/>
  <c r="AC220" i="23"/>
  <c r="AB224" i="17"/>
  <c r="L224" i="17"/>
  <c r="X224" i="17"/>
  <c r="K224" i="17"/>
  <c r="A225" i="17"/>
  <c r="O224" i="17"/>
  <c r="AJ224" i="17"/>
  <c r="AK224" i="17"/>
  <c r="AC224" i="17"/>
  <c r="G223" i="1"/>
  <c r="BW223" i="6" s="1"/>
  <c r="I223" i="1"/>
  <c r="AA223" i="1"/>
  <c r="Z223" i="1" s="1"/>
  <c r="Y223" i="1" s="1"/>
  <c r="S225" i="1"/>
  <c r="R225" i="1" s="1"/>
  <c r="P225" i="1" s="1"/>
  <c r="V225" i="1" s="1"/>
  <c r="F225" i="1" s="1"/>
  <c r="AB226" i="1"/>
  <c r="Q226" i="1"/>
  <c r="L226" i="1"/>
  <c r="X226" i="1"/>
  <c r="AK226" i="1"/>
  <c r="AC226" i="1"/>
  <c r="K226" i="1"/>
  <c r="O226" i="1"/>
  <c r="AJ226" i="1"/>
  <c r="A227" i="1"/>
  <c r="U226" i="1"/>
  <c r="T226" i="1" s="1"/>
  <c r="X219" i="24"/>
  <c r="AB219" i="24"/>
  <c r="L219" i="24"/>
  <c r="A220" i="24"/>
  <c r="K219" i="24"/>
  <c r="AK219" i="24"/>
  <c r="AJ219" i="24"/>
  <c r="O219" i="24"/>
  <c r="AC219" i="24"/>
  <c r="X222" i="20"/>
  <c r="AB222" i="20"/>
  <c r="A223" i="20"/>
  <c r="L222" i="20"/>
  <c r="K222" i="20"/>
  <c r="AK222" i="20"/>
  <c r="AJ222" i="20"/>
  <c r="O222" i="20"/>
  <c r="AC222" i="20"/>
  <c r="E225" i="15" l="1"/>
  <c r="X226" i="15"/>
  <c r="AJ226" i="15"/>
  <c r="K226" i="15"/>
  <c r="AB226" i="15"/>
  <c r="AC226" i="15"/>
  <c r="A227" i="15"/>
  <c r="O226" i="15"/>
  <c r="L226" i="15"/>
  <c r="D226" i="15" s="1"/>
  <c r="AK226" i="15"/>
  <c r="E224" i="16"/>
  <c r="A226" i="16"/>
  <c r="X225" i="16"/>
  <c r="AK225" i="16"/>
  <c r="AC225" i="16"/>
  <c r="L225" i="16"/>
  <c r="D225" i="16" s="1"/>
  <c r="AB225" i="16"/>
  <c r="K225" i="16"/>
  <c r="AJ225" i="16"/>
  <c r="O225" i="16"/>
  <c r="AA225" i="1"/>
  <c r="Z225" i="1" s="1"/>
  <c r="Y225" i="1" s="1"/>
  <c r="I225" i="1"/>
  <c r="G225" i="1"/>
  <c r="BW225" i="6" s="1"/>
  <c r="G224" i="1"/>
  <c r="BW224" i="6" s="1"/>
  <c r="AA224" i="1"/>
  <c r="Z224" i="1" s="1"/>
  <c r="Y224" i="1" s="1"/>
  <c r="I224" i="1"/>
  <c r="A224" i="20"/>
  <c r="L223" i="20"/>
  <c r="K223" i="20"/>
  <c r="X223" i="20"/>
  <c r="AB223" i="20"/>
  <c r="AJ223" i="20"/>
  <c r="AK223" i="20"/>
  <c r="O223" i="20"/>
  <c r="AC223" i="20"/>
  <c r="AB220" i="24"/>
  <c r="K220" i="24"/>
  <c r="A221" i="24"/>
  <c r="X220" i="24"/>
  <c r="L220" i="24"/>
  <c r="AJ220" i="24"/>
  <c r="AK220" i="24"/>
  <c r="O220" i="24"/>
  <c r="AC220" i="24"/>
  <c r="S226" i="1"/>
  <c r="R226" i="1" s="1"/>
  <c r="P226" i="1" s="1"/>
  <c r="V226" i="1" s="1"/>
  <c r="H61" i="19" s="1"/>
  <c r="D226" i="1"/>
  <c r="E226" i="1" s="1"/>
  <c r="AB221" i="23"/>
  <c r="A222" i="23"/>
  <c r="K221" i="23"/>
  <c r="L221" i="23"/>
  <c r="X221" i="23"/>
  <c r="AJ221" i="23"/>
  <c r="AK221" i="23"/>
  <c r="O221" i="23"/>
  <c r="AC221" i="23"/>
  <c r="A220" i="25"/>
  <c r="AB219" i="25"/>
  <c r="L219" i="25"/>
  <c r="K219" i="25"/>
  <c r="X219" i="25"/>
  <c r="AJ219" i="25"/>
  <c r="O219" i="25"/>
  <c r="AK219" i="25"/>
  <c r="AC219" i="25"/>
  <c r="A223" i="22"/>
  <c r="L222" i="22"/>
  <c r="AB222" i="22"/>
  <c r="K222" i="22"/>
  <c r="X222" i="22"/>
  <c r="AK222" i="22"/>
  <c r="AJ222" i="22"/>
  <c r="O222" i="22"/>
  <c r="AC222" i="22"/>
  <c r="K224" i="18"/>
  <c r="L224" i="18"/>
  <c r="X224" i="18"/>
  <c r="AB224" i="18"/>
  <c r="A225" i="18"/>
  <c r="AJ224" i="18"/>
  <c r="O224" i="18"/>
  <c r="AK224" i="18"/>
  <c r="AC224" i="18"/>
  <c r="AB227" i="1"/>
  <c r="AC227" i="1"/>
  <c r="AJ227" i="1"/>
  <c r="X227" i="1"/>
  <c r="A228" i="1"/>
  <c r="AK227" i="1"/>
  <c r="K227" i="1"/>
  <c r="L227" i="1"/>
  <c r="O227" i="1"/>
  <c r="Q227" i="1"/>
  <c r="U227" i="1"/>
  <c r="T227" i="1" s="1"/>
  <c r="S227" i="1" s="1"/>
  <c r="R227" i="1" s="1"/>
  <c r="AB225" i="17"/>
  <c r="K225" i="17"/>
  <c r="X225" i="17"/>
  <c r="L225" i="17"/>
  <c r="A226" i="17"/>
  <c r="AJ225" i="17"/>
  <c r="AK225" i="17"/>
  <c r="O225" i="17"/>
  <c r="AC225" i="17"/>
  <c r="E226" i="15" l="1"/>
  <c r="K227" i="15"/>
  <c r="AB227" i="15"/>
  <c r="AK227" i="15"/>
  <c r="A228" i="15"/>
  <c r="AC227" i="15"/>
  <c r="AJ227" i="15"/>
  <c r="L227" i="15"/>
  <c r="D227" i="15" s="1"/>
  <c r="O227" i="15"/>
  <c r="X227" i="15"/>
  <c r="P227" i="1"/>
  <c r="V227" i="1" s="1"/>
  <c r="E225" i="16"/>
  <c r="X226" i="16"/>
  <c r="L226" i="16"/>
  <c r="D226" i="16" s="1"/>
  <c r="K226" i="16"/>
  <c r="AK226" i="16"/>
  <c r="O226" i="16"/>
  <c r="AB226" i="16"/>
  <c r="A227" i="16"/>
  <c r="AJ226" i="16"/>
  <c r="AC226" i="16"/>
  <c r="F226" i="1"/>
  <c r="AB226" i="17"/>
  <c r="L226" i="17"/>
  <c r="X226" i="17"/>
  <c r="A227" i="17"/>
  <c r="K226" i="17"/>
  <c r="AJ226" i="17"/>
  <c r="O226" i="17"/>
  <c r="AK226" i="17"/>
  <c r="AC226" i="17"/>
  <c r="O228" i="1"/>
  <c r="A229" i="1"/>
  <c r="AJ228" i="1"/>
  <c r="K228" i="1"/>
  <c r="X228" i="1"/>
  <c r="AB228" i="1"/>
  <c r="AC228" i="1"/>
  <c r="AK228" i="1"/>
  <c r="L228" i="1"/>
  <c r="Q228" i="1"/>
  <c r="U228" i="1"/>
  <c r="K223" i="22"/>
  <c r="L223" i="22"/>
  <c r="A224" i="22"/>
  <c r="AB223" i="22"/>
  <c r="X223" i="22"/>
  <c r="AJ223" i="22"/>
  <c r="AK223" i="22"/>
  <c r="O223" i="22"/>
  <c r="AC223" i="22"/>
  <c r="A225" i="20"/>
  <c r="K224" i="20"/>
  <c r="X224" i="20"/>
  <c r="L224" i="20"/>
  <c r="AB224" i="20"/>
  <c r="AJ224" i="20"/>
  <c r="AK224" i="20"/>
  <c r="O224" i="20"/>
  <c r="AC224" i="20"/>
  <c r="D227" i="1"/>
  <c r="E227" i="1" s="1"/>
  <c r="X225" i="18"/>
  <c r="AJ225" i="18"/>
  <c r="K225" i="18"/>
  <c r="A226" i="18"/>
  <c r="AB225" i="18"/>
  <c r="L225" i="18"/>
  <c r="AK225" i="18"/>
  <c r="O225" i="18"/>
  <c r="AC225" i="18"/>
  <c r="AB220" i="25"/>
  <c r="X220" i="25"/>
  <c r="L220" i="25"/>
  <c r="K220" i="25"/>
  <c r="A221" i="25"/>
  <c r="AJ220" i="25"/>
  <c r="O220" i="25"/>
  <c r="AK220" i="25"/>
  <c r="AC220" i="25"/>
  <c r="X222" i="23"/>
  <c r="A223" i="23"/>
  <c r="L222" i="23"/>
  <c r="AB222" i="23"/>
  <c r="K222" i="23"/>
  <c r="AJ222" i="23"/>
  <c r="AK222" i="23"/>
  <c r="O222" i="23"/>
  <c r="AC222" i="23"/>
  <c r="AB221" i="24"/>
  <c r="K221" i="24"/>
  <c r="A222" i="24"/>
  <c r="X221" i="24"/>
  <c r="L221" i="24"/>
  <c r="AJ221" i="24"/>
  <c r="AK221" i="24"/>
  <c r="O221" i="24"/>
  <c r="AC221" i="24"/>
  <c r="E227" i="15" l="1"/>
  <c r="A229" i="15"/>
  <c r="AJ228" i="15"/>
  <c r="K228" i="15"/>
  <c r="AK228" i="15"/>
  <c r="L228" i="15"/>
  <c r="D228" i="15" s="1"/>
  <c r="AB228" i="15"/>
  <c r="O228" i="15"/>
  <c r="E228" i="15" s="1"/>
  <c r="X228" i="15"/>
  <c r="AC228" i="15"/>
  <c r="E226" i="16"/>
  <c r="K227" i="16"/>
  <c r="L227" i="16"/>
  <c r="D227" i="16" s="1"/>
  <c r="AJ227" i="16"/>
  <c r="AC227" i="16"/>
  <c r="X227" i="16"/>
  <c r="A228" i="16"/>
  <c r="AB227" i="16"/>
  <c r="AK227" i="16"/>
  <c r="O227" i="16"/>
  <c r="AB222" i="24"/>
  <c r="K222" i="24"/>
  <c r="A223" i="24"/>
  <c r="L222" i="24"/>
  <c r="X222" i="24"/>
  <c r="AJ222" i="24"/>
  <c r="AK222" i="24"/>
  <c r="O222" i="24"/>
  <c r="AC222" i="24"/>
  <c r="K223" i="23"/>
  <c r="L223" i="23"/>
  <c r="A224" i="23"/>
  <c r="AB223" i="23"/>
  <c r="X223" i="23"/>
  <c r="AJ223" i="23"/>
  <c r="AK223" i="23"/>
  <c r="O223" i="23"/>
  <c r="AC223" i="23"/>
  <c r="A222" i="25"/>
  <c r="L221" i="25"/>
  <c r="X221" i="25"/>
  <c r="AB221" i="25"/>
  <c r="K221" i="25"/>
  <c r="AJ221" i="25"/>
  <c r="O221" i="25"/>
  <c r="AK221" i="25"/>
  <c r="AC221" i="25"/>
  <c r="AB226" i="18"/>
  <c r="L226" i="18"/>
  <c r="A227" i="18"/>
  <c r="K226" i="18"/>
  <c r="X226" i="18"/>
  <c r="AJ226" i="18"/>
  <c r="AK226" i="18"/>
  <c r="O226" i="18"/>
  <c r="AC226" i="18"/>
  <c r="A226" i="20"/>
  <c r="K225" i="20"/>
  <c r="AB225" i="20"/>
  <c r="L225" i="20"/>
  <c r="X225" i="20"/>
  <c r="AJ225" i="20"/>
  <c r="AK225" i="20"/>
  <c r="O225" i="20"/>
  <c r="AC225" i="20"/>
  <c r="T228" i="1"/>
  <c r="D228" i="1"/>
  <c r="E228" i="1" s="1"/>
  <c r="AB227" i="17"/>
  <c r="L227" i="17"/>
  <c r="X227" i="17"/>
  <c r="K227" i="17"/>
  <c r="A228" i="17"/>
  <c r="AJ227" i="17"/>
  <c r="O227" i="17"/>
  <c r="AK227" i="17"/>
  <c r="AC227" i="17"/>
  <c r="AA226" i="1"/>
  <c r="Z226" i="1" s="1"/>
  <c r="Y226" i="1" s="1"/>
  <c r="G226" i="1"/>
  <c r="BW226" i="6" s="1"/>
  <c r="I226" i="1"/>
  <c r="F227" i="1"/>
  <c r="X224" i="22"/>
  <c r="A225" i="22"/>
  <c r="K224" i="22"/>
  <c r="AB224" i="22"/>
  <c r="L224" i="22"/>
  <c r="AJ224" i="22"/>
  <c r="AK224" i="22"/>
  <c r="O224" i="22"/>
  <c r="AC224" i="22"/>
  <c r="A230" i="1"/>
  <c r="L229" i="1"/>
  <c r="Q229" i="1"/>
  <c r="AK229" i="1"/>
  <c r="AJ229" i="1"/>
  <c r="X229" i="1"/>
  <c r="AB229" i="1"/>
  <c r="K229" i="1"/>
  <c r="O229" i="1"/>
  <c r="AC229" i="1"/>
  <c r="U229" i="1"/>
  <c r="T229" i="1" s="1"/>
  <c r="K229" i="15" l="1"/>
  <c r="O229" i="15"/>
  <c r="A230" i="15"/>
  <c r="AK229" i="15"/>
  <c r="AB229" i="15"/>
  <c r="AJ229" i="15"/>
  <c r="L229" i="15"/>
  <c r="D229" i="15" s="1"/>
  <c r="X229" i="15"/>
  <c r="AC229" i="15"/>
  <c r="L228" i="16"/>
  <c r="D228" i="16" s="1"/>
  <c r="X228" i="16"/>
  <c r="A229" i="16"/>
  <c r="AJ228" i="16"/>
  <c r="O228" i="16"/>
  <c r="AB228" i="16"/>
  <c r="K228" i="16"/>
  <c r="AK228" i="16"/>
  <c r="AC228" i="16"/>
  <c r="E227" i="16"/>
  <c r="D229" i="1"/>
  <c r="E229" i="1" s="1"/>
  <c r="S228" i="1"/>
  <c r="R228" i="1" s="1"/>
  <c r="P228" i="1" s="1"/>
  <c r="V228" i="1" s="1"/>
  <c r="A223" i="25"/>
  <c r="AB222" i="25"/>
  <c r="X222" i="25"/>
  <c r="L222" i="25"/>
  <c r="K222" i="25"/>
  <c r="AJ222" i="25"/>
  <c r="AK222" i="25"/>
  <c r="O222" i="25"/>
  <c r="AC222" i="25"/>
  <c r="K223" i="24"/>
  <c r="L223" i="24"/>
  <c r="AB223" i="24"/>
  <c r="X223" i="24"/>
  <c r="A224" i="24"/>
  <c r="AK223" i="24"/>
  <c r="O223" i="24"/>
  <c r="AJ223" i="24"/>
  <c r="AC223" i="24"/>
  <c r="S229" i="1"/>
  <c r="R229" i="1" s="1"/>
  <c r="P229" i="1" s="1"/>
  <c r="V229" i="1" s="1"/>
  <c r="AK230" i="1"/>
  <c r="AC230" i="1"/>
  <c r="AB230" i="1"/>
  <c r="O230" i="1"/>
  <c r="Q230" i="1"/>
  <c r="X230" i="1"/>
  <c r="L230" i="1"/>
  <c r="A231" i="1"/>
  <c r="K230" i="1"/>
  <c r="AJ230" i="1"/>
  <c r="U230" i="1"/>
  <c r="A226" i="22"/>
  <c r="L225" i="22"/>
  <c r="K225" i="22"/>
  <c r="X225" i="22"/>
  <c r="AB225" i="22"/>
  <c r="AJ225" i="22"/>
  <c r="AK225" i="22"/>
  <c r="O225" i="22"/>
  <c r="AC225" i="22"/>
  <c r="G227" i="1"/>
  <c r="BW227" i="6" s="1"/>
  <c r="I227" i="1"/>
  <c r="AA227" i="1"/>
  <c r="Z227" i="1" s="1"/>
  <c r="Y227" i="1" s="1"/>
  <c r="K228" i="17"/>
  <c r="AB228" i="17"/>
  <c r="A229" i="17"/>
  <c r="L228" i="17"/>
  <c r="X228" i="17"/>
  <c r="AJ228" i="17"/>
  <c r="AK228" i="17"/>
  <c r="O228" i="17"/>
  <c r="AC228" i="17"/>
  <c r="AB226" i="20"/>
  <c r="X226" i="20"/>
  <c r="A227" i="20"/>
  <c r="L226" i="20"/>
  <c r="K226" i="20"/>
  <c r="AJ226" i="20"/>
  <c r="AK226" i="20"/>
  <c r="O226" i="20"/>
  <c r="AC226" i="20"/>
  <c r="K227" i="18"/>
  <c r="AB227" i="18"/>
  <c r="L227" i="18"/>
  <c r="A228" i="18"/>
  <c r="AJ227" i="18"/>
  <c r="X227" i="18"/>
  <c r="O227" i="18"/>
  <c r="AK227" i="18"/>
  <c r="AC227" i="18"/>
  <c r="K224" i="23"/>
  <c r="A225" i="23"/>
  <c r="L224" i="23"/>
  <c r="X224" i="23"/>
  <c r="AB224" i="23"/>
  <c r="AJ224" i="23"/>
  <c r="AK224" i="23"/>
  <c r="O224" i="23"/>
  <c r="AC224" i="23"/>
  <c r="E229" i="15" l="1"/>
  <c r="K230" i="15"/>
  <c r="A231" i="15"/>
  <c r="AC230" i="15"/>
  <c r="L230" i="15"/>
  <c r="D230" i="15" s="1"/>
  <c r="O230" i="15"/>
  <c r="X230" i="15"/>
  <c r="AK230" i="15"/>
  <c r="AB230" i="15"/>
  <c r="AJ230" i="15"/>
  <c r="F228" i="1"/>
  <c r="AA228" i="1" s="1"/>
  <c r="Z228" i="1" s="1"/>
  <c r="Y228" i="1" s="1"/>
  <c r="X229" i="16"/>
  <c r="L229" i="16"/>
  <c r="D229" i="16" s="1"/>
  <c r="AJ229" i="16"/>
  <c r="AC229" i="16"/>
  <c r="A230" i="16"/>
  <c r="AB229" i="16"/>
  <c r="K229" i="16"/>
  <c r="AK229" i="16"/>
  <c r="O229" i="16"/>
  <c r="E228" i="16"/>
  <c r="F229" i="1"/>
  <c r="AB228" i="18"/>
  <c r="AJ228" i="18"/>
  <c r="K228" i="18"/>
  <c r="A229" i="18"/>
  <c r="X228" i="18"/>
  <c r="L228" i="18"/>
  <c r="O228" i="18"/>
  <c r="AK228" i="18"/>
  <c r="AC228" i="18"/>
  <c r="A228" i="20"/>
  <c r="X227" i="20"/>
  <c r="AB227" i="20"/>
  <c r="K227" i="20"/>
  <c r="L227" i="20"/>
  <c r="AJ227" i="20"/>
  <c r="AK227" i="20"/>
  <c r="O227" i="20"/>
  <c r="AC227" i="20"/>
  <c r="T230" i="1"/>
  <c r="D230" i="1"/>
  <c r="X224" i="24"/>
  <c r="AB224" i="24"/>
  <c r="A225" i="24"/>
  <c r="K224" i="24"/>
  <c r="L224" i="24"/>
  <c r="AJ224" i="24"/>
  <c r="AK224" i="24"/>
  <c r="O224" i="24"/>
  <c r="AC224" i="24"/>
  <c r="A226" i="23"/>
  <c r="X225" i="23"/>
  <c r="L225" i="23"/>
  <c r="AB225" i="23"/>
  <c r="K225" i="23"/>
  <c r="AJ225" i="23"/>
  <c r="AK225" i="23"/>
  <c r="O225" i="23"/>
  <c r="AC225" i="23"/>
  <c r="AB229" i="17"/>
  <c r="X229" i="17"/>
  <c r="K229" i="17"/>
  <c r="A230" i="17"/>
  <c r="L229" i="17"/>
  <c r="AK229" i="17"/>
  <c r="AJ229" i="17"/>
  <c r="O229" i="17"/>
  <c r="AC229" i="17"/>
  <c r="A227" i="22"/>
  <c r="L226" i="22"/>
  <c r="X226" i="22"/>
  <c r="K226" i="22"/>
  <c r="AB226" i="22"/>
  <c r="AJ226" i="22"/>
  <c r="AK226" i="22"/>
  <c r="O226" i="22"/>
  <c r="AC226" i="22"/>
  <c r="A232" i="1"/>
  <c r="AC231" i="1"/>
  <c r="L231" i="1"/>
  <c r="AJ231" i="1"/>
  <c r="AK231" i="1"/>
  <c r="X231" i="1"/>
  <c r="O231" i="1"/>
  <c r="K231" i="1"/>
  <c r="Q231" i="1"/>
  <c r="AB231" i="1"/>
  <c r="U231" i="1"/>
  <c r="T231" i="1" s="1"/>
  <c r="E230" i="1"/>
  <c r="A224" i="25"/>
  <c r="X223" i="25"/>
  <c r="K223" i="25"/>
  <c r="AB223" i="25"/>
  <c r="L223" i="25"/>
  <c r="AJ223" i="25"/>
  <c r="AK223" i="25"/>
  <c r="O223" i="25"/>
  <c r="AC223" i="25"/>
  <c r="E230" i="15" l="1"/>
  <c r="G228" i="1"/>
  <c r="BW228" i="6" s="1"/>
  <c r="AB231" i="15"/>
  <c r="AC231" i="15"/>
  <c r="K231" i="15"/>
  <c r="L231" i="15"/>
  <c r="D231" i="15" s="1"/>
  <c r="A232" i="15"/>
  <c r="AK231" i="15"/>
  <c r="X231" i="15"/>
  <c r="O231" i="15"/>
  <c r="AJ231" i="15"/>
  <c r="I228" i="1"/>
  <c r="K230" i="16"/>
  <c r="L230" i="16"/>
  <c r="D230" i="16" s="1"/>
  <c r="AJ230" i="16"/>
  <c r="AC230" i="16"/>
  <c r="X230" i="16"/>
  <c r="A231" i="16"/>
  <c r="AB230" i="16"/>
  <c r="AK230" i="16"/>
  <c r="O230" i="16"/>
  <c r="E229" i="16"/>
  <c r="K227" i="22"/>
  <c r="AB227" i="22"/>
  <c r="A228" i="22"/>
  <c r="L227" i="22"/>
  <c r="X227" i="22"/>
  <c r="AJ227" i="22"/>
  <c r="AK227" i="22"/>
  <c r="O227" i="22"/>
  <c r="AC227" i="22"/>
  <c r="A227" i="23"/>
  <c r="AB226" i="23"/>
  <c r="K226" i="23"/>
  <c r="L226" i="23"/>
  <c r="X226" i="23"/>
  <c r="AJ226" i="23"/>
  <c r="AK226" i="23"/>
  <c r="O226" i="23"/>
  <c r="AC226" i="23"/>
  <c r="K225" i="24"/>
  <c r="X225" i="24"/>
  <c r="A226" i="24"/>
  <c r="L225" i="24"/>
  <c r="AB225" i="24"/>
  <c r="AJ225" i="24"/>
  <c r="AK225" i="24"/>
  <c r="O225" i="24"/>
  <c r="AC225" i="24"/>
  <c r="S230" i="1"/>
  <c r="R230" i="1" s="1"/>
  <c r="P230" i="1" s="1"/>
  <c r="V230" i="1" s="1"/>
  <c r="X224" i="25"/>
  <c r="L224" i="25"/>
  <c r="A225" i="25"/>
  <c r="K224" i="25"/>
  <c r="AB224" i="25"/>
  <c r="AJ224" i="25"/>
  <c r="O224" i="25"/>
  <c r="AK224" i="25"/>
  <c r="AC224" i="25"/>
  <c r="S231" i="1"/>
  <c r="R231" i="1" s="1"/>
  <c r="P231" i="1" s="1"/>
  <c r="V231" i="1" s="1"/>
  <c r="D231" i="1"/>
  <c r="E231" i="1" s="1"/>
  <c r="L232" i="1"/>
  <c r="X232" i="1"/>
  <c r="O232" i="1"/>
  <c r="AC232" i="1"/>
  <c r="Q232" i="1"/>
  <c r="AB232" i="1"/>
  <c r="AK232" i="1"/>
  <c r="K232" i="1"/>
  <c r="A233" i="1"/>
  <c r="AJ232" i="1"/>
  <c r="U232" i="1"/>
  <c r="T232" i="1" s="1"/>
  <c r="X230" i="17"/>
  <c r="K230" i="17"/>
  <c r="A231" i="17"/>
  <c r="L230" i="17"/>
  <c r="AB230" i="17"/>
  <c r="O230" i="17"/>
  <c r="AJ230" i="17"/>
  <c r="AK230" i="17"/>
  <c r="AC230" i="17"/>
  <c r="A229" i="20"/>
  <c r="K228" i="20"/>
  <c r="L228" i="20"/>
  <c r="X228" i="20"/>
  <c r="AB228" i="20"/>
  <c r="AK228" i="20"/>
  <c r="AJ228" i="20"/>
  <c r="O228" i="20"/>
  <c r="AC228" i="20"/>
  <c r="X229" i="18"/>
  <c r="AJ229" i="18"/>
  <c r="A230" i="18"/>
  <c r="K229" i="18"/>
  <c r="AB229" i="18"/>
  <c r="L229" i="18"/>
  <c r="O229" i="18"/>
  <c r="AK229" i="18"/>
  <c r="AC229" i="18"/>
  <c r="AA229" i="1"/>
  <c r="Z229" i="1" s="1"/>
  <c r="Y229" i="1" s="1"/>
  <c r="G229" i="1"/>
  <c r="BW229" i="6" s="1"/>
  <c r="I229" i="1"/>
  <c r="X232" i="15" l="1"/>
  <c r="AJ232" i="15"/>
  <c r="AB232" i="15"/>
  <c r="A233" i="15"/>
  <c r="AC232" i="15"/>
  <c r="K232" i="15"/>
  <c r="O232" i="15"/>
  <c r="L232" i="15"/>
  <c r="D232" i="15" s="1"/>
  <c r="AK232" i="15"/>
  <c r="E231" i="15"/>
  <c r="E230" i="16"/>
  <c r="X231" i="16"/>
  <c r="K231" i="16"/>
  <c r="AJ231" i="16"/>
  <c r="AC231" i="16"/>
  <c r="L231" i="16"/>
  <c r="D231" i="16" s="1"/>
  <c r="A232" i="16"/>
  <c r="AB231" i="16"/>
  <c r="AK231" i="16"/>
  <c r="O231" i="16"/>
  <c r="A231" i="18"/>
  <c r="AJ230" i="18"/>
  <c r="X230" i="18"/>
  <c r="AB230" i="18"/>
  <c r="K230" i="18"/>
  <c r="L230" i="18"/>
  <c r="AK230" i="18"/>
  <c r="O230" i="18"/>
  <c r="AC230" i="18"/>
  <c r="S232" i="1"/>
  <c r="R232" i="1" s="1"/>
  <c r="P232" i="1" s="1"/>
  <c r="V232" i="1" s="1"/>
  <c r="K233" i="1"/>
  <c r="L233" i="1"/>
  <c r="AJ233" i="1"/>
  <c r="AB233" i="1"/>
  <c r="AK233" i="1"/>
  <c r="O233" i="1"/>
  <c r="Q233" i="1"/>
  <c r="X233" i="1"/>
  <c r="AC233" i="1"/>
  <c r="A234" i="1"/>
  <c r="U233" i="1"/>
  <c r="T233" i="1" s="1"/>
  <c r="D232" i="1"/>
  <c r="E232" i="1" s="1"/>
  <c r="F231" i="1"/>
  <c r="A227" i="24"/>
  <c r="X226" i="24"/>
  <c r="K226" i="24"/>
  <c r="AB226" i="24"/>
  <c r="L226" i="24"/>
  <c r="AK226" i="24"/>
  <c r="O226" i="24"/>
  <c r="AJ226" i="24"/>
  <c r="AC226" i="24"/>
  <c r="X228" i="22"/>
  <c r="L228" i="22"/>
  <c r="A229" i="22"/>
  <c r="AB228" i="22"/>
  <c r="K228" i="22"/>
  <c r="AJ228" i="22"/>
  <c r="AK228" i="22"/>
  <c r="O228" i="22"/>
  <c r="AC228" i="22"/>
  <c r="A230" i="20"/>
  <c r="K229" i="20"/>
  <c r="X229" i="20"/>
  <c r="AB229" i="20"/>
  <c r="L229" i="20"/>
  <c r="AJ229" i="20"/>
  <c r="AK229" i="20"/>
  <c r="O229" i="20"/>
  <c r="AC229" i="20"/>
  <c r="K231" i="17"/>
  <c r="A232" i="17"/>
  <c r="X231" i="17"/>
  <c r="AB231" i="17"/>
  <c r="L231" i="17"/>
  <c r="AJ231" i="17"/>
  <c r="O231" i="17"/>
  <c r="AK231" i="17"/>
  <c r="AC231" i="17"/>
  <c r="X225" i="25"/>
  <c r="K225" i="25"/>
  <c r="AB225" i="25"/>
  <c r="L225" i="25"/>
  <c r="A226" i="25"/>
  <c r="AK225" i="25"/>
  <c r="AJ225" i="25"/>
  <c r="O225" i="25"/>
  <c r="AC225" i="25"/>
  <c r="A228" i="23"/>
  <c r="L227" i="23"/>
  <c r="AB227" i="23"/>
  <c r="X227" i="23"/>
  <c r="K227" i="23"/>
  <c r="AK227" i="23"/>
  <c r="AJ227" i="23"/>
  <c r="O227" i="23"/>
  <c r="AC227" i="23"/>
  <c r="F230" i="1"/>
  <c r="E232" i="15" l="1"/>
  <c r="K233" i="15"/>
  <c r="AJ233" i="15"/>
  <c r="AB233" i="15"/>
  <c r="AK233" i="15"/>
  <c r="A234" i="15"/>
  <c r="X233" i="15"/>
  <c r="AC233" i="15"/>
  <c r="L233" i="15"/>
  <c r="D233" i="15" s="1"/>
  <c r="O233" i="15"/>
  <c r="F232" i="1"/>
  <c r="I232" i="1" s="1"/>
  <c r="X232" i="16"/>
  <c r="L232" i="16"/>
  <c r="D232" i="16" s="1"/>
  <c r="AJ232" i="16"/>
  <c r="AC232" i="16"/>
  <c r="K232" i="16"/>
  <c r="A233" i="16"/>
  <c r="AB232" i="16"/>
  <c r="AK232" i="16"/>
  <c r="O232" i="16"/>
  <c r="E231" i="16"/>
  <c r="AA230" i="1"/>
  <c r="Z230" i="1" s="1"/>
  <c r="Y230" i="1" s="1"/>
  <c r="G230" i="1"/>
  <c r="BW230" i="6" s="1"/>
  <c r="I230" i="1"/>
  <c r="A229" i="23"/>
  <c r="L228" i="23"/>
  <c r="X228" i="23"/>
  <c r="K228" i="23"/>
  <c r="AB228" i="23"/>
  <c r="AJ228" i="23"/>
  <c r="AK228" i="23"/>
  <c r="O228" i="23"/>
  <c r="AC228" i="23"/>
  <c r="L227" i="24"/>
  <c r="AB227" i="24"/>
  <c r="X227" i="24"/>
  <c r="A228" i="24"/>
  <c r="K227" i="24"/>
  <c r="AK227" i="24"/>
  <c r="AJ227" i="24"/>
  <c r="O227" i="24"/>
  <c r="AC227" i="24"/>
  <c r="G232" i="1"/>
  <c r="BW232" i="6" s="1"/>
  <c r="AK234" i="1"/>
  <c r="X234" i="1"/>
  <c r="L234" i="1"/>
  <c r="AB234" i="1"/>
  <c r="K234" i="1"/>
  <c r="AJ234" i="1"/>
  <c r="A235" i="1"/>
  <c r="AC234" i="1"/>
  <c r="O234" i="1"/>
  <c r="Q234" i="1"/>
  <c r="U234" i="1"/>
  <c r="T234" i="1" s="1"/>
  <c r="D233" i="1"/>
  <c r="E233" i="1" s="1"/>
  <c r="K226" i="25"/>
  <c r="A227" i="25"/>
  <c r="AB226" i="25"/>
  <c r="X226" i="25"/>
  <c r="L226" i="25"/>
  <c r="AJ226" i="25"/>
  <c r="AK226" i="25"/>
  <c r="O226" i="25"/>
  <c r="AC226" i="25"/>
  <c r="A233" i="17"/>
  <c r="X232" i="17"/>
  <c r="AB232" i="17"/>
  <c r="L232" i="17"/>
  <c r="K232" i="17"/>
  <c r="AJ232" i="17"/>
  <c r="AK232" i="17"/>
  <c r="O232" i="17"/>
  <c r="AC232" i="17"/>
  <c r="X230" i="20"/>
  <c r="AB230" i="20"/>
  <c r="K230" i="20"/>
  <c r="A231" i="20"/>
  <c r="L230" i="20"/>
  <c r="AJ230" i="20"/>
  <c r="AK230" i="20"/>
  <c r="O230" i="20"/>
  <c r="AC230" i="20"/>
  <c r="K229" i="22"/>
  <c r="L229" i="22"/>
  <c r="AB229" i="22"/>
  <c r="A230" i="22"/>
  <c r="X229" i="22"/>
  <c r="AJ229" i="22"/>
  <c r="AK229" i="22"/>
  <c r="O229" i="22"/>
  <c r="AC229" i="22"/>
  <c r="G231" i="1"/>
  <c r="BW231" i="6" s="1"/>
  <c r="AA231" i="1"/>
  <c r="Z231" i="1" s="1"/>
  <c r="Y231" i="1" s="1"/>
  <c r="I231" i="1"/>
  <c r="S233" i="1"/>
  <c r="R233" i="1" s="1"/>
  <c r="P233" i="1" s="1"/>
  <c r="V233" i="1" s="1"/>
  <c r="F233" i="1" s="1"/>
  <c r="A232" i="18"/>
  <c r="AB231" i="18"/>
  <c r="L231" i="18"/>
  <c r="K231" i="18"/>
  <c r="AJ231" i="18"/>
  <c r="X231" i="18"/>
  <c r="AK231" i="18"/>
  <c r="O231" i="18"/>
  <c r="AC231" i="18"/>
  <c r="AA232" i="1" l="1"/>
  <c r="Z232" i="1" s="1"/>
  <c r="Y232" i="1" s="1"/>
  <c r="E233" i="15"/>
  <c r="AB234" i="15"/>
  <c r="AC234" i="15"/>
  <c r="X234" i="15"/>
  <c r="AJ234" i="15"/>
  <c r="K234" i="15"/>
  <c r="AK234" i="15"/>
  <c r="A235" i="15"/>
  <c r="L234" i="15"/>
  <c r="D234" i="15" s="1"/>
  <c r="O234" i="15"/>
  <c r="E232" i="16"/>
  <c r="L233" i="16"/>
  <c r="D233" i="16" s="1"/>
  <c r="A234" i="16"/>
  <c r="AB233" i="16"/>
  <c r="AJ233" i="16"/>
  <c r="O233" i="16"/>
  <c r="X233" i="16"/>
  <c r="K233" i="16"/>
  <c r="AK233" i="16"/>
  <c r="AC233" i="16"/>
  <c r="I233" i="1"/>
  <c r="AA233" i="1"/>
  <c r="Z233" i="1" s="1"/>
  <c r="Y233" i="1" s="1"/>
  <c r="G233" i="1"/>
  <c r="BW233" i="6" s="1"/>
  <c r="K232" i="18"/>
  <c r="AB232" i="18"/>
  <c r="AJ232" i="18"/>
  <c r="X232" i="18"/>
  <c r="L232" i="18"/>
  <c r="A233" i="18"/>
  <c r="O232" i="18"/>
  <c r="AK232" i="18"/>
  <c r="AC232" i="18"/>
  <c r="A232" i="20"/>
  <c r="AB231" i="20"/>
  <c r="X231" i="20"/>
  <c r="L231" i="20"/>
  <c r="K231" i="20"/>
  <c r="AK231" i="20"/>
  <c r="AJ231" i="20"/>
  <c r="O231" i="20"/>
  <c r="AC231" i="20"/>
  <c r="X233" i="17"/>
  <c r="K233" i="17"/>
  <c r="AB233" i="17"/>
  <c r="L233" i="17"/>
  <c r="A234" i="17"/>
  <c r="AJ233" i="17"/>
  <c r="O233" i="17"/>
  <c r="AK233" i="17"/>
  <c r="AC233" i="17"/>
  <c r="AB227" i="25"/>
  <c r="L227" i="25"/>
  <c r="X227" i="25"/>
  <c r="K227" i="25"/>
  <c r="A228" i="25"/>
  <c r="AJ227" i="25"/>
  <c r="O227" i="25"/>
  <c r="AK227" i="25"/>
  <c r="AC227" i="25"/>
  <c r="S234" i="1"/>
  <c r="R234" i="1" s="1"/>
  <c r="P234" i="1" s="1"/>
  <c r="V234" i="1" s="1"/>
  <c r="AK235" i="1"/>
  <c r="AB235" i="1"/>
  <c r="A236" i="1"/>
  <c r="X235" i="1"/>
  <c r="L235" i="1"/>
  <c r="AJ235" i="1"/>
  <c r="K235" i="1"/>
  <c r="Q235" i="1"/>
  <c r="O235" i="1"/>
  <c r="AC235" i="1"/>
  <c r="U235" i="1"/>
  <c r="T235" i="1" s="1"/>
  <c r="S235" i="1" s="1"/>
  <c r="R235" i="1" s="1"/>
  <c r="D234" i="1"/>
  <c r="E234" i="1" s="1"/>
  <c r="K229" i="23"/>
  <c r="L229" i="23"/>
  <c r="A230" i="23"/>
  <c r="X229" i="23"/>
  <c r="AB229" i="23"/>
  <c r="AK229" i="23"/>
  <c r="AJ229" i="23"/>
  <c r="O229" i="23"/>
  <c r="AC229" i="23"/>
  <c r="K230" i="22"/>
  <c r="L230" i="22"/>
  <c r="X230" i="22"/>
  <c r="A231" i="22"/>
  <c r="AB230" i="22"/>
  <c r="AJ230" i="22"/>
  <c r="AK230" i="22"/>
  <c r="O230" i="22"/>
  <c r="AC230" i="22"/>
  <c r="AB228" i="24"/>
  <c r="K228" i="24"/>
  <c r="A229" i="24"/>
  <c r="X228" i="24"/>
  <c r="L228" i="24"/>
  <c r="AJ228" i="24"/>
  <c r="AK228" i="24"/>
  <c r="O228" i="24"/>
  <c r="AC228" i="24"/>
  <c r="E234" i="15" l="1"/>
  <c r="L235" i="15"/>
  <c r="D235" i="15" s="1"/>
  <c r="O235" i="15"/>
  <c r="K235" i="15"/>
  <c r="AJ235" i="15"/>
  <c r="X235" i="15"/>
  <c r="AK235" i="15"/>
  <c r="A236" i="15"/>
  <c r="AB235" i="15"/>
  <c r="AC235" i="15"/>
  <c r="P235" i="1"/>
  <c r="V235" i="1" s="1"/>
  <c r="F234" i="1"/>
  <c r="G234" i="1" s="1"/>
  <c r="BW234" i="6" s="1"/>
  <c r="X234" i="16"/>
  <c r="K234" i="16"/>
  <c r="AJ234" i="16"/>
  <c r="AC234" i="16"/>
  <c r="AB234" i="16"/>
  <c r="L234" i="16"/>
  <c r="D234" i="16" s="1"/>
  <c r="A235" i="16"/>
  <c r="AK234" i="16"/>
  <c r="O234" i="16"/>
  <c r="E233" i="16"/>
  <c r="D235" i="1"/>
  <c r="E235" i="1" s="1"/>
  <c r="AC236" i="1"/>
  <c r="AK236" i="1"/>
  <c r="AJ236" i="1"/>
  <c r="L236" i="1"/>
  <c r="K236" i="1"/>
  <c r="O236" i="1"/>
  <c r="Q236" i="1"/>
  <c r="A237" i="1"/>
  <c r="X236" i="1"/>
  <c r="AB236" i="1"/>
  <c r="U236" i="1"/>
  <c r="T236" i="1" s="1"/>
  <c r="X228" i="25"/>
  <c r="L228" i="25"/>
  <c r="K228" i="25"/>
  <c r="A229" i="25"/>
  <c r="AB228" i="25"/>
  <c r="AJ228" i="25"/>
  <c r="AK228" i="25"/>
  <c r="O228" i="25"/>
  <c r="AC228" i="25"/>
  <c r="X232" i="20"/>
  <c r="A233" i="20"/>
  <c r="AB232" i="20"/>
  <c r="K232" i="20"/>
  <c r="L232" i="20"/>
  <c r="AK232" i="20"/>
  <c r="AJ232" i="20"/>
  <c r="O232" i="20"/>
  <c r="AC232" i="20"/>
  <c r="X233" i="18"/>
  <c r="AB233" i="18"/>
  <c r="AJ233" i="18"/>
  <c r="A234" i="18"/>
  <c r="L233" i="18"/>
  <c r="K233" i="18"/>
  <c r="AK233" i="18"/>
  <c r="O233" i="18"/>
  <c r="AC233" i="18"/>
  <c r="AB229" i="24"/>
  <c r="L229" i="24"/>
  <c r="A230" i="24"/>
  <c r="X229" i="24"/>
  <c r="K229" i="24"/>
  <c r="AJ229" i="24"/>
  <c r="AK229" i="24"/>
  <c r="O229" i="24"/>
  <c r="AC229" i="24"/>
  <c r="K231" i="22"/>
  <c r="L231" i="22"/>
  <c r="A232" i="22"/>
  <c r="AB231" i="22"/>
  <c r="X231" i="22"/>
  <c r="AJ231" i="22"/>
  <c r="AK231" i="22"/>
  <c r="O231" i="22"/>
  <c r="AC231" i="22"/>
  <c r="AB230" i="23"/>
  <c r="L230" i="23"/>
  <c r="A231" i="23"/>
  <c r="X230" i="23"/>
  <c r="K230" i="23"/>
  <c r="AJ230" i="23"/>
  <c r="AK230" i="23"/>
  <c r="O230" i="23"/>
  <c r="AC230" i="23"/>
  <c r="AB234" i="17"/>
  <c r="K234" i="17"/>
  <c r="X234" i="17"/>
  <c r="L234" i="17"/>
  <c r="A235" i="17"/>
  <c r="AJ234" i="17"/>
  <c r="O234" i="17"/>
  <c r="AK234" i="17"/>
  <c r="AC234" i="17"/>
  <c r="E234" i="16" l="1"/>
  <c r="I234" i="1"/>
  <c r="K236" i="15"/>
  <c r="AJ236" i="15"/>
  <c r="L236" i="15"/>
  <c r="D236" i="15" s="1"/>
  <c r="X236" i="15"/>
  <c r="AK236" i="15"/>
  <c r="A237" i="15"/>
  <c r="O236" i="15"/>
  <c r="E236" i="15" s="1"/>
  <c r="AB236" i="15"/>
  <c r="AC236" i="15"/>
  <c r="AA234" i="1"/>
  <c r="Z234" i="1" s="1"/>
  <c r="Y234" i="1" s="1"/>
  <c r="E235" i="15"/>
  <c r="F235" i="1"/>
  <c r="G235" i="1" s="1"/>
  <c r="BW235" i="6" s="1"/>
  <c r="AK235" i="16"/>
  <c r="K235" i="16"/>
  <c r="L235" i="16"/>
  <c r="D235" i="16" s="1"/>
  <c r="X235" i="16"/>
  <c r="AJ235" i="16"/>
  <c r="O235" i="16"/>
  <c r="A236" i="16"/>
  <c r="AB235" i="16"/>
  <c r="AC235" i="16"/>
  <c r="I235" i="1"/>
  <c r="K231" i="23"/>
  <c r="L231" i="23"/>
  <c r="A232" i="23"/>
  <c r="AB231" i="23"/>
  <c r="X231" i="23"/>
  <c r="AK231" i="23"/>
  <c r="AJ231" i="23"/>
  <c r="O231" i="23"/>
  <c r="AC231" i="23"/>
  <c r="K230" i="24"/>
  <c r="X230" i="24"/>
  <c r="A231" i="24"/>
  <c r="L230" i="24"/>
  <c r="AB230" i="24"/>
  <c r="AJ230" i="24"/>
  <c r="AK230" i="24"/>
  <c r="O230" i="24"/>
  <c r="AC230" i="24"/>
  <c r="X234" i="18"/>
  <c r="AB234" i="18"/>
  <c r="L234" i="18"/>
  <c r="K234" i="18"/>
  <c r="AJ234" i="18"/>
  <c r="A235" i="18"/>
  <c r="O234" i="18"/>
  <c r="AK234" i="18"/>
  <c r="AC234" i="18"/>
  <c r="X229" i="25"/>
  <c r="L229" i="25"/>
  <c r="AB229" i="25"/>
  <c r="A230" i="25"/>
  <c r="K229" i="25"/>
  <c r="AJ229" i="25"/>
  <c r="O229" i="25"/>
  <c r="AK229" i="25"/>
  <c r="AC229" i="25"/>
  <c r="S236" i="1"/>
  <c r="R236" i="1" s="1"/>
  <c r="P236" i="1" s="1"/>
  <c r="V236" i="1" s="1"/>
  <c r="K235" i="17"/>
  <c r="AB235" i="17"/>
  <c r="X235" i="17"/>
  <c r="A236" i="17"/>
  <c r="L235" i="17"/>
  <c r="AJ235" i="17"/>
  <c r="O235" i="17"/>
  <c r="AK235" i="17"/>
  <c r="AC235" i="17"/>
  <c r="X232" i="22"/>
  <c r="AB232" i="22"/>
  <c r="L232" i="22"/>
  <c r="A233" i="22"/>
  <c r="K232" i="22"/>
  <c r="AJ232" i="22"/>
  <c r="AK232" i="22"/>
  <c r="O232" i="22"/>
  <c r="AC232" i="22"/>
  <c r="K233" i="20"/>
  <c r="A234" i="20"/>
  <c r="X233" i="20"/>
  <c r="AB233" i="20"/>
  <c r="L233" i="20"/>
  <c r="AJ233" i="20"/>
  <c r="AK233" i="20"/>
  <c r="O233" i="20"/>
  <c r="AC233" i="20"/>
  <c r="L237" i="1"/>
  <c r="X237" i="1"/>
  <c r="O237" i="1"/>
  <c r="AK237" i="1"/>
  <c r="AB237" i="1"/>
  <c r="Q237" i="1"/>
  <c r="AJ237" i="1"/>
  <c r="K237" i="1"/>
  <c r="A238" i="1"/>
  <c r="AC237" i="1"/>
  <c r="U237" i="1"/>
  <c r="T237" i="1" s="1"/>
  <c r="D236" i="1"/>
  <c r="E236" i="1" s="1"/>
  <c r="F236" i="1" l="1"/>
  <c r="I236" i="1" s="1"/>
  <c r="AA235" i="1"/>
  <c r="Z235" i="1" s="1"/>
  <c r="Y235" i="1" s="1"/>
  <c r="A238" i="15"/>
  <c r="K237" i="15"/>
  <c r="O237" i="15"/>
  <c r="AB237" i="15"/>
  <c r="AC237" i="15"/>
  <c r="X237" i="15"/>
  <c r="AJ237" i="15"/>
  <c r="L237" i="15"/>
  <c r="D237" i="15" s="1"/>
  <c r="AK237" i="15"/>
  <c r="X236" i="16"/>
  <c r="AB236" i="16"/>
  <c r="AJ236" i="16"/>
  <c r="AC236" i="16"/>
  <c r="A237" i="16"/>
  <c r="K236" i="16"/>
  <c r="L236" i="16"/>
  <c r="D236" i="16" s="1"/>
  <c r="AK236" i="16"/>
  <c r="O236" i="16"/>
  <c r="E235" i="16"/>
  <c r="S237" i="1"/>
  <c r="R237" i="1" s="1"/>
  <c r="P237" i="1" s="1"/>
  <c r="V237" i="1" s="1"/>
  <c r="A239" i="1"/>
  <c r="Q238" i="1"/>
  <c r="O238" i="1"/>
  <c r="AC238" i="1"/>
  <c r="L238" i="1"/>
  <c r="AK238" i="1"/>
  <c r="AB238" i="1"/>
  <c r="K238" i="1"/>
  <c r="X238" i="1"/>
  <c r="AJ238" i="1"/>
  <c r="U238" i="1"/>
  <c r="T238" i="1" s="1"/>
  <c r="S238" i="1" s="1"/>
  <c r="R238" i="1" s="1"/>
  <c r="D237" i="1"/>
  <c r="E237" i="1" s="1"/>
  <c r="K234" i="20"/>
  <c r="L234" i="20"/>
  <c r="AB234" i="20"/>
  <c r="X234" i="20"/>
  <c r="A235" i="20"/>
  <c r="AJ234" i="20"/>
  <c r="AK234" i="20"/>
  <c r="O234" i="20"/>
  <c r="AC234" i="20"/>
  <c r="K236" i="17"/>
  <c r="X236" i="17"/>
  <c r="AB236" i="17"/>
  <c r="A237" i="17"/>
  <c r="L236" i="17"/>
  <c r="AJ236" i="17"/>
  <c r="O236" i="17"/>
  <c r="AK236" i="17"/>
  <c r="AC236" i="17"/>
  <c r="K230" i="25"/>
  <c r="X230" i="25"/>
  <c r="A231" i="25"/>
  <c r="L230" i="25"/>
  <c r="AB230" i="25"/>
  <c r="AJ230" i="25"/>
  <c r="AK230" i="25"/>
  <c r="O230" i="25"/>
  <c r="AC230" i="25"/>
  <c r="X235" i="18"/>
  <c r="A236" i="18"/>
  <c r="L235" i="18"/>
  <c r="K235" i="18"/>
  <c r="AJ235" i="18"/>
  <c r="AB235" i="18"/>
  <c r="O235" i="18"/>
  <c r="AK235" i="18"/>
  <c r="AC235" i="18"/>
  <c r="A232" i="24"/>
  <c r="L231" i="24"/>
  <c r="X231" i="24"/>
  <c r="K231" i="24"/>
  <c r="AB231" i="24"/>
  <c r="AJ231" i="24"/>
  <c r="AK231" i="24"/>
  <c r="O231" i="24"/>
  <c r="AC231" i="24"/>
  <c r="K232" i="23"/>
  <c r="A233" i="23"/>
  <c r="AB232" i="23"/>
  <c r="X232" i="23"/>
  <c r="L232" i="23"/>
  <c r="AK232" i="23"/>
  <c r="AJ232" i="23"/>
  <c r="O232" i="23"/>
  <c r="AC232" i="23"/>
  <c r="AB233" i="22"/>
  <c r="K233" i="22"/>
  <c r="X233" i="22"/>
  <c r="L233" i="22"/>
  <c r="A234" i="22"/>
  <c r="AK233" i="22"/>
  <c r="AJ233" i="22"/>
  <c r="O233" i="22"/>
  <c r="AC233" i="22"/>
  <c r="AA236" i="1" l="1"/>
  <c r="Z236" i="1" s="1"/>
  <c r="Y236" i="1" s="1"/>
  <c r="G236" i="1"/>
  <c r="BW236" i="6" s="1"/>
  <c r="E237" i="15"/>
  <c r="K238" i="15"/>
  <c r="AJ238" i="15"/>
  <c r="X238" i="15"/>
  <c r="AK238" i="15"/>
  <c r="AB238" i="15"/>
  <c r="A239" i="15"/>
  <c r="AC238" i="15"/>
  <c r="L238" i="15"/>
  <c r="D238" i="15" s="1"/>
  <c r="O238" i="15"/>
  <c r="P238" i="1"/>
  <c r="V238" i="1" s="1"/>
  <c r="E236" i="16"/>
  <c r="AB237" i="16"/>
  <c r="A238" i="16"/>
  <c r="AJ237" i="16"/>
  <c r="AC237" i="16"/>
  <c r="X237" i="16"/>
  <c r="K237" i="16"/>
  <c r="L237" i="16"/>
  <c r="D237" i="16" s="1"/>
  <c r="AK237" i="16"/>
  <c r="O237" i="16"/>
  <c r="F237" i="1"/>
  <c r="K233" i="23"/>
  <c r="AB233" i="23"/>
  <c r="L233" i="23"/>
  <c r="A234" i="23"/>
  <c r="X233" i="23"/>
  <c r="AJ233" i="23"/>
  <c r="AK233" i="23"/>
  <c r="O233" i="23"/>
  <c r="AC233" i="23"/>
  <c r="A233" i="24"/>
  <c r="AB232" i="24"/>
  <c r="K232" i="24"/>
  <c r="X232" i="24"/>
  <c r="L232" i="24"/>
  <c r="AK232" i="24"/>
  <c r="AJ232" i="24"/>
  <c r="O232" i="24"/>
  <c r="AC232" i="24"/>
  <c r="X236" i="18"/>
  <c r="L236" i="18"/>
  <c r="A237" i="18"/>
  <c r="K236" i="18"/>
  <c r="AB236" i="18"/>
  <c r="AJ236" i="18"/>
  <c r="O236" i="18"/>
  <c r="AK236" i="18"/>
  <c r="AC236" i="18"/>
  <c r="K231" i="25"/>
  <c r="A232" i="25"/>
  <c r="X231" i="25"/>
  <c r="AB231" i="25"/>
  <c r="L231" i="25"/>
  <c r="AJ231" i="25"/>
  <c r="O231" i="25"/>
  <c r="AK231" i="25"/>
  <c r="AC231" i="25"/>
  <c r="A238" i="17"/>
  <c r="L237" i="17"/>
  <c r="X237" i="17"/>
  <c r="AB237" i="17"/>
  <c r="K237" i="17"/>
  <c r="AJ237" i="17"/>
  <c r="O237" i="17"/>
  <c r="AK237" i="17"/>
  <c r="AC237" i="17"/>
  <c r="X235" i="20"/>
  <c r="AB235" i="20"/>
  <c r="L235" i="20"/>
  <c r="A236" i="20"/>
  <c r="K235" i="20"/>
  <c r="AK235" i="20"/>
  <c r="AJ235" i="20"/>
  <c r="O235" i="20"/>
  <c r="AC235" i="20"/>
  <c r="D238" i="1"/>
  <c r="E238" i="1" s="1"/>
  <c r="K239" i="1"/>
  <c r="AK239" i="1"/>
  <c r="O239" i="1"/>
  <c r="AB239" i="1"/>
  <c r="L239" i="1"/>
  <c r="X239" i="1"/>
  <c r="AJ239" i="1"/>
  <c r="Q239" i="1"/>
  <c r="AC239" i="1"/>
  <c r="A240" i="1"/>
  <c r="U239" i="1"/>
  <c r="T239" i="1" s="1"/>
  <c r="AB234" i="22"/>
  <c r="X234" i="22"/>
  <c r="K234" i="22"/>
  <c r="L234" i="22"/>
  <c r="A235" i="22"/>
  <c r="AK234" i="22"/>
  <c r="AJ234" i="22"/>
  <c r="O234" i="22"/>
  <c r="AC234" i="22"/>
  <c r="K239" i="15" l="1"/>
  <c r="AK239" i="15"/>
  <c r="L239" i="15"/>
  <c r="D239" i="15" s="1"/>
  <c r="AJ239" i="15"/>
  <c r="AB239" i="15"/>
  <c r="A240" i="15"/>
  <c r="AC239" i="15"/>
  <c r="X239" i="15"/>
  <c r="O239" i="15"/>
  <c r="E239" i="15" s="1"/>
  <c r="E238" i="15"/>
  <c r="F238" i="1"/>
  <c r="AA238" i="1" s="1"/>
  <c r="Z238" i="1" s="1"/>
  <c r="Y238" i="1" s="1"/>
  <c r="A239" i="16"/>
  <c r="X238" i="16"/>
  <c r="K238" i="16"/>
  <c r="AK238" i="16"/>
  <c r="O238" i="16"/>
  <c r="AJ238" i="16"/>
  <c r="L238" i="16"/>
  <c r="D238" i="16" s="1"/>
  <c r="AB238" i="16"/>
  <c r="AC238" i="16"/>
  <c r="E237" i="16"/>
  <c r="S239" i="1"/>
  <c r="R239" i="1" s="1"/>
  <c r="P239" i="1" s="1"/>
  <c r="V239" i="1" s="1"/>
  <c r="D239" i="1"/>
  <c r="E239" i="1" s="1"/>
  <c r="K233" i="24"/>
  <c r="A234" i="24"/>
  <c r="L233" i="24"/>
  <c r="AB233" i="24"/>
  <c r="X233" i="24"/>
  <c r="AJ233" i="24"/>
  <c r="AK233" i="24"/>
  <c r="O233" i="24"/>
  <c r="AC233" i="24"/>
  <c r="X234" i="23"/>
  <c r="L234" i="23"/>
  <c r="K234" i="23"/>
  <c r="AB234" i="23"/>
  <c r="A235" i="23"/>
  <c r="AJ234" i="23"/>
  <c r="AK234" i="23"/>
  <c r="O234" i="23"/>
  <c r="AC234" i="23"/>
  <c r="A236" i="22"/>
  <c r="X235" i="22"/>
  <c r="AB235" i="22"/>
  <c r="L235" i="22"/>
  <c r="K235" i="22"/>
  <c r="AJ235" i="22"/>
  <c r="AK235" i="22"/>
  <c r="O235" i="22"/>
  <c r="AC235" i="22"/>
  <c r="AK240" i="1"/>
  <c r="AJ240" i="1"/>
  <c r="Q240" i="1"/>
  <c r="A241" i="1"/>
  <c r="AC240" i="1"/>
  <c r="K240" i="1"/>
  <c r="L240" i="1"/>
  <c r="O240" i="1"/>
  <c r="AB240" i="1"/>
  <c r="X240" i="1"/>
  <c r="U240" i="1"/>
  <c r="T240" i="1" s="1"/>
  <c r="AB236" i="20"/>
  <c r="X236" i="20"/>
  <c r="K236" i="20"/>
  <c r="L236" i="20"/>
  <c r="A237" i="20"/>
  <c r="AJ236" i="20"/>
  <c r="AK236" i="20"/>
  <c r="O236" i="20"/>
  <c r="AC236" i="20"/>
  <c r="X238" i="17"/>
  <c r="L238" i="17"/>
  <c r="AB238" i="17"/>
  <c r="A239" i="17"/>
  <c r="K238" i="17"/>
  <c r="AJ238" i="17"/>
  <c r="O238" i="17"/>
  <c r="AK238" i="17"/>
  <c r="AC238" i="17"/>
  <c r="K232" i="25"/>
  <c r="X232" i="25"/>
  <c r="AB232" i="25"/>
  <c r="L232" i="25"/>
  <c r="A233" i="25"/>
  <c r="AJ232" i="25"/>
  <c r="AK232" i="25"/>
  <c r="O232" i="25"/>
  <c r="AC232" i="25"/>
  <c r="K237" i="18"/>
  <c r="X237" i="18"/>
  <c r="AJ237" i="18"/>
  <c r="AB237" i="18"/>
  <c r="L237" i="18"/>
  <c r="A238" i="18"/>
  <c r="AK237" i="18"/>
  <c r="O237" i="18"/>
  <c r="AC237" i="18"/>
  <c r="I237" i="1"/>
  <c r="G237" i="1"/>
  <c r="BW237" i="6" s="1"/>
  <c r="AA237" i="1"/>
  <c r="Z237" i="1" s="1"/>
  <c r="Y237" i="1" s="1"/>
  <c r="E238" i="16" l="1"/>
  <c r="G238" i="1"/>
  <c r="BW238" i="6" s="1"/>
  <c r="I238" i="1"/>
  <c r="AB240" i="15"/>
  <c r="X240" i="15"/>
  <c r="AC240" i="15"/>
  <c r="A241" i="15"/>
  <c r="O240" i="15"/>
  <c r="K240" i="15"/>
  <c r="AK240" i="15"/>
  <c r="L240" i="15"/>
  <c r="D240" i="15" s="1"/>
  <c r="AJ240" i="15"/>
  <c r="F239" i="1"/>
  <c r="AA239" i="1" s="1"/>
  <c r="Z239" i="1" s="1"/>
  <c r="Y239" i="1" s="1"/>
  <c r="X239" i="16"/>
  <c r="A240" i="16"/>
  <c r="AJ239" i="16"/>
  <c r="AC239" i="16"/>
  <c r="K239" i="16"/>
  <c r="L239" i="16"/>
  <c r="D239" i="16" s="1"/>
  <c r="AB239" i="16"/>
  <c r="AK239" i="16"/>
  <c r="O239" i="16"/>
  <c r="S240" i="1"/>
  <c r="R240" i="1" s="1"/>
  <c r="P240" i="1" s="1"/>
  <c r="V240" i="1" s="1"/>
  <c r="D240" i="1"/>
  <c r="E240" i="1" s="1"/>
  <c r="AB238" i="18"/>
  <c r="A239" i="18"/>
  <c r="AJ238" i="18"/>
  <c r="K238" i="18"/>
  <c r="L238" i="18"/>
  <c r="X238" i="18"/>
  <c r="AK238" i="18"/>
  <c r="O238" i="18"/>
  <c r="AC238" i="18"/>
  <c r="K233" i="25"/>
  <c r="X233" i="25"/>
  <c r="L233" i="25"/>
  <c r="AB233" i="25"/>
  <c r="A234" i="25"/>
  <c r="AJ233" i="25"/>
  <c r="AK233" i="25"/>
  <c r="O233" i="25"/>
  <c r="AC233" i="25"/>
  <c r="AB239" i="17"/>
  <c r="L239" i="17"/>
  <c r="X239" i="17"/>
  <c r="A240" i="17"/>
  <c r="K239" i="17"/>
  <c r="AJ239" i="17"/>
  <c r="AK239" i="17"/>
  <c r="O239" i="17"/>
  <c r="AC239" i="17"/>
  <c r="K237" i="20"/>
  <c r="A238" i="20"/>
  <c r="L237" i="20"/>
  <c r="X237" i="20"/>
  <c r="AB237" i="20"/>
  <c r="AJ237" i="20"/>
  <c r="AK237" i="20"/>
  <c r="O237" i="20"/>
  <c r="AC237" i="20"/>
  <c r="AC241" i="1"/>
  <c r="O241" i="1"/>
  <c r="C27" i="7" s="1"/>
  <c r="K241" i="1"/>
  <c r="AJ241" i="1"/>
  <c r="Q241" i="1"/>
  <c r="A27" i="7"/>
  <c r="A242" i="1"/>
  <c r="AK241" i="1"/>
  <c r="L241" i="1"/>
  <c r="X241" i="1"/>
  <c r="AB241" i="1"/>
  <c r="U241" i="1"/>
  <c r="T241" i="1" s="1"/>
  <c r="K236" i="22"/>
  <c r="A237" i="22"/>
  <c r="AB236" i="22"/>
  <c r="L236" i="22"/>
  <c r="X236" i="22"/>
  <c r="AJ236" i="22"/>
  <c r="AK236" i="22"/>
  <c r="O236" i="22"/>
  <c r="AC236" i="22"/>
  <c r="X235" i="23"/>
  <c r="A236" i="23"/>
  <c r="AB235" i="23"/>
  <c r="L235" i="23"/>
  <c r="K235" i="23"/>
  <c r="AJ235" i="23"/>
  <c r="AK235" i="23"/>
  <c r="O235" i="23"/>
  <c r="AC235" i="23"/>
  <c r="AB234" i="24"/>
  <c r="X234" i="24"/>
  <c r="L234" i="24"/>
  <c r="A235" i="24"/>
  <c r="K234" i="24"/>
  <c r="AK234" i="24"/>
  <c r="AJ234" i="24"/>
  <c r="O234" i="24"/>
  <c r="AC234" i="24"/>
  <c r="L241" i="15" l="1"/>
  <c r="AK241" i="15"/>
  <c r="K241" i="15"/>
  <c r="X241" i="15"/>
  <c r="AC241" i="15"/>
  <c r="A39" i="7"/>
  <c r="A242" i="15"/>
  <c r="O241" i="15"/>
  <c r="C39" i="7" s="1"/>
  <c r="AB241" i="15"/>
  <c r="AJ241" i="15"/>
  <c r="G239" i="1"/>
  <c r="BW239" i="6" s="1"/>
  <c r="E240" i="15"/>
  <c r="I239" i="1"/>
  <c r="E239" i="16"/>
  <c r="L240" i="16"/>
  <c r="D240" i="16" s="1"/>
  <c r="AB240" i="16"/>
  <c r="A241" i="16"/>
  <c r="AJ240" i="16"/>
  <c r="O240" i="16"/>
  <c r="X240" i="16"/>
  <c r="K240" i="16"/>
  <c r="AK240" i="16"/>
  <c r="AC240" i="16"/>
  <c r="L235" i="24"/>
  <c r="A236" i="24"/>
  <c r="K235" i="24"/>
  <c r="X235" i="24"/>
  <c r="AB235" i="24"/>
  <c r="AK235" i="24"/>
  <c r="AJ235" i="24"/>
  <c r="O235" i="24"/>
  <c r="AC235" i="24"/>
  <c r="AB237" i="22"/>
  <c r="K237" i="22"/>
  <c r="X237" i="22"/>
  <c r="A238" i="22"/>
  <c r="L237" i="22"/>
  <c r="AK237" i="22"/>
  <c r="AJ237" i="22"/>
  <c r="O237" i="22"/>
  <c r="AC237" i="22"/>
  <c r="S241" i="1"/>
  <c r="R241" i="1" s="1"/>
  <c r="P241" i="1" s="1"/>
  <c r="D27" i="7" s="1"/>
  <c r="X238" i="20"/>
  <c r="L238" i="20"/>
  <c r="A239" i="20"/>
  <c r="K238" i="20"/>
  <c r="AB238" i="20"/>
  <c r="AJ238" i="20"/>
  <c r="AK238" i="20"/>
  <c r="O238" i="20"/>
  <c r="AC238" i="20"/>
  <c r="K234" i="25"/>
  <c r="L234" i="25"/>
  <c r="AB234" i="25"/>
  <c r="A235" i="25"/>
  <c r="X234" i="25"/>
  <c r="AJ234" i="25"/>
  <c r="O234" i="25"/>
  <c r="AK234" i="25"/>
  <c r="AC234" i="25"/>
  <c r="K239" i="18"/>
  <c r="A240" i="18"/>
  <c r="AB239" i="18"/>
  <c r="X239" i="18"/>
  <c r="AJ239" i="18"/>
  <c r="L239" i="18"/>
  <c r="AK239" i="18"/>
  <c r="O239" i="18"/>
  <c r="AC239" i="18"/>
  <c r="F240" i="1"/>
  <c r="A237" i="23"/>
  <c r="AB236" i="23"/>
  <c r="X236" i="23"/>
  <c r="L236" i="23"/>
  <c r="K236" i="23"/>
  <c r="AJ236" i="23"/>
  <c r="AK236" i="23"/>
  <c r="O236" i="23"/>
  <c r="AC236" i="23"/>
  <c r="B27" i="7"/>
  <c r="D241" i="1"/>
  <c r="E241" i="1" s="1"/>
  <c r="AJ242" i="1"/>
  <c r="Q242" i="1"/>
  <c r="O242" i="1"/>
  <c r="X242" i="1"/>
  <c r="A243" i="1"/>
  <c r="AB242" i="1"/>
  <c r="K242" i="1"/>
  <c r="AK242" i="1"/>
  <c r="L242" i="1"/>
  <c r="AC242" i="1"/>
  <c r="U242" i="1"/>
  <c r="T242" i="1" s="1"/>
  <c r="A241" i="17"/>
  <c r="AB240" i="17"/>
  <c r="K240" i="17"/>
  <c r="L240" i="17"/>
  <c r="X240" i="17"/>
  <c r="O240" i="17"/>
  <c r="AJ240" i="17"/>
  <c r="AK240" i="17"/>
  <c r="AC240" i="17"/>
  <c r="AB242" i="15" l="1"/>
  <c r="AK242" i="15"/>
  <c r="L242" i="15"/>
  <c r="D242" i="15" s="1"/>
  <c r="K242" i="15"/>
  <c r="AC242" i="15"/>
  <c r="A243" i="15"/>
  <c r="O242" i="15"/>
  <c r="X242" i="15"/>
  <c r="AJ242" i="15"/>
  <c r="D241" i="15"/>
  <c r="E241" i="15" s="1"/>
  <c r="B39" i="7"/>
  <c r="A51" i="7"/>
  <c r="AB241" i="16"/>
  <c r="L241" i="16"/>
  <c r="AK241" i="16"/>
  <c r="O241" i="16"/>
  <c r="C51" i="7" s="1"/>
  <c r="X241" i="16"/>
  <c r="A242" i="16"/>
  <c r="K241" i="16"/>
  <c r="AJ241" i="16"/>
  <c r="AC241" i="16"/>
  <c r="E240" i="16"/>
  <c r="S242" i="1"/>
  <c r="R242" i="1" s="1"/>
  <c r="P242" i="1" s="1"/>
  <c r="V242" i="1" s="1"/>
  <c r="D242" i="1"/>
  <c r="AK243" i="1"/>
  <c r="K243" i="1"/>
  <c r="AB243" i="1"/>
  <c r="X243" i="1"/>
  <c r="O243" i="1"/>
  <c r="AJ243" i="1"/>
  <c r="A244" i="1"/>
  <c r="Q243" i="1"/>
  <c r="L243" i="1"/>
  <c r="AC243" i="1"/>
  <c r="U243" i="1"/>
  <c r="T243" i="1" s="1"/>
  <c r="E242" i="1"/>
  <c r="A238" i="23"/>
  <c r="L237" i="23"/>
  <c r="X237" i="23"/>
  <c r="K237" i="23"/>
  <c r="AB237" i="23"/>
  <c r="AJ237" i="23"/>
  <c r="AK237" i="23"/>
  <c r="O237" i="23"/>
  <c r="AC237" i="23"/>
  <c r="G240" i="1"/>
  <c r="BW240" i="6" s="1"/>
  <c r="I240" i="1"/>
  <c r="AA240" i="1"/>
  <c r="Z240" i="1" s="1"/>
  <c r="Y240" i="1" s="1"/>
  <c r="AB240" i="18"/>
  <c r="L240" i="18"/>
  <c r="K240" i="18"/>
  <c r="A241" i="18"/>
  <c r="X240" i="18"/>
  <c r="AJ240" i="18"/>
  <c r="O240" i="18"/>
  <c r="AK240" i="18"/>
  <c r="AC240" i="18"/>
  <c r="X241" i="17"/>
  <c r="A242" i="17"/>
  <c r="AB241" i="17"/>
  <c r="A63" i="7"/>
  <c r="K241" i="17"/>
  <c r="L241" i="17"/>
  <c r="AJ241" i="17"/>
  <c r="AK241" i="17"/>
  <c r="O241" i="17"/>
  <c r="C63" i="7" s="1"/>
  <c r="AC241" i="17"/>
  <c r="V241" i="1"/>
  <c r="F241" i="1" s="1"/>
  <c r="A236" i="25"/>
  <c r="AB235" i="25"/>
  <c r="K235" i="25"/>
  <c r="X235" i="25"/>
  <c r="L235" i="25"/>
  <c r="AJ235" i="25"/>
  <c r="O235" i="25"/>
  <c r="AK235" i="25"/>
  <c r="AC235" i="25"/>
  <c r="X239" i="20"/>
  <c r="AB239" i="20"/>
  <c r="L239" i="20"/>
  <c r="A240" i="20"/>
  <c r="K239" i="20"/>
  <c r="AJ239" i="20"/>
  <c r="AK239" i="20"/>
  <c r="O239" i="20"/>
  <c r="AC239" i="20"/>
  <c r="AB238" i="22"/>
  <c r="X238" i="22"/>
  <c r="A239" i="22"/>
  <c r="L238" i="22"/>
  <c r="K238" i="22"/>
  <c r="AK238" i="22"/>
  <c r="AJ238" i="22"/>
  <c r="O238" i="22"/>
  <c r="AC238" i="22"/>
  <c r="A237" i="24"/>
  <c r="L236" i="24"/>
  <c r="AB236" i="24"/>
  <c r="K236" i="24"/>
  <c r="X236" i="24"/>
  <c r="AJ236" i="24"/>
  <c r="AK236" i="24"/>
  <c r="O236" i="24"/>
  <c r="AC236" i="24"/>
  <c r="AB243" i="15" l="1"/>
  <c r="K243" i="15"/>
  <c r="AC243" i="15"/>
  <c r="A244" i="15"/>
  <c r="O243" i="15"/>
  <c r="L243" i="15"/>
  <c r="D243" i="15" s="1"/>
  <c r="AJ243" i="15"/>
  <c r="X243" i="15"/>
  <c r="AK243" i="15"/>
  <c r="E242" i="15"/>
  <c r="K242" i="16"/>
  <c r="A243" i="16"/>
  <c r="X242" i="16"/>
  <c r="AJ242" i="16"/>
  <c r="O242" i="16"/>
  <c r="AB242" i="16"/>
  <c r="AC242" i="16"/>
  <c r="L242" i="16"/>
  <c r="D242" i="16" s="1"/>
  <c r="AK242" i="16"/>
  <c r="D241" i="16"/>
  <c r="E241" i="16" s="1"/>
  <c r="B51" i="7"/>
  <c r="B63" i="7"/>
  <c r="X242" i="17"/>
  <c r="AB242" i="17"/>
  <c r="L242" i="17"/>
  <c r="K242" i="17"/>
  <c r="A243" i="17"/>
  <c r="AJ242" i="17"/>
  <c r="AK242" i="17"/>
  <c r="O242" i="17"/>
  <c r="AC242" i="17"/>
  <c r="AB241" i="18"/>
  <c r="L241" i="18"/>
  <c r="A242" i="18"/>
  <c r="X241" i="18"/>
  <c r="K241" i="18"/>
  <c r="A75" i="7"/>
  <c r="AJ241" i="18"/>
  <c r="O241" i="18"/>
  <c r="C75" i="7" s="1"/>
  <c r="AK241" i="18"/>
  <c r="AC241" i="18"/>
  <c r="F242" i="1"/>
  <c r="AB237" i="24"/>
  <c r="X237" i="24"/>
  <c r="A238" i="24"/>
  <c r="L237" i="24"/>
  <c r="K237" i="24"/>
  <c r="AK237" i="24"/>
  <c r="AJ237" i="24"/>
  <c r="O237" i="24"/>
  <c r="AC237" i="24"/>
  <c r="AB239" i="22"/>
  <c r="K239" i="22"/>
  <c r="L239" i="22"/>
  <c r="A240" i="22"/>
  <c r="X239" i="22"/>
  <c r="AJ239" i="22"/>
  <c r="AK239" i="22"/>
  <c r="O239" i="22"/>
  <c r="AC239" i="22"/>
  <c r="A241" i="20"/>
  <c r="L240" i="20"/>
  <c r="K240" i="20"/>
  <c r="AB240" i="20"/>
  <c r="X240" i="20"/>
  <c r="AJ240" i="20"/>
  <c r="AK240" i="20"/>
  <c r="O240" i="20"/>
  <c r="AC240" i="20"/>
  <c r="AB236" i="25"/>
  <c r="L236" i="25"/>
  <c r="A237" i="25"/>
  <c r="K236" i="25"/>
  <c r="X236" i="25"/>
  <c r="AJ236" i="25"/>
  <c r="O236" i="25"/>
  <c r="AK236" i="25"/>
  <c r="AC236" i="25"/>
  <c r="G241" i="1"/>
  <c r="BW241" i="6" s="1"/>
  <c r="I241" i="1"/>
  <c r="AA241" i="1"/>
  <c r="Z241" i="1" s="1"/>
  <c r="Y241" i="1" s="1"/>
  <c r="K238" i="23"/>
  <c r="X238" i="23"/>
  <c r="A239" i="23"/>
  <c r="L238" i="23"/>
  <c r="AB238" i="23"/>
  <c r="AJ238" i="23"/>
  <c r="AK238" i="23"/>
  <c r="O238" i="23"/>
  <c r="AC238" i="23"/>
  <c r="S243" i="1"/>
  <c r="R243" i="1" s="1"/>
  <c r="P243" i="1" s="1"/>
  <c r="V243" i="1" s="1"/>
  <c r="D243" i="1"/>
  <c r="E243" i="1" s="1"/>
  <c r="AK244" i="1"/>
  <c r="X244" i="1"/>
  <c r="O244" i="1"/>
  <c r="AC244" i="1"/>
  <c r="Q244" i="1"/>
  <c r="K244" i="1"/>
  <c r="AB244" i="1"/>
  <c r="L244" i="1"/>
  <c r="AJ244" i="1"/>
  <c r="A245" i="1"/>
  <c r="U244" i="1"/>
  <c r="T244" i="1" s="1"/>
  <c r="S244" i="1" s="1"/>
  <c r="R244" i="1" s="1"/>
  <c r="P244" i="1" s="1"/>
  <c r="E243" i="15" l="1"/>
  <c r="K244" i="15"/>
  <c r="AK244" i="15"/>
  <c r="L244" i="15"/>
  <c r="D244" i="15" s="1"/>
  <c r="AB244" i="15"/>
  <c r="AC244" i="15"/>
  <c r="A245" i="15"/>
  <c r="O244" i="15"/>
  <c r="X244" i="15"/>
  <c r="AJ244" i="15"/>
  <c r="F243" i="1"/>
  <c r="G243" i="1" s="1"/>
  <c r="BW243" i="6" s="1"/>
  <c r="E242" i="16"/>
  <c r="K243" i="16"/>
  <c r="AB243" i="16"/>
  <c r="AK243" i="16"/>
  <c r="AC243" i="16"/>
  <c r="L243" i="16"/>
  <c r="D243" i="16" s="1"/>
  <c r="X243" i="16"/>
  <c r="A244" i="16"/>
  <c r="AJ243" i="16"/>
  <c r="O243" i="16"/>
  <c r="K237" i="25"/>
  <c r="L237" i="25"/>
  <c r="AB237" i="25"/>
  <c r="X237" i="25"/>
  <c r="A238" i="25"/>
  <c r="AJ237" i="25"/>
  <c r="O237" i="25"/>
  <c r="AK237" i="25"/>
  <c r="AC237" i="25"/>
  <c r="G242" i="1"/>
  <c r="BW242" i="6" s="1"/>
  <c r="AA242" i="1"/>
  <c r="Z242" i="1" s="1"/>
  <c r="Y242" i="1" s="1"/>
  <c r="I242" i="1"/>
  <c r="X242" i="18"/>
  <c r="A243" i="18"/>
  <c r="L242" i="18"/>
  <c r="AB242" i="18"/>
  <c r="AJ242" i="18"/>
  <c r="K242" i="18"/>
  <c r="O242" i="18"/>
  <c r="AK242" i="18"/>
  <c r="AC242" i="18"/>
  <c r="A244" i="17"/>
  <c r="L243" i="17"/>
  <c r="K243" i="17"/>
  <c r="X243" i="17"/>
  <c r="AB243" i="17"/>
  <c r="AK243" i="17"/>
  <c r="AJ243" i="17"/>
  <c r="O243" i="17"/>
  <c r="AC243" i="17"/>
  <c r="K245" i="1"/>
  <c r="A246" i="1"/>
  <c r="AB245" i="1"/>
  <c r="AK245" i="1"/>
  <c r="X245" i="1"/>
  <c r="L245" i="1"/>
  <c r="O245" i="1"/>
  <c r="Q245" i="1"/>
  <c r="AC245" i="1"/>
  <c r="AJ245" i="1"/>
  <c r="U245" i="1"/>
  <c r="T245" i="1" s="1"/>
  <c r="D244" i="1"/>
  <c r="E244" i="1" s="1"/>
  <c r="V244" i="1"/>
  <c r="K239" i="23"/>
  <c r="AB239" i="23"/>
  <c r="L239" i="23"/>
  <c r="X239" i="23"/>
  <c r="A240" i="23"/>
  <c r="AJ239" i="23"/>
  <c r="AK239" i="23"/>
  <c r="O239" i="23"/>
  <c r="AC239" i="23"/>
  <c r="AB241" i="20"/>
  <c r="L241" i="20"/>
  <c r="K241" i="20"/>
  <c r="A242" i="20"/>
  <c r="AE27" i="7"/>
  <c r="X241" i="20"/>
  <c r="AJ241" i="20"/>
  <c r="AK241" i="20"/>
  <c r="O241" i="20"/>
  <c r="AG27" i="7" s="1"/>
  <c r="AC241" i="20"/>
  <c r="A241" i="22"/>
  <c r="L240" i="22"/>
  <c r="AB240" i="22"/>
  <c r="X240" i="22"/>
  <c r="K240" i="22"/>
  <c r="AJ240" i="22"/>
  <c r="AK240" i="22"/>
  <c r="O240" i="22"/>
  <c r="AC240" i="22"/>
  <c r="A239" i="24"/>
  <c r="K238" i="24"/>
  <c r="X238" i="24"/>
  <c r="AB238" i="24"/>
  <c r="L238" i="24"/>
  <c r="AK238" i="24"/>
  <c r="AJ238" i="24"/>
  <c r="O238" i="24"/>
  <c r="AC238" i="24"/>
  <c r="B75" i="7"/>
  <c r="AA243" i="1" l="1"/>
  <c r="Z243" i="1" s="1"/>
  <c r="Y243" i="1" s="1"/>
  <c r="X245" i="15"/>
  <c r="AJ245" i="15"/>
  <c r="K245" i="15"/>
  <c r="AB245" i="15"/>
  <c r="O245" i="15"/>
  <c r="L245" i="15"/>
  <c r="D245" i="15" s="1"/>
  <c r="AC245" i="15"/>
  <c r="A246" i="15"/>
  <c r="AK245" i="15"/>
  <c r="I243" i="1"/>
  <c r="E244" i="15"/>
  <c r="K244" i="16"/>
  <c r="X244" i="16"/>
  <c r="AB244" i="16"/>
  <c r="AK244" i="16"/>
  <c r="O244" i="16"/>
  <c r="L244" i="16"/>
  <c r="D244" i="16" s="1"/>
  <c r="A245" i="16"/>
  <c r="AJ244" i="16"/>
  <c r="AC244" i="16"/>
  <c r="E243" i="16"/>
  <c r="AE39" i="7"/>
  <c r="K241" i="22"/>
  <c r="L241" i="22"/>
  <c r="X241" i="22"/>
  <c r="AB241" i="22"/>
  <c r="A242" i="22"/>
  <c r="AJ241" i="22"/>
  <c r="AK241" i="22"/>
  <c r="O241" i="22"/>
  <c r="AG39" i="7" s="1"/>
  <c r="AC241" i="22"/>
  <c r="S245" i="1"/>
  <c r="R245" i="1" s="1"/>
  <c r="P245" i="1" s="1"/>
  <c r="V245" i="1" s="1"/>
  <c r="F244" i="1"/>
  <c r="AB239" i="24"/>
  <c r="K239" i="24"/>
  <c r="X239" i="24"/>
  <c r="A240" i="24"/>
  <c r="L239" i="24"/>
  <c r="AJ239" i="24"/>
  <c r="AK239" i="24"/>
  <c r="O239" i="24"/>
  <c r="AC239" i="24"/>
  <c r="AB242" i="20"/>
  <c r="X242" i="20"/>
  <c r="K242" i="20"/>
  <c r="L242" i="20"/>
  <c r="A243" i="20"/>
  <c r="AJ242" i="20"/>
  <c r="AK242" i="20"/>
  <c r="O242" i="20"/>
  <c r="AC242" i="20"/>
  <c r="AF27" i="7"/>
  <c r="AB240" i="23"/>
  <c r="A241" i="23"/>
  <c r="K240" i="23"/>
  <c r="X240" i="23"/>
  <c r="L240" i="23"/>
  <c r="AJ240" i="23"/>
  <c r="AK240" i="23"/>
  <c r="O240" i="23"/>
  <c r="AC240" i="23"/>
  <c r="D245" i="1"/>
  <c r="E245" i="1" s="1"/>
  <c r="AK246" i="1"/>
  <c r="AJ246" i="1"/>
  <c r="Q246" i="1"/>
  <c r="X246" i="1"/>
  <c r="O246" i="1"/>
  <c r="K246" i="1"/>
  <c r="A247" i="1"/>
  <c r="AC246" i="1"/>
  <c r="AB246" i="1"/>
  <c r="L246" i="1"/>
  <c r="U246" i="1"/>
  <c r="T246" i="1" s="1"/>
  <c r="A245" i="17"/>
  <c r="L244" i="17"/>
  <c r="AB244" i="17"/>
  <c r="K244" i="17"/>
  <c r="X244" i="17"/>
  <c r="AJ244" i="17"/>
  <c r="O244" i="17"/>
  <c r="AK244" i="17"/>
  <c r="AC244" i="17"/>
  <c r="X243" i="18"/>
  <c r="AB243" i="18"/>
  <c r="AJ243" i="18"/>
  <c r="K243" i="18"/>
  <c r="L243" i="18"/>
  <c r="A244" i="18"/>
  <c r="O243" i="18"/>
  <c r="AK243" i="18"/>
  <c r="AC243" i="18"/>
  <c r="A239" i="25"/>
  <c r="AB238" i="25"/>
  <c r="L238" i="25"/>
  <c r="X238" i="25"/>
  <c r="K238" i="25"/>
  <c r="AJ238" i="25"/>
  <c r="O238" i="25"/>
  <c r="AK238" i="25"/>
  <c r="AC238" i="25"/>
  <c r="E245" i="15" l="1"/>
  <c r="L246" i="15"/>
  <c r="D246" i="15" s="1"/>
  <c r="AJ246" i="15"/>
  <c r="AB246" i="15"/>
  <c r="X246" i="15"/>
  <c r="O246" i="15"/>
  <c r="E246" i="15" s="1"/>
  <c r="A247" i="15"/>
  <c r="AC246" i="15"/>
  <c r="K246" i="15"/>
  <c r="AK246" i="15"/>
  <c r="K245" i="16"/>
  <c r="X245" i="16"/>
  <c r="AB245" i="16"/>
  <c r="AK245" i="16"/>
  <c r="O245" i="16"/>
  <c r="A246" i="16"/>
  <c r="L245" i="16"/>
  <c r="D245" i="16" s="1"/>
  <c r="AJ245" i="16"/>
  <c r="AC245" i="16"/>
  <c r="E244" i="16"/>
  <c r="AB239" i="25"/>
  <c r="A240" i="25"/>
  <c r="X239" i="25"/>
  <c r="K239" i="25"/>
  <c r="L239" i="25"/>
  <c r="AK239" i="25"/>
  <c r="AJ239" i="25"/>
  <c r="O239" i="25"/>
  <c r="AC239" i="25"/>
  <c r="K244" i="18"/>
  <c r="AB244" i="18"/>
  <c r="X244" i="18"/>
  <c r="A245" i="18"/>
  <c r="AJ244" i="18"/>
  <c r="L244" i="18"/>
  <c r="AK244" i="18"/>
  <c r="O244" i="18"/>
  <c r="AC244" i="18"/>
  <c r="AB245" i="17"/>
  <c r="A246" i="17"/>
  <c r="X245" i="17"/>
  <c r="L245" i="17"/>
  <c r="K245" i="17"/>
  <c r="AJ245" i="17"/>
  <c r="AK245" i="17"/>
  <c r="O245" i="17"/>
  <c r="AC245" i="17"/>
  <c r="D246" i="1"/>
  <c r="E246" i="1" s="1"/>
  <c r="K243" i="20"/>
  <c r="AB243" i="20"/>
  <c r="L243" i="20"/>
  <c r="X243" i="20"/>
  <c r="A244" i="20"/>
  <c r="AJ243" i="20"/>
  <c r="AK243" i="20"/>
  <c r="O243" i="20"/>
  <c r="AC243" i="20"/>
  <c r="AB240" i="24"/>
  <c r="X240" i="24"/>
  <c r="L240" i="24"/>
  <c r="K240" i="24"/>
  <c r="A241" i="24"/>
  <c r="AJ240" i="24"/>
  <c r="AK240" i="24"/>
  <c r="O240" i="24"/>
  <c r="AC240" i="24"/>
  <c r="F245" i="1"/>
  <c r="A243" i="22"/>
  <c r="X242" i="22"/>
  <c r="AB242" i="22"/>
  <c r="L242" i="22"/>
  <c r="K242" i="22"/>
  <c r="AJ242" i="22"/>
  <c r="AK242" i="22"/>
  <c r="O242" i="22"/>
  <c r="AC242" i="22"/>
  <c r="S246" i="1"/>
  <c r="R246" i="1" s="1"/>
  <c r="P246" i="1" s="1"/>
  <c r="V246" i="1" s="1"/>
  <c r="AK247" i="1"/>
  <c r="L247" i="1"/>
  <c r="AJ247" i="1"/>
  <c r="AB247" i="1"/>
  <c r="AC247" i="1"/>
  <c r="A248" i="1"/>
  <c r="Q247" i="1"/>
  <c r="O247" i="1"/>
  <c r="X247" i="1"/>
  <c r="K247" i="1"/>
  <c r="U247" i="1"/>
  <c r="T247" i="1" s="1"/>
  <c r="X241" i="23"/>
  <c r="L241" i="23"/>
  <c r="K241" i="23"/>
  <c r="AB241" i="23"/>
  <c r="A242" i="23"/>
  <c r="AE51" i="7"/>
  <c r="AK241" i="23"/>
  <c r="AJ241" i="23"/>
  <c r="O241" i="23"/>
  <c r="AG51" i="7" s="1"/>
  <c r="AC241" i="23"/>
  <c r="I244" i="1"/>
  <c r="G244" i="1"/>
  <c r="BW244" i="6" s="1"/>
  <c r="AA244" i="1"/>
  <c r="Z244" i="1" s="1"/>
  <c r="Y244" i="1" s="1"/>
  <c r="AF39" i="7"/>
  <c r="E245" i="16" l="1"/>
  <c r="A248" i="15"/>
  <c r="O247" i="15"/>
  <c r="AB247" i="15"/>
  <c r="L247" i="15"/>
  <c r="D247" i="15" s="1"/>
  <c r="E247" i="15" s="1"/>
  <c r="K247" i="15"/>
  <c r="AK247" i="15"/>
  <c r="X247" i="15"/>
  <c r="AC247" i="15"/>
  <c r="AJ247" i="15"/>
  <c r="X246" i="16"/>
  <c r="K246" i="16"/>
  <c r="AK246" i="16"/>
  <c r="AC246" i="16"/>
  <c r="A247" i="16"/>
  <c r="L246" i="16"/>
  <c r="D246" i="16" s="1"/>
  <c r="AB246" i="16"/>
  <c r="AJ246" i="16"/>
  <c r="O246" i="16"/>
  <c r="F246" i="1"/>
  <c r="I246" i="1" s="1"/>
  <c r="AF51" i="7"/>
  <c r="AJ248" i="1"/>
  <c r="Q248" i="1"/>
  <c r="AB248" i="1"/>
  <c r="O248" i="1"/>
  <c r="AK248" i="1"/>
  <c r="X248" i="1"/>
  <c r="A249" i="1"/>
  <c r="L248" i="1"/>
  <c r="K248" i="1"/>
  <c r="AC248" i="1"/>
  <c r="U248" i="1"/>
  <c r="T248" i="1" s="1"/>
  <c r="D247" i="1"/>
  <c r="E247" i="1" s="1"/>
  <c r="X243" i="22"/>
  <c r="A244" i="22"/>
  <c r="AB243" i="22"/>
  <c r="K243" i="22"/>
  <c r="L243" i="22"/>
  <c r="AK243" i="22"/>
  <c r="AJ243" i="22"/>
  <c r="O243" i="22"/>
  <c r="AC243" i="22"/>
  <c r="A242" i="24"/>
  <c r="K241" i="24"/>
  <c r="AB241" i="24"/>
  <c r="L241" i="24"/>
  <c r="AE63" i="7"/>
  <c r="X241" i="24"/>
  <c r="AJ241" i="24"/>
  <c r="AK241" i="24"/>
  <c r="O241" i="24"/>
  <c r="AG63" i="7" s="1"/>
  <c r="AC241" i="24"/>
  <c r="A247" i="17"/>
  <c r="X246" i="17"/>
  <c r="K246" i="17"/>
  <c r="L246" i="17"/>
  <c r="AB246" i="17"/>
  <c r="AJ246" i="17"/>
  <c r="O246" i="17"/>
  <c r="AK246" i="17"/>
  <c r="AC246" i="17"/>
  <c r="X240" i="25"/>
  <c r="K240" i="25"/>
  <c r="L240" i="25"/>
  <c r="A241" i="25"/>
  <c r="AB240" i="25"/>
  <c r="AJ240" i="25"/>
  <c r="AK240" i="25"/>
  <c r="O240" i="25"/>
  <c r="AC240" i="25"/>
  <c r="K242" i="23"/>
  <c r="A243" i="23"/>
  <c r="AB242" i="23"/>
  <c r="X242" i="23"/>
  <c r="L242" i="23"/>
  <c r="AJ242" i="23"/>
  <c r="AK242" i="23"/>
  <c r="O242" i="23"/>
  <c r="AC242" i="23"/>
  <c r="S247" i="1"/>
  <c r="R247" i="1" s="1"/>
  <c r="P247" i="1" s="1"/>
  <c r="V247" i="1" s="1"/>
  <c r="AA245" i="1"/>
  <c r="Z245" i="1" s="1"/>
  <c r="Y245" i="1" s="1"/>
  <c r="G245" i="1"/>
  <c r="BW245" i="6" s="1"/>
  <c r="I245" i="1"/>
  <c r="A245" i="20"/>
  <c r="AB244" i="20"/>
  <c r="X244" i="20"/>
  <c r="L244" i="20"/>
  <c r="K244" i="20"/>
  <c r="AK244" i="20"/>
  <c r="AJ244" i="20"/>
  <c r="O244" i="20"/>
  <c r="AC244" i="20"/>
  <c r="AB245" i="18"/>
  <c r="A246" i="18"/>
  <c r="AJ245" i="18"/>
  <c r="L245" i="18"/>
  <c r="K245" i="18"/>
  <c r="X245" i="18"/>
  <c r="O245" i="18"/>
  <c r="AK245" i="18"/>
  <c r="AC245" i="18"/>
  <c r="G246" i="1" l="1"/>
  <c r="BW246" i="6" s="1"/>
  <c r="E246" i="16"/>
  <c r="K248" i="15"/>
  <c r="AJ248" i="15"/>
  <c r="X248" i="15"/>
  <c r="AK248" i="15"/>
  <c r="AB248" i="15"/>
  <c r="A249" i="15"/>
  <c r="O248" i="15"/>
  <c r="L248" i="15"/>
  <c r="D248" i="15" s="1"/>
  <c r="AC248" i="15"/>
  <c r="AA246" i="1"/>
  <c r="Z246" i="1" s="1"/>
  <c r="Y246" i="1" s="1"/>
  <c r="K247" i="16"/>
  <c r="AB247" i="16"/>
  <c r="AJ247" i="16"/>
  <c r="AC247" i="16"/>
  <c r="X247" i="16"/>
  <c r="L247" i="16"/>
  <c r="D247" i="16" s="1"/>
  <c r="A248" i="16"/>
  <c r="AK247" i="16"/>
  <c r="O247" i="16"/>
  <c r="F247" i="1"/>
  <c r="K246" i="18"/>
  <c r="AB246" i="18"/>
  <c r="X246" i="18"/>
  <c r="A247" i="18"/>
  <c r="L246" i="18"/>
  <c r="AJ246" i="18"/>
  <c r="O246" i="18"/>
  <c r="AK246" i="18"/>
  <c r="AC246" i="18"/>
  <c r="K245" i="20"/>
  <c r="X245" i="20"/>
  <c r="AB245" i="20"/>
  <c r="L245" i="20"/>
  <c r="A246" i="20"/>
  <c r="AJ245" i="20"/>
  <c r="AK245" i="20"/>
  <c r="O245" i="20"/>
  <c r="AC245" i="20"/>
  <c r="AE75" i="7"/>
  <c r="L241" i="25"/>
  <c r="AB241" i="25"/>
  <c r="K241" i="25"/>
  <c r="A242" i="25"/>
  <c r="X241" i="25"/>
  <c r="AJ241" i="25"/>
  <c r="AK241" i="25"/>
  <c r="O241" i="25"/>
  <c r="AG75" i="7" s="1"/>
  <c r="AC241" i="25"/>
  <c r="X247" i="17"/>
  <c r="L247" i="17"/>
  <c r="AB247" i="17"/>
  <c r="K247" i="17"/>
  <c r="A248" i="17"/>
  <c r="AJ247" i="17"/>
  <c r="AK247" i="17"/>
  <c r="O247" i="17"/>
  <c r="AC247" i="17"/>
  <c r="AB242" i="24"/>
  <c r="X242" i="24"/>
  <c r="A243" i="24"/>
  <c r="K242" i="24"/>
  <c r="L242" i="24"/>
  <c r="AK242" i="24"/>
  <c r="AJ242" i="24"/>
  <c r="O242" i="24"/>
  <c r="AC242" i="24"/>
  <c r="AB244" i="22"/>
  <c r="X244" i="22"/>
  <c r="L244" i="22"/>
  <c r="A245" i="22"/>
  <c r="K244" i="22"/>
  <c r="AK244" i="22"/>
  <c r="AJ244" i="22"/>
  <c r="O244" i="22"/>
  <c r="AC244" i="22"/>
  <c r="S248" i="1"/>
  <c r="R248" i="1" s="1"/>
  <c r="P248" i="1" s="1"/>
  <c r="V248" i="1" s="1"/>
  <c r="L249" i="1"/>
  <c r="AK249" i="1"/>
  <c r="A250" i="1"/>
  <c r="O249" i="1"/>
  <c r="AJ249" i="1"/>
  <c r="Q249" i="1"/>
  <c r="X249" i="1"/>
  <c r="AC249" i="1"/>
  <c r="K249" i="1"/>
  <c r="AB249" i="1"/>
  <c r="U249" i="1"/>
  <c r="T249" i="1" s="1"/>
  <c r="S249" i="1" s="1"/>
  <c r="R249" i="1" s="1"/>
  <c r="K243" i="23"/>
  <c r="X243" i="23"/>
  <c r="L243" i="23"/>
  <c r="A244" i="23"/>
  <c r="AB243" i="23"/>
  <c r="AJ243" i="23"/>
  <c r="AK243" i="23"/>
  <c r="O243" i="23"/>
  <c r="AC243" i="23"/>
  <c r="AF63" i="7"/>
  <c r="D248" i="1"/>
  <c r="E248" i="1" s="1"/>
  <c r="E248" i="15" l="1"/>
  <c r="K249" i="15"/>
  <c r="O249" i="15"/>
  <c r="L249" i="15"/>
  <c r="D249" i="15" s="1"/>
  <c r="AJ249" i="15"/>
  <c r="A250" i="15"/>
  <c r="AK249" i="15"/>
  <c r="AB249" i="15"/>
  <c r="X249" i="15"/>
  <c r="AC249" i="15"/>
  <c r="E247" i="16"/>
  <c r="P249" i="1"/>
  <c r="V249" i="1" s="1"/>
  <c r="F248" i="1"/>
  <c r="AA248" i="1" s="1"/>
  <c r="Z248" i="1" s="1"/>
  <c r="Y248" i="1" s="1"/>
  <c r="A249" i="16"/>
  <c r="AB248" i="16"/>
  <c r="AJ248" i="16"/>
  <c r="AC248" i="16"/>
  <c r="L248" i="16"/>
  <c r="D248" i="16" s="1"/>
  <c r="X248" i="16"/>
  <c r="K248" i="16"/>
  <c r="AK248" i="16"/>
  <c r="O248" i="16"/>
  <c r="G248" i="1"/>
  <c r="BW248" i="6" s="1"/>
  <c r="AB244" i="23"/>
  <c r="K244" i="23"/>
  <c r="A245" i="23"/>
  <c r="L244" i="23"/>
  <c r="X244" i="23"/>
  <c r="AJ244" i="23"/>
  <c r="AK244" i="23"/>
  <c r="O244" i="23"/>
  <c r="AC244" i="23"/>
  <c r="AB250" i="1"/>
  <c r="L250" i="1"/>
  <c r="A251" i="1"/>
  <c r="AJ250" i="1"/>
  <c r="Q250" i="1"/>
  <c r="X250" i="1"/>
  <c r="AC250" i="1"/>
  <c r="AK250" i="1"/>
  <c r="O250" i="1"/>
  <c r="K250" i="1"/>
  <c r="U250" i="1"/>
  <c r="T250" i="1" s="1"/>
  <c r="D249" i="1"/>
  <c r="E249" i="1" s="1"/>
  <c r="K245" i="22"/>
  <c r="A246" i="22"/>
  <c r="AB245" i="22"/>
  <c r="X245" i="22"/>
  <c r="L245" i="22"/>
  <c r="AJ245" i="22"/>
  <c r="AK245" i="22"/>
  <c r="O245" i="22"/>
  <c r="AC245" i="22"/>
  <c r="X248" i="17"/>
  <c r="K248" i="17"/>
  <c r="L248" i="17"/>
  <c r="AB248" i="17"/>
  <c r="A249" i="17"/>
  <c r="AJ248" i="17"/>
  <c r="O248" i="17"/>
  <c r="AK248" i="17"/>
  <c r="AC248" i="17"/>
  <c r="K242" i="25"/>
  <c r="L242" i="25"/>
  <c r="AB242" i="25"/>
  <c r="A243" i="25"/>
  <c r="X242" i="25"/>
  <c r="AJ242" i="25"/>
  <c r="AK242" i="25"/>
  <c r="O242" i="25"/>
  <c r="AC242" i="25"/>
  <c r="AB243" i="24"/>
  <c r="A244" i="24"/>
  <c r="L243" i="24"/>
  <c r="X243" i="24"/>
  <c r="K243" i="24"/>
  <c r="AJ243" i="24"/>
  <c r="AK243" i="24"/>
  <c r="O243" i="24"/>
  <c r="AC243" i="24"/>
  <c r="AF75" i="7"/>
  <c r="AB246" i="20"/>
  <c r="L246" i="20"/>
  <c r="X246" i="20"/>
  <c r="K246" i="20"/>
  <c r="A247" i="20"/>
  <c r="AJ246" i="20"/>
  <c r="AK246" i="20"/>
  <c r="O246" i="20"/>
  <c r="AC246" i="20"/>
  <c r="AB247" i="18"/>
  <c r="K247" i="18"/>
  <c r="L247" i="18"/>
  <c r="X247" i="18"/>
  <c r="AJ247" i="18"/>
  <c r="A248" i="18"/>
  <c r="O247" i="18"/>
  <c r="AK247" i="18"/>
  <c r="AC247" i="18"/>
  <c r="AA247" i="1"/>
  <c r="Z247" i="1" s="1"/>
  <c r="Y247" i="1" s="1"/>
  <c r="I247" i="1"/>
  <c r="G247" i="1"/>
  <c r="BW247" i="6" s="1"/>
  <c r="I248" i="1" l="1"/>
  <c r="E249" i="15"/>
  <c r="X250" i="15"/>
  <c r="K250" i="15"/>
  <c r="AC250" i="15"/>
  <c r="A251" i="15"/>
  <c r="O250" i="15"/>
  <c r="AB250" i="15"/>
  <c r="AJ250" i="15"/>
  <c r="L250" i="15"/>
  <c r="D250" i="15" s="1"/>
  <c r="AK250" i="15"/>
  <c r="F249" i="1"/>
  <c r="I249" i="1" s="1"/>
  <c r="E248" i="16"/>
  <c r="L249" i="16"/>
  <c r="D249" i="16" s="1"/>
  <c r="X249" i="16"/>
  <c r="AJ249" i="16"/>
  <c r="AC249" i="16"/>
  <c r="AB249" i="16"/>
  <c r="A250" i="16"/>
  <c r="K249" i="16"/>
  <c r="AK249" i="16"/>
  <c r="O249" i="16"/>
  <c r="D250" i="1"/>
  <c r="E250" i="1" s="1"/>
  <c r="A249" i="18"/>
  <c r="L248" i="18"/>
  <c r="K248" i="18"/>
  <c r="AB248" i="18"/>
  <c r="X248" i="18"/>
  <c r="AJ248" i="18"/>
  <c r="O248" i="18"/>
  <c r="AK248" i="18"/>
  <c r="AC248" i="18"/>
  <c r="AB247" i="20"/>
  <c r="X247" i="20"/>
  <c r="L247" i="20"/>
  <c r="A248" i="20"/>
  <c r="K247" i="20"/>
  <c r="AK247" i="20"/>
  <c r="AJ247" i="20"/>
  <c r="O247" i="20"/>
  <c r="AC247" i="20"/>
  <c r="K244" i="24"/>
  <c r="A245" i="24"/>
  <c r="AB244" i="24"/>
  <c r="L244" i="24"/>
  <c r="X244" i="24"/>
  <c r="AJ244" i="24"/>
  <c r="AK244" i="24"/>
  <c r="O244" i="24"/>
  <c r="AC244" i="24"/>
  <c r="K243" i="25"/>
  <c r="A244" i="25"/>
  <c r="X243" i="25"/>
  <c r="L243" i="25"/>
  <c r="AB243" i="25"/>
  <c r="AJ243" i="25"/>
  <c r="O243" i="25"/>
  <c r="AK243" i="25"/>
  <c r="AC243" i="25"/>
  <c r="AB249" i="17"/>
  <c r="X249" i="17"/>
  <c r="K249" i="17"/>
  <c r="A250" i="17"/>
  <c r="L249" i="17"/>
  <c r="O249" i="17"/>
  <c r="AK249" i="17"/>
  <c r="AJ249" i="17"/>
  <c r="AC249" i="17"/>
  <c r="AB246" i="22"/>
  <c r="A247" i="22"/>
  <c r="L246" i="22"/>
  <c r="X246" i="22"/>
  <c r="K246" i="22"/>
  <c r="AJ246" i="22"/>
  <c r="AK246" i="22"/>
  <c r="O246" i="22"/>
  <c r="AC246" i="22"/>
  <c r="S250" i="1"/>
  <c r="R250" i="1" s="1"/>
  <c r="P250" i="1" s="1"/>
  <c r="V250" i="1" s="1"/>
  <c r="X251" i="1"/>
  <c r="Q251" i="1"/>
  <c r="K251" i="1"/>
  <c r="A252" i="1"/>
  <c r="O251" i="1"/>
  <c r="L251" i="1"/>
  <c r="AK251" i="1"/>
  <c r="AC251" i="1"/>
  <c r="AJ251" i="1"/>
  <c r="AB251" i="1"/>
  <c r="U251" i="1"/>
  <c r="T251" i="1" s="1"/>
  <c r="A246" i="23"/>
  <c r="X245" i="23"/>
  <c r="L245" i="23"/>
  <c r="AB245" i="23"/>
  <c r="K245" i="23"/>
  <c r="AK245" i="23"/>
  <c r="AJ245" i="23"/>
  <c r="O245" i="23"/>
  <c r="AC245" i="23"/>
  <c r="F250" i="1" l="1"/>
  <c r="I250" i="1" s="1"/>
  <c r="G249" i="1"/>
  <c r="BW249" i="6" s="1"/>
  <c r="AA249" i="1"/>
  <c r="Z249" i="1" s="1"/>
  <c r="Y249" i="1" s="1"/>
  <c r="E250" i="15"/>
  <c r="A252" i="15"/>
  <c r="AK251" i="15"/>
  <c r="L251" i="15"/>
  <c r="D251" i="15" s="1"/>
  <c r="AJ251" i="15"/>
  <c r="X251" i="15"/>
  <c r="AB251" i="15"/>
  <c r="AC251" i="15"/>
  <c r="K251" i="15"/>
  <c r="O251" i="15"/>
  <c r="A251" i="16"/>
  <c r="AB250" i="16"/>
  <c r="K250" i="16"/>
  <c r="AJ250" i="16"/>
  <c r="O250" i="16"/>
  <c r="L250" i="16"/>
  <c r="D250" i="16" s="1"/>
  <c r="X250" i="16"/>
  <c r="AK250" i="16"/>
  <c r="AC250" i="16"/>
  <c r="E249" i="16"/>
  <c r="S251" i="1"/>
  <c r="R251" i="1" s="1"/>
  <c r="P251" i="1" s="1"/>
  <c r="V251" i="1" s="1"/>
  <c r="K250" i="17"/>
  <c r="AB250" i="17"/>
  <c r="L250" i="17"/>
  <c r="A251" i="17"/>
  <c r="X250" i="17"/>
  <c r="AJ250" i="17"/>
  <c r="O250" i="17"/>
  <c r="AK250" i="17"/>
  <c r="AC250" i="17"/>
  <c r="X244" i="25"/>
  <c r="K244" i="25"/>
  <c r="AB244" i="25"/>
  <c r="A245" i="25"/>
  <c r="L244" i="25"/>
  <c r="AK244" i="25"/>
  <c r="AJ244" i="25"/>
  <c r="O244" i="25"/>
  <c r="AC244" i="25"/>
  <c r="A246" i="24"/>
  <c r="AB245" i="24"/>
  <c r="K245" i="24"/>
  <c r="L245" i="24"/>
  <c r="X245" i="24"/>
  <c r="AJ245" i="24"/>
  <c r="AK245" i="24"/>
  <c r="O245" i="24"/>
  <c r="AC245" i="24"/>
  <c r="K248" i="20"/>
  <c r="AB248" i="20"/>
  <c r="L248" i="20"/>
  <c r="X248" i="20"/>
  <c r="A249" i="20"/>
  <c r="AJ248" i="20"/>
  <c r="AK248" i="20"/>
  <c r="O248" i="20"/>
  <c r="AC248" i="20"/>
  <c r="K249" i="18"/>
  <c r="AB249" i="18"/>
  <c r="L249" i="18"/>
  <c r="X249" i="18"/>
  <c r="AJ249" i="18"/>
  <c r="A250" i="18"/>
  <c r="AK249" i="18"/>
  <c r="O249" i="18"/>
  <c r="AC249" i="18"/>
  <c r="A247" i="23"/>
  <c r="X246" i="23"/>
  <c r="L246" i="23"/>
  <c r="K246" i="23"/>
  <c r="AB246" i="23"/>
  <c r="AJ246" i="23"/>
  <c r="AK246" i="23"/>
  <c r="O246" i="23"/>
  <c r="AC246" i="23"/>
  <c r="D251" i="1"/>
  <c r="E251" i="1" s="1"/>
  <c r="AC252" i="1"/>
  <c r="K252" i="1"/>
  <c r="AK252" i="1"/>
  <c r="O252" i="1"/>
  <c r="L252" i="1"/>
  <c r="A253" i="1"/>
  <c r="AJ252" i="1"/>
  <c r="X252" i="1"/>
  <c r="AB252" i="1"/>
  <c r="Q252" i="1"/>
  <c r="U252" i="1"/>
  <c r="AB247" i="22"/>
  <c r="L247" i="22"/>
  <c r="A248" i="22"/>
  <c r="X247" i="22"/>
  <c r="K247" i="22"/>
  <c r="AJ247" i="22"/>
  <c r="AK247" i="22"/>
  <c r="O247" i="22"/>
  <c r="AC247" i="22"/>
  <c r="AA250" i="1" l="1"/>
  <c r="Z250" i="1" s="1"/>
  <c r="Y250" i="1" s="1"/>
  <c r="G250" i="1"/>
  <c r="BW250" i="6" s="1"/>
  <c r="E251" i="15"/>
  <c r="A253" i="15"/>
  <c r="AK252" i="15"/>
  <c r="AB252" i="15"/>
  <c r="X252" i="15"/>
  <c r="O252" i="15"/>
  <c r="L252" i="15"/>
  <c r="D252" i="15" s="1"/>
  <c r="AC252" i="15"/>
  <c r="K252" i="15"/>
  <c r="AJ252" i="15"/>
  <c r="E250" i="16"/>
  <c r="F251" i="1"/>
  <c r="AA251" i="1" s="1"/>
  <c r="Z251" i="1" s="1"/>
  <c r="Y251" i="1" s="1"/>
  <c r="K251" i="16"/>
  <c r="AB251" i="16"/>
  <c r="X251" i="16"/>
  <c r="AK251" i="16"/>
  <c r="O251" i="16"/>
  <c r="L251" i="16"/>
  <c r="D251" i="16" s="1"/>
  <c r="A252" i="16"/>
  <c r="AJ251" i="16"/>
  <c r="AC251" i="16"/>
  <c r="T252" i="1"/>
  <c r="D252" i="1"/>
  <c r="A251" i="18"/>
  <c r="AB250" i="18"/>
  <c r="AJ250" i="18"/>
  <c r="K250" i="18"/>
  <c r="L250" i="18"/>
  <c r="X250" i="18"/>
  <c r="O250" i="18"/>
  <c r="AK250" i="18"/>
  <c r="AC250" i="18"/>
  <c r="K249" i="20"/>
  <c r="A250" i="20"/>
  <c r="X249" i="20"/>
  <c r="L249" i="20"/>
  <c r="AB249" i="20"/>
  <c r="AJ249" i="20"/>
  <c r="AK249" i="20"/>
  <c r="O249" i="20"/>
  <c r="AC249" i="20"/>
  <c r="X251" i="17"/>
  <c r="AB251" i="17"/>
  <c r="A252" i="17"/>
  <c r="L251" i="17"/>
  <c r="K251" i="17"/>
  <c r="AJ251" i="17"/>
  <c r="O251" i="17"/>
  <c r="AK251" i="17"/>
  <c r="AC251" i="17"/>
  <c r="K248" i="22"/>
  <c r="AB248" i="22"/>
  <c r="A249" i="22"/>
  <c r="L248" i="22"/>
  <c r="X248" i="22"/>
  <c r="AK248" i="22"/>
  <c r="AJ248" i="22"/>
  <c r="O248" i="22"/>
  <c r="AC248" i="22"/>
  <c r="AB253" i="1"/>
  <c r="AC253" i="1"/>
  <c r="Q253" i="1"/>
  <c r="O253" i="1"/>
  <c r="K253" i="1"/>
  <c r="AK253" i="1"/>
  <c r="AJ253" i="1"/>
  <c r="A254" i="1"/>
  <c r="X253" i="1"/>
  <c r="L253" i="1"/>
  <c r="U253" i="1"/>
  <c r="T253" i="1" s="1"/>
  <c r="S253" i="1" s="1"/>
  <c r="R253" i="1" s="1"/>
  <c r="P253" i="1" s="1"/>
  <c r="E252" i="1"/>
  <c r="A248" i="23"/>
  <c r="K247" i="23"/>
  <c r="L247" i="23"/>
  <c r="AB247" i="23"/>
  <c r="X247" i="23"/>
  <c r="AJ247" i="23"/>
  <c r="AK247" i="23"/>
  <c r="O247" i="23"/>
  <c r="AC247" i="23"/>
  <c r="K246" i="24"/>
  <c r="AB246" i="24"/>
  <c r="A247" i="24"/>
  <c r="X246" i="24"/>
  <c r="L246" i="24"/>
  <c r="AK246" i="24"/>
  <c r="O246" i="24"/>
  <c r="AJ246" i="24"/>
  <c r="AC246" i="24"/>
  <c r="A246" i="25"/>
  <c r="X245" i="25"/>
  <c r="L245" i="25"/>
  <c r="AB245" i="25"/>
  <c r="K245" i="25"/>
  <c r="AJ245" i="25"/>
  <c r="AK245" i="25"/>
  <c r="O245" i="25"/>
  <c r="AC245" i="25"/>
  <c r="I251" i="1" l="1"/>
  <c r="G251" i="1"/>
  <c r="BW251" i="6" s="1"/>
  <c r="E252" i="15"/>
  <c r="AB253" i="15"/>
  <c r="AK253" i="15"/>
  <c r="A254" i="15"/>
  <c r="AJ253" i="15"/>
  <c r="X253" i="15"/>
  <c r="K253" i="15"/>
  <c r="AC253" i="15"/>
  <c r="L253" i="15"/>
  <c r="D253" i="15" s="1"/>
  <c r="O253" i="15"/>
  <c r="E251" i="16"/>
  <c r="A253" i="16"/>
  <c r="AB252" i="16"/>
  <c r="K252" i="16"/>
  <c r="AK252" i="16"/>
  <c r="O252" i="16"/>
  <c r="X252" i="16"/>
  <c r="L252" i="16"/>
  <c r="D252" i="16" s="1"/>
  <c r="AJ252" i="16"/>
  <c r="AC252" i="16"/>
  <c r="A248" i="24"/>
  <c r="X247" i="24"/>
  <c r="L247" i="24"/>
  <c r="K247" i="24"/>
  <c r="AB247" i="24"/>
  <c r="AJ247" i="24"/>
  <c r="AK247" i="24"/>
  <c r="O247" i="24"/>
  <c r="AC247" i="24"/>
  <c r="D253" i="1"/>
  <c r="E253" i="1" s="1"/>
  <c r="V253" i="1"/>
  <c r="AJ254" i="1"/>
  <c r="Q254" i="1"/>
  <c r="A255" i="1"/>
  <c r="AK254" i="1"/>
  <c r="AC254" i="1"/>
  <c r="L254" i="1"/>
  <c r="AB254" i="1"/>
  <c r="K254" i="1"/>
  <c r="X254" i="1"/>
  <c r="O254" i="1"/>
  <c r="U254" i="1"/>
  <c r="T254" i="1" s="1"/>
  <c r="S254" i="1" s="1"/>
  <c r="R254" i="1" s="1"/>
  <c r="A250" i="22"/>
  <c r="AB249" i="22"/>
  <c r="L249" i="22"/>
  <c r="X249" i="22"/>
  <c r="K249" i="22"/>
  <c r="AK249" i="22"/>
  <c r="AJ249" i="22"/>
  <c r="O249" i="22"/>
  <c r="AC249" i="22"/>
  <c r="K246" i="25"/>
  <c r="A247" i="25"/>
  <c r="AB246" i="25"/>
  <c r="L246" i="25"/>
  <c r="X246" i="25"/>
  <c r="AJ246" i="25"/>
  <c r="O246" i="25"/>
  <c r="AK246" i="25"/>
  <c r="AC246" i="25"/>
  <c r="A249" i="23"/>
  <c r="L248" i="23"/>
  <c r="X248" i="23"/>
  <c r="AB248" i="23"/>
  <c r="K248" i="23"/>
  <c r="AJ248" i="23"/>
  <c r="AK248" i="23"/>
  <c r="O248" i="23"/>
  <c r="AC248" i="23"/>
  <c r="K252" i="17"/>
  <c r="AB252" i="17"/>
  <c r="X252" i="17"/>
  <c r="L252" i="17"/>
  <c r="A253" i="17"/>
  <c r="AJ252" i="17"/>
  <c r="O252" i="17"/>
  <c r="AK252" i="17"/>
  <c r="AC252" i="17"/>
  <c r="K250" i="20"/>
  <c r="A251" i="20"/>
  <c r="X250" i="20"/>
  <c r="AB250" i="20"/>
  <c r="L250" i="20"/>
  <c r="AK250" i="20"/>
  <c r="AJ250" i="20"/>
  <c r="O250" i="20"/>
  <c r="AC250" i="20"/>
  <c r="AB251" i="18"/>
  <c r="K251" i="18"/>
  <c r="L251" i="18"/>
  <c r="A252" i="18"/>
  <c r="AJ251" i="18"/>
  <c r="X251" i="18"/>
  <c r="AK251" i="18"/>
  <c r="O251" i="18"/>
  <c r="AC251" i="18"/>
  <c r="S252" i="1"/>
  <c r="R252" i="1" s="1"/>
  <c r="P252" i="1" s="1"/>
  <c r="V252" i="1" s="1"/>
  <c r="F252" i="1" s="1"/>
  <c r="E252" i="16" l="1"/>
  <c r="E253" i="15"/>
  <c r="F253" i="1"/>
  <c r="G253" i="1" s="1"/>
  <c r="BW253" i="6" s="1"/>
  <c r="AB254" i="15"/>
  <c r="AK254" i="15"/>
  <c r="X254" i="15"/>
  <c r="K254" i="15"/>
  <c r="AC254" i="15"/>
  <c r="L254" i="15"/>
  <c r="D254" i="15" s="1"/>
  <c r="O254" i="15"/>
  <c r="A255" i="15"/>
  <c r="AJ254" i="15"/>
  <c r="A254" i="16"/>
  <c r="X253" i="16"/>
  <c r="AJ253" i="16"/>
  <c r="AC253" i="16"/>
  <c r="L253" i="16"/>
  <c r="D253" i="16" s="1"/>
  <c r="AB253" i="16"/>
  <c r="K253" i="16"/>
  <c r="AK253" i="16"/>
  <c r="O253" i="16"/>
  <c r="AA252" i="1"/>
  <c r="Z252" i="1" s="1"/>
  <c r="Y252" i="1" s="1"/>
  <c r="I252" i="1"/>
  <c r="G252" i="1"/>
  <c r="BW252" i="6" s="1"/>
  <c r="X251" i="20"/>
  <c r="K251" i="20"/>
  <c r="L251" i="20"/>
  <c r="A252" i="20"/>
  <c r="AB251" i="20"/>
  <c r="AJ251" i="20"/>
  <c r="AK251" i="20"/>
  <c r="O251" i="20"/>
  <c r="AC251" i="20"/>
  <c r="X253" i="17"/>
  <c r="A254" i="17"/>
  <c r="K253" i="17"/>
  <c r="L253" i="17"/>
  <c r="AB253" i="17"/>
  <c r="AK253" i="17"/>
  <c r="AJ253" i="17"/>
  <c r="O253" i="17"/>
  <c r="AC253" i="17"/>
  <c r="A250" i="23"/>
  <c r="AB249" i="23"/>
  <c r="K249" i="23"/>
  <c r="X249" i="23"/>
  <c r="L249" i="23"/>
  <c r="AK249" i="23"/>
  <c r="AJ249" i="23"/>
  <c r="O249" i="23"/>
  <c r="AC249" i="23"/>
  <c r="AB247" i="25"/>
  <c r="A248" i="25"/>
  <c r="X247" i="25"/>
  <c r="L247" i="25"/>
  <c r="K247" i="25"/>
  <c r="AJ247" i="25"/>
  <c r="O247" i="25"/>
  <c r="AK247" i="25"/>
  <c r="AC247" i="25"/>
  <c r="I253" i="1"/>
  <c r="D254" i="1"/>
  <c r="E254" i="1" s="1"/>
  <c r="K248" i="24"/>
  <c r="A249" i="24"/>
  <c r="X248" i="24"/>
  <c r="AB248" i="24"/>
  <c r="L248" i="24"/>
  <c r="AJ248" i="24"/>
  <c r="AK248" i="24"/>
  <c r="O248" i="24"/>
  <c r="AC248" i="24"/>
  <c r="AB252" i="18"/>
  <c r="L252" i="18"/>
  <c r="A253" i="18"/>
  <c r="K252" i="18"/>
  <c r="X252" i="18"/>
  <c r="AJ252" i="18"/>
  <c r="AK252" i="18"/>
  <c r="O252" i="18"/>
  <c r="AC252" i="18"/>
  <c r="A251" i="22"/>
  <c r="K250" i="22"/>
  <c r="L250" i="22"/>
  <c r="X250" i="22"/>
  <c r="AB250" i="22"/>
  <c r="AJ250" i="22"/>
  <c r="AK250" i="22"/>
  <c r="O250" i="22"/>
  <c r="AC250" i="22"/>
  <c r="P254" i="1"/>
  <c r="V254" i="1" s="1"/>
  <c r="X255" i="1"/>
  <c r="AC255" i="1"/>
  <c r="L255" i="1"/>
  <c r="A256" i="1"/>
  <c r="K255" i="1"/>
  <c r="AJ255" i="1"/>
  <c r="AK255" i="1"/>
  <c r="Q255" i="1"/>
  <c r="O255" i="1"/>
  <c r="AB255" i="1"/>
  <c r="U255" i="1"/>
  <c r="T255" i="1" s="1"/>
  <c r="S255" i="1" s="1"/>
  <c r="R255" i="1" s="1"/>
  <c r="AA253" i="1" l="1"/>
  <c r="Z253" i="1" s="1"/>
  <c r="Y253" i="1" s="1"/>
  <c r="AB255" i="15"/>
  <c r="O255" i="15"/>
  <c r="A256" i="15"/>
  <c r="AK255" i="15"/>
  <c r="X255" i="15"/>
  <c r="AJ255" i="15"/>
  <c r="K255" i="15"/>
  <c r="L255" i="15"/>
  <c r="D255" i="15" s="1"/>
  <c r="AC255" i="15"/>
  <c r="E254" i="15"/>
  <c r="E253" i="16"/>
  <c r="K254" i="16"/>
  <c r="X254" i="16"/>
  <c r="L254" i="16"/>
  <c r="D254" i="16" s="1"/>
  <c r="AK254" i="16"/>
  <c r="O254" i="16"/>
  <c r="A255" i="16"/>
  <c r="AB254" i="16"/>
  <c r="AJ254" i="16"/>
  <c r="AC254" i="16"/>
  <c r="F254" i="1"/>
  <c r="G254" i="1" s="1"/>
  <c r="BW254" i="6" s="1"/>
  <c r="AJ256" i="1"/>
  <c r="A257" i="1"/>
  <c r="Q256" i="1"/>
  <c r="X256" i="1"/>
  <c r="AK256" i="1"/>
  <c r="AB256" i="1"/>
  <c r="AC256" i="1"/>
  <c r="O256" i="1"/>
  <c r="L256" i="1"/>
  <c r="K256" i="1"/>
  <c r="U256" i="1"/>
  <c r="T256" i="1" s="1"/>
  <c r="S256" i="1" s="1"/>
  <c r="R256" i="1" s="1"/>
  <c r="P256" i="1" s="1"/>
  <c r="AB253" i="18"/>
  <c r="AJ253" i="18"/>
  <c r="K253" i="18"/>
  <c r="A254" i="18"/>
  <c r="X253" i="18"/>
  <c r="L253" i="18"/>
  <c r="O253" i="18"/>
  <c r="AK253" i="18"/>
  <c r="AC253" i="18"/>
  <c r="X249" i="24"/>
  <c r="K249" i="24"/>
  <c r="L249" i="24"/>
  <c r="AB249" i="24"/>
  <c r="A250" i="24"/>
  <c r="AJ249" i="24"/>
  <c r="AK249" i="24"/>
  <c r="O249" i="24"/>
  <c r="AC249" i="24"/>
  <c r="K254" i="17"/>
  <c r="AB254" i="17"/>
  <c r="X254" i="17"/>
  <c r="A255" i="17"/>
  <c r="L254" i="17"/>
  <c r="AJ254" i="17"/>
  <c r="AK254" i="17"/>
  <c r="O254" i="17"/>
  <c r="AC254" i="17"/>
  <c r="K252" i="20"/>
  <c r="AB252" i="20"/>
  <c r="X252" i="20"/>
  <c r="L252" i="20"/>
  <c r="A253" i="20"/>
  <c r="AJ252" i="20"/>
  <c r="AK252" i="20"/>
  <c r="O252" i="20"/>
  <c r="AC252" i="20"/>
  <c r="P255" i="1"/>
  <c r="V255" i="1" s="1"/>
  <c r="D255" i="1"/>
  <c r="E255" i="1" s="1"/>
  <c r="K251" i="22"/>
  <c r="X251" i="22"/>
  <c r="A252" i="22"/>
  <c r="AB251" i="22"/>
  <c r="L251" i="22"/>
  <c r="AJ251" i="22"/>
  <c r="AK251" i="22"/>
  <c r="O251" i="22"/>
  <c r="AC251" i="22"/>
  <c r="A249" i="25"/>
  <c r="L248" i="25"/>
  <c r="X248" i="25"/>
  <c r="K248" i="25"/>
  <c r="AB248" i="25"/>
  <c r="AJ248" i="25"/>
  <c r="O248" i="25"/>
  <c r="AK248" i="25"/>
  <c r="AC248" i="25"/>
  <c r="AB250" i="23"/>
  <c r="X250" i="23"/>
  <c r="K250" i="23"/>
  <c r="L250" i="23"/>
  <c r="A251" i="23"/>
  <c r="AK250" i="23"/>
  <c r="AJ250" i="23"/>
  <c r="O250" i="23"/>
  <c r="AC250" i="23"/>
  <c r="I254" i="1" l="1"/>
  <c r="X256" i="15"/>
  <c r="K256" i="15"/>
  <c r="AC256" i="15"/>
  <c r="A257" i="15"/>
  <c r="O256" i="15"/>
  <c r="AB256" i="15"/>
  <c r="AJ256" i="15"/>
  <c r="L256" i="15"/>
  <c r="D256" i="15" s="1"/>
  <c r="AK256" i="15"/>
  <c r="E255" i="15"/>
  <c r="AA254" i="1"/>
  <c r="Z254" i="1" s="1"/>
  <c r="Y254" i="1" s="1"/>
  <c r="E254" i="16"/>
  <c r="F255" i="1"/>
  <c r="I255" i="1" s="1"/>
  <c r="K255" i="16"/>
  <c r="L255" i="16"/>
  <c r="D255" i="16" s="1"/>
  <c r="A256" i="16"/>
  <c r="AJ255" i="16"/>
  <c r="O255" i="16"/>
  <c r="AB255" i="16"/>
  <c r="X255" i="16"/>
  <c r="AK255" i="16"/>
  <c r="AC255" i="16"/>
  <c r="K249" i="25"/>
  <c r="A250" i="25"/>
  <c r="AB249" i="25"/>
  <c r="X249" i="25"/>
  <c r="L249" i="25"/>
  <c r="AJ249" i="25"/>
  <c r="AK249" i="25"/>
  <c r="O249" i="25"/>
  <c r="AC249" i="25"/>
  <c r="AB252" i="22"/>
  <c r="L252" i="22"/>
  <c r="X252" i="22"/>
  <c r="A253" i="22"/>
  <c r="K252" i="22"/>
  <c r="AJ252" i="22"/>
  <c r="AK252" i="22"/>
  <c r="O252" i="22"/>
  <c r="AC252" i="22"/>
  <c r="A256" i="17"/>
  <c r="K255" i="17"/>
  <c r="X255" i="17"/>
  <c r="L255" i="17"/>
  <c r="AB255" i="17"/>
  <c r="O255" i="17"/>
  <c r="AJ255" i="17"/>
  <c r="AK255" i="17"/>
  <c r="AC255" i="17"/>
  <c r="X250" i="24"/>
  <c r="A251" i="24"/>
  <c r="AB250" i="24"/>
  <c r="L250" i="24"/>
  <c r="K250" i="24"/>
  <c r="AJ250" i="24"/>
  <c r="AK250" i="24"/>
  <c r="O250" i="24"/>
  <c r="AC250" i="24"/>
  <c r="AB254" i="18"/>
  <c r="L254" i="18"/>
  <c r="A255" i="18"/>
  <c r="K254" i="18"/>
  <c r="X254" i="18"/>
  <c r="AJ254" i="18"/>
  <c r="AK254" i="18"/>
  <c r="O254" i="18"/>
  <c r="AC254" i="18"/>
  <c r="O257" i="1"/>
  <c r="A258" i="1"/>
  <c r="Q257" i="1"/>
  <c r="AJ257" i="1"/>
  <c r="K257" i="1"/>
  <c r="L257" i="1"/>
  <c r="X257" i="1"/>
  <c r="AC257" i="1"/>
  <c r="AK257" i="1"/>
  <c r="AB257" i="1"/>
  <c r="U257" i="1"/>
  <c r="T257" i="1" s="1"/>
  <c r="S257" i="1" s="1"/>
  <c r="R257" i="1" s="1"/>
  <c r="A252" i="23"/>
  <c r="AB251" i="23"/>
  <c r="X251" i="23"/>
  <c r="L251" i="23"/>
  <c r="K251" i="23"/>
  <c r="AJ251" i="23"/>
  <c r="AK251" i="23"/>
  <c r="O251" i="23"/>
  <c r="AC251" i="23"/>
  <c r="K253" i="20"/>
  <c r="X253" i="20"/>
  <c r="L253" i="20"/>
  <c r="A254" i="20"/>
  <c r="AB253" i="20"/>
  <c r="AJ253" i="20"/>
  <c r="AK253" i="20"/>
  <c r="O253" i="20"/>
  <c r="AC253" i="20"/>
  <c r="D256" i="1"/>
  <c r="E256" i="1" s="1"/>
  <c r="V256" i="1"/>
  <c r="AA255" i="1" l="1"/>
  <c r="Z255" i="1" s="1"/>
  <c r="Y255" i="1" s="1"/>
  <c r="P257" i="1"/>
  <c r="E256" i="15"/>
  <c r="AB257" i="15"/>
  <c r="AJ257" i="15"/>
  <c r="L257" i="15"/>
  <c r="D257" i="15" s="1"/>
  <c r="AK257" i="15"/>
  <c r="A258" i="15"/>
  <c r="K257" i="15"/>
  <c r="O257" i="15"/>
  <c r="E257" i="15" s="1"/>
  <c r="X257" i="15"/>
  <c r="AC257" i="15"/>
  <c r="F256" i="1"/>
  <c r="I256" i="1" s="1"/>
  <c r="G255" i="1"/>
  <c r="BW255" i="6" s="1"/>
  <c r="E255" i="16"/>
  <c r="AB256" i="16"/>
  <c r="X256" i="16"/>
  <c r="K256" i="16"/>
  <c r="AJ256" i="16"/>
  <c r="O256" i="16"/>
  <c r="L256" i="16"/>
  <c r="D256" i="16" s="1"/>
  <c r="A257" i="16"/>
  <c r="AK256" i="16"/>
  <c r="AC256" i="16"/>
  <c r="D257" i="1"/>
  <c r="E257" i="1" s="1"/>
  <c r="V257" i="1"/>
  <c r="I61" i="19" s="1"/>
  <c r="AC258" i="1"/>
  <c r="Q258" i="1"/>
  <c r="L258" i="1"/>
  <c r="AJ258" i="1"/>
  <c r="AB258" i="1"/>
  <c r="O258" i="1"/>
  <c r="A259" i="1"/>
  <c r="K258" i="1"/>
  <c r="X258" i="1"/>
  <c r="AK258" i="1"/>
  <c r="U258" i="1"/>
  <c r="X255" i="18"/>
  <c r="AJ255" i="18"/>
  <c r="K255" i="18"/>
  <c r="A256" i="18"/>
  <c r="AB255" i="18"/>
  <c r="L255" i="18"/>
  <c r="O255" i="18"/>
  <c r="AK255" i="18"/>
  <c r="AC255" i="18"/>
  <c r="AB251" i="24"/>
  <c r="K251" i="24"/>
  <c r="L251" i="24"/>
  <c r="A252" i="24"/>
  <c r="X251" i="24"/>
  <c r="AJ251" i="24"/>
  <c r="AK251" i="24"/>
  <c r="O251" i="24"/>
  <c r="AC251" i="24"/>
  <c r="K256" i="17"/>
  <c r="X256" i="17"/>
  <c r="A257" i="17"/>
  <c r="L256" i="17"/>
  <c r="AB256" i="17"/>
  <c r="AJ256" i="17"/>
  <c r="O256" i="17"/>
  <c r="AK256" i="17"/>
  <c r="AC256" i="17"/>
  <c r="X253" i="22"/>
  <c r="A254" i="22"/>
  <c r="AB253" i="22"/>
  <c r="K253" i="22"/>
  <c r="L253" i="22"/>
  <c r="AJ253" i="22"/>
  <c r="AK253" i="22"/>
  <c r="O253" i="22"/>
  <c r="AC253" i="22"/>
  <c r="AB254" i="20"/>
  <c r="L254" i="20"/>
  <c r="K254" i="20"/>
  <c r="A255" i="20"/>
  <c r="X254" i="20"/>
  <c r="AJ254" i="20"/>
  <c r="AK254" i="20"/>
  <c r="O254" i="20"/>
  <c r="AC254" i="20"/>
  <c r="A253" i="23"/>
  <c r="K252" i="23"/>
  <c r="X252" i="23"/>
  <c r="AB252" i="23"/>
  <c r="L252" i="23"/>
  <c r="AJ252" i="23"/>
  <c r="AK252" i="23"/>
  <c r="O252" i="23"/>
  <c r="AC252" i="23"/>
  <c r="K250" i="25"/>
  <c r="L250" i="25"/>
  <c r="A251" i="25"/>
  <c r="X250" i="25"/>
  <c r="AB250" i="25"/>
  <c r="AJ250" i="25"/>
  <c r="O250" i="25"/>
  <c r="AK250" i="25"/>
  <c r="AC250" i="25"/>
  <c r="F257" i="1" l="1"/>
  <c r="AA257" i="1" s="1"/>
  <c r="Z257" i="1" s="1"/>
  <c r="Y257" i="1" s="1"/>
  <c r="AA256" i="1"/>
  <c r="Z256" i="1" s="1"/>
  <c r="Y256" i="1" s="1"/>
  <c r="L258" i="15"/>
  <c r="D258" i="15" s="1"/>
  <c r="AK258" i="15"/>
  <c r="X258" i="15"/>
  <c r="K258" i="15"/>
  <c r="O258" i="15"/>
  <c r="E258" i="15" s="1"/>
  <c r="A259" i="15"/>
  <c r="AC258" i="15"/>
  <c r="AB258" i="15"/>
  <c r="AJ258" i="15"/>
  <c r="G256" i="1"/>
  <c r="BW256" i="6" s="1"/>
  <c r="E256" i="16"/>
  <c r="AB257" i="16"/>
  <c r="K257" i="16"/>
  <c r="AJ257" i="16"/>
  <c r="AC257" i="16"/>
  <c r="A258" i="16"/>
  <c r="L257" i="16"/>
  <c r="D257" i="16" s="1"/>
  <c r="X257" i="16"/>
  <c r="AK257" i="16"/>
  <c r="O257" i="16"/>
  <c r="I257" i="1"/>
  <c r="K254" i="22"/>
  <c r="X254" i="22"/>
  <c r="L254" i="22"/>
  <c r="A255" i="22"/>
  <c r="AB254" i="22"/>
  <c r="AJ254" i="22"/>
  <c r="AK254" i="22"/>
  <c r="O254" i="22"/>
  <c r="AC254" i="22"/>
  <c r="K257" i="17"/>
  <c r="L257" i="17"/>
  <c r="X257" i="17"/>
  <c r="AB257" i="17"/>
  <c r="A258" i="17"/>
  <c r="AJ257" i="17"/>
  <c r="O257" i="17"/>
  <c r="AK257" i="17"/>
  <c r="AC257" i="17"/>
  <c r="K252" i="24"/>
  <c r="L252" i="24"/>
  <c r="X252" i="24"/>
  <c r="A253" i="24"/>
  <c r="AB252" i="24"/>
  <c r="AK252" i="24"/>
  <c r="AJ252" i="24"/>
  <c r="O252" i="24"/>
  <c r="AC252" i="24"/>
  <c r="A252" i="25"/>
  <c r="K251" i="25"/>
  <c r="AB251" i="25"/>
  <c r="X251" i="25"/>
  <c r="L251" i="25"/>
  <c r="AJ251" i="25"/>
  <c r="O251" i="25"/>
  <c r="AK251" i="25"/>
  <c r="AC251" i="25"/>
  <c r="AB253" i="23"/>
  <c r="K253" i="23"/>
  <c r="L253" i="23"/>
  <c r="A254" i="23"/>
  <c r="X253" i="23"/>
  <c r="AJ253" i="23"/>
  <c r="AK253" i="23"/>
  <c r="O253" i="23"/>
  <c r="AC253" i="23"/>
  <c r="AB255" i="20"/>
  <c r="K255" i="20"/>
  <c r="X255" i="20"/>
  <c r="L255" i="20"/>
  <c r="A256" i="20"/>
  <c r="AK255" i="20"/>
  <c r="AJ255" i="20"/>
  <c r="O255" i="20"/>
  <c r="AC255" i="20"/>
  <c r="AB256" i="18"/>
  <c r="AJ256" i="18"/>
  <c r="X256" i="18"/>
  <c r="A257" i="18"/>
  <c r="K256" i="18"/>
  <c r="L256" i="18"/>
  <c r="AK256" i="18"/>
  <c r="O256" i="18"/>
  <c r="AC256" i="18"/>
  <c r="T258" i="1"/>
  <c r="L259" i="1"/>
  <c r="AC259" i="1"/>
  <c r="K259" i="1"/>
  <c r="O259" i="1"/>
  <c r="AB259" i="1"/>
  <c r="AJ259" i="1"/>
  <c r="A260" i="1"/>
  <c r="X259" i="1"/>
  <c r="AK259" i="1"/>
  <c r="Q259" i="1"/>
  <c r="U259" i="1"/>
  <c r="T259" i="1" s="1"/>
  <c r="D258" i="1"/>
  <c r="E258" i="1" s="1"/>
  <c r="G257" i="1" l="1"/>
  <c r="BW257" i="6" s="1"/>
  <c r="K259" i="15"/>
  <c r="O259" i="15"/>
  <c r="L259" i="15"/>
  <c r="D259" i="15" s="1"/>
  <c r="AK259" i="15"/>
  <c r="AB259" i="15"/>
  <c r="AJ259" i="15"/>
  <c r="X259" i="15"/>
  <c r="A260" i="15"/>
  <c r="AC259" i="15"/>
  <c r="E257" i="16"/>
  <c r="AB258" i="16"/>
  <c r="A259" i="16"/>
  <c r="AJ258" i="16"/>
  <c r="AC258" i="16"/>
  <c r="K258" i="16"/>
  <c r="X258" i="16"/>
  <c r="L258" i="16"/>
  <c r="D258" i="16" s="1"/>
  <c r="AK258" i="16"/>
  <c r="O258" i="16"/>
  <c r="AB256" i="20"/>
  <c r="L256" i="20"/>
  <c r="X256" i="20"/>
  <c r="K256" i="20"/>
  <c r="A257" i="20"/>
  <c r="AJ256" i="20"/>
  <c r="AK256" i="20"/>
  <c r="O256" i="20"/>
  <c r="AC256" i="20"/>
  <c r="X254" i="23"/>
  <c r="AB254" i="23"/>
  <c r="L254" i="23"/>
  <c r="A255" i="23"/>
  <c r="K254" i="23"/>
  <c r="AK254" i="23"/>
  <c r="AJ254" i="23"/>
  <c r="O254" i="23"/>
  <c r="AC254" i="23"/>
  <c r="K253" i="24"/>
  <c r="AB253" i="24"/>
  <c r="L253" i="24"/>
  <c r="X253" i="24"/>
  <c r="A254" i="24"/>
  <c r="AK253" i="24"/>
  <c r="AJ253" i="24"/>
  <c r="O253" i="24"/>
  <c r="AC253" i="24"/>
  <c r="X258" i="17"/>
  <c r="AB258" i="17"/>
  <c r="A259" i="17"/>
  <c r="L258" i="17"/>
  <c r="K258" i="17"/>
  <c r="AJ258" i="17"/>
  <c r="AK258" i="17"/>
  <c r="O258" i="17"/>
  <c r="AC258" i="17"/>
  <c r="S259" i="1"/>
  <c r="R259" i="1" s="1"/>
  <c r="P259" i="1" s="1"/>
  <c r="V259" i="1" s="1"/>
  <c r="X260" i="1"/>
  <c r="O260" i="1"/>
  <c r="Q260" i="1"/>
  <c r="AK260" i="1"/>
  <c r="K260" i="1"/>
  <c r="AC260" i="1"/>
  <c r="A261" i="1"/>
  <c r="AJ260" i="1"/>
  <c r="L260" i="1"/>
  <c r="AB260" i="1"/>
  <c r="U260" i="1"/>
  <c r="D259" i="1"/>
  <c r="E259" i="1" s="1"/>
  <c r="F259" i="1" s="1"/>
  <c r="S258" i="1"/>
  <c r="R258" i="1" s="1"/>
  <c r="P258" i="1" s="1"/>
  <c r="V258" i="1" s="1"/>
  <c r="A258" i="18"/>
  <c r="K257" i="18"/>
  <c r="AJ257" i="18"/>
  <c r="X257" i="18"/>
  <c r="L257" i="18"/>
  <c r="AB257" i="18"/>
  <c r="AK257" i="18"/>
  <c r="O257" i="18"/>
  <c r="AC257" i="18"/>
  <c r="AB252" i="25"/>
  <c r="X252" i="25"/>
  <c r="K252" i="25"/>
  <c r="L252" i="25"/>
  <c r="A253" i="25"/>
  <c r="AJ252" i="25"/>
  <c r="AK252" i="25"/>
  <c r="O252" i="25"/>
  <c r="AC252" i="25"/>
  <c r="K255" i="22"/>
  <c r="A256" i="22"/>
  <c r="AB255" i="22"/>
  <c r="X255" i="22"/>
  <c r="L255" i="22"/>
  <c r="AJ255" i="22"/>
  <c r="AK255" i="22"/>
  <c r="O255" i="22"/>
  <c r="AC255" i="22"/>
  <c r="E259" i="15" l="1"/>
  <c r="AB260" i="15"/>
  <c r="AK260" i="15"/>
  <c r="A261" i="15"/>
  <c r="AJ260" i="15"/>
  <c r="L260" i="15"/>
  <c r="D260" i="15" s="1"/>
  <c r="X260" i="15"/>
  <c r="AC260" i="15"/>
  <c r="K260" i="15"/>
  <c r="O260" i="15"/>
  <c r="A260" i="16"/>
  <c r="L259" i="16"/>
  <c r="D259" i="16" s="1"/>
  <c r="AB259" i="16"/>
  <c r="AK259" i="16"/>
  <c r="O259" i="16"/>
  <c r="X259" i="16"/>
  <c r="K259" i="16"/>
  <c r="AJ259" i="16"/>
  <c r="AC259" i="16"/>
  <c r="E258" i="16"/>
  <c r="G259" i="1"/>
  <c r="BW259" i="6" s="1"/>
  <c r="AA259" i="1"/>
  <c r="Z259" i="1" s="1"/>
  <c r="Y259" i="1" s="1"/>
  <c r="I259" i="1"/>
  <c r="A257" i="22"/>
  <c r="K256" i="22"/>
  <c r="L256" i="22"/>
  <c r="X256" i="22"/>
  <c r="AB256" i="22"/>
  <c r="AJ256" i="22"/>
  <c r="AK256" i="22"/>
  <c r="O256" i="22"/>
  <c r="AC256" i="22"/>
  <c r="X253" i="25"/>
  <c r="A254" i="25"/>
  <c r="K253" i="25"/>
  <c r="L253" i="25"/>
  <c r="AB253" i="25"/>
  <c r="AJ253" i="25"/>
  <c r="AK253" i="25"/>
  <c r="O253" i="25"/>
  <c r="AC253" i="25"/>
  <c r="F258" i="1"/>
  <c r="T260" i="1"/>
  <c r="D260" i="1"/>
  <c r="E260" i="1" s="1"/>
  <c r="AB261" i="1"/>
  <c r="A262" i="1"/>
  <c r="AC261" i="1"/>
  <c r="L261" i="1"/>
  <c r="AJ261" i="1"/>
  <c r="X261" i="1"/>
  <c r="O261" i="1"/>
  <c r="AK261" i="1"/>
  <c r="K261" i="1"/>
  <c r="Q261" i="1"/>
  <c r="U261" i="1"/>
  <c r="T261" i="1" s="1"/>
  <c r="K259" i="17"/>
  <c r="L259" i="17"/>
  <c r="X259" i="17"/>
  <c r="A260" i="17"/>
  <c r="AB259" i="17"/>
  <c r="O259" i="17"/>
  <c r="AJ259" i="17"/>
  <c r="AK259" i="17"/>
  <c r="AC259" i="17"/>
  <c r="A255" i="24"/>
  <c r="L254" i="24"/>
  <c r="K254" i="24"/>
  <c r="X254" i="24"/>
  <c r="AB254" i="24"/>
  <c r="AJ254" i="24"/>
  <c r="AK254" i="24"/>
  <c r="O254" i="24"/>
  <c r="AC254" i="24"/>
  <c r="AB255" i="23"/>
  <c r="K255" i="23"/>
  <c r="L255" i="23"/>
  <c r="X255" i="23"/>
  <c r="A256" i="23"/>
  <c r="AJ255" i="23"/>
  <c r="AK255" i="23"/>
  <c r="O255" i="23"/>
  <c r="AC255" i="23"/>
  <c r="K257" i="20"/>
  <c r="X257" i="20"/>
  <c r="AB257" i="20"/>
  <c r="L257" i="20"/>
  <c r="A258" i="20"/>
  <c r="AJ257" i="20"/>
  <c r="AK257" i="20"/>
  <c r="O257" i="20"/>
  <c r="AC257" i="20"/>
  <c r="K258" i="18"/>
  <c r="A259" i="18"/>
  <c r="AJ258" i="18"/>
  <c r="X258" i="18"/>
  <c r="L258" i="18"/>
  <c r="AB258" i="18"/>
  <c r="O258" i="18"/>
  <c r="AK258" i="18"/>
  <c r="AC258" i="18"/>
  <c r="E260" i="15" l="1"/>
  <c r="L261" i="15"/>
  <c r="D261" i="15" s="1"/>
  <c r="AC261" i="15"/>
  <c r="A262" i="15"/>
  <c r="AK261" i="15"/>
  <c r="AB261" i="15"/>
  <c r="AJ261" i="15"/>
  <c r="X261" i="15"/>
  <c r="K261" i="15"/>
  <c r="O261" i="15"/>
  <c r="E259" i="16"/>
  <c r="A261" i="16"/>
  <c r="K260" i="16"/>
  <c r="X260" i="16"/>
  <c r="AK260" i="16"/>
  <c r="O260" i="16"/>
  <c r="AB260" i="16"/>
  <c r="L260" i="16"/>
  <c r="D260" i="16" s="1"/>
  <c r="AJ260" i="16"/>
  <c r="AC260" i="16"/>
  <c r="X259" i="18"/>
  <c r="A260" i="18"/>
  <c r="AJ259" i="18"/>
  <c r="AB259" i="18"/>
  <c r="L259" i="18"/>
  <c r="K259" i="18"/>
  <c r="O259" i="18"/>
  <c r="AK259" i="18"/>
  <c r="AC259" i="18"/>
  <c r="AB258" i="20"/>
  <c r="L258" i="20"/>
  <c r="A259" i="20"/>
  <c r="X258" i="20"/>
  <c r="K258" i="20"/>
  <c r="AK258" i="20"/>
  <c r="AJ258" i="20"/>
  <c r="O258" i="20"/>
  <c r="AC258" i="20"/>
  <c r="S261" i="1"/>
  <c r="R261" i="1" s="1"/>
  <c r="P261" i="1" s="1"/>
  <c r="V261" i="1" s="1"/>
  <c r="S260" i="1"/>
  <c r="R260" i="1" s="1"/>
  <c r="P260" i="1" s="1"/>
  <c r="V260" i="1" s="1"/>
  <c r="I258" i="1"/>
  <c r="G258" i="1"/>
  <c r="BW258" i="6" s="1"/>
  <c r="AA258" i="1"/>
  <c r="Z258" i="1" s="1"/>
  <c r="Y258" i="1" s="1"/>
  <c r="X254" i="25"/>
  <c r="AB254" i="25"/>
  <c r="L254" i="25"/>
  <c r="K254" i="25"/>
  <c r="A255" i="25"/>
  <c r="AK254" i="25"/>
  <c r="AJ254" i="25"/>
  <c r="O254" i="25"/>
  <c r="AC254" i="25"/>
  <c r="K257" i="22"/>
  <c r="AB257" i="22"/>
  <c r="A258" i="22"/>
  <c r="L257" i="22"/>
  <c r="X257" i="22"/>
  <c r="AK257" i="22"/>
  <c r="AJ257" i="22"/>
  <c r="O257" i="22"/>
  <c r="AC257" i="22"/>
  <c r="AB256" i="23"/>
  <c r="A257" i="23"/>
  <c r="L256" i="23"/>
  <c r="K256" i="23"/>
  <c r="X256" i="23"/>
  <c r="AJ256" i="23"/>
  <c r="AK256" i="23"/>
  <c r="O256" i="23"/>
  <c r="AC256" i="23"/>
  <c r="K255" i="24"/>
  <c r="A256" i="24"/>
  <c r="X255" i="24"/>
  <c r="L255" i="24"/>
  <c r="AB255" i="24"/>
  <c r="AK255" i="24"/>
  <c r="AJ255" i="24"/>
  <c r="O255" i="24"/>
  <c r="AC255" i="24"/>
  <c r="K260" i="17"/>
  <c r="AB260" i="17"/>
  <c r="L260" i="17"/>
  <c r="A261" i="17"/>
  <c r="X260" i="17"/>
  <c r="AJ260" i="17"/>
  <c r="O260" i="17"/>
  <c r="AK260" i="17"/>
  <c r="AC260" i="17"/>
  <c r="D261" i="1"/>
  <c r="E261" i="1" s="1"/>
  <c r="AJ262" i="1"/>
  <c r="A263" i="1"/>
  <c r="L262" i="1"/>
  <c r="O262" i="1"/>
  <c r="AC262" i="1"/>
  <c r="X262" i="1"/>
  <c r="AK262" i="1"/>
  <c r="K262" i="1"/>
  <c r="AB262" i="1"/>
  <c r="Q262" i="1"/>
  <c r="U262" i="1"/>
  <c r="T262" i="1" s="1"/>
  <c r="E260" i="16" l="1"/>
  <c r="K262" i="15"/>
  <c r="AJ262" i="15"/>
  <c r="A263" i="15"/>
  <c r="X262" i="15"/>
  <c r="AC262" i="15"/>
  <c r="L262" i="15"/>
  <c r="D262" i="15" s="1"/>
  <c r="O262" i="15"/>
  <c r="AB262" i="15"/>
  <c r="AK262" i="15"/>
  <c r="E261" i="15"/>
  <c r="K261" i="16"/>
  <c r="AB261" i="16"/>
  <c r="AJ261" i="16"/>
  <c r="AC261" i="16"/>
  <c r="L261" i="16"/>
  <c r="D261" i="16" s="1"/>
  <c r="X261" i="16"/>
  <c r="AK261" i="16"/>
  <c r="A262" i="16"/>
  <c r="O261" i="16"/>
  <c r="A264" i="1"/>
  <c r="O263" i="1"/>
  <c r="AJ263" i="1"/>
  <c r="L263" i="1"/>
  <c r="AK263" i="1"/>
  <c r="X263" i="1"/>
  <c r="Q263" i="1"/>
  <c r="K263" i="1"/>
  <c r="AC263" i="1"/>
  <c r="AB263" i="1"/>
  <c r="U263" i="1"/>
  <c r="T263" i="1" s="1"/>
  <c r="S263" i="1" s="1"/>
  <c r="R263" i="1" s="1"/>
  <c r="P263" i="1" s="1"/>
  <c r="F261" i="1"/>
  <c r="AB257" i="23"/>
  <c r="K257" i="23"/>
  <c r="X257" i="23"/>
  <c r="A258" i="23"/>
  <c r="L257" i="23"/>
  <c r="AJ257" i="23"/>
  <c r="AK257" i="23"/>
  <c r="O257" i="23"/>
  <c r="AC257" i="23"/>
  <c r="AB255" i="25"/>
  <c r="X255" i="25"/>
  <c r="K255" i="25"/>
  <c r="A256" i="25"/>
  <c r="L255" i="25"/>
  <c r="AJ255" i="25"/>
  <c r="AK255" i="25"/>
  <c r="O255" i="25"/>
  <c r="AC255" i="25"/>
  <c r="F260" i="1"/>
  <c r="X259" i="20"/>
  <c r="K259" i="20"/>
  <c r="AB259" i="20"/>
  <c r="A260" i="20"/>
  <c r="L259" i="20"/>
  <c r="AJ259" i="20"/>
  <c r="AK259" i="20"/>
  <c r="O259" i="20"/>
  <c r="AC259" i="20"/>
  <c r="A261" i="18"/>
  <c r="X260" i="18"/>
  <c r="AJ260" i="18"/>
  <c r="L260" i="18"/>
  <c r="AB260" i="18"/>
  <c r="K260" i="18"/>
  <c r="O260" i="18"/>
  <c r="AK260" i="18"/>
  <c r="AC260" i="18"/>
  <c r="S262" i="1"/>
  <c r="R262" i="1" s="1"/>
  <c r="P262" i="1" s="1"/>
  <c r="V262" i="1" s="1"/>
  <c r="D262" i="1"/>
  <c r="E262" i="1" s="1"/>
  <c r="X261" i="17"/>
  <c r="A262" i="17"/>
  <c r="AB261" i="17"/>
  <c r="K261" i="17"/>
  <c r="L261" i="17"/>
  <c r="AJ261" i="17"/>
  <c r="O261" i="17"/>
  <c r="AK261" i="17"/>
  <c r="AC261" i="17"/>
  <c r="K256" i="24"/>
  <c r="AB256" i="24"/>
  <c r="L256" i="24"/>
  <c r="X256" i="24"/>
  <c r="A257" i="24"/>
  <c r="AJ256" i="24"/>
  <c r="AK256" i="24"/>
  <c r="O256" i="24"/>
  <c r="AC256" i="24"/>
  <c r="A259" i="22"/>
  <c r="K258" i="22"/>
  <c r="L258" i="22"/>
  <c r="X258" i="22"/>
  <c r="AB258" i="22"/>
  <c r="AJ258" i="22"/>
  <c r="AK258" i="22"/>
  <c r="O258" i="22"/>
  <c r="AC258" i="22"/>
  <c r="E262" i="15" l="1"/>
  <c r="AB263" i="15"/>
  <c r="AJ263" i="15"/>
  <c r="A264" i="15"/>
  <c r="X263" i="15"/>
  <c r="AC263" i="15"/>
  <c r="K263" i="15"/>
  <c r="O263" i="15"/>
  <c r="L263" i="15"/>
  <c r="D263" i="15" s="1"/>
  <c r="AK263" i="15"/>
  <c r="F262" i="1"/>
  <c r="AA262" i="1" s="1"/>
  <c r="Z262" i="1" s="1"/>
  <c r="Y262" i="1" s="1"/>
  <c r="E261" i="16"/>
  <c r="K262" i="16"/>
  <c r="AB262" i="16"/>
  <c r="X262" i="16"/>
  <c r="AJ262" i="16"/>
  <c r="O262" i="16"/>
  <c r="L262" i="16"/>
  <c r="D262" i="16" s="1"/>
  <c r="A263" i="16"/>
  <c r="AK262" i="16"/>
  <c r="AC262" i="16"/>
  <c r="X257" i="24"/>
  <c r="A258" i="24"/>
  <c r="L257" i="24"/>
  <c r="K257" i="24"/>
  <c r="AB257" i="24"/>
  <c r="AK257" i="24"/>
  <c r="AJ257" i="24"/>
  <c r="O257" i="24"/>
  <c r="AC257" i="24"/>
  <c r="AB262" i="17"/>
  <c r="L262" i="17"/>
  <c r="A263" i="17"/>
  <c r="X262" i="17"/>
  <c r="K262" i="17"/>
  <c r="AK262" i="17"/>
  <c r="AJ262" i="17"/>
  <c r="O262" i="17"/>
  <c r="AC262" i="17"/>
  <c r="X258" i="23"/>
  <c r="K258" i="23"/>
  <c r="L258" i="23"/>
  <c r="AB258" i="23"/>
  <c r="A259" i="23"/>
  <c r="AK258" i="23"/>
  <c r="AJ258" i="23"/>
  <c r="O258" i="23"/>
  <c r="AC258" i="23"/>
  <c r="A265" i="1"/>
  <c r="AJ264" i="1"/>
  <c r="AC264" i="1"/>
  <c r="O264" i="1"/>
  <c r="AK264" i="1"/>
  <c r="AB264" i="1"/>
  <c r="Q264" i="1"/>
  <c r="X264" i="1"/>
  <c r="K264" i="1"/>
  <c r="L264" i="1"/>
  <c r="U264" i="1"/>
  <c r="T264" i="1" s="1"/>
  <c r="X259" i="22"/>
  <c r="L259" i="22"/>
  <c r="K259" i="22"/>
  <c r="A260" i="22"/>
  <c r="AB259" i="22"/>
  <c r="AJ259" i="22"/>
  <c r="AK259" i="22"/>
  <c r="O259" i="22"/>
  <c r="AC259" i="22"/>
  <c r="X261" i="18"/>
  <c r="AB261" i="18"/>
  <c r="AJ261" i="18"/>
  <c r="A262" i="18"/>
  <c r="K261" i="18"/>
  <c r="L261" i="18"/>
  <c r="O261" i="18"/>
  <c r="AK261" i="18"/>
  <c r="AC261" i="18"/>
  <c r="AB260" i="20"/>
  <c r="L260" i="20"/>
  <c r="A261" i="20"/>
  <c r="K260" i="20"/>
  <c r="X260" i="20"/>
  <c r="AJ260" i="20"/>
  <c r="AK260" i="20"/>
  <c r="O260" i="20"/>
  <c r="AC260" i="20"/>
  <c r="G260" i="1"/>
  <c r="BW260" i="6" s="1"/>
  <c r="AA260" i="1"/>
  <c r="Z260" i="1" s="1"/>
  <c r="Y260" i="1" s="1"/>
  <c r="I260" i="1"/>
  <c r="X256" i="25"/>
  <c r="K256" i="25"/>
  <c r="AB256" i="25"/>
  <c r="A257" i="25"/>
  <c r="L256" i="25"/>
  <c r="AJ256" i="25"/>
  <c r="AK256" i="25"/>
  <c r="O256" i="25"/>
  <c r="AC256" i="25"/>
  <c r="I261" i="1"/>
  <c r="G261" i="1"/>
  <c r="BW261" i="6" s="1"/>
  <c r="AA261" i="1"/>
  <c r="Z261" i="1" s="1"/>
  <c r="Y261" i="1" s="1"/>
  <c r="D263" i="1"/>
  <c r="E263" i="1" s="1"/>
  <c r="V263" i="1"/>
  <c r="I262" i="1" l="1"/>
  <c r="X264" i="15"/>
  <c r="AK264" i="15"/>
  <c r="L264" i="15"/>
  <c r="D264" i="15" s="1"/>
  <c r="AB264" i="15"/>
  <c r="AC264" i="15"/>
  <c r="K264" i="15"/>
  <c r="O264" i="15"/>
  <c r="A265" i="15"/>
  <c r="AJ264" i="15"/>
  <c r="G262" i="1"/>
  <c r="BW262" i="6" s="1"/>
  <c r="E263" i="15"/>
  <c r="E262" i="16"/>
  <c r="X263" i="16"/>
  <c r="K263" i="16"/>
  <c r="AJ263" i="16"/>
  <c r="AC263" i="16"/>
  <c r="A264" i="16"/>
  <c r="L263" i="16"/>
  <c r="D263" i="16" s="1"/>
  <c r="AB263" i="16"/>
  <c r="AK263" i="16"/>
  <c r="O263" i="16"/>
  <c r="X257" i="25"/>
  <c r="AB257" i="25"/>
  <c r="A258" i="25"/>
  <c r="L257" i="25"/>
  <c r="K257" i="25"/>
  <c r="AJ257" i="25"/>
  <c r="O257" i="25"/>
  <c r="AK257" i="25"/>
  <c r="AC257" i="25"/>
  <c r="L260" i="22"/>
  <c r="K260" i="22"/>
  <c r="A261" i="22"/>
  <c r="X260" i="22"/>
  <c r="AB260" i="22"/>
  <c r="AJ260" i="22"/>
  <c r="AK260" i="22"/>
  <c r="O260" i="22"/>
  <c r="AC260" i="22"/>
  <c r="D264" i="1"/>
  <c r="E264" i="1" s="1"/>
  <c r="AB263" i="17"/>
  <c r="L263" i="17"/>
  <c r="X263" i="17"/>
  <c r="A264" i="17"/>
  <c r="K263" i="17"/>
  <c r="AJ263" i="17"/>
  <c r="O263" i="17"/>
  <c r="AK263" i="17"/>
  <c r="AC263" i="17"/>
  <c r="F263" i="1"/>
  <c r="X261" i="20"/>
  <c r="K261" i="20"/>
  <c r="AB261" i="20"/>
  <c r="A262" i="20"/>
  <c r="L261" i="20"/>
  <c r="AJ261" i="20"/>
  <c r="AK261" i="20"/>
  <c r="O261" i="20"/>
  <c r="AC261" i="20"/>
  <c r="X262" i="18"/>
  <c r="AB262" i="18"/>
  <c r="AJ262" i="18"/>
  <c r="L262" i="18"/>
  <c r="A263" i="18"/>
  <c r="K262" i="18"/>
  <c r="O262" i="18"/>
  <c r="AK262" i="18"/>
  <c r="AC262" i="18"/>
  <c r="S264" i="1"/>
  <c r="R264" i="1" s="1"/>
  <c r="P264" i="1" s="1"/>
  <c r="V264" i="1" s="1"/>
  <c r="AB265" i="1"/>
  <c r="AC265" i="1"/>
  <c r="O265" i="1"/>
  <c r="K265" i="1"/>
  <c r="Q265" i="1"/>
  <c r="AJ265" i="1"/>
  <c r="A266" i="1"/>
  <c r="L265" i="1"/>
  <c r="X265" i="1"/>
  <c r="AK265" i="1"/>
  <c r="U265" i="1"/>
  <c r="T265" i="1" s="1"/>
  <c r="K259" i="23"/>
  <c r="L259" i="23"/>
  <c r="A260" i="23"/>
  <c r="AB259" i="23"/>
  <c r="X259" i="23"/>
  <c r="AJ259" i="23"/>
  <c r="AK259" i="23"/>
  <c r="O259" i="23"/>
  <c r="AC259" i="23"/>
  <c r="A259" i="24"/>
  <c r="K258" i="24"/>
  <c r="X258" i="24"/>
  <c r="L258" i="24"/>
  <c r="AB258" i="24"/>
  <c r="AJ258" i="24"/>
  <c r="AK258" i="24"/>
  <c r="O258" i="24"/>
  <c r="AC258" i="24"/>
  <c r="K265" i="15" l="1"/>
  <c r="AK265" i="15"/>
  <c r="X265" i="15"/>
  <c r="AJ265" i="15"/>
  <c r="L265" i="15"/>
  <c r="D265" i="15" s="1"/>
  <c r="AB265" i="15"/>
  <c r="AC265" i="15"/>
  <c r="A266" i="15"/>
  <c r="O265" i="15"/>
  <c r="E265" i="15" s="1"/>
  <c r="E264" i="15"/>
  <c r="E263" i="16"/>
  <c r="L264" i="16"/>
  <c r="D264" i="16" s="1"/>
  <c r="X264" i="16"/>
  <c r="K264" i="16"/>
  <c r="AK264" i="16"/>
  <c r="O264" i="16"/>
  <c r="A265" i="16"/>
  <c r="AB264" i="16"/>
  <c r="AJ264" i="16"/>
  <c r="AC264" i="16"/>
  <c r="AB260" i="23"/>
  <c r="K260" i="23"/>
  <c r="L260" i="23"/>
  <c r="X260" i="23"/>
  <c r="A261" i="23"/>
  <c r="AJ260" i="23"/>
  <c r="AK260" i="23"/>
  <c r="O260" i="23"/>
  <c r="AC260" i="23"/>
  <c r="D265" i="1"/>
  <c r="E265" i="1" s="1"/>
  <c r="X263" i="18"/>
  <c r="AJ263" i="18"/>
  <c r="L263" i="18"/>
  <c r="A264" i="18"/>
  <c r="AB263" i="18"/>
  <c r="K263" i="18"/>
  <c r="AK263" i="18"/>
  <c r="O263" i="18"/>
  <c r="AC263" i="18"/>
  <c r="X262" i="20"/>
  <c r="L262" i="20"/>
  <c r="K262" i="20"/>
  <c r="A263" i="20"/>
  <c r="AB262" i="20"/>
  <c r="AJ262" i="20"/>
  <c r="AK262" i="20"/>
  <c r="O262" i="20"/>
  <c r="AC262" i="20"/>
  <c r="AA263" i="1"/>
  <c r="Z263" i="1" s="1"/>
  <c r="Y263" i="1" s="1"/>
  <c r="I263" i="1"/>
  <c r="G263" i="1"/>
  <c r="BW263" i="6" s="1"/>
  <c r="F264" i="1"/>
  <c r="X261" i="22"/>
  <c r="L261" i="22"/>
  <c r="K261" i="22"/>
  <c r="AB261" i="22"/>
  <c r="A262" i="22"/>
  <c r="AJ261" i="22"/>
  <c r="AK261" i="22"/>
  <c r="O261" i="22"/>
  <c r="AC261" i="22"/>
  <c r="X259" i="24"/>
  <c r="AB259" i="24"/>
  <c r="A260" i="24"/>
  <c r="K259" i="24"/>
  <c r="L259" i="24"/>
  <c r="AK259" i="24"/>
  <c r="AJ259" i="24"/>
  <c r="O259" i="24"/>
  <c r="AC259" i="24"/>
  <c r="S265" i="1"/>
  <c r="R265" i="1" s="1"/>
  <c r="P265" i="1" s="1"/>
  <c r="V265" i="1" s="1"/>
  <c r="AK266" i="1"/>
  <c r="Q266" i="1"/>
  <c r="O266" i="1"/>
  <c r="X266" i="1"/>
  <c r="AC266" i="1"/>
  <c r="AJ266" i="1"/>
  <c r="L266" i="1"/>
  <c r="AB266" i="1"/>
  <c r="A267" i="1"/>
  <c r="K266" i="1"/>
  <c r="U266" i="1"/>
  <c r="T266" i="1" s="1"/>
  <c r="A265" i="17"/>
  <c r="X264" i="17"/>
  <c r="L264" i="17"/>
  <c r="AB264" i="17"/>
  <c r="K264" i="17"/>
  <c r="AJ264" i="17"/>
  <c r="O264" i="17"/>
  <c r="AK264" i="17"/>
  <c r="AC264" i="17"/>
  <c r="A259" i="25"/>
  <c r="L258" i="25"/>
  <c r="X258" i="25"/>
  <c r="K258" i="25"/>
  <c r="AB258" i="25"/>
  <c r="AJ258" i="25"/>
  <c r="O258" i="25"/>
  <c r="AK258" i="25"/>
  <c r="AC258" i="25"/>
  <c r="A267" i="15" l="1"/>
  <c r="K266" i="15"/>
  <c r="AC266" i="15"/>
  <c r="AB266" i="15"/>
  <c r="O266" i="15"/>
  <c r="L266" i="15"/>
  <c r="D266" i="15" s="1"/>
  <c r="AJ266" i="15"/>
  <c r="X266" i="15"/>
  <c r="AK266" i="15"/>
  <c r="E264" i="16"/>
  <c r="X265" i="16"/>
  <c r="K265" i="16"/>
  <c r="AJ265" i="16"/>
  <c r="AC265" i="16"/>
  <c r="AB265" i="16"/>
  <c r="L265" i="16"/>
  <c r="D265" i="16" s="1"/>
  <c r="A266" i="16"/>
  <c r="AK265" i="16"/>
  <c r="O265" i="16"/>
  <c r="F265" i="1"/>
  <c r="K259" i="25"/>
  <c r="A260" i="25"/>
  <c r="AB259" i="25"/>
  <c r="X259" i="25"/>
  <c r="L259" i="25"/>
  <c r="AJ259" i="25"/>
  <c r="AK259" i="25"/>
  <c r="O259" i="25"/>
  <c r="AC259" i="25"/>
  <c r="S266" i="1"/>
  <c r="R266" i="1" s="1"/>
  <c r="P266" i="1" s="1"/>
  <c r="V266" i="1" s="1"/>
  <c r="K267" i="1"/>
  <c r="AJ267" i="1"/>
  <c r="AB267" i="1"/>
  <c r="O267" i="1"/>
  <c r="AK267" i="1"/>
  <c r="Q267" i="1"/>
  <c r="X267" i="1"/>
  <c r="AC267" i="1"/>
  <c r="A268" i="1"/>
  <c r="L267" i="1"/>
  <c r="U267" i="1"/>
  <c r="T267" i="1" s="1"/>
  <c r="D266" i="1"/>
  <c r="E266" i="1" s="1"/>
  <c r="K262" i="22"/>
  <c r="X262" i="22"/>
  <c r="L262" i="22"/>
  <c r="A263" i="22"/>
  <c r="AB262" i="22"/>
  <c r="AJ262" i="22"/>
  <c r="AK262" i="22"/>
  <c r="O262" i="22"/>
  <c r="AC262" i="22"/>
  <c r="AB263" i="20"/>
  <c r="X263" i="20"/>
  <c r="L263" i="20"/>
  <c r="K263" i="20"/>
  <c r="A264" i="20"/>
  <c r="AJ263" i="20"/>
  <c r="AK263" i="20"/>
  <c r="O263" i="20"/>
  <c r="AC263" i="20"/>
  <c r="AB265" i="17"/>
  <c r="L265" i="17"/>
  <c r="A266" i="17"/>
  <c r="K265" i="17"/>
  <c r="X265" i="17"/>
  <c r="AK265" i="17"/>
  <c r="AJ265" i="17"/>
  <c r="O265" i="17"/>
  <c r="AC265" i="17"/>
  <c r="X260" i="24"/>
  <c r="A261" i="24"/>
  <c r="K260" i="24"/>
  <c r="AB260" i="24"/>
  <c r="L260" i="24"/>
  <c r="AJ260" i="24"/>
  <c r="AK260" i="24"/>
  <c r="O260" i="24"/>
  <c r="AC260" i="24"/>
  <c r="AA264" i="1"/>
  <c r="Z264" i="1" s="1"/>
  <c r="Y264" i="1" s="1"/>
  <c r="G264" i="1"/>
  <c r="BW264" i="6" s="1"/>
  <c r="I264" i="1"/>
  <c r="X264" i="18"/>
  <c r="AJ264" i="18"/>
  <c r="A265" i="18"/>
  <c r="AB264" i="18"/>
  <c r="L264" i="18"/>
  <c r="K264" i="18"/>
  <c r="O264" i="18"/>
  <c r="AK264" i="18"/>
  <c r="AC264" i="18"/>
  <c r="X261" i="23"/>
  <c r="AB261" i="23"/>
  <c r="L261" i="23"/>
  <c r="K261" i="23"/>
  <c r="A262" i="23"/>
  <c r="AJ261" i="23"/>
  <c r="AK261" i="23"/>
  <c r="O261" i="23"/>
  <c r="AC261" i="23"/>
  <c r="E266" i="15" l="1"/>
  <c r="X267" i="15"/>
  <c r="AK267" i="15"/>
  <c r="L267" i="15"/>
  <c r="D267" i="15" s="1"/>
  <c r="AJ267" i="15"/>
  <c r="A268" i="15"/>
  <c r="AB267" i="15"/>
  <c r="AC267" i="15"/>
  <c r="K267" i="15"/>
  <c r="O267" i="15"/>
  <c r="E265" i="16"/>
  <c r="X266" i="16"/>
  <c r="L266" i="16"/>
  <c r="D266" i="16" s="1"/>
  <c r="AJ266" i="16"/>
  <c r="AC266" i="16"/>
  <c r="AB266" i="16"/>
  <c r="A267" i="16"/>
  <c r="K266" i="16"/>
  <c r="AK266" i="16"/>
  <c r="O266" i="16"/>
  <c r="F266" i="1"/>
  <c r="G266" i="1" s="1"/>
  <c r="BW266" i="6" s="1"/>
  <c r="X262" i="23"/>
  <c r="K262" i="23"/>
  <c r="AB262" i="23"/>
  <c r="A263" i="23"/>
  <c r="L262" i="23"/>
  <c r="AK262" i="23"/>
  <c r="AJ262" i="23"/>
  <c r="O262" i="23"/>
  <c r="AC262" i="23"/>
  <c r="K266" i="17"/>
  <c r="A267" i="17"/>
  <c r="L266" i="17"/>
  <c r="AB266" i="17"/>
  <c r="X266" i="17"/>
  <c r="AJ266" i="17"/>
  <c r="AK266" i="17"/>
  <c r="O266" i="17"/>
  <c r="AC266" i="17"/>
  <c r="S267" i="1"/>
  <c r="R267" i="1" s="1"/>
  <c r="P267" i="1" s="1"/>
  <c r="V267" i="1" s="1"/>
  <c r="AC268" i="1"/>
  <c r="X268" i="1"/>
  <c r="AB268" i="1"/>
  <c r="O268" i="1"/>
  <c r="AK268" i="1"/>
  <c r="K268" i="1"/>
  <c r="Q268" i="1"/>
  <c r="AJ268" i="1"/>
  <c r="A269" i="1"/>
  <c r="L268" i="1"/>
  <c r="U268" i="1"/>
  <c r="T268" i="1" s="1"/>
  <c r="K260" i="25"/>
  <c r="L260" i="25"/>
  <c r="AB260" i="25"/>
  <c r="A261" i="25"/>
  <c r="X260" i="25"/>
  <c r="AJ260" i="25"/>
  <c r="O260" i="25"/>
  <c r="AK260" i="25"/>
  <c r="AC260" i="25"/>
  <c r="G265" i="1"/>
  <c r="BW265" i="6" s="1"/>
  <c r="AA265" i="1"/>
  <c r="Z265" i="1" s="1"/>
  <c r="Y265" i="1" s="1"/>
  <c r="I265" i="1"/>
  <c r="K265" i="18"/>
  <c r="AJ265" i="18"/>
  <c r="A266" i="18"/>
  <c r="X265" i="18"/>
  <c r="AB265" i="18"/>
  <c r="L265" i="18"/>
  <c r="O265" i="18"/>
  <c r="AK265" i="18"/>
  <c r="AC265" i="18"/>
  <c r="K261" i="24"/>
  <c r="X261" i="24"/>
  <c r="L261" i="24"/>
  <c r="A262" i="24"/>
  <c r="AB261" i="24"/>
  <c r="AJ261" i="24"/>
  <c r="AK261" i="24"/>
  <c r="O261" i="24"/>
  <c r="AC261" i="24"/>
  <c r="K264" i="20"/>
  <c r="X264" i="20"/>
  <c r="L264" i="20"/>
  <c r="AB264" i="20"/>
  <c r="A265" i="20"/>
  <c r="AK264" i="20"/>
  <c r="AJ264" i="20"/>
  <c r="O264" i="20"/>
  <c r="AC264" i="20"/>
  <c r="K263" i="22"/>
  <c r="A264" i="22"/>
  <c r="L263" i="22"/>
  <c r="X263" i="22"/>
  <c r="AB263" i="22"/>
  <c r="AK263" i="22"/>
  <c r="AJ263" i="22"/>
  <c r="O263" i="22"/>
  <c r="AC263" i="22"/>
  <c r="D267" i="1"/>
  <c r="E267" i="1" s="1"/>
  <c r="A269" i="15" l="1"/>
  <c r="AJ268" i="15"/>
  <c r="X268" i="15"/>
  <c r="AB268" i="15"/>
  <c r="O268" i="15"/>
  <c r="K268" i="15"/>
  <c r="AC268" i="15"/>
  <c r="L268" i="15"/>
  <c r="D268" i="15" s="1"/>
  <c r="AK268" i="15"/>
  <c r="E267" i="15"/>
  <c r="E266" i="16"/>
  <c r="AA266" i="1"/>
  <c r="Z266" i="1" s="1"/>
  <c r="Y266" i="1" s="1"/>
  <c r="F267" i="1"/>
  <c r="I267" i="1" s="1"/>
  <c r="A268" i="16"/>
  <c r="X267" i="16"/>
  <c r="L267" i="16"/>
  <c r="D267" i="16" s="1"/>
  <c r="AK267" i="16"/>
  <c r="O267" i="16"/>
  <c r="K267" i="16"/>
  <c r="AB267" i="16"/>
  <c r="AJ267" i="16"/>
  <c r="AC267" i="16"/>
  <c r="I266" i="1"/>
  <c r="AB264" i="22"/>
  <c r="X264" i="22"/>
  <c r="A265" i="22"/>
  <c r="K264" i="22"/>
  <c r="L264" i="22"/>
  <c r="AK264" i="22"/>
  <c r="AJ264" i="22"/>
  <c r="O264" i="22"/>
  <c r="AC264" i="22"/>
  <c r="A266" i="20"/>
  <c r="K265" i="20"/>
  <c r="X265" i="20"/>
  <c r="AB265" i="20"/>
  <c r="L265" i="20"/>
  <c r="AJ265" i="20"/>
  <c r="AK265" i="20"/>
  <c r="O265" i="20"/>
  <c r="AC265" i="20"/>
  <c r="AB262" i="24"/>
  <c r="X262" i="24"/>
  <c r="L262" i="24"/>
  <c r="A263" i="24"/>
  <c r="K262" i="24"/>
  <c r="AJ262" i="24"/>
  <c r="AK262" i="24"/>
  <c r="O262" i="24"/>
  <c r="AC262" i="24"/>
  <c r="X266" i="18"/>
  <c r="AB266" i="18"/>
  <c r="L266" i="18"/>
  <c r="K266" i="18"/>
  <c r="A267" i="18"/>
  <c r="AJ266" i="18"/>
  <c r="O266" i="18"/>
  <c r="AK266" i="18"/>
  <c r="AC266" i="18"/>
  <c r="S268" i="1"/>
  <c r="R268" i="1" s="1"/>
  <c r="P268" i="1" s="1"/>
  <c r="V268" i="1" s="1"/>
  <c r="K269" i="1"/>
  <c r="Q269" i="1"/>
  <c r="X269" i="1"/>
  <c r="A270" i="1"/>
  <c r="AK269" i="1"/>
  <c r="L269" i="1"/>
  <c r="AJ269" i="1"/>
  <c r="AC269" i="1"/>
  <c r="O269" i="1"/>
  <c r="AB269" i="1"/>
  <c r="U269" i="1"/>
  <c r="T269" i="1" s="1"/>
  <c r="S269" i="1" s="1"/>
  <c r="R269" i="1" s="1"/>
  <c r="A268" i="17"/>
  <c r="K267" i="17"/>
  <c r="L267" i="17"/>
  <c r="X267" i="17"/>
  <c r="AB267" i="17"/>
  <c r="O267" i="17"/>
  <c r="AJ267" i="17"/>
  <c r="AK267" i="17"/>
  <c r="AC267" i="17"/>
  <c r="X261" i="25"/>
  <c r="AB261" i="25"/>
  <c r="L261" i="25"/>
  <c r="K261" i="25"/>
  <c r="A262" i="25"/>
  <c r="AK261" i="25"/>
  <c r="AJ261" i="25"/>
  <c r="O261" i="25"/>
  <c r="AC261" i="25"/>
  <c r="D268" i="1"/>
  <c r="E268" i="1" s="1"/>
  <c r="K263" i="23"/>
  <c r="L263" i="23"/>
  <c r="AB263" i="23"/>
  <c r="A264" i="23"/>
  <c r="X263" i="23"/>
  <c r="AJ263" i="23"/>
  <c r="AK263" i="23"/>
  <c r="O263" i="23"/>
  <c r="AC263" i="23"/>
  <c r="AA267" i="1" l="1"/>
  <c r="Z267" i="1" s="1"/>
  <c r="Y267" i="1" s="1"/>
  <c r="G267" i="1"/>
  <c r="BW267" i="6" s="1"/>
  <c r="P269" i="1"/>
  <c r="V269" i="1" s="1"/>
  <c r="E268" i="15"/>
  <c r="K269" i="15"/>
  <c r="O269" i="15"/>
  <c r="L269" i="15"/>
  <c r="D269" i="15" s="1"/>
  <c r="AK269" i="15"/>
  <c r="X269" i="15"/>
  <c r="AJ269" i="15"/>
  <c r="AB269" i="15"/>
  <c r="A270" i="15"/>
  <c r="AC269" i="15"/>
  <c r="E267" i="16"/>
  <c r="AB268" i="16"/>
  <c r="K268" i="16"/>
  <c r="A269" i="16"/>
  <c r="AK268" i="16"/>
  <c r="O268" i="16"/>
  <c r="L268" i="16"/>
  <c r="D268" i="16" s="1"/>
  <c r="X268" i="16"/>
  <c r="AJ268" i="16"/>
  <c r="AC268" i="16"/>
  <c r="X264" i="23"/>
  <c r="A265" i="23"/>
  <c r="L264" i="23"/>
  <c r="AB264" i="23"/>
  <c r="K264" i="23"/>
  <c r="AJ264" i="23"/>
  <c r="AK264" i="23"/>
  <c r="O264" i="23"/>
  <c r="AC264" i="23"/>
  <c r="AB268" i="17"/>
  <c r="A269" i="17"/>
  <c r="L268" i="17"/>
  <c r="K268" i="17"/>
  <c r="X268" i="17"/>
  <c r="AK268" i="17"/>
  <c r="AJ268" i="17"/>
  <c r="O268" i="17"/>
  <c r="AC268" i="17"/>
  <c r="AB267" i="18"/>
  <c r="K267" i="18"/>
  <c r="AJ267" i="18"/>
  <c r="L267" i="18"/>
  <c r="A268" i="18"/>
  <c r="X267" i="18"/>
  <c r="AK267" i="18"/>
  <c r="O267" i="18"/>
  <c r="AC267" i="18"/>
  <c r="AB263" i="24"/>
  <c r="L263" i="24"/>
  <c r="X263" i="24"/>
  <c r="A264" i="24"/>
  <c r="K263" i="24"/>
  <c r="AK263" i="24"/>
  <c r="O263" i="24"/>
  <c r="AJ263" i="24"/>
  <c r="AC263" i="24"/>
  <c r="A267" i="20"/>
  <c r="L266" i="20"/>
  <c r="AB266" i="20"/>
  <c r="X266" i="20"/>
  <c r="K266" i="20"/>
  <c r="AJ266" i="20"/>
  <c r="AK266" i="20"/>
  <c r="O266" i="20"/>
  <c r="AC266" i="20"/>
  <c r="F268" i="1"/>
  <c r="X262" i="25"/>
  <c r="A263" i="25"/>
  <c r="AB262" i="25"/>
  <c r="L262" i="25"/>
  <c r="K262" i="25"/>
  <c r="AK262" i="25"/>
  <c r="AJ262" i="25"/>
  <c r="O262" i="25"/>
  <c r="AC262" i="25"/>
  <c r="D269" i="1"/>
  <c r="E269" i="1" s="1"/>
  <c r="L270" i="1"/>
  <c r="AB270" i="1"/>
  <c r="Q270" i="1"/>
  <c r="AK270" i="1"/>
  <c r="K270" i="1"/>
  <c r="A271" i="1"/>
  <c r="AC270" i="1"/>
  <c r="O270" i="1"/>
  <c r="X270" i="1"/>
  <c r="AJ270" i="1"/>
  <c r="U270" i="1"/>
  <c r="T270" i="1" s="1"/>
  <c r="K265" i="22"/>
  <c r="X265" i="22"/>
  <c r="L265" i="22"/>
  <c r="A266" i="22"/>
  <c r="AB265" i="22"/>
  <c r="AJ265" i="22"/>
  <c r="AK265" i="22"/>
  <c r="O265" i="22"/>
  <c r="AC265" i="22"/>
  <c r="A271" i="15" l="1"/>
  <c r="AK270" i="15"/>
  <c r="L270" i="15"/>
  <c r="D270" i="15" s="1"/>
  <c r="AJ270" i="15"/>
  <c r="AB270" i="15"/>
  <c r="K270" i="15"/>
  <c r="AC270" i="15"/>
  <c r="X270" i="15"/>
  <c r="O270" i="15"/>
  <c r="E269" i="15"/>
  <c r="E268" i="16"/>
  <c r="F269" i="1"/>
  <c r="G269" i="1" s="1"/>
  <c r="BW269" i="6" s="1"/>
  <c r="A270" i="16"/>
  <c r="AB269" i="16"/>
  <c r="X269" i="16"/>
  <c r="AJ269" i="16"/>
  <c r="O269" i="16"/>
  <c r="K269" i="16"/>
  <c r="L269" i="16"/>
  <c r="D269" i="16" s="1"/>
  <c r="E269" i="16" s="1"/>
  <c r="AK269" i="16"/>
  <c r="AC269" i="16"/>
  <c r="L271" i="1"/>
  <c r="O271" i="1"/>
  <c r="K271" i="1"/>
  <c r="A272" i="1"/>
  <c r="AC271" i="1"/>
  <c r="AB271" i="1"/>
  <c r="X271" i="1"/>
  <c r="AK271" i="1"/>
  <c r="AJ271" i="1"/>
  <c r="Q271" i="1"/>
  <c r="U271" i="1"/>
  <c r="T271" i="1" s="1"/>
  <c r="AB263" i="25"/>
  <c r="K263" i="25"/>
  <c r="A264" i="25"/>
  <c r="X263" i="25"/>
  <c r="L263" i="25"/>
  <c r="AJ263" i="25"/>
  <c r="O263" i="25"/>
  <c r="AK263" i="25"/>
  <c r="AC263" i="25"/>
  <c r="AB267" i="20"/>
  <c r="A268" i="20"/>
  <c r="X267" i="20"/>
  <c r="L267" i="20"/>
  <c r="K267" i="20"/>
  <c r="AJ267" i="20"/>
  <c r="AK267" i="20"/>
  <c r="O267" i="20"/>
  <c r="AC267" i="20"/>
  <c r="X264" i="24"/>
  <c r="A265" i="24"/>
  <c r="L264" i="24"/>
  <c r="AB264" i="24"/>
  <c r="K264" i="24"/>
  <c r="AK264" i="24"/>
  <c r="AJ264" i="24"/>
  <c r="O264" i="24"/>
  <c r="AC264" i="24"/>
  <c r="A269" i="18"/>
  <c r="L268" i="18"/>
  <c r="K268" i="18"/>
  <c r="X268" i="18"/>
  <c r="AJ268" i="18"/>
  <c r="AB268" i="18"/>
  <c r="AK268" i="18"/>
  <c r="O268" i="18"/>
  <c r="AC268" i="18"/>
  <c r="X266" i="22"/>
  <c r="L266" i="22"/>
  <c r="A267" i="22"/>
  <c r="K266" i="22"/>
  <c r="AB266" i="22"/>
  <c r="AJ266" i="22"/>
  <c r="AK266" i="22"/>
  <c r="O266" i="22"/>
  <c r="AC266" i="22"/>
  <c r="S270" i="1"/>
  <c r="R270" i="1" s="1"/>
  <c r="P270" i="1" s="1"/>
  <c r="V270" i="1" s="1"/>
  <c r="D270" i="1"/>
  <c r="E270" i="1" s="1"/>
  <c r="G268" i="1"/>
  <c r="BW268" i="6" s="1"/>
  <c r="I268" i="1"/>
  <c r="AA268" i="1"/>
  <c r="Z268" i="1" s="1"/>
  <c r="Y268" i="1" s="1"/>
  <c r="K269" i="17"/>
  <c r="AB269" i="17"/>
  <c r="A270" i="17"/>
  <c r="X269" i="17"/>
  <c r="L269" i="17"/>
  <c r="AJ269" i="17"/>
  <c r="O269" i="17"/>
  <c r="AK269" i="17"/>
  <c r="AC269" i="17"/>
  <c r="A266" i="23"/>
  <c r="L265" i="23"/>
  <c r="X265" i="23"/>
  <c r="K265" i="23"/>
  <c r="AB265" i="23"/>
  <c r="AK265" i="23"/>
  <c r="AJ265" i="23"/>
  <c r="O265" i="23"/>
  <c r="AC265" i="23"/>
  <c r="AA269" i="1" l="1"/>
  <c r="Z269" i="1" s="1"/>
  <c r="Y269" i="1" s="1"/>
  <c r="E270" i="15"/>
  <c r="X271" i="15"/>
  <c r="AK271" i="15"/>
  <c r="L271" i="15"/>
  <c r="D271" i="15" s="1"/>
  <c r="AJ271" i="15"/>
  <c r="K271" i="15"/>
  <c r="AB271" i="15"/>
  <c r="AC271" i="15"/>
  <c r="A272" i="15"/>
  <c r="O271" i="15"/>
  <c r="I269" i="1"/>
  <c r="AB270" i="16"/>
  <c r="K270" i="16"/>
  <c r="AJ270" i="16"/>
  <c r="AC270" i="16"/>
  <c r="A271" i="16"/>
  <c r="L270" i="16"/>
  <c r="D270" i="16" s="1"/>
  <c r="X270" i="16"/>
  <c r="AK270" i="16"/>
  <c r="O270" i="16"/>
  <c r="F270" i="1"/>
  <c r="X266" i="23"/>
  <c r="A267" i="23"/>
  <c r="K266" i="23"/>
  <c r="AB266" i="23"/>
  <c r="L266" i="23"/>
  <c r="AJ266" i="23"/>
  <c r="AK266" i="23"/>
  <c r="O266" i="23"/>
  <c r="AC266" i="23"/>
  <c r="AB269" i="18"/>
  <c r="AJ269" i="18"/>
  <c r="L269" i="18"/>
  <c r="X269" i="18"/>
  <c r="A270" i="18"/>
  <c r="K269" i="18"/>
  <c r="O269" i="18"/>
  <c r="AK269" i="18"/>
  <c r="AC269" i="18"/>
  <c r="AB265" i="24"/>
  <c r="X265" i="24"/>
  <c r="K265" i="24"/>
  <c r="L265" i="24"/>
  <c r="A266" i="24"/>
  <c r="AK265" i="24"/>
  <c r="AJ265" i="24"/>
  <c r="O265" i="24"/>
  <c r="AC265" i="24"/>
  <c r="S271" i="1"/>
  <c r="R271" i="1" s="1"/>
  <c r="P271" i="1" s="1"/>
  <c r="V271" i="1" s="1"/>
  <c r="D271" i="1"/>
  <c r="E271" i="1" s="1"/>
  <c r="X270" i="17"/>
  <c r="AB270" i="17"/>
  <c r="A271" i="17"/>
  <c r="K270" i="17"/>
  <c r="L270" i="17"/>
  <c r="AJ270" i="17"/>
  <c r="O270" i="17"/>
  <c r="AK270" i="17"/>
  <c r="AC270" i="17"/>
  <c r="X267" i="22"/>
  <c r="L267" i="22"/>
  <c r="K267" i="22"/>
  <c r="A268" i="22"/>
  <c r="AB267" i="22"/>
  <c r="AJ267" i="22"/>
  <c r="AK267" i="22"/>
  <c r="O267" i="22"/>
  <c r="AC267" i="22"/>
  <c r="X268" i="20"/>
  <c r="K268" i="20"/>
  <c r="L268" i="20"/>
  <c r="AB268" i="20"/>
  <c r="A269" i="20"/>
  <c r="AJ268" i="20"/>
  <c r="AK268" i="20"/>
  <c r="O268" i="20"/>
  <c r="AC268" i="20"/>
  <c r="X264" i="25"/>
  <c r="L264" i="25"/>
  <c r="K264" i="25"/>
  <c r="A265" i="25"/>
  <c r="AB264" i="25"/>
  <c r="AJ264" i="25"/>
  <c r="O264" i="25"/>
  <c r="AK264" i="25"/>
  <c r="AC264" i="25"/>
  <c r="O272" i="1"/>
  <c r="C28" i="7" s="1"/>
  <c r="AC272" i="1"/>
  <c r="K272" i="1"/>
  <c r="AK272" i="1"/>
  <c r="Q272" i="1"/>
  <c r="X272" i="1"/>
  <c r="AB272" i="1"/>
  <c r="L272" i="1"/>
  <c r="A28" i="7"/>
  <c r="A273" i="1"/>
  <c r="AJ272" i="1"/>
  <c r="U272" i="1"/>
  <c r="T272" i="1" s="1"/>
  <c r="S272" i="1" s="1"/>
  <c r="R272" i="1" s="1"/>
  <c r="AB272" i="15" l="1"/>
  <c r="A273" i="15"/>
  <c r="AC272" i="15"/>
  <c r="L272" i="15"/>
  <c r="K272" i="15"/>
  <c r="X272" i="15"/>
  <c r="AK272" i="15"/>
  <c r="O272" i="15"/>
  <c r="C40" i="7" s="1"/>
  <c r="A40" i="7"/>
  <c r="AJ272" i="15"/>
  <c r="E271" i="15"/>
  <c r="K271" i="16"/>
  <c r="AB271" i="16"/>
  <c r="X271" i="16"/>
  <c r="AK271" i="16"/>
  <c r="O271" i="16"/>
  <c r="AJ271" i="16"/>
  <c r="AC271" i="16"/>
  <c r="L271" i="16"/>
  <c r="D271" i="16" s="1"/>
  <c r="A272" i="16"/>
  <c r="E270" i="16"/>
  <c r="K265" i="25"/>
  <c r="A266" i="25"/>
  <c r="X265" i="25"/>
  <c r="AB265" i="25"/>
  <c r="L265" i="25"/>
  <c r="AJ265" i="25"/>
  <c r="O265" i="25"/>
  <c r="AK265" i="25"/>
  <c r="AC265" i="25"/>
  <c r="A270" i="20"/>
  <c r="X269" i="20"/>
  <c r="L269" i="20"/>
  <c r="K269" i="20"/>
  <c r="AB269" i="20"/>
  <c r="AJ269" i="20"/>
  <c r="AK269" i="20"/>
  <c r="O269" i="20"/>
  <c r="AC269" i="20"/>
  <c r="K268" i="22"/>
  <c r="L268" i="22"/>
  <c r="A269" i="22"/>
  <c r="X268" i="22"/>
  <c r="AB268" i="22"/>
  <c r="AJ268" i="22"/>
  <c r="AK268" i="22"/>
  <c r="O268" i="22"/>
  <c r="AC268" i="22"/>
  <c r="X271" i="17"/>
  <c r="AB271" i="17"/>
  <c r="L271" i="17"/>
  <c r="A272" i="17"/>
  <c r="K271" i="17"/>
  <c r="O271" i="17"/>
  <c r="AK271" i="17"/>
  <c r="AJ271" i="17"/>
  <c r="AC271" i="17"/>
  <c r="F271" i="1"/>
  <c r="K266" i="24"/>
  <c r="A267" i="24"/>
  <c r="AB266" i="24"/>
  <c r="X266" i="24"/>
  <c r="L266" i="24"/>
  <c r="AK266" i="24"/>
  <c r="AJ266" i="24"/>
  <c r="O266" i="24"/>
  <c r="AC266" i="24"/>
  <c r="K267" i="23"/>
  <c r="AB267" i="23"/>
  <c r="X267" i="23"/>
  <c r="L267" i="23"/>
  <c r="A268" i="23"/>
  <c r="AJ267" i="23"/>
  <c r="AK267" i="23"/>
  <c r="O267" i="23"/>
  <c r="AC267" i="23"/>
  <c r="I270" i="1"/>
  <c r="G270" i="1"/>
  <c r="BW270" i="6" s="1"/>
  <c r="AA270" i="1"/>
  <c r="Z270" i="1" s="1"/>
  <c r="Y270" i="1" s="1"/>
  <c r="P272" i="1"/>
  <c r="D28" i="7" s="1"/>
  <c r="X273" i="1"/>
  <c r="AC273" i="1"/>
  <c r="AJ273" i="1"/>
  <c r="A274" i="1"/>
  <c r="L273" i="1"/>
  <c r="K273" i="1"/>
  <c r="O273" i="1"/>
  <c r="AB273" i="1"/>
  <c r="AK273" i="1"/>
  <c r="Q273" i="1"/>
  <c r="U273" i="1"/>
  <c r="T273" i="1" s="1"/>
  <c r="D272" i="1"/>
  <c r="E272" i="1" s="1"/>
  <c r="B28" i="7"/>
  <c r="A271" i="18"/>
  <c r="L270" i="18"/>
  <c r="X270" i="18"/>
  <c r="K270" i="18"/>
  <c r="AB270" i="18"/>
  <c r="AJ270" i="18"/>
  <c r="O270" i="18"/>
  <c r="AK270" i="18"/>
  <c r="AC270" i="18"/>
  <c r="V272" i="1" l="1"/>
  <c r="F272" i="1" s="1"/>
  <c r="D272" i="15"/>
  <c r="E272" i="15" s="1"/>
  <c r="B40" i="7"/>
  <c r="L273" i="15"/>
  <c r="D273" i="15" s="1"/>
  <c r="AJ273" i="15"/>
  <c r="A274" i="15"/>
  <c r="AK273" i="15"/>
  <c r="X273" i="15"/>
  <c r="AB273" i="15"/>
  <c r="O273" i="15"/>
  <c r="K273" i="15"/>
  <c r="AC273" i="15"/>
  <c r="E271" i="16"/>
  <c r="A52" i="7"/>
  <c r="AB272" i="16"/>
  <c r="K272" i="16"/>
  <c r="AJ272" i="16"/>
  <c r="O272" i="16"/>
  <c r="C52" i="7" s="1"/>
  <c r="L272" i="16"/>
  <c r="X272" i="16"/>
  <c r="A273" i="16"/>
  <c r="AK272" i="16"/>
  <c r="AC272" i="16"/>
  <c r="A275" i="1"/>
  <c r="AJ274" i="1"/>
  <c r="L274" i="1"/>
  <c r="AB274" i="1"/>
  <c r="O274" i="1"/>
  <c r="AC274" i="1"/>
  <c r="X274" i="1"/>
  <c r="Q274" i="1"/>
  <c r="K274" i="1"/>
  <c r="AK274" i="1"/>
  <c r="U274" i="1"/>
  <c r="X268" i="23"/>
  <c r="A269" i="23"/>
  <c r="K268" i="23"/>
  <c r="AB268" i="23"/>
  <c r="L268" i="23"/>
  <c r="AK268" i="23"/>
  <c r="AJ268" i="23"/>
  <c r="O268" i="23"/>
  <c r="AC268" i="23"/>
  <c r="A268" i="24"/>
  <c r="L267" i="24"/>
  <c r="X267" i="24"/>
  <c r="AB267" i="24"/>
  <c r="K267" i="24"/>
  <c r="AJ267" i="24"/>
  <c r="AK267" i="24"/>
  <c r="O267" i="24"/>
  <c r="AC267" i="24"/>
  <c r="AA271" i="1"/>
  <c r="Z271" i="1" s="1"/>
  <c r="Y271" i="1" s="1"/>
  <c r="I271" i="1"/>
  <c r="G271" i="1"/>
  <c r="BW271" i="6" s="1"/>
  <c r="K272" i="17"/>
  <c r="A273" i="17"/>
  <c r="L272" i="17"/>
  <c r="A64" i="7"/>
  <c r="AB272" i="17"/>
  <c r="X272" i="17"/>
  <c r="AJ272" i="17"/>
  <c r="O272" i="17"/>
  <c r="C64" i="7" s="1"/>
  <c r="AK272" i="17"/>
  <c r="AC272" i="17"/>
  <c r="X270" i="20"/>
  <c r="A271" i="20"/>
  <c r="L270" i="20"/>
  <c r="AB270" i="20"/>
  <c r="K270" i="20"/>
  <c r="AJ270" i="20"/>
  <c r="AK270" i="20"/>
  <c r="O270" i="20"/>
  <c r="AC270" i="20"/>
  <c r="X266" i="25"/>
  <c r="K266" i="25"/>
  <c r="AB266" i="25"/>
  <c r="A267" i="25"/>
  <c r="L266" i="25"/>
  <c r="AJ266" i="25"/>
  <c r="O266" i="25"/>
  <c r="AK266" i="25"/>
  <c r="AC266" i="25"/>
  <c r="X271" i="18"/>
  <c r="L271" i="18"/>
  <c r="AJ271" i="18"/>
  <c r="AB271" i="18"/>
  <c r="K271" i="18"/>
  <c r="A272" i="18"/>
  <c r="O271" i="18"/>
  <c r="AK271" i="18"/>
  <c r="AC271" i="18"/>
  <c r="S273" i="1"/>
  <c r="R273" i="1" s="1"/>
  <c r="P273" i="1" s="1"/>
  <c r="V273" i="1" s="1"/>
  <c r="D273" i="1"/>
  <c r="E273" i="1" s="1"/>
  <c r="X269" i="22"/>
  <c r="K269" i="22"/>
  <c r="AB269" i="22"/>
  <c r="A270" i="22"/>
  <c r="L269" i="22"/>
  <c r="AJ269" i="22"/>
  <c r="AK269" i="22"/>
  <c r="O269" i="22"/>
  <c r="AC269" i="22"/>
  <c r="L274" i="15" l="1"/>
  <c r="D274" i="15" s="1"/>
  <c r="O274" i="15"/>
  <c r="AB274" i="15"/>
  <c r="AK274" i="15"/>
  <c r="X274" i="15"/>
  <c r="AJ274" i="15"/>
  <c r="K274" i="15"/>
  <c r="A275" i="15"/>
  <c r="AC274" i="15"/>
  <c r="E273" i="15"/>
  <c r="F273" i="1"/>
  <c r="G273" i="1" s="1"/>
  <c r="BW273" i="6" s="1"/>
  <c r="L273" i="16"/>
  <c r="D273" i="16" s="1"/>
  <c r="K273" i="16"/>
  <c r="O273" i="16"/>
  <c r="A274" i="16"/>
  <c r="AB273" i="16"/>
  <c r="AJ273" i="16"/>
  <c r="AC273" i="16"/>
  <c r="X273" i="16"/>
  <c r="AK273" i="16"/>
  <c r="D272" i="16"/>
  <c r="E272" i="16" s="1"/>
  <c r="B52" i="7"/>
  <c r="AA273" i="1"/>
  <c r="Z273" i="1" s="1"/>
  <c r="Y273" i="1" s="1"/>
  <c r="AB267" i="25"/>
  <c r="A268" i="25"/>
  <c r="L267" i="25"/>
  <c r="K267" i="25"/>
  <c r="X267" i="25"/>
  <c r="AJ267" i="25"/>
  <c r="O267" i="25"/>
  <c r="AK267" i="25"/>
  <c r="AC267" i="25"/>
  <c r="K273" i="17"/>
  <c r="L273" i="17"/>
  <c r="AB273" i="17"/>
  <c r="A274" i="17"/>
  <c r="X273" i="17"/>
  <c r="O273" i="17"/>
  <c r="AJ273" i="17"/>
  <c r="AK273" i="17"/>
  <c r="AC273" i="17"/>
  <c r="G272" i="1"/>
  <c r="BW272" i="6" s="1"/>
  <c r="I272" i="1"/>
  <c r="AA272" i="1"/>
  <c r="Z272" i="1" s="1"/>
  <c r="Y272" i="1" s="1"/>
  <c r="A271" i="22"/>
  <c r="L270" i="22"/>
  <c r="X270" i="22"/>
  <c r="AB270" i="22"/>
  <c r="K270" i="22"/>
  <c r="AK270" i="22"/>
  <c r="AJ270" i="22"/>
  <c r="O270" i="22"/>
  <c r="AC270" i="22"/>
  <c r="A76" i="7"/>
  <c r="AJ272" i="18"/>
  <c r="A273" i="18"/>
  <c r="AB272" i="18"/>
  <c r="X272" i="18"/>
  <c r="K272" i="18"/>
  <c r="L272" i="18"/>
  <c r="O272" i="18"/>
  <c r="C76" i="7" s="1"/>
  <c r="AK272" i="18"/>
  <c r="AC272" i="18"/>
  <c r="K271" i="20"/>
  <c r="A272" i="20"/>
  <c r="L271" i="20"/>
  <c r="AB271" i="20"/>
  <c r="X271" i="20"/>
  <c r="AK271" i="20"/>
  <c r="AJ271" i="20"/>
  <c r="O271" i="20"/>
  <c r="AC271" i="20"/>
  <c r="B64" i="7"/>
  <c r="X268" i="24"/>
  <c r="AB268" i="24"/>
  <c r="A269" i="24"/>
  <c r="K268" i="24"/>
  <c r="L268" i="24"/>
  <c r="AJ268" i="24"/>
  <c r="AK268" i="24"/>
  <c r="O268" i="24"/>
  <c r="AC268" i="24"/>
  <c r="X269" i="23"/>
  <c r="AB269" i="23"/>
  <c r="K269" i="23"/>
  <c r="L269" i="23"/>
  <c r="A270" i="23"/>
  <c r="AJ269" i="23"/>
  <c r="AK269" i="23"/>
  <c r="O269" i="23"/>
  <c r="AC269" i="23"/>
  <c r="T274" i="1"/>
  <c r="D274" i="1"/>
  <c r="E274" i="1" s="1"/>
  <c r="AJ275" i="1"/>
  <c r="O275" i="1"/>
  <c r="AB275" i="1"/>
  <c r="L275" i="1"/>
  <c r="AC275" i="1"/>
  <c r="AK275" i="1"/>
  <c r="A276" i="1"/>
  <c r="K275" i="1"/>
  <c r="Q275" i="1"/>
  <c r="X275" i="1"/>
  <c r="U275" i="1"/>
  <c r="E274" i="15" l="1"/>
  <c r="K275" i="15"/>
  <c r="AK275" i="15"/>
  <c r="A276" i="15"/>
  <c r="AB275" i="15"/>
  <c r="AC275" i="15"/>
  <c r="L275" i="15"/>
  <c r="D275" i="15" s="1"/>
  <c r="O275" i="15"/>
  <c r="X275" i="15"/>
  <c r="AJ275" i="15"/>
  <c r="I273" i="1"/>
  <c r="K274" i="16"/>
  <c r="X274" i="16"/>
  <c r="AJ274" i="16"/>
  <c r="AC274" i="16"/>
  <c r="L274" i="16"/>
  <c r="D274" i="16" s="1"/>
  <c r="A275" i="16"/>
  <c r="AB274" i="16"/>
  <c r="AK274" i="16"/>
  <c r="O274" i="16"/>
  <c r="E273" i="16"/>
  <c r="D275" i="1"/>
  <c r="E275" i="1" s="1"/>
  <c r="X270" i="23"/>
  <c r="L270" i="23"/>
  <c r="K270" i="23"/>
  <c r="A271" i="23"/>
  <c r="AB270" i="23"/>
  <c r="AK270" i="23"/>
  <c r="AJ270" i="23"/>
  <c r="O270" i="23"/>
  <c r="AC270" i="23"/>
  <c r="X272" i="20"/>
  <c r="K272" i="20"/>
  <c r="L272" i="20"/>
  <c r="AB272" i="20"/>
  <c r="A273" i="20"/>
  <c r="AE28" i="7"/>
  <c r="AJ272" i="20"/>
  <c r="AK272" i="20"/>
  <c r="O272" i="20"/>
  <c r="AG28" i="7" s="1"/>
  <c r="AC272" i="20"/>
  <c r="X274" i="17"/>
  <c r="A275" i="17"/>
  <c r="AB274" i="17"/>
  <c r="K274" i="17"/>
  <c r="L274" i="17"/>
  <c r="AJ274" i="17"/>
  <c r="O274" i="17"/>
  <c r="AK274" i="17"/>
  <c r="AC274" i="17"/>
  <c r="T275" i="1"/>
  <c r="AB276" i="1"/>
  <c r="AK276" i="1"/>
  <c r="L276" i="1"/>
  <c r="K276" i="1"/>
  <c r="AC276" i="1"/>
  <c r="AJ276" i="1"/>
  <c r="O276" i="1"/>
  <c r="X276" i="1"/>
  <c r="Q276" i="1"/>
  <c r="A277" i="1"/>
  <c r="U276" i="1"/>
  <c r="T276" i="1" s="1"/>
  <c r="S274" i="1"/>
  <c r="R274" i="1" s="1"/>
  <c r="P274" i="1" s="1"/>
  <c r="V274" i="1" s="1"/>
  <c r="K269" i="24"/>
  <c r="L269" i="24"/>
  <c r="A270" i="24"/>
  <c r="X269" i="24"/>
  <c r="AB269" i="24"/>
  <c r="AK269" i="24"/>
  <c r="AJ269" i="24"/>
  <c r="O269" i="24"/>
  <c r="AC269" i="24"/>
  <c r="B76" i="7"/>
  <c r="A274" i="18"/>
  <c r="L273" i="18"/>
  <c r="X273" i="18"/>
  <c r="AB273" i="18"/>
  <c r="K273" i="18"/>
  <c r="AJ273" i="18"/>
  <c r="AK273" i="18"/>
  <c r="O273" i="18"/>
  <c r="AC273" i="18"/>
  <c r="A272" i="22"/>
  <c r="K271" i="22"/>
  <c r="X271" i="22"/>
  <c r="L271" i="22"/>
  <c r="AB271" i="22"/>
  <c r="AJ271" i="22"/>
  <c r="AK271" i="22"/>
  <c r="O271" i="22"/>
  <c r="AC271" i="22"/>
  <c r="K268" i="25"/>
  <c r="L268" i="25"/>
  <c r="A269" i="25"/>
  <c r="AB268" i="25"/>
  <c r="X268" i="25"/>
  <c r="AJ268" i="25"/>
  <c r="AK268" i="25"/>
  <c r="O268" i="25"/>
  <c r="AC268" i="25"/>
  <c r="E275" i="15" l="1"/>
  <c r="X276" i="15"/>
  <c r="AJ276" i="15"/>
  <c r="L276" i="15"/>
  <c r="D276" i="15" s="1"/>
  <c r="K276" i="15"/>
  <c r="O276" i="15"/>
  <c r="A277" i="15"/>
  <c r="AC276" i="15"/>
  <c r="AB276" i="15"/>
  <c r="AK276" i="15"/>
  <c r="E274" i="16"/>
  <c r="X275" i="16"/>
  <c r="K275" i="16"/>
  <c r="L275" i="16"/>
  <c r="D275" i="16" s="1"/>
  <c r="AK275" i="16"/>
  <c r="O275" i="16"/>
  <c r="A276" i="16"/>
  <c r="AB275" i="16"/>
  <c r="AJ275" i="16"/>
  <c r="AC275" i="16"/>
  <c r="AJ277" i="1"/>
  <c r="AB277" i="1"/>
  <c r="AK277" i="1"/>
  <c r="O277" i="1"/>
  <c r="Q277" i="1"/>
  <c r="A278" i="1"/>
  <c r="AC277" i="1"/>
  <c r="K277" i="1"/>
  <c r="X277" i="1"/>
  <c r="L277" i="1"/>
  <c r="U277" i="1"/>
  <c r="K272" i="22"/>
  <c r="L272" i="22"/>
  <c r="AE40" i="7"/>
  <c r="A273" i="22"/>
  <c r="X272" i="22"/>
  <c r="AB272" i="22"/>
  <c r="AJ272" i="22"/>
  <c r="AK272" i="22"/>
  <c r="O272" i="22"/>
  <c r="AG40" i="7" s="1"/>
  <c r="AC272" i="22"/>
  <c r="A275" i="18"/>
  <c r="AJ274" i="18"/>
  <c r="K274" i="18"/>
  <c r="AB274" i="18"/>
  <c r="X274" i="18"/>
  <c r="L274" i="18"/>
  <c r="O274" i="18"/>
  <c r="AK274" i="18"/>
  <c r="AC274" i="18"/>
  <c r="K270" i="24"/>
  <c r="A271" i="24"/>
  <c r="L270" i="24"/>
  <c r="X270" i="24"/>
  <c r="AB270" i="24"/>
  <c r="AK270" i="24"/>
  <c r="AJ270" i="24"/>
  <c r="O270" i="24"/>
  <c r="AC270" i="24"/>
  <c r="S276" i="1"/>
  <c r="R276" i="1" s="1"/>
  <c r="P276" i="1" s="1"/>
  <c r="V276" i="1" s="1"/>
  <c r="D276" i="1"/>
  <c r="E276" i="1" s="1"/>
  <c r="K275" i="17"/>
  <c r="AB275" i="17"/>
  <c r="X275" i="17"/>
  <c r="A276" i="17"/>
  <c r="L275" i="17"/>
  <c r="AK275" i="17"/>
  <c r="AJ275" i="17"/>
  <c r="O275" i="17"/>
  <c r="AC275" i="17"/>
  <c r="A274" i="20"/>
  <c r="AB273" i="20"/>
  <c r="K273" i="20"/>
  <c r="X273" i="20"/>
  <c r="L273" i="20"/>
  <c r="AJ273" i="20"/>
  <c r="AK273" i="20"/>
  <c r="O273" i="20"/>
  <c r="AC273" i="20"/>
  <c r="AF28" i="7"/>
  <c r="AB269" i="25"/>
  <c r="K269" i="25"/>
  <c r="A270" i="25"/>
  <c r="L269" i="25"/>
  <c r="X269" i="25"/>
  <c r="AK269" i="25"/>
  <c r="AJ269" i="25"/>
  <c r="O269" i="25"/>
  <c r="AC269" i="25"/>
  <c r="F274" i="1"/>
  <c r="S275" i="1"/>
  <c r="R275" i="1" s="1"/>
  <c r="P275" i="1" s="1"/>
  <c r="V275" i="1" s="1"/>
  <c r="F275" i="1" s="1"/>
  <c r="AB271" i="23"/>
  <c r="A272" i="23"/>
  <c r="L271" i="23"/>
  <c r="K271" i="23"/>
  <c r="X271" i="23"/>
  <c r="AK271" i="23"/>
  <c r="AJ271" i="23"/>
  <c r="O271" i="23"/>
  <c r="AC271" i="23"/>
  <c r="F276" i="1" l="1"/>
  <c r="I276" i="1" s="1"/>
  <c r="E276" i="15"/>
  <c r="AB277" i="15"/>
  <c r="AJ277" i="15"/>
  <c r="K277" i="15"/>
  <c r="A278" i="15"/>
  <c r="AC277" i="15"/>
  <c r="L277" i="15"/>
  <c r="D277" i="15" s="1"/>
  <c r="O277" i="15"/>
  <c r="X277" i="15"/>
  <c r="AK277" i="15"/>
  <c r="E275" i="16"/>
  <c r="X276" i="16"/>
  <c r="L276" i="16"/>
  <c r="D276" i="16" s="1"/>
  <c r="K276" i="16"/>
  <c r="AJ276" i="16"/>
  <c r="O276" i="16"/>
  <c r="AB276" i="16"/>
  <c r="A277" i="16"/>
  <c r="AK276" i="16"/>
  <c r="AC276" i="16"/>
  <c r="A273" i="23"/>
  <c r="AE52" i="7"/>
  <c r="L272" i="23"/>
  <c r="K272" i="23"/>
  <c r="X272" i="23"/>
  <c r="AB272" i="23"/>
  <c r="AJ272" i="23"/>
  <c r="AK272" i="23"/>
  <c r="O272" i="23"/>
  <c r="AG52" i="7" s="1"/>
  <c r="AC272" i="23"/>
  <c r="AA275" i="1"/>
  <c r="Z275" i="1" s="1"/>
  <c r="Y275" i="1" s="1"/>
  <c r="G275" i="1"/>
  <c r="BW275" i="6" s="1"/>
  <c r="I275" i="1"/>
  <c r="G274" i="1"/>
  <c r="BW274" i="6" s="1"/>
  <c r="I274" i="1"/>
  <c r="AA274" i="1"/>
  <c r="Z274" i="1" s="1"/>
  <c r="Y274" i="1" s="1"/>
  <c r="A271" i="25"/>
  <c r="K270" i="25"/>
  <c r="L270" i="25"/>
  <c r="X270" i="25"/>
  <c r="AB270" i="25"/>
  <c r="AJ270" i="25"/>
  <c r="O270" i="25"/>
  <c r="AK270" i="25"/>
  <c r="AC270" i="25"/>
  <c r="K275" i="18"/>
  <c r="X275" i="18"/>
  <c r="AB275" i="18"/>
  <c r="A276" i="18"/>
  <c r="AJ275" i="18"/>
  <c r="L275" i="18"/>
  <c r="AK275" i="18"/>
  <c r="O275" i="18"/>
  <c r="AC275" i="18"/>
  <c r="D277" i="1"/>
  <c r="E277" i="1" s="1"/>
  <c r="K278" i="1"/>
  <c r="X278" i="1"/>
  <c r="L278" i="1"/>
  <c r="AB278" i="1"/>
  <c r="A279" i="1"/>
  <c r="AC278" i="1"/>
  <c r="O278" i="1"/>
  <c r="AK278" i="1"/>
  <c r="Q278" i="1"/>
  <c r="AJ278" i="1"/>
  <c r="U278" i="1"/>
  <c r="T278" i="1" s="1"/>
  <c r="AB274" i="20"/>
  <c r="A275" i="20"/>
  <c r="X274" i="20"/>
  <c r="L274" i="20"/>
  <c r="K274" i="20"/>
  <c r="AJ274" i="20"/>
  <c r="AK274" i="20"/>
  <c r="O274" i="20"/>
  <c r="AC274" i="20"/>
  <c r="A277" i="17"/>
  <c r="L276" i="17"/>
  <c r="X276" i="17"/>
  <c r="K276" i="17"/>
  <c r="AB276" i="17"/>
  <c r="AJ276" i="17"/>
  <c r="O276" i="17"/>
  <c r="AK276" i="17"/>
  <c r="AC276" i="17"/>
  <c r="X271" i="24"/>
  <c r="AB271" i="24"/>
  <c r="L271" i="24"/>
  <c r="A272" i="24"/>
  <c r="K271" i="24"/>
  <c r="AJ271" i="24"/>
  <c r="AK271" i="24"/>
  <c r="O271" i="24"/>
  <c r="AC271" i="24"/>
  <c r="AB273" i="22"/>
  <c r="L273" i="22"/>
  <c r="A274" i="22"/>
  <c r="X273" i="22"/>
  <c r="K273" i="22"/>
  <c r="AK273" i="22"/>
  <c r="AJ273" i="22"/>
  <c r="O273" i="22"/>
  <c r="AC273" i="22"/>
  <c r="AF40" i="7"/>
  <c r="T277" i="1"/>
  <c r="G276" i="1" l="1"/>
  <c r="BW276" i="6" s="1"/>
  <c r="AA276" i="1"/>
  <c r="Z276" i="1" s="1"/>
  <c r="Y276" i="1" s="1"/>
  <c r="E277" i="15"/>
  <c r="X278" i="15"/>
  <c r="A279" i="15"/>
  <c r="AC278" i="15"/>
  <c r="K278" i="15"/>
  <c r="O278" i="15"/>
  <c r="AB278" i="15"/>
  <c r="AK278" i="15"/>
  <c r="L278" i="15"/>
  <c r="D278" i="15" s="1"/>
  <c r="AJ278" i="15"/>
  <c r="X277" i="16"/>
  <c r="L277" i="16"/>
  <c r="D277" i="16" s="1"/>
  <c r="AB277" i="16"/>
  <c r="AK277" i="16"/>
  <c r="O277" i="16"/>
  <c r="K277" i="16"/>
  <c r="A278" i="16"/>
  <c r="AJ277" i="16"/>
  <c r="AC277" i="16"/>
  <c r="E276" i="16"/>
  <c r="K272" i="24"/>
  <c r="A273" i="24"/>
  <c r="L272" i="24"/>
  <c r="X272" i="24"/>
  <c r="AE64" i="7"/>
  <c r="AB272" i="24"/>
  <c r="AJ272" i="24"/>
  <c r="AK272" i="24"/>
  <c r="O272" i="24"/>
  <c r="AG64" i="7" s="1"/>
  <c r="AC272" i="24"/>
  <c r="K277" i="17"/>
  <c r="X277" i="17"/>
  <c r="L277" i="17"/>
  <c r="AB277" i="17"/>
  <c r="A278" i="17"/>
  <c r="AJ277" i="17"/>
  <c r="O277" i="17"/>
  <c r="AK277" i="17"/>
  <c r="AC277" i="17"/>
  <c r="K275" i="20"/>
  <c r="A276" i="20"/>
  <c r="AB275" i="20"/>
  <c r="X275" i="20"/>
  <c r="L275" i="20"/>
  <c r="AJ275" i="20"/>
  <c r="AK275" i="20"/>
  <c r="O275" i="20"/>
  <c r="AC275" i="20"/>
  <c r="S277" i="1"/>
  <c r="R277" i="1" s="1"/>
  <c r="P277" i="1" s="1"/>
  <c r="X274" i="22"/>
  <c r="AB274" i="22"/>
  <c r="L274" i="22"/>
  <c r="K274" i="22"/>
  <c r="A275" i="22"/>
  <c r="AJ274" i="22"/>
  <c r="AK274" i="22"/>
  <c r="O274" i="22"/>
  <c r="AC274" i="22"/>
  <c r="S278" i="1"/>
  <c r="R278" i="1" s="1"/>
  <c r="P278" i="1" s="1"/>
  <c r="V278" i="1" s="1"/>
  <c r="O279" i="1"/>
  <c r="AJ279" i="1"/>
  <c r="L279" i="1"/>
  <c r="X279" i="1"/>
  <c r="AC279" i="1"/>
  <c r="A280" i="1"/>
  <c r="AK279" i="1"/>
  <c r="Q279" i="1"/>
  <c r="K279" i="1"/>
  <c r="AB279" i="1"/>
  <c r="U279" i="1"/>
  <c r="T279" i="1" s="1"/>
  <c r="D278" i="1"/>
  <c r="E278" i="1" s="1"/>
  <c r="X276" i="18"/>
  <c r="AJ276" i="18"/>
  <c r="L276" i="18"/>
  <c r="A277" i="18"/>
  <c r="AB276" i="18"/>
  <c r="K276" i="18"/>
  <c r="O276" i="18"/>
  <c r="AK276" i="18"/>
  <c r="AC276" i="18"/>
  <c r="X271" i="25"/>
  <c r="A272" i="25"/>
  <c r="AB271" i="25"/>
  <c r="K271" i="25"/>
  <c r="L271" i="25"/>
  <c r="AJ271" i="25"/>
  <c r="AK271" i="25"/>
  <c r="O271" i="25"/>
  <c r="AC271" i="25"/>
  <c r="AF52" i="7"/>
  <c r="AB273" i="23"/>
  <c r="X273" i="23"/>
  <c r="L273" i="23"/>
  <c r="A274" i="23"/>
  <c r="K273" i="23"/>
  <c r="AJ273" i="23"/>
  <c r="AK273" i="23"/>
  <c r="O273" i="23"/>
  <c r="AC273" i="23"/>
  <c r="E278" i="15" l="1"/>
  <c r="A280" i="15"/>
  <c r="AK279" i="15"/>
  <c r="K279" i="15"/>
  <c r="AJ279" i="15"/>
  <c r="X279" i="15"/>
  <c r="AB279" i="15"/>
  <c r="O279" i="15"/>
  <c r="L279" i="15"/>
  <c r="D279" i="15" s="1"/>
  <c r="AC279" i="15"/>
  <c r="E277" i="16"/>
  <c r="V277" i="1"/>
  <c r="F277" i="1" s="1"/>
  <c r="X278" i="16"/>
  <c r="AB278" i="16"/>
  <c r="A279" i="16"/>
  <c r="AK278" i="16"/>
  <c r="O278" i="16"/>
  <c r="K278" i="16"/>
  <c r="L278" i="16"/>
  <c r="D278" i="16" s="1"/>
  <c r="AJ278" i="16"/>
  <c r="AC278" i="16"/>
  <c r="F278" i="1"/>
  <c r="AB272" i="25"/>
  <c r="L272" i="25"/>
  <c r="AE76" i="7"/>
  <c r="A273" i="25"/>
  <c r="X272" i="25"/>
  <c r="K272" i="25"/>
  <c r="AK272" i="25"/>
  <c r="AJ272" i="25"/>
  <c r="O272" i="25"/>
  <c r="AG76" i="7" s="1"/>
  <c r="AC272" i="25"/>
  <c r="AB277" i="18"/>
  <c r="K277" i="18"/>
  <c r="X277" i="18"/>
  <c r="L277" i="18"/>
  <c r="A278" i="18"/>
  <c r="AJ277" i="18"/>
  <c r="O277" i="18"/>
  <c r="AK277" i="18"/>
  <c r="AC277" i="18"/>
  <c r="AC280" i="1"/>
  <c r="AJ280" i="1"/>
  <c r="K280" i="1"/>
  <c r="AB280" i="1"/>
  <c r="Q280" i="1"/>
  <c r="L280" i="1"/>
  <c r="A281" i="1"/>
  <c r="AK280" i="1"/>
  <c r="X280" i="1"/>
  <c r="O280" i="1"/>
  <c r="U280" i="1"/>
  <c r="T280" i="1" s="1"/>
  <c r="X278" i="17"/>
  <c r="L278" i="17"/>
  <c r="AB278" i="17"/>
  <c r="K278" i="17"/>
  <c r="A279" i="17"/>
  <c r="AJ278" i="17"/>
  <c r="O278" i="17"/>
  <c r="AK278" i="17"/>
  <c r="AC278" i="17"/>
  <c r="AB273" i="24"/>
  <c r="X273" i="24"/>
  <c r="K273" i="24"/>
  <c r="L273" i="24"/>
  <c r="A274" i="24"/>
  <c r="AJ273" i="24"/>
  <c r="AK273" i="24"/>
  <c r="O273" i="24"/>
  <c r="AC273" i="24"/>
  <c r="A275" i="23"/>
  <c r="L274" i="23"/>
  <c r="X274" i="23"/>
  <c r="AB274" i="23"/>
  <c r="K274" i="23"/>
  <c r="AJ274" i="23"/>
  <c r="AK274" i="23"/>
  <c r="O274" i="23"/>
  <c r="AC274" i="23"/>
  <c r="S279" i="1"/>
  <c r="R279" i="1" s="1"/>
  <c r="P279" i="1" s="1"/>
  <c r="V279" i="1" s="1"/>
  <c r="D279" i="1"/>
  <c r="E279" i="1" s="1"/>
  <c r="K275" i="22"/>
  <c r="X275" i="22"/>
  <c r="L275" i="22"/>
  <c r="A276" i="22"/>
  <c r="AB275" i="22"/>
  <c r="AJ275" i="22"/>
  <c r="AK275" i="22"/>
  <c r="O275" i="22"/>
  <c r="AC275" i="22"/>
  <c r="AB276" i="20"/>
  <c r="X276" i="20"/>
  <c r="A277" i="20"/>
  <c r="K276" i="20"/>
  <c r="L276" i="20"/>
  <c r="AJ276" i="20"/>
  <c r="AK276" i="20"/>
  <c r="O276" i="20"/>
  <c r="AC276" i="20"/>
  <c r="AF64" i="7"/>
  <c r="E278" i="16" l="1"/>
  <c r="E279" i="15"/>
  <c r="L280" i="15"/>
  <c r="D280" i="15" s="1"/>
  <c r="AK280" i="15"/>
  <c r="AB280" i="15"/>
  <c r="AJ280" i="15"/>
  <c r="X280" i="15"/>
  <c r="A281" i="15"/>
  <c r="O280" i="15"/>
  <c r="E280" i="15" s="1"/>
  <c r="K280" i="15"/>
  <c r="AC280" i="15"/>
  <c r="I277" i="1"/>
  <c r="AA277" i="1"/>
  <c r="Z277" i="1" s="1"/>
  <c r="Y277" i="1" s="1"/>
  <c r="G277" i="1"/>
  <c r="BW277" i="6" s="1"/>
  <c r="F279" i="1"/>
  <c r="G279" i="1" s="1"/>
  <c r="BW279" i="6" s="1"/>
  <c r="AB279" i="16"/>
  <c r="X279" i="16"/>
  <c r="L279" i="16"/>
  <c r="D279" i="16" s="1"/>
  <c r="AK279" i="16"/>
  <c r="O279" i="16"/>
  <c r="A280" i="16"/>
  <c r="K279" i="16"/>
  <c r="AJ279" i="16"/>
  <c r="AC279" i="16"/>
  <c r="AB277" i="20"/>
  <c r="X277" i="20"/>
  <c r="K277" i="20"/>
  <c r="L277" i="20"/>
  <c r="A278" i="20"/>
  <c r="AK277" i="20"/>
  <c r="AJ277" i="20"/>
  <c r="O277" i="20"/>
  <c r="AC277" i="20"/>
  <c r="X276" i="22"/>
  <c r="A277" i="22"/>
  <c r="L276" i="22"/>
  <c r="AB276" i="22"/>
  <c r="K276" i="22"/>
  <c r="AJ276" i="22"/>
  <c r="AK276" i="22"/>
  <c r="O276" i="22"/>
  <c r="AC276" i="22"/>
  <c r="K274" i="24"/>
  <c r="A275" i="24"/>
  <c r="L274" i="24"/>
  <c r="X274" i="24"/>
  <c r="AB274" i="24"/>
  <c r="AJ274" i="24"/>
  <c r="AK274" i="24"/>
  <c r="O274" i="24"/>
  <c r="AC274" i="24"/>
  <c r="S280" i="1"/>
  <c r="R280" i="1" s="1"/>
  <c r="P280" i="1" s="1"/>
  <c r="V280" i="1" s="1"/>
  <c r="X281" i="1"/>
  <c r="K281" i="1"/>
  <c r="A282" i="1"/>
  <c r="AC281" i="1"/>
  <c r="AJ281" i="1"/>
  <c r="AB281" i="1"/>
  <c r="Q281" i="1"/>
  <c r="L281" i="1"/>
  <c r="O281" i="1"/>
  <c r="AK281" i="1"/>
  <c r="U281" i="1"/>
  <c r="T281" i="1" s="1"/>
  <c r="AB278" i="18"/>
  <c r="K278" i="18"/>
  <c r="L278" i="18"/>
  <c r="A279" i="18"/>
  <c r="AJ278" i="18"/>
  <c r="X278" i="18"/>
  <c r="AK278" i="18"/>
  <c r="O278" i="18"/>
  <c r="AC278" i="18"/>
  <c r="I279" i="1"/>
  <c r="X275" i="23"/>
  <c r="A276" i="23"/>
  <c r="K275" i="23"/>
  <c r="AB275" i="23"/>
  <c r="L275" i="23"/>
  <c r="AJ275" i="23"/>
  <c r="AK275" i="23"/>
  <c r="O275" i="23"/>
  <c r="AC275" i="23"/>
  <c r="A280" i="17"/>
  <c r="AB279" i="17"/>
  <c r="L279" i="17"/>
  <c r="K279" i="17"/>
  <c r="X279" i="17"/>
  <c r="AJ279" i="17"/>
  <c r="O279" i="17"/>
  <c r="AK279" i="17"/>
  <c r="AC279" i="17"/>
  <c r="D280" i="1"/>
  <c r="E280" i="1" s="1"/>
  <c r="AB273" i="25"/>
  <c r="X273" i="25"/>
  <c r="A274" i="25"/>
  <c r="L273" i="25"/>
  <c r="K273" i="25"/>
  <c r="AJ273" i="25"/>
  <c r="O273" i="25"/>
  <c r="AK273" i="25"/>
  <c r="AC273" i="25"/>
  <c r="AF76" i="7"/>
  <c r="I278" i="1"/>
  <c r="AA278" i="1"/>
  <c r="Z278" i="1" s="1"/>
  <c r="Y278" i="1" s="1"/>
  <c r="G278" i="1"/>
  <c r="BW278" i="6" s="1"/>
  <c r="AA279" i="1" l="1"/>
  <c r="Z279" i="1" s="1"/>
  <c r="Y279" i="1" s="1"/>
  <c r="K281" i="15"/>
  <c r="AJ281" i="15"/>
  <c r="A282" i="15"/>
  <c r="AK281" i="15"/>
  <c r="AB281" i="15"/>
  <c r="X281" i="15"/>
  <c r="AC281" i="15"/>
  <c r="L281" i="15"/>
  <c r="D281" i="15" s="1"/>
  <c r="O281" i="15"/>
  <c r="A281" i="16"/>
  <c r="K280" i="16"/>
  <c r="AJ280" i="16"/>
  <c r="AC280" i="16"/>
  <c r="L280" i="16"/>
  <c r="D280" i="16" s="1"/>
  <c r="X280" i="16"/>
  <c r="AB280" i="16"/>
  <c r="AK280" i="16"/>
  <c r="O280" i="16"/>
  <c r="F280" i="1"/>
  <c r="AA280" i="1" s="1"/>
  <c r="Z280" i="1" s="1"/>
  <c r="Y280" i="1" s="1"/>
  <c r="E279" i="16"/>
  <c r="A275" i="25"/>
  <c r="X274" i="25"/>
  <c r="AB274" i="25"/>
  <c r="K274" i="25"/>
  <c r="L274" i="25"/>
  <c r="AJ274" i="25"/>
  <c r="O274" i="25"/>
  <c r="AK274" i="25"/>
  <c r="AC274" i="25"/>
  <c r="AB276" i="23"/>
  <c r="A277" i="23"/>
  <c r="L276" i="23"/>
  <c r="K276" i="23"/>
  <c r="X276" i="23"/>
  <c r="AJ276" i="23"/>
  <c r="AK276" i="23"/>
  <c r="O276" i="23"/>
  <c r="AC276" i="23"/>
  <c r="A280" i="18"/>
  <c r="L279" i="18"/>
  <c r="X279" i="18"/>
  <c r="K279" i="18"/>
  <c r="AB279" i="18"/>
  <c r="AJ279" i="18"/>
  <c r="AK279" i="18"/>
  <c r="O279" i="18"/>
  <c r="AC279" i="18"/>
  <c r="S281" i="1"/>
  <c r="R281" i="1" s="1"/>
  <c r="P281" i="1" s="1"/>
  <c r="V281" i="1" s="1"/>
  <c r="K282" i="1"/>
  <c r="X282" i="1"/>
  <c r="Q282" i="1"/>
  <c r="AJ282" i="1"/>
  <c r="AB282" i="1"/>
  <c r="L282" i="1"/>
  <c r="AK282" i="1"/>
  <c r="AC282" i="1"/>
  <c r="O282" i="1"/>
  <c r="A283" i="1"/>
  <c r="U282" i="1"/>
  <c r="K280" i="17"/>
  <c r="A281" i="17"/>
  <c r="X280" i="17"/>
  <c r="L280" i="17"/>
  <c r="AB280" i="17"/>
  <c r="AK280" i="17"/>
  <c r="AJ280" i="17"/>
  <c r="O280" i="17"/>
  <c r="AC280" i="17"/>
  <c r="D281" i="1"/>
  <c r="E281" i="1" s="1"/>
  <c r="X275" i="24"/>
  <c r="L275" i="24"/>
  <c r="A276" i="24"/>
  <c r="AB275" i="24"/>
  <c r="K275" i="24"/>
  <c r="AK275" i="24"/>
  <c r="AJ275" i="24"/>
  <c r="O275" i="24"/>
  <c r="AC275" i="24"/>
  <c r="X277" i="22"/>
  <c r="AB277" i="22"/>
  <c r="K277" i="22"/>
  <c r="A278" i="22"/>
  <c r="L277" i="22"/>
  <c r="AJ277" i="22"/>
  <c r="AK277" i="22"/>
  <c r="O277" i="22"/>
  <c r="AC277" i="22"/>
  <c r="K278" i="20"/>
  <c r="X278" i="20"/>
  <c r="AB278" i="20"/>
  <c r="L278" i="20"/>
  <c r="A279" i="20"/>
  <c r="AJ278" i="20"/>
  <c r="AK278" i="20"/>
  <c r="O278" i="20"/>
  <c r="AC278" i="20"/>
  <c r="E281" i="15" l="1"/>
  <c r="X282" i="15"/>
  <c r="AB282" i="15"/>
  <c r="AJ282" i="15"/>
  <c r="A283" i="15"/>
  <c r="L282" i="15"/>
  <c r="D282" i="15" s="1"/>
  <c r="AK282" i="15"/>
  <c r="K282" i="15"/>
  <c r="O282" i="15"/>
  <c r="AC282" i="15"/>
  <c r="G280" i="1"/>
  <c r="BW280" i="6" s="1"/>
  <c r="I280" i="1"/>
  <c r="F281" i="1"/>
  <c r="AA281" i="1" s="1"/>
  <c r="Z281" i="1" s="1"/>
  <c r="Y281" i="1" s="1"/>
  <c r="E280" i="16"/>
  <c r="AB281" i="16"/>
  <c r="X281" i="16"/>
  <c r="L281" i="16"/>
  <c r="D281" i="16" s="1"/>
  <c r="AK281" i="16"/>
  <c r="O281" i="16"/>
  <c r="A282" i="16"/>
  <c r="K281" i="16"/>
  <c r="AJ281" i="16"/>
  <c r="AC281" i="16"/>
  <c r="AB279" i="20"/>
  <c r="X279" i="20"/>
  <c r="L279" i="20"/>
  <c r="A280" i="20"/>
  <c r="K279" i="20"/>
  <c r="AJ279" i="20"/>
  <c r="AK279" i="20"/>
  <c r="O279" i="20"/>
  <c r="AC279" i="20"/>
  <c r="K278" i="22"/>
  <c r="L278" i="22"/>
  <c r="X278" i="22"/>
  <c r="AB278" i="22"/>
  <c r="A279" i="22"/>
  <c r="AJ278" i="22"/>
  <c r="AK278" i="22"/>
  <c r="O278" i="22"/>
  <c r="AC278" i="22"/>
  <c r="A277" i="24"/>
  <c r="K276" i="24"/>
  <c r="AB276" i="24"/>
  <c r="X276" i="24"/>
  <c r="L276" i="24"/>
  <c r="AJ276" i="24"/>
  <c r="AK276" i="24"/>
  <c r="O276" i="24"/>
  <c r="AC276" i="24"/>
  <c r="T282" i="1"/>
  <c r="L281" i="17"/>
  <c r="X281" i="17"/>
  <c r="A282" i="17"/>
  <c r="K281" i="17"/>
  <c r="AB281" i="17"/>
  <c r="AJ281" i="17"/>
  <c r="O281" i="17"/>
  <c r="AK281" i="17"/>
  <c r="AC281" i="17"/>
  <c r="AJ283" i="1"/>
  <c r="K283" i="1"/>
  <c r="AK283" i="1"/>
  <c r="Q283" i="1"/>
  <c r="O283" i="1"/>
  <c r="AB283" i="1"/>
  <c r="AC283" i="1"/>
  <c r="A284" i="1"/>
  <c r="X283" i="1"/>
  <c r="L283" i="1"/>
  <c r="U283" i="1"/>
  <c r="T283" i="1" s="1"/>
  <c r="D282" i="1"/>
  <c r="E282" i="1" s="1"/>
  <c r="L280" i="18"/>
  <c r="AB280" i="18"/>
  <c r="AJ280" i="18"/>
  <c r="A281" i="18"/>
  <c r="K280" i="18"/>
  <c r="X280" i="18"/>
  <c r="O280" i="18"/>
  <c r="AK280" i="18"/>
  <c r="AC280" i="18"/>
  <c r="A278" i="23"/>
  <c r="K277" i="23"/>
  <c r="X277" i="23"/>
  <c r="AB277" i="23"/>
  <c r="L277" i="23"/>
  <c r="AK277" i="23"/>
  <c r="AJ277" i="23"/>
  <c r="O277" i="23"/>
  <c r="AC277" i="23"/>
  <c r="AB275" i="25"/>
  <c r="X275" i="25"/>
  <c r="K275" i="25"/>
  <c r="A276" i="25"/>
  <c r="L275" i="25"/>
  <c r="AK275" i="25"/>
  <c r="AJ275" i="25"/>
  <c r="O275" i="25"/>
  <c r="AC275" i="25"/>
  <c r="I281" i="1" l="1"/>
  <c r="E282" i="15"/>
  <c r="L283" i="15"/>
  <c r="D283" i="15" s="1"/>
  <c r="AJ283" i="15"/>
  <c r="A284" i="15"/>
  <c r="K283" i="15"/>
  <c r="AC283" i="15"/>
  <c r="X283" i="15"/>
  <c r="O283" i="15"/>
  <c r="E283" i="15" s="1"/>
  <c r="AB283" i="15"/>
  <c r="AK283" i="15"/>
  <c r="G281" i="1"/>
  <c r="BW281" i="6" s="1"/>
  <c r="E281" i="16"/>
  <c r="A283" i="16"/>
  <c r="AB282" i="16"/>
  <c r="AJ282" i="16"/>
  <c r="AC282" i="16"/>
  <c r="X282" i="16"/>
  <c r="K282" i="16"/>
  <c r="L282" i="16"/>
  <c r="D282" i="16" s="1"/>
  <c r="AK282" i="16"/>
  <c r="O282" i="16"/>
  <c r="K276" i="25"/>
  <c r="L276" i="25"/>
  <c r="X276" i="25"/>
  <c r="A277" i="25"/>
  <c r="AB276" i="25"/>
  <c r="AJ276" i="25"/>
  <c r="AK276" i="25"/>
  <c r="O276" i="25"/>
  <c r="AC276" i="25"/>
  <c r="D283" i="1"/>
  <c r="K284" i="1"/>
  <c r="AJ284" i="1"/>
  <c r="A285" i="1"/>
  <c r="Q284" i="1"/>
  <c r="AK284" i="1"/>
  <c r="L284" i="1"/>
  <c r="AB284" i="1"/>
  <c r="AC284" i="1"/>
  <c r="X284" i="1"/>
  <c r="O284" i="1"/>
  <c r="U284" i="1"/>
  <c r="T284" i="1" s="1"/>
  <c r="A278" i="24"/>
  <c r="AB277" i="24"/>
  <c r="L277" i="24"/>
  <c r="X277" i="24"/>
  <c r="K277" i="24"/>
  <c r="AJ277" i="24"/>
  <c r="AK277" i="24"/>
  <c r="O277" i="24"/>
  <c r="AC277" i="24"/>
  <c r="X278" i="23"/>
  <c r="AB278" i="23"/>
  <c r="K278" i="23"/>
  <c r="L278" i="23"/>
  <c r="A279" i="23"/>
  <c r="AJ278" i="23"/>
  <c r="AK278" i="23"/>
  <c r="O278" i="23"/>
  <c r="AC278" i="23"/>
  <c r="K281" i="18"/>
  <c r="X281" i="18"/>
  <c r="AB281" i="18"/>
  <c r="A282" i="18"/>
  <c r="AJ281" i="18"/>
  <c r="L281" i="18"/>
  <c r="O281" i="18"/>
  <c r="AK281" i="18"/>
  <c r="AC281" i="18"/>
  <c r="S283" i="1"/>
  <c r="R283" i="1" s="1"/>
  <c r="P283" i="1" s="1"/>
  <c r="V283" i="1" s="1"/>
  <c r="E283" i="1"/>
  <c r="L282" i="17"/>
  <c r="K282" i="17"/>
  <c r="A283" i="17"/>
  <c r="AB282" i="17"/>
  <c r="X282" i="17"/>
  <c r="AJ282" i="17"/>
  <c r="O282" i="17"/>
  <c r="AK282" i="17"/>
  <c r="AC282" i="17"/>
  <c r="S282" i="1"/>
  <c r="R282" i="1" s="1"/>
  <c r="P282" i="1" s="1"/>
  <c r="K279" i="22"/>
  <c r="AB279" i="22"/>
  <c r="A280" i="22"/>
  <c r="X279" i="22"/>
  <c r="L279" i="22"/>
  <c r="AJ279" i="22"/>
  <c r="AK279" i="22"/>
  <c r="O279" i="22"/>
  <c r="AC279" i="22"/>
  <c r="AB280" i="20"/>
  <c r="K280" i="20"/>
  <c r="A281" i="20"/>
  <c r="X280" i="20"/>
  <c r="L280" i="20"/>
  <c r="AJ280" i="20"/>
  <c r="AK280" i="20"/>
  <c r="O280" i="20"/>
  <c r="AC280" i="20"/>
  <c r="F283" i="1" l="1"/>
  <c r="AA283" i="1" s="1"/>
  <c r="Z283" i="1" s="1"/>
  <c r="Y283" i="1" s="1"/>
  <c r="K284" i="15"/>
  <c r="O284" i="15"/>
  <c r="X284" i="15"/>
  <c r="AK284" i="15"/>
  <c r="AB284" i="15"/>
  <c r="AJ284" i="15"/>
  <c r="L284" i="15"/>
  <c r="D284" i="15" s="1"/>
  <c r="A285" i="15"/>
  <c r="AC284" i="15"/>
  <c r="E282" i="16"/>
  <c r="X283" i="16"/>
  <c r="L283" i="16"/>
  <c r="D283" i="16" s="1"/>
  <c r="A284" i="16"/>
  <c r="AK283" i="16"/>
  <c r="O283" i="16"/>
  <c r="K283" i="16"/>
  <c r="AB283" i="16"/>
  <c r="AJ283" i="16"/>
  <c r="AC283" i="16"/>
  <c r="V282" i="1"/>
  <c r="F282" i="1" s="1"/>
  <c r="X279" i="23"/>
  <c r="A280" i="23"/>
  <c r="AB279" i="23"/>
  <c r="K279" i="23"/>
  <c r="L279" i="23"/>
  <c r="AJ279" i="23"/>
  <c r="AK279" i="23"/>
  <c r="O279" i="23"/>
  <c r="AC279" i="23"/>
  <c r="S284" i="1"/>
  <c r="R284" i="1" s="1"/>
  <c r="P284" i="1" s="1"/>
  <c r="V284" i="1" s="1"/>
  <c r="L285" i="1"/>
  <c r="X285" i="1"/>
  <c r="O285" i="1"/>
  <c r="AB285" i="1"/>
  <c r="AC285" i="1"/>
  <c r="K285" i="1"/>
  <c r="A286" i="1"/>
  <c r="AK285" i="1"/>
  <c r="Q285" i="1"/>
  <c r="AJ285" i="1"/>
  <c r="U285" i="1"/>
  <c r="T285" i="1" s="1"/>
  <c r="S285" i="1" s="1"/>
  <c r="R285" i="1" s="1"/>
  <c r="P285" i="1" s="1"/>
  <c r="A278" i="25"/>
  <c r="X277" i="25"/>
  <c r="AB277" i="25"/>
  <c r="K277" i="25"/>
  <c r="L277" i="25"/>
  <c r="AJ277" i="25"/>
  <c r="AK277" i="25"/>
  <c r="O277" i="25"/>
  <c r="AC277" i="25"/>
  <c r="A281" i="22"/>
  <c r="K280" i="22"/>
  <c r="X280" i="22"/>
  <c r="AB280" i="22"/>
  <c r="L280" i="22"/>
  <c r="AJ280" i="22"/>
  <c r="AK280" i="22"/>
  <c r="O280" i="22"/>
  <c r="AC280" i="22"/>
  <c r="AB282" i="18"/>
  <c r="AJ282" i="18"/>
  <c r="K282" i="18"/>
  <c r="L282" i="18"/>
  <c r="X282" i="18"/>
  <c r="A283" i="18"/>
  <c r="O282" i="18"/>
  <c r="AK282" i="18"/>
  <c r="AC282" i="18"/>
  <c r="X281" i="20"/>
  <c r="K281" i="20"/>
  <c r="A282" i="20"/>
  <c r="AB281" i="20"/>
  <c r="L281" i="20"/>
  <c r="AK281" i="20"/>
  <c r="AJ281" i="20"/>
  <c r="O281" i="20"/>
  <c r="AC281" i="20"/>
  <c r="AB283" i="17"/>
  <c r="L283" i="17"/>
  <c r="A284" i="17"/>
  <c r="K283" i="17"/>
  <c r="X283" i="17"/>
  <c r="AJ283" i="17"/>
  <c r="O283" i="17"/>
  <c r="AK283" i="17"/>
  <c r="AC283" i="17"/>
  <c r="K278" i="24"/>
  <c r="A279" i="24"/>
  <c r="L278" i="24"/>
  <c r="AB278" i="24"/>
  <c r="X278" i="24"/>
  <c r="AK278" i="24"/>
  <c r="AJ278" i="24"/>
  <c r="O278" i="24"/>
  <c r="AC278" i="24"/>
  <c r="D284" i="1"/>
  <c r="E284" i="1" s="1"/>
  <c r="I283" i="1" l="1"/>
  <c r="G283" i="1"/>
  <c r="BW283" i="6" s="1"/>
  <c r="K285" i="15"/>
  <c r="O285" i="15"/>
  <c r="L285" i="15"/>
  <c r="D285" i="15" s="1"/>
  <c r="AK285" i="15"/>
  <c r="A286" i="15"/>
  <c r="AJ285" i="15"/>
  <c r="X285" i="15"/>
  <c r="AB285" i="15"/>
  <c r="AC285" i="15"/>
  <c r="E284" i="15"/>
  <c r="F284" i="1"/>
  <c r="AA284" i="1" s="1"/>
  <c r="Z284" i="1" s="1"/>
  <c r="Y284" i="1" s="1"/>
  <c r="A285" i="16"/>
  <c r="AB284" i="16"/>
  <c r="X284" i="16"/>
  <c r="AK284" i="16"/>
  <c r="O284" i="16"/>
  <c r="L284" i="16"/>
  <c r="D284" i="16" s="1"/>
  <c r="K284" i="16"/>
  <c r="AJ284" i="16"/>
  <c r="AC284" i="16"/>
  <c r="E283" i="16"/>
  <c r="A280" i="24"/>
  <c r="AB279" i="24"/>
  <c r="X279" i="24"/>
  <c r="K279" i="24"/>
  <c r="L279" i="24"/>
  <c r="AJ279" i="24"/>
  <c r="AK279" i="24"/>
  <c r="O279" i="24"/>
  <c r="AC279" i="24"/>
  <c r="A282" i="22"/>
  <c r="X281" i="22"/>
  <c r="AB281" i="22"/>
  <c r="K281" i="22"/>
  <c r="L281" i="22"/>
  <c r="AJ281" i="22"/>
  <c r="AK281" i="22"/>
  <c r="O281" i="22"/>
  <c r="AC281" i="22"/>
  <c r="G282" i="1"/>
  <c r="BW282" i="6" s="1"/>
  <c r="I282" i="1"/>
  <c r="AA282" i="1"/>
  <c r="Z282" i="1" s="1"/>
  <c r="Y282" i="1" s="1"/>
  <c r="K284" i="17"/>
  <c r="A285" i="17"/>
  <c r="L284" i="17"/>
  <c r="AB284" i="17"/>
  <c r="X284" i="17"/>
  <c r="AJ284" i="17"/>
  <c r="O284" i="17"/>
  <c r="AK284" i="17"/>
  <c r="AC284" i="17"/>
  <c r="X282" i="20"/>
  <c r="L282" i="20"/>
  <c r="K282" i="20"/>
  <c r="AB282" i="20"/>
  <c r="A283" i="20"/>
  <c r="AK282" i="20"/>
  <c r="AJ282" i="20"/>
  <c r="O282" i="20"/>
  <c r="AC282" i="20"/>
  <c r="X283" i="18"/>
  <c r="A284" i="18"/>
  <c r="AJ283" i="18"/>
  <c r="AB283" i="18"/>
  <c r="L283" i="18"/>
  <c r="K283" i="18"/>
  <c r="O283" i="18"/>
  <c r="AK283" i="18"/>
  <c r="AC283" i="18"/>
  <c r="K278" i="25"/>
  <c r="L278" i="25"/>
  <c r="AB278" i="25"/>
  <c r="A279" i="25"/>
  <c r="X278" i="25"/>
  <c r="AJ278" i="25"/>
  <c r="AK278" i="25"/>
  <c r="O278" i="25"/>
  <c r="AC278" i="25"/>
  <c r="AC286" i="1"/>
  <c r="AJ286" i="1"/>
  <c r="L286" i="1"/>
  <c r="AB286" i="1"/>
  <c r="K286" i="1"/>
  <c r="X286" i="1"/>
  <c r="A287" i="1"/>
  <c r="AK286" i="1"/>
  <c r="Q286" i="1"/>
  <c r="O286" i="1"/>
  <c r="U286" i="1"/>
  <c r="T286" i="1" s="1"/>
  <c r="D285" i="1"/>
  <c r="E285" i="1" s="1"/>
  <c r="V285" i="1"/>
  <c r="A281" i="23"/>
  <c r="X280" i="23"/>
  <c r="L280" i="23"/>
  <c r="K280" i="23"/>
  <c r="AB280" i="23"/>
  <c r="AJ280" i="23"/>
  <c r="AK280" i="23"/>
  <c r="O280" i="23"/>
  <c r="AC280" i="23"/>
  <c r="I284" i="1" l="1"/>
  <c r="G284" i="1"/>
  <c r="BW284" i="6" s="1"/>
  <c r="E285" i="15"/>
  <c r="AB286" i="15"/>
  <c r="O286" i="15"/>
  <c r="L286" i="15"/>
  <c r="D286" i="15" s="1"/>
  <c r="AK286" i="15"/>
  <c r="K286" i="15"/>
  <c r="AJ286" i="15"/>
  <c r="X286" i="15"/>
  <c r="A287" i="15"/>
  <c r="AC286" i="15"/>
  <c r="E284" i="16"/>
  <c r="F285" i="1"/>
  <c r="AA285" i="1" s="1"/>
  <c r="Z285" i="1" s="1"/>
  <c r="Y285" i="1" s="1"/>
  <c r="K285" i="16"/>
  <c r="A286" i="16"/>
  <c r="AK285" i="16"/>
  <c r="AC285" i="16"/>
  <c r="AB285" i="16"/>
  <c r="X285" i="16"/>
  <c r="L285" i="16"/>
  <c r="D285" i="16" s="1"/>
  <c r="AJ285" i="16"/>
  <c r="O285" i="16"/>
  <c r="I285" i="1"/>
  <c r="S286" i="1"/>
  <c r="R286" i="1" s="1"/>
  <c r="P286" i="1" s="1"/>
  <c r="V286" i="1" s="1"/>
  <c r="X287" i="1"/>
  <c r="O287" i="1"/>
  <c r="AK287" i="1"/>
  <c r="L287" i="1"/>
  <c r="Q287" i="1"/>
  <c r="AB287" i="1"/>
  <c r="K287" i="1"/>
  <c r="AJ287" i="1"/>
  <c r="AC287" i="1"/>
  <c r="A288" i="1"/>
  <c r="U287" i="1"/>
  <c r="T287" i="1" s="1"/>
  <c r="D286" i="1"/>
  <c r="A280" i="25"/>
  <c r="L279" i="25"/>
  <c r="K279" i="25"/>
  <c r="AB279" i="25"/>
  <c r="X279" i="25"/>
  <c r="AJ279" i="25"/>
  <c r="AK279" i="25"/>
  <c r="O279" i="25"/>
  <c r="AC279" i="25"/>
  <c r="A285" i="18"/>
  <c r="AB284" i="18"/>
  <c r="AJ284" i="18"/>
  <c r="X284" i="18"/>
  <c r="L284" i="18"/>
  <c r="K284" i="18"/>
  <c r="O284" i="18"/>
  <c r="AK284" i="18"/>
  <c r="AC284" i="18"/>
  <c r="AB283" i="20"/>
  <c r="A284" i="20"/>
  <c r="K283" i="20"/>
  <c r="X283" i="20"/>
  <c r="L283" i="20"/>
  <c r="AJ283" i="20"/>
  <c r="AK283" i="20"/>
  <c r="O283" i="20"/>
  <c r="AC283" i="20"/>
  <c r="X282" i="22"/>
  <c r="A283" i="22"/>
  <c r="AB282" i="22"/>
  <c r="L282" i="22"/>
  <c r="K282" i="22"/>
  <c r="AJ282" i="22"/>
  <c r="AK282" i="22"/>
  <c r="O282" i="22"/>
  <c r="AC282" i="22"/>
  <c r="A282" i="23"/>
  <c r="K281" i="23"/>
  <c r="X281" i="23"/>
  <c r="AB281" i="23"/>
  <c r="L281" i="23"/>
  <c r="AK281" i="23"/>
  <c r="AJ281" i="23"/>
  <c r="O281" i="23"/>
  <c r="AC281" i="23"/>
  <c r="E286" i="1"/>
  <c r="K285" i="17"/>
  <c r="A286" i="17"/>
  <c r="L285" i="17"/>
  <c r="AB285" i="17"/>
  <c r="X285" i="17"/>
  <c r="AK285" i="17"/>
  <c r="AJ285" i="17"/>
  <c r="O285" i="17"/>
  <c r="AC285" i="17"/>
  <c r="AB280" i="24"/>
  <c r="X280" i="24"/>
  <c r="L280" i="24"/>
  <c r="A281" i="24"/>
  <c r="K280" i="24"/>
  <c r="AK280" i="24"/>
  <c r="AJ280" i="24"/>
  <c r="O280" i="24"/>
  <c r="AC280" i="24"/>
  <c r="E286" i="15" l="1"/>
  <c r="G285" i="1"/>
  <c r="BW285" i="6" s="1"/>
  <c r="X287" i="15"/>
  <c r="AK287" i="15"/>
  <c r="K287" i="15"/>
  <c r="AJ287" i="15"/>
  <c r="AB287" i="15"/>
  <c r="L287" i="15"/>
  <c r="D287" i="15" s="1"/>
  <c r="O287" i="15"/>
  <c r="A288" i="15"/>
  <c r="AC287" i="15"/>
  <c r="A287" i="16"/>
  <c r="L286" i="16"/>
  <c r="D286" i="16" s="1"/>
  <c r="AB286" i="16"/>
  <c r="AK286" i="16"/>
  <c r="O286" i="16"/>
  <c r="K286" i="16"/>
  <c r="X286" i="16"/>
  <c r="AJ286" i="16"/>
  <c r="AC286" i="16"/>
  <c r="E285" i="16"/>
  <c r="A282" i="24"/>
  <c r="X281" i="24"/>
  <c r="K281" i="24"/>
  <c r="L281" i="24"/>
  <c r="AB281" i="24"/>
  <c r="AJ281" i="24"/>
  <c r="AK281" i="24"/>
  <c r="O281" i="24"/>
  <c r="AC281" i="24"/>
  <c r="X286" i="17"/>
  <c r="K286" i="17"/>
  <c r="AB286" i="17"/>
  <c r="L286" i="17"/>
  <c r="A287" i="17"/>
  <c r="AJ286" i="17"/>
  <c r="O286" i="17"/>
  <c r="AK286" i="17"/>
  <c r="AC286" i="17"/>
  <c r="F286" i="1"/>
  <c r="A284" i="22"/>
  <c r="X283" i="22"/>
  <c r="AB283" i="22"/>
  <c r="L283" i="22"/>
  <c r="K283" i="22"/>
  <c r="AJ283" i="22"/>
  <c r="AK283" i="22"/>
  <c r="O283" i="22"/>
  <c r="AC283" i="22"/>
  <c r="K284" i="20"/>
  <c r="A285" i="20"/>
  <c r="L284" i="20"/>
  <c r="X284" i="20"/>
  <c r="AB284" i="20"/>
  <c r="AJ284" i="20"/>
  <c r="AK284" i="20"/>
  <c r="O284" i="20"/>
  <c r="AC284" i="20"/>
  <c r="A286" i="18"/>
  <c r="AB285" i="18"/>
  <c r="AJ285" i="18"/>
  <c r="L285" i="18"/>
  <c r="X285" i="18"/>
  <c r="K285" i="18"/>
  <c r="AK285" i="18"/>
  <c r="O285" i="18"/>
  <c r="AC285" i="18"/>
  <c r="S287" i="1"/>
  <c r="R287" i="1" s="1"/>
  <c r="P287" i="1" s="1"/>
  <c r="V287" i="1" s="1"/>
  <c r="X282" i="23"/>
  <c r="AB282" i="23"/>
  <c r="L282" i="23"/>
  <c r="A283" i="23"/>
  <c r="K282" i="23"/>
  <c r="AJ282" i="23"/>
  <c r="AK282" i="23"/>
  <c r="O282" i="23"/>
  <c r="AC282" i="23"/>
  <c r="A281" i="25"/>
  <c r="X280" i="25"/>
  <c r="AB280" i="25"/>
  <c r="K280" i="25"/>
  <c r="L280" i="25"/>
  <c r="AJ280" i="25"/>
  <c r="AK280" i="25"/>
  <c r="O280" i="25"/>
  <c r="AC280" i="25"/>
  <c r="AK288" i="1"/>
  <c r="AB288" i="1"/>
  <c r="AC288" i="1"/>
  <c r="L288" i="1"/>
  <c r="X288" i="1"/>
  <c r="AJ288" i="1"/>
  <c r="Q288" i="1"/>
  <c r="O288" i="1"/>
  <c r="A289" i="1"/>
  <c r="K288" i="1"/>
  <c r="U288" i="1"/>
  <c r="D287" i="1"/>
  <c r="E287" i="1" s="1"/>
  <c r="K288" i="15" l="1"/>
  <c r="AJ288" i="15"/>
  <c r="A289" i="15"/>
  <c r="L288" i="15"/>
  <c r="D288" i="15" s="1"/>
  <c r="AC288" i="15"/>
  <c r="X288" i="15"/>
  <c r="O288" i="15"/>
  <c r="AB288" i="15"/>
  <c r="AK288" i="15"/>
  <c r="E287" i="15"/>
  <c r="E286" i="16"/>
  <c r="F287" i="1"/>
  <c r="G287" i="1" s="1"/>
  <c r="BW287" i="6" s="1"/>
  <c r="J61" i="19"/>
  <c r="X287" i="16"/>
  <c r="L287" i="16"/>
  <c r="D287" i="16" s="1"/>
  <c r="K287" i="16"/>
  <c r="AK287" i="16"/>
  <c r="O287" i="16"/>
  <c r="A288" i="16"/>
  <c r="AB287" i="16"/>
  <c r="AJ287" i="16"/>
  <c r="AC287" i="16"/>
  <c r="D288" i="1"/>
  <c r="E288" i="1" s="1"/>
  <c r="AB281" i="25"/>
  <c r="K281" i="25"/>
  <c r="A282" i="25"/>
  <c r="L281" i="25"/>
  <c r="X281" i="25"/>
  <c r="AJ281" i="25"/>
  <c r="O281" i="25"/>
  <c r="AK281" i="25"/>
  <c r="AC281" i="25"/>
  <c r="L286" i="18"/>
  <c r="A287" i="18"/>
  <c r="AJ286" i="18"/>
  <c r="AB286" i="18"/>
  <c r="X286" i="18"/>
  <c r="K286" i="18"/>
  <c r="O286" i="18"/>
  <c r="AK286" i="18"/>
  <c r="AC286" i="18"/>
  <c r="K285" i="20"/>
  <c r="X285" i="20"/>
  <c r="L285" i="20"/>
  <c r="AB285" i="20"/>
  <c r="A286" i="20"/>
  <c r="AJ285" i="20"/>
  <c r="AK285" i="20"/>
  <c r="O285" i="20"/>
  <c r="AC285" i="20"/>
  <c r="K287" i="17"/>
  <c r="AB287" i="17"/>
  <c r="L287" i="17"/>
  <c r="X287" i="17"/>
  <c r="A288" i="17"/>
  <c r="AJ287" i="17"/>
  <c r="O287" i="17"/>
  <c r="AK287" i="17"/>
  <c r="AC287" i="17"/>
  <c r="T288" i="1"/>
  <c r="K289" i="1"/>
  <c r="AB289" i="1"/>
  <c r="AK289" i="1"/>
  <c r="O289" i="1"/>
  <c r="AJ289" i="1"/>
  <c r="X289" i="1"/>
  <c r="AC289" i="1"/>
  <c r="Q289" i="1"/>
  <c r="A290" i="1"/>
  <c r="L289" i="1"/>
  <c r="U289" i="1"/>
  <c r="T289" i="1" s="1"/>
  <c r="K283" i="23"/>
  <c r="X283" i="23"/>
  <c r="L283" i="23"/>
  <c r="A284" i="23"/>
  <c r="AB283" i="23"/>
  <c r="AJ283" i="23"/>
  <c r="AK283" i="23"/>
  <c r="O283" i="23"/>
  <c r="AC283" i="23"/>
  <c r="X284" i="22"/>
  <c r="AB284" i="22"/>
  <c r="A285" i="22"/>
  <c r="K284" i="22"/>
  <c r="L284" i="22"/>
  <c r="AJ284" i="22"/>
  <c r="AK284" i="22"/>
  <c r="O284" i="22"/>
  <c r="AC284" i="22"/>
  <c r="AA286" i="1"/>
  <c r="Z286" i="1" s="1"/>
  <c r="Y286" i="1" s="1"/>
  <c r="I286" i="1"/>
  <c r="G286" i="1"/>
  <c r="BW286" i="6" s="1"/>
  <c r="A283" i="24"/>
  <c r="AB282" i="24"/>
  <c r="K282" i="24"/>
  <c r="X282" i="24"/>
  <c r="L282" i="24"/>
  <c r="AJ282" i="24"/>
  <c r="AK282" i="24"/>
  <c r="O282" i="24"/>
  <c r="AC282" i="24"/>
  <c r="AA287" i="1" l="1"/>
  <c r="Z287" i="1" s="1"/>
  <c r="Y287" i="1" s="1"/>
  <c r="I287" i="1"/>
  <c r="L289" i="15"/>
  <c r="D289" i="15" s="1"/>
  <c r="AK289" i="15"/>
  <c r="A290" i="15"/>
  <c r="AJ289" i="15"/>
  <c r="AB289" i="15"/>
  <c r="X289" i="15"/>
  <c r="O289" i="15"/>
  <c r="K289" i="15"/>
  <c r="AC289" i="15"/>
  <c r="E288" i="15"/>
  <c r="E287" i="16"/>
  <c r="AB288" i="16"/>
  <c r="L288" i="16"/>
  <c r="D288" i="16" s="1"/>
  <c r="K288" i="16"/>
  <c r="AK288" i="16"/>
  <c r="O288" i="16"/>
  <c r="A289" i="16"/>
  <c r="X288" i="16"/>
  <c r="AJ288" i="16"/>
  <c r="AC288" i="16"/>
  <c r="A284" i="24"/>
  <c r="X283" i="24"/>
  <c r="L283" i="24"/>
  <c r="AB283" i="24"/>
  <c r="K283" i="24"/>
  <c r="AJ283" i="24"/>
  <c r="AK283" i="24"/>
  <c r="O283" i="24"/>
  <c r="AC283" i="24"/>
  <c r="AB285" i="22"/>
  <c r="A286" i="22"/>
  <c r="L285" i="22"/>
  <c r="K285" i="22"/>
  <c r="X285" i="22"/>
  <c r="AJ285" i="22"/>
  <c r="AK285" i="22"/>
  <c r="O285" i="22"/>
  <c r="AC285" i="22"/>
  <c r="K284" i="23"/>
  <c r="X284" i="23"/>
  <c r="AB284" i="23"/>
  <c r="A285" i="23"/>
  <c r="L284" i="23"/>
  <c r="AK284" i="23"/>
  <c r="AJ284" i="23"/>
  <c r="O284" i="23"/>
  <c r="AC284" i="23"/>
  <c r="D289" i="1"/>
  <c r="E289" i="1" s="1"/>
  <c r="S288" i="1"/>
  <c r="R288" i="1" s="1"/>
  <c r="P288" i="1" s="1"/>
  <c r="AB286" i="20"/>
  <c r="L286" i="20"/>
  <c r="K286" i="20"/>
  <c r="A287" i="20"/>
  <c r="X286" i="20"/>
  <c r="AK286" i="20"/>
  <c r="AJ286" i="20"/>
  <c r="O286" i="20"/>
  <c r="AC286" i="20"/>
  <c r="A288" i="18"/>
  <c r="AB287" i="18"/>
  <c r="L287" i="18"/>
  <c r="K287" i="18"/>
  <c r="X287" i="18"/>
  <c r="AJ287" i="18"/>
  <c r="AK287" i="18"/>
  <c r="O287" i="18"/>
  <c r="AC287" i="18"/>
  <c r="S289" i="1"/>
  <c r="R289" i="1" s="1"/>
  <c r="P289" i="1" s="1"/>
  <c r="V289" i="1" s="1"/>
  <c r="A291" i="1"/>
  <c r="AJ290" i="1"/>
  <c r="AC290" i="1"/>
  <c r="X290" i="1"/>
  <c r="L290" i="1"/>
  <c r="AK290" i="1"/>
  <c r="O290" i="1"/>
  <c r="K290" i="1"/>
  <c r="AB290" i="1"/>
  <c r="Q290" i="1"/>
  <c r="U290" i="1"/>
  <c r="T290" i="1" s="1"/>
  <c r="AB288" i="17"/>
  <c r="X288" i="17"/>
  <c r="L288" i="17"/>
  <c r="A289" i="17"/>
  <c r="K288" i="17"/>
  <c r="AJ288" i="17"/>
  <c r="O288" i="17"/>
  <c r="AK288" i="17"/>
  <c r="AC288" i="17"/>
  <c r="A283" i="25"/>
  <c r="X282" i="25"/>
  <c r="K282" i="25"/>
  <c r="AB282" i="25"/>
  <c r="L282" i="25"/>
  <c r="AJ282" i="25"/>
  <c r="O282" i="25"/>
  <c r="AK282" i="25"/>
  <c r="AC282" i="25"/>
  <c r="L290" i="15" l="1"/>
  <c r="D290" i="15" s="1"/>
  <c r="AK290" i="15"/>
  <c r="X290" i="15"/>
  <c r="AB290" i="15"/>
  <c r="AC290" i="15"/>
  <c r="K290" i="15"/>
  <c r="O290" i="15"/>
  <c r="A291" i="15"/>
  <c r="AJ290" i="15"/>
  <c r="E289" i="15"/>
  <c r="E288" i="16"/>
  <c r="AB289" i="16"/>
  <c r="L289" i="16"/>
  <c r="D289" i="16" s="1"/>
  <c r="A290" i="16"/>
  <c r="AK289" i="16"/>
  <c r="O289" i="16"/>
  <c r="K289" i="16"/>
  <c r="X289" i="16"/>
  <c r="AJ289" i="16"/>
  <c r="AC289" i="16"/>
  <c r="V288" i="1"/>
  <c r="F288" i="1" s="1"/>
  <c r="A284" i="25"/>
  <c r="L283" i="25"/>
  <c r="AB283" i="25"/>
  <c r="X283" i="25"/>
  <c r="K283" i="25"/>
  <c r="AJ283" i="25"/>
  <c r="O283" i="25"/>
  <c r="AK283" i="25"/>
  <c r="AC283" i="25"/>
  <c r="K289" i="17"/>
  <c r="L289" i="17"/>
  <c r="AB289" i="17"/>
  <c r="X289" i="17"/>
  <c r="A290" i="17"/>
  <c r="AK289" i="17"/>
  <c r="AJ289" i="17"/>
  <c r="O289" i="17"/>
  <c r="AC289" i="17"/>
  <c r="S290" i="1"/>
  <c r="R290" i="1" s="1"/>
  <c r="P290" i="1" s="1"/>
  <c r="V290" i="1" s="1"/>
  <c r="D290" i="1"/>
  <c r="E290" i="1" s="1"/>
  <c r="A292" i="1"/>
  <c r="K291" i="1"/>
  <c r="AK291" i="1"/>
  <c r="AC291" i="1"/>
  <c r="L291" i="1"/>
  <c r="AB291" i="1"/>
  <c r="Q291" i="1"/>
  <c r="O291" i="1"/>
  <c r="AJ291" i="1"/>
  <c r="X291" i="1"/>
  <c r="U291" i="1"/>
  <c r="T291" i="1" s="1"/>
  <c r="A289" i="18"/>
  <c r="AB288" i="18"/>
  <c r="AJ288" i="18"/>
  <c r="X288" i="18"/>
  <c r="L288" i="18"/>
  <c r="K288" i="18"/>
  <c r="O288" i="18"/>
  <c r="AK288" i="18"/>
  <c r="AC288" i="18"/>
  <c r="A288" i="20"/>
  <c r="K287" i="20"/>
  <c r="X287" i="20"/>
  <c r="L287" i="20"/>
  <c r="AB287" i="20"/>
  <c r="AJ287" i="20"/>
  <c r="AK287" i="20"/>
  <c r="O287" i="20"/>
  <c r="AC287" i="20"/>
  <c r="K286" i="22"/>
  <c r="A287" i="22"/>
  <c r="AB286" i="22"/>
  <c r="X286" i="22"/>
  <c r="L286" i="22"/>
  <c r="AJ286" i="22"/>
  <c r="AK286" i="22"/>
  <c r="O286" i="22"/>
  <c r="AC286" i="22"/>
  <c r="F289" i="1"/>
  <c r="A286" i="23"/>
  <c r="AB285" i="23"/>
  <c r="X285" i="23"/>
  <c r="L285" i="23"/>
  <c r="K285" i="23"/>
  <c r="AJ285" i="23"/>
  <c r="AK285" i="23"/>
  <c r="O285" i="23"/>
  <c r="AC285" i="23"/>
  <c r="AB284" i="24"/>
  <c r="L284" i="24"/>
  <c r="A285" i="24"/>
  <c r="K284" i="24"/>
  <c r="X284" i="24"/>
  <c r="AJ284" i="24"/>
  <c r="AK284" i="24"/>
  <c r="O284" i="24"/>
  <c r="AC284" i="24"/>
  <c r="E290" i="15" l="1"/>
  <c r="AB291" i="15"/>
  <c r="AJ291" i="15"/>
  <c r="L291" i="15"/>
  <c r="D291" i="15" s="1"/>
  <c r="X291" i="15"/>
  <c r="AC291" i="15"/>
  <c r="A292" i="15"/>
  <c r="O291" i="15"/>
  <c r="E291" i="15" s="1"/>
  <c r="K291" i="15"/>
  <c r="AK291" i="15"/>
  <c r="E289" i="16"/>
  <c r="K290" i="16"/>
  <c r="L290" i="16"/>
  <c r="D290" i="16" s="1"/>
  <c r="AJ290" i="16"/>
  <c r="AC290" i="16"/>
  <c r="X290" i="16"/>
  <c r="A291" i="16"/>
  <c r="AB290" i="16"/>
  <c r="AK290" i="16"/>
  <c r="O290" i="16"/>
  <c r="X285" i="24"/>
  <c r="K285" i="24"/>
  <c r="AB285" i="24"/>
  <c r="A286" i="24"/>
  <c r="L285" i="24"/>
  <c r="AJ285" i="24"/>
  <c r="AK285" i="24"/>
  <c r="O285" i="24"/>
  <c r="AC285" i="24"/>
  <c r="A287" i="23"/>
  <c r="AB286" i="23"/>
  <c r="K286" i="23"/>
  <c r="L286" i="23"/>
  <c r="X286" i="23"/>
  <c r="AJ286" i="23"/>
  <c r="AK286" i="23"/>
  <c r="O286" i="23"/>
  <c r="AC286" i="23"/>
  <c r="AB287" i="22"/>
  <c r="K287" i="22"/>
  <c r="L287" i="22"/>
  <c r="A288" i="22"/>
  <c r="X287" i="22"/>
  <c r="AK287" i="22"/>
  <c r="AJ287" i="22"/>
  <c r="O287" i="22"/>
  <c r="AC287" i="22"/>
  <c r="K288" i="20"/>
  <c r="X288" i="20"/>
  <c r="L288" i="20"/>
  <c r="AB288" i="20"/>
  <c r="A289" i="20"/>
  <c r="AJ288" i="20"/>
  <c r="AK288" i="20"/>
  <c r="O288" i="20"/>
  <c r="AC288" i="20"/>
  <c r="S291" i="1"/>
  <c r="R291" i="1" s="1"/>
  <c r="P291" i="1" s="1"/>
  <c r="V291" i="1" s="1"/>
  <c r="D291" i="1"/>
  <c r="K292" i="1"/>
  <c r="O292" i="1"/>
  <c r="L292" i="1"/>
  <c r="AB292" i="1"/>
  <c r="AC292" i="1"/>
  <c r="AJ292" i="1"/>
  <c r="Q292" i="1"/>
  <c r="A293" i="1"/>
  <c r="X292" i="1"/>
  <c r="AK292" i="1"/>
  <c r="U292" i="1"/>
  <c r="K290" i="17"/>
  <c r="L290" i="17"/>
  <c r="AB290" i="17"/>
  <c r="A291" i="17"/>
  <c r="X290" i="17"/>
  <c r="AJ290" i="17"/>
  <c r="O290" i="17"/>
  <c r="AK290" i="17"/>
  <c r="AC290" i="17"/>
  <c r="A285" i="25"/>
  <c r="K284" i="25"/>
  <c r="AB284" i="25"/>
  <c r="X284" i="25"/>
  <c r="L284" i="25"/>
  <c r="AK284" i="25"/>
  <c r="AJ284" i="25"/>
  <c r="O284" i="25"/>
  <c r="AC284" i="25"/>
  <c r="G289" i="1"/>
  <c r="BW289" i="6" s="1"/>
  <c r="AA289" i="1"/>
  <c r="Z289" i="1" s="1"/>
  <c r="Y289" i="1" s="1"/>
  <c r="I289" i="1"/>
  <c r="X289" i="18"/>
  <c r="AJ289" i="18"/>
  <c r="L289" i="18"/>
  <c r="AB289" i="18"/>
  <c r="K289" i="18"/>
  <c r="A290" i="18"/>
  <c r="O289" i="18"/>
  <c r="AK289" i="18"/>
  <c r="AC289" i="18"/>
  <c r="E291" i="1"/>
  <c r="F290" i="1"/>
  <c r="I288" i="1"/>
  <c r="G288" i="1"/>
  <c r="BW288" i="6" s="1"/>
  <c r="AA288" i="1"/>
  <c r="Z288" i="1" s="1"/>
  <c r="Y288" i="1" s="1"/>
  <c r="A293" i="15" l="1"/>
  <c r="AJ292" i="15"/>
  <c r="K292" i="15"/>
  <c r="AK292" i="15"/>
  <c r="X292" i="15"/>
  <c r="L292" i="15"/>
  <c r="D292" i="15" s="1"/>
  <c r="AC292" i="15"/>
  <c r="AB292" i="15"/>
  <c r="O292" i="15"/>
  <c r="E290" i="16"/>
  <c r="F291" i="1"/>
  <c r="AA291" i="1" s="1"/>
  <c r="Z291" i="1" s="1"/>
  <c r="Y291" i="1" s="1"/>
  <c r="L291" i="16"/>
  <c r="D291" i="16" s="1"/>
  <c r="A292" i="16"/>
  <c r="AB291" i="16"/>
  <c r="AJ291" i="16"/>
  <c r="O291" i="16"/>
  <c r="K291" i="16"/>
  <c r="X291" i="16"/>
  <c r="AK291" i="16"/>
  <c r="AC291" i="16"/>
  <c r="K290" i="18"/>
  <c r="X290" i="18"/>
  <c r="AB290" i="18"/>
  <c r="L290" i="18"/>
  <c r="A291" i="18"/>
  <c r="AJ290" i="18"/>
  <c r="AK290" i="18"/>
  <c r="O290" i="18"/>
  <c r="AC290" i="18"/>
  <c r="I290" i="1"/>
  <c r="AA290" i="1"/>
  <c r="Z290" i="1" s="1"/>
  <c r="Y290" i="1" s="1"/>
  <c r="G290" i="1"/>
  <c r="BW290" i="6" s="1"/>
  <c r="A286" i="25"/>
  <c r="AB285" i="25"/>
  <c r="L285" i="25"/>
  <c r="K285" i="25"/>
  <c r="X285" i="25"/>
  <c r="AJ285" i="25"/>
  <c r="O285" i="25"/>
  <c r="AK285" i="25"/>
  <c r="AC285" i="25"/>
  <c r="A292" i="17"/>
  <c r="L291" i="17"/>
  <c r="X291" i="17"/>
  <c r="K291" i="17"/>
  <c r="AB291" i="17"/>
  <c r="AJ291" i="17"/>
  <c r="O291" i="17"/>
  <c r="AK291" i="17"/>
  <c r="AC291" i="17"/>
  <c r="T292" i="1"/>
  <c r="D292" i="1"/>
  <c r="E292" i="1" s="1"/>
  <c r="X287" i="23"/>
  <c r="L287" i="23"/>
  <c r="AB287" i="23"/>
  <c r="K287" i="23"/>
  <c r="A288" i="23"/>
  <c r="AJ287" i="23"/>
  <c r="AK287" i="23"/>
  <c r="O287" i="23"/>
  <c r="AC287" i="23"/>
  <c r="AB286" i="24"/>
  <c r="L286" i="24"/>
  <c r="A287" i="24"/>
  <c r="K286" i="24"/>
  <c r="X286" i="24"/>
  <c r="AJ286" i="24"/>
  <c r="AK286" i="24"/>
  <c r="O286" i="24"/>
  <c r="AC286" i="24"/>
  <c r="AK293" i="1"/>
  <c r="AC293" i="1"/>
  <c r="O293" i="1"/>
  <c r="X293" i="1"/>
  <c r="K293" i="1"/>
  <c r="L293" i="1"/>
  <c r="AJ293" i="1"/>
  <c r="A294" i="1"/>
  <c r="AB293" i="1"/>
  <c r="Q293" i="1"/>
  <c r="U293" i="1"/>
  <c r="T293" i="1" s="1"/>
  <c r="S293" i="1" s="1"/>
  <c r="R293" i="1" s="1"/>
  <c r="A290" i="20"/>
  <c r="AB289" i="20"/>
  <c r="X289" i="20"/>
  <c r="L289" i="20"/>
  <c r="K289" i="20"/>
  <c r="AK289" i="20"/>
  <c r="AJ289" i="20"/>
  <c r="O289" i="20"/>
  <c r="AC289" i="20"/>
  <c r="X288" i="22"/>
  <c r="A289" i="22"/>
  <c r="K288" i="22"/>
  <c r="AB288" i="22"/>
  <c r="L288" i="22"/>
  <c r="AK288" i="22"/>
  <c r="AJ288" i="22"/>
  <c r="O288" i="22"/>
  <c r="AC288" i="22"/>
  <c r="G291" i="1" l="1"/>
  <c r="BW291" i="6" s="1"/>
  <c r="K293" i="15"/>
  <c r="O293" i="15"/>
  <c r="AB293" i="15"/>
  <c r="AK293" i="15"/>
  <c r="L293" i="15"/>
  <c r="D293" i="15" s="1"/>
  <c r="AJ293" i="15"/>
  <c r="A294" i="15"/>
  <c r="X293" i="15"/>
  <c r="AC293" i="15"/>
  <c r="I291" i="1"/>
  <c r="E292" i="15"/>
  <c r="A293" i="16"/>
  <c r="X292" i="16"/>
  <c r="L292" i="16"/>
  <c r="D292" i="16" s="1"/>
  <c r="AK292" i="16"/>
  <c r="O292" i="16"/>
  <c r="AB292" i="16"/>
  <c r="K292" i="16"/>
  <c r="AJ292" i="16"/>
  <c r="AC292" i="16"/>
  <c r="P293" i="1"/>
  <c r="E291" i="16"/>
  <c r="X289" i="22"/>
  <c r="K289" i="22"/>
  <c r="A290" i="22"/>
  <c r="L289" i="22"/>
  <c r="AB289" i="22"/>
  <c r="AK289" i="22"/>
  <c r="AJ289" i="22"/>
  <c r="O289" i="22"/>
  <c r="AC289" i="22"/>
  <c r="X290" i="20"/>
  <c r="AB290" i="20"/>
  <c r="L290" i="20"/>
  <c r="A291" i="20"/>
  <c r="K290" i="20"/>
  <c r="AJ290" i="20"/>
  <c r="AK290" i="20"/>
  <c r="O290" i="20"/>
  <c r="AC290" i="20"/>
  <c r="K294" i="1"/>
  <c r="L294" i="1"/>
  <c r="AB294" i="1"/>
  <c r="A295" i="1"/>
  <c r="X294" i="1"/>
  <c r="AC294" i="1"/>
  <c r="AK294" i="1"/>
  <c r="O294" i="1"/>
  <c r="AJ294" i="1"/>
  <c r="Q294" i="1"/>
  <c r="U294" i="1"/>
  <c r="T294" i="1" s="1"/>
  <c r="D293" i="1"/>
  <c r="V293" i="1"/>
  <c r="A289" i="23"/>
  <c r="X288" i="23"/>
  <c r="L288" i="23"/>
  <c r="AB288" i="23"/>
  <c r="K288" i="23"/>
  <c r="AJ288" i="23"/>
  <c r="AK288" i="23"/>
  <c r="O288" i="23"/>
  <c r="AC288" i="23"/>
  <c r="K292" i="17"/>
  <c r="AB292" i="17"/>
  <c r="A293" i="17"/>
  <c r="L292" i="17"/>
  <c r="X292" i="17"/>
  <c r="AK292" i="17"/>
  <c r="AJ292" i="17"/>
  <c r="O292" i="17"/>
  <c r="AC292" i="17"/>
  <c r="E293" i="1"/>
  <c r="AB287" i="24"/>
  <c r="A288" i="24"/>
  <c r="L287" i="24"/>
  <c r="K287" i="24"/>
  <c r="X287" i="24"/>
  <c r="AJ287" i="24"/>
  <c r="AK287" i="24"/>
  <c r="O287" i="24"/>
  <c r="AC287" i="24"/>
  <c r="S292" i="1"/>
  <c r="R292" i="1" s="1"/>
  <c r="P292" i="1" s="1"/>
  <c r="V292" i="1" s="1"/>
  <c r="A287" i="25"/>
  <c r="L286" i="25"/>
  <c r="AB286" i="25"/>
  <c r="X286" i="25"/>
  <c r="K286" i="25"/>
  <c r="AJ286" i="25"/>
  <c r="O286" i="25"/>
  <c r="AK286" i="25"/>
  <c r="AC286" i="25"/>
  <c r="L291" i="18"/>
  <c r="X291" i="18"/>
  <c r="AJ291" i="18"/>
  <c r="K291" i="18"/>
  <c r="AB291" i="18"/>
  <c r="A292" i="18"/>
  <c r="O291" i="18"/>
  <c r="AK291" i="18"/>
  <c r="AC291" i="18"/>
  <c r="A295" i="15" l="1"/>
  <c r="AC294" i="15"/>
  <c r="L294" i="15"/>
  <c r="D294" i="15" s="1"/>
  <c r="AK294" i="15"/>
  <c r="X294" i="15"/>
  <c r="AJ294" i="15"/>
  <c r="AB294" i="15"/>
  <c r="K294" i="15"/>
  <c r="O294" i="15"/>
  <c r="E293" i="15"/>
  <c r="F292" i="1"/>
  <c r="G292" i="1" s="1"/>
  <c r="BW292" i="6" s="1"/>
  <c r="E292" i="16"/>
  <c r="AB293" i="16"/>
  <c r="A294" i="16"/>
  <c r="X293" i="16"/>
  <c r="AK293" i="16"/>
  <c r="O293" i="16"/>
  <c r="L293" i="16"/>
  <c r="D293" i="16" s="1"/>
  <c r="K293" i="16"/>
  <c r="AJ293" i="16"/>
  <c r="AC293" i="16"/>
  <c r="A293" i="18"/>
  <c r="AB292" i="18"/>
  <c r="AJ292" i="18"/>
  <c r="X292" i="18"/>
  <c r="L292" i="18"/>
  <c r="K292" i="18"/>
  <c r="O292" i="18"/>
  <c r="AK292" i="18"/>
  <c r="AC292" i="18"/>
  <c r="K287" i="25"/>
  <c r="A288" i="25"/>
  <c r="AB287" i="25"/>
  <c r="X287" i="25"/>
  <c r="L287" i="25"/>
  <c r="AJ287" i="25"/>
  <c r="O287" i="25"/>
  <c r="AK287" i="25"/>
  <c r="AC287" i="25"/>
  <c r="AB288" i="24"/>
  <c r="X288" i="24"/>
  <c r="L288" i="24"/>
  <c r="A289" i="24"/>
  <c r="K288" i="24"/>
  <c r="AK288" i="24"/>
  <c r="O288" i="24"/>
  <c r="AJ288" i="24"/>
  <c r="AC288" i="24"/>
  <c r="A294" i="17"/>
  <c r="AB293" i="17"/>
  <c r="X293" i="17"/>
  <c r="K293" i="17"/>
  <c r="L293" i="17"/>
  <c r="AJ293" i="17"/>
  <c r="O293" i="17"/>
  <c r="AK293" i="17"/>
  <c r="AC293" i="17"/>
  <c r="A290" i="23"/>
  <c r="X289" i="23"/>
  <c r="L289" i="23"/>
  <c r="AB289" i="23"/>
  <c r="K289" i="23"/>
  <c r="AJ289" i="23"/>
  <c r="AK289" i="23"/>
  <c r="O289" i="23"/>
  <c r="AC289" i="23"/>
  <c r="F293" i="1"/>
  <c r="S294" i="1"/>
  <c r="R294" i="1" s="1"/>
  <c r="P294" i="1" s="1"/>
  <c r="V294" i="1" s="1"/>
  <c r="X291" i="20"/>
  <c r="L291" i="20"/>
  <c r="K291" i="20"/>
  <c r="AB291" i="20"/>
  <c r="A292" i="20"/>
  <c r="AJ291" i="20"/>
  <c r="AK291" i="20"/>
  <c r="O291" i="20"/>
  <c r="AC291" i="20"/>
  <c r="A291" i="22"/>
  <c r="K290" i="22"/>
  <c r="AB290" i="22"/>
  <c r="X290" i="22"/>
  <c r="L290" i="22"/>
  <c r="AJ290" i="22"/>
  <c r="AK290" i="22"/>
  <c r="O290" i="22"/>
  <c r="AC290" i="22"/>
  <c r="X295" i="1"/>
  <c r="AC295" i="1"/>
  <c r="Q295" i="1"/>
  <c r="AJ295" i="1"/>
  <c r="AK295" i="1"/>
  <c r="L295" i="1"/>
  <c r="K295" i="1"/>
  <c r="AB295" i="1"/>
  <c r="O295" i="1"/>
  <c r="A296" i="1"/>
  <c r="U295" i="1"/>
  <c r="T295" i="1" s="1"/>
  <c r="D294" i="1"/>
  <c r="E294" i="1" s="1"/>
  <c r="AA292" i="1" l="1"/>
  <c r="Z292" i="1" s="1"/>
  <c r="Y292" i="1" s="1"/>
  <c r="E294" i="15"/>
  <c r="X295" i="15"/>
  <c r="O295" i="15"/>
  <c r="A296" i="15"/>
  <c r="AK295" i="15"/>
  <c r="K295" i="15"/>
  <c r="AJ295" i="15"/>
  <c r="AB295" i="15"/>
  <c r="L295" i="15"/>
  <c r="D295" i="15" s="1"/>
  <c r="AC295" i="15"/>
  <c r="F294" i="1"/>
  <c r="G294" i="1" s="1"/>
  <c r="BW294" i="6" s="1"/>
  <c r="I292" i="1"/>
  <c r="E293" i="16"/>
  <c r="A295" i="16"/>
  <c r="K294" i="16"/>
  <c r="X294" i="16"/>
  <c r="AK294" i="16"/>
  <c r="O294" i="16"/>
  <c r="AB294" i="16"/>
  <c r="L294" i="16"/>
  <c r="D294" i="16" s="1"/>
  <c r="AJ294" i="16"/>
  <c r="AC294" i="16"/>
  <c r="A293" i="20"/>
  <c r="X292" i="20"/>
  <c r="AB292" i="20"/>
  <c r="L292" i="20"/>
  <c r="K292" i="20"/>
  <c r="AJ292" i="20"/>
  <c r="AK292" i="20"/>
  <c r="O292" i="20"/>
  <c r="AC292" i="20"/>
  <c r="X290" i="23"/>
  <c r="L290" i="23"/>
  <c r="A291" i="23"/>
  <c r="AB290" i="23"/>
  <c r="K290" i="23"/>
  <c r="AK290" i="23"/>
  <c r="AJ290" i="23"/>
  <c r="O290" i="23"/>
  <c r="AC290" i="23"/>
  <c r="AB294" i="17"/>
  <c r="L294" i="17"/>
  <c r="K294" i="17"/>
  <c r="X294" i="17"/>
  <c r="A295" i="17"/>
  <c r="AJ294" i="17"/>
  <c r="AK294" i="17"/>
  <c r="O294" i="17"/>
  <c r="AC294" i="17"/>
  <c r="X289" i="24"/>
  <c r="A290" i="24"/>
  <c r="L289" i="24"/>
  <c r="AB289" i="24"/>
  <c r="K289" i="24"/>
  <c r="AJ289" i="24"/>
  <c r="AK289" i="24"/>
  <c r="O289" i="24"/>
  <c r="AC289" i="24"/>
  <c r="X288" i="25"/>
  <c r="A289" i="25"/>
  <c r="L288" i="25"/>
  <c r="AB288" i="25"/>
  <c r="K288" i="25"/>
  <c r="AJ288" i="25"/>
  <c r="O288" i="25"/>
  <c r="AK288" i="25"/>
  <c r="AC288" i="25"/>
  <c r="K293" i="18"/>
  <c r="X293" i="18"/>
  <c r="AB293" i="18"/>
  <c r="L293" i="18"/>
  <c r="A294" i="18"/>
  <c r="AJ293" i="18"/>
  <c r="O293" i="18"/>
  <c r="AK293" i="18"/>
  <c r="AC293" i="18"/>
  <c r="S295" i="1"/>
  <c r="R295" i="1" s="1"/>
  <c r="P295" i="1" s="1"/>
  <c r="V295" i="1" s="1"/>
  <c r="A297" i="1"/>
  <c r="X296" i="1"/>
  <c r="AJ296" i="1"/>
  <c r="Q296" i="1"/>
  <c r="AC296" i="1"/>
  <c r="AB296" i="1"/>
  <c r="L296" i="1"/>
  <c r="AK296" i="1"/>
  <c r="K296" i="1"/>
  <c r="O296" i="1"/>
  <c r="U296" i="1"/>
  <c r="T296" i="1" s="1"/>
  <c r="D295" i="1"/>
  <c r="E295" i="1" s="1"/>
  <c r="X291" i="22"/>
  <c r="AB291" i="22"/>
  <c r="K291" i="22"/>
  <c r="A292" i="22"/>
  <c r="L291" i="22"/>
  <c r="AJ291" i="22"/>
  <c r="AK291" i="22"/>
  <c r="O291" i="22"/>
  <c r="AC291" i="22"/>
  <c r="AA293" i="1"/>
  <c r="Z293" i="1" s="1"/>
  <c r="Y293" i="1" s="1"/>
  <c r="I293" i="1"/>
  <c r="G293" i="1"/>
  <c r="BW293" i="6" s="1"/>
  <c r="I294" i="1" l="1"/>
  <c r="E295" i="15"/>
  <c r="E294" i="16"/>
  <c r="AA294" i="1"/>
  <c r="Z294" i="1" s="1"/>
  <c r="Y294" i="1" s="1"/>
  <c r="A297" i="15"/>
  <c r="AK296" i="15"/>
  <c r="AC296" i="15"/>
  <c r="L296" i="15"/>
  <c r="D296" i="15" s="1"/>
  <c r="K296" i="15"/>
  <c r="AB296" i="15"/>
  <c r="O296" i="15"/>
  <c r="X296" i="15"/>
  <c r="AJ296" i="15"/>
  <c r="A296" i="16"/>
  <c r="X295" i="16"/>
  <c r="AK295" i="16"/>
  <c r="AC295" i="16"/>
  <c r="AB295" i="16"/>
  <c r="L295" i="16"/>
  <c r="D295" i="16" s="1"/>
  <c r="K295" i="16"/>
  <c r="AJ295" i="16"/>
  <c r="O295" i="16"/>
  <c r="F295" i="1"/>
  <c r="X294" i="18"/>
  <c r="AJ294" i="18"/>
  <c r="A295" i="18"/>
  <c r="AB294" i="18"/>
  <c r="K294" i="18"/>
  <c r="L294" i="18"/>
  <c r="AK294" i="18"/>
  <c r="O294" i="18"/>
  <c r="AC294" i="18"/>
  <c r="AB289" i="25"/>
  <c r="K289" i="25"/>
  <c r="A290" i="25"/>
  <c r="X289" i="25"/>
  <c r="L289" i="25"/>
  <c r="AJ289" i="25"/>
  <c r="AK289" i="25"/>
  <c r="O289" i="25"/>
  <c r="AC289" i="25"/>
  <c r="AB293" i="20"/>
  <c r="L293" i="20"/>
  <c r="X293" i="20"/>
  <c r="K293" i="20"/>
  <c r="A294" i="20"/>
  <c r="AJ293" i="20"/>
  <c r="AK293" i="20"/>
  <c r="O293" i="20"/>
  <c r="AC293" i="20"/>
  <c r="K292" i="22"/>
  <c r="X292" i="22"/>
  <c r="A293" i="22"/>
  <c r="AB292" i="22"/>
  <c r="L292" i="22"/>
  <c r="AJ292" i="22"/>
  <c r="AK292" i="22"/>
  <c r="O292" i="22"/>
  <c r="AC292" i="22"/>
  <c r="S296" i="1"/>
  <c r="R296" i="1" s="1"/>
  <c r="P296" i="1" s="1"/>
  <c r="V296" i="1" s="1"/>
  <c r="D296" i="1"/>
  <c r="E296" i="1" s="1"/>
  <c r="Q297" i="1"/>
  <c r="K297" i="1"/>
  <c r="A298" i="1"/>
  <c r="AB297" i="1"/>
  <c r="AJ297" i="1"/>
  <c r="AK297" i="1"/>
  <c r="L297" i="1"/>
  <c r="O297" i="1"/>
  <c r="AC297" i="1"/>
  <c r="X297" i="1"/>
  <c r="U297" i="1"/>
  <c r="T297" i="1" s="1"/>
  <c r="S297" i="1" s="1"/>
  <c r="R297" i="1" s="1"/>
  <c r="P297" i="1" s="1"/>
  <c r="A291" i="24"/>
  <c r="K290" i="24"/>
  <c r="X290" i="24"/>
  <c r="L290" i="24"/>
  <c r="AB290" i="24"/>
  <c r="AJ290" i="24"/>
  <c r="AK290" i="24"/>
  <c r="O290" i="24"/>
  <c r="AC290" i="24"/>
  <c r="AB295" i="17"/>
  <c r="K295" i="17"/>
  <c r="L295" i="17"/>
  <c r="A296" i="17"/>
  <c r="X295" i="17"/>
  <c r="AK295" i="17"/>
  <c r="AJ295" i="17"/>
  <c r="O295" i="17"/>
  <c r="AC295" i="17"/>
  <c r="A292" i="23"/>
  <c r="AB291" i="23"/>
  <c r="L291" i="23"/>
  <c r="K291" i="23"/>
  <c r="X291" i="23"/>
  <c r="AJ291" i="23"/>
  <c r="AK291" i="23"/>
  <c r="O291" i="23"/>
  <c r="AC291" i="23"/>
  <c r="X297" i="15" l="1"/>
  <c r="AJ297" i="15"/>
  <c r="A298" i="15"/>
  <c r="K297" i="15"/>
  <c r="AC297" i="15"/>
  <c r="AB297" i="15"/>
  <c r="O297" i="15"/>
  <c r="L297" i="15"/>
  <c r="D297" i="15" s="1"/>
  <c r="AK297" i="15"/>
  <c r="E296" i="15"/>
  <c r="K296" i="16"/>
  <c r="AB296" i="16"/>
  <c r="AJ296" i="16"/>
  <c r="AC296" i="16"/>
  <c r="L296" i="16"/>
  <c r="D296" i="16" s="1"/>
  <c r="X296" i="16"/>
  <c r="A297" i="16"/>
  <c r="AK296" i="16"/>
  <c r="O296" i="16"/>
  <c r="F296" i="1"/>
  <c r="I296" i="1" s="1"/>
  <c r="E295" i="16"/>
  <c r="D297" i="1"/>
  <c r="E297" i="1" s="1"/>
  <c r="V297" i="1"/>
  <c r="A299" i="1"/>
  <c r="AJ298" i="1"/>
  <c r="O298" i="1"/>
  <c r="X298" i="1"/>
  <c r="K298" i="1"/>
  <c r="L298" i="1"/>
  <c r="AB298" i="1"/>
  <c r="AC298" i="1"/>
  <c r="Q298" i="1"/>
  <c r="AK298" i="1"/>
  <c r="U298" i="1"/>
  <c r="T298" i="1" s="1"/>
  <c r="AB293" i="22"/>
  <c r="L293" i="22"/>
  <c r="X293" i="22"/>
  <c r="K293" i="22"/>
  <c r="A294" i="22"/>
  <c r="AJ293" i="22"/>
  <c r="AK293" i="22"/>
  <c r="O293" i="22"/>
  <c r="AC293" i="22"/>
  <c r="X290" i="25"/>
  <c r="AB290" i="25"/>
  <c r="K290" i="25"/>
  <c r="L290" i="25"/>
  <c r="A291" i="25"/>
  <c r="AK290" i="25"/>
  <c r="AJ290" i="25"/>
  <c r="O290" i="25"/>
  <c r="AC290" i="25"/>
  <c r="AB292" i="23"/>
  <c r="L292" i="23"/>
  <c r="A293" i="23"/>
  <c r="X292" i="23"/>
  <c r="K292" i="23"/>
  <c r="AJ292" i="23"/>
  <c r="AK292" i="23"/>
  <c r="O292" i="23"/>
  <c r="AC292" i="23"/>
  <c r="X296" i="17"/>
  <c r="A297" i="17"/>
  <c r="L296" i="17"/>
  <c r="K296" i="17"/>
  <c r="AB296" i="17"/>
  <c r="AJ296" i="17"/>
  <c r="O296" i="17"/>
  <c r="AK296" i="17"/>
  <c r="AC296" i="17"/>
  <c r="X291" i="24"/>
  <c r="K291" i="24"/>
  <c r="A292" i="24"/>
  <c r="AB291" i="24"/>
  <c r="L291" i="24"/>
  <c r="AK291" i="24"/>
  <c r="AJ291" i="24"/>
  <c r="O291" i="24"/>
  <c r="AC291" i="24"/>
  <c r="X294" i="20"/>
  <c r="L294" i="20"/>
  <c r="K294" i="20"/>
  <c r="AB294" i="20"/>
  <c r="A295" i="20"/>
  <c r="AJ294" i="20"/>
  <c r="AK294" i="20"/>
  <c r="O294" i="20"/>
  <c r="AC294" i="20"/>
  <c r="L295" i="18"/>
  <c r="K295" i="18"/>
  <c r="AJ295" i="18"/>
  <c r="A296" i="18"/>
  <c r="AB295" i="18"/>
  <c r="X295" i="18"/>
  <c r="O295" i="18"/>
  <c r="AK295" i="18"/>
  <c r="AC295" i="18"/>
  <c r="I295" i="1"/>
  <c r="G295" i="1"/>
  <c r="BW295" i="6" s="1"/>
  <c r="AA295" i="1"/>
  <c r="Z295" i="1" s="1"/>
  <c r="Y295" i="1" s="1"/>
  <c r="A299" i="15" l="1"/>
  <c r="X298" i="15"/>
  <c r="AC298" i="15"/>
  <c r="K298" i="15"/>
  <c r="O298" i="15"/>
  <c r="L298" i="15"/>
  <c r="D298" i="15" s="1"/>
  <c r="AJ298" i="15"/>
  <c r="AB298" i="15"/>
  <c r="AK298" i="15"/>
  <c r="E297" i="15"/>
  <c r="G296" i="1"/>
  <c r="BW296" i="6" s="1"/>
  <c r="AA296" i="1"/>
  <c r="Z296" i="1" s="1"/>
  <c r="Y296" i="1" s="1"/>
  <c r="X297" i="16"/>
  <c r="L297" i="16"/>
  <c r="D297" i="16" s="1"/>
  <c r="AB297" i="16"/>
  <c r="AK297" i="16"/>
  <c r="O297" i="16"/>
  <c r="A298" i="16"/>
  <c r="K297" i="16"/>
  <c r="AJ297" i="16"/>
  <c r="AC297" i="16"/>
  <c r="E296" i="16"/>
  <c r="F297" i="1"/>
  <c r="I297" i="1" s="1"/>
  <c r="X292" i="24"/>
  <c r="K292" i="24"/>
  <c r="AB292" i="24"/>
  <c r="A293" i="24"/>
  <c r="L292" i="24"/>
  <c r="AJ292" i="24"/>
  <c r="AK292" i="24"/>
  <c r="O292" i="24"/>
  <c r="AC292" i="24"/>
  <c r="AB297" i="17"/>
  <c r="L297" i="17"/>
  <c r="K297" i="17"/>
  <c r="A298" i="17"/>
  <c r="X297" i="17"/>
  <c r="AJ297" i="17"/>
  <c r="AK297" i="17"/>
  <c r="O297" i="17"/>
  <c r="AC297" i="17"/>
  <c r="L293" i="23"/>
  <c r="A294" i="23"/>
  <c r="K293" i="23"/>
  <c r="X293" i="23"/>
  <c r="AB293" i="23"/>
  <c r="AJ293" i="23"/>
  <c r="AK293" i="23"/>
  <c r="O293" i="23"/>
  <c r="AC293" i="23"/>
  <c r="A292" i="25"/>
  <c r="L291" i="25"/>
  <c r="AB291" i="25"/>
  <c r="K291" i="25"/>
  <c r="X291" i="25"/>
  <c r="AJ291" i="25"/>
  <c r="O291" i="25"/>
  <c r="AK291" i="25"/>
  <c r="AC291" i="25"/>
  <c r="S298" i="1"/>
  <c r="R298" i="1" s="1"/>
  <c r="P298" i="1" s="1"/>
  <c r="V298" i="1" s="1"/>
  <c r="AK299" i="1"/>
  <c r="A300" i="1"/>
  <c r="X299" i="1"/>
  <c r="AJ299" i="1"/>
  <c r="O299" i="1"/>
  <c r="Q299" i="1"/>
  <c r="K299" i="1"/>
  <c r="L299" i="1"/>
  <c r="AB299" i="1"/>
  <c r="AC299" i="1"/>
  <c r="U299" i="1"/>
  <c r="T299" i="1" s="1"/>
  <c r="X296" i="18"/>
  <c r="AJ296" i="18"/>
  <c r="A297" i="18"/>
  <c r="K296" i="18"/>
  <c r="AB296" i="18"/>
  <c r="L296" i="18"/>
  <c r="O296" i="18"/>
  <c r="AK296" i="18"/>
  <c r="AC296" i="18"/>
  <c r="AB295" i="20"/>
  <c r="K295" i="20"/>
  <c r="L295" i="20"/>
  <c r="A296" i="20"/>
  <c r="X295" i="20"/>
  <c r="AK295" i="20"/>
  <c r="AJ295" i="20"/>
  <c r="O295" i="20"/>
  <c r="AC295" i="20"/>
  <c r="A295" i="22"/>
  <c r="K294" i="22"/>
  <c r="L294" i="22"/>
  <c r="X294" i="22"/>
  <c r="AB294" i="22"/>
  <c r="AJ294" i="22"/>
  <c r="AK294" i="22"/>
  <c r="O294" i="22"/>
  <c r="AC294" i="22"/>
  <c r="D298" i="1"/>
  <c r="E298" i="1" s="1"/>
  <c r="AA297" i="1" l="1"/>
  <c r="Z297" i="1" s="1"/>
  <c r="Y297" i="1" s="1"/>
  <c r="AB299" i="15"/>
  <c r="AK299" i="15"/>
  <c r="K299" i="15"/>
  <c r="AJ299" i="15"/>
  <c r="A300" i="15"/>
  <c r="X299" i="15"/>
  <c r="AC299" i="15"/>
  <c r="L299" i="15"/>
  <c r="D299" i="15" s="1"/>
  <c r="O299" i="15"/>
  <c r="E298" i="15"/>
  <c r="G297" i="1"/>
  <c r="BW297" i="6" s="1"/>
  <c r="F298" i="1"/>
  <c r="G298" i="1" s="1"/>
  <c r="BW298" i="6" s="1"/>
  <c r="X298" i="16"/>
  <c r="AB298" i="16"/>
  <c r="K298" i="16"/>
  <c r="AJ298" i="16"/>
  <c r="O298" i="16"/>
  <c r="A299" i="16"/>
  <c r="L298" i="16"/>
  <c r="D298" i="16" s="1"/>
  <c r="AK298" i="16"/>
  <c r="AC298" i="16"/>
  <c r="E297" i="16"/>
  <c r="D299" i="1"/>
  <c r="E299" i="1" s="1"/>
  <c r="X300" i="1"/>
  <c r="A301" i="1"/>
  <c r="O300" i="1"/>
  <c r="AC300" i="1"/>
  <c r="AB300" i="1"/>
  <c r="L300" i="1"/>
  <c r="AJ300" i="1"/>
  <c r="Q300" i="1"/>
  <c r="AK300" i="1"/>
  <c r="K300" i="1"/>
  <c r="U300" i="1"/>
  <c r="T300" i="1" s="1"/>
  <c r="S300" i="1" s="1"/>
  <c r="R300" i="1" s="1"/>
  <c r="X294" i="23"/>
  <c r="K294" i="23"/>
  <c r="L294" i="23"/>
  <c r="AB294" i="23"/>
  <c r="A295" i="23"/>
  <c r="AJ294" i="23"/>
  <c r="AK294" i="23"/>
  <c r="O294" i="23"/>
  <c r="AC294" i="23"/>
  <c r="X293" i="24"/>
  <c r="L293" i="24"/>
  <c r="K293" i="24"/>
  <c r="A294" i="24"/>
  <c r="AB293" i="24"/>
  <c r="AJ293" i="24"/>
  <c r="AK293" i="24"/>
  <c r="O293" i="24"/>
  <c r="AC293" i="24"/>
  <c r="A296" i="22"/>
  <c r="AB295" i="22"/>
  <c r="L295" i="22"/>
  <c r="K295" i="22"/>
  <c r="X295" i="22"/>
  <c r="AK295" i="22"/>
  <c r="AJ295" i="22"/>
  <c r="O295" i="22"/>
  <c r="AC295" i="22"/>
  <c r="X296" i="20"/>
  <c r="K296" i="20"/>
  <c r="AB296" i="20"/>
  <c r="L296" i="20"/>
  <c r="A297" i="20"/>
  <c r="AJ296" i="20"/>
  <c r="AK296" i="20"/>
  <c r="O296" i="20"/>
  <c r="AC296" i="20"/>
  <c r="K297" i="18"/>
  <c r="AJ297" i="18"/>
  <c r="L297" i="18"/>
  <c r="X297" i="18"/>
  <c r="A298" i="18"/>
  <c r="AB297" i="18"/>
  <c r="AK297" i="18"/>
  <c r="O297" i="18"/>
  <c r="AC297" i="18"/>
  <c r="S299" i="1"/>
  <c r="R299" i="1" s="1"/>
  <c r="P299" i="1" s="1"/>
  <c r="V299" i="1" s="1"/>
  <c r="X292" i="25"/>
  <c r="A293" i="25"/>
  <c r="AB292" i="25"/>
  <c r="L292" i="25"/>
  <c r="K292" i="25"/>
  <c r="AJ292" i="25"/>
  <c r="AK292" i="25"/>
  <c r="O292" i="25"/>
  <c r="AC292" i="25"/>
  <c r="L298" i="17"/>
  <c r="A299" i="17"/>
  <c r="K298" i="17"/>
  <c r="AB298" i="17"/>
  <c r="X298" i="17"/>
  <c r="AJ298" i="17"/>
  <c r="O298" i="17"/>
  <c r="AK298" i="17"/>
  <c r="AC298" i="17"/>
  <c r="E298" i="16" l="1"/>
  <c r="E299" i="15"/>
  <c r="I298" i="1"/>
  <c r="A301" i="15"/>
  <c r="X300" i="15"/>
  <c r="AC300" i="15"/>
  <c r="AB300" i="15"/>
  <c r="O300" i="15"/>
  <c r="K300" i="15"/>
  <c r="AK300" i="15"/>
  <c r="L300" i="15"/>
  <c r="D300" i="15" s="1"/>
  <c r="AJ300" i="15"/>
  <c r="AA298" i="1"/>
  <c r="Z298" i="1" s="1"/>
  <c r="Y298" i="1" s="1"/>
  <c r="P300" i="1"/>
  <c r="V300" i="1" s="1"/>
  <c r="AB299" i="16"/>
  <c r="X299" i="16"/>
  <c r="AJ299" i="16"/>
  <c r="AC299" i="16"/>
  <c r="L299" i="16"/>
  <c r="D299" i="16" s="1"/>
  <c r="K299" i="16"/>
  <c r="A300" i="16"/>
  <c r="AK299" i="16"/>
  <c r="O299" i="16"/>
  <c r="AB298" i="18"/>
  <c r="A299" i="18"/>
  <c r="X298" i="18"/>
  <c r="L298" i="18"/>
  <c r="K298" i="18"/>
  <c r="AJ298" i="18"/>
  <c r="O298" i="18"/>
  <c r="AK298" i="18"/>
  <c r="AC298" i="18"/>
  <c r="F299" i="1"/>
  <c r="A294" i="25"/>
  <c r="AB293" i="25"/>
  <c r="X293" i="25"/>
  <c r="L293" i="25"/>
  <c r="K293" i="25"/>
  <c r="AJ293" i="25"/>
  <c r="O293" i="25"/>
  <c r="AK293" i="25"/>
  <c r="AC293" i="25"/>
  <c r="K299" i="17"/>
  <c r="X299" i="17"/>
  <c r="L299" i="17"/>
  <c r="AB299" i="17"/>
  <c r="A300" i="17"/>
  <c r="AJ299" i="17"/>
  <c r="O299" i="17"/>
  <c r="AK299" i="17"/>
  <c r="AC299" i="17"/>
  <c r="X297" i="20"/>
  <c r="A298" i="20"/>
  <c r="L297" i="20"/>
  <c r="K297" i="20"/>
  <c r="AB297" i="20"/>
  <c r="AJ297" i="20"/>
  <c r="AK297" i="20"/>
  <c r="O297" i="20"/>
  <c r="AC297" i="20"/>
  <c r="A297" i="22"/>
  <c r="L296" i="22"/>
  <c r="AB296" i="22"/>
  <c r="X296" i="22"/>
  <c r="K296" i="22"/>
  <c r="AK296" i="22"/>
  <c r="AJ296" i="22"/>
  <c r="O296" i="22"/>
  <c r="AC296" i="22"/>
  <c r="A295" i="24"/>
  <c r="X294" i="24"/>
  <c r="AB294" i="24"/>
  <c r="L294" i="24"/>
  <c r="K294" i="24"/>
  <c r="AK294" i="24"/>
  <c r="AJ294" i="24"/>
  <c r="O294" i="24"/>
  <c r="AC294" i="24"/>
  <c r="A296" i="23"/>
  <c r="K295" i="23"/>
  <c r="AB295" i="23"/>
  <c r="X295" i="23"/>
  <c r="L295" i="23"/>
  <c r="AK295" i="23"/>
  <c r="AJ295" i="23"/>
  <c r="O295" i="23"/>
  <c r="AC295" i="23"/>
  <c r="D300" i="1"/>
  <c r="E300" i="1" s="1"/>
  <c r="AJ301" i="1"/>
  <c r="K301" i="1"/>
  <c r="Q301" i="1"/>
  <c r="X301" i="1"/>
  <c r="A302" i="1"/>
  <c r="L301" i="1"/>
  <c r="O301" i="1"/>
  <c r="AB301" i="1"/>
  <c r="AK301" i="1"/>
  <c r="AC301" i="1"/>
  <c r="U301" i="1"/>
  <c r="T301" i="1" s="1"/>
  <c r="S301" i="1" s="1"/>
  <c r="R301" i="1" s="1"/>
  <c r="P301" i="1" l="1"/>
  <c r="V301" i="1" s="1"/>
  <c r="AB301" i="15"/>
  <c r="AK301" i="15"/>
  <c r="X301" i="15"/>
  <c r="K301" i="15"/>
  <c r="AC301" i="15"/>
  <c r="A302" i="15"/>
  <c r="O301" i="15"/>
  <c r="L301" i="15"/>
  <c r="D301" i="15" s="1"/>
  <c r="AJ301" i="15"/>
  <c r="E300" i="15"/>
  <c r="F300" i="1"/>
  <c r="AA300" i="1" s="1"/>
  <c r="Z300" i="1" s="1"/>
  <c r="Y300" i="1" s="1"/>
  <c r="X300" i="16"/>
  <c r="A301" i="16"/>
  <c r="AB300" i="16"/>
  <c r="AJ300" i="16"/>
  <c r="O300" i="16"/>
  <c r="K300" i="16"/>
  <c r="L300" i="16"/>
  <c r="D300" i="16" s="1"/>
  <c r="E300" i="16" s="1"/>
  <c r="AK300" i="16"/>
  <c r="AC300" i="16"/>
  <c r="E299" i="16"/>
  <c r="D301" i="1"/>
  <c r="E301" i="1" s="1"/>
  <c r="A297" i="23"/>
  <c r="K296" i="23"/>
  <c r="L296" i="23"/>
  <c r="AB296" i="23"/>
  <c r="X296" i="23"/>
  <c r="AJ296" i="23"/>
  <c r="AK296" i="23"/>
  <c r="O296" i="23"/>
  <c r="AC296" i="23"/>
  <c r="AB297" i="22"/>
  <c r="X297" i="22"/>
  <c r="L297" i="22"/>
  <c r="A298" i="22"/>
  <c r="K297" i="22"/>
  <c r="AK297" i="22"/>
  <c r="AJ297" i="22"/>
  <c r="O297" i="22"/>
  <c r="AC297" i="22"/>
  <c r="K298" i="20"/>
  <c r="L298" i="20"/>
  <c r="A299" i="20"/>
  <c r="AB298" i="20"/>
  <c r="X298" i="20"/>
  <c r="AK298" i="20"/>
  <c r="AJ298" i="20"/>
  <c r="O298" i="20"/>
  <c r="AC298" i="20"/>
  <c r="X300" i="17"/>
  <c r="A301" i="17"/>
  <c r="AB300" i="17"/>
  <c r="K300" i="17"/>
  <c r="L300" i="17"/>
  <c r="AJ300" i="17"/>
  <c r="AK300" i="17"/>
  <c r="O300" i="17"/>
  <c r="AC300" i="17"/>
  <c r="AK302" i="1"/>
  <c r="AB302" i="1"/>
  <c r="AC302" i="1"/>
  <c r="Q302" i="1"/>
  <c r="K302" i="1"/>
  <c r="X302" i="1"/>
  <c r="A303" i="1"/>
  <c r="AJ302" i="1"/>
  <c r="O302" i="1"/>
  <c r="C29" i="7" s="1"/>
  <c r="A29" i="7"/>
  <c r="L302" i="1"/>
  <c r="U302" i="1"/>
  <c r="T302" i="1" s="1"/>
  <c r="K295" i="24"/>
  <c r="X295" i="24"/>
  <c r="A296" i="24"/>
  <c r="L295" i="24"/>
  <c r="AB295" i="24"/>
  <c r="AJ295" i="24"/>
  <c r="AK295" i="24"/>
  <c r="O295" i="24"/>
  <c r="AC295" i="24"/>
  <c r="A295" i="25"/>
  <c r="X294" i="25"/>
  <c r="K294" i="25"/>
  <c r="L294" i="25"/>
  <c r="AB294" i="25"/>
  <c r="AJ294" i="25"/>
  <c r="O294" i="25"/>
  <c r="AK294" i="25"/>
  <c r="AC294" i="25"/>
  <c r="AA299" i="1"/>
  <c r="Z299" i="1" s="1"/>
  <c r="Y299" i="1" s="1"/>
  <c r="G299" i="1"/>
  <c r="BW299" i="6" s="1"/>
  <c r="I299" i="1"/>
  <c r="AB299" i="18"/>
  <c r="AJ299" i="18"/>
  <c r="L299" i="18"/>
  <c r="A300" i="18"/>
  <c r="K299" i="18"/>
  <c r="X299" i="18"/>
  <c r="AK299" i="18"/>
  <c r="O299" i="18"/>
  <c r="AC299" i="18"/>
  <c r="G300" i="1" l="1"/>
  <c r="BW300" i="6" s="1"/>
  <c r="I300" i="1"/>
  <c r="F301" i="1"/>
  <c r="I301" i="1" s="1"/>
  <c r="E301" i="15"/>
  <c r="A41" i="7"/>
  <c r="X302" i="15"/>
  <c r="O302" i="15"/>
  <c r="C41" i="7" s="1"/>
  <c r="K302" i="15"/>
  <c r="AJ302" i="15"/>
  <c r="L302" i="15"/>
  <c r="AK302" i="15"/>
  <c r="A303" i="15"/>
  <c r="AB302" i="15"/>
  <c r="AC302" i="15"/>
  <c r="AB301" i="16"/>
  <c r="K301" i="16"/>
  <c r="AK301" i="16"/>
  <c r="AC301" i="16"/>
  <c r="X301" i="16"/>
  <c r="L301" i="16"/>
  <c r="D301" i="16" s="1"/>
  <c r="A302" i="16"/>
  <c r="AJ301" i="16"/>
  <c r="O301" i="16"/>
  <c r="K300" i="18"/>
  <c r="L300" i="18"/>
  <c r="A301" i="18"/>
  <c r="AB300" i="18"/>
  <c r="X300" i="18"/>
  <c r="AJ300" i="18"/>
  <c r="O300" i="18"/>
  <c r="AK300" i="18"/>
  <c r="AC300" i="18"/>
  <c r="S302" i="1"/>
  <c r="R302" i="1" s="1"/>
  <c r="P302" i="1" s="1"/>
  <c r="AB295" i="25"/>
  <c r="L295" i="25"/>
  <c r="K295" i="25"/>
  <c r="A296" i="25"/>
  <c r="X295" i="25"/>
  <c r="AJ295" i="25"/>
  <c r="O295" i="25"/>
  <c r="AK295" i="25"/>
  <c r="AC295" i="25"/>
  <c r="AB296" i="24"/>
  <c r="X296" i="24"/>
  <c r="L296" i="24"/>
  <c r="K296" i="24"/>
  <c r="A297" i="24"/>
  <c r="AJ296" i="24"/>
  <c r="AK296" i="24"/>
  <c r="O296" i="24"/>
  <c r="AC296" i="24"/>
  <c r="D302" i="1"/>
  <c r="E302" i="1" s="1"/>
  <c r="B29" i="7"/>
  <c r="X303" i="1"/>
  <c r="Q303" i="1"/>
  <c r="A304" i="1"/>
  <c r="O303" i="1"/>
  <c r="AC303" i="1"/>
  <c r="L303" i="1"/>
  <c r="K303" i="1"/>
  <c r="AB303" i="1"/>
  <c r="AJ303" i="1"/>
  <c r="AK303" i="1"/>
  <c r="U303" i="1"/>
  <c r="K301" i="17"/>
  <c r="X301" i="17"/>
  <c r="L301" i="17"/>
  <c r="AB301" i="17"/>
  <c r="A302" i="17"/>
  <c r="AK301" i="17"/>
  <c r="AJ301" i="17"/>
  <c r="O301" i="17"/>
  <c r="AC301" i="17"/>
  <c r="A300" i="20"/>
  <c r="L299" i="20"/>
  <c r="K299" i="20"/>
  <c r="X299" i="20"/>
  <c r="AB299" i="20"/>
  <c r="AJ299" i="20"/>
  <c r="AK299" i="20"/>
  <c r="O299" i="20"/>
  <c r="AC299" i="20"/>
  <c r="A299" i="22"/>
  <c r="L298" i="22"/>
  <c r="AB298" i="22"/>
  <c r="X298" i="22"/>
  <c r="K298" i="22"/>
  <c r="AJ298" i="22"/>
  <c r="AK298" i="22"/>
  <c r="O298" i="22"/>
  <c r="AC298" i="22"/>
  <c r="AB297" i="23"/>
  <c r="X297" i="23"/>
  <c r="A298" i="23"/>
  <c r="L297" i="23"/>
  <c r="K297" i="23"/>
  <c r="AJ297" i="23"/>
  <c r="AK297" i="23"/>
  <c r="O297" i="23"/>
  <c r="AC297" i="23"/>
  <c r="G301" i="1" l="1"/>
  <c r="BW301" i="6" s="1"/>
  <c r="AA301" i="1"/>
  <c r="Z301" i="1" s="1"/>
  <c r="Y301" i="1" s="1"/>
  <c r="E301" i="16"/>
  <c r="AB303" i="15"/>
  <c r="AJ303" i="15"/>
  <c r="A304" i="15"/>
  <c r="K303" i="15"/>
  <c r="AC303" i="15"/>
  <c r="X303" i="15"/>
  <c r="O303" i="15"/>
  <c r="L303" i="15"/>
  <c r="D303" i="15" s="1"/>
  <c r="AK303" i="15"/>
  <c r="D302" i="15"/>
  <c r="E302" i="15" s="1"/>
  <c r="B41" i="7"/>
  <c r="L302" i="16"/>
  <c r="K302" i="16"/>
  <c r="X302" i="16"/>
  <c r="AJ302" i="16"/>
  <c r="O302" i="16"/>
  <c r="C53" i="7" s="1"/>
  <c r="AB302" i="16"/>
  <c r="A303" i="16"/>
  <c r="A53" i="7"/>
  <c r="AK302" i="16"/>
  <c r="AC302" i="16"/>
  <c r="D29" i="7"/>
  <c r="V302" i="1"/>
  <c r="F302" i="1" s="1"/>
  <c r="AB299" i="22"/>
  <c r="L299" i="22"/>
  <c r="K299" i="22"/>
  <c r="X299" i="22"/>
  <c r="A300" i="22"/>
  <c r="AJ299" i="22"/>
  <c r="AK299" i="22"/>
  <c r="O299" i="22"/>
  <c r="AC299" i="22"/>
  <c r="L302" i="17"/>
  <c r="AB302" i="17"/>
  <c r="K302" i="17"/>
  <c r="A65" i="7"/>
  <c r="X302" i="17"/>
  <c r="A303" i="17"/>
  <c r="AJ302" i="17"/>
  <c r="O302" i="17"/>
  <c r="C65" i="7" s="1"/>
  <c r="AK302" i="17"/>
  <c r="AC302" i="17"/>
  <c r="D303" i="1"/>
  <c r="E303" i="1" s="1"/>
  <c r="A299" i="23"/>
  <c r="AB298" i="23"/>
  <c r="L298" i="23"/>
  <c r="K298" i="23"/>
  <c r="X298" i="23"/>
  <c r="AJ298" i="23"/>
  <c r="AK298" i="23"/>
  <c r="O298" i="23"/>
  <c r="AC298" i="23"/>
  <c r="A301" i="20"/>
  <c r="X300" i="20"/>
  <c r="AB300" i="20"/>
  <c r="L300" i="20"/>
  <c r="K300" i="20"/>
  <c r="AJ300" i="20"/>
  <c r="AK300" i="20"/>
  <c r="O300" i="20"/>
  <c r="AC300" i="20"/>
  <c r="T303" i="1"/>
  <c r="K304" i="1"/>
  <c r="Q304" i="1"/>
  <c r="AJ304" i="1"/>
  <c r="AC304" i="1"/>
  <c r="A305" i="1"/>
  <c r="AB304" i="1"/>
  <c r="L304" i="1"/>
  <c r="O304" i="1"/>
  <c r="X304" i="1"/>
  <c r="AK304" i="1"/>
  <c r="U304" i="1"/>
  <c r="T304" i="1" s="1"/>
  <c r="A298" i="24"/>
  <c r="K297" i="24"/>
  <c r="AB297" i="24"/>
  <c r="L297" i="24"/>
  <c r="X297" i="24"/>
  <c r="AJ297" i="24"/>
  <c r="AK297" i="24"/>
  <c r="O297" i="24"/>
  <c r="AC297" i="24"/>
  <c r="AB296" i="25"/>
  <c r="X296" i="25"/>
  <c r="L296" i="25"/>
  <c r="K296" i="25"/>
  <c r="A297" i="25"/>
  <c r="AJ296" i="25"/>
  <c r="AK296" i="25"/>
  <c r="O296" i="25"/>
  <c r="AC296" i="25"/>
  <c r="K301" i="18"/>
  <c r="L301" i="18"/>
  <c r="X301" i="18"/>
  <c r="A302" i="18"/>
  <c r="AB301" i="18"/>
  <c r="AJ301" i="18"/>
  <c r="O301" i="18"/>
  <c r="AK301" i="18"/>
  <c r="AC301" i="18"/>
  <c r="E303" i="15" l="1"/>
  <c r="K304" i="15"/>
  <c r="AK304" i="15"/>
  <c r="X304" i="15"/>
  <c r="A305" i="15"/>
  <c r="AC304" i="15"/>
  <c r="AB304" i="15"/>
  <c r="O304" i="15"/>
  <c r="L304" i="15"/>
  <c r="D304" i="15" s="1"/>
  <c r="AJ304" i="15"/>
  <c r="X303" i="16"/>
  <c r="K303" i="16"/>
  <c r="AB303" i="16"/>
  <c r="AK303" i="16"/>
  <c r="O303" i="16"/>
  <c r="A304" i="16"/>
  <c r="L303" i="16"/>
  <c r="D303" i="16" s="1"/>
  <c r="AJ303" i="16"/>
  <c r="AC303" i="16"/>
  <c r="D302" i="16"/>
  <c r="E302" i="16" s="1"/>
  <c r="B53" i="7"/>
  <c r="A303" i="18"/>
  <c r="L302" i="18"/>
  <c r="X302" i="18"/>
  <c r="K302" i="18"/>
  <c r="A77" i="7"/>
  <c r="AB302" i="18"/>
  <c r="AJ302" i="18"/>
  <c r="O302" i="18"/>
  <c r="C77" i="7" s="1"/>
  <c r="AK302" i="18"/>
  <c r="AC302" i="18"/>
  <c r="AB298" i="24"/>
  <c r="L298" i="24"/>
  <c r="A299" i="24"/>
  <c r="X298" i="24"/>
  <c r="K298" i="24"/>
  <c r="AJ298" i="24"/>
  <c r="AK298" i="24"/>
  <c r="O298" i="24"/>
  <c r="AC298" i="24"/>
  <c r="X301" i="20"/>
  <c r="A302" i="20"/>
  <c r="L301" i="20"/>
  <c r="K301" i="20"/>
  <c r="AB301" i="20"/>
  <c r="AJ301" i="20"/>
  <c r="AK301" i="20"/>
  <c r="O301" i="20"/>
  <c r="AC301" i="20"/>
  <c r="AA302" i="1"/>
  <c r="Z302" i="1" s="1"/>
  <c r="Y302" i="1" s="1"/>
  <c r="I302" i="1"/>
  <c r="G302" i="1"/>
  <c r="BW302" i="6" s="1"/>
  <c r="X303" i="17"/>
  <c r="L303" i="17"/>
  <c r="K303" i="17"/>
  <c r="A304" i="17"/>
  <c r="AB303" i="17"/>
  <c r="AK303" i="17"/>
  <c r="AJ303" i="17"/>
  <c r="O303" i="17"/>
  <c r="AC303" i="17"/>
  <c r="X300" i="22"/>
  <c r="A301" i="22"/>
  <c r="K300" i="22"/>
  <c r="AB300" i="22"/>
  <c r="L300" i="22"/>
  <c r="AJ300" i="22"/>
  <c r="AK300" i="22"/>
  <c r="O300" i="22"/>
  <c r="AC300" i="22"/>
  <c r="A298" i="25"/>
  <c r="L297" i="25"/>
  <c r="AB297" i="25"/>
  <c r="X297" i="25"/>
  <c r="K297" i="25"/>
  <c r="AJ297" i="25"/>
  <c r="AK297" i="25"/>
  <c r="O297" i="25"/>
  <c r="AC297" i="25"/>
  <c r="S304" i="1"/>
  <c r="R304" i="1" s="1"/>
  <c r="P304" i="1" s="1"/>
  <c r="V304" i="1" s="1"/>
  <c r="D304" i="1"/>
  <c r="E304" i="1" s="1"/>
  <c r="X305" i="1"/>
  <c r="A306" i="1"/>
  <c r="Q305" i="1"/>
  <c r="AC305" i="1"/>
  <c r="O305" i="1"/>
  <c r="K305" i="1"/>
  <c r="AB305" i="1"/>
  <c r="L305" i="1"/>
  <c r="AK305" i="1"/>
  <c r="AJ305" i="1"/>
  <c r="U305" i="1"/>
  <c r="T305" i="1" s="1"/>
  <c r="S305" i="1" s="1"/>
  <c r="R305" i="1" s="1"/>
  <c r="S303" i="1"/>
  <c r="R303" i="1" s="1"/>
  <c r="P303" i="1" s="1"/>
  <c r="V303" i="1" s="1"/>
  <c r="AB299" i="23"/>
  <c r="L299" i="23"/>
  <c r="K299" i="23"/>
  <c r="X299" i="23"/>
  <c r="A300" i="23"/>
  <c r="AJ299" i="23"/>
  <c r="AK299" i="23"/>
  <c r="O299" i="23"/>
  <c r="AC299" i="23"/>
  <c r="B65" i="7"/>
  <c r="E303" i="16" l="1"/>
  <c r="P305" i="1"/>
  <c r="E304" i="15"/>
  <c r="AB305" i="15"/>
  <c r="AK305" i="15"/>
  <c r="K305" i="15"/>
  <c r="AJ305" i="15"/>
  <c r="L305" i="15"/>
  <c r="D305" i="15" s="1"/>
  <c r="X305" i="15"/>
  <c r="AC305" i="15"/>
  <c r="A306" i="15"/>
  <c r="O305" i="15"/>
  <c r="E305" i="15" s="1"/>
  <c r="F304" i="1"/>
  <c r="G304" i="1" s="1"/>
  <c r="BW304" i="6" s="1"/>
  <c r="F303" i="1"/>
  <c r="AA303" i="1" s="1"/>
  <c r="Z303" i="1" s="1"/>
  <c r="Y303" i="1" s="1"/>
  <c r="L304" i="16"/>
  <c r="D304" i="16" s="1"/>
  <c r="AB304" i="16"/>
  <c r="AJ304" i="16"/>
  <c r="AC304" i="16"/>
  <c r="X304" i="16"/>
  <c r="A305" i="16"/>
  <c r="K304" i="16"/>
  <c r="AK304" i="16"/>
  <c r="O304" i="16"/>
  <c r="A305" i="17"/>
  <c r="X304" i="17"/>
  <c r="AB304" i="17"/>
  <c r="L304" i="17"/>
  <c r="K304" i="17"/>
  <c r="O304" i="17"/>
  <c r="AK304" i="17"/>
  <c r="AJ304" i="17"/>
  <c r="AC304" i="17"/>
  <c r="A303" i="20"/>
  <c r="L302" i="20"/>
  <c r="AE29" i="7"/>
  <c r="X302" i="20"/>
  <c r="AB302" i="20"/>
  <c r="K302" i="20"/>
  <c r="AK302" i="20"/>
  <c r="AJ302" i="20"/>
  <c r="O302" i="20"/>
  <c r="AG29" i="7" s="1"/>
  <c r="AC302" i="20"/>
  <c r="B77" i="7"/>
  <c r="AB300" i="23"/>
  <c r="A301" i="23"/>
  <c r="K300" i="23"/>
  <c r="X300" i="23"/>
  <c r="L300" i="23"/>
  <c r="AJ300" i="23"/>
  <c r="AK300" i="23"/>
  <c r="O300" i="23"/>
  <c r="AC300" i="23"/>
  <c r="D305" i="1"/>
  <c r="E305" i="1" s="1"/>
  <c r="V305" i="1"/>
  <c r="X306" i="1"/>
  <c r="Q306" i="1"/>
  <c r="K306" i="1"/>
  <c r="AK306" i="1"/>
  <c r="AB306" i="1"/>
  <c r="A307" i="1"/>
  <c r="L306" i="1"/>
  <c r="O306" i="1"/>
  <c r="AC306" i="1"/>
  <c r="AJ306" i="1"/>
  <c r="U306" i="1"/>
  <c r="T306" i="1" s="1"/>
  <c r="X298" i="25"/>
  <c r="K298" i="25"/>
  <c r="AB298" i="25"/>
  <c r="A299" i="25"/>
  <c r="L298" i="25"/>
  <c r="AJ298" i="25"/>
  <c r="AK298" i="25"/>
  <c r="O298" i="25"/>
  <c r="AC298" i="25"/>
  <c r="A302" i="22"/>
  <c r="X301" i="22"/>
  <c r="K301" i="22"/>
  <c r="L301" i="22"/>
  <c r="AB301" i="22"/>
  <c r="AJ301" i="22"/>
  <c r="AK301" i="22"/>
  <c r="O301" i="22"/>
  <c r="AC301" i="22"/>
  <c r="X299" i="24"/>
  <c r="L299" i="24"/>
  <c r="AB299" i="24"/>
  <c r="K299" i="24"/>
  <c r="A300" i="24"/>
  <c r="AK299" i="24"/>
  <c r="AJ299" i="24"/>
  <c r="O299" i="24"/>
  <c r="AC299" i="24"/>
  <c r="L303" i="18"/>
  <c r="X303" i="18"/>
  <c r="A304" i="18"/>
  <c r="AB303" i="18"/>
  <c r="K303" i="18"/>
  <c r="AJ303" i="18"/>
  <c r="O303" i="18"/>
  <c r="AK303" i="18"/>
  <c r="AC303" i="18"/>
  <c r="AA304" i="1" l="1"/>
  <c r="Z304" i="1" s="1"/>
  <c r="Y304" i="1" s="1"/>
  <c r="I303" i="1"/>
  <c r="I304" i="1"/>
  <c r="A307" i="15"/>
  <c r="AK306" i="15"/>
  <c r="K306" i="15"/>
  <c r="AJ306" i="15"/>
  <c r="L306" i="15"/>
  <c r="D306" i="15" s="1"/>
  <c r="X306" i="15"/>
  <c r="O306" i="15"/>
  <c r="E306" i="15" s="1"/>
  <c r="AB306" i="15"/>
  <c r="AC306" i="15"/>
  <c r="G303" i="1"/>
  <c r="BW303" i="6" s="1"/>
  <c r="F305" i="1"/>
  <c r="AA305" i="1" s="1"/>
  <c r="Z305" i="1" s="1"/>
  <c r="Y305" i="1" s="1"/>
  <c r="E304" i="16"/>
  <c r="AB305" i="16"/>
  <c r="K305" i="16"/>
  <c r="AJ305" i="16"/>
  <c r="AC305" i="16"/>
  <c r="A306" i="16"/>
  <c r="X305" i="16"/>
  <c r="L305" i="16"/>
  <c r="D305" i="16" s="1"/>
  <c r="AK305" i="16"/>
  <c r="O305" i="16"/>
  <c r="A301" i="24"/>
  <c r="K300" i="24"/>
  <c r="L300" i="24"/>
  <c r="X300" i="24"/>
  <c r="AB300" i="24"/>
  <c r="AK300" i="24"/>
  <c r="O300" i="24"/>
  <c r="AJ300" i="24"/>
  <c r="AC300" i="24"/>
  <c r="A308" i="1"/>
  <c r="AB307" i="1"/>
  <c r="O307" i="1"/>
  <c r="K307" i="1"/>
  <c r="X307" i="1"/>
  <c r="AJ307" i="1"/>
  <c r="AK307" i="1"/>
  <c r="AC307" i="1"/>
  <c r="L307" i="1"/>
  <c r="Q307" i="1"/>
  <c r="U307" i="1"/>
  <c r="AF29" i="7"/>
  <c r="AB305" i="17"/>
  <c r="L305" i="17"/>
  <c r="A306" i="17"/>
  <c r="K305" i="17"/>
  <c r="X305" i="17"/>
  <c r="AJ305" i="17"/>
  <c r="O305" i="17"/>
  <c r="AK305" i="17"/>
  <c r="AC305" i="17"/>
  <c r="A305" i="18"/>
  <c r="AB304" i="18"/>
  <c r="AJ304" i="18"/>
  <c r="X304" i="18"/>
  <c r="L304" i="18"/>
  <c r="K304" i="18"/>
  <c r="AK304" i="18"/>
  <c r="O304" i="18"/>
  <c r="AC304" i="18"/>
  <c r="AB302" i="22"/>
  <c r="A303" i="22"/>
  <c r="L302" i="22"/>
  <c r="K302" i="22"/>
  <c r="X302" i="22"/>
  <c r="AE41" i="7"/>
  <c r="AK302" i="22"/>
  <c r="AJ302" i="22"/>
  <c r="O302" i="22"/>
  <c r="AG41" i="7" s="1"/>
  <c r="AC302" i="22"/>
  <c r="X299" i="25"/>
  <c r="AB299" i="25"/>
  <c r="A300" i="25"/>
  <c r="L299" i="25"/>
  <c r="K299" i="25"/>
  <c r="AK299" i="25"/>
  <c r="AJ299" i="25"/>
  <c r="O299" i="25"/>
  <c r="AC299" i="25"/>
  <c r="S306" i="1"/>
  <c r="R306" i="1" s="1"/>
  <c r="P306" i="1" s="1"/>
  <c r="V306" i="1" s="1"/>
  <c r="D306" i="1"/>
  <c r="E306" i="1" s="1"/>
  <c r="A302" i="23"/>
  <c r="K301" i="23"/>
  <c r="L301" i="23"/>
  <c r="X301" i="23"/>
  <c r="AB301" i="23"/>
  <c r="AJ301" i="23"/>
  <c r="AK301" i="23"/>
  <c r="O301" i="23"/>
  <c r="AC301" i="23"/>
  <c r="X303" i="20"/>
  <c r="AB303" i="20"/>
  <c r="K303" i="20"/>
  <c r="L303" i="20"/>
  <c r="A304" i="20"/>
  <c r="AJ303" i="20"/>
  <c r="AK303" i="20"/>
  <c r="O303" i="20"/>
  <c r="AC303" i="20"/>
  <c r="G305" i="1" l="1"/>
  <c r="BW305" i="6" s="1"/>
  <c r="I305" i="1"/>
  <c r="L307" i="15"/>
  <c r="D307" i="15" s="1"/>
  <c r="AJ307" i="15"/>
  <c r="AB307" i="15"/>
  <c r="A308" i="15"/>
  <c r="AC307" i="15"/>
  <c r="X307" i="15"/>
  <c r="O307" i="15"/>
  <c r="K307" i="15"/>
  <c r="AK307" i="15"/>
  <c r="E305" i="16"/>
  <c r="X306" i="16"/>
  <c r="K306" i="16"/>
  <c r="AJ306" i="16"/>
  <c r="AC306" i="16"/>
  <c r="AB306" i="16"/>
  <c r="A307" i="16"/>
  <c r="L306" i="16"/>
  <c r="D306" i="16" s="1"/>
  <c r="AK306" i="16"/>
  <c r="O306" i="16"/>
  <c r="F306" i="1"/>
  <c r="AB302" i="23"/>
  <c r="AE53" i="7"/>
  <c r="A303" i="23"/>
  <c r="L302" i="23"/>
  <c r="X302" i="23"/>
  <c r="K302" i="23"/>
  <c r="AK302" i="23"/>
  <c r="AJ302" i="23"/>
  <c r="O302" i="23"/>
  <c r="AG53" i="7" s="1"/>
  <c r="AC302" i="23"/>
  <c r="A304" i="22"/>
  <c r="AB303" i="22"/>
  <c r="L303" i="22"/>
  <c r="K303" i="22"/>
  <c r="X303" i="22"/>
  <c r="AJ303" i="22"/>
  <c r="AK303" i="22"/>
  <c r="O303" i="22"/>
  <c r="AC303" i="22"/>
  <c r="K305" i="18"/>
  <c r="X305" i="18"/>
  <c r="AB305" i="18"/>
  <c r="A306" i="18"/>
  <c r="AJ305" i="18"/>
  <c r="L305" i="18"/>
  <c r="O305" i="18"/>
  <c r="AK305" i="18"/>
  <c r="AC305" i="18"/>
  <c r="T307" i="1"/>
  <c r="D307" i="1"/>
  <c r="E307" i="1" s="1"/>
  <c r="O308" i="1"/>
  <c r="A309" i="1"/>
  <c r="K308" i="1"/>
  <c r="X308" i="1"/>
  <c r="AK308" i="1"/>
  <c r="AB308" i="1"/>
  <c r="AJ308" i="1"/>
  <c r="AC308" i="1"/>
  <c r="Q308" i="1"/>
  <c r="L308" i="1"/>
  <c r="U308" i="1"/>
  <c r="T308" i="1" s="1"/>
  <c r="K301" i="24"/>
  <c r="AB301" i="24"/>
  <c r="L301" i="24"/>
  <c r="A302" i="24"/>
  <c r="X301" i="24"/>
  <c r="AK301" i="24"/>
  <c r="AJ301" i="24"/>
  <c r="O301" i="24"/>
  <c r="AC301" i="24"/>
  <c r="X304" i="20"/>
  <c r="K304" i="20"/>
  <c r="A305" i="20"/>
  <c r="AB304" i="20"/>
  <c r="L304" i="20"/>
  <c r="AK304" i="20"/>
  <c r="AJ304" i="20"/>
  <c r="O304" i="20"/>
  <c r="AC304" i="20"/>
  <c r="A301" i="25"/>
  <c r="K300" i="25"/>
  <c r="X300" i="25"/>
  <c r="AB300" i="25"/>
  <c r="L300" i="25"/>
  <c r="AJ300" i="25"/>
  <c r="O300" i="25"/>
  <c r="AK300" i="25"/>
  <c r="AC300" i="25"/>
  <c r="AF41" i="7"/>
  <c r="A307" i="17"/>
  <c r="L306" i="17"/>
  <c r="K306" i="17"/>
  <c r="X306" i="17"/>
  <c r="AB306" i="17"/>
  <c r="AJ306" i="17"/>
  <c r="O306" i="17"/>
  <c r="AK306" i="17"/>
  <c r="AC306" i="17"/>
  <c r="E307" i="15" l="1"/>
  <c r="A309" i="15"/>
  <c r="AB308" i="15"/>
  <c r="O308" i="15"/>
  <c r="X308" i="15"/>
  <c r="AC308" i="15"/>
  <c r="K308" i="15"/>
  <c r="AJ308" i="15"/>
  <c r="L308" i="15"/>
  <c r="D308" i="15" s="1"/>
  <c r="AK308" i="15"/>
  <c r="E306" i="16"/>
  <c r="A308" i="16"/>
  <c r="X307" i="16"/>
  <c r="L307" i="16"/>
  <c r="D307" i="16" s="1"/>
  <c r="AK307" i="16"/>
  <c r="O307" i="16"/>
  <c r="K307" i="16"/>
  <c r="AB307" i="16"/>
  <c r="AJ307" i="16"/>
  <c r="AC307" i="16"/>
  <c r="K305" i="20"/>
  <c r="AB305" i="20"/>
  <c r="L305" i="20"/>
  <c r="A306" i="20"/>
  <c r="X305" i="20"/>
  <c r="AJ305" i="20"/>
  <c r="AK305" i="20"/>
  <c r="O305" i="20"/>
  <c r="AC305" i="20"/>
  <c r="K302" i="24"/>
  <c r="AB302" i="24"/>
  <c r="L302" i="24"/>
  <c r="AE65" i="7"/>
  <c r="X302" i="24"/>
  <c r="A303" i="24"/>
  <c r="AJ302" i="24"/>
  <c r="AK302" i="24"/>
  <c r="O302" i="24"/>
  <c r="AG65" i="7" s="1"/>
  <c r="AC302" i="24"/>
  <c r="S308" i="1"/>
  <c r="R308" i="1" s="1"/>
  <c r="P308" i="1" s="1"/>
  <c r="V308" i="1" s="1"/>
  <c r="AB304" i="22"/>
  <c r="A305" i="22"/>
  <c r="X304" i="22"/>
  <c r="K304" i="22"/>
  <c r="L304" i="22"/>
  <c r="AJ304" i="22"/>
  <c r="AK304" i="22"/>
  <c r="O304" i="22"/>
  <c r="AC304" i="22"/>
  <c r="AB303" i="23"/>
  <c r="L303" i="23"/>
  <c r="K303" i="23"/>
  <c r="X303" i="23"/>
  <c r="A304" i="23"/>
  <c r="AJ303" i="23"/>
  <c r="AK303" i="23"/>
  <c r="O303" i="23"/>
  <c r="AC303" i="23"/>
  <c r="K307" i="17"/>
  <c r="A308" i="17"/>
  <c r="X307" i="17"/>
  <c r="AB307" i="17"/>
  <c r="L307" i="17"/>
  <c r="AJ307" i="17"/>
  <c r="O307" i="17"/>
  <c r="AK307" i="17"/>
  <c r="AC307" i="17"/>
  <c r="AB301" i="25"/>
  <c r="A302" i="25"/>
  <c r="K301" i="25"/>
  <c r="L301" i="25"/>
  <c r="X301" i="25"/>
  <c r="AJ301" i="25"/>
  <c r="O301" i="25"/>
  <c r="AK301" i="25"/>
  <c r="AC301" i="25"/>
  <c r="D308" i="1"/>
  <c r="E308" i="1" s="1"/>
  <c r="AC309" i="1"/>
  <c r="L309" i="1"/>
  <c r="Q309" i="1"/>
  <c r="AK309" i="1"/>
  <c r="AJ309" i="1"/>
  <c r="X309" i="1"/>
  <c r="K309" i="1"/>
  <c r="O309" i="1"/>
  <c r="AB309" i="1"/>
  <c r="A310" i="1"/>
  <c r="U309" i="1"/>
  <c r="T309" i="1" s="1"/>
  <c r="S307" i="1"/>
  <c r="R307" i="1" s="1"/>
  <c r="P307" i="1" s="1"/>
  <c r="X306" i="18"/>
  <c r="AJ306" i="18"/>
  <c r="A307" i="18"/>
  <c r="K306" i="18"/>
  <c r="AB306" i="18"/>
  <c r="L306" i="18"/>
  <c r="AK306" i="18"/>
  <c r="O306" i="18"/>
  <c r="AC306" i="18"/>
  <c r="AF53" i="7"/>
  <c r="G306" i="1"/>
  <c r="BW306" i="6" s="1"/>
  <c r="AA306" i="1"/>
  <c r="Z306" i="1" s="1"/>
  <c r="Y306" i="1" s="1"/>
  <c r="I306" i="1"/>
  <c r="E308" i="15" l="1"/>
  <c r="X309" i="15"/>
  <c r="O309" i="15"/>
  <c r="K309" i="15"/>
  <c r="AK309" i="15"/>
  <c r="L309" i="15"/>
  <c r="D309" i="15" s="1"/>
  <c r="AJ309" i="15"/>
  <c r="A310" i="15"/>
  <c r="AB309" i="15"/>
  <c r="AC309" i="15"/>
  <c r="E307" i="16"/>
  <c r="A309" i="16"/>
  <c r="K308" i="16"/>
  <c r="AB308" i="16"/>
  <c r="AK308" i="16"/>
  <c r="O308" i="16"/>
  <c r="X308" i="16"/>
  <c r="L308" i="16"/>
  <c r="D308" i="16" s="1"/>
  <c r="AJ308" i="16"/>
  <c r="AC308" i="16"/>
  <c r="V307" i="1"/>
  <c r="F307" i="1" s="1"/>
  <c r="X307" i="18"/>
  <c r="AJ307" i="18"/>
  <c r="L307" i="18"/>
  <c r="A308" i="18"/>
  <c r="AB307" i="18"/>
  <c r="K307" i="18"/>
  <c r="AK307" i="18"/>
  <c r="O307" i="18"/>
  <c r="AC307" i="18"/>
  <c r="O310" i="1"/>
  <c r="X310" i="1"/>
  <c r="Q310" i="1"/>
  <c r="AK310" i="1"/>
  <c r="K310" i="1"/>
  <c r="A311" i="1"/>
  <c r="AJ310" i="1"/>
  <c r="L310" i="1"/>
  <c r="AB310" i="1"/>
  <c r="AC310" i="1"/>
  <c r="U310" i="1"/>
  <c r="T310" i="1" s="1"/>
  <c r="D309" i="1"/>
  <c r="E309" i="1" s="1"/>
  <c r="A309" i="17"/>
  <c r="K308" i="17"/>
  <c r="L308" i="17"/>
  <c r="X308" i="17"/>
  <c r="AB308" i="17"/>
  <c r="AJ308" i="17"/>
  <c r="O308" i="17"/>
  <c r="AK308" i="17"/>
  <c r="AC308" i="17"/>
  <c r="K304" i="23"/>
  <c r="L304" i="23"/>
  <c r="A305" i="23"/>
  <c r="AB304" i="23"/>
  <c r="X304" i="23"/>
  <c r="AJ304" i="23"/>
  <c r="AK304" i="23"/>
  <c r="O304" i="23"/>
  <c r="AC304" i="23"/>
  <c r="AB305" i="22"/>
  <c r="A306" i="22"/>
  <c r="X305" i="22"/>
  <c r="L305" i="22"/>
  <c r="K305" i="22"/>
  <c r="AJ305" i="22"/>
  <c r="AK305" i="22"/>
  <c r="O305" i="22"/>
  <c r="AC305" i="22"/>
  <c r="AF65" i="7"/>
  <c r="AB306" i="20"/>
  <c r="K306" i="20"/>
  <c r="A307" i="20"/>
  <c r="X306" i="20"/>
  <c r="L306" i="20"/>
  <c r="AJ306" i="20"/>
  <c r="AK306" i="20"/>
  <c r="O306" i="20"/>
  <c r="AC306" i="20"/>
  <c r="S309" i="1"/>
  <c r="R309" i="1" s="1"/>
  <c r="P309" i="1" s="1"/>
  <c r="V309" i="1" s="1"/>
  <c r="F308" i="1"/>
  <c r="X302" i="25"/>
  <c r="AB302" i="25"/>
  <c r="K302" i="25"/>
  <c r="A303" i="25"/>
  <c r="AE77" i="7"/>
  <c r="L302" i="25"/>
  <c r="AK302" i="25"/>
  <c r="AJ302" i="25"/>
  <c r="O302" i="25"/>
  <c r="AG77" i="7" s="1"/>
  <c r="AC302" i="25"/>
  <c r="K303" i="24"/>
  <c r="A304" i="24"/>
  <c r="X303" i="24"/>
  <c r="AB303" i="24"/>
  <c r="L303" i="24"/>
  <c r="AJ303" i="24"/>
  <c r="AK303" i="24"/>
  <c r="O303" i="24"/>
  <c r="AC303" i="24"/>
  <c r="E308" i="16" l="1"/>
  <c r="E309" i="15"/>
  <c r="AB310" i="15"/>
  <c r="AC310" i="15"/>
  <c r="K310" i="15"/>
  <c r="AK310" i="15"/>
  <c r="X310" i="15"/>
  <c r="AJ310" i="15"/>
  <c r="L310" i="15"/>
  <c r="D310" i="15" s="1"/>
  <c r="A311" i="15"/>
  <c r="O310" i="15"/>
  <c r="E310" i="15" s="1"/>
  <c r="X309" i="16"/>
  <c r="A310" i="16"/>
  <c r="AK309" i="16"/>
  <c r="AC309" i="16"/>
  <c r="AB309" i="16"/>
  <c r="L309" i="16"/>
  <c r="D309" i="16" s="1"/>
  <c r="K309" i="16"/>
  <c r="AJ309" i="16"/>
  <c r="O309" i="16"/>
  <c r="K304" i="24"/>
  <c r="L304" i="24"/>
  <c r="A305" i="24"/>
  <c r="X304" i="24"/>
  <c r="AB304" i="24"/>
  <c r="AJ304" i="24"/>
  <c r="AK304" i="24"/>
  <c r="O304" i="24"/>
  <c r="AC304" i="24"/>
  <c r="AB309" i="17"/>
  <c r="X309" i="17"/>
  <c r="K309" i="17"/>
  <c r="L309" i="17"/>
  <c r="A310" i="17"/>
  <c r="O309" i="17"/>
  <c r="AJ309" i="17"/>
  <c r="AK309" i="17"/>
  <c r="AC309" i="17"/>
  <c r="F309" i="1"/>
  <c r="D310" i="1"/>
  <c r="X311" i="1"/>
  <c r="AC311" i="1"/>
  <c r="AJ311" i="1"/>
  <c r="K311" i="1"/>
  <c r="Q311" i="1"/>
  <c r="O311" i="1"/>
  <c r="AK311" i="1"/>
  <c r="A312" i="1"/>
  <c r="AB311" i="1"/>
  <c r="L311" i="1"/>
  <c r="U311" i="1"/>
  <c r="T311" i="1" s="1"/>
  <c r="I307" i="1"/>
  <c r="AA307" i="1"/>
  <c r="Z307" i="1" s="1"/>
  <c r="Y307" i="1" s="1"/>
  <c r="G307" i="1"/>
  <c r="BW307" i="6" s="1"/>
  <c r="X307" i="20"/>
  <c r="K307" i="20"/>
  <c r="A308" i="20"/>
  <c r="L307" i="20"/>
  <c r="AB307" i="20"/>
  <c r="AJ307" i="20"/>
  <c r="AK307" i="20"/>
  <c r="O307" i="20"/>
  <c r="AC307" i="20"/>
  <c r="AF77" i="7"/>
  <c r="K303" i="25"/>
  <c r="AB303" i="25"/>
  <c r="X303" i="25"/>
  <c r="A304" i="25"/>
  <c r="L303" i="25"/>
  <c r="AJ303" i="25"/>
  <c r="O303" i="25"/>
  <c r="AK303" i="25"/>
  <c r="AC303" i="25"/>
  <c r="AA308" i="1"/>
  <c r="Z308" i="1" s="1"/>
  <c r="Y308" i="1" s="1"/>
  <c r="G308" i="1"/>
  <c r="BW308" i="6" s="1"/>
  <c r="I308" i="1"/>
  <c r="X306" i="22"/>
  <c r="K306" i="22"/>
  <c r="AB306" i="22"/>
  <c r="A307" i="22"/>
  <c r="L306" i="22"/>
  <c r="AJ306" i="22"/>
  <c r="AK306" i="22"/>
  <c r="O306" i="22"/>
  <c r="AC306" i="22"/>
  <c r="K305" i="23"/>
  <c r="A306" i="23"/>
  <c r="L305" i="23"/>
  <c r="X305" i="23"/>
  <c r="AB305" i="23"/>
  <c r="AJ305" i="23"/>
  <c r="AK305" i="23"/>
  <c r="O305" i="23"/>
  <c r="AC305" i="23"/>
  <c r="S310" i="1"/>
  <c r="R310" i="1" s="1"/>
  <c r="P310" i="1" s="1"/>
  <c r="V310" i="1" s="1"/>
  <c r="E310" i="1"/>
  <c r="A309" i="18"/>
  <c r="X308" i="18"/>
  <c r="AJ308" i="18"/>
  <c r="K308" i="18"/>
  <c r="L308" i="18"/>
  <c r="AB308" i="18"/>
  <c r="O308" i="18"/>
  <c r="AK308" i="18"/>
  <c r="AC308" i="18"/>
  <c r="E309" i="16" l="1"/>
  <c r="A312" i="15"/>
  <c r="AB311" i="15"/>
  <c r="AC311" i="15"/>
  <c r="X311" i="15"/>
  <c r="O311" i="15"/>
  <c r="K311" i="15"/>
  <c r="AK311" i="15"/>
  <c r="L311" i="15"/>
  <c r="D311" i="15" s="1"/>
  <c r="AJ311" i="15"/>
  <c r="F310" i="1"/>
  <c r="I310" i="1" s="1"/>
  <c r="X310" i="16"/>
  <c r="L310" i="16"/>
  <c r="D310" i="16" s="1"/>
  <c r="K310" i="16"/>
  <c r="AK310" i="16"/>
  <c r="O310" i="16"/>
  <c r="A311" i="16"/>
  <c r="AB310" i="16"/>
  <c r="AJ310" i="16"/>
  <c r="AC310" i="16"/>
  <c r="AA310" i="1"/>
  <c r="Z310" i="1" s="1"/>
  <c r="Y310" i="1" s="1"/>
  <c r="A307" i="23"/>
  <c r="L306" i="23"/>
  <c r="AB306" i="23"/>
  <c r="X306" i="23"/>
  <c r="K306" i="23"/>
  <c r="AJ306" i="23"/>
  <c r="AK306" i="23"/>
  <c r="O306" i="23"/>
  <c r="AC306" i="23"/>
  <c r="AB308" i="20"/>
  <c r="A309" i="20"/>
  <c r="X308" i="20"/>
  <c r="K308" i="20"/>
  <c r="L308" i="20"/>
  <c r="AJ308" i="20"/>
  <c r="AK308" i="20"/>
  <c r="O308" i="20"/>
  <c r="AC308" i="20"/>
  <c r="S311" i="1"/>
  <c r="R311" i="1" s="1"/>
  <c r="P311" i="1" s="1"/>
  <c r="V311" i="1" s="1"/>
  <c r="AB310" i="17"/>
  <c r="X310" i="17"/>
  <c r="L310" i="17"/>
  <c r="A311" i="17"/>
  <c r="K310" i="17"/>
  <c r="AJ310" i="17"/>
  <c r="AK310" i="17"/>
  <c r="O310" i="17"/>
  <c r="AC310" i="17"/>
  <c r="A310" i="18"/>
  <c r="AB309" i="18"/>
  <c r="K309" i="18"/>
  <c r="L309" i="18"/>
  <c r="X309" i="18"/>
  <c r="AJ309" i="18"/>
  <c r="O309" i="18"/>
  <c r="AK309" i="18"/>
  <c r="AC309" i="18"/>
  <c r="X307" i="22"/>
  <c r="L307" i="22"/>
  <c r="K307" i="22"/>
  <c r="AB307" i="22"/>
  <c r="A308" i="22"/>
  <c r="AJ307" i="22"/>
  <c r="AK307" i="22"/>
  <c r="O307" i="22"/>
  <c r="AC307" i="22"/>
  <c r="A305" i="25"/>
  <c r="X304" i="25"/>
  <c r="AB304" i="25"/>
  <c r="L304" i="25"/>
  <c r="K304" i="25"/>
  <c r="AJ304" i="25"/>
  <c r="AK304" i="25"/>
  <c r="O304" i="25"/>
  <c r="AC304" i="25"/>
  <c r="D311" i="1"/>
  <c r="E311" i="1" s="1"/>
  <c r="AB312" i="1"/>
  <c r="L312" i="1"/>
  <c r="AC312" i="1"/>
  <c r="O312" i="1"/>
  <c r="X312" i="1"/>
  <c r="AJ312" i="1"/>
  <c r="AK312" i="1"/>
  <c r="K312" i="1"/>
  <c r="A313" i="1"/>
  <c r="Q312" i="1"/>
  <c r="U312" i="1"/>
  <c r="I309" i="1"/>
  <c r="AA309" i="1"/>
  <c r="Z309" i="1" s="1"/>
  <c r="Y309" i="1" s="1"/>
  <c r="G309" i="1"/>
  <c r="BW309" i="6" s="1"/>
  <c r="K305" i="24"/>
  <c r="A306" i="24"/>
  <c r="X305" i="24"/>
  <c r="AB305" i="24"/>
  <c r="L305" i="24"/>
  <c r="AJ305" i="24"/>
  <c r="AK305" i="24"/>
  <c r="O305" i="24"/>
  <c r="AC305" i="24"/>
  <c r="L312" i="15" l="1"/>
  <c r="D312" i="15" s="1"/>
  <c r="K312" i="15"/>
  <c r="AC312" i="15"/>
  <c r="AB312" i="15"/>
  <c r="O312" i="15"/>
  <c r="E312" i="15" s="1"/>
  <c r="X312" i="15"/>
  <c r="AK312" i="15"/>
  <c r="A313" i="15"/>
  <c r="AJ312" i="15"/>
  <c r="E311" i="15"/>
  <c r="G310" i="1"/>
  <c r="BW310" i="6" s="1"/>
  <c r="E310" i="16"/>
  <c r="AB311" i="16"/>
  <c r="L311" i="16"/>
  <c r="D311" i="16" s="1"/>
  <c r="AJ311" i="16"/>
  <c r="AC311" i="16"/>
  <c r="A312" i="16"/>
  <c r="X311" i="16"/>
  <c r="K311" i="16"/>
  <c r="AK311" i="16"/>
  <c r="O311" i="16"/>
  <c r="F311" i="1"/>
  <c r="K306" i="24"/>
  <c r="X306" i="24"/>
  <c r="AB306" i="24"/>
  <c r="L306" i="24"/>
  <c r="A307" i="24"/>
  <c r="AK306" i="24"/>
  <c r="AJ306" i="24"/>
  <c r="O306" i="24"/>
  <c r="AC306" i="24"/>
  <c r="T312" i="1"/>
  <c r="AC313" i="1"/>
  <c r="O313" i="1"/>
  <c r="AJ313" i="1"/>
  <c r="X313" i="1"/>
  <c r="L313" i="1"/>
  <c r="A314" i="1"/>
  <c r="AK313" i="1"/>
  <c r="K313" i="1"/>
  <c r="Q313" i="1"/>
  <c r="AB313" i="1"/>
  <c r="U313" i="1"/>
  <c r="T313" i="1" s="1"/>
  <c r="X308" i="22"/>
  <c r="AB308" i="22"/>
  <c r="A309" i="22"/>
  <c r="L308" i="22"/>
  <c r="K308" i="22"/>
  <c r="AK308" i="22"/>
  <c r="AJ308" i="22"/>
  <c r="O308" i="22"/>
  <c r="AC308" i="22"/>
  <c r="AB309" i="20"/>
  <c r="L309" i="20"/>
  <c r="X309" i="20"/>
  <c r="K309" i="20"/>
  <c r="A310" i="20"/>
  <c r="AJ309" i="20"/>
  <c r="AK309" i="20"/>
  <c r="O309" i="20"/>
  <c r="AC309" i="20"/>
  <c r="AB307" i="23"/>
  <c r="L307" i="23"/>
  <c r="K307" i="23"/>
  <c r="A308" i="23"/>
  <c r="X307" i="23"/>
  <c r="AJ307" i="23"/>
  <c r="AK307" i="23"/>
  <c r="O307" i="23"/>
  <c r="AC307" i="23"/>
  <c r="D312" i="1"/>
  <c r="E312" i="1" s="1"/>
  <c r="A306" i="25"/>
  <c r="X305" i="25"/>
  <c r="L305" i="25"/>
  <c r="AB305" i="25"/>
  <c r="K305" i="25"/>
  <c r="AK305" i="25"/>
  <c r="AJ305" i="25"/>
  <c r="O305" i="25"/>
  <c r="AC305" i="25"/>
  <c r="L310" i="18"/>
  <c r="AB310" i="18"/>
  <c r="AJ310" i="18"/>
  <c r="A311" i="18"/>
  <c r="K310" i="18"/>
  <c r="X310" i="18"/>
  <c r="O310" i="18"/>
  <c r="AK310" i="18"/>
  <c r="AC310" i="18"/>
  <c r="A312" i="17"/>
  <c r="X311" i="17"/>
  <c r="L311" i="17"/>
  <c r="K311" i="17"/>
  <c r="AB311" i="17"/>
  <c r="AJ311" i="17"/>
  <c r="O311" i="17"/>
  <c r="AK311" i="17"/>
  <c r="AC311" i="17"/>
  <c r="L313" i="15" l="1"/>
  <c r="D313" i="15" s="1"/>
  <c r="AJ313" i="15"/>
  <c r="A314" i="15"/>
  <c r="AK313" i="15"/>
  <c r="K313" i="15"/>
  <c r="AB313" i="15"/>
  <c r="AC313" i="15"/>
  <c r="X313" i="15"/>
  <c r="O313" i="15"/>
  <c r="E311" i="16"/>
  <c r="X312" i="16"/>
  <c r="A313" i="16"/>
  <c r="AJ312" i="16"/>
  <c r="AC312" i="16"/>
  <c r="AB312" i="16"/>
  <c r="K312" i="16"/>
  <c r="L312" i="16"/>
  <c r="D312" i="16" s="1"/>
  <c r="AK312" i="16"/>
  <c r="O312" i="16"/>
  <c r="X308" i="23"/>
  <c r="AB308" i="23"/>
  <c r="K308" i="23"/>
  <c r="L308" i="23"/>
  <c r="A309" i="23"/>
  <c r="AJ308" i="23"/>
  <c r="AK308" i="23"/>
  <c r="O308" i="23"/>
  <c r="AC308" i="23"/>
  <c r="K310" i="20"/>
  <c r="AB310" i="20"/>
  <c r="X310" i="20"/>
  <c r="L310" i="20"/>
  <c r="A311" i="20"/>
  <c r="AJ310" i="20"/>
  <c r="AK310" i="20"/>
  <c r="O310" i="20"/>
  <c r="AC310" i="20"/>
  <c r="L314" i="1"/>
  <c r="AB314" i="1"/>
  <c r="AK314" i="1"/>
  <c r="Q314" i="1"/>
  <c r="O314" i="1"/>
  <c r="AC314" i="1"/>
  <c r="AJ314" i="1"/>
  <c r="A315" i="1"/>
  <c r="X314" i="1"/>
  <c r="K314" i="1"/>
  <c r="U314" i="1"/>
  <c r="S312" i="1"/>
  <c r="R312" i="1" s="1"/>
  <c r="P312" i="1" s="1"/>
  <c r="V312" i="1" s="1"/>
  <c r="F312" i="1" s="1"/>
  <c r="X307" i="24"/>
  <c r="L307" i="24"/>
  <c r="K307" i="24"/>
  <c r="AB307" i="24"/>
  <c r="A308" i="24"/>
  <c r="AJ307" i="24"/>
  <c r="AK307" i="24"/>
  <c r="O307" i="24"/>
  <c r="AC307" i="24"/>
  <c r="X312" i="17"/>
  <c r="AB312" i="17"/>
  <c r="K312" i="17"/>
  <c r="L312" i="17"/>
  <c r="A313" i="17"/>
  <c r="AJ312" i="17"/>
  <c r="O312" i="17"/>
  <c r="AK312" i="17"/>
  <c r="AC312" i="17"/>
  <c r="K311" i="18"/>
  <c r="X311" i="18"/>
  <c r="L311" i="18"/>
  <c r="AB311" i="18"/>
  <c r="AJ311" i="18"/>
  <c r="A312" i="18"/>
  <c r="AK311" i="18"/>
  <c r="O311" i="18"/>
  <c r="AC311" i="18"/>
  <c r="AB306" i="25"/>
  <c r="X306" i="25"/>
  <c r="K306" i="25"/>
  <c r="A307" i="25"/>
  <c r="L306" i="25"/>
  <c r="AJ306" i="25"/>
  <c r="O306" i="25"/>
  <c r="AK306" i="25"/>
  <c r="AC306" i="25"/>
  <c r="X309" i="22"/>
  <c r="K309" i="22"/>
  <c r="L309" i="22"/>
  <c r="A310" i="22"/>
  <c r="AB309" i="22"/>
  <c r="AJ309" i="22"/>
  <c r="AK309" i="22"/>
  <c r="O309" i="22"/>
  <c r="AC309" i="22"/>
  <c r="S313" i="1"/>
  <c r="R313" i="1" s="1"/>
  <c r="P313" i="1" s="1"/>
  <c r="V313" i="1" s="1"/>
  <c r="D313" i="1"/>
  <c r="E313" i="1" s="1"/>
  <c r="AA311" i="1"/>
  <c r="Z311" i="1" s="1"/>
  <c r="Y311" i="1" s="1"/>
  <c r="G311" i="1"/>
  <c r="BW311" i="6" s="1"/>
  <c r="I311" i="1"/>
  <c r="K314" i="15" l="1"/>
  <c r="X314" i="15"/>
  <c r="AC314" i="15"/>
  <c r="A315" i="15"/>
  <c r="O314" i="15"/>
  <c r="AB314" i="15"/>
  <c r="AK314" i="15"/>
  <c r="L314" i="15"/>
  <c r="D314" i="15" s="1"/>
  <c r="AJ314" i="15"/>
  <c r="E313" i="15"/>
  <c r="F313" i="1"/>
  <c r="AA313" i="1" s="1"/>
  <c r="Z313" i="1" s="1"/>
  <c r="Y313" i="1" s="1"/>
  <c r="AB313" i="16"/>
  <c r="K313" i="16"/>
  <c r="X313" i="16"/>
  <c r="AK313" i="16"/>
  <c r="O313" i="16"/>
  <c r="L313" i="16"/>
  <c r="D313" i="16" s="1"/>
  <c r="A314" i="16"/>
  <c r="AJ313" i="16"/>
  <c r="AC313" i="16"/>
  <c r="E312" i="16"/>
  <c r="X312" i="18"/>
  <c r="AJ312" i="18"/>
  <c r="L312" i="18"/>
  <c r="AB312" i="18"/>
  <c r="A313" i="18"/>
  <c r="K312" i="18"/>
  <c r="AK312" i="18"/>
  <c r="O312" i="18"/>
  <c r="AC312" i="18"/>
  <c r="K313" i="17"/>
  <c r="X313" i="17"/>
  <c r="A314" i="17"/>
  <c r="L313" i="17"/>
  <c r="AB313" i="17"/>
  <c r="AJ313" i="17"/>
  <c r="O313" i="17"/>
  <c r="AK313" i="17"/>
  <c r="AC313" i="17"/>
  <c r="I312" i="1"/>
  <c r="G312" i="1"/>
  <c r="BW312" i="6" s="1"/>
  <c r="AA312" i="1"/>
  <c r="Z312" i="1" s="1"/>
  <c r="Y312" i="1" s="1"/>
  <c r="T314" i="1"/>
  <c r="S314" i="1" s="1"/>
  <c r="R314" i="1" s="1"/>
  <c r="P314" i="1" s="1"/>
  <c r="V314" i="1" s="1"/>
  <c r="D314" i="1"/>
  <c r="E314" i="1" s="1"/>
  <c r="X309" i="23"/>
  <c r="AB309" i="23"/>
  <c r="K309" i="23"/>
  <c r="L309" i="23"/>
  <c r="A310" i="23"/>
  <c r="AJ309" i="23"/>
  <c r="AK309" i="23"/>
  <c r="O309" i="23"/>
  <c r="AC309" i="23"/>
  <c r="A311" i="22"/>
  <c r="K310" i="22"/>
  <c r="L310" i="22"/>
  <c r="AB310" i="22"/>
  <c r="X310" i="22"/>
  <c r="AJ310" i="22"/>
  <c r="AK310" i="22"/>
  <c r="O310" i="22"/>
  <c r="AC310" i="22"/>
  <c r="AB307" i="25"/>
  <c r="K307" i="25"/>
  <c r="L307" i="25"/>
  <c r="X307" i="25"/>
  <c r="A308" i="25"/>
  <c r="AJ307" i="25"/>
  <c r="O307" i="25"/>
  <c r="AK307" i="25"/>
  <c r="AC307" i="25"/>
  <c r="X308" i="24"/>
  <c r="L308" i="24"/>
  <c r="A309" i="24"/>
  <c r="K308" i="24"/>
  <c r="AB308" i="24"/>
  <c r="AJ308" i="24"/>
  <c r="AK308" i="24"/>
  <c r="O308" i="24"/>
  <c r="AC308" i="24"/>
  <c r="AB315" i="1"/>
  <c r="L315" i="1"/>
  <c r="A316" i="1"/>
  <c r="AC315" i="1"/>
  <c r="Q315" i="1"/>
  <c r="X315" i="1"/>
  <c r="O315" i="1"/>
  <c r="AK315" i="1"/>
  <c r="K315" i="1"/>
  <c r="AJ315" i="1"/>
  <c r="U315" i="1"/>
  <c r="X311" i="20"/>
  <c r="K311" i="20"/>
  <c r="A312" i="20"/>
  <c r="AB311" i="20"/>
  <c r="L311" i="20"/>
  <c r="AJ311" i="20"/>
  <c r="AK311" i="20"/>
  <c r="O311" i="20"/>
  <c r="AC311" i="20"/>
  <c r="I313" i="1" l="1"/>
  <c r="E314" i="15"/>
  <c r="A316" i="15"/>
  <c r="O315" i="15"/>
  <c r="X315" i="15"/>
  <c r="AJ315" i="15"/>
  <c r="K315" i="15"/>
  <c r="AK315" i="15"/>
  <c r="L315" i="15"/>
  <c r="D315" i="15" s="1"/>
  <c r="AB315" i="15"/>
  <c r="AC315" i="15"/>
  <c r="G313" i="1"/>
  <c r="BW313" i="6" s="1"/>
  <c r="E313" i="16"/>
  <c r="F314" i="1"/>
  <c r="AA314" i="1" s="1"/>
  <c r="Z314" i="1" s="1"/>
  <c r="Y314" i="1" s="1"/>
  <c r="K314" i="16"/>
  <c r="A315" i="16"/>
  <c r="AJ314" i="16"/>
  <c r="AC314" i="16"/>
  <c r="X314" i="16"/>
  <c r="L314" i="16"/>
  <c r="D314" i="16" s="1"/>
  <c r="AB314" i="16"/>
  <c r="AK314" i="16"/>
  <c r="O314" i="16"/>
  <c r="I314" i="1"/>
  <c r="A313" i="20"/>
  <c r="L312" i="20"/>
  <c r="K312" i="20"/>
  <c r="X312" i="20"/>
  <c r="AB312" i="20"/>
  <c r="AK312" i="20"/>
  <c r="AJ312" i="20"/>
  <c r="O312" i="20"/>
  <c r="AC312" i="20"/>
  <c r="D315" i="1"/>
  <c r="E315" i="1" s="1"/>
  <c r="A310" i="24"/>
  <c r="L309" i="24"/>
  <c r="AB309" i="24"/>
  <c r="X309" i="24"/>
  <c r="K309" i="24"/>
  <c r="AJ309" i="24"/>
  <c r="AK309" i="24"/>
  <c r="O309" i="24"/>
  <c r="AC309" i="24"/>
  <c r="A311" i="23"/>
  <c r="AB310" i="23"/>
  <c r="X310" i="23"/>
  <c r="L310" i="23"/>
  <c r="K310" i="23"/>
  <c r="AJ310" i="23"/>
  <c r="AK310" i="23"/>
  <c r="O310" i="23"/>
  <c r="AC310" i="23"/>
  <c r="AB314" i="17"/>
  <c r="A315" i="17"/>
  <c r="K314" i="17"/>
  <c r="L314" i="17"/>
  <c r="X314" i="17"/>
  <c r="AJ314" i="17"/>
  <c r="O314" i="17"/>
  <c r="AK314" i="17"/>
  <c r="AC314" i="17"/>
  <c r="T315" i="1"/>
  <c r="S315" i="1" s="1"/>
  <c r="R315" i="1" s="1"/>
  <c r="P315" i="1" s="1"/>
  <c r="V315" i="1" s="1"/>
  <c r="AB316" i="1"/>
  <c r="X316" i="1"/>
  <c r="AJ316" i="1"/>
  <c r="Q316" i="1"/>
  <c r="O316" i="1"/>
  <c r="AC316" i="1"/>
  <c r="K316" i="1"/>
  <c r="AK316" i="1"/>
  <c r="L316" i="1"/>
  <c r="A317" i="1"/>
  <c r="U316" i="1"/>
  <c r="T316" i="1" s="1"/>
  <c r="K308" i="25"/>
  <c r="AB308" i="25"/>
  <c r="A309" i="25"/>
  <c r="X308" i="25"/>
  <c r="L308" i="25"/>
  <c r="AJ308" i="25"/>
  <c r="AK308" i="25"/>
  <c r="O308" i="25"/>
  <c r="AC308" i="25"/>
  <c r="X311" i="22"/>
  <c r="A312" i="22"/>
  <c r="AB311" i="22"/>
  <c r="K311" i="22"/>
  <c r="L311" i="22"/>
  <c r="AK311" i="22"/>
  <c r="AJ311" i="22"/>
  <c r="O311" i="22"/>
  <c r="AC311" i="22"/>
  <c r="X313" i="18"/>
  <c r="AJ313" i="18"/>
  <c r="A314" i="18"/>
  <c r="AB313" i="18"/>
  <c r="K313" i="18"/>
  <c r="L313" i="18"/>
  <c r="O313" i="18"/>
  <c r="AK313" i="18"/>
  <c r="AC313" i="18"/>
  <c r="E315" i="15" l="1"/>
  <c r="L316" i="15"/>
  <c r="D316" i="15" s="1"/>
  <c r="X316" i="15"/>
  <c r="AC316" i="15"/>
  <c r="AB316" i="15"/>
  <c r="O316" i="15"/>
  <c r="A317" i="15"/>
  <c r="AK316" i="15"/>
  <c r="K316" i="15"/>
  <c r="AJ316" i="15"/>
  <c r="G314" i="1"/>
  <c r="BW314" i="6" s="1"/>
  <c r="F315" i="1"/>
  <c r="I315" i="1" s="1"/>
  <c r="E314" i="16"/>
  <c r="AB315" i="16"/>
  <c r="X315" i="16"/>
  <c r="AK315" i="16"/>
  <c r="AC315" i="16"/>
  <c r="K315" i="16"/>
  <c r="A316" i="16"/>
  <c r="L315" i="16"/>
  <c r="D315" i="16" s="1"/>
  <c r="AJ315" i="16"/>
  <c r="O315" i="16"/>
  <c r="D316" i="1"/>
  <c r="E316" i="1" s="1"/>
  <c r="AB313" i="20"/>
  <c r="K313" i="20"/>
  <c r="X313" i="20"/>
  <c r="L313" i="20"/>
  <c r="A314" i="20"/>
  <c r="AJ313" i="20"/>
  <c r="AK313" i="20"/>
  <c r="O313" i="20"/>
  <c r="AC313" i="20"/>
  <c r="S316" i="1"/>
  <c r="R316" i="1" s="1"/>
  <c r="P316" i="1" s="1"/>
  <c r="V316" i="1" s="1"/>
  <c r="AB314" i="18"/>
  <c r="X314" i="18"/>
  <c r="L314" i="18"/>
  <c r="A315" i="18"/>
  <c r="AJ314" i="18"/>
  <c r="K314" i="18"/>
  <c r="O314" i="18"/>
  <c r="AK314" i="18"/>
  <c r="AC314" i="18"/>
  <c r="AB312" i="22"/>
  <c r="X312" i="22"/>
  <c r="A313" i="22"/>
  <c r="K312" i="22"/>
  <c r="L312" i="22"/>
  <c r="AK312" i="22"/>
  <c r="AJ312" i="22"/>
  <c r="O312" i="22"/>
  <c r="AC312" i="22"/>
  <c r="AB309" i="25"/>
  <c r="K309" i="25"/>
  <c r="A310" i="25"/>
  <c r="X309" i="25"/>
  <c r="L309" i="25"/>
  <c r="AJ309" i="25"/>
  <c r="AK309" i="25"/>
  <c r="O309" i="25"/>
  <c r="AC309" i="25"/>
  <c r="AK317" i="1"/>
  <c r="K317" i="1"/>
  <c r="O317" i="1"/>
  <c r="Q317" i="1"/>
  <c r="A318" i="1"/>
  <c r="L317" i="1"/>
  <c r="AB317" i="1"/>
  <c r="AC317" i="1"/>
  <c r="X317" i="1"/>
  <c r="AJ317" i="1"/>
  <c r="U317" i="1"/>
  <c r="T317" i="1" s="1"/>
  <c r="AB315" i="17"/>
  <c r="A316" i="17"/>
  <c r="L315" i="17"/>
  <c r="X315" i="17"/>
  <c r="K315" i="17"/>
  <c r="AJ315" i="17"/>
  <c r="AK315" i="17"/>
  <c r="O315" i="17"/>
  <c r="AC315" i="17"/>
  <c r="A312" i="23"/>
  <c r="L311" i="23"/>
  <c r="K311" i="23"/>
  <c r="X311" i="23"/>
  <c r="AB311" i="23"/>
  <c r="AJ311" i="23"/>
  <c r="AK311" i="23"/>
  <c r="O311" i="23"/>
  <c r="AC311" i="23"/>
  <c r="AB310" i="24"/>
  <c r="L310" i="24"/>
  <c r="X310" i="24"/>
  <c r="A311" i="24"/>
  <c r="K310" i="24"/>
  <c r="AK310" i="24"/>
  <c r="AJ310" i="24"/>
  <c r="O310" i="24"/>
  <c r="AC310" i="24"/>
  <c r="E316" i="15" l="1"/>
  <c r="AA315" i="1"/>
  <c r="Z315" i="1" s="1"/>
  <c r="Y315" i="1" s="1"/>
  <c r="K317" i="15"/>
  <c r="O317" i="15"/>
  <c r="X317" i="15"/>
  <c r="AK317" i="15"/>
  <c r="L317" i="15"/>
  <c r="D317" i="15" s="1"/>
  <c r="AJ317" i="15"/>
  <c r="A318" i="15"/>
  <c r="AB317" i="15"/>
  <c r="AC317" i="15"/>
  <c r="G315" i="1"/>
  <c r="BW315" i="6" s="1"/>
  <c r="F316" i="1"/>
  <c r="AA316" i="1" s="1"/>
  <c r="Z316" i="1" s="1"/>
  <c r="Y316" i="1" s="1"/>
  <c r="AB316" i="16"/>
  <c r="X316" i="16"/>
  <c r="AJ316" i="16"/>
  <c r="AC316" i="16"/>
  <c r="L316" i="16"/>
  <c r="D316" i="16" s="1"/>
  <c r="A317" i="16"/>
  <c r="K316" i="16"/>
  <c r="AK316" i="16"/>
  <c r="O316" i="16"/>
  <c r="E315" i="16"/>
  <c r="S317" i="1"/>
  <c r="R317" i="1" s="1"/>
  <c r="P317" i="1" s="1"/>
  <c r="V317" i="1" s="1"/>
  <c r="X318" i="1"/>
  <c r="K318" i="1"/>
  <c r="AK318" i="1"/>
  <c r="Q318" i="1"/>
  <c r="AC318" i="1"/>
  <c r="O318" i="1"/>
  <c r="AB318" i="1"/>
  <c r="L318" i="1"/>
  <c r="AJ318" i="1"/>
  <c r="A319" i="1"/>
  <c r="U318" i="1"/>
  <c r="T318" i="1" s="1"/>
  <c r="K313" i="22"/>
  <c r="X313" i="22"/>
  <c r="L313" i="22"/>
  <c r="AB313" i="22"/>
  <c r="A314" i="22"/>
  <c r="AJ313" i="22"/>
  <c r="AK313" i="22"/>
  <c r="O313" i="22"/>
  <c r="AC313" i="22"/>
  <c r="A312" i="24"/>
  <c r="AB311" i="24"/>
  <c r="X311" i="24"/>
  <c r="L311" i="24"/>
  <c r="K311" i="24"/>
  <c r="AK311" i="24"/>
  <c r="AJ311" i="24"/>
  <c r="O311" i="24"/>
  <c r="AC311" i="24"/>
  <c r="AB312" i="23"/>
  <c r="X312" i="23"/>
  <c r="A313" i="23"/>
  <c r="L312" i="23"/>
  <c r="K312" i="23"/>
  <c r="AJ312" i="23"/>
  <c r="AK312" i="23"/>
  <c r="O312" i="23"/>
  <c r="AC312" i="23"/>
  <c r="A317" i="17"/>
  <c r="X316" i="17"/>
  <c r="L316" i="17"/>
  <c r="AB316" i="17"/>
  <c r="K316" i="17"/>
  <c r="O316" i="17"/>
  <c r="AJ316" i="17"/>
  <c r="AK316" i="17"/>
  <c r="AC316" i="17"/>
  <c r="D317" i="1"/>
  <c r="E317" i="1" s="1"/>
  <c r="X310" i="25"/>
  <c r="AB310" i="25"/>
  <c r="L310" i="25"/>
  <c r="K310" i="25"/>
  <c r="A311" i="25"/>
  <c r="AJ310" i="25"/>
  <c r="AK310" i="25"/>
  <c r="O310" i="25"/>
  <c r="AC310" i="25"/>
  <c r="K315" i="18"/>
  <c r="AB315" i="18"/>
  <c r="A316" i="18"/>
  <c r="L315" i="18"/>
  <c r="X315" i="18"/>
  <c r="AJ315" i="18"/>
  <c r="O315" i="18"/>
  <c r="AK315" i="18"/>
  <c r="AC315" i="18"/>
  <c r="X314" i="20"/>
  <c r="L314" i="20"/>
  <c r="K314" i="20"/>
  <c r="AB314" i="20"/>
  <c r="A315" i="20"/>
  <c r="AJ314" i="20"/>
  <c r="AK314" i="20"/>
  <c r="O314" i="20"/>
  <c r="AC314" i="20"/>
  <c r="G316" i="1" l="1"/>
  <c r="BW316" i="6" s="1"/>
  <c r="E317" i="15"/>
  <c r="X318" i="15"/>
  <c r="AK318" i="15"/>
  <c r="K318" i="15"/>
  <c r="A319" i="15"/>
  <c r="AC318" i="15"/>
  <c r="AB318" i="15"/>
  <c r="O318" i="15"/>
  <c r="L318" i="15"/>
  <c r="D318" i="15" s="1"/>
  <c r="AJ318" i="15"/>
  <c r="I316" i="1"/>
  <c r="E316" i="16"/>
  <c r="X317" i="16"/>
  <c r="AB317" i="16"/>
  <c r="A318" i="16"/>
  <c r="AK317" i="16"/>
  <c r="O317" i="16"/>
  <c r="K317" i="16"/>
  <c r="L317" i="16"/>
  <c r="D317" i="16" s="1"/>
  <c r="E317" i="16" s="1"/>
  <c r="AJ317" i="16"/>
  <c r="AC317" i="16"/>
  <c r="K316" i="18"/>
  <c r="L316" i="18"/>
  <c r="A317" i="18"/>
  <c r="X316" i="18"/>
  <c r="AB316" i="18"/>
  <c r="AJ316" i="18"/>
  <c r="AK316" i="18"/>
  <c r="O316" i="18"/>
  <c r="AC316" i="18"/>
  <c r="X312" i="24"/>
  <c r="K312" i="24"/>
  <c r="AB312" i="24"/>
  <c r="A313" i="24"/>
  <c r="L312" i="24"/>
  <c r="AJ312" i="24"/>
  <c r="AK312" i="24"/>
  <c r="O312" i="24"/>
  <c r="AC312" i="24"/>
  <c r="AB314" i="22"/>
  <c r="K314" i="22"/>
  <c r="A315" i="22"/>
  <c r="X314" i="22"/>
  <c r="L314" i="22"/>
  <c r="AK314" i="22"/>
  <c r="AJ314" i="22"/>
  <c r="O314" i="22"/>
  <c r="AC314" i="22"/>
  <c r="L319" i="1"/>
  <c r="Q319" i="1"/>
  <c r="O319" i="1"/>
  <c r="AB319" i="1"/>
  <c r="AC319" i="1"/>
  <c r="K319" i="1"/>
  <c r="AJ319" i="1"/>
  <c r="AK319" i="1"/>
  <c r="A320" i="1"/>
  <c r="X319" i="1"/>
  <c r="U319" i="1"/>
  <c r="D318" i="1"/>
  <c r="E318" i="1" s="1"/>
  <c r="AB315" i="20"/>
  <c r="L315" i="20"/>
  <c r="A316" i="20"/>
  <c r="K315" i="20"/>
  <c r="X315" i="20"/>
  <c r="AK315" i="20"/>
  <c r="AJ315" i="20"/>
  <c r="O315" i="20"/>
  <c r="AC315" i="20"/>
  <c r="A312" i="25"/>
  <c r="L311" i="25"/>
  <c r="K311" i="25"/>
  <c r="AB311" i="25"/>
  <c r="X311" i="25"/>
  <c r="AJ311" i="25"/>
  <c r="AK311" i="25"/>
  <c r="O311" i="25"/>
  <c r="AC311" i="25"/>
  <c r="F317" i="1"/>
  <c r="X317" i="17"/>
  <c r="AB317" i="17"/>
  <c r="A318" i="17"/>
  <c r="L317" i="17"/>
  <c r="K317" i="17"/>
  <c r="AJ317" i="17"/>
  <c r="O317" i="17"/>
  <c r="AK317" i="17"/>
  <c r="AC317" i="17"/>
  <c r="AB313" i="23"/>
  <c r="A314" i="23"/>
  <c r="K313" i="23"/>
  <c r="L313" i="23"/>
  <c r="X313" i="23"/>
  <c r="AJ313" i="23"/>
  <c r="AK313" i="23"/>
  <c r="O313" i="23"/>
  <c r="AC313" i="23"/>
  <c r="S318" i="1"/>
  <c r="R318" i="1" s="1"/>
  <c r="P318" i="1" s="1"/>
  <c r="V318" i="1" s="1"/>
  <c r="K61" i="19" s="1"/>
  <c r="E318" i="15" l="1"/>
  <c r="A320" i="15"/>
  <c r="AJ319" i="15"/>
  <c r="L319" i="15"/>
  <c r="D319" i="15" s="1"/>
  <c r="AB319" i="15"/>
  <c r="AC319" i="15"/>
  <c r="K319" i="15"/>
  <c r="O319" i="15"/>
  <c r="E319" i="15" s="1"/>
  <c r="X319" i="15"/>
  <c r="AK319" i="15"/>
  <c r="X318" i="16"/>
  <c r="A319" i="16"/>
  <c r="L318" i="16"/>
  <c r="D318" i="16" s="1"/>
  <c r="AJ318" i="16"/>
  <c r="O318" i="16"/>
  <c r="K318" i="16"/>
  <c r="AB318" i="16"/>
  <c r="AK318" i="16"/>
  <c r="AC318" i="16"/>
  <c r="I317" i="1"/>
  <c r="G317" i="1"/>
  <c r="BW317" i="6" s="1"/>
  <c r="AA317" i="1"/>
  <c r="Z317" i="1" s="1"/>
  <c r="Y317" i="1" s="1"/>
  <c r="AB316" i="20"/>
  <c r="X316" i="20"/>
  <c r="K316" i="20"/>
  <c r="L316" i="20"/>
  <c r="A317" i="20"/>
  <c r="AJ316" i="20"/>
  <c r="AK316" i="20"/>
  <c r="O316" i="20"/>
  <c r="AC316" i="20"/>
  <c r="T319" i="1"/>
  <c r="O320" i="1"/>
  <c r="X320" i="1"/>
  <c r="AC320" i="1"/>
  <c r="L320" i="1"/>
  <c r="AK320" i="1"/>
  <c r="AB320" i="1"/>
  <c r="A321" i="1"/>
  <c r="AJ320" i="1"/>
  <c r="K320" i="1"/>
  <c r="Q320" i="1"/>
  <c r="U320" i="1"/>
  <c r="T320" i="1" s="1"/>
  <c r="D319" i="1"/>
  <c r="E319" i="1" s="1"/>
  <c r="A315" i="23"/>
  <c r="X314" i="23"/>
  <c r="L314" i="23"/>
  <c r="K314" i="23"/>
  <c r="AB314" i="23"/>
  <c r="AJ314" i="23"/>
  <c r="AK314" i="23"/>
  <c r="O314" i="23"/>
  <c r="AC314" i="23"/>
  <c r="L318" i="17"/>
  <c r="AB318" i="17"/>
  <c r="X318" i="17"/>
  <c r="K318" i="17"/>
  <c r="A319" i="17"/>
  <c r="AJ318" i="17"/>
  <c r="O318" i="17"/>
  <c r="AK318" i="17"/>
  <c r="AC318" i="17"/>
  <c r="AB312" i="25"/>
  <c r="X312" i="25"/>
  <c r="K312" i="25"/>
  <c r="L312" i="25"/>
  <c r="A313" i="25"/>
  <c r="AJ312" i="25"/>
  <c r="O312" i="25"/>
  <c r="AK312" i="25"/>
  <c r="AC312" i="25"/>
  <c r="F318" i="1"/>
  <c r="AB315" i="22"/>
  <c r="K315" i="22"/>
  <c r="L315" i="22"/>
  <c r="X315" i="22"/>
  <c r="A316" i="22"/>
  <c r="AJ315" i="22"/>
  <c r="AK315" i="22"/>
  <c r="O315" i="22"/>
  <c r="AC315" i="22"/>
  <c r="K313" i="24"/>
  <c r="L313" i="24"/>
  <c r="X313" i="24"/>
  <c r="A314" i="24"/>
  <c r="AB313" i="24"/>
  <c r="AJ313" i="24"/>
  <c r="AK313" i="24"/>
  <c r="O313" i="24"/>
  <c r="AC313" i="24"/>
  <c r="X317" i="18"/>
  <c r="A318" i="18"/>
  <c r="K317" i="18"/>
  <c r="AB317" i="18"/>
  <c r="AJ317" i="18"/>
  <c r="L317" i="18"/>
  <c r="O317" i="18"/>
  <c r="AK317" i="18"/>
  <c r="AC317" i="18"/>
  <c r="X320" i="15" l="1"/>
  <c r="AK320" i="15"/>
  <c r="A321" i="15"/>
  <c r="AJ320" i="15"/>
  <c r="L320" i="15"/>
  <c r="D320" i="15" s="1"/>
  <c r="K320" i="15"/>
  <c r="O320" i="15"/>
  <c r="E320" i="15" s="1"/>
  <c r="AB320" i="15"/>
  <c r="AC320" i="15"/>
  <c r="E318" i="16"/>
  <c r="AB319" i="16"/>
  <c r="L319" i="16"/>
  <c r="D319" i="16" s="1"/>
  <c r="AJ319" i="16"/>
  <c r="AC319" i="16"/>
  <c r="A320" i="16"/>
  <c r="X319" i="16"/>
  <c r="K319" i="16"/>
  <c r="AK319" i="16"/>
  <c r="O319" i="16"/>
  <c r="AB314" i="24"/>
  <c r="K314" i="24"/>
  <c r="L314" i="24"/>
  <c r="A315" i="24"/>
  <c r="X314" i="24"/>
  <c r="AJ314" i="24"/>
  <c r="AK314" i="24"/>
  <c r="O314" i="24"/>
  <c r="AC314" i="24"/>
  <c r="G318" i="1"/>
  <c r="BW318" i="6" s="1"/>
  <c r="I318" i="1"/>
  <c r="AA318" i="1"/>
  <c r="Z318" i="1" s="1"/>
  <c r="Y318" i="1" s="1"/>
  <c r="K319" i="17"/>
  <c r="A320" i="17"/>
  <c r="AB319" i="17"/>
  <c r="L319" i="17"/>
  <c r="X319" i="17"/>
  <c r="AJ319" i="17"/>
  <c r="AK319" i="17"/>
  <c r="O319" i="17"/>
  <c r="AC319" i="17"/>
  <c r="AB315" i="23"/>
  <c r="A316" i="23"/>
  <c r="X315" i="23"/>
  <c r="L315" i="23"/>
  <c r="K315" i="23"/>
  <c r="AJ315" i="23"/>
  <c r="AK315" i="23"/>
  <c r="O315" i="23"/>
  <c r="AC315" i="23"/>
  <c r="D320" i="1"/>
  <c r="E320" i="1" s="1"/>
  <c r="K317" i="20"/>
  <c r="A318" i="20"/>
  <c r="L317" i="20"/>
  <c r="X317" i="20"/>
  <c r="AB317" i="20"/>
  <c r="AK317" i="20"/>
  <c r="AJ317" i="20"/>
  <c r="O317" i="20"/>
  <c r="AC317" i="20"/>
  <c r="K318" i="18"/>
  <c r="AB318" i="18"/>
  <c r="X318" i="18"/>
  <c r="A319" i="18"/>
  <c r="AJ318" i="18"/>
  <c r="L318" i="18"/>
  <c r="O318" i="18"/>
  <c r="AK318" i="18"/>
  <c r="AC318" i="18"/>
  <c r="A317" i="22"/>
  <c r="K316" i="22"/>
  <c r="AB316" i="22"/>
  <c r="X316" i="22"/>
  <c r="L316" i="22"/>
  <c r="AJ316" i="22"/>
  <c r="AK316" i="22"/>
  <c r="O316" i="22"/>
  <c r="AC316" i="22"/>
  <c r="A314" i="25"/>
  <c r="L313" i="25"/>
  <c r="K313" i="25"/>
  <c r="AB313" i="25"/>
  <c r="X313" i="25"/>
  <c r="AJ313" i="25"/>
  <c r="O313" i="25"/>
  <c r="AK313" i="25"/>
  <c r="AC313" i="25"/>
  <c r="S320" i="1"/>
  <c r="R320" i="1" s="1"/>
  <c r="P320" i="1" s="1"/>
  <c r="V320" i="1" s="1"/>
  <c r="AK321" i="1"/>
  <c r="AC321" i="1"/>
  <c r="O321" i="1"/>
  <c r="L321" i="1"/>
  <c r="AJ321" i="1"/>
  <c r="K321" i="1"/>
  <c r="AB321" i="1"/>
  <c r="A322" i="1"/>
  <c r="X321" i="1"/>
  <c r="Q321" i="1"/>
  <c r="U321" i="1"/>
  <c r="T321" i="1" s="1"/>
  <c r="S319" i="1"/>
  <c r="R319" i="1" s="1"/>
  <c r="P319" i="1" s="1"/>
  <c r="L321" i="15" l="1"/>
  <c r="D321" i="15" s="1"/>
  <c r="AC321" i="15"/>
  <c r="K321" i="15"/>
  <c r="AK321" i="15"/>
  <c r="A322" i="15"/>
  <c r="AJ321" i="15"/>
  <c r="X321" i="15"/>
  <c r="AB321" i="15"/>
  <c r="O321" i="15"/>
  <c r="K320" i="16"/>
  <c r="L320" i="16"/>
  <c r="D320" i="16" s="1"/>
  <c r="A321" i="16"/>
  <c r="AJ320" i="16"/>
  <c r="O320" i="16"/>
  <c r="X320" i="16"/>
  <c r="AB320" i="16"/>
  <c r="AK320" i="16"/>
  <c r="AC320" i="16"/>
  <c r="F320" i="1"/>
  <c r="I320" i="1" s="1"/>
  <c r="E319" i="16"/>
  <c r="V319" i="1"/>
  <c r="F319" i="1" s="1"/>
  <c r="K322" i="1"/>
  <c r="AK322" i="1"/>
  <c r="O322" i="1"/>
  <c r="AC322" i="1"/>
  <c r="AB322" i="1"/>
  <c r="L322" i="1"/>
  <c r="X322" i="1"/>
  <c r="Q322" i="1"/>
  <c r="A323" i="1"/>
  <c r="AJ322" i="1"/>
  <c r="U322" i="1"/>
  <c r="T322" i="1" s="1"/>
  <c r="S322" i="1" s="1"/>
  <c r="R322" i="1" s="1"/>
  <c r="D321" i="1"/>
  <c r="E321" i="1" s="1"/>
  <c r="AB317" i="22"/>
  <c r="L317" i="22"/>
  <c r="X317" i="22"/>
  <c r="K317" i="22"/>
  <c r="A318" i="22"/>
  <c r="AJ317" i="22"/>
  <c r="AK317" i="22"/>
  <c r="O317" i="22"/>
  <c r="AC317" i="22"/>
  <c r="K319" i="18"/>
  <c r="A320" i="18"/>
  <c r="AJ319" i="18"/>
  <c r="AB319" i="18"/>
  <c r="X319" i="18"/>
  <c r="L319" i="18"/>
  <c r="O319" i="18"/>
  <c r="AK319" i="18"/>
  <c r="AC319" i="18"/>
  <c r="X316" i="23"/>
  <c r="AB316" i="23"/>
  <c r="A317" i="23"/>
  <c r="L316" i="23"/>
  <c r="K316" i="23"/>
  <c r="AK316" i="23"/>
  <c r="AJ316" i="23"/>
  <c r="O316" i="23"/>
  <c r="AC316" i="23"/>
  <c r="S321" i="1"/>
  <c r="R321" i="1" s="1"/>
  <c r="P321" i="1" s="1"/>
  <c r="V321" i="1" s="1"/>
  <c r="A315" i="25"/>
  <c r="K314" i="25"/>
  <c r="AB314" i="25"/>
  <c r="X314" i="25"/>
  <c r="L314" i="25"/>
  <c r="AJ314" i="25"/>
  <c r="AK314" i="25"/>
  <c r="O314" i="25"/>
  <c r="AC314" i="25"/>
  <c r="X318" i="20"/>
  <c r="A319" i="20"/>
  <c r="AB318" i="20"/>
  <c r="K318" i="20"/>
  <c r="L318" i="20"/>
  <c r="AJ318" i="20"/>
  <c r="AK318" i="20"/>
  <c r="O318" i="20"/>
  <c r="AC318" i="20"/>
  <c r="X320" i="17"/>
  <c r="A321" i="17"/>
  <c r="AB320" i="17"/>
  <c r="K320" i="17"/>
  <c r="L320" i="17"/>
  <c r="AJ320" i="17"/>
  <c r="AK320" i="17"/>
  <c r="O320" i="17"/>
  <c r="AC320" i="17"/>
  <c r="K315" i="24"/>
  <c r="A316" i="24"/>
  <c r="X315" i="24"/>
  <c r="AB315" i="24"/>
  <c r="L315" i="24"/>
  <c r="AK315" i="24"/>
  <c r="O315" i="24"/>
  <c r="AJ315" i="24"/>
  <c r="AC315" i="24"/>
  <c r="X322" i="15" l="1"/>
  <c r="O322" i="15"/>
  <c r="L322" i="15"/>
  <c r="D322" i="15" s="1"/>
  <c r="AK322" i="15"/>
  <c r="AB322" i="15"/>
  <c r="AJ322" i="15"/>
  <c r="K322" i="15"/>
  <c r="A323" i="15"/>
  <c r="AC322" i="15"/>
  <c r="E321" i="15"/>
  <c r="E320" i="16"/>
  <c r="G320" i="1"/>
  <c r="BW320" i="6" s="1"/>
  <c r="AA320" i="1"/>
  <c r="Z320" i="1" s="1"/>
  <c r="Y320" i="1" s="1"/>
  <c r="P322" i="1"/>
  <c r="V322" i="1" s="1"/>
  <c r="L321" i="16"/>
  <c r="D321" i="16" s="1"/>
  <c r="A322" i="16"/>
  <c r="K321" i="16"/>
  <c r="AK321" i="16"/>
  <c r="O321" i="16"/>
  <c r="X321" i="16"/>
  <c r="AB321" i="16"/>
  <c r="AJ321" i="16"/>
  <c r="AC321" i="16"/>
  <c r="X316" i="24"/>
  <c r="AB316" i="24"/>
  <c r="A317" i="24"/>
  <c r="K316" i="24"/>
  <c r="L316" i="24"/>
  <c r="AJ316" i="24"/>
  <c r="AK316" i="24"/>
  <c r="O316" i="24"/>
  <c r="AC316" i="24"/>
  <c r="K317" i="23"/>
  <c r="X317" i="23"/>
  <c r="L317" i="23"/>
  <c r="A318" i="23"/>
  <c r="AB317" i="23"/>
  <c r="AK317" i="23"/>
  <c r="AJ317" i="23"/>
  <c r="O317" i="23"/>
  <c r="AC317" i="23"/>
  <c r="AB320" i="18"/>
  <c r="A321" i="18"/>
  <c r="AJ320" i="18"/>
  <c r="X320" i="18"/>
  <c r="L320" i="18"/>
  <c r="K320" i="18"/>
  <c r="AK320" i="18"/>
  <c r="O320" i="18"/>
  <c r="AC320" i="18"/>
  <c r="AB318" i="22"/>
  <c r="A319" i="22"/>
  <c r="K318" i="22"/>
  <c r="L318" i="22"/>
  <c r="X318" i="22"/>
  <c r="AJ318" i="22"/>
  <c r="AK318" i="22"/>
  <c r="O318" i="22"/>
  <c r="AC318" i="22"/>
  <c r="AJ323" i="1"/>
  <c r="O323" i="1"/>
  <c r="K323" i="1"/>
  <c r="Q323" i="1"/>
  <c r="L323" i="1"/>
  <c r="X323" i="1"/>
  <c r="AB323" i="1"/>
  <c r="AK323" i="1"/>
  <c r="AC323" i="1"/>
  <c r="A324" i="1"/>
  <c r="U323" i="1"/>
  <c r="T323" i="1" s="1"/>
  <c r="S323" i="1" s="1"/>
  <c r="R323" i="1" s="1"/>
  <c r="X321" i="17"/>
  <c r="A322" i="17"/>
  <c r="L321" i="17"/>
  <c r="AB321" i="17"/>
  <c r="K321" i="17"/>
  <c r="O321" i="17"/>
  <c r="AJ321" i="17"/>
  <c r="AK321" i="17"/>
  <c r="AC321" i="17"/>
  <c r="A320" i="20"/>
  <c r="X319" i="20"/>
  <c r="K319" i="20"/>
  <c r="AB319" i="20"/>
  <c r="L319" i="20"/>
  <c r="AJ319" i="20"/>
  <c r="AK319" i="20"/>
  <c r="O319" i="20"/>
  <c r="AC319" i="20"/>
  <c r="X315" i="25"/>
  <c r="AB315" i="25"/>
  <c r="L315" i="25"/>
  <c r="A316" i="25"/>
  <c r="K315" i="25"/>
  <c r="AJ315" i="25"/>
  <c r="O315" i="25"/>
  <c r="AK315" i="25"/>
  <c r="AC315" i="25"/>
  <c r="F321" i="1"/>
  <c r="D322" i="1"/>
  <c r="E322" i="1" s="1"/>
  <c r="AA319" i="1"/>
  <c r="Z319" i="1" s="1"/>
  <c r="Y319" i="1" s="1"/>
  <c r="G319" i="1"/>
  <c r="BW319" i="6" s="1"/>
  <c r="I319" i="1"/>
  <c r="E322" i="15" l="1"/>
  <c r="P323" i="1"/>
  <c r="V323" i="1" s="1"/>
  <c r="L323" i="15"/>
  <c r="D323" i="15" s="1"/>
  <c r="X323" i="15"/>
  <c r="AC323" i="15"/>
  <c r="AB323" i="15"/>
  <c r="O323" i="15"/>
  <c r="E323" i="15" s="1"/>
  <c r="A324" i="15"/>
  <c r="AK323" i="15"/>
  <c r="K323" i="15"/>
  <c r="AJ323" i="15"/>
  <c r="K322" i="16"/>
  <c r="X322" i="16"/>
  <c r="AJ322" i="16"/>
  <c r="AC322" i="16"/>
  <c r="A323" i="16"/>
  <c r="L322" i="16"/>
  <c r="D322" i="16" s="1"/>
  <c r="AB322" i="16"/>
  <c r="AK322" i="16"/>
  <c r="O322" i="16"/>
  <c r="E321" i="16"/>
  <c r="F322" i="1"/>
  <c r="I321" i="1"/>
  <c r="G321" i="1"/>
  <c r="BW321" i="6" s="1"/>
  <c r="AA321" i="1"/>
  <c r="Z321" i="1" s="1"/>
  <c r="Y321" i="1" s="1"/>
  <c r="X316" i="25"/>
  <c r="AB316" i="25"/>
  <c r="L316" i="25"/>
  <c r="K316" i="25"/>
  <c r="A317" i="25"/>
  <c r="AJ316" i="25"/>
  <c r="AK316" i="25"/>
  <c r="O316" i="25"/>
  <c r="AC316" i="25"/>
  <c r="K320" i="20"/>
  <c r="AB320" i="20"/>
  <c r="L320" i="20"/>
  <c r="A321" i="20"/>
  <c r="X320" i="20"/>
  <c r="AJ320" i="20"/>
  <c r="AK320" i="20"/>
  <c r="O320" i="20"/>
  <c r="AC320" i="20"/>
  <c r="K324" i="1"/>
  <c r="AK324" i="1"/>
  <c r="L324" i="1"/>
  <c r="AB324" i="1"/>
  <c r="X324" i="1"/>
  <c r="O324" i="1"/>
  <c r="AJ324" i="1"/>
  <c r="Q324" i="1"/>
  <c r="AC324" i="1"/>
  <c r="A325" i="1"/>
  <c r="U324" i="1"/>
  <c r="T324" i="1" s="1"/>
  <c r="A322" i="18"/>
  <c r="K321" i="18"/>
  <c r="L321" i="18"/>
  <c r="AB321" i="18"/>
  <c r="AJ321" i="18"/>
  <c r="X321" i="18"/>
  <c r="O321" i="18"/>
  <c r="AK321" i="18"/>
  <c r="AC321" i="18"/>
  <c r="AB322" i="17"/>
  <c r="X322" i="17"/>
  <c r="K322" i="17"/>
  <c r="L322" i="17"/>
  <c r="A323" i="17"/>
  <c r="O322" i="17"/>
  <c r="AK322" i="17"/>
  <c r="AJ322" i="17"/>
  <c r="AC322" i="17"/>
  <c r="D323" i="1"/>
  <c r="E323" i="1" s="1"/>
  <c r="K319" i="22"/>
  <c r="A320" i="22"/>
  <c r="AB319" i="22"/>
  <c r="L319" i="22"/>
  <c r="X319" i="22"/>
  <c r="AJ319" i="22"/>
  <c r="AK319" i="22"/>
  <c r="O319" i="22"/>
  <c r="AC319" i="22"/>
  <c r="AB318" i="23"/>
  <c r="K318" i="23"/>
  <c r="X318" i="23"/>
  <c r="L318" i="23"/>
  <c r="A319" i="23"/>
  <c r="AJ318" i="23"/>
  <c r="AK318" i="23"/>
  <c r="O318" i="23"/>
  <c r="AC318" i="23"/>
  <c r="AB317" i="24"/>
  <c r="X317" i="24"/>
  <c r="K317" i="24"/>
  <c r="L317" i="24"/>
  <c r="A318" i="24"/>
  <c r="AJ317" i="24"/>
  <c r="AK317" i="24"/>
  <c r="O317" i="24"/>
  <c r="AC317" i="24"/>
  <c r="AB324" i="15" l="1"/>
  <c r="AK324" i="15"/>
  <c r="X324" i="15"/>
  <c r="AJ324" i="15"/>
  <c r="A325" i="15"/>
  <c r="L324" i="15"/>
  <c r="D324" i="15" s="1"/>
  <c r="O324" i="15"/>
  <c r="K324" i="15"/>
  <c r="AC324" i="15"/>
  <c r="E322" i="16"/>
  <c r="AB323" i="16"/>
  <c r="L323" i="16"/>
  <c r="D323" i="16" s="1"/>
  <c r="X323" i="16"/>
  <c r="AK323" i="16"/>
  <c r="O323" i="16"/>
  <c r="K323" i="16"/>
  <c r="A324" i="16"/>
  <c r="AJ323" i="16"/>
  <c r="AC323" i="16"/>
  <c r="X318" i="24"/>
  <c r="AB318" i="24"/>
  <c r="K318" i="24"/>
  <c r="A319" i="24"/>
  <c r="L318" i="24"/>
  <c r="AK318" i="24"/>
  <c r="AJ318" i="24"/>
  <c r="O318" i="24"/>
  <c r="AC318" i="24"/>
  <c r="AB319" i="23"/>
  <c r="X319" i="23"/>
  <c r="K319" i="23"/>
  <c r="L319" i="23"/>
  <c r="A320" i="23"/>
  <c r="AJ319" i="23"/>
  <c r="AK319" i="23"/>
  <c r="O319" i="23"/>
  <c r="AC319" i="23"/>
  <c r="K320" i="22"/>
  <c r="AB320" i="22"/>
  <c r="L320" i="22"/>
  <c r="A321" i="22"/>
  <c r="X320" i="22"/>
  <c r="AJ320" i="22"/>
  <c r="AK320" i="22"/>
  <c r="O320" i="22"/>
  <c r="AC320" i="22"/>
  <c r="K322" i="18"/>
  <c r="AJ322" i="18"/>
  <c r="AB322" i="18"/>
  <c r="X322" i="18"/>
  <c r="A323" i="18"/>
  <c r="L322" i="18"/>
  <c r="AK322" i="18"/>
  <c r="O322" i="18"/>
  <c r="AC322" i="18"/>
  <c r="S324" i="1"/>
  <c r="R324" i="1" s="1"/>
  <c r="P324" i="1" s="1"/>
  <c r="V324" i="1" s="1"/>
  <c r="D324" i="1"/>
  <c r="E324" i="1" s="1"/>
  <c r="A322" i="20"/>
  <c r="K321" i="20"/>
  <c r="AB321" i="20"/>
  <c r="X321" i="20"/>
  <c r="L321" i="20"/>
  <c r="AJ321" i="20"/>
  <c r="AK321" i="20"/>
  <c r="O321" i="20"/>
  <c r="AC321" i="20"/>
  <c r="X317" i="25"/>
  <c r="L317" i="25"/>
  <c r="K317" i="25"/>
  <c r="A318" i="25"/>
  <c r="AB317" i="25"/>
  <c r="AJ317" i="25"/>
  <c r="O317" i="25"/>
  <c r="AK317" i="25"/>
  <c r="AC317" i="25"/>
  <c r="G322" i="1"/>
  <c r="BW322" i="6" s="1"/>
  <c r="I322" i="1"/>
  <c r="AA322" i="1"/>
  <c r="Z322" i="1" s="1"/>
  <c r="Y322" i="1" s="1"/>
  <c r="F323" i="1"/>
  <c r="L323" i="17"/>
  <c r="X323" i="17"/>
  <c r="A324" i="17"/>
  <c r="K323" i="17"/>
  <c r="AB323" i="17"/>
  <c r="AJ323" i="17"/>
  <c r="AK323" i="17"/>
  <c r="O323" i="17"/>
  <c r="AC323" i="17"/>
  <c r="AJ325" i="1"/>
  <c r="Q325" i="1"/>
  <c r="AK325" i="1"/>
  <c r="K325" i="1"/>
  <c r="X325" i="1"/>
  <c r="AB325" i="1"/>
  <c r="O325" i="1"/>
  <c r="L325" i="1"/>
  <c r="A326" i="1"/>
  <c r="AC325" i="1"/>
  <c r="U325" i="1"/>
  <c r="T325" i="1" s="1"/>
  <c r="E324" i="15" l="1"/>
  <c r="AB325" i="15"/>
  <c r="O325" i="15"/>
  <c r="X325" i="15"/>
  <c r="AJ325" i="15"/>
  <c r="K325" i="15"/>
  <c r="AK325" i="15"/>
  <c r="L325" i="15"/>
  <c r="D325" i="15" s="1"/>
  <c r="A326" i="15"/>
  <c r="AC325" i="15"/>
  <c r="E323" i="16"/>
  <c r="A325" i="16"/>
  <c r="L324" i="16"/>
  <c r="D324" i="16" s="1"/>
  <c r="AK324" i="16"/>
  <c r="AC324" i="16"/>
  <c r="AB324" i="16"/>
  <c r="K324" i="16"/>
  <c r="X324" i="16"/>
  <c r="AJ324" i="16"/>
  <c r="O324" i="16"/>
  <c r="D325" i="1"/>
  <c r="E325" i="1" s="1"/>
  <c r="K324" i="17"/>
  <c r="A325" i="17"/>
  <c r="L324" i="17"/>
  <c r="AB324" i="17"/>
  <c r="X324" i="17"/>
  <c r="AJ324" i="17"/>
  <c r="O324" i="17"/>
  <c r="AK324" i="17"/>
  <c r="AC324" i="17"/>
  <c r="X318" i="25"/>
  <c r="K318" i="25"/>
  <c r="AB318" i="25"/>
  <c r="L318" i="25"/>
  <c r="A319" i="25"/>
  <c r="AJ318" i="25"/>
  <c r="O318" i="25"/>
  <c r="AK318" i="25"/>
  <c r="AC318" i="25"/>
  <c r="X322" i="20"/>
  <c r="K322" i="20"/>
  <c r="AB322" i="20"/>
  <c r="A323" i="20"/>
  <c r="L322" i="20"/>
  <c r="AJ322" i="20"/>
  <c r="AK322" i="20"/>
  <c r="O322" i="20"/>
  <c r="AC322" i="20"/>
  <c r="X323" i="18"/>
  <c r="AJ323" i="18"/>
  <c r="K323" i="18"/>
  <c r="A324" i="18"/>
  <c r="AB323" i="18"/>
  <c r="L323" i="18"/>
  <c r="AK323" i="18"/>
  <c r="O323" i="18"/>
  <c r="AC323" i="18"/>
  <c r="K321" i="22"/>
  <c r="A322" i="22"/>
  <c r="L321" i="22"/>
  <c r="AB321" i="22"/>
  <c r="X321" i="22"/>
  <c r="AK321" i="22"/>
  <c r="AJ321" i="22"/>
  <c r="O321" i="22"/>
  <c r="AC321" i="22"/>
  <c r="K320" i="23"/>
  <c r="L320" i="23"/>
  <c r="A321" i="23"/>
  <c r="AB320" i="23"/>
  <c r="X320" i="23"/>
  <c r="AK320" i="23"/>
  <c r="AJ320" i="23"/>
  <c r="O320" i="23"/>
  <c r="AC320" i="23"/>
  <c r="X319" i="24"/>
  <c r="K319" i="24"/>
  <c r="A320" i="24"/>
  <c r="AB319" i="24"/>
  <c r="L319" i="24"/>
  <c r="AJ319" i="24"/>
  <c r="AK319" i="24"/>
  <c r="O319" i="24"/>
  <c r="AC319" i="24"/>
  <c r="S325" i="1"/>
  <c r="R325" i="1" s="1"/>
  <c r="P325" i="1" s="1"/>
  <c r="V325" i="1" s="1"/>
  <c r="AJ326" i="1"/>
  <c r="Q326" i="1"/>
  <c r="AK326" i="1"/>
  <c r="AB326" i="1"/>
  <c r="X326" i="1"/>
  <c r="A327" i="1"/>
  <c r="O326" i="1"/>
  <c r="AC326" i="1"/>
  <c r="L326" i="1"/>
  <c r="K326" i="1"/>
  <c r="U326" i="1"/>
  <c r="T326" i="1" s="1"/>
  <c r="S326" i="1" s="1"/>
  <c r="R326" i="1" s="1"/>
  <c r="G323" i="1"/>
  <c r="BW323" i="6" s="1"/>
  <c r="I323" i="1"/>
  <c r="AA323" i="1"/>
  <c r="Z323" i="1" s="1"/>
  <c r="Y323" i="1" s="1"/>
  <c r="F324" i="1"/>
  <c r="X326" i="15" l="1"/>
  <c r="AJ326" i="15"/>
  <c r="K326" i="15"/>
  <c r="A327" i="15"/>
  <c r="AC326" i="15"/>
  <c r="L326" i="15"/>
  <c r="D326" i="15" s="1"/>
  <c r="O326" i="15"/>
  <c r="AB326" i="15"/>
  <c r="AK326" i="15"/>
  <c r="E325" i="15"/>
  <c r="P326" i="1"/>
  <c r="V326" i="1" s="1"/>
  <c r="L325" i="16"/>
  <c r="D325" i="16" s="1"/>
  <c r="K325" i="16"/>
  <c r="X325" i="16"/>
  <c r="AK325" i="16"/>
  <c r="O325" i="16"/>
  <c r="A326" i="16"/>
  <c r="AB325" i="16"/>
  <c r="AJ325" i="16"/>
  <c r="AC325" i="16"/>
  <c r="E324" i="16"/>
  <c r="G324" i="1"/>
  <c r="BW324" i="6" s="1"/>
  <c r="I324" i="1"/>
  <c r="AA324" i="1"/>
  <c r="Z324" i="1" s="1"/>
  <c r="Y324" i="1" s="1"/>
  <c r="F325" i="1"/>
  <c r="AK327" i="1"/>
  <c r="AC327" i="1"/>
  <c r="A328" i="1"/>
  <c r="AB327" i="1"/>
  <c r="O327" i="1"/>
  <c r="X327" i="1"/>
  <c r="AJ327" i="1"/>
  <c r="L327" i="1"/>
  <c r="Q327" i="1"/>
  <c r="K327" i="1"/>
  <c r="U327" i="1"/>
  <c r="T327" i="1" s="1"/>
  <c r="A321" i="24"/>
  <c r="K320" i="24"/>
  <c r="L320" i="24"/>
  <c r="X320" i="24"/>
  <c r="AB320" i="24"/>
  <c r="AJ320" i="24"/>
  <c r="AK320" i="24"/>
  <c r="O320" i="24"/>
  <c r="AC320" i="24"/>
  <c r="D326" i="1"/>
  <c r="E326" i="1" s="1"/>
  <c r="A322" i="23"/>
  <c r="AB321" i="23"/>
  <c r="X321" i="23"/>
  <c r="K321" i="23"/>
  <c r="L321" i="23"/>
  <c r="AJ321" i="23"/>
  <c r="AK321" i="23"/>
  <c r="O321" i="23"/>
  <c r="AC321" i="23"/>
  <c r="K322" i="22"/>
  <c r="X322" i="22"/>
  <c r="AB322" i="22"/>
  <c r="A323" i="22"/>
  <c r="L322" i="22"/>
  <c r="AK322" i="22"/>
  <c r="AJ322" i="22"/>
  <c r="O322" i="22"/>
  <c r="AC322" i="22"/>
  <c r="A325" i="18"/>
  <c r="AJ324" i="18"/>
  <c r="AB324" i="18"/>
  <c r="X324" i="18"/>
  <c r="K324" i="18"/>
  <c r="L324" i="18"/>
  <c r="O324" i="18"/>
  <c r="AK324" i="18"/>
  <c r="AC324" i="18"/>
  <c r="K323" i="20"/>
  <c r="AB323" i="20"/>
  <c r="A324" i="20"/>
  <c r="X323" i="20"/>
  <c r="L323" i="20"/>
  <c r="AJ323" i="20"/>
  <c r="AK323" i="20"/>
  <c r="O323" i="20"/>
  <c r="AC323" i="20"/>
  <c r="K319" i="25"/>
  <c r="A320" i="25"/>
  <c r="X319" i="25"/>
  <c r="AB319" i="25"/>
  <c r="L319" i="25"/>
  <c r="AJ319" i="25"/>
  <c r="O319" i="25"/>
  <c r="AK319" i="25"/>
  <c r="AC319" i="25"/>
  <c r="AB325" i="17"/>
  <c r="X325" i="17"/>
  <c r="A326" i="17"/>
  <c r="L325" i="17"/>
  <c r="K325" i="17"/>
  <c r="AJ325" i="17"/>
  <c r="O325" i="17"/>
  <c r="AK325" i="17"/>
  <c r="AC325" i="17"/>
  <c r="E326" i="15" l="1"/>
  <c r="A328" i="15"/>
  <c r="AJ327" i="15"/>
  <c r="X327" i="15"/>
  <c r="AB327" i="15"/>
  <c r="AC327" i="15"/>
  <c r="K327" i="15"/>
  <c r="O327" i="15"/>
  <c r="L327" i="15"/>
  <c r="D327" i="15" s="1"/>
  <c r="AK327" i="15"/>
  <c r="F326" i="1"/>
  <c r="AA326" i="1" s="1"/>
  <c r="Z326" i="1" s="1"/>
  <c r="Y326" i="1" s="1"/>
  <c r="X326" i="16"/>
  <c r="AB326" i="16"/>
  <c r="AJ326" i="16"/>
  <c r="AC326" i="16"/>
  <c r="K326" i="16"/>
  <c r="L326" i="16"/>
  <c r="D326" i="16" s="1"/>
  <c r="A327" i="16"/>
  <c r="AK326" i="16"/>
  <c r="O326" i="16"/>
  <c r="E325" i="16"/>
  <c r="X326" i="17"/>
  <c r="A327" i="17"/>
  <c r="L326" i="17"/>
  <c r="K326" i="17"/>
  <c r="AB326" i="17"/>
  <c r="O326" i="17"/>
  <c r="AJ326" i="17"/>
  <c r="AK326" i="17"/>
  <c r="AC326" i="17"/>
  <c r="AB325" i="18"/>
  <c r="AJ325" i="18"/>
  <c r="L325" i="18"/>
  <c r="K325" i="18"/>
  <c r="X325" i="18"/>
  <c r="A326" i="18"/>
  <c r="AK325" i="18"/>
  <c r="O325" i="18"/>
  <c r="AC325" i="18"/>
  <c r="K323" i="22"/>
  <c r="A324" i="22"/>
  <c r="AB323" i="22"/>
  <c r="L323" i="22"/>
  <c r="X323" i="22"/>
  <c r="AJ323" i="22"/>
  <c r="AK323" i="22"/>
  <c r="O323" i="22"/>
  <c r="AC323" i="22"/>
  <c r="A323" i="23"/>
  <c r="AB322" i="23"/>
  <c r="X322" i="23"/>
  <c r="K322" i="23"/>
  <c r="L322" i="23"/>
  <c r="AK322" i="23"/>
  <c r="AJ322" i="23"/>
  <c r="O322" i="23"/>
  <c r="AC322" i="23"/>
  <c r="AB321" i="24"/>
  <c r="L321" i="24"/>
  <c r="X321" i="24"/>
  <c r="K321" i="24"/>
  <c r="A322" i="24"/>
  <c r="AJ321" i="24"/>
  <c r="AK321" i="24"/>
  <c r="O321" i="24"/>
  <c r="AC321" i="24"/>
  <c r="D327" i="1"/>
  <c r="E327" i="1" s="1"/>
  <c r="G325" i="1"/>
  <c r="BW325" i="6" s="1"/>
  <c r="I325" i="1"/>
  <c r="AA325" i="1"/>
  <c r="Z325" i="1" s="1"/>
  <c r="Y325" i="1" s="1"/>
  <c r="K320" i="25"/>
  <c r="AB320" i="25"/>
  <c r="L320" i="25"/>
  <c r="X320" i="25"/>
  <c r="A321" i="25"/>
  <c r="AJ320" i="25"/>
  <c r="O320" i="25"/>
  <c r="AK320" i="25"/>
  <c r="AC320" i="25"/>
  <c r="K324" i="20"/>
  <c r="A325" i="20"/>
  <c r="L324" i="20"/>
  <c r="AB324" i="20"/>
  <c r="X324" i="20"/>
  <c r="AJ324" i="20"/>
  <c r="AK324" i="20"/>
  <c r="O324" i="20"/>
  <c r="AC324" i="20"/>
  <c r="S327" i="1"/>
  <c r="R327" i="1" s="1"/>
  <c r="P327" i="1" s="1"/>
  <c r="V327" i="1" s="1"/>
  <c r="A329" i="1"/>
  <c r="AK328" i="1"/>
  <c r="K328" i="1"/>
  <c r="O328" i="1"/>
  <c r="AC328" i="1"/>
  <c r="X328" i="1"/>
  <c r="L328" i="1"/>
  <c r="Q328" i="1"/>
  <c r="AJ328" i="1"/>
  <c r="AB328" i="1"/>
  <c r="U328" i="1"/>
  <c r="T328" i="1" s="1"/>
  <c r="G326" i="1" l="1"/>
  <c r="BW326" i="6" s="1"/>
  <c r="I326" i="1"/>
  <c r="E327" i="15"/>
  <c r="L328" i="15"/>
  <c r="D328" i="15" s="1"/>
  <c r="O328" i="15"/>
  <c r="A329" i="15"/>
  <c r="AJ328" i="15"/>
  <c r="K328" i="15"/>
  <c r="AK328" i="15"/>
  <c r="AB328" i="15"/>
  <c r="X328" i="15"/>
  <c r="AC328" i="15"/>
  <c r="E326" i="16"/>
  <c r="X327" i="16"/>
  <c r="AB327" i="16"/>
  <c r="AK327" i="16"/>
  <c r="AC327" i="16"/>
  <c r="L327" i="16"/>
  <c r="D327" i="16" s="1"/>
  <c r="K327" i="16"/>
  <c r="A328" i="16"/>
  <c r="AJ327" i="16"/>
  <c r="O327" i="16"/>
  <c r="F327" i="1"/>
  <c r="K325" i="20"/>
  <c r="A326" i="20"/>
  <c r="L325" i="20"/>
  <c r="AB325" i="20"/>
  <c r="X325" i="20"/>
  <c r="AK325" i="20"/>
  <c r="AJ325" i="20"/>
  <c r="O325" i="20"/>
  <c r="AC325" i="20"/>
  <c r="K321" i="25"/>
  <c r="AB321" i="25"/>
  <c r="X321" i="25"/>
  <c r="A322" i="25"/>
  <c r="L321" i="25"/>
  <c r="AJ321" i="25"/>
  <c r="AK321" i="25"/>
  <c r="O321" i="25"/>
  <c r="AC321" i="25"/>
  <c r="A327" i="18"/>
  <c r="K326" i="18"/>
  <c r="X326" i="18"/>
  <c r="L326" i="18"/>
  <c r="AB326" i="18"/>
  <c r="AJ326" i="18"/>
  <c r="O326" i="18"/>
  <c r="AK326" i="18"/>
  <c r="AC326" i="18"/>
  <c r="S328" i="1"/>
  <c r="R328" i="1" s="1"/>
  <c r="P328" i="1" s="1"/>
  <c r="V328" i="1" s="1"/>
  <c r="D328" i="1"/>
  <c r="E328" i="1" s="1"/>
  <c r="Q329" i="1"/>
  <c r="L329" i="1"/>
  <c r="X329" i="1"/>
  <c r="A330" i="1"/>
  <c r="AB329" i="1"/>
  <c r="AK329" i="1"/>
  <c r="AJ329" i="1"/>
  <c r="K329" i="1"/>
  <c r="O329" i="1"/>
  <c r="AC329" i="1"/>
  <c r="U329" i="1"/>
  <c r="T329" i="1" s="1"/>
  <c r="S329" i="1" s="1"/>
  <c r="R329" i="1" s="1"/>
  <c r="A323" i="24"/>
  <c r="X322" i="24"/>
  <c r="AB322" i="24"/>
  <c r="L322" i="24"/>
  <c r="K322" i="24"/>
  <c r="AJ322" i="24"/>
  <c r="AK322" i="24"/>
  <c r="O322" i="24"/>
  <c r="AC322" i="24"/>
  <c r="K323" i="23"/>
  <c r="AB323" i="23"/>
  <c r="X323" i="23"/>
  <c r="L323" i="23"/>
  <c r="A324" i="23"/>
  <c r="AJ323" i="23"/>
  <c r="AK323" i="23"/>
  <c r="O323" i="23"/>
  <c r="AC323" i="23"/>
  <c r="A325" i="22"/>
  <c r="K324" i="22"/>
  <c r="AB324" i="22"/>
  <c r="X324" i="22"/>
  <c r="L324" i="22"/>
  <c r="AJ324" i="22"/>
  <c r="AK324" i="22"/>
  <c r="O324" i="22"/>
  <c r="AC324" i="22"/>
  <c r="AB327" i="17"/>
  <c r="L327" i="17"/>
  <c r="X327" i="17"/>
  <c r="A328" i="17"/>
  <c r="K327" i="17"/>
  <c r="AJ327" i="17"/>
  <c r="AK327" i="17"/>
  <c r="O327" i="17"/>
  <c r="AC327" i="17"/>
  <c r="P329" i="1" l="1"/>
  <c r="V329" i="1" s="1"/>
  <c r="E328" i="15"/>
  <c r="K329" i="15"/>
  <c r="AC329" i="15"/>
  <c r="A330" i="15"/>
  <c r="AK329" i="15"/>
  <c r="L329" i="15"/>
  <c r="D329" i="15" s="1"/>
  <c r="AJ329" i="15"/>
  <c r="AB329" i="15"/>
  <c r="X329" i="15"/>
  <c r="O329" i="15"/>
  <c r="E329" i="15" s="1"/>
  <c r="F328" i="1"/>
  <c r="AA328" i="1" s="1"/>
  <c r="Z328" i="1" s="1"/>
  <c r="Y328" i="1" s="1"/>
  <c r="AB328" i="16"/>
  <c r="K328" i="16"/>
  <c r="X328" i="16"/>
  <c r="AK328" i="16"/>
  <c r="O328" i="16"/>
  <c r="L328" i="16"/>
  <c r="D328" i="16" s="1"/>
  <c r="A329" i="16"/>
  <c r="AJ328" i="16"/>
  <c r="AC328" i="16"/>
  <c r="E327" i="16"/>
  <c r="AB325" i="22"/>
  <c r="A326" i="22"/>
  <c r="K325" i="22"/>
  <c r="L325" i="22"/>
  <c r="X325" i="22"/>
  <c r="AJ325" i="22"/>
  <c r="AK325" i="22"/>
  <c r="O325" i="22"/>
  <c r="AC325" i="22"/>
  <c r="A324" i="24"/>
  <c r="X323" i="24"/>
  <c r="L323" i="24"/>
  <c r="AB323" i="24"/>
  <c r="K323" i="24"/>
  <c r="AJ323" i="24"/>
  <c r="AK323" i="24"/>
  <c r="O323" i="24"/>
  <c r="AC323" i="24"/>
  <c r="A323" i="25"/>
  <c r="X322" i="25"/>
  <c r="L322" i="25"/>
  <c r="AB322" i="25"/>
  <c r="K322" i="25"/>
  <c r="AK322" i="25"/>
  <c r="AJ322" i="25"/>
  <c r="O322" i="25"/>
  <c r="AC322" i="25"/>
  <c r="AB328" i="17"/>
  <c r="L328" i="17"/>
  <c r="X328" i="17"/>
  <c r="K328" i="17"/>
  <c r="A329" i="17"/>
  <c r="O328" i="17"/>
  <c r="AK328" i="17"/>
  <c r="AJ328" i="17"/>
  <c r="AC328" i="17"/>
  <c r="K324" i="23"/>
  <c r="L324" i="23"/>
  <c r="AB324" i="23"/>
  <c r="A325" i="23"/>
  <c r="X324" i="23"/>
  <c r="AJ324" i="23"/>
  <c r="AK324" i="23"/>
  <c r="O324" i="23"/>
  <c r="AC324" i="23"/>
  <c r="AK330" i="1"/>
  <c r="AC330" i="1"/>
  <c r="K330" i="1"/>
  <c r="O330" i="1"/>
  <c r="L330" i="1"/>
  <c r="AJ330" i="1"/>
  <c r="X330" i="1"/>
  <c r="A331" i="1"/>
  <c r="Q330" i="1"/>
  <c r="AB330" i="1"/>
  <c r="U330" i="1"/>
  <c r="D329" i="1"/>
  <c r="E329" i="1" s="1"/>
  <c r="K327" i="18"/>
  <c r="X327" i="18"/>
  <c r="L327" i="18"/>
  <c r="A328" i="18"/>
  <c r="AJ327" i="18"/>
  <c r="AB327" i="18"/>
  <c r="O327" i="18"/>
  <c r="AK327" i="18"/>
  <c r="AC327" i="18"/>
  <c r="AB326" i="20"/>
  <c r="K326" i="20"/>
  <c r="X326" i="20"/>
  <c r="L326" i="20"/>
  <c r="A327" i="20"/>
  <c r="AK326" i="20"/>
  <c r="AJ326" i="20"/>
  <c r="O326" i="20"/>
  <c r="AC326" i="20"/>
  <c r="AA327" i="1"/>
  <c r="Z327" i="1" s="1"/>
  <c r="Y327" i="1" s="1"/>
  <c r="I327" i="1"/>
  <c r="G327" i="1"/>
  <c r="BW327" i="6" s="1"/>
  <c r="G328" i="1" l="1"/>
  <c r="BW328" i="6" s="1"/>
  <c r="I328" i="1"/>
  <c r="K330" i="15"/>
  <c r="AJ330" i="15"/>
  <c r="A331" i="15"/>
  <c r="AB330" i="15"/>
  <c r="AC330" i="15"/>
  <c r="L330" i="15"/>
  <c r="D330" i="15" s="1"/>
  <c r="O330" i="15"/>
  <c r="X330" i="15"/>
  <c r="AK330" i="15"/>
  <c r="F329" i="1"/>
  <c r="G329" i="1" s="1"/>
  <c r="BW329" i="6" s="1"/>
  <c r="AB329" i="16"/>
  <c r="K329" i="16"/>
  <c r="L329" i="16"/>
  <c r="D329" i="16" s="1"/>
  <c r="AK329" i="16"/>
  <c r="O329" i="16"/>
  <c r="X329" i="16"/>
  <c r="A330" i="16"/>
  <c r="AJ329" i="16"/>
  <c r="AC329" i="16"/>
  <c r="E328" i="16"/>
  <c r="AC331" i="1"/>
  <c r="Q331" i="1"/>
  <c r="AB331" i="1"/>
  <c r="X331" i="1"/>
  <c r="AK331" i="1"/>
  <c r="A332" i="1"/>
  <c r="L331" i="1"/>
  <c r="K331" i="1"/>
  <c r="O331" i="1"/>
  <c r="AJ331" i="1"/>
  <c r="U331" i="1"/>
  <c r="T331" i="1" s="1"/>
  <c r="L325" i="23"/>
  <c r="K325" i="23"/>
  <c r="X325" i="23"/>
  <c r="A326" i="23"/>
  <c r="AB325" i="23"/>
  <c r="AJ325" i="23"/>
  <c r="AK325" i="23"/>
  <c r="O325" i="23"/>
  <c r="AC325" i="23"/>
  <c r="A330" i="17"/>
  <c r="L329" i="17"/>
  <c r="AB329" i="17"/>
  <c r="X329" i="17"/>
  <c r="K329" i="17"/>
  <c r="AJ329" i="17"/>
  <c r="AK329" i="17"/>
  <c r="O329" i="17"/>
  <c r="AC329" i="17"/>
  <c r="X324" i="24"/>
  <c r="A325" i="24"/>
  <c r="AB324" i="24"/>
  <c r="K324" i="24"/>
  <c r="L324" i="24"/>
  <c r="AJ324" i="24"/>
  <c r="AK324" i="24"/>
  <c r="O324" i="24"/>
  <c r="AC324" i="24"/>
  <c r="AB326" i="22"/>
  <c r="A327" i="22"/>
  <c r="X326" i="22"/>
  <c r="K326" i="22"/>
  <c r="L326" i="22"/>
  <c r="AJ326" i="22"/>
  <c r="AK326" i="22"/>
  <c r="O326" i="22"/>
  <c r="AC326" i="22"/>
  <c r="A328" i="20"/>
  <c r="AB327" i="20"/>
  <c r="X327" i="20"/>
  <c r="K327" i="20"/>
  <c r="L327" i="20"/>
  <c r="AJ327" i="20"/>
  <c r="AK327" i="20"/>
  <c r="O327" i="20"/>
  <c r="AC327" i="20"/>
  <c r="AB328" i="18"/>
  <c r="K328" i="18"/>
  <c r="AJ328" i="18"/>
  <c r="X328" i="18"/>
  <c r="L328" i="18"/>
  <c r="A329" i="18"/>
  <c r="O328" i="18"/>
  <c r="AK328" i="18"/>
  <c r="AC328" i="18"/>
  <c r="T330" i="1"/>
  <c r="D330" i="1"/>
  <c r="E330" i="1" s="1"/>
  <c r="L323" i="25"/>
  <c r="K323" i="25"/>
  <c r="X323" i="25"/>
  <c r="A324" i="25"/>
  <c r="AB323" i="25"/>
  <c r="AJ323" i="25"/>
  <c r="O323" i="25"/>
  <c r="AK323" i="25"/>
  <c r="AC323" i="25"/>
  <c r="E330" i="15" l="1"/>
  <c r="AB331" i="15"/>
  <c r="AJ331" i="15"/>
  <c r="X331" i="15"/>
  <c r="K331" i="15"/>
  <c r="AC331" i="15"/>
  <c r="A332" i="15"/>
  <c r="O331" i="15"/>
  <c r="L331" i="15"/>
  <c r="D331" i="15" s="1"/>
  <c r="AK331" i="15"/>
  <c r="AA329" i="1"/>
  <c r="Z329" i="1" s="1"/>
  <c r="Y329" i="1" s="1"/>
  <c r="I329" i="1"/>
  <c r="X330" i="16"/>
  <c r="O330" i="16"/>
  <c r="AB330" i="16"/>
  <c r="K330" i="16"/>
  <c r="AK330" i="16"/>
  <c r="AC330" i="16"/>
  <c r="L330" i="16"/>
  <c r="D330" i="16" s="1"/>
  <c r="A331" i="16"/>
  <c r="AJ330" i="16"/>
  <c r="E329" i="16"/>
  <c r="AB329" i="18"/>
  <c r="AJ329" i="18"/>
  <c r="L329" i="18"/>
  <c r="X329" i="18"/>
  <c r="A330" i="18"/>
  <c r="K329" i="18"/>
  <c r="AK329" i="18"/>
  <c r="O329" i="18"/>
  <c r="AC329" i="18"/>
  <c r="AB328" i="20"/>
  <c r="L328" i="20"/>
  <c r="A329" i="20"/>
  <c r="K328" i="20"/>
  <c r="X328" i="20"/>
  <c r="AJ328" i="20"/>
  <c r="AK328" i="20"/>
  <c r="O328" i="20"/>
  <c r="AC328" i="20"/>
  <c r="X325" i="24"/>
  <c r="A326" i="24"/>
  <c r="AB325" i="24"/>
  <c r="K325" i="24"/>
  <c r="L325" i="24"/>
  <c r="AJ325" i="24"/>
  <c r="AK325" i="24"/>
  <c r="O325" i="24"/>
  <c r="AC325" i="24"/>
  <c r="K330" i="17"/>
  <c r="AB330" i="17"/>
  <c r="A331" i="17"/>
  <c r="L330" i="17"/>
  <c r="X330" i="17"/>
  <c r="AJ330" i="17"/>
  <c r="AK330" i="17"/>
  <c r="O330" i="17"/>
  <c r="AC330" i="17"/>
  <c r="A327" i="23"/>
  <c r="X326" i="23"/>
  <c r="K326" i="23"/>
  <c r="L326" i="23"/>
  <c r="AB326" i="23"/>
  <c r="AJ326" i="23"/>
  <c r="AK326" i="23"/>
  <c r="O326" i="23"/>
  <c r="AC326" i="23"/>
  <c r="S331" i="1"/>
  <c r="R331" i="1" s="1"/>
  <c r="P331" i="1" s="1"/>
  <c r="V331" i="1" s="1"/>
  <c r="D331" i="1"/>
  <c r="E331" i="1" s="1"/>
  <c r="X324" i="25"/>
  <c r="L324" i="25"/>
  <c r="A325" i="25"/>
  <c r="AB324" i="25"/>
  <c r="K324" i="25"/>
  <c r="AJ324" i="25"/>
  <c r="O324" i="25"/>
  <c r="AK324" i="25"/>
  <c r="AC324" i="25"/>
  <c r="S330" i="1"/>
  <c r="R330" i="1" s="1"/>
  <c r="P330" i="1" s="1"/>
  <c r="AB327" i="22"/>
  <c r="X327" i="22"/>
  <c r="K327" i="22"/>
  <c r="A328" i="22"/>
  <c r="L327" i="22"/>
  <c r="AJ327" i="22"/>
  <c r="AK327" i="22"/>
  <c r="O327" i="22"/>
  <c r="AC327" i="22"/>
  <c r="O332" i="1"/>
  <c r="Q332" i="1"/>
  <c r="L332" i="1"/>
  <c r="A333" i="1"/>
  <c r="K332" i="1"/>
  <c r="AC332" i="1"/>
  <c r="AB332" i="1"/>
  <c r="AJ332" i="1"/>
  <c r="X332" i="1"/>
  <c r="AK332" i="1"/>
  <c r="U332" i="1"/>
  <c r="T332" i="1" s="1"/>
  <c r="E331" i="15" l="1"/>
  <c r="L332" i="15"/>
  <c r="D332" i="15" s="1"/>
  <c r="A333" i="15"/>
  <c r="AC332" i="15"/>
  <c r="AB332" i="15"/>
  <c r="O332" i="15"/>
  <c r="E332" i="15" s="1"/>
  <c r="K332" i="15"/>
  <c r="AK332" i="15"/>
  <c r="X332" i="15"/>
  <c r="AJ332" i="15"/>
  <c r="F331" i="1"/>
  <c r="AA331" i="1" s="1"/>
  <c r="Z331" i="1" s="1"/>
  <c r="Y331" i="1" s="1"/>
  <c r="X331" i="16"/>
  <c r="L331" i="16"/>
  <c r="D331" i="16" s="1"/>
  <c r="A332" i="16"/>
  <c r="AK331" i="16"/>
  <c r="O331" i="16"/>
  <c r="K331" i="16"/>
  <c r="AB331" i="16"/>
  <c r="AJ331" i="16"/>
  <c r="AC331" i="16"/>
  <c r="E330" i="16"/>
  <c r="V330" i="1"/>
  <c r="F330" i="1" s="1"/>
  <c r="S332" i="1"/>
  <c r="R332" i="1" s="1"/>
  <c r="P332" i="1" s="1"/>
  <c r="V332" i="1" s="1"/>
  <c r="D332" i="1"/>
  <c r="E332" i="1" s="1"/>
  <c r="X327" i="23"/>
  <c r="K327" i="23"/>
  <c r="AB327" i="23"/>
  <c r="L327" i="23"/>
  <c r="A328" i="23"/>
  <c r="AK327" i="23"/>
  <c r="AJ327" i="23"/>
  <c r="O327" i="23"/>
  <c r="AC327" i="23"/>
  <c r="X330" i="18"/>
  <c r="K330" i="18"/>
  <c r="A331" i="18"/>
  <c r="AB330" i="18"/>
  <c r="AJ330" i="18"/>
  <c r="L330" i="18"/>
  <c r="O330" i="18"/>
  <c r="AK330" i="18"/>
  <c r="AC330" i="18"/>
  <c r="A30" i="7"/>
  <c r="O333" i="1"/>
  <c r="C30" i="7" s="1"/>
  <c r="AJ333" i="1"/>
  <c r="AC333" i="1"/>
  <c r="L333" i="1"/>
  <c r="AB333" i="1"/>
  <c r="A334" i="1"/>
  <c r="K333" i="1"/>
  <c r="AK333" i="1"/>
  <c r="X333" i="1"/>
  <c r="Q333" i="1"/>
  <c r="U333" i="1"/>
  <c r="T333" i="1" s="1"/>
  <c r="AB328" i="22"/>
  <c r="K328" i="22"/>
  <c r="X328" i="22"/>
  <c r="A329" i="22"/>
  <c r="L328" i="22"/>
  <c r="AJ328" i="22"/>
  <c r="AK328" i="22"/>
  <c r="O328" i="22"/>
  <c r="AC328" i="22"/>
  <c r="X325" i="25"/>
  <c r="L325" i="25"/>
  <c r="AB325" i="25"/>
  <c r="A326" i="25"/>
  <c r="K325" i="25"/>
  <c r="AJ325" i="25"/>
  <c r="AK325" i="25"/>
  <c r="O325" i="25"/>
  <c r="AC325" i="25"/>
  <c r="K331" i="17"/>
  <c r="AB331" i="17"/>
  <c r="L331" i="17"/>
  <c r="A332" i="17"/>
  <c r="X331" i="17"/>
  <c r="O331" i="17"/>
  <c r="AJ331" i="17"/>
  <c r="AK331" i="17"/>
  <c r="AC331" i="17"/>
  <c r="K326" i="24"/>
  <c r="X326" i="24"/>
  <c r="A327" i="24"/>
  <c r="AB326" i="24"/>
  <c r="L326" i="24"/>
  <c r="AJ326" i="24"/>
  <c r="AK326" i="24"/>
  <c r="O326" i="24"/>
  <c r="AC326" i="24"/>
  <c r="AB329" i="20"/>
  <c r="L329" i="20"/>
  <c r="K329" i="20"/>
  <c r="X329" i="20"/>
  <c r="A330" i="20"/>
  <c r="AJ329" i="20"/>
  <c r="AK329" i="20"/>
  <c r="O329" i="20"/>
  <c r="AC329" i="20"/>
  <c r="I331" i="1" l="1"/>
  <c r="AB333" i="15"/>
  <c r="A334" i="15"/>
  <c r="O333" i="15"/>
  <c r="C42" i="7" s="1"/>
  <c r="X333" i="15"/>
  <c r="AK333" i="15"/>
  <c r="K333" i="15"/>
  <c r="AJ333" i="15"/>
  <c r="L333" i="15"/>
  <c r="A42" i="7"/>
  <c r="AC333" i="15"/>
  <c r="G331" i="1"/>
  <c r="BW331" i="6" s="1"/>
  <c r="F332" i="1"/>
  <c r="AA332" i="1" s="1"/>
  <c r="Z332" i="1" s="1"/>
  <c r="Y332" i="1" s="1"/>
  <c r="E331" i="16"/>
  <c r="X332" i="16"/>
  <c r="AB332" i="16"/>
  <c r="AJ332" i="16"/>
  <c r="AC332" i="16"/>
  <c r="L332" i="16"/>
  <c r="D332" i="16" s="1"/>
  <c r="A333" i="16"/>
  <c r="K332" i="16"/>
  <c r="AK332" i="16"/>
  <c r="O332" i="16"/>
  <c r="AA330" i="1"/>
  <c r="Z330" i="1" s="1"/>
  <c r="Y330" i="1" s="1"/>
  <c r="G330" i="1"/>
  <c r="BW330" i="6" s="1"/>
  <c r="I330" i="1"/>
  <c r="X327" i="24"/>
  <c r="K327" i="24"/>
  <c r="L327" i="24"/>
  <c r="AB327" i="24"/>
  <c r="A328" i="24"/>
  <c r="AJ327" i="24"/>
  <c r="AK327" i="24"/>
  <c r="O327" i="24"/>
  <c r="AC327" i="24"/>
  <c r="A333" i="17"/>
  <c r="L332" i="17"/>
  <c r="AB332" i="17"/>
  <c r="K332" i="17"/>
  <c r="X332" i="17"/>
  <c r="AJ332" i="17"/>
  <c r="O332" i="17"/>
  <c r="AK332" i="17"/>
  <c r="AC332" i="17"/>
  <c r="AB329" i="22"/>
  <c r="X329" i="22"/>
  <c r="A330" i="22"/>
  <c r="K329" i="22"/>
  <c r="L329" i="22"/>
  <c r="AJ329" i="22"/>
  <c r="AK329" i="22"/>
  <c r="O329" i="22"/>
  <c r="AC329" i="22"/>
  <c r="S333" i="1"/>
  <c r="R333" i="1" s="1"/>
  <c r="P333" i="1" s="1"/>
  <c r="D30" i="7" s="1"/>
  <c r="A332" i="18"/>
  <c r="K331" i="18"/>
  <c r="L331" i="18"/>
  <c r="X331" i="18"/>
  <c r="AJ331" i="18"/>
  <c r="AB331" i="18"/>
  <c r="AK331" i="18"/>
  <c r="O331" i="18"/>
  <c r="AC331" i="18"/>
  <c r="K328" i="23"/>
  <c r="A329" i="23"/>
  <c r="L328" i="23"/>
  <c r="X328" i="23"/>
  <c r="AB328" i="23"/>
  <c r="AJ328" i="23"/>
  <c r="AK328" i="23"/>
  <c r="O328" i="23"/>
  <c r="AC328" i="23"/>
  <c r="AB330" i="20"/>
  <c r="A331" i="20"/>
  <c r="K330" i="20"/>
  <c r="L330" i="20"/>
  <c r="X330" i="20"/>
  <c r="AJ330" i="20"/>
  <c r="AK330" i="20"/>
  <c r="O330" i="20"/>
  <c r="AC330" i="20"/>
  <c r="A327" i="25"/>
  <c r="AB326" i="25"/>
  <c r="X326" i="25"/>
  <c r="L326" i="25"/>
  <c r="K326" i="25"/>
  <c r="AJ326" i="25"/>
  <c r="O326" i="25"/>
  <c r="AK326" i="25"/>
  <c r="AC326" i="25"/>
  <c r="AC334" i="1"/>
  <c r="K334" i="1"/>
  <c r="AK334" i="1"/>
  <c r="L334" i="1"/>
  <c r="Q334" i="1"/>
  <c r="A335" i="1"/>
  <c r="X334" i="1"/>
  <c r="AB334" i="1"/>
  <c r="AJ334" i="1"/>
  <c r="O334" i="1"/>
  <c r="U334" i="1"/>
  <c r="T334" i="1" s="1"/>
  <c r="D333" i="1"/>
  <c r="E333" i="1" s="1"/>
  <c r="B30" i="7"/>
  <c r="G332" i="1" l="1"/>
  <c r="BW332" i="6" s="1"/>
  <c r="D333" i="15"/>
  <c r="E333" i="15" s="1"/>
  <c r="B42" i="7"/>
  <c r="AB334" i="15"/>
  <c r="AK334" i="15"/>
  <c r="L334" i="15"/>
  <c r="D334" i="15" s="1"/>
  <c r="AJ334" i="15"/>
  <c r="X334" i="15"/>
  <c r="A335" i="15"/>
  <c r="AC334" i="15"/>
  <c r="K334" i="15"/>
  <c r="O334" i="15"/>
  <c r="I332" i="1"/>
  <c r="V333" i="1"/>
  <c r="F333" i="1" s="1"/>
  <c r="E332" i="16"/>
  <c r="AB333" i="16"/>
  <c r="X333" i="16"/>
  <c r="A54" i="7"/>
  <c r="AJ333" i="16"/>
  <c r="AC333" i="16"/>
  <c r="K333" i="16"/>
  <c r="L333" i="16"/>
  <c r="A334" i="16"/>
  <c r="AK333" i="16"/>
  <c r="O333" i="16"/>
  <c r="C54" i="7" s="1"/>
  <c r="O335" i="1"/>
  <c r="L335" i="1"/>
  <c r="X335" i="1"/>
  <c r="AK335" i="1"/>
  <c r="Q335" i="1"/>
  <c r="AB335" i="1"/>
  <c r="K335" i="1"/>
  <c r="A336" i="1"/>
  <c r="AC335" i="1"/>
  <c r="AJ335" i="1"/>
  <c r="U335" i="1"/>
  <c r="T335" i="1" s="1"/>
  <c r="S335" i="1" s="1"/>
  <c r="R335" i="1" s="1"/>
  <c r="P335" i="1" s="1"/>
  <c r="D334" i="1"/>
  <c r="E334" i="1" s="1"/>
  <c r="K329" i="23"/>
  <c r="L329" i="23"/>
  <c r="X329" i="23"/>
  <c r="A330" i="23"/>
  <c r="AB329" i="23"/>
  <c r="AJ329" i="23"/>
  <c r="AK329" i="23"/>
  <c r="O329" i="23"/>
  <c r="AC329" i="23"/>
  <c r="L332" i="18"/>
  <c r="X332" i="18"/>
  <c r="AJ332" i="18"/>
  <c r="K332" i="18"/>
  <c r="AB332" i="18"/>
  <c r="A333" i="18"/>
  <c r="O332" i="18"/>
  <c r="AK332" i="18"/>
  <c r="AC332" i="18"/>
  <c r="S334" i="1"/>
  <c r="R334" i="1" s="1"/>
  <c r="P334" i="1" s="1"/>
  <c r="V334" i="1" s="1"/>
  <c r="A328" i="25"/>
  <c r="X327" i="25"/>
  <c r="AB327" i="25"/>
  <c r="L327" i="25"/>
  <c r="K327" i="25"/>
  <c r="AJ327" i="25"/>
  <c r="AK327" i="25"/>
  <c r="O327" i="25"/>
  <c r="AC327" i="25"/>
  <c r="K331" i="20"/>
  <c r="L331" i="20"/>
  <c r="A332" i="20"/>
  <c r="X331" i="20"/>
  <c r="AB331" i="20"/>
  <c r="AK331" i="20"/>
  <c r="AJ331" i="20"/>
  <c r="O331" i="20"/>
  <c r="AC331" i="20"/>
  <c r="AB330" i="22"/>
  <c r="L330" i="22"/>
  <c r="X330" i="22"/>
  <c r="K330" i="22"/>
  <c r="A331" i="22"/>
  <c r="AK330" i="22"/>
  <c r="AJ330" i="22"/>
  <c r="O330" i="22"/>
  <c r="AC330" i="22"/>
  <c r="A334" i="17"/>
  <c r="K333" i="17"/>
  <c r="AB333" i="17"/>
  <c r="X333" i="17"/>
  <c r="A66" i="7"/>
  <c r="L333" i="17"/>
  <c r="O333" i="17"/>
  <c r="C66" i="7" s="1"/>
  <c r="AJ333" i="17"/>
  <c r="AK333" i="17"/>
  <c r="AC333" i="17"/>
  <c r="X328" i="24"/>
  <c r="K328" i="24"/>
  <c r="A329" i="24"/>
  <c r="AB328" i="24"/>
  <c r="L328" i="24"/>
  <c r="AK328" i="24"/>
  <c r="AJ328" i="24"/>
  <c r="O328" i="24"/>
  <c r="AC328" i="24"/>
  <c r="A336" i="15" l="1"/>
  <c r="K335" i="15"/>
  <c r="L335" i="15"/>
  <c r="D335" i="15" s="1"/>
  <c r="AK335" i="15"/>
  <c r="AC335" i="15"/>
  <c r="X335" i="15"/>
  <c r="AJ335" i="15"/>
  <c r="AB335" i="15"/>
  <c r="O335" i="15"/>
  <c r="E334" i="15"/>
  <c r="D333" i="16"/>
  <c r="E333" i="16" s="1"/>
  <c r="B54" i="7"/>
  <c r="X334" i="16"/>
  <c r="K334" i="16"/>
  <c r="AB334" i="16"/>
  <c r="AK334" i="16"/>
  <c r="O334" i="16"/>
  <c r="L334" i="16"/>
  <c r="D334" i="16" s="1"/>
  <c r="A335" i="16"/>
  <c r="AJ334" i="16"/>
  <c r="AC334" i="16"/>
  <c r="AB329" i="24"/>
  <c r="K329" i="24"/>
  <c r="X329" i="24"/>
  <c r="L329" i="24"/>
  <c r="A330" i="24"/>
  <c r="AJ329" i="24"/>
  <c r="AK329" i="24"/>
  <c r="O329" i="24"/>
  <c r="AC329" i="24"/>
  <c r="L334" i="17"/>
  <c r="AB334" i="17"/>
  <c r="K334" i="17"/>
  <c r="X334" i="17"/>
  <c r="A335" i="17"/>
  <c r="AJ334" i="17"/>
  <c r="O334" i="17"/>
  <c r="AK334" i="17"/>
  <c r="AC334" i="17"/>
  <c r="K332" i="20"/>
  <c r="L332" i="20"/>
  <c r="X332" i="20"/>
  <c r="AB332" i="20"/>
  <c r="A333" i="20"/>
  <c r="AK332" i="20"/>
  <c r="AJ332" i="20"/>
  <c r="O332" i="20"/>
  <c r="AC332" i="20"/>
  <c r="AB330" i="23"/>
  <c r="L330" i="23"/>
  <c r="X330" i="23"/>
  <c r="A331" i="23"/>
  <c r="K330" i="23"/>
  <c r="AJ330" i="23"/>
  <c r="AK330" i="23"/>
  <c r="O330" i="23"/>
  <c r="AC330" i="23"/>
  <c r="F334" i="1"/>
  <c r="L336" i="1"/>
  <c r="A337" i="1"/>
  <c r="AJ336" i="1"/>
  <c r="X336" i="1"/>
  <c r="AB336" i="1"/>
  <c r="O336" i="1"/>
  <c r="AC336" i="1"/>
  <c r="AK336" i="1"/>
  <c r="K336" i="1"/>
  <c r="Q336" i="1"/>
  <c r="U336" i="1"/>
  <c r="T336" i="1" s="1"/>
  <c r="S336" i="1" s="1"/>
  <c r="R336" i="1" s="1"/>
  <c r="D335" i="1"/>
  <c r="E335" i="1" s="1"/>
  <c r="V335" i="1"/>
  <c r="I333" i="1"/>
  <c r="G333" i="1"/>
  <c r="BW333" i="6" s="1"/>
  <c r="AA333" i="1"/>
  <c r="Z333" i="1" s="1"/>
  <c r="Y333" i="1" s="1"/>
  <c r="B66" i="7"/>
  <c r="K331" i="22"/>
  <c r="A332" i="22"/>
  <c r="AB331" i="22"/>
  <c r="X331" i="22"/>
  <c r="L331" i="22"/>
  <c r="AJ331" i="22"/>
  <c r="AK331" i="22"/>
  <c r="O331" i="22"/>
  <c r="AC331" i="22"/>
  <c r="X328" i="25"/>
  <c r="L328" i="25"/>
  <c r="A329" i="25"/>
  <c r="AB328" i="25"/>
  <c r="K328" i="25"/>
  <c r="AJ328" i="25"/>
  <c r="O328" i="25"/>
  <c r="AK328" i="25"/>
  <c r="AC328" i="25"/>
  <c r="X333" i="18"/>
  <c r="AB333" i="18"/>
  <c r="AJ333" i="18"/>
  <c r="A334" i="18"/>
  <c r="A78" i="7"/>
  <c r="L333" i="18"/>
  <c r="K333" i="18"/>
  <c r="AK333" i="18"/>
  <c r="O333" i="18"/>
  <c r="C78" i="7" s="1"/>
  <c r="AC333" i="18"/>
  <c r="E335" i="15" l="1"/>
  <c r="K336" i="15"/>
  <c r="O336" i="15"/>
  <c r="X336" i="15"/>
  <c r="AK336" i="15"/>
  <c r="A337" i="15"/>
  <c r="AJ336" i="15"/>
  <c r="L336" i="15"/>
  <c r="D336" i="15" s="1"/>
  <c r="AB336" i="15"/>
  <c r="AC336" i="15"/>
  <c r="A336" i="16"/>
  <c r="AB335" i="16"/>
  <c r="X335" i="16"/>
  <c r="AJ335" i="16"/>
  <c r="O335" i="16"/>
  <c r="K335" i="16"/>
  <c r="L335" i="16"/>
  <c r="D335" i="16" s="1"/>
  <c r="E335" i="16" s="1"/>
  <c r="AK335" i="16"/>
  <c r="AC335" i="16"/>
  <c r="P336" i="1"/>
  <c r="V336" i="1" s="1"/>
  <c r="E334" i="16"/>
  <c r="B78" i="7"/>
  <c r="X334" i="18"/>
  <c r="L334" i="18"/>
  <c r="A335" i="18"/>
  <c r="AB334" i="18"/>
  <c r="K334" i="18"/>
  <c r="AJ334" i="18"/>
  <c r="O334" i="18"/>
  <c r="AK334" i="18"/>
  <c r="AC334" i="18"/>
  <c r="K329" i="25"/>
  <c r="L329" i="25"/>
  <c r="A330" i="25"/>
  <c r="AB329" i="25"/>
  <c r="X329" i="25"/>
  <c r="AK329" i="25"/>
  <c r="AJ329" i="25"/>
  <c r="O329" i="25"/>
  <c r="AC329" i="25"/>
  <c r="K332" i="22"/>
  <c r="L332" i="22"/>
  <c r="AB332" i="22"/>
  <c r="X332" i="22"/>
  <c r="A333" i="22"/>
  <c r="AJ332" i="22"/>
  <c r="AK332" i="22"/>
  <c r="O332" i="22"/>
  <c r="AC332" i="22"/>
  <c r="F335" i="1"/>
  <c r="D336" i="1"/>
  <c r="E336" i="1" s="1"/>
  <c r="AB331" i="23"/>
  <c r="X331" i="23"/>
  <c r="K331" i="23"/>
  <c r="L331" i="23"/>
  <c r="A332" i="23"/>
  <c r="AJ331" i="23"/>
  <c r="AK331" i="23"/>
  <c r="O331" i="23"/>
  <c r="AC331" i="23"/>
  <c r="A336" i="17"/>
  <c r="L335" i="17"/>
  <c r="X335" i="17"/>
  <c r="AB335" i="17"/>
  <c r="K335" i="17"/>
  <c r="O335" i="17"/>
  <c r="AJ335" i="17"/>
  <c r="AK335" i="17"/>
  <c r="AC335" i="17"/>
  <c r="AK337" i="1"/>
  <c r="AJ337" i="1"/>
  <c r="Q337" i="1"/>
  <c r="K337" i="1"/>
  <c r="A338" i="1"/>
  <c r="L337" i="1"/>
  <c r="O337" i="1"/>
  <c r="AB337" i="1"/>
  <c r="X337" i="1"/>
  <c r="AC337" i="1"/>
  <c r="U337" i="1"/>
  <c r="I334" i="1"/>
  <c r="G334" i="1"/>
  <c r="BW334" i="6" s="1"/>
  <c r="AA334" i="1"/>
  <c r="Z334" i="1" s="1"/>
  <c r="Y334" i="1" s="1"/>
  <c r="AE30" i="7"/>
  <c r="AB333" i="20"/>
  <c r="L333" i="20"/>
  <c r="X333" i="20"/>
  <c r="K333" i="20"/>
  <c r="A334" i="20"/>
  <c r="AJ333" i="20"/>
  <c r="AK333" i="20"/>
  <c r="O333" i="20"/>
  <c r="AG30" i="7" s="1"/>
  <c r="AC333" i="20"/>
  <c r="X330" i="24"/>
  <c r="AB330" i="24"/>
  <c r="K330" i="24"/>
  <c r="A331" i="24"/>
  <c r="L330" i="24"/>
  <c r="AJ330" i="24"/>
  <c r="AK330" i="24"/>
  <c r="O330" i="24"/>
  <c r="AC330" i="24"/>
  <c r="E336" i="15" l="1"/>
  <c r="AB337" i="15"/>
  <c r="O337" i="15"/>
  <c r="L337" i="15"/>
  <c r="D337" i="15" s="1"/>
  <c r="AK337" i="15"/>
  <c r="K337" i="15"/>
  <c r="AJ337" i="15"/>
  <c r="X337" i="15"/>
  <c r="A338" i="15"/>
  <c r="AC337" i="15"/>
  <c r="AB336" i="16"/>
  <c r="X336" i="16"/>
  <c r="AK336" i="16"/>
  <c r="AC336" i="16"/>
  <c r="L336" i="16"/>
  <c r="D336" i="16" s="1"/>
  <c r="A337" i="16"/>
  <c r="K336" i="16"/>
  <c r="AJ336" i="16"/>
  <c r="O336" i="16"/>
  <c r="A332" i="24"/>
  <c r="AB331" i="24"/>
  <c r="K331" i="24"/>
  <c r="X331" i="24"/>
  <c r="L331" i="24"/>
  <c r="AJ331" i="24"/>
  <c r="AK331" i="24"/>
  <c r="O331" i="24"/>
  <c r="AC331" i="24"/>
  <c r="AB334" i="20"/>
  <c r="X334" i="20"/>
  <c r="K334" i="20"/>
  <c r="L334" i="20"/>
  <c r="A335" i="20"/>
  <c r="AJ334" i="20"/>
  <c r="AK334" i="20"/>
  <c r="O334" i="20"/>
  <c r="AC334" i="20"/>
  <c r="D337" i="1"/>
  <c r="E337" i="1" s="1"/>
  <c r="F336" i="1"/>
  <c r="I335" i="1"/>
  <c r="G335" i="1"/>
  <c r="BW335" i="6" s="1"/>
  <c r="AA335" i="1"/>
  <c r="Z335" i="1" s="1"/>
  <c r="Y335" i="1" s="1"/>
  <c r="X330" i="25"/>
  <c r="K330" i="25"/>
  <c r="L330" i="25"/>
  <c r="A331" i="25"/>
  <c r="AB330" i="25"/>
  <c r="AJ330" i="25"/>
  <c r="O330" i="25"/>
  <c r="AK330" i="25"/>
  <c r="AC330" i="25"/>
  <c r="A336" i="18"/>
  <c r="K335" i="18"/>
  <c r="AJ335" i="18"/>
  <c r="AB335" i="18"/>
  <c r="L335" i="18"/>
  <c r="X335" i="18"/>
  <c r="O335" i="18"/>
  <c r="AK335" i="18"/>
  <c r="AC335" i="18"/>
  <c r="AF30" i="7"/>
  <c r="T337" i="1"/>
  <c r="AC338" i="1"/>
  <c r="AJ338" i="1"/>
  <c r="AB338" i="1"/>
  <c r="Q338" i="1"/>
  <c r="O338" i="1"/>
  <c r="L338" i="1"/>
  <c r="A339" i="1"/>
  <c r="AK338" i="1"/>
  <c r="K338" i="1"/>
  <c r="X338" i="1"/>
  <c r="U338" i="1"/>
  <c r="T338" i="1" s="1"/>
  <c r="AB336" i="17"/>
  <c r="X336" i="17"/>
  <c r="K336" i="17"/>
  <c r="A337" i="17"/>
  <c r="L336" i="17"/>
  <c r="AJ336" i="17"/>
  <c r="O336" i="17"/>
  <c r="AK336" i="17"/>
  <c r="AC336" i="17"/>
  <c r="A333" i="23"/>
  <c r="K332" i="23"/>
  <c r="AB332" i="23"/>
  <c r="L332" i="23"/>
  <c r="X332" i="23"/>
  <c r="AJ332" i="23"/>
  <c r="AK332" i="23"/>
  <c r="O332" i="23"/>
  <c r="AC332" i="23"/>
  <c r="A334" i="22"/>
  <c r="X333" i="22"/>
  <c r="K333" i="22"/>
  <c r="AB333" i="22"/>
  <c r="AE42" i="7"/>
  <c r="L333" i="22"/>
  <c r="AJ333" i="22"/>
  <c r="AK333" i="22"/>
  <c r="O333" i="22"/>
  <c r="AG42" i="7" s="1"/>
  <c r="AC333" i="22"/>
  <c r="X338" i="15" l="1"/>
  <c r="O338" i="15"/>
  <c r="K338" i="15"/>
  <c r="AK338" i="15"/>
  <c r="L338" i="15"/>
  <c r="D338" i="15" s="1"/>
  <c r="AJ338" i="15"/>
  <c r="A339" i="15"/>
  <c r="AB338" i="15"/>
  <c r="AC338" i="15"/>
  <c r="E337" i="15"/>
  <c r="E336" i="16"/>
  <c r="A338" i="16"/>
  <c r="L337" i="16"/>
  <c r="D337" i="16" s="1"/>
  <c r="K337" i="16"/>
  <c r="AK337" i="16"/>
  <c r="O337" i="16"/>
  <c r="AB337" i="16"/>
  <c r="X337" i="16"/>
  <c r="AJ337" i="16"/>
  <c r="AC337" i="16"/>
  <c r="X335" i="20"/>
  <c r="K335" i="20"/>
  <c r="AB335" i="20"/>
  <c r="A336" i="20"/>
  <c r="L335" i="20"/>
  <c r="AJ335" i="20"/>
  <c r="AK335" i="20"/>
  <c r="O335" i="20"/>
  <c r="AC335" i="20"/>
  <c r="AF42" i="7"/>
  <c r="X333" i="23"/>
  <c r="AB333" i="23"/>
  <c r="K333" i="23"/>
  <c r="AE54" i="7"/>
  <c r="A334" i="23"/>
  <c r="L333" i="23"/>
  <c r="AJ333" i="23"/>
  <c r="AK333" i="23"/>
  <c r="O333" i="23"/>
  <c r="AG54" i="7" s="1"/>
  <c r="AC333" i="23"/>
  <c r="L337" i="17"/>
  <c r="K337" i="17"/>
  <c r="X337" i="17"/>
  <c r="A338" i="17"/>
  <c r="AB337" i="17"/>
  <c r="AK337" i="17"/>
  <c r="AJ337" i="17"/>
  <c r="O337" i="17"/>
  <c r="AC337" i="17"/>
  <c r="D338" i="1"/>
  <c r="E338" i="1" s="1"/>
  <c r="S337" i="1"/>
  <c r="R337" i="1" s="1"/>
  <c r="P337" i="1" s="1"/>
  <c r="V337" i="1" s="1"/>
  <c r="AA336" i="1"/>
  <c r="Z336" i="1" s="1"/>
  <c r="Y336" i="1" s="1"/>
  <c r="I336" i="1"/>
  <c r="G336" i="1"/>
  <c r="BW336" i="6" s="1"/>
  <c r="K334" i="22"/>
  <c r="L334" i="22"/>
  <c r="X334" i="22"/>
  <c r="AB334" i="22"/>
  <c r="A335" i="22"/>
  <c r="AK334" i="22"/>
  <c r="AJ334" i="22"/>
  <c r="O334" i="22"/>
  <c r="AC334" i="22"/>
  <c r="S338" i="1"/>
  <c r="R338" i="1" s="1"/>
  <c r="P338" i="1" s="1"/>
  <c r="V338" i="1" s="1"/>
  <c r="AK339" i="1"/>
  <c r="K339" i="1"/>
  <c r="AB339" i="1"/>
  <c r="A340" i="1"/>
  <c r="AC339" i="1"/>
  <c r="L339" i="1"/>
  <c r="AJ339" i="1"/>
  <c r="X339" i="1"/>
  <c r="O339" i="1"/>
  <c r="Q339" i="1"/>
  <c r="U339" i="1"/>
  <c r="T339" i="1" s="1"/>
  <c r="K336" i="18"/>
  <c r="AB336" i="18"/>
  <c r="AJ336" i="18"/>
  <c r="X336" i="18"/>
  <c r="L336" i="18"/>
  <c r="A337" i="18"/>
  <c r="AK336" i="18"/>
  <c r="O336" i="18"/>
  <c r="AC336" i="18"/>
  <c r="A332" i="25"/>
  <c r="K331" i="25"/>
  <c r="L331" i="25"/>
  <c r="X331" i="25"/>
  <c r="AB331" i="25"/>
  <c r="AJ331" i="25"/>
  <c r="O331" i="25"/>
  <c r="AK331" i="25"/>
  <c r="AC331" i="25"/>
  <c r="AB332" i="24"/>
  <c r="X332" i="24"/>
  <c r="K332" i="24"/>
  <c r="A333" i="24"/>
  <c r="L332" i="24"/>
  <c r="AJ332" i="24"/>
  <c r="AK332" i="24"/>
  <c r="O332" i="24"/>
  <c r="AC332" i="24"/>
  <c r="E338" i="15" l="1"/>
  <c r="L339" i="15"/>
  <c r="D339" i="15" s="1"/>
  <c r="AK339" i="15"/>
  <c r="K339" i="15"/>
  <c r="AJ339" i="15"/>
  <c r="AB339" i="15"/>
  <c r="X339" i="15"/>
  <c r="O339" i="15"/>
  <c r="A340" i="15"/>
  <c r="AC339" i="15"/>
  <c r="AB338" i="16"/>
  <c r="X338" i="16"/>
  <c r="AJ338" i="16"/>
  <c r="AC338" i="16"/>
  <c r="L338" i="16"/>
  <c r="D338" i="16" s="1"/>
  <c r="A339" i="16"/>
  <c r="K338" i="16"/>
  <c r="AK338" i="16"/>
  <c r="O338" i="16"/>
  <c r="F338" i="1"/>
  <c r="G338" i="1" s="1"/>
  <c r="BW338" i="6" s="1"/>
  <c r="E337" i="16"/>
  <c r="AB332" i="25"/>
  <c r="K332" i="25"/>
  <c r="A333" i="25"/>
  <c r="X332" i="25"/>
  <c r="L332" i="25"/>
  <c r="AJ332" i="25"/>
  <c r="AK332" i="25"/>
  <c r="O332" i="25"/>
  <c r="AC332" i="25"/>
  <c r="A338" i="18"/>
  <c r="K337" i="18"/>
  <c r="AB337" i="18"/>
  <c r="L337" i="18"/>
  <c r="X337" i="18"/>
  <c r="AJ337" i="18"/>
  <c r="AK337" i="18"/>
  <c r="O337" i="18"/>
  <c r="AC337" i="18"/>
  <c r="D339" i="1"/>
  <c r="E339" i="1" s="1"/>
  <c r="K340" i="1"/>
  <c r="X340" i="1"/>
  <c r="A341" i="1"/>
  <c r="Q340" i="1"/>
  <c r="AK340" i="1"/>
  <c r="AC340" i="1"/>
  <c r="L340" i="1"/>
  <c r="AB340" i="1"/>
  <c r="O340" i="1"/>
  <c r="AJ340" i="1"/>
  <c r="U340" i="1"/>
  <c r="T340" i="1" s="1"/>
  <c r="K335" i="22"/>
  <c r="L335" i="22"/>
  <c r="X335" i="22"/>
  <c r="A336" i="22"/>
  <c r="AB335" i="22"/>
  <c r="AJ335" i="22"/>
  <c r="AK335" i="22"/>
  <c r="O335" i="22"/>
  <c r="AC335" i="22"/>
  <c r="F337" i="1"/>
  <c r="AB338" i="17"/>
  <c r="A339" i="17"/>
  <c r="L338" i="17"/>
  <c r="X338" i="17"/>
  <c r="K338" i="17"/>
  <c r="AJ338" i="17"/>
  <c r="O338" i="17"/>
  <c r="AK338" i="17"/>
  <c r="AC338" i="17"/>
  <c r="AF54" i="7"/>
  <c r="K333" i="24"/>
  <c r="AE66" i="7"/>
  <c r="L333" i="24"/>
  <c r="AB333" i="24"/>
  <c r="X333" i="24"/>
  <c r="A334" i="24"/>
  <c r="AJ333" i="24"/>
  <c r="AK333" i="24"/>
  <c r="O333" i="24"/>
  <c r="AG66" i="7" s="1"/>
  <c r="AC333" i="24"/>
  <c r="S339" i="1"/>
  <c r="R339" i="1" s="1"/>
  <c r="P339" i="1" s="1"/>
  <c r="V339" i="1" s="1"/>
  <c r="A335" i="23"/>
  <c r="K334" i="23"/>
  <c r="X334" i="23"/>
  <c r="AB334" i="23"/>
  <c r="L334" i="23"/>
  <c r="AK334" i="23"/>
  <c r="AJ334" i="23"/>
  <c r="O334" i="23"/>
  <c r="AC334" i="23"/>
  <c r="AB336" i="20"/>
  <c r="X336" i="20"/>
  <c r="L336" i="20"/>
  <c r="A337" i="20"/>
  <c r="K336" i="20"/>
  <c r="AK336" i="20"/>
  <c r="AJ336" i="20"/>
  <c r="O336" i="20"/>
  <c r="AC336" i="20"/>
  <c r="L340" i="15" l="1"/>
  <c r="D340" i="15" s="1"/>
  <c r="AB340" i="15"/>
  <c r="AC340" i="15"/>
  <c r="X340" i="15"/>
  <c r="O340" i="15"/>
  <c r="K340" i="15"/>
  <c r="AK340" i="15"/>
  <c r="A341" i="15"/>
  <c r="AJ340" i="15"/>
  <c r="E339" i="15"/>
  <c r="F339" i="1"/>
  <c r="AA339" i="1" s="1"/>
  <c r="Z339" i="1" s="1"/>
  <c r="Y339" i="1" s="1"/>
  <c r="AA338" i="1"/>
  <c r="Z338" i="1" s="1"/>
  <c r="Y338" i="1" s="1"/>
  <c r="I338" i="1"/>
  <c r="E338" i="16"/>
  <c r="K339" i="16"/>
  <c r="X339" i="16"/>
  <c r="AJ339" i="16"/>
  <c r="AC339" i="16"/>
  <c r="A340" i="16"/>
  <c r="L339" i="16"/>
  <c r="D339" i="16" s="1"/>
  <c r="AB339" i="16"/>
  <c r="AK339" i="16"/>
  <c r="O339" i="16"/>
  <c r="X337" i="20"/>
  <c r="A338" i="20"/>
  <c r="AB337" i="20"/>
  <c r="L337" i="20"/>
  <c r="K337" i="20"/>
  <c r="AJ337" i="20"/>
  <c r="AK337" i="20"/>
  <c r="O337" i="20"/>
  <c r="AC337" i="20"/>
  <c r="K335" i="23"/>
  <c r="AB335" i="23"/>
  <c r="A336" i="23"/>
  <c r="L335" i="23"/>
  <c r="X335" i="23"/>
  <c r="AJ335" i="23"/>
  <c r="AK335" i="23"/>
  <c r="O335" i="23"/>
  <c r="AC335" i="23"/>
  <c r="AF66" i="7"/>
  <c r="K339" i="17"/>
  <c r="AB339" i="17"/>
  <c r="L339" i="17"/>
  <c r="A340" i="17"/>
  <c r="X339" i="17"/>
  <c r="O339" i="17"/>
  <c r="AJ339" i="17"/>
  <c r="AK339" i="17"/>
  <c r="AC339" i="17"/>
  <c r="X338" i="18"/>
  <c r="AJ338" i="18"/>
  <c r="L338" i="18"/>
  <c r="A339" i="18"/>
  <c r="AB338" i="18"/>
  <c r="K338" i="18"/>
  <c r="O338" i="18"/>
  <c r="AK338" i="18"/>
  <c r="AC338" i="18"/>
  <c r="AB334" i="24"/>
  <c r="L334" i="24"/>
  <c r="K334" i="24"/>
  <c r="X334" i="24"/>
  <c r="A335" i="24"/>
  <c r="AJ334" i="24"/>
  <c r="AK334" i="24"/>
  <c r="O334" i="24"/>
  <c r="AC334" i="24"/>
  <c r="I337" i="1"/>
  <c r="AA337" i="1"/>
  <c r="Z337" i="1" s="1"/>
  <c r="Y337" i="1" s="1"/>
  <c r="G337" i="1"/>
  <c r="BW337" i="6" s="1"/>
  <c r="X336" i="22"/>
  <c r="K336" i="22"/>
  <c r="L336" i="22"/>
  <c r="AB336" i="22"/>
  <c r="A337" i="22"/>
  <c r="AK336" i="22"/>
  <c r="AJ336" i="22"/>
  <c r="O336" i="22"/>
  <c r="AC336" i="22"/>
  <c r="S340" i="1"/>
  <c r="R340" i="1" s="1"/>
  <c r="P340" i="1" s="1"/>
  <c r="V340" i="1" s="1"/>
  <c r="D340" i="1"/>
  <c r="E340" i="1" s="1"/>
  <c r="X341" i="1"/>
  <c r="AB341" i="1"/>
  <c r="O341" i="1"/>
  <c r="A342" i="1"/>
  <c r="Q341" i="1"/>
  <c r="AK341" i="1"/>
  <c r="AC341" i="1"/>
  <c r="K341" i="1"/>
  <c r="L341" i="1"/>
  <c r="AJ341" i="1"/>
  <c r="U341" i="1"/>
  <c r="T341" i="1" s="1"/>
  <c r="AB333" i="25"/>
  <c r="AE78" i="7"/>
  <c r="X333" i="25"/>
  <c r="L333" i="25"/>
  <c r="K333" i="25"/>
  <c r="A334" i="25"/>
  <c r="AK333" i="25"/>
  <c r="AJ333" i="25"/>
  <c r="O333" i="25"/>
  <c r="AG78" i="7" s="1"/>
  <c r="AC333" i="25"/>
  <c r="I339" i="1" l="1"/>
  <c r="G339" i="1"/>
  <c r="BW339" i="6" s="1"/>
  <c r="L341" i="15"/>
  <c r="D341" i="15" s="1"/>
  <c r="O341" i="15"/>
  <c r="A342" i="15"/>
  <c r="AK341" i="15"/>
  <c r="AB341" i="15"/>
  <c r="AJ341" i="15"/>
  <c r="K341" i="15"/>
  <c r="X341" i="15"/>
  <c r="AC341" i="15"/>
  <c r="E340" i="15"/>
  <c r="E339" i="16"/>
  <c r="L340" i="16"/>
  <c r="D340" i="16" s="1"/>
  <c r="AB340" i="16"/>
  <c r="AK340" i="16"/>
  <c r="AC340" i="16"/>
  <c r="A341" i="16"/>
  <c r="K340" i="16"/>
  <c r="X340" i="16"/>
  <c r="AJ340" i="16"/>
  <c r="O340" i="16"/>
  <c r="X342" i="1"/>
  <c r="L342" i="1"/>
  <c r="A343" i="1"/>
  <c r="AK342" i="1"/>
  <c r="Q342" i="1"/>
  <c r="O342" i="1"/>
  <c r="AC342" i="1"/>
  <c r="AJ342" i="1"/>
  <c r="K342" i="1"/>
  <c r="AB342" i="1"/>
  <c r="U342" i="1"/>
  <c r="T342" i="1" s="1"/>
  <c r="F340" i="1"/>
  <c r="K335" i="24"/>
  <c r="AB335" i="24"/>
  <c r="X335" i="24"/>
  <c r="L335" i="24"/>
  <c r="A336" i="24"/>
  <c r="AJ335" i="24"/>
  <c r="AK335" i="24"/>
  <c r="O335" i="24"/>
  <c r="AC335" i="24"/>
  <c r="A341" i="17"/>
  <c r="K340" i="17"/>
  <c r="AB340" i="17"/>
  <c r="X340" i="17"/>
  <c r="L340" i="17"/>
  <c r="O340" i="17"/>
  <c r="AK340" i="17"/>
  <c r="AJ340" i="17"/>
  <c r="AC340" i="17"/>
  <c r="A335" i="25"/>
  <c r="K334" i="25"/>
  <c r="X334" i="25"/>
  <c r="L334" i="25"/>
  <c r="AB334" i="25"/>
  <c r="AJ334" i="25"/>
  <c r="O334" i="25"/>
  <c r="AK334" i="25"/>
  <c r="AC334" i="25"/>
  <c r="AF78" i="7"/>
  <c r="S341" i="1"/>
  <c r="R341" i="1" s="1"/>
  <c r="P341" i="1" s="1"/>
  <c r="V341" i="1" s="1"/>
  <c r="D341" i="1"/>
  <c r="E341" i="1" s="1"/>
  <c r="K337" i="22"/>
  <c r="A338" i="22"/>
  <c r="X337" i="22"/>
  <c r="AB337" i="22"/>
  <c r="L337" i="22"/>
  <c r="AJ337" i="22"/>
  <c r="AK337" i="22"/>
  <c r="O337" i="22"/>
  <c r="AC337" i="22"/>
  <c r="AB339" i="18"/>
  <c r="K339" i="18"/>
  <c r="X339" i="18"/>
  <c r="L339" i="18"/>
  <c r="A340" i="18"/>
  <c r="AJ339" i="18"/>
  <c r="AK339" i="18"/>
  <c r="O339" i="18"/>
  <c r="AC339" i="18"/>
  <c r="K336" i="23"/>
  <c r="X336" i="23"/>
  <c r="L336" i="23"/>
  <c r="A337" i="23"/>
  <c r="AB336" i="23"/>
  <c r="AK336" i="23"/>
  <c r="AJ336" i="23"/>
  <c r="O336" i="23"/>
  <c r="AC336" i="23"/>
  <c r="A339" i="20"/>
  <c r="L338" i="20"/>
  <c r="AB338" i="20"/>
  <c r="X338" i="20"/>
  <c r="K338" i="20"/>
  <c r="AJ338" i="20"/>
  <c r="AK338" i="20"/>
  <c r="O338" i="20"/>
  <c r="AC338" i="20"/>
  <c r="E341" i="15" l="1"/>
  <c r="F341" i="1"/>
  <c r="G341" i="1" s="1"/>
  <c r="BW341" i="6" s="1"/>
  <c r="X342" i="15"/>
  <c r="AK342" i="15"/>
  <c r="A343" i="15"/>
  <c r="AB342" i="15"/>
  <c r="AC342" i="15"/>
  <c r="K342" i="15"/>
  <c r="O342" i="15"/>
  <c r="L342" i="15"/>
  <c r="D342" i="15" s="1"/>
  <c r="AJ342" i="15"/>
  <c r="X341" i="16"/>
  <c r="K341" i="16"/>
  <c r="L341" i="16"/>
  <c r="D341" i="16" s="1"/>
  <c r="AK341" i="16"/>
  <c r="O341" i="16"/>
  <c r="A342" i="16"/>
  <c r="AB341" i="16"/>
  <c r="AJ341" i="16"/>
  <c r="AC341" i="16"/>
  <c r="E340" i="16"/>
  <c r="AB341" i="17"/>
  <c r="K341" i="17"/>
  <c r="A342" i="17"/>
  <c r="L341" i="17"/>
  <c r="X341" i="17"/>
  <c r="AJ341" i="17"/>
  <c r="O341" i="17"/>
  <c r="AK341" i="17"/>
  <c r="AC341" i="17"/>
  <c r="X336" i="24"/>
  <c r="K336" i="24"/>
  <c r="A337" i="24"/>
  <c r="AB336" i="24"/>
  <c r="L336" i="24"/>
  <c r="AK336" i="24"/>
  <c r="AJ336" i="24"/>
  <c r="O336" i="24"/>
  <c r="AC336" i="24"/>
  <c r="G340" i="1"/>
  <c r="BW340" i="6" s="1"/>
  <c r="AA340" i="1"/>
  <c r="Z340" i="1" s="1"/>
  <c r="Y340" i="1" s="1"/>
  <c r="I340" i="1"/>
  <c r="D342" i="1"/>
  <c r="E342" i="1" s="1"/>
  <c r="K339" i="20"/>
  <c r="L339" i="20"/>
  <c r="AB339" i="20"/>
  <c r="X339" i="20"/>
  <c r="A340" i="20"/>
  <c r="AK339" i="20"/>
  <c r="AJ339" i="20"/>
  <c r="O339" i="20"/>
  <c r="AC339" i="20"/>
  <c r="K337" i="23"/>
  <c r="AB337" i="23"/>
  <c r="X337" i="23"/>
  <c r="L337" i="23"/>
  <c r="A338" i="23"/>
  <c r="AJ337" i="23"/>
  <c r="AK337" i="23"/>
  <c r="O337" i="23"/>
  <c r="AC337" i="23"/>
  <c r="A341" i="18"/>
  <c r="L340" i="18"/>
  <c r="AB340" i="18"/>
  <c r="K340" i="18"/>
  <c r="X340" i="18"/>
  <c r="AJ340" i="18"/>
  <c r="O340" i="18"/>
  <c r="AK340" i="18"/>
  <c r="AC340" i="18"/>
  <c r="X338" i="22"/>
  <c r="A339" i="22"/>
  <c r="AB338" i="22"/>
  <c r="L338" i="22"/>
  <c r="K338" i="22"/>
  <c r="AJ338" i="22"/>
  <c r="AK338" i="22"/>
  <c r="O338" i="22"/>
  <c r="AC338" i="22"/>
  <c r="AA341" i="1"/>
  <c r="Z341" i="1" s="1"/>
  <c r="Y341" i="1" s="1"/>
  <c r="K335" i="25"/>
  <c r="L335" i="25"/>
  <c r="A336" i="25"/>
  <c r="X335" i="25"/>
  <c r="AB335" i="25"/>
  <c r="AJ335" i="25"/>
  <c r="AK335" i="25"/>
  <c r="O335" i="25"/>
  <c r="AC335" i="25"/>
  <c r="S342" i="1"/>
  <c r="R342" i="1" s="1"/>
  <c r="P342" i="1" s="1"/>
  <c r="V342" i="1" s="1"/>
  <c r="L343" i="1"/>
  <c r="X343" i="1"/>
  <c r="O343" i="1"/>
  <c r="AC343" i="1"/>
  <c r="K343" i="1"/>
  <c r="AB343" i="1"/>
  <c r="AJ343" i="1"/>
  <c r="AK343" i="1"/>
  <c r="A344" i="1"/>
  <c r="Q343" i="1"/>
  <c r="U343" i="1"/>
  <c r="T343" i="1" s="1"/>
  <c r="I341" i="1" l="1"/>
  <c r="K343" i="15"/>
  <c r="O343" i="15"/>
  <c r="L343" i="15"/>
  <c r="D343" i="15" s="1"/>
  <c r="AK343" i="15"/>
  <c r="AB343" i="15"/>
  <c r="AJ343" i="15"/>
  <c r="X343" i="15"/>
  <c r="A344" i="15"/>
  <c r="AC343" i="15"/>
  <c r="E342" i="15"/>
  <c r="F342" i="1"/>
  <c r="G342" i="1" s="1"/>
  <c r="BW342" i="6" s="1"/>
  <c r="K342" i="16"/>
  <c r="A343" i="16"/>
  <c r="X342" i="16"/>
  <c r="AK342" i="16"/>
  <c r="O342" i="16"/>
  <c r="L342" i="16"/>
  <c r="D342" i="16" s="1"/>
  <c r="AB342" i="16"/>
  <c r="AJ342" i="16"/>
  <c r="AC342" i="16"/>
  <c r="E341" i="16"/>
  <c r="S343" i="1"/>
  <c r="R343" i="1" s="1"/>
  <c r="P343" i="1" s="1"/>
  <c r="V343" i="1" s="1"/>
  <c r="AJ344" i="1"/>
  <c r="AB344" i="1"/>
  <c r="X344" i="1"/>
  <c r="AK344" i="1"/>
  <c r="A345" i="1"/>
  <c r="O344" i="1"/>
  <c r="AC344" i="1"/>
  <c r="K344" i="1"/>
  <c r="L344" i="1"/>
  <c r="Q344" i="1"/>
  <c r="U344" i="1"/>
  <c r="D343" i="1"/>
  <c r="E343" i="1" s="1"/>
  <c r="A340" i="22"/>
  <c r="L339" i="22"/>
  <c r="K339" i="22"/>
  <c r="X339" i="22"/>
  <c r="AB339" i="22"/>
  <c r="AK339" i="22"/>
  <c r="AJ339" i="22"/>
  <c r="O339" i="22"/>
  <c r="AC339" i="22"/>
  <c r="AB341" i="18"/>
  <c r="L341" i="18"/>
  <c r="A342" i="18"/>
  <c r="X341" i="18"/>
  <c r="K341" i="18"/>
  <c r="AJ341" i="18"/>
  <c r="AK341" i="18"/>
  <c r="O341" i="18"/>
  <c r="AC341" i="18"/>
  <c r="X340" i="20"/>
  <c r="AB340" i="20"/>
  <c r="K340" i="20"/>
  <c r="L340" i="20"/>
  <c r="A341" i="20"/>
  <c r="AJ340" i="20"/>
  <c r="AK340" i="20"/>
  <c r="O340" i="20"/>
  <c r="AC340" i="20"/>
  <c r="K342" i="17"/>
  <c r="A343" i="17"/>
  <c r="L342" i="17"/>
  <c r="X342" i="17"/>
  <c r="AB342" i="17"/>
  <c r="AJ342" i="17"/>
  <c r="AK342" i="17"/>
  <c r="O342" i="17"/>
  <c r="AC342" i="17"/>
  <c r="X336" i="25"/>
  <c r="K336" i="25"/>
  <c r="A337" i="25"/>
  <c r="AB336" i="25"/>
  <c r="L336" i="25"/>
  <c r="AJ336" i="25"/>
  <c r="AK336" i="25"/>
  <c r="O336" i="25"/>
  <c r="AC336" i="25"/>
  <c r="K338" i="23"/>
  <c r="L338" i="23"/>
  <c r="X338" i="23"/>
  <c r="A339" i="23"/>
  <c r="AB338" i="23"/>
  <c r="AK338" i="23"/>
  <c r="AJ338" i="23"/>
  <c r="O338" i="23"/>
  <c r="AC338" i="23"/>
  <c r="K337" i="24"/>
  <c r="A338" i="24"/>
  <c r="L337" i="24"/>
  <c r="X337" i="24"/>
  <c r="AB337" i="24"/>
  <c r="AJ337" i="24"/>
  <c r="AK337" i="24"/>
  <c r="O337" i="24"/>
  <c r="AC337" i="24"/>
  <c r="AA342" i="1" l="1"/>
  <c r="Z342" i="1" s="1"/>
  <c r="Y342" i="1" s="1"/>
  <c r="A345" i="15"/>
  <c r="AC344" i="15"/>
  <c r="L344" i="15"/>
  <c r="D344" i="15" s="1"/>
  <c r="AK344" i="15"/>
  <c r="AB344" i="15"/>
  <c r="AJ344" i="15"/>
  <c r="K344" i="15"/>
  <c r="X344" i="15"/>
  <c r="O344" i="15"/>
  <c r="E343" i="15"/>
  <c r="I342" i="1"/>
  <c r="E342" i="16"/>
  <c r="F343" i="1"/>
  <c r="AA343" i="1" s="1"/>
  <c r="Z343" i="1" s="1"/>
  <c r="Y343" i="1" s="1"/>
  <c r="K343" i="16"/>
  <c r="AB343" i="16"/>
  <c r="X343" i="16"/>
  <c r="AK343" i="16"/>
  <c r="O343" i="16"/>
  <c r="A344" i="16"/>
  <c r="L343" i="16"/>
  <c r="D343" i="16" s="1"/>
  <c r="AJ343" i="16"/>
  <c r="AC343" i="16"/>
  <c r="G343" i="1"/>
  <c r="BW343" i="6" s="1"/>
  <c r="X339" i="23"/>
  <c r="A340" i="23"/>
  <c r="K339" i="23"/>
  <c r="L339" i="23"/>
  <c r="AB339" i="23"/>
  <c r="AJ339" i="23"/>
  <c r="AK339" i="23"/>
  <c r="O339" i="23"/>
  <c r="AC339" i="23"/>
  <c r="A338" i="25"/>
  <c r="X337" i="25"/>
  <c r="K337" i="25"/>
  <c r="L337" i="25"/>
  <c r="AB337" i="25"/>
  <c r="AJ337" i="25"/>
  <c r="AK337" i="25"/>
  <c r="O337" i="25"/>
  <c r="AC337" i="25"/>
  <c r="K341" i="20"/>
  <c r="AB341" i="20"/>
  <c r="L341" i="20"/>
  <c r="X341" i="20"/>
  <c r="A342" i="20"/>
  <c r="AJ341" i="20"/>
  <c r="AK341" i="20"/>
  <c r="O341" i="20"/>
  <c r="AC341" i="20"/>
  <c r="T344" i="1"/>
  <c r="D344" i="1"/>
  <c r="E344" i="1" s="1"/>
  <c r="L345" i="1"/>
  <c r="O345" i="1"/>
  <c r="AB345" i="1"/>
  <c r="AC345" i="1"/>
  <c r="AJ345" i="1"/>
  <c r="K345" i="1"/>
  <c r="Q345" i="1"/>
  <c r="AK345" i="1"/>
  <c r="A346" i="1"/>
  <c r="X345" i="1"/>
  <c r="U345" i="1"/>
  <c r="T345" i="1" s="1"/>
  <c r="A339" i="24"/>
  <c r="X338" i="24"/>
  <c r="L338" i="24"/>
  <c r="K338" i="24"/>
  <c r="AB338" i="24"/>
  <c r="AK338" i="24"/>
  <c r="AJ338" i="24"/>
  <c r="O338" i="24"/>
  <c r="AC338" i="24"/>
  <c r="A344" i="17"/>
  <c r="X343" i="17"/>
  <c r="L343" i="17"/>
  <c r="AB343" i="17"/>
  <c r="K343" i="17"/>
  <c r="O343" i="17"/>
  <c r="AK343" i="17"/>
  <c r="AJ343" i="17"/>
  <c r="AC343" i="17"/>
  <c r="L342" i="18"/>
  <c r="X342" i="18"/>
  <c r="AJ342" i="18"/>
  <c r="AB342" i="18"/>
  <c r="K342" i="18"/>
  <c r="A343" i="18"/>
  <c r="O342" i="18"/>
  <c r="AK342" i="18"/>
  <c r="AC342" i="18"/>
  <c r="A341" i="22"/>
  <c r="K340" i="22"/>
  <c r="L340" i="22"/>
  <c r="AB340" i="22"/>
  <c r="X340" i="22"/>
  <c r="AK340" i="22"/>
  <c r="AJ340" i="22"/>
  <c r="O340" i="22"/>
  <c r="AC340" i="22"/>
  <c r="E343" i="16" l="1"/>
  <c r="I343" i="1"/>
  <c r="E344" i="15"/>
  <c r="X345" i="15"/>
  <c r="AK345" i="15"/>
  <c r="K345" i="15"/>
  <c r="AJ345" i="15"/>
  <c r="L345" i="15"/>
  <c r="D345" i="15" s="1"/>
  <c r="AB345" i="15"/>
  <c r="AC345" i="15"/>
  <c r="A346" i="15"/>
  <c r="O345" i="15"/>
  <c r="X344" i="16"/>
  <c r="K344" i="16"/>
  <c r="AJ344" i="16"/>
  <c r="AC344" i="16"/>
  <c r="AB344" i="16"/>
  <c r="L344" i="16"/>
  <c r="D344" i="16" s="1"/>
  <c r="A345" i="16"/>
  <c r="AK344" i="16"/>
  <c r="O344" i="16"/>
  <c r="L342" i="20"/>
  <c r="K342" i="20"/>
  <c r="A343" i="20"/>
  <c r="X342" i="20"/>
  <c r="AB342" i="20"/>
  <c r="AJ342" i="20"/>
  <c r="AK342" i="20"/>
  <c r="O342" i="20"/>
  <c r="AC342" i="20"/>
  <c r="A342" i="22"/>
  <c r="L341" i="22"/>
  <c r="AB341" i="22"/>
  <c r="K341" i="22"/>
  <c r="X341" i="22"/>
  <c r="AK341" i="22"/>
  <c r="AJ341" i="22"/>
  <c r="O341" i="22"/>
  <c r="AC341" i="22"/>
  <c r="AJ343" i="18"/>
  <c r="L343" i="18"/>
  <c r="X343" i="18"/>
  <c r="AB343" i="18"/>
  <c r="A344" i="18"/>
  <c r="K343" i="18"/>
  <c r="AK343" i="18"/>
  <c r="O343" i="18"/>
  <c r="AC343" i="18"/>
  <c r="K344" i="17"/>
  <c r="X344" i="17"/>
  <c r="AB344" i="17"/>
  <c r="L344" i="17"/>
  <c r="A345" i="17"/>
  <c r="O344" i="17"/>
  <c r="AK344" i="17"/>
  <c r="AJ344" i="17"/>
  <c r="AC344" i="17"/>
  <c r="AB339" i="24"/>
  <c r="A340" i="24"/>
  <c r="K339" i="24"/>
  <c r="L339" i="24"/>
  <c r="X339" i="24"/>
  <c r="AJ339" i="24"/>
  <c r="AK339" i="24"/>
  <c r="O339" i="24"/>
  <c r="AC339" i="24"/>
  <c r="S345" i="1"/>
  <c r="R345" i="1" s="1"/>
  <c r="P345" i="1" s="1"/>
  <c r="V345" i="1" s="1"/>
  <c r="AB346" i="1"/>
  <c r="AC346" i="1"/>
  <c r="O346" i="1"/>
  <c r="L346" i="1"/>
  <c r="A347" i="1"/>
  <c r="AJ346" i="1"/>
  <c r="Q346" i="1"/>
  <c r="AK346" i="1"/>
  <c r="K346" i="1"/>
  <c r="X346" i="1"/>
  <c r="U346" i="1"/>
  <c r="D345" i="1"/>
  <c r="E345" i="1" s="1"/>
  <c r="S344" i="1"/>
  <c r="R344" i="1" s="1"/>
  <c r="P344" i="1" s="1"/>
  <c r="V344" i="1" s="1"/>
  <c r="K338" i="25"/>
  <c r="X338" i="25"/>
  <c r="L338" i="25"/>
  <c r="A339" i="25"/>
  <c r="AB338" i="25"/>
  <c r="AJ338" i="25"/>
  <c r="O338" i="25"/>
  <c r="AK338" i="25"/>
  <c r="AC338" i="25"/>
  <c r="A341" i="23"/>
  <c r="K340" i="23"/>
  <c r="AB340" i="23"/>
  <c r="X340" i="23"/>
  <c r="L340" i="23"/>
  <c r="AJ340" i="23"/>
  <c r="AK340" i="23"/>
  <c r="O340" i="23"/>
  <c r="AC340" i="23"/>
  <c r="E345" i="15" l="1"/>
  <c r="A347" i="15"/>
  <c r="AK346" i="15"/>
  <c r="AB346" i="15"/>
  <c r="AJ346" i="15"/>
  <c r="L346" i="15"/>
  <c r="D346" i="15" s="1"/>
  <c r="K346" i="15"/>
  <c r="AC346" i="15"/>
  <c r="X346" i="15"/>
  <c r="O346" i="15"/>
  <c r="E346" i="15" s="1"/>
  <c r="E344" i="16"/>
  <c r="K345" i="16"/>
  <c r="X345" i="16"/>
  <c r="AK345" i="16"/>
  <c r="AC345" i="16"/>
  <c r="A346" i="16"/>
  <c r="L345" i="16"/>
  <c r="D345" i="16" s="1"/>
  <c r="AB345" i="16"/>
  <c r="AJ345" i="16"/>
  <c r="O345" i="16"/>
  <c r="X341" i="23"/>
  <c r="L341" i="23"/>
  <c r="AB341" i="23"/>
  <c r="K341" i="23"/>
  <c r="A342" i="23"/>
  <c r="AK341" i="23"/>
  <c r="AJ341" i="23"/>
  <c r="O341" i="23"/>
  <c r="AC341" i="23"/>
  <c r="AB339" i="25"/>
  <c r="K339" i="25"/>
  <c r="L339" i="25"/>
  <c r="X339" i="25"/>
  <c r="A340" i="25"/>
  <c r="AJ339" i="25"/>
  <c r="O339" i="25"/>
  <c r="AK339" i="25"/>
  <c r="AC339" i="25"/>
  <c r="F344" i="1"/>
  <c r="F345" i="1"/>
  <c r="D346" i="1"/>
  <c r="E346" i="1" s="1"/>
  <c r="AB344" i="18"/>
  <c r="X344" i="18"/>
  <c r="AJ344" i="18"/>
  <c r="K344" i="18"/>
  <c r="L344" i="18"/>
  <c r="A345" i="18"/>
  <c r="AK344" i="18"/>
  <c r="O344" i="18"/>
  <c r="AC344" i="18"/>
  <c r="X343" i="20"/>
  <c r="AB343" i="20"/>
  <c r="A344" i="20"/>
  <c r="L343" i="20"/>
  <c r="K343" i="20"/>
  <c r="AK343" i="20"/>
  <c r="AJ343" i="20"/>
  <c r="O343" i="20"/>
  <c r="AC343" i="20"/>
  <c r="T346" i="1"/>
  <c r="L347" i="1"/>
  <c r="Q347" i="1"/>
  <c r="AC347" i="1"/>
  <c r="AK347" i="1"/>
  <c r="AB347" i="1"/>
  <c r="X347" i="1"/>
  <c r="A348" i="1"/>
  <c r="K347" i="1"/>
  <c r="O347" i="1"/>
  <c r="AJ347" i="1"/>
  <c r="U347" i="1"/>
  <c r="T347" i="1" s="1"/>
  <c r="K340" i="24"/>
  <c r="X340" i="24"/>
  <c r="AB340" i="24"/>
  <c r="A341" i="24"/>
  <c r="L340" i="24"/>
  <c r="AJ340" i="24"/>
  <c r="AK340" i="24"/>
  <c r="O340" i="24"/>
  <c r="AC340" i="24"/>
  <c r="A346" i="17"/>
  <c r="X345" i="17"/>
  <c r="L345" i="17"/>
  <c r="K345" i="17"/>
  <c r="AB345" i="17"/>
  <c r="AJ345" i="17"/>
  <c r="O345" i="17"/>
  <c r="AK345" i="17"/>
  <c r="AC345" i="17"/>
  <c r="A343" i="22"/>
  <c r="AB342" i="22"/>
  <c r="K342" i="22"/>
  <c r="L342" i="22"/>
  <c r="X342" i="22"/>
  <c r="AJ342" i="22"/>
  <c r="AK342" i="22"/>
  <c r="O342" i="22"/>
  <c r="AC342" i="22"/>
  <c r="E345" i="16" l="1"/>
  <c r="L347" i="15"/>
  <c r="D347" i="15" s="1"/>
  <c r="O347" i="15"/>
  <c r="K347" i="15"/>
  <c r="AJ347" i="15"/>
  <c r="X347" i="15"/>
  <c r="AK347" i="15"/>
  <c r="A348" i="15"/>
  <c r="AB347" i="15"/>
  <c r="AC347" i="15"/>
  <c r="K346" i="16"/>
  <c r="A347" i="16"/>
  <c r="X346" i="16"/>
  <c r="AK346" i="16"/>
  <c r="O346" i="16"/>
  <c r="L346" i="16"/>
  <c r="D346" i="16" s="1"/>
  <c r="AB346" i="16"/>
  <c r="AJ346" i="16"/>
  <c r="AC346" i="16"/>
  <c r="A347" i="17"/>
  <c r="K346" i="17"/>
  <c r="AB346" i="17"/>
  <c r="L346" i="17"/>
  <c r="X346" i="17"/>
  <c r="AJ346" i="17"/>
  <c r="O346" i="17"/>
  <c r="AK346" i="17"/>
  <c r="AC346" i="17"/>
  <c r="X341" i="24"/>
  <c r="L341" i="24"/>
  <c r="A342" i="24"/>
  <c r="AB341" i="24"/>
  <c r="K341" i="24"/>
  <c r="AJ341" i="24"/>
  <c r="AK341" i="24"/>
  <c r="O341" i="24"/>
  <c r="AC341" i="24"/>
  <c r="I344" i="1"/>
  <c r="AA344" i="1"/>
  <c r="Z344" i="1" s="1"/>
  <c r="Y344" i="1" s="1"/>
  <c r="G344" i="1"/>
  <c r="BW344" i="6" s="1"/>
  <c r="A343" i="23"/>
  <c r="K342" i="23"/>
  <c r="X342" i="23"/>
  <c r="L342" i="23"/>
  <c r="AB342" i="23"/>
  <c r="AK342" i="23"/>
  <c r="AJ342" i="23"/>
  <c r="O342" i="23"/>
  <c r="AC342" i="23"/>
  <c r="K343" i="22"/>
  <c r="AB343" i="22"/>
  <c r="X343" i="22"/>
  <c r="A344" i="22"/>
  <c r="L343" i="22"/>
  <c r="AJ343" i="22"/>
  <c r="AK343" i="22"/>
  <c r="O343" i="22"/>
  <c r="AC343" i="22"/>
  <c r="S347" i="1"/>
  <c r="R347" i="1" s="1"/>
  <c r="P347" i="1" s="1"/>
  <c r="V347" i="1" s="1"/>
  <c r="O348" i="1"/>
  <c r="AK348" i="1"/>
  <c r="X348" i="1"/>
  <c r="AC348" i="1"/>
  <c r="L348" i="1"/>
  <c r="A349" i="1"/>
  <c r="AB348" i="1"/>
  <c r="Q348" i="1"/>
  <c r="AJ348" i="1"/>
  <c r="K348" i="1"/>
  <c r="U348" i="1"/>
  <c r="T348" i="1" s="1"/>
  <c r="S348" i="1" s="1"/>
  <c r="R348" i="1" s="1"/>
  <c r="D347" i="1"/>
  <c r="E347" i="1" s="1"/>
  <c r="S346" i="1"/>
  <c r="R346" i="1" s="1"/>
  <c r="P346" i="1" s="1"/>
  <c r="V346" i="1" s="1"/>
  <c r="F346" i="1" s="1"/>
  <c r="A345" i="20"/>
  <c r="K344" i="20"/>
  <c r="AB344" i="20"/>
  <c r="L344" i="20"/>
  <c r="X344" i="20"/>
  <c r="AJ344" i="20"/>
  <c r="AK344" i="20"/>
  <c r="O344" i="20"/>
  <c r="AC344" i="20"/>
  <c r="X345" i="18"/>
  <c r="AJ345" i="18"/>
  <c r="A346" i="18"/>
  <c r="K345" i="18"/>
  <c r="AB345" i="18"/>
  <c r="O345" i="18"/>
  <c r="L345" i="18"/>
  <c r="AK345" i="18"/>
  <c r="AC345" i="18"/>
  <c r="G345" i="1"/>
  <c r="BW345" i="6" s="1"/>
  <c r="AA345" i="1"/>
  <c r="Z345" i="1" s="1"/>
  <c r="Y345" i="1" s="1"/>
  <c r="I345" i="1"/>
  <c r="X340" i="25"/>
  <c r="A341" i="25"/>
  <c r="K340" i="25"/>
  <c r="L340" i="25"/>
  <c r="AB340" i="25"/>
  <c r="AJ340" i="25"/>
  <c r="AK340" i="25"/>
  <c r="O340" i="25"/>
  <c r="AC340" i="25"/>
  <c r="E347" i="15" l="1"/>
  <c r="AB348" i="15"/>
  <c r="X348" i="15"/>
  <c r="O348" i="15"/>
  <c r="K348" i="15"/>
  <c r="AC348" i="15"/>
  <c r="L348" i="15"/>
  <c r="D348" i="15" s="1"/>
  <c r="AK348" i="15"/>
  <c r="A349" i="15"/>
  <c r="AJ348" i="15"/>
  <c r="E346" i="16"/>
  <c r="P348" i="1"/>
  <c r="V348" i="1" s="1"/>
  <c r="AB347" i="16"/>
  <c r="A348" i="16"/>
  <c r="AK347" i="16"/>
  <c r="AC347" i="16"/>
  <c r="X347" i="16"/>
  <c r="K347" i="16"/>
  <c r="L347" i="16"/>
  <c r="D347" i="16" s="1"/>
  <c r="AJ347" i="16"/>
  <c r="O347" i="16"/>
  <c r="F347" i="1"/>
  <c r="AA347" i="1" s="1"/>
  <c r="Z347" i="1" s="1"/>
  <c r="Y347" i="1" s="1"/>
  <c r="A346" i="20"/>
  <c r="L345" i="20"/>
  <c r="K345" i="20"/>
  <c r="AB345" i="20"/>
  <c r="AJ345" i="20"/>
  <c r="AK345" i="20"/>
  <c r="X345" i="20"/>
  <c r="O345" i="20"/>
  <c r="AC345" i="20"/>
  <c r="I346" i="1"/>
  <c r="AA346" i="1"/>
  <c r="Z346" i="1" s="1"/>
  <c r="Y346" i="1" s="1"/>
  <c r="G346" i="1"/>
  <c r="BW346" i="6" s="1"/>
  <c r="D348" i="1"/>
  <c r="E348" i="1" s="1"/>
  <c r="X344" i="22"/>
  <c r="A345" i="22"/>
  <c r="AB344" i="22"/>
  <c r="K344" i="22"/>
  <c r="L344" i="22"/>
  <c r="AJ344" i="22"/>
  <c r="AK344" i="22"/>
  <c r="O344" i="22"/>
  <c r="AC344" i="22"/>
  <c r="X343" i="23"/>
  <c r="L343" i="23"/>
  <c r="A344" i="23"/>
  <c r="K343" i="23"/>
  <c r="AJ343" i="23"/>
  <c r="AK343" i="23"/>
  <c r="AB343" i="23"/>
  <c r="O343" i="23"/>
  <c r="AC343" i="23"/>
  <c r="K341" i="25"/>
  <c r="A342" i="25"/>
  <c r="L341" i="25"/>
  <c r="X341" i="25"/>
  <c r="AJ341" i="25"/>
  <c r="AK341" i="25"/>
  <c r="AB341" i="25"/>
  <c r="O341" i="25"/>
  <c r="AC341" i="25"/>
  <c r="AB346" i="18"/>
  <c r="A347" i="18"/>
  <c r="L346" i="18"/>
  <c r="X346" i="18"/>
  <c r="K346" i="18"/>
  <c r="O346" i="18"/>
  <c r="AK346" i="18"/>
  <c r="AJ346" i="18"/>
  <c r="AC346" i="18"/>
  <c r="A350" i="1"/>
  <c r="K349" i="1"/>
  <c r="AK349" i="1"/>
  <c r="L349" i="1"/>
  <c r="X349" i="1"/>
  <c r="O349" i="1"/>
  <c r="AB349" i="1"/>
  <c r="AJ349" i="1"/>
  <c r="AC349" i="1"/>
  <c r="Q349" i="1"/>
  <c r="U349" i="1"/>
  <c r="T349" i="1" s="1"/>
  <c r="AB342" i="24"/>
  <c r="X342" i="24"/>
  <c r="K342" i="24"/>
  <c r="A343" i="24"/>
  <c r="AJ342" i="24"/>
  <c r="AK342" i="24"/>
  <c r="L342" i="24"/>
  <c r="O342" i="24"/>
  <c r="AC342" i="24"/>
  <c r="K347" i="17"/>
  <c r="AB347" i="17"/>
  <c r="X347" i="17"/>
  <c r="AJ347" i="17"/>
  <c r="O347" i="17"/>
  <c r="AK347" i="17"/>
  <c r="L347" i="17"/>
  <c r="A348" i="17"/>
  <c r="AC347" i="17"/>
  <c r="I347" i="1" l="1"/>
  <c r="L349" i="15"/>
  <c r="D349" i="15" s="1"/>
  <c r="AB349" i="15"/>
  <c r="AC349" i="15"/>
  <c r="K349" i="15"/>
  <c r="O349" i="15"/>
  <c r="A350" i="15"/>
  <c r="AK349" i="15"/>
  <c r="X349" i="15"/>
  <c r="AJ349" i="15"/>
  <c r="E348" i="15"/>
  <c r="G347" i="1"/>
  <c r="BW347" i="6" s="1"/>
  <c r="E347" i="16"/>
  <c r="F348" i="1"/>
  <c r="I348" i="1" s="1"/>
  <c r="L61" i="19"/>
  <c r="K348" i="16"/>
  <c r="AJ348" i="16"/>
  <c r="A349" i="16"/>
  <c r="AC348" i="16"/>
  <c r="X348" i="16"/>
  <c r="AB348" i="16"/>
  <c r="L348" i="16"/>
  <c r="D348" i="16" s="1"/>
  <c r="AK348" i="16"/>
  <c r="O348" i="16"/>
  <c r="S349" i="1"/>
  <c r="R349" i="1" s="1"/>
  <c r="P349" i="1" s="1"/>
  <c r="V349" i="1" s="1"/>
  <c r="AK350" i="1"/>
  <c r="AC350" i="1"/>
  <c r="K350" i="1"/>
  <c r="AB350" i="1"/>
  <c r="Q350" i="1"/>
  <c r="X350" i="1"/>
  <c r="AJ350" i="1"/>
  <c r="L350" i="1"/>
  <c r="A351" i="1"/>
  <c r="O350" i="1"/>
  <c r="U350" i="1"/>
  <c r="T350" i="1" s="1"/>
  <c r="AB347" i="18"/>
  <c r="A348" i="18"/>
  <c r="AJ347" i="18"/>
  <c r="L347" i="18"/>
  <c r="AK347" i="18"/>
  <c r="K347" i="18"/>
  <c r="X347" i="18"/>
  <c r="O347" i="18"/>
  <c r="AC347" i="18"/>
  <c r="AB348" i="17"/>
  <c r="K348" i="17"/>
  <c r="X348" i="17"/>
  <c r="L348" i="17"/>
  <c r="AJ348" i="17"/>
  <c r="O348" i="17"/>
  <c r="A349" i="17"/>
  <c r="AK348" i="17"/>
  <c r="AC348" i="17"/>
  <c r="K343" i="24"/>
  <c r="L343" i="24"/>
  <c r="A344" i="24"/>
  <c r="AB343" i="24"/>
  <c r="AJ343" i="24"/>
  <c r="X343" i="24"/>
  <c r="AK343" i="24"/>
  <c r="O343" i="24"/>
  <c r="AC343" i="24"/>
  <c r="D349" i="1"/>
  <c r="E349" i="1" s="1"/>
  <c r="A343" i="25"/>
  <c r="AB342" i="25"/>
  <c r="K342" i="25"/>
  <c r="L342" i="25"/>
  <c r="AJ342" i="25"/>
  <c r="X342" i="25"/>
  <c r="O342" i="25"/>
  <c r="AK342" i="25"/>
  <c r="AC342" i="25"/>
  <c r="K344" i="23"/>
  <c r="A345" i="23"/>
  <c r="AB344" i="23"/>
  <c r="AJ344" i="23"/>
  <c r="AK344" i="23"/>
  <c r="X344" i="23"/>
  <c r="L344" i="23"/>
  <c r="O344" i="23"/>
  <c r="AC344" i="23"/>
  <c r="X345" i="22"/>
  <c r="L345" i="22"/>
  <c r="K345" i="22"/>
  <c r="A346" i="22"/>
  <c r="AB345" i="22"/>
  <c r="AJ345" i="22"/>
  <c r="AK345" i="22"/>
  <c r="O345" i="22"/>
  <c r="AC345" i="22"/>
  <c r="X346" i="20"/>
  <c r="A347" i="20"/>
  <c r="L346" i="20"/>
  <c r="AK346" i="20"/>
  <c r="AB346" i="20"/>
  <c r="K346" i="20"/>
  <c r="AJ346" i="20"/>
  <c r="O346" i="20"/>
  <c r="AC346" i="20"/>
  <c r="E349" i="15" l="1"/>
  <c r="X350" i="15"/>
  <c r="L350" i="15"/>
  <c r="D350" i="15" s="1"/>
  <c r="AB350" i="15"/>
  <c r="AK350" i="15"/>
  <c r="K350" i="15"/>
  <c r="AJ350" i="15"/>
  <c r="O350" i="15"/>
  <c r="A351" i="15"/>
  <c r="AC350" i="15"/>
  <c r="G348" i="1"/>
  <c r="BW348" i="6" s="1"/>
  <c r="AA348" i="1"/>
  <c r="Z348" i="1" s="1"/>
  <c r="Y348" i="1" s="1"/>
  <c r="E348" i="16"/>
  <c r="X349" i="16"/>
  <c r="AK349" i="16"/>
  <c r="L349" i="16"/>
  <c r="D349" i="16" s="1"/>
  <c r="AC349" i="16"/>
  <c r="A350" i="16"/>
  <c r="K349" i="16"/>
  <c r="AB349" i="16"/>
  <c r="AJ349" i="16"/>
  <c r="O349" i="16"/>
  <c r="AB346" i="22"/>
  <c r="X346" i="22"/>
  <c r="K346" i="22"/>
  <c r="L346" i="22"/>
  <c r="AJ346" i="22"/>
  <c r="A347" i="22"/>
  <c r="AK346" i="22"/>
  <c r="O346" i="22"/>
  <c r="AC346" i="22"/>
  <c r="F349" i="1"/>
  <c r="D350" i="1"/>
  <c r="E350" i="1" s="1"/>
  <c r="AB347" i="20"/>
  <c r="L347" i="20"/>
  <c r="A348" i="20"/>
  <c r="X347" i="20"/>
  <c r="AJ347" i="20"/>
  <c r="AK347" i="20"/>
  <c r="K347" i="20"/>
  <c r="O347" i="20"/>
  <c r="AC347" i="20"/>
  <c r="X345" i="23"/>
  <c r="A346" i="23"/>
  <c r="L345" i="23"/>
  <c r="AB345" i="23"/>
  <c r="K345" i="23"/>
  <c r="AJ345" i="23"/>
  <c r="AK345" i="23"/>
  <c r="O345" i="23"/>
  <c r="AC345" i="23"/>
  <c r="AB343" i="25"/>
  <c r="A344" i="25"/>
  <c r="K343" i="25"/>
  <c r="X343" i="25"/>
  <c r="AJ343" i="25"/>
  <c r="L343" i="25"/>
  <c r="O343" i="25"/>
  <c r="AK343" i="25"/>
  <c r="AC343" i="25"/>
  <c r="AB344" i="24"/>
  <c r="L344" i="24"/>
  <c r="A345" i="24"/>
  <c r="X344" i="24"/>
  <c r="K344" i="24"/>
  <c r="AJ344" i="24"/>
  <c r="AK344" i="24"/>
  <c r="O344" i="24"/>
  <c r="AC344" i="24"/>
  <c r="X349" i="17"/>
  <c r="A350" i="17"/>
  <c r="AB349" i="17"/>
  <c r="O349" i="17"/>
  <c r="K349" i="17"/>
  <c r="L349" i="17"/>
  <c r="AJ349" i="17"/>
  <c r="AK349" i="17"/>
  <c r="AC349" i="17"/>
  <c r="AB348" i="18"/>
  <c r="L348" i="18"/>
  <c r="A349" i="18"/>
  <c r="AJ348" i="18"/>
  <c r="K348" i="18"/>
  <c r="X348" i="18"/>
  <c r="O348" i="18"/>
  <c r="AK348" i="18"/>
  <c r="AC348" i="18"/>
  <c r="S350" i="1"/>
  <c r="R350" i="1" s="1"/>
  <c r="P350" i="1" s="1"/>
  <c r="V350" i="1" s="1"/>
  <c r="AK351" i="1"/>
  <c r="O351" i="1"/>
  <c r="L351" i="1"/>
  <c r="AJ351" i="1"/>
  <c r="A352" i="1"/>
  <c r="K351" i="1"/>
  <c r="X351" i="1"/>
  <c r="AB351" i="1"/>
  <c r="Q351" i="1"/>
  <c r="AC351" i="1"/>
  <c r="U351" i="1"/>
  <c r="T351" i="1" s="1"/>
  <c r="S351" i="1" s="1"/>
  <c r="R351" i="1" s="1"/>
  <c r="P351" i="1" s="1"/>
  <c r="E350" i="15" l="1"/>
  <c r="AK351" i="15"/>
  <c r="O351" i="15"/>
  <c r="X351" i="15"/>
  <c r="AJ351" i="15"/>
  <c r="A352" i="15"/>
  <c r="L351" i="15"/>
  <c r="D351" i="15" s="1"/>
  <c r="AB351" i="15"/>
  <c r="K351" i="15"/>
  <c r="AC351" i="15"/>
  <c r="X350" i="16"/>
  <c r="K350" i="16"/>
  <c r="A351" i="16"/>
  <c r="AC350" i="16"/>
  <c r="AB350" i="16"/>
  <c r="L350" i="16"/>
  <c r="D350" i="16" s="1"/>
  <c r="AJ350" i="16"/>
  <c r="AK350" i="16"/>
  <c r="O350" i="16"/>
  <c r="E349" i="16"/>
  <c r="L349" i="18"/>
  <c r="X349" i="18"/>
  <c r="AJ349" i="18"/>
  <c r="A350" i="18"/>
  <c r="AB349" i="18"/>
  <c r="K349" i="18"/>
  <c r="AK349" i="18"/>
  <c r="O349" i="18"/>
  <c r="AC349" i="18"/>
  <c r="L350" i="17"/>
  <c r="K350" i="17"/>
  <c r="X350" i="17"/>
  <c r="AJ350" i="17"/>
  <c r="O350" i="17"/>
  <c r="AK350" i="17"/>
  <c r="AB350" i="17"/>
  <c r="A351" i="17"/>
  <c r="AC350" i="17"/>
  <c r="AB344" i="25"/>
  <c r="X344" i="25"/>
  <c r="L344" i="25"/>
  <c r="K344" i="25"/>
  <c r="A345" i="25"/>
  <c r="AJ344" i="25"/>
  <c r="O344" i="25"/>
  <c r="AK344" i="25"/>
  <c r="AC344" i="25"/>
  <c r="I349" i="1"/>
  <c r="G349" i="1"/>
  <c r="BW349" i="6" s="1"/>
  <c r="AA349" i="1"/>
  <c r="Z349" i="1" s="1"/>
  <c r="Y349" i="1" s="1"/>
  <c r="X347" i="22"/>
  <c r="L347" i="22"/>
  <c r="A348" i="22"/>
  <c r="AJ347" i="22"/>
  <c r="AK347" i="22"/>
  <c r="K347" i="22"/>
  <c r="AB347" i="22"/>
  <c r="O347" i="22"/>
  <c r="AC347" i="22"/>
  <c r="A353" i="1"/>
  <c r="AJ352" i="1"/>
  <c r="X352" i="1"/>
  <c r="Q352" i="1"/>
  <c r="K352" i="1"/>
  <c r="O352" i="1"/>
  <c r="L352" i="1"/>
  <c r="AK352" i="1"/>
  <c r="AC352" i="1"/>
  <c r="AB352" i="1"/>
  <c r="U352" i="1"/>
  <c r="T352" i="1" s="1"/>
  <c r="S352" i="1" s="1"/>
  <c r="R352" i="1" s="1"/>
  <c r="D351" i="1"/>
  <c r="E351" i="1" s="1"/>
  <c r="V351" i="1"/>
  <c r="A346" i="24"/>
  <c r="K345" i="24"/>
  <c r="L345" i="24"/>
  <c r="AB345" i="24"/>
  <c r="X345" i="24"/>
  <c r="AJ345" i="24"/>
  <c r="AK345" i="24"/>
  <c r="O345" i="24"/>
  <c r="AC345" i="24"/>
  <c r="X346" i="23"/>
  <c r="K346" i="23"/>
  <c r="L346" i="23"/>
  <c r="A347" i="23"/>
  <c r="AB346" i="23"/>
  <c r="AJ346" i="23"/>
  <c r="AK346" i="23"/>
  <c r="O346" i="23"/>
  <c r="AC346" i="23"/>
  <c r="AB348" i="20"/>
  <c r="A349" i="20"/>
  <c r="L348" i="20"/>
  <c r="AJ348" i="20"/>
  <c r="K348" i="20"/>
  <c r="X348" i="20"/>
  <c r="AK348" i="20"/>
  <c r="O348" i="20"/>
  <c r="AC348" i="20"/>
  <c r="F350" i="1"/>
  <c r="E351" i="15" l="1"/>
  <c r="X352" i="15"/>
  <c r="AJ352" i="15"/>
  <c r="AC352" i="15"/>
  <c r="AB352" i="15"/>
  <c r="O352" i="15"/>
  <c r="K352" i="15"/>
  <c r="AK352" i="15"/>
  <c r="A353" i="15"/>
  <c r="L352" i="15"/>
  <c r="D352" i="15" s="1"/>
  <c r="E352" i="15" s="1"/>
  <c r="P352" i="1"/>
  <c r="V352" i="1" s="1"/>
  <c r="E350" i="16"/>
  <c r="F351" i="1"/>
  <c r="I351" i="1" s="1"/>
  <c r="AB351" i="16"/>
  <c r="X351" i="16"/>
  <c r="L351" i="16"/>
  <c r="D351" i="16" s="1"/>
  <c r="AC351" i="16"/>
  <c r="K351" i="16"/>
  <c r="A352" i="16"/>
  <c r="AK351" i="16"/>
  <c r="AJ351" i="16"/>
  <c r="O351" i="16"/>
  <c r="AB347" i="23"/>
  <c r="L347" i="23"/>
  <c r="X347" i="23"/>
  <c r="K347" i="23"/>
  <c r="A348" i="23"/>
  <c r="AJ347" i="23"/>
  <c r="AK347" i="23"/>
  <c r="O347" i="23"/>
  <c r="AC347" i="23"/>
  <c r="D352" i="1"/>
  <c r="E352" i="1" s="1"/>
  <c r="A354" i="1"/>
  <c r="AJ353" i="1"/>
  <c r="AC353" i="1"/>
  <c r="K353" i="1"/>
  <c r="Q353" i="1"/>
  <c r="AK353" i="1"/>
  <c r="L353" i="1"/>
  <c r="X353" i="1"/>
  <c r="AB353" i="1"/>
  <c r="O353" i="1"/>
  <c r="U353" i="1"/>
  <c r="T353" i="1" s="1"/>
  <c r="AB351" i="17"/>
  <c r="X351" i="17"/>
  <c r="K351" i="17"/>
  <c r="O351" i="17"/>
  <c r="AK351" i="17"/>
  <c r="L351" i="17"/>
  <c r="A352" i="17"/>
  <c r="AJ351" i="17"/>
  <c r="AC351" i="17"/>
  <c r="X350" i="18"/>
  <c r="AJ350" i="18"/>
  <c r="L350" i="18"/>
  <c r="K350" i="18"/>
  <c r="AB350" i="18"/>
  <c r="O350" i="18"/>
  <c r="A351" i="18"/>
  <c r="AK350" i="18"/>
  <c r="AC350" i="18"/>
  <c r="I350" i="1"/>
  <c r="G350" i="1"/>
  <c r="BW350" i="6" s="1"/>
  <c r="AA350" i="1"/>
  <c r="Z350" i="1" s="1"/>
  <c r="Y350" i="1" s="1"/>
  <c r="AB349" i="20"/>
  <c r="L349" i="20"/>
  <c r="X349" i="20"/>
  <c r="K349" i="20"/>
  <c r="A350" i="20"/>
  <c r="AJ349" i="20"/>
  <c r="AK349" i="20"/>
  <c r="O349" i="20"/>
  <c r="AC349" i="20"/>
  <c r="AB346" i="24"/>
  <c r="X346" i="24"/>
  <c r="A347" i="24"/>
  <c r="K346" i="24"/>
  <c r="AK346" i="24"/>
  <c r="L346" i="24"/>
  <c r="AJ346" i="24"/>
  <c r="O346" i="24"/>
  <c r="AC346" i="24"/>
  <c r="X348" i="22"/>
  <c r="L348" i="22"/>
  <c r="K348" i="22"/>
  <c r="A349" i="22"/>
  <c r="AB348" i="22"/>
  <c r="AJ348" i="22"/>
  <c r="AK348" i="22"/>
  <c r="O348" i="22"/>
  <c r="AC348" i="22"/>
  <c r="A346" i="25"/>
  <c r="K345" i="25"/>
  <c r="AB345" i="25"/>
  <c r="L345" i="25"/>
  <c r="AK345" i="25"/>
  <c r="X345" i="25"/>
  <c r="AJ345" i="25"/>
  <c r="O345" i="25"/>
  <c r="AC345" i="25"/>
  <c r="AA351" i="1" l="1"/>
  <c r="Z351" i="1" s="1"/>
  <c r="Y351" i="1" s="1"/>
  <c r="K353" i="15"/>
  <c r="O353" i="15"/>
  <c r="A354" i="15"/>
  <c r="AK353" i="15"/>
  <c r="AB353" i="15"/>
  <c r="AJ353" i="15"/>
  <c r="L353" i="15"/>
  <c r="D353" i="15" s="1"/>
  <c r="X353" i="15"/>
  <c r="AC353" i="15"/>
  <c r="G351" i="1"/>
  <c r="BW351" i="6" s="1"/>
  <c r="K352" i="16"/>
  <c r="AB352" i="16"/>
  <c r="L352" i="16"/>
  <c r="D352" i="16" s="1"/>
  <c r="AC352" i="16"/>
  <c r="A353" i="16"/>
  <c r="X352" i="16"/>
  <c r="AJ352" i="16"/>
  <c r="AK352" i="16"/>
  <c r="O352" i="16"/>
  <c r="E351" i="16"/>
  <c r="AB347" i="24"/>
  <c r="A348" i="24"/>
  <c r="X347" i="24"/>
  <c r="AJ347" i="24"/>
  <c r="K347" i="24"/>
  <c r="L347" i="24"/>
  <c r="AK347" i="24"/>
  <c r="O347" i="24"/>
  <c r="AC347" i="24"/>
  <c r="X352" i="17"/>
  <c r="AB352" i="17"/>
  <c r="A353" i="17"/>
  <c r="L352" i="17"/>
  <c r="AK352" i="17"/>
  <c r="K352" i="17"/>
  <c r="AJ352" i="17"/>
  <c r="O352" i="17"/>
  <c r="AC352" i="17"/>
  <c r="F352" i="1"/>
  <c r="K346" i="25"/>
  <c r="X346" i="25"/>
  <c r="L346" i="25"/>
  <c r="AJ346" i="25"/>
  <c r="A347" i="25"/>
  <c r="AB346" i="25"/>
  <c r="AK346" i="25"/>
  <c r="O346" i="25"/>
  <c r="AC346" i="25"/>
  <c r="K349" i="22"/>
  <c r="AB349" i="22"/>
  <c r="A350" i="22"/>
  <c r="X349" i="22"/>
  <c r="AJ349" i="22"/>
  <c r="AK349" i="22"/>
  <c r="L349" i="22"/>
  <c r="O349" i="22"/>
  <c r="AC349" i="22"/>
  <c r="A351" i="20"/>
  <c r="L350" i="20"/>
  <c r="AB350" i="20"/>
  <c r="X350" i="20"/>
  <c r="AJ350" i="20"/>
  <c r="AK350" i="20"/>
  <c r="K350" i="20"/>
  <c r="O350" i="20"/>
  <c r="AC350" i="20"/>
  <c r="K351" i="18"/>
  <c r="A352" i="18"/>
  <c r="L351" i="18"/>
  <c r="AJ351" i="18"/>
  <c r="AK351" i="18"/>
  <c r="O351" i="18"/>
  <c r="X351" i="18"/>
  <c r="AB351" i="18"/>
  <c r="AC351" i="18"/>
  <c r="S353" i="1"/>
  <c r="R353" i="1" s="1"/>
  <c r="P353" i="1" s="1"/>
  <c r="V353" i="1" s="1"/>
  <c r="D353" i="1"/>
  <c r="E353" i="1" s="1"/>
  <c r="O354" i="1"/>
  <c r="AC354" i="1"/>
  <c r="X354" i="1"/>
  <c r="K354" i="1"/>
  <c r="AJ354" i="1"/>
  <c r="A355" i="1"/>
  <c r="Q354" i="1"/>
  <c r="AB354" i="1"/>
  <c r="AK354" i="1"/>
  <c r="L354" i="1"/>
  <c r="U354" i="1"/>
  <c r="T354" i="1" s="1"/>
  <c r="S354" i="1" s="1"/>
  <c r="R354" i="1" s="1"/>
  <c r="P354" i="1" s="1"/>
  <c r="K348" i="23"/>
  <c r="L348" i="23"/>
  <c r="X348" i="23"/>
  <c r="AB348" i="23"/>
  <c r="AJ348" i="23"/>
  <c r="A349" i="23"/>
  <c r="AK348" i="23"/>
  <c r="O348" i="23"/>
  <c r="AC348" i="23"/>
  <c r="E353" i="15" l="1"/>
  <c r="A355" i="15"/>
  <c r="AB354" i="15"/>
  <c r="AC354" i="15"/>
  <c r="AJ354" i="15"/>
  <c r="O354" i="15"/>
  <c r="L354" i="15"/>
  <c r="D354" i="15" s="1"/>
  <c r="AK354" i="15"/>
  <c r="X354" i="15"/>
  <c r="K354" i="15"/>
  <c r="F353" i="1"/>
  <c r="G353" i="1" s="1"/>
  <c r="BW353" i="6" s="1"/>
  <c r="K353" i="16"/>
  <c r="X353" i="16"/>
  <c r="AB353" i="16"/>
  <c r="AK353" i="16"/>
  <c r="O353" i="16"/>
  <c r="AC353" i="16"/>
  <c r="A354" i="16"/>
  <c r="L353" i="16"/>
  <c r="D353" i="16" s="1"/>
  <c r="AJ353" i="16"/>
  <c r="E352" i="16"/>
  <c r="D354" i="1"/>
  <c r="V354" i="1"/>
  <c r="O355" i="1"/>
  <c r="X355" i="1"/>
  <c r="Q355" i="1"/>
  <c r="A356" i="1"/>
  <c r="AJ355" i="1"/>
  <c r="AB355" i="1"/>
  <c r="AK355" i="1"/>
  <c r="AC355" i="1"/>
  <c r="L355" i="1"/>
  <c r="K355" i="1"/>
  <c r="U355" i="1"/>
  <c r="T355" i="1" s="1"/>
  <c r="S355" i="1" s="1"/>
  <c r="R355" i="1" s="1"/>
  <c r="P355" i="1" s="1"/>
  <c r="I353" i="1"/>
  <c r="A351" i="22"/>
  <c r="AB350" i="22"/>
  <c r="X350" i="22"/>
  <c r="L350" i="22"/>
  <c r="AJ350" i="22"/>
  <c r="AK350" i="22"/>
  <c r="K350" i="22"/>
  <c r="O350" i="22"/>
  <c r="AC350" i="22"/>
  <c r="L353" i="17"/>
  <c r="AB353" i="17"/>
  <c r="A354" i="17"/>
  <c r="AJ353" i="17"/>
  <c r="K353" i="17"/>
  <c r="X353" i="17"/>
  <c r="O353" i="17"/>
  <c r="AK353" i="17"/>
  <c r="AC353" i="17"/>
  <c r="AB348" i="24"/>
  <c r="L348" i="24"/>
  <c r="A349" i="24"/>
  <c r="K348" i="24"/>
  <c r="AJ348" i="24"/>
  <c r="AK348" i="24"/>
  <c r="X348" i="24"/>
  <c r="O348" i="24"/>
  <c r="AC348" i="24"/>
  <c r="X349" i="23"/>
  <c r="A350" i="23"/>
  <c r="L349" i="23"/>
  <c r="K349" i="23"/>
  <c r="AB349" i="23"/>
  <c r="AJ349" i="23"/>
  <c r="AK349" i="23"/>
  <c r="O349" i="23"/>
  <c r="AC349" i="23"/>
  <c r="E354" i="1"/>
  <c r="L352" i="18"/>
  <c r="K352" i="18"/>
  <c r="AJ352" i="18"/>
  <c r="A353" i="18"/>
  <c r="X352" i="18"/>
  <c r="O352" i="18"/>
  <c r="AK352" i="18"/>
  <c r="AB352" i="18"/>
  <c r="AC352" i="18"/>
  <c r="A352" i="20"/>
  <c r="K351" i="20"/>
  <c r="X351" i="20"/>
  <c r="AK351" i="20"/>
  <c r="AB351" i="20"/>
  <c r="L351" i="20"/>
  <c r="AJ351" i="20"/>
  <c r="O351" i="20"/>
  <c r="AC351" i="20"/>
  <c r="X347" i="25"/>
  <c r="K347" i="25"/>
  <c r="AB347" i="25"/>
  <c r="L347" i="25"/>
  <c r="A348" i="25"/>
  <c r="AJ347" i="25"/>
  <c r="O347" i="25"/>
  <c r="AK347" i="25"/>
  <c r="AC347" i="25"/>
  <c r="I352" i="1"/>
  <c r="G352" i="1"/>
  <c r="BW352" i="6" s="1"/>
  <c r="AA352" i="1"/>
  <c r="Z352" i="1" s="1"/>
  <c r="Y352" i="1" s="1"/>
  <c r="AA353" i="1" l="1"/>
  <c r="Z353" i="1" s="1"/>
  <c r="Y353" i="1" s="1"/>
  <c r="E354" i="15"/>
  <c r="K355" i="15"/>
  <c r="L355" i="15"/>
  <c r="D355" i="15" s="1"/>
  <c r="A356" i="15"/>
  <c r="X355" i="15"/>
  <c r="AB355" i="15"/>
  <c r="AK355" i="15"/>
  <c r="O355" i="15"/>
  <c r="AJ355" i="15"/>
  <c r="AC355" i="15"/>
  <c r="E353" i="16"/>
  <c r="F354" i="1"/>
  <c r="AA354" i="1" s="1"/>
  <c r="Z354" i="1" s="1"/>
  <c r="Y354" i="1" s="1"/>
  <c r="AB354" i="16"/>
  <c r="K354" i="16"/>
  <c r="X354" i="16"/>
  <c r="AC354" i="16"/>
  <c r="A355" i="16"/>
  <c r="L354" i="16"/>
  <c r="D354" i="16" s="1"/>
  <c r="AK354" i="16"/>
  <c r="AJ354" i="16"/>
  <c r="O354" i="16"/>
  <c r="X352" i="20"/>
  <c r="A353" i="20"/>
  <c r="L352" i="20"/>
  <c r="K352" i="20"/>
  <c r="AJ352" i="20"/>
  <c r="AB352" i="20"/>
  <c r="AK352" i="20"/>
  <c r="O352" i="20"/>
  <c r="AC352" i="20"/>
  <c r="K353" i="18"/>
  <c r="AB353" i="18"/>
  <c r="L353" i="18"/>
  <c r="A354" i="18"/>
  <c r="X353" i="18"/>
  <c r="AJ353" i="18"/>
  <c r="O353" i="18"/>
  <c r="AK353" i="18"/>
  <c r="AC353" i="18"/>
  <c r="K349" i="24"/>
  <c r="A350" i="24"/>
  <c r="X349" i="24"/>
  <c r="AB349" i="24"/>
  <c r="AK349" i="24"/>
  <c r="L349" i="24"/>
  <c r="AJ349" i="24"/>
  <c r="O349" i="24"/>
  <c r="AC349" i="24"/>
  <c r="A352" i="22"/>
  <c r="L351" i="22"/>
  <c r="X351" i="22"/>
  <c r="AB351" i="22"/>
  <c r="K351" i="22"/>
  <c r="AJ351" i="22"/>
  <c r="AK351" i="22"/>
  <c r="O351" i="22"/>
  <c r="AC351" i="22"/>
  <c r="D355" i="1"/>
  <c r="V355" i="1"/>
  <c r="E355" i="1"/>
  <c r="AB348" i="25"/>
  <c r="A349" i="25"/>
  <c r="L348" i="25"/>
  <c r="X348" i="25"/>
  <c r="K348" i="25"/>
  <c r="AJ348" i="25"/>
  <c r="O348" i="25"/>
  <c r="AK348" i="25"/>
  <c r="AC348" i="25"/>
  <c r="K350" i="23"/>
  <c r="X350" i="23"/>
  <c r="A351" i="23"/>
  <c r="AJ350" i="23"/>
  <c r="AK350" i="23"/>
  <c r="AB350" i="23"/>
  <c r="L350" i="23"/>
  <c r="O350" i="23"/>
  <c r="AC350" i="23"/>
  <c r="L354" i="17"/>
  <c r="X354" i="17"/>
  <c r="K354" i="17"/>
  <c r="A355" i="17"/>
  <c r="AB354" i="17"/>
  <c r="O354" i="17"/>
  <c r="AJ354" i="17"/>
  <c r="AK354" i="17"/>
  <c r="AC354" i="17"/>
  <c r="O356" i="1"/>
  <c r="AB356" i="1"/>
  <c r="AC356" i="1"/>
  <c r="AJ356" i="1"/>
  <c r="X356" i="1"/>
  <c r="AK356" i="1"/>
  <c r="L356" i="1"/>
  <c r="K356" i="1"/>
  <c r="A357" i="1"/>
  <c r="Q356" i="1"/>
  <c r="U356" i="1"/>
  <c r="T356" i="1" s="1"/>
  <c r="S356" i="1" s="1"/>
  <c r="R356" i="1" s="1"/>
  <c r="L356" i="15" l="1"/>
  <c r="D356" i="15" s="1"/>
  <c r="A357" i="15"/>
  <c r="X356" i="15"/>
  <c r="AK356" i="15"/>
  <c r="AC356" i="15"/>
  <c r="AB356" i="15"/>
  <c r="O356" i="15"/>
  <c r="K356" i="15"/>
  <c r="AJ356" i="15"/>
  <c r="P356" i="1"/>
  <c r="E355" i="15"/>
  <c r="G354" i="1"/>
  <c r="BW354" i="6" s="1"/>
  <c r="F355" i="1"/>
  <c r="I355" i="1" s="1"/>
  <c r="I354" i="1"/>
  <c r="A356" i="16"/>
  <c r="X355" i="16"/>
  <c r="AK355" i="16"/>
  <c r="K355" i="16"/>
  <c r="O355" i="16"/>
  <c r="L355" i="16"/>
  <c r="D355" i="16" s="1"/>
  <c r="AB355" i="16"/>
  <c r="AJ355" i="16"/>
  <c r="AC355" i="16"/>
  <c r="E354" i="16"/>
  <c r="D356" i="1"/>
  <c r="E356" i="1" s="1"/>
  <c r="V356" i="1"/>
  <c r="K351" i="23"/>
  <c r="L351" i="23"/>
  <c r="AB351" i="23"/>
  <c r="X351" i="23"/>
  <c r="AJ351" i="23"/>
  <c r="AK351" i="23"/>
  <c r="A352" i="23"/>
  <c r="O351" i="23"/>
  <c r="AC351" i="23"/>
  <c r="K352" i="22"/>
  <c r="L352" i="22"/>
  <c r="AB352" i="22"/>
  <c r="X352" i="22"/>
  <c r="AK352" i="22"/>
  <c r="A353" i="22"/>
  <c r="AJ352" i="22"/>
  <c r="O352" i="22"/>
  <c r="AC352" i="22"/>
  <c r="X350" i="24"/>
  <c r="AB350" i="24"/>
  <c r="L350" i="24"/>
  <c r="K350" i="24"/>
  <c r="A351" i="24"/>
  <c r="AJ350" i="24"/>
  <c r="AK350" i="24"/>
  <c r="O350" i="24"/>
  <c r="AC350" i="24"/>
  <c r="X353" i="20"/>
  <c r="L353" i="20"/>
  <c r="A354" i="20"/>
  <c r="AB353" i="20"/>
  <c r="K353" i="20"/>
  <c r="AJ353" i="20"/>
  <c r="AK353" i="20"/>
  <c r="O353" i="20"/>
  <c r="AC353" i="20"/>
  <c r="AC357" i="1"/>
  <c r="AB357" i="1"/>
  <c r="X357" i="1"/>
  <c r="O357" i="1"/>
  <c r="A358" i="1"/>
  <c r="AJ357" i="1"/>
  <c r="L357" i="1"/>
  <c r="AK357" i="1"/>
  <c r="Q357" i="1"/>
  <c r="K357" i="1"/>
  <c r="U357" i="1"/>
  <c r="T357" i="1" s="1"/>
  <c r="X355" i="17"/>
  <c r="K355" i="17"/>
  <c r="AB355" i="17"/>
  <c r="AJ355" i="17"/>
  <c r="O355" i="17"/>
  <c r="AK355" i="17"/>
  <c r="L355" i="17"/>
  <c r="A356" i="17"/>
  <c r="AC355" i="17"/>
  <c r="A350" i="25"/>
  <c r="K349" i="25"/>
  <c r="X349" i="25"/>
  <c r="AJ349" i="25"/>
  <c r="AK349" i="25"/>
  <c r="AB349" i="25"/>
  <c r="L349" i="25"/>
  <c r="O349" i="25"/>
  <c r="AC349" i="25"/>
  <c r="AB354" i="18"/>
  <c r="A355" i="18"/>
  <c r="K354" i="18"/>
  <c r="X354" i="18"/>
  <c r="L354" i="18"/>
  <c r="O354" i="18"/>
  <c r="AK354" i="18"/>
  <c r="AJ354" i="18"/>
  <c r="AC354" i="18"/>
  <c r="AA355" i="1" l="1"/>
  <c r="Z355" i="1" s="1"/>
  <c r="Y355" i="1" s="1"/>
  <c r="E356" i="15"/>
  <c r="G355" i="1"/>
  <c r="BW355" i="6" s="1"/>
  <c r="AB357" i="15"/>
  <c r="AC357" i="15"/>
  <c r="L357" i="15"/>
  <c r="D357" i="15" s="1"/>
  <c r="X357" i="15"/>
  <c r="A358" i="15"/>
  <c r="AK357" i="15"/>
  <c r="K357" i="15"/>
  <c r="AJ357" i="15"/>
  <c r="O357" i="15"/>
  <c r="E355" i="16"/>
  <c r="A357" i="16"/>
  <c r="K356" i="16"/>
  <c r="AJ356" i="16"/>
  <c r="AC356" i="16"/>
  <c r="L356" i="16"/>
  <c r="D356" i="16" s="1"/>
  <c r="AB356" i="16"/>
  <c r="X356" i="16"/>
  <c r="AK356" i="16"/>
  <c r="O356" i="16"/>
  <c r="S357" i="1"/>
  <c r="R357" i="1" s="1"/>
  <c r="P357" i="1" s="1"/>
  <c r="V357" i="1" s="1"/>
  <c r="D357" i="1"/>
  <c r="A359" i="1"/>
  <c r="AB358" i="1"/>
  <c r="L358" i="1"/>
  <c r="AK358" i="1"/>
  <c r="O358" i="1"/>
  <c r="K358" i="1"/>
  <c r="X358" i="1"/>
  <c r="AJ358" i="1"/>
  <c r="Q358" i="1"/>
  <c r="AC358" i="1"/>
  <c r="U358" i="1"/>
  <c r="T358" i="1" s="1"/>
  <c r="K351" i="24"/>
  <c r="A352" i="24"/>
  <c r="AB351" i="24"/>
  <c r="X351" i="24"/>
  <c r="AJ351" i="24"/>
  <c r="L351" i="24"/>
  <c r="AK351" i="24"/>
  <c r="O351" i="24"/>
  <c r="AC351" i="24"/>
  <c r="X353" i="22"/>
  <c r="L353" i="22"/>
  <c r="K353" i="22"/>
  <c r="AJ353" i="22"/>
  <c r="A354" i="22"/>
  <c r="AB353" i="22"/>
  <c r="AK353" i="22"/>
  <c r="O353" i="22"/>
  <c r="AC353" i="22"/>
  <c r="F356" i="1"/>
  <c r="L355" i="18"/>
  <c r="AB355" i="18"/>
  <c r="AJ355" i="18"/>
  <c r="AK355" i="18"/>
  <c r="K355" i="18"/>
  <c r="A356" i="18"/>
  <c r="X355" i="18"/>
  <c r="O355" i="18"/>
  <c r="AC355" i="18"/>
  <c r="K350" i="25"/>
  <c r="L350" i="25"/>
  <c r="A351" i="25"/>
  <c r="AJ350" i="25"/>
  <c r="X350" i="25"/>
  <c r="AB350" i="25"/>
  <c r="O350" i="25"/>
  <c r="AK350" i="25"/>
  <c r="AC350" i="25"/>
  <c r="A357" i="17"/>
  <c r="K356" i="17"/>
  <c r="X356" i="17"/>
  <c r="AB356" i="17"/>
  <c r="AJ356" i="17"/>
  <c r="O356" i="17"/>
  <c r="L356" i="17"/>
  <c r="AK356" i="17"/>
  <c r="AC356" i="17"/>
  <c r="E357" i="1"/>
  <c r="A355" i="20"/>
  <c r="K354" i="20"/>
  <c r="X354" i="20"/>
  <c r="AB354" i="20"/>
  <c r="L354" i="20"/>
  <c r="AJ354" i="20"/>
  <c r="AK354" i="20"/>
  <c r="O354" i="20"/>
  <c r="AC354" i="20"/>
  <c r="K352" i="23"/>
  <c r="AB352" i="23"/>
  <c r="L352" i="23"/>
  <c r="AK352" i="23"/>
  <c r="A353" i="23"/>
  <c r="X352" i="23"/>
  <c r="AJ352" i="23"/>
  <c r="O352" i="23"/>
  <c r="AC352" i="23"/>
  <c r="X358" i="15" l="1"/>
  <c r="AJ358" i="15"/>
  <c r="K358" i="15"/>
  <c r="L358" i="15"/>
  <c r="D358" i="15" s="1"/>
  <c r="O358" i="15"/>
  <c r="AB358" i="15"/>
  <c r="AC358" i="15"/>
  <c r="A359" i="15"/>
  <c r="AK358" i="15"/>
  <c r="E357" i="15"/>
  <c r="E356" i="16"/>
  <c r="L357" i="16"/>
  <c r="D357" i="16" s="1"/>
  <c r="AJ357" i="16"/>
  <c r="K357" i="16"/>
  <c r="AC357" i="16"/>
  <c r="X357" i="16"/>
  <c r="AB357" i="16"/>
  <c r="AK357" i="16"/>
  <c r="A358" i="16"/>
  <c r="O357" i="16"/>
  <c r="A356" i="20"/>
  <c r="L355" i="20"/>
  <c r="X355" i="20"/>
  <c r="AJ355" i="20"/>
  <c r="AK355" i="20"/>
  <c r="AB355" i="20"/>
  <c r="K355" i="20"/>
  <c r="O355" i="20"/>
  <c r="AC355" i="20"/>
  <c r="X357" i="17"/>
  <c r="L357" i="17"/>
  <c r="K357" i="17"/>
  <c r="O357" i="17"/>
  <c r="AK357" i="17"/>
  <c r="A358" i="17"/>
  <c r="AB357" i="17"/>
  <c r="AJ357" i="17"/>
  <c r="AC357" i="17"/>
  <c r="X354" i="22"/>
  <c r="L354" i="22"/>
  <c r="K354" i="22"/>
  <c r="AJ354" i="22"/>
  <c r="AK354" i="22"/>
  <c r="A355" i="22"/>
  <c r="AB354" i="22"/>
  <c r="O354" i="22"/>
  <c r="AC354" i="22"/>
  <c r="K352" i="24"/>
  <c r="AB352" i="24"/>
  <c r="AJ352" i="24"/>
  <c r="AK352" i="24"/>
  <c r="X352" i="24"/>
  <c r="L352" i="24"/>
  <c r="A353" i="24"/>
  <c r="O352" i="24"/>
  <c r="AC352" i="24"/>
  <c r="S358" i="1"/>
  <c r="R358" i="1" s="1"/>
  <c r="P358" i="1" s="1"/>
  <c r="V358" i="1" s="1"/>
  <c r="D358" i="1"/>
  <c r="E358" i="1" s="1"/>
  <c r="L359" i="1"/>
  <c r="K359" i="1"/>
  <c r="AJ359" i="1"/>
  <c r="A360" i="1"/>
  <c r="AK359" i="1"/>
  <c r="U359" i="1"/>
  <c r="T359" i="1" s="1"/>
  <c r="AB359" i="1"/>
  <c r="Q359" i="1"/>
  <c r="X359" i="1"/>
  <c r="O359" i="1"/>
  <c r="AC359" i="1"/>
  <c r="K353" i="23"/>
  <c r="X353" i="23"/>
  <c r="L353" i="23"/>
  <c r="AJ353" i="23"/>
  <c r="A354" i="23"/>
  <c r="AB353" i="23"/>
  <c r="AK353" i="23"/>
  <c r="O353" i="23"/>
  <c r="AC353" i="23"/>
  <c r="F357" i="1"/>
  <c r="X351" i="25"/>
  <c r="K351" i="25"/>
  <c r="AJ351" i="25"/>
  <c r="AK351" i="25"/>
  <c r="A352" i="25"/>
  <c r="AB351" i="25"/>
  <c r="L351" i="25"/>
  <c r="O351" i="25"/>
  <c r="AC351" i="25"/>
  <c r="A357" i="18"/>
  <c r="AB356" i="18"/>
  <c r="X356" i="18"/>
  <c r="L356" i="18"/>
  <c r="K356" i="18"/>
  <c r="AJ356" i="18"/>
  <c r="O356" i="18"/>
  <c r="AK356" i="18"/>
  <c r="AC356" i="18"/>
  <c r="G356" i="1"/>
  <c r="BW356" i="6" s="1"/>
  <c r="AA356" i="1"/>
  <c r="Z356" i="1" s="1"/>
  <c r="Y356" i="1" s="1"/>
  <c r="I356" i="1"/>
  <c r="A360" i="15" l="1"/>
  <c r="K359" i="15"/>
  <c r="AC359" i="15"/>
  <c r="AK359" i="15"/>
  <c r="O359" i="15"/>
  <c r="AB359" i="15"/>
  <c r="AJ359" i="15"/>
  <c r="L359" i="15"/>
  <c r="D359" i="15" s="1"/>
  <c r="X359" i="15"/>
  <c r="E358" i="15"/>
  <c r="F358" i="1"/>
  <c r="I358" i="1" s="1"/>
  <c r="X358" i="16"/>
  <c r="AJ358" i="16"/>
  <c r="A359" i="16"/>
  <c r="AC358" i="16"/>
  <c r="AB358" i="16"/>
  <c r="L358" i="16"/>
  <c r="D358" i="16" s="1"/>
  <c r="K358" i="16"/>
  <c r="AK358" i="16"/>
  <c r="O358" i="16"/>
  <c r="E357" i="16"/>
  <c r="X357" i="18"/>
  <c r="K357" i="18"/>
  <c r="AJ357" i="18"/>
  <c r="O357" i="18"/>
  <c r="A358" i="18"/>
  <c r="L357" i="18"/>
  <c r="AB357" i="18"/>
  <c r="AK357" i="18"/>
  <c r="AC357" i="18"/>
  <c r="I357" i="1"/>
  <c r="G357" i="1"/>
  <c r="BW357" i="6" s="1"/>
  <c r="AA357" i="1"/>
  <c r="Z357" i="1" s="1"/>
  <c r="Y357" i="1" s="1"/>
  <c r="D359" i="1"/>
  <c r="E359" i="1" s="1"/>
  <c r="K352" i="25"/>
  <c r="AB352" i="25"/>
  <c r="A353" i="25"/>
  <c r="X352" i="25"/>
  <c r="L352" i="25"/>
  <c r="AJ352" i="25"/>
  <c r="AK352" i="25"/>
  <c r="O352" i="25"/>
  <c r="AC352" i="25"/>
  <c r="K354" i="23"/>
  <c r="X354" i="23"/>
  <c r="L354" i="23"/>
  <c r="A355" i="23"/>
  <c r="AB354" i="23"/>
  <c r="AJ354" i="23"/>
  <c r="AK354" i="23"/>
  <c r="O354" i="23"/>
  <c r="AC354" i="23"/>
  <c r="S359" i="1"/>
  <c r="R359" i="1" s="1"/>
  <c r="P359" i="1" s="1"/>
  <c r="V359" i="1" s="1"/>
  <c r="AJ360" i="1"/>
  <c r="Q360" i="1"/>
  <c r="AC360" i="1"/>
  <c r="A361" i="1"/>
  <c r="AB360" i="1"/>
  <c r="L360" i="1"/>
  <c r="K360" i="1"/>
  <c r="O360" i="1"/>
  <c r="AK360" i="1"/>
  <c r="X360" i="1"/>
  <c r="U360" i="1"/>
  <c r="T360" i="1" s="1"/>
  <c r="AA358" i="1"/>
  <c r="Z358" i="1" s="1"/>
  <c r="Y358" i="1" s="1"/>
  <c r="A354" i="24"/>
  <c r="AB353" i="24"/>
  <c r="X353" i="24"/>
  <c r="L353" i="24"/>
  <c r="K353" i="24"/>
  <c r="AJ353" i="24"/>
  <c r="AK353" i="24"/>
  <c r="O353" i="24"/>
  <c r="AC353" i="24"/>
  <c r="K355" i="22"/>
  <c r="AB355" i="22"/>
  <c r="AK355" i="22"/>
  <c r="X355" i="22"/>
  <c r="A356" i="22"/>
  <c r="L355" i="22"/>
  <c r="AJ355" i="22"/>
  <c r="O355" i="22"/>
  <c r="AC355" i="22"/>
  <c r="A359" i="17"/>
  <c r="X358" i="17"/>
  <c r="AJ358" i="17"/>
  <c r="O358" i="17"/>
  <c r="L358" i="17"/>
  <c r="K358" i="17"/>
  <c r="AB358" i="17"/>
  <c r="AK358" i="17"/>
  <c r="AC358" i="17"/>
  <c r="AB356" i="20"/>
  <c r="L356" i="20"/>
  <c r="A357" i="20"/>
  <c r="AJ356" i="20"/>
  <c r="K356" i="20"/>
  <c r="X356" i="20"/>
  <c r="AK356" i="20"/>
  <c r="O356" i="20"/>
  <c r="AC356" i="20"/>
  <c r="G358" i="1" l="1"/>
  <c r="BW358" i="6" s="1"/>
  <c r="AB360" i="15"/>
  <c r="K360" i="15"/>
  <c r="A361" i="15"/>
  <c r="L360" i="15"/>
  <c r="D360" i="15" s="1"/>
  <c r="AC360" i="15"/>
  <c r="X360" i="15"/>
  <c r="O360" i="15"/>
  <c r="AJ360" i="15"/>
  <c r="AK360" i="15"/>
  <c r="E359" i="15"/>
  <c r="E358" i="16"/>
  <c r="F359" i="1"/>
  <c r="I359" i="1" s="1"/>
  <c r="AB359" i="16"/>
  <c r="A360" i="16"/>
  <c r="AJ359" i="16"/>
  <c r="AC359" i="16"/>
  <c r="K359" i="16"/>
  <c r="L359" i="16"/>
  <c r="D359" i="16" s="1"/>
  <c r="X359" i="16"/>
  <c r="AK359" i="16"/>
  <c r="O359" i="16"/>
  <c r="G359" i="1"/>
  <c r="BW359" i="6" s="1"/>
  <c r="X357" i="20"/>
  <c r="A358" i="20"/>
  <c r="AK357" i="20"/>
  <c r="AB357" i="20"/>
  <c r="K357" i="20"/>
  <c r="L357" i="20"/>
  <c r="AJ357" i="20"/>
  <c r="O357" i="20"/>
  <c r="AC357" i="20"/>
  <c r="X359" i="17"/>
  <c r="AB359" i="17"/>
  <c r="AK359" i="17"/>
  <c r="L359" i="17"/>
  <c r="A360" i="17"/>
  <c r="K359" i="17"/>
  <c r="AJ359" i="17"/>
  <c r="O359" i="17"/>
  <c r="AC359" i="17"/>
  <c r="X356" i="22"/>
  <c r="A357" i="22"/>
  <c r="K356" i="22"/>
  <c r="L356" i="22"/>
  <c r="AB356" i="22"/>
  <c r="AJ356" i="22"/>
  <c r="AK356" i="22"/>
  <c r="O356" i="22"/>
  <c r="AC356" i="22"/>
  <c r="D360" i="1"/>
  <c r="E360" i="1" s="1"/>
  <c r="X361" i="1"/>
  <c r="AC361" i="1"/>
  <c r="L361" i="1"/>
  <c r="A362" i="1"/>
  <c r="AB361" i="1"/>
  <c r="K361" i="1"/>
  <c r="AK361" i="1"/>
  <c r="AJ361" i="1"/>
  <c r="O361" i="1"/>
  <c r="Q361" i="1"/>
  <c r="U361" i="1"/>
  <c r="T361" i="1" s="1"/>
  <c r="S361" i="1" s="1"/>
  <c r="R361" i="1" s="1"/>
  <c r="X355" i="23"/>
  <c r="L355" i="23"/>
  <c r="K355" i="23"/>
  <c r="AJ355" i="23"/>
  <c r="AK355" i="23"/>
  <c r="AB355" i="23"/>
  <c r="A356" i="23"/>
  <c r="O355" i="23"/>
  <c r="AC355" i="23"/>
  <c r="X353" i="25"/>
  <c r="L353" i="25"/>
  <c r="K353" i="25"/>
  <c r="AB353" i="25"/>
  <c r="A354" i="25"/>
  <c r="AJ353" i="25"/>
  <c r="AK353" i="25"/>
  <c r="O353" i="25"/>
  <c r="AC353" i="25"/>
  <c r="K354" i="24"/>
  <c r="A355" i="24"/>
  <c r="L354" i="24"/>
  <c r="AK354" i="24"/>
  <c r="AB354" i="24"/>
  <c r="X354" i="24"/>
  <c r="AJ354" i="24"/>
  <c r="O354" i="24"/>
  <c r="AC354" i="24"/>
  <c r="S360" i="1"/>
  <c r="R360" i="1" s="1"/>
  <c r="P360" i="1" s="1"/>
  <c r="V360" i="1" s="1"/>
  <c r="K358" i="18"/>
  <c r="AJ358" i="18"/>
  <c r="A359" i="18"/>
  <c r="AK358" i="18"/>
  <c r="O358" i="18"/>
  <c r="AB358" i="18"/>
  <c r="X358" i="18"/>
  <c r="L358" i="18"/>
  <c r="AC358" i="18"/>
  <c r="P361" i="1" l="1"/>
  <c r="V361" i="1" s="1"/>
  <c r="AJ361" i="15"/>
  <c r="AK361" i="15"/>
  <c r="A362" i="15"/>
  <c r="X361" i="15"/>
  <c r="AB361" i="15"/>
  <c r="K361" i="15"/>
  <c r="AC361" i="15"/>
  <c r="L361" i="15"/>
  <c r="D361" i="15" s="1"/>
  <c r="O361" i="15"/>
  <c r="E360" i="15"/>
  <c r="F360" i="1"/>
  <c r="G360" i="1" s="1"/>
  <c r="BW360" i="6" s="1"/>
  <c r="AA359" i="1"/>
  <c r="Z359" i="1" s="1"/>
  <c r="Y359" i="1" s="1"/>
  <c r="E359" i="16"/>
  <c r="X360" i="16"/>
  <c r="AK360" i="16"/>
  <c r="A361" i="16"/>
  <c r="AC360" i="16"/>
  <c r="AB360" i="16"/>
  <c r="AJ360" i="16"/>
  <c r="L360" i="16"/>
  <c r="D360" i="16" s="1"/>
  <c r="K360" i="16"/>
  <c r="O360" i="16"/>
  <c r="K355" i="24"/>
  <c r="A356" i="24"/>
  <c r="AJ355" i="24"/>
  <c r="AK355" i="24"/>
  <c r="X355" i="24"/>
  <c r="AB355" i="24"/>
  <c r="L355" i="24"/>
  <c r="O355" i="24"/>
  <c r="AC355" i="24"/>
  <c r="AB354" i="25"/>
  <c r="L354" i="25"/>
  <c r="X354" i="25"/>
  <c r="AK354" i="25"/>
  <c r="K354" i="25"/>
  <c r="A355" i="25"/>
  <c r="AJ354" i="25"/>
  <c r="O354" i="25"/>
  <c r="AC354" i="25"/>
  <c r="D361" i="1"/>
  <c r="E361" i="1" s="1"/>
  <c r="A358" i="22"/>
  <c r="X357" i="22"/>
  <c r="L357" i="22"/>
  <c r="AK357" i="22"/>
  <c r="AB357" i="22"/>
  <c r="K357" i="22"/>
  <c r="AJ357" i="22"/>
  <c r="O357" i="22"/>
  <c r="AC357" i="22"/>
  <c r="K359" i="18"/>
  <c r="AB359" i="18"/>
  <c r="X359" i="18"/>
  <c r="A360" i="18"/>
  <c r="AJ359" i="18"/>
  <c r="L359" i="18"/>
  <c r="AK359" i="18"/>
  <c r="O359" i="18"/>
  <c r="AC359" i="18"/>
  <c r="A357" i="23"/>
  <c r="L356" i="23"/>
  <c r="AB356" i="23"/>
  <c r="X356" i="23"/>
  <c r="K356" i="23"/>
  <c r="AJ356" i="23"/>
  <c r="AK356" i="23"/>
  <c r="O356" i="23"/>
  <c r="AC356" i="23"/>
  <c r="X362" i="1"/>
  <c r="AB362" i="1"/>
  <c r="AJ362" i="1"/>
  <c r="Q362" i="1"/>
  <c r="L362" i="1"/>
  <c r="AC362" i="1"/>
  <c r="K362" i="1"/>
  <c r="AK362" i="1"/>
  <c r="A363" i="1"/>
  <c r="O362" i="1"/>
  <c r="U362" i="1"/>
  <c r="A361" i="17"/>
  <c r="K360" i="17"/>
  <c r="O360" i="17"/>
  <c r="X360" i="17"/>
  <c r="AB360" i="17"/>
  <c r="L360" i="17"/>
  <c r="AJ360" i="17"/>
  <c r="AK360" i="17"/>
  <c r="AC360" i="17"/>
  <c r="X358" i="20"/>
  <c r="AB358" i="20"/>
  <c r="A359" i="20"/>
  <c r="L358" i="20"/>
  <c r="K358" i="20"/>
  <c r="AJ358" i="20"/>
  <c r="AK358" i="20"/>
  <c r="O358" i="20"/>
  <c r="AC358" i="20"/>
  <c r="AA360" i="1" l="1"/>
  <c r="Z360" i="1" s="1"/>
  <c r="Y360" i="1" s="1"/>
  <c r="E361" i="15"/>
  <c r="AK362" i="15"/>
  <c r="AJ362" i="15"/>
  <c r="AB362" i="15"/>
  <c r="A363" i="15"/>
  <c r="K362" i="15"/>
  <c r="X362" i="15"/>
  <c r="AC362" i="15"/>
  <c r="L362" i="15"/>
  <c r="D362" i="15" s="1"/>
  <c r="O362" i="15"/>
  <c r="I360" i="1"/>
  <c r="F361" i="1"/>
  <c r="G361" i="1" s="1"/>
  <c r="BW361" i="6" s="1"/>
  <c r="E360" i="16"/>
  <c r="X361" i="16"/>
  <c r="AJ361" i="16"/>
  <c r="A362" i="16"/>
  <c r="AC361" i="16"/>
  <c r="L361" i="16"/>
  <c r="D361" i="16" s="1"/>
  <c r="AB361" i="16"/>
  <c r="AK361" i="16"/>
  <c r="K361" i="16"/>
  <c r="O361" i="16"/>
  <c r="X359" i="20"/>
  <c r="L359" i="20"/>
  <c r="AB359" i="20"/>
  <c r="AJ359" i="20"/>
  <c r="A360" i="20"/>
  <c r="K359" i="20"/>
  <c r="AK359" i="20"/>
  <c r="O359" i="20"/>
  <c r="AC359" i="20"/>
  <c r="X361" i="17"/>
  <c r="A362" i="17"/>
  <c r="AJ361" i="17"/>
  <c r="AK361" i="17"/>
  <c r="L361" i="17"/>
  <c r="K361" i="17"/>
  <c r="AB361" i="17"/>
  <c r="O361" i="17"/>
  <c r="AC361" i="17"/>
  <c r="A358" i="23"/>
  <c r="AB357" i="23"/>
  <c r="AK357" i="23"/>
  <c r="K357" i="23"/>
  <c r="X357" i="23"/>
  <c r="L357" i="23"/>
  <c r="AJ357" i="23"/>
  <c r="O357" i="23"/>
  <c r="AC357" i="23"/>
  <c r="X360" i="18"/>
  <c r="L360" i="18"/>
  <c r="A361" i="18"/>
  <c r="O360" i="18"/>
  <c r="AB360" i="18"/>
  <c r="K360" i="18"/>
  <c r="AJ360" i="18"/>
  <c r="AK360" i="18"/>
  <c r="AC360" i="18"/>
  <c r="X358" i="22"/>
  <c r="K358" i="22"/>
  <c r="AJ358" i="22"/>
  <c r="AK358" i="22"/>
  <c r="AB358" i="22"/>
  <c r="A359" i="22"/>
  <c r="L358" i="22"/>
  <c r="O358" i="22"/>
  <c r="AC358" i="22"/>
  <c r="A356" i="25"/>
  <c r="AB355" i="25"/>
  <c r="K355" i="25"/>
  <c r="L355" i="25"/>
  <c r="X355" i="25"/>
  <c r="AJ355" i="25"/>
  <c r="AK355" i="25"/>
  <c r="O355" i="25"/>
  <c r="AC355" i="25"/>
  <c r="T362" i="1"/>
  <c r="A364" i="1"/>
  <c r="Q363" i="1"/>
  <c r="AK363" i="1"/>
  <c r="L363" i="1"/>
  <c r="AB363" i="1"/>
  <c r="A31" i="7"/>
  <c r="X363" i="1"/>
  <c r="K363" i="1"/>
  <c r="AJ363" i="1"/>
  <c r="AC363" i="1"/>
  <c r="O363" i="1"/>
  <c r="U363" i="1"/>
  <c r="T363" i="1" s="1"/>
  <c r="D362" i="1"/>
  <c r="E362" i="1" s="1"/>
  <c r="K356" i="24"/>
  <c r="A357" i="24"/>
  <c r="L356" i="24"/>
  <c r="AJ356" i="24"/>
  <c r="X356" i="24"/>
  <c r="AB356" i="24"/>
  <c r="AK356" i="24"/>
  <c r="O356" i="24"/>
  <c r="AC356" i="24"/>
  <c r="AA361" i="1" l="1"/>
  <c r="Z361" i="1" s="1"/>
  <c r="Y361" i="1" s="1"/>
  <c r="E362" i="15"/>
  <c r="A43" i="7"/>
  <c r="X363" i="15"/>
  <c r="O363" i="15"/>
  <c r="C43" i="7" s="1"/>
  <c r="AJ363" i="15"/>
  <c r="AK363" i="15"/>
  <c r="A364" i="15"/>
  <c r="AB363" i="15"/>
  <c r="K363" i="15"/>
  <c r="L363" i="15"/>
  <c r="AC363" i="15"/>
  <c r="I361" i="1"/>
  <c r="E361" i="16"/>
  <c r="A363" i="16"/>
  <c r="X362" i="16"/>
  <c r="AJ362" i="16"/>
  <c r="AC362" i="16"/>
  <c r="K362" i="16"/>
  <c r="L362" i="16"/>
  <c r="D362" i="16" s="1"/>
  <c r="AB362" i="16"/>
  <c r="AK362" i="16"/>
  <c r="O362" i="16"/>
  <c r="S363" i="1"/>
  <c r="R363" i="1" s="1"/>
  <c r="P363" i="1" s="1"/>
  <c r="D31" i="7" s="1"/>
  <c r="B31" i="7"/>
  <c r="D363" i="1"/>
  <c r="X359" i="22"/>
  <c r="A360" i="22"/>
  <c r="AJ359" i="22"/>
  <c r="K359" i="22"/>
  <c r="L359" i="22"/>
  <c r="AB359" i="22"/>
  <c r="AK359" i="22"/>
  <c r="O359" i="22"/>
  <c r="AC359" i="22"/>
  <c r="A362" i="18"/>
  <c r="AJ361" i="18"/>
  <c r="L361" i="18"/>
  <c r="O361" i="18"/>
  <c r="AK361" i="18"/>
  <c r="AB361" i="18"/>
  <c r="X361" i="18"/>
  <c r="K361" i="18"/>
  <c r="AC361" i="18"/>
  <c r="A359" i="23"/>
  <c r="AB358" i="23"/>
  <c r="L358" i="23"/>
  <c r="AJ358" i="23"/>
  <c r="K358" i="23"/>
  <c r="X358" i="23"/>
  <c r="AK358" i="23"/>
  <c r="O358" i="23"/>
  <c r="AC358" i="23"/>
  <c r="AB360" i="20"/>
  <c r="K360" i="20"/>
  <c r="L360" i="20"/>
  <c r="AK360" i="20"/>
  <c r="A361" i="20"/>
  <c r="X360" i="20"/>
  <c r="AJ360" i="20"/>
  <c r="O360" i="20"/>
  <c r="AC360" i="20"/>
  <c r="AB357" i="24"/>
  <c r="K357" i="24"/>
  <c r="L357" i="24"/>
  <c r="AJ357" i="24"/>
  <c r="AK357" i="24"/>
  <c r="A358" i="24"/>
  <c r="X357" i="24"/>
  <c r="O357" i="24"/>
  <c r="AC357" i="24"/>
  <c r="E363" i="1"/>
  <c r="C31" i="7"/>
  <c r="O364" i="1"/>
  <c r="AK364" i="1"/>
  <c r="AC364" i="1"/>
  <c r="X364" i="1"/>
  <c r="L364" i="1"/>
  <c r="U364" i="1"/>
  <c r="K364" i="1"/>
  <c r="A365" i="1"/>
  <c r="AJ364" i="1"/>
  <c r="Q364" i="1"/>
  <c r="AB364" i="1"/>
  <c r="S362" i="1"/>
  <c r="R362" i="1" s="1"/>
  <c r="P362" i="1" s="1"/>
  <c r="V362" i="1" s="1"/>
  <c r="F362" i="1" s="1"/>
  <c r="AB356" i="25"/>
  <c r="X356" i="25"/>
  <c r="AJ356" i="25"/>
  <c r="K356" i="25"/>
  <c r="A357" i="25"/>
  <c r="L356" i="25"/>
  <c r="O356" i="25"/>
  <c r="AK356" i="25"/>
  <c r="AC356" i="25"/>
  <c r="AB362" i="17"/>
  <c r="X362" i="17"/>
  <c r="AJ362" i="17"/>
  <c r="O362" i="17"/>
  <c r="L362" i="17"/>
  <c r="K362" i="17"/>
  <c r="A363" i="17"/>
  <c r="AK362" i="17"/>
  <c r="AC362" i="17"/>
  <c r="B43" i="7" l="1"/>
  <c r="D363" i="15"/>
  <c r="E363" i="15" s="1"/>
  <c r="X364" i="15"/>
  <c r="K364" i="15"/>
  <c r="AC364" i="15"/>
  <c r="L364" i="15"/>
  <c r="D364" i="15" s="1"/>
  <c r="O364" i="15"/>
  <c r="AK364" i="15"/>
  <c r="AJ364" i="15"/>
  <c r="A365" i="15"/>
  <c r="AB364" i="15"/>
  <c r="E362" i="16"/>
  <c r="X363" i="16"/>
  <c r="AK363" i="16"/>
  <c r="A364" i="16"/>
  <c r="AJ363" i="16"/>
  <c r="O363" i="16"/>
  <c r="C55" i="7" s="1"/>
  <c r="K363" i="16"/>
  <c r="AB363" i="16"/>
  <c r="A55" i="7"/>
  <c r="L363" i="16"/>
  <c r="AC363" i="16"/>
  <c r="X357" i="25"/>
  <c r="K357" i="25"/>
  <c r="L357" i="25"/>
  <c r="AJ357" i="25"/>
  <c r="AB357" i="25"/>
  <c r="A358" i="25"/>
  <c r="O357" i="25"/>
  <c r="AK357" i="25"/>
  <c r="AC357" i="25"/>
  <c r="K365" i="1"/>
  <c r="O365" i="1"/>
  <c r="AK365" i="1"/>
  <c r="X365" i="1"/>
  <c r="Q365" i="1"/>
  <c r="AB365" i="1"/>
  <c r="L365" i="1"/>
  <c r="AJ365" i="1"/>
  <c r="A366" i="1"/>
  <c r="AC365" i="1"/>
  <c r="U365" i="1"/>
  <c r="T365" i="1" s="1"/>
  <c r="T364" i="1"/>
  <c r="K359" i="23"/>
  <c r="L359" i="23"/>
  <c r="AB359" i="23"/>
  <c r="AJ359" i="23"/>
  <c r="AK359" i="23"/>
  <c r="X359" i="23"/>
  <c r="A360" i="23"/>
  <c r="O359" i="23"/>
  <c r="AC359" i="23"/>
  <c r="A364" i="17"/>
  <c r="K363" i="17"/>
  <c r="L363" i="17"/>
  <c r="AK363" i="17"/>
  <c r="A67" i="7"/>
  <c r="AB363" i="17"/>
  <c r="X363" i="17"/>
  <c r="AJ363" i="17"/>
  <c r="O363" i="17"/>
  <c r="C67" i="7" s="1"/>
  <c r="AC363" i="17"/>
  <c r="AA362" i="1"/>
  <c r="Z362" i="1" s="1"/>
  <c r="Y362" i="1" s="1"/>
  <c r="G362" i="1"/>
  <c r="BW362" i="6" s="1"/>
  <c r="I362" i="1"/>
  <c r="D364" i="1"/>
  <c r="E364" i="1" s="1"/>
  <c r="AB358" i="24"/>
  <c r="X358" i="24"/>
  <c r="AK358" i="24"/>
  <c r="A359" i="24"/>
  <c r="K358" i="24"/>
  <c r="L358" i="24"/>
  <c r="AJ358" i="24"/>
  <c r="O358" i="24"/>
  <c r="AC358" i="24"/>
  <c r="X361" i="20"/>
  <c r="A362" i="20"/>
  <c r="AJ361" i="20"/>
  <c r="AK361" i="20"/>
  <c r="AB361" i="20"/>
  <c r="K361" i="20"/>
  <c r="L361" i="20"/>
  <c r="O361" i="20"/>
  <c r="AC361" i="20"/>
  <c r="X362" i="18"/>
  <c r="K362" i="18"/>
  <c r="L362" i="18"/>
  <c r="AK362" i="18"/>
  <c r="AB362" i="18"/>
  <c r="AJ362" i="18"/>
  <c r="A363" i="18"/>
  <c r="O362" i="18"/>
  <c r="AC362" i="18"/>
  <c r="AB360" i="22"/>
  <c r="L360" i="22"/>
  <c r="X360" i="22"/>
  <c r="AJ360" i="22"/>
  <c r="K360" i="22"/>
  <c r="A361" i="22"/>
  <c r="AK360" i="22"/>
  <c r="O360" i="22"/>
  <c r="AC360" i="22"/>
  <c r="V363" i="1"/>
  <c r="F363" i="1" s="1"/>
  <c r="X365" i="15" l="1"/>
  <c r="L365" i="15"/>
  <c r="D365" i="15" s="1"/>
  <c r="AC365" i="15"/>
  <c r="AB365" i="15"/>
  <c r="O365" i="15"/>
  <c r="AJ365" i="15"/>
  <c r="AK365" i="15"/>
  <c r="K365" i="15"/>
  <c r="A366" i="15"/>
  <c r="E364" i="15"/>
  <c r="B55" i="7"/>
  <c r="D363" i="16"/>
  <c r="E363" i="16" s="1"/>
  <c r="A365" i="16"/>
  <c r="AJ364" i="16"/>
  <c r="L364" i="16"/>
  <c r="D364" i="16" s="1"/>
  <c r="AK364" i="16"/>
  <c r="O364" i="16"/>
  <c r="X364" i="16"/>
  <c r="AB364" i="16"/>
  <c r="K364" i="16"/>
  <c r="AC364" i="16"/>
  <c r="AA363" i="1"/>
  <c r="Z363" i="1" s="1"/>
  <c r="Y363" i="1" s="1"/>
  <c r="G363" i="1"/>
  <c r="BW363" i="6" s="1"/>
  <c r="I363" i="1"/>
  <c r="AB361" i="22"/>
  <c r="A362" i="22"/>
  <c r="L361" i="22"/>
  <c r="AJ361" i="22"/>
  <c r="K361" i="22"/>
  <c r="X361" i="22"/>
  <c r="AK361" i="22"/>
  <c r="O361" i="22"/>
  <c r="AC361" i="22"/>
  <c r="K363" i="18"/>
  <c r="AJ363" i="18"/>
  <c r="L363" i="18"/>
  <c r="A364" i="18"/>
  <c r="AK363" i="18"/>
  <c r="X363" i="18"/>
  <c r="A79" i="7"/>
  <c r="AB363" i="18"/>
  <c r="O363" i="18"/>
  <c r="C79" i="7" s="1"/>
  <c r="AC363" i="18"/>
  <c r="A363" i="20"/>
  <c r="K362" i="20"/>
  <c r="AK362" i="20"/>
  <c r="AB362" i="20"/>
  <c r="L362" i="20"/>
  <c r="X362" i="20"/>
  <c r="AJ362" i="20"/>
  <c r="O362" i="20"/>
  <c r="AC362" i="20"/>
  <c r="B67" i="7"/>
  <c r="A365" i="17"/>
  <c r="X364" i="17"/>
  <c r="L364" i="17"/>
  <c r="K364" i="17"/>
  <c r="AB364" i="17"/>
  <c r="AJ364" i="17"/>
  <c r="O364" i="17"/>
  <c r="AK364" i="17"/>
  <c r="AC364" i="17"/>
  <c r="S365" i="1"/>
  <c r="R365" i="1" s="1"/>
  <c r="P365" i="1" s="1"/>
  <c r="V365" i="1" s="1"/>
  <c r="A367" i="1"/>
  <c r="AK366" i="1"/>
  <c r="O366" i="1"/>
  <c r="X366" i="1"/>
  <c r="L366" i="1"/>
  <c r="AJ366" i="1"/>
  <c r="K366" i="1"/>
  <c r="Q366" i="1"/>
  <c r="AB366" i="1"/>
  <c r="AC366" i="1"/>
  <c r="U366" i="1"/>
  <c r="D365" i="1"/>
  <c r="E365" i="1" s="1"/>
  <c r="X358" i="25"/>
  <c r="A359" i="25"/>
  <c r="AJ358" i="25"/>
  <c r="K358" i="25"/>
  <c r="L358" i="25"/>
  <c r="AB358" i="25"/>
  <c r="O358" i="25"/>
  <c r="AK358" i="25"/>
  <c r="AC358" i="25"/>
  <c r="AB359" i="24"/>
  <c r="A360" i="24"/>
  <c r="L359" i="24"/>
  <c r="AJ359" i="24"/>
  <c r="X359" i="24"/>
  <c r="K359" i="24"/>
  <c r="AK359" i="24"/>
  <c r="O359" i="24"/>
  <c r="AC359" i="24"/>
  <c r="K360" i="23"/>
  <c r="L360" i="23"/>
  <c r="X360" i="23"/>
  <c r="AK360" i="23"/>
  <c r="AB360" i="23"/>
  <c r="A361" i="23"/>
  <c r="AJ360" i="23"/>
  <c r="O360" i="23"/>
  <c r="AC360" i="23"/>
  <c r="S364" i="1"/>
  <c r="R364" i="1" s="1"/>
  <c r="P364" i="1" s="1"/>
  <c r="AK366" i="15" l="1"/>
  <c r="AJ366" i="15"/>
  <c r="A367" i="15"/>
  <c r="AB366" i="15"/>
  <c r="K366" i="15"/>
  <c r="L366" i="15"/>
  <c r="D366" i="15" s="1"/>
  <c r="AC366" i="15"/>
  <c r="X366" i="15"/>
  <c r="O366" i="15"/>
  <c r="E365" i="15"/>
  <c r="F365" i="1"/>
  <c r="I365" i="1" s="1"/>
  <c r="E364" i="16"/>
  <c r="L365" i="16"/>
  <c r="D365" i="16" s="1"/>
  <c r="AK365" i="16"/>
  <c r="AB365" i="16"/>
  <c r="AC365" i="16"/>
  <c r="K365" i="16"/>
  <c r="A366" i="16"/>
  <c r="X365" i="16"/>
  <c r="O365" i="16"/>
  <c r="AJ365" i="16"/>
  <c r="V364" i="1"/>
  <c r="F364" i="1" s="1"/>
  <c r="AA365" i="1"/>
  <c r="Z365" i="1" s="1"/>
  <c r="Y365" i="1" s="1"/>
  <c r="K359" i="25"/>
  <c r="L359" i="25"/>
  <c r="X359" i="25"/>
  <c r="AJ359" i="25"/>
  <c r="AB359" i="25"/>
  <c r="A360" i="25"/>
  <c r="O359" i="25"/>
  <c r="AK359" i="25"/>
  <c r="AC359" i="25"/>
  <c r="T366" i="1"/>
  <c r="D366" i="1"/>
  <c r="E366" i="1" s="1"/>
  <c r="A368" i="1"/>
  <c r="AJ367" i="1"/>
  <c r="K367" i="1"/>
  <c r="AB367" i="1"/>
  <c r="X367" i="1"/>
  <c r="AC367" i="1"/>
  <c r="Q367" i="1"/>
  <c r="AK367" i="1"/>
  <c r="L367" i="1"/>
  <c r="O367" i="1"/>
  <c r="U367" i="1"/>
  <c r="T367" i="1" s="1"/>
  <c r="AB364" i="18"/>
  <c r="X364" i="18"/>
  <c r="K364" i="18"/>
  <c r="A365" i="18"/>
  <c r="AJ364" i="18"/>
  <c r="L364" i="18"/>
  <c r="O364" i="18"/>
  <c r="AK364" i="18"/>
  <c r="AC364" i="18"/>
  <c r="K361" i="23"/>
  <c r="A362" i="23"/>
  <c r="AK361" i="23"/>
  <c r="X361" i="23"/>
  <c r="L361" i="23"/>
  <c r="AB361" i="23"/>
  <c r="AJ361" i="23"/>
  <c r="O361" i="23"/>
  <c r="AC361" i="23"/>
  <c r="K360" i="24"/>
  <c r="A361" i="24"/>
  <c r="AK360" i="24"/>
  <c r="AB360" i="24"/>
  <c r="X360" i="24"/>
  <c r="L360" i="24"/>
  <c r="AJ360" i="24"/>
  <c r="O360" i="24"/>
  <c r="AC360" i="24"/>
  <c r="X365" i="17"/>
  <c r="AB365" i="17"/>
  <c r="L365" i="17"/>
  <c r="AJ365" i="17"/>
  <c r="O365" i="17"/>
  <c r="K365" i="17"/>
  <c r="A366" i="17"/>
  <c r="AK365" i="17"/>
  <c r="AC365" i="17"/>
  <c r="X363" i="20"/>
  <c r="AE31" i="7"/>
  <c r="AB363" i="20"/>
  <c r="AJ363" i="20"/>
  <c r="A364" i="20"/>
  <c r="K363" i="20"/>
  <c r="L363" i="20"/>
  <c r="AK363" i="20"/>
  <c r="O363" i="20"/>
  <c r="AG31" i="7" s="1"/>
  <c r="AC363" i="20"/>
  <c r="B79" i="7"/>
  <c r="K362" i="22"/>
  <c r="L362" i="22"/>
  <c r="A363" i="22"/>
  <c r="X362" i="22"/>
  <c r="AB362" i="22"/>
  <c r="AJ362" i="22"/>
  <c r="AK362" i="22"/>
  <c r="O362" i="22"/>
  <c r="AC362" i="22"/>
  <c r="E366" i="15" l="1"/>
  <c r="L367" i="15"/>
  <c r="D367" i="15" s="1"/>
  <c r="AJ367" i="15"/>
  <c r="A368" i="15"/>
  <c r="K367" i="15"/>
  <c r="AC367" i="15"/>
  <c r="AB367" i="15"/>
  <c r="O367" i="15"/>
  <c r="X367" i="15"/>
  <c r="AK367" i="15"/>
  <c r="G365" i="1"/>
  <c r="BW365" i="6" s="1"/>
  <c r="E365" i="16"/>
  <c r="A367" i="16"/>
  <c r="AJ366" i="16"/>
  <c r="K366" i="16"/>
  <c r="AC366" i="16"/>
  <c r="L366" i="16"/>
  <c r="D366" i="16" s="1"/>
  <c r="X366" i="16"/>
  <c r="AB366" i="16"/>
  <c r="AK366" i="16"/>
  <c r="O366" i="16"/>
  <c r="I364" i="1"/>
  <c r="G364" i="1"/>
  <c r="BW364" i="6" s="1"/>
  <c r="AA364" i="1"/>
  <c r="Z364" i="1" s="1"/>
  <c r="Y364" i="1" s="1"/>
  <c r="K363" i="22"/>
  <c r="AE43" i="7"/>
  <c r="AK363" i="22"/>
  <c r="A364" i="22"/>
  <c r="L363" i="22"/>
  <c r="AB363" i="22"/>
  <c r="X363" i="22"/>
  <c r="AJ363" i="22"/>
  <c r="O363" i="22"/>
  <c r="AG43" i="7" s="1"/>
  <c r="AC363" i="22"/>
  <c r="AF31" i="7"/>
  <c r="K364" i="20"/>
  <c r="A365" i="20"/>
  <c r="AJ364" i="20"/>
  <c r="AK364" i="20"/>
  <c r="X364" i="20"/>
  <c r="AB364" i="20"/>
  <c r="L364" i="20"/>
  <c r="O364" i="20"/>
  <c r="AC364" i="20"/>
  <c r="A362" i="24"/>
  <c r="AB361" i="24"/>
  <c r="L361" i="24"/>
  <c r="X361" i="24"/>
  <c r="K361" i="24"/>
  <c r="AJ361" i="24"/>
  <c r="AK361" i="24"/>
  <c r="O361" i="24"/>
  <c r="AC361" i="24"/>
  <c r="S367" i="1"/>
  <c r="R367" i="1" s="1"/>
  <c r="P367" i="1" s="1"/>
  <c r="V367" i="1" s="1"/>
  <c r="D367" i="1"/>
  <c r="E367" i="1" s="1"/>
  <c r="K368" i="1"/>
  <c r="Q368" i="1"/>
  <c r="X368" i="1"/>
  <c r="A369" i="1"/>
  <c r="L368" i="1"/>
  <c r="O368" i="1"/>
  <c r="AB368" i="1"/>
  <c r="AK368" i="1"/>
  <c r="AJ368" i="1"/>
  <c r="AC368" i="1"/>
  <c r="U368" i="1"/>
  <c r="T368" i="1" s="1"/>
  <c r="K366" i="17"/>
  <c r="X366" i="17"/>
  <c r="AK366" i="17"/>
  <c r="A367" i="17"/>
  <c r="AB366" i="17"/>
  <c r="L366" i="17"/>
  <c r="AJ366" i="17"/>
  <c r="O366" i="17"/>
  <c r="AC366" i="17"/>
  <c r="K362" i="23"/>
  <c r="L362" i="23"/>
  <c r="A363" i="23"/>
  <c r="AJ362" i="23"/>
  <c r="X362" i="23"/>
  <c r="AB362" i="23"/>
  <c r="AK362" i="23"/>
  <c r="O362" i="23"/>
  <c r="AC362" i="23"/>
  <c r="AB365" i="18"/>
  <c r="AJ365" i="18"/>
  <c r="A366" i="18"/>
  <c r="O365" i="18"/>
  <c r="K365" i="18"/>
  <c r="X365" i="18"/>
  <c r="L365" i="18"/>
  <c r="AK365" i="18"/>
  <c r="AC365" i="18"/>
  <c r="S366" i="1"/>
  <c r="R366" i="1" s="1"/>
  <c r="P366" i="1" s="1"/>
  <c r="V366" i="1" s="1"/>
  <c r="F366" i="1" s="1"/>
  <c r="AB360" i="25"/>
  <c r="L360" i="25"/>
  <c r="X360" i="25"/>
  <c r="AK360" i="25"/>
  <c r="A361" i="25"/>
  <c r="K360" i="25"/>
  <c r="AJ360" i="25"/>
  <c r="O360" i="25"/>
  <c r="AC360" i="25"/>
  <c r="L368" i="15" l="1"/>
  <c r="D368" i="15" s="1"/>
  <c r="AB368" i="15"/>
  <c r="AC368" i="15"/>
  <c r="AJ368" i="15"/>
  <c r="O368" i="15"/>
  <c r="E368" i="15" s="1"/>
  <c r="A369" i="15"/>
  <c r="AK368" i="15"/>
  <c r="X368" i="15"/>
  <c r="K368" i="15"/>
  <c r="E367" i="15"/>
  <c r="F367" i="1"/>
  <c r="G367" i="1" s="1"/>
  <c r="BW367" i="6" s="1"/>
  <c r="E366" i="16"/>
  <c r="K367" i="16"/>
  <c r="L367" i="16"/>
  <c r="D367" i="16" s="1"/>
  <c r="X367" i="16"/>
  <c r="AK367" i="16"/>
  <c r="O367" i="16"/>
  <c r="AB367" i="16"/>
  <c r="A368" i="16"/>
  <c r="AJ367" i="16"/>
  <c r="AC367" i="16"/>
  <c r="I366" i="1"/>
  <c r="G366" i="1"/>
  <c r="BW366" i="6" s="1"/>
  <c r="AA366" i="1"/>
  <c r="Z366" i="1" s="1"/>
  <c r="Y366" i="1" s="1"/>
  <c r="A364" i="23"/>
  <c r="X363" i="23"/>
  <c r="L363" i="23"/>
  <c r="AJ363" i="23"/>
  <c r="AB363" i="23"/>
  <c r="AE55" i="7"/>
  <c r="K363" i="23"/>
  <c r="AK363" i="23"/>
  <c r="O363" i="23"/>
  <c r="AG55" i="7" s="1"/>
  <c r="AC363" i="23"/>
  <c r="S368" i="1"/>
  <c r="R368" i="1" s="1"/>
  <c r="P368" i="1" s="1"/>
  <c r="V368" i="1" s="1"/>
  <c r="D368" i="1"/>
  <c r="E368" i="1" s="1"/>
  <c r="AF43" i="7"/>
  <c r="A362" i="25"/>
  <c r="K361" i="25"/>
  <c r="L361" i="25"/>
  <c r="AK361" i="25"/>
  <c r="X361" i="25"/>
  <c r="AB361" i="25"/>
  <c r="AJ361" i="25"/>
  <c r="O361" i="25"/>
  <c r="AC361" i="25"/>
  <c r="AB366" i="18"/>
  <c r="L366" i="18"/>
  <c r="A367" i="18"/>
  <c r="AK366" i="18"/>
  <c r="K366" i="18"/>
  <c r="X366" i="18"/>
  <c r="AJ366" i="18"/>
  <c r="O366" i="18"/>
  <c r="AC366" i="18"/>
  <c r="X367" i="17"/>
  <c r="A368" i="17"/>
  <c r="AJ367" i="17"/>
  <c r="O367" i="17"/>
  <c r="AB367" i="17"/>
  <c r="L367" i="17"/>
  <c r="K367" i="17"/>
  <c r="AK367" i="17"/>
  <c r="AC367" i="17"/>
  <c r="AC369" i="1"/>
  <c r="A370" i="1"/>
  <c r="K369" i="1"/>
  <c r="AJ369" i="1"/>
  <c r="U369" i="1"/>
  <c r="T369" i="1" s="1"/>
  <c r="X369" i="1"/>
  <c r="AK369" i="1"/>
  <c r="O369" i="1"/>
  <c r="L369" i="1"/>
  <c r="Q369" i="1"/>
  <c r="AB369" i="1"/>
  <c r="X362" i="24"/>
  <c r="AB362" i="24"/>
  <c r="AJ362" i="24"/>
  <c r="A363" i="24"/>
  <c r="L362" i="24"/>
  <c r="K362" i="24"/>
  <c r="AK362" i="24"/>
  <c r="O362" i="24"/>
  <c r="AC362" i="24"/>
  <c r="AB365" i="20"/>
  <c r="L365" i="20"/>
  <c r="A366" i="20"/>
  <c r="X365" i="20"/>
  <c r="K365" i="20"/>
  <c r="AJ365" i="20"/>
  <c r="AK365" i="20"/>
  <c r="O365" i="20"/>
  <c r="AC365" i="20"/>
  <c r="K364" i="22"/>
  <c r="AB364" i="22"/>
  <c r="A365" i="22"/>
  <c r="L364" i="22"/>
  <c r="X364" i="22"/>
  <c r="AJ364" i="22"/>
  <c r="AK364" i="22"/>
  <c r="O364" i="22"/>
  <c r="AC364" i="22"/>
  <c r="AA367" i="1" l="1"/>
  <c r="Z367" i="1" s="1"/>
  <c r="Y367" i="1" s="1"/>
  <c r="K369" i="15"/>
  <c r="A370" i="15"/>
  <c r="AC369" i="15"/>
  <c r="AB369" i="15"/>
  <c r="X369" i="15"/>
  <c r="AJ369" i="15"/>
  <c r="O369" i="15"/>
  <c r="L369" i="15"/>
  <c r="D369" i="15" s="1"/>
  <c r="AK369" i="15"/>
  <c r="I367" i="1"/>
  <c r="K368" i="16"/>
  <c r="A369" i="16"/>
  <c r="L368" i="16"/>
  <c r="D368" i="16" s="1"/>
  <c r="AC368" i="16"/>
  <c r="AB368" i="16"/>
  <c r="AK368" i="16"/>
  <c r="X368" i="16"/>
  <c r="AJ368" i="16"/>
  <c r="O368" i="16"/>
  <c r="E367" i="16"/>
  <c r="AB365" i="22"/>
  <c r="A366" i="22"/>
  <c r="AJ365" i="22"/>
  <c r="AK365" i="22"/>
  <c r="X365" i="22"/>
  <c r="K365" i="22"/>
  <c r="L365" i="22"/>
  <c r="O365" i="22"/>
  <c r="AC365" i="22"/>
  <c r="A371" i="1"/>
  <c r="X370" i="1"/>
  <c r="O370" i="1"/>
  <c r="AK370" i="1"/>
  <c r="AB370" i="1"/>
  <c r="AJ370" i="1"/>
  <c r="Q370" i="1"/>
  <c r="K370" i="1"/>
  <c r="AC370" i="1"/>
  <c r="L370" i="1"/>
  <c r="U370" i="1"/>
  <c r="T370" i="1" s="1"/>
  <c r="X367" i="18"/>
  <c r="AB367" i="18"/>
  <c r="K367" i="18"/>
  <c r="L367" i="18"/>
  <c r="A368" i="18"/>
  <c r="AJ367" i="18"/>
  <c r="AK367" i="18"/>
  <c r="O367" i="18"/>
  <c r="AC367" i="18"/>
  <c r="F368" i="1"/>
  <c r="AB366" i="20"/>
  <c r="L366" i="20"/>
  <c r="K366" i="20"/>
  <c r="AJ366" i="20"/>
  <c r="AK366" i="20"/>
  <c r="A367" i="20"/>
  <c r="X366" i="20"/>
  <c r="O366" i="20"/>
  <c r="AC366" i="20"/>
  <c r="K363" i="24"/>
  <c r="AB363" i="24"/>
  <c r="AE67" i="7"/>
  <c r="AJ363" i="24"/>
  <c r="A364" i="24"/>
  <c r="X363" i="24"/>
  <c r="L363" i="24"/>
  <c r="AK363" i="24"/>
  <c r="O363" i="24"/>
  <c r="AG67" i="7" s="1"/>
  <c r="AC363" i="24"/>
  <c r="D369" i="1"/>
  <c r="E369" i="1" s="1"/>
  <c r="S369" i="1"/>
  <c r="R369" i="1" s="1"/>
  <c r="P369" i="1" s="1"/>
  <c r="V369" i="1" s="1"/>
  <c r="X368" i="17"/>
  <c r="A369" i="17"/>
  <c r="AK368" i="17"/>
  <c r="AB368" i="17"/>
  <c r="K368" i="17"/>
  <c r="L368" i="17"/>
  <c r="AJ368" i="17"/>
  <c r="O368" i="17"/>
  <c r="AC368" i="17"/>
  <c r="K362" i="25"/>
  <c r="X362" i="25"/>
  <c r="AJ362" i="25"/>
  <c r="AB362" i="25"/>
  <c r="L362" i="25"/>
  <c r="A363" i="25"/>
  <c r="AK362" i="25"/>
  <c r="O362" i="25"/>
  <c r="AC362" i="25"/>
  <c r="AF55" i="7"/>
  <c r="A365" i="23"/>
  <c r="L364" i="23"/>
  <c r="K364" i="23"/>
  <c r="AJ364" i="23"/>
  <c r="AB364" i="23"/>
  <c r="X364" i="23"/>
  <c r="AK364" i="23"/>
  <c r="O364" i="23"/>
  <c r="AC364" i="23"/>
  <c r="E369" i="15" l="1"/>
  <c r="AK370" i="15"/>
  <c r="A371" i="15"/>
  <c r="K370" i="15"/>
  <c r="AB370" i="15"/>
  <c r="O370" i="15"/>
  <c r="AJ370" i="15"/>
  <c r="X370" i="15"/>
  <c r="AC370" i="15"/>
  <c r="L370" i="15"/>
  <c r="D370" i="15" s="1"/>
  <c r="E370" i="15" s="1"/>
  <c r="A370" i="16"/>
  <c r="AJ369" i="16"/>
  <c r="L369" i="16"/>
  <c r="D369" i="16" s="1"/>
  <c r="K369" i="16"/>
  <c r="O369" i="16"/>
  <c r="X369" i="16"/>
  <c r="AK369" i="16"/>
  <c r="AB369" i="16"/>
  <c r="AC369" i="16"/>
  <c r="E368" i="16"/>
  <c r="K365" i="23"/>
  <c r="X365" i="23"/>
  <c r="A366" i="23"/>
  <c r="AB365" i="23"/>
  <c r="L365" i="23"/>
  <c r="AJ365" i="23"/>
  <c r="AK365" i="23"/>
  <c r="O365" i="23"/>
  <c r="AC365" i="23"/>
  <c r="A364" i="25"/>
  <c r="AB363" i="25"/>
  <c r="L363" i="25"/>
  <c r="AJ363" i="25"/>
  <c r="AE79" i="7"/>
  <c r="K363" i="25"/>
  <c r="X363" i="25"/>
  <c r="AK363" i="25"/>
  <c r="O363" i="25"/>
  <c r="AG79" i="7" s="1"/>
  <c r="AC363" i="25"/>
  <c r="X368" i="18"/>
  <c r="L368" i="18"/>
  <c r="AB368" i="18"/>
  <c r="AK368" i="18"/>
  <c r="A369" i="18"/>
  <c r="K368" i="18"/>
  <c r="AJ368" i="18"/>
  <c r="O368" i="18"/>
  <c r="AC368" i="18"/>
  <c r="D370" i="1"/>
  <c r="E370" i="1" s="1"/>
  <c r="K369" i="17"/>
  <c r="A370" i="17"/>
  <c r="AJ369" i="17"/>
  <c r="O369" i="17"/>
  <c r="X369" i="17"/>
  <c r="AB369" i="17"/>
  <c r="L369" i="17"/>
  <c r="AK369" i="17"/>
  <c r="AC369" i="17"/>
  <c r="F369" i="1"/>
  <c r="AF67" i="7"/>
  <c r="X364" i="24"/>
  <c r="AB364" i="24"/>
  <c r="L364" i="24"/>
  <c r="AJ364" i="24"/>
  <c r="AK364" i="24"/>
  <c r="K364" i="24"/>
  <c r="A365" i="24"/>
  <c r="O364" i="24"/>
  <c r="AC364" i="24"/>
  <c r="X367" i="20"/>
  <c r="A368" i="20"/>
  <c r="L367" i="20"/>
  <c r="AK367" i="20"/>
  <c r="AB367" i="20"/>
  <c r="K367" i="20"/>
  <c r="AJ367" i="20"/>
  <c r="O367" i="20"/>
  <c r="AC367" i="20"/>
  <c r="G368" i="1"/>
  <c r="BW368" i="6" s="1"/>
  <c r="AA368" i="1"/>
  <c r="Z368" i="1" s="1"/>
  <c r="Y368" i="1" s="1"/>
  <c r="I368" i="1"/>
  <c r="S370" i="1"/>
  <c r="R370" i="1" s="1"/>
  <c r="P370" i="1" s="1"/>
  <c r="V370" i="1" s="1"/>
  <c r="AJ371" i="1"/>
  <c r="L371" i="1"/>
  <c r="AB371" i="1"/>
  <c r="Q371" i="1"/>
  <c r="K371" i="1"/>
  <c r="AK371" i="1"/>
  <c r="X371" i="1"/>
  <c r="AC371" i="1"/>
  <c r="O371" i="1"/>
  <c r="A372" i="1"/>
  <c r="U371" i="1"/>
  <c r="T371" i="1" s="1"/>
  <c r="AB366" i="22"/>
  <c r="K366" i="22"/>
  <c r="AJ366" i="22"/>
  <c r="X366" i="22"/>
  <c r="A367" i="22"/>
  <c r="L366" i="22"/>
  <c r="AK366" i="22"/>
  <c r="O366" i="22"/>
  <c r="AC366" i="22"/>
  <c r="K371" i="15" l="1"/>
  <c r="A372" i="15"/>
  <c r="O371" i="15"/>
  <c r="AJ371" i="15"/>
  <c r="AC371" i="15"/>
  <c r="AB371" i="15"/>
  <c r="AK371" i="15"/>
  <c r="L371" i="15"/>
  <c r="D371" i="15" s="1"/>
  <c r="X371" i="15"/>
  <c r="F370" i="1"/>
  <c r="I370" i="1" s="1"/>
  <c r="E369" i="16"/>
  <c r="K370" i="16"/>
  <c r="A371" i="16"/>
  <c r="AJ370" i="16"/>
  <c r="AC370" i="16"/>
  <c r="L370" i="16"/>
  <c r="D370" i="16" s="1"/>
  <c r="X370" i="16"/>
  <c r="AB370" i="16"/>
  <c r="AK370" i="16"/>
  <c r="O370" i="16"/>
  <c r="X367" i="22"/>
  <c r="L367" i="22"/>
  <c r="K367" i="22"/>
  <c r="AK367" i="22"/>
  <c r="A368" i="22"/>
  <c r="AB367" i="22"/>
  <c r="AJ367" i="22"/>
  <c r="O367" i="22"/>
  <c r="AC367" i="22"/>
  <c r="AB372" i="1"/>
  <c r="X372" i="1"/>
  <c r="Q372" i="1"/>
  <c r="K372" i="1"/>
  <c r="A373" i="1"/>
  <c r="AJ372" i="1"/>
  <c r="AK372" i="1"/>
  <c r="AC372" i="1"/>
  <c r="O372" i="1"/>
  <c r="L372" i="1"/>
  <c r="U372" i="1"/>
  <c r="T372" i="1" s="1"/>
  <c r="D371" i="1"/>
  <c r="I369" i="1"/>
  <c r="G369" i="1"/>
  <c r="BW369" i="6" s="1"/>
  <c r="AA369" i="1"/>
  <c r="Z369" i="1" s="1"/>
  <c r="Y369" i="1" s="1"/>
  <c r="X370" i="17"/>
  <c r="K370" i="17"/>
  <c r="AK370" i="17"/>
  <c r="AB370" i="17"/>
  <c r="L370" i="17"/>
  <c r="A371" i="17"/>
  <c r="AJ370" i="17"/>
  <c r="O370" i="17"/>
  <c r="AC370" i="17"/>
  <c r="S371" i="1"/>
  <c r="R371" i="1" s="1"/>
  <c r="P371" i="1" s="1"/>
  <c r="V371" i="1" s="1"/>
  <c r="E371" i="1"/>
  <c r="A369" i="20"/>
  <c r="K368" i="20"/>
  <c r="X368" i="20"/>
  <c r="AB368" i="20"/>
  <c r="L368" i="20"/>
  <c r="AJ368" i="20"/>
  <c r="AK368" i="20"/>
  <c r="O368" i="20"/>
  <c r="AC368" i="20"/>
  <c r="X365" i="24"/>
  <c r="K365" i="24"/>
  <c r="AK365" i="24"/>
  <c r="A366" i="24"/>
  <c r="AB365" i="24"/>
  <c r="L365" i="24"/>
  <c r="AJ365" i="24"/>
  <c r="O365" i="24"/>
  <c r="AC365" i="24"/>
  <c r="X369" i="18"/>
  <c r="AJ369" i="18"/>
  <c r="L369" i="18"/>
  <c r="O369" i="18"/>
  <c r="AB369" i="18"/>
  <c r="A370" i="18"/>
  <c r="K369" i="18"/>
  <c r="AK369" i="18"/>
  <c r="AC369" i="18"/>
  <c r="AF79" i="7"/>
  <c r="K364" i="25"/>
  <c r="L364" i="25"/>
  <c r="X364" i="25"/>
  <c r="AJ364" i="25"/>
  <c r="AB364" i="25"/>
  <c r="A365" i="25"/>
  <c r="O364" i="25"/>
  <c r="AK364" i="25"/>
  <c r="AC364" i="25"/>
  <c r="A367" i="23"/>
  <c r="AB366" i="23"/>
  <c r="L366" i="23"/>
  <c r="AK366" i="23"/>
  <c r="X366" i="23"/>
  <c r="K366" i="23"/>
  <c r="AJ366" i="23"/>
  <c r="O366" i="23"/>
  <c r="AC366" i="23"/>
  <c r="G370" i="1" l="1"/>
  <c r="BW370" i="6" s="1"/>
  <c r="E371" i="15"/>
  <c r="A373" i="15"/>
  <c r="AK372" i="15"/>
  <c r="K372" i="15"/>
  <c r="AJ372" i="15"/>
  <c r="AB372" i="15"/>
  <c r="X372" i="15"/>
  <c r="AC372" i="15"/>
  <c r="L372" i="15"/>
  <c r="D372" i="15" s="1"/>
  <c r="O372" i="15"/>
  <c r="AA370" i="1"/>
  <c r="Z370" i="1" s="1"/>
  <c r="Y370" i="1" s="1"/>
  <c r="K371" i="16"/>
  <c r="AK371" i="16"/>
  <c r="L371" i="16"/>
  <c r="D371" i="16" s="1"/>
  <c r="AC371" i="16"/>
  <c r="A372" i="16"/>
  <c r="AJ371" i="16"/>
  <c r="AB371" i="16"/>
  <c r="X371" i="16"/>
  <c r="O371" i="16"/>
  <c r="E370" i="16"/>
  <c r="K367" i="23"/>
  <c r="L367" i="23"/>
  <c r="A368" i="23"/>
  <c r="AB367" i="23"/>
  <c r="X367" i="23"/>
  <c r="AJ367" i="23"/>
  <c r="AK367" i="23"/>
  <c r="O367" i="23"/>
  <c r="AC367" i="23"/>
  <c r="AB365" i="25"/>
  <c r="X365" i="25"/>
  <c r="K365" i="25"/>
  <c r="L365" i="25"/>
  <c r="A366" i="25"/>
  <c r="AJ365" i="25"/>
  <c r="O365" i="25"/>
  <c r="AK365" i="25"/>
  <c r="AC365" i="25"/>
  <c r="AB366" i="24"/>
  <c r="X366" i="24"/>
  <c r="K366" i="24"/>
  <c r="L366" i="24"/>
  <c r="A367" i="24"/>
  <c r="AJ366" i="24"/>
  <c r="AK366" i="24"/>
  <c r="O366" i="24"/>
  <c r="AC366" i="24"/>
  <c r="K369" i="20"/>
  <c r="L369" i="20"/>
  <c r="AB369" i="20"/>
  <c r="AJ369" i="20"/>
  <c r="A370" i="20"/>
  <c r="X369" i="20"/>
  <c r="AK369" i="20"/>
  <c r="O369" i="20"/>
  <c r="AC369" i="20"/>
  <c r="D372" i="1"/>
  <c r="K368" i="22"/>
  <c r="L368" i="22"/>
  <c r="AB368" i="22"/>
  <c r="AJ368" i="22"/>
  <c r="A369" i="22"/>
  <c r="X368" i="22"/>
  <c r="AK368" i="22"/>
  <c r="O368" i="22"/>
  <c r="AC368" i="22"/>
  <c r="AB370" i="18"/>
  <c r="L370" i="18"/>
  <c r="K370" i="18"/>
  <c r="A371" i="18"/>
  <c r="AJ370" i="18"/>
  <c r="X370" i="18"/>
  <c r="O370" i="18"/>
  <c r="AK370" i="18"/>
  <c r="AC370" i="18"/>
  <c r="F371" i="1"/>
  <c r="AB371" i="17"/>
  <c r="X371" i="17"/>
  <c r="AJ371" i="17"/>
  <c r="L371" i="17"/>
  <c r="A372" i="17"/>
  <c r="K371" i="17"/>
  <c r="O371" i="17"/>
  <c r="AK371" i="17"/>
  <c r="AC371" i="17"/>
  <c r="S372" i="1"/>
  <c r="R372" i="1" s="1"/>
  <c r="P372" i="1" s="1"/>
  <c r="V372" i="1" s="1"/>
  <c r="E372" i="1"/>
  <c r="A374" i="1"/>
  <c r="X373" i="1"/>
  <c r="K373" i="1"/>
  <c r="AB373" i="1"/>
  <c r="O373" i="1"/>
  <c r="AJ373" i="1"/>
  <c r="Q373" i="1"/>
  <c r="L373" i="1"/>
  <c r="AK373" i="1"/>
  <c r="AC373" i="1"/>
  <c r="U373" i="1"/>
  <c r="E372" i="15" l="1"/>
  <c r="L373" i="15"/>
  <c r="D373" i="15" s="1"/>
  <c r="K373" i="15"/>
  <c r="AB373" i="15"/>
  <c r="A374" i="15"/>
  <c r="O373" i="15"/>
  <c r="AK373" i="15"/>
  <c r="AC373" i="15"/>
  <c r="X373" i="15"/>
  <c r="AJ373" i="15"/>
  <c r="F372" i="1"/>
  <c r="AA372" i="1" s="1"/>
  <c r="Z372" i="1" s="1"/>
  <c r="Y372" i="1" s="1"/>
  <c r="X372" i="16"/>
  <c r="L372" i="16"/>
  <c r="D372" i="16" s="1"/>
  <c r="K372" i="16"/>
  <c r="AC372" i="16"/>
  <c r="A373" i="16"/>
  <c r="AK372" i="16"/>
  <c r="AB372" i="16"/>
  <c r="AJ372" i="16"/>
  <c r="O372" i="16"/>
  <c r="E371" i="16"/>
  <c r="K374" i="1"/>
  <c r="Q374" i="1"/>
  <c r="X374" i="1"/>
  <c r="AB374" i="1"/>
  <c r="AC374" i="1"/>
  <c r="A375" i="1"/>
  <c r="AJ374" i="1"/>
  <c r="L374" i="1"/>
  <c r="O374" i="1"/>
  <c r="AK374" i="1"/>
  <c r="U374" i="1"/>
  <c r="T374" i="1" s="1"/>
  <c r="L372" i="17"/>
  <c r="A373" i="17"/>
  <c r="X372" i="17"/>
  <c r="O372" i="17"/>
  <c r="AK372" i="17"/>
  <c r="K372" i="17"/>
  <c r="AB372" i="17"/>
  <c r="AJ372" i="17"/>
  <c r="AC372" i="17"/>
  <c r="AA371" i="1"/>
  <c r="Z371" i="1" s="1"/>
  <c r="Y371" i="1" s="1"/>
  <c r="G371" i="1"/>
  <c r="BW371" i="6" s="1"/>
  <c r="I371" i="1"/>
  <c r="K371" i="18"/>
  <c r="AJ371" i="18"/>
  <c r="AB371" i="18"/>
  <c r="AK371" i="18"/>
  <c r="X371" i="18"/>
  <c r="A372" i="18"/>
  <c r="L371" i="18"/>
  <c r="O371" i="18"/>
  <c r="AC371" i="18"/>
  <c r="A370" i="22"/>
  <c r="X369" i="22"/>
  <c r="K369" i="22"/>
  <c r="AB369" i="22"/>
  <c r="L369" i="22"/>
  <c r="AJ369" i="22"/>
  <c r="AK369" i="22"/>
  <c r="O369" i="22"/>
  <c r="AC369" i="22"/>
  <c r="AB370" i="20"/>
  <c r="L370" i="20"/>
  <c r="A371" i="20"/>
  <c r="AJ370" i="20"/>
  <c r="X370" i="20"/>
  <c r="K370" i="20"/>
  <c r="AK370" i="20"/>
  <c r="O370" i="20"/>
  <c r="AC370" i="20"/>
  <c r="X366" i="25"/>
  <c r="L366" i="25"/>
  <c r="A367" i="25"/>
  <c r="K366" i="25"/>
  <c r="AB366" i="25"/>
  <c r="AJ366" i="25"/>
  <c r="O366" i="25"/>
  <c r="AK366" i="25"/>
  <c r="AC366" i="25"/>
  <c r="T373" i="1"/>
  <c r="D373" i="1"/>
  <c r="E373" i="1" s="1"/>
  <c r="X367" i="24"/>
  <c r="L367" i="24"/>
  <c r="K367" i="24"/>
  <c r="AK367" i="24"/>
  <c r="AB367" i="24"/>
  <c r="A368" i="24"/>
  <c r="AJ367" i="24"/>
  <c r="O367" i="24"/>
  <c r="AC367" i="24"/>
  <c r="A369" i="23"/>
  <c r="K368" i="23"/>
  <c r="AJ368" i="23"/>
  <c r="X368" i="23"/>
  <c r="AB368" i="23"/>
  <c r="L368" i="23"/>
  <c r="AK368" i="23"/>
  <c r="O368" i="23"/>
  <c r="AC368" i="23"/>
  <c r="G372" i="1" l="1"/>
  <c r="BW372" i="6" s="1"/>
  <c r="E373" i="15"/>
  <c r="K374" i="15"/>
  <c r="A375" i="15"/>
  <c r="X374" i="15"/>
  <c r="AK374" i="15"/>
  <c r="AC374" i="15"/>
  <c r="AJ374" i="15"/>
  <c r="O374" i="15"/>
  <c r="L374" i="15"/>
  <c r="D374" i="15" s="1"/>
  <c r="AB374" i="15"/>
  <c r="I372" i="1"/>
  <c r="E372" i="16"/>
  <c r="K373" i="16"/>
  <c r="L373" i="16"/>
  <c r="D373" i="16" s="1"/>
  <c r="A374" i="16"/>
  <c r="AC373" i="16"/>
  <c r="AB373" i="16"/>
  <c r="AJ373" i="16"/>
  <c r="X373" i="16"/>
  <c r="AK373" i="16"/>
  <c r="O373" i="16"/>
  <c r="AB369" i="23"/>
  <c r="A370" i="23"/>
  <c r="AJ369" i="23"/>
  <c r="K369" i="23"/>
  <c r="X369" i="23"/>
  <c r="L369" i="23"/>
  <c r="AK369" i="23"/>
  <c r="O369" i="23"/>
  <c r="AC369" i="23"/>
  <c r="K368" i="24"/>
  <c r="A369" i="24"/>
  <c r="AJ368" i="24"/>
  <c r="AK368" i="24"/>
  <c r="AB368" i="24"/>
  <c r="X368" i="24"/>
  <c r="L368" i="24"/>
  <c r="O368" i="24"/>
  <c r="AC368" i="24"/>
  <c r="AB367" i="25"/>
  <c r="L367" i="25"/>
  <c r="X367" i="25"/>
  <c r="AK367" i="25"/>
  <c r="A368" i="25"/>
  <c r="K367" i="25"/>
  <c r="AJ367" i="25"/>
  <c r="O367" i="25"/>
  <c r="AC367" i="25"/>
  <c r="X370" i="22"/>
  <c r="AB370" i="22"/>
  <c r="AK370" i="22"/>
  <c r="A371" i="22"/>
  <c r="L370" i="22"/>
  <c r="K370" i="22"/>
  <c r="AJ370" i="22"/>
  <c r="O370" i="22"/>
  <c r="AC370" i="22"/>
  <c r="AB372" i="18"/>
  <c r="L372" i="18"/>
  <c r="AJ372" i="18"/>
  <c r="K372" i="18"/>
  <c r="A373" i="18"/>
  <c r="X372" i="18"/>
  <c r="O372" i="18"/>
  <c r="AK372" i="18"/>
  <c r="AC372" i="18"/>
  <c r="A374" i="17"/>
  <c r="K373" i="17"/>
  <c r="L373" i="17"/>
  <c r="AJ373" i="17"/>
  <c r="O373" i="17"/>
  <c r="AK373" i="17"/>
  <c r="X373" i="17"/>
  <c r="AB373" i="17"/>
  <c r="AC373" i="17"/>
  <c r="S374" i="1"/>
  <c r="R374" i="1" s="1"/>
  <c r="P374" i="1" s="1"/>
  <c r="V374" i="1" s="1"/>
  <c r="S373" i="1"/>
  <c r="R373" i="1" s="1"/>
  <c r="P373" i="1" s="1"/>
  <c r="V373" i="1" s="1"/>
  <c r="F373" i="1" s="1"/>
  <c r="X371" i="20"/>
  <c r="A372" i="20"/>
  <c r="L371" i="20"/>
  <c r="AK371" i="20"/>
  <c r="AB371" i="20"/>
  <c r="K371" i="20"/>
  <c r="AJ371" i="20"/>
  <c r="O371" i="20"/>
  <c r="AC371" i="20"/>
  <c r="D374" i="1"/>
  <c r="E374" i="1" s="1"/>
  <c r="AJ375" i="1"/>
  <c r="Q375" i="1"/>
  <c r="AB375" i="1"/>
  <c r="A376" i="1"/>
  <c r="X375" i="1"/>
  <c r="K375" i="1"/>
  <c r="L375" i="1"/>
  <c r="O375" i="1"/>
  <c r="AK375" i="1"/>
  <c r="AC375" i="1"/>
  <c r="U375" i="1"/>
  <c r="T375" i="1" s="1"/>
  <c r="S375" i="1" s="1"/>
  <c r="R375" i="1" s="1"/>
  <c r="E374" i="15" l="1"/>
  <c r="A376" i="15"/>
  <c r="AC375" i="15"/>
  <c r="K375" i="15"/>
  <c r="AK375" i="15"/>
  <c r="AB375" i="15"/>
  <c r="AJ375" i="15"/>
  <c r="X375" i="15"/>
  <c r="L375" i="15"/>
  <c r="D375" i="15" s="1"/>
  <c r="O375" i="15"/>
  <c r="F374" i="1"/>
  <c r="G374" i="1" s="1"/>
  <c r="BW374" i="6" s="1"/>
  <c r="P375" i="1"/>
  <c r="E373" i="16"/>
  <c r="X374" i="16"/>
  <c r="AB374" i="16"/>
  <c r="AK374" i="16"/>
  <c r="L374" i="16"/>
  <c r="D374" i="16" s="1"/>
  <c r="O374" i="16"/>
  <c r="K374" i="16"/>
  <c r="AJ374" i="16"/>
  <c r="A375" i="16"/>
  <c r="AC374" i="16"/>
  <c r="AA374" i="1"/>
  <c r="Z374" i="1" s="1"/>
  <c r="Y374" i="1" s="1"/>
  <c r="AA373" i="1"/>
  <c r="Z373" i="1" s="1"/>
  <c r="Y373" i="1" s="1"/>
  <c r="G373" i="1"/>
  <c r="BW373" i="6" s="1"/>
  <c r="I373" i="1"/>
  <c r="AJ376" i="1"/>
  <c r="AC376" i="1"/>
  <c r="K376" i="1"/>
  <c r="Q376" i="1"/>
  <c r="A377" i="1"/>
  <c r="AB376" i="1"/>
  <c r="AK376" i="1"/>
  <c r="O376" i="1"/>
  <c r="X376" i="1"/>
  <c r="L376" i="1"/>
  <c r="U376" i="1"/>
  <c r="T376" i="1" s="1"/>
  <c r="X374" i="17"/>
  <c r="A375" i="17"/>
  <c r="AJ374" i="17"/>
  <c r="O374" i="17"/>
  <c r="AK374" i="17"/>
  <c r="AB374" i="17"/>
  <c r="L374" i="17"/>
  <c r="K374" i="17"/>
  <c r="AC374" i="17"/>
  <c r="A374" i="18"/>
  <c r="AJ373" i="18"/>
  <c r="L373" i="18"/>
  <c r="AK373" i="18"/>
  <c r="X373" i="18"/>
  <c r="AB373" i="18"/>
  <c r="K373" i="18"/>
  <c r="O373" i="18"/>
  <c r="AC373" i="18"/>
  <c r="A372" i="22"/>
  <c r="L371" i="22"/>
  <c r="K371" i="22"/>
  <c r="AJ371" i="22"/>
  <c r="AK371" i="22"/>
  <c r="X371" i="22"/>
  <c r="AB371" i="22"/>
  <c r="O371" i="22"/>
  <c r="AC371" i="22"/>
  <c r="K368" i="25"/>
  <c r="AB368" i="25"/>
  <c r="L368" i="25"/>
  <c r="A369" i="25"/>
  <c r="X368" i="25"/>
  <c r="AJ368" i="25"/>
  <c r="O368" i="25"/>
  <c r="AK368" i="25"/>
  <c r="AC368" i="25"/>
  <c r="K369" i="24"/>
  <c r="A370" i="24"/>
  <c r="L369" i="24"/>
  <c r="AJ369" i="24"/>
  <c r="AK369" i="24"/>
  <c r="AB369" i="24"/>
  <c r="X369" i="24"/>
  <c r="O369" i="24"/>
  <c r="AC369" i="24"/>
  <c r="D375" i="1"/>
  <c r="E375" i="1" s="1"/>
  <c r="V375" i="1"/>
  <c r="AB372" i="20"/>
  <c r="L372" i="20"/>
  <c r="X372" i="20"/>
  <c r="AJ372" i="20"/>
  <c r="K372" i="20"/>
  <c r="A373" i="20"/>
  <c r="AK372" i="20"/>
  <c r="O372" i="20"/>
  <c r="AC372" i="20"/>
  <c r="AB370" i="23"/>
  <c r="X370" i="23"/>
  <c r="AJ370" i="23"/>
  <c r="AK370" i="23"/>
  <c r="K370" i="23"/>
  <c r="L370" i="23"/>
  <c r="A371" i="23"/>
  <c r="O370" i="23"/>
  <c r="AC370" i="23"/>
  <c r="I374" i="1" l="1"/>
  <c r="E375" i="15"/>
  <c r="AB376" i="15"/>
  <c r="X376" i="15"/>
  <c r="K376" i="15"/>
  <c r="L376" i="15"/>
  <c r="D376" i="15" s="1"/>
  <c r="AC376" i="15"/>
  <c r="AK376" i="15"/>
  <c r="O376" i="15"/>
  <c r="AJ376" i="15"/>
  <c r="A377" i="15"/>
  <c r="E374" i="16"/>
  <c r="AJ375" i="16"/>
  <c r="A376" i="16"/>
  <c r="K375" i="16"/>
  <c r="AB375" i="16"/>
  <c r="AK375" i="16"/>
  <c r="O375" i="16"/>
  <c r="X375" i="16"/>
  <c r="L375" i="16"/>
  <c r="D375" i="16" s="1"/>
  <c r="E375" i="16" s="1"/>
  <c r="AC375" i="16"/>
  <c r="F375" i="1"/>
  <c r="AA375" i="1" s="1"/>
  <c r="Z375" i="1" s="1"/>
  <c r="Y375" i="1" s="1"/>
  <c r="A371" i="24"/>
  <c r="X370" i="24"/>
  <c r="AJ370" i="24"/>
  <c r="AK370" i="24"/>
  <c r="AB370" i="24"/>
  <c r="K370" i="24"/>
  <c r="L370" i="24"/>
  <c r="O370" i="24"/>
  <c r="AC370" i="24"/>
  <c r="A375" i="18"/>
  <c r="AB374" i="18"/>
  <c r="K374" i="18"/>
  <c r="O374" i="18"/>
  <c r="L374" i="18"/>
  <c r="X374" i="18"/>
  <c r="AJ374" i="18"/>
  <c r="AK374" i="18"/>
  <c r="AC374" i="18"/>
  <c r="A376" i="17"/>
  <c r="K375" i="17"/>
  <c r="L375" i="17"/>
  <c r="X375" i="17"/>
  <c r="AB375" i="17"/>
  <c r="AJ375" i="17"/>
  <c r="O375" i="17"/>
  <c r="AK375" i="17"/>
  <c r="AC375" i="17"/>
  <c r="D376" i="1"/>
  <c r="E376" i="1" s="1"/>
  <c r="K371" i="23"/>
  <c r="X371" i="23"/>
  <c r="AJ371" i="23"/>
  <c r="AK371" i="23"/>
  <c r="AB371" i="23"/>
  <c r="A372" i="23"/>
  <c r="L371" i="23"/>
  <c r="O371" i="23"/>
  <c r="AC371" i="23"/>
  <c r="A374" i="20"/>
  <c r="L373" i="20"/>
  <c r="K373" i="20"/>
  <c r="AK373" i="20"/>
  <c r="X373" i="20"/>
  <c r="AB373" i="20"/>
  <c r="AJ373" i="20"/>
  <c r="O373" i="20"/>
  <c r="AC373" i="20"/>
  <c r="K369" i="25"/>
  <c r="L369" i="25"/>
  <c r="AB369" i="25"/>
  <c r="A370" i="25"/>
  <c r="X369" i="25"/>
  <c r="AJ369" i="25"/>
  <c r="O369" i="25"/>
  <c r="AK369" i="25"/>
  <c r="AC369" i="25"/>
  <c r="A373" i="22"/>
  <c r="AB372" i="22"/>
  <c r="L372" i="22"/>
  <c r="AJ372" i="22"/>
  <c r="AK372" i="22"/>
  <c r="K372" i="22"/>
  <c r="X372" i="22"/>
  <c r="O372" i="22"/>
  <c r="AC372" i="22"/>
  <c r="S376" i="1"/>
  <c r="R376" i="1" s="1"/>
  <c r="P376" i="1" s="1"/>
  <c r="V376" i="1" s="1"/>
  <c r="AB377" i="1"/>
  <c r="AJ377" i="1"/>
  <c r="Q377" i="1"/>
  <c r="AK377" i="1"/>
  <c r="X377" i="1"/>
  <c r="U377" i="1"/>
  <c r="K377" i="1"/>
  <c r="L377" i="1"/>
  <c r="AC377" i="1"/>
  <c r="O377" i="1"/>
  <c r="A378" i="1"/>
  <c r="G375" i="1" l="1"/>
  <c r="BW375" i="6" s="1"/>
  <c r="E376" i="15"/>
  <c r="X377" i="15"/>
  <c r="L377" i="15"/>
  <c r="D377" i="15" s="1"/>
  <c r="AC377" i="15"/>
  <c r="AB377" i="15"/>
  <c r="O377" i="15"/>
  <c r="AK377" i="15"/>
  <c r="AJ377" i="15"/>
  <c r="A378" i="15"/>
  <c r="K377" i="15"/>
  <c r="I375" i="1"/>
  <c r="K376" i="16"/>
  <c r="X376" i="16"/>
  <c r="A377" i="16"/>
  <c r="AC376" i="16"/>
  <c r="AB376" i="16"/>
  <c r="AJ376" i="16"/>
  <c r="L376" i="16"/>
  <c r="D376" i="16" s="1"/>
  <c r="AK376" i="16"/>
  <c r="O376" i="16"/>
  <c r="K370" i="25"/>
  <c r="AB370" i="25"/>
  <c r="AJ370" i="25"/>
  <c r="A371" i="25"/>
  <c r="X370" i="25"/>
  <c r="L370" i="25"/>
  <c r="O370" i="25"/>
  <c r="AK370" i="25"/>
  <c r="AC370" i="25"/>
  <c r="A375" i="20"/>
  <c r="L374" i="20"/>
  <c r="X374" i="20"/>
  <c r="AJ374" i="20"/>
  <c r="AB374" i="20"/>
  <c r="K374" i="20"/>
  <c r="AK374" i="20"/>
  <c r="O374" i="20"/>
  <c r="AC374" i="20"/>
  <c r="K376" i="17"/>
  <c r="A377" i="17"/>
  <c r="L376" i="17"/>
  <c r="O376" i="17"/>
  <c r="AB376" i="17"/>
  <c r="X376" i="17"/>
  <c r="AJ376" i="17"/>
  <c r="AK376" i="17"/>
  <c r="AC376" i="17"/>
  <c r="AB371" i="24"/>
  <c r="A372" i="24"/>
  <c r="L371" i="24"/>
  <c r="AJ371" i="24"/>
  <c r="AK371" i="24"/>
  <c r="K371" i="24"/>
  <c r="X371" i="24"/>
  <c r="O371" i="24"/>
  <c r="AC371" i="24"/>
  <c r="D377" i="1"/>
  <c r="E377" i="1" s="1"/>
  <c r="T377" i="1"/>
  <c r="K373" i="22"/>
  <c r="L373" i="22"/>
  <c r="A374" i="22"/>
  <c r="X373" i="22"/>
  <c r="AB373" i="22"/>
  <c r="AJ373" i="22"/>
  <c r="AK373" i="22"/>
  <c r="O373" i="22"/>
  <c r="AC373" i="22"/>
  <c r="K378" i="1"/>
  <c r="X378" i="1"/>
  <c r="L378" i="1"/>
  <c r="AC378" i="1"/>
  <c r="AB378" i="1"/>
  <c r="AJ378" i="1"/>
  <c r="O378" i="1"/>
  <c r="Q378" i="1"/>
  <c r="AK378" i="1"/>
  <c r="A379" i="1"/>
  <c r="U378" i="1"/>
  <c r="T378" i="1" s="1"/>
  <c r="AB372" i="23"/>
  <c r="L372" i="23"/>
  <c r="K372" i="23"/>
  <c r="A373" i="23"/>
  <c r="X372" i="23"/>
  <c r="AJ372" i="23"/>
  <c r="AK372" i="23"/>
  <c r="O372" i="23"/>
  <c r="AC372" i="23"/>
  <c r="F376" i="1"/>
  <c r="K375" i="18"/>
  <c r="L375" i="18"/>
  <c r="A376" i="18"/>
  <c r="O375" i="18"/>
  <c r="AK375" i="18"/>
  <c r="X375" i="18"/>
  <c r="AB375" i="18"/>
  <c r="AJ375" i="18"/>
  <c r="AC375" i="18"/>
  <c r="E377" i="15" l="1"/>
  <c r="AJ378" i="15"/>
  <c r="AK378" i="15"/>
  <c r="X378" i="15"/>
  <c r="L378" i="15"/>
  <c r="D378" i="15" s="1"/>
  <c r="AB378" i="15"/>
  <c r="K378" i="15"/>
  <c r="AC378" i="15"/>
  <c r="A379" i="15"/>
  <c r="A380" i="15" s="1"/>
  <c r="O378" i="15"/>
  <c r="E376" i="16"/>
  <c r="K377" i="16"/>
  <c r="L377" i="16"/>
  <c r="D377" i="16" s="1"/>
  <c r="A378" i="16"/>
  <c r="AC377" i="16"/>
  <c r="AB377" i="16"/>
  <c r="AK377" i="16"/>
  <c r="X377" i="16"/>
  <c r="AJ377" i="16"/>
  <c r="O377" i="16"/>
  <c r="K376" i="18"/>
  <c r="AB376" i="18"/>
  <c r="X376" i="18"/>
  <c r="O376" i="18"/>
  <c r="AK376" i="18"/>
  <c r="L376" i="18"/>
  <c r="A377" i="18"/>
  <c r="AJ376" i="18"/>
  <c r="AC376" i="18"/>
  <c r="S378" i="1"/>
  <c r="R378" i="1" s="1"/>
  <c r="P378" i="1" s="1"/>
  <c r="V378" i="1" s="1"/>
  <c r="D378" i="1"/>
  <c r="E378" i="1" s="1"/>
  <c r="I376" i="1"/>
  <c r="G376" i="1"/>
  <c r="BW376" i="6" s="1"/>
  <c r="AA376" i="1"/>
  <c r="Z376" i="1" s="1"/>
  <c r="Y376" i="1" s="1"/>
  <c r="X373" i="23"/>
  <c r="L373" i="23"/>
  <c r="K373" i="23"/>
  <c r="AK373" i="23"/>
  <c r="AB373" i="23"/>
  <c r="A374" i="23"/>
  <c r="AJ373" i="23"/>
  <c r="O373" i="23"/>
  <c r="AC373" i="23"/>
  <c r="AK379" i="1"/>
  <c r="L379" i="1"/>
  <c r="B35" i="19" s="1"/>
  <c r="AB379" i="1"/>
  <c r="O379" i="1"/>
  <c r="C35" i="19" s="1"/>
  <c r="X379" i="1"/>
  <c r="K379" i="1"/>
  <c r="AJ379" i="1"/>
  <c r="Q379" i="1"/>
  <c r="AC379" i="1"/>
  <c r="U379" i="1"/>
  <c r="AB374" i="22"/>
  <c r="A375" i="22"/>
  <c r="L374" i="22"/>
  <c r="AK374" i="22"/>
  <c r="K374" i="22"/>
  <c r="X374" i="22"/>
  <c r="AJ374" i="22"/>
  <c r="O374" i="22"/>
  <c r="AC374" i="22"/>
  <c r="S377" i="1"/>
  <c r="R377" i="1" s="1"/>
  <c r="P377" i="1" s="1"/>
  <c r="V377" i="1" s="1"/>
  <c r="F377" i="1" s="1"/>
  <c r="X372" i="24"/>
  <c r="K372" i="24"/>
  <c r="L372" i="24"/>
  <c r="A373" i="24"/>
  <c r="AB372" i="24"/>
  <c r="AJ372" i="24"/>
  <c r="AK372" i="24"/>
  <c r="O372" i="24"/>
  <c r="AC372" i="24"/>
  <c r="A378" i="17"/>
  <c r="X377" i="17"/>
  <c r="AJ377" i="17"/>
  <c r="O377" i="17"/>
  <c r="AB377" i="17"/>
  <c r="L377" i="17"/>
  <c r="K377" i="17"/>
  <c r="AK377" i="17"/>
  <c r="AC377" i="17"/>
  <c r="A376" i="20"/>
  <c r="AB375" i="20"/>
  <c r="AK375" i="20"/>
  <c r="X375" i="20"/>
  <c r="K375" i="20"/>
  <c r="L375" i="20"/>
  <c r="AJ375" i="20"/>
  <c r="O375" i="20"/>
  <c r="AC375" i="20"/>
  <c r="AB371" i="25"/>
  <c r="A372" i="25"/>
  <c r="X371" i="25"/>
  <c r="L371" i="25"/>
  <c r="K371" i="25"/>
  <c r="AJ371" i="25"/>
  <c r="AK371" i="25"/>
  <c r="O371" i="25"/>
  <c r="AC371" i="25"/>
  <c r="AB380" i="15" l="1"/>
  <c r="L380" i="15"/>
  <c r="D380" i="15" s="1"/>
  <c r="X380" i="15"/>
  <c r="K380" i="15"/>
  <c r="AK380" i="15"/>
  <c r="AJ380" i="15"/>
  <c r="O380" i="15"/>
  <c r="AC380" i="15"/>
  <c r="E377" i="16"/>
  <c r="E378" i="15"/>
  <c r="L379" i="15"/>
  <c r="B36" i="19" s="1"/>
  <c r="O379" i="15"/>
  <c r="C36" i="19" s="1"/>
  <c r="X379" i="15"/>
  <c r="AC379" i="15"/>
  <c r="K379" i="15"/>
  <c r="AB379" i="15"/>
  <c r="AJ379" i="15"/>
  <c r="AK379" i="15"/>
  <c r="F378" i="1"/>
  <c r="AA378" i="1" s="1"/>
  <c r="K378" i="16"/>
  <c r="AJ378" i="16"/>
  <c r="L378" i="16"/>
  <c r="D378" i="16" s="1"/>
  <c r="AK378" i="16"/>
  <c r="O378" i="16"/>
  <c r="X378" i="16"/>
  <c r="AB378" i="16"/>
  <c r="A379" i="16"/>
  <c r="AC378" i="16"/>
  <c r="G378" i="1"/>
  <c r="BW378" i="6" s="1"/>
  <c r="G377" i="1"/>
  <c r="BW377" i="6" s="1"/>
  <c r="AA377" i="1"/>
  <c r="Z377" i="1" s="1"/>
  <c r="Y377" i="1" s="1"/>
  <c r="I377" i="1"/>
  <c r="X372" i="25"/>
  <c r="K372" i="25"/>
  <c r="AJ372" i="25"/>
  <c r="AK372" i="25"/>
  <c r="AB372" i="25"/>
  <c r="A373" i="25"/>
  <c r="L372" i="25"/>
  <c r="O372" i="25"/>
  <c r="AC372" i="25"/>
  <c r="X376" i="20"/>
  <c r="L376" i="20"/>
  <c r="AB376" i="20"/>
  <c r="A377" i="20"/>
  <c r="K376" i="20"/>
  <c r="AJ376" i="20"/>
  <c r="AK376" i="20"/>
  <c r="O376" i="20"/>
  <c r="AC376" i="20"/>
  <c r="A379" i="17"/>
  <c r="L378" i="17"/>
  <c r="X378" i="17"/>
  <c r="O378" i="17"/>
  <c r="AK378" i="17"/>
  <c r="AB378" i="17"/>
  <c r="K378" i="17"/>
  <c r="AJ378" i="17"/>
  <c r="AC378" i="17"/>
  <c r="K375" i="22"/>
  <c r="A376" i="22"/>
  <c r="L375" i="22"/>
  <c r="X375" i="22"/>
  <c r="AB375" i="22"/>
  <c r="AJ375" i="22"/>
  <c r="AK375" i="22"/>
  <c r="O375" i="22"/>
  <c r="AC375" i="22"/>
  <c r="BL16" i="7"/>
  <c r="BX16" i="7"/>
  <c r="T379" i="1"/>
  <c r="D16" i="7"/>
  <c r="J11" i="7" s="1"/>
  <c r="U11" i="15" s="1"/>
  <c r="U12" i="15"/>
  <c r="BR16" i="7"/>
  <c r="U383" i="1"/>
  <c r="U381" i="1"/>
  <c r="U382" i="1"/>
  <c r="Q12" i="15"/>
  <c r="BR15" i="7"/>
  <c r="D15" i="7"/>
  <c r="BL15" i="7"/>
  <c r="BX15" i="7"/>
  <c r="Q382" i="1"/>
  <c r="Q381" i="1"/>
  <c r="Q383" i="1"/>
  <c r="O382" i="1"/>
  <c r="O383" i="1"/>
  <c r="O381" i="1"/>
  <c r="D379" i="1"/>
  <c r="AJ7" i="1" s="1"/>
  <c r="L383" i="1"/>
  <c r="L381" i="1"/>
  <c r="L382" i="1"/>
  <c r="AB373" i="24"/>
  <c r="K373" i="24"/>
  <c r="X373" i="24"/>
  <c r="A374" i="24"/>
  <c r="L373" i="24"/>
  <c r="AJ373" i="24"/>
  <c r="AK373" i="24"/>
  <c r="O373" i="24"/>
  <c r="AC373" i="24"/>
  <c r="AC381" i="1"/>
  <c r="AC383" i="1"/>
  <c r="AC382" i="1"/>
  <c r="AJ6" i="1"/>
  <c r="AJ5" i="1"/>
  <c r="AK6" i="1"/>
  <c r="AK7" i="1"/>
  <c r="AK11" i="1" s="1"/>
  <c r="AK9" i="1"/>
  <c r="AM7" i="1"/>
  <c r="AM11" i="1" s="1"/>
  <c r="AM9" i="1"/>
  <c r="AM5" i="1"/>
  <c r="AK5" i="1"/>
  <c r="K374" i="23"/>
  <c r="L374" i="23"/>
  <c r="A375" i="23"/>
  <c r="AK374" i="23"/>
  <c r="AB374" i="23"/>
  <c r="X374" i="23"/>
  <c r="AJ374" i="23"/>
  <c r="O374" i="23"/>
  <c r="AC374" i="23"/>
  <c r="A378" i="18"/>
  <c r="L377" i="18"/>
  <c r="K377" i="18"/>
  <c r="O377" i="18"/>
  <c r="X377" i="18"/>
  <c r="AB377" i="18"/>
  <c r="AJ377" i="18"/>
  <c r="AK377" i="18"/>
  <c r="AC377" i="18"/>
  <c r="AK6" i="15" l="1"/>
  <c r="L35" i="19"/>
  <c r="AM5" i="15"/>
  <c r="E380" i="15"/>
  <c r="AJ9" i="15"/>
  <c r="AJ7" i="15"/>
  <c r="AJ5" i="15"/>
  <c r="AJ6" i="15"/>
  <c r="D379" i="15"/>
  <c r="L383" i="15"/>
  <c r="L382" i="15"/>
  <c r="I378" i="1"/>
  <c r="L381" i="15"/>
  <c r="AM7" i="15"/>
  <c r="AM11" i="15" s="1"/>
  <c r="AK7" i="15"/>
  <c r="AK11" i="15" s="1"/>
  <c r="AK5" i="15"/>
  <c r="AM9" i="15"/>
  <c r="AC383" i="15"/>
  <c r="AC382" i="15"/>
  <c r="AC381" i="15"/>
  <c r="O382" i="15"/>
  <c r="O383" i="15"/>
  <c r="O381" i="15"/>
  <c r="AK9" i="15"/>
  <c r="AJ11" i="1"/>
  <c r="Z378" i="1"/>
  <c r="Y378" i="1" s="1"/>
  <c r="U10" i="15"/>
  <c r="U150" i="15" s="1"/>
  <c r="T150" i="15" s="1"/>
  <c r="E378" i="16"/>
  <c r="T383" i="1"/>
  <c r="T381" i="1"/>
  <c r="T382" i="1"/>
  <c r="AB379" i="16"/>
  <c r="AK379" i="16"/>
  <c r="X379" i="16"/>
  <c r="AC379" i="16"/>
  <c r="L379" i="16"/>
  <c r="K379" i="16"/>
  <c r="AJ379" i="16"/>
  <c r="O379" i="16"/>
  <c r="C37" i="19" s="1"/>
  <c r="K375" i="23"/>
  <c r="AB375" i="23"/>
  <c r="AJ375" i="23"/>
  <c r="A376" i="23"/>
  <c r="X375" i="23"/>
  <c r="L375" i="23"/>
  <c r="AK375" i="23"/>
  <c r="O375" i="23"/>
  <c r="AC375" i="23"/>
  <c r="AK3" i="1"/>
  <c r="Q11" i="19" s="1"/>
  <c r="AJ8" i="1"/>
  <c r="D383" i="1"/>
  <c r="D9" i="1"/>
  <c r="D11" i="1" s="1"/>
  <c r="E35" i="19" s="1"/>
  <c r="D382" i="1"/>
  <c r="D381" i="1"/>
  <c r="E379" i="1"/>
  <c r="AJ9" i="1" s="1"/>
  <c r="I15" i="7"/>
  <c r="Q10" i="15"/>
  <c r="Q37" i="15" s="1"/>
  <c r="I16" i="7"/>
  <c r="U15" i="15"/>
  <c r="S379" i="1"/>
  <c r="K376" i="22"/>
  <c r="X376" i="22"/>
  <c r="AJ376" i="22"/>
  <c r="AK376" i="22"/>
  <c r="A377" i="22"/>
  <c r="L376" i="22"/>
  <c r="AB376" i="22"/>
  <c r="O376" i="22"/>
  <c r="AC376" i="22"/>
  <c r="L379" i="17"/>
  <c r="B38" i="19" s="1"/>
  <c r="K379" i="17"/>
  <c r="AJ379" i="17"/>
  <c r="O379" i="17"/>
  <c r="C38" i="19" s="1"/>
  <c r="AK379" i="17"/>
  <c r="AB379" i="17"/>
  <c r="X379" i="17"/>
  <c r="AC379" i="17"/>
  <c r="A378" i="20"/>
  <c r="AB377" i="20"/>
  <c r="AJ377" i="20"/>
  <c r="AK377" i="20"/>
  <c r="X377" i="20"/>
  <c r="K377" i="20"/>
  <c r="L377" i="20"/>
  <c r="O377" i="20"/>
  <c r="AC377" i="20"/>
  <c r="AB378" i="18"/>
  <c r="L378" i="18"/>
  <c r="X378" i="18"/>
  <c r="O378" i="18"/>
  <c r="A379" i="18"/>
  <c r="K378" i="18"/>
  <c r="AJ378" i="18"/>
  <c r="AK378" i="18"/>
  <c r="AC378" i="18"/>
  <c r="X374" i="24"/>
  <c r="L374" i="24"/>
  <c r="A375" i="24"/>
  <c r="AB374" i="24"/>
  <c r="K374" i="24"/>
  <c r="AJ374" i="24"/>
  <c r="AK374" i="24"/>
  <c r="O374" i="24"/>
  <c r="AC374" i="24"/>
  <c r="AI34" i="15"/>
  <c r="AH34" i="15" s="1"/>
  <c r="AI182" i="15"/>
  <c r="AH182" i="15" s="1"/>
  <c r="AI276" i="15"/>
  <c r="AI340" i="15"/>
  <c r="AH340" i="15" s="1"/>
  <c r="A374" i="25"/>
  <c r="L373" i="25"/>
  <c r="K373" i="25"/>
  <c r="AJ373" i="25"/>
  <c r="AK373" i="25"/>
  <c r="X373" i="25"/>
  <c r="AB373" i="25"/>
  <c r="O373" i="25"/>
  <c r="AC373" i="25"/>
  <c r="AI372" i="15" l="1"/>
  <c r="AI308" i="15"/>
  <c r="AH308" i="15" s="1"/>
  <c r="AI244" i="15"/>
  <c r="AH244" i="15" s="1"/>
  <c r="AI118" i="15"/>
  <c r="AH118" i="15" s="1"/>
  <c r="U359" i="15"/>
  <c r="T359" i="15" s="1"/>
  <c r="S359" i="15" s="1"/>
  <c r="R359" i="15" s="1"/>
  <c r="U231" i="15"/>
  <c r="T231" i="15" s="1"/>
  <c r="AI356" i="15"/>
  <c r="AH356" i="15" s="1"/>
  <c r="AI324" i="15"/>
  <c r="AH324" i="15" s="1"/>
  <c r="AG324" i="15" s="1"/>
  <c r="AF324" i="15" s="1"/>
  <c r="AI292" i="15"/>
  <c r="AI260" i="15"/>
  <c r="AH260" i="15" s="1"/>
  <c r="AI214" i="15"/>
  <c r="AI150" i="15"/>
  <c r="AH150" i="15" s="1"/>
  <c r="AG150" i="15" s="1"/>
  <c r="AF150" i="15" s="1"/>
  <c r="AI86" i="15"/>
  <c r="U295" i="15"/>
  <c r="T295" i="15" s="1"/>
  <c r="S295" i="15" s="1"/>
  <c r="R295" i="15" s="1"/>
  <c r="AI364" i="15"/>
  <c r="AI348" i="15"/>
  <c r="AH348" i="15" s="1"/>
  <c r="AI332" i="15"/>
  <c r="AI316" i="15"/>
  <c r="AH316" i="15" s="1"/>
  <c r="AG316" i="15" s="1"/>
  <c r="AF316" i="15" s="1"/>
  <c r="AI300" i="15"/>
  <c r="AI284" i="15"/>
  <c r="AH284" i="15" s="1"/>
  <c r="AI268" i="15"/>
  <c r="AI252" i="15"/>
  <c r="AH252" i="15" s="1"/>
  <c r="AI230" i="15"/>
  <c r="AH230" i="15" s="1"/>
  <c r="AI198" i="15"/>
  <c r="AH198" i="15" s="1"/>
  <c r="AI166" i="15"/>
  <c r="AH166" i="15" s="1"/>
  <c r="AI134" i="15"/>
  <c r="AH134" i="15" s="1"/>
  <c r="AG134" i="15" s="1"/>
  <c r="AF134" i="15" s="1"/>
  <c r="AI102" i="15"/>
  <c r="AH102" i="15" s="1"/>
  <c r="AI66" i="15"/>
  <c r="AH66" i="15" s="1"/>
  <c r="U327" i="15"/>
  <c r="T327" i="15" s="1"/>
  <c r="S327" i="15" s="1"/>
  <c r="R327" i="15" s="1"/>
  <c r="U263" i="15"/>
  <c r="T263" i="15" s="1"/>
  <c r="S263" i="15" s="1"/>
  <c r="R263" i="15" s="1"/>
  <c r="U199" i="15"/>
  <c r="T199" i="15" s="1"/>
  <c r="S199" i="15" s="1"/>
  <c r="R199" i="15" s="1"/>
  <c r="U86" i="15"/>
  <c r="T86" i="15" s="1"/>
  <c r="S86" i="15" s="1"/>
  <c r="R86" i="15" s="1"/>
  <c r="U38" i="15"/>
  <c r="T38" i="15" s="1"/>
  <c r="S38" i="15" s="1"/>
  <c r="R38" i="15" s="1"/>
  <c r="AI376" i="15"/>
  <c r="AH376" i="15" s="1"/>
  <c r="AI368" i="15"/>
  <c r="AH368" i="15" s="1"/>
  <c r="AG368" i="15" s="1"/>
  <c r="AF368" i="15" s="1"/>
  <c r="AI360" i="15"/>
  <c r="AH360" i="15" s="1"/>
  <c r="AG360" i="15" s="1"/>
  <c r="AF360" i="15" s="1"/>
  <c r="AI352" i="15"/>
  <c r="AH352" i="15" s="1"/>
  <c r="AI344" i="15"/>
  <c r="AH344" i="15" s="1"/>
  <c r="AG344" i="15" s="1"/>
  <c r="AF344" i="15" s="1"/>
  <c r="AI336" i="15"/>
  <c r="AH336" i="15" s="1"/>
  <c r="AG336" i="15" s="1"/>
  <c r="AF336" i="15" s="1"/>
  <c r="AI328" i="15"/>
  <c r="AH328" i="15" s="1"/>
  <c r="AI320" i="15"/>
  <c r="AH320" i="15" s="1"/>
  <c r="AI312" i="15"/>
  <c r="AH312" i="15" s="1"/>
  <c r="AI304" i="15"/>
  <c r="AH304" i="15" s="1"/>
  <c r="AI296" i="15"/>
  <c r="AH296" i="15" s="1"/>
  <c r="AI288" i="15"/>
  <c r="AH288" i="15" s="1"/>
  <c r="AG288" i="15" s="1"/>
  <c r="AF288" i="15" s="1"/>
  <c r="AI280" i="15"/>
  <c r="AH280" i="15" s="1"/>
  <c r="AG280" i="15" s="1"/>
  <c r="AF280" i="15" s="1"/>
  <c r="AI272" i="15"/>
  <c r="AH272" i="15" s="1"/>
  <c r="AI264" i="15"/>
  <c r="AH264" i="15" s="1"/>
  <c r="AG264" i="15" s="1"/>
  <c r="AF264" i="15" s="1"/>
  <c r="AI256" i="15"/>
  <c r="AH256" i="15" s="1"/>
  <c r="AI248" i="15"/>
  <c r="AH248" i="15" s="1"/>
  <c r="AI238" i="15"/>
  <c r="AH238" i="15" s="1"/>
  <c r="AG238" i="15" s="1"/>
  <c r="AF238" i="15" s="1"/>
  <c r="AI222" i="15"/>
  <c r="AH222" i="15" s="1"/>
  <c r="AI206" i="15"/>
  <c r="AH206" i="15" s="1"/>
  <c r="AG206" i="15" s="1"/>
  <c r="AF206" i="15" s="1"/>
  <c r="AI190" i="15"/>
  <c r="AH190" i="15" s="1"/>
  <c r="AI174" i="15"/>
  <c r="AH174" i="15" s="1"/>
  <c r="AI158" i="15"/>
  <c r="AH158" i="15" s="1"/>
  <c r="AI142" i="15"/>
  <c r="AH142" i="15" s="1"/>
  <c r="AG142" i="15" s="1"/>
  <c r="AF142" i="15" s="1"/>
  <c r="AI126" i="15"/>
  <c r="AH126" i="15" s="1"/>
  <c r="AI110" i="15"/>
  <c r="AH110" i="15" s="1"/>
  <c r="AI94" i="15"/>
  <c r="AH94" i="15" s="1"/>
  <c r="AI78" i="15"/>
  <c r="AH78" i="15" s="1"/>
  <c r="AG78" i="15" s="1"/>
  <c r="AF78" i="15" s="1"/>
  <c r="AI50" i="15"/>
  <c r="AH50" i="15" s="1"/>
  <c r="AG50" i="15" s="1"/>
  <c r="AF50" i="15" s="1"/>
  <c r="AI18" i="15"/>
  <c r="AH18" i="15" s="1"/>
  <c r="U375" i="15"/>
  <c r="T375" i="15" s="1"/>
  <c r="S375" i="15" s="1"/>
  <c r="R375" i="15" s="1"/>
  <c r="U343" i="15"/>
  <c r="T343" i="15" s="1"/>
  <c r="S343" i="15" s="1"/>
  <c r="R343" i="15" s="1"/>
  <c r="U311" i="15"/>
  <c r="T311" i="15" s="1"/>
  <c r="S311" i="15" s="1"/>
  <c r="R311" i="15" s="1"/>
  <c r="U279" i="15"/>
  <c r="T279" i="15" s="1"/>
  <c r="S279" i="15" s="1"/>
  <c r="R279" i="15" s="1"/>
  <c r="U247" i="15"/>
  <c r="T247" i="15" s="1"/>
  <c r="S247" i="15" s="1"/>
  <c r="R247" i="15" s="1"/>
  <c r="U215" i="15"/>
  <c r="T215" i="15" s="1"/>
  <c r="S215" i="15" s="1"/>
  <c r="R215" i="15" s="1"/>
  <c r="U182" i="15"/>
  <c r="T182" i="15" s="1"/>
  <c r="S182" i="15" s="1"/>
  <c r="R182" i="15" s="1"/>
  <c r="U118" i="15"/>
  <c r="T118" i="15" s="1"/>
  <c r="S118" i="15" s="1"/>
  <c r="R118" i="15" s="1"/>
  <c r="U54" i="15"/>
  <c r="T54" i="15" s="1"/>
  <c r="S54" i="15" s="1"/>
  <c r="R54" i="15" s="1"/>
  <c r="D379" i="16"/>
  <c r="E379" i="16" s="1"/>
  <c r="B37" i="19"/>
  <c r="AI378" i="15"/>
  <c r="AH378" i="15" s="1"/>
  <c r="AI374" i="15"/>
  <c r="AH374" i="15" s="1"/>
  <c r="AG374" i="15" s="1"/>
  <c r="AF374" i="15" s="1"/>
  <c r="AI370" i="15"/>
  <c r="AI366" i="15"/>
  <c r="AH366" i="15" s="1"/>
  <c r="AI362" i="15"/>
  <c r="AH362" i="15" s="1"/>
  <c r="AI358" i="15"/>
  <c r="AH358" i="15" s="1"/>
  <c r="AI354" i="15"/>
  <c r="AH354" i="15" s="1"/>
  <c r="AI350" i="15"/>
  <c r="AH350" i="15" s="1"/>
  <c r="AG350" i="15" s="1"/>
  <c r="AF350" i="15" s="1"/>
  <c r="AI346" i="15"/>
  <c r="AI342" i="15"/>
  <c r="AH342" i="15" s="1"/>
  <c r="AG342" i="15" s="1"/>
  <c r="AF342" i="15" s="1"/>
  <c r="AI338" i="15"/>
  <c r="AI334" i="15"/>
  <c r="AH334" i="15" s="1"/>
  <c r="AI330" i="15"/>
  <c r="AH330" i="15" s="1"/>
  <c r="AI326" i="15"/>
  <c r="AH326" i="15" s="1"/>
  <c r="AI322" i="15"/>
  <c r="AH322" i="15" s="1"/>
  <c r="AG322" i="15" s="1"/>
  <c r="AF322" i="15" s="1"/>
  <c r="AI318" i="15"/>
  <c r="AH318" i="15" s="1"/>
  <c r="AG318" i="15" s="1"/>
  <c r="AF318" i="15" s="1"/>
  <c r="AI314" i="15"/>
  <c r="AI310" i="15"/>
  <c r="AH310" i="15" s="1"/>
  <c r="AG310" i="15" s="1"/>
  <c r="AF310" i="15" s="1"/>
  <c r="AI306" i="15"/>
  <c r="AI302" i="15"/>
  <c r="AH302" i="15" s="1"/>
  <c r="AI298" i="15"/>
  <c r="AH298" i="15" s="1"/>
  <c r="AI294" i="15"/>
  <c r="AH294" i="15" s="1"/>
  <c r="AG294" i="15" s="1"/>
  <c r="AF294" i="15" s="1"/>
  <c r="AI290" i="15"/>
  <c r="AH290" i="15" s="1"/>
  <c r="AG290" i="15" s="1"/>
  <c r="AF290" i="15" s="1"/>
  <c r="AI286" i="15"/>
  <c r="AH286" i="15" s="1"/>
  <c r="AI282" i="15"/>
  <c r="AH282" i="15" s="1"/>
  <c r="AI278" i="15"/>
  <c r="AH278" i="15" s="1"/>
  <c r="AG278" i="15" s="1"/>
  <c r="AF278" i="15" s="1"/>
  <c r="AI274" i="15"/>
  <c r="AI270" i="15"/>
  <c r="AH270" i="15" s="1"/>
  <c r="AI266" i="15"/>
  <c r="AH266" i="15" s="1"/>
  <c r="AI262" i="15"/>
  <c r="AH262" i="15" s="1"/>
  <c r="AG262" i="15" s="1"/>
  <c r="AF262" i="15" s="1"/>
  <c r="AI258" i="15"/>
  <c r="AH258" i="15" s="1"/>
  <c r="AG258" i="15" s="1"/>
  <c r="AF258" i="15" s="1"/>
  <c r="AI254" i="15"/>
  <c r="AH254" i="15" s="1"/>
  <c r="AG254" i="15" s="1"/>
  <c r="AF254" i="15" s="1"/>
  <c r="AI250" i="15"/>
  <c r="AI246" i="15"/>
  <c r="AH246" i="15" s="1"/>
  <c r="AI242" i="15"/>
  <c r="AI234" i="15"/>
  <c r="AH234" i="15" s="1"/>
  <c r="AG234" i="15" s="1"/>
  <c r="AF234" i="15" s="1"/>
  <c r="AI226" i="15"/>
  <c r="AH226" i="15" s="1"/>
  <c r="AI218" i="15"/>
  <c r="AH218" i="15" s="1"/>
  <c r="AI210" i="15"/>
  <c r="AH210" i="15" s="1"/>
  <c r="AG210" i="15" s="1"/>
  <c r="AF210" i="15" s="1"/>
  <c r="AI202" i="15"/>
  <c r="AH202" i="15" s="1"/>
  <c r="AG202" i="15" s="1"/>
  <c r="AF202" i="15" s="1"/>
  <c r="AI194" i="15"/>
  <c r="AI186" i="15"/>
  <c r="AH186" i="15" s="1"/>
  <c r="AI178" i="15"/>
  <c r="AI170" i="15"/>
  <c r="AH170" i="15" s="1"/>
  <c r="AG170" i="15" s="1"/>
  <c r="AF170" i="15" s="1"/>
  <c r="AI162" i="15"/>
  <c r="AH162" i="15" s="1"/>
  <c r="AG162" i="15" s="1"/>
  <c r="AF162" i="15" s="1"/>
  <c r="AI154" i="15"/>
  <c r="AH154" i="15" s="1"/>
  <c r="AI146" i="15"/>
  <c r="AH146" i="15" s="1"/>
  <c r="AI138" i="15"/>
  <c r="AH138" i="15" s="1"/>
  <c r="AG138" i="15" s="1"/>
  <c r="AF138" i="15" s="1"/>
  <c r="AI130" i="15"/>
  <c r="AH130" i="15" s="1"/>
  <c r="AI122" i="15"/>
  <c r="AH122" i="15" s="1"/>
  <c r="AI114" i="15"/>
  <c r="AI106" i="15"/>
  <c r="AH106" i="15" s="1"/>
  <c r="AI98" i="15"/>
  <c r="AH98" i="15" s="1"/>
  <c r="AG98" i="15" s="1"/>
  <c r="AF98" i="15" s="1"/>
  <c r="AI90" i="15"/>
  <c r="AH90" i="15" s="1"/>
  <c r="AI82" i="15"/>
  <c r="AH82" i="15" s="1"/>
  <c r="AI74" i="15"/>
  <c r="AH74" i="15" s="1"/>
  <c r="AI58" i="15"/>
  <c r="AH58" i="15" s="1"/>
  <c r="AG58" i="15" s="1"/>
  <c r="AF58" i="15" s="1"/>
  <c r="AI42" i="15"/>
  <c r="AH42" i="15" s="1"/>
  <c r="AG42" i="15" s="1"/>
  <c r="AF42" i="15" s="1"/>
  <c r="AI16" i="15"/>
  <c r="AH16" i="15" s="1"/>
  <c r="U367" i="15"/>
  <c r="T367" i="15" s="1"/>
  <c r="S367" i="15" s="1"/>
  <c r="R367" i="15" s="1"/>
  <c r="U351" i="15"/>
  <c r="T351" i="15" s="1"/>
  <c r="S351" i="15" s="1"/>
  <c r="R351" i="15" s="1"/>
  <c r="U335" i="15"/>
  <c r="T335" i="15" s="1"/>
  <c r="S335" i="15" s="1"/>
  <c r="R335" i="15" s="1"/>
  <c r="U319" i="15"/>
  <c r="T319" i="15" s="1"/>
  <c r="S319" i="15" s="1"/>
  <c r="R319" i="15" s="1"/>
  <c r="U303" i="15"/>
  <c r="T303" i="15" s="1"/>
  <c r="S303" i="15" s="1"/>
  <c r="R303" i="15" s="1"/>
  <c r="U287" i="15"/>
  <c r="T287" i="15" s="1"/>
  <c r="S287" i="15" s="1"/>
  <c r="R287" i="15" s="1"/>
  <c r="U271" i="15"/>
  <c r="T271" i="15" s="1"/>
  <c r="S271" i="15" s="1"/>
  <c r="R271" i="15" s="1"/>
  <c r="U255" i="15"/>
  <c r="T255" i="15" s="1"/>
  <c r="S255" i="15" s="1"/>
  <c r="R255" i="15" s="1"/>
  <c r="U239" i="15"/>
  <c r="T239" i="15" s="1"/>
  <c r="S239" i="15" s="1"/>
  <c r="R239" i="15" s="1"/>
  <c r="U223" i="15"/>
  <c r="T223" i="15" s="1"/>
  <c r="S223" i="15" s="1"/>
  <c r="R223" i="15" s="1"/>
  <c r="U207" i="15"/>
  <c r="T207" i="15" s="1"/>
  <c r="S207" i="15" s="1"/>
  <c r="R207" i="15" s="1"/>
  <c r="U191" i="15"/>
  <c r="T191" i="15" s="1"/>
  <c r="S191" i="15" s="1"/>
  <c r="R191" i="15" s="1"/>
  <c r="U166" i="15"/>
  <c r="T166" i="15" s="1"/>
  <c r="S166" i="15" s="1"/>
  <c r="R166" i="15" s="1"/>
  <c r="U134" i="15"/>
  <c r="T134" i="15" s="1"/>
  <c r="U102" i="15"/>
  <c r="T102" i="15" s="1"/>
  <c r="S102" i="15" s="1"/>
  <c r="R102" i="15" s="1"/>
  <c r="U70" i="15"/>
  <c r="T70" i="15" s="1"/>
  <c r="S70" i="15" s="1"/>
  <c r="R70" i="15" s="1"/>
  <c r="L36" i="19"/>
  <c r="U30" i="15"/>
  <c r="T30" i="15" s="1"/>
  <c r="S30" i="15" s="1"/>
  <c r="R30" i="15" s="1"/>
  <c r="U46" i="15"/>
  <c r="T46" i="15" s="1"/>
  <c r="S46" i="15" s="1"/>
  <c r="R46" i="15" s="1"/>
  <c r="U62" i="15"/>
  <c r="T62" i="15" s="1"/>
  <c r="S62" i="15" s="1"/>
  <c r="R62" i="15" s="1"/>
  <c r="U78" i="15"/>
  <c r="T78" i="15" s="1"/>
  <c r="S78" i="15" s="1"/>
  <c r="R78" i="15" s="1"/>
  <c r="U94" i="15"/>
  <c r="T94" i="15" s="1"/>
  <c r="S94" i="15" s="1"/>
  <c r="R94" i="15" s="1"/>
  <c r="U110" i="15"/>
  <c r="T110" i="15" s="1"/>
  <c r="S110" i="15" s="1"/>
  <c r="R110" i="15" s="1"/>
  <c r="U126" i="15"/>
  <c r="T126" i="15" s="1"/>
  <c r="S126" i="15" s="1"/>
  <c r="R126" i="15" s="1"/>
  <c r="U142" i="15"/>
  <c r="T142" i="15" s="1"/>
  <c r="S142" i="15" s="1"/>
  <c r="R142" i="15" s="1"/>
  <c r="U158" i="15"/>
  <c r="T158" i="15" s="1"/>
  <c r="S158" i="15" s="1"/>
  <c r="R158" i="15" s="1"/>
  <c r="U174" i="15"/>
  <c r="T174" i="15" s="1"/>
  <c r="S174" i="15" s="1"/>
  <c r="R174" i="15" s="1"/>
  <c r="U187" i="15"/>
  <c r="T187" i="15" s="1"/>
  <c r="S187" i="15" s="1"/>
  <c r="R187" i="15" s="1"/>
  <c r="U195" i="15"/>
  <c r="T195" i="15" s="1"/>
  <c r="S195" i="15" s="1"/>
  <c r="R195" i="15" s="1"/>
  <c r="U203" i="15"/>
  <c r="T203" i="15" s="1"/>
  <c r="S203" i="15" s="1"/>
  <c r="R203" i="15" s="1"/>
  <c r="U211" i="15"/>
  <c r="T211" i="15" s="1"/>
  <c r="S211" i="15" s="1"/>
  <c r="R211" i="15" s="1"/>
  <c r="U219" i="15"/>
  <c r="T219" i="15" s="1"/>
  <c r="S219" i="15" s="1"/>
  <c r="R219" i="15" s="1"/>
  <c r="U227" i="15"/>
  <c r="T227" i="15" s="1"/>
  <c r="S227" i="15" s="1"/>
  <c r="R227" i="15" s="1"/>
  <c r="U235" i="15"/>
  <c r="T235" i="15" s="1"/>
  <c r="S235" i="15" s="1"/>
  <c r="R235" i="15" s="1"/>
  <c r="U243" i="15"/>
  <c r="T243" i="15" s="1"/>
  <c r="S243" i="15" s="1"/>
  <c r="R243" i="15" s="1"/>
  <c r="U251" i="15"/>
  <c r="T251" i="15" s="1"/>
  <c r="S251" i="15" s="1"/>
  <c r="R251" i="15" s="1"/>
  <c r="U259" i="15"/>
  <c r="T259" i="15" s="1"/>
  <c r="S259" i="15" s="1"/>
  <c r="R259" i="15" s="1"/>
  <c r="U267" i="15"/>
  <c r="T267" i="15" s="1"/>
  <c r="S267" i="15" s="1"/>
  <c r="R267" i="15" s="1"/>
  <c r="U275" i="15"/>
  <c r="T275" i="15" s="1"/>
  <c r="S275" i="15" s="1"/>
  <c r="R275" i="15" s="1"/>
  <c r="U283" i="15"/>
  <c r="T283" i="15" s="1"/>
  <c r="S283" i="15" s="1"/>
  <c r="R283" i="15" s="1"/>
  <c r="U291" i="15"/>
  <c r="T291" i="15" s="1"/>
  <c r="S291" i="15" s="1"/>
  <c r="R291" i="15" s="1"/>
  <c r="U299" i="15"/>
  <c r="T299" i="15" s="1"/>
  <c r="S299" i="15" s="1"/>
  <c r="R299" i="15" s="1"/>
  <c r="U307" i="15"/>
  <c r="T307" i="15" s="1"/>
  <c r="S307" i="15" s="1"/>
  <c r="R307" i="15" s="1"/>
  <c r="U315" i="15"/>
  <c r="T315" i="15" s="1"/>
  <c r="S315" i="15" s="1"/>
  <c r="R315" i="15" s="1"/>
  <c r="U323" i="15"/>
  <c r="T323" i="15" s="1"/>
  <c r="S323" i="15" s="1"/>
  <c r="R323" i="15" s="1"/>
  <c r="U331" i="15"/>
  <c r="T331" i="15" s="1"/>
  <c r="S331" i="15" s="1"/>
  <c r="R331" i="15" s="1"/>
  <c r="U339" i="15"/>
  <c r="T339" i="15" s="1"/>
  <c r="S339" i="15" s="1"/>
  <c r="R339" i="15" s="1"/>
  <c r="U347" i="15"/>
  <c r="T347" i="15" s="1"/>
  <c r="S347" i="15" s="1"/>
  <c r="R347" i="15" s="1"/>
  <c r="U355" i="15"/>
  <c r="T355" i="15" s="1"/>
  <c r="S355" i="15" s="1"/>
  <c r="R355" i="15" s="1"/>
  <c r="U363" i="15"/>
  <c r="T363" i="15" s="1"/>
  <c r="S363" i="15" s="1"/>
  <c r="R363" i="15" s="1"/>
  <c r="U371" i="15"/>
  <c r="T371" i="15" s="1"/>
  <c r="S371" i="15" s="1"/>
  <c r="R371" i="15" s="1"/>
  <c r="U379" i="15"/>
  <c r="T379" i="15" s="1"/>
  <c r="S379" i="15" s="1"/>
  <c r="R379" i="15" s="1"/>
  <c r="K16" i="7"/>
  <c r="AI28" i="15"/>
  <c r="AH28" i="15" s="1"/>
  <c r="AI30" i="15"/>
  <c r="AH30" i="15" s="1"/>
  <c r="AI38" i="15"/>
  <c r="AH38" i="15" s="1"/>
  <c r="AI46" i="15"/>
  <c r="AH46" i="15" s="1"/>
  <c r="AI54" i="15"/>
  <c r="AH54" i="15" s="1"/>
  <c r="AI62" i="15"/>
  <c r="AH62" i="15" s="1"/>
  <c r="AI70" i="15"/>
  <c r="AH70" i="15" s="1"/>
  <c r="AG70" i="15" s="1"/>
  <c r="AF70" i="15" s="1"/>
  <c r="AI76" i="15"/>
  <c r="AH76" i="15" s="1"/>
  <c r="AG76" i="15" s="1"/>
  <c r="AF76" i="15" s="1"/>
  <c r="AI80" i="15"/>
  <c r="AH80" i="15" s="1"/>
  <c r="AI84" i="15"/>
  <c r="AH84" i="15" s="1"/>
  <c r="AI88" i="15"/>
  <c r="AH88" i="15" s="1"/>
  <c r="AI92" i="15"/>
  <c r="AH92" i="15" s="1"/>
  <c r="AG92" i="15" s="1"/>
  <c r="AF92" i="15" s="1"/>
  <c r="AI96" i="15"/>
  <c r="AH96" i="15" s="1"/>
  <c r="AI100" i="15"/>
  <c r="AH100" i="15" s="1"/>
  <c r="AI104" i="15"/>
  <c r="AH104" i="15" s="1"/>
  <c r="AG104" i="15" s="1"/>
  <c r="AF104" i="15" s="1"/>
  <c r="AI108" i="15"/>
  <c r="AH108" i="15" s="1"/>
  <c r="AI112" i="15"/>
  <c r="AH112" i="15" s="1"/>
  <c r="AG112" i="15" s="1"/>
  <c r="AF112" i="15" s="1"/>
  <c r="AI116" i="15"/>
  <c r="AH116" i="15" s="1"/>
  <c r="AI120" i="15"/>
  <c r="AH120" i="15" s="1"/>
  <c r="AI124" i="15"/>
  <c r="AH124" i="15" s="1"/>
  <c r="AG124" i="15" s="1"/>
  <c r="AF124" i="15" s="1"/>
  <c r="AI128" i="15"/>
  <c r="AH128" i="15" s="1"/>
  <c r="AI132" i="15"/>
  <c r="AH132" i="15" s="1"/>
  <c r="AI136" i="15"/>
  <c r="AH136" i="15" s="1"/>
  <c r="AG136" i="15" s="1"/>
  <c r="AF136" i="15" s="1"/>
  <c r="AI140" i="15"/>
  <c r="AH140" i="15" s="1"/>
  <c r="AG140" i="15" s="1"/>
  <c r="AF140" i="15" s="1"/>
  <c r="AI144" i="15"/>
  <c r="AH144" i="15" s="1"/>
  <c r="AI148" i="15"/>
  <c r="AH148" i="15" s="1"/>
  <c r="AI152" i="15"/>
  <c r="AH152" i="15" s="1"/>
  <c r="AI156" i="15"/>
  <c r="AH156" i="15" s="1"/>
  <c r="AG156" i="15" s="1"/>
  <c r="AF156" i="15" s="1"/>
  <c r="AI160" i="15"/>
  <c r="AH160" i="15" s="1"/>
  <c r="AG160" i="15" s="1"/>
  <c r="AF160" i="15" s="1"/>
  <c r="AI164" i="15"/>
  <c r="AH164" i="15" s="1"/>
  <c r="AG164" i="15" s="1"/>
  <c r="AF164" i="15" s="1"/>
  <c r="AI168" i="15"/>
  <c r="AH168" i="15" s="1"/>
  <c r="AI172" i="15"/>
  <c r="AH172" i="15" s="1"/>
  <c r="AI176" i="15"/>
  <c r="AH176" i="15" s="1"/>
  <c r="AG176" i="15" s="1"/>
  <c r="AF176" i="15" s="1"/>
  <c r="AI180" i="15"/>
  <c r="AH180" i="15" s="1"/>
  <c r="AI184" i="15"/>
  <c r="AH184" i="15" s="1"/>
  <c r="AG184" i="15" s="1"/>
  <c r="AF184" i="15" s="1"/>
  <c r="AI188" i="15"/>
  <c r="AH188" i="15" s="1"/>
  <c r="AI192" i="15"/>
  <c r="AH192" i="15" s="1"/>
  <c r="AG192" i="15" s="1"/>
  <c r="AF192" i="15" s="1"/>
  <c r="AI196" i="15"/>
  <c r="AH196" i="15" s="1"/>
  <c r="AI200" i="15"/>
  <c r="AH200" i="15" s="1"/>
  <c r="AG200" i="15" s="1"/>
  <c r="AF200" i="15" s="1"/>
  <c r="AI204" i="15"/>
  <c r="AH204" i="15" s="1"/>
  <c r="AI208" i="15"/>
  <c r="AH208" i="15" s="1"/>
  <c r="AI212" i="15"/>
  <c r="AH212" i="15" s="1"/>
  <c r="AI216" i="15"/>
  <c r="AH216" i="15" s="1"/>
  <c r="AG216" i="15" s="1"/>
  <c r="AF216" i="15" s="1"/>
  <c r="AI220" i="15"/>
  <c r="AH220" i="15" s="1"/>
  <c r="AG220" i="15" s="1"/>
  <c r="AF220" i="15" s="1"/>
  <c r="AI224" i="15"/>
  <c r="AH224" i="15" s="1"/>
  <c r="AG224" i="15" s="1"/>
  <c r="AF224" i="15" s="1"/>
  <c r="AI228" i="15"/>
  <c r="AH228" i="15" s="1"/>
  <c r="AI232" i="15"/>
  <c r="AH232" i="15" s="1"/>
  <c r="AI236" i="15"/>
  <c r="AH236" i="15" s="1"/>
  <c r="AG236" i="15" s="1"/>
  <c r="AF236" i="15" s="1"/>
  <c r="AI240" i="15"/>
  <c r="AH240" i="15" s="1"/>
  <c r="AG240" i="15" s="1"/>
  <c r="AF240" i="15" s="1"/>
  <c r="AJ11" i="15"/>
  <c r="Q319" i="15"/>
  <c r="Q195" i="15"/>
  <c r="P195" i="15" s="1"/>
  <c r="V195" i="15" s="1"/>
  <c r="F195" i="15" s="1"/>
  <c r="Q351" i="15"/>
  <c r="Q259" i="15"/>
  <c r="P259" i="15" s="1"/>
  <c r="V259" i="15" s="1"/>
  <c r="F259" i="15" s="1"/>
  <c r="Q131" i="15"/>
  <c r="Q367" i="15"/>
  <c r="P367" i="15" s="1"/>
  <c r="V367" i="15" s="1"/>
  <c r="F367" i="15" s="1"/>
  <c r="Q335" i="15"/>
  <c r="Q291" i="15"/>
  <c r="Q227" i="15"/>
  <c r="Q163" i="15"/>
  <c r="Q99" i="15"/>
  <c r="P291" i="15"/>
  <c r="V291" i="15" s="1"/>
  <c r="F291" i="15" s="1"/>
  <c r="P351" i="15"/>
  <c r="V351" i="15" s="1"/>
  <c r="F351" i="15" s="1"/>
  <c r="Q375" i="15"/>
  <c r="P375" i="15" s="1"/>
  <c r="V375" i="15" s="1"/>
  <c r="F375" i="15" s="1"/>
  <c r="Q359" i="15"/>
  <c r="P359" i="15" s="1"/>
  <c r="V359" i="15" s="1"/>
  <c r="F359" i="15" s="1"/>
  <c r="Q343" i="15"/>
  <c r="Q327" i="15"/>
  <c r="P327" i="15" s="1"/>
  <c r="V327" i="15" s="1"/>
  <c r="F327" i="15" s="1"/>
  <c r="Q307" i="15"/>
  <c r="P307" i="15" s="1"/>
  <c r="V307" i="15" s="1"/>
  <c r="F307" i="15" s="1"/>
  <c r="Q275" i="15"/>
  <c r="Q243" i="15"/>
  <c r="P243" i="15" s="1"/>
  <c r="V243" i="15" s="1"/>
  <c r="F243" i="15" s="1"/>
  <c r="Q211" i="15"/>
  <c r="Q179" i="15"/>
  <c r="Q147" i="15"/>
  <c r="Q115" i="15"/>
  <c r="Q83" i="15"/>
  <c r="U23" i="15"/>
  <c r="T23" i="15" s="1"/>
  <c r="S23" i="15" s="1"/>
  <c r="R23" i="15" s="1"/>
  <c r="U21" i="15"/>
  <c r="T21" i="15" s="1"/>
  <c r="S21" i="15" s="1"/>
  <c r="R21" i="15" s="1"/>
  <c r="U16" i="15"/>
  <c r="T16" i="15" s="1"/>
  <c r="S16" i="15" s="1"/>
  <c r="R16" i="15" s="1"/>
  <c r="U24" i="15"/>
  <c r="T24" i="15" s="1"/>
  <c r="S24" i="15" s="1"/>
  <c r="R24" i="15" s="1"/>
  <c r="U20" i="15"/>
  <c r="T20" i="15" s="1"/>
  <c r="S20" i="15" s="1"/>
  <c r="R20" i="15" s="1"/>
  <c r="U25" i="15"/>
  <c r="T25" i="15" s="1"/>
  <c r="S25" i="15" s="1"/>
  <c r="R25" i="15" s="1"/>
  <c r="U27" i="15"/>
  <c r="T27" i="15" s="1"/>
  <c r="S27" i="15" s="1"/>
  <c r="R27" i="15" s="1"/>
  <c r="U29" i="15"/>
  <c r="T29" i="15" s="1"/>
  <c r="S29" i="15" s="1"/>
  <c r="R29" i="15" s="1"/>
  <c r="U31" i="15"/>
  <c r="T31" i="15" s="1"/>
  <c r="S31" i="15" s="1"/>
  <c r="R31" i="15" s="1"/>
  <c r="U33" i="15"/>
  <c r="T33" i="15" s="1"/>
  <c r="S33" i="15" s="1"/>
  <c r="R33" i="15" s="1"/>
  <c r="U35" i="15"/>
  <c r="T35" i="15" s="1"/>
  <c r="S35" i="15" s="1"/>
  <c r="R35" i="15" s="1"/>
  <c r="U37" i="15"/>
  <c r="T37" i="15" s="1"/>
  <c r="S37" i="15" s="1"/>
  <c r="R37" i="15" s="1"/>
  <c r="P37" i="15" s="1"/>
  <c r="V37" i="15" s="1"/>
  <c r="F37" i="15" s="1"/>
  <c r="U39" i="15"/>
  <c r="T39" i="15" s="1"/>
  <c r="S39" i="15" s="1"/>
  <c r="R39" i="15" s="1"/>
  <c r="U41" i="15"/>
  <c r="T41" i="15" s="1"/>
  <c r="S41" i="15" s="1"/>
  <c r="R41" i="15" s="1"/>
  <c r="U43" i="15"/>
  <c r="T43" i="15" s="1"/>
  <c r="S43" i="15" s="1"/>
  <c r="R43" i="15" s="1"/>
  <c r="U45" i="15"/>
  <c r="T45" i="15" s="1"/>
  <c r="S45" i="15" s="1"/>
  <c r="R45" i="15" s="1"/>
  <c r="U47" i="15"/>
  <c r="T47" i="15" s="1"/>
  <c r="S47" i="15" s="1"/>
  <c r="R47" i="15" s="1"/>
  <c r="U49" i="15"/>
  <c r="T49" i="15" s="1"/>
  <c r="S49" i="15" s="1"/>
  <c r="R49" i="15" s="1"/>
  <c r="U51" i="15"/>
  <c r="T51" i="15" s="1"/>
  <c r="S51" i="15" s="1"/>
  <c r="R51" i="15" s="1"/>
  <c r="U53" i="15"/>
  <c r="T53" i="15" s="1"/>
  <c r="S53" i="15" s="1"/>
  <c r="R53" i="15" s="1"/>
  <c r="U55" i="15"/>
  <c r="T55" i="15" s="1"/>
  <c r="S55" i="15" s="1"/>
  <c r="R55" i="15" s="1"/>
  <c r="U57" i="15"/>
  <c r="T57" i="15" s="1"/>
  <c r="S57" i="15" s="1"/>
  <c r="R57" i="15" s="1"/>
  <c r="U59" i="15"/>
  <c r="T59" i="15" s="1"/>
  <c r="S59" i="15" s="1"/>
  <c r="R59" i="15" s="1"/>
  <c r="U61" i="15"/>
  <c r="T61" i="15" s="1"/>
  <c r="S61" i="15" s="1"/>
  <c r="R61" i="15" s="1"/>
  <c r="U63" i="15"/>
  <c r="T63" i="15" s="1"/>
  <c r="S63" i="15" s="1"/>
  <c r="R63" i="15" s="1"/>
  <c r="U65" i="15"/>
  <c r="T65" i="15" s="1"/>
  <c r="S65" i="15" s="1"/>
  <c r="R65" i="15" s="1"/>
  <c r="U67" i="15"/>
  <c r="T67" i="15" s="1"/>
  <c r="S67" i="15" s="1"/>
  <c r="R67" i="15" s="1"/>
  <c r="U69" i="15"/>
  <c r="T69" i="15" s="1"/>
  <c r="S69" i="15" s="1"/>
  <c r="R69" i="15" s="1"/>
  <c r="U71" i="15"/>
  <c r="T71" i="15" s="1"/>
  <c r="S71" i="15" s="1"/>
  <c r="R71" i="15" s="1"/>
  <c r="U73" i="15"/>
  <c r="T73" i="15" s="1"/>
  <c r="S73" i="15" s="1"/>
  <c r="R73" i="15" s="1"/>
  <c r="U75" i="15"/>
  <c r="T75" i="15" s="1"/>
  <c r="S75" i="15" s="1"/>
  <c r="R75" i="15" s="1"/>
  <c r="U77" i="15"/>
  <c r="T77" i="15" s="1"/>
  <c r="S77" i="15" s="1"/>
  <c r="R77" i="15" s="1"/>
  <c r="U79" i="15"/>
  <c r="T79" i="15" s="1"/>
  <c r="S79" i="15" s="1"/>
  <c r="R79" i="15" s="1"/>
  <c r="U81" i="15"/>
  <c r="T81" i="15" s="1"/>
  <c r="S81" i="15" s="1"/>
  <c r="R81" i="15" s="1"/>
  <c r="U83" i="15"/>
  <c r="T83" i="15" s="1"/>
  <c r="S83" i="15" s="1"/>
  <c r="R83" i="15" s="1"/>
  <c r="U85" i="15"/>
  <c r="T85" i="15" s="1"/>
  <c r="S85" i="15" s="1"/>
  <c r="R85" i="15" s="1"/>
  <c r="U87" i="15"/>
  <c r="T87" i="15" s="1"/>
  <c r="S87" i="15" s="1"/>
  <c r="R87" i="15" s="1"/>
  <c r="U89" i="15"/>
  <c r="T89" i="15" s="1"/>
  <c r="S89" i="15" s="1"/>
  <c r="R89" i="15" s="1"/>
  <c r="U91" i="15"/>
  <c r="T91" i="15" s="1"/>
  <c r="S91" i="15" s="1"/>
  <c r="R91" i="15" s="1"/>
  <c r="U93" i="15"/>
  <c r="T93" i="15" s="1"/>
  <c r="S93" i="15" s="1"/>
  <c r="R93" i="15" s="1"/>
  <c r="U95" i="15"/>
  <c r="T95" i="15" s="1"/>
  <c r="S95" i="15" s="1"/>
  <c r="R95" i="15" s="1"/>
  <c r="U97" i="15"/>
  <c r="T97" i="15" s="1"/>
  <c r="S97" i="15" s="1"/>
  <c r="R97" i="15" s="1"/>
  <c r="U99" i="15"/>
  <c r="T99" i="15" s="1"/>
  <c r="S99" i="15" s="1"/>
  <c r="R99" i="15" s="1"/>
  <c r="U101" i="15"/>
  <c r="T101" i="15" s="1"/>
  <c r="S101" i="15" s="1"/>
  <c r="R101" i="15" s="1"/>
  <c r="U103" i="15"/>
  <c r="T103" i="15" s="1"/>
  <c r="S103" i="15" s="1"/>
  <c r="R103" i="15" s="1"/>
  <c r="U105" i="15"/>
  <c r="T105" i="15" s="1"/>
  <c r="S105" i="15" s="1"/>
  <c r="R105" i="15" s="1"/>
  <c r="U107" i="15"/>
  <c r="T107" i="15" s="1"/>
  <c r="S107" i="15" s="1"/>
  <c r="R107" i="15" s="1"/>
  <c r="U109" i="15"/>
  <c r="T109" i="15" s="1"/>
  <c r="S109" i="15" s="1"/>
  <c r="R109" i="15" s="1"/>
  <c r="U111" i="15"/>
  <c r="T111" i="15" s="1"/>
  <c r="S111" i="15" s="1"/>
  <c r="R111" i="15" s="1"/>
  <c r="U113" i="15"/>
  <c r="T113" i="15" s="1"/>
  <c r="S113" i="15" s="1"/>
  <c r="R113" i="15" s="1"/>
  <c r="U115" i="15"/>
  <c r="T115" i="15" s="1"/>
  <c r="S115" i="15" s="1"/>
  <c r="R115" i="15" s="1"/>
  <c r="P115" i="15" s="1"/>
  <c r="V115" i="15" s="1"/>
  <c r="F115" i="15" s="1"/>
  <c r="U117" i="15"/>
  <c r="T117" i="15" s="1"/>
  <c r="S117" i="15" s="1"/>
  <c r="R117" i="15" s="1"/>
  <c r="U119" i="15"/>
  <c r="T119" i="15" s="1"/>
  <c r="S119" i="15" s="1"/>
  <c r="R119" i="15" s="1"/>
  <c r="U121" i="15"/>
  <c r="T121" i="15" s="1"/>
  <c r="S121" i="15" s="1"/>
  <c r="R121" i="15" s="1"/>
  <c r="U123" i="15"/>
  <c r="T123" i="15" s="1"/>
  <c r="S123" i="15" s="1"/>
  <c r="R123" i="15" s="1"/>
  <c r="U125" i="15"/>
  <c r="T125" i="15" s="1"/>
  <c r="S125" i="15" s="1"/>
  <c r="R125" i="15" s="1"/>
  <c r="U127" i="15"/>
  <c r="T127" i="15" s="1"/>
  <c r="S127" i="15" s="1"/>
  <c r="R127" i="15" s="1"/>
  <c r="U129" i="15"/>
  <c r="T129" i="15" s="1"/>
  <c r="S129" i="15" s="1"/>
  <c r="R129" i="15" s="1"/>
  <c r="U131" i="15"/>
  <c r="T131" i="15" s="1"/>
  <c r="S131" i="15" s="1"/>
  <c r="R131" i="15" s="1"/>
  <c r="U133" i="15"/>
  <c r="T133" i="15" s="1"/>
  <c r="S133" i="15" s="1"/>
  <c r="R133" i="15" s="1"/>
  <c r="U135" i="15"/>
  <c r="T135" i="15" s="1"/>
  <c r="S135" i="15" s="1"/>
  <c r="R135" i="15" s="1"/>
  <c r="U137" i="15"/>
  <c r="T137" i="15" s="1"/>
  <c r="S137" i="15" s="1"/>
  <c r="R137" i="15" s="1"/>
  <c r="U139" i="15"/>
  <c r="T139" i="15" s="1"/>
  <c r="S139" i="15" s="1"/>
  <c r="R139" i="15" s="1"/>
  <c r="U141" i="15"/>
  <c r="T141" i="15" s="1"/>
  <c r="S141" i="15" s="1"/>
  <c r="R141" i="15" s="1"/>
  <c r="U143" i="15"/>
  <c r="T143" i="15" s="1"/>
  <c r="S143" i="15" s="1"/>
  <c r="R143" i="15" s="1"/>
  <c r="U145" i="15"/>
  <c r="T145" i="15" s="1"/>
  <c r="S145" i="15" s="1"/>
  <c r="R145" i="15" s="1"/>
  <c r="U147" i="15"/>
  <c r="T147" i="15" s="1"/>
  <c r="S147" i="15" s="1"/>
  <c r="R147" i="15" s="1"/>
  <c r="U149" i="15"/>
  <c r="T149" i="15" s="1"/>
  <c r="S149" i="15" s="1"/>
  <c r="R149" i="15" s="1"/>
  <c r="U151" i="15"/>
  <c r="T151" i="15" s="1"/>
  <c r="S151" i="15" s="1"/>
  <c r="R151" i="15" s="1"/>
  <c r="U153" i="15"/>
  <c r="T153" i="15" s="1"/>
  <c r="S153" i="15" s="1"/>
  <c r="R153" i="15" s="1"/>
  <c r="U155" i="15"/>
  <c r="T155" i="15" s="1"/>
  <c r="S155" i="15" s="1"/>
  <c r="R155" i="15" s="1"/>
  <c r="U157" i="15"/>
  <c r="T157" i="15" s="1"/>
  <c r="S157" i="15" s="1"/>
  <c r="R157" i="15" s="1"/>
  <c r="U159" i="15"/>
  <c r="T159" i="15" s="1"/>
  <c r="S159" i="15" s="1"/>
  <c r="R159" i="15" s="1"/>
  <c r="U161" i="15"/>
  <c r="T161" i="15" s="1"/>
  <c r="S161" i="15" s="1"/>
  <c r="R161" i="15" s="1"/>
  <c r="U163" i="15"/>
  <c r="T163" i="15" s="1"/>
  <c r="S163" i="15" s="1"/>
  <c r="R163" i="15" s="1"/>
  <c r="P163" i="15" s="1"/>
  <c r="V163" i="15" s="1"/>
  <c r="F163" i="15" s="1"/>
  <c r="U165" i="15"/>
  <c r="T165" i="15" s="1"/>
  <c r="S165" i="15" s="1"/>
  <c r="R165" i="15" s="1"/>
  <c r="U167" i="15"/>
  <c r="T167" i="15" s="1"/>
  <c r="S167" i="15" s="1"/>
  <c r="R167" i="15" s="1"/>
  <c r="U169" i="15"/>
  <c r="T169" i="15" s="1"/>
  <c r="S169" i="15" s="1"/>
  <c r="R169" i="15" s="1"/>
  <c r="U171" i="15"/>
  <c r="T171" i="15" s="1"/>
  <c r="S171" i="15" s="1"/>
  <c r="R171" i="15" s="1"/>
  <c r="U173" i="15"/>
  <c r="T173" i="15" s="1"/>
  <c r="S173" i="15" s="1"/>
  <c r="R173" i="15" s="1"/>
  <c r="U175" i="15"/>
  <c r="T175" i="15" s="1"/>
  <c r="S175" i="15" s="1"/>
  <c r="R175" i="15" s="1"/>
  <c r="U177" i="15"/>
  <c r="T177" i="15" s="1"/>
  <c r="S177" i="15" s="1"/>
  <c r="R177" i="15" s="1"/>
  <c r="U179" i="15"/>
  <c r="T179" i="15" s="1"/>
  <c r="S179" i="15" s="1"/>
  <c r="R179" i="15" s="1"/>
  <c r="P179" i="15" s="1"/>
  <c r="V179" i="15" s="1"/>
  <c r="F179" i="15" s="1"/>
  <c r="U181" i="15"/>
  <c r="T181" i="15" s="1"/>
  <c r="S181" i="15" s="1"/>
  <c r="R181" i="15" s="1"/>
  <c r="U183" i="15"/>
  <c r="T183" i="15" s="1"/>
  <c r="S183" i="15" s="1"/>
  <c r="R183" i="15" s="1"/>
  <c r="U17" i="15"/>
  <c r="T17" i="15" s="1"/>
  <c r="S17" i="15" s="1"/>
  <c r="R17" i="15" s="1"/>
  <c r="U18" i="15"/>
  <c r="T18" i="15" s="1"/>
  <c r="S18" i="15" s="1"/>
  <c r="R18" i="15" s="1"/>
  <c r="U19" i="15"/>
  <c r="T19" i="15" s="1"/>
  <c r="U28" i="15"/>
  <c r="T28" i="15" s="1"/>
  <c r="S28" i="15" s="1"/>
  <c r="R28" i="15" s="1"/>
  <c r="U32" i="15"/>
  <c r="T32" i="15" s="1"/>
  <c r="S32" i="15" s="1"/>
  <c r="R32" i="15" s="1"/>
  <c r="U36" i="15"/>
  <c r="T36" i="15" s="1"/>
  <c r="S36" i="15" s="1"/>
  <c r="R36" i="15" s="1"/>
  <c r="U40" i="15"/>
  <c r="T40" i="15" s="1"/>
  <c r="S40" i="15" s="1"/>
  <c r="R40" i="15" s="1"/>
  <c r="U44" i="15"/>
  <c r="T44" i="15" s="1"/>
  <c r="S44" i="15" s="1"/>
  <c r="R44" i="15" s="1"/>
  <c r="U48" i="15"/>
  <c r="T48" i="15" s="1"/>
  <c r="S48" i="15" s="1"/>
  <c r="R48" i="15" s="1"/>
  <c r="U52" i="15"/>
  <c r="T52" i="15" s="1"/>
  <c r="S52" i="15" s="1"/>
  <c r="R52" i="15" s="1"/>
  <c r="U56" i="15"/>
  <c r="T56" i="15" s="1"/>
  <c r="U60" i="15"/>
  <c r="T60" i="15" s="1"/>
  <c r="S60" i="15" s="1"/>
  <c r="R60" i="15" s="1"/>
  <c r="U64" i="15"/>
  <c r="T64" i="15" s="1"/>
  <c r="S64" i="15" s="1"/>
  <c r="R64" i="15" s="1"/>
  <c r="U68" i="15"/>
  <c r="T68" i="15" s="1"/>
  <c r="S68" i="15" s="1"/>
  <c r="R68" i="15" s="1"/>
  <c r="U72" i="15"/>
  <c r="T72" i="15" s="1"/>
  <c r="S72" i="15" s="1"/>
  <c r="R72" i="15" s="1"/>
  <c r="U76" i="15"/>
  <c r="T76" i="15" s="1"/>
  <c r="S76" i="15" s="1"/>
  <c r="R76" i="15" s="1"/>
  <c r="U80" i="15"/>
  <c r="T80" i="15" s="1"/>
  <c r="S80" i="15" s="1"/>
  <c r="R80" i="15" s="1"/>
  <c r="U84" i="15"/>
  <c r="T84" i="15" s="1"/>
  <c r="S84" i="15" s="1"/>
  <c r="R84" i="15" s="1"/>
  <c r="U88" i="15"/>
  <c r="T88" i="15" s="1"/>
  <c r="S88" i="15" s="1"/>
  <c r="R88" i="15" s="1"/>
  <c r="U92" i="15"/>
  <c r="T92" i="15" s="1"/>
  <c r="S92" i="15" s="1"/>
  <c r="R92" i="15" s="1"/>
  <c r="U96" i="15"/>
  <c r="T96" i="15" s="1"/>
  <c r="S96" i="15" s="1"/>
  <c r="R96" i="15" s="1"/>
  <c r="U100" i="15"/>
  <c r="T100" i="15" s="1"/>
  <c r="S100" i="15" s="1"/>
  <c r="R100" i="15" s="1"/>
  <c r="U104" i="15"/>
  <c r="T104" i="15" s="1"/>
  <c r="S104" i="15" s="1"/>
  <c r="R104" i="15" s="1"/>
  <c r="U108" i="15"/>
  <c r="T108" i="15" s="1"/>
  <c r="S108" i="15" s="1"/>
  <c r="R108" i="15" s="1"/>
  <c r="U112" i="15"/>
  <c r="T112" i="15" s="1"/>
  <c r="S112" i="15" s="1"/>
  <c r="R112" i="15" s="1"/>
  <c r="U116" i="15"/>
  <c r="T116" i="15" s="1"/>
  <c r="S116" i="15" s="1"/>
  <c r="R116" i="15" s="1"/>
  <c r="U120" i="15"/>
  <c r="T120" i="15" s="1"/>
  <c r="S120" i="15" s="1"/>
  <c r="R120" i="15" s="1"/>
  <c r="U124" i="15"/>
  <c r="T124" i="15" s="1"/>
  <c r="S124" i="15" s="1"/>
  <c r="R124" i="15" s="1"/>
  <c r="U128" i="15"/>
  <c r="T128" i="15" s="1"/>
  <c r="S128" i="15" s="1"/>
  <c r="R128" i="15" s="1"/>
  <c r="U132" i="15"/>
  <c r="T132" i="15" s="1"/>
  <c r="S132" i="15" s="1"/>
  <c r="R132" i="15" s="1"/>
  <c r="U136" i="15"/>
  <c r="T136" i="15" s="1"/>
  <c r="S136" i="15" s="1"/>
  <c r="R136" i="15" s="1"/>
  <c r="U140" i="15"/>
  <c r="T140" i="15" s="1"/>
  <c r="S140" i="15" s="1"/>
  <c r="R140" i="15" s="1"/>
  <c r="U144" i="15"/>
  <c r="T144" i="15" s="1"/>
  <c r="S144" i="15" s="1"/>
  <c r="R144" i="15" s="1"/>
  <c r="U148" i="15"/>
  <c r="T148" i="15" s="1"/>
  <c r="S148" i="15" s="1"/>
  <c r="R148" i="15" s="1"/>
  <c r="U152" i="15"/>
  <c r="T152" i="15" s="1"/>
  <c r="S152" i="15" s="1"/>
  <c r="R152" i="15" s="1"/>
  <c r="U156" i="15"/>
  <c r="T156" i="15" s="1"/>
  <c r="S156" i="15" s="1"/>
  <c r="R156" i="15" s="1"/>
  <c r="U160" i="15"/>
  <c r="T160" i="15" s="1"/>
  <c r="S160" i="15" s="1"/>
  <c r="R160" i="15" s="1"/>
  <c r="U164" i="15"/>
  <c r="T164" i="15" s="1"/>
  <c r="S164" i="15" s="1"/>
  <c r="R164" i="15" s="1"/>
  <c r="U168" i="15"/>
  <c r="T168" i="15" s="1"/>
  <c r="S168" i="15" s="1"/>
  <c r="R168" i="15" s="1"/>
  <c r="U172" i="15"/>
  <c r="T172" i="15" s="1"/>
  <c r="S172" i="15" s="1"/>
  <c r="R172" i="15" s="1"/>
  <c r="U176" i="15"/>
  <c r="T176" i="15" s="1"/>
  <c r="S176" i="15" s="1"/>
  <c r="R176" i="15" s="1"/>
  <c r="U180" i="15"/>
  <c r="T180" i="15" s="1"/>
  <c r="S180" i="15" s="1"/>
  <c r="R180" i="15" s="1"/>
  <c r="U184" i="15"/>
  <c r="T184" i="15" s="1"/>
  <c r="S184" i="15" s="1"/>
  <c r="R184" i="15" s="1"/>
  <c r="U186" i="15"/>
  <c r="T186" i="15" s="1"/>
  <c r="S186" i="15" s="1"/>
  <c r="R186" i="15" s="1"/>
  <c r="U188" i="15"/>
  <c r="T188" i="15" s="1"/>
  <c r="S188" i="15" s="1"/>
  <c r="R188" i="15" s="1"/>
  <c r="U190" i="15"/>
  <c r="T190" i="15" s="1"/>
  <c r="S190" i="15" s="1"/>
  <c r="R190" i="15" s="1"/>
  <c r="U192" i="15"/>
  <c r="T192" i="15" s="1"/>
  <c r="S192" i="15" s="1"/>
  <c r="R192" i="15" s="1"/>
  <c r="U194" i="15"/>
  <c r="T194" i="15" s="1"/>
  <c r="S194" i="15" s="1"/>
  <c r="R194" i="15" s="1"/>
  <c r="U196" i="15"/>
  <c r="T196" i="15" s="1"/>
  <c r="S196" i="15" s="1"/>
  <c r="R196" i="15" s="1"/>
  <c r="U198" i="15"/>
  <c r="T198" i="15" s="1"/>
  <c r="S198" i="15" s="1"/>
  <c r="R198" i="15" s="1"/>
  <c r="U200" i="15"/>
  <c r="T200" i="15" s="1"/>
  <c r="S200" i="15" s="1"/>
  <c r="R200" i="15" s="1"/>
  <c r="U202" i="15"/>
  <c r="T202" i="15" s="1"/>
  <c r="S202" i="15" s="1"/>
  <c r="R202" i="15" s="1"/>
  <c r="U204" i="15"/>
  <c r="T204" i="15" s="1"/>
  <c r="S204" i="15" s="1"/>
  <c r="R204" i="15" s="1"/>
  <c r="U206" i="15"/>
  <c r="T206" i="15" s="1"/>
  <c r="S206" i="15" s="1"/>
  <c r="R206" i="15" s="1"/>
  <c r="U208" i="15"/>
  <c r="T208" i="15" s="1"/>
  <c r="S208" i="15" s="1"/>
  <c r="R208" i="15" s="1"/>
  <c r="U210" i="15"/>
  <c r="T210" i="15" s="1"/>
  <c r="S210" i="15" s="1"/>
  <c r="R210" i="15" s="1"/>
  <c r="U212" i="15"/>
  <c r="T212" i="15" s="1"/>
  <c r="S212" i="15" s="1"/>
  <c r="R212" i="15" s="1"/>
  <c r="U214" i="15"/>
  <c r="T214" i="15" s="1"/>
  <c r="S214" i="15" s="1"/>
  <c r="R214" i="15" s="1"/>
  <c r="U216" i="15"/>
  <c r="T216" i="15" s="1"/>
  <c r="S216" i="15" s="1"/>
  <c r="R216" i="15" s="1"/>
  <c r="U218" i="15"/>
  <c r="T218" i="15" s="1"/>
  <c r="S218" i="15" s="1"/>
  <c r="R218" i="15" s="1"/>
  <c r="U220" i="15"/>
  <c r="T220" i="15" s="1"/>
  <c r="S220" i="15" s="1"/>
  <c r="R220" i="15" s="1"/>
  <c r="U222" i="15"/>
  <c r="T222" i="15" s="1"/>
  <c r="S222" i="15" s="1"/>
  <c r="R222" i="15" s="1"/>
  <c r="U224" i="15"/>
  <c r="T224" i="15" s="1"/>
  <c r="S224" i="15" s="1"/>
  <c r="R224" i="15" s="1"/>
  <c r="U226" i="15"/>
  <c r="T226" i="15" s="1"/>
  <c r="S226" i="15" s="1"/>
  <c r="R226" i="15" s="1"/>
  <c r="U228" i="15"/>
  <c r="T228" i="15" s="1"/>
  <c r="S228" i="15" s="1"/>
  <c r="R228" i="15" s="1"/>
  <c r="U230" i="15"/>
  <c r="T230" i="15" s="1"/>
  <c r="S230" i="15" s="1"/>
  <c r="R230" i="15" s="1"/>
  <c r="U232" i="15"/>
  <c r="T232" i="15" s="1"/>
  <c r="S232" i="15" s="1"/>
  <c r="R232" i="15" s="1"/>
  <c r="U234" i="15"/>
  <c r="T234" i="15" s="1"/>
  <c r="S234" i="15" s="1"/>
  <c r="R234" i="15" s="1"/>
  <c r="U236" i="15"/>
  <c r="T236" i="15" s="1"/>
  <c r="S236" i="15" s="1"/>
  <c r="R236" i="15" s="1"/>
  <c r="U238" i="15"/>
  <c r="T238" i="15" s="1"/>
  <c r="S238" i="15" s="1"/>
  <c r="R238" i="15" s="1"/>
  <c r="U240" i="15"/>
  <c r="T240" i="15" s="1"/>
  <c r="S240" i="15" s="1"/>
  <c r="R240" i="15" s="1"/>
  <c r="U242" i="15"/>
  <c r="T242" i="15" s="1"/>
  <c r="S242" i="15" s="1"/>
  <c r="R242" i="15" s="1"/>
  <c r="U244" i="15"/>
  <c r="T244" i="15" s="1"/>
  <c r="S244" i="15" s="1"/>
  <c r="R244" i="15" s="1"/>
  <c r="U246" i="15"/>
  <c r="T246" i="15" s="1"/>
  <c r="S246" i="15" s="1"/>
  <c r="R246" i="15" s="1"/>
  <c r="U248" i="15"/>
  <c r="T248" i="15" s="1"/>
  <c r="S248" i="15" s="1"/>
  <c r="R248" i="15" s="1"/>
  <c r="U250" i="15"/>
  <c r="T250" i="15" s="1"/>
  <c r="S250" i="15" s="1"/>
  <c r="R250" i="15" s="1"/>
  <c r="U252" i="15"/>
  <c r="T252" i="15" s="1"/>
  <c r="S252" i="15" s="1"/>
  <c r="R252" i="15" s="1"/>
  <c r="U254" i="15"/>
  <c r="T254" i="15" s="1"/>
  <c r="S254" i="15" s="1"/>
  <c r="R254" i="15" s="1"/>
  <c r="U256" i="15"/>
  <c r="T256" i="15" s="1"/>
  <c r="S256" i="15" s="1"/>
  <c r="R256" i="15" s="1"/>
  <c r="U258" i="15"/>
  <c r="T258" i="15" s="1"/>
  <c r="S258" i="15" s="1"/>
  <c r="R258" i="15" s="1"/>
  <c r="U260" i="15"/>
  <c r="T260" i="15" s="1"/>
  <c r="S260" i="15" s="1"/>
  <c r="R260" i="15" s="1"/>
  <c r="U262" i="15"/>
  <c r="T262" i="15" s="1"/>
  <c r="S262" i="15" s="1"/>
  <c r="R262" i="15" s="1"/>
  <c r="U264" i="15"/>
  <c r="T264" i="15" s="1"/>
  <c r="S264" i="15" s="1"/>
  <c r="R264" i="15" s="1"/>
  <c r="U266" i="15"/>
  <c r="T266" i="15" s="1"/>
  <c r="S266" i="15" s="1"/>
  <c r="R266" i="15" s="1"/>
  <c r="U268" i="15"/>
  <c r="T268" i="15" s="1"/>
  <c r="S268" i="15" s="1"/>
  <c r="R268" i="15" s="1"/>
  <c r="U270" i="15"/>
  <c r="T270" i="15" s="1"/>
  <c r="S270" i="15" s="1"/>
  <c r="R270" i="15" s="1"/>
  <c r="U272" i="15"/>
  <c r="T272" i="15" s="1"/>
  <c r="S272" i="15" s="1"/>
  <c r="R272" i="15" s="1"/>
  <c r="U274" i="15"/>
  <c r="T274" i="15" s="1"/>
  <c r="S274" i="15" s="1"/>
  <c r="R274" i="15" s="1"/>
  <c r="U276" i="15"/>
  <c r="T276" i="15" s="1"/>
  <c r="S276" i="15" s="1"/>
  <c r="R276" i="15" s="1"/>
  <c r="U278" i="15"/>
  <c r="T278" i="15" s="1"/>
  <c r="S278" i="15" s="1"/>
  <c r="R278" i="15" s="1"/>
  <c r="U280" i="15"/>
  <c r="T280" i="15" s="1"/>
  <c r="S280" i="15" s="1"/>
  <c r="R280" i="15" s="1"/>
  <c r="U282" i="15"/>
  <c r="T282" i="15" s="1"/>
  <c r="S282" i="15" s="1"/>
  <c r="R282" i="15" s="1"/>
  <c r="U284" i="15"/>
  <c r="T284" i="15" s="1"/>
  <c r="U286" i="15"/>
  <c r="T286" i="15" s="1"/>
  <c r="S286" i="15" s="1"/>
  <c r="R286" i="15" s="1"/>
  <c r="U288" i="15"/>
  <c r="T288" i="15" s="1"/>
  <c r="S288" i="15" s="1"/>
  <c r="R288" i="15" s="1"/>
  <c r="U290" i="15"/>
  <c r="T290" i="15" s="1"/>
  <c r="S290" i="15" s="1"/>
  <c r="R290" i="15" s="1"/>
  <c r="U292" i="15"/>
  <c r="T292" i="15" s="1"/>
  <c r="S292" i="15" s="1"/>
  <c r="R292" i="15" s="1"/>
  <c r="U294" i="15"/>
  <c r="T294" i="15" s="1"/>
  <c r="S294" i="15" s="1"/>
  <c r="R294" i="15" s="1"/>
  <c r="U296" i="15"/>
  <c r="T296" i="15" s="1"/>
  <c r="S296" i="15" s="1"/>
  <c r="R296" i="15" s="1"/>
  <c r="U298" i="15"/>
  <c r="T298" i="15" s="1"/>
  <c r="U300" i="15"/>
  <c r="T300" i="15" s="1"/>
  <c r="S300" i="15" s="1"/>
  <c r="R300" i="15" s="1"/>
  <c r="U302" i="15"/>
  <c r="T302" i="15" s="1"/>
  <c r="S302" i="15" s="1"/>
  <c r="R302" i="15" s="1"/>
  <c r="U304" i="15"/>
  <c r="T304" i="15" s="1"/>
  <c r="S304" i="15" s="1"/>
  <c r="R304" i="15" s="1"/>
  <c r="U306" i="15"/>
  <c r="T306" i="15" s="1"/>
  <c r="S306" i="15" s="1"/>
  <c r="R306" i="15" s="1"/>
  <c r="U308" i="15"/>
  <c r="T308" i="15" s="1"/>
  <c r="S308" i="15" s="1"/>
  <c r="R308" i="15" s="1"/>
  <c r="U310" i="15"/>
  <c r="T310" i="15" s="1"/>
  <c r="S310" i="15" s="1"/>
  <c r="R310" i="15" s="1"/>
  <c r="U312" i="15"/>
  <c r="T312" i="15" s="1"/>
  <c r="S312" i="15" s="1"/>
  <c r="R312" i="15" s="1"/>
  <c r="U314" i="15"/>
  <c r="T314" i="15" s="1"/>
  <c r="S314" i="15" s="1"/>
  <c r="R314" i="15" s="1"/>
  <c r="U316" i="15"/>
  <c r="T316" i="15" s="1"/>
  <c r="S316" i="15" s="1"/>
  <c r="R316" i="15" s="1"/>
  <c r="U318" i="15"/>
  <c r="T318" i="15" s="1"/>
  <c r="S318" i="15" s="1"/>
  <c r="R318" i="15" s="1"/>
  <c r="U320" i="15"/>
  <c r="T320" i="15" s="1"/>
  <c r="S320" i="15" s="1"/>
  <c r="R320" i="15" s="1"/>
  <c r="U322" i="15"/>
  <c r="T322" i="15" s="1"/>
  <c r="S322" i="15" s="1"/>
  <c r="R322" i="15" s="1"/>
  <c r="U324" i="15"/>
  <c r="T324" i="15" s="1"/>
  <c r="S324" i="15" s="1"/>
  <c r="R324" i="15" s="1"/>
  <c r="U326" i="15"/>
  <c r="T326" i="15" s="1"/>
  <c r="U328" i="15"/>
  <c r="T328" i="15" s="1"/>
  <c r="S328" i="15" s="1"/>
  <c r="R328" i="15" s="1"/>
  <c r="U330" i="15"/>
  <c r="T330" i="15" s="1"/>
  <c r="S330" i="15" s="1"/>
  <c r="R330" i="15" s="1"/>
  <c r="U332" i="15"/>
  <c r="T332" i="15" s="1"/>
  <c r="S332" i="15" s="1"/>
  <c r="R332" i="15" s="1"/>
  <c r="U334" i="15"/>
  <c r="T334" i="15" s="1"/>
  <c r="S334" i="15" s="1"/>
  <c r="R334" i="15" s="1"/>
  <c r="U336" i="15"/>
  <c r="T336" i="15" s="1"/>
  <c r="S336" i="15" s="1"/>
  <c r="R336" i="15" s="1"/>
  <c r="U338" i="15"/>
  <c r="T338" i="15" s="1"/>
  <c r="S338" i="15" s="1"/>
  <c r="R338" i="15" s="1"/>
  <c r="U340" i="15"/>
  <c r="T340" i="15" s="1"/>
  <c r="S340" i="15" s="1"/>
  <c r="R340" i="15" s="1"/>
  <c r="U342" i="15"/>
  <c r="T342" i="15" s="1"/>
  <c r="S342" i="15" s="1"/>
  <c r="R342" i="15" s="1"/>
  <c r="U344" i="15"/>
  <c r="T344" i="15" s="1"/>
  <c r="S344" i="15" s="1"/>
  <c r="R344" i="15" s="1"/>
  <c r="U346" i="15"/>
  <c r="T346" i="15" s="1"/>
  <c r="S346" i="15" s="1"/>
  <c r="R346" i="15" s="1"/>
  <c r="U348" i="15"/>
  <c r="T348" i="15" s="1"/>
  <c r="S348" i="15" s="1"/>
  <c r="R348" i="15" s="1"/>
  <c r="U350" i="15"/>
  <c r="T350" i="15" s="1"/>
  <c r="S350" i="15" s="1"/>
  <c r="R350" i="15" s="1"/>
  <c r="U352" i="15"/>
  <c r="T352" i="15" s="1"/>
  <c r="S352" i="15" s="1"/>
  <c r="R352" i="15" s="1"/>
  <c r="U354" i="15"/>
  <c r="T354" i="15" s="1"/>
  <c r="S354" i="15" s="1"/>
  <c r="R354" i="15" s="1"/>
  <c r="U356" i="15"/>
  <c r="T356" i="15" s="1"/>
  <c r="S356" i="15" s="1"/>
  <c r="R356" i="15" s="1"/>
  <c r="U358" i="15"/>
  <c r="T358" i="15" s="1"/>
  <c r="S358" i="15" s="1"/>
  <c r="R358" i="15" s="1"/>
  <c r="U360" i="15"/>
  <c r="T360" i="15" s="1"/>
  <c r="S360" i="15" s="1"/>
  <c r="R360" i="15" s="1"/>
  <c r="U362" i="15"/>
  <c r="T362" i="15" s="1"/>
  <c r="S362" i="15" s="1"/>
  <c r="R362" i="15" s="1"/>
  <c r="U364" i="15"/>
  <c r="T364" i="15" s="1"/>
  <c r="S364" i="15" s="1"/>
  <c r="R364" i="15" s="1"/>
  <c r="U366" i="15"/>
  <c r="T366" i="15" s="1"/>
  <c r="S366" i="15" s="1"/>
  <c r="R366" i="15" s="1"/>
  <c r="U368" i="15"/>
  <c r="T368" i="15" s="1"/>
  <c r="S368" i="15" s="1"/>
  <c r="R368" i="15" s="1"/>
  <c r="U370" i="15"/>
  <c r="T370" i="15" s="1"/>
  <c r="S370" i="15" s="1"/>
  <c r="R370" i="15" s="1"/>
  <c r="U372" i="15"/>
  <c r="T372" i="15" s="1"/>
  <c r="S372" i="15" s="1"/>
  <c r="R372" i="15" s="1"/>
  <c r="U374" i="15"/>
  <c r="T374" i="15" s="1"/>
  <c r="S374" i="15" s="1"/>
  <c r="R374" i="15" s="1"/>
  <c r="U376" i="15"/>
  <c r="T376" i="15" s="1"/>
  <c r="S376" i="15" s="1"/>
  <c r="R376" i="15" s="1"/>
  <c r="U378" i="15"/>
  <c r="T378" i="15" s="1"/>
  <c r="S378" i="15" s="1"/>
  <c r="R378" i="15" s="1"/>
  <c r="AI22" i="15"/>
  <c r="AH22" i="15" s="1"/>
  <c r="AI24" i="15"/>
  <c r="AH24" i="15" s="1"/>
  <c r="AG24" i="15" s="1"/>
  <c r="AF24" i="15" s="1"/>
  <c r="AI23" i="15"/>
  <c r="AH23" i="15" s="1"/>
  <c r="AI27" i="15"/>
  <c r="AH27" i="15" s="1"/>
  <c r="AG27" i="15" s="1"/>
  <c r="AF27" i="15" s="1"/>
  <c r="AI17" i="15"/>
  <c r="AI21" i="15"/>
  <c r="AH21" i="15" s="1"/>
  <c r="AG21" i="15" s="1"/>
  <c r="AF21" i="15" s="1"/>
  <c r="AI19" i="15"/>
  <c r="AH19" i="15" s="1"/>
  <c r="AI29" i="15"/>
  <c r="AH29" i="15" s="1"/>
  <c r="AG29" i="15" s="1"/>
  <c r="AF29" i="15" s="1"/>
  <c r="AI31" i="15"/>
  <c r="AH31" i="15" s="1"/>
  <c r="AI33" i="15"/>
  <c r="AH33" i="15" s="1"/>
  <c r="AI35" i="15"/>
  <c r="AH35" i="15" s="1"/>
  <c r="AG35" i="15" s="1"/>
  <c r="AF35" i="15" s="1"/>
  <c r="AI37" i="15"/>
  <c r="AH37" i="15" s="1"/>
  <c r="AG37" i="15" s="1"/>
  <c r="AF37" i="15" s="1"/>
  <c r="AI39" i="15"/>
  <c r="AI41" i="15"/>
  <c r="AH41" i="15" s="1"/>
  <c r="AI43" i="15"/>
  <c r="AH43" i="15" s="1"/>
  <c r="AG43" i="15" s="1"/>
  <c r="AF43" i="15" s="1"/>
  <c r="AI45" i="15"/>
  <c r="AH45" i="15" s="1"/>
  <c r="AG45" i="15" s="1"/>
  <c r="AF45" i="15" s="1"/>
  <c r="AI47" i="15"/>
  <c r="AH47" i="15" s="1"/>
  <c r="AI49" i="15"/>
  <c r="AH49" i="15" s="1"/>
  <c r="AG49" i="15" s="1"/>
  <c r="AF49" i="15" s="1"/>
  <c r="AI51" i="15"/>
  <c r="AH51" i="15" s="1"/>
  <c r="AI53" i="15"/>
  <c r="AH53" i="15" s="1"/>
  <c r="AG53" i="15" s="1"/>
  <c r="AF53" i="15" s="1"/>
  <c r="AI55" i="15"/>
  <c r="AI57" i="15"/>
  <c r="AH57" i="15" s="1"/>
  <c r="AG57" i="15" s="1"/>
  <c r="AF57" i="15" s="1"/>
  <c r="AI59" i="15"/>
  <c r="AH59" i="15" s="1"/>
  <c r="AG59" i="15" s="1"/>
  <c r="AF59" i="15" s="1"/>
  <c r="AI61" i="15"/>
  <c r="AH61" i="15" s="1"/>
  <c r="AI63" i="15"/>
  <c r="AI65" i="15"/>
  <c r="AH65" i="15" s="1"/>
  <c r="AG65" i="15" s="1"/>
  <c r="AF65" i="15" s="1"/>
  <c r="AI67" i="15"/>
  <c r="AH67" i="15" s="1"/>
  <c r="AG67" i="15" s="1"/>
  <c r="AF67" i="15" s="1"/>
  <c r="AI69" i="15"/>
  <c r="AH69" i="15" s="1"/>
  <c r="AG69" i="15" s="1"/>
  <c r="AF69" i="15" s="1"/>
  <c r="AI71" i="15"/>
  <c r="AH71" i="15" s="1"/>
  <c r="AI73" i="15"/>
  <c r="AH73" i="15" s="1"/>
  <c r="AG73" i="15" s="1"/>
  <c r="AF73" i="15" s="1"/>
  <c r="AI379" i="15"/>
  <c r="AH379" i="15" s="1"/>
  <c r="AI377" i="15"/>
  <c r="AH377" i="15" s="1"/>
  <c r="AI375" i="15"/>
  <c r="AH375" i="15" s="1"/>
  <c r="AG375" i="15" s="1"/>
  <c r="AF375" i="15" s="1"/>
  <c r="AI373" i="15"/>
  <c r="AH373" i="15" s="1"/>
  <c r="AG373" i="15" s="1"/>
  <c r="AF373" i="15" s="1"/>
  <c r="AI371" i="15"/>
  <c r="AH371" i="15" s="1"/>
  <c r="AI369" i="15"/>
  <c r="AH369" i="15" s="1"/>
  <c r="AI367" i="15"/>
  <c r="AH367" i="15" s="1"/>
  <c r="AG367" i="15" s="1"/>
  <c r="AF367" i="15" s="1"/>
  <c r="AI365" i="15"/>
  <c r="AH365" i="15" s="1"/>
  <c r="AI363" i="15"/>
  <c r="AH363" i="15" s="1"/>
  <c r="AI361" i="15"/>
  <c r="AH361" i="15" s="1"/>
  <c r="AI359" i="15"/>
  <c r="AH359" i="15" s="1"/>
  <c r="AG359" i="15" s="1"/>
  <c r="AF359" i="15" s="1"/>
  <c r="AI357" i="15"/>
  <c r="AH357" i="15" s="1"/>
  <c r="AG357" i="15" s="1"/>
  <c r="AF357" i="15" s="1"/>
  <c r="AI355" i="15"/>
  <c r="AH355" i="15" s="1"/>
  <c r="AI353" i="15"/>
  <c r="AH353" i="15" s="1"/>
  <c r="AG353" i="15" s="1"/>
  <c r="AF353" i="15" s="1"/>
  <c r="AI351" i="15"/>
  <c r="AH351" i="15" s="1"/>
  <c r="AG351" i="15" s="1"/>
  <c r="AF351" i="15" s="1"/>
  <c r="AI349" i="15"/>
  <c r="AH349" i="15" s="1"/>
  <c r="AG349" i="15" s="1"/>
  <c r="AF349" i="15" s="1"/>
  <c r="AI347" i="15"/>
  <c r="AH347" i="15" s="1"/>
  <c r="AG347" i="15" s="1"/>
  <c r="AF347" i="15" s="1"/>
  <c r="AI345" i="15"/>
  <c r="AH345" i="15" s="1"/>
  <c r="AG345" i="15" s="1"/>
  <c r="AF345" i="15" s="1"/>
  <c r="AI343" i="15"/>
  <c r="AH343" i="15" s="1"/>
  <c r="AI341" i="15"/>
  <c r="AH341" i="15" s="1"/>
  <c r="AG341" i="15" s="1"/>
  <c r="AF341" i="15" s="1"/>
  <c r="AI339" i="15"/>
  <c r="AH339" i="15" s="1"/>
  <c r="AI337" i="15"/>
  <c r="AH337" i="15" s="1"/>
  <c r="AG337" i="15" s="1"/>
  <c r="AF337" i="15" s="1"/>
  <c r="AI335" i="15"/>
  <c r="AH335" i="15" s="1"/>
  <c r="AI333" i="15"/>
  <c r="AH333" i="15" s="1"/>
  <c r="AG333" i="15" s="1"/>
  <c r="AF333" i="15" s="1"/>
  <c r="AI331" i="15"/>
  <c r="AH331" i="15" s="1"/>
  <c r="AI329" i="15"/>
  <c r="AH329" i="15" s="1"/>
  <c r="AI327" i="15"/>
  <c r="AH327" i="15" s="1"/>
  <c r="AI325" i="15"/>
  <c r="AH325" i="15" s="1"/>
  <c r="AI323" i="15"/>
  <c r="AH323" i="15" s="1"/>
  <c r="AI321" i="15"/>
  <c r="AH321" i="15" s="1"/>
  <c r="AI319" i="15"/>
  <c r="AH319" i="15" s="1"/>
  <c r="AI317" i="15"/>
  <c r="AH317" i="15" s="1"/>
  <c r="AG317" i="15" s="1"/>
  <c r="AF317" i="15" s="1"/>
  <c r="AI315" i="15"/>
  <c r="AH315" i="15" s="1"/>
  <c r="AG315" i="15" s="1"/>
  <c r="AF315" i="15" s="1"/>
  <c r="AI313" i="15"/>
  <c r="AH313" i="15" s="1"/>
  <c r="AG313" i="15" s="1"/>
  <c r="AF313" i="15" s="1"/>
  <c r="AI311" i="15"/>
  <c r="AH311" i="15" s="1"/>
  <c r="AG311" i="15" s="1"/>
  <c r="AF311" i="15" s="1"/>
  <c r="AI309" i="15"/>
  <c r="AH309" i="15" s="1"/>
  <c r="AG309" i="15" s="1"/>
  <c r="AF309" i="15" s="1"/>
  <c r="AI307" i="15"/>
  <c r="AH307" i="15" s="1"/>
  <c r="AG307" i="15" s="1"/>
  <c r="AF307" i="15" s="1"/>
  <c r="AI305" i="15"/>
  <c r="AH305" i="15" s="1"/>
  <c r="AI303" i="15"/>
  <c r="AH303" i="15" s="1"/>
  <c r="AG303" i="15" s="1"/>
  <c r="AF303" i="15" s="1"/>
  <c r="AI301" i="15"/>
  <c r="AH301" i="15" s="1"/>
  <c r="AI299" i="15"/>
  <c r="AH299" i="15" s="1"/>
  <c r="AG299" i="15" s="1"/>
  <c r="AF299" i="15" s="1"/>
  <c r="AI297" i="15"/>
  <c r="AH297" i="15" s="1"/>
  <c r="AI295" i="15"/>
  <c r="AH295" i="15" s="1"/>
  <c r="AI293" i="15"/>
  <c r="AH293" i="15" s="1"/>
  <c r="AI291" i="15"/>
  <c r="AH291" i="15" s="1"/>
  <c r="AG291" i="15" s="1"/>
  <c r="AF291" i="15" s="1"/>
  <c r="AI289" i="15"/>
  <c r="AH289" i="15" s="1"/>
  <c r="AG289" i="15" s="1"/>
  <c r="AF289" i="15" s="1"/>
  <c r="AI287" i="15"/>
  <c r="AH287" i="15" s="1"/>
  <c r="AI285" i="15"/>
  <c r="AH285" i="15" s="1"/>
  <c r="AG285" i="15" s="1"/>
  <c r="AF285" i="15" s="1"/>
  <c r="AI283" i="15"/>
  <c r="AH283" i="15" s="1"/>
  <c r="AG283" i="15" s="1"/>
  <c r="AF283" i="15" s="1"/>
  <c r="AI281" i="15"/>
  <c r="AH281" i="15" s="1"/>
  <c r="AG281" i="15" s="1"/>
  <c r="AF281" i="15" s="1"/>
  <c r="AI279" i="15"/>
  <c r="AH279" i="15" s="1"/>
  <c r="AG279" i="15" s="1"/>
  <c r="AF279" i="15" s="1"/>
  <c r="AI277" i="15"/>
  <c r="AH277" i="15" s="1"/>
  <c r="AG277" i="15" s="1"/>
  <c r="AF277" i="15" s="1"/>
  <c r="AI275" i="15"/>
  <c r="AH275" i="15" s="1"/>
  <c r="AI273" i="15"/>
  <c r="AH273" i="15" s="1"/>
  <c r="AG273" i="15" s="1"/>
  <c r="AF273" i="15" s="1"/>
  <c r="AI271" i="15"/>
  <c r="AH271" i="15" s="1"/>
  <c r="AG271" i="15" s="1"/>
  <c r="AF271" i="15" s="1"/>
  <c r="AI269" i="15"/>
  <c r="AH269" i="15" s="1"/>
  <c r="AG269" i="15" s="1"/>
  <c r="AF269" i="15" s="1"/>
  <c r="AI267" i="15"/>
  <c r="AH267" i="15" s="1"/>
  <c r="AG267" i="15" s="1"/>
  <c r="AF267" i="15" s="1"/>
  <c r="AI265" i="15"/>
  <c r="AH265" i="15" s="1"/>
  <c r="AG265" i="15" s="1"/>
  <c r="AF265" i="15" s="1"/>
  <c r="AI263" i="15"/>
  <c r="AH263" i="15" s="1"/>
  <c r="AG263" i="15" s="1"/>
  <c r="AF263" i="15" s="1"/>
  <c r="AI261" i="15"/>
  <c r="AH261" i="15" s="1"/>
  <c r="AG261" i="15" s="1"/>
  <c r="AF261" i="15" s="1"/>
  <c r="AI259" i="15"/>
  <c r="AH259" i="15" s="1"/>
  <c r="AG259" i="15" s="1"/>
  <c r="AF259" i="15" s="1"/>
  <c r="AI257" i="15"/>
  <c r="AH257" i="15" s="1"/>
  <c r="AG257" i="15" s="1"/>
  <c r="AF257" i="15" s="1"/>
  <c r="AI255" i="15"/>
  <c r="AH255" i="15" s="1"/>
  <c r="AG255" i="15" s="1"/>
  <c r="AF255" i="15" s="1"/>
  <c r="AI253" i="15"/>
  <c r="AH253" i="15" s="1"/>
  <c r="AG253" i="15" s="1"/>
  <c r="AF253" i="15" s="1"/>
  <c r="AI251" i="15"/>
  <c r="AH251" i="15" s="1"/>
  <c r="AG251" i="15" s="1"/>
  <c r="AF251" i="15" s="1"/>
  <c r="AI249" i="15"/>
  <c r="AH249" i="15" s="1"/>
  <c r="AG249" i="15" s="1"/>
  <c r="AF249" i="15" s="1"/>
  <c r="AI247" i="15"/>
  <c r="AH247" i="15" s="1"/>
  <c r="AI245" i="15"/>
  <c r="AH245" i="15" s="1"/>
  <c r="AI243" i="15"/>
  <c r="AH243" i="15" s="1"/>
  <c r="AI241" i="15"/>
  <c r="AH241" i="15" s="1"/>
  <c r="AG241" i="15" s="1"/>
  <c r="AF241" i="15" s="1"/>
  <c r="AI239" i="15"/>
  <c r="AH239" i="15" s="1"/>
  <c r="AG239" i="15" s="1"/>
  <c r="AF239" i="15" s="1"/>
  <c r="AI237" i="15"/>
  <c r="AH237" i="15" s="1"/>
  <c r="AI235" i="15"/>
  <c r="AH235" i="15" s="1"/>
  <c r="AG235" i="15" s="1"/>
  <c r="AF235" i="15" s="1"/>
  <c r="AI233" i="15"/>
  <c r="AH233" i="15" s="1"/>
  <c r="AI231" i="15"/>
  <c r="AH231" i="15" s="1"/>
  <c r="AG231" i="15" s="1"/>
  <c r="AF231" i="15" s="1"/>
  <c r="AI229" i="15"/>
  <c r="AH229" i="15" s="1"/>
  <c r="AI227" i="15"/>
  <c r="AH227" i="15" s="1"/>
  <c r="AG227" i="15" s="1"/>
  <c r="AF227" i="15" s="1"/>
  <c r="AI225" i="15"/>
  <c r="AH225" i="15" s="1"/>
  <c r="AI223" i="15"/>
  <c r="AH223" i="15" s="1"/>
  <c r="AI221" i="15"/>
  <c r="AH221" i="15" s="1"/>
  <c r="AG221" i="15" s="1"/>
  <c r="AF221" i="15" s="1"/>
  <c r="AI219" i="15"/>
  <c r="AH219" i="15" s="1"/>
  <c r="AG219" i="15" s="1"/>
  <c r="AF219" i="15" s="1"/>
  <c r="AI217" i="15"/>
  <c r="AH217" i="15" s="1"/>
  <c r="AG217" i="15" s="1"/>
  <c r="AF217" i="15" s="1"/>
  <c r="AI215" i="15"/>
  <c r="AH215" i="15" s="1"/>
  <c r="AG215" i="15" s="1"/>
  <c r="AF215" i="15" s="1"/>
  <c r="AI213" i="15"/>
  <c r="AH213" i="15" s="1"/>
  <c r="AG213" i="15" s="1"/>
  <c r="AF213" i="15" s="1"/>
  <c r="AI211" i="15"/>
  <c r="AH211" i="15" s="1"/>
  <c r="AG211" i="15" s="1"/>
  <c r="AF211" i="15" s="1"/>
  <c r="AI209" i="15"/>
  <c r="AH209" i="15" s="1"/>
  <c r="AI207" i="15"/>
  <c r="AH207" i="15" s="1"/>
  <c r="AG207" i="15" s="1"/>
  <c r="AF207" i="15" s="1"/>
  <c r="AI205" i="15"/>
  <c r="AH205" i="15" s="1"/>
  <c r="AI203" i="15"/>
  <c r="AH203" i="15" s="1"/>
  <c r="AI201" i="15"/>
  <c r="AH201" i="15" s="1"/>
  <c r="AG201" i="15" s="1"/>
  <c r="AF201" i="15" s="1"/>
  <c r="AI199" i="15"/>
  <c r="AH199" i="15" s="1"/>
  <c r="AG199" i="15" s="1"/>
  <c r="AF199" i="15" s="1"/>
  <c r="AI197" i="15"/>
  <c r="AH197" i="15" s="1"/>
  <c r="AG197" i="15" s="1"/>
  <c r="AF197" i="15" s="1"/>
  <c r="AI195" i="15"/>
  <c r="AH195" i="15" s="1"/>
  <c r="AG195" i="15" s="1"/>
  <c r="AF195" i="15" s="1"/>
  <c r="AI193" i="15"/>
  <c r="AH193" i="15" s="1"/>
  <c r="AI191" i="15"/>
  <c r="AH191" i="15" s="1"/>
  <c r="AI189" i="15"/>
  <c r="AH189" i="15" s="1"/>
  <c r="AG189" i="15" s="1"/>
  <c r="AF189" i="15" s="1"/>
  <c r="AI187" i="15"/>
  <c r="AH187" i="15" s="1"/>
  <c r="AG187" i="15" s="1"/>
  <c r="AF187" i="15" s="1"/>
  <c r="AI185" i="15"/>
  <c r="AH185" i="15" s="1"/>
  <c r="AI183" i="15"/>
  <c r="AH183" i="15" s="1"/>
  <c r="AG183" i="15" s="1"/>
  <c r="AF183" i="15" s="1"/>
  <c r="AI181" i="15"/>
  <c r="AH181" i="15" s="1"/>
  <c r="AI179" i="15"/>
  <c r="AH179" i="15" s="1"/>
  <c r="AI177" i="15"/>
  <c r="AH177" i="15" s="1"/>
  <c r="AG177" i="15" s="1"/>
  <c r="AF177" i="15" s="1"/>
  <c r="AI175" i="15"/>
  <c r="AH175" i="15" s="1"/>
  <c r="AG175" i="15" s="1"/>
  <c r="AF175" i="15" s="1"/>
  <c r="AI173" i="15"/>
  <c r="AI171" i="15"/>
  <c r="AH171" i="15" s="1"/>
  <c r="AG171" i="15" s="1"/>
  <c r="AF171" i="15" s="1"/>
  <c r="AI169" i="15"/>
  <c r="AH169" i="15" s="1"/>
  <c r="AG169" i="15" s="1"/>
  <c r="AF169" i="15" s="1"/>
  <c r="AI167" i="15"/>
  <c r="AH167" i="15" s="1"/>
  <c r="AI165" i="15"/>
  <c r="AH165" i="15" s="1"/>
  <c r="AI163" i="15"/>
  <c r="AH163" i="15" s="1"/>
  <c r="AG163" i="15" s="1"/>
  <c r="AF163" i="15" s="1"/>
  <c r="AI161" i="15"/>
  <c r="AH161" i="15" s="1"/>
  <c r="AG161" i="15" s="1"/>
  <c r="AF161" i="15" s="1"/>
  <c r="AI159" i="15"/>
  <c r="AH159" i="15" s="1"/>
  <c r="AI157" i="15"/>
  <c r="AH157" i="15" s="1"/>
  <c r="AI155" i="15"/>
  <c r="AH155" i="15" s="1"/>
  <c r="AI153" i="15"/>
  <c r="AH153" i="15" s="1"/>
  <c r="AG153" i="15" s="1"/>
  <c r="AF153" i="15" s="1"/>
  <c r="AI151" i="15"/>
  <c r="AH151" i="15" s="1"/>
  <c r="AI149" i="15"/>
  <c r="AH149" i="15" s="1"/>
  <c r="AI147" i="15"/>
  <c r="AH147" i="15" s="1"/>
  <c r="AI145" i="15"/>
  <c r="AH145" i="15" s="1"/>
  <c r="AG145" i="15" s="1"/>
  <c r="AF145" i="15" s="1"/>
  <c r="AI143" i="15"/>
  <c r="AH143" i="15" s="1"/>
  <c r="AG143" i="15" s="1"/>
  <c r="AF143" i="15" s="1"/>
  <c r="AI141" i="15"/>
  <c r="AH141" i="15" s="1"/>
  <c r="AI139" i="15"/>
  <c r="AH139" i="15" s="1"/>
  <c r="AG139" i="15" s="1"/>
  <c r="AF139" i="15" s="1"/>
  <c r="AI137" i="15"/>
  <c r="AH137" i="15" s="1"/>
  <c r="AI135" i="15"/>
  <c r="AH135" i="15" s="1"/>
  <c r="AG135" i="15" s="1"/>
  <c r="AF135" i="15" s="1"/>
  <c r="AI133" i="15"/>
  <c r="AH133" i="15" s="1"/>
  <c r="AI131" i="15"/>
  <c r="AH131" i="15" s="1"/>
  <c r="AI129" i="15"/>
  <c r="AH129" i="15" s="1"/>
  <c r="AG129" i="15" s="1"/>
  <c r="AF129" i="15" s="1"/>
  <c r="AI127" i="15"/>
  <c r="AI125" i="15"/>
  <c r="AH125" i="15" s="1"/>
  <c r="AG125" i="15" s="1"/>
  <c r="AF125" i="15" s="1"/>
  <c r="AI123" i="15"/>
  <c r="AH123" i="15" s="1"/>
  <c r="AG123" i="15" s="1"/>
  <c r="AF123" i="15" s="1"/>
  <c r="AI121" i="15"/>
  <c r="AH121" i="15" s="1"/>
  <c r="AI119" i="15"/>
  <c r="AH119" i="15" s="1"/>
  <c r="AI117" i="15"/>
  <c r="AH117" i="15" s="1"/>
  <c r="AI115" i="15"/>
  <c r="AH115" i="15" s="1"/>
  <c r="AI113" i="15"/>
  <c r="AH113" i="15" s="1"/>
  <c r="AI111" i="15"/>
  <c r="AI109" i="15"/>
  <c r="AH109" i="15" s="1"/>
  <c r="AG109" i="15" s="1"/>
  <c r="AF109" i="15" s="1"/>
  <c r="AI107" i="15"/>
  <c r="AH107" i="15" s="1"/>
  <c r="AI105" i="15"/>
  <c r="AH105" i="15" s="1"/>
  <c r="AG105" i="15" s="1"/>
  <c r="AF105" i="15" s="1"/>
  <c r="AI103" i="15"/>
  <c r="AH103" i="15" s="1"/>
  <c r="AI101" i="15"/>
  <c r="AH101" i="15" s="1"/>
  <c r="AG101" i="15" s="1"/>
  <c r="AF101" i="15" s="1"/>
  <c r="AI99" i="15"/>
  <c r="AH99" i="15" s="1"/>
  <c r="AI97" i="15"/>
  <c r="AH97" i="15" s="1"/>
  <c r="AG97" i="15" s="1"/>
  <c r="AF97" i="15" s="1"/>
  <c r="AI95" i="15"/>
  <c r="AH95" i="15" s="1"/>
  <c r="AI93" i="15"/>
  <c r="AH93" i="15" s="1"/>
  <c r="AI91" i="15"/>
  <c r="AH91" i="15" s="1"/>
  <c r="AI89" i="15"/>
  <c r="AH89" i="15" s="1"/>
  <c r="AG89" i="15" s="1"/>
  <c r="AF89" i="15" s="1"/>
  <c r="AI87" i="15"/>
  <c r="AI85" i="15"/>
  <c r="AH85" i="15" s="1"/>
  <c r="AG85" i="15" s="1"/>
  <c r="AF85" i="15" s="1"/>
  <c r="AI83" i="15"/>
  <c r="AH83" i="15" s="1"/>
  <c r="AI81" i="15"/>
  <c r="AH81" i="15" s="1"/>
  <c r="AI79" i="15"/>
  <c r="AH79" i="15" s="1"/>
  <c r="AI77" i="15"/>
  <c r="AH77" i="15" s="1"/>
  <c r="AG77" i="15" s="1"/>
  <c r="AF77" i="15" s="1"/>
  <c r="AI75" i="15"/>
  <c r="AH75" i="15" s="1"/>
  <c r="AI72" i="15"/>
  <c r="AH72" i="15" s="1"/>
  <c r="AG72" i="15" s="1"/>
  <c r="AF72" i="15" s="1"/>
  <c r="AI68" i="15"/>
  <c r="AH68" i="15" s="1"/>
  <c r="AG68" i="15" s="1"/>
  <c r="AF68" i="15" s="1"/>
  <c r="AI64" i="15"/>
  <c r="AH64" i="15" s="1"/>
  <c r="AG64" i="15" s="1"/>
  <c r="AF64" i="15" s="1"/>
  <c r="AI60" i="15"/>
  <c r="AH60" i="15" s="1"/>
  <c r="AI56" i="15"/>
  <c r="AH56" i="15" s="1"/>
  <c r="AI52" i="15"/>
  <c r="AH52" i="15" s="1"/>
  <c r="AI48" i="15"/>
  <c r="AH48" i="15" s="1"/>
  <c r="AI44" i="15"/>
  <c r="AH44" i="15" s="1"/>
  <c r="AG44" i="15" s="1"/>
  <c r="AF44" i="15" s="1"/>
  <c r="AI40" i="15"/>
  <c r="AH40" i="15" s="1"/>
  <c r="AI36" i="15"/>
  <c r="AH36" i="15" s="1"/>
  <c r="AG36" i="15" s="1"/>
  <c r="AF36" i="15" s="1"/>
  <c r="AI32" i="15"/>
  <c r="AH32" i="15" s="1"/>
  <c r="AI26" i="15"/>
  <c r="AH26" i="15" s="1"/>
  <c r="AI20" i="15"/>
  <c r="AH20" i="15" s="1"/>
  <c r="AG20" i="15" s="1"/>
  <c r="AF20" i="15" s="1"/>
  <c r="AI25" i="15"/>
  <c r="AH25" i="15" s="1"/>
  <c r="AG25" i="15" s="1"/>
  <c r="AF25" i="15" s="1"/>
  <c r="AI15" i="15"/>
  <c r="AH15" i="15" s="1"/>
  <c r="U377" i="15"/>
  <c r="T377" i="15" s="1"/>
  <c r="S377" i="15" s="1"/>
  <c r="R377" i="15" s="1"/>
  <c r="U373" i="15"/>
  <c r="T373" i="15" s="1"/>
  <c r="S373" i="15" s="1"/>
  <c r="R373" i="15" s="1"/>
  <c r="U369" i="15"/>
  <c r="T369" i="15" s="1"/>
  <c r="S369" i="15" s="1"/>
  <c r="R369" i="15" s="1"/>
  <c r="U365" i="15"/>
  <c r="T365" i="15" s="1"/>
  <c r="S365" i="15" s="1"/>
  <c r="R365" i="15" s="1"/>
  <c r="U361" i="15"/>
  <c r="T361" i="15" s="1"/>
  <c r="S361" i="15" s="1"/>
  <c r="R361" i="15" s="1"/>
  <c r="U357" i="15"/>
  <c r="T357" i="15" s="1"/>
  <c r="S357" i="15" s="1"/>
  <c r="R357" i="15" s="1"/>
  <c r="U353" i="15"/>
  <c r="T353" i="15" s="1"/>
  <c r="S353" i="15" s="1"/>
  <c r="R353" i="15" s="1"/>
  <c r="U349" i="15"/>
  <c r="T349" i="15" s="1"/>
  <c r="S349" i="15" s="1"/>
  <c r="R349" i="15" s="1"/>
  <c r="U345" i="15"/>
  <c r="T345" i="15" s="1"/>
  <c r="S345" i="15" s="1"/>
  <c r="R345" i="15" s="1"/>
  <c r="U341" i="15"/>
  <c r="T341" i="15" s="1"/>
  <c r="S341" i="15" s="1"/>
  <c r="R341" i="15" s="1"/>
  <c r="U337" i="15"/>
  <c r="T337" i="15" s="1"/>
  <c r="S337" i="15" s="1"/>
  <c r="R337" i="15" s="1"/>
  <c r="U333" i="15"/>
  <c r="T333" i="15" s="1"/>
  <c r="S333" i="15" s="1"/>
  <c r="R333" i="15" s="1"/>
  <c r="U329" i="15"/>
  <c r="T329" i="15" s="1"/>
  <c r="S329" i="15" s="1"/>
  <c r="R329" i="15" s="1"/>
  <c r="U325" i="15"/>
  <c r="T325" i="15" s="1"/>
  <c r="S325" i="15" s="1"/>
  <c r="R325" i="15" s="1"/>
  <c r="U321" i="15"/>
  <c r="T321" i="15" s="1"/>
  <c r="S321" i="15" s="1"/>
  <c r="R321" i="15" s="1"/>
  <c r="U317" i="15"/>
  <c r="T317" i="15" s="1"/>
  <c r="S317" i="15" s="1"/>
  <c r="R317" i="15" s="1"/>
  <c r="U313" i="15"/>
  <c r="T313" i="15" s="1"/>
  <c r="S313" i="15" s="1"/>
  <c r="R313" i="15" s="1"/>
  <c r="U309" i="15"/>
  <c r="T309" i="15" s="1"/>
  <c r="S309" i="15" s="1"/>
  <c r="R309" i="15" s="1"/>
  <c r="U305" i="15"/>
  <c r="T305" i="15" s="1"/>
  <c r="S305" i="15" s="1"/>
  <c r="R305" i="15" s="1"/>
  <c r="U301" i="15"/>
  <c r="T301" i="15" s="1"/>
  <c r="S301" i="15" s="1"/>
  <c r="R301" i="15" s="1"/>
  <c r="U297" i="15"/>
  <c r="T297" i="15" s="1"/>
  <c r="S297" i="15" s="1"/>
  <c r="R297" i="15" s="1"/>
  <c r="U293" i="15"/>
  <c r="T293" i="15" s="1"/>
  <c r="S293" i="15" s="1"/>
  <c r="R293" i="15" s="1"/>
  <c r="U289" i="15"/>
  <c r="T289" i="15" s="1"/>
  <c r="S289" i="15" s="1"/>
  <c r="R289" i="15" s="1"/>
  <c r="U285" i="15"/>
  <c r="T285" i="15" s="1"/>
  <c r="S285" i="15" s="1"/>
  <c r="R285" i="15" s="1"/>
  <c r="U281" i="15"/>
  <c r="T281" i="15" s="1"/>
  <c r="S281" i="15" s="1"/>
  <c r="R281" i="15" s="1"/>
  <c r="U277" i="15"/>
  <c r="T277" i="15" s="1"/>
  <c r="S277" i="15" s="1"/>
  <c r="R277" i="15" s="1"/>
  <c r="U273" i="15"/>
  <c r="T273" i="15" s="1"/>
  <c r="S273" i="15" s="1"/>
  <c r="R273" i="15" s="1"/>
  <c r="U269" i="15"/>
  <c r="T269" i="15" s="1"/>
  <c r="S269" i="15" s="1"/>
  <c r="R269" i="15" s="1"/>
  <c r="U265" i="15"/>
  <c r="T265" i="15" s="1"/>
  <c r="S265" i="15" s="1"/>
  <c r="R265" i="15" s="1"/>
  <c r="U261" i="15"/>
  <c r="T261" i="15" s="1"/>
  <c r="S261" i="15" s="1"/>
  <c r="R261" i="15" s="1"/>
  <c r="U257" i="15"/>
  <c r="T257" i="15" s="1"/>
  <c r="S257" i="15" s="1"/>
  <c r="R257" i="15" s="1"/>
  <c r="U253" i="15"/>
  <c r="T253" i="15" s="1"/>
  <c r="S253" i="15" s="1"/>
  <c r="R253" i="15" s="1"/>
  <c r="U249" i="15"/>
  <c r="T249" i="15" s="1"/>
  <c r="S249" i="15" s="1"/>
  <c r="R249" i="15" s="1"/>
  <c r="U245" i="15"/>
  <c r="T245" i="15" s="1"/>
  <c r="S245" i="15" s="1"/>
  <c r="R245" i="15" s="1"/>
  <c r="U241" i="15"/>
  <c r="T241" i="15" s="1"/>
  <c r="S241" i="15" s="1"/>
  <c r="R241" i="15" s="1"/>
  <c r="U237" i="15"/>
  <c r="T237" i="15" s="1"/>
  <c r="S237" i="15" s="1"/>
  <c r="R237" i="15" s="1"/>
  <c r="U233" i="15"/>
  <c r="T233" i="15" s="1"/>
  <c r="S233" i="15" s="1"/>
  <c r="R233" i="15" s="1"/>
  <c r="U229" i="15"/>
  <c r="T229" i="15" s="1"/>
  <c r="S229" i="15" s="1"/>
  <c r="R229" i="15" s="1"/>
  <c r="U225" i="15"/>
  <c r="T225" i="15" s="1"/>
  <c r="S225" i="15" s="1"/>
  <c r="R225" i="15" s="1"/>
  <c r="U221" i="15"/>
  <c r="T221" i="15" s="1"/>
  <c r="S221" i="15" s="1"/>
  <c r="R221" i="15" s="1"/>
  <c r="U217" i="15"/>
  <c r="T217" i="15" s="1"/>
  <c r="S217" i="15" s="1"/>
  <c r="R217" i="15" s="1"/>
  <c r="U213" i="15"/>
  <c r="T213" i="15" s="1"/>
  <c r="S213" i="15" s="1"/>
  <c r="R213" i="15" s="1"/>
  <c r="U209" i="15"/>
  <c r="T209" i="15" s="1"/>
  <c r="S209" i="15" s="1"/>
  <c r="R209" i="15" s="1"/>
  <c r="U205" i="15"/>
  <c r="T205" i="15" s="1"/>
  <c r="S205" i="15" s="1"/>
  <c r="R205" i="15" s="1"/>
  <c r="U201" i="15"/>
  <c r="T201" i="15" s="1"/>
  <c r="S201" i="15" s="1"/>
  <c r="R201" i="15" s="1"/>
  <c r="U197" i="15"/>
  <c r="T197" i="15" s="1"/>
  <c r="S197" i="15" s="1"/>
  <c r="R197" i="15" s="1"/>
  <c r="U193" i="15"/>
  <c r="T193" i="15" s="1"/>
  <c r="S193" i="15" s="1"/>
  <c r="R193" i="15" s="1"/>
  <c r="U189" i="15"/>
  <c r="T189" i="15" s="1"/>
  <c r="S189" i="15" s="1"/>
  <c r="R189" i="15" s="1"/>
  <c r="U185" i="15"/>
  <c r="T185" i="15" s="1"/>
  <c r="S185" i="15" s="1"/>
  <c r="R185" i="15" s="1"/>
  <c r="U178" i="15"/>
  <c r="T178" i="15" s="1"/>
  <c r="S178" i="15" s="1"/>
  <c r="R178" i="15" s="1"/>
  <c r="U170" i="15"/>
  <c r="T170" i="15" s="1"/>
  <c r="S170" i="15" s="1"/>
  <c r="R170" i="15" s="1"/>
  <c r="U162" i="15"/>
  <c r="T162" i="15" s="1"/>
  <c r="S162" i="15" s="1"/>
  <c r="R162" i="15" s="1"/>
  <c r="U154" i="15"/>
  <c r="T154" i="15" s="1"/>
  <c r="S154" i="15" s="1"/>
  <c r="R154" i="15" s="1"/>
  <c r="U146" i="15"/>
  <c r="T146" i="15" s="1"/>
  <c r="S146" i="15" s="1"/>
  <c r="R146" i="15" s="1"/>
  <c r="U138" i="15"/>
  <c r="T138" i="15" s="1"/>
  <c r="S138" i="15" s="1"/>
  <c r="R138" i="15" s="1"/>
  <c r="U130" i="15"/>
  <c r="T130" i="15" s="1"/>
  <c r="S130" i="15" s="1"/>
  <c r="R130" i="15" s="1"/>
  <c r="U122" i="15"/>
  <c r="T122" i="15" s="1"/>
  <c r="S122" i="15" s="1"/>
  <c r="R122" i="15" s="1"/>
  <c r="U114" i="15"/>
  <c r="T114" i="15" s="1"/>
  <c r="S114" i="15" s="1"/>
  <c r="R114" i="15" s="1"/>
  <c r="U106" i="15"/>
  <c r="T106" i="15" s="1"/>
  <c r="S106" i="15" s="1"/>
  <c r="R106" i="15" s="1"/>
  <c r="U98" i="15"/>
  <c r="T98" i="15" s="1"/>
  <c r="S98" i="15" s="1"/>
  <c r="R98" i="15" s="1"/>
  <c r="U90" i="15"/>
  <c r="T90" i="15" s="1"/>
  <c r="S90" i="15" s="1"/>
  <c r="R90" i="15" s="1"/>
  <c r="U82" i="15"/>
  <c r="T82" i="15" s="1"/>
  <c r="S82" i="15" s="1"/>
  <c r="R82" i="15" s="1"/>
  <c r="U74" i="15"/>
  <c r="T74" i="15" s="1"/>
  <c r="S74" i="15" s="1"/>
  <c r="R74" i="15" s="1"/>
  <c r="U66" i="15"/>
  <c r="T66" i="15" s="1"/>
  <c r="S66" i="15" s="1"/>
  <c r="R66" i="15" s="1"/>
  <c r="U58" i="15"/>
  <c r="T58" i="15" s="1"/>
  <c r="S58" i="15" s="1"/>
  <c r="R58" i="15" s="1"/>
  <c r="U50" i="15"/>
  <c r="T50" i="15" s="1"/>
  <c r="S50" i="15" s="1"/>
  <c r="R50" i="15" s="1"/>
  <c r="U42" i="15"/>
  <c r="T42" i="15" s="1"/>
  <c r="S42" i="15" s="1"/>
  <c r="R42" i="15" s="1"/>
  <c r="U34" i="15"/>
  <c r="T34" i="15" s="1"/>
  <c r="S34" i="15" s="1"/>
  <c r="R34" i="15" s="1"/>
  <c r="U26" i="15"/>
  <c r="T26" i="15" s="1"/>
  <c r="S26" i="15" s="1"/>
  <c r="R26" i="15" s="1"/>
  <c r="U22" i="15"/>
  <c r="T22" i="15" s="1"/>
  <c r="S22" i="15" s="1"/>
  <c r="R22" i="15" s="1"/>
  <c r="Q379" i="15"/>
  <c r="Q371" i="15"/>
  <c r="P371" i="15" s="1"/>
  <c r="V371" i="15" s="1"/>
  <c r="F371" i="15" s="1"/>
  <c r="Q363" i="15"/>
  <c r="Q355" i="15"/>
  <c r="P355" i="15" s="1"/>
  <c r="V355" i="15" s="1"/>
  <c r="F355" i="15" s="1"/>
  <c r="Q347" i="15"/>
  <c r="Q339" i="15"/>
  <c r="P339" i="15" s="1"/>
  <c r="V339" i="15" s="1"/>
  <c r="F339" i="15" s="1"/>
  <c r="Q331" i="15"/>
  <c r="Q323" i="15"/>
  <c r="P323" i="15" s="1"/>
  <c r="V323" i="15" s="1"/>
  <c r="F323" i="15" s="1"/>
  <c r="Q315" i="15"/>
  <c r="Q299" i="15"/>
  <c r="Q283" i="15"/>
  <c r="Q267" i="15"/>
  <c r="Q251" i="15"/>
  <c r="Q235" i="15"/>
  <c r="Q219" i="15"/>
  <c r="Q203" i="15"/>
  <c r="Q187" i="15"/>
  <c r="Q171" i="15"/>
  <c r="Q155" i="15"/>
  <c r="Q139" i="15"/>
  <c r="P139" i="15" s="1"/>
  <c r="V139" i="15" s="1"/>
  <c r="F139" i="15" s="1"/>
  <c r="Q123" i="15"/>
  <c r="Q107" i="15"/>
  <c r="P107" i="15" s="1"/>
  <c r="V107" i="15" s="1"/>
  <c r="F107" i="15" s="1"/>
  <c r="Q91" i="15"/>
  <c r="Q69" i="15"/>
  <c r="Q311" i="15"/>
  <c r="Q303" i="15"/>
  <c r="P303" i="15" s="1"/>
  <c r="V303" i="15" s="1"/>
  <c r="F303" i="15" s="1"/>
  <c r="Q295" i="15"/>
  <c r="Q287" i="15"/>
  <c r="Q279" i="15"/>
  <c r="P279" i="15" s="1"/>
  <c r="V279" i="15" s="1"/>
  <c r="F279" i="15" s="1"/>
  <c r="Q271" i="15"/>
  <c r="Q263" i="15"/>
  <c r="Q255" i="15"/>
  <c r="Q247" i="15"/>
  <c r="Q239" i="15"/>
  <c r="P239" i="15" s="1"/>
  <c r="V239" i="15" s="1"/>
  <c r="F239" i="15" s="1"/>
  <c r="Q231" i="15"/>
  <c r="Q223" i="15"/>
  <c r="Q215" i="15"/>
  <c r="P215" i="15" s="1"/>
  <c r="V215" i="15" s="1"/>
  <c r="F215" i="15" s="1"/>
  <c r="Q207" i="15"/>
  <c r="Q199" i="15"/>
  <c r="P199" i="15" s="1"/>
  <c r="V199" i="15" s="1"/>
  <c r="F199" i="15" s="1"/>
  <c r="Q191" i="15"/>
  <c r="Q183" i="15"/>
  <c r="Q175" i="15"/>
  <c r="P175" i="15" s="1"/>
  <c r="V175" i="15" s="1"/>
  <c r="F175" i="15" s="1"/>
  <c r="Q167" i="15"/>
  <c r="Q159" i="15"/>
  <c r="P159" i="15" s="1"/>
  <c r="V159" i="15" s="1"/>
  <c r="F159" i="15" s="1"/>
  <c r="Q151" i="15"/>
  <c r="Q143" i="15"/>
  <c r="Q135" i="15"/>
  <c r="Q127" i="15"/>
  <c r="P127" i="15" s="1"/>
  <c r="V127" i="15" s="1"/>
  <c r="F127" i="15" s="1"/>
  <c r="Q119" i="15"/>
  <c r="Q111" i="15"/>
  <c r="P111" i="15" s="1"/>
  <c r="V111" i="15" s="1"/>
  <c r="F111" i="15" s="1"/>
  <c r="Q103" i="15"/>
  <c r="Q95" i="15"/>
  <c r="Q87" i="15"/>
  <c r="Q77" i="15"/>
  <c r="Q53" i="15"/>
  <c r="P53" i="15" s="1"/>
  <c r="V53" i="15" s="1"/>
  <c r="F53" i="15" s="1"/>
  <c r="Q377" i="15"/>
  <c r="Q373" i="15"/>
  <c r="Q369" i="15"/>
  <c r="Q365" i="15"/>
  <c r="Q361" i="15"/>
  <c r="Q357" i="15"/>
  <c r="Q353" i="15"/>
  <c r="Q349" i="15"/>
  <c r="Q345" i="15"/>
  <c r="Q341" i="15"/>
  <c r="Q337" i="15"/>
  <c r="Q333" i="15"/>
  <c r="Q329" i="15"/>
  <c r="Q325" i="15"/>
  <c r="Q321" i="15"/>
  <c r="Q317" i="15"/>
  <c r="Q313" i="15"/>
  <c r="Q309" i="15"/>
  <c r="Q305" i="15"/>
  <c r="Q301" i="15"/>
  <c r="Q297" i="15"/>
  <c r="Q293" i="15"/>
  <c r="Q289" i="15"/>
  <c r="Q285" i="15"/>
  <c r="Q281" i="15"/>
  <c r="Q277" i="15"/>
  <c r="Q273" i="15"/>
  <c r="Q269" i="15"/>
  <c r="Q265" i="15"/>
  <c r="Q261" i="15"/>
  <c r="Q257" i="15"/>
  <c r="Q253" i="15"/>
  <c r="Q249" i="15"/>
  <c r="Q245" i="15"/>
  <c r="Q241" i="15"/>
  <c r="Q237" i="15"/>
  <c r="Q233" i="15"/>
  <c r="Q229" i="15"/>
  <c r="Q225" i="15"/>
  <c r="Q221" i="15"/>
  <c r="Q217" i="15"/>
  <c r="Q213" i="15"/>
  <c r="Q209" i="15"/>
  <c r="Q205" i="15"/>
  <c r="Q201" i="15"/>
  <c r="Q197" i="15"/>
  <c r="Q193" i="15"/>
  <c r="Q189" i="15"/>
  <c r="Q185" i="15"/>
  <c r="Q181" i="15"/>
  <c r="P181" i="15" s="1"/>
  <c r="V181" i="15" s="1"/>
  <c r="F181" i="15" s="1"/>
  <c r="Q177" i="15"/>
  <c r="Q173" i="15"/>
  <c r="P173" i="15" s="1"/>
  <c r="V173" i="15" s="1"/>
  <c r="F173" i="15" s="1"/>
  <c r="Q169" i="15"/>
  <c r="Q165" i="15"/>
  <c r="Q161" i="15"/>
  <c r="Q157" i="15"/>
  <c r="P157" i="15" s="1"/>
  <c r="V157" i="15" s="1"/>
  <c r="F157" i="15" s="1"/>
  <c r="Q153" i="15"/>
  <c r="Q149" i="15"/>
  <c r="P149" i="15" s="1"/>
  <c r="Q145" i="15"/>
  <c r="Q141" i="15"/>
  <c r="P141" i="15" s="1"/>
  <c r="V141" i="15" s="1"/>
  <c r="F141" i="15" s="1"/>
  <c r="Q137" i="15"/>
  <c r="Q133" i="15"/>
  <c r="P133" i="15" s="1"/>
  <c r="V133" i="15" s="1"/>
  <c r="F133" i="15" s="1"/>
  <c r="Q129" i="15"/>
  <c r="Q125" i="15"/>
  <c r="P125" i="15" s="1"/>
  <c r="V125" i="15" s="1"/>
  <c r="F125" i="15" s="1"/>
  <c r="Q121" i="15"/>
  <c r="Q117" i="15"/>
  <c r="P117" i="15" s="1"/>
  <c r="V117" i="15" s="1"/>
  <c r="F117" i="15" s="1"/>
  <c r="Q113" i="15"/>
  <c r="Q109" i="15"/>
  <c r="P109" i="15" s="1"/>
  <c r="V109" i="15" s="1"/>
  <c r="F109" i="15" s="1"/>
  <c r="Q105" i="15"/>
  <c r="Q101" i="15"/>
  <c r="Q97" i="15"/>
  <c r="Q93" i="15"/>
  <c r="P93" i="15" s="1"/>
  <c r="V93" i="15" s="1"/>
  <c r="F93" i="15" s="1"/>
  <c r="Q89" i="15"/>
  <c r="Q85" i="15"/>
  <c r="Q81" i="15"/>
  <c r="Q73" i="15"/>
  <c r="Q65" i="15"/>
  <c r="Q29" i="15"/>
  <c r="Q380" i="15"/>
  <c r="AE380" i="15"/>
  <c r="AI380" i="15"/>
  <c r="U380" i="15"/>
  <c r="T380" i="15" s="1"/>
  <c r="Q79" i="15"/>
  <c r="Q75" i="15"/>
  <c r="Q71" i="15"/>
  <c r="Q67" i="15"/>
  <c r="Q61" i="15"/>
  <c r="Q45" i="15"/>
  <c r="Q19" i="15"/>
  <c r="Q25" i="15"/>
  <c r="Q33" i="15"/>
  <c r="Q41" i="15"/>
  <c r="Q49" i="15"/>
  <c r="Q57" i="15"/>
  <c r="Q63" i="15"/>
  <c r="Q66" i="15"/>
  <c r="Q68" i="15"/>
  <c r="Q70" i="15"/>
  <c r="P70" i="15" s="1"/>
  <c r="V70" i="15" s="1"/>
  <c r="F70" i="15" s="1"/>
  <c r="Q72" i="15"/>
  <c r="Q74" i="15"/>
  <c r="Q76" i="15"/>
  <c r="Q78" i="15"/>
  <c r="Q80" i="15"/>
  <c r="Q82" i="15"/>
  <c r="Q84" i="15"/>
  <c r="Q86" i="15"/>
  <c r="Q88" i="15"/>
  <c r="Q90" i="15"/>
  <c r="Q92" i="15"/>
  <c r="Q94" i="15"/>
  <c r="Q96" i="15"/>
  <c r="Q98" i="15"/>
  <c r="Q100" i="15"/>
  <c r="Q102" i="15"/>
  <c r="Q104" i="15"/>
  <c r="Q106" i="15"/>
  <c r="Q108" i="15"/>
  <c r="Q110" i="15"/>
  <c r="Q112" i="15"/>
  <c r="Q114" i="15"/>
  <c r="Q116" i="15"/>
  <c r="Q118" i="15"/>
  <c r="P118" i="15" s="1"/>
  <c r="V118" i="15" s="1"/>
  <c r="F118" i="15" s="1"/>
  <c r="Q120" i="15"/>
  <c r="Q122" i="15"/>
  <c r="Q124" i="15"/>
  <c r="Q126" i="15"/>
  <c r="Q128" i="15"/>
  <c r="Q130" i="15"/>
  <c r="Q132" i="15"/>
  <c r="Q134" i="15"/>
  <c r="Q136" i="15"/>
  <c r="Q138" i="15"/>
  <c r="Q140" i="15"/>
  <c r="Q142" i="15"/>
  <c r="Q144" i="15"/>
  <c r="Q146" i="15"/>
  <c r="Q148" i="15"/>
  <c r="Q150" i="15"/>
  <c r="Q152" i="15"/>
  <c r="Q154" i="15"/>
  <c r="Q156" i="15"/>
  <c r="Q158" i="15"/>
  <c r="Q160" i="15"/>
  <c r="Q162" i="15"/>
  <c r="Q164" i="15"/>
  <c r="Q166" i="15"/>
  <c r="Q168" i="15"/>
  <c r="Q170" i="15"/>
  <c r="Q172" i="15"/>
  <c r="Q174" i="15"/>
  <c r="Q176" i="15"/>
  <c r="Q178" i="15"/>
  <c r="Q180" i="15"/>
  <c r="Q182" i="15"/>
  <c r="Q184" i="15"/>
  <c r="Q186" i="15"/>
  <c r="Q188" i="15"/>
  <c r="Q190" i="15"/>
  <c r="Q192" i="15"/>
  <c r="Q194" i="15"/>
  <c r="Q196" i="15"/>
  <c r="Q198" i="15"/>
  <c r="Q200" i="15"/>
  <c r="Q202" i="15"/>
  <c r="Q204" i="15"/>
  <c r="Q206" i="15"/>
  <c r="Q208" i="15"/>
  <c r="Q210" i="15"/>
  <c r="Q212" i="15"/>
  <c r="Q214" i="15"/>
  <c r="Q216" i="15"/>
  <c r="Q218" i="15"/>
  <c r="Q220" i="15"/>
  <c r="Q222" i="15"/>
  <c r="Q224" i="15"/>
  <c r="Q226" i="15"/>
  <c r="Q228" i="15"/>
  <c r="Q230" i="15"/>
  <c r="Q232" i="15"/>
  <c r="Q234" i="15"/>
  <c r="Q236" i="15"/>
  <c r="Q238" i="15"/>
  <c r="Q240" i="15"/>
  <c r="Q242" i="15"/>
  <c r="Q244" i="15"/>
  <c r="Q246" i="15"/>
  <c r="Q248" i="15"/>
  <c r="Q250" i="15"/>
  <c r="Q252" i="15"/>
  <c r="Q254" i="15"/>
  <c r="Q256" i="15"/>
  <c r="Q258" i="15"/>
  <c r="Q260" i="15"/>
  <c r="Q262" i="15"/>
  <c r="Q264" i="15"/>
  <c r="Q266" i="15"/>
  <c r="Q268" i="15"/>
  <c r="Q270" i="15"/>
  <c r="Q272" i="15"/>
  <c r="Q274" i="15"/>
  <c r="Q276" i="15"/>
  <c r="Q278" i="15"/>
  <c r="Q280" i="15"/>
  <c r="Q282" i="15"/>
  <c r="Q284" i="15"/>
  <c r="Q286" i="15"/>
  <c r="Q288" i="15"/>
  <c r="Q290" i="15"/>
  <c r="Q292" i="15"/>
  <c r="Q294" i="15"/>
  <c r="Q296" i="15"/>
  <c r="Q298" i="15"/>
  <c r="Q300" i="15"/>
  <c r="Q302" i="15"/>
  <c r="Q304" i="15"/>
  <c r="Q306" i="15"/>
  <c r="Q308" i="15"/>
  <c r="Q310" i="15"/>
  <c r="Q312" i="15"/>
  <c r="Q314" i="15"/>
  <c r="Q316" i="15"/>
  <c r="Q318" i="15"/>
  <c r="Q320" i="15"/>
  <c r="Q322" i="15"/>
  <c r="Q324" i="15"/>
  <c r="Q326" i="15"/>
  <c r="Q328" i="15"/>
  <c r="Q330" i="15"/>
  <c r="Q332" i="15"/>
  <c r="Q334" i="15"/>
  <c r="Q336" i="15"/>
  <c r="Q338" i="15"/>
  <c r="Q340" i="15"/>
  <c r="Q342" i="15"/>
  <c r="Q344" i="15"/>
  <c r="Q346" i="15"/>
  <c r="Q348" i="15"/>
  <c r="Q350" i="15"/>
  <c r="Q352" i="15"/>
  <c r="Q354" i="15"/>
  <c r="Q356" i="15"/>
  <c r="Q358" i="15"/>
  <c r="Q360" i="15"/>
  <c r="Q362" i="15"/>
  <c r="Q364" i="15"/>
  <c r="Q366" i="15"/>
  <c r="Q368" i="15"/>
  <c r="Q370" i="15"/>
  <c r="Q372" i="15"/>
  <c r="Q374" i="15"/>
  <c r="Q376" i="15"/>
  <c r="Q378" i="15"/>
  <c r="AK3" i="15"/>
  <c r="Q12" i="19" s="1"/>
  <c r="D382" i="15"/>
  <c r="D9" i="15"/>
  <c r="D11" i="15" s="1"/>
  <c r="E36" i="19" s="1"/>
  <c r="E379" i="15"/>
  <c r="D381" i="15"/>
  <c r="D383" i="15"/>
  <c r="AJ8" i="15"/>
  <c r="Q59" i="15"/>
  <c r="Q55" i="15"/>
  <c r="Q51" i="15"/>
  <c r="Q47" i="15"/>
  <c r="Q43" i="15"/>
  <c r="Q39" i="15"/>
  <c r="Q35" i="15"/>
  <c r="Q31" i="15"/>
  <c r="Q27" i="15"/>
  <c r="AC382" i="17"/>
  <c r="AC383" i="17"/>
  <c r="AC381" i="17"/>
  <c r="R379" i="1"/>
  <c r="S381" i="1"/>
  <c r="S382" i="1"/>
  <c r="S383" i="1"/>
  <c r="AK380" i="16"/>
  <c r="K380" i="16"/>
  <c r="AJ380" i="16"/>
  <c r="AG378" i="15"/>
  <c r="AF378" i="15" s="1"/>
  <c r="AH372" i="15"/>
  <c r="AH370" i="15"/>
  <c r="AH364" i="15"/>
  <c r="AG356" i="15"/>
  <c r="AF356" i="15" s="1"/>
  <c r="AH346" i="15"/>
  <c r="AG340" i="15"/>
  <c r="AF340" i="15" s="1"/>
  <c r="AH338" i="15"/>
  <c r="AH332" i="15"/>
  <c r="AH314" i="15"/>
  <c r="AH306" i="15"/>
  <c r="AH300" i="15"/>
  <c r="AH292" i="15"/>
  <c r="AG282" i="15"/>
  <c r="AF282" i="15" s="1"/>
  <c r="AH276" i="15"/>
  <c r="AH274" i="15"/>
  <c r="AH268" i="15"/>
  <c r="AH250" i="15"/>
  <c r="AG244" i="15"/>
  <c r="AF244" i="15" s="1"/>
  <c r="AH242" i="15"/>
  <c r="AG230" i="15"/>
  <c r="AF230" i="15" s="1"/>
  <c r="AH214" i="15"/>
  <c r="AH194" i="15"/>
  <c r="AG182" i="15"/>
  <c r="AF182" i="15" s="1"/>
  <c r="AH178" i="15"/>
  <c r="AG166" i="15"/>
  <c r="AF166" i="15" s="1"/>
  <c r="AG130" i="15"/>
  <c r="AF130" i="15" s="1"/>
  <c r="AH114" i="15"/>
  <c r="AG102" i="15"/>
  <c r="AF102" i="15" s="1"/>
  <c r="AH86" i="15"/>
  <c r="AG34" i="15"/>
  <c r="AF34" i="15" s="1"/>
  <c r="AB378" i="20"/>
  <c r="X378" i="20"/>
  <c r="AK378" i="20"/>
  <c r="K378" i="20"/>
  <c r="A379" i="20"/>
  <c r="A380" i="20" s="1"/>
  <c r="L378" i="20"/>
  <c r="AJ378" i="20"/>
  <c r="O378" i="20"/>
  <c r="AC378" i="20"/>
  <c r="AM5" i="17"/>
  <c r="AK5" i="17"/>
  <c r="AK7" i="17"/>
  <c r="AK11" i="17" s="1"/>
  <c r="AM9" i="17"/>
  <c r="AK9" i="17"/>
  <c r="AM7" i="17"/>
  <c r="AM11" i="17" s="1"/>
  <c r="L382" i="17"/>
  <c r="L381" i="17"/>
  <c r="L383" i="17"/>
  <c r="S231" i="15"/>
  <c r="R231" i="15" s="1"/>
  <c r="K15" i="7"/>
  <c r="AE28" i="15"/>
  <c r="AE21" i="15"/>
  <c r="AE24" i="15"/>
  <c r="AE15" i="15"/>
  <c r="AE20" i="15"/>
  <c r="AE16" i="15"/>
  <c r="AE26" i="15"/>
  <c r="AE27" i="15"/>
  <c r="AE22" i="15"/>
  <c r="AE17" i="15"/>
  <c r="AE19" i="15"/>
  <c r="AE23" i="15"/>
  <c r="AE18" i="15"/>
  <c r="AE25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12" i="16" s="1"/>
  <c r="Q18" i="15"/>
  <c r="Q15" i="15"/>
  <c r="Q20" i="15"/>
  <c r="Q17" i="15"/>
  <c r="A377" i="23"/>
  <c r="AB376" i="23"/>
  <c r="AJ376" i="23"/>
  <c r="X376" i="23"/>
  <c r="K376" i="23"/>
  <c r="L376" i="23"/>
  <c r="AK376" i="23"/>
  <c r="O376" i="23"/>
  <c r="AC376" i="23"/>
  <c r="X374" i="25"/>
  <c r="AB374" i="25"/>
  <c r="AJ374" i="25"/>
  <c r="AK374" i="25"/>
  <c r="A375" i="25"/>
  <c r="L374" i="25"/>
  <c r="K374" i="25"/>
  <c r="O374" i="25"/>
  <c r="AC374" i="25"/>
  <c r="AG365" i="15"/>
  <c r="AF365" i="15" s="1"/>
  <c r="AG301" i="15"/>
  <c r="AF301" i="15" s="1"/>
  <c r="AG237" i="15"/>
  <c r="AF237" i="15" s="1"/>
  <c r="AH173" i="15"/>
  <c r="AH127" i="15"/>
  <c r="AG119" i="15"/>
  <c r="AF119" i="15" s="1"/>
  <c r="AH111" i="15"/>
  <c r="AG103" i="15"/>
  <c r="AF103" i="15" s="1"/>
  <c r="AG95" i="15"/>
  <c r="AF95" i="15" s="1"/>
  <c r="AH87" i="15"/>
  <c r="AG79" i="15"/>
  <c r="AF79" i="15" s="1"/>
  <c r="AG71" i="15"/>
  <c r="AF71" i="15" s="1"/>
  <c r="AH63" i="15"/>
  <c r="AH55" i="15"/>
  <c r="AG47" i="15"/>
  <c r="AF47" i="15" s="1"/>
  <c r="AH39" i="15"/>
  <c r="AG31" i="15"/>
  <c r="AF31" i="15" s="1"/>
  <c r="AH17" i="15"/>
  <c r="AG22" i="15"/>
  <c r="AF22" i="15" s="1"/>
  <c r="AB375" i="24"/>
  <c r="K375" i="24"/>
  <c r="L375" i="24"/>
  <c r="A376" i="24"/>
  <c r="X375" i="24"/>
  <c r="AJ375" i="24"/>
  <c r="AK375" i="24"/>
  <c r="O375" i="24"/>
  <c r="AC375" i="24"/>
  <c r="AB379" i="18"/>
  <c r="AJ379" i="18"/>
  <c r="L379" i="18"/>
  <c r="B39" i="19" s="1"/>
  <c r="AK379" i="18"/>
  <c r="K379" i="18"/>
  <c r="X379" i="18"/>
  <c r="O379" i="18"/>
  <c r="C39" i="19" s="1"/>
  <c r="AC379" i="18"/>
  <c r="O381" i="17"/>
  <c r="O383" i="17"/>
  <c r="O382" i="17"/>
  <c r="AB377" i="22"/>
  <c r="X377" i="22"/>
  <c r="L377" i="22"/>
  <c r="AK377" i="22"/>
  <c r="A378" i="22"/>
  <c r="K377" i="22"/>
  <c r="AJ377" i="22"/>
  <c r="O377" i="22"/>
  <c r="AC377" i="22"/>
  <c r="S326" i="15"/>
  <c r="R326" i="15" s="1"/>
  <c r="S298" i="15"/>
  <c r="R298" i="15" s="1"/>
  <c r="S284" i="15"/>
  <c r="R284" i="15" s="1"/>
  <c r="S150" i="15"/>
  <c r="R150" i="15" s="1"/>
  <c r="S134" i="15"/>
  <c r="R134" i="15" s="1"/>
  <c r="S56" i="15"/>
  <c r="R56" i="15" s="1"/>
  <c r="S19" i="15"/>
  <c r="R19" i="15" s="1"/>
  <c r="T15" i="15"/>
  <c r="Q64" i="15"/>
  <c r="Q62" i="15"/>
  <c r="Q60" i="15"/>
  <c r="Q58" i="15"/>
  <c r="Q56" i="15"/>
  <c r="Q54" i="15"/>
  <c r="Q52" i="15"/>
  <c r="Q50" i="15"/>
  <c r="Q48" i="15"/>
  <c r="Q46" i="15"/>
  <c r="Q44" i="15"/>
  <c r="Q42" i="15"/>
  <c r="Q40" i="15"/>
  <c r="Q38" i="15"/>
  <c r="P38" i="15" s="1"/>
  <c r="Q36" i="15"/>
  <c r="Q34" i="15"/>
  <c r="Q32" i="15"/>
  <c r="Q30" i="15"/>
  <c r="Q28" i="15"/>
  <c r="Q26" i="15"/>
  <c r="Q16" i="15"/>
  <c r="Q22" i="15"/>
  <c r="Q23" i="15"/>
  <c r="Q24" i="15"/>
  <c r="Q21" i="15"/>
  <c r="AK8" i="1"/>
  <c r="E383" i="1"/>
  <c r="E9" i="1"/>
  <c r="AJ10" i="1"/>
  <c r="AJ12" i="1" s="1"/>
  <c r="E382" i="1"/>
  <c r="E381" i="1"/>
  <c r="P295" i="15" l="1"/>
  <c r="V295" i="15" s="1"/>
  <c r="F295" i="15" s="1"/>
  <c r="P100" i="15"/>
  <c r="V100" i="15" s="1"/>
  <c r="F100" i="15" s="1"/>
  <c r="H100" i="15" s="1"/>
  <c r="P23" i="15"/>
  <c r="P16" i="15"/>
  <c r="V16" i="15" s="1"/>
  <c r="F16" i="15" s="1"/>
  <c r="P36" i="15"/>
  <c r="P44" i="15"/>
  <c r="V44" i="15" s="1"/>
  <c r="F44" i="15" s="1"/>
  <c r="P52" i="15"/>
  <c r="V52" i="15" s="1"/>
  <c r="F52" i="15" s="1"/>
  <c r="P60" i="15"/>
  <c r="D33" i="7" s="1"/>
  <c r="P19" i="15"/>
  <c r="V19" i="15" s="1"/>
  <c r="F19" i="15" s="1"/>
  <c r="G19" i="15" s="1"/>
  <c r="BX19" i="6" s="1"/>
  <c r="P143" i="15"/>
  <c r="V143" i="15" s="1"/>
  <c r="F143" i="15" s="1"/>
  <c r="G143" i="15" s="1"/>
  <c r="BX143" i="6" s="1"/>
  <c r="P207" i="15"/>
  <c r="V207" i="15" s="1"/>
  <c r="F207" i="15" s="1"/>
  <c r="G207" i="15" s="1"/>
  <c r="BX207" i="6" s="1"/>
  <c r="P46" i="15"/>
  <c r="V46" i="15" s="1"/>
  <c r="F46" i="15" s="1"/>
  <c r="P54" i="15"/>
  <c r="V54" i="15" s="1"/>
  <c r="F54" i="15" s="1"/>
  <c r="P284" i="15"/>
  <c r="V284" i="15" s="1"/>
  <c r="F284" i="15" s="1"/>
  <c r="H284" i="15" s="1"/>
  <c r="P296" i="15"/>
  <c r="V296" i="15" s="1"/>
  <c r="F296" i="15" s="1"/>
  <c r="G296" i="15" s="1"/>
  <c r="BX296" i="6" s="1"/>
  <c r="P316" i="15"/>
  <c r="V316" i="15" s="1"/>
  <c r="F316" i="15" s="1"/>
  <c r="H316" i="15" s="1"/>
  <c r="P324" i="15"/>
  <c r="P20" i="15"/>
  <c r="V20" i="15" s="1"/>
  <c r="F20" i="15" s="1"/>
  <c r="P18" i="15"/>
  <c r="P27" i="15"/>
  <c r="V27" i="15" s="1"/>
  <c r="F27" i="15" s="1"/>
  <c r="G27" i="15" s="1"/>
  <c r="BX27" i="6" s="1"/>
  <c r="P43" i="15"/>
  <c r="V43" i="15" s="1"/>
  <c r="F43" i="15" s="1"/>
  <c r="G43" i="15" s="1"/>
  <c r="BX43" i="6" s="1"/>
  <c r="P59" i="15"/>
  <c r="V59" i="15" s="1"/>
  <c r="F59" i="15" s="1"/>
  <c r="P378" i="15"/>
  <c r="V378" i="15" s="1"/>
  <c r="F378" i="15" s="1"/>
  <c r="G378" i="15" s="1"/>
  <c r="BX378" i="6" s="1"/>
  <c r="P374" i="15"/>
  <c r="V374" i="15" s="1"/>
  <c r="F374" i="15" s="1"/>
  <c r="G374" i="15" s="1"/>
  <c r="BX374" i="6" s="1"/>
  <c r="P366" i="15"/>
  <c r="V366" i="15" s="1"/>
  <c r="F366" i="15" s="1"/>
  <c r="G366" i="15" s="1"/>
  <c r="BX366" i="6" s="1"/>
  <c r="P354" i="15"/>
  <c r="V354" i="15" s="1"/>
  <c r="F354" i="15" s="1"/>
  <c r="G354" i="15" s="1"/>
  <c r="BX354" i="6" s="1"/>
  <c r="P350" i="15"/>
  <c r="V350" i="15" s="1"/>
  <c r="F350" i="15" s="1"/>
  <c r="G350" i="15" s="1"/>
  <c r="BX350" i="6" s="1"/>
  <c r="P346" i="15"/>
  <c r="V346" i="15" s="1"/>
  <c r="F346" i="15" s="1"/>
  <c r="H346" i="15" s="1"/>
  <c r="P342" i="15"/>
  <c r="V342" i="15" s="1"/>
  <c r="F342" i="15" s="1"/>
  <c r="G342" i="15" s="1"/>
  <c r="BX342" i="6" s="1"/>
  <c r="P338" i="15"/>
  <c r="V338" i="15" s="1"/>
  <c r="F338" i="15" s="1"/>
  <c r="H338" i="15" s="1"/>
  <c r="P334" i="15"/>
  <c r="V334" i="15" s="1"/>
  <c r="F334" i="15" s="1"/>
  <c r="H334" i="15" s="1"/>
  <c r="P330" i="15"/>
  <c r="V330" i="15" s="1"/>
  <c r="F330" i="15" s="1"/>
  <c r="H330" i="15" s="1"/>
  <c r="P322" i="15"/>
  <c r="V322" i="15" s="1"/>
  <c r="F322" i="15" s="1"/>
  <c r="H322" i="15" s="1"/>
  <c r="P314" i="15"/>
  <c r="V314" i="15" s="1"/>
  <c r="F314" i="15" s="1"/>
  <c r="G314" i="15" s="1"/>
  <c r="BX314" i="6" s="1"/>
  <c r="P310" i="15"/>
  <c r="V310" i="15" s="1"/>
  <c r="F310" i="15" s="1"/>
  <c r="H310" i="15" s="1"/>
  <c r="P306" i="15"/>
  <c r="V306" i="15" s="1"/>
  <c r="F306" i="15" s="1"/>
  <c r="H306" i="15" s="1"/>
  <c r="P302" i="15"/>
  <c r="D41" i="7" s="1"/>
  <c r="P290" i="15"/>
  <c r="V290" i="15" s="1"/>
  <c r="F290" i="15" s="1"/>
  <c r="H290" i="15" s="1"/>
  <c r="P286" i="15"/>
  <c r="V286" i="15" s="1"/>
  <c r="F286" i="15" s="1"/>
  <c r="G286" i="15" s="1"/>
  <c r="BX286" i="6" s="1"/>
  <c r="P282" i="15"/>
  <c r="V282" i="15" s="1"/>
  <c r="F282" i="15" s="1"/>
  <c r="G282" i="15" s="1"/>
  <c r="BX282" i="6" s="1"/>
  <c r="P278" i="15"/>
  <c r="V278" i="15" s="1"/>
  <c r="F278" i="15" s="1"/>
  <c r="H278" i="15" s="1"/>
  <c r="P274" i="15"/>
  <c r="V274" i="15" s="1"/>
  <c r="F274" i="15" s="1"/>
  <c r="H274" i="15" s="1"/>
  <c r="P270" i="15"/>
  <c r="V270" i="15" s="1"/>
  <c r="F270" i="15" s="1"/>
  <c r="G270" i="15" s="1"/>
  <c r="BX270" i="6" s="1"/>
  <c r="P266" i="15"/>
  <c r="V266" i="15" s="1"/>
  <c r="F266" i="15" s="1"/>
  <c r="H266" i="15" s="1"/>
  <c r="P262" i="15"/>
  <c r="V262" i="15" s="1"/>
  <c r="F262" i="15" s="1"/>
  <c r="G262" i="15" s="1"/>
  <c r="BX262" i="6" s="1"/>
  <c r="P258" i="15"/>
  <c r="V258" i="15" s="1"/>
  <c r="F258" i="15" s="1"/>
  <c r="G258" i="15" s="1"/>
  <c r="BX258" i="6" s="1"/>
  <c r="P250" i="15"/>
  <c r="V250" i="15" s="1"/>
  <c r="F250" i="15" s="1"/>
  <c r="H250" i="15" s="1"/>
  <c r="P246" i="15"/>
  <c r="V246" i="15" s="1"/>
  <c r="F246" i="15" s="1"/>
  <c r="G246" i="15" s="1"/>
  <c r="BX246" i="6" s="1"/>
  <c r="P242" i="15"/>
  <c r="V242" i="15" s="1"/>
  <c r="F242" i="15" s="1"/>
  <c r="H242" i="15" s="1"/>
  <c r="P238" i="15"/>
  <c r="V238" i="15" s="1"/>
  <c r="F238" i="15" s="1"/>
  <c r="H238" i="15" s="1"/>
  <c r="P234" i="15"/>
  <c r="V234" i="15" s="1"/>
  <c r="F234" i="15" s="1"/>
  <c r="H234" i="15" s="1"/>
  <c r="P230" i="15"/>
  <c r="V230" i="15" s="1"/>
  <c r="F230" i="15" s="1"/>
  <c r="G230" i="15" s="1"/>
  <c r="BX230" i="6" s="1"/>
  <c r="P226" i="15"/>
  <c r="V226" i="15" s="1"/>
  <c r="F226" i="15" s="1"/>
  <c r="G226" i="15" s="1"/>
  <c r="BX226" i="6" s="1"/>
  <c r="P222" i="15"/>
  <c r="V222" i="15" s="1"/>
  <c r="F222" i="15" s="1"/>
  <c r="G222" i="15" s="1"/>
  <c r="BX222" i="6" s="1"/>
  <c r="P218" i="15"/>
  <c r="V218" i="15" s="1"/>
  <c r="F218" i="15" s="1"/>
  <c r="H218" i="15" s="1"/>
  <c r="P210" i="15"/>
  <c r="D38" i="7" s="1"/>
  <c r="P206" i="15"/>
  <c r="V206" i="15" s="1"/>
  <c r="F206" i="15" s="1"/>
  <c r="H206" i="15" s="1"/>
  <c r="P202" i="15"/>
  <c r="V202" i="15" s="1"/>
  <c r="F202" i="15" s="1"/>
  <c r="H202" i="15" s="1"/>
  <c r="P198" i="15"/>
  <c r="V198" i="15" s="1"/>
  <c r="F198" i="15" s="1"/>
  <c r="G198" i="15" s="1"/>
  <c r="BX198" i="6" s="1"/>
  <c r="P194" i="15"/>
  <c r="V194" i="15" s="1"/>
  <c r="F194" i="15" s="1"/>
  <c r="H194" i="15" s="1"/>
  <c r="P190" i="15"/>
  <c r="V190" i="15" s="1"/>
  <c r="F190" i="15" s="1"/>
  <c r="H190" i="15" s="1"/>
  <c r="P186" i="15"/>
  <c r="V186" i="15" s="1"/>
  <c r="F186" i="15" s="1"/>
  <c r="G186" i="15" s="1"/>
  <c r="BX186" i="6" s="1"/>
  <c r="P182" i="15"/>
  <c r="V182" i="15" s="1"/>
  <c r="F182" i="15" s="1"/>
  <c r="H182" i="15" s="1"/>
  <c r="P178" i="15"/>
  <c r="V178" i="15" s="1"/>
  <c r="F178" i="15" s="1"/>
  <c r="H178" i="15" s="1"/>
  <c r="P174" i="15"/>
  <c r="V174" i="15" s="1"/>
  <c r="F174" i="15" s="1"/>
  <c r="G174" i="15" s="1"/>
  <c r="BX174" i="6" s="1"/>
  <c r="P166" i="15"/>
  <c r="V166" i="15" s="1"/>
  <c r="F166" i="15" s="1"/>
  <c r="H166" i="15" s="1"/>
  <c r="P162" i="15"/>
  <c r="V162" i="15" s="1"/>
  <c r="F162" i="15" s="1"/>
  <c r="H162" i="15" s="1"/>
  <c r="P146" i="15"/>
  <c r="V146" i="15" s="1"/>
  <c r="F146" i="15" s="1"/>
  <c r="H146" i="15" s="1"/>
  <c r="P142" i="15"/>
  <c r="V142" i="15" s="1"/>
  <c r="F142" i="15" s="1"/>
  <c r="H142" i="15" s="1"/>
  <c r="P130" i="15"/>
  <c r="V130" i="15" s="1"/>
  <c r="F130" i="15" s="1"/>
  <c r="H130" i="15" s="1"/>
  <c r="P114" i="15"/>
  <c r="V114" i="15" s="1"/>
  <c r="F114" i="15" s="1"/>
  <c r="G114" i="15" s="1"/>
  <c r="BX114" i="6" s="1"/>
  <c r="P110" i="15"/>
  <c r="V110" i="15" s="1"/>
  <c r="F110" i="15" s="1"/>
  <c r="H110" i="15" s="1"/>
  <c r="P102" i="15"/>
  <c r="V102" i="15" s="1"/>
  <c r="F102" i="15" s="1"/>
  <c r="H102" i="15" s="1"/>
  <c r="P98" i="15"/>
  <c r="V98" i="15" s="1"/>
  <c r="F98" i="15" s="1"/>
  <c r="H98" i="15" s="1"/>
  <c r="P86" i="15"/>
  <c r="V86" i="15" s="1"/>
  <c r="F86" i="15" s="1"/>
  <c r="H86" i="15" s="1"/>
  <c r="P78" i="15"/>
  <c r="V78" i="15" s="1"/>
  <c r="F78" i="15" s="1"/>
  <c r="H78" i="15" s="1"/>
  <c r="P67" i="15"/>
  <c r="V67" i="15" s="1"/>
  <c r="F67" i="15" s="1"/>
  <c r="P247" i="15"/>
  <c r="V247" i="15" s="1"/>
  <c r="F247" i="15" s="1"/>
  <c r="G247" i="15" s="1"/>
  <c r="BX247" i="6" s="1"/>
  <c r="P263" i="15"/>
  <c r="V263" i="15" s="1"/>
  <c r="F263" i="15" s="1"/>
  <c r="G263" i="15" s="1"/>
  <c r="BX263" i="6" s="1"/>
  <c r="P311" i="15"/>
  <c r="V311" i="15" s="1"/>
  <c r="F311" i="15" s="1"/>
  <c r="H311" i="15" s="1"/>
  <c r="P211" i="15"/>
  <c r="V211" i="15" s="1"/>
  <c r="F211" i="15" s="1"/>
  <c r="G211" i="15" s="1"/>
  <c r="BX211" i="6" s="1"/>
  <c r="P275" i="15"/>
  <c r="V275" i="15" s="1"/>
  <c r="F275" i="15" s="1"/>
  <c r="H275" i="15" s="1"/>
  <c r="P335" i="15"/>
  <c r="V335" i="15" s="1"/>
  <c r="F335" i="15" s="1"/>
  <c r="G335" i="15" s="1"/>
  <c r="BX335" i="6" s="1"/>
  <c r="AD135" i="15"/>
  <c r="AD139" i="15"/>
  <c r="AA139" i="15" s="1"/>
  <c r="Z139" i="15" s="1"/>
  <c r="Y139" i="15" s="1"/>
  <c r="AD143" i="15"/>
  <c r="AA143" i="15" s="1"/>
  <c r="Z143" i="15" s="1"/>
  <c r="Y143" i="15" s="1"/>
  <c r="AD163" i="15"/>
  <c r="AA163" i="15" s="1"/>
  <c r="Z163" i="15" s="1"/>
  <c r="Y163" i="15" s="1"/>
  <c r="AD171" i="15"/>
  <c r="AD175" i="15"/>
  <c r="AA175" i="15" s="1"/>
  <c r="Z175" i="15" s="1"/>
  <c r="Y175" i="15" s="1"/>
  <c r="AD183" i="15"/>
  <c r="AD187" i="15"/>
  <c r="AD195" i="15"/>
  <c r="AA195" i="15" s="1"/>
  <c r="Z195" i="15" s="1"/>
  <c r="Y195" i="15" s="1"/>
  <c r="AD199" i="15"/>
  <c r="AA199" i="15" s="1"/>
  <c r="Z199" i="15" s="1"/>
  <c r="Y199" i="15" s="1"/>
  <c r="AD207" i="15"/>
  <c r="AD211" i="15"/>
  <c r="AD215" i="15"/>
  <c r="AA215" i="15" s="1"/>
  <c r="Z215" i="15" s="1"/>
  <c r="Y215" i="15" s="1"/>
  <c r="AD219" i="15"/>
  <c r="AD227" i="15"/>
  <c r="AD231" i="15"/>
  <c r="AD235" i="15"/>
  <c r="AD239" i="15"/>
  <c r="AA239" i="15" s="1"/>
  <c r="Z239" i="15" s="1"/>
  <c r="Y239" i="15" s="1"/>
  <c r="AD251" i="15"/>
  <c r="AD255" i="15"/>
  <c r="AD259" i="15"/>
  <c r="AA259" i="15" s="1"/>
  <c r="Z259" i="15" s="1"/>
  <c r="Y259" i="15" s="1"/>
  <c r="AD263" i="15"/>
  <c r="AD267" i="15"/>
  <c r="AD271" i="15"/>
  <c r="AD279" i="15"/>
  <c r="AA279" i="15" s="1"/>
  <c r="Z279" i="15" s="1"/>
  <c r="Y279" i="15" s="1"/>
  <c r="AD283" i="15"/>
  <c r="AD291" i="15"/>
  <c r="AA291" i="15" s="1"/>
  <c r="Z291" i="15" s="1"/>
  <c r="Y291" i="15" s="1"/>
  <c r="AD299" i="15"/>
  <c r="AD303" i="15"/>
  <c r="AA303" i="15" s="1"/>
  <c r="Z303" i="15" s="1"/>
  <c r="Y303" i="15" s="1"/>
  <c r="AD307" i="15"/>
  <c r="AA307" i="15" s="1"/>
  <c r="Z307" i="15" s="1"/>
  <c r="Y307" i="15" s="1"/>
  <c r="AD311" i="15"/>
  <c r="AD315" i="15"/>
  <c r="AD347" i="15"/>
  <c r="AD351" i="15"/>
  <c r="AA351" i="15" s="1"/>
  <c r="Z351" i="15" s="1"/>
  <c r="Y351" i="15" s="1"/>
  <c r="AD359" i="15"/>
  <c r="AA359" i="15" s="1"/>
  <c r="Z359" i="15" s="1"/>
  <c r="Y359" i="15" s="1"/>
  <c r="AD367" i="15"/>
  <c r="AA367" i="15" s="1"/>
  <c r="Z367" i="15" s="1"/>
  <c r="Y367" i="15" s="1"/>
  <c r="AD375" i="15"/>
  <c r="AD22" i="15"/>
  <c r="AD31" i="15"/>
  <c r="AD35" i="15"/>
  <c r="AD43" i="15"/>
  <c r="AD47" i="15"/>
  <c r="AD59" i="15"/>
  <c r="AD67" i="15"/>
  <c r="AD71" i="15"/>
  <c r="AD79" i="15"/>
  <c r="AD95" i="15"/>
  <c r="AD103" i="15"/>
  <c r="AD119" i="15"/>
  <c r="AD123" i="15"/>
  <c r="J15" i="7"/>
  <c r="Q12" i="16"/>
  <c r="Q10" i="16" s="1"/>
  <c r="Q202" i="16" s="1"/>
  <c r="P24" i="15"/>
  <c r="V24" i="15" s="1"/>
  <c r="F24" i="15" s="1"/>
  <c r="P26" i="15"/>
  <c r="V26" i="15" s="1"/>
  <c r="F26" i="15" s="1"/>
  <c r="P42" i="15"/>
  <c r="V42" i="15" s="1"/>
  <c r="F42" i="15" s="1"/>
  <c r="P58" i="15"/>
  <c r="V58" i="15" s="1"/>
  <c r="F58" i="15" s="1"/>
  <c r="P227" i="15"/>
  <c r="V227" i="15" s="1"/>
  <c r="U12" i="16"/>
  <c r="P17" i="15"/>
  <c r="V17" i="15" s="1"/>
  <c r="F17" i="15" s="1"/>
  <c r="P81" i="15"/>
  <c r="V81" i="15" s="1"/>
  <c r="F81" i="15" s="1"/>
  <c r="H81" i="15" s="1"/>
  <c r="P201" i="15"/>
  <c r="V201" i="15" s="1"/>
  <c r="F201" i="15" s="1"/>
  <c r="H201" i="15" s="1"/>
  <c r="P377" i="15"/>
  <c r="V377" i="15" s="1"/>
  <c r="F377" i="15" s="1"/>
  <c r="G377" i="15" s="1"/>
  <c r="BX377" i="6" s="1"/>
  <c r="P191" i="15"/>
  <c r="V191" i="15" s="1"/>
  <c r="F191" i="15" s="1"/>
  <c r="H191" i="15" s="1"/>
  <c r="P255" i="15"/>
  <c r="V255" i="15" s="1"/>
  <c r="F255" i="15" s="1"/>
  <c r="AA255" i="15" s="1"/>
  <c r="Z255" i="15" s="1"/>
  <c r="Y255" i="15" s="1"/>
  <c r="P287" i="15"/>
  <c r="V287" i="15" s="1"/>
  <c r="F287" i="15" s="1"/>
  <c r="H287" i="15" s="1"/>
  <c r="P343" i="15"/>
  <c r="V343" i="15" s="1"/>
  <c r="F343" i="15" s="1"/>
  <c r="G343" i="15" s="1"/>
  <c r="BX343" i="6" s="1"/>
  <c r="P333" i="15"/>
  <c r="V333" i="15" s="1"/>
  <c r="F333" i="15" s="1"/>
  <c r="P214" i="15"/>
  <c r="V214" i="15" s="1"/>
  <c r="F214" i="15" s="1"/>
  <c r="H214" i="15" s="1"/>
  <c r="P171" i="15"/>
  <c r="V171" i="15" s="1"/>
  <c r="P95" i="15"/>
  <c r="V95" i="15" s="1"/>
  <c r="F95" i="15" s="1"/>
  <c r="P203" i="15"/>
  <c r="V203" i="15" s="1"/>
  <c r="F203" i="15" s="1"/>
  <c r="H203" i="15" s="1"/>
  <c r="P223" i="15"/>
  <c r="V223" i="15" s="1"/>
  <c r="F223" i="15" s="1"/>
  <c r="G223" i="15" s="1"/>
  <c r="BX223" i="6" s="1"/>
  <c r="L38" i="19"/>
  <c r="P22" i="15"/>
  <c r="V22" i="15" s="1"/>
  <c r="F22" i="15" s="1"/>
  <c r="P50" i="15"/>
  <c r="V50" i="15" s="1"/>
  <c r="F50" i="15" s="1"/>
  <c r="P62" i="15"/>
  <c r="V62" i="15" s="1"/>
  <c r="F62" i="15" s="1"/>
  <c r="P150" i="15"/>
  <c r="V150" i="15" s="1"/>
  <c r="F150" i="15" s="1"/>
  <c r="H150" i="15" s="1"/>
  <c r="P271" i="15"/>
  <c r="V271" i="15" s="1"/>
  <c r="F271" i="15" s="1"/>
  <c r="H271" i="15" s="1"/>
  <c r="J16" i="7"/>
  <c r="P11" i="7" s="1"/>
  <c r="U11" i="16" s="1"/>
  <c r="P55" i="15"/>
  <c r="V55" i="15" s="1"/>
  <c r="F55" i="15" s="1"/>
  <c r="H55" i="15" s="1"/>
  <c r="P31" i="15"/>
  <c r="V31" i="15" s="1"/>
  <c r="F31" i="15" s="1"/>
  <c r="AA31" i="15" s="1"/>
  <c r="Z31" i="15" s="1"/>
  <c r="Y31" i="15" s="1"/>
  <c r="P47" i="15"/>
  <c r="V47" i="15" s="1"/>
  <c r="F47" i="15" s="1"/>
  <c r="AA47" i="15" s="1"/>
  <c r="Z47" i="15" s="1"/>
  <c r="Y47" i="15" s="1"/>
  <c r="P180" i="15"/>
  <c r="V180" i="15" s="1"/>
  <c r="F180" i="15" s="1"/>
  <c r="H180" i="15" s="1"/>
  <c r="P164" i="15"/>
  <c r="V164" i="15" s="1"/>
  <c r="F164" i="15" s="1"/>
  <c r="G164" i="15" s="1"/>
  <c r="BX164" i="6" s="1"/>
  <c r="P156" i="15"/>
  <c r="V156" i="15" s="1"/>
  <c r="F156" i="15" s="1"/>
  <c r="H156" i="15" s="1"/>
  <c r="P148" i="15"/>
  <c r="V148" i="15" s="1"/>
  <c r="F148" i="15" s="1"/>
  <c r="H148" i="15" s="1"/>
  <c r="P140" i="15"/>
  <c r="V140" i="15" s="1"/>
  <c r="F140" i="15" s="1"/>
  <c r="H140" i="15" s="1"/>
  <c r="P132" i="15"/>
  <c r="V132" i="15" s="1"/>
  <c r="F132" i="15" s="1"/>
  <c r="H132" i="15" s="1"/>
  <c r="P124" i="15"/>
  <c r="V124" i="15" s="1"/>
  <c r="F124" i="15" s="1"/>
  <c r="H124" i="15" s="1"/>
  <c r="P116" i="15"/>
  <c r="V116" i="15" s="1"/>
  <c r="F116" i="15" s="1"/>
  <c r="G116" i="15" s="1"/>
  <c r="BX116" i="6" s="1"/>
  <c r="P84" i="15"/>
  <c r="V84" i="15" s="1"/>
  <c r="F84" i="15" s="1"/>
  <c r="H84" i="15" s="1"/>
  <c r="P76" i="15"/>
  <c r="V76" i="15" s="1"/>
  <c r="F76" i="15" s="1"/>
  <c r="G76" i="15" s="1"/>
  <c r="BX76" i="6" s="1"/>
  <c r="P68" i="15"/>
  <c r="V68" i="15" s="1"/>
  <c r="F68" i="15" s="1"/>
  <c r="G68" i="15" s="1"/>
  <c r="BX68" i="6" s="1"/>
  <c r="P63" i="15"/>
  <c r="V63" i="15" s="1"/>
  <c r="F63" i="15" s="1"/>
  <c r="G63" i="15" s="1"/>
  <c r="BX63" i="6" s="1"/>
  <c r="P79" i="15"/>
  <c r="V79" i="15" s="1"/>
  <c r="F79" i="15" s="1"/>
  <c r="G79" i="15" s="1"/>
  <c r="BX79" i="6" s="1"/>
  <c r="P245" i="15"/>
  <c r="V245" i="15" s="1"/>
  <c r="F245" i="15" s="1"/>
  <c r="H245" i="15" s="1"/>
  <c r="P349" i="15"/>
  <c r="V349" i="15" s="1"/>
  <c r="F349" i="15" s="1"/>
  <c r="H349" i="15" s="1"/>
  <c r="P87" i="15"/>
  <c r="V87" i="15" s="1"/>
  <c r="F87" i="15" s="1"/>
  <c r="H87" i="15" s="1"/>
  <c r="P103" i="15"/>
  <c r="V103" i="15" s="1"/>
  <c r="F103" i="15" s="1"/>
  <c r="G103" i="15" s="1"/>
  <c r="BX103" i="6" s="1"/>
  <c r="P119" i="15"/>
  <c r="D35" i="7" s="1"/>
  <c r="P135" i="15"/>
  <c r="V135" i="15" s="1"/>
  <c r="F135" i="15" s="1"/>
  <c r="H135" i="15" s="1"/>
  <c r="P151" i="15"/>
  <c r="V151" i="15" s="1"/>
  <c r="F151" i="15" s="1"/>
  <c r="G151" i="15" s="1"/>
  <c r="BX151" i="6" s="1"/>
  <c r="P167" i="15"/>
  <c r="V167" i="15" s="1"/>
  <c r="F167" i="15" s="1"/>
  <c r="G167" i="15" s="1"/>
  <c r="BX167" i="6" s="1"/>
  <c r="P183" i="15"/>
  <c r="V183" i="15" s="1"/>
  <c r="F183" i="15" s="1"/>
  <c r="H183" i="15" s="1"/>
  <c r="P91" i="15"/>
  <c r="V91" i="15" s="1"/>
  <c r="F91" i="15" s="1"/>
  <c r="G91" i="15" s="1"/>
  <c r="BX91" i="6" s="1"/>
  <c r="P123" i="15"/>
  <c r="V123" i="15" s="1"/>
  <c r="F123" i="15" s="1"/>
  <c r="AA123" i="15" s="1"/>
  <c r="Z123" i="15" s="1"/>
  <c r="Y123" i="15" s="1"/>
  <c r="P155" i="15"/>
  <c r="V155" i="15" s="1"/>
  <c r="F155" i="15" s="1"/>
  <c r="G155" i="15" s="1"/>
  <c r="BX155" i="6" s="1"/>
  <c r="P187" i="15"/>
  <c r="V187" i="15" s="1"/>
  <c r="F187" i="15" s="1"/>
  <c r="G187" i="15" s="1"/>
  <c r="BX187" i="6" s="1"/>
  <c r="P219" i="15"/>
  <c r="V219" i="15" s="1"/>
  <c r="F219" i="15" s="1"/>
  <c r="P251" i="15"/>
  <c r="V251" i="15" s="1"/>
  <c r="F251" i="15" s="1"/>
  <c r="G251" i="15" s="1"/>
  <c r="BX251" i="6" s="1"/>
  <c r="P283" i="15"/>
  <c r="V283" i="15" s="1"/>
  <c r="F283" i="15" s="1"/>
  <c r="P315" i="15"/>
  <c r="V315" i="15" s="1"/>
  <c r="F315" i="15" s="1"/>
  <c r="H315" i="15" s="1"/>
  <c r="P331" i="15"/>
  <c r="V331" i="15" s="1"/>
  <c r="F331" i="15" s="1"/>
  <c r="H331" i="15" s="1"/>
  <c r="P347" i="15"/>
  <c r="V347" i="15" s="1"/>
  <c r="F347" i="15" s="1"/>
  <c r="H347" i="15" s="1"/>
  <c r="P363" i="15"/>
  <c r="D43" i="7" s="1"/>
  <c r="P319" i="15"/>
  <c r="V319" i="15" s="1"/>
  <c r="F319" i="15" s="1"/>
  <c r="G319" i="15" s="1"/>
  <c r="BX319" i="6" s="1"/>
  <c r="AI381" i="15"/>
  <c r="P277" i="15"/>
  <c r="V277" i="15" s="1"/>
  <c r="F277" i="15" s="1"/>
  <c r="H277" i="15" s="1"/>
  <c r="AI12" i="16"/>
  <c r="P158" i="15"/>
  <c r="V158" i="15" s="1"/>
  <c r="F158" i="15" s="1"/>
  <c r="H158" i="15" s="1"/>
  <c r="P126" i="15"/>
  <c r="V126" i="15" s="1"/>
  <c r="F126" i="15" s="1"/>
  <c r="H126" i="15" s="1"/>
  <c r="P94" i="15"/>
  <c r="V94" i="15" s="1"/>
  <c r="F94" i="15" s="1"/>
  <c r="H94" i="15" s="1"/>
  <c r="P161" i="15"/>
  <c r="V161" i="15" s="1"/>
  <c r="F161" i="15" s="1"/>
  <c r="G161" i="15" s="1"/>
  <c r="BX161" i="6" s="1"/>
  <c r="P313" i="15"/>
  <c r="V313" i="15" s="1"/>
  <c r="F313" i="15" s="1"/>
  <c r="G313" i="15" s="1"/>
  <c r="BX313" i="6" s="1"/>
  <c r="P235" i="15"/>
  <c r="V235" i="15" s="1"/>
  <c r="F235" i="15" s="1"/>
  <c r="G235" i="15" s="1"/>
  <c r="BX235" i="6" s="1"/>
  <c r="P267" i="15"/>
  <c r="V267" i="15" s="1"/>
  <c r="F267" i="15" s="1"/>
  <c r="G267" i="15" s="1"/>
  <c r="BX267" i="6" s="1"/>
  <c r="P299" i="15"/>
  <c r="V299" i="15" s="1"/>
  <c r="F299" i="15" s="1"/>
  <c r="G299" i="15" s="1"/>
  <c r="BX299" i="6" s="1"/>
  <c r="P131" i="15"/>
  <c r="V131" i="15" s="1"/>
  <c r="F131" i="15" s="1"/>
  <c r="G131" i="15" s="1"/>
  <c r="BX131" i="6" s="1"/>
  <c r="P99" i="15"/>
  <c r="V99" i="15" s="1"/>
  <c r="F99" i="15" s="1"/>
  <c r="H99" i="15" s="1"/>
  <c r="P193" i="15"/>
  <c r="V193" i="15" s="1"/>
  <c r="F193" i="15" s="1"/>
  <c r="G193" i="15" s="1"/>
  <c r="BX193" i="6" s="1"/>
  <c r="P82" i="15"/>
  <c r="V82" i="15" s="1"/>
  <c r="F82" i="15" s="1"/>
  <c r="H82" i="15" s="1"/>
  <c r="P66" i="15"/>
  <c r="V66" i="15" s="1"/>
  <c r="F66" i="15" s="1"/>
  <c r="G66" i="15" s="1"/>
  <c r="BX66" i="6" s="1"/>
  <c r="P189" i="15"/>
  <c r="V189" i="15" s="1"/>
  <c r="F189" i="15" s="1"/>
  <c r="H189" i="15" s="1"/>
  <c r="P205" i="15"/>
  <c r="V205" i="15" s="1"/>
  <c r="F205" i="15" s="1"/>
  <c r="H205" i="15" s="1"/>
  <c r="P213" i="15"/>
  <c r="V213" i="15" s="1"/>
  <c r="F213" i="15" s="1"/>
  <c r="H213" i="15" s="1"/>
  <c r="P221" i="15"/>
  <c r="V221" i="15" s="1"/>
  <c r="F221" i="15" s="1"/>
  <c r="G221" i="15" s="1"/>
  <c r="BX221" i="6" s="1"/>
  <c r="P229" i="15"/>
  <c r="V229" i="15" s="1"/>
  <c r="F229" i="15" s="1"/>
  <c r="G229" i="15" s="1"/>
  <c r="BX229" i="6" s="1"/>
  <c r="P237" i="15"/>
  <c r="V237" i="15" s="1"/>
  <c r="F237" i="15" s="1"/>
  <c r="H237" i="15" s="1"/>
  <c r="P253" i="15"/>
  <c r="V253" i="15" s="1"/>
  <c r="F253" i="15" s="1"/>
  <c r="G253" i="15" s="1"/>
  <c r="BX253" i="6" s="1"/>
  <c r="P261" i="15"/>
  <c r="V261" i="15" s="1"/>
  <c r="F261" i="15" s="1"/>
  <c r="G261" i="15" s="1"/>
  <c r="BX261" i="6" s="1"/>
  <c r="P285" i="15"/>
  <c r="V285" i="15" s="1"/>
  <c r="F285" i="15" s="1"/>
  <c r="G285" i="15" s="1"/>
  <c r="BX285" i="6" s="1"/>
  <c r="P293" i="15"/>
  <c r="V293" i="15" s="1"/>
  <c r="F293" i="15" s="1"/>
  <c r="H293" i="15" s="1"/>
  <c r="P301" i="15"/>
  <c r="V301" i="15" s="1"/>
  <c r="F301" i="15" s="1"/>
  <c r="H301" i="15" s="1"/>
  <c r="P309" i="15"/>
  <c r="V309" i="15" s="1"/>
  <c r="F309" i="15" s="1"/>
  <c r="G309" i="15" s="1"/>
  <c r="BX309" i="6" s="1"/>
  <c r="P317" i="15"/>
  <c r="V317" i="15" s="1"/>
  <c r="F317" i="15" s="1"/>
  <c r="H317" i="15" s="1"/>
  <c r="P325" i="15"/>
  <c r="V325" i="15" s="1"/>
  <c r="F325" i="15" s="1"/>
  <c r="G325" i="15" s="1"/>
  <c r="BX325" i="6" s="1"/>
  <c r="P341" i="15"/>
  <c r="V341" i="15" s="1"/>
  <c r="F341" i="15" s="1"/>
  <c r="H341" i="15" s="1"/>
  <c r="P357" i="15"/>
  <c r="V357" i="15" s="1"/>
  <c r="F357" i="15" s="1"/>
  <c r="G357" i="15" s="1"/>
  <c r="BX357" i="6" s="1"/>
  <c r="P373" i="15"/>
  <c r="V373" i="15" s="1"/>
  <c r="F373" i="15" s="1"/>
  <c r="H373" i="15" s="1"/>
  <c r="P73" i="15"/>
  <c r="V73" i="15" s="1"/>
  <c r="F73" i="15" s="1"/>
  <c r="G73" i="15" s="1"/>
  <c r="BX73" i="6" s="1"/>
  <c r="AI383" i="15"/>
  <c r="P294" i="15"/>
  <c r="V294" i="15" s="1"/>
  <c r="F294" i="15" s="1"/>
  <c r="G294" i="15" s="1"/>
  <c r="BX294" i="6" s="1"/>
  <c r="P298" i="15"/>
  <c r="V298" i="15" s="1"/>
  <c r="F298" i="15" s="1"/>
  <c r="P379" i="15"/>
  <c r="P49" i="15"/>
  <c r="V49" i="15" s="1"/>
  <c r="F49" i="15" s="1"/>
  <c r="H49" i="15" s="1"/>
  <c r="P72" i="15"/>
  <c r="V72" i="15" s="1"/>
  <c r="F72" i="15" s="1"/>
  <c r="H72" i="15" s="1"/>
  <c r="P376" i="15"/>
  <c r="V376" i="15" s="1"/>
  <c r="F376" i="15" s="1"/>
  <c r="G376" i="15" s="1"/>
  <c r="BX376" i="6" s="1"/>
  <c r="P372" i="15"/>
  <c r="V372" i="15" s="1"/>
  <c r="F372" i="15" s="1"/>
  <c r="G372" i="15" s="1"/>
  <c r="BX372" i="6" s="1"/>
  <c r="P368" i="15"/>
  <c r="V368" i="15" s="1"/>
  <c r="F368" i="15" s="1"/>
  <c r="H368" i="15" s="1"/>
  <c r="P364" i="15"/>
  <c r="V364" i="15" s="1"/>
  <c r="F364" i="15" s="1"/>
  <c r="G364" i="15" s="1"/>
  <c r="BX364" i="6" s="1"/>
  <c r="P360" i="15"/>
  <c r="V360" i="15" s="1"/>
  <c r="F360" i="15" s="1"/>
  <c r="H360" i="15" s="1"/>
  <c r="P356" i="15"/>
  <c r="V356" i="15" s="1"/>
  <c r="F356" i="15" s="1"/>
  <c r="G356" i="15" s="1"/>
  <c r="BX356" i="6" s="1"/>
  <c r="P352" i="15"/>
  <c r="V352" i="15" s="1"/>
  <c r="F352" i="15" s="1"/>
  <c r="H352" i="15" s="1"/>
  <c r="P348" i="15"/>
  <c r="V348" i="15" s="1"/>
  <c r="F348" i="15" s="1"/>
  <c r="G348" i="15" s="1"/>
  <c r="BX348" i="6" s="1"/>
  <c r="P344" i="15"/>
  <c r="V344" i="15" s="1"/>
  <c r="F344" i="15" s="1"/>
  <c r="H344" i="15" s="1"/>
  <c r="P340" i="15"/>
  <c r="V340" i="15" s="1"/>
  <c r="F340" i="15" s="1"/>
  <c r="G340" i="15" s="1"/>
  <c r="BX340" i="6" s="1"/>
  <c r="P336" i="15"/>
  <c r="V336" i="15" s="1"/>
  <c r="F336" i="15" s="1"/>
  <c r="G336" i="15" s="1"/>
  <c r="BX336" i="6" s="1"/>
  <c r="P332" i="15"/>
  <c r="V332" i="15" s="1"/>
  <c r="F332" i="15" s="1"/>
  <c r="G332" i="15" s="1"/>
  <c r="BX332" i="6" s="1"/>
  <c r="P328" i="15"/>
  <c r="V328" i="15" s="1"/>
  <c r="F328" i="15" s="1"/>
  <c r="H328" i="15" s="1"/>
  <c r="P320" i="15"/>
  <c r="V320" i="15" s="1"/>
  <c r="F320" i="15" s="1"/>
  <c r="H320" i="15" s="1"/>
  <c r="P312" i="15"/>
  <c r="V312" i="15" s="1"/>
  <c r="F312" i="15" s="1"/>
  <c r="H312" i="15" s="1"/>
  <c r="P308" i="15"/>
  <c r="V308" i="15" s="1"/>
  <c r="F308" i="15" s="1"/>
  <c r="G308" i="15" s="1"/>
  <c r="BX308" i="6" s="1"/>
  <c r="P304" i="15"/>
  <c r="V304" i="15" s="1"/>
  <c r="F304" i="15" s="1"/>
  <c r="H304" i="15" s="1"/>
  <c r="P300" i="15"/>
  <c r="V300" i="15" s="1"/>
  <c r="F300" i="15" s="1"/>
  <c r="G300" i="15" s="1"/>
  <c r="BX300" i="6" s="1"/>
  <c r="P292" i="15"/>
  <c r="V292" i="15" s="1"/>
  <c r="F292" i="15" s="1"/>
  <c r="H292" i="15" s="1"/>
  <c r="P288" i="15"/>
  <c r="V288" i="15" s="1"/>
  <c r="P280" i="15"/>
  <c r="V280" i="15" s="1"/>
  <c r="F280" i="15" s="1"/>
  <c r="H280" i="15" s="1"/>
  <c r="P268" i="15"/>
  <c r="V268" i="15" s="1"/>
  <c r="F268" i="15" s="1"/>
  <c r="G268" i="15" s="1"/>
  <c r="BX268" i="6" s="1"/>
  <c r="P260" i="15"/>
  <c r="V260" i="15" s="1"/>
  <c r="F260" i="15" s="1"/>
  <c r="H260" i="15" s="1"/>
  <c r="P256" i="15"/>
  <c r="V256" i="15" s="1"/>
  <c r="F256" i="15" s="1"/>
  <c r="G256" i="15" s="1"/>
  <c r="BX256" i="6" s="1"/>
  <c r="P244" i="15"/>
  <c r="V244" i="15" s="1"/>
  <c r="F244" i="15" s="1"/>
  <c r="H244" i="15" s="1"/>
  <c r="P240" i="15"/>
  <c r="V240" i="15" s="1"/>
  <c r="F240" i="15" s="1"/>
  <c r="G240" i="15" s="1"/>
  <c r="BX240" i="6" s="1"/>
  <c r="P236" i="15"/>
  <c r="V236" i="15" s="1"/>
  <c r="F236" i="15" s="1"/>
  <c r="G236" i="15" s="1"/>
  <c r="BX236" i="6" s="1"/>
  <c r="P232" i="15"/>
  <c r="V232" i="15" s="1"/>
  <c r="F232" i="15" s="1"/>
  <c r="H232" i="15" s="1"/>
  <c r="P228" i="15"/>
  <c r="V228" i="15" s="1"/>
  <c r="F228" i="15" s="1"/>
  <c r="G228" i="15" s="1"/>
  <c r="BX228" i="6" s="1"/>
  <c r="P224" i="15"/>
  <c r="V224" i="15" s="1"/>
  <c r="F224" i="15" s="1"/>
  <c r="H224" i="15" s="1"/>
  <c r="P220" i="15"/>
  <c r="V220" i="15" s="1"/>
  <c r="F220" i="15" s="1"/>
  <c r="H220" i="15" s="1"/>
  <c r="P216" i="15"/>
  <c r="V216" i="15" s="1"/>
  <c r="F216" i="15" s="1"/>
  <c r="G216" i="15" s="1"/>
  <c r="BX216" i="6" s="1"/>
  <c r="P212" i="15"/>
  <c r="V212" i="15" s="1"/>
  <c r="F212" i="15" s="1"/>
  <c r="G212" i="15" s="1"/>
  <c r="BX212" i="6" s="1"/>
  <c r="P208" i="15"/>
  <c r="V208" i="15" s="1"/>
  <c r="F208" i="15" s="1"/>
  <c r="H208" i="15" s="1"/>
  <c r="P204" i="15"/>
  <c r="V204" i="15" s="1"/>
  <c r="F204" i="15" s="1"/>
  <c r="H204" i="15" s="1"/>
  <c r="P200" i="15"/>
  <c r="V200" i="15" s="1"/>
  <c r="F200" i="15" s="1"/>
  <c r="G200" i="15" s="1"/>
  <c r="BX200" i="6" s="1"/>
  <c r="P196" i="15"/>
  <c r="V196" i="15" s="1"/>
  <c r="F196" i="15" s="1"/>
  <c r="G196" i="15" s="1"/>
  <c r="BX196" i="6" s="1"/>
  <c r="P192" i="15"/>
  <c r="V192" i="15" s="1"/>
  <c r="F192" i="15" s="1"/>
  <c r="G192" i="15" s="1"/>
  <c r="BX192" i="6" s="1"/>
  <c r="P188" i="15"/>
  <c r="V188" i="15" s="1"/>
  <c r="F188" i="15" s="1"/>
  <c r="G188" i="15" s="1"/>
  <c r="BX188" i="6" s="1"/>
  <c r="P184" i="15"/>
  <c r="V184" i="15" s="1"/>
  <c r="F184" i="15" s="1"/>
  <c r="G184" i="15" s="1"/>
  <c r="BX184" i="6" s="1"/>
  <c r="P176" i="15"/>
  <c r="V176" i="15" s="1"/>
  <c r="F176" i="15" s="1"/>
  <c r="H176" i="15" s="1"/>
  <c r="P168" i="15"/>
  <c r="V168" i="15" s="1"/>
  <c r="F168" i="15" s="1"/>
  <c r="H168" i="15" s="1"/>
  <c r="P160" i="15"/>
  <c r="V160" i="15" s="1"/>
  <c r="F160" i="15" s="1"/>
  <c r="H160" i="15" s="1"/>
  <c r="P152" i="15"/>
  <c r="V152" i="15" s="1"/>
  <c r="F152" i="15" s="1"/>
  <c r="G152" i="15" s="1"/>
  <c r="BX152" i="6" s="1"/>
  <c r="P144" i="15"/>
  <c r="V144" i="15" s="1"/>
  <c r="F144" i="15" s="1"/>
  <c r="H144" i="15" s="1"/>
  <c r="P128" i="15"/>
  <c r="V128" i="15" s="1"/>
  <c r="F128" i="15" s="1"/>
  <c r="G128" i="15" s="1"/>
  <c r="BX128" i="6" s="1"/>
  <c r="P120" i="15"/>
  <c r="V120" i="15" s="1"/>
  <c r="F120" i="15" s="1"/>
  <c r="H120" i="15" s="1"/>
  <c r="P112" i="15"/>
  <c r="V112" i="15" s="1"/>
  <c r="F112" i="15" s="1"/>
  <c r="H112" i="15" s="1"/>
  <c r="P104" i="15"/>
  <c r="V104" i="15" s="1"/>
  <c r="F104" i="15" s="1"/>
  <c r="G104" i="15" s="1"/>
  <c r="BX104" i="6" s="1"/>
  <c r="P96" i="15"/>
  <c r="V96" i="15" s="1"/>
  <c r="F96" i="15" s="1"/>
  <c r="H96" i="15" s="1"/>
  <c r="P88" i="15"/>
  <c r="V88" i="15" s="1"/>
  <c r="F88" i="15" s="1"/>
  <c r="G88" i="15" s="1"/>
  <c r="BX88" i="6" s="1"/>
  <c r="P80" i="15"/>
  <c r="V80" i="15" s="1"/>
  <c r="F80" i="15" s="1"/>
  <c r="H80" i="15" s="1"/>
  <c r="P61" i="15"/>
  <c r="V61" i="15" s="1"/>
  <c r="F61" i="15" s="1"/>
  <c r="H61" i="15" s="1"/>
  <c r="P97" i="15"/>
  <c r="V97" i="15" s="1"/>
  <c r="F97" i="15" s="1"/>
  <c r="G97" i="15" s="1"/>
  <c r="BX97" i="6" s="1"/>
  <c r="P177" i="15"/>
  <c r="V177" i="15" s="1"/>
  <c r="F177" i="15" s="1"/>
  <c r="H177" i="15" s="1"/>
  <c r="P217" i="15"/>
  <c r="V217" i="15" s="1"/>
  <c r="F217" i="15" s="1"/>
  <c r="H217" i="15" s="1"/>
  <c r="P273" i="15"/>
  <c r="V273" i="15" s="1"/>
  <c r="F273" i="15" s="1"/>
  <c r="G273" i="15" s="1"/>
  <c r="BX273" i="6" s="1"/>
  <c r="P329" i="15"/>
  <c r="V329" i="15" s="1"/>
  <c r="F329" i="15" s="1"/>
  <c r="G329" i="15" s="1"/>
  <c r="BX329" i="6" s="1"/>
  <c r="P353" i="15"/>
  <c r="V353" i="15" s="1"/>
  <c r="F353" i="15" s="1"/>
  <c r="G353" i="15" s="1"/>
  <c r="BX353" i="6" s="1"/>
  <c r="P361" i="15"/>
  <c r="V361" i="15" s="1"/>
  <c r="F361" i="15" s="1"/>
  <c r="H361" i="15" s="1"/>
  <c r="P233" i="15"/>
  <c r="V233" i="15" s="1"/>
  <c r="F233" i="15" s="1"/>
  <c r="P297" i="15"/>
  <c r="V297" i="15" s="1"/>
  <c r="F297" i="15" s="1"/>
  <c r="P337" i="15"/>
  <c r="V337" i="15" s="1"/>
  <c r="F337" i="15" s="1"/>
  <c r="P345" i="15"/>
  <c r="V345" i="15" s="1"/>
  <c r="F345" i="15" s="1"/>
  <c r="G345" i="15" s="1"/>
  <c r="BX345" i="6" s="1"/>
  <c r="P145" i="15"/>
  <c r="V145" i="15" s="1"/>
  <c r="F145" i="15" s="1"/>
  <c r="H145" i="15" s="1"/>
  <c r="P137" i="15"/>
  <c r="V137" i="15" s="1"/>
  <c r="F137" i="15" s="1"/>
  <c r="H137" i="15" s="1"/>
  <c r="P276" i="15"/>
  <c r="V276" i="15" s="1"/>
  <c r="F276" i="15" s="1"/>
  <c r="H276" i="15" s="1"/>
  <c r="P264" i="15"/>
  <c r="V264" i="15" s="1"/>
  <c r="P252" i="15"/>
  <c r="V252" i="15" s="1"/>
  <c r="F252" i="15" s="1"/>
  <c r="H252" i="15" s="1"/>
  <c r="P136" i="15"/>
  <c r="V136" i="15" s="1"/>
  <c r="P92" i="15"/>
  <c r="V92" i="15" s="1"/>
  <c r="F92" i="15" s="1"/>
  <c r="G92" i="15" s="1"/>
  <c r="BX92" i="6" s="1"/>
  <c r="P108" i="15"/>
  <c r="V108" i="15" s="1"/>
  <c r="P172" i="15"/>
  <c r="V172" i="15" s="1"/>
  <c r="F172" i="15" s="1"/>
  <c r="H172" i="15" s="1"/>
  <c r="P248" i="15"/>
  <c r="V248" i="15" s="1"/>
  <c r="F248" i="15" s="1"/>
  <c r="H248" i="15" s="1"/>
  <c r="P272" i="15"/>
  <c r="V272" i="15" s="1"/>
  <c r="F272" i="15" s="1"/>
  <c r="AD24" i="15"/>
  <c r="AD29" i="15"/>
  <c r="AD37" i="15"/>
  <c r="AA37" i="15" s="1"/>
  <c r="Z37" i="15" s="1"/>
  <c r="Y37" i="15" s="1"/>
  <c r="AD45" i="15"/>
  <c r="AD49" i="15"/>
  <c r="AD53" i="15"/>
  <c r="AA53" i="15" s="1"/>
  <c r="Z53" i="15" s="1"/>
  <c r="Y53" i="15" s="1"/>
  <c r="AD57" i="15"/>
  <c r="AD65" i="15"/>
  <c r="AD69" i="15"/>
  <c r="AD73" i="15"/>
  <c r="AD77" i="15"/>
  <c r="AD85" i="15"/>
  <c r="AD89" i="15"/>
  <c r="AD97" i="15"/>
  <c r="AD101" i="15"/>
  <c r="AD105" i="15"/>
  <c r="AD109" i="15"/>
  <c r="AA109" i="15" s="1"/>
  <c r="Z109" i="15" s="1"/>
  <c r="Y109" i="15" s="1"/>
  <c r="P71" i="15"/>
  <c r="V71" i="15" s="1"/>
  <c r="F71" i="15" s="1"/>
  <c r="AA71" i="15" s="1"/>
  <c r="Z71" i="15" s="1"/>
  <c r="Y71" i="15" s="1"/>
  <c r="P231" i="15"/>
  <c r="V231" i="15" s="1"/>
  <c r="F231" i="15" s="1"/>
  <c r="H231" i="15" s="1"/>
  <c r="P269" i="15"/>
  <c r="V269" i="15" s="1"/>
  <c r="F269" i="15" s="1"/>
  <c r="G269" i="15" s="1"/>
  <c r="BX269" i="6" s="1"/>
  <c r="P147" i="15"/>
  <c r="V147" i="15" s="1"/>
  <c r="F147" i="15" s="1"/>
  <c r="H147" i="15" s="1"/>
  <c r="P83" i="15"/>
  <c r="V83" i="15" s="1"/>
  <c r="F83" i="15" s="1"/>
  <c r="H83" i="15" s="1"/>
  <c r="P21" i="15"/>
  <c r="V21" i="15" s="1"/>
  <c r="F21" i="15" s="1"/>
  <c r="P32" i="15"/>
  <c r="V32" i="15" s="1"/>
  <c r="F32" i="15" s="1"/>
  <c r="P40" i="15"/>
  <c r="V40" i="15" s="1"/>
  <c r="F40" i="15" s="1"/>
  <c r="P48" i="15"/>
  <c r="V48" i="15" s="1"/>
  <c r="F48" i="15" s="1"/>
  <c r="P64" i="15"/>
  <c r="V64" i="15" s="1"/>
  <c r="F64" i="15" s="1"/>
  <c r="U382" i="15"/>
  <c r="U383" i="15"/>
  <c r="AI382" i="15"/>
  <c r="P33" i="15"/>
  <c r="V33" i="15" s="1"/>
  <c r="F33" i="15" s="1"/>
  <c r="G33" i="15" s="1"/>
  <c r="BX33" i="6" s="1"/>
  <c r="P170" i="15"/>
  <c r="V170" i="15" s="1"/>
  <c r="F170" i="15" s="1"/>
  <c r="H170" i="15" s="1"/>
  <c r="P154" i="15"/>
  <c r="V154" i="15" s="1"/>
  <c r="F154" i="15" s="1"/>
  <c r="H154" i="15" s="1"/>
  <c r="P122" i="15"/>
  <c r="V122" i="15" s="1"/>
  <c r="F122" i="15" s="1"/>
  <c r="G122" i="15" s="1"/>
  <c r="BX122" i="6" s="1"/>
  <c r="P106" i="15"/>
  <c r="V106" i="15" s="1"/>
  <c r="F106" i="15" s="1"/>
  <c r="H106" i="15" s="1"/>
  <c r="P90" i="15"/>
  <c r="V90" i="15" s="1"/>
  <c r="F90" i="15" s="1"/>
  <c r="G90" i="15" s="1"/>
  <c r="BX90" i="6" s="1"/>
  <c r="P74" i="15"/>
  <c r="V74" i="15" s="1"/>
  <c r="F74" i="15" s="1"/>
  <c r="G74" i="15" s="1"/>
  <c r="BX74" i="6" s="1"/>
  <c r="P57" i="15"/>
  <c r="V57" i="15" s="1"/>
  <c r="F57" i="15" s="1"/>
  <c r="G57" i="15" s="1"/>
  <c r="BX57" i="6" s="1"/>
  <c r="P41" i="15"/>
  <c r="V41" i="15" s="1"/>
  <c r="F41" i="15" s="1"/>
  <c r="H41" i="15" s="1"/>
  <c r="P25" i="15"/>
  <c r="V25" i="15" s="1"/>
  <c r="F25" i="15" s="1"/>
  <c r="G25" i="15" s="1"/>
  <c r="BX25" i="6" s="1"/>
  <c r="P29" i="15"/>
  <c r="V29" i="15" s="1"/>
  <c r="F29" i="15" s="1"/>
  <c r="P65" i="15"/>
  <c r="V65" i="15" s="1"/>
  <c r="F65" i="15" s="1"/>
  <c r="H65" i="15" s="1"/>
  <c r="P89" i="15"/>
  <c r="V89" i="15" s="1"/>
  <c r="F89" i="15" s="1"/>
  <c r="H89" i="15" s="1"/>
  <c r="P105" i="15"/>
  <c r="V105" i="15" s="1"/>
  <c r="F105" i="15" s="1"/>
  <c r="AA105" i="15" s="1"/>
  <c r="Z105" i="15" s="1"/>
  <c r="Y105" i="15" s="1"/>
  <c r="P113" i="15"/>
  <c r="V113" i="15" s="1"/>
  <c r="F113" i="15" s="1"/>
  <c r="G113" i="15" s="1"/>
  <c r="BX113" i="6" s="1"/>
  <c r="P121" i="15"/>
  <c r="V121" i="15" s="1"/>
  <c r="F121" i="15" s="1"/>
  <c r="G121" i="15" s="1"/>
  <c r="BX121" i="6" s="1"/>
  <c r="P129" i="15"/>
  <c r="V129" i="15" s="1"/>
  <c r="F129" i="15" s="1"/>
  <c r="G129" i="15" s="1"/>
  <c r="BX129" i="6" s="1"/>
  <c r="P153" i="15"/>
  <c r="V153" i="15" s="1"/>
  <c r="F153" i="15" s="1"/>
  <c r="H153" i="15" s="1"/>
  <c r="P169" i="15"/>
  <c r="V169" i="15" s="1"/>
  <c r="F169" i="15" s="1"/>
  <c r="G169" i="15" s="1"/>
  <c r="BX169" i="6" s="1"/>
  <c r="P185" i="15"/>
  <c r="V185" i="15" s="1"/>
  <c r="F185" i="15" s="1"/>
  <c r="G185" i="15" s="1"/>
  <c r="BX185" i="6" s="1"/>
  <c r="P209" i="15"/>
  <c r="V209" i="15" s="1"/>
  <c r="F209" i="15" s="1"/>
  <c r="G209" i="15" s="1"/>
  <c r="BX209" i="6" s="1"/>
  <c r="P225" i="15"/>
  <c r="V225" i="15" s="1"/>
  <c r="F225" i="15" s="1"/>
  <c r="H225" i="15" s="1"/>
  <c r="P241" i="15"/>
  <c r="P249" i="15"/>
  <c r="V249" i="15" s="1"/>
  <c r="F249" i="15" s="1"/>
  <c r="G249" i="15" s="1"/>
  <c r="BX249" i="6" s="1"/>
  <c r="P257" i="15"/>
  <c r="V257" i="15" s="1"/>
  <c r="F257" i="15" s="1"/>
  <c r="H257" i="15" s="1"/>
  <c r="P265" i="15"/>
  <c r="V265" i="15" s="1"/>
  <c r="F265" i="15" s="1"/>
  <c r="G265" i="15" s="1"/>
  <c r="BX265" i="6" s="1"/>
  <c r="P281" i="15"/>
  <c r="V281" i="15" s="1"/>
  <c r="F281" i="15" s="1"/>
  <c r="H281" i="15" s="1"/>
  <c r="P289" i="15"/>
  <c r="V289" i="15" s="1"/>
  <c r="F289" i="15" s="1"/>
  <c r="G289" i="15" s="1"/>
  <c r="BX289" i="6" s="1"/>
  <c r="P305" i="15"/>
  <c r="V305" i="15" s="1"/>
  <c r="F305" i="15" s="1"/>
  <c r="H305" i="15" s="1"/>
  <c r="P321" i="15"/>
  <c r="V321" i="15" s="1"/>
  <c r="F321" i="15" s="1"/>
  <c r="G321" i="15" s="1"/>
  <c r="BX321" i="6" s="1"/>
  <c r="P369" i="15"/>
  <c r="V369" i="15" s="1"/>
  <c r="F369" i="15" s="1"/>
  <c r="H369" i="15" s="1"/>
  <c r="P77" i="15"/>
  <c r="V77" i="15" s="1"/>
  <c r="F77" i="15" s="1"/>
  <c r="H77" i="15" s="1"/>
  <c r="P69" i="15"/>
  <c r="V69" i="15" s="1"/>
  <c r="F69" i="15" s="1"/>
  <c r="G69" i="15" s="1"/>
  <c r="BX69" i="6" s="1"/>
  <c r="U381" i="15"/>
  <c r="D36" i="7"/>
  <c r="V149" i="15"/>
  <c r="F149" i="15" s="1"/>
  <c r="H149" i="15" s="1"/>
  <c r="P134" i="15"/>
  <c r="V134" i="15" s="1"/>
  <c r="F134" i="15" s="1"/>
  <c r="H134" i="15" s="1"/>
  <c r="P138" i="15"/>
  <c r="V138" i="15" s="1"/>
  <c r="F138" i="15" s="1"/>
  <c r="P254" i="15"/>
  <c r="V254" i="15" s="1"/>
  <c r="F254" i="15" s="1"/>
  <c r="G254" i="15" s="1"/>
  <c r="BX254" i="6" s="1"/>
  <c r="P45" i="15"/>
  <c r="V45" i="15" s="1"/>
  <c r="F45" i="15" s="1"/>
  <c r="P75" i="15"/>
  <c r="V75" i="15" s="1"/>
  <c r="F75" i="15" s="1"/>
  <c r="P85" i="15"/>
  <c r="V85" i="15" s="1"/>
  <c r="F85" i="15" s="1"/>
  <c r="P101" i="15"/>
  <c r="V101" i="15" s="1"/>
  <c r="F101" i="15" s="1"/>
  <c r="P165" i="15"/>
  <c r="V165" i="15" s="1"/>
  <c r="F165" i="15" s="1"/>
  <c r="G165" i="15" s="1"/>
  <c r="BX165" i="6" s="1"/>
  <c r="P197" i="15"/>
  <c r="V197" i="15" s="1"/>
  <c r="P365" i="15"/>
  <c r="V365" i="15" s="1"/>
  <c r="F365" i="15" s="1"/>
  <c r="G365" i="15" s="1"/>
  <c r="BX365" i="6" s="1"/>
  <c r="AD125" i="15"/>
  <c r="AA125" i="15" s="1"/>
  <c r="Z125" i="15" s="1"/>
  <c r="Y125" i="15" s="1"/>
  <c r="AD129" i="15"/>
  <c r="AD145" i="15"/>
  <c r="AD153" i="15"/>
  <c r="AD161" i="15"/>
  <c r="AD169" i="15"/>
  <c r="AD177" i="15"/>
  <c r="AD189" i="15"/>
  <c r="AD197" i="15"/>
  <c r="AD201" i="15"/>
  <c r="AA201" i="15" s="1"/>
  <c r="Z201" i="15" s="1"/>
  <c r="Y201" i="15" s="1"/>
  <c r="AD213" i="15"/>
  <c r="AD217" i="15"/>
  <c r="AD221" i="15"/>
  <c r="AD237" i="15"/>
  <c r="AD241" i="15"/>
  <c r="AD249" i="15"/>
  <c r="AD253" i="15"/>
  <c r="AD257" i="15"/>
  <c r="AD261" i="15"/>
  <c r="AD265" i="15"/>
  <c r="AD269" i="15"/>
  <c r="AD273" i="15"/>
  <c r="AD277" i="15"/>
  <c r="AD281" i="15"/>
  <c r="AD285" i="15"/>
  <c r="AD289" i="15"/>
  <c r="AD301" i="15"/>
  <c r="AD309" i="15"/>
  <c r="AD313" i="15"/>
  <c r="AD317" i="15"/>
  <c r="AD333" i="15"/>
  <c r="AD337" i="15"/>
  <c r="AD341" i="15"/>
  <c r="AD345" i="15"/>
  <c r="AB380" i="20"/>
  <c r="L380" i="20"/>
  <c r="X380" i="20"/>
  <c r="K380" i="20"/>
  <c r="AJ380" i="20"/>
  <c r="AK380" i="20"/>
  <c r="AC380" i="20"/>
  <c r="O380" i="20"/>
  <c r="AH380" i="15"/>
  <c r="AG380" i="15" s="1"/>
  <c r="AF380" i="15" s="1"/>
  <c r="AD380" i="15" s="1"/>
  <c r="S380" i="15"/>
  <c r="R380" i="15" s="1"/>
  <c r="P380" i="15" s="1"/>
  <c r="AD349" i="15"/>
  <c r="AD353" i="15"/>
  <c r="AD357" i="15"/>
  <c r="AD365" i="15"/>
  <c r="AD373" i="15"/>
  <c r="V210" i="15"/>
  <c r="F210" i="15" s="1"/>
  <c r="G210" i="15" s="1"/>
  <c r="BX210" i="6" s="1"/>
  <c r="P56" i="15"/>
  <c r="V56" i="15" s="1"/>
  <c r="F56" i="15" s="1"/>
  <c r="P318" i="15"/>
  <c r="V318" i="15" s="1"/>
  <c r="F318" i="15" s="1"/>
  <c r="H318" i="15" s="1"/>
  <c r="P326" i="15"/>
  <c r="V326" i="15" s="1"/>
  <c r="F326" i="15" s="1"/>
  <c r="G326" i="15" s="1"/>
  <c r="BX326" i="6" s="1"/>
  <c r="P358" i="15"/>
  <c r="V358" i="15" s="1"/>
  <c r="P362" i="15"/>
  <c r="V362" i="15" s="1"/>
  <c r="F362" i="15" s="1"/>
  <c r="P370" i="15"/>
  <c r="V370" i="15" s="1"/>
  <c r="F370" i="15" s="1"/>
  <c r="G370" i="15" s="1"/>
  <c r="BX370" i="6" s="1"/>
  <c r="P39" i="15"/>
  <c r="V39" i="15" s="1"/>
  <c r="F39" i="15" s="1"/>
  <c r="H39" i="15" s="1"/>
  <c r="AJ10" i="15"/>
  <c r="AJ12" i="15" s="1"/>
  <c r="AJ13" i="15" s="1"/>
  <c r="E382" i="15"/>
  <c r="E381" i="15"/>
  <c r="E9" i="15"/>
  <c r="E11" i="15" s="1"/>
  <c r="E383" i="15"/>
  <c r="AK8" i="15"/>
  <c r="AD27" i="15"/>
  <c r="AD21" i="15"/>
  <c r="P35" i="15"/>
  <c r="V35" i="15" s="1"/>
  <c r="F35" i="15" s="1"/>
  <c r="P51" i="15"/>
  <c r="V51" i="15" s="1"/>
  <c r="P28" i="15"/>
  <c r="V28" i="15" s="1"/>
  <c r="F28" i="15" s="1"/>
  <c r="P34" i="15"/>
  <c r="V34" i="15" s="1"/>
  <c r="F34" i="15" s="1"/>
  <c r="G34" i="15" s="1"/>
  <c r="BX34" i="6" s="1"/>
  <c r="AC381" i="18"/>
  <c r="AC382" i="18"/>
  <c r="AC383" i="18"/>
  <c r="P30" i="15"/>
  <c r="V30" i="15" s="1"/>
  <c r="F30" i="15" s="1"/>
  <c r="AD25" i="15"/>
  <c r="AD20" i="15"/>
  <c r="AD36" i="15"/>
  <c r="AD44" i="15"/>
  <c r="AD64" i="15"/>
  <c r="AD68" i="15"/>
  <c r="AD72" i="15"/>
  <c r="AD76" i="15"/>
  <c r="AD92" i="15"/>
  <c r="AD104" i="15"/>
  <c r="AD112" i="15"/>
  <c r="AD124" i="15"/>
  <c r="AD136" i="15"/>
  <c r="AD140" i="15"/>
  <c r="AD156" i="15"/>
  <c r="AD160" i="15"/>
  <c r="AD164" i="15"/>
  <c r="AD176" i="15"/>
  <c r="AD184" i="15"/>
  <c r="AD192" i="15"/>
  <c r="AD200" i="15"/>
  <c r="AD216" i="15"/>
  <c r="AD220" i="15"/>
  <c r="AD224" i="15"/>
  <c r="AD236" i="15"/>
  <c r="AD240" i="15"/>
  <c r="AD244" i="15"/>
  <c r="AD264" i="15"/>
  <c r="AD280" i="15"/>
  <c r="AD288" i="15"/>
  <c r="AD316" i="15"/>
  <c r="AD324" i="15"/>
  <c r="AD336" i="15"/>
  <c r="AD340" i="15"/>
  <c r="AD344" i="15"/>
  <c r="AD356" i="15"/>
  <c r="AD360" i="15"/>
  <c r="AD368" i="15"/>
  <c r="AJ7" i="16"/>
  <c r="AJ6" i="16"/>
  <c r="AJ9" i="16"/>
  <c r="AJ5" i="16"/>
  <c r="AK5" i="16"/>
  <c r="AK9" i="16"/>
  <c r="AK6" i="16"/>
  <c r="AK7" i="16"/>
  <c r="AK11" i="16" s="1"/>
  <c r="AM9" i="16"/>
  <c r="L382" i="16"/>
  <c r="L381" i="16"/>
  <c r="L383" i="16"/>
  <c r="R383" i="1"/>
  <c r="R382" i="1"/>
  <c r="R381" i="1"/>
  <c r="P379" i="1"/>
  <c r="D35" i="19" s="1"/>
  <c r="O381" i="18"/>
  <c r="O382" i="18"/>
  <c r="O383" i="18"/>
  <c r="L39" i="19" s="1"/>
  <c r="AD34" i="15"/>
  <c r="AD42" i="15"/>
  <c r="AD50" i="15"/>
  <c r="AD58" i="15"/>
  <c r="AD70" i="15"/>
  <c r="AA70" i="15" s="1"/>
  <c r="Z70" i="15" s="1"/>
  <c r="Y70" i="15" s="1"/>
  <c r="AD78" i="15"/>
  <c r="AD98" i="15"/>
  <c r="AD102" i="15"/>
  <c r="AD130" i="15"/>
  <c r="AD134" i="15"/>
  <c r="AD138" i="15"/>
  <c r="AD142" i="15"/>
  <c r="AD150" i="15"/>
  <c r="AD162" i="15"/>
  <c r="AD166" i="15"/>
  <c r="AD170" i="15"/>
  <c r="AD182" i="15"/>
  <c r="AD202" i="15"/>
  <c r="AD206" i="15"/>
  <c r="AD210" i="15"/>
  <c r="AD230" i="15"/>
  <c r="AD234" i="15"/>
  <c r="AD238" i="15"/>
  <c r="AD254" i="15"/>
  <c r="AD258" i="15"/>
  <c r="AD262" i="15"/>
  <c r="AD278" i="15"/>
  <c r="AD282" i="15"/>
  <c r="AD290" i="15"/>
  <c r="AD294" i="15"/>
  <c r="AD310" i="15"/>
  <c r="AD318" i="15"/>
  <c r="AD322" i="15"/>
  <c r="AD342" i="15"/>
  <c r="AD350" i="15"/>
  <c r="AD374" i="15"/>
  <c r="AD378" i="15"/>
  <c r="AC382" i="16"/>
  <c r="AC381" i="16"/>
  <c r="AC383" i="16"/>
  <c r="O383" i="16"/>
  <c r="O382" i="16"/>
  <c r="O381" i="16"/>
  <c r="V38" i="15"/>
  <c r="F38" i="15" s="1"/>
  <c r="G127" i="15"/>
  <c r="BX127" i="6" s="1"/>
  <c r="H127" i="15"/>
  <c r="G243" i="15"/>
  <c r="BX243" i="6" s="1"/>
  <c r="H243" i="15"/>
  <c r="G259" i="15"/>
  <c r="BX259" i="6" s="1"/>
  <c r="H259" i="15"/>
  <c r="G291" i="15"/>
  <c r="BX291" i="6" s="1"/>
  <c r="H291" i="15"/>
  <c r="H307" i="15"/>
  <c r="G307" i="15"/>
  <c r="BX307" i="6" s="1"/>
  <c r="G323" i="15"/>
  <c r="BX323" i="6" s="1"/>
  <c r="H323" i="15"/>
  <c r="H339" i="15"/>
  <c r="G339" i="15"/>
  <c r="BX339" i="6" s="1"/>
  <c r="H355" i="15"/>
  <c r="G355" i="15"/>
  <c r="BX355" i="6" s="1"/>
  <c r="V23" i="15"/>
  <c r="F23" i="15" s="1"/>
  <c r="V60" i="15"/>
  <c r="F60" i="15" s="1"/>
  <c r="G118" i="15"/>
  <c r="BX118" i="6" s="1"/>
  <c r="H118" i="15"/>
  <c r="G125" i="15"/>
  <c r="BX125" i="6" s="1"/>
  <c r="H125" i="15"/>
  <c r="G133" i="15"/>
  <c r="BX133" i="6" s="1"/>
  <c r="H133" i="15"/>
  <c r="G141" i="15"/>
  <c r="BX141" i="6" s="1"/>
  <c r="H141" i="15"/>
  <c r="G139" i="15"/>
  <c r="BX139" i="6" s="1"/>
  <c r="H139" i="15"/>
  <c r="G279" i="15"/>
  <c r="BX279" i="6" s="1"/>
  <c r="H279" i="15"/>
  <c r="H295" i="15"/>
  <c r="G295" i="15"/>
  <c r="BX295" i="6" s="1"/>
  <c r="G303" i="15"/>
  <c r="BX303" i="6" s="1"/>
  <c r="H303" i="15"/>
  <c r="G327" i="15"/>
  <c r="BX327" i="6" s="1"/>
  <c r="H327" i="15"/>
  <c r="G351" i="15"/>
  <c r="BX351" i="6" s="1"/>
  <c r="H351" i="15"/>
  <c r="G359" i="15"/>
  <c r="BX359" i="6" s="1"/>
  <c r="H359" i="15"/>
  <c r="V18" i="15"/>
  <c r="F18" i="15" s="1"/>
  <c r="G70" i="15"/>
  <c r="BX70" i="6" s="1"/>
  <c r="H70" i="15"/>
  <c r="V324" i="15"/>
  <c r="K378" i="22"/>
  <c r="X378" i="22"/>
  <c r="A379" i="22"/>
  <c r="AB378" i="22"/>
  <c r="L378" i="22"/>
  <c r="AJ378" i="22"/>
  <c r="AK378" i="22"/>
  <c r="O378" i="22"/>
  <c r="AC378" i="22"/>
  <c r="L383" i="18"/>
  <c r="L381" i="18"/>
  <c r="L382" i="18"/>
  <c r="AB376" i="24"/>
  <c r="A377" i="24"/>
  <c r="AJ376" i="24"/>
  <c r="AK376" i="24"/>
  <c r="K376" i="24"/>
  <c r="L376" i="24"/>
  <c r="X376" i="24"/>
  <c r="O376" i="24"/>
  <c r="AC376" i="24"/>
  <c r="AB375" i="25"/>
  <c r="L375" i="25"/>
  <c r="X375" i="25"/>
  <c r="A376" i="25"/>
  <c r="K375" i="25"/>
  <c r="AJ375" i="25"/>
  <c r="O375" i="25"/>
  <c r="AK375" i="25"/>
  <c r="AC375" i="25"/>
  <c r="Q381" i="15"/>
  <c r="Q382" i="15"/>
  <c r="Q383" i="15"/>
  <c r="G37" i="15"/>
  <c r="BX37" i="6" s="1"/>
  <c r="H37" i="15"/>
  <c r="H53" i="15"/>
  <c r="G53" i="15"/>
  <c r="BX53" i="6" s="1"/>
  <c r="H93" i="15"/>
  <c r="G93" i="15"/>
  <c r="BX93" i="6" s="1"/>
  <c r="G107" i="15"/>
  <c r="BX107" i="6" s="1"/>
  <c r="H107" i="15"/>
  <c r="G109" i="15"/>
  <c r="BX109" i="6" s="1"/>
  <c r="H109" i="15"/>
  <c r="H111" i="15"/>
  <c r="G111" i="15"/>
  <c r="BX111" i="6" s="1"/>
  <c r="H115" i="15"/>
  <c r="G115" i="15"/>
  <c r="BX115" i="6" s="1"/>
  <c r="G117" i="15"/>
  <c r="BX117" i="6" s="1"/>
  <c r="H117" i="15"/>
  <c r="G157" i="15"/>
  <c r="BX157" i="6" s="1"/>
  <c r="H157" i="15"/>
  <c r="G159" i="15"/>
  <c r="BX159" i="6" s="1"/>
  <c r="H159" i="15"/>
  <c r="G163" i="15"/>
  <c r="BX163" i="6" s="1"/>
  <c r="H163" i="15"/>
  <c r="H173" i="15"/>
  <c r="G173" i="15"/>
  <c r="BX173" i="6" s="1"/>
  <c r="G175" i="15"/>
  <c r="BX175" i="6" s="1"/>
  <c r="H175" i="15"/>
  <c r="G179" i="15"/>
  <c r="BX179" i="6" s="1"/>
  <c r="H179" i="15"/>
  <c r="G181" i="15"/>
  <c r="BX181" i="6" s="1"/>
  <c r="H181" i="15"/>
  <c r="G195" i="15"/>
  <c r="BX195" i="6" s="1"/>
  <c r="H195" i="15"/>
  <c r="G199" i="15"/>
  <c r="BX199" i="6" s="1"/>
  <c r="H199" i="15"/>
  <c r="H215" i="15"/>
  <c r="G215" i="15"/>
  <c r="BX215" i="6" s="1"/>
  <c r="H239" i="15"/>
  <c r="G239" i="15"/>
  <c r="BX239" i="6" s="1"/>
  <c r="G367" i="15"/>
  <c r="BX367" i="6" s="1"/>
  <c r="H367" i="15"/>
  <c r="H371" i="15"/>
  <c r="G371" i="15"/>
  <c r="BX371" i="6" s="1"/>
  <c r="AA375" i="15"/>
  <c r="Z375" i="15" s="1"/>
  <c r="Y375" i="15" s="1"/>
  <c r="G375" i="15"/>
  <c r="BX375" i="6" s="1"/>
  <c r="H375" i="15"/>
  <c r="AK3" i="17"/>
  <c r="Q14" i="19" s="1"/>
  <c r="AG15" i="15"/>
  <c r="AG379" i="15"/>
  <c r="AF379" i="15" s="1"/>
  <c r="AD379" i="15" s="1"/>
  <c r="E11" i="1"/>
  <c r="F35" i="19" s="1"/>
  <c r="T382" i="15"/>
  <c r="T381" i="15"/>
  <c r="T383" i="15"/>
  <c r="S15" i="15"/>
  <c r="V36" i="15"/>
  <c r="F36" i="15" s="1"/>
  <c r="AJ13" i="1"/>
  <c r="AM9" i="18"/>
  <c r="AK7" i="18"/>
  <c r="AK11" i="18" s="1"/>
  <c r="AK5" i="18"/>
  <c r="AK9" i="18"/>
  <c r="AM5" i="18"/>
  <c r="AM7" i="18"/>
  <c r="AM11" i="18" s="1"/>
  <c r="AG23" i="15"/>
  <c r="AF23" i="15" s="1"/>
  <c r="AD23" i="15" s="1"/>
  <c r="AG17" i="15"/>
  <c r="AG19" i="15"/>
  <c r="AF19" i="15" s="1"/>
  <c r="AD19" i="15" s="1"/>
  <c r="AG33" i="15"/>
  <c r="AF33" i="15" s="1"/>
  <c r="AD33" i="15" s="1"/>
  <c r="AG39" i="15"/>
  <c r="AF39" i="15" s="1"/>
  <c r="AD39" i="15" s="1"/>
  <c r="AG41" i="15"/>
  <c r="AF41" i="15" s="1"/>
  <c r="AD41" i="15" s="1"/>
  <c r="AG51" i="15"/>
  <c r="AF51" i="15" s="1"/>
  <c r="AD51" i="15" s="1"/>
  <c r="AG55" i="15"/>
  <c r="AF55" i="15" s="1"/>
  <c r="AD55" i="15" s="1"/>
  <c r="AG61" i="15"/>
  <c r="AF61" i="15" s="1"/>
  <c r="AD61" i="15" s="1"/>
  <c r="AG63" i="15"/>
  <c r="AF63" i="15" s="1"/>
  <c r="AD63" i="15" s="1"/>
  <c r="AG75" i="15"/>
  <c r="AF75" i="15" s="1"/>
  <c r="AD75" i="15" s="1"/>
  <c r="AG81" i="15"/>
  <c r="AF81" i="15" s="1"/>
  <c r="AD81" i="15" s="1"/>
  <c r="AG83" i="15"/>
  <c r="AF83" i="15" s="1"/>
  <c r="AD83" i="15" s="1"/>
  <c r="AG87" i="15"/>
  <c r="AF87" i="15" s="1"/>
  <c r="AD87" i="15" s="1"/>
  <c r="AG91" i="15"/>
  <c r="AF91" i="15" s="1"/>
  <c r="AD91" i="15" s="1"/>
  <c r="AG93" i="15"/>
  <c r="AF93" i="15" s="1"/>
  <c r="AD93" i="15" s="1"/>
  <c r="AA93" i="15" s="1"/>
  <c r="Z93" i="15" s="1"/>
  <c r="Y93" i="15" s="1"/>
  <c r="AG99" i="15"/>
  <c r="AF99" i="15" s="1"/>
  <c r="AD99" i="15" s="1"/>
  <c r="AG107" i="15"/>
  <c r="AF107" i="15" s="1"/>
  <c r="AD107" i="15" s="1"/>
  <c r="AA107" i="15" s="1"/>
  <c r="Z107" i="15" s="1"/>
  <c r="Y107" i="15" s="1"/>
  <c r="AG111" i="15"/>
  <c r="AF111" i="15" s="1"/>
  <c r="AD111" i="15" s="1"/>
  <c r="AA111" i="15" s="1"/>
  <c r="Z111" i="15" s="1"/>
  <c r="Y111" i="15" s="1"/>
  <c r="AG113" i="15"/>
  <c r="AF113" i="15" s="1"/>
  <c r="AD113" i="15" s="1"/>
  <c r="AG115" i="15"/>
  <c r="AF115" i="15" s="1"/>
  <c r="AD115" i="15" s="1"/>
  <c r="AA115" i="15" s="1"/>
  <c r="Z115" i="15" s="1"/>
  <c r="Y115" i="15" s="1"/>
  <c r="AG117" i="15"/>
  <c r="AF117" i="15" s="1"/>
  <c r="AD117" i="15" s="1"/>
  <c r="AA117" i="15" s="1"/>
  <c r="Z117" i="15" s="1"/>
  <c r="Y117" i="15" s="1"/>
  <c r="AG121" i="15"/>
  <c r="AF121" i="15" s="1"/>
  <c r="AD121" i="15" s="1"/>
  <c r="AG127" i="15"/>
  <c r="AF127" i="15" s="1"/>
  <c r="AD127" i="15" s="1"/>
  <c r="AA127" i="15" s="1"/>
  <c r="Z127" i="15" s="1"/>
  <c r="Y127" i="15" s="1"/>
  <c r="AG131" i="15"/>
  <c r="AF131" i="15" s="1"/>
  <c r="AD131" i="15" s="1"/>
  <c r="AG133" i="15"/>
  <c r="AF133" i="15" s="1"/>
  <c r="AD133" i="15" s="1"/>
  <c r="AA133" i="15" s="1"/>
  <c r="Z133" i="15" s="1"/>
  <c r="Y133" i="15" s="1"/>
  <c r="AG137" i="15"/>
  <c r="AF137" i="15" s="1"/>
  <c r="AD137" i="15" s="1"/>
  <c r="AG141" i="15"/>
  <c r="AF141" i="15" s="1"/>
  <c r="AD141" i="15" s="1"/>
  <c r="AA141" i="15" s="1"/>
  <c r="Z141" i="15" s="1"/>
  <c r="Y141" i="15" s="1"/>
  <c r="AG147" i="15"/>
  <c r="AF147" i="15" s="1"/>
  <c r="AD147" i="15" s="1"/>
  <c r="AG149" i="15"/>
  <c r="AF149" i="15" s="1"/>
  <c r="AD149" i="15" s="1"/>
  <c r="AG151" i="15"/>
  <c r="AF151" i="15" s="1"/>
  <c r="AD151" i="15" s="1"/>
  <c r="AG155" i="15"/>
  <c r="AF155" i="15" s="1"/>
  <c r="AD155" i="15" s="1"/>
  <c r="AG157" i="15"/>
  <c r="AF157" i="15" s="1"/>
  <c r="AD157" i="15" s="1"/>
  <c r="AA157" i="15" s="1"/>
  <c r="Z157" i="15" s="1"/>
  <c r="Y157" i="15" s="1"/>
  <c r="AG159" i="15"/>
  <c r="AF159" i="15" s="1"/>
  <c r="AD159" i="15" s="1"/>
  <c r="AA159" i="15" s="1"/>
  <c r="Z159" i="15" s="1"/>
  <c r="Y159" i="15" s="1"/>
  <c r="AG165" i="15"/>
  <c r="AF165" i="15" s="1"/>
  <c r="AD165" i="15" s="1"/>
  <c r="AG167" i="15"/>
  <c r="AF167" i="15" s="1"/>
  <c r="AD167" i="15" s="1"/>
  <c r="AG173" i="15"/>
  <c r="AF173" i="15" s="1"/>
  <c r="AD173" i="15" s="1"/>
  <c r="AA173" i="15" s="1"/>
  <c r="Z173" i="15" s="1"/>
  <c r="Y173" i="15" s="1"/>
  <c r="AG179" i="15"/>
  <c r="AF179" i="15" s="1"/>
  <c r="AD179" i="15" s="1"/>
  <c r="AA179" i="15" s="1"/>
  <c r="Z179" i="15" s="1"/>
  <c r="Y179" i="15" s="1"/>
  <c r="AG181" i="15"/>
  <c r="AF181" i="15" s="1"/>
  <c r="AD181" i="15" s="1"/>
  <c r="AA181" i="15" s="1"/>
  <c r="Z181" i="15" s="1"/>
  <c r="Y181" i="15" s="1"/>
  <c r="AG185" i="15"/>
  <c r="AF185" i="15" s="1"/>
  <c r="AD185" i="15" s="1"/>
  <c r="AG191" i="15"/>
  <c r="AF191" i="15" s="1"/>
  <c r="AD191" i="15" s="1"/>
  <c r="AG193" i="15"/>
  <c r="AF193" i="15" s="1"/>
  <c r="AD193" i="15" s="1"/>
  <c r="AG203" i="15"/>
  <c r="AF203" i="15" s="1"/>
  <c r="AD203" i="15" s="1"/>
  <c r="AG205" i="15"/>
  <c r="AF205" i="15" s="1"/>
  <c r="AD205" i="15" s="1"/>
  <c r="AG209" i="15"/>
  <c r="AF209" i="15" s="1"/>
  <c r="AD209" i="15" s="1"/>
  <c r="AG223" i="15"/>
  <c r="AF223" i="15" s="1"/>
  <c r="AD223" i="15" s="1"/>
  <c r="AG225" i="15"/>
  <c r="AF225" i="15" s="1"/>
  <c r="AD225" i="15" s="1"/>
  <c r="AG229" i="15"/>
  <c r="AF229" i="15" s="1"/>
  <c r="AD229" i="15" s="1"/>
  <c r="AG233" i="15"/>
  <c r="AF233" i="15" s="1"/>
  <c r="AD233" i="15" s="1"/>
  <c r="AG243" i="15"/>
  <c r="AF243" i="15" s="1"/>
  <c r="AD243" i="15" s="1"/>
  <c r="AA243" i="15" s="1"/>
  <c r="Z243" i="15" s="1"/>
  <c r="Y243" i="15" s="1"/>
  <c r="AG245" i="15"/>
  <c r="AF245" i="15" s="1"/>
  <c r="AD245" i="15" s="1"/>
  <c r="AG247" i="15"/>
  <c r="AF247" i="15" s="1"/>
  <c r="AD247" i="15" s="1"/>
  <c r="AG275" i="15"/>
  <c r="AF275" i="15" s="1"/>
  <c r="AD275" i="15" s="1"/>
  <c r="AG287" i="15"/>
  <c r="AF287" i="15" s="1"/>
  <c r="AD287" i="15" s="1"/>
  <c r="AG293" i="15"/>
  <c r="AF293" i="15" s="1"/>
  <c r="AD293" i="15" s="1"/>
  <c r="AG295" i="15"/>
  <c r="AF295" i="15" s="1"/>
  <c r="AD295" i="15" s="1"/>
  <c r="AA295" i="15" s="1"/>
  <c r="Z295" i="15" s="1"/>
  <c r="Y295" i="15" s="1"/>
  <c r="AG297" i="15"/>
  <c r="AF297" i="15" s="1"/>
  <c r="AD297" i="15" s="1"/>
  <c r="AG305" i="15"/>
  <c r="AF305" i="15" s="1"/>
  <c r="AD305" i="15" s="1"/>
  <c r="AG319" i="15"/>
  <c r="AF319" i="15" s="1"/>
  <c r="AD319" i="15" s="1"/>
  <c r="AG321" i="15"/>
  <c r="AF321" i="15" s="1"/>
  <c r="AD321" i="15" s="1"/>
  <c r="AG323" i="15"/>
  <c r="AF323" i="15" s="1"/>
  <c r="AD323" i="15" s="1"/>
  <c r="AA323" i="15" s="1"/>
  <c r="Z323" i="15" s="1"/>
  <c r="Y323" i="15" s="1"/>
  <c r="AG325" i="15"/>
  <c r="AF325" i="15" s="1"/>
  <c r="AD325" i="15" s="1"/>
  <c r="AG327" i="15"/>
  <c r="AF327" i="15" s="1"/>
  <c r="AD327" i="15" s="1"/>
  <c r="AA327" i="15" s="1"/>
  <c r="Z327" i="15" s="1"/>
  <c r="Y327" i="15" s="1"/>
  <c r="AG329" i="15"/>
  <c r="AF329" i="15" s="1"/>
  <c r="AD329" i="15" s="1"/>
  <c r="AG331" i="15"/>
  <c r="AF331" i="15" s="1"/>
  <c r="AD331" i="15" s="1"/>
  <c r="AG335" i="15"/>
  <c r="AF335" i="15" s="1"/>
  <c r="AD335" i="15" s="1"/>
  <c r="AG339" i="15"/>
  <c r="AF339" i="15" s="1"/>
  <c r="AD339" i="15" s="1"/>
  <c r="AA339" i="15" s="1"/>
  <c r="Z339" i="15" s="1"/>
  <c r="Y339" i="15" s="1"/>
  <c r="AG343" i="15"/>
  <c r="AF343" i="15" s="1"/>
  <c r="AD343" i="15" s="1"/>
  <c r="AG355" i="15"/>
  <c r="AF355" i="15" s="1"/>
  <c r="AD355" i="15" s="1"/>
  <c r="AA355" i="15" s="1"/>
  <c r="Z355" i="15" s="1"/>
  <c r="Y355" i="15" s="1"/>
  <c r="AG361" i="15"/>
  <c r="AF361" i="15" s="1"/>
  <c r="AD361" i="15" s="1"/>
  <c r="AG363" i="15"/>
  <c r="AF363" i="15" s="1"/>
  <c r="AD363" i="15" s="1"/>
  <c r="AG369" i="15"/>
  <c r="AF369" i="15" s="1"/>
  <c r="AD369" i="15" s="1"/>
  <c r="AG371" i="15"/>
  <c r="AF371" i="15" s="1"/>
  <c r="AD371" i="15" s="1"/>
  <c r="AA371" i="15" s="1"/>
  <c r="Z371" i="15" s="1"/>
  <c r="Y371" i="15" s="1"/>
  <c r="AG377" i="15"/>
  <c r="AF377" i="15" s="1"/>
  <c r="AD377" i="15" s="1"/>
  <c r="X377" i="23"/>
  <c r="A378" i="23"/>
  <c r="L377" i="23"/>
  <c r="AK377" i="23"/>
  <c r="K377" i="23"/>
  <c r="AB377" i="23"/>
  <c r="AJ377" i="23"/>
  <c r="O377" i="23"/>
  <c r="AC377" i="23"/>
  <c r="AE383" i="15"/>
  <c r="AE381" i="15"/>
  <c r="AE382" i="15"/>
  <c r="X379" i="20"/>
  <c r="K379" i="20"/>
  <c r="AJ379" i="20"/>
  <c r="AK379" i="20"/>
  <c r="AB379" i="20"/>
  <c r="L379" i="20"/>
  <c r="B40" i="19" s="1"/>
  <c r="O379" i="20"/>
  <c r="C40" i="19" s="1"/>
  <c r="AC379" i="20"/>
  <c r="AG18" i="15"/>
  <c r="AF18" i="15" s="1"/>
  <c r="AD18" i="15" s="1"/>
  <c r="AG28" i="15"/>
  <c r="AF28" i="15" s="1"/>
  <c r="AD28" i="15" s="1"/>
  <c r="AG16" i="15"/>
  <c r="AF16" i="15" s="1"/>
  <c r="AD16" i="15" s="1"/>
  <c r="AG26" i="15"/>
  <c r="AF26" i="15" s="1"/>
  <c r="AD26" i="15" s="1"/>
  <c r="AG30" i="15"/>
  <c r="AF30" i="15" s="1"/>
  <c r="AD30" i="15" s="1"/>
  <c r="AG32" i="15"/>
  <c r="AF32" i="15" s="1"/>
  <c r="AD32" i="15" s="1"/>
  <c r="AG38" i="15"/>
  <c r="AF38" i="15" s="1"/>
  <c r="AD38" i="15" s="1"/>
  <c r="AG40" i="15"/>
  <c r="AF40" i="15" s="1"/>
  <c r="AD40" i="15" s="1"/>
  <c r="AG46" i="15"/>
  <c r="AF46" i="15" s="1"/>
  <c r="AD46" i="15" s="1"/>
  <c r="AG48" i="15"/>
  <c r="AF48" i="15" s="1"/>
  <c r="AD48" i="15" s="1"/>
  <c r="AG52" i="15"/>
  <c r="AF52" i="15" s="1"/>
  <c r="AD52" i="15" s="1"/>
  <c r="AG54" i="15"/>
  <c r="AF54" i="15" s="1"/>
  <c r="AD54" i="15" s="1"/>
  <c r="AG56" i="15"/>
  <c r="AF56" i="15" s="1"/>
  <c r="AD56" i="15" s="1"/>
  <c r="AG60" i="15"/>
  <c r="AF60" i="15" s="1"/>
  <c r="AD60" i="15" s="1"/>
  <c r="AG62" i="15"/>
  <c r="AF62" i="15" s="1"/>
  <c r="AD62" i="15" s="1"/>
  <c r="AG66" i="15"/>
  <c r="AF66" i="15" s="1"/>
  <c r="AD66" i="15" s="1"/>
  <c r="AG74" i="15"/>
  <c r="AF74" i="15" s="1"/>
  <c r="AD74" i="15" s="1"/>
  <c r="AG80" i="15"/>
  <c r="AF80" i="15" s="1"/>
  <c r="AD80" i="15" s="1"/>
  <c r="AG82" i="15"/>
  <c r="AF82" i="15" s="1"/>
  <c r="AD82" i="15" s="1"/>
  <c r="AG84" i="15"/>
  <c r="AF84" i="15" s="1"/>
  <c r="AD84" i="15" s="1"/>
  <c r="AG86" i="15"/>
  <c r="AF86" i="15" s="1"/>
  <c r="AD86" i="15" s="1"/>
  <c r="AG88" i="15"/>
  <c r="AF88" i="15" s="1"/>
  <c r="AD88" i="15" s="1"/>
  <c r="AG90" i="15"/>
  <c r="AF90" i="15" s="1"/>
  <c r="AD90" i="15" s="1"/>
  <c r="AG94" i="15"/>
  <c r="AF94" i="15" s="1"/>
  <c r="AD94" i="15" s="1"/>
  <c r="AG96" i="15"/>
  <c r="AF96" i="15" s="1"/>
  <c r="AD96" i="15" s="1"/>
  <c r="AG100" i="15"/>
  <c r="AF100" i="15" s="1"/>
  <c r="AD100" i="15" s="1"/>
  <c r="AG106" i="15"/>
  <c r="AF106" i="15" s="1"/>
  <c r="AD106" i="15" s="1"/>
  <c r="AG108" i="15"/>
  <c r="AF108" i="15" s="1"/>
  <c r="AD108" i="15" s="1"/>
  <c r="AG110" i="15"/>
  <c r="AF110" i="15" s="1"/>
  <c r="AD110" i="15" s="1"/>
  <c r="AG114" i="15"/>
  <c r="AF114" i="15" s="1"/>
  <c r="AD114" i="15" s="1"/>
  <c r="AG116" i="15"/>
  <c r="AF116" i="15" s="1"/>
  <c r="AD116" i="15" s="1"/>
  <c r="AG118" i="15"/>
  <c r="AF118" i="15" s="1"/>
  <c r="AD118" i="15" s="1"/>
  <c r="AA118" i="15" s="1"/>
  <c r="Z118" i="15" s="1"/>
  <c r="Y118" i="15" s="1"/>
  <c r="AG120" i="15"/>
  <c r="AF120" i="15" s="1"/>
  <c r="AD120" i="15" s="1"/>
  <c r="AG122" i="15"/>
  <c r="AF122" i="15" s="1"/>
  <c r="AD122" i="15" s="1"/>
  <c r="AG126" i="15"/>
  <c r="AF126" i="15" s="1"/>
  <c r="AD126" i="15" s="1"/>
  <c r="AG128" i="15"/>
  <c r="AF128" i="15" s="1"/>
  <c r="AD128" i="15" s="1"/>
  <c r="AG132" i="15"/>
  <c r="AF132" i="15" s="1"/>
  <c r="AD132" i="15" s="1"/>
  <c r="AG144" i="15"/>
  <c r="AF144" i="15" s="1"/>
  <c r="AD144" i="15" s="1"/>
  <c r="AG146" i="15"/>
  <c r="AF146" i="15" s="1"/>
  <c r="AD146" i="15" s="1"/>
  <c r="AG148" i="15"/>
  <c r="AF148" i="15" s="1"/>
  <c r="AD148" i="15" s="1"/>
  <c r="AG152" i="15"/>
  <c r="AF152" i="15" s="1"/>
  <c r="AD152" i="15" s="1"/>
  <c r="AG154" i="15"/>
  <c r="AF154" i="15" s="1"/>
  <c r="AD154" i="15" s="1"/>
  <c r="AG158" i="15"/>
  <c r="AF158" i="15" s="1"/>
  <c r="AD158" i="15" s="1"/>
  <c r="AG168" i="15"/>
  <c r="AF168" i="15" s="1"/>
  <c r="AD168" i="15" s="1"/>
  <c r="AG172" i="15"/>
  <c r="AF172" i="15" s="1"/>
  <c r="AD172" i="15" s="1"/>
  <c r="AG174" i="15"/>
  <c r="AF174" i="15" s="1"/>
  <c r="AD174" i="15" s="1"/>
  <c r="AG178" i="15"/>
  <c r="AF178" i="15" s="1"/>
  <c r="AD178" i="15" s="1"/>
  <c r="AG180" i="15"/>
  <c r="AF180" i="15" s="1"/>
  <c r="AD180" i="15" s="1"/>
  <c r="AG186" i="15"/>
  <c r="AF186" i="15" s="1"/>
  <c r="AD186" i="15" s="1"/>
  <c r="AG188" i="15"/>
  <c r="AF188" i="15" s="1"/>
  <c r="AD188" i="15" s="1"/>
  <c r="AG190" i="15"/>
  <c r="AF190" i="15" s="1"/>
  <c r="AD190" i="15" s="1"/>
  <c r="AG194" i="15"/>
  <c r="AF194" i="15" s="1"/>
  <c r="AD194" i="15" s="1"/>
  <c r="AG196" i="15"/>
  <c r="AF196" i="15" s="1"/>
  <c r="AD196" i="15" s="1"/>
  <c r="AG198" i="15"/>
  <c r="AF198" i="15" s="1"/>
  <c r="AD198" i="15" s="1"/>
  <c r="AG204" i="15"/>
  <c r="AF204" i="15" s="1"/>
  <c r="AD204" i="15" s="1"/>
  <c r="AG208" i="15"/>
  <c r="AF208" i="15" s="1"/>
  <c r="AD208" i="15" s="1"/>
  <c r="AG212" i="15"/>
  <c r="AF212" i="15" s="1"/>
  <c r="AD212" i="15" s="1"/>
  <c r="AG214" i="15"/>
  <c r="AF214" i="15" s="1"/>
  <c r="AD214" i="15" s="1"/>
  <c r="AG218" i="15"/>
  <c r="AF218" i="15" s="1"/>
  <c r="AD218" i="15" s="1"/>
  <c r="AG222" i="15"/>
  <c r="AF222" i="15" s="1"/>
  <c r="AD222" i="15" s="1"/>
  <c r="AG226" i="15"/>
  <c r="AF226" i="15" s="1"/>
  <c r="AD226" i="15" s="1"/>
  <c r="AG228" i="15"/>
  <c r="AF228" i="15" s="1"/>
  <c r="AD228" i="15" s="1"/>
  <c r="AG232" i="15"/>
  <c r="AF232" i="15" s="1"/>
  <c r="AD232" i="15" s="1"/>
  <c r="AG242" i="15"/>
  <c r="AF242" i="15" s="1"/>
  <c r="AD242" i="15" s="1"/>
  <c r="AG246" i="15"/>
  <c r="AF246" i="15" s="1"/>
  <c r="AD246" i="15" s="1"/>
  <c r="AG248" i="15"/>
  <c r="AF248" i="15" s="1"/>
  <c r="AD248" i="15" s="1"/>
  <c r="AG250" i="15"/>
  <c r="AF250" i="15" s="1"/>
  <c r="AD250" i="15" s="1"/>
  <c r="AG252" i="15"/>
  <c r="AF252" i="15" s="1"/>
  <c r="AD252" i="15" s="1"/>
  <c r="AG256" i="15"/>
  <c r="AF256" i="15" s="1"/>
  <c r="AD256" i="15" s="1"/>
  <c r="AG260" i="15"/>
  <c r="AF260" i="15" s="1"/>
  <c r="AD260" i="15" s="1"/>
  <c r="AG266" i="15"/>
  <c r="AF266" i="15" s="1"/>
  <c r="AD266" i="15" s="1"/>
  <c r="AG268" i="15"/>
  <c r="AF268" i="15" s="1"/>
  <c r="AD268" i="15" s="1"/>
  <c r="AG270" i="15"/>
  <c r="AF270" i="15" s="1"/>
  <c r="AD270" i="15" s="1"/>
  <c r="AG272" i="15"/>
  <c r="AF272" i="15" s="1"/>
  <c r="AD272" i="15" s="1"/>
  <c r="AG274" i="15"/>
  <c r="AF274" i="15" s="1"/>
  <c r="AD274" i="15" s="1"/>
  <c r="AG276" i="15"/>
  <c r="AF276" i="15" s="1"/>
  <c r="AD276" i="15" s="1"/>
  <c r="AG284" i="15"/>
  <c r="AF284" i="15" s="1"/>
  <c r="AD284" i="15" s="1"/>
  <c r="AG286" i="15"/>
  <c r="AF286" i="15" s="1"/>
  <c r="AD286" i="15" s="1"/>
  <c r="AG292" i="15"/>
  <c r="AF292" i="15" s="1"/>
  <c r="AD292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G306" i="15"/>
  <c r="AF306" i="15" s="1"/>
  <c r="AD306" i="15" s="1"/>
  <c r="AG308" i="15"/>
  <c r="AF308" i="15" s="1"/>
  <c r="AD308" i="15" s="1"/>
  <c r="AG312" i="15"/>
  <c r="AF312" i="15" s="1"/>
  <c r="AD312" i="15" s="1"/>
  <c r="AG314" i="15"/>
  <c r="AF314" i="15" s="1"/>
  <c r="AD314" i="15" s="1"/>
  <c r="AG320" i="15"/>
  <c r="AF320" i="15" s="1"/>
  <c r="AD320" i="15" s="1"/>
  <c r="AG326" i="15"/>
  <c r="AF326" i="15" s="1"/>
  <c r="AD326" i="15" s="1"/>
  <c r="AG328" i="15"/>
  <c r="AF328" i="15" s="1"/>
  <c r="AD328" i="15" s="1"/>
  <c r="AG330" i="15"/>
  <c r="AF330" i="15" s="1"/>
  <c r="AD330" i="15" s="1"/>
  <c r="AG332" i="15"/>
  <c r="AF332" i="15" s="1"/>
  <c r="AD332" i="15" s="1"/>
  <c r="AG334" i="15"/>
  <c r="AF334" i="15" s="1"/>
  <c r="AD334" i="15" s="1"/>
  <c r="AG338" i="15"/>
  <c r="AF338" i="15" s="1"/>
  <c r="AD338" i="15" s="1"/>
  <c r="AG346" i="15"/>
  <c r="AF346" i="15" s="1"/>
  <c r="AD346" i="15" s="1"/>
  <c r="AG348" i="15"/>
  <c r="AF348" i="15" s="1"/>
  <c r="AD348" i="15" s="1"/>
  <c r="AG352" i="15"/>
  <c r="AF352" i="15" s="1"/>
  <c r="AD352" i="15" s="1"/>
  <c r="AG354" i="15"/>
  <c r="AF354" i="15" s="1"/>
  <c r="AD354" i="15" s="1"/>
  <c r="AG358" i="15"/>
  <c r="AF358" i="15" s="1"/>
  <c r="AD358" i="15" s="1"/>
  <c r="AG362" i="15"/>
  <c r="AF362" i="15" s="1"/>
  <c r="AD362" i="15" s="1"/>
  <c r="AG364" i="15"/>
  <c r="AF364" i="15" s="1"/>
  <c r="AD364" i="15" s="1"/>
  <c r="AG366" i="15"/>
  <c r="AF366" i="15" s="1"/>
  <c r="AD366" i="15" s="1"/>
  <c r="AG370" i="15"/>
  <c r="AF370" i="15" s="1"/>
  <c r="AD370" i="15" s="1"/>
  <c r="AG372" i="15"/>
  <c r="AF372" i="15" s="1"/>
  <c r="AD372" i="15" s="1"/>
  <c r="AG376" i="15"/>
  <c r="AF376" i="15" s="1"/>
  <c r="AD376" i="15" s="1"/>
  <c r="G100" i="15" l="1"/>
  <c r="BX100" i="6" s="1"/>
  <c r="G346" i="15"/>
  <c r="BX346" i="6" s="1"/>
  <c r="G306" i="15"/>
  <c r="BX306" i="6" s="1"/>
  <c r="H222" i="15"/>
  <c r="I222" i="15" s="1"/>
  <c r="AA378" i="15"/>
  <c r="Z378" i="15" s="1"/>
  <c r="Y378" i="15" s="1"/>
  <c r="AA350" i="15"/>
  <c r="Z350" i="15" s="1"/>
  <c r="Y350" i="15" s="1"/>
  <c r="AA322" i="15"/>
  <c r="Z322" i="15" s="1"/>
  <c r="Y322" i="15" s="1"/>
  <c r="AA310" i="15"/>
  <c r="Z310" i="15" s="1"/>
  <c r="Y310" i="15" s="1"/>
  <c r="AA278" i="15"/>
  <c r="Z278" i="15" s="1"/>
  <c r="Y278" i="15" s="1"/>
  <c r="AA206" i="15"/>
  <c r="Z206" i="15" s="1"/>
  <c r="Y206" i="15" s="1"/>
  <c r="AA182" i="15"/>
  <c r="Z182" i="15" s="1"/>
  <c r="Y182" i="15" s="1"/>
  <c r="V302" i="15"/>
  <c r="F302" i="15" s="1"/>
  <c r="G302" i="15" s="1"/>
  <c r="BX302" i="6" s="1"/>
  <c r="AA19" i="15"/>
  <c r="Z19" i="15" s="1"/>
  <c r="Y19" i="15" s="1"/>
  <c r="O15" i="7"/>
  <c r="H19" i="15"/>
  <c r="J19" i="15" s="1"/>
  <c r="AA35" i="15"/>
  <c r="Z35" i="15" s="1"/>
  <c r="Y35" i="15" s="1"/>
  <c r="AA283" i="15"/>
  <c r="Z283" i="15" s="1"/>
  <c r="Y283" i="15" s="1"/>
  <c r="AA219" i="15"/>
  <c r="Z219" i="15" s="1"/>
  <c r="Y219" i="15" s="1"/>
  <c r="H174" i="15"/>
  <c r="J174" i="15" s="1"/>
  <c r="H262" i="15"/>
  <c r="I262" i="15" s="1"/>
  <c r="AA100" i="15"/>
  <c r="Z100" i="15" s="1"/>
  <c r="Y100" i="15" s="1"/>
  <c r="AA211" i="15"/>
  <c r="Z211" i="15" s="1"/>
  <c r="Y211" i="15" s="1"/>
  <c r="H43" i="15"/>
  <c r="J43" i="15" s="1"/>
  <c r="G182" i="15"/>
  <c r="BX182" i="6" s="1"/>
  <c r="AA67" i="15"/>
  <c r="Z67" i="15" s="1"/>
  <c r="Y67" i="15" s="1"/>
  <c r="G234" i="15"/>
  <c r="BX234" i="6" s="1"/>
  <c r="G102" i="15"/>
  <c r="BX102" i="6" s="1"/>
  <c r="H263" i="15"/>
  <c r="I263" i="15" s="1"/>
  <c r="H366" i="15"/>
  <c r="I366" i="15" s="1"/>
  <c r="G334" i="15"/>
  <c r="BX334" i="6" s="1"/>
  <c r="G322" i="15"/>
  <c r="BX322" i="6" s="1"/>
  <c r="H198" i="15"/>
  <c r="J198" i="15" s="1"/>
  <c r="G250" i="15"/>
  <c r="BX250" i="6" s="1"/>
  <c r="G218" i="15"/>
  <c r="BX218" i="6" s="1"/>
  <c r="G142" i="15"/>
  <c r="BX142" i="6" s="1"/>
  <c r="G278" i="15"/>
  <c r="BX278" i="6" s="1"/>
  <c r="AA366" i="15"/>
  <c r="Z366" i="15" s="1"/>
  <c r="Y366" i="15" s="1"/>
  <c r="AA270" i="15"/>
  <c r="Z270" i="15" s="1"/>
  <c r="Y270" i="15" s="1"/>
  <c r="AA250" i="15"/>
  <c r="Z250" i="15" s="1"/>
  <c r="Y250" i="15" s="1"/>
  <c r="AA226" i="15"/>
  <c r="Z226" i="15" s="1"/>
  <c r="Y226" i="15" s="1"/>
  <c r="AA218" i="15"/>
  <c r="Z218" i="15" s="1"/>
  <c r="Y218" i="15" s="1"/>
  <c r="AA190" i="15"/>
  <c r="Z190" i="15" s="1"/>
  <c r="Y190" i="15" s="1"/>
  <c r="AA86" i="15"/>
  <c r="Z86" i="15" s="1"/>
  <c r="Y86" i="15" s="1"/>
  <c r="H207" i="15"/>
  <c r="I207" i="15" s="1"/>
  <c r="G67" i="15"/>
  <c r="BX67" i="6" s="1"/>
  <c r="H378" i="15"/>
  <c r="J378" i="15" s="1"/>
  <c r="H350" i="15"/>
  <c r="I350" i="15" s="1"/>
  <c r="H342" i="15"/>
  <c r="I342" i="15" s="1"/>
  <c r="G310" i="15"/>
  <c r="BX310" i="6" s="1"/>
  <c r="G206" i="15"/>
  <c r="BX206" i="6" s="1"/>
  <c r="G190" i="15"/>
  <c r="BX190" i="6" s="1"/>
  <c r="G86" i="15"/>
  <c r="BX86" i="6" s="1"/>
  <c r="H335" i="15"/>
  <c r="I335" i="15" s="1"/>
  <c r="H286" i="15"/>
  <c r="I286" i="15" s="1"/>
  <c r="G242" i="15"/>
  <c r="BX242" i="6" s="1"/>
  <c r="H226" i="15"/>
  <c r="J226" i="15" s="1"/>
  <c r="H296" i="15"/>
  <c r="I296" i="15" s="1"/>
  <c r="G162" i="15"/>
  <c r="BX162" i="6" s="1"/>
  <c r="H114" i="15"/>
  <c r="I114" i="15" s="1"/>
  <c r="AA263" i="15"/>
  <c r="Z263" i="15" s="1"/>
  <c r="Y263" i="15" s="1"/>
  <c r="H270" i="15"/>
  <c r="J270" i="15" s="1"/>
  <c r="AA334" i="15"/>
  <c r="Z334" i="15" s="1"/>
  <c r="Y334" i="15" s="1"/>
  <c r="AA296" i="15"/>
  <c r="Z296" i="15" s="1"/>
  <c r="Y296" i="15" s="1"/>
  <c r="AA286" i="15"/>
  <c r="Z286" i="15" s="1"/>
  <c r="Y286" i="15" s="1"/>
  <c r="AA242" i="15"/>
  <c r="Z242" i="15" s="1"/>
  <c r="Y242" i="15" s="1"/>
  <c r="AA198" i="15"/>
  <c r="Z198" i="15" s="1"/>
  <c r="Y198" i="15" s="1"/>
  <c r="AA174" i="15"/>
  <c r="Z174" i="15" s="1"/>
  <c r="Y174" i="15" s="1"/>
  <c r="AA114" i="15"/>
  <c r="Z114" i="15" s="1"/>
  <c r="Y114" i="15" s="1"/>
  <c r="AA377" i="15"/>
  <c r="Z377" i="15" s="1"/>
  <c r="Y377" i="15" s="1"/>
  <c r="AA343" i="15"/>
  <c r="Z343" i="15" s="1"/>
  <c r="Y343" i="15" s="1"/>
  <c r="AA335" i="15"/>
  <c r="Z335" i="15" s="1"/>
  <c r="Y335" i="15" s="1"/>
  <c r="AA81" i="15"/>
  <c r="Z81" i="15" s="1"/>
  <c r="Y81" i="15" s="1"/>
  <c r="H211" i="15"/>
  <c r="J211" i="15" s="1"/>
  <c r="H67" i="15"/>
  <c r="I67" i="15" s="1"/>
  <c r="AA342" i="15"/>
  <c r="Z342" i="15" s="1"/>
  <c r="Y342" i="15" s="1"/>
  <c r="AA262" i="15"/>
  <c r="Z262" i="15" s="1"/>
  <c r="Y262" i="15" s="1"/>
  <c r="AA234" i="15"/>
  <c r="Z234" i="15" s="1"/>
  <c r="Y234" i="15" s="1"/>
  <c r="AA162" i="15"/>
  <c r="Z162" i="15" s="1"/>
  <c r="Y162" i="15" s="1"/>
  <c r="AA142" i="15"/>
  <c r="Z142" i="15" s="1"/>
  <c r="Y142" i="15" s="1"/>
  <c r="AA102" i="15"/>
  <c r="Z102" i="15" s="1"/>
  <c r="Y102" i="15" s="1"/>
  <c r="AA43" i="15"/>
  <c r="Z43" i="15" s="1"/>
  <c r="Y43" i="15" s="1"/>
  <c r="AA207" i="15"/>
  <c r="Z207" i="15" s="1"/>
  <c r="Y207" i="15" s="1"/>
  <c r="H143" i="15"/>
  <c r="J143" i="15" s="1"/>
  <c r="H246" i="15"/>
  <c r="I246" i="15" s="1"/>
  <c r="H27" i="15"/>
  <c r="I27" i="15" s="1"/>
  <c r="G284" i="15"/>
  <c r="BX284" i="6" s="1"/>
  <c r="AA59" i="15"/>
  <c r="Z59" i="15" s="1"/>
  <c r="Y59" i="15" s="1"/>
  <c r="G191" i="15"/>
  <c r="BX191" i="6" s="1"/>
  <c r="H59" i="15"/>
  <c r="I59" i="15" s="1"/>
  <c r="G78" i="15"/>
  <c r="BX78" i="6" s="1"/>
  <c r="AA311" i="15"/>
  <c r="Z311" i="15" s="1"/>
  <c r="Y311" i="15" s="1"/>
  <c r="H282" i="15"/>
  <c r="J282" i="15" s="1"/>
  <c r="G130" i="15"/>
  <c r="BX130" i="6" s="1"/>
  <c r="H374" i="15"/>
  <c r="I374" i="15" s="1"/>
  <c r="G330" i="15"/>
  <c r="BX330" i="6" s="1"/>
  <c r="G316" i="15"/>
  <c r="BX316" i="6" s="1"/>
  <c r="G194" i="15"/>
  <c r="BX194" i="6" s="1"/>
  <c r="G266" i="15"/>
  <c r="BX266" i="6" s="1"/>
  <c r="G166" i="15"/>
  <c r="BX166" i="6" s="1"/>
  <c r="G98" i="15"/>
  <c r="BX98" i="6" s="1"/>
  <c r="G275" i="15"/>
  <c r="BX275" i="6" s="1"/>
  <c r="G238" i="15"/>
  <c r="BX238" i="6" s="1"/>
  <c r="AA354" i="15"/>
  <c r="Z354" i="15" s="1"/>
  <c r="Y354" i="15" s="1"/>
  <c r="AA338" i="15"/>
  <c r="Z338" i="15" s="1"/>
  <c r="Y338" i="15" s="1"/>
  <c r="AA306" i="15"/>
  <c r="Z306" i="15" s="1"/>
  <c r="Y306" i="15" s="1"/>
  <c r="AA284" i="15"/>
  <c r="Z284" i="15" s="1"/>
  <c r="Y284" i="15" s="1"/>
  <c r="AA274" i="15"/>
  <c r="Z274" i="15" s="1"/>
  <c r="Y274" i="15" s="1"/>
  <c r="AA266" i="15"/>
  <c r="Z266" i="15" s="1"/>
  <c r="Y266" i="15" s="1"/>
  <c r="AA246" i="15"/>
  <c r="Z246" i="15" s="1"/>
  <c r="Y246" i="15" s="1"/>
  <c r="AA186" i="15"/>
  <c r="Z186" i="15" s="1"/>
  <c r="Y186" i="15" s="1"/>
  <c r="AA178" i="15"/>
  <c r="Z178" i="15" s="1"/>
  <c r="Y178" i="15" s="1"/>
  <c r="AA146" i="15"/>
  <c r="Z146" i="15" s="1"/>
  <c r="Y146" i="15" s="1"/>
  <c r="AA110" i="15"/>
  <c r="Z110" i="15" s="1"/>
  <c r="Y110" i="15" s="1"/>
  <c r="AA275" i="15"/>
  <c r="Z275" i="15" s="1"/>
  <c r="Y275" i="15" s="1"/>
  <c r="G59" i="15"/>
  <c r="BX59" i="6" s="1"/>
  <c r="H354" i="15"/>
  <c r="J354" i="15" s="1"/>
  <c r="G338" i="15"/>
  <c r="BX338" i="6" s="1"/>
  <c r="H314" i="15"/>
  <c r="J314" i="15" s="1"/>
  <c r="G202" i="15"/>
  <c r="BX202" i="6" s="1"/>
  <c r="H186" i="15"/>
  <c r="J186" i="15" s="1"/>
  <c r="H247" i="15"/>
  <c r="J247" i="15" s="1"/>
  <c r="G290" i="15"/>
  <c r="BX290" i="6" s="1"/>
  <c r="G274" i="15"/>
  <c r="BX274" i="6" s="1"/>
  <c r="H258" i="15"/>
  <c r="I258" i="15" s="1"/>
  <c r="G178" i="15"/>
  <c r="BX178" i="6" s="1"/>
  <c r="G146" i="15"/>
  <c r="BX146" i="6" s="1"/>
  <c r="G110" i="15"/>
  <c r="BX110" i="6" s="1"/>
  <c r="H230" i="15"/>
  <c r="J230" i="15" s="1"/>
  <c r="AA290" i="15"/>
  <c r="Z290" i="15" s="1"/>
  <c r="Y290" i="15" s="1"/>
  <c r="AA258" i="15"/>
  <c r="Z258" i="15" s="1"/>
  <c r="Y258" i="15" s="1"/>
  <c r="AA238" i="15"/>
  <c r="Z238" i="15" s="1"/>
  <c r="Y238" i="15" s="1"/>
  <c r="AA230" i="15"/>
  <c r="Z230" i="15" s="1"/>
  <c r="Y230" i="15" s="1"/>
  <c r="AA166" i="15"/>
  <c r="Z166" i="15" s="1"/>
  <c r="Y166" i="15" s="1"/>
  <c r="AA130" i="15"/>
  <c r="Z130" i="15" s="1"/>
  <c r="Y130" i="15" s="1"/>
  <c r="AA98" i="15"/>
  <c r="Z98" i="15" s="1"/>
  <c r="Y98" i="15" s="1"/>
  <c r="AA346" i="15"/>
  <c r="Z346" i="15" s="1"/>
  <c r="Y346" i="15" s="1"/>
  <c r="AA330" i="15"/>
  <c r="Z330" i="15" s="1"/>
  <c r="Y330" i="15" s="1"/>
  <c r="AA314" i="15"/>
  <c r="Z314" i="15" s="1"/>
  <c r="Y314" i="15" s="1"/>
  <c r="AA222" i="15"/>
  <c r="Z222" i="15" s="1"/>
  <c r="Y222" i="15" s="1"/>
  <c r="AA194" i="15"/>
  <c r="Z194" i="15" s="1"/>
  <c r="Y194" i="15" s="1"/>
  <c r="AA247" i="15"/>
  <c r="Z247" i="15" s="1"/>
  <c r="Y247" i="15" s="1"/>
  <c r="G311" i="15"/>
  <c r="BX311" i="6" s="1"/>
  <c r="AA374" i="15"/>
  <c r="Z374" i="15" s="1"/>
  <c r="Y374" i="15" s="1"/>
  <c r="AA282" i="15"/>
  <c r="Z282" i="15" s="1"/>
  <c r="Y282" i="15" s="1"/>
  <c r="AA202" i="15"/>
  <c r="Z202" i="15" s="1"/>
  <c r="Y202" i="15" s="1"/>
  <c r="AA78" i="15"/>
  <c r="Z78" i="15" s="1"/>
  <c r="Y78" i="15" s="1"/>
  <c r="AA316" i="15"/>
  <c r="Z316" i="15" s="1"/>
  <c r="Y316" i="15" s="1"/>
  <c r="AA27" i="15"/>
  <c r="Z27" i="15" s="1"/>
  <c r="Y27" i="15" s="1"/>
  <c r="AA95" i="15"/>
  <c r="Z95" i="15" s="1"/>
  <c r="Y95" i="15" s="1"/>
  <c r="W2" i="7"/>
  <c r="AA203" i="15"/>
  <c r="Z203" i="15" s="1"/>
  <c r="Y203" i="15" s="1"/>
  <c r="AA191" i="15"/>
  <c r="Z191" i="15" s="1"/>
  <c r="Y191" i="15" s="1"/>
  <c r="G201" i="15"/>
  <c r="BX201" i="6" s="1"/>
  <c r="G287" i="15"/>
  <c r="BX287" i="6" s="1"/>
  <c r="D42" i="7"/>
  <c r="AA287" i="15"/>
  <c r="Z287" i="15" s="1"/>
  <c r="Y287" i="15" s="1"/>
  <c r="H377" i="15"/>
  <c r="J377" i="15" s="1"/>
  <c r="G81" i="15"/>
  <c r="BX81" i="6" s="1"/>
  <c r="H343" i="15"/>
  <c r="I343" i="15" s="1"/>
  <c r="G255" i="15"/>
  <c r="BX255" i="6" s="1"/>
  <c r="H255" i="15"/>
  <c r="J255" i="15" s="1"/>
  <c r="O16" i="7"/>
  <c r="U10" i="16"/>
  <c r="G203" i="15"/>
  <c r="BX203" i="6" s="1"/>
  <c r="H103" i="15"/>
  <c r="J103" i="15" s="1"/>
  <c r="G135" i="15"/>
  <c r="BX135" i="6" s="1"/>
  <c r="H91" i="15"/>
  <c r="J91" i="15" s="1"/>
  <c r="G31" i="15"/>
  <c r="BX31" i="6" s="1"/>
  <c r="H223" i="15"/>
  <c r="J223" i="15" s="1"/>
  <c r="G95" i="15"/>
  <c r="BX95" i="6" s="1"/>
  <c r="G214" i="15"/>
  <c r="BX214" i="6" s="1"/>
  <c r="AA214" i="15"/>
  <c r="Z214" i="15" s="1"/>
  <c r="Y214" i="15" s="1"/>
  <c r="AA223" i="15"/>
  <c r="Z223" i="15" s="1"/>
  <c r="Y223" i="15" s="1"/>
  <c r="H95" i="15"/>
  <c r="I95" i="15" s="1"/>
  <c r="Q368" i="16"/>
  <c r="G84" i="15"/>
  <c r="BX84" i="6" s="1"/>
  <c r="G349" i="15"/>
  <c r="BX349" i="6" s="1"/>
  <c r="G150" i="15"/>
  <c r="BX150" i="6" s="1"/>
  <c r="G219" i="15"/>
  <c r="BX219" i="6" s="1"/>
  <c r="H167" i="15"/>
  <c r="J167" i="15" s="1"/>
  <c r="H155" i="15"/>
  <c r="I155" i="15" s="1"/>
  <c r="G156" i="15"/>
  <c r="BX156" i="6" s="1"/>
  <c r="D37" i="7"/>
  <c r="AA84" i="15"/>
  <c r="Z84" i="15" s="1"/>
  <c r="Y84" i="15" s="1"/>
  <c r="AA167" i="15"/>
  <c r="Z167" i="15" s="1"/>
  <c r="Y167" i="15" s="1"/>
  <c r="AA155" i="15"/>
  <c r="Z155" i="15" s="1"/>
  <c r="Y155" i="15" s="1"/>
  <c r="H68" i="15"/>
  <c r="I68" i="15" s="1"/>
  <c r="AA235" i="15"/>
  <c r="Z235" i="15" s="1"/>
  <c r="Y235" i="15" s="1"/>
  <c r="H219" i="15"/>
  <c r="I219" i="15" s="1"/>
  <c r="AA103" i="15"/>
  <c r="Z103" i="15" s="1"/>
  <c r="Y103" i="15" s="1"/>
  <c r="AA79" i="15"/>
  <c r="Z79" i="15" s="1"/>
  <c r="Y79" i="15" s="1"/>
  <c r="H31" i="15"/>
  <c r="I31" i="15" s="1"/>
  <c r="AA135" i="15"/>
  <c r="Z135" i="15" s="1"/>
  <c r="Y135" i="15" s="1"/>
  <c r="G140" i="15"/>
  <c r="BX140" i="6" s="1"/>
  <c r="G331" i="15"/>
  <c r="BX331" i="6" s="1"/>
  <c r="G124" i="15"/>
  <c r="BX124" i="6" s="1"/>
  <c r="AA150" i="15"/>
  <c r="Z150" i="15" s="1"/>
  <c r="Y150" i="15" s="1"/>
  <c r="AA140" i="15"/>
  <c r="Z140" i="15" s="1"/>
  <c r="Y140" i="15" s="1"/>
  <c r="AA124" i="15"/>
  <c r="Z124" i="15" s="1"/>
  <c r="Y124" i="15" s="1"/>
  <c r="AA68" i="15"/>
  <c r="Z68" i="15" s="1"/>
  <c r="Y68" i="15" s="1"/>
  <c r="AA161" i="15"/>
  <c r="Z161" i="15" s="1"/>
  <c r="Y161" i="15" s="1"/>
  <c r="D34" i="7"/>
  <c r="G132" i="15"/>
  <c r="BX132" i="6" s="1"/>
  <c r="G277" i="15"/>
  <c r="BX277" i="6" s="1"/>
  <c r="G158" i="15"/>
  <c r="BX158" i="6" s="1"/>
  <c r="AA315" i="15"/>
  <c r="Z315" i="15" s="1"/>
  <c r="Y315" i="15" s="1"/>
  <c r="H235" i="15"/>
  <c r="J235" i="15" s="1"/>
  <c r="H161" i="15"/>
  <c r="J161" i="15" s="1"/>
  <c r="G99" i="15"/>
  <c r="BX99" i="6" s="1"/>
  <c r="G126" i="15"/>
  <c r="BX126" i="6" s="1"/>
  <c r="AA299" i="15"/>
  <c r="Z299" i="15" s="1"/>
  <c r="Y299" i="15" s="1"/>
  <c r="G283" i="15"/>
  <c r="BX283" i="6" s="1"/>
  <c r="V363" i="15"/>
  <c r="F363" i="15" s="1"/>
  <c r="G363" i="15" s="1"/>
  <c r="BX363" i="6" s="1"/>
  <c r="AA183" i="15"/>
  <c r="Z183" i="15" s="1"/>
  <c r="Y183" i="15" s="1"/>
  <c r="G87" i="15"/>
  <c r="BX87" i="6" s="1"/>
  <c r="G47" i="15"/>
  <c r="BX47" i="6" s="1"/>
  <c r="V119" i="15"/>
  <c r="F119" i="15" s="1"/>
  <c r="AA119" i="15" s="1"/>
  <c r="Z119" i="15" s="1"/>
  <c r="Y119" i="15" s="1"/>
  <c r="AA126" i="15"/>
  <c r="Z126" i="15" s="1"/>
  <c r="Y126" i="15" s="1"/>
  <c r="AA331" i="15"/>
  <c r="Z331" i="15" s="1"/>
  <c r="Y331" i="15" s="1"/>
  <c r="AA99" i="15"/>
  <c r="Z99" i="15" s="1"/>
  <c r="Y99" i="15" s="1"/>
  <c r="AA91" i="15"/>
  <c r="Z91" i="15" s="1"/>
  <c r="Y91" i="15" s="1"/>
  <c r="H79" i="15"/>
  <c r="J79" i="15" s="1"/>
  <c r="H299" i="15"/>
  <c r="I299" i="15" s="1"/>
  <c r="H283" i="15"/>
  <c r="I283" i="15" s="1"/>
  <c r="AA156" i="15"/>
  <c r="Z156" i="15" s="1"/>
  <c r="Y156" i="15" s="1"/>
  <c r="AA349" i="15"/>
  <c r="Z349" i="15" s="1"/>
  <c r="Y349" i="15" s="1"/>
  <c r="AA317" i="15"/>
  <c r="Z317" i="15" s="1"/>
  <c r="Y317" i="15" s="1"/>
  <c r="AA189" i="15"/>
  <c r="Z189" i="15" s="1"/>
  <c r="Y189" i="15" s="1"/>
  <c r="H123" i="15"/>
  <c r="J123" i="15" s="1"/>
  <c r="H325" i="15"/>
  <c r="J325" i="15" s="1"/>
  <c r="AA347" i="15"/>
  <c r="Z347" i="15" s="1"/>
  <c r="Y347" i="15" s="1"/>
  <c r="AA251" i="15"/>
  <c r="Z251" i="15" s="1"/>
  <c r="Y251" i="15" s="1"/>
  <c r="H116" i="15"/>
  <c r="I116" i="15" s="1"/>
  <c r="AA158" i="15"/>
  <c r="Z158" i="15" s="1"/>
  <c r="Y158" i="15" s="1"/>
  <c r="AA132" i="15"/>
  <c r="Z132" i="15" s="1"/>
  <c r="Y132" i="15" s="1"/>
  <c r="AA116" i="15"/>
  <c r="Z116" i="15" s="1"/>
  <c r="Y116" i="15" s="1"/>
  <c r="AA319" i="15"/>
  <c r="Z319" i="15" s="1"/>
  <c r="Y319" i="15" s="1"/>
  <c r="AA245" i="15"/>
  <c r="Z245" i="15" s="1"/>
  <c r="Y245" i="15" s="1"/>
  <c r="AA151" i="15"/>
  <c r="Z151" i="15" s="1"/>
  <c r="Y151" i="15" s="1"/>
  <c r="AA131" i="15"/>
  <c r="Z131" i="15" s="1"/>
  <c r="Y131" i="15" s="1"/>
  <c r="H76" i="15"/>
  <c r="I76" i="15" s="1"/>
  <c r="AA187" i="15"/>
  <c r="Z187" i="15" s="1"/>
  <c r="Y187" i="15" s="1"/>
  <c r="G183" i="15"/>
  <c r="BX183" i="6" s="1"/>
  <c r="H151" i="15"/>
  <c r="I151" i="15" s="1"/>
  <c r="H63" i="15"/>
  <c r="J63" i="15" s="1"/>
  <c r="G55" i="15"/>
  <c r="BX55" i="6" s="1"/>
  <c r="H319" i="15"/>
  <c r="J319" i="15" s="1"/>
  <c r="AA271" i="15"/>
  <c r="Z271" i="15" s="1"/>
  <c r="Y271" i="15" s="1"/>
  <c r="H131" i="15"/>
  <c r="I131" i="15" s="1"/>
  <c r="G148" i="15"/>
  <c r="BX148" i="6" s="1"/>
  <c r="H313" i="15"/>
  <c r="J313" i="15" s="1"/>
  <c r="G245" i="15"/>
  <c r="BX245" i="6" s="1"/>
  <c r="G232" i="15"/>
  <c r="BX232" i="6" s="1"/>
  <c r="G94" i="15"/>
  <c r="BX94" i="6" s="1"/>
  <c r="G315" i="15"/>
  <c r="BX315" i="6" s="1"/>
  <c r="H267" i="15"/>
  <c r="J267" i="15" s="1"/>
  <c r="H251" i="15"/>
  <c r="I251" i="15" s="1"/>
  <c r="H164" i="15"/>
  <c r="I164" i="15" s="1"/>
  <c r="AA294" i="15"/>
  <c r="Z294" i="15" s="1"/>
  <c r="Y294" i="15" s="1"/>
  <c r="AA200" i="15"/>
  <c r="Z200" i="15" s="1"/>
  <c r="Y200" i="15" s="1"/>
  <c r="AA184" i="15"/>
  <c r="Z184" i="15" s="1"/>
  <c r="Y184" i="15" s="1"/>
  <c r="AA164" i="15"/>
  <c r="Z164" i="15" s="1"/>
  <c r="Y164" i="15" s="1"/>
  <c r="AA112" i="15"/>
  <c r="Z112" i="15" s="1"/>
  <c r="Y112" i="15" s="1"/>
  <c r="AA72" i="15"/>
  <c r="Z72" i="15" s="1"/>
  <c r="Y72" i="15" s="1"/>
  <c r="AA357" i="15"/>
  <c r="Z357" i="15" s="1"/>
  <c r="Y357" i="15" s="1"/>
  <c r="D32" i="7"/>
  <c r="AA313" i="15"/>
  <c r="Z313" i="15" s="1"/>
  <c r="Y313" i="15" s="1"/>
  <c r="AA277" i="15"/>
  <c r="Z277" i="15" s="1"/>
  <c r="Y277" i="15" s="1"/>
  <c r="AA261" i="15"/>
  <c r="Z261" i="15" s="1"/>
  <c r="Y261" i="15" s="1"/>
  <c r="AA221" i="15"/>
  <c r="Z221" i="15" s="1"/>
  <c r="Y221" i="15" s="1"/>
  <c r="AA289" i="15"/>
  <c r="Z289" i="15" s="1"/>
  <c r="Y289" i="15" s="1"/>
  <c r="AA273" i="15"/>
  <c r="Z273" i="15" s="1"/>
  <c r="Y273" i="15" s="1"/>
  <c r="AA265" i="15"/>
  <c r="Z265" i="15" s="1"/>
  <c r="Y265" i="15" s="1"/>
  <c r="AA249" i="15"/>
  <c r="Z249" i="15" s="1"/>
  <c r="Y249" i="15" s="1"/>
  <c r="AA85" i="15"/>
  <c r="Z85" i="15" s="1"/>
  <c r="Y85" i="15" s="1"/>
  <c r="AA45" i="15"/>
  <c r="Z45" i="15" s="1"/>
  <c r="Y45" i="15" s="1"/>
  <c r="V379" i="15"/>
  <c r="F379" i="15" s="1"/>
  <c r="G379" i="15" s="1"/>
  <c r="BX379" i="6" s="1"/>
  <c r="D36" i="19"/>
  <c r="AA148" i="15"/>
  <c r="Z148" i="15" s="1"/>
  <c r="Y148" i="15" s="1"/>
  <c r="AA94" i="15"/>
  <c r="Z94" i="15" s="1"/>
  <c r="Y94" i="15" s="1"/>
  <c r="AA87" i="15"/>
  <c r="Z87" i="15" s="1"/>
  <c r="Y87" i="15" s="1"/>
  <c r="AA63" i="15"/>
  <c r="Z63" i="15" s="1"/>
  <c r="Y63" i="15" s="1"/>
  <c r="AA55" i="15"/>
  <c r="Z55" i="15" s="1"/>
  <c r="Y55" i="15" s="1"/>
  <c r="H187" i="15"/>
  <c r="I187" i="15" s="1"/>
  <c r="H47" i="15"/>
  <c r="I47" i="15" s="1"/>
  <c r="G271" i="15"/>
  <c r="BX271" i="6" s="1"/>
  <c r="G123" i="15"/>
  <c r="BX123" i="6" s="1"/>
  <c r="G347" i="15"/>
  <c r="BX347" i="6" s="1"/>
  <c r="AA267" i="15"/>
  <c r="Z267" i="15" s="1"/>
  <c r="Y267" i="15" s="1"/>
  <c r="L37" i="19"/>
  <c r="AA76" i="15"/>
  <c r="Z76" i="15" s="1"/>
  <c r="Y76" i="15" s="1"/>
  <c r="C12" i="19"/>
  <c r="F36" i="19"/>
  <c r="Q376" i="16"/>
  <c r="Q352" i="16"/>
  <c r="Q372" i="16"/>
  <c r="Q360" i="16"/>
  <c r="Q340" i="16"/>
  <c r="Q364" i="16"/>
  <c r="Q356" i="16"/>
  <c r="Q348" i="16"/>
  <c r="Q326" i="16"/>
  <c r="AJ11" i="16"/>
  <c r="Q344" i="16"/>
  <c r="Q336" i="16"/>
  <c r="Q300" i="16"/>
  <c r="Q378" i="16"/>
  <c r="Q374" i="16"/>
  <c r="Q370" i="16"/>
  <c r="Q366" i="16"/>
  <c r="Q362" i="16"/>
  <c r="Q358" i="16"/>
  <c r="Q354" i="16"/>
  <c r="Q350" i="16"/>
  <c r="Q346" i="16"/>
  <c r="Q342" i="16"/>
  <c r="Q338" i="16"/>
  <c r="Q334" i="16"/>
  <c r="Q318" i="16"/>
  <c r="Q260" i="16"/>
  <c r="G373" i="15"/>
  <c r="BX373" i="6" s="1"/>
  <c r="G80" i="15"/>
  <c r="BX80" i="6" s="1"/>
  <c r="H221" i="15"/>
  <c r="I221" i="15" s="1"/>
  <c r="G217" i="15"/>
  <c r="BX217" i="6" s="1"/>
  <c r="G205" i="15"/>
  <c r="BX205" i="6" s="1"/>
  <c r="H348" i="15"/>
  <c r="J348" i="15" s="1"/>
  <c r="H66" i="15"/>
  <c r="J66" i="15" s="1"/>
  <c r="H128" i="15"/>
  <c r="I128" i="15" s="1"/>
  <c r="AA361" i="15"/>
  <c r="Z361" i="15" s="1"/>
  <c r="Y361" i="15" s="1"/>
  <c r="AA329" i="15"/>
  <c r="Z329" i="15" s="1"/>
  <c r="Y329" i="15" s="1"/>
  <c r="AA325" i="15"/>
  <c r="Z325" i="15" s="1"/>
  <c r="Y325" i="15" s="1"/>
  <c r="AA205" i="15"/>
  <c r="Z205" i="15" s="1"/>
  <c r="Y205" i="15" s="1"/>
  <c r="AA193" i="15"/>
  <c r="Z193" i="15" s="1"/>
  <c r="Y193" i="15" s="1"/>
  <c r="F288" i="15"/>
  <c r="G288" i="15" s="1"/>
  <c r="BX288" i="6" s="1"/>
  <c r="G208" i="15"/>
  <c r="BX208" i="6" s="1"/>
  <c r="H357" i="15"/>
  <c r="I357" i="15" s="1"/>
  <c r="H261" i="15"/>
  <c r="J261" i="15" s="1"/>
  <c r="H268" i="15"/>
  <c r="I268" i="15" s="1"/>
  <c r="H192" i="15"/>
  <c r="J192" i="15" s="1"/>
  <c r="H97" i="15"/>
  <c r="I97" i="15" s="1"/>
  <c r="H364" i="15"/>
  <c r="J364" i="15" s="1"/>
  <c r="H332" i="15"/>
  <c r="J332" i="15" s="1"/>
  <c r="G320" i="15"/>
  <c r="BX320" i="6" s="1"/>
  <c r="G96" i="15"/>
  <c r="BX96" i="6" s="1"/>
  <c r="H345" i="15"/>
  <c r="J345" i="15" s="1"/>
  <c r="G248" i="15"/>
  <c r="BX248" i="6" s="1"/>
  <c r="H216" i="15"/>
  <c r="J216" i="15" s="1"/>
  <c r="G168" i="15"/>
  <c r="BX168" i="6" s="1"/>
  <c r="AA372" i="15"/>
  <c r="Z372" i="15" s="1"/>
  <c r="Y372" i="15" s="1"/>
  <c r="AA348" i="15"/>
  <c r="Z348" i="15" s="1"/>
  <c r="Y348" i="15" s="1"/>
  <c r="AA332" i="15"/>
  <c r="Z332" i="15" s="1"/>
  <c r="Y332" i="15" s="1"/>
  <c r="AA320" i="15"/>
  <c r="Z320" i="15" s="1"/>
  <c r="Y320" i="15" s="1"/>
  <c r="AA256" i="15"/>
  <c r="Z256" i="15" s="1"/>
  <c r="Y256" i="15" s="1"/>
  <c r="AA232" i="15"/>
  <c r="Z232" i="15" s="1"/>
  <c r="Y232" i="15" s="1"/>
  <c r="AA152" i="15"/>
  <c r="Z152" i="15" s="1"/>
  <c r="Y152" i="15" s="1"/>
  <c r="AA96" i="15"/>
  <c r="Z96" i="15" s="1"/>
  <c r="Y96" i="15" s="1"/>
  <c r="H200" i="15"/>
  <c r="I200" i="15" s="1"/>
  <c r="H184" i="15"/>
  <c r="I184" i="15" s="1"/>
  <c r="G72" i="15"/>
  <c r="BX72" i="6" s="1"/>
  <c r="G237" i="15"/>
  <c r="BX237" i="6" s="1"/>
  <c r="H193" i="15"/>
  <c r="J193" i="15" s="1"/>
  <c r="H73" i="15"/>
  <c r="I73" i="15" s="1"/>
  <c r="H372" i="15"/>
  <c r="I372" i="15" s="1"/>
  <c r="H356" i="15"/>
  <c r="I356" i="15" s="1"/>
  <c r="H340" i="15"/>
  <c r="J340" i="15" s="1"/>
  <c r="H308" i="15"/>
  <c r="J308" i="15" s="1"/>
  <c r="G112" i="15"/>
  <c r="BX112" i="6" s="1"/>
  <c r="G361" i="15"/>
  <c r="BX361" i="6" s="1"/>
  <c r="H329" i="15"/>
  <c r="I329" i="15" s="1"/>
  <c r="H309" i="15"/>
  <c r="I309" i="15" s="1"/>
  <c r="G293" i="15"/>
  <c r="BX293" i="6" s="1"/>
  <c r="G137" i="15"/>
  <c r="BX137" i="6" s="1"/>
  <c r="H300" i="15"/>
  <c r="J300" i="15" s="1"/>
  <c r="H256" i="15"/>
  <c r="J256" i="15" s="1"/>
  <c r="H240" i="15"/>
  <c r="J240" i="15" s="1"/>
  <c r="G224" i="15"/>
  <c r="BX224" i="6" s="1"/>
  <c r="G106" i="15"/>
  <c r="BX106" i="6" s="1"/>
  <c r="H294" i="15"/>
  <c r="I294" i="15" s="1"/>
  <c r="H152" i="15"/>
  <c r="J152" i="15" s="1"/>
  <c r="H229" i="15"/>
  <c r="J229" i="15" s="1"/>
  <c r="G213" i="15"/>
  <c r="BX213" i="6" s="1"/>
  <c r="G341" i="15"/>
  <c r="BX341" i="6" s="1"/>
  <c r="AA364" i="15"/>
  <c r="Z364" i="15" s="1"/>
  <c r="Y364" i="15" s="1"/>
  <c r="AA308" i="15"/>
  <c r="Z308" i="15" s="1"/>
  <c r="Y308" i="15" s="1"/>
  <c r="AA300" i="15"/>
  <c r="Z300" i="15" s="1"/>
  <c r="Y300" i="15" s="1"/>
  <c r="AA268" i="15"/>
  <c r="Z268" i="15" s="1"/>
  <c r="Y268" i="15" s="1"/>
  <c r="AA208" i="15"/>
  <c r="Z208" i="15" s="1"/>
  <c r="Y208" i="15" s="1"/>
  <c r="AA168" i="15"/>
  <c r="Z168" i="15" s="1"/>
  <c r="Y168" i="15" s="1"/>
  <c r="AA128" i="15"/>
  <c r="Z128" i="15" s="1"/>
  <c r="Y128" i="15" s="1"/>
  <c r="AA80" i="15"/>
  <c r="Z80" i="15" s="1"/>
  <c r="Y80" i="15" s="1"/>
  <c r="AA66" i="15"/>
  <c r="Z66" i="15" s="1"/>
  <c r="Y66" i="15" s="1"/>
  <c r="AA293" i="15"/>
  <c r="Z293" i="15" s="1"/>
  <c r="Y293" i="15" s="1"/>
  <c r="AA137" i="15"/>
  <c r="Z137" i="15" s="1"/>
  <c r="Y137" i="15" s="1"/>
  <c r="G154" i="15"/>
  <c r="BX154" i="6" s="1"/>
  <c r="AA309" i="15"/>
  <c r="Z309" i="15" s="1"/>
  <c r="Y309" i="15" s="1"/>
  <c r="AA237" i="15"/>
  <c r="Z237" i="15" s="1"/>
  <c r="Y237" i="15" s="1"/>
  <c r="AA73" i="15"/>
  <c r="Z73" i="15" s="1"/>
  <c r="Y73" i="15" s="1"/>
  <c r="Q330" i="16"/>
  <c r="Q322" i="16"/>
  <c r="Q314" i="16"/>
  <c r="Q284" i="16"/>
  <c r="Q228" i="16"/>
  <c r="G301" i="15"/>
  <c r="BX301" i="6" s="1"/>
  <c r="H285" i="15"/>
  <c r="I285" i="15" s="1"/>
  <c r="AA82" i="15"/>
  <c r="Z82" i="15" s="1"/>
  <c r="Y82" i="15" s="1"/>
  <c r="AA229" i="15"/>
  <c r="Z229" i="15" s="1"/>
  <c r="Y229" i="15" s="1"/>
  <c r="H188" i="15"/>
  <c r="J188" i="15" s="1"/>
  <c r="G189" i="15"/>
  <c r="BX189" i="6" s="1"/>
  <c r="G82" i="15"/>
  <c r="BX82" i="6" s="1"/>
  <c r="G317" i="15"/>
  <c r="BX317" i="6" s="1"/>
  <c r="H253" i="15"/>
  <c r="J253" i="15" s="1"/>
  <c r="AA376" i="15"/>
  <c r="Z376" i="15" s="1"/>
  <c r="Y376" i="15" s="1"/>
  <c r="AA352" i="15"/>
  <c r="Z352" i="15" s="1"/>
  <c r="Y352" i="15" s="1"/>
  <c r="AA304" i="15"/>
  <c r="Z304" i="15" s="1"/>
  <c r="Y304" i="15" s="1"/>
  <c r="AA260" i="15"/>
  <c r="Z260" i="15" s="1"/>
  <c r="Y260" i="15" s="1"/>
  <c r="AA228" i="15"/>
  <c r="Z228" i="15" s="1"/>
  <c r="Y228" i="15" s="1"/>
  <c r="AA188" i="15"/>
  <c r="Z188" i="15" s="1"/>
  <c r="Y188" i="15" s="1"/>
  <c r="AA144" i="15"/>
  <c r="Z144" i="15" s="1"/>
  <c r="Y144" i="15" s="1"/>
  <c r="G328" i="15"/>
  <c r="BX328" i="6" s="1"/>
  <c r="G312" i="15"/>
  <c r="BX312" i="6" s="1"/>
  <c r="G120" i="15"/>
  <c r="BX120" i="6" s="1"/>
  <c r="G252" i="15"/>
  <c r="BX252" i="6" s="1"/>
  <c r="G244" i="15"/>
  <c r="BX244" i="6" s="1"/>
  <c r="AA373" i="15"/>
  <c r="Z373" i="15" s="1"/>
  <c r="Y373" i="15" s="1"/>
  <c r="AA341" i="15"/>
  <c r="Z341" i="15" s="1"/>
  <c r="Y341" i="15" s="1"/>
  <c r="AA301" i="15"/>
  <c r="Z301" i="15" s="1"/>
  <c r="Y301" i="15" s="1"/>
  <c r="AA285" i="15"/>
  <c r="Z285" i="15" s="1"/>
  <c r="Y285" i="15" s="1"/>
  <c r="AA253" i="15"/>
  <c r="Z253" i="15" s="1"/>
  <c r="Y253" i="15" s="1"/>
  <c r="AA213" i="15"/>
  <c r="Z213" i="15" s="1"/>
  <c r="Y213" i="15" s="1"/>
  <c r="Q308" i="16"/>
  <c r="Q292" i="16"/>
  <c r="Q276" i="16"/>
  <c r="Q244" i="16"/>
  <c r="Q212" i="16"/>
  <c r="Q268" i="16"/>
  <c r="Q252" i="16"/>
  <c r="Q236" i="16"/>
  <c r="Q220" i="16"/>
  <c r="AA61" i="15"/>
  <c r="Z61" i="15" s="1"/>
  <c r="Y61" i="15" s="1"/>
  <c r="G360" i="15"/>
  <c r="BX360" i="6" s="1"/>
  <c r="H212" i="15"/>
  <c r="I212" i="15" s="1"/>
  <c r="AA337" i="15"/>
  <c r="Z337" i="15" s="1"/>
  <c r="Y337" i="15" s="1"/>
  <c r="AA356" i="15"/>
  <c r="Z356" i="15" s="1"/>
  <c r="Y356" i="15" s="1"/>
  <c r="AA340" i="15"/>
  <c r="Z340" i="15" s="1"/>
  <c r="Y340" i="15" s="1"/>
  <c r="AA240" i="15"/>
  <c r="Z240" i="15" s="1"/>
  <c r="Y240" i="15" s="1"/>
  <c r="AA224" i="15"/>
  <c r="Z224" i="15" s="1"/>
  <c r="Y224" i="15" s="1"/>
  <c r="AA216" i="15"/>
  <c r="Z216" i="15" s="1"/>
  <c r="Y216" i="15" s="1"/>
  <c r="AA192" i="15"/>
  <c r="Z192" i="15" s="1"/>
  <c r="Y192" i="15" s="1"/>
  <c r="AA345" i="15"/>
  <c r="Z345" i="15" s="1"/>
  <c r="Y345" i="15" s="1"/>
  <c r="AA217" i="15"/>
  <c r="Z217" i="15" s="1"/>
  <c r="Y217" i="15" s="1"/>
  <c r="AA97" i="15"/>
  <c r="Z97" i="15" s="1"/>
  <c r="Y97" i="15" s="1"/>
  <c r="G204" i="15"/>
  <c r="BX204" i="6" s="1"/>
  <c r="H376" i="15"/>
  <c r="J376" i="15" s="1"/>
  <c r="G344" i="15"/>
  <c r="BX344" i="6" s="1"/>
  <c r="H353" i="15"/>
  <c r="I353" i="15" s="1"/>
  <c r="H269" i="15"/>
  <c r="I269" i="15" s="1"/>
  <c r="G280" i="15"/>
  <c r="BX280" i="6" s="1"/>
  <c r="H228" i="15"/>
  <c r="J228" i="15" s="1"/>
  <c r="G160" i="15"/>
  <c r="BX160" i="6" s="1"/>
  <c r="H337" i="15"/>
  <c r="I337" i="15" s="1"/>
  <c r="G337" i="15"/>
  <c r="BX337" i="6" s="1"/>
  <c r="AA328" i="15"/>
  <c r="Z328" i="15" s="1"/>
  <c r="Y328" i="15" s="1"/>
  <c r="AA312" i="15"/>
  <c r="Z312" i="15" s="1"/>
  <c r="Y312" i="15" s="1"/>
  <c r="AA292" i="15"/>
  <c r="Z292" i="15" s="1"/>
  <c r="Y292" i="15" s="1"/>
  <c r="AA212" i="15"/>
  <c r="Z212" i="15" s="1"/>
  <c r="Y212" i="15" s="1"/>
  <c r="AA204" i="15"/>
  <c r="Z204" i="15" s="1"/>
  <c r="Y204" i="15" s="1"/>
  <c r="AA196" i="15"/>
  <c r="Z196" i="15" s="1"/>
  <c r="Y196" i="15" s="1"/>
  <c r="AA120" i="15"/>
  <c r="Z120" i="15" s="1"/>
  <c r="Y120" i="15" s="1"/>
  <c r="H196" i="15"/>
  <c r="J196" i="15" s="1"/>
  <c r="AH382" i="15"/>
  <c r="G177" i="15"/>
  <c r="BX177" i="6" s="1"/>
  <c r="G61" i="15"/>
  <c r="BX61" i="6" s="1"/>
  <c r="G49" i="15"/>
  <c r="BX49" i="6" s="1"/>
  <c r="Q59" i="16"/>
  <c r="Q194" i="16"/>
  <c r="Q208" i="16"/>
  <c r="Q216" i="16"/>
  <c r="Q224" i="16"/>
  <c r="Q232" i="16"/>
  <c r="Q240" i="16"/>
  <c r="Q248" i="16"/>
  <c r="Q256" i="16"/>
  <c r="Q264" i="16"/>
  <c r="Q272" i="16"/>
  <c r="Q280" i="16"/>
  <c r="Q288" i="16"/>
  <c r="Q296" i="16"/>
  <c r="Q304" i="16"/>
  <c r="Q312" i="16"/>
  <c r="Q316" i="16"/>
  <c r="Q320" i="16"/>
  <c r="Q324" i="16"/>
  <c r="Q328" i="16"/>
  <c r="Q332" i="16"/>
  <c r="Q335" i="16"/>
  <c r="Q337" i="16"/>
  <c r="Q339" i="16"/>
  <c r="Q341" i="16"/>
  <c r="Q343" i="16"/>
  <c r="Q345" i="16"/>
  <c r="Q347" i="16"/>
  <c r="Q349" i="16"/>
  <c r="Q351" i="16"/>
  <c r="Q353" i="16"/>
  <c r="Q355" i="16"/>
  <c r="Q357" i="16"/>
  <c r="Q359" i="16"/>
  <c r="Q361" i="16"/>
  <c r="Q363" i="16"/>
  <c r="Q365" i="16"/>
  <c r="Q367" i="16"/>
  <c r="Q369" i="16"/>
  <c r="Q371" i="16"/>
  <c r="Q373" i="16"/>
  <c r="Q375" i="16"/>
  <c r="Q377" i="16"/>
  <c r="Q379" i="16"/>
  <c r="P15" i="7" s="1"/>
  <c r="G368" i="15"/>
  <c r="BX368" i="6" s="1"/>
  <c r="G352" i="15"/>
  <c r="BX352" i="6" s="1"/>
  <c r="H336" i="15"/>
  <c r="I336" i="15" s="1"/>
  <c r="G304" i="15"/>
  <c r="BX304" i="6" s="1"/>
  <c r="G176" i="15"/>
  <c r="BX176" i="6" s="1"/>
  <c r="H104" i="15"/>
  <c r="J104" i="15" s="1"/>
  <c r="H321" i="15"/>
  <c r="I321" i="15" s="1"/>
  <c r="H273" i="15"/>
  <c r="J273" i="15" s="1"/>
  <c r="G145" i="15"/>
  <c r="BX145" i="6" s="1"/>
  <c r="G292" i="15"/>
  <c r="BX292" i="6" s="1"/>
  <c r="G260" i="15"/>
  <c r="BX260" i="6" s="1"/>
  <c r="H236" i="15"/>
  <c r="I236" i="15" s="1"/>
  <c r="G220" i="15"/>
  <c r="BX220" i="6" s="1"/>
  <c r="G170" i="15"/>
  <c r="BX170" i="6" s="1"/>
  <c r="H122" i="15"/>
  <c r="J122" i="15" s="1"/>
  <c r="H90" i="15"/>
  <c r="J90" i="15" s="1"/>
  <c r="H25" i="15"/>
  <c r="J25" i="15" s="1"/>
  <c r="G144" i="15"/>
  <c r="BX144" i="6" s="1"/>
  <c r="AA360" i="15"/>
  <c r="Z360" i="15" s="1"/>
  <c r="Y360" i="15" s="1"/>
  <c r="AA344" i="15"/>
  <c r="Z344" i="15" s="1"/>
  <c r="Y344" i="15" s="1"/>
  <c r="AA336" i="15"/>
  <c r="Z336" i="15" s="1"/>
  <c r="Y336" i="15" s="1"/>
  <c r="AA280" i="15"/>
  <c r="Z280" i="15" s="1"/>
  <c r="Y280" i="15" s="1"/>
  <c r="AA244" i="15"/>
  <c r="Z244" i="15" s="1"/>
  <c r="Y244" i="15" s="1"/>
  <c r="AA236" i="15"/>
  <c r="Z236" i="15" s="1"/>
  <c r="Y236" i="15" s="1"/>
  <c r="AA220" i="15"/>
  <c r="Z220" i="15" s="1"/>
  <c r="Y220" i="15" s="1"/>
  <c r="AA92" i="15"/>
  <c r="Z92" i="15" s="1"/>
  <c r="Y92" i="15" s="1"/>
  <c r="AA368" i="15"/>
  <c r="Z368" i="15" s="1"/>
  <c r="Y368" i="15" s="1"/>
  <c r="AA176" i="15"/>
  <c r="Z176" i="15" s="1"/>
  <c r="Y176" i="15" s="1"/>
  <c r="AA160" i="15"/>
  <c r="Z160" i="15" s="1"/>
  <c r="Y160" i="15" s="1"/>
  <c r="AA104" i="15"/>
  <c r="Z104" i="15" s="1"/>
  <c r="Y104" i="15" s="1"/>
  <c r="AA353" i="15"/>
  <c r="Z353" i="15" s="1"/>
  <c r="Y353" i="15" s="1"/>
  <c r="AA177" i="15"/>
  <c r="Z177" i="15" s="1"/>
  <c r="Y177" i="15" s="1"/>
  <c r="AA145" i="15"/>
  <c r="Z145" i="15" s="1"/>
  <c r="Y145" i="15" s="1"/>
  <c r="AA49" i="15"/>
  <c r="Z49" i="15" s="1"/>
  <c r="Y49" i="15" s="1"/>
  <c r="Q333" i="16"/>
  <c r="Q331" i="16"/>
  <c r="Q329" i="16"/>
  <c r="Q327" i="16"/>
  <c r="Q325" i="16"/>
  <c r="Q323" i="16"/>
  <c r="Q321" i="16"/>
  <c r="Q319" i="16"/>
  <c r="Q317" i="16"/>
  <c r="Q315" i="16"/>
  <c r="Q313" i="16"/>
  <c r="Q310" i="16"/>
  <c r="Q306" i="16"/>
  <c r="Q302" i="16"/>
  <c r="Q298" i="16"/>
  <c r="Q294" i="16"/>
  <c r="Q290" i="16"/>
  <c r="Q286" i="16"/>
  <c r="Q282" i="16"/>
  <c r="Q278" i="16"/>
  <c r="Q274" i="16"/>
  <c r="Q270" i="16"/>
  <c r="Q266" i="16"/>
  <c r="Q262" i="16"/>
  <c r="Q258" i="16"/>
  <c r="Q254" i="16"/>
  <c r="Q250" i="16"/>
  <c r="Q246" i="16"/>
  <c r="Q242" i="16"/>
  <c r="Q238" i="16"/>
  <c r="Q234" i="16"/>
  <c r="Q230" i="16"/>
  <c r="Q226" i="16"/>
  <c r="Q222" i="16"/>
  <c r="Q218" i="16"/>
  <c r="Q214" i="16"/>
  <c r="Q210" i="16"/>
  <c r="Q206" i="16"/>
  <c r="Q198" i="16"/>
  <c r="Q167" i="16"/>
  <c r="AA172" i="15"/>
  <c r="Z172" i="15" s="1"/>
  <c r="Y172" i="15" s="1"/>
  <c r="G225" i="15"/>
  <c r="BX225" i="6" s="1"/>
  <c r="G105" i="15"/>
  <c r="BX105" i="6" s="1"/>
  <c r="H71" i="15"/>
  <c r="J71" i="15" s="1"/>
  <c r="G172" i="15"/>
  <c r="BX172" i="6" s="1"/>
  <c r="G149" i="15"/>
  <c r="BX149" i="6" s="1"/>
  <c r="G276" i="15"/>
  <c r="BX276" i="6" s="1"/>
  <c r="G153" i="15"/>
  <c r="BX153" i="6" s="1"/>
  <c r="G83" i="15"/>
  <c r="BX83" i="6" s="1"/>
  <c r="G71" i="15"/>
  <c r="BX71" i="6" s="1"/>
  <c r="G35" i="15"/>
  <c r="BX35" i="6" s="1"/>
  <c r="H370" i="15"/>
  <c r="J370" i="15" s="1"/>
  <c r="H92" i="15"/>
  <c r="J92" i="15" s="1"/>
  <c r="H265" i="15"/>
  <c r="J265" i="15" s="1"/>
  <c r="D40" i="7"/>
  <c r="AA69" i="15"/>
  <c r="Z69" i="15" s="1"/>
  <c r="Y69" i="15" s="1"/>
  <c r="AA276" i="15"/>
  <c r="Z276" i="15" s="1"/>
  <c r="Y276" i="15" s="1"/>
  <c r="AA252" i="15"/>
  <c r="Z252" i="15" s="1"/>
  <c r="Y252" i="15" s="1"/>
  <c r="AA122" i="15"/>
  <c r="Z122" i="15" s="1"/>
  <c r="Y122" i="15" s="1"/>
  <c r="AA225" i="15"/>
  <c r="Z225" i="15" s="1"/>
  <c r="Y225" i="15" s="1"/>
  <c r="AA165" i="15"/>
  <c r="Z165" i="15" s="1"/>
  <c r="Y165" i="15" s="1"/>
  <c r="AA121" i="15"/>
  <c r="Z121" i="15" s="1"/>
  <c r="Y121" i="15" s="1"/>
  <c r="AA83" i="15"/>
  <c r="Z83" i="15" s="1"/>
  <c r="Y83" i="15" s="1"/>
  <c r="H185" i="15"/>
  <c r="J185" i="15" s="1"/>
  <c r="AA153" i="15"/>
  <c r="Z153" i="15" s="1"/>
  <c r="Y153" i="15" s="1"/>
  <c r="H105" i="15"/>
  <c r="I105" i="15" s="1"/>
  <c r="G65" i="15"/>
  <c r="BX65" i="6" s="1"/>
  <c r="G318" i="15"/>
  <c r="BX318" i="6" s="1"/>
  <c r="H289" i="15"/>
  <c r="J289" i="15" s="1"/>
  <c r="H249" i="15"/>
  <c r="J249" i="15" s="1"/>
  <c r="H121" i="15"/>
  <c r="J121" i="15" s="1"/>
  <c r="G231" i="15"/>
  <c r="BX231" i="6" s="1"/>
  <c r="H209" i="15"/>
  <c r="J209" i="15" s="1"/>
  <c r="AA89" i="15"/>
  <c r="Z89" i="15" s="1"/>
  <c r="Y89" i="15" s="1"/>
  <c r="G147" i="15"/>
  <c r="BX147" i="6" s="1"/>
  <c r="G305" i="15"/>
  <c r="BX305" i="6" s="1"/>
  <c r="H129" i="15"/>
  <c r="J129" i="15" s="1"/>
  <c r="AA248" i="15"/>
  <c r="Z248" i="15" s="1"/>
  <c r="Y248" i="15" s="1"/>
  <c r="AA154" i="15"/>
  <c r="Z154" i="15" s="1"/>
  <c r="Y154" i="15" s="1"/>
  <c r="AA209" i="15"/>
  <c r="Z209" i="15" s="1"/>
  <c r="Y209" i="15" s="1"/>
  <c r="AA147" i="15"/>
  <c r="Z147" i="15" s="1"/>
  <c r="Y147" i="15" s="1"/>
  <c r="G369" i="15"/>
  <c r="BX369" i="6" s="1"/>
  <c r="H169" i="15"/>
  <c r="J169" i="15" s="1"/>
  <c r="H113" i="15"/>
  <c r="I113" i="15" s="1"/>
  <c r="G89" i="15"/>
  <c r="BX89" i="6" s="1"/>
  <c r="H69" i="15"/>
  <c r="J69" i="15" s="1"/>
  <c r="G41" i="15"/>
  <c r="BX41" i="6" s="1"/>
  <c r="H33" i="15"/>
  <c r="I33" i="15" s="1"/>
  <c r="H74" i="15"/>
  <c r="I74" i="15" s="1"/>
  <c r="G281" i="15"/>
  <c r="BX281" i="6" s="1"/>
  <c r="G257" i="15"/>
  <c r="BX257" i="6" s="1"/>
  <c r="AA254" i="15"/>
  <c r="Z254" i="15" s="1"/>
  <c r="Y254" i="15" s="1"/>
  <c r="AA134" i="15"/>
  <c r="Z134" i="15" s="1"/>
  <c r="Y134" i="15" s="1"/>
  <c r="AA269" i="15"/>
  <c r="Z269" i="15" s="1"/>
  <c r="Y269" i="15" s="1"/>
  <c r="G29" i="15"/>
  <c r="BX29" i="6" s="1"/>
  <c r="AA29" i="15"/>
  <c r="Z29" i="15" s="1"/>
  <c r="Y29" i="15" s="1"/>
  <c r="AA106" i="15"/>
  <c r="Z106" i="15" s="1"/>
  <c r="Y106" i="15" s="1"/>
  <c r="AA74" i="15"/>
  <c r="Z74" i="15" s="1"/>
  <c r="Y74" i="15" s="1"/>
  <c r="AA369" i="15"/>
  <c r="Z369" i="15" s="1"/>
  <c r="Y369" i="15" s="1"/>
  <c r="AA305" i="15"/>
  <c r="Z305" i="15" s="1"/>
  <c r="Y305" i="15" s="1"/>
  <c r="AA113" i="15"/>
  <c r="Z113" i="15" s="1"/>
  <c r="Y113" i="15" s="1"/>
  <c r="AA41" i="15"/>
  <c r="Z41" i="15" s="1"/>
  <c r="Y41" i="15" s="1"/>
  <c r="AA33" i="15"/>
  <c r="Z33" i="15" s="1"/>
  <c r="Y33" i="15" s="1"/>
  <c r="AA231" i="15"/>
  <c r="Z231" i="15" s="1"/>
  <c r="Y231" i="15" s="1"/>
  <c r="H302" i="15"/>
  <c r="J302" i="15" s="1"/>
  <c r="AA281" i="15"/>
  <c r="Z281" i="15" s="1"/>
  <c r="Y281" i="15" s="1"/>
  <c r="AA257" i="15"/>
  <c r="Z257" i="15" s="1"/>
  <c r="Y257" i="15" s="1"/>
  <c r="AA169" i="15"/>
  <c r="Z169" i="15" s="1"/>
  <c r="Y169" i="15" s="1"/>
  <c r="AA129" i="15"/>
  <c r="Z129" i="15" s="1"/>
  <c r="Y129" i="15" s="1"/>
  <c r="AA77" i="15"/>
  <c r="Z77" i="15" s="1"/>
  <c r="Y77" i="15" s="1"/>
  <c r="AA57" i="15"/>
  <c r="Z57" i="15" s="1"/>
  <c r="Y57" i="15" s="1"/>
  <c r="AA90" i="15"/>
  <c r="Z90" i="15" s="1"/>
  <c r="Y90" i="15" s="1"/>
  <c r="AA321" i="15"/>
  <c r="Z321" i="15" s="1"/>
  <c r="Y321" i="15" s="1"/>
  <c r="AA185" i="15"/>
  <c r="Z185" i="15" s="1"/>
  <c r="Y185" i="15" s="1"/>
  <c r="AA149" i="15"/>
  <c r="Z149" i="15" s="1"/>
  <c r="Y149" i="15" s="1"/>
  <c r="G77" i="15"/>
  <c r="BX77" i="6" s="1"/>
  <c r="AA65" i="15"/>
  <c r="Z65" i="15" s="1"/>
  <c r="Y65" i="15" s="1"/>
  <c r="H57" i="15"/>
  <c r="I57" i="15" s="1"/>
  <c r="G45" i="15"/>
  <c r="BX45" i="6" s="1"/>
  <c r="AA170" i="15"/>
  <c r="Z170" i="15" s="1"/>
  <c r="Y170" i="15" s="1"/>
  <c r="AA25" i="15"/>
  <c r="Z25" i="15" s="1"/>
  <c r="Y25" i="15" s="1"/>
  <c r="V241" i="15"/>
  <c r="F241" i="15" s="1"/>
  <c r="D39" i="7"/>
  <c r="AA180" i="15"/>
  <c r="Z180" i="15" s="1"/>
  <c r="Y180" i="15" s="1"/>
  <c r="AH381" i="15"/>
  <c r="AH383" i="15"/>
  <c r="G180" i="15"/>
  <c r="BX180" i="6" s="1"/>
  <c r="G134" i="15"/>
  <c r="BX134" i="6" s="1"/>
  <c r="H254" i="15"/>
  <c r="I254" i="15" s="1"/>
  <c r="Q204" i="16"/>
  <c r="Q200" i="16"/>
  <c r="Q196" i="16"/>
  <c r="Q190" i="16"/>
  <c r="Q135" i="16"/>
  <c r="Q192" i="16"/>
  <c r="Q183" i="16"/>
  <c r="Q151" i="16"/>
  <c r="Q109" i="16"/>
  <c r="AA365" i="15"/>
  <c r="Z365" i="15" s="1"/>
  <c r="Y365" i="15" s="1"/>
  <c r="AA138" i="15"/>
  <c r="Z138" i="15" s="1"/>
  <c r="Y138" i="15" s="1"/>
  <c r="Q188" i="16"/>
  <c r="Q175" i="16"/>
  <c r="Q159" i="16"/>
  <c r="Q143" i="16"/>
  <c r="Q125" i="16"/>
  <c r="Q85" i="16"/>
  <c r="AA302" i="15"/>
  <c r="Z302" i="15" s="1"/>
  <c r="Y302" i="15" s="1"/>
  <c r="G62" i="19"/>
  <c r="H35" i="15"/>
  <c r="I35" i="15" s="1"/>
  <c r="H365" i="15"/>
  <c r="I365" i="15" s="1"/>
  <c r="H165" i="15"/>
  <c r="J165" i="15" s="1"/>
  <c r="G85" i="15"/>
  <c r="BX85" i="6" s="1"/>
  <c r="H45" i="15"/>
  <c r="J45" i="15" s="1"/>
  <c r="H210" i="15"/>
  <c r="J210" i="15" s="1"/>
  <c r="AA34" i="15"/>
  <c r="Z34" i="15" s="1"/>
  <c r="Y34" i="15" s="1"/>
  <c r="G138" i="15"/>
  <c r="BX138" i="6" s="1"/>
  <c r="H62" i="19"/>
  <c r="H85" i="15"/>
  <c r="J85" i="15" s="1"/>
  <c r="H138" i="15"/>
  <c r="I138" i="15" s="1"/>
  <c r="F62" i="19"/>
  <c r="Q186" i="16"/>
  <c r="Q179" i="16"/>
  <c r="Q171" i="16"/>
  <c r="Q163" i="16"/>
  <c r="Q155" i="16"/>
  <c r="Q147" i="16"/>
  <c r="Q139" i="16"/>
  <c r="Q131" i="16"/>
  <c r="Q117" i="16"/>
  <c r="Q101" i="16"/>
  <c r="H88" i="15"/>
  <c r="J88" i="15" s="1"/>
  <c r="G39" i="15"/>
  <c r="BX39" i="6" s="1"/>
  <c r="H326" i="15"/>
  <c r="I326" i="15" s="1"/>
  <c r="AA210" i="15"/>
  <c r="Z210" i="15" s="1"/>
  <c r="Y210" i="15" s="1"/>
  <c r="H29" i="15"/>
  <c r="J29" i="15" s="1"/>
  <c r="AA326" i="15"/>
  <c r="Z326" i="15" s="1"/>
  <c r="Y326" i="15" s="1"/>
  <c r="AA88" i="15"/>
  <c r="Z88" i="15" s="1"/>
  <c r="Y88" i="15" s="1"/>
  <c r="AA39" i="15"/>
  <c r="Z39" i="15" s="1"/>
  <c r="Y39" i="15" s="1"/>
  <c r="Q23" i="16"/>
  <c r="Q43" i="16"/>
  <c r="Q75" i="16"/>
  <c r="Q93" i="16"/>
  <c r="Q105" i="16"/>
  <c r="Q113" i="16"/>
  <c r="Q121" i="16"/>
  <c r="Q129" i="16"/>
  <c r="Q133" i="16"/>
  <c r="Q137" i="16"/>
  <c r="Q141" i="16"/>
  <c r="Q145" i="16"/>
  <c r="Q149" i="16"/>
  <c r="Q153" i="16"/>
  <c r="Q157" i="16"/>
  <c r="Q161" i="16"/>
  <c r="Q165" i="16"/>
  <c r="Q169" i="16"/>
  <c r="Q173" i="16"/>
  <c r="Q177" i="16"/>
  <c r="Q181" i="16"/>
  <c r="Q185" i="16"/>
  <c r="Q187" i="16"/>
  <c r="Q189" i="16"/>
  <c r="Q191" i="16"/>
  <c r="Q193" i="16"/>
  <c r="Q195" i="16"/>
  <c r="Q197" i="16"/>
  <c r="Q199" i="16"/>
  <c r="Q201" i="16"/>
  <c r="Q203" i="16"/>
  <c r="Q205" i="16"/>
  <c r="Q207" i="16"/>
  <c r="Q209" i="16"/>
  <c r="Q211" i="16"/>
  <c r="Q213" i="16"/>
  <c r="Q215" i="16"/>
  <c r="Q217" i="16"/>
  <c r="Q219" i="16"/>
  <c r="Q221" i="16"/>
  <c r="Q223" i="16"/>
  <c r="Q225" i="16"/>
  <c r="Q227" i="16"/>
  <c r="Q229" i="16"/>
  <c r="Q231" i="16"/>
  <c r="Q233" i="16"/>
  <c r="Q235" i="16"/>
  <c r="Q237" i="16"/>
  <c r="Q239" i="16"/>
  <c r="Q241" i="16"/>
  <c r="Q243" i="16"/>
  <c r="Q245" i="16"/>
  <c r="Q247" i="16"/>
  <c r="Q249" i="16"/>
  <c r="Q251" i="16"/>
  <c r="Q253" i="16"/>
  <c r="Q255" i="16"/>
  <c r="Q257" i="16"/>
  <c r="Q259" i="16"/>
  <c r="Q261" i="16"/>
  <c r="Q263" i="16"/>
  <c r="Q265" i="16"/>
  <c r="Q267" i="16"/>
  <c r="Q269" i="16"/>
  <c r="Q271" i="16"/>
  <c r="Q273" i="16"/>
  <c r="Q275" i="16"/>
  <c r="Q277" i="16"/>
  <c r="Q279" i="16"/>
  <c r="Q281" i="16"/>
  <c r="Q283" i="16"/>
  <c r="Q285" i="16"/>
  <c r="Q287" i="16"/>
  <c r="Q289" i="16"/>
  <c r="Q291" i="16"/>
  <c r="Q293" i="16"/>
  <c r="Q295" i="16"/>
  <c r="Q297" i="16"/>
  <c r="Q299" i="16"/>
  <c r="Q301" i="16"/>
  <c r="Q303" i="16"/>
  <c r="Q305" i="16"/>
  <c r="Q307" i="16"/>
  <c r="Q309" i="16"/>
  <c r="Q311" i="16"/>
  <c r="V380" i="15"/>
  <c r="F380" i="15" s="1"/>
  <c r="Q97" i="16"/>
  <c r="Q89" i="16"/>
  <c r="Q81" i="16"/>
  <c r="Q67" i="16"/>
  <c r="Q51" i="16"/>
  <c r="Q31" i="16"/>
  <c r="Q127" i="16"/>
  <c r="Q123" i="16"/>
  <c r="Q119" i="16"/>
  <c r="Q115" i="16"/>
  <c r="Q111" i="16"/>
  <c r="Q107" i="16"/>
  <c r="Q103" i="16"/>
  <c r="Q99" i="16"/>
  <c r="Q95" i="16"/>
  <c r="Q91" i="16"/>
  <c r="Q87" i="16"/>
  <c r="Q83" i="16"/>
  <c r="Q79" i="16"/>
  <c r="Q71" i="16"/>
  <c r="Q63" i="16"/>
  <c r="Q55" i="16"/>
  <c r="Q47" i="16"/>
  <c r="Q39" i="16"/>
  <c r="AA318" i="15"/>
  <c r="Z318" i="15" s="1"/>
  <c r="Y318" i="15" s="1"/>
  <c r="AA370" i="15"/>
  <c r="Z370" i="15" s="1"/>
  <c r="Y370" i="15" s="1"/>
  <c r="H34" i="15"/>
  <c r="J34" i="15" s="1"/>
  <c r="Q15" i="7"/>
  <c r="Q19" i="16"/>
  <c r="Q27" i="16"/>
  <c r="Q35" i="16"/>
  <c r="Q41" i="16"/>
  <c r="Q45" i="16"/>
  <c r="Q49" i="16"/>
  <c r="Q53" i="16"/>
  <c r="Q57" i="16"/>
  <c r="Q61" i="16"/>
  <c r="Q65" i="16"/>
  <c r="Q69" i="16"/>
  <c r="Q73" i="16"/>
  <c r="Q77" i="16"/>
  <c r="Q80" i="16"/>
  <c r="Q82" i="16"/>
  <c r="Q84" i="16"/>
  <c r="Q86" i="16"/>
  <c r="Q88" i="16"/>
  <c r="Q90" i="16"/>
  <c r="Q92" i="16"/>
  <c r="Q94" i="16"/>
  <c r="Q96" i="16"/>
  <c r="Q98" i="16"/>
  <c r="Q100" i="16"/>
  <c r="Q102" i="16"/>
  <c r="Q104" i="16"/>
  <c r="Q106" i="16"/>
  <c r="Q108" i="16"/>
  <c r="Q110" i="16"/>
  <c r="Q112" i="16"/>
  <c r="Q114" i="16"/>
  <c r="Q116" i="16"/>
  <c r="Q118" i="16"/>
  <c r="Q120" i="16"/>
  <c r="Q122" i="16"/>
  <c r="Q124" i="16"/>
  <c r="Q126" i="16"/>
  <c r="Q128" i="16"/>
  <c r="Q130" i="16"/>
  <c r="Q132" i="16"/>
  <c r="Q134" i="16"/>
  <c r="Q136" i="16"/>
  <c r="Q138" i="16"/>
  <c r="Q140" i="16"/>
  <c r="Q142" i="16"/>
  <c r="Q144" i="16"/>
  <c r="Q146" i="16"/>
  <c r="Q148" i="16"/>
  <c r="Q150" i="16"/>
  <c r="Q152" i="16"/>
  <c r="Q154" i="16"/>
  <c r="Q156" i="16"/>
  <c r="Q158" i="16"/>
  <c r="Q160" i="16"/>
  <c r="Q162" i="16"/>
  <c r="Q164" i="16"/>
  <c r="Q166" i="16"/>
  <c r="Q168" i="16"/>
  <c r="Q170" i="16"/>
  <c r="Q172" i="16"/>
  <c r="Q174" i="16"/>
  <c r="Q176" i="16"/>
  <c r="Q178" i="16"/>
  <c r="Q180" i="16"/>
  <c r="Q182" i="16"/>
  <c r="Q184" i="16"/>
  <c r="L62" i="19"/>
  <c r="F136" i="15"/>
  <c r="AA136" i="15" s="1"/>
  <c r="Z136" i="15" s="1"/>
  <c r="Y136" i="15" s="1"/>
  <c r="AC383" i="20"/>
  <c r="AC382" i="20"/>
  <c r="AC381" i="20"/>
  <c r="C62" i="19"/>
  <c r="Q37" i="16"/>
  <c r="Q33" i="16"/>
  <c r="Q29" i="16"/>
  <c r="Q25" i="16"/>
  <c r="Q21" i="16"/>
  <c r="Q17" i="16"/>
  <c r="J62" i="19"/>
  <c r="V379" i="1"/>
  <c r="P382" i="1"/>
  <c r="P381" i="1"/>
  <c r="P383" i="1"/>
  <c r="O381" i="20"/>
  <c r="O383" i="20"/>
  <c r="O382" i="20"/>
  <c r="D62" i="19"/>
  <c r="F108" i="15"/>
  <c r="G108" i="15" s="1"/>
  <c r="BX108" i="6" s="1"/>
  <c r="D383" i="16"/>
  <c r="D9" i="16"/>
  <c r="D11" i="16" s="1"/>
  <c r="E37" i="19" s="1"/>
  <c r="D381" i="16"/>
  <c r="D382" i="16"/>
  <c r="AJ8" i="16"/>
  <c r="G233" i="15"/>
  <c r="BX233" i="6" s="1"/>
  <c r="AA233" i="15"/>
  <c r="Z233" i="15" s="1"/>
  <c r="Y233" i="15" s="1"/>
  <c r="H233" i="15"/>
  <c r="G56" i="15"/>
  <c r="BX56" i="6" s="1"/>
  <c r="H56" i="15"/>
  <c r="AA56" i="15"/>
  <c r="Z56" i="15" s="1"/>
  <c r="Y56" i="15" s="1"/>
  <c r="G40" i="15"/>
  <c r="BX40" i="6" s="1"/>
  <c r="H40" i="15"/>
  <c r="AA40" i="15"/>
  <c r="Z40" i="15" s="1"/>
  <c r="Y40" i="15" s="1"/>
  <c r="G298" i="15"/>
  <c r="BX298" i="6" s="1"/>
  <c r="AA298" i="15"/>
  <c r="Z298" i="15" s="1"/>
  <c r="Y298" i="15" s="1"/>
  <c r="H298" i="15"/>
  <c r="H22" i="15"/>
  <c r="AA22" i="15"/>
  <c r="Z22" i="15" s="1"/>
  <c r="Y22" i="15" s="1"/>
  <c r="G22" i="15"/>
  <c r="BX22" i="6" s="1"/>
  <c r="AA297" i="15"/>
  <c r="Z297" i="15" s="1"/>
  <c r="Y297" i="15" s="1"/>
  <c r="G297" i="15"/>
  <c r="BX297" i="6" s="1"/>
  <c r="H297" i="15"/>
  <c r="AA20" i="15"/>
  <c r="Z20" i="15" s="1"/>
  <c r="Y20" i="15" s="1"/>
  <c r="G20" i="15"/>
  <c r="BX20" i="6" s="1"/>
  <c r="H20" i="15"/>
  <c r="H272" i="15"/>
  <c r="G272" i="15"/>
  <c r="BX272" i="6" s="1"/>
  <c r="AA272" i="15"/>
  <c r="Z272" i="15" s="1"/>
  <c r="Y272" i="15" s="1"/>
  <c r="AA32" i="15"/>
  <c r="Z32" i="15" s="1"/>
  <c r="Y32" i="15" s="1"/>
  <c r="G32" i="15"/>
  <c r="BX32" i="6" s="1"/>
  <c r="H32" i="15"/>
  <c r="H23" i="15"/>
  <c r="AA23" i="15"/>
  <c r="Z23" i="15" s="1"/>
  <c r="Y23" i="15" s="1"/>
  <c r="G23" i="15"/>
  <c r="BX23" i="6" s="1"/>
  <c r="AA58" i="15"/>
  <c r="Z58" i="15" s="1"/>
  <c r="Y58" i="15" s="1"/>
  <c r="H58" i="15"/>
  <c r="G58" i="15"/>
  <c r="BX58" i="6" s="1"/>
  <c r="G46" i="15"/>
  <c r="BX46" i="6" s="1"/>
  <c r="AA46" i="15"/>
  <c r="Z46" i="15" s="1"/>
  <c r="Y46" i="15" s="1"/>
  <c r="H46" i="15"/>
  <c r="H26" i="15"/>
  <c r="G26" i="15"/>
  <c r="BX26" i="6" s="1"/>
  <c r="AA26" i="15"/>
  <c r="Z26" i="15" s="1"/>
  <c r="Y26" i="15" s="1"/>
  <c r="H44" i="15"/>
  <c r="G44" i="15"/>
  <c r="BX44" i="6" s="1"/>
  <c r="AA44" i="15"/>
  <c r="Z44" i="15" s="1"/>
  <c r="Y44" i="15" s="1"/>
  <c r="AA16" i="15"/>
  <c r="Z16" i="15" s="1"/>
  <c r="Y16" i="15" s="1"/>
  <c r="H16" i="15"/>
  <c r="G16" i="15"/>
  <c r="BX16" i="6" s="1"/>
  <c r="G21" i="15"/>
  <c r="BX21" i="6" s="1"/>
  <c r="H21" i="15"/>
  <c r="AA21" i="15"/>
  <c r="Z21" i="15" s="1"/>
  <c r="Y21" i="15" s="1"/>
  <c r="G28" i="15"/>
  <c r="BX28" i="6" s="1"/>
  <c r="AA28" i="15"/>
  <c r="Z28" i="15" s="1"/>
  <c r="Y28" i="15" s="1"/>
  <c r="H28" i="15"/>
  <c r="G50" i="15"/>
  <c r="BX50" i="6" s="1"/>
  <c r="H50" i="15"/>
  <c r="AA50" i="15"/>
  <c r="Z50" i="15" s="1"/>
  <c r="Y50" i="15" s="1"/>
  <c r="AA38" i="15"/>
  <c r="Z38" i="15" s="1"/>
  <c r="Y38" i="15" s="1"/>
  <c r="G38" i="15"/>
  <c r="BX38" i="6" s="1"/>
  <c r="H38" i="15"/>
  <c r="H24" i="15"/>
  <c r="AA24" i="15"/>
  <c r="Z24" i="15" s="1"/>
  <c r="Y24" i="15" s="1"/>
  <c r="G24" i="15"/>
  <c r="BX24" i="6" s="1"/>
  <c r="L381" i="20"/>
  <c r="L383" i="20"/>
  <c r="L382" i="20"/>
  <c r="AB378" i="23"/>
  <c r="A379" i="23"/>
  <c r="AJ378" i="23"/>
  <c r="AK378" i="23"/>
  <c r="K378" i="23"/>
  <c r="X378" i="23"/>
  <c r="L378" i="23"/>
  <c r="O378" i="23"/>
  <c r="AC378" i="23"/>
  <c r="AK3" i="18"/>
  <c r="Q15" i="19" s="1"/>
  <c r="J208" i="15"/>
  <c r="I208" i="15"/>
  <c r="I204" i="15"/>
  <c r="J204" i="15"/>
  <c r="J72" i="15"/>
  <c r="I72" i="15"/>
  <c r="G52" i="15"/>
  <c r="BX52" i="6" s="1"/>
  <c r="AA52" i="15"/>
  <c r="Z52" i="15" s="1"/>
  <c r="Y52" i="15" s="1"/>
  <c r="H52" i="15"/>
  <c r="H48" i="15"/>
  <c r="AA48" i="15"/>
  <c r="Z48" i="15" s="1"/>
  <c r="Y48" i="15" s="1"/>
  <c r="G48" i="15"/>
  <c r="BX48" i="6" s="1"/>
  <c r="AA36" i="15"/>
  <c r="Z36" i="15" s="1"/>
  <c r="Y36" i="15" s="1"/>
  <c r="G36" i="15"/>
  <c r="BX36" i="6" s="1"/>
  <c r="H36" i="15"/>
  <c r="C11" i="19"/>
  <c r="AG383" i="15"/>
  <c r="AG381" i="15"/>
  <c r="AF15" i="15"/>
  <c r="J373" i="15"/>
  <c r="I373" i="15"/>
  <c r="I239" i="15"/>
  <c r="J239" i="15"/>
  <c r="J225" i="15"/>
  <c r="I225" i="15"/>
  <c r="J217" i="15"/>
  <c r="I217" i="15"/>
  <c r="J207" i="15"/>
  <c r="J205" i="15"/>
  <c r="I205" i="15"/>
  <c r="J203" i="15"/>
  <c r="I203" i="15"/>
  <c r="J195" i="15"/>
  <c r="I195" i="15"/>
  <c r="I189" i="15"/>
  <c r="J189" i="15"/>
  <c r="I183" i="15"/>
  <c r="J183" i="15"/>
  <c r="J181" i="15"/>
  <c r="I181" i="15"/>
  <c r="I173" i="15"/>
  <c r="J173" i="15"/>
  <c r="I159" i="15"/>
  <c r="J159" i="15"/>
  <c r="I153" i="15"/>
  <c r="J153" i="15"/>
  <c r="I111" i="15"/>
  <c r="J111" i="15"/>
  <c r="J109" i="15"/>
  <c r="I109" i="15"/>
  <c r="H101" i="15"/>
  <c r="G101" i="15"/>
  <c r="BX101" i="6" s="1"/>
  <c r="AA101" i="15"/>
  <c r="Z101" i="15" s="1"/>
  <c r="Y101" i="15" s="1"/>
  <c r="I99" i="15"/>
  <c r="J99" i="15"/>
  <c r="J93" i="15"/>
  <c r="I93" i="15"/>
  <c r="J89" i="15"/>
  <c r="I89" i="15"/>
  <c r="I83" i="15"/>
  <c r="J83" i="15"/>
  <c r="I77" i="15"/>
  <c r="J77" i="15"/>
  <c r="H75" i="15"/>
  <c r="AA75" i="15"/>
  <c r="Z75" i="15" s="1"/>
  <c r="Y75" i="15" s="1"/>
  <c r="G75" i="15"/>
  <c r="BX75" i="6" s="1"/>
  <c r="J65" i="15"/>
  <c r="I65" i="15"/>
  <c r="J61" i="15"/>
  <c r="I61" i="15"/>
  <c r="J53" i="15"/>
  <c r="I53" i="15"/>
  <c r="I43" i="15"/>
  <c r="I39" i="15"/>
  <c r="J39" i="15"/>
  <c r="Q12" i="17"/>
  <c r="AE379" i="16"/>
  <c r="AE12" i="17" s="1"/>
  <c r="AE377" i="16"/>
  <c r="AE375" i="16"/>
  <c r="AE373" i="16"/>
  <c r="AE371" i="16"/>
  <c r="AE369" i="16"/>
  <c r="AE367" i="16"/>
  <c r="AE365" i="16"/>
  <c r="AE363" i="16"/>
  <c r="AE361" i="16"/>
  <c r="AE359" i="16"/>
  <c r="AE357" i="16"/>
  <c r="AE355" i="16"/>
  <c r="AE353" i="16"/>
  <c r="AE351" i="16"/>
  <c r="AE349" i="16"/>
  <c r="AE347" i="16"/>
  <c r="AE345" i="16"/>
  <c r="AE343" i="16"/>
  <c r="AE341" i="16"/>
  <c r="AE339" i="16"/>
  <c r="AE337" i="16"/>
  <c r="AE335" i="16"/>
  <c r="AE333" i="16"/>
  <c r="AE331" i="16"/>
  <c r="AE329" i="16"/>
  <c r="AE327" i="16"/>
  <c r="AE325" i="16"/>
  <c r="AE323" i="16"/>
  <c r="AE321" i="16"/>
  <c r="AE319" i="16"/>
  <c r="AE317" i="16"/>
  <c r="AE315" i="16"/>
  <c r="AE313" i="16"/>
  <c r="AE311" i="16"/>
  <c r="AE309" i="16"/>
  <c r="AE307" i="16"/>
  <c r="AE305" i="16"/>
  <c r="AE303" i="16"/>
  <c r="AE301" i="16"/>
  <c r="AE299" i="16"/>
  <c r="AE297" i="16"/>
  <c r="AE295" i="16"/>
  <c r="AE293" i="16"/>
  <c r="AE291" i="16"/>
  <c r="AE289" i="16"/>
  <c r="AE287" i="16"/>
  <c r="AE285" i="16"/>
  <c r="AE283" i="16"/>
  <c r="AE281" i="16"/>
  <c r="AE279" i="16"/>
  <c r="AE277" i="16"/>
  <c r="AE275" i="16"/>
  <c r="AE273" i="16"/>
  <c r="AE271" i="16"/>
  <c r="AE269" i="16"/>
  <c r="AE267" i="16"/>
  <c r="AE265" i="16"/>
  <c r="AE263" i="16"/>
  <c r="AE261" i="16"/>
  <c r="AE259" i="16"/>
  <c r="AE257" i="16"/>
  <c r="AE255" i="16"/>
  <c r="AE253" i="16"/>
  <c r="AE251" i="16"/>
  <c r="AE249" i="16"/>
  <c r="AE247" i="16"/>
  <c r="AE245" i="16"/>
  <c r="AE243" i="16"/>
  <c r="AE241" i="16"/>
  <c r="AE239" i="16"/>
  <c r="AE237" i="16"/>
  <c r="AE235" i="16"/>
  <c r="AE233" i="16"/>
  <c r="AE231" i="16"/>
  <c r="AE229" i="16"/>
  <c r="AE227" i="16"/>
  <c r="AE225" i="16"/>
  <c r="AE223" i="16"/>
  <c r="AE221" i="16"/>
  <c r="AE219" i="16"/>
  <c r="AE217" i="16"/>
  <c r="AE215" i="16"/>
  <c r="AE213" i="16"/>
  <c r="AE211" i="16"/>
  <c r="AE209" i="16"/>
  <c r="AE207" i="16"/>
  <c r="AE205" i="16"/>
  <c r="AE203" i="16"/>
  <c r="AE201" i="16"/>
  <c r="AE199" i="16"/>
  <c r="AE197" i="16"/>
  <c r="AE195" i="16"/>
  <c r="AE193" i="16"/>
  <c r="AE191" i="16"/>
  <c r="AE189" i="16"/>
  <c r="AE187" i="16"/>
  <c r="AE185" i="16"/>
  <c r="AE183" i="16"/>
  <c r="AE181" i="16"/>
  <c r="AE179" i="16"/>
  <c r="AE177" i="16"/>
  <c r="AE175" i="16"/>
  <c r="AE173" i="16"/>
  <c r="AE171" i="16"/>
  <c r="AE169" i="16"/>
  <c r="AE167" i="16"/>
  <c r="AE165" i="16"/>
  <c r="AE163" i="16"/>
  <c r="AE161" i="16"/>
  <c r="AE159" i="16"/>
  <c r="AE157" i="16"/>
  <c r="AE155" i="16"/>
  <c r="AE153" i="16"/>
  <c r="AE151" i="16"/>
  <c r="AE149" i="16"/>
  <c r="AE147" i="16"/>
  <c r="AE145" i="16"/>
  <c r="AE143" i="16"/>
  <c r="AE141" i="16"/>
  <c r="AE139" i="16"/>
  <c r="AE137" i="16"/>
  <c r="AE135" i="16"/>
  <c r="AE133" i="16"/>
  <c r="AE131" i="16"/>
  <c r="AE129" i="16"/>
  <c r="AE127" i="16"/>
  <c r="AE125" i="16"/>
  <c r="AE123" i="16"/>
  <c r="AE121" i="16"/>
  <c r="AE119" i="16"/>
  <c r="AE117" i="16"/>
  <c r="AE115" i="16"/>
  <c r="AE113" i="16"/>
  <c r="AE111" i="16"/>
  <c r="AE109" i="16"/>
  <c r="AE107" i="16"/>
  <c r="AE105" i="16"/>
  <c r="AE103" i="16"/>
  <c r="AE101" i="16"/>
  <c r="AE99" i="16"/>
  <c r="AE97" i="16"/>
  <c r="AE95" i="16"/>
  <c r="AE93" i="16"/>
  <c r="AE91" i="16"/>
  <c r="AE89" i="16"/>
  <c r="AE87" i="16"/>
  <c r="AE85" i="16"/>
  <c r="AE83" i="16"/>
  <c r="AE81" i="16"/>
  <c r="AE79" i="16"/>
  <c r="AE77" i="16"/>
  <c r="AE75" i="16"/>
  <c r="AE73" i="16"/>
  <c r="AE71" i="16"/>
  <c r="AE69" i="16"/>
  <c r="AE67" i="16"/>
  <c r="AE65" i="16"/>
  <c r="AE63" i="16"/>
  <c r="AE61" i="16"/>
  <c r="AE59" i="16"/>
  <c r="AE57" i="16"/>
  <c r="AE55" i="16"/>
  <c r="AE53" i="16"/>
  <c r="AE51" i="16"/>
  <c r="AE49" i="16"/>
  <c r="AE47" i="16"/>
  <c r="AE45" i="16"/>
  <c r="AE43" i="16"/>
  <c r="AE41" i="16"/>
  <c r="AE39" i="16"/>
  <c r="AE37" i="16"/>
  <c r="AE35" i="16"/>
  <c r="AE33" i="16"/>
  <c r="AE31" i="16"/>
  <c r="AE29" i="16"/>
  <c r="AE27" i="16"/>
  <c r="AE25" i="16"/>
  <c r="AE23" i="16"/>
  <c r="AE21" i="16"/>
  <c r="AE19" i="16"/>
  <c r="AE17" i="16"/>
  <c r="AE15" i="16"/>
  <c r="AB377" i="24"/>
  <c r="L377" i="24"/>
  <c r="A378" i="24"/>
  <c r="AJ377" i="24"/>
  <c r="X377" i="24"/>
  <c r="K377" i="24"/>
  <c r="AK377" i="24"/>
  <c r="O377" i="24"/>
  <c r="AC377" i="24"/>
  <c r="AB379" i="22"/>
  <c r="K379" i="22"/>
  <c r="AJ379" i="22"/>
  <c r="X379" i="22"/>
  <c r="L379" i="22"/>
  <c r="B41" i="19" s="1"/>
  <c r="AK379" i="22"/>
  <c r="O379" i="22"/>
  <c r="C41" i="19" s="1"/>
  <c r="AC379" i="22"/>
  <c r="I368" i="15"/>
  <c r="J368" i="15"/>
  <c r="F358" i="15"/>
  <c r="I352" i="15"/>
  <c r="J352" i="15"/>
  <c r="I346" i="15"/>
  <c r="J346" i="15"/>
  <c r="J344" i="15"/>
  <c r="I344" i="15"/>
  <c r="J328" i="15"/>
  <c r="I328" i="15"/>
  <c r="F324" i="15"/>
  <c r="I322" i="15"/>
  <c r="J322" i="15"/>
  <c r="J318" i="15"/>
  <c r="I318" i="15"/>
  <c r="J316" i="15"/>
  <c r="I316" i="15"/>
  <c r="I312" i="15"/>
  <c r="J312" i="15"/>
  <c r="I306" i="15"/>
  <c r="J306" i="15"/>
  <c r="J202" i="15"/>
  <c r="I202" i="15"/>
  <c r="J182" i="15"/>
  <c r="I182" i="15"/>
  <c r="J86" i="15"/>
  <c r="I86" i="15"/>
  <c r="J78" i="15"/>
  <c r="I78" i="15"/>
  <c r="I70" i="15"/>
  <c r="J70" i="15"/>
  <c r="I351" i="15"/>
  <c r="J351" i="15"/>
  <c r="I303" i="15"/>
  <c r="J303" i="15"/>
  <c r="J295" i="15"/>
  <c r="I295" i="15"/>
  <c r="I287" i="15"/>
  <c r="J287" i="15"/>
  <c r="I279" i="15"/>
  <c r="J279" i="15"/>
  <c r="J271" i="15"/>
  <c r="I271" i="15"/>
  <c r="J139" i="15"/>
  <c r="I139" i="15"/>
  <c r="J135" i="15"/>
  <c r="I135" i="15"/>
  <c r="J290" i="15"/>
  <c r="I290" i="15"/>
  <c r="I274" i="15"/>
  <c r="J274" i="15"/>
  <c r="I266" i="15"/>
  <c r="J266" i="15"/>
  <c r="J234" i="15"/>
  <c r="I234" i="15"/>
  <c r="I156" i="15"/>
  <c r="J156" i="15"/>
  <c r="I140" i="15"/>
  <c r="J140" i="15"/>
  <c r="J132" i="15"/>
  <c r="I132" i="15"/>
  <c r="I120" i="15"/>
  <c r="J120" i="15"/>
  <c r="I96" i="15"/>
  <c r="J96" i="15"/>
  <c r="AA62" i="15"/>
  <c r="Z62" i="15" s="1"/>
  <c r="Y62" i="15" s="1"/>
  <c r="H62" i="15"/>
  <c r="G62" i="15"/>
  <c r="BX62" i="6" s="1"/>
  <c r="H54" i="15"/>
  <c r="AA54" i="15"/>
  <c r="Z54" i="15" s="1"/>
  <c r="Y54" i="15" s="1"/>
  <c r="G54" i="15"/>
  <c r="BX54" i="6" s="1"/>
  <c r="AA42" i="15"/>
  <c r="Z42" i="15" s="1"/>
  <c r="Y42" i="15" s="1"/>
  <c r="H42" i="15"/>
  <c r="G42" i="15"/>
  <c r="BX42" i="6" s="1"/>
  <c r="AA333" i="15"/>
  <c r="Z333" i="15" s="1"/>
  <c r="Y333" i="15" s="1"/>
  <c r="G333" i="15"/>
  <c r="BX333" i="6" s="1"/>
  <c r="H333" i="15"/>
  <c r="I317" i="15"/>
  <c r="J317" i="15"/>
  <c r="J301" i="15"/>
  <c r="I301" i="15"/>
  <c r="I257" i="15"/>
  <c r="J257" i="15"/>
  <c r="I149" i="15"/>
  <c r="J149" i="15"/>
  <c r="J145" i="15"/>
  <c r="I145" i="15"/>
  <c r="J133" i="15"/>
  <c r="I133" i="15"/>
  <c r="I292" i="15"/>
  <c r="J292" i="15"/>
  <c r="J280" i="15"/>
  <c r="I280" i="15"/>
  <c r="J276" i="15"/>
  <c r="I276" i="15"/>
  <c r="I248" i="15"/>
  <c r="J248" i="15"/>
  <c r="I244" i="15"/>
  <c r="J244" i="15"/>
  <c r="J224" i="15"/>
  <c r="I224" i="15"/>
  <c r="J220" i="15"/>
  <c r="I220" i="15"/>
  <c r="I178" i="15"/>
  <c r="J178" i="15"/>
  <c r="I162" i="15"/>
  <c r="J162" i="15"/>
  <c r="J154" i="15"/>
  <c r="I154" i="15"/>
  <c r="I146" i="15"/>
  <c r="J146" i="15"/>
  <c r="I134" i="15"/>
  <c r="J134" i="15"/>
  <c r="I130" i="15"/>
  <c r="J130" i="15"/>
  <c r="J355" i="15"/>
  <c r="I355" i="15"/>
  <c r="I347" i="15"/>
  <c r="J347" i="15"/>
  <c r="J339" i="15"/>
  <c r="I339" i="15"/>
  <c r="J323" i="15"/>
  <c r="I323" i="15"/>
  <c r="I307" i="15"/>
  <c r="J307" i="15"/>
  <c r="I275" i="15"/>
  <c r="J275" i="15"/>
  <c r="I259" i="15"/>
  <c r="J259" i="15"/>
  <c r="I127" i="15"/>
  <c r="J127" i="15"/>
  <c r="J278" i="15"/>
  <c r="I278" i="15"/>
  <c r="J222" i="15"/>
  <c r="J214" i="15"/>
  <c r="I214" i="15"/>
  <c r="J168" i="15"/>
  <c r="I168" i="15"/>
  <c r="I160" i="15"/>
  <c r="J160" i="15"/>
  <c r="AG382" i="15"/>
  <c r="AF17" i="15"/>
  <c r="I84" i="15"/>
  <c r="J84" i="15"/>
  <c r="J80" i="15"/>
  <c r="I80" i="15"/>
  <c r="S382" i="15"/>
  <c r="S383" i="15"/>
  <c r="S381" i="15"/>
  <c r="R15" i="15"/>
  <c r="J375" i="15"/>
  <c r="I375" i="15"/>
  <c r="J371" i="15"/>
  <c r="I371" i="15"/>
  <c r="J369" i="15"/>
  <c r="I369" i="15"/>
  <c r="I367" i="15"/>
  <c r="J367" i="15"/>
  <c r="I237" i="15"/>
  <c r="J237" i="15"/>
  <c r="I231" i="15"/>
  <c r="J231" i="15"/>
  <c r="F227" i="15"/>
  <c r="J215" i="15"/>
  <c r="I215" i="15"/>
  <c r="J213" i="15"/>
  <c r="I213" i="15"/>
  <c r="I201" i="15"/>
  <c r="J201" i="15"/>
  <c r="J199" i="15"/>
  <c r="I199" i="15"/>
  <c r="F197" i="15"/>
  <c r="J191" i="15"/>
  <c r="I191" i="15"/>
  <c r="J179" i="15"/>
  <c r="I179" i="15"/>
  <c r="I177" i="15"/>
  <c r="J177" i="15"/>
  <c r="J175" i="15"/>
  <c r="I175" i="15"/>
  <c r="F171" i="15"/>
  <c r="I163" i="15"/>
  <c r="J163" i="15"/>
  <c r="J157" i="15"/>
  <c r="I157" i="15"/>
  <c r="J117" i="15"/>
  <c r="I117" i="15"/>
  <c r="J115" i="15"/>
  <c r="I115" i="15"/>
  <c r="J107" i="15"/>
  <c r="I107" i="15"/>
  <c r="J87" i="15"/>
  <c r="I87" i="15"/>
  <c r="J81" i="15"/>
  <c r="I81" i="15"/>
  <c r="J55" i="15"/>
  <c r="I55" i="15"/>
  <c r="F51" i="15"/>
  <c r="J49" i="15"/>
  <c r="I49" i="15"/>
  <c r="I41" i="15"/>
  <c r="J41" i="15"/>
  <c r="J37" i="15"/>
  <c r="I37" i="15"/>
  <c r="Q78" i="16"/>
  <c r="Q76" i="16"/>
  <c r="Q74" i="16"/>
  <c r="Q72" i="16"/>
  <c r="Q70" i="16"/>
  <c r="Q68" i="16"/>
  <c r="Q66" i="16"/>
  <c r="Q64" i="16"/>
  <c r="Q62" i="16"/>
  <c r="Q60" i="16"/>
  <c r="Q58" i="16"/>
  <c r="Q56" i="16"/>
  <c r="Q54" i="16"/>
  <c r="Q52" i="16"/>
  <c r="Q50" i="16"/>
  <c r="Q48" i="16"/>
  <c r="Q46" i="16"/>
  <c r="Q44" i="16"/>
  <c r="Q42" i="16"/>
  <c r="Q40" i="16"/>
  <c r="Q38" i="16"/>
  <c r="Q36" i="16"/>
  <c r="Q34" i="16"/>
  <c r="Q32" i="16"/>
  <c r="Q30" i="16"/>
  <c r="Q28" i="16"/>
  <c r="Q26" i="16"/>
  <c r="Q24" i="16"/>
  <c r="Q22" i="16"/>
  <c r="Q20" i="16"/>
  <c r="Q18" i="16"/>
  <c r="Q16" i="16"/>
  <c r="Q15" i="16"/>
  <c r="AE378" i="16"/>
  <c r="AE376" i="16"/>
  <c r="AE374" i="16"/>
  <c r="AE372" i="16"/>
  <c r="AE370" i="16"/>
  <c r="AE368" i="16"/>
  <c r="AE366" i="16"/>
  <c r="AE364" i="16"/>
  <c r="AE362" i="16"/>
  <c r="AE360" i="16"/>
  <c r="AE358" i="16"/>
  <c r="AE356" i="16"/>
  <c r="AE354" i="16"/>
  <c r="AE352" i="16"/>
  <c r="AE350" i="16"/>
  <c r="AE348" i="16"/>
  <c r="AE346" i="16"/>
  <c r="AE344" i="16"/>
  <c r="AE342" i="16"/>
  <c r="AE340" i="16"/>
  <c r="AE338" i="16"/>
  <c r="AE336" i="16"/>
  <c r="AE334" i="16"/>
  <c r="AE332" i="16"/>
  <c r="AE330" i="16"/>
  <c r="AE328" i="16"/>
  <c r="AE326" i="16"/>
  <c r="AE324" i="16"/>
  <c r="AE322" i="16"/>
  <c r="AE320" i="16"/>
  <c r="AE318" i="16"/>
  <c r="AE316" i="16"/>
  <c r="AE314" i="16"/>
  <c r="AE312" i="16"/>
  <c r="AE310" i="16"/>
  <c r="AE308" i="16"/>
  <c r="AE306" i="16"/>
  <c r="AE304" i="16"/>
  <c r="AE302" i="16"/>
  <c r="AE300" i="16"/>
  <c r="AE298" i="16"/>
  <c r="AE296" i="16"/>
  <c r="AE294" i="16"/>
  <c r="AE292" i="16"/>
  <c r="AE290" i="16"/>
  <c r="AE288" i="16"/>
  <c r="AE286" i="16"/>
  <c r="AE284" i="16"/>
  <c r="AE282" i="16"/>
  <c r="AE280" i="16"/>
  <c r="AE278" i="16"/>
  <c r="AE276" i="16"/>
  <c r="AE274" i="16"/>
  <c r="AE272" i="16"/>
  <c r="AE270" i="16"/>
  <c r="AE268" i="16"/>
  <c r="AE266" i="16"/>
  <c r="AE264" i="16"/>
  <c r="AE262" i="16"/>
  <c r="AE260" i="16"/>
  <c r="AE258" i="16"/>
  <c r="AE256" i="16"/>
  <c r="AE254" i="16"/>
  <c r="AE252" i="16"/>
  <c r="AE250" i="16"/>
  <c r="AE248" i="16"/>
  <c r="AE246" i="16"/>
  <c r="AE244" i="16"/>
  <c r="AE242" i="16"/>
  <c r="AE240" i="16"/>
  <c r="AE238" i="16"/>
  <c r="AE236" i="16"/>
  <c r="AE234" i="16"/>
  <c r="AE232" i="16"/>
  <c r="AE230" i="16"/>
  <c r="AE228" i="16"/>
  <c r="AE226" i="16"/>
  <c r="AE224" i="16"/>
  <c r="AE222" i="16"/>
  <c r="AE220" i="16"/>
  <c r="AE218" i="16"/>
  <c r="AE216" i="16"/>
  <c r="AE214" i="16"/>
  <c r="AE212" i="16"/>
  <c r="AE210" i="16"/>
  <c r="AE208" i="16"/>
  <c r="AE206" i="16"/>
  <c r="AE204" i="16"/>
  <c r="AE202" i="16"/>
  <c r="AE200" i="16"/>
  <c r="AE198" i="16"/>
  <c r="AE196" i="16"/>
  <c r="AE194" i="16"/>
  <c r="AE192" i="16"/>
  <c r="AE190" i="16"/>
  <c r="AE188" i="16"/>
  <c r="AE186" i="16"/>
  <c r="AE184" i="16"/>
  <c r="AE182" i="16"/>
  <c r="AE180" i="16"/>
  <c r="AE178" i="16"/>
  <c r="AE176" i="16"/>
  <c r="AE174" i="16"/>
  <c r="AE172" i="16"/>
  <c r="AE170" i="16"/>
  <c r="AE168" i="16"/>
  <c r="AE166" i="16"/>
  <c r="AE164" i="16"/>
  <c r="AE162" i="16"/>
  <c r="AE160" i="16"/>
  <c r="AE158" i="16"/>
  <c r="AE156" i="16"/>
  <c r="AE154" i="16"/>
  <c r="AE152" i="16"/>
  <c r="AE150" i="16"/>
  <c r="AE148" i="16"/>
  <c r="AE146" i="16"/>
  <c r="AE144" i="16"/>
  <c r="AE142" i="16"/>
  <c r="AE140" i="16"/>
  <c r="AE138" i="16"/>
  <c r="AE136" i="16"/>
  <c r="AE134" i="16"/>
  <c r="AE132" i="16"/>
  <c r="AE130" i="16"/>
  <c r="AE128" i="16"/>
  <c r="AE126" i="16"/>
  <c r="AE124" i="16"/>
  <c r="AE122" i="16"/>
  <c r="AE120" i="16"/>
  <c r="AE118" i="16"/>
  <c r="AE116" i="16"/>
  <c r="AE114" i="16"/>
  <c r="AE112" i="16"/>
  <c r="AE110" i="16"/>
  <c r="AE108" i="16"/>
  <c r="AE106" i="16"/>
  <c r="AE104" i="16"/>
  <c r="AE102" i="16"/>
  <c r="AE100" i="16"/>
  <c r="AE98" i="16"/>
  <c r="AE96" i="16"/>
  <c r="AE94" i="16"/>
  <c r="AE92" i="16"/>
  <c r="AE90" i="16"/>
  <c r="AE88" i="16"/>
  <c r="AE86" i="16"/>
  <c r="AE84" i="16"/>
  <c r="AE82" i="16"/>
  <c r="AE80" i="16"/>
  <c r="AE78" i="16"/>
  <c r="AE76" i="16"/>
  <c r="AE74" i="16"/>
  <c r="AE72" i="16"/>
  <c r="AE70" i="16"/>
  <c r="AE68" i="16"/>
  <c r="AE66" i="16"/>
  <c r="AE64" i="16"/>
  <c r="AE62" i="16"/>
  <c r="AE60" i="16"/>
  <c r="AE58" i="16"/>
  <c r="AE56" i="16"/>
  <c r="AE54" i="16"/>
  <c r="AE52" i="16"/>
  <c r="AE50" i="16"/>
  <c r="AE48" i="16"/>
  <c r="AE46" i="16"/>
  <c r="AE44" i="16"/>
  <c r="AE42" i="16"/>
  <c r="AE40" i="16"/>
  <c r="AE38" i="16"/>
  <c r="AE36" i="16"/>
  <c r="AE34" i="16"/>
  <c r="AE32" i="16"/>
  <c r="AE30" i="16"/>
  <c r="AE28" i="16"/>
  <c r="AE26" i="16"/>
  <c r="AE24" i="16"/>
  <c r="AE22" i="16"/>
  <c r="AE20" i="16"/>
  <c r="AE18" i="16"/>
  <c r="AE16" i="16"/>
  <c r="A377" i="25"/>
  <c r="X376" i="25"/>
  <c r="L376" i="25"/>
  <c r="K376" i="25"/>
  <c r="AB376" i="25"/>
  <c r="AJ376" i="25"/>
  <c r="O376" i="25"/>
  <c r="AK376" i="25"/>
  <c r="AC376" i="25"/>
  <c r="AA362" i="15"/>
  <c r="Z362" i="15" s="1"/>
  <c r="Y362" i="15" s="1"/>
  <c r="H362" i="15"/>
  <c r="G362" i="15"/>
  <c r="BX362" i="6" s="1"/>
  <c r="I360" i="15"/>
  <c r="J360" i="15"/>
  <c r="J338" i="15"/>
  <c r="I338" i="15"/>
  <c r="J334" i="15"/>
  <c r="I334" i="15"/>
  <c r="J330" i="15"/>
  <c r="I330" i="15"/>
  <c r="J320" i="15"/>
  <c r="I320" i="15"/>
  <c r="J310" i="15"/>
  <c r="I310" i="15"/>
  <c r="I304" i="15"/>
  <c r="J304" i="15"/>
  <c r="J206" i="15"/>
  <c r="I206" i="15"/>
  <c r="J194" i="15"/>
  <c r="I194" i="15"/>
  <c r="J190" i="15"/>
  <c r="I190" i="15"/>
  <c r="J82" i="15"/>
  <c r="I82" i="15"/>
  <c r="G18" i="15"/>
  <c r="BX18" i="6" s="1"/>
  <c r="AA18" i="15"/>
  <c r="Z18" i="15" s="1"/>
  <c r="Y18" i="15" s="1"/>
  <c r="H18" i="15"/>
  <c r="H17" i="15"/>
  <c r="G17" i="15"/>
  <c r="BX17" i="6" s="1"/>
  <c r="I359" i="15"/>
  <c r="J359" i="15"/>
  <c r="J327" i="15"/>
  <c r="I327" i="15"/>
  <c r="I311" i="15"/>
  <c r="J311" i="15"/>
  <c r="J147" i="15"/>
  <c r="I147" i="15"/>
  <c r="J250" i="15"/>
  <c r="I250" i="15"/>
  <c r="J242" i="15"/>
  <c r="I242" i="15"/>
  <c r="I218" i="15"/>
  <c r="J218" i="15"/>
  <c r="J180" i="15"/>
  <c r="I180" i="15"/>
  <c r="I176" i="15"/>
  <c r="J176" i="15"/>
  <c r="J172" i="15"/>
  <c r="I172" i="15"/>
  <c r="J148" i="15"/>
  <c r="I148" i="15"/>
  <c r="I112" i="15"/>
  <c r="J112" i="15"/>
  <c r="J361" i="15"/>
  <c r="I361" i="15"/>
  <c r="I349" i="15"/>
  <c r="J349" i="15"/>
  <c r="I341" i="15"/>
  <c r="J341" i="15"/>
  <c r="J305" i="15"/>
  <c r="I305" i="15"/>
  <c r="J293" i="15"/>
  <c r="I293" i="15"/>
  <c r="J281" i="15"/>
  <c r="I281" i="15"/>
  <c r="I277" i="15"/>
  <c r="J277" i="15"/>
  <c r="J245" i="15"/>
  <c r="I245" i="15"/>
  <c r="J141" i="15"/>
  <c r="I141" i="15"/>
  <c r="I137" i="15"/>
  <c r="J137" i="15"/>
  <c r="J125" i="15"/>
  <c r="I125" i="15"/>
  <c r="J284" i="15"/>
  <c r="I284" i="15"/>
  <c r="F264" i="15"/>
  <c r="I260" i="15"/>
  <c r="J260" i="15"/>
  <c r="J252" i="15"/>
  <c r="I252" i="15"/>
  <c r="J232" i="15"/>
  <c r="I232" i="15"/>
  <c r="J170" i="15"/>
  <c r="I170" i="15"/>
  <c r="J166" i="15"/>
  <c r="I166" i="15"/>
  <c r="J158" i="15"/>
  <c r="I158" i="15"/>
  <c r="J150" i="15"/>
  <c r="I150" i="15"/>
  <c r="J142" i="15"/>
  <c r="I142" i="15"/>
  <c r="J126" i="15"/>
  <c r="I126" i="15"/>
  <c r="J118" i="15"/>
  <c r="I118" i="15"/>
  <c r="J110" i="15"/>
  <c r="I110" i="15"/>
  <c r="I106" i="15"/>
  <c r="J106" i="15"/>
  <c r="I102" i="15"/>
  <c r="J102" i="15"/>
  <c r="J98" i="15"/>
  <c r="I98" i="15"/>
  <c r="J94" i="15"/>
  <c r="I94" i="15"/>
  <c r="AA30" i="15"/>
  <c r="Z30" i="15" s="1"/>
  <c r="Y30" i="15" s="1"/>
  <c r="G30" i="15"/>
  <c r="BX30" i="6" s="1"/>
  <c r="H30" i="15"/>
  <c r="G64" i="15"/>
  <c r="BX64" i="6" s="1"/>
  <c r="AA64" i="15"/>
  <c r="Z64" i="15" s="1"/>
  <c r="Y64" i="15" s="1"/>
  <c r="H64" i="15"/>
  <c r="AA60" i="15"/>
  <c r="Z60" i="15" s="1"/>
  <c r="Y60" i="15" s="1"/>
  <c r="H60" i="15"/>
  <c r="G60" i="15"/>
  <c r="BX60" i="6" s="1"/>
  <c r="I331" i="15"/>
  <c r="J331" i="15"/>
  <c r="I315" i="15"/>
  <c r="J315" i="15"/>
  <c r="I291" i="15"/>
  <c r="J291" i="15"/>
  <c r="J243" i="15"/>
  <c r="I243" i="15"/>
  <c r="I238" i="15"/>
  <c r="J238" i="15"/>
  <c r="I144" i="15"/>
  <c r="J144" i="15"/>
  <c r="J124" i="15"/>
  <c r="I124" i="15"/>
  <c r="J100" i="15"/>
  <c r="I100" i="15"/>
  <c r="I226" i="15" l="1"/>
  <c r="K62" i="19"/>
  <c r="I19" i="15"/>
  <c r="I270" i="15"/>
  <c r="I174" i="15"/>
  <c r="J262" i="15"/>
  <c r="J263" i="15"/>
  <c r="J286" i="15"/>
  <c r="I198" i="15"/>
  <c r="J350" i="15"/>
  <c r="J296" i="15"/>
  <c r="J27" i="15"/>
  <c r="J335" i="15"/>
  <c r="I143" i="15"/>
  <c r="J343" i="15"/>
  <c r="J59" i="15"/>
  <c r="J114" i="15"/>
  <c r="I247" i="15"/>
  <c r="J366" i="15"/>
  <c r="I211" i="15"/>
  <c r="J258" i="15"/>
  <c r="J342" i="15"/>
  <c r="I378" i="15"/>
  <c r="J67" i="15"/>
  <c r="J246" i="15"/>
  <c r="I314" i="15"/>
  <c r="I282" i="15"/>
  <c r="I230" i="15"/>
  <c r="I186" i="15"/>
  <c r="I354" i="15"/>
  <c r="J374" i="15"/>
  <c r="I377" i="15"/>
  <c r="U18" i="16"/>
  <c r="T18" i="16" s="1"/>
  <c r="S18" i="16" s="1"/>
  <c r="R18" i="16" s="1"/>
  <c r="I255" i="15"/>
  <c r="U22" i="16"/>
  <c r="T22" i="16" s="1"/>
  <c r="S22" i="16" s="1"/>
  <c r="R22" i="16" s="1"/>
  <c r="U30" i="16"/>
  <c r="T30" i="16" s="1"/>
  <c r="S30" i="16" s="1"/>
  <c r="R30" i="16" s="1"/>
  <c r="U38" i="16"/>
  <c r="T38" i="16" s="1"/>
  <c r="S38" i="16" s="1"/>
  <c r="R38" i="16" s="1"/>
  <c r="U46" i="16"/>
  <c r="T46" i="16" s="1"/>
  <c r="S46" i="16" s="1"/>
  <c r="R46" i="16" s="1"/>
  <c r="U54" i="16"/>
  <c r="T54" i="16" s="1"/>
  <c r="S54" i="16" s="1"/>
  <c r="R54" i="16" s="1"/>
  <c r="U62" i="16"/>
  <c r="T62" i="16" s="1"/>
  <c r="S62" i="16" s="1"/>
  <c r="R62" i="16" s="1"/>
  <c r="U70" i="16"/>
  <c r="T70" i="16" s="1"/>
  <c r="S70" i="16" s="1"/>
  <c r="R70" i="16" s="1"/>
  <c r="U78" i="16"/>
  <c r="T78" i="16" s="1"/>
  <c r="S78" i="16" s="1"/>
  <c r="R78" i="16" s="1"/>
  <c r="U86" i="16"/>
  <c r="T86" i="16" s="1"/>
  <c r="S86" i="16" s="1"/>
  <c r="R86" i="16" s="1"/>
  <c r="U94" i="16"/>
  <c r="T94" i="16" s="1"/>
  <c r="S94" i="16" s="1"/>
  <c r="R94" i="16" s="1"/>
  <c r="P94" i="16" s="1"/>
  <c r="V94" i="16" s="1"/>
  <c r="U102" i="16"/>
  <c r="T102" i="16" s="1"/>
  <c r="S102" i="16" s="1"/>
  <c r="R102" i="16" s="1"/>
  <c r="U110" i="16"/>
  <c r="T110" i="16" s="1"/>
  <c r="S110" i="16" s="1"/>
  <c r="R110" i="16" s="1"/>
  <c r="U118" i="16"/>
  <c r="T118" i="16" s="1"/>
  <c r="S118" i="16" s="1"/>
  <c r="R118" i="16" s="1"/>
  <c r="U126" i="16"/>
  <c r="T126" i="16" s="1"/>
  <c r="S126" i="16" s="1"/>
  <c r="R126" i="16" s="1"/>
  <c r="U134" i="16"/>
  <c r="T134" i="16" s="1"/>
  <c r="S134" i="16" s="1"/>
  <c r="R134" i="16" s="1"/>
  <c r="U142" i="16"/>
  <c r="T142" i="16" s="1"/>
  <c r="S142" i="16" s="1"/>
  <c r="R142" i="16" s="1"/>
  <c r="U150" i="16"/>
  <c r="T150" i="16" s="1"/>
  <c r="S150" i="16" s="1"/>
  <c r="R150" i="16" s="1"/>
  <c r="U158" i="16"/>
  <c r="T158" i="16" s="1"/>
  <c r="S158" i="16" s="1"/>
  <c r="R158" i="16" s="1"/>
  <c r="U166" i="16"/>
  <c r="T166" i="16" s="1"/>
  <c r="S166" i="16" s="1"/>
  <c r="R166" i="16" s="1"/>
  <c r="U174" i="16"/>
  <c r="T174" i="16" s="1"/>
  <c r="S174" i="16" s="1"/>
  <c r="R174" i="16" s="1"/>
  <c r="U182" i="16"/>
  <c r="T182" i="16" s="1"/>
  <c r="S182" i="16" s="1"/>
  <c r="R182" i="16" s="1"/>
  <c r="P182" i="16" s="1"/>
  <c r="V182" i="16" s="1"/>
  <c r="U190" i="16"/>
  <c r="T190" i="16" s="1"/>
  <c r="S190" i="16" s="1"/>
  <c r="R190" i="16" s="1"/>
  <c r="U198" i="16"/>
  <c r="T198" i="16" s="1"/>
  <c r="S198" i="16" s="1"/>
  <c r="R198" i="16" s="1"/>
  <c r="P198" i="16" s="1"/>
  <c r="V198" i="16" s="1"/>
  <c r="U206" i="16"/>
  <c r="T206" i="16" s="1"/>
  <c r="S206" i="16" s="1"/>
  <c r="R206" i="16" s="1"/>
  <c r="U214" i="16"/>
  <c r="T214" i="16" s="1"/>
  <c r="S214" i="16" s="1"/>
  <c r="R214" i="16" s="1"/>
  <c r="U222" i="16"/>
  <c r="T222" i="16" s="1"/>
  <c r="S222" i="16" s="1"/>
  <c r="R222" i="16" s="1"/>
  <c r="P222" i="16" s="1"/>
  <c r="V222" i="16" s="1"/>
  <c r="U230" i="16"/>
  <c r="T230" i="16" s="1"/>
  <c r="S230" i="16" s="1"/>
  <c r="R230" i="16" s="1"/>
  <c r="P230" i="16" s="1"/>
  <c r="V230" i="16" s="1"/>
  <c r="U238" i="16"/>
  <c r="T238" i="16" s="1"/>
  <c r="S238" i="16" s="1"/>
  <c r="R238" i="16" s="1"/>
  <c r="U246" i="16"/>
  <c r="T246" i="16" s="1"/>
  <c r="S246" i="16" s="1"/>
  <c r="R246" i="16" s="1"/>
  <c r="U254" i="16"/>
  <c r="T254" i="16" s="1"/>
  <c r="S254" i="16" s="1"/>
  <c r="R254" i="16" s="1"/>
  <c r="U262" i="16"/>
  <c r="T262" i="16" s="1"/>
  <c r="S262" i="16" s="1"/>
  <c r="R262" i="16" s="1"/>
  <c r="P262" i="16" s="1"/>
  <c r="V262" i="16" s="1"/>
  <c r="U270" i="16"/>
  <c r="T270" i="16" s="1"/>
  <c r="S270" i="16" s="1"/>
  <c r="R270" i="16" s="1"/>
  <c r="U278" i="16"/>
  <c r="T278" i="16" s="1"/>
  <c r="S278" i="16" s="1"/>
  <c r="R278" i="16" s="1"/>
  <c r="U286" i="16"/>
  <c r="T286" i="16" s="1"/>
  <c r="S286" i="16" s="1"/>
  <c r="R286" i="16" s="1"/>
  <c r="U294" i="16"/>
  <c r="T294" i="16" s="1"/>
  <c r="S294" i="16" s="1"/>
  <c r="R294" i="16" s="1"/>
  <c r="U302" i="16"/>
  <c r="T302" i="16" s="1"/>
  <c r="S302" i="16" s="1"/>
  <c r="R302" i="16" s="1"/>
  <c r="U310" i="16"/>
  <c r="T310" i="16" s="1"/>
  <c r="S310" i="16" s="1"/>
  <c r="R310" i="16" s="1"/>
  <c r="P310" i="16" s="1"/>
  <c r="V310" i="16" s="1"/>
  <c r="U318" i="16"/>
  <c r="T318" i="16" s="1"/>
  <c r="S318" i="16" s="1"/>
  <c r="R318" i="16" s="1"/>
  <c r="P318" i="16" s="1"/>
  <c r="V318" i="16" s="1"/>
  <c r="U326" i="16"/>
  <c r="T326" i="16" s="1"/>
  <c r="S326" i="16" s="1"/>
  <c r="R326" i="16" s="1"/>
  <c r="U334" i="16"/>
  <c r="T334" i="16" s="1"/>
  <c r="S334" i="16" s="1"/>
  <c r="R334" i="16" s="1"/>
  <c r="U340" i="16"/>
  <c r="T340" i="16" s="1"/>
  <c r="S340" i="16" s="1"/>
  <c r="R340" i="16" s="1"/>
  <c r="U344" i="16"/>
  <c r="T344" i="16" s="1"/>
  <c r="U348" i="16"/>
  <c r="T348" i="16" s="1"/>
  <c r="U352" i="16"/>
  <c r="T352" i="16" s="1"/>
  <c r="U356" i="16"/>
  <c r="T356" i="16" s="1"/>
  <c r="S356" i="16" s="1"/>
  <c r="R356" i="16" s="1"/>
  <c r="U360" i="16"/>
  <c r="T360" i="16" s="1"/>
  <c r="U364" i="16"/>
  <c r="T364" i="16" s="1"/>
  <c r="S364" i="16" s="1"/>
  <c r="R364" i="16" s="1"/>
  <c r="P364" i="16" s="1"/>
  <c r="V364" i="16" s="1"/>
  <c r="U368" i="16"/>
  <c r="T368" i="16" s="1"/>
  <c r="S368" i="16" s="1"/>
  <c r="R368" i="16" s="1"/>
  <c r="P368" i="16" s="1"/>
  <c r="V368" i="16" s="1"/>
  <c r="U372" i="16"/>
  <c r="T372" i="16" s="1"/>
  <c r="S372" i="16" s="1"/>
  <c r="R372" i="16" s="1"/>
  <c r="U376" i="16"/>
  <c r="T376" i="16" s="1"/>
  <c r="S376" i="16" s="1"/>
  <c r="R376" i="16" s="1"/>
  <c r="U337" i="16"/>
  <c r="T337" i="16" s="1"/>
  <c r="S337" i="16" s="1"/>
  <c r="R337" i="16" s="1"/>
  <c r="U333" i="16"/>
  <c r="T333" i="16" s="1"/>
  <c r="S333" i="16" s="1"/>
  <c r="R333" i="16" s="1"/>
  <c r="P333" i="16" s="1"/>
  <c r="D54" i="7" s="1"/>
  <c r="U329" i="16"/>
  <c r="T329" i="16" s="1"/>
  <c r="U325" i="16"/>
  <c r="T325" i="16" s="1"/>
  <c r="S325" i="16" s="1"/>
  <c r="R325" i="16" s="1"/>
  <c r="U321" i="16"/>
  <c r="T321" i="16" s="1"/>
  <c r="S321" i="16" s="1"/>
  <c r="R321" i="16" s="1"/>
  <c r="P321" i="16" s="1"/>
  <c r="V321" i="16" s="1"/>
  <c r="U317" i="16"/>
  <c r="T317" i="16" s="1"/>
  <c r="U313" i="16"/>
  <c r="T313" i="16" s="1"/>
  <c r="S313" i="16" s="1"/>
  <c r="R313" i="16" s="1"/>
  <c r="P313" i="16" s="1"/>
  <c r="V313" i="16" s="1"/>
  <c r="U309" i="16"/>
  <c r="T309" i="16" s="1"/>
  <c r="S309" i="16" s="1"/>
  <c r="R309" i="16" s="1"/>
  <c r="U305" i="16"/>
  <c r="T305" i="16" s="1"/>
  <c r="S305" i="16" s="1"/>
  <c r="R305" i="16" s="1"/>
  <c r="U301" i="16"/>
  <c r="T301" i="16" s="1"/>
  <c r="S301" i="16" s="1"/>
  <c r="R301" i="16" s="1"/>
  <c r="U297" i="16"/>
  <c r="T297" i="16" s="1"/>
  <c r="S297" i="16" s="1"/>
  <c r="R297" i="16" s="1"/>
  <c r="U293" i="16"/>
  <c r="T293" i="16" s="1"/>
  <c r="S293" i="16" s="1"/>
  <c r="R293" i="16" s="1"/>
  <c r="U289" i="16"/>
  <c r="T289" i="16" s="1"/>
  <c r="S289" i="16" s="1"/>
  <c r="R289" i="16" s="1"/>
  <c r="U285" i="16"/>
  <c r="T285" i="16" s="1"/>
  <c r="S285" i="16" s="1"/>
  <c r="R285" i="16" s="1"/>
  <c r="U281" i="16"/>
  <c r="T281" i="16" s="1"/>
  <c r="S281" i="16" s="1"/>
  <c r="R281" i="16" s="1"/>
  <c r="U277" i="16"/>
  <c r="T277" i="16" s="1"/>
  <c r="S277" i="16" s="1"/>
  <c r="R277" i="16" s="1"/>
  <c r="U273" i="16"/>
  <c r="T273" i="16" s="1"/>
  <c r="S273" i="16" s="1"/>
  <c r="R273" i="16" s="1"/>
  <c r="U269" i="16"/>
  <c r="T269" i="16" s="1"/>
  <c r="S269" i="16" s="1"/>
  <c r="R269" i="16" s="1"/>
  <c r="U265" i="16"/>
  <c r="T265" i="16" s="1"/>
  <c r="S265" i="16" s="1"/>
  <c r="R265" i="16" s="1"/>
  <c r="U261" i="16"/>
  <c r="T261" i="16" s="1"/>
  <c r="S261" i="16" s="1"/>
  <c r="R261" i="16" s="1"/>
  <c r="U257" i="16"/>
  <c r="T257" i="16" s="1"/>
  <c r="S257" i="16" s="1"/>
  <c r="R257" i="16" s="1"/>
  <c r="U253" i="16"/>
  <c r="T253" i="16" s="1"/>
  <c r="S253" i="16" s="1"/>
  <c r="R253" i="16" s="1"/>
  <c r="U249" i="16"/>
  <c r="T249" i="16" s="1"/>
  <c r="S249" i="16" s="1"/>
  <c r="R249" i="16" s="1"/>
  <c r="U245" i="16"/>
  <c r="T245" i="16" s="1"/>
  <c r="S245" i="16" s="1"/>
  <c r="R245" i="16" s="1"/>
  <c r="U241" i="16"/>
  <c r="T241" i="16" s="1"/>
  <c r="S241" i="16" s="1"/>
  <c r="R241" i="16" s="1"/>
  <c r="U237" i="16"/>
  <c r="T237" i="16" s="1"/>
  <c r="S237" i="16" s="1"/>
  <c r="R237" i="16" s="1"/>
  <c r="U233" i="16"/>
  <c r="T233" i="16" s="1"/>
  <c r="S233" i="16" s="1"/>
  <c r="R233" i="16" s="1"/>
  <c r="U229" i="16"/>
  <c r="T229" i="16" s="1"/>
  <c r="S229" i="16" s="1"/>
  <c r="R229" i="16" s="1"/>
  <c r="U225" i="16"/>
  <c r="T225" i="16" s="1"/>
  <c r="S225" i="16" s="1"/>
  <c r="R225" i="16" s="1"/>
  <c r="U221" i="16"/>
  <c r="T221" i="16" s="1"/>
  <c r="S221" i="16" s="1"/>
  <c r="R221" i="16" s="1"/>
  <c r="U217" i="16"/>
  <c r="T217" i="16" s="1"/>
  <c r="S217" i="16" s="1"/>
  <c r="R217" i="16" s="1"/>
  <c r="U213" i="16"/>
  <c r="T213" i="16" s="1"/>
  <c r="S213" i="16" s="1"/>
  <c r="R213" i="16" s="1"/>
  <c r="U209" i="16"/>
  <c r="T209" i="16" s="1"/>
  <c r="S209" i="16" s="1"/>
  <c r="R209" i="16" s="1"/>
  <c r="U205" i="16"/>
  <c r="T205" i="16" s="1"/>
  <c r="S205" i="16" s="1"/>
  <c r="R205" i="16" s="1"/>
  <c r="U201" i="16"/>
  <c r="T201" i="16" s="1"/>
  <c r="S201" i="16" s="1"/>
  <c r="R201" i="16" s="1"/>
  <c r="U197" i="16"/>
  <c r="T197" i="16" s="1"/>
  <c r="S197" i="16" s="1"/>
  <c r="R197" i="16" s="1"/>
  <c r="U193" i="16"/>
  <c r="T193" i="16" s="1"/>
  <c r="S193" i="16" s="1"/>
  <c r="R193" i="16" s="1"/>
  <c r="U189" i="16"/>
  <c r="T189" i="16" s="1"/>
  <c r="S189" i="16" s="1"/>
  <c r="R189" i="16" s="1"/>
  <c r="U185" i="16"/>
  <c r="T185" i="16" s="1"/>
  <c r="S185" i="16" s="1"/>
  <c r="R185" i="16" s="1"/>
  <c r="U181" i="16"/>
  <c r="T181" i="16" s="1"/>
  <c r="S181" i="16" s="1"/>
  <c r="R181" i="16" s="1"/>
  <c r="U177" i="16"/>
  <c r="T177" i="16" s="1"/>
  <c r="S177" i="16" s="1"/>
  <c r="R177" i="16" s="1"/>
  <c r="U173" i="16"/>
  <c r="T173" i="16" s="1"/>
  <c r="S173" i="16" s="1"/>
  <c r="R173" i="16" s="1"/>
  <c r="U169" i="16"/>
  <c r="T169" i="16" s="1"/>
  <c r="S169" i="16" s="1"/>
  <c r="R169" i="16" s="1"/>
  <c r="U165" i="16"/>
  <c r="T165" i="16" s="1"/>
  <c r="S165" i="16" s="1"/>
  <c r="R165" i="16" s="1"/>
  <c r="U161" i="16"/>
  <c r="T161" i="16" s="1"/>
  <c r="S161" i="16" s="1"/>
  <c r="R161" i="16" s="1"/>
  <c r="P161" i="16" s="1"/>
  <c r="V161" i="16" s="1"/>
  <c r="U157" i="16"/>
  <c r="T157" i="16" s="1"/>
  <c r="S157" i="16" s="1"/>
  <c r="R157" i="16" s="1"/>
  <c r="U153" i="16"/>
  <c r="T153" i="16" s="1"/>
  <c r="S153" i="16" s="1"/>
  <c r="R153" i="16" s="1"/>
  <c r="U149" i="16"/>
  <c r="T149" i="16" s="1"/>
  <c r="S149" i="16" s="1"/>
  <c r="R149" i="16" s="1"/>
  <c r="U145" i="16"/>
  <c r="T145" i="16" s="1"/>
  <c r="S145" i="16" s="1"/>
  <c r="R145" i="16" s="1"/>
  <c r="U141" i="16"/>
  <c r="T141" i="16" s="1"/>
  <c r="S141" i="16" s="1"/>
  <c r="R141" i="16" s="1"/>
  <c r="U137" i="16"/>
  <c r="T137" i="16" s="1"/>
  <c r="S137" i="16" s="1"/>
  <c r="R137" i="16" s="1"/>
  <c r="U133" i="16"/>
  <c r="T133" i="16" s="1"/>
  <c r="S133" i="16" s="1"/>
  <c r="R133" i="16" s="1"/>
  <c r="U129" i="16"/>
  <c r="T129" i="16" s="1"/>
  <c r="S129" i="16" s="1"/>
  <c r="R129" i="16" s="1"/>
  <c r="U125" i="16"/>
  <c r="T125" i="16" s="1"/>
  <c r="S125" i="16" s="1"/>
  <c r="R125" i="16" s="1"/>
  <c r="U121" i="16"/>
  <c r="T121" i="16" s="1"/>
  <c r="S121" i="16" s="1"/>
  <c r="R121" i="16" s="1"/>
  <c r="U117" i="16"/>
  <c r="T117" i="16" s="1"/>
  <c r="S117" i="16" s="1"/>
  <c r="R117" i="16" s="1"/>
  <c r="U113" i="16"/>
  <c r="T113" i="16" s="1"/>
  <c r="S113" i="16" s="1"/>
  <c r="R113" i="16" s="1"/>
  <c r="U109" i="16"/>
  <c r="T109" i="16" s="1"/>
  <c r="S109" i="16" s="1"/>
  <c r="R109" i="16" s="1"/>
  <c r="U105" i="16"/>
  <c r="T105" i="16" s="1"/>
  <c r="S105" i="16" s="1"/>
  <c r="R105" i="16" s="1"/>
  <c r="U101" i="16"/>
  <c r="T101" i="16" s="1"/>
  <c r="S101" i="16" s="1"/>
  <c r="R101" i="16" s="1"/>
  <c r="U97" i="16"/>
  <c r="T97" i="16" s="1"/>
  <c r="S97" i="16" s="1"/>
  <c r="R97" i="16" s="1"/>
  <c r="U93" i="16"/>
  <c r="T93" i="16" s="1"/>
  <c r="S93" i="16" s="1"/>
  <c r="R93" i="16" s="1"/>
  <c r="U89" i="16"/>
  <c r="T89" i="16" s="1"/>
  <c r="S89" i="16" s="1"/>
  <c r="R89" i="16" s="1"/>
  <c r="U85" i="16"/>
  <c r="T85" i="16" s="1"/>
  <c r="S85" i="16" s="1"/>
  <c r="R85" i="16" s="1"/>
  <c r="U81" i="16"/>
  <c r="T81" i="16" s="1"/>
  <c r="S81" i="16" s="1"/>
  <c r="R81" i="16" s="1"/>
  <c r="U77" i="16"/>
  <c r="T77" i="16" s="1"/>
  <c r="S77" i="16" s="1"/>
  <c r="R77" i="16" s="1"/>
  <c r="U73" i="16"/>
  <c r="T73" i="16" s="1"/>
  <c r="S73" i="16" s="1"/>
  <c r="R73" i="16" s="1"/>
  <c r="U69" i="16"/>
  <c r="T69" i="16" s="1"/>
  <c r="S69" i="16" s="1"/>
  <c r="R69" i="16" s="1"/>
  <c r="U65" i="16"/>
  <c r="T65" i="16" s="1"/>
  <c r="S65" i="16" s="1"/>
  <c r="R65" i="16" s="1"/>
  <c r="U61" i="16"/>
  <c r="T61" i="16" s="1"/>
  <c r="S61" i="16" s="1"/>
  <c r="R61" i="16" s="1"/>
  <c r="U57" i="16"/>
  <c r="T57" i="16" s="1"/>
  <c r="S57" i="16" s="1"/>
  <c r="R57" i="16" s="1"/>
  <c r="U53" i="16"/>
  <c r="T53" i="16" s="1"/>
  <c r="S53" i="16" s="1"/>
  <c r="R53" i="16" s="1"/>
  <c r="U49" i="16"/>
  <c r="T49" i="16" s="1"/>
  <c r="S49" i="16" s="1"/>
  <c r="R49" i="16" s="1"/>
  <c r="U45" i="16"/>
  <c r="T45" i="16" s="1"/>
  <c r="S45" i="16" s="1"/>
  <c r="R45" i="16" s="1"/>
  <c r="U41" i="16"/>
  <c r="T41" i="16" s="1"/>
  <c r="S41" i="16" s="1"/>
  <c r="R41" i="16" s="1"/>
  <c r="U37" i="16"/>
  <c r="T37" i="16" s="1"/>
  <c r="S37" i="16" s="1"/>
  <c r="R37" i="16" s="1"/>
  <c r="U33" i="16"/>
  <c r="T33" i="16" s="1"/>
  <c r="S33" i="16" s="1"/>
  <c r="R33" i="16" s="1"/>
  <c r="U29" i="16"/>
  <c r="T29" i="16" s="1"/>
  <c r="S29" i="16" s="1"/>
  <c r="R29" i="16" s="1"/>
  <c r="U25" i="16"/>
  <c r="T25" i="16" s="1"/>
  <c r="S25" i="16" s="1"/>
  <c r="R25" i="16" s="1"/>
  <c r="U21" i="16"/>
  <c r="T21" i="16" s="1"/>
  <c r="S21" i="16" s="1"/>
  <c r="R21" i="16" s="1"/>
  <c r="P270" i="16"/>
  <c r="V270" i="16" s="1"/>
  <c r="Q16" i="7"/>
  <c r="AI15" i="16"/>
  <c r="AI17" i="16"/>
  <c r="AH17" i="16" s="1"/>
  <c r="AG17" i="16" s="1"/>
  <c r="AF17" i="16" s="1"/>
  <c r="AI20" i="16"/>
  <c r="AH20" i="16" s="1"/>
  <c r="AG20" i="16" s="1"/>
  <c r="AF20" i="16" s="1"/>
  <c r="AI22" i="16"/>
  <c r="AH22" i="16" s="1"/>
  <c r="AG22" i="16" s="1"/>
  <c r="AF22" i="16" s="1"/>
  <c r="AI24" i="16"/>
  <c r="AH24" i="16" s="1"/>
  <c r="AG24" i="16" s="1"/>
  <c r="AF24" i="16" s="1"/>
  <c r="AI26" i="16"/>
  <c r="AH26" i="16" s="1"/>
  <c r="AG26" i="16" s="1"/>
  <c r="AF26" i="16" s="1"/>
  <c r="AI28" i="16"/>
  <c r="AH28" i="16" s="1"/>
  <c r="AG28" i="16" s="1"/>
  <c r="AF28" i="16" s="1"/>
  <c r="AI30" i="16"/>
  <c r="AH30" i="16" s="1"/>
  <c r="AG30" i="16" s="1"/>
  <c r="AF30" i="16" s="1"/>
  <c r="AI32" i="16"/>
  <c r="AH32" i="16" s="1"/>
  <c r="AG32" i="16" s="1"/>
  <c r="AF32" i="16" s="1"/>
  <c r="AI34" i="16"/>
  <c r="AH34" i="16" s="1"/>
  <c r="AG34" i="16" s="1"/>
  <c r="AF34" i="16" s="1"/>
  <c r="AI36" i="16"/>
  <c r="AH36" i="16" s="1"/>
  <c r="AG36" i="16" s="1"/>
  <c r="AF36" i="16" s="1"/>
  <c r="AI38" i="16"/>
  <c r="AH38" i="16" s="1"/>
  <c r="AG38" i="16" s="1"/>
  <c r="AF38" i="16" s="1"/>
  <c r="AI40" i="16"/>
  <c r="AH40" i="16" s="1"/>
  <c r="AG40" i="16" s="1"/>
  <c r="AF40" i="16" s="1"/>
  <c r="AI42" i="16"/>
  <c r="AH42" i="16" s="1"/>
  <c r="AG42" i="16" s="1"/>
  <c r="AF42" i="16" s="1"/>
  <c r="AI44" i="16"/>
  <c r="AH44" i="16" s="1"/>
  <c r="AG44" i="16" s="1"/>
  <c r="AF44" i="16" s="1"/>
  <c r="AI46" i="16"/>
  <c r="AH46" i="16" s="1"/>
  <c r="AG46" i="16" s="1"/>
  <c r="AF46" i="16" s="1"/>
  <c r="AI48" i="16"/>
  <c r="AH48" i="16" s="1"/>
  <c r="AG48" i="16" s="1"/>
  <c r="AF48" i="16" s="1"/>
  <c r="AI50" i="16"/>
  <c r="AH50" i="16" s="1"/>
  <c r="AG50" i="16" s="1"/>
  <c r="AF50" i="16" s="1"/>
  <c r="AI52" i="16"/>
  <c r="AH52" i="16" s="1"/>
  <c r="AG52" i="16" s="1"/>
  <c r="AF52" i="16" s="1"/>
  <c r="AI54" i="16"/>
  <c r="AH54" i="16" s="1"/>
  <c r="AG54" i="16" s="1"/>
  <c r="AF54" i="16" s="1"/>
  <c r="AI56" i="16"/>
  <c r="AH56" i="16" s="1"/>
  <c r="AG56" i="16" s="1"/>
  <c r="AF56" i="16" s="1"/>
  <c r="AI58" i="16"/>
  <c r="AH58" i="16" s="1"/>
  <c r="AG58" i="16" s="1"/>
  <c r="AF58" i="16" s="1"/>
  <c r="AI60" i="16"/>
  <c r="AH60" i="16" s="1"/>
  <c r="AG60" i="16" s="1"/>
  <c r="AF60" i="16" s="1"/>
  <c r="AI62" i="16"/>
  <c r="AH62" i="16" s="1"/>
  <c r="AG62" i="16" s="1"/>
  <c r="AF62" i="16" s="1"/>
  <c r="AI64" i="16"/>
  <c r="AH64" i="16" s="1"/>
  <c r="AG64" i="16" s="1"/>
  <c r="AF64" i="16" s="1"/>
  <c r="AI66" i="16"/>
  <c r="AH66" i="16" s="1"/>
  <c r="AG66" i="16" s="1"/>
  <c r="AF66" i="16" s="1"/>
  <c r="AI68" i="16"/>
  <c r="AH68" i="16" s="1"/>
  <c r="AG68" i="16" s="1"/>
  <c r="AF68" i="16" s="1"/>
  <c r="AI70" i="16"/>
  <c r="AH70" i="16" s="1"/>
  <c r="AG70" i="16" s="1"/>
  <c r="AF70" i="16" s="1"/>
  <c r="AI72" i="16"/>
  <c r="AH72" i="16" s="1"/>
  <c r="AG72" i="16" s="1"/>
  <c r="AF72" i="16" s="1"/>
  <c r="AI74" i="16"/>
  <c r="AH74" i="16" s="1"/>
  <c r="AG74" i="16" s="1"/>
  <c r="AF74" i="16" s="1"/>
  <c r="AI76" i="16"/>
  <c r="AH76" i="16" s="1"/>
  <c r="AG76" i="16" s="1"/>
  <c r="AF76" i="16" s="1"/>
  <c r="AI78" i="16"/>
  <c r="AH78" i="16" s="1"/>
  <c r="AG78" i="16" s="1"/>
  <c r="AF78" i="16" s="1"/>
  <c r="AI80" i="16"/>
  <c r="AH80" i="16" s="1"/>
  <c r="AG80" i="16" s="1"/>
  <c r="AF80" i="16" s="1"/>
  <c r="AI82" i="16"/>
  <c r="AH82" i="16" s="1"/>
  <c r="AG82" i="16" s="1"/>
  <c r="AF82" i="16" s="1"/>
  <c r="AI84" i="16"/>
  <c r="AH84" i="16" s="1"/>
  <c r="AG84" i="16" s="1"/>
  <c r="AF84" i="16" s="1"/>
  <c r="AI86" i="16"/>
  <c r="AH86" i="16" s="1"/>
  <c r="AG86" i="16" s="1"/>
  <c r="AF86" i="16" s="1"/>
  <c r="AI88" i="16"/>
  <c r="AH88" i="16" s="1"/>
  <c r="AG88" i="16" s="1"/>
  <c r="AF88" i="16" s="1"/>
  <c r="AI90" i="16"/>
  <c r="AH90" i="16" s="1"/>
  <c r="AG90" i="16" s="1"/>
  <c r="AF90" i="16" s="1"/>
  <c r="AI92" i="16"/>
  <c r="AH92" i="16" s="1"/>
  <c r="AG92" i="16" s="1"/>
  <c r="AF92" i="16" s="1"/>
  <c r="AI94" i="16"/>
  <c r="AH94" i="16" s="1"/>
  <c r="AG94" i="16" s="1"/>
  <c r="AF94" i="16" s="1"/>
  <c r="AI96" i="16"/>
  <c r="AH96" i="16" s="1"/>
  <c r="AG96" i="16" s="1"/>
  <c r="AF96" i="16" s="1"/>
  <c r="AI98" i="16"/>
  <c r="AH98" i="16" s="1"/>
  <c r="AG98" i="16" s="1"/>
  <c r="AF98" i="16" s="1"/>
  <c r="AI100" i="16"/>
  <c r="AH100" i="16" s="1"/>
  <c r="AG100" i="16" s="1"/>
  <c r="AF100" i="16" s="1"/>
  <c r="AI102" i="16"/>
  <c r="AH102" i="16" s="1"/>
  <c r="AG102" i="16" s="1"/>
  <c r="AF102" i="16" s="1"/>
  <c r="AI104" i="16"/>
  <c r="AH104" i="16" s="1"/>
  <c r="AG104" i="16" s="1"/>
  <c r="AF104" i="16" s="1"/>
  <c r="AI106" i="16"/>
  <c r="AH106" i="16" s="1"/>
  <c r="AG106" i="16" s="1"/>
  <c r="AF106" i="16" s="1"/>
  <c r="AI108" i="16"/>
  <c r="AH108" i="16" s="1"/>
  <c r="AG108" i="16" s="1"/>
  <c r="AF108" i="16" s="1"/>
  <c r="AI110" i="16"/>
  <c r="AH110" i="16" s="1"/>
  <c r="AG110" i="16" s="1"/>
  <c r="AF110" i="16" s="1"/>
  <c r="AI112" i="16"/>
  <c r="AH112" i="16" s="1"/>
  <c r="AG112" i="16" s="1"/>
  <c r="AF112" i="16" s="1"/>
  <c r="AI114" i="16"/>
  <c r="AH114" i="16" s="1"/>
  <c r="AG114" i="16" s="1"/>
  <c r="AF114" i="16" s="1"/>
  <c r="AI116" i="16"/>
  <c r="AH116" i="16" s="1"/>
  <c r="AG116" i="16" s="1"/>
  <c r="AF116" i="16" s="1"/>
  <c r="AI118" i="16"/>
  <c r="AH118" i="16" s="1"/>
  <c r="AG118" i="16" s="1"/>
  <c r="AF118" i="16" s="1"/>
  <c r="AI120" i="16"/>
  <c r="AH120" i="16" s="1"/>
  <c r="AG120" i="16" s="1"/>
  <c r="AF120" i="16" s="1"/>
  <c r="AI122" i="16"/>
  <c r="AH122" i="16" s="1"/>
  <c r="AG122" i="16" s="1"/>
  <c r="AF122" i="16" s="1"/>
  <c r="AI124" i="16"/>
  <c r="AH124" i="16" s="1"/>
  <c r="AG124" i="16" s="1"/>
  <c r="AF124" i="16" s="1"/>
  <c r="AI126" i="16"/>
  <c r="AH126" i="16" s="1"/>
  <c r="AG126" i="16" s="1"/>
  <c r="AF126" i="16" s="1"/>
  <c r="AI128" i="16"/>
  <c r="AH128" i="16" s="1"/>
  <c r="AG128" i="16" s="1"/>
  <c r="AF128" i="16" s="1"/>
  <c r="AI130" i="16"/>
  <c r="AH130" i="16" s="1"/>
  <c r="AG130" i="16" s="1"/>
  <c r="AF130" i="16" s="1"/>
  <c r="AI132" i="16"/>
  <c r="AH132" i="16" s="1"/>
  <c r="AG132" i="16" s="1"/>
  <c r="AF132" i="16" s="1"/>
  <c r="AI134" i="16"/>
  <c r="AH134" i="16" s="1"/>
  <c r="AG134" i="16" s="1"/>
  <c r="AF134" i="16" s="1"/>
  <c r="AI136" i="16"/>
  <c r="AH136" i="16" s="1"/>
  <c r="AG136" i="16" s="1"/>
  <c r="AF136" i="16" s="1"/>
  <c r="AI138" i="16"/>
  <c r="AH138" i="16" s="1"/>
  <c r="AG138" i="16" s="1"/>
  <c r="AF138" i="16" s="1"/>
  <c r="AI140" i="16"/>
  <c r="AH140" i="16" s="1"/>
  <c r="AG140" i="16" s="1"/>
  <c r="AF140" i="16" s="1"/>
  <c r="AI142" i="16"/>
  <c r="AH142" i="16" s="1"/>
  <c r="AG142" i="16" s="1"/>
  <c r="AF142" i="16" s="1"/>
  <c r="AI144" i="16"/>
  <c r="AH144" i="16" s="1"/>
  <c r="AG144" i="16" s="1"/>
  <c r="AF144" i="16" s="1"/>
  <c r="AI146" i="16"/>
  <c r="AH146" i="16" s="1"/>
  <c r="AG146" i="16" s="1"/>
  <c r="AF146" i="16" s="1"/>
  <c r="AI148" i="16"/>
  <c r="AH148" i="16" s="1"/>
  <c r="AG148" i="16" s="1"/>
  <c r="AF148" i="16" s="1"/>
  <c r="AI150" i="16"/>
  <c r="AH150" i="16" s="1"/>
  <c r="AG150" i="16" s="1"/>
  <c r="AF150" i="16" s="1"/>
  <c r="AI152" i="16"/>
  <c r="AH152" i="16" s="1"/>
  <c r="AG152" i="16" s="1"/>
  <c r="AF152" i="16" s="1"/>
  <c r="AI154" i="16"/>
  <c r="AH154" i="16" s="1"/>
  <c r="AG154" i="16" s="1"/>
  <c r="AF154" i="16" s="1"/>
  <c r="AI156" i="16"/>
  <c r="AH156" i="16" s="1"/>
  <c r="AG156" i="16" s="1"/>
  <c r="AF156" i="16" s="1"/>
  <c r="AI158" i="16"/>
  <c r="AH158" i="16" s="1"/>
  <c r="AG158" i="16" s="1"/>
  <c r="AF158" i="16" s="1"/>
  <c r="AI160" i="16"/>
  <c r="AH160" i="16" s="1"/>
  <c r="AG160" i="16" s="1"/>
  <c r="AF160" i="16" s="1"/>
  <c r="AI162" i="16"/>
  <c r="AH162" i="16" s="1"/>
  <c r="AG162" i="16" s="1"/>
  <c r="AF162" i="16" s="1"/>
  <c r="AI164" i="16"/>
  <c r="AH164" i="16" s="1"/>
  <c r="AG164" i="16" s="1"/>
  <c r="AF164" i="16" s="1"/>
  <c r="AI166" i="16"/>
  <c r="AH166" i="16" s="1"/>
  <c r="AG166" i="16" s="1"/>
  <c r="AF166" i="16" s="1"/>
  <c r="AI168" i="16"/>
  <c r="AH168" i="16" s="1"/>
  <c r="AG168" i="16" s="1"/>
  <c r="AF168" i="16" s="1"/>
  <c r="AI170" i="16"/>
  <c r="AH170" i="16" s="1"/>
  <c r="AG170" i="16" s="1"/>
  <c r="AF170" i="16" s="1"/>
  <c r="AI172" i="16"/>
  <c r="AH172" i="16" s="1"/>
  <c r="AG172" i="16" s="1"/>
  <c r="AF172" i="16" s="1"/>
  <c r="AI174" i="16"/>
  <c r="AH174" i="16" s="1"/>
  <c r="AG174" i="16" s="1"/>
  <c r="AF174" i="16" s="1"/>
  <c r="AI176" i="16"/>
  <c r="AH176" i="16" s="1"/>
  <c r="AG176" i="16" s="1"/>
  <c r="AF176" i="16" s="1"/>
  <c r="AI178" i="16"/>
  <c r="AH178" i="16" s="1"/>
  <c r="AG178" i="16" s="1"/>
  <c r="AF178" i="16" s="1"/>
  <c r="AI180" i="16"/>
  <c r="AH180" i="16" s="1"/>
  <c r="AG180" i="16" s="1"/>
  <c r="AF180" i="16" s="1"/>
  <c r="AI182" i="16"/>
  <c r="AH182" i="16" s="1"/>
  <c r="AG182" i="16" s="1"/>
  <c r="AF182" i="16" s="1"/>
  <c r="AI184" i="16"/>
  <c r="AH184" i="16" s="1"/>
  <c r="AG184" i="16" s="1"/>
  <c r="AF184" i="16" s="1"/>
  <c r="AI186" i="16"/>
  <c r="AH186" i="16" s="1"/>
  <c r="AG186" i="16" s="1"/>
  <c r="AF186" i="16" s="1"/>
  <c r="AI188" i="16"/>
  <c r="AH188" i="16" s="1"/>
  <c r="AG188" i="16" s="1"/>
  <c r="AF188" i="16" s="1"/>
  <c r="AI190" i="16"/>
  <c r="AH190" i="16" s="1"/>
  <c r="AG190" i="16" s="1"/>
  <c r="AF190" i="16" s="1"/>
  <c r="AI192" i="16"/>
  <c r="AH192" i="16" s="1"/>
  <c r="AG192" i="16" s="1"/>
  <c r="AF192" i="16" s="1"/>
  <c r="AI194" i="16"/>
  <c r="AH194" i="16" s="1"/>
  <c r="AG194" i="16" s="1"/>
  <c r="AF194" i="16" s="1"/>
  <c r="AI196" i="16"/>
  <c r="AH196" i="16" s="1"/>
  <c r="AG196" i="16" s="1"/>
  <c r="AF196" i="16" s="1"/>
  <c r="AI198" i="16"/>
  <c r="AH198" i="16" s="1"/>
  <c r="AG198" i="16" s="1"/>
  <c r="AF198" i="16" s="1"/>
  <c r="AI200" i="16"/>
  <c r="AH200" i="16" s="1"/>
  <c r="AG200" i="16" s="1"/>
  <c r="AF200" i="16" s="1"/>
  <c r="AI202" i="16"/>
  <c r="AH202" i="16" s="1"/>
  <c r="AG202" i="16" s="1"/>
  <c r="AF202" i="16" s="1"/>
  <c r="AI204" i="16"/>
  <c r="AH204" i="16" s="1"/>
  <c r="AG204" i="16" s="1"/>
  <c r="AF204" i="16" s="1"/>
  <c r="AI206" i="16"/>
  <c r="AH206" i="16" s="1"/>
  <c r="AG206" i="16" s="1"/>
  <c r="AF206" i="16" s="1"/>
  <c r="AI208" i="16"/>
  <c r="AH208" i="16" s="1"/>
  <c r="AG208" i="16" s="1"/>
  <c r="AF208" i="16" s="1"/>
  <c r="AI210" i="16"/>
  <c r="AH210" i="16" s="1"/>
  <c r="AG210" i="16" s="1"/>
  <c r="AF210" i="16" s="1"/>
  <c r="AI212" i="16"/>
  <c r="AH212" i="16" s="1"/>
  <c r="AG212" i="16" s="1"/>
  <c r="AF212" i="16" s="1"/>
  <c r="AI214" i="16"/>
  <c r="AH214" i="16" s="1"/>
  <c r="AG214" i="16" s="1"/>
  <c r="AF214" i="16" s="1"/>
  <c r="AI216" i="16"/>
  <c r="AH216" i="16" s="1"/>
  <c r="AG216" i="16" s="1"/>
  <c r="AF216" i="16" s="1"/>
  <c r="AI218" i="16"/>
  <c r="AH218" i="16" s="1"/>
  <c r="AG218" i="16" s="1"/>
  <c r="AF218" i="16" s="1"/>
  <c r="AI220" i="16"/>
  <c r="AH220" i="16" s="1"/>
  <c r="AG220" i="16" s="1"/>
  <c r="AF220" i="16" s="1"/>
  <c r="AI222" i="16"/>
  <c r="AH222" i="16" s="1"/>
  <c r="AG222" i="16" s="1"/>
  <c r="AF222" i="16" s="1"/>
  <c r="AI224" i="16"/>
  <c r="AH224" i="16" s="1"/>
  <c r="AG224" i="16" s="1"/>
  <c r="AF224" i="16" s="1"/>
  <c r="AI226" i="16"/>
  <c r="AH226" i="16" s="1"/>
  <c r="AG226" i="16" s="1"/>
  <c r="AF226" i="16" s="1"/>
  <c r="AI228" i="16"/>
  <c r="AH228" i="16" s="1"/>
  <c r="AG228" i="16" s="1"/>
  <c r="AF228" i="16" s="1"/>
  <c r="AI230" i="16"/>
  <c r="AH230" i="16" s="1"/>
  <c r="AG230" i="16" s="1"/>
  <c r="AF230" i="16" s="1"/>
  <c r="AI232" i="16"/>
  <c r="AH232" i="16" s="1"/>
  <c r="AG232" i="16" s="1"/>
  <c r="AF232" i="16" s="1"/>
  <c r="AI234" i="16"/>
  <c r="AH234" i="16" s="1"/>
  <c r="AG234" i="16" s="1"/>
  <c r="AF234" i="16" s="1"/>
  <c r="AI236" i="16"/>
  <c r="AH236" i="16" s="1"/>
  <c r="AG236" i="16" s="1"/>
  <c r="AF236" i="16" s="1"/>
  <c r="AI238" i="16"/>
  <c r="AH238" i="16" s="1"/>
  <c r="AG238" i="16" s="1"/>
  <c r="AF238" i="16" s="1"/>
  <c r="AI240" i="16"/>
  <c r="AH240" i="16" s="1"/>
  <c r="AG240" i="16" s="1"/>
  <c r="AF240" i="16" s="1"/>
  <c r="AI242" i="16"/>
  <c r="AH242" i="16" s="1"/>
  <c r="AG242" i="16" s="1"/>
  <c r="AF242" i="16" s="1"/>
  <c r="AI244" i="16"/>
  <c r="AH244" i="16" s="1"/>
  <c r="AG244" i="16" s="1"/>
  <c r="AF244" i="16" s="1"/>
  <c r="AI246" i="16"/>
  <c r="AH246" i="16" s="1"/>
  <c r="AG246" i="16" s="1"/>
  <c r="AF246" i="16" s="1"/>
  <c r="AI248" i="16"/>
  <c r="AH248" i="16" s="1"/>
  <c r="AG248" i="16" s="1"/>
  <c r="AF248" i="16" s="1"/>
  <c r="AI250" i="16"/>
  <c r="AH250" i="16" s="1"/>
  <c r="AG250" i="16" s="1"/>
  <c r="AF250" i="16" s="1"/>
  <c r="AI252" i="16"/>
  <c r="AH252" i="16" s="1"/>
  <c r="AG252" i="16" s="1"/>
  <c r="AF252" i="16" s="1"/>
  <c r="AI254" i="16"/>
  <c r="AH254" i="16" s="1"/>
  <c r="AG254" i="16" s="1"/>
  <c r="AF254" i="16" s="1"/>
  <c r="AI256" i="16"/>
  <c r="AH256" i="16" s="1"/>
  <c r="AG256" i="16" s="1"/>
  <c r="AF256" i="16" s="1"/>
  <c r="AI258" i="16"/>
  <c r="AH258" i="16" s="1"/>
  <c r="AG258" i="16" s="1"/>
  <c r="AF258" i="16" s="1"/>
  <c r="AI260" i="16"/>
  <c r="AH260" i="16" s="1"/>
  <c r="AG260" i="16" s="1"/>
  <c r="AF260" i="16" s="1"/>
  <c r="AI262" i="16"/>
  <c r="AH262" i="16" s="1"/>
  <c r="AG262" i="16" s="1"/>
  <c r="AF262" i="16" s="1"/>
  <c r="AI264" i="16"/>
  <c r="AH264" i="16" s="1"/>
  <c r="AG264" i="16" s="1"/>
  <c r="AF264" i="16" s="1"/>
  <c r="AI266" i="16"/>
  <c r="AH266" i="16" s="1"/>
  <c r="AG266" i="16" s="1"/>
  <c r="AF266" i="16" s="1"/>
  <c r="AI268" i="16"/>
  <c r="AH268" i="16" s="1"/>
  <c r="AG268" i="16" s="1"/>
  <c r="AF268" i="16" s="1"/>
  <c r="AI270" i="16"/>
  <c r="AH270" i="16" s="1"/>
  <c r="AG270" i="16" s="1"/>
  <c r="AF270" i="16" s="1"/>
  <c r="AI272" i="16"/>
  <c r="AH272" i="16" s="1"/>
  <c r="AG272" i="16" s="1"/>
  <c r="AF272" i="16" s="1"/>
  <c r="AI274" i="16"/>
  <c r="AH274" i="16" s="1"/>
  <c r="AG274" i="16" s="1"/>
  <c r="AF274" i="16" s="1"/>
  <c r="AI276" i="16"/>
  <c r="AH276" i="16" s="1"/>
  <c r="AG276" i="16" s="1"/>
  <c r="AF276" i="16" s="1"/>
  <c r="AI278" i="16"/>
  <c r="AH278" i="16" s="1"/>
  <c r="AG278" i="16" s="1"/>
  <c r="AF278" i="16" s="1"/>
  <c r="AI280" i="16"/>
  <c r="AH280" i="16" s="1"/>
  <c r="AG280" i="16" s="1"/>
  <c r="AF280" i="16" s="1"/>
  <c r="AI282" i="16"/>
  <c r="AH282" i="16" s="1"/>
  <c r="AG282" i="16" s="1"/>
  <c r="AF282" i="16" s="1"/>
  <c r="AI284" i="16"/>
  <c r="AH284" i="16" s="1"/>
  <c r="AG284" i="16" s="1"/>
  <c r="AF284" i="16" s="1"/>
  <c r="AI286" i="16"/>
  <c r="AH286" i="16" s="1"/>
  <c r="AG286" i="16" s="1"/>
  <c r="AF286" i="16" s="1"/>
  <c r="AI288" i="16"/>
  <c r="AH288" i="16" s="1"/>
  <c r="AG288" i="16" s="1"/>
  <c r="AF288" i="16" s="1"/>
  <c r="AI290" i="16"/>
  <c r="AH290" i="16" s="1"/>
  <c r="AG290" i="16" s="1"/>
  <c r="AF290" i="16" s="1"/>
  <c r="AI292" i="16"/>
  <c r="AH292" i="16" s="1"/>
  <c r="AG292" i="16" s="1"/>
  <c r="AF292" i="16" s="1"/>
  <c r="AI294" i="16"/>
  <c r="AH294" i="16" s="1"/>
  <c r="AG294" i="16" s="1"/>
  <c r="AF294" i="16" s="1"/>
  <c r="AI296" i="16"/>
  <c r="AH296" i="16" s="1"/>
  <c r="AG296" i="16" s="1"/>
  <c r="AF296" i="16" s="1"/>
  <c r="AI298" i="16"/>
  <c r="AH298" i="16" s="1"/>
  <c r="AG298" i="16" s="1"/>
  <c r="AF298" i="16" s="1"/>
  <c r="AI300" i="16"/>
  <c r="AH300" i="16" s="1"/>
  <c r="AG300" i="16" s="1"/>
  <c r="AF300" i="16" s="1"/>
  <c r="AI302" i="16"/>
  <c r="AH302" i="16" s="1"/>
  <c r="AG302" i="16" s="1"/>
  <c r="AF302" i="16" s="1"/>
  <c r="AI304" i="16"/>
  <c r="AH304" i="16" s="1"/>
  <c r="AG304" i="16" s="1"/>
  <c r="AF304" i="16" s="1"/>
  <c r="AI306" i="16"/>
  <c r="AH306" i="16" s="1"/>
  <c r="AG306" i="16" s="1"/>
  <c r="AF306" i="16" s="1"/>
  <c r="AI308" i="16"/>
  <c r="AH308" i="16" s="1"/>
  <c r="AG308" i="16" s="1"/>
  <c r="AF308" i="16" s="1"/>
  <c r="AI310" i="16"/>
  <c r="AH310" i="16" s="1"/>
  <c r="AG310" i="16" s="1"/>
  <c r="AF310" i="16" s="1"/>
  <c r="AI312" i="16"/>
  <c r="AH312" i="16" s="1"/>
  <c r="AG312" i="16" s="1"/>
  <c r="AF312" i="16" s="1"/>
  <c r="AI314" i="16"/>
  <c r="AH314" i="16" s="1"/>
  <c r="AG314" i="16" s="1"/>
  <c r="AF314" i="16" s="1"/>
  <c r="AI316" i="16"/>
  <c r="AH316" i="16" s="1"/>
  <c r="AG316" i="16" s="1"/>
  <c r="AF316" i="16" s="1"/>
  <c r="AI318" i="16"/>
  <c r="AH318" i="16" s="1"/>
  <c r="AG318" i="16" s="1"/>
  <c r="AF318" i="16" s="1"/>
  <c r="AI320" i="16"/>
  <c r="AH320" i="16" s="1"/>
  <c r="AG320" i="16" s="1"/>
  <c r="AF320" i="16" s="1"/>
  <c r="AI322" i="16"/>
  <c r="AH322" i="16" s="1"/>
  <c r="AG322" i="16" s="1"/>
  <c r="AF322" i="16" s="1"/>
  <c r="AI324" i="16"/>
  <c r="AH324" i="16" s="1"/>
  <c r="AG324" i="16" s="1"/>
  <c r="AF324" i="16" s="1"/>
  <c r="AI326" i="16"/>
  <c r="AH326" i="16" s="1"/>
  <c r="AG326" i="16" s="1"/>
  <c r="AF326" i="16" s="1"/>
  <c r="AI328" i="16"/>
  <c r="AH328" i="16" s="1"/>
  <c r="AG328" i="16" s="1"/>
  <c r="AF328" i="16" s="1"/>
  <c r="AI330" i="16"/>
  <c r="AH330" i="16" s="1"/>
  <c r="AG330" i="16" s="1"/>
  <c r="AF330" i="16" s="1"/>
  <c r="AI332" i="16"/>
  <c r="AH332" i="16" s="1"/>
  <c r="AG332" i="16" s="1"/>
  <c r="AF332" i="16" s="1"/>
  <c r="AI334" i="16"/>
  <c r="AH334" i="16" s="1"/>
  <c r="AG334" i="16" s="1"/>
  <c r="AF334" i="16" s="1"/>
  <c r="AI336" i="16"/>
  <c r="AH336" i="16" s="1"/>
  <c r="AG336" i="16" s="1"/>
  <c r="AF336" i="16" s="1"/>
  <c r="AI338" i="16"/>
  <c r="AH338" i="16" s="1"/>
  <c r="AG338" i="16" s="1"/>
  <c r="AF338" i="16" s="1"/>
  <c r="AI340" i="16"/>
  <c r="AH340" i="16" s="1"/>
  <c r="AG340" i="16" s="1"/>
  <c r="AF340" i="16" s="1"/>
  <c r="AI342" i="16"/>
  <c r="AH342" i="16" s="1"/>
  <c r="AG342" i="16" s="1"/>
  <c r="AF342" i="16" s="1"/>
  <c r="AI344" i="16"/>
  <c r="AH344" i="16" s="1"/>
  <c r="AG344" i="16" s="1"/>
  <c r="AF344" i="16" s="1"/>
  <c r="AI346" i="16"/>
  <c r="AH346" i="16" s="1"/>
  <c r="AG346" i="16" s="1"/>
  <c r="AF346" i="16" s="1"/>
  <c r="AI348" i="16"/>
  <c r="AH348" i="16" s="1"/>
  <c r="AG348" i="16" s="1"/>
  <c r="AF348" i="16" s="1"/>
  <c r="AI350" i="16"/>
  <c r="AH350" i="16" s="1"/>
  <c r="AG350" i="16" s="1"/>
  <c r="AF350" i="16" s="1"/>
  <c r="AI352" i="16"/>
  <c r="AH352" i="16" s="1"/>
  <c r="AG352" i="16" s="1"/>
  <c r="AF352" i="16" s="1"/>
  <c r="AI354" i="16"/>
  <c r="AH354" i="16" s="1"/>
  <c r="AG354" i="16" s="1"/>
  <c r="AF354" i="16" s="1"/>
  <c r="AI356" i="16"/>
  <c r="AH356" i="16" s="1"/>
  <c r="AG356" i="16" s="1"/>
  <c r="AF356" i="16" s="1"/>
  <c r="AI358" i="16"/>
  <c r="AH358" i="16" s="1"/>
  <c r="AG358" i="16" s="1"/>
  <c r="AF358" i="16" s="1"/>
  <c r="AI360" i="16"/>
  <c r="AH360" i="16" s="1"/>
  <c r="AG360" i="16" s="1"/>
  <c r="AF360" i="16" s="1"/>
  <c r="AI362" i="16"/>
  <c r="AH362" i="16" s="1"/>
  <c r="AG362" i="16" s="1"/>
  <c r="AF362" i="16" s="1"/>
  <c r="AI364" i="16"/>
  <c r="AH364" i="16" s="1"/>
  <c r="AG364" i="16" s="1"/>
  <c r="AF364" i="16" s="1"/>
  <c r="AI366" i="16"/>
  <c r="AH366" i="16" s="1"/>
  <c r="AG366" i="16" s="1"/>
  <c r="AF366" i="16" s="1"/>
  <c r="AI368" i="16"/>
  <c r="AH368" i="16" s="1"/>
  <c r="AG368" i="16" s="1"/>
  <c r="AF368" i="16" s="1"/>
  <c r="AI370" i="16"/>
  <c r="AH370" i="16" s="1"/>
  <c r="AG370" i="16" s="1"/>
  <c r="AF370" i="16" s="1"/>
  <c r="AI372" i="16"/>
  <c r="AH372" i="16" s="1"/>
  <c r="AG372" i="16" s="1"/>
  <c r="AF372" i="16" s="1"/>
  <c r="AI374" i="16"/>
  <c r="AH374" i="16" s="1"/>
  <c r="AG374" i="16" s="1"/>
  <c r="AF374" i="16" s="1"/>
  <c r="AI376" i="16"/>
  <c r="AH376" i="16" s="1"/>
  <c r="AG376" i="16" s="1"/>
  <c r="AF376" i="16" s="1"/>
  <c r="AI378" i="16"/>
  <c r="AH378" i="16" s="1"/>
  <c r="AG378" i="16" s="1"/>
  <c r="AF378" i="16" s="1"/>
  <c r="U20" i="16"/>
  <c r="T20" i="16" s="1"/>
  <c r="S20" i="16" s="1"/>
  <c r="R20" i="16" s="1"/>
  <c r="U24" i="16"/>
  <c r="T24" i="16" s="1"/>
  <c r="S24" i="16" s="1"/>
  <c r="R24" i="16" s="1"/>
  <c r="U32" i="16"/>
  <c r="T32" i="16" s="1"/>
  <c r="S32" i="16" s="1"/>
  <c r="R32" i="16" s="1"/>
  <c r="U40" i="16"/>
  <c r="T40" i="16" s="1"/>
  <c r="S40" i="16" s="1"/>
  <c r="R40" i="16" s="1"/>
  <c r="U48" i="16"/>
  <c r="T48" i="16" s="1"/>
  <c r="S48" i="16" s="1"/>
  <c r="R48" i="16" s="1"/>
  <c r="U56" i="16"/>
  <c r="T56" i="16" s="1"/>
  <c r="S56" i="16" s="1"/>
  <c r="R56" i="16" s="1"/>
  <c r="U64" i="16"/>
  <c r="T64" i="16" s="1"/>
  <c r="S64" i="16" s="1"/>
  <c r="R64" i="16" s="1"/>
  <c r="U72" i="16"/>
  <c r="T72" i="16" s="1"/>
  <c r="S72" i="16" s="1"/>
  <c r="R72" i="16" s="1"/>
  <c r="U80" i="16"/>
  <c r="T80" i="16" s="1"/>
  <c r="S80" i="16" s="1"/>
  <c r="R80" i="16" s="1"/>
  <c r="U88" i="16"/>
  <c r="T88" i="16" s="1"/>
  <c r="S88" i="16" s="1"/>
  <c r="R88" i="16" s="1"/>
  <c r="U96" i="16"/>
  <c r="T96" i="16" s="1"/>
  <c r="S96" i="16" s="1"/>
  <c r="R96" i="16" s="1"/>
  <c r="U104" i="16"/>
  <c r="T104" i="16" s="1"/>
  <c r="S104" i="16" s="1"/>
  <c r="R104" i="16" s="1"/>
  <c r="U112" i="16"/>
  <c r="T112" i="16" s="1"/>
  <c r="S112" i="16" s="1"/>
  <c r="R112" i="16" s="1"/>
  <c r="U120" i="16"/>
  <c r="T120" i="16" s="1"/>
  <c r="S120" i="16" s="1"/>
  <c r="R120" i="16" s="1"/>
  <c r="U128" i="16"/>
  <c r="T128" i="16" s="1"/>
  <c r="S128" i="16" s="1"/>
  <c r="R128" i="16" s="1"/>
  <c r="U136" i="16"/>
  <c r="T136" i="16" s="1"/>
  <c r="S136" i="16" s="1"/>
  <c r="R136" i="16" s="1"/>
  <c r="U144" i="16"/>
  <c r="T144" i="16" s="1"/>
  <c r="S144" i="16" s="1"/>
  <c r="R144" i="16" s="1"/>
  <c r="U152" i="16"/>
  <c r="T152" i="16" s="1"/>
  <c r="S152" i="16" s="1"/>
  <c r="R152" i="16" s="1"/>
  <c r="U160" i="16"/>
  <c r="T160" i="16" s="1"/>
  <c r="S160" i="16" s="1"/>
  <c r="R160" i="16" s="1"/>
  <c r="U168" i="16"/>
  <c r="T168" i="16" s="1"/>
  <c r="S168" i="16" s="1"/>
  <c r="R168" i="16" s="1"/>
  <c r="U176" i="16"/>
  <c r="T176" i="16" s="1"/>
  <c r="S176" i="16" s="1"/>
  <c r="R176" i="16" s="1"/>
  <c r="U184" i="16"/>
  <c r="T184" i="16" s="1"/>
  <c r="S184" i="16" s="1"/>
  <c r="R184" i="16" s="1"/>
  <c r="U192" i="16"/>
  <c r="T192" i="16" s="1"/>
  <c r="U200" i="16"/>
  <c r="T200" i="16" s="1"/>
  <c r="S200" i="16" s="1"/>
  <c r="R200" i="16" s="1"/>
  <c r="P200" i="16" s="1"/>
  <c r="V200" i="16" s="1"/>
  <c r="U208" i="16"/>
  <c r="T208" i="16" s="1"/>
  <c r="S208" i="16" s="1"/>
  <c r="R208" i="16" s="1"/>
  <c r="U216" i="16"/>
  <c r="T216" i="16" s="1"/>
  <c r="U224" i="16"/>
  <c r="T224" i="16" s="1"/>
  <c r="S224" i="16" s="1"/>
  <c r="R224" i="16" s="1"/>
  <c r="U232" i="16"/>
  <c r="T232" i="16" s="1"/>
  <c r="U240" i="16"/>
  <c r="T240" i="16" s="1"/>
  <c r="S240" i="16" s="1"/>
  <c r="R240" i="16" s="1"/>
  <c r="U248" i="16"/>
  <c r="T248" i="16" s="1"/>
  <c r="U256" i="16"/>
  <c r="T256" i="16" s="1"/>
  <c r="S256" i="16" s="1"/>
  <c r="R256" i="16" s="1"/>
  <c r="U264" i="16"/>
  <c r="T264" i="16" s="1"/>
  <c r="U272" i="16"/>
  <c r="T272" i="16" s="1"/>
  <c r="S272" i="16" s="1"/>
  <c r="R272" i="16" s="1"/>
  <c r="U280" i="16"/>
  <c r="T280" i="16" s="1"/>
  <c r="U288" i="16"/>
  <c r="T288" i="16" s="1"/>
  <c r="S288" i="16" s="1"/>
  <c r="R288" i="16" s="1"/>
  <c r="U300" i="16"/>
  <c r="T300" i="16" s="1"/>
  <c r="S300" i="16" s="1"/>
  <c r="R300" i="16" s="1"/>
  <c r="U308" i="16"/>
  <c r="T308" i="16" s="1"/>
  <c r="S308" i="16" s="1"/>
  <c r="R308" i="16" s="1"/>
  <c r="U316" i="16"/>
  <c r="T316" i="16" s="1"/>
  <c r="S316" i="16" s="1"/>
  <c r="R316" i="16" s="1"/>
  <c r="U324" i="16"/>
  <c r="T324" i="16" s="1"/>
  <c r="S324" i="16" s="1"/>
  <c r="R324" i="16" s="1"/>
  <c r="U332" i="16"/>
  <c r="T332" i="16" s="1"/>
  <c r="S332" i="16" s="1"/>
  <c r="R332" i="16" s="1"/>
  <c r="U339" i="16"/>
  <c r="T339" i="16" s="1"/>
  <c r="S339" i="16" s="1"/>
  <c r="R339" i="16" s="1"/>
  <c r="U343" i="16"/>
  <c r="T343" i="16" s="1"/>
  <c r="S343" i="16" s="1"/>
  <c r="R343" i="16" s="1"/>
  <c r="U345" i="16"/>
  <c r="T345" i="16" s="1"/>
  <c r="S345" i="16" s="1"/>
  <c r="R345" i="16" s="1"/>
  <c r="U349" i="16"/>
  <c r="T349" i="16" s="1"/>
  <c r="S349" i="16" s="1"/>
  <c r="R349" i="16" s="1"/>
  <c r="U353" i="16"/>
  <c r="T353" i="16" s="1"/>
  <c r="S353" i="16" s="1"/>
  <c r="R353" i="16" s="1"/>
  <c r="U357" i="16"/>
  <c r="T357" i="16" s="1"/>
  <c r="S357" i="16" s="1"/>
  <c r="R357" i="16" s="1"/>
  <c r="U363" i="16"/>
  <c r="T363" i="16" s="1"/>
  <c r="S363" i="16" s="1"/>
  <c r="R363" i="16" s="1"/>
  <c r="P363" i="16" s="1"/>
  <c r="V363" i="16" s="1"/>
  <c r="U367" i="16"/>
  <c r="T367" i="16" s="1"/>
  <c r="S367" i="16" s="1"/>
  <c r="R367" i="16" s="1"/>
  <c r="U371" i="16"/>
  <c r="T371" i="16" s="1"/>
  <c r="S371" i="16" s="1"/>
  <c r="R371" i="16" s="1"/>
  <c r="U375" i="16"/>
  <c r="T375" i="16" s="1"/>
  <c r="S375" i="16" s="1"/>
  <c r="R375" i="16" s="1"/>
  <c r="U379" i="16"/>
  <c r="AI18" i="16"/>
  <c r="AH18" i="16" s="1"/>
  <c r="AG18" i="16" s="1"/>
  <c r="AF18" i="16" s="1"/>
  <c r="AI19" i="16"/>
  <c r="AH19" i="16" s="1"/>
  <c r="AG19" i="16" s="1"/>
  <c r="AF19" i="16" s="1"/>
  <c r="AI23" i="16"/>
  <c r="AH23" i="16" s="1"/>
  <c r="AG23" i="16" s="1"/>
  <c r="AF23" i="16" s="1"/>
  <c r="AI27" i="16"/>
  <c r="AH27" i="16" s="1"/>
  <c r="AG27" i="16" s="1"/>
  <c r="AF27" i="16" s="1"/>
  <c r="AI31" i="16"/>
  <c r="AH31" i="16" s="1"/>
  <c r="AG31" i="16" s="1"/>
  <c r="AF31" i="16" s="1"/>
  <c r="U17" i="16"/>
  <c r="T17" i="16" s="1"/>
  <c r="S17" i="16" s="1"/>
  <c r="R17" i="16" s="1"/>
  <c r="U28" i="16"/>
  <c r="T28" i="16" s="1"/>
  <c r="S28" i="16" s="1"/>
  <c r="R28" i="16" s="1"/>
  <c r="U36" i="16"/>
  <c r="T36" i="16" s="1"/>
  <c r="S36" i="16" s="1"/>
  <c r="R36" i="16" s="1"/>
  <c r="U44" i="16"/>
  <c r="T44" i="16" s="1"/>
  <c r="S44" i="16" s="1"/>
  <c r="R44" i="16" s="1"/>
  <c r="U52" i="16"/>
  <c r="T52" i="16" s="1"/>
  <c r="S52" i="16" s="1"/>
  <c r="R52" i="16" s="1"/>
  <c r="U60" i="16"/>
  <c r="T60" i="16" s="1"/>
  <c r="S60" i="16" s="1"/>
  <c r="R60" i="16" s="1"/>
  <c r="U68" i="16"/>
  <c r="T68" i="16" s="1"/>
  <c r="S68" i="16" s="1"/>
  <c r="R68" i="16" s="1"/>
  <c r="U76" i="16"/>
  <c r="T76" i="16" s="1"/>
  <c r="S76" i="16" s="1"/>
  <c r="R76" i="16" s="1"/>
  <c r="U84" i="16"/>
  <c r="T84" i="16" s="1"/>
  <c r="S84" i="16" s="1"/>
  <c r="R84" i="16" s="1"/>
  <c r="U92" i="16"/>
  <c r="T92" i="16" s="1"/>
  <c r="S92" i="16" s="1"/>
  <c r="R92" i="16" s="1"/>
  <c r="U100" i="16"/>
  <c r="T100" i="16" s="1"/>
  <c r="S100" i="16" s="1"/>
  <c r="R100" i="16" s="1"/>
  <c r="U108" i="16"/>
  <c r="T108" i="16" s="1"/>
  <c r="S108" i="16" s="1"/>
  <c r="R108" i="16" s="1"/>
  <c r="U116" i="16"/>
  <c r="T116" i="16" s="1"/>
  <c r="S116" i="16" s="1"/>
  <c r="R116" i="16" s="1"/>
  <c r="U124" i="16"/>
  <c r="T124" i="16" s="1"/>
  <c r="S124" i="16" s="1"/>
  <c r="R124" i="16" s="1"/>
  <c r="U132" i="16"/>
  <c r="T132" i="16" s="1"/>
  <c r="S132" i="16" s="1"/>
  <c r="R132" i="16" s="1"/>
  <c r="U140" i="16"/>
  <c r="T140" i="16" s="1"/>
  <c r="S140" i="16" s="1"/>
  <c r="R140" i="16" s="1"/>
  <c r="U148" i="16"/>
  <c r="T148" i="16" s="1"/>
  <c r="S148" i="16" s="1"/>
  <c r="R148" i="16" s="1"/>
  <c r="U156" i="16"/>
  <c r="T156" i="16" s="1"/>
  <c r="S156" i="16" s="1"/>
  <c r="R156" i="16" s="1"/>
  <c r="U164" i="16"/>
  <c r="T164" i="16" s="1"/>
  <c r="S164" i="16" s="1"/>
  <c r="R164" i="16" s="1"/>
  <c r="U172" i="16"/>
  <c r="T172" i="16" s="1"/>
  <c r="S172" i="16" s="1"/>
  <c r="R172" i="16" s="1"/>
  <c r="U180" i="16"/>
  <c r="T180" i="16" s="1"/>
  <c r="S180" i="16" s="1"/>
  <c r="R180" i="16" s="1"/>
  <c r="U188" i="16"/>
  <c r="T188" i="16" s="1"/>
  <c r="S188" i="16" s="1"/>
  <c r="R188" i="16" s="1"/>
  <c r="P188" i="16" s="1"/>
  <c r="V188" i="16" s="1"/>
  <c r="U196" i="16"/>
  <c r="T196" i="16" s="1"/>
  <c r="S196" i="16" s="1"/>
  <c r="R196" i="16" s="1"/>
  <c r="U204" i="16"/>
  <c r="T204" i="16" s="1"/>
  <c r="S204" i="16" s="1"/>
  <c r="R204" i="16" s="1"/>
  <c r="U212" i="16"/>
  <c r="T212" i="16" s="1"/>
  <c r="S212" i="16" s="1"/>
  <c r="R212" i="16" s="1"/>
  <c r="U220" i="16"/>
  <c r="T220" i="16" s="1"/>
  <c r="S220" i="16" s="1"/>
  <c r="R220" i="16" s="1"/>
  <c r="U228" i="16"/>
  <c r="T228" i="16" s="1"/>
  <c r="S228" i="16" s="1"/>
  <c r="R228" i="16" s="1"/>
  <c r="U236" i="16"/>
  <c r="T236" i="16" s="1"/>
  <c r="U244" i="16"/>
  <c r="T244" i="16" s="1"/>
  <c r="U252" i="16"/>
  <c r="T252" i="16" s="1"/>
  <c r="U260" i="16"/>
  <c r="T260" i="16" s="1"/>
  <c r="S260" i="16" s="1"/>
  <c r="R260" i="16" s="1"/>
  <c r="U268" i="16"/>
  <c r="T268" i="16" s="1"/>
  <c r="U276" i="16"/>
  <c r="T276" i="16" s="1"/>
  <c r="U284" i="16"/>
  <c r="T284" i="16" s="1"/>
  <c r="S284" i="16" s="1"/>
  <c r="R284" i="16" s="1"/>
  <c r="P284" i="16" s="1"/>
  <c r="V284" i="16" s="1"/>
  <c r="U292" i="16"/>
  <c r="T292" i="16" s="1"/>
  <c r="U296" i="16"/>
  <c r="T296" i="16" s="1"/>
  <c r="S296" i="16" s="1"/>
  <c r="R296" i="16" s="1"/>
  <c r="P296" i="16" s="1"/>
  <c r="V296" i="16" s="1"/>
  <c r="U304" i="16"/>
  <c r="T304" i="16" s="1"/>
  <c r="S304" i="16" s="1"/>
  <c r="R304" i="16" s="1"/>
  <c r="U312" i="16"/>
  <c r="T312" i="16" s="1"/>
  <c r="U320" i="16"/>
  <c r="T320" i="16" s="1"/>
  <c r="U328" i="16"/>
  <c r="T328" i="16" s="1"/>
  <c r="S328" i="16" s="1"/>
  <c r="R328" i="16" s="1"/>
  <c r="P328" i="16" s="1"/>
  <c r="V328" i="16" s="1"/>
  <c r="U336" i="16"/>
  <c r="T336" i="16" s="1"/>
  <c r="U341" i="16"/>
  <c r="T341" i="16" s="1"/>
  <c r="S341" i="16" s="1"/>
  <c r="R341" i="16" s="1"/>
  <c r="U347" i="16"/>
  <c r="T347" i="16" s="1"/>
  <c r="S347" i="16" s="1"/>
  <c r="R347" i="16" s="1"/>
  <c r="P347" i="16" s="1"/>
  <c r="V347" i="16" s="1"/>
  <c r="U351" i="16"/>
  <c r="T351" i="16" s="1"/>
  <c r="S351" i="16" s="1"/>
  <c r="R351" i="16" s="1"/>
  <c r="U355" i="16"/>
  <c r="T355" i="16" s="1"/>
  <c r="S355" i="16" s="1"/>
  <c r="R355" i="16" s="1"/>
  <c r="P355" i="16" s="1"/>
  <c r="V355" i="16" s="1"/>
  <c r="U359" i="16"/>
  <c r="T359" i="16" s="1"/>
  <c r="S359" i="16" s="1"/>
  <c r="R359" i="16" s="1"/>
  <c r="P359" i="16" s="1"/>
  <c r="V359" i="16" s="1"/>
  <c r="U361" i="16"/>
  <c r="T361" i="16" s="1"/>
  <c r="S361" i="16" s="1"/>
  <c r="R361" i="16" s="1"/>
  <c r="U365" i="16"/>
  <c r="T365" i="16" s="1"/>
  <c r="S365" i="16" s="1"/>
  <c r="R365" i="16" s="1"/>
  <c r="U369" i="16"/>
  <c r="T369" i="16" s="1"/>
  <c r="S369" i="16" s="1"/>
  <c r="R369" i="16" s="1"/>
  <c r="U373" i="16"/>
  <c r="T373" i="16" s="1"/>
  <c r="S373" i="16" s="1"/>
  <c r="R373" i="16" s="1"/>
  <c r="U377" i="16"/>
  <c r="T377" i="16" s="1"/>
  <c r="S377" i="16" s="1"/>
  <c r="R377" i="16" s="1"/>
  <c r="AI16" i="16"/>
  <c r="AH16" i="16" s="1"/>
  <c r="AG16" i="16" s="1"/>
  <c r="AF16" i="16" s="1"/>
  <c r="AI21" i="16"/>
  <c r="AH21" i="16" s="1"/>
  <c r="AG21" i="16" s="1"/>
  <c r="AF21" i="16" s="1"/>
  <c r="AI25" i="16"/>
  <c r="AH25" i="16" s="1"/>
  <c r="AG25" i="16" s="1"/>
  <c r="AF25" i="16" s="1"/>
  <c r="AI29" i="16"/>
  <c r="AH29" i="16" s="1"/>
  <c r="AG29" i="16" s="1"/>
  <c r="AF29" i="16" s="1"/>
  <c r="AI33" i="16"/>
  <c r="AH33" i="16" s="1"/>
  <c r="AG33" i="16" s="1"/>
  <c r="AF33" i="16" s="1"/>
  <c r="AI35" i="16"/>
  <c r="AH35" i="16" s="1"/>
  <c r="AG35" i="16" s="1"/>
  <c r="AF35" i="16" s="1"/>
  <c r="AI39" i="16"/>
  <c r="AH39" i="16" s="1"/>
  <c r="AG39" i="16" s="1"/>
  <c r="AF39" i="16" s="1"/>
  <c r="AI43" i="16"/>
  <c r="AH43" i="16" s="1"/>
  <c r="AG43" i="16" s="1"/>
  <c r="AF43" i="16" s="1"/>
  <c r="AI47" i="16"/>
  <c r="AH47" i="16" s="1"/>
  <c r="AG47" i="16" s="1"/>
  <c r="AF47" i="16" s="1"/>
  <c r="AI51" i="16"/>
  <c r="AH51" i="16" s="1"/>
  <c r="AG51" i="16" s="1"/>
  <c r="AF51" i="16" s="1"/>
  <c r="AI55" i="16"/>
  <c r="AH55" i="16" s="1"/>
  <c r="AG55" i="16" s="1"/>
  <c r="AF55" i="16" s="1"/>
  <c r="AI59" i="16"/>
  <c r="AH59" i="16" s="1"/>
  <c r="AG59" i="16" s="1"/>
  <c r="AF59" i="16" s="1"/>
  <c r="AI63" i="16"/>
  <c r="AH63" i="16" s="1"/>
  <c r="AG63" i="16" s="1"/>
  <c r="AF63" i="16" s="1"/>
  <c r="AI67" i="16"/>
  <c r="AH67" i="16" s="1"/>
  <c r="AG67" i="16" s="1"/>
  <c r="AF67" i="16" s="1"/>
  <c r="AI71" i="16"/>
  <c r="AH71" i="16" s="1"/>
  <c r="AG71" i="16" s="1"/>
  <c r="AF71" i="16" s="1"/>
  <c r="AI75" i="16"/>
  <c r="AH75" i="16" s="1"/>
  <c r="AG75" i="16" s="1"/>
  <c r="AF75" i="16" s="1"/>
  <c r="AI79" i="16"/>
  <c r="AH79" i="16" s="1"/>
  <c r="AG79" i="16" s="1"/>
  <c r="AF79" i="16" s="1"/>
  <c r="AI83" i="16"/>
  <c r="AH83" i="16" s="1"/>
  <c r="AG83" i="16" s="1"/>
  <c r="AF83" i="16" s="1"/>
  <c r="AI87" i="16"/>
  <c r="AH87" i="16" s="1"/>
  <c r="AG87" i="16" s="1"/>
  <c r="AF87" i="16" s="1"/>
  <c r="AI91" i="16"/>
  <c r="AH91" i="16" s="1"/>
  <c r="AG91" i="16" s="1"/>
  <c r="AF91" i="16" s="1"/>
  <c r="AI95" i="16"/>
  <c r="AH95" i="16" s="1"/>
  <c r="AG95" i="16" s="1"/>
  <c r="AF95" i="16" s="1"/>
  <c r="AI99" i="16"/>
  <c r="AH99" i="16" s="1"/>
  <c r="AG99" i="16" s="1"/>
  <c r="AF99" i="16" s="1"/>
  <c r="AI103" i="16"/>
  <c r="AH103" i="16" s="1"/>
  <c r="AG103" i="16" s="1"/>
  <c r="AF103" i="16" s="1"/>
  <c r="AI107" i="16"/>
  <c r="AH107" i="16" s="1"/>
  <c r="AG107" i="16" s="1"/>
  <c r="AF107" i="16" s="1"/>
  <c r="AI111" i="16"/>
  <c r="AH111" i="16" s="1"/>
  <c r="AG111" i="16" s="1"/>
  <c r="AF111" i="16" s="1"/>
  <c r="AI115" i="16"/>
  <c r="AH115" i="16" s="1"/>
  <c r="AG115" i="16" s="1"/>
  <c r="AF115" i="16" s="1"/>
  <c r="AI119" i="16"/>
  <c r="AH119" i="16" s="1"/>
  <c r="AG119" i="16" s="1"/>
  <c r="AF119" i="16" s="1"/>
  <c r="AI123" i="16"/>
  <c r="AH123" i="16" s="1"/>
  <c r="AG123" i="16" s="1"/>
  <c r="AF123" i="16" s="1"/>
  <c r="AI127" i="16"/>
  <c r="AH127" i="16" s="1"/>
  <c r="AG127" i="16" s="1"/>
  <c r="AF127" i="16" s="1"/>
  <c r="AI131" i="16"/>
  <c r="AH131" i="16" s="1"/>
  <c r="AG131" i="16" s="1"/>
  <c r="AF131" i="16" s="1"/>
  <c r="AI135" i="16"/>
  <c r="AH135" i="16" s="1"/>
  <c r="AG135" i="16" s="1"/>
  <c r="AF135" i="16" s="1"/>
  <c r="AI139" i="16"/>
  <c r="AH139" i="16" s="1"/>
  <c r="AG139" i="16" s="1"/>
  <c r="AF139" i="16" s="1"/>
  <c r="AI143" i="16"/>
  <c r="AH143" i="16" s="1"/>
  <c r="AG143" i="16" s="1"/>
  <c r="AF143" i="16" s="1"/>
  <c r="AI147" i="16"/>
  <c r="AH147" i="16" s="1"/>
  <c r="AG147" i="16" s="1"/>
  <c r="AF147" i="16" s="1"/>
  <c r="AI151" i="16"/>
  <c r="AH151" i="16" s="1"/>
  <c r="AG151" i="16" s="1"/>
  <c r="AF151" i="16" s="1"/>
  <c r="AI155" i="16"/>
  <c r="AH155" i="16" s="1"/>
  <c r="AG155" i="16" s="1"/>
  <c r="AF155" i="16" s="1"/>
  <c r="AI159" i="16"/>
  <c r="AH159" i="16" s="1"/>
  <c r="AG159" i="16" s="1"/>
  <c r="AF159" i="16" s="1"/>
  <c r="AI163" i="16"/>
  <c r="AH163" i="16" s="1"/>
  <c r="AG163" i="16" s="1"/>
  <c r="AF163" i="16" s="1"/>
  <c r="AI167" i="16"/>
  <c r="AH167" i="16" s="1"/>
  <c r="AG167" i="16" s="1"/>
  <c r="AF167" i="16" s="1"/>
  <c r="AI171" i="16"/>
  <c r="AH171" i="16" s="1"/>
  <c r="AG171" i="16" s="1"/>
  <c r="AF171" i="16" s="1"/>
  <c r="AI175" i="16"/>
  <c r="AH175" i="16" s="1"/>
  <c r="AG175" i="16" s="1"/>
  <c r="AF175" i="16" s="1"/>
  <c r="AI179" i="16"/>
  <c r="AH179" i="16" s="1"/>
  <c r="AG179" i="16" s="1"/>
  <c r="AF179" i="16" s="1"/>
  <c r="AI183" i="16"/>
  <c r="AH183" i="16" s="1"/>
  <c r="AG183" i="16" s="1"/>
  <c r="AF183" i="16" s="1"/>
  <c r="AI187" i="16"/>
  <c r="AH187" i="16" s="1"/>
  <c r="AG187" i="16" s="1"/>
  <c r="AF187" i="16" s="1"/>
  <c r="AI191" i="16"/>
  <c r="AH191" i="16" s="1"/>
  <c r="AG191" i="16" s="1"/>
  <c r="AF191" i="16" s="1"/>
  <c r="AI195" i="16"/>
  <c r="AH195" i="16" s="1"/>
  <c r="AG195" i="16" s="1"/>
  <c r="AF195" i="16" s="1"/>
  <c r="AI199" i="16"/>
  <c r="AH199" i="16" s="1"/>
  <c r="AG199" i="16" s="1"/>
  <c r="AF199" i="16" s="1"/>
  <c r="AI203" i="16"/>
  <c r="AH203" i="16" s="1"/>
  <c r="AG203" i="16" s="1"/>
  <c r="AF203" i="16" s="1"/>
  <c r="AI207" i="16"/>
  <c r="AH207" i="16" s="1"/>
  <c r="AG207" i="16" s="1"/>
  <c r="AF207" i="16" s="1"/>
  <c r="AI211" i="16"/>
  <c r="AH211" i="16" s="1"/>
  <c r="AG211" i="16" s="1"/>
  <c r="AF211" i="16" s="1"/>
  <c r="AI215" i="16"/>
  <c r="AH215" i="16" s="1"/>
  <c r="AG215" i="16" s="1"/>
  <c r="AF215" i="16" s="1"/>
  <c r="AI219" i="16"/>
  <c r="AH219" i="16" s="1"/>
  <c r="AG219" i="16" s="1"/>
  <c r="AF219" i="16" s="1"/>
  <c r="AI223" i="16"/>
  <c r="AH223" i="16" s="1"/>
  <c r="AG223" i="16" s="1"/>
  <c r="AF223" i="16" s="1"/>
  <c r="AI227" i="16"/>
  <c r="AH227" i="16" s="1"/>
  <c r="AG227" i="16" s="1"/>
  <c r="AF227" i="16" s="1"/>
  <c r="AI231" i="16"/>
  <c r="AH231" i="16" s="1"/>
  <c r="AG231" i="16" s="1"/>
  <c r="AF231" i="16" s="1"/>
  <c r="AI235" i="16"/>
  <c r="AH235" i="16" s="1"/>
  <c r="AG235" i="16" s="1"/>
  <c r="AF235" i="16" s="1"/>
  <c r="AI239" i="16"/>
  <c r="AH239" i="16" s="1"/>
  <c r="AG239" i="16" s="1"/>
  <c r="AF239" i="16" s="1"/>
  <c r="AI243" i="16"/>
  <c r="AH243" i="16" s="1"/>
  <c r="AG243" i="16" s="1"/>
  <c r="AF243" i="16" s="1"/>
  <c r="AI247" i="16"/>
  <c r="AH247" i="16" s="1"/>
  <c r="AG247" i="16" s="1"/>
  <c r="AF247" i="16" s="1"/>
  <c r="AI251" i="16"/>
  <c r="AH251" i="16" s="1"/>
  <c r="AG251" i="16" s="1"/>
  <c r="AF251" i="16" s="1"/>
  <c r="AI255" i="16"/>
  <c r="AH255" i="16" s="1"/>
  <c r="AG255" i="16" s="1"/>
  <c r="AF255" i="16" s="1"/>
  <c r="AI259" i="16"/>
  <c r="AH259" i="16" s="1"/>
  <c r="AG259" i="16" s="1"/>
  <c r="AF259" i="16" s="1"/>
  <c r="AI263" i="16"/>
  <c r="AH263" i="16" s="1"/>
  <c r="AG263" i="16" s="1"/>
  <c r="AF263" i="16" s="1"/>
  <c r="AI267" i="16"/>
  <c r="AH267" i="16" s="1"/>
  <c r="AG267" i="16" s="1"/>
  <c r="AF267" i="16" s="1"/>
  <c r="AI271" i="16"/>
  <c r="AH271" i="16" s="1"/>
  <c r="AG271" i="16" s="1"/>
  <c r="AF271" i="16" s="1"/>
  <c r="AI275" i="16"/>
  <c r="AH275" i="16" s="1"/>
  <c r="AG275" i="16" s="1"/>
  <c r="AF275" i="16" s="1"/>
  <c r="AI279" i="16"/>
  <c r="AH279" i="16" s="1"/>
  <c r="AG279" i="16" s="1"/>
  <c r="AF279" i="16" s="1"/>
  <c r="AI283" i="16"/>
  <c r="AH283" i="16" s="1"/>
  <c r="AG283" i="16" s="1"/>
  <c r="AF283" i="16" s="1"/>
  <c r="AI287" i="16"/>
  <c r="AH287" i="16" s="1"/>
  <c r="AG287" i="16" s="1"/>
  <c r="AF287" i="16" s="1"/>
  <c r="AI291" i="16"/>
  <c r="AH291" i="16" s="1"/>
  <c r="AG291" i="16" s="1"/>
  <c r="AF291" i="16" s="1"/>
  <c r="AI295" i="16"/>
  <c r="AH295" i="16" s="1"/>
  <c r="AG295" i="16" s="1"/>
  <c r="AF295" i="16" s="1"/>
  <c r="AI299" i="16"/>
  <c r="AH299" i="16" s="1"/>
  <c r="AG299" i="16" s="1"/>
  <c r="AF299" i="16" s="1"/>
  <c r="AI303" i="16"/>
  <c r="AH303" i="16" s="1"/>
  <c r="AG303" i="16" s="1"/>
  <c r="AF303" i="16" s="1"/>
  <c r="AI307" i="16"/>
  <c r="AH307" i="16" s="1"/>
  <c r="AG307" i="16" s="1"/>
  <c r="AF307" i="16" s="1"/>
  <c r="AI311" i="16"/>
  <c r="AH311" i="16" s="1"/>
  <c r="AG311" i="16" s="1"/>
  <c r="AF311" i="16" s="1"/>
  <c r="AI315" i="16"/>
  <c r="AH315" i="16" s="1"/>
  <c r="AG315" i="16" s="1"/>
  <c r="AF315" i="16" s="1"/>
  <c r="AI319" i="16"/>
  <c r="AH319" i="16" s="1"/>
  <c r="AI323" i="16"/>
  <c r="AH323" i="16" s="1"/>
  <c r="AG323" i="16" s="1"/>
  <c r="AF323" i="16" s="1"/>
  <c r="AI327" i="16"/>
  <c r="AH327" i="16" s="1"/>
  <c r="AG327" i="16" s="1"/>
  <c r="AF327" i="16" s="1"/>
  <c r="AI331" i="16"/>
  <c r="AH331" i="16" s="1"/>
  <c r="AG331" i="16" s="1"/>
  <c r="AF331" i="16" s="1"/>
  <c r="AI335" i="16"/>
  <c r="AH335" i="16" s="1"/>
  <c r="AI339" i="16"/>
  <c r="AH339" i="16" s="1"/>
  <c r="AG339" i="16" s="1"/>
  <c r="AF339" i="16" s="1"/>
  <c r="AI343" i="16"/>
  <c r="AH343" i="16" s="1"/>
  <c r="AG343" i="16" s="1"/>
  <c r="AF343" i="16" s="1"/>
  <c r="AI347" i="16"/>
  <c r="AH347" i="16" s="1"/>
  <c r="AG347" i="16" s="1"/>
  <c r="AF347" i="16" s="1"/>
  <c r="AI351" i="16"/>
  <c r="AH351" i="16" s="1"/>
  <c r="AG351" i="16" s="1"/>
  <c r="AF351" i="16" s="1"/>
  <c r="AI355" i="16"/>
  <c r="AH355" i="16" s="1"/>
  <c r="AG355" i="16" s="1"/>
  <c r="AF355" i="16" s="1"/>
  <c r="AI359" i="16"/>
  <c r="AH359" i="16" s="1"/>
  <c r="AG359" i="16" s="1"/>
  <c r="AF359" i="16" s="1"/>
  <c r="AI363" i="16"/>
  <c r="AH363" i="16" s="1"/>
  <c r="AG363" i="16" s="1"/>
  <c r="AF363" i="16" s="1"/>
  <c r="AI367" i="16"/>
  <c r="AH367" i="16" s="1"/>
  <c r="AG367" i="16" s="1"/>
  <c r="AF367" i="16" s="1"/>
  <c r="AI371" i="16"/>
  <c r="AH371" i="16" s="1"/>
  <c r="AG371" i="16" s="1"/>
  <c r="AF371" i="16" s="1"/>
  <c r="AI37" i="16"/>
  <c r="AH37" i="16" s="1"/>
  <c r="AG37" i="16" s="1"/>
  <c r="AF37" i="16" s="1"/>
  <c r="AI41" i="16"/>
  <c r="AH41" i="16" s="1"/>
  <c r="AG41" i="16" s="1"/>
  <c r="AF41" i="16" s="1"/>
  <c r="AI45" i="16"/>
  <c r="AH45" i="16" s="1"/>
  <c r="AG45" i="16" s="1"/>
  <c r="AF45" i="16" s="1"/>
  <c r="AI49" i="16"/>
  <c r="AH49" i="16" s="1"/>
  <c r="AG49" i="16" s="1"/>
  <c r="AF49" i="16" s="1"/>
  <c r="AI53" i="16"/>
  <c r="AH53" i="16" s="1"/>
  <c r="AG53" i="16" s="1"/>
  <c r="AF53" i="16" s="1"/>
  <c r="AI57" i="16"/>
  <c r="AH57" i="16" s="1"/>
  <c r="AG57" i="16" s="1"/>
  <c r="AF57" i="16" s="1"/>
  <c r="AI61" i="16"/>
  <c r="AH61" i="16" s="1"/>
  <c r="AG61" i="16" s="1"/>
  <c r="AF61" i="16" s="1"/>
  <c r="AI65" i="16"/>
  <c r="AH65" i="16" s="1"/>
  <c r="AG65" i="16" s="1"/>
  <c r="AF65" i="16" s="1"/>
  <c r="AI69" i="16"/>
  <c r="AH69" i="16" s="1"/>
  <c r="AG69" i="16" s="1"/>
  <c r="AF69" i="16" s="1"/>
  <c r="AI73" i="16"/>
  <c r="AH73" i="16" s="1"/>
  <c r="AG73" i="16" s="1"/>
  <c r="AF73" i="16" s="1"/>
  <c r="AI77" i="16"/>
  <c r="AH77" i="16" s="1"/>
  <c r="AG77" i="16" s="1"/>
  <c r="AF77" i="16" s="1"/>
  <c r="AI81" i="16"/>
  <c r="AH81" i="16" s="1"/>
  <c r="AG81" i="16" s="1"/>
  <c r="AF81" i="16" s="1"/>
  <c r="AI85" i="16"/>
  <c r="AH85" i="16" s="1"/>
  <c r="AG85" i="16" s="1"/>
  <c r="AF85" i="16" s="1"/>
  <c r="AI89" i="16"/>
  <c r="AH89" i="16" s="1"/>
  <c r="AG89" i="16" s="1"/>
  <c r="AF89" i="16" s="1"/>
  <c r="AI93" i="16"/>
  <c r="AH93" i="16" s="1"/>
  <c r="AG93" i="16" s="1"/>
  <c r="AF93" i="16" s="1"/>
  <c r="AI97" i="16"/>
  <c r="AH97" i="16" s="1"/>
  <c r="AG97" i="16" s="1"/>
  <c r="AF97" i="16" s="1"/>
  <c r="AI101" i="16"/>
  <c r="AH101" i="16" s="1"/>
  <c r="AG101" i="16" s="1"/>
  <c r="AF101" i="16" s="1"/>
  <c r="AI105" i="16"/>
  <c r="AH105" i="16" s="1"/>
  <c r="AG105" i="16" s="1"/>
  <c r="AF105" i="16" s="1"/>
  <c r="AI109" i="16"/>
  <c r="AH109" i="16" s="1"/>
  <c r="AG109" i="16" s="1"/>
  <c r="AF109" i="16" s="1"/>
  <c r="AI113" i="16"/>
  <c r="AH113" i="16" s="1"/>
  <c r="AG113" i="16" s="1"/>
  <c r="AF113" i="16" s="1"/>
  <c r="AI117" i="16"/>
  <c r="AH117" i="16" s="1"/>
  <c r="AG117" i="16" s="1"/>
  <c r="AF117" i="16" s="1"/>
  <c r="AI121" i="16"/>
  <c r="AH121" i="16" s="1"/>
  <c r="AG121" i="16" s="1"/>
  <c r="AF121" i="16" s="1"/>
  <c r="AI125" i="16"/>
  <c r="AH125" i="16" s="1"/>
  <c r="AG125" i="16" s="1"/>
  <c r="AF125" i="16" s="1"/>
  <c r="AI129" i="16"/>
  <c r="AH129" i="16" s="1"/>
  <c r="AG129" i="16" s="1"/>
  <c r="AF129" i="16" s="1"/>
  <c r="AI133" i="16"/>
  <c r="AH133" i="16" s="1"/>
  <c r="AG133" i="16" s="1"/>
  <c r="AF133" i="16" s="1"/>
  <c r="AI137" i="16"/>
  <c r="AH137" i="16" s="1"/>
  <c r="AG137" i="16" s="1"/>
  <c r="AF137" i="16" s="1"/>
  <c r="AI141" i="16"/>
  <c r="AH141" i="16" s="1"/>
  <c r="AG141" i="16" s="1"/>
  <c r="AF141" i="16" s="1"/>
  <c r="AI145" i="16"/>
  <c r="AH145" i="16" s="1"/>
  <c r="AG145" i="16" s="1"/>
  <c r="AF145" i="16" s="1"/>
  <c r="AI149" i="16"/>
  <c r="AH149" i="16" s="1"/>
  <c r="AG149" i="16" s="1"/>
  <c r="AF149" i="16" s="1"/>
  <c r="AI153" i="16"/>
  <c r="AH153" i="16" s="1"/>
  <c r="AG153" i="16" s="1"/>
  <c r="AF153" i="16" s="1"/>
  <c r="AI157" i="16"/>
  <c r="AH157" i="16" s="1"/>
  <c r="AG157" i="16" s="1"/>
  <c r="AF157" i="16" s="1"/>
  <c r="AI161" i="16"/>
  <c r="AH161" i="16" s="1"/>
  <c r="AG161" i="16" s="1"/>
  <c r="AF161" i="16" s="1"/>
  <c r="AI165" i="16"/>
  <c r="AH165" i="16" s="1"/>
  <c r="AG165" i="16" s="1"/>
  <c r="AF165" i="16" s="1"/>
  <c r="AI169" i="16"/>
  <c r="AH169" i="16" s="1"/>
  <c r="AG169" i="16" s="1"/>
  <c r="AF169" i="16" s="1"/>
  <c r="AI173" i="16"/>
  <c r="AH173" i="16" s="1"/>
  <c r="AG173" i="16" s="1"/>
  <c r="AF173" i="16" s="1"/>
  <c r="AI177" i="16"/>
  <c r="AH177" i="16" s="1"/>
  <c r="AG177" i="16" s="1"/>
  <c r="AF177" i="16" s="1"/>
  <c r="AI181" i="16"/>
  <c r="AH181" i="16" s="1"/>
  <c r="AG181" i="16" s="1"/>
  <c r="AF181" i="16" s="1"/>
  <c r="AI185" i="16"/>
  <c r="AH185" i="16" s="1"/>
  <c r="AG185" i="16" s="1"/>
  <c r="AF185" i="16" s="1"/>
  <c r="AI189" i="16"/>
  <c r="AH189" i="16" s="1"/>
  <c r="AG189" i="16" s="1"/>
  <c r="AF189" i="16" s="1"/>
  <c r="AI193" i="16"/>
  <c r="AH193" i="16" s="1"/>
  <c r="AG193" i="16" s="1"/>
  <c r="AF193" i="16" s="1"/>
  <c r="AI197" i="16"/>
  <c r="AH197" i="16" s="1"/>
  <c r="AG197" i="16" s="1"/>
  <c r="AF197" i="16" s="1"/>
  <c r="AI201" i="16"/>
  <c r="AH201" i="16" s="1"/>
  <c r="AG201" i="16" s="1"/>
  <c r="AF201" i="16" s="1"/>
  <c r="AI205" i="16"/>
  <c r="AH205" i="16" s="1"/>
  <c r="AG205" i="16" s="1"/>
  <c r="AF205" i="16" s="1"/>
  <c r="AI209" i="16"/>
  <c r="AH209" i="16" s="1"/>
  <c r="AG209" i="16" s="1"/>
  <c r="AF209" i="16" s="1"/>
  <c r="AI213" i="16"/>
  <c r="AH213" i="16" s="1"/>
  <c r="AG213" i="16" s="1"/>
  <c r="AF213" i="16" s="1"/>
  <c r="AI217" i="16"/>
  <c r="AH217" i="16" s="1"/>
  <c r="AG217" i="16" s="1"/>
  <c r="AF217" i="16" s="1"/>
  <c r="AI221" i="16"/>
  <c r="AH221" i="16" s="1"/>
  <c r="AG221" i="16" s="1"/>
  <c r="AF221" i="16" s="1"/>
  <c r="AI225" i="16"/>
  <c r="AH225" i="16" s="1"/>
  <c r="AG225" i="16" s="1"/>
  <c r="AF225" i="16" s="1"/>
  <c r="AI229" i="16"/>
  <c r="AH229" i="16" s="1"/>
  <c r="AG229" i="16" s="1"/>
  <c r="AF229" i="16" s="1"/>
  <c r="AI233" i="16"/>
  <c r="AH233" i="16" s="1"/>
  <c r="AG233" i="16" s="1"/>
  <c r="AF233" i="16" s="1"/>
  <c r="AI237" i="16"/>
  <c r="AH237" i="16" s="1"/>
  <c r="AG237" i="16" s="1"/>
  <c r="AF237" i="16" s="1"/>
  <c r="AI241" i="16"/>
  <c r="AH241" i="16" s="1"/>
  <c r="AG241" i="16" s="1"/>
  <c r="AF241" i="16" s="1"/>
  <c r="AI245" i="16"/>
  <c r="AH245" i="16" s="1"/>
  <c r="AG245" i="16" s="1"/>
  <c r="AF245" i="16" s="1"/>
  <c r="AI249" i="16"/>
  <c r="AH249" i="16" s="1"/>
  <c r="AG249" i="16" s="1"/>
  <c r="AF249" i="16" s="1"/>
  <c r="AI253" i="16"/>
  <c r="AH253" i="16" s="1"/>
  <c r="AG253" i="16" s="1"/>
  <c r="AF253" i="16" s="1"/>
  <c r="AI257" i="16"/>
  <c r="AH257" i="16" s="1"/>
  <c r="AG257" i="16" s="1"/>
  <c r="AF257" i="16" s="1"/>
  <c r="AI261" i="16"/>
  <c r="AH261" i="16" s="1"/>
  <c r="AG261" i="16" s="1"/>
  <c r="AF261" i="16" s="1"/>
  <c r="AI265" i="16"/>
  <c r="AH265" i="16" s="1"/>
  <c r="AG265" i="16" s="1"/>
  <c r="AF265" i="16" s="1"/>
  <c r="AI269" i="16"/>
  <c r="AH269" i="16" s="1"/>
  <c r="AG269" i="16" s="1"/>
  <c r="AF269" i="16" s="1"/>
  <c r="AI273" i="16"/>
  <c r="AH273" i="16" s="1"/>
  <c r="AG273" i="16" s="1"/>
  <c r="AF273" i="16" s="1"/>
  <c r="AI277" i="16"/>
  <c r="AH277" i="16" s="1"/>
  <c r="AG277" i="16" s="1"/>
  <c r="AF277" i="16" s="1"/>
  <c r="AI281" i="16"/>
  <c r="AH281" i="16" s="1"/>
  <c r="AG281" i="16" s="1"/>
  <c r="AF281" i="16" s="1"/>
  <c r="AI285" i="16"/>
  <c r="AH285" i="16" s="1"/>
  <c r="AG285" i="16" s="1"/>
  <c r="AF285" i="16" s="1"/>
  <c r="AI289" i="16"/>
  <c r="AH289" i="16" s="1"/>
  <c r="AG289" i="16" s="1"/>
  <c r="AF289" i="16" s="1"/>
  <c r="AI293" i="16"/>
  <c r="AH293" i="16" s="1"/>
  <c r="AG293" i="16" s="1"/>
  <c r="AF293" i="16" s="1"/>
  <c r="AI297" i="16"/>
  <c r="AH297" i="16" s="1"/>
  <c r="AG297" i="16" s="1"/>
  <c r="AF297" i="16" s="1"/>
  <c r="AI301" i="16"/>
  <c r="AH301" i="16" s="1"/>
  <c r="AG301" i="16" s="1"/>
  <c r="AF301" i="16" s="1"/>
  <c r="AI305" i="16"/>
  <c r="AH305" i="16" s="1"/>
  <c r="AG305" i="16" s="1"/>
  <c r="AF305" i="16" s="1"/>
  <c r="AI309" i="16"/>
  <c r="AH309" i="16" s="1"/>
  <c r="AG309" i="16" s="1"/>
  <c r="AF309" i="16" s="1"/>
  <c r="AI313" i="16"/>
  <c r="AH313" i="16" s="1"/>
  <c r="AG313" i="16" s="1"/>
  <c r="AF313" i="16" s="1"/>
  <c r="AI317" i="16"/>
  <c r="AH317" i="16" s="1"/>
  <c r="AG317" i="16" s="1"/>
  <c r="AF317" i="16" s="1"/>
  <c r="AI321" i="16"/>
  <c r="AH321" i="16" s="1"/>
  <c r="AG321" i="16" s="1"/>
  <c r="AF321" i="16" s="1"/>
  <c r="AI325" i="16"/>
  <c r="AH325" i="16" s="1"/>
  <c r="AG325" i="16" s="1"/>
  <c r="AF325" i="16" s="1"/>
  <c r="AI329" i="16"/>
  <c r="AH329" i="16" s="1"/>
  <c r="AG329" i="16" s="1"/>
  <c r="AF329" i="16" s="1"/>
  <c r="AI333" i="16"/>
  <c r="AH333" i="16" s="1"/>
  <c r="AG333" i="16" s="1"/>
  <c r="AF333" i="16" s="1"/>
  <c r="AI337" i="16"/>
  <c r="AH337" i="16" s="1"/>
  <c r="AG337" i="16" s="1"/>
  <c r="AF337" i="16" s="1"/>
  <c r="AI341" i="16"/>
  <c r="AH341" i="16" s="1"/>
  <c r="AG341" i="16" s="1"/>
  <c r="AF341" i="16" s="1"/>
  <c r="AI345" i="16"/>
  <c r="AH345" i="16" s="1"/>
  <c r="AG345" i="16" s="1"/>
  <c r="AF345" i="16" s="1"/>
  <c r="AI349" i="16"/>
  <c r="AH349" i="16" s="1"/>
  <c r="AG349" i="16" s="1"/>
  <c r="AF349" i="16" s="1"/>
  <c r="AI353" i="16"/>
  <c r="AH353" i="16" s="1"/>
  <c r="AG353" i="16" s="1"/>
  <c r="AF353" i="16" s="1"/>
  <c r="AI357" i="16"/>
  <c r="AH357" i="16" s="1"/>
  <c r="AG357" i="16" s="1"/>
  <c r="AF357" i="16" s="1"/>
  <c r="AI361" i="16"/>
  <c r="AH361" i="16" s="1"/>
  <c r="AG361" i="16" s="1"/>
  <c r="AF361" i="16" s="1"/>
  <c r="AI365" i="16"/>
  <c r="AH365" i="16" s="1"/>
  <c r="AG365" i="16" s="1"/>
  <c r="AF365" i="16" s="1"/>
  <c r="AI369" i="16"/>
  <c r="AH369" i="16" s="1"/>
  <c r="AG369" i="16" s="1"/>
  <c r="AF369" i="16" s="1"/>
  <c r="AI373" i="16"/>
  <c r="AH373" i="16" s="1"/>
  <c r="AG373" i="16" s="1"/>
  <c r="AF373" i="16" s="1"/>
  <c r="AI375" i="16"/>
  <c r="AH375" i="16" s="1"/>
  <c r="AG375" i="16" s="1"/>
  <c r="AF375" i="16" s="1"/>
  <c r="AI379" i="16"/>
  <c r="AI377" i="16"/>
  <c r="AH377" i="16" s="1"/>
  <c r="AG377" i="16" s="1"/>
  <c r="AF377" i="16" s="1"/>
  <c r="U16" i="16"/>
  <c r="T16" i="16" s="1"/>
  <c r="S16" i="16" s="1"/>
  <c r="R16" i="16" s="1"/>
  <c r="U26" i="16"/>
  <c r="T26" i="16" s="1"/>
  <c r="S26" i="16" s="1"/>
  <c r="R26" i="16" s="1"/>
  <c r="U34" i="16"/>
  <c r="T34" i="16" s="1"/>
  <c r="S34" i="16" s="1"/>
  <c r="R34" i="16" s="1"/>
  <c r="U42" i="16"/>
  <c r="T42" i="16" s="1"/>
  <c r="S42" i="16" s="1"/>
  <c r="R42" i="16" s="1"/>
  <c r="U50" i="16"/>
  <c r="T50" i="16" s="1"/>
  <c r="S50" i="16" s="1"/>
  <c r="R50" i="16" s="1"/>
  <c r="U58" i="16"/>
  <c r="T58" i="16" s="1"/>
  <c r="S58" i="16" s="1"/>
  <c r="R58" i="16" s="1"/>
  <c r="U66" i="16"/>
  <c r="T66" i="16" s="1"/>
  <c r="S66" i="16" s="1"/>
  <c r="R66" i="16" s="1"/>
  <c r="U74" i="16"/>
  <c r="T74" i="16" s="1"/>
  <c r="S74" i="16" s="1"/>
  <c r="R74" i="16" s="1"/>
  <c r="U82" i="16"/>
  <c r="T82" i="16" s="1"/>
  <c r="S82" i="16" s="1"/>
  <c r="R82" i="16" s="1"/>
  <c r="U90" i="16"/>
  <c r="T90" i="16" s="1"/>
  <c r="S90" i="16" s="1"/>
  <c r="R90" i="16" s="1"/>
  <c r="P90" i="16" s="1"/>
  <c r="V90" i="16" s="1"/>
  <c r="U98" i="16"/>
  <c r="T98" i="16" s="1"/>
  <c r="S98" i="16" s="1"/>
  <c r="R98" i="16" s="1"/>
  <c r="U106" i="16"/>
  <c r="T106" i="16" s="1"/>
  <c r="S106" i="16" s="1"/>
  <c r="R106" i="16" s="1"/>
  <c r="U114" i="16"/>
  <c r="T114" i="16" s="1"/>
  <c r="S114" i="16" s="1"/>
  <c r="R114" i="16" s="1"/>
  <c r="P114" i="16" s="1"/>
  <c r="V114" i="16" s="1"/>
  <c r="U122" i="16"/>
  <c r="T122" i="16" s="1"/>
  <c r="S122" i="16" s="1"/>
  <c r="R122" i="16" s="1"/>
  <c r="U130" i="16"/>
  <c r="T130" i="16" s="1"/>
  <c r="S130" i="16" s="1"/>
  <c r="R130" i="16" s="1"/>
  <c r="U138" i="16"/>
  <c r="T138" i="16" s="1"/>
  <c r="S138" i="16" s="1"/>
  <c r="R138" i="16" s="1"/>
  <c r="P138" i="16" s="1"/>
  <c r="V138" i="16" s="1"/>
  <c r="U146" i="16"/>
  <c r="T146" i="16" s="1"/>
  <c r="S146" i="16" s="1"/>
  <c r="R146" i="16" s="1"/>
  <c r="U154" i="16"/>
  <c r="T154" i="16" s="1"/>
  <c r="S154" i="16" s="1"/>
  <c r="R154" i="16" s="1"/>
  <c r="U162" i="16"/>
  <c r="T162" i="16" s="1"/>
  <c r="S162" i="16" s="1"/>
  <c r="R162" i="16" s="1"/>
  <c r="U170" i="16"/>
  <c r="T170" i="16" s="1"/>
  <c r="S170" i="16" s="1"/>
  <c r="R170" i="16" s="1"/>
  <c r="U178" i="16"/>
  <c r="T178" i="16" s="1"/>
  <c r="S178" i="16" s="1"/>
  <c r="R178" i="16" s="1"/>
  <c r="U186" i="16"/>
  <c r="T186" i="16" s="1"/>
  <c r="S186" i="16" s="1"/>
  <c r="R186" i="16" s="1"/>
  <c r="U194" i="16"/>
  <c r="T194" i="16" s="1"/>
  <c r="U202" i="16"/>
  <c r="T202" i="16" s="1"/>
  <c r="U210" i="16"/>
  <c r="T210" i="16" s="1"/>
  <c r="S210" i="16" s="1"/>
  <c r="R210" i="16" s="1"/>
  <c r="U218" i="16"/>
  <c r="T218" i="16" s="1"/>
  <c r="S218" i="16" s="1"/>
  <c r="R218" i="16" s="1"/>
  <c r="U226" i="16"/>
  <c r="T226" i="16" s="1"/>
  <c r="S226" i="16" s="1"/>
  <c r="R226" i="16" s="1"/>
  <c r="U234" i="16"/>
  <c r="T234" i="16" s="1"/>
  <c r="S234" i="16" s="1"/>
  <c r="R234" i="16" s="1"/>
  <c r="U242" i="16"/>
  <c r="T242" i="16" s="1"/>
  <c r="S242" i="16" s="1"/>
  <c r="R242" i="16" s="1"/>
  <c r="U250" i="16"/>
  <c r="T250" i="16" s="1"/>
  <c r="S250" i="16" s="1"/>
  <c r="R250" i="16" s="1"/>
  <c r="U258" i="16"/>
  <c r="T258" i="16" s="1"/>
  <c r="S258" i="16" s="1"/>
  <c r="R258" i="16" s="1"/>
  <c r="U266" i="16"/>
  <c r="T266" i="16" s="1"/>
  <c r="S266" i="16" s="1"/>
  <c r="R266" i="16" s="1"/>
  <c r="P266" i="16" s="1"/>
  <c r="V266" i="16" s="1"/>
  <c r="U274" i="16"/>
  <c r="T274" i="16" s="1"/>
  <c r="S274" i="16" s="1"/>
  <c r="R274" i="16" s="1"/>
  <c r="U282" i="16"/>
  <c r="T282" i="16" s="1"/>
  <c r="U290" i="16"/>
  <c r="T290" i="16" s="1"/>
  <c r="S290" i="16" s="1"/>
  <c r="R290" i="16" s="1"/>
  <c r="U298" i="16"/>
  <c r="T298" i="16" s="1"/>
  <c r="S298" i="16" s="1"/>
  <c r="R298" i="16" s="1"/>
  <c r="U306" i="16"/>
  <c r="T306" i="16" s="1"/>
  <c r="U314" i="16"/>
  <c r="T314" i="16" s="1"/>
  <c r="S314" i="16" s="1"/>
  <c r="R314" i="16" s="1"/>
  <c r="U322" i="16"/>
  <c r="T322" i="16" s="1"/>
  <c r="S322" i="16" s="1"/>
  <c r="R322" i="16" s="1"/>
  <c r="P322" i="16" s="1"/>
  <c r="V322" i="16" s="1"/>
  <c r="U330" i="16"/>
  <c r="T330" i="16" s="1"/>
  <c r="S330" i="16" s="1"/>
  <c r="R330" i="16" s="1"/>
  <c r="U338" i="16"/>
  <c r="T338" i="16" s="1"/>
  <c r="U342" i="16"/>
  <c r="T342" i="16" s="1"/>
  <c r="S342" i="16" s="1"/>
  <c r="R342" i="16" s="1"/>
  <c r="U346" i="16"/>
  <c r="T346" i="16" s="1"/>
  <c r="U350" i="16"/>
  <c r="T350" i="16" s="1"/>
  <c r="U354" i="16"/>
  <c r="T354" i="16" s="1"/>
  <c r="U358" i="16"/>
  <c r="T358" i="16" s="1"/>
  <c r="S358" i="16" s="1"/>
  <c r="R358" i="16" s="1"/>
  <c r="U362" i="16"/>
  <c r="T362" i="16" s="1"/>
  <c r="S362" i="16" s="1"/>
  <c r="R362" i="16" s="1"/>
  <c r="P362" i="16" s="1"/>
  <c r="V362" i="16" s="1"/>
  <c r="U366" i="16"/>
  <c r="T366" i="16" s="1"/>
  <c r="S366" i="16" s="1"/>
  <c r="R366" i="16" s="1"/>
  <c r="U370" i="16"/>
  <c r="T370" i="16" s="1"/>
  <c r="U374" i="16"/>
  <c r="T374" i="16" s="1"/>
  <c r="S374" i="16" s="1"/>
  <c r="R374" i="16" s="1"/>
  <c r="U378" i="16"/>
  <c r="T378" i="16" s="1"/>
  <c r="S378" i="16" s="1"/>
  <c r="R378" i="16" s="1"/>
  <c r="P378" i="16" s="1"/>
  <c r="V378" i="16" s="1"/>
  <c r="U335" i="16"/>
  <c r="T335" i="16" s="1"/>
  <c r="S335" i="16" s="1"/>
  <c r="R335" i="16" s="1"/>
  <c r="U331" i="16"/>
  <c r="T331" i="16" s="1"/>
  <c r="S331" i="16" s="1"/>
  <c r="R331" i="16" s="1"/>
  <c r="U327" i="16"/>
  <c r="T327" i="16" s="1"/>
  <c r="S327" i="16" s="1"/>
  <c r="R327" i="16" s="1"/>
  <c r="U323" i="16"/>
  <c r="T323" i="16" s="1"/>
  <c r="U319" i="16"/>
  <c r="T319" i="16" s="1"/>
  <c r="S319" i="16" s="1"/>
  <c r="R319" i="16" s="1"/>
  <c r="U315" i="16"/>
  <c r="T315" i="16" s="1"/>
  <c r="S315" i="16" s="1"/>
  <c r="R315" i="16" s="1"/>
  <c r="P315" i="16" s="1"/>
  <c r="V315" i="16" s="1"/>
  <c r="U311" i="16"/>
  <c r="T311" i="16" s="1"/>
  <c r="S311" i="16" s="1"/>
  <c r="R311" i="16" s="1"/>
  <c r="U307" i="16"/>
  <c r="T307" i="16" s="1"/>
  <c r="S307" i="16" s="1"/>
  <c r="R307" i="16" s="1"/>
  <c r="U303" i="16"/>
  <c r="T303" i="16" s="1"/>
  <c r="S303" i="16" s="1"/>
  <c r="R303" i="16" s="1"/>
  <c r="U299" i="16"/>
  <c r="T299" i="16" s="1"/>
  <c r="S299" i="16" s="1"/>
  <c r="R299" i="16" s="1"/>
  <c r="U295" i="16"/>
  <c r="T295" i="16" s="1"/>
  <c r="S295" i="16" s="1"/>
  <c r="R295" i="16" s="1"/>
  <c r="U291" i="16"/>
  <c r="T291" i="16" s="1"/>
  <c r="S291" i="16" s="1"/>
  <c r="R291" i="16" s="1"/>
  <c r="U287" i="16"/>
  <c r="T287" i="16" s="1"/>
  <c r="S287" i="16" s="1"/>
  <c r="R287" i="16" s="1"/>
  <c r="U283" i="16"/>
  <c r="T283" i="16" s="1"/>
  <c r="S283" i="16" s="1"/>
  <c r="R283" i="16" s="1"/>
  <c r="U279" i="16"/>
  <c r="T279" i="16" s="1"/>
  <c r="S279" i="16" s="1"/>
  <c r="R279" i="16" s="1"/>
  <c r="U275" i="16"/>
  <c r="T275" i="16" s="1"/>
  <c r="S275" i="16" s="1"/>
  <c r="R275" i="16" s="1"/>
  <c r="U271" i="16"/>
  <c r="T271" i="16" s="1"/>
  <c r="S271" i="16" s="1"/>
  <c r="R271" i="16" s="1"/>
  <c r="U267" i="16"/>
  <c r="T267" i="16" s="1"/>
  <c r="S267" i="16" s="1"/>
  <c r="R267" i="16" s="1"/>
  <c r="U263" i="16"/>
  <c r="T263" i="16" s="1"/>
  <c r="S263" i="16" s="1"/>
  <c r="R263" i="16" s="1"/>
  <c r="U259" i="16"/>
  <c r="T259" i="16" s="1"/>
  <c r="S259" i="16" s="1"/>
  <c r="R259" i="16" s="1"/>
  <c r="U255" i="16"/>
  <c r="T255" i="16" s="1"/>
  <c r="S255" i="16" s="1"/>
  <c r="R255" i="16" s="1"/>
  <c r="U251" i="16"/>
  <c r="T251" i="16" s="1"/>
  <c r="S251" i="16" s="1"/>
  <c r="R251" i="16" s="1"/>
  <c r="U247" i="16"/>
  <c r="T247" i="16" s="1"/>
  <c r="S247" i="16" s="1"/>
  <c r="R247" i="16" s="1"/>
  <c r="U243" i="16"/>
  <c r="T243" i="16" s="1"/>
  <c r="S243" i="16" s="1"/>
  <c r="R243" i="16" s="1"/>
  <c r="U239" i="16"/>
  <c r="T239" i="16" s="1"/>
  <c r="S239" i="16" s="1"/>
  <c r="R239" i="16" s="1"/>
  <c r="U235" i="16"/>
  <c r="T235" i="16" s="1"/>
  <c r="S235" i="16" s="1"/>
  <c r="R235" i="16" s="1"/>
  <c r="U231" i="16"/>
  <c r="T231" i="16" s="1"/>
  <c r="S231" i="16" s="1"/>
  <c r="R231" i="16" s="1"/>
  <c r="U227" i="16"/>
  <c r="T227" i="16" s="1"/>
  <c r="S227" i="16" s="1"/>
  <c r="R227" i="16" s="1"/>
  <c r="U223" i="16"/>
  <c r="T223" i="16" s="1"/>
  <c r="S223" i="16" s="1"/>
  <c r="R223" i="16" s="1"/>
  <c r="U219" i="16"/>
  <c r="T219" i="16" s="1"/>
  <c r="S219" i="16" s="1"/>
  <c r="R219" i="16" s="1"/>
  <c r="U215" i="16"/>
  <c r="T215" i="16" s="1"/>
  <c r="S215" i="16" s="1"/>
  <c r="R215" i="16" s="1"/>
  <c r="U211" i="16"/>
  <c r="T211" i="16" s="1"/>
  <c r="S211" i="16" s="1"/>
  <c r="R211" i="16" s="1"/>
  <c r="U207" i="16"/>
  <c r="T207" i="16" s="1"/>
  <c r="S207" i="16" s="1"/>
  <c r="R207" i="16" s="1"/>
  <c r="U203" i="16"/>
  <c r="T203" i="16" s="1"/>
  <c r="S203" i="16" s="1"/>
  <c r="R203" i="16" s="1"/>
  <c r="U199" i="16"/>
  <c r="T199" i="16" s="1"/>
  <c r="S199" i="16" s="1"/>
  <c r="R199" i="16" s="1"/>
  <c r="U195" i="16"/>
  <c r="T195" i="16" s="1"/>
  <c r="S195" i="16" s="1"/>
  <c r="R195" i="16" s="1"/>
  <c r="U191" i="16"/>
  <c r="T191" i="16" s="1"/>
  <c r="S191" i="16" s="1"/>
  <c r="R191" i="16" s="1"/>
  <c r="U187" i="16"/>
  <c r="T187" i="16" s="1"/>
  <c r="S187" i="16" s="1"/>
  <c r="R187" i="16" s="1"/>
  <c r="U183" i="16"/>
  <c r="T183" i="16" s="1"/>
  <c r="S183" i="16" s="1"/>
  <c r="R183" i="16" s="1"/>
  <c r="U179" i="16"/>
  <c r="T179" i="16" s="1"/>
  <c r="S179" i="16" s="1"/>
  <c r="R179" i="16" s="1"/>
  <c r="U175" i="16"/>
  <c r="T175" i="16" s="1"/>
  <c r="S175" i="16" s="1"/>
  <c r="R175" i="16" s="1"/>
  <c r="U171" i="16"/>
  <c r="T171" i="16" s="1"/>
  <c r="S171" i="16" s="1"/>
  <c r="R171" i="16" s="1"/>
  <c r="U167" i="16"/>
  <c r="T167" i="16" s="1"/>
  <c r="S167" i="16" s="1"/>
  <c r="R167" i="16" s="1"/>
  <c r="U163" i="16"/>
  <c r="T163" i="16" s="1"/>
  <c r="S163" i="16" s="1"/>
  <c r="R163" i="16" s="1"/>
  <c r="U159" i="16"/>
  <c r="T159" i="16" s="1"/>
  <c r="U155" i="16"/>
  <c r="T155" i="16" s="1"/>
  <c r="S155" i="16" s="1"/>
  <c r="R155" i="16" s="1"/>
  <c r="U151" i="16"/>
  <c r="T151" i="16" s="1"/>
  <c r="S151" i="16" s="1"/>
  <c r="R151" i="16" s="1"/>
  <c r="P151" i="16" s="1"/>
  <c r="V151" i="16" s="1"/>
  <c r="U147" i="16"/>
  <c r="T147" i="16" s="1"/>
  <c r="S147" i="16" s="1"/>
  <c r="R147" i="16" s="1"/>
  <c r="U143" i="16"/>
  <c r="T143" i="16" s="1"/>
  <c r="S143" i="16" s="1"/>
  <c r="R143" i="16" s="1"/>
  <c r="U139" i="16"/>
  <c r="T139" i="16" s="1"/>
  <c r="S139" i="16" s="1"/>
  <c r="R139" i="16" s="1"/>
  <c r="U135" i="16"/>
  <c r="T135" i="16" s="1"/>
  <c r="S135" i="16" s="1"/>
  <c r="R135" i="16" s="1"/>
  <c r="U131" i="16"/>
  <c r="T131" i="16" s="1"/>
  <c r="S131" i="16" s="1"/>
  <c r="R131" i="16" s="1"/>
  <c r="U127" i="16"/>
  <c r="T127" i="16" s="1"/>
  <c r="S127" i="16" s="1"/>
  <c r="R127" i="16" s="1"/>
  <c r="U123" i="16"/>
  <c r="T123" i="16" s="1"/>
  <c r="S123" i="16" s="1"/>
  <c r="R123" i="16" s="1"/>
  <c r="U119" i="16"/>
  <c r="T119" i="16" s="1"/>
  <c r="S119" i="16" s="1"/>
  <c r="R119" i="16" s="1"/>
  <c r="U115" i="16"/>
  <c r="T115" i="16" s="1"/>
  <c r="S115" i="16" s="1"/>
  <c r="R115" i="16" s="1"/>
  <c r="U111" i="16"/>
  <c r="T111" i="16" s="1"/>
  <c r="S111" i="16" s="1"/>
  <c r="R111" i="16" s="1"/>
  <c r="U107" i="16"/>
  <c r="T107" i="16" s="1"/>
  <c r="S107" i="16" s="1"/>
  <c r="R107" i="16" s="1"/>
  <c r="U103" i="16"/>
  <c r="T103" i="16" s="1"/>
  <c r="S103" i="16" s="1"/>
  <c r="R103" i="16" s="1"/>
  <c r="U99" i="16"/>
  <c r="T99" i="16" s="1"/>
  <c r="S99" i="16" s="1"/>
  <c r="R99" i="16" s="1"/>
  <c r="U95" i="16"/>
  <c r="T95" i="16" s="1"/>
  <c r="S95" i="16" s="1"/>
  <c r="R95" i="16" s="1"/>
  <c r="U91" i="16"/>
  <c r="T91" i="16" s="1"/>
  <c r="S91" i="16" s="1"/>
  <c r="R91" i="16" s="1"/>
  <c r="U87" i="16"/>
  <c r="T87" i="16" s="1"/>
  <c r="S87" i="16" s="1"/>
  <c r="R87" i="16" s="1"/>
  <c r="U83" i="16"/>
  <c r="T83" i="16" s="1"/>
  <c r="S83" i="16" s="1"/>
  <c r="R83" i="16" s="1"/>
  <c r="U79" i="16"/>
  <c r="T79" i="16" s="1"/>
  <c r="S79" i="16" s="1"/>
  <c r="R79" i="16" s="1"/>
  <c r="U75" i="16"/>
  <c r="T75" i="16" s="1"/>
  <c r="S75" i="16" s="1"/>
  <c r="R75" i="16" s="1"/>
  <c r="U71" i="16"/>
  <c r="T71" i="16" s="1"/>
  <c r="S71" i="16" s="1"/>
  <c r="R71" i="16" s="1"/>
  <c r="P71" i="16" s="1"/>
  <c r="V71" i="16" s="1"/>
  <c r="U67" i="16"/>
  <c r="T67" i="16" s="1"/>
  <c r="S67" i="16" s="1"/>
  <c r="R67" i="16" s="1"/>
  <c r="P67" i="16" s="1"/>
  <c r="V67" i="16" s="1"/>
  <c r="U63" i="16"/>
  <c r="T63" i="16" s="1"/>
  <c r="S63" i="16" s="1"/>
  <c r="R63" i="16" s="1"/>
  <c r="U59" i="16"/>
  <c r="T59" i="16" s="1"/>
  <c r="S59" i="16" s="1"/>
  <c r="R59" i="16" s="1"/>
  <c r="U55" i="16"/>
  <c r="T55" i="16" s="1"/>
  <c r="S55" i="16" s="1"/>
  <c r="R55" i="16" s="1"/>
  <c r="U51" i="16"/>
  <c r="T51" i="16" s="1"/>
  <c r="S51" i="16" s="1"/>
  <c r="R51" i="16" s="1"/>
  <c r="U47" i="16"/>
  <c r="T47" i="16" s="1"/>
  <c r="S47" i="16" s="1"/>
  <c r="R47" i="16" s="1"/>
  <c r="U43" i="16"/>
  <c r="T43" i="16" s="1"/>
  <c r="S43" i="16" s="1"/>
  <c r="R43" i="16" s="1"/>
  <c r="U39" i="16"/>
  <c r="T39" i="16" s="1"/>
  <c r="S39" i="16" s="1"/>
  <c r="R39" i="16" s="1"/>
  <c r="U35" i="16"/>
  <c r="T35" i="16" s="1"/>
  <c r="S35" i="16" s="1"/>
  <c r="R35" i="16" s="1"/>
  <c r="U31" i="16"/>
  <c r="T31" i="16" s="1"/>
  <c r="S31" i="16" s="1"/>
  <c r="R31" i="16" s="1"/>
  <c r="P31" i="16" s="1"/>
  <c r="V31" i="16" s="1"/>
  <c r="U27" i="16"/>
  <c r="T27" i="16" s="1"/>
  <c r="S27" i="16" s="1"/>
  <c r="R27" i="16" s="1"/>
  <c r="U23" i="16"/>
  <c r="T23" i="16" s="1"/>
  <c r="S23" i="16" s="1"/>
  <c r="R23" i="16" s="1"/>
  <c r="U19" i="16"/>
  <c r="T19" i="16" s="1"/>
  <c r="S19" i="16" s="1"/>
  <c r="R19" i="16" s="1"/>
  <c r="P19" i="16" s="1"/>
  <c r="V19" i="16" s="1"/>
  <c r="U15" i="16"/>
  <c r="I235" i="15"/>
  <c r="AD128" i="16"/>
  <c r="P304" i="16"/>
  <c r="V304" i="16" s="1"/>
  <c r="F304" i="16" s="1"/>
  <c r="G304" i="16" s="1"/>
  <c r="BY304" i="6" s="1"/>
  <c r="P135" i="16"/>
  <c r="V135" i="16" s="1"/>
  <c r="F135" i="16" s="1"/>
  <c r="H135" i="16" s="1"/>
  <c r="P325" i="16"/>
  <c r="V325" i="16" s="1"/>
  <c r="I103" i="15"/>
  <c r="I91" i="15"/>
  <c r="J155" i="15"/>
  <c r="I223" i="15"/>
  <c r="I167" i="15"/>
  <c r="J95" i="15"/>
  <c r="J31" i="15"/>
  <c r="J68" i="15"/>
  <c r="J219" i="15"/>
  <c r="L40" i="19"/>
  <c r="J299" i="15"/>
  <c r="I319" i="15"/>
  <c r="I63" i="15"/>
  <c r="J131" i="15"/>
  <c r="AA379" i="15"/>
  <c r="Z379" i="15" s="1"/>
  <c r="Y379" i="15" s="1"/>
  <c r="AA363" i="15"/>
  <c r="Z363" i="15" s="1"/>
  <c r="Y363" i="15" s="1"/>
  <c r="I161" i="15"/>
  <c r="I325" i="15"/>
  <c r="J251" i="15"/>
  <c r="J76" i="15"/>
  <c r="J116" i="15"/>
  <c r="I313" i="15"/>
  <c r="I123" i="15"/>
  <c r="J47" i="15"/>
  <c r="H363" i="15"/>
  <c r="J363" i="15" s="1"/>
  <c r="J283" i="15"/>
  <c r="I79" i="15"/>
  <c r="I66" i="15"/>
  <c r="I188" i="15"/>
  <c r="M62" i="19"/>
  <c r="E62" i="19"/>
  <c r="H119" i="15"/>
  <c r="I119" i="15" s="1"/>
  <c r="G119" i="15"/>
  <c r="BX119" i="6" s="1"/>
  <c r="I267" i="15"/>
  <c r="J187" i="15"/>
  <c r="J164" i="15"/>
  <c r="J151" i="15"/>
  <c r="P228" i="16"/>
  <c r="V228" i="16" s="1"/>
  <c r="P260" i="16"/>
  <c r="V260" i="16" s="1"/>
  <c r="P358" i="16"/>
  <c r="V358" i="16" s="1"/>
  <c r="AD91" i="16"/>
  <c r="AD143" i="16"/>
  <c r="P143" i="16"/>
  <c r="V143" i="16" s="1"/>
  <c r="P293" i="16"/>
  <c r="V293" i="16" s="1"/>
  <c r="I332" i="15"/>
  <c r="AA288" i="15"/>
  <c r="Z288" i="15" s="1"/>
  <c r="Y288" i="15" s="1"/>
  <c r="J268" i="15"/>
  <c r="J309" i="15"/>
  <c r="J73" i="15"/>
  <c r="J184" i="15"/>
  <c r="I256" i="15"/>
  <c r="J357" i="15"/>
  <c r="J128" i="15"/>
  <c r="J356" i="15"/>
  <c r="J294" i="15"/>
  <c r="J285" i="15"/>
  <c r="I308" i="15"/>
  <c r="I348" i="15"/>
  <c r="J97" i="15"/>
  <c r="I229" i="15"/>
  <c r="H288" i="15"/>
  <c r="I288" i="15" s="1"/>
  <c r="J221" i="15"/>
  <c r="I152" i="15"/>
  <c r="I240" i="15"/>
  <c r="I300" i="15"/>
  <c r="J329" i="15"/>
  <c r="I261" i="15"/>
  <c r="I340" i="15"/>
  <c r="I364" i="15"/>
  <c r="I192" i="15"/>
  <c r="I216" i="15"/>
  <c r="I345" i="15"/>
  <c r="J372" i="15"/>
  <c r="J200" i="15"/>
  <c r="I193" i="15"/>
  <c r="J353" i="15"/>
  <c r="I90" i="15"/>
  <c r="I25" i="15"/>
  <c r="J212" i="15"/>
  <c r="I253" i="15"/>
  <c r="J236" i="15"/>
  <c r="I122" i="15"/>
  <c r="I228" i="15"/>
  <c r="J321" i="15"/>
  <c r="J337" i="15"/>
  <c r="J269" i="15"/>
  <c r="J336" i="15"/>
  <c r="I69" i="15"/>
  <c r="I104" i="15"/>
  <c r="J74" i="15"/>
  <c r="I273" i="15"/>
  <c r="I376" i="15"/>
  <c r="I196" i="15"/>
  <c r="I62" i="19"/>
  <c r="I71" i="15"/>
  <c r="AD227" i="16"/>
  <c r="I121" i="15"/>
  <c r="I265" i="15"/>
  <c r="I370" i="15"/>
  <c r="I129" i="15"/>
  <c r="I92" i="15"/>
  <c r="J105" i="15"/>
  <c r="I249" i="15"/>
  <c r="I45" i="15"/>
  <c r="I185" i="15"/>
  <c r="I289" i="15"/>
  <c r="I29" i="15"/>
  <c r="J57" i="15"/>
  <c r="I169" i="15"/>
  <c r="J326" i="15"/>
  <c r="J33" i="15"/>
  <c r="I209" i="15"/>
  <c r="J113" i="15"/>
  <c r="J254" i="15"/>
  <c r="I302" i="15"/>
  <c r="I165" i="15"/>
  <c r="I88" i="15"/>
  <c r="J138" i="15"/>
  <c r="I210" i="15"/>
  <c r="AD50" i="16"/>
  <c r="J35" i="15"/>
  <c r="J365" i="15"/>
  <c r="G241" i="15"/>
  <c r="BX241" i="6" s="1"/>
  <c r="AA241" i="15"/>
  <c r="Z241" i="15" s="1"/>
  <c r="Y241" i="15" s="1"/>
  <c r="H241" i="15"/>
  <c r="I85" i="15"/>
  <c r="AD75" i="16"/>
  <c r="AD251" i="16"/>
  <c r="I34" i="15"/>
  <c r="P53" i="16"/>
  <c r="V53" i="16" s="1"/>
  <c r="P269" i="16"/>
  <c r="V269" i="16" s="1"/>
  <c r="F269" i="16" s="1"/>
  <c r="G269" i="16" s="1"/>
  <c r="BY269" i="6" s="1"/>
  <c r="P119" i="16"/>
  <c r="D47" i="7" s="1"/>
  <c r="P231" i="16"/>
  <c r="V231" i="16" s="1"/>
  <c r="F231" i="16" s="1"/>
  <c r="G136" i="15"/>
  <c r="BX136" i="6" s="1"/>
  <c r="AA380" i="15"/>
  <c r="Z380" i="15" s="1"/>
  <c r="Y380" i="15" s="1"/>
  <c r="G380" i="15"/>
  <c r="BX380" i="6" s="1"/>
  <c r="H380" i="15"/>
  <c r="AA108" i="15"/>
  <c r="Z108" i="15" s="1"/>
  <c r="Y108" i="15" s="1"/>
  <c r="H136" i="15"/>
  <c r="J136" i="15" s="1"/>
  <c r="H108" i="15"/>
  <c r="J108" i="15" s="1"/>
  <c r="AD360" i="16"/>
  <c r="AD249" i="16"/>
  <c r="AD305" i="16"/>
  <c r="P58" i="16"/>
  <c r="V58" i="16" s="1"/>
  <c r="AD49" i="16"/>
  <c r="AD56" i="16"/>
  <c r="AD48" i="16"/>
  <c r="AD212" i="16"/>
  <c r="F379" i="1"/>
  <c r="V382" i="1"/>
  <c r="V383" i="1"/>
  <c r="V381" i="1"/>
  <c r="M61" i="19"/>
  <c r="AD84" i="16"/>
  <c r="AD244" i="16"/>
  <c r="AK8" i="16"/>
  <c r="E9" i="16"/>
  <c r="E11" i="16" s="1"/>
  <c r="AJ10" i="16"/>
  <c r="AJ12" i="16" s="1"/>
  <c r="AJ13" i="16" s="1"/>
  <c r="E381" i="16"/>
  <c r="E382" i="16"/>
  <c r="E383" i="16"/>
  <c r="J64" i="15"/>
  <c r="I64" i="15"/>
  <c r="G264" i="15"/>
  <c r="BX264" i="6" s="1"/>
  <c r="AA264" i="15"/>
  <c r="Z264" i="15" s="1"/>
  <c r="Y264" i="15" s="1"/>
  <c r="H264" i="15"/>
  <c r="Q381" i="16"/>
  <c r="Q383" i="16"/>
  <c r="Q382" i="16"/>
  <c r="G197" i="15"/>
  <c r="BX197" i="6" s="1"/>
  <c r="H197" i="15"/>
  <c r="AA197" i="15"/>
  <c r="Z197" i="15" s="1"/>
  <c r="Y197" i="15" s="1"/>
  <c r="AF381" i="15"/>
  <c r="AD17" i="15"/>
  <c r="AA17" i="15" s="1"/>
  <c r="Z17" i="15" s="1"/>
  <c r="Y17" i="15" s="1"/>
  <c r="AJ380" i="22"/>
  <c r="AK380" i="22"/>
  <c r="I48" i="15"/>
  <c r="J48" i="15"/>
  <c r="J38" i="15"/>
  <c r="I38" i="15"/>
  <c r="J50" i="15"/>
  <c r="I50" i="15"/>
  <c r="J28" i="15"/>
  <c r="I28" i="15"/>
  <c r="J21" i="15"/>
  <c r="I21" i="15"/>
  <c r="I26" i="15"/>
  <c r="J26" i="15"/>
  <c r="I32" i="15"/>
  <c r="J32" i="15"/>
  <c r="J20" i="15"/>
  <c r="I20" i="15"/>
  <c r="I22" i="15"/>
  <c r="J22" i="15"/>
  <c r="J56" i="15"/>
  <c r="I56" i="15"/>
  <c r="J233" i="15"/>
  <c r="I233" i="15"/>
  <c r="I60" i="15"/>
  <c r="J60" i="15"/>
  <c r="J17" i="15"/>
  <c r="I17" i="15"/>
  <c r="A378" i="25"/>
  <c r="L377" i="25"/>
  <c r="K377" i="25"/>
  <c r="AJ377" i="25"/>
  <c r="AB377" i="25"/>
  <c r="X377" i="25"/>
  <c r="AK377" i="25"/>
  <c r="O377" i="25"/>
  <c r="AC377" i="25"/>
  <c r="R382" i="15"/>
  <c r="R381" i="15"/>
  <c r="R383" i="15"/>
  <c r="P15" i="15"/>
  <c r="G358" i="15"/>
  <c r="BX358" i="6" s="1"/>
  <c r="AA358" i="15"/>
  <c r="Z358" i="15" s="1"/>
  <c r="Y358" i="15" s="1"/>
  <c r="H358" i="15"/>
  <c r="AE382" i="16"/>
  <c r="AE383" i="16"/>
  <c r="AE381" i="16"/>
  <c r="J75" i="15"/>
  <c r="I75" i="15"/>
  <c r="AF382" i="15"/>
  <c r="AF383" i="15"/>
  <c r="AD15" i="15"/>
  <c r="J30" i="15"/>
  <c r="I30" i="15"/>
  <c r="J18" i="15"/>
  <c r="I18" i="15"/>
  <c r="J362" i="15"/>
  <c r="I362" i="15"/>
  <c r="G51" i="15"/>
  <c r="BX51" i="6" s="1"/>
  <c r="AA51" i="15"/>
  <c r="Z51" i="15" s="1"/>
  <c r="Y51" i="15" s="1"/>
  <c r="H51" i="15"/>
  <c r="H171" i="15"/>
  <c r="AA171" i="15"/>
  <c r="Z171" i="15" s="1"/>
  <c r="Y171" i="15" s="1"/>
  <c r="G171" i="15"/>
  <c r="BX171" i="6" s="1"/>
  <c r="AA227" i="15"/>
  <c r="Z227" i="15" s="1"/>
  <c r="Y227" i="15" s="1"/>
  <c r="G227" i="15"/>
  <c r="BX227" i="6" s="1"/>
  <c r="H227" i="15"/>
  <c r="I333" i="15"/>
  <c r="J333" i="15"/>
  <c r="I42" i="15"/>
  <c r="J42" i="15"/>
  <c r="I54" i="15"/>
  <c r="J54" i="15"/>
  <c r="J62" i="15"/>
  <c r="I62" i="15"/>
  <c r="AA324" i="15"/>
  <c r="Z324" i="15" s="1"/>
  <c r="Y324" i="15" s="1"/>
  <c r="G324" i="15"/>
  <c r="BX324" i="6" s="1"/>
  <c r="H324" i="15"/>
  <c r="A379" i="24"/>
  <c r="AB378" i="24"/>
  <c r="K378" i="24"/>
  <c r="L378" i="24"/>
  <c r="X378" i="24"/>
  <c r="AJ378" i="24"/>
  <c r="AK378" i="24"/>
  <c r="O378" i="24"/>
  <c r="AC378" i="24"/>
  <c r="U15" i="7"/>
  <c r="Q10" i="17"/>
  <c r="Q31" i="17" s="1"/>
  <c r="J101" i="15"/>
  <c r="I101" i="15"/>
  <c r="I36" i="15"/>
  <c r="J36" i="15"/>
  <c r="J52" i="15"/>
  <c r="I52" i="15"/>
  <c r="K379" i="23"/>
  <c r="L379" i="23"/>
  <c r="B42" i="19" s="1"/>
  <c r="AK379" i="23"/>
  <c r="AB379" i="23"/>
  <c r="X379" i="23"/>
  <c r="AJ379" i="23"/>
  <c r="O379" i="23"/>
  <c r="C42" i="19" s="1"/>
  <c r="AC379" i="23"/>
  <c r="I24" i="15"/>
  <c r="J24" i="15"/>
  <c r="I16" i="15"/>
  <c r="J16" i="15"/>
  <c r="J44" i="15"/>
  <c r="I44" i="15"/>
  <c r="J46" i="15"/>
  <c r="I46" i="15"/>
  <c r="J58" i="15"/>
  <c r="I58" i="15"/>
  <c r="I23" i="15"/>
  <c r="J23" i="15"/>
  <c r="J272" i="15"/>
  <c r="I272" i="15"/>
  <c r="I297" i="15"/>
  <c r="J297" i="15"/>
  <c r="I298" i="15"/>
  <c r="J298" i="15"/>
  <c r="J40" i="15"/>
  <c r="I40" i="15"/>
  <c r="P87" i="16" l="1"/>
  <c r="V87" i="16" s="1"/>
  <c r="AD306" i="16"/>
  <c r="AD242" i="16"/>
  <c r="AD146" i="16"/>
  <c r="P27" i="16"/>
  <c r="V27" i="16" s="1"/>
  <c r="P172" i="16"/>
  <c r="V172" i="16" s="1"/>
  <c r="AD338" i="16"/>
  <c r="P197" i="16"/>
  <c r="V197" i="16" s="1"/>
  <c r="P93" i="16"/>
  <c r="V93" i="16" s="1"/>
  <c r="P149" i="16"/>
  <c r="V149" i="16" s="1"/>
  <c r="P302" i="16"/>
  <c r="V302" i="16" s="1"/>
  <c r="P206" i="16"/>
  <c r="V206" i="16" s="1"/>
  <c r="AD140" i="16"/>
  <c r="AD60" i="16"/>
  <c r="AD192" i="16"/>
  <c r="AD73" i="16"/>
  <c r="P62" i="16"/>
  <c r="V62" i="16" s="1"/>
  <c r="P30" i="16"/>
  <c r="V30" i="16" s="1"/>
  <c r="P37" i="16"/>
  <c r="V37" i="16" s="1"/>
  <c r="P141" i="16"/>
  <c r="V141" i="16" s="1"/>
  <c r="F141" i="16" s="1"/>
  <c r="H141" i="16" s="1"/>
  <c r="J141" i="16" s="1"/>
  <c r="P103" i="16"/>
  <c r="V103" i="16" s="1"/>
  <c r="P309" i="16"/>
  <c r="V309" i="16" s="1"/>
  <c r="F309" i="16" s="1"/>
  <c r="G309" i="16" s="1"/>
  <c r="BY309" i="6" s="1"/>
  <c r="P237" i="16"/>
  <c r="V237" i="16" s="1"/>
  <c r="P69" i="16"/>
  <c r="V69" i="16" s="1"/>
  <c r="P45" i="16"/>
  <c r="V45" i="16" s="1"/>
  <c r="AD339" i="16"/>
  <c r="AD139" i="16"/>
  <c r="P17" i="16"/>
  <c r="V17" i="16" s="1"/>
  <c r="P101" i="16"/>
  <c r="V101" i="16" s="1"/>
  <c r="AD51" i="16"/>
  <c r="P271" i="16"/>
  <c r="V271" i="16" s="1"/>
  <c r="F271" i="16" s="1"/>
  <c r="G271" i="16" s="1"/>
  <c r="BY271" i="6" s="1"/>
  <c r="AD259" i="16"/>
  <c r="P213" i="16"/>
  <c r="V213" i="16" s="1"/>
  <c r="P21" i="16"/>
  <c r="V21" i="16" s="1"/>
  <c r="AD123" i="16"/>
  <c r="P376" i="16"/>
  <c r="V376" i="16" s="1"/>
  <c r="P308" i="16"/>
  <c r="V308" i="16" s="1"/>
  <c r="P238" i="16"/>
  <c r="V238" i="16" s="1"/>
  <c r="P212" i="16"/>
  <c r="V212" i="16" s="1"/>
  <c r="P369" i="16"/>
  <c r="V369" i="16" s="1"/>
  <c r="P173" i="16"/>
  <c r="V173" i="16" s="1"/>
  <c r="P342" i="16"/>
  <c r="V342" i="16" s="1"/>
  <c r="AD344" i="16"/>
  <c r="P286" i="16"/>
  <c r="V286" i="16" s="1"/>
  <c r="P254" i="16"/>
  <c r="V254" i="16" s="1"/>
  <c r="P190" i="16"/>
  <c r="V190" i="16" s="1"/>
  <c r="F190" i="16" s="1"/>
  <c r="AD110" i="16"/>
  <c r="AD318" i="16"/>
  <c r="AD74" i="16"/>
  <c r="AD109" i="16"/>
  <c r="AD53" i="16"/>
  <c r="P56" i="16"/>
  <c r="V56" i="16" s="1"/>
  <c r="P92" i="16"/>
  <c r="V92" i="16" s="1"/>
  <c r="F92" i="16" s="1"/>
  <c r="AD126" i="16"/>
  <c r="AD263" i="16"/>
  <c r="AD207" i="16"/>
  <c r="AD258" i="16"/>
  <c r="P210" i="16"/>
  <c r="V210" i="16" s="1"/>
  <c r="AD256" i="16"/>
  <c r="AD168" i="16"/>
  <c r="AD224" i="16"/>
  <c r="AD188" i="16"/>
  <c r="AD105" i="16"/>
  <c r="AD164" i="16"/>
  <c r="AD217" i="16"/>
  <c r="AD372" i="16"/>
  <c r="AD208" i="16"/>
  <c r="AD29" i="16"/>
  <c r="AD99" i="16"/>
  <c r="AD27" i="16"/>
  <c r="AD211" i="16"/>
  <c r="AD107" i="16"/>
  <c r="AD248" i="16"/>
  <c r="AD373" i="16"/>
  <c r="AD274" i="16"/>
  <c r="AD286" i="16"/>
  <c r="AD102" i="16"/>
  <c r="AD18" i="16"/>
  <c r="AD17" i="16"/>
  <c r="P70" i="16"/>
  <c r="V70" i="16" s="1"/>
  <c r="P54" i="16"/>
  <c r="V54" i="16" s="1"/>
  <c r="P140" i="16"/>
  <c r="V140" i="16" s="1"/>
  <c r="P18" i="16"/>
  <c r="V18" i="16" s="1"/>
  <c r="AD186" i="16"/>
  <c r="P305" i="16"/>
  <c r="V305" i="16" s="1"/>
  <c r="P118" i="16"/>
  <c r="V118" i="16" s="1"/>
  <c r="AD366" i="16"/>
  <c r="AD158" i="16"/>
  <c r="AD34" i="16"/>
  <c r="P121" i="16"/>
  <c r="V121" i="16" s="1"/>
  <c r="F121" i="16" s="1"/>
  <c r="G121" i="16" s="1"/>
  <c r="BY121" i="6" s="1"/>
  <c r="P341" i="16"/>
  <c r="V341" i="16" s="1"/>
  <c r="P233" i="16"/>
  <c r="V233" i="16" s="1"/>
  <c r="P185" i="16"/>
  <c r="V185" i="16" s="1"/>
  <c r="P294" i="16"/>
  <c r="V294" i="16" s="1"/>
  <c r="P25" i="16"/>
  <c r="V25" i="16" s="1"/>
  <c r="P125" i="16"/>
  <c r="V125" i="16" s="1"/>
  <c r="AD333" i="16"/>
  <c r="P91" i="16"/>
  <c r="V91" i="16" s="1"/>
  <c r="F91" i="16" s="1"/>
  <c r="AD295" i="16"/>
  <c r="AD87" i="16"/>
  <c r="P123" i="16"/>
  <c r="V123" i="16" s="1"/>
  <c r="AD63" i="16"/>
  <c r="AD159" i="16"/>
  <c r="AD341" i="16"/>
  <c r="AD229" i="16"/>
  <c r="AD69" i="16"/>
  <c r="P16" i="16"/>
  <c r="V16" i="16" s="1"/>
  <c r="F16" i="16" s="1"/>
  <c r="H16" i="16" s="1"/>
  <c r="AD301" i="16"/>
  <c r="AD93" i="16"/>
  <c r="AD309" i="16"/>
  <c r="AA309" i="16" s="1"/>
  <c r="Z309" i="16" s="1"/>
  <c r="Y309" i="16" s="1"/>
  <c r="AD133" i="16"/>
  <c r="P275" i="16"/>
  <c r="V275" i="16" s="1"/>
  <c r="AD277" i="16"/>
  <c r="P299" i="16"/>
  <c r="V299" i="16" s="1"/>
  <c r="F299" i="16" s="1"/>
  <c r="G299" i="16" s="1"/>
  <c r="BY299" i="6" s="1"/>
  <c r="P243" i="16"/>
  <c r="V243" i="16" s="1"/>
  <c r="F243" i="16" s="1"/>
  <c r="G243" i="16" s="1"/>
  <c r="BY243" i="6" s="1"/>
  <c r="P59" i="16"/>
  <c r="V59" i="16" s="1"/>
  <c r="F59" i="16" s="1"/>
  <c r="H59" i="16" s="1"/>
  <c r="I59" i="16" s="1"/>
  <c r="P75" i="16"/>
  <c r="V75" i="16" s="1"/>
  <c r="F75" i="16" s="1"/>
  <c r="G75" i="16" s="1"/>
  <c r="BY75" i="6" s="1"/>
  <c r="P242" i="16"/>
  <c r="V242" i="16" s="1"/>
  <c r="F242" i="16" s="1"/>
  <c r="H242" i="16" s="1"/>
  <c r="I242" i="16" s="1"/>
  <c r="AD367" i="16"/>
  <c r="AD358" i="16"/>
  <c r="AD302" i="16"/>
  <c r="AD270" i="16"/>
  <c r="AD250" i="16"/>
  <c r="AD206" i="16"/>
  <c r="AD346" i="16"/>
  <c r="AD298" i="16"/>
  <c r="AD254" i="16"/>
  <c r="AD114" i="16"/>
  <c r="AD94" i="16"/>
  <c r="AD54" i="16"/>
  <c r="AD30" i="16"/>
  <c r="AD221" i="16"/>
  <c r="AD77" i="16"/>
  <c r="AD33" i="16"/>
  <c r="AD16" i="16"/>
  <c r="AD165" i="16"/>
  <c r="P50" i="16"/>
  <c r="V50" i="16" s="1"/>
  <c r="F50" i="16" s="1"/>
  <c r="H50" i="16" s="1"/>
  <c r="AD237" i="16"/>
  <c r="AD205" i="16"/>
  <c r="AD61" i="16"/>
  <c r="P40" i="16"/>
  <c r="V40" i="16" s="1"/>
  <c r="P38" i="16"/>
  <c r="V38" i="16" s="1"/>
  <c r="F38" i="16" s="1"/>
  <c r="H38" i="16" s="1"/>
  <c r="AD349" i="16"/>
  <c r="AD253" i="16"/>
  <c r="AD173" i="16"/>
  <c r="AD125" i="16"/>
  <c r="P152" i="16"/>
  <c r="V152" i="16" s="1"/>
  <c r="F152" i="16" s="1"/>
  <c r="P108" i="16"/>
  <c r="V108" i="16" s="1"/>
  <c r="F108" i="16" s="1"/>
  <c r="P88" i="16"/>
  <c r="V88" i="16" s="1"/>
  <c r="P73" i="16"/>
  <c r="V73" i="16" s="1"/>
  <c r="F73" i="16" s="1"/>
  <c r="AA73" i="16" s="1"/>
  <c r="Z73" i="16" s="1"/>
  <c r="Y73" i="16" s="1"/>
  <c r="P184" i="16"/>
  <c r="V184" i="16" s="1"/>
  <c r="AD342" i="16"/>
  <c r="AD246" i="16"/>
  <c r="AD142" i="16"/>
  <c r="AD90" i="16"/>
  <c r="AD37" i="16"/>
  <c r="P289" i="16"/>
  <c r="V289" i="16" s="1"/>
  <c r="F289" i="16" s="1"/>
  <c r="G289" i="16" s="1"/>
  <c r="BY289" i="6" s="1"/>
  <c r="P147" i="16"/>
  <c r="V147" i="16" s="1"/>
  <c r="F147" i="16" s="1"/>
  <c r="H147" i="16" s="1"/>
  <c r="I147" i="16" s="1"/>
  <c r="P83" i="16"/>
  <c r="V83" i="16" s="1"/>
  <c r="F83" i="16" s="1"/>
  <c r="G83" i="16" s="1"/>
  <c r="BY83" i="6" s="1"/>
  <c r="AD327" i="16"/>
  <c r="AD287" i="16"/>
  <c r="AD255" i="16"/>
  <c r="AD247" i="16"/>
  <c r="AD183" i="16"/>
  <c r="P178" i="16"/>
  <c r="V178" i="16" s="1"/>
  <c r="F178" i="16" s="1"/>
  <c r="H178" i="16" s="1"/>
  <c r="J178" i="16" s="1"/>
  <c r="P98" i="16"/>
  <c r="V98" i="16" s="1"/>
  <c r="F98" i="16" s="1"/>
  <c r="H98" i="16" s="1"/>
  <c r="I98" i="16" s="1"/>
  <c r="AD370" i="16"/>
  <c r="AD322" i="16"/>
  <c r="AD222" i="16"/>
  <c r="AD154" i="16"/>
  <c r="AD46" i="16"/>
  <c r="AD26" i="16"/>
  <c r="AD223" i="16"/>
  <c r="AD175" i="16"/>
  <c r="AD55" i="16"/>
  <c r="AD23" i="16"/>
  <c r="P307" i="16"/>
  <c r="V307" i="16" s="1"/>
  <c r="F307" i="16" s="1"/>
  <c r="G307" i="16" s="1"/>
  <c r="BY307" i="6" s="1"/>
  <c r="P219" i="16"/>
  <c r="V219" i="16" s="1"/>
  <c r="F219" i="16" s="1"/>
  <c r="G219" i="16" s="1"/>
  <c r="BY219" i="6" s="1"/>
  <c r="P139" i="16"/>
  <c r="V139" i="16" s="1"/>
  <c r="AD151" i="16"/>
  <c r="AD135" i="16"/>
  <c r="AA135" i="16" s="1"/>
  <c r="Z135" i="16" s="1"/>
  <c r="Y135" i="16" s="1"/>
  <c r="AD111" i="16"/>
  <c r="AD103" i="16"/>
  <c r="P316" i="16"/>
  <c r="V316" i="16" s="1"/>
  <c r="F316" i="16" s="1"/>
  <c r="P300" i="16"/>
  <c r="V300" i="16" s="1"/>
  <c r="F300" i="16" s="1"/>
  <c r="G300" i="16" s="1"/>
  <c r="BY300" i="6" s="1"/>
  <c r="P51" i="16"/>
  <c r="V51" i="16" s="1"/>
  <c r="P274" i="16"/>
  <c r="V274" i="16" s="1"/>
  <c r="P226" i="16"/>
  <c r="V226" i="16" s="1"/>
  <c r="F226" i="16" s="1"/>
  <c r="H226" i="16" s="1"/>
  <c r="J226" i="16" s="1"/>
  <c r="P246" i="16"/>
  <c r="V246" i="16" s="1"/>
  <c r="AD328" i="16"/>
  <c r="AD232" i="16"/>
  <c r="AD196" i="16"/>
  <c r="AD144" i="16"/>
  <c r="AD116" i="16"/>
  <c r="AD96" i="16"/>
  <c r="AD68" i="16"/>
  <c r="AD24" i="16"/>
  <c r="AD345" i="16"/>
  <c r="AD304" i="16"/>
  <c r="AA304" i="16" s="1"/>
  <c r="Z304" i="16" s="1"/>
  <c r="Y304" i="16" s="1"/>
  <c r="AD220" i="16"/>
  <c r="AD200" i="16"/>
  <c r="AD156" i="16"/>
  <c r="AD120" i="16"/>
  <c r="AD88" i="16"/>
  <c r="AD44" i="16"/>
  <c r="AD20" i="16"/>
  <c r="AD225" i="16"/>
  <c r="AD153" i="16"/>
  <c r="AD41" i="16"/>
  <c r="AD21" i="16"/>
  <c r="AD260" i="16"/>
  <c r="AD176" i="16"/>
  <c r="AD132" i="16"/>
  <c r="P42" i="16"/>
  <c r="V42" i="16" s="1"/>
  <c r="F42" i="16" s="1"/>
  <c r="P36" i="16"/>
  <c r="V36" i="16" s="1"/>
  <c r="AD233" i="16"/>
  <c r="AD65" i="16"/>
  <c r="AD329" i="16"/>
  <c r="AD185" i="16"/>
  <c r="P176" i="16"/>
  <c r="V176" i="16" s="1"/>
  <c r="F176" i="16" s="1"/>
  <c r="H176" i="16" s="1"/>
  <c r="I176" i="16" s="1"/>
  <c r="P112" i="16"/>
  <c r="V112" i="16" s="1"/>
  <c r="P84" i="16"/>
  <c r="V84" i="16" s="1"/>
  <c r="F84" i="16" s="1"/>
  <c r="G84" i="16" s="1"/>
  <c r="BY84" i="6" s="1"/>
  <c r="AD368" i="16"/>
  <c r="AD324" i="16"/>
  <c r="AD52" i="16"/>
  <c r="P57" i="16"/>
  <c r="V57" i="16" s="1"/>
  <c r="F57" i="16" s="1"/>
  <c r="P247" i="16"/>
  <c r="V247" i="16" s="1"/>
  <c r="F247" i="16" s="1"/>
  <c r="P207" i="16"/>
  <c r="V207" i="16" s="1"/>
  <c r="F207" i="16" s="1"/>
  <c r="P127" i="16"/>
  <c r="V127" i="16" s="1"/>
  <c r="F127" i="16" s="1"/>
  <c r="P111" i="16"/>
  <c r="V111" i="16" s="1"/>
  <c r="F111" i="16" s="1"/>
  <c r="AA111" i="16" s="1"/>
  <c r="Z111" i="16" s="1"/>
  <c r="Y111" i="16" s="1"/>
  <c r="P97" i="16"/>
  <c r="V97" i="16" s="1"/>
  <c r="F97" i="16" s="1"/>
  <c r="G97" i="16" s="1"/>
  <c r="BY97" i="6" s="1"/>
  <c r="P79" i="16"/>
  <c r="P297" i="16"/>
  <c r="V297" i="16" s="1"/>
  <c r="F297" i="16" s="1"/>
  <c r="H297" i="16" s="1"/>
  <c r="I297" i="16" s="1"/>
  <c r="P217" i="16"/>
  <c r="V217" i="16" s="1"/>
  <c r="P33" i="16"/>
  <c r="V33" i="16" s="1"/>
  <c r="AD363" i="16"/>
  <c r="AD331" i="16"/>
  <c r="AD275" i="16"/>
  <c r="AD203" i="16"/>
  <c r="AD147" i="16"/>
  <c r="AD115" i="16"/>
  <c r="AD35" i="16"/>
  <c r="AD369" i="16"/>
  <c r="P153" i="16"/>
  <c r="V153" i="16" s="1"/>
  <c r="F153" i="16" s="1"/>
  <c r="G153" i="16" s="1"/>
  <c r="BY153" i="6" s="1"/>
  <c r="P89" i="16"/>
  <c r="V89" i="16" s="1"/>
  <c r="F89" i="16" s="1"/>
  <c r="AD355" i="16"/>
  <c r="AD43" i="16"/>
  <c r="AD19" i="16"/>
  <c r="P287" i="16"/>
  <c r="V287" i="16" s="1"/>
  <c r="F287" i="16" s="1"/>
  <c r="G287" i="16" s="1"/>
  <c r="BY287" i="6" s="1"/>
  <c r="P199" i="16"/>
  <c r="V199" i="16" s="1"/>
  <c r="F199" i="16" s="1"/>
  <c r="AD267" i="16"/>
  <c r="P257" i="16"/>
  <c r="V257" i="16" s="1"/>
  <c r="F257" i="16" s="1"/>
  <c r="G257" i="16" s="1"/>
  <c r="BY257" i="6" s="1"/>
  <c r="P169" i="16"/>
  <c r="V169" i="16" s="1"/>
  <c r="AD131" i="16"/>
  <c r="AD83" i="16"/>
  <c r="P372" i="16"/>
  <c r="V372" i="16" s="1"/>
  <c r="F372" i="16" s="1"/>
  <c r="AA372" i="16" s="1"/>
  <c r="Z372" i="16" s="1"/>
  <c r="Y372" i="16" s="1"/>
  <c r="P278" i="16"/>
  <c r="V278" i="16" s="1"/>
  <c r="P224" i="16"/>
  <c r="V224" i="16" s="1"/>
  <c r="F224" i="16" s="1"/>
  <c r="H224" i="16" s="1"/>
  <c r="I224" i="16" s="1"/>
  <c r="P208" i="16"/>
  <c r="V208" i="16" s="1"/>
  <c r="F208" i="16" s="1"/>
  <c r="H208" i="16" s="1"/>
  <c r="I208" i="16" s="1"/>
  <c r="AD323" i="16"/>
  <c r="P337" i="16"/>
  <c r="V337" i="16" s="1"/>
  <c r="P81" i="16"/>
  <c r="V81" i="16" s="1"/>
  <c r="P374" i="16"/>
  <c r="V374" i="16" s="1"/>
  <c r="P326" i="16"/>
  <c r="V326" i="16" s="1"/>
  <c r="F326" i="16" s="1"/>
  <c r="H326" i="16" s="1"/>
  <c r="I326" i="16" s="1"/>
  <c r="AD376" i="16"/>
  <c r="AD340" i="16"/>
  <c r="AD184" i="16"/>
  <c r="P214" i="16"/>
  <c r="V214" i="16" s="1"/>
  <c r="F214" i="16" s="1"/>
  <c r="H214" i="16" s="1"/>
  <c r="F362" i="16"/>
  <c r="H362" i="16" s="1"/>
  <c r="J362" i="16" s="1"/>
  <c r="F355" i="16"/>
  <c r="H355" i="16" s="1"/>
  <c r="I355" i="16" s="1"/>
  <c r="F270" i="16"/>
  <c r="F198" i="16"/>
  <c r="H198" i="16" s="1"/>
  <c r="J198" i="16" s="1"/>
  <c r="F359" i="16"/>
  <c r="G359" i="16" s="1"/>
  <c r="BY359" i="6" s="1"/>
  <c r="F81" i="16"/>
  <c r="G81" i="16" s="1"/>
  <c r="BY81" i="6" s="1"/>
  <c r="F114" i="16"/>
  <c r="G114" i="16" s="1"/>
  <c r="BY114" i="6" s="1"/>
  <c r="F318" i="16"/>
  <c r="G318" i="16" s="1"/>
  <c r="BY318" i="6" s="1"/>
  <c r="V333" i="16"/>
  <c r="F333" i="16" s="1"/>
  <c r="H333" i="16" s="1"/>
  <c r="F67" i="16"/>
  <c r="G67" i="16" s="1"/>
  <c r="BY67" i="6" s="1"/>
  <c r="F200" i="16"/>
  <c r="G200" i="16" s="1"/>
  <c r="BY200" i="6" s="1"/>
  <c r="F19" i="16"/>
  <c r="H19" i="16" s="1"/>
  <c r="I19" i="16" s="1"/>
  <c r="J119" i="15"/>
  <c r="D55" i="7"/>
  <c r="D50" i="7"/>
  <c r="F138" i="16"/>
  <c r="G138" i="16" s="1"/>
  <c r="BY138" i="6" s="1"/>
  <c r="F90" i="16"/>
  <c r="F206" i="16"/>
  <c r="G206" i="16" s="1"/>
  <c r="BY206" i="6" s="1"/>
  <c r="F313" i="16"/>
  <c r="G313" i="16" s="1"/>
  <c r="BY313" i="6" s="1"/>
  <c r="D53" i="7"/>
  <c r="F161" i="16"/>
  <c r="H161" i="16" s="1"/>
  <c r="J161" i="16" s="1"/>
  <c r="F246" i="16"/>
  <c r="H246" i="16" s="1"/>
  <c r="I246" i="16" s="1"/>
  <c r="F321" i="16"/>
  <c r="G321" i="16" s="1"/>
  <c r="BY321" i="6" s="1"/>
  <c r="F302" i="16"/>
  <c r="H302" i="16" s="1"/>
  <c r="J302" i="16" s="1"/>
  <c r="F347" i="16"/>
  <c r="G347" i="16" s="1"/>
  <c r="BY347" i="6" s="1"/>
  <c r="F71" i="16"/>
  <c r="G71" i="16" s="1"/>
  <c r="BY71" i="6" s="1"/>
  <c r="F182" i="16"/>
  <c r="G182" i="16" s="1"/>
  <c r="BY182" i="6" s="1"/>
  <c r="F151" i="16"/>
  <c r="H151" i="16" s="1"/>
  <c r="J151" i="16" s="1"/>
  <c r="F364" i="16"/>
  <c r="H364" i="16" s="1"/>
  <c r="J364" i="16" s="1"/>
  <c r="F262" i="16"/>
  <c r="H262" i="16" s="1"/>
  <c r="J262" i="16" s="1"/>
  <c r="F230" i="16"/>
  <c r="H230" i="16" s="1"/>
  <c r="J230" i="16" s="1"/>
  <c r="I363" i="15"/>
  <c r="F315" i="16"/>
  <c r="H315" i="16" s="1"/>
  <c r="J315" i="16" s="1"/>
  <c r="F51" i="16"/>
  <c r="G51" i="16" s="1"/>
  <c r="BY51" i="6" s="1"/>
  <c r="F328" i="16"/>
  <c r="G328" i="16" s="1"/>
  <c r="BY328" i="6" s="1"/>
  <c r="F188" i="16"/>
  <c r="AA188" i="16" s="1"/>
  <c r="Z188" i="16" s="1"/>
  <c r="Y188" i="16" s="1"/>
  <c r="F94" i="16"/>
  <c r="G94" i="16" s="1"/>
  <c r="BY94" i="6" s="1"/>
  <c r="F286" i="16"/>
  <c r="G286" i="16" s="1"/>
  <c r="BY286" i="6" s="1"/>
  <c r="F368" i="16"/>
  <c r="G368" i="16" s="1"/>
  <c r="BY368" i="6" s="1"/>
  <c r="F284" i="16"/>
  <c r="H284" i="16" s="1"/>
  <c r="I284" i="16" s="1"/>
  <c r="S323" i="16"/>
  <c r="R323" i="16" s="1"/>
  <c r="P323" i="16" s="1"/>
  <c r="V323" i="16" s="1"/>
  <c r="F323" i="16" s="1"/>
  <c r="S370" i="16"/>
  <c r="R370" i="16" s="1"/>
  <c r="P370" i="16" s="1"/>
  <c r="S354" i="16"/>
  <c r="R354" i="16" s="1"/>
  <c r="P354" i="16" s="1"/>
  <c r="S346" i="16"/>
  <c r="R346" i="16" s="1"/>
  <c r="P346" i="16" s="1"/>
  <c r="S338" i="16"/>
  <c r="R338" i="16" s="1"/>
  <c r="P338" i="16" s="1"/>
  <c r="S306" i="16"/>
  <c r="R306" i="16" s="1"/>
  <c r="P306" i="16" s="1"/>
  <c r="S194" i="16"/>
  <c r="R194" i="16" s="1"/>
  <c r="P194" i="16" s="1"/>
  <c r="AH379" i="16"/>
  <c r="AI12" i="17"/>
  <c r="AG335" i="16"/>
  <c r="AF335" i="16" s="1"/>
  <c r="AD335" i="16" s="1"/>
  <c r="AG319" i="16"/>
  <c r="AF319" i="16" s="1"/>
  <c r="AD319" i="16" s="1"/>
  <c r="S312" i="16"/>
  <c r="R312" i="16" s="1"/>
  <c r="P312" i="16" s="1"/>
  <c r="S268" i="16"/>
  <c r="R268" i="16" s="1"/>
  <c r="P268" i="16" s="1"/>
  <c r="S252" i="16"/>
  <c r="R252" i="16" s="1"/>
  <c r="P252" i="16" s="1"/>
  <c r="S236" i="16"/>
  <c r="R236" i="16" s="1"/>
  <c r="P236" i="16" s="1"/>
  <c r="S280" i="16"/>
  <c r="R280" i="16" s="1"/>
  <c r="P280" i="16" s="1"/>
  <c r="S264" i="16"/>
  <c r="R264" i="16" s="1"/>
  <c r="P264" i="16" s="1"/>
  <c r="S248" i="16"/>
  <c r="R248" i="16" s="1"/>
  <c r="P248" i="16" s="1"/>
  <c r="S232" i="16"/>
  <c r="R232" i="16" s="1"/>
  <c r="P232" i="16" s="1"/>
  <c r="S216" i="16"/>
  <c r="R216" i="16" s="1"/>
  <c r="P216" i="16" s="1"/>
  <c r="P339" i="16"/>
  <c r="P351" i="16"/>
  <c r="P371" i="16"/>
  <c r="V371" i="16" s="1"/>
  <c r="F371" i="16" s="1"/>
  <c r="G371" i="16" s="1"/>
  <c r="BY371" i="6" s="1"/>
  <c r="P331" i="16"/>
  <c r="P319" i="16"/>
  <c r="P167" i="16"/>
  <c r="V167" i="16" s="1"/>
  <c r="F167" i="16" s="1"/>
  <c r="G167" i="16" s="1"/>
  <c r="BY167" i="6" s="1"/>
  <c r="P163" i="16"/>
  <c r="V163" i="16" s="1"/>
  <c r="F163" i="16" s="1"/>
  <c r="G163" i="16" s="1"/>
  <c r="BY163" i="6" s="1"/>
  <c r="S317" i="16"/>
  <c r="R317" i="16" s="1"/>
  <c r="P317" i="16" s="1"/>
  <c r="V317" i="16" s="1"/>
  <c r="F317" i="16" s="1"/>
  <c r="S360" i="16"/>
  <c r="R360" i="16" s="1"/>
  <c r="P360" i="16" s="1"/>
  <c r="S352" i="16"/>
  <c r="R352" i="16" s="1"/>
  <c r="P352" i="16" s="1"/>
  <c r="S344" i="16"/>
  <c r="R344" i="16" s="1"/>
  <c r="P344" i="16" s="1"/>
  <c r="P340" i="16"/>
  <c r="P366" i="16"/>
  <c r="P330" i="16"/>
  <c r="P220" i="16"/>
  <c r="P256" i="16"/>
  <c r="P288" i="16"/>
  <c r="P332" i="16"/>
  <c r="P349" i="16"/>
  <c r="V349" i="16" s="1"/>
  <c r="F349" i="16" s="1"/>
  <c r="G349" i="16" s="1"/>
  <c r="BY349" i="6" s="1"/>
  <c r="P357" i="16"/>
  <c r="V357" i="16" s="1"/>
  <c r="F357" i="16" s="1"/>
  <c r="G357" i="16" s="1"/>
  <c r="BY357" i="6" s="1"/>
  <c r="P365" i="16"/>
  <c r="V365" i="16" s="1"/>
  <c r="F365" i="16" s="1"/>
  <c r="G365" i="16" s="1"/>
  <c r="BY365" i="6" s="1"/>
  <c r="P377" i="16"/>
  <c r="V377" i="16" s="1"/>
  <c r="F377" i="16" s="1"/>
  <c r="H377" i="16" s="1"/>
  <c r="I377" i="16" s="1"/>
  <c r="P290" i="16"/>
  <c r="P250" i="16"/>
  <c r="P218" i="16"/>
  <c r="P196" i="16"/>
  <c r="P109" i="16"/>
  <c r="P85" i="16"/>
  <c r="P171" i="16"/>
  <c r="P117" i="16"/>
  <c r="V117" i="16" s="1"/>
  <c r="F117" i="16" s="1"/>
  <c r="H117" i="16" s="1"/>
  <c r="P105" i="16"/>
  <c r="V105" i="16" s="1"/>
  <c r="F105" i="16" s="1"/>
  <c r="G105" i="16" s="1"/>
  <c r="BY105" i="6" s="1"/>
  <c r="P157" i="16"/>
  <c r="V157" i="16" s="1"/>
  <c r="F157" i="16" s="1"/>
  <c r="G157" i="16" s="1"/>
  <c r="BY157" i="6" s="1"/>
  <c r="P181" i="16"/>
  <c r="V181" i="16" s="1"/>
  <c r="F181" i="16" s="1"/>
  <c r="H181" i="16" s="1"/>
  <c r="P191" i="16"/>
  <c r="P203" i="16"/>
  <c r="V203" i="16" s="1"/>
  <c r="F203" i="16" s="1"/>
  <c r="G203" i="16" s="1"/>
  <c r="BY203" i="6" s="1"/>
  <c r="P215" i="16"/>
  <c r="V215" i="16" s="1"/>
  <c r="F215" i="16" s="1"/>
  <c r="G215" i="16" s="1"/>
  <c r="BY215" i="6" s="1"/>
  <c r="P227" i="16"/>
  <c r="V227" i="16" s="1"/>
  <c r="F227" i="16" s="1"/>
  <c r="G227" i="16" s="1"/>
  <c r="BY227" i="6" s="1"/>
  <c r="P239" i="16"/>
  <c r="V239" i="16" s="1"/>
  <c r="F239" i="16" s="1"/>
  <c r="G239" i="16" s="1"/>
  <c r="BY239" i="6" s="1"/>
  <c r="P255" i="16"/>
  <c r="V255" i="16" s="1"/>
  <c r="F255" i="16" s="1"/>
  <c r="G255" i="16" s="1"/>
  <c r="BY255" i="6" s="1"/>
  <c r="P263" i="16"/>
  <c r="P279" i="16"/>
  <c r="V279" i="16" s="1"/>
  <c r="F279" i="16" s="1"/>
  <c r="G279" i="16" s="1"/>
  <c r="BY279" i="6" s="1"/>
  <c r="P291" i="16"/>
  <c r="P303" i="16"/>
  <c r="V303" i="16" s="1"/>
  <c r="F303" i="16" s="1"/>
  <c r="G303" i="16" s="1"/>
  <c r="BY303" i="6" s="1"/>
  <c r="P95" i="16"/>
  <c r="P47" i="16"/>
  <c r="P61" i="16"/>
  <c r="P82" i="16"/>
  <c r="P102" i="16"/>
  <c r="P110" i="16"/>
  <c r="P126" i="16"/>
  <c r="P134" i="16"/>
  <c r="P146" i="16"/>
  <c r="P154" i="16"/>
  <c r="P162" i="16"/>
  <c r="P170" i="16"/>
  <c r="P29" i="16"/>
  <c r="AD371" i="16"/>
  <c r="AD351" i="16"/>
  <c r="AD343" i="16"/>
  <c r="AD311" i="16"/>
  <c r="AD303" i="16"/>
  <c r="AD291" i="16"/>
  <c r="AD279" i="16"/>
  <c r="AD243" i="16"/>
  <c r="AD235" i="16"/>
  <c r="AD219" i="16"/>
  <c r="AD199" i="16"/>
  <c r="AD191" i="16"/>
  <c r="AD179" i="16"/>
  <c r="AD167" i="16"/>
  <c r="AD155" i="16"/>
  <c r="AD119" i="16"/>
  <c r="AD79" i="16"/>
  <c r="AD67" i="16"/>
  <c r="AD47" i="16"/>
  <c r="AD31" i="16"/>
  <c r="P72" i="16"/>
  <c r="P64" i="16"/>
  <c r="P52" i="16"/>
  <c r="V52" i="16" s="1"/>
  <c r="P44" i="16"/>
  <c r="P28" i="16"/>
  <c r="V28" i="16" s="1"/>
  <c r="P20" i="16"/>
  <c r="AD374" i="16"/>
  <c r="AD354" i="16"/>
  <c r="AD334" i="16"/>
  <c r="AD326" i="16"/>
  <c r="AD310" i="16"/>
  <c r="AD290" i="16"/>
  <c r="AD278" i="16"/>
  <c r="AD262" i="16"/>
  <c r="AD234" i="16"/>
  <c r="AD226" i="16"/>
  <c r="AD214" i="16"/>
  <c r="AD202" i="16"/>
  <c r="AD194" i="16"/>
  <c r="AD182" i="16"/>
  <c r="AD174" i="16"/>
  <c r="AD166" i="16"/>
  <c r="AD150" i="16"/>
  <c r="AD134" i="16"/>
  <c r="AD122" i="16"/>
  <c r="AD106" i="16"/>
  <c r="AD86" i="16"/>
  <c r="AD78" i="16"/>
  <c r="AD66" i="16"/>
  <c r="AD58" i="16"/>
  <c r="AD38" i="16"/>
  <c r="P43" i="16"/>
  <c r="V43" i="16" s="1"/>
  <c r="F43" i="16" s="1"/>
  <c r="G43" i="16" s="1"/>
  <c r="BY43" i="6" s="1"/>
  <c r="P129" i="16"/>
  <c r="V129" i="16" s="1"/>
  <c r="F129" i="16" s="1"/>
  <c r="G129" i="16" s="1"/>
  <c r="BY129" i="6" s="1"/>
  <c r="P145" i="16"/>
  <c r="V145" i="16" s="1"/>
  <c r="F145" i="16" s="1"/>
  <c r="H145" i="16" s="1"/>
  <c r="P189" i="16"/>
  <c r="V189" i="16" s="1"/>
  <c r="F189" i="16" s="1"/>
  <c r="G189" i="16" s="1"/>
  <c r="BY189" i="6" s="1"/>
  <c r="P201" i="16"/>
  <c r="V201" i="16" s="1"/>
  <c r="F201" i="16" s="1"/>
  <c r="H201" i="16" s="1"/>
  <c r="P209" i="16"/>
  <c r="P225" i="16"/>
  <c r="V225" i="16" s="1"/>
  <c r="F225" i="16" s="1"/>
  <c r="G225" i="16" s="1"/>
  <c r="BY225" i="6" s="1"/>
  <c r="P241" i="16"/>
  <c r="P249" i="16"/>
  <c r="V249" i="16" s="1"/>
  <c r="F249" i="16" s="1"/>
  <c r="G249" i="16" s="1"/>
  <c r="BY249" i="6" s="1"/>
  <c r="P261" i="16"/>
  <c r="V261" i="16" s="1"/>
  <c r="F261" i="16" s="1"/>
  <c r="G261" i="16" s="1"/>
  <c r="BY261" i="6" s="1"/>
  <c r="P273" i="16"/>
  <c r="V273" i="16" s="1"/>
  <c r="F273" i="16" s="1"/>
  <c r="H273" i="16" s="1"/>
  <c r="P281" i="16"/>
  <c r="V281" i="16" s="1"/>
  <c r="F281" i="16" s="1"/>
  <c r="G281" i="16" s="1"/>
  <c r="BY281" i="6" s="1"/>
  <c r="P301" i="16"/>
  <c r="V301" i="16" s="1"/>
  <c r="F301" i="16" s="1"/>
  <c r="H301" i="16" s="1"/>
  <c r="P107" i="16"/>
  <c r="P55" i="16"/>
  <c r="P41" i="16"/>
  <c r="P65" i="16"/>
  <c r="P96" i="16"/>
  <c r="P104" i="16"/>
  <c r="P120" i="16"/>
  <c r="P128" i="16"/>
  <c r="P136" i="16"/>
  <c r="P148" i="16"/>
  <c r="P160" i="16"/>
  <c r="P168" i="16"/>
  <c r="AD377" i="16"/>
  <c r="AD361" i="16"/>
  <c r="AD353" i="16"/>
  <c r="AD325" i="16"/>
  <c r="AD317" i="16"/>
  <c r="AD297" i="16"/>
  <c r="AD289" i="16"/>
  <c r="AD281" i="16"/>
  <c r="AD269" i="16"/>
  <c r="AA269" i="16" s="1"/>
  <c r="Z269" i="16" s="1"/>
  <c r="Y269" i="16" s="1"/>
  <c r="AD261" i="16"/>
  <c r="AD245" i="16"/>
  <c r="AD213" i="16"/>
  <c r="AD201" i="16"/>
  <c r="AD193" i="16"/>
  <c r="AD181" i="16"/>
  <c r="AD169" i="16"/>
  <c r="AD157" i="16"/>
  <c r="AD145" i="16"/>
  <c r="AD137" i="16"/>
  <c r="AD121" i="16"/>
  <c r="AD113" i="16"/>
  <c r="AD97" i="16"/>
  <c r="AD85" i="16"/>
  <c r="AD57" i="16"/>
  <c r="AD25" i="16"/>
  <c r="P74" i="16"/>
  <c r="V74" i="16" s="1"/>
  <c r="P46" i="16"/>
  <c r="V46" i="16" s="1"/>
  <c r="P26" i="16"/>
  <c r="AD364" i="16"/>
  <c r="AD352" i="16"/>
  <c r="AD336" i="16"/>
  <c r="AD320" i="16"/>
  <c r="AD312" i="16"/>
  <c r="AD300" i="16"/>
  <c r="AD292" i="16"/>
  <c r="AD284" i="16"/>
  <c r="AD276" i="16"/>
  <c r="AD268" i="16"/>
  <c r="AD252" i="16"/>
  <c r="AD236" i="16"/>
  <c r="AD216" i="16"/>
  <c r="AD180" i="16"/>
  <c r="AD160" i="16"/>
  <c r="AD148" i="16"/>
  <c r="AD124" i="16"/>
  <c r="AD108" i="16"/>
  <c r="AD100" i="16"/>
  <c r="AD80" i="16"/>
  <c r="AD72" i="16"/>
  <c r="AD40" i="16"/>
  <c r="AD32" i="16"/>
  <c r="U383" i="16"/>
  <c r="T15" i="16"/>
  <c r="U381" i="16"/>
  <c r="U382" i="16"/>
  <c r="S159" i="16"/>
  <c r="R159" i="16" s="1"/>
  <c r="P159" i="16" s="1"/>
  <c r="S350" i="16"/>
  <c r="R350" i="16" s="1"/>
  <c r="P350" i="16" s="1"/>
  <c r="S282" i="16"/>
  <c r="R282" i="16" s="1"/>
  <c r="P282" i="16" s="1"/>
  <c r="S202" i="16"/>
  <c r="R202" i="16" s="1"/>
  <c r="P202" i="16" s="1"/>
  <c r="S336" i="16"/>
  <c r="R336" i="16" s="1"/>
  <c r="P336" i="16" s="1"/>
  <c r="S320" i="16"/>
  <c r="R320" i="16" s="1"/>
  <c r="P320" i="16" s="1"/>
  <c r="S292" i="16"/>
  <c r="R292" i="16" s="1"/>
  <c r="P292" i="16" s="1"/>
  <c r="S276" i="16"/>
  <c r="R276" i="16" s="1"/>
  <c r="P276" i="16" s="1"/>
  <c r="S244" i="16"/>
  <c r="R244" i="16" s="1"/>
  <c r="P244" i="16" s="1"/>
  <c r="U12" i="17"/>
  <c r="U16" i="7" s="1"/>
  <c r="P16" i="7"/>
  <c r="V11" i="7" s="1"/>
  <c r="U11" i="17" s="1"/>
  <c r="T379" i="16"/>
  <c r="S379" i="16" s="1"/>
  <c r="R379" i="16" s="1"/>
  <c r="P379" i="16" s="1"/>
  <c r="V379" i="16" s="1"/>
  <c r="S192" i="16"/>
  <c r="R192" i="16" s="1"/>
  <c r="P192" i="16" s="1"/>
  <c r="AI381" i="16"/>
  <c r="AI382" i="16"/>
  <c r="AH15" i="16"/>
  <c r="AI383" i="16"/>
  <c r="P335" i="16"/>
  <c r="V335" i="16" s="1"/>
  <c r="F335" i="16" s="1"/>
  <c r="G335" i="16" s="1"/>
  <c r="BY335" i="6" s="1"/>
  <c r="P343" i="16"/>
  <c r="P367" i="16"/>
  <c r="V367" i="16" s="1"/>
  <c r="F367" i="16" s="1"/>
  <c r="H367" i="16" s="1"/>
  <c r="J367" i="16" s="1"/>
  <c r="P375" i="16"/>
  <c r="V375" i="16" s="1"/>
  <c r="F375" i="16" s="1"/>
  <c r="G375" i="16" s="1"/>
  <c r="BY375" i="6" s="1"/>
  <c r="P327" i="16"/>
  <c r="P179" i="16"/>
  <c r="V179" i="16" s="1"/>
  <c r="F179" i="16" s="1"/>
  <c r="G179" i="16" s="1"/>
  <c r="BY179" i="6" s="1"/>
  <c r="P131" i="16"/>
  <c r="V131" i="16" s="1"/>
  <c r="F131" i="16" s="1"/>
  <c r="H131" i="16" s="1"/>
  <c r="I131" i="16" s="1"/>
  <c r="S329" i="16"/>
  <c r="R329" i="16" s="1"/>
  <c r="P329" i="16" s="1"/>
  <c r="S348" i="16"/>
  <c r="R348" i="16" s="1"/>
  <c r="P348" i="16" s="1"/>
  <c r="P356" i="16"/>
  <c r="P334" i="16"/>
  <c r="P314" i="16"/>
  <c r="P240" i="16"/>
  <c r="P272" i="16"/>
  <c r="P324" i="16"/>
  <c r="P345" i="16"/>
  <c r="V345" i="16" s="1"/>
  <c r="F345" i="16" s="1"/>
  <c r="H345" i="16" s="1"/>
  <c r="I345" i="16" s="1"/>
  <c r="P353" i="16"/>
  <c r="V353" i="16" s="1"/>
  <c r="F353" i="16" s="1"/>
  <c r="P361" i="16"/>
  <c r="V361" i="16" s="1"/>
  <c r="F361" i="16" s="1"/>
  <c r="G361" i="16" s="1"/>
  <c r="BY361" i="6" s="1"/>
  <c r="P373" i="16"/>
  <c r="V373" i="16" s="1"/>
  <c r="F373" i="16" s="1"/>
  <c r="G373" i="16" s="1"/>
  <c r="BY373" i="6" s="1"/>
  <c r="P298" i="16"/>
  <c r="P258" i="16"/>
  <c r="P234" i="16"/>
  <c r="P204" i="16"/>
  <c r="P183" i="16"/>
  <c r="P175" i="16"/>
  <c r="V175" i="16" s="1"/>
  <c r="F175" i="16" s="1"/>
  <c r="P186" i="16"/>
  <c r="P155" i="16"/>
  <c r="V155" i="16" s="1"/>
  <c r="F155" i="16" s="1"/>
  <c r="H155" i="16" s="1"/>
  <c r="P23" i="16"/>
  <c r="P133" i="16"/>
  <c r="V133" i="16" s="1"/>
  <c r="F133" i="16" s="1"/>
  <c r="G133" i="16" s="1"/>
  <c r="BY133" i="6" s="1"/>
  <c r="P165" i="16"/>
  <c r="V165" i="16" s="1"/>
  <c r="F165" i="16" s="1"/>
  <c r="G165" i="16" s="1"/>
  <c r="BY165" i="6" s="1"/>
  <c r="P187" i="16"/>
  <c r="V187" i="16" s="1"/>
  <c r="F187" i="16" s="1"/>
  <c r="G187" i="16" s="1"/>
  <c r="BY187" i="6" s="1"/>
  <c r="P195" i="16"/>
  <c r="V195" i="16" s="1"/>
  <c r="F195" i="16" s="1"/>
  <c r="G195" i="16" s="1"/>
  <c r="BY195" i="6" s="1"/>
  <c r="P211" i="16"/>
  <c r="V211" i="16" s="1"/>
  <c r="F211" i="16" s="1"/>
  <c r="G211" i="16" s="1"/>
  <c r="BY211" i="6" s="1"/>
  <c r="P223" i="16"/>
  <c r="V223" i="16" s="1"/>
  <c r="F223" i="16" s="1"/>
  <c r="G223" i="16" s="1"/>
  <c r="BY223" i="6" s="1"/>
  <c r="P235" i="16"/>
  <c r="V235" i="16" s="1"/>
  <c r="F235" i="16" s="1"/>
  <c r="G235" i="16" s="1"/>
  <c r="BY235" i="6" s="1"/>
  <c r="P251" i="16"/>
  <c r="V251" i="16" s="1"/>
  <c r="F251" i="16" s="1"/>
  <c r="G251" i="16" s="1"/>
  <c r="BY251" i="6" s="1"/>
  <c r="P259" i="16"/>
  <c r="P267" i="16"/>
  <c r="V267" i="16" s="1"/>
  <c r="F267" i="16" s="1"/>
  <c r="G267" i="16" s="1"/>
  <c r="BY267" i="6" s="1"/>
  <c r="P283" i="16"/>
  <c r="V283" i="16" s="1"/>
  <c r="F283" i="16" s="1"/>
  <c r="G283" i="16" s="1"/>
  <c r="BY283" i="6" s="1"/>
  <c r="P295" i="16"/>
  <c r="P311" i="16"/>
  <c r="V311" i="16" s="1"/>
  <c r="F311" i="16" s="1"/>
  <c r="G311" i="16" s="1"/>
  <c r="BY311" i="6" s="1"/>
  <c r="P63" i="16"/>
  <c r="P35" i="16"/>
  <c r="P77" i="16"/>
  <c r="P86" i="16"/>
  <c r="P106" i="16"/>
  <c r="P122" i="16"/>
  <c r="P130" i="16"/>
  <c r="P142" i="16"/>
  <c r="P150" i="16"/>
  <c r="P158" i="16"/>
  <c r="P166" i="16"/>
  <c r="P174" i="16"/>
  <c r="AD375" i="16"/>
  <c r="AD359" i="16"/>
  <c r="AD347" i="16"/>
  <c r="AD315" i="16"/>
  <c r="AD307" i="16"/>
  <c r="AD299" i="16"/>
  <c r="AD283" i="16"/>
  <c r="AD271" i="16"/>
  <c r="AA271" i="16" s="1"/>
  <c r="Z271" i="16" s="1"/>
  <c r="Y271" i="16" s="1"/>
  <c r="AD239" i="16"/>
  <c r="AD231" i="16"/>
  <c r="AA231" i="16" s="1"/>
  <c r="Z231" i="16" s="1"/>
  <c r="Y231" i="16" s="1"/>
  <c r="AD215" i="16"/>
  <c r="AD195" i="16"/>
  <c r="AD187" i="16"/>
  <c r="AD171" i="16"/>
  <c r="AD163" i="16"/>
  <c r="AD127" i="16"/>
  <c r="AD95" i="16"/>
  <c r="AD71" i="16"/>
  <c r="AD59" i="16"/>
  <c r="AD39" i="16"/>
  <c r="P76" i="16"/>
  <c r="P68" i="16"/>
  <c r="P60" i="16"/>
  <c r="P48" i="16"/>
  <c r="V48" i="16" s="1"/>
  <c r="P32" i="16"/>
  <c r="P24" i="16"/>
  <c r="AD378" i="16"/>
  <c r="AD362" i="16"/>
  <c r="AD350" i="16"/>
  <c r="AD330" i="16"/>
  <c r="AD314" i="16"/>
  <c r="AD294" i="16"/>
  <c r="AD282" i="16"/>
  <c r="AD266" i="16"/>
  <c r="AD238" i="16"/>
  <c r="AD230" i="16"/>
  <c r="AD218" i="16"/>
  <c r="AD210" i="16"/>
  <c r="AD198" i="16"/>
  <c r="AD190" i="16"/>
  <c r="AA190" i="16" s="1"/>
  <c r="Z190" i="16" s="1"/>
  <c r="Y190" i="16" s="1"/>
  <c r="AD178" i="16"/>
  <c r="AD170" i="16"/>
  <c r="AD162" i="16"/>
  <c r="AD138" i="16"/>
  <c r="AD130" i="16"/>
  <c r="AD118" i="16"/>
  <c r="AD98" i="16"/>
  <c r="AD82" i="16"/>
  <c r="AD70" i="16"/>
  <c r="AD62" i="16"/>
  <c r="AD42" i="16"/>
  <c r="AD22" i="16"/>
  <c r="P113" i="16"/>
  <c r="V113" i="16" s="1"/>
  <c r="F113" i="16" s="1"/>
  <c r="G113" i="16" s="1"/>
  <c r="BY113" i="6" s="1"/>
  <c r="P137" i="16"/>
  <c r="P177" i="16"/>
  <c r="V177" i="16" s="1"/>
  <c r="F177" i="16" s="1"/>
  <c r="G177" i="16" s="1"/>
  <c r="BY177" i="6" s="1"/>
  <c r="P193" i="16"/>
  <c r="V193" i="16" s="1"/>
  <c r="F193" i="16" s="1"/>
  <c r="H193" i="16" s="1"/>
  <c r="P205" i="16"/>
  <c r="P221" i="16"/>
  <c r="V221" i="16" s="1"/>
  <c r="F221" i="16" s="1"/>
  <c r="H221" i="16" s="1"/>
  <c r="P229" i="16"/>
  <c r="V229" i="16" s="1"/>
  <c r="F229" i="16" s="1"/>
  <c r="G229" i="16" s="1"/>
  <c r="BY229" i="6" s="1"/>
  <c r="P245" i="16"/>
  <c r="V245" i="16" s="1"/>
  <c r="F245" i="16" s="1"/>
  <c r="G245" i="16" s="1"/>
  <c r="BY245" i="6" s="1"/>
  <c r="P253" i="16"/>
  <c r="V253" i="16" s="1"/>
  <c r="F253" i="16" s="1"/>
  <c r="H253" i="16" s="1"/>
  <c r="P265" i="16"/>
  <c r="V265" i="16" s="1"/>
  <c r="F265" i="16" s="1"/>
  <c r="H265" i="16" s="1"/>
  <c r="P277" i="16"/>
  <c r="V277" i="16" s="1"/>
  <c r="F277" i="16" s="1"/>
  <c r="G277" i="16" s="1"/>
  <c r="BY277" i="6" s="1"/>
  <c r="P285" i="16"/>
  <c r="P115" i="16"/>
  <c r="P99" i="16"/>
  <c r="P39" i="16"/>
  <c r="P49" i="16"/>
  <c r="P80" i="16"/>
  <c r="P100" i="16"/>
  <c r="P116" i="16"/>
  <c r="P124" i="16"/>
  <c r="P132" i="16"/>
  <c r="P144" i="16"/>
  <c r="P156" i="16"/>
  <c r="P164" i="16"/>
  <c r="P180" i="16"/>
  <c r="AD365" i="16"/>
  <c r="AD357" i="16"/>
  <c r="AD337" i="16"/>
  <c r="AD321" i="16"/>
  <c r="AD313" i="16"/>
  <c r="AD293" i="16"/>
  <c r="AD285" i="16"/>
  <c r="AD273" i="16"/>
  <c r="AD265" i="16"/>
  <c r="AD257" i="16"/>
  <c r="AD241" i="16"/>
  <c r="AD209" i="16"/>
  <c r="AD197" i="16"/>
  <c r="AD189" i="16"/>
  <c r="AD177" i="16"/>
  <c r="AD161" i="16"/>
  <c r="AD149" i="16"/>
  <c r="AD141" i="16"/>
  <c r="AD129" i="16"/>
  <c r="AD117" i="16"/>
  <c r="AD101" i="16"/>
  <c r="AD89" i="16"/>
  <c r="AD81" i="16"/>
  <c r="AD45" i="16"/>
  <c r="P78" i="16"/>
  <c r="V78" i="16" s="1"/>
  <c r="P66" i="16"/>
  <c r="P34" i="16"/>
  <c r="P22" i="16"/>
  <c r="AD356" i="16"/>
  <c r="AD348" i="16"/>
  <c r="AD332" i="16"/>
  <c r="AD316" i="16"/>
  <c r="AD308" i="16"/>
  <c r="AD296" i="16"/>
  <c r="AD288" i="16"/>
  <c r="AD280" i="16"/>
  <c r="AD272" i="16"/>
  <c r="AD264" i="16"/>
  <c r="AD240" i="16"/>
  <c r="AD228" i="16"/>
  <c r="AD204" i="16"/>
  <c r="AD172" i="16"/>
  <c r="AD152" i="16"/>
  <c r="AD136" i="16"/>
  <c r="AD112" i="16"/>
  <c r="AD104" i="16"/>
  <c r="AD92" i="16"/>
  <c r="AD76" i="16"/>
  <c r="AD64" i="16"/>
  <c r="AD36" i="16"/>
  <c r="AD28" i="16"/>
  <c r="F369" i="16"/>
  <c r="H369" i="16" s="1"/>
  <c r="J369" i="16" s="1"/>
  <c r="F325" i="16"/>
  <c r="G325" i="16" s="1"/>
  <c r="BY325" i="6" s="1"/>
  <c r="F143" i="16"/>
  <c r="AA143" i="16" s="1"/>
  <c r="Z143" i="16" s="1"/>
  <c r="Y143" i="16" s="1"/>
  <c r="F358" i="16"/>
  <c r="G358" i="16" s="1"/>
  <c r="BY358" i="6" s="1"/>
  <c r="F260" i="16"/>
  <c r="G260" i="16" s="1"/>
  <c r="BY260" i="6" s="1"/>
  <c r="F293" i="16"/>
  <c r="H293" i="16" s="1"/>
  <c r="J293" i="16" s="1"/>
  <c r="F294" i="16"/>
  <c r="H294" i="16" s="1"/>
  <c r="I294" i="16" s="1"/>
  <c r="F169" i="16"/>
  <c r="C13" i="19"/>
  <c r="F37" i="19"/>
  <c r="D48" i="7"/>
  <c r="J288" i="15"/>
  <c r="Q336" i="17"/>
  <c r="Q256" i="17"/>
  <c r="Q368" i="17"/>
  <c r="Q304" i="17"/>
  <c r="Q192" i="17"/>
  <c r="Q352" i="17"/>
  <c r="Q320" i="17"/>
  <c r="Q288" i="17"/>
  <c r="Q224" i="17"/>
  <c r="Q152" i="17"/>
  <c r="V119" i="16"/>
  <c r="F119" i="16" s="1"/>
  <c r="H119" i="16" s="1"/>
  <c r="I136" i="15"/>
  <c r="F69" i="16"/>
  <c r="G69" i="16" s="1"/>
  <c r="BY69" i="6" s="1"/>
  <c r="Q376" i="17"/>
  <c r="Q360" i="17"/>
  <c r="Q344" i="17"/>
  <c r="Q328" i="17"/>
  <c r="Q312" i="17"/>
  <c r="Q296" i="17"/>
  <c r="Q272" i="17"/>
  <c r="Q240" i="17"/>
  <c r="Q208" i="17"/>
  <c r="Q176" i="17"/>
  <c r="Q120" i="17"/>
  <c r="H269" i="16"/>
  <c r="I269" i="16" s="1"/>
  <c r="H304" i="16"/>
  <c r="I304" i="16" s="1"/>
  <c r="I241" i="15"/>
  <c r="J241" i="15"/>
  <c r="Q88" i="17"/>
  <c r="Q56" i="17"/>
  <c r="H121" i="16"/>
  <c r="I121" i="16" s="1"/>
  <c r="F45" i="16"/>
  <c r="F17" i="16"/>
  <c r="G17" i="16" s="1"/>
  <c r="BY17" i="6" s="1"/>
  <c r="Q372" i="17"/>
  <c r="Q364" i="17"/>
  <c r="Q356" i="17"/>
  <c r="Q348" i="17"/>
  <c r="Q340" i="17"/>
  <c r="Q332" i="17"/>
  <c r="Q324" i="17"/>
  <c r="Q316" i="17"/>
  <c r="Q308" i="17"/>
  <c r="Q300" i="17"/>
  <c r="Q292" i="17"/>
  <c r="Q280" i="17"/>
  <c r="Q264" i="17"/>
  <c r="Q248" i="17"/>
  <c r="Q232" i="17"/>
  <c r="Q216" i="17"/>
  <c r="Q200" i="17"/>
  <c r="Q184" i="17"/>
  <c r="Q168" i="17"/>
  <c r="Q136" i="17"/>
  <c r="Q104" i="17"/>
  <c r="Q72" i="17"/>
  <c r="Q40" i="17"/>
  <c r="AA147" i="16"/>
  <c r="Z147" i="16" s="1"/>
  <c r="Y147" i="16" s="1"/>
  <c r="V79" i="16"/>
  <c r="F79" i="16" s="1"/>
  <c r="H231" i="16"/>
  <c r="I231" i="16" s="1"/>
  <c r="G231" i="16"/>
  <c r="BY231" i="6" s="1"/>
  <c r="I108" i="15"/>
  <c r="G141" i="16"/>
  <c r="BY141" i="6" s="1"/>
  <c r="H309" i="16"/>
  <c r="J309" i="16" s="1"/>
  <c r="G135" i="16"/>
  <c r="BY135" i="6" s="1"/>
  <c r="G190" i="16"/>
  <c r="BY190" i="6" s="1"/>
  <c r="Q160" i="17"/>
  <c r="Q144" i="17"/>
  <c r="Q128" i="17"/>
  <c r="Q112" i="17"/>
  <c r="Q96" i="17"/>
  <c r="Q80" i="17"/>
  <c r="Q64" i="17"/>
  <c r="Q48" i="17"/>
  <c r="F149" i="16"/>
  <c r="H149" i="16" s="1"/>
  <c r="F93" i="16"/>
  <c r="G93" i="16" s="1"/>
  <c r="BY93" i="6" s="1"/>
  <c r="F378" i="16"/>
  <c r="H378" i="16" s="1"/>
  <c r="F322" i="16"/>
  <c r="F87" i="16"/>
  <c r="G87" i="16" s="1"/>
  <c r="BY87" i="6" s="1"/>
  <c r="F31" i="16"/>
  <c r="G31" i="16" s="1"/>
  <c r="BY31" i="6" s="1"/>
  <c r="F310" i="16"/>
  <c r="F222" i="16"/>
  <c r="H222" i="16" s="1"/>
  <c r="F363" i="16"/>
  <c r="G363" i="16" s="1"/>
  <c r="BY363" i="6" s="1"/>
  <c r="F197" i="16"/>
  <c r="F296" i="16"/>
  <c r="F233" i="16"/>
  <c r="H233" i="16" s="1"/>
  <c r="F62" i="16"/>
  <c r="F56" i="16"/>
  <c r="G56" i="16" s="1"/>
  <c r="BY56" i="6" s="1"/>
  <c r="F27" i="16"/>
  <c r="G27" i="16" s="1"/>
  <c r="BY27" i="6" s="1"/>
  <c r="F140" i="16"/>
  <c r="H140" i="16" s="1"/>
  <c r="I140" i="16" s="1"/>
  <c r="F18" i="16"/>
  <c r="H18" i="16" s="1"/>
  <c r="J18" i="16" s="1"/>
  <c r="H190" i="16"/>
  <c r="F341" i="16"/>
  <c r="H341" i="16" s="1"/>
  <c r="F53" i="16"/>
  <c r="G53" i="16" s="1"/>
  <c r="BY53" i="6" s="1"/>
  <c r="F210" i="16"/>
  <c r="F58" i="16"/>
  <c r="W15" i="7"/>
  <c r="Q17" i="17"/>
  <c r="Q21" i="17"/>
  <c r="Q25" i="17"/>
  <c r="Q29" i="17"/>
  <c r="Q33" i="17"/>
  <c r="Q35" i="17"/>
  <c r="Q37" i="17"/>
  <c r="Q39" i="17"/>
  <c r="Q41" i="17"/>
  <c r="Q43" i="17"/>
  <c r="Q45" i="17"/>
  <c r="Q47" i="17"/>
  <c r="Q49" i="17"/>
  <c r="Q51" i="17"/>
  <c r="Q53" i="17"/>
  <c r="Q55" i="17"/>
  <c r="Q57" i="17"/>
  <c r="Q59" i="17"/>
  <c r="Q61" i="17"/>
  <c r="Q63" i="17"/>
  <c r="Q65" i="17"/>
  <c r="Q67" i="17"/>
  <c r="Q69" i="17"/>
  <c r="Q71" i="17"/>
  <c r="Q73" i="17"/>
  <c r="Q75" i="17"/>
  <c r="Q77" i="17"/>
  <c r="Q79" i="17"/>
  <c r="Q81" i="17"/>
  <c r="Q83" i="17"/>
  <c r="Q85" i="17"/>
  <c r="Q87" i="17"/>
  <c r="Q89" i="17"/>
  <c r="Q91" i="17"/>
  <c r="Q93" i="17"/>
  <c r="Q95" i="17"/>
  <c r="Q97" i="17"/>
  <c r="Q99" i="17"/>
  <c r="Q101" i="17"/>
  <c r="Q103" i="17"/>
  <c r="Q105" i="17"/>
  <c r="Q107" i="17"/>
  <c r="Q109" i="17"/>
  <c r="Q111" i="17"/>
  <c r="Q113" i="17"/>
  <c r="Q115" i="17"/>
  <c r="Q117" i="17"/>
  <c r="Q119" i="17"/>
  <c r="Q121" i="17"/>
  <c r="Q123" i="17"/>
  <c r="Q125" i="17"/>
  <c r="Q127" i="17"/>
  <c r="Q129" i="17"/>
  <c r="Q131" i="17"/>
  <c r="Q133" i="17"/>
  <c r="Q135" i="17"/>
  <c r="Q137" i="17"/>
  <c r="Q139" i="17"/>
  <c r="Q141" i="17"/>
  <c r="Q143" i="17"/>
  <c r="Q145" i="17"/>
  <c r="Q147" i="17"/>
  <c r="Q149" i="17"/>
  <c r="Q151" i="17"/>
  <c r="Q153" i="17"/>
  <c r="Q155" i="17"/>
  <c r="Q157" i="17"/>
  <c r="Q159" i="17"/>
  <c r="Q161" i="17"/>
  <c r="Q163" i="17"/>
  <c r="Q165" i="17"/>
  <c r="Q167" i="17"/>
  <c r="Q169" i="17"/>
  <c r="Q171" i="17"/>
  <c r="Q173" i="17"/>
  <c r="Q175" i="17"/>
  <c r="Q177" i="17"/>
  <c r="Q179" i="17"/>
  <c r="Q181" i="17"/>
  <c r="Q183" i="17"/>
  <c r="Q185" i="17"/>
  <c r="Q187" i="17"/>
  <c r="Q189" i="17"/>
  <c r="Q191" i="17"/>
  <c r="Q193" i="17"/>
  <c r="Q195" i="17"/>
  <c r="Q197" i="17"/>
  <c r="Q199" i="17"/>
  <c r="Q201" i="17"/>
  <c r="Q203" i="17"/>
  <c r="Q205" i="17"/>
  <c r="Q207" i="17"/>
  <c r="Q209" i="17"/>
  <c r="Q211" i="17"/>
  <c r="Q213" i="17"/>
  <c r="Q215" i="17"/>
  <c r="Q217" i="17"/>
  <c r="Q219" i="17"/>
  <c r="Q221" i="17"/>
  <c r="Q223" i="17"/>
  <c r="Q225" i="17"/>
  <c r="Q227" i="17"/>
  <c r="Q229" i="17"/>
  <c r="Q231" i="17"/>
  <c r="Q233" i="17"/>
  <c r="Q235" i="17"/>
  <c r="Q237" i="17"/>
  <c r="Q239" i="17"/>
  <c r="Q241" i="17"/>
  <c r="Q243" i="17"/>
  <c r="Q245" i="17"/>
  <c r="Q247" i="17"/>
  <c r="Q249" i="17"/>
  <c r="Q251" i="17"/>
  <c r="Q253" i="17"/>
  <c r="Q255" i="17"/>
  <c r="Q257" i="17"/>
  <c r="Q259" i="17"/>
  <c r="Q261" i="17"/>
  <c r="Q263" i="17"/>
  <c r="Q265" i="17"/>
  <c r="Q267" i="17"/>
  <c r="Q269" i="17"/>
  <c r="Q271" i="17"/>
  <c r="Q273" i="17"/>
  <c r="Q275" i="17"/>
  <c r="Q277" i="17"/>
  <c r="Q279" i="17"/>
  <c r="Q281" i="17"/>
  <c r="Q283" i="17"/>
  <c r="Q285" i="17"/>
  <c r="Q287" i="17"/>
  <c r="Q15" i="17"/>
  <c r="Q27" i="17"/>
  <c r="Q34" i="17"/>
  <c r="Q38" i="17"/>
  <c r="Q42" i="17"/>
  <c r="Q46" i="17"/>
  <c r="Q50" i="17"/>
  <c r="Q54" i="17"/>
  <c r="Q58" i="17"/>
  <c r="Q62" i="17"/>
  <c r="Q66" i="17"/>
  <c r="Q70" i="17"/>
  <c r="Q74" i="17"/>
  <c r="Q78" i="17"/>
  <c r="Q82" i="17"/>
  <c r="Q86" i="17"/>
  <c r="Q90" i="17"/>
  <c r="Q94" i="17"/>
  <c r="Q98" i="17"/>
  <c r="Q102" i="17"/>
  <c r="Q106" i="17"/>
  <c r="Q110" i="17"/>
  <c r="Q114" i="17"/>
  <c r="Q118" i="17"/>
  <c r="Q122" i="17"/>
  <c r="Q126" i="17"/>
  <c r="Q130" i="17"/>
  <c r="Q134" i="17"/>
  <c r="Q138" i="17"/>
  <c r="Q142" i="17"/>
  <c r="Q146" i="17"/>
  <c r="Q150" i="17"/>
  <c r="Q154" i="17"/>
  <c r="Q158" i="17"/>
  <c r="Q162" i="17"/>
  <c r="Q166" i="17"/>
  <c r="Q170" i="17"/>
  <c r="Q174" i="17"/>
  <c r="Q178" i="17"/>
  <c r="Q182" i="17"/>
  <c r="Q186" i="17"/>
  <c r="Q190" i="17"/>
  <c r="Q194" i="17"/>
  <c r="Q198" i="17"/>
  <c r="Q202" i="17"/>
  <c r="Q206" i="17"/>
  <c r="Q210" i="17"/>
  <c r="Q214" i="17"/>
  <c r="Q218" i="17"/>
  <c r="Q222" i="17"/>
  <c r="Q226" i="17"/>
  <c r="Q230" i="17"/>
  <c r="Q234" i="17"/>
  <c r="Q238" i="17"/>
  <c r="Q242" i="17"/>
  <c r="Q246" i="17"/>
  <c r="Q250" i="17"/>
  <c r="Q254" i="17"/>
  <c r="Q258" i="17"/>
  <c r="Q262" i="17"/>
  <c r="Q266" i="17"/>
  <c r="Q270" i="17"/>
  <c r="Q274" i="17"/>
  <c r="Q278" i="17"/>
  <c r="Q282" i="17"/>
  <c r="Q286" i="17"/>
  <c r="Q289" i="17"/>
  <c r="Q291" i="17"/>
  <c r="Q293" i="17"/>
  <c r="Q295" i="17"/>
  <c r="Q297" i="17"/>
  <c r="Q299" i="17"/>
  <c r="Q301" i="17"/>
  <c r="Q303" i="17"/>
  <c r="Q305" i="17"/>
  <c r="Q307" i="17"/>
  <c r="Q309" i="17"/>
  <c r="Q311" i="17"/>
  <c r="Q313" i="17"/>
  <c r="Q315" i="17"/>
  <c r="Q317" i="17"/>
  <c r="Q319" i="17"/>
  <c r="Q321" i="17"/>
  <c r="Q323" i="17"/>
  <c r="Q325" i="17"/>
  <c r="Q327" i="17"/>
  <c r="Q329" i="17"/>
  <c r="Q331" i="17"/>
  <c r="Q333" i="17"/>
  <c r="Q335" i="17"/>
  <c r="Q337" i="17"/>
  <c r="Q339" i="17"/>
  <c r="Q341" i="17"/>
  <c r="Q343" i="17"/>
  <c r="Q345" i="17"/>
  <c r="Q347" i="17"/>
  <c r="Q349" i="17"/>
  <c r="Q351" i="17"/>
  <c r="Q353" i="17"/>
  <c r="Q355" i="17"/>
  <c r="Q357" i="17"/>
  <c r="Q359" i="17"/>
  <c r="Q361" i="17"/>
  <c r="Q363" i="17"/>
  <c r="Q365" i="17"/>
  <c r="Q367" i="17"/>
  <c r="Q369" i="17"/>
  <c r="Q371" i="17"/>
  <c r="Q373" i="17"/>
  <c r="Q375" i="17"/>
  <c r="Q377" i="17"/>
  <c r="Q379" i="17"/>
  <c r="Q378" i="17"/>
  <c r="Q374" i="17"/>
  <c r="Q370" i="17"/>
  <c r="Q366" i="17"/>
  <c r="Q362" i="17"/>
  <c r="Q358" i="17"/>
  <c r="Q354" i="17"/>
  <c r="Q350" i="17"/>
  <c r="Q346" i="17"/>
  <c r="Q342" i="17"/>
  <c r="Q338" i="17"/>
  <c r="Q334" i="17"/>
  <c r="Q330" i="17"/>
  <c r="Q326" i="17"/>
  <c r="Q322" i="17"/>
  <c r="Q318" i="17"/>
  <c r="Q314" i="17"/>
  <c r="Q310" i="17"/>
  <c r="Q306" i="17"/>
  <c r="Q302" i="17"/>
  <c r="Q298" i="17"/>
  <c r="Q294" i="17"/>
  <c r="Q290" i="17"/>
  <c r="Q284" i="17"/>
  <c r="Q276" i="17"/>
  <c r="Q268" i="17"/>
  <c r="Q260" i="17"/>
  <c r="Q252" i="17"/>
  <c r="Q244" i="17"/>
  <c r="Q236" i="17"/>
  <c r="Q228" i="17"/>
  <c r="Q220" i="17"/>
  <c r="Q212" i="17"/>
  <c r="Q204" i="17"/>
  <c r="Q196" i="17"/>
  <c r="Q188" i="17"/>
  <c r="Q180" i="17"/>
  <c r="Q172" i="17"/>
  <c r="Q164" i="17"/>
  <c r="Q156" i="17"/>
  <c r="Q148" i="17"/>
  <c r="Q140" i="17"/>
  <c r="Q132" i="17"/>
  <c r="Q124" i="17"/>
  <c r="Q116" i="17"/>
  <c r="Q108" i="17"/>
  <c r="Q100" i="17"/>
  <c r="Q92" i="17"/>
  <c r="Q84" i="17"/>
  <c r="Q76" i="17"/>
  <c r="Q68" i="17"/>
  <c r="Q60" i="17"/>
  <c r="Q52" i="17"/>
  <c r="Q44" i="17"/>
  <c r="Q36" i="17"/>
  <c r="Q23" i="17"/>
  <c r="F266" i="16"/>
  <c r="O381" i="23"/>
  <c r="O382" i="23"/>
  <c r="O383" i="23"/>
  <c r="L42" i="19" s="1"/>
  <c r="AC383" i="22"/>
  <c r="AC381" i="22"/>
  <c r="AC382" i="22"/>
  <c r="F172" i="16"/>
  <c r="N61" i="19"/>
  <c r="F383" i="1"/>
  <c r="F382" i="1"/>
  <c r="F381" i="1"/>
  <c r="AK10" i="1"/>
  <c r="AK12" i="1" s="1"/>
  <c r="AK13" i="1" s="1"/>
  <c r="F9" i="1"/>
  <c r="AM10" i="1"/>
  <c r="AA379" i="1"/>
  <c r="AL9" i="1" s="1"/>
  <c r="G379" i="1"/>
  <c r="BW379" i="6" s="1"/>
  <c r="I379" i="1"/>
  <c r="H379" i="15" s="1"/>
  <c r="AC382" i="23"/>
  <c r="AC381" i="23"/>
  <c r="AC383" i="23"/>
  <c r="Q32" i="17"/>
  <c r="Q30" i="17"/>
  <c r="Q28" i="17"/>
  <c r="Q26" i="17"/>
  <c r="Q24" i="17"/>
  <c r="Q22" i="17"/>
  <c r="Q20" i="17"/>
  <c r="Q16" i="17"/>
  <c r="Q19" i="17"/>
  <c r="Q18" i="17"/>
  <c r="O382" i="22"/>
  <c r="O383" i="22"/>
  <c r="O381" i="22"/>
  <c r="L382" i="23"/>
  <c r="L381" i="23"/>
  <c r="L383" i="23"/>
  <c r="L379" i="24"/>
  <c r="B43" i="19" s="1"/>
  <c r="K379" i="24"/>
  <c r="AB379" i="24"/>
  <c r="X379" i="24"/>
  <c r="AJ379" i="24"/>
  <c r="AK379" i="24"/>
  <c r="O379" i="24"/>
  <c r="C43" i="19" s="1"/>
  <c r="AC379" i="24"/>
  <c r="J171" i="15"/>
  <c r="I171" i="15"/>
  <c r="I358" i="15"/>
  <c r="J358" i="15"/>
  <c r="AE378" i="17"/>
  <c r="AE376" i="17"/>
  <c r="AE374" i="17"/>
  <c r="AE372" i="17"/>
  <c r="AE370" i="17"/>
  <c r="AE368" i="17"/>
  <c r="AE366" i="17"/>
  <c r="AE364" i="17"/>
  <c r="AE362" i="17"/>
  <c r="AE360" i="17"/>
  <c r="AE358" i="17"/>
  <c r="AE356" i="17"/>
  <c r="AE354" i="17"/>
  <c r="AE352" i="17"/>
  <c r="AE350" i="17"/>
  <c r="AE348" i="17"/>
  <c r="AE346" i="17"/>
  <c r="AE344" i="17"/>
  <c r="AE342" i="17"/>
  <c r="AE340" i="17"/>
  <c r="AE338" i="17"/>
  <c r="AE336" i="17"/>
  <c r="AE334" i="17"/>
  <c r="AE332" i="17"/>
  <c r="AE330" i="17"/>
  <c r="AE328" i="17"/>
  <c r="AE326" i="17"/>
  <c r="AE324" i="17"/>
  <c r="AE322" i="17"/>
  <c r="AE320" i="17"/>
  <c r="AE318" i="17"/>
  <c r="AE316" i="17"/>
  <c r="AE314" i="17"/>
  <c r="AE312" i="17"/>
  <c r="AE310" i="17"/>
  <c r="AE308" i="17"/>
  <c r="AE306" i="17"/>
  <c r="AE304" i="17"/>
  <c r="AE302" i="17"/>
  <c r="AE300" i="17"/>
  <c r="AE298" i="17"/>
  <c r="AE296" i="17"/>
  <c r="AE294" i="17"/>
  <c r="AE292" i="17"/>
  <c r="AE290" i="17"/>
  <c r="AE288" i="17"/>
  <c r="AE286" i="17"/>
  <c r="AE284" i="17"/>
  <c r="AE282" i="17"/>
  <c r="AE280" i="17"/>
  <c r="AE278" i="17"/>
  <c r="AE276" i="17"/>
  <c r="AE274" i="17"/>
  <c r="AE272" i="17"/>
  <c r="AE270" i="17"/>
  <c r="AE268" i="17"/>
  <c r="AE266" i="17"/>
  <c r="AE264" i="17"/>
  <c r="AE262" i="17"/>
  <c r="AE260" i="17"/>
  <c r="AE258" i="17"/>
  <c r="AE256" i="17"/>
  <c r="AE254" i="17"/>
  <c r="AE252" i="17"/>
  <c r="AE250" i="17"/>
  <c r="AE248" i="17"/>
  <c r="AE246" i="17"/>
  <c r="AE244" i="17"/>
  <c r="AE242" i="17"/>
  <c r="AE240" i="17"/>
  <c r="AE238" i="17"/>
  <c r="AE236" i="17"/>
  <c r="AE234" i="17"/>
  <c r="AE232" i="17"/>
  <c r="AE230" i="17"/>
  <c r="AE228" i="17"/>
  <c r="AE226" i="17"/>
  <c r="AE224" i="17"/>
  <c r="AE222" i="17"/>
  <c r="AE220" i="17"/>
  <c r="AE218" i="17"/>
  <c r="AE216" i="17"/>
  <c r="AE214" i="17"/>
  <c r="AE212" i="17"/>
  <c r="AE210" i="17"/>
  <c r="AE208" i="17"/>
  <c r="AE206" i="17"/>
  <c r="AE204" i="17"/>
  <c r="AE202" i="17"/>
  <c r="AE200" i="17"/>
  <c r="AE198" i="17"/>
  <c r="AE196" i="17"/>
  <c r="AE194" i="17"/>
  <c r="AE192" i="17"/>
  <c r="AE190" i="17"/>
  <c r="AE188" i="17"/>
  <c r="AE186" i="17"/>
  <c r="AE184" i="17"/>
  <c r="AE182" i="17"/>
  <c r="AE180" i="17"/>
  <c r="AE178" i="17"/>
  <c r="AE176" i="17"/>
  <c r="AE174" i="17"/>
  <c r="AE172" i="17"/>
  <c r="AE170" i="17"/>
  <c r="AE168" i="17"/>
  <c r="AE166" i="17"/>
  <c r="AE164" i="17"/>
  <c r="AE162" i="17"/>
  <c r="AE160" i="17"/>
  <c r="AE158" i="17"/>
  <c r="AE156" i="17"/>
  <c r="AE154" i="17"/>
  <c r="AE152" i="17"/>
  <c r="AE150" i="17"/>
  <c r="AE148" i="17"/>
  <c r="AE146" i="17"/>
  <c r="AE144" i="17"/>
  <c r="AE142" i="17"/>
  <c r="AE140" i="17"/>
  <c r="AE138" i="17"/>
  <c r="AE136" i="17"/>
  <c r="AE134" i="17"/>
  <c r="AE132" i="17"/>
  <c r="AE130" i="17"/>
  <c r="AE128" i="17"/>
  <c r="AE126" i="17"/>
  <c r="AE124" i="17"/>
  <c r="AE122" i="17"/>
  <c r="AE120" i="17"/>
  <c r="AE118" i="17"/>
  <c r="AE116" i="17"/>
  <c r="AE114" i="17"/>
  <c r="AE112" i="17"/>
  <c r="AE110" i="17"/>
  <c r="AE108" i="17"/>
  <c r="AE106" i="17"/>
  <c r="AE104" i="17"/>
  <c r="AE102" i="17"/>
  <c r="AE100" i="17"/>
  <c r="AE98" i="17"/>
  <c r="AE96" i="17"/>
  <c r="AE94" i="17"/>
  <c r="AE92" i="17"/>
  <c r="AE90" i="17"/>
  <c r="AE88" i="17"/>
  <c r="AE86" i="17"/>
  <c r="AE84" i="17"/>
  <c r="AE82" i="17"/>
  <c r="AE80" i="17"/>
  <c r="AE78" i="17"/>
  <c r="AE76" i="17"/>
  <c r="AE74" i="17"/>
  <c r="AE72" i="17"/>
  <c r="AE70" i="17"/>
  <c r="AE68" i="17"/>
  <c r="AE66" i="17"/>
  <c r="AE64" i="17"/>
  <c r="AE62" i="17"/>
  <c r="AE60" i="17"/>
  <c r="AE58" i="17"/>
  <c r="AE56" i="17"/>
  <c r="AE54" i="17"/>
  <c r="AE52" i="17"/>
  <c r="AE50" i="17"/>
  <c r="AE48" i="17"/>
  <c r="AE46" i="17"/>
  <c r="AE44" i="17"/>
  <c r="AE42" i="17"/>
  <c r="AE40" i="17"/>
  <c r="AE38" i="17"/>
  <c r="AE36" i="17"/>
  <c r="AE34" i="17"/>
  <c r="AE32" i="17"/>
  <c r="AE30" i="17"/>
  <c r="AE28" i="17"/>
  <c r="AE26" i="17"/>
  <c r="AE24" i="17"/>
  <c r="AE22" i="17"/>
  <c r="AE20" i="17"/>
  <c r="AE19" i="17"/>
  <c r="AE17" i="17"/>
  <c r="AM9" i="22"/>
  <c r="AM5" i="22"/>
  <c r="AK5" i="22"/>
  <c r="AM7" i="22"/>
  <c r="AM11" i="22" s="1"/>
  <c r="AK9" i="22"/>
  <c r="AK7" i="22"/>
  <c r="AK11" i="22" s="1"/>
  <c r="L382" i="22"/>
  <c r="L381" i="22"/>
  <c r="L383" i="22"/>
  <c r="I197" i="15"/>
  <c r="J197" i="15"/>
  <c r="I141" i="16"/>
  <c r="I324" i="15"/>
  <c r="J324" i="15"/>
  <c r="I227" i="15"/>
  <c r="J227" i="15"/>
  <c r="I51" i="15"/>
  <c r="J51" i="15"/>
  <c r="AD381" i="15"/>
  <c r="AD382" i="15"/>
  <c r="AD383" i="15"/>
  <c r="P383" i="15"/>
  <c r="P381" i="15"/>
  <c r="V15" i="15"/>
  <c r="F15" i="15" s="1"/>
  <c r="P382" i="15"/>
  <c r="F228" i="16"/>
  <c r="X378" i="25"/>
  <c r="L378" i="25"/>
  <c r="AB378" i="25"/>
  <c r="AJ378" i="25"/>
  <c r="K378" i="25"/>
  <c r="A379" i="25"/>
  <c r="A380" i="25" s="1"/>
  <c r="AK378" i="25"/>
  <c r="O378" i="25"/>
  <c r="AC378" i="25"/>
  <c r="AE379" i="17"/>
  <c r="AE12" i="18" s="1"/>
  <c r="AE377" i="17"/>
  <c r="AE375" i="17"/>
  <c r="AE373" i="17"/>
  <c r="AE371" i="17"/>
  <c r="AE369" i="17"/>
  <c r="AE367" i="17"/>
  <c r="AE365" i="17"/>
  <c r="AE363" i="17"/>
  <c r="AE361" i="17"/>
  <c r="AE359" i="17"/>
  <c r="AE357" i="17"/>
  <c r="AE355" i="17"/>
  <c r="AE353" i="17"/>
  <c r="AE351" i="17"/>
  <c r="AE349" i="17"/>
  <c r="AE347" i="17"/>
  <c r="AE345" i="17"/>
  <c r="AE343" i="17"/>
  <c r="AE341" i="17"/>
  <c r="AE339" i="17"/>
  <c r="AE337" i="17"/>
  <c r="AE335" i="17"/>
  <c r="AE333" i="17"/>
  <c r="AE331" i="17"/>
  <c r="AE329" i="17"/>
  <c r="AE327" i="17"/>
  <c r="AE325" i="17"/>
  <c r="AE323" i="17"/>
  <c r="AE321" i="17"/>
  <c r="AE319" i="17"/>
  <c r="AE317" i="17"/>
  <c r="AE315" i="17"/>
  <c r="AE313" i="17"/>
  <c r="AE311" i="17"/>
  <c r="AE309" i="17"/>
  <c r="AE307" i="17"/>
  <c r="AE305" i="17"/>
  <c r="AE303" i="17"/>
  <c r="AE301" i="17"/>
  <c r="AE299" i="17"/>
  <c r="AE297" i="17"/>
  <c r="AE295" i="17"/>
  <c r="AE293" i="17"/>
  <c r="AE291" i="17"/>
  <c r="AE289" i="17"/>
  <c r="AE287" i="17"/>
  <c r="AE285" i="17"/>
  <c r="AE283" i="17"/>
  <c r="AE281" i="17"/>
  <c r="AE279" i="17"/>
  <c r="AE277" i="17"/>
  <c r="AE275" i="17"/>
  <c r="AE273" i="17"/>
  <c r="AE271" i="17"/>
  <c r="AE269" i="17"/>
  <c r="AE267" i="17"/>
  <c r="AE265" i="17"/>
  <c r="AE263" i="17"/>
  <c r="AE261" i="17"/>
  <c r="AE259" i="17"/>
  <c r="AE257" i="17"/>
  <c r="AE255" i="17"/>
  <c r="AE253" i="17"/>
  <c r="AE251" i="17"/>
  <c r="AE249" i="17"/>
  <c r="AE247" i="17"/>
  <c r="AE245" i="17"/>
  <c r="AE243" i="17"/>
  <c r="AE241" i="17"/>
  <c r="AE239" i="17"/>
  <c r="AE237" i="17"/>
  <c r="AE235" i="17"/>
  <c r="AE233" i="17"/>
  <c r="AE231" i="17"/>
  <c r="AE229" i="17"/>
  <c r="AE227" i="17"/>
  <c r="AE225" i="17"/>
  <c r="AE223" i="17"/>
  <c r="AE221" i="17"/>
  <c r="AE219" i="17"/>
  <c r="AE217" i="17"/>
  <c r="AE215" i="17"/>
  <c r="AE213" i="17"/>
  <c r="AE211" i="17"/>
  <c r="AE209" i="17"/>
  <c r="AE207" i="17"/>
  <c r="AE205" i="17"/>
  <c r="AE203" i="17"/>
  <c r="AE201" i="17"/>
  <c r="AE199" i="17"/>
  <c r="AE197" i="17"/>
  <c r="AE195" i="17"/>
  <c r="AE193" i="17"/>
  <c r="AE191" i="17"/>
  <c r="AE189" i="17"/>
  <c r="AE187" i="17"/>
  <c r="AE185" i="17"/>
  <c r="AE183" i="17"/>
  <c r="AE181" i="17"/>
  <c r="AE179" i="17"/>
  <c r="AE177" i="17"/>
  <c r="AE175" i="17"/>
  <c r="AE173" i="17"/>
  <c r="AE171" i="17"/>
  <c r="AE169" i="17"/>
  <c r="AE167" i="17"/>
  <c r="AE165" i="17"/>
  <c r="AE163" i="17"/>
  <c r="AE161" i="17"/>
  <c r="AE159" i="17"/>
  <c r="AE157" i="17"/>
  <c r="AE155" i="17"/>
  <c r="AE153" i="17"/>
  <c r="AE151" i="17"/>
  <c r="AE149" i="17"/>
  <c r="AE147" i="17"/>
  <c r="AE145" i="17"/>
  <c r="AE143" i="17"/>
  <c r="AE141" i="17"/>
  <c r="AE139" i="17"/>
  <c r="AE137" i="17"/>
  <c r="AE135" i="17"/>
  <c r="AE133" i="17"/>
  <c r="AE131" i="17"/>
  <c r="AE129" i="17"/>
  <c r="AE127" i="17"/>
  <c r="AE125" i="17"/>
  <c r="AE123" i="17"/>
  <c r="AE121" i="17"/>
  <c r="AE119" i="17"/>
  <c r="AE117" i="17"/>
  <c r="AE115" i="17"/>
  <c r="AE113" i="17"/>
  <c r="AE111" i="17"/>
  <c r="AE109" i="17"/>
  <c r="AE107" i="17"/>
  <c r="AE105" i="17"/>
  <c r="AE103" i="17"/>
  <c r="AE101" i="17"/>
  <c r="AE99" i="17"/>
  <c r="AE97" i="17"/>
  <c r="AE95" i="17"/>
  <c r="AE93" i="17"/>
  <c r="AE91" i="17"/>
  <c r="AE89" i="17"/>
  <c r="AE87" i="17"/>
  <c r="AE85" i="17"/>
  <c r="AE83" i="17"/>
  <c r="AE81" i="17"/>
  <c r="AE79" i="17"/>
  <c r="AE77" i="17"/>
  <c r="AE75" i="17"/>
  <c r="AE73" i="17"/>
  <c r="AE71" i="17"/>
  <c r="AE69" i="17"/>
  <c r="AE67" i="17"/>
  <c r="AE65" i="17"/>
  <c r="AE63" i="17"/>
  <c r="AE61" i="17"/>
  <c r="AE59" i="17"/>
  <c r="AE57" i="17"/>
  <c r="AE55" i="17"/>
  <c r="AE53" i="17"/>
  <c r="AE51" i="17"/>
  <c r="AE49" i="17"/>
  <c r="AE47" i="17"/>
  <c r="AE45" i="17"/>
  <c r="AE43" i="17"/>
  <c r="AE41" i="17"/>
  <c r="AE39" i="17"/>
  <c r="AE37" i="17"/>
  <c r="AE35" i="17"/>
  <c r="AE33" i="17"/>
  <c r="AE31" i="17"/>
  <c r="AE29" i="17"/>
  <c r="AE27" i="17"/>
  <c r="AE25" i="17"/>
  <c r="AE23" i="17"/>
  <c r="AE21" i="17"/>
  <c r="AE16" i="17"/>
  <c r="AE15" i="17"/>
  <c r="AE18" i="17"/>
  <c r="I264" i="15"/>
  <c r="J264" i="15"/>
  <c r="J135" i="16"/>
  <c r="I135" i="16"/>
  <c r="F37" i="16" l="1"/>
  <c r="F173" i="16"/>
  <c r="G173" i="16" s="1"/>
  <c r="BY173" i="6" s="1"/>
  <c r="F212" i="16"/>
  <c r="G212" i="16" s="1"/>
  <c r="BY212" i="6" s="1"/>
  <c r="F103" i="16"/>
  <c r="AA103" i="16" s="1"/>
  <c r="Z103" i="16" s="1"/>
  <c r="Y103" i="16" s="1"/>
  <c r="F308" i="16"/>
  <c r="H271" i="16"/>
  <c r="J271" i="16" s="1"/>
  <c r="F237" i="16"/>
  <c r="F305" i="16"/>
  <c r="G305" i="16" s="1"/>
  <c r="BY305" i="6" s="1"/>
  <c r="F101" i="16"/>
  <c r="H101" i="16" s="1"/>
  <c r="I101" i="16" s="1"/>
  <c r="D46" i="7"/>
  <c r="F213" i="16"/>
  <c r="F185" i="16"/>
  <c r="G185" i="16" s="1"/>
  <c r="BY185" i="6" s="1"/>
  <c r="F25" i="16"/>
  <c r="AA297" i="16"/>
  <c r="Z297" i="16" s="1"/>
  <c r="Y297" i="16" s="1"/>
  <c r="F337" i="16"/>
  <c r="G337" i="16" s="1"/>
  <c r="BY337" i="6" s="1"/>
  <c r="F254" i="16"/>
  <c r="G254" i="16" s="1"/>
  <c r="BY254" i="6" s="1"/>
  <c r="F30" i="16"/>
  <c r="G30" i="16" s="1"/>
  <c r="BY30" i="6" s="1"/>
  <c r="F118" i="16"/>
  <c r="H118" i="16" s="1"/>
  <c r="I118" i="16" s="1"/>
  <c r="F70" i="16"/>
  <c r="H70" i="16" s="1"/>
  <c r="F275" i="16"/>
  <c r="H275" i="16" s="1"/>
  <c r="J275" i="16" s="1"/>
  <c r="F21" i="16"/>
  <c r="G21" i="16" s="1"/>
  <c r="BY21" i="6" s="1"/>
  <c r="F342" i="16"/>
  <c r="H342" i="16" s="1"/>
  <c r="J342" i="16" s="1"/>
  <c r="F217" i="16"/>
  <c r="G217" i="16" s="1"/>
  <c r="BY217" i="6" s="1"/>
  <c r="F238" i="16"/>
  <c r="AA238" i="16" s="1"/>
  <c r="Z238" i="16" s="1"/>
  <c r="Y238" i="16" s="1"/>
  <c r="F376" i="16"/>
  <c r="G376" i="16" s="1"/>
  <c r="BY376" i="6" s="1"/>
  <c r="AA141" i="16"/>
  <c r="Z141" i="16" s="1"/>
  <c r="Y141" i="16" s="1"/>
  <c r="AA121" i="16"/>
  <c r="Z121" i="16" s="1"/>
  <c r="Y121" i="16" s="1"/>
  <c r="F125" i="16"/>
  <c r="G125" i="16" s="1"/>
  <c r="BY125" i="6" s="1"/>
  <c r="AA322" i="16"/>
  <c r="Z322" i="16" s="1"/>
  <c r="Y322" i="16" s="1"/>
  <c r="AA237" i="16"/>
  <c r="Z237" i="16" s="1"/>
  <c r="Y237" i="16" s="1"/>
  <c r="AA270" i="16"/>
  <c r="Z270" i="16" s="1"/>
  <c r="Y270" i="16" s="1"/>
  <c r="F54" i="16"/>
  <c r="AA54" i="16" s="1"/>
  <c r="Z54" i="16" s="1"/>
  <c r="Y54" i="16" s="1"/>
  <c r="H206" i="16"/>
  <c r="I206" i="16" s="1"/>
  <c r="F88" i="16"/>
  <c r="AA88" i="16" s="1"/>
  <c r="Z88" i="16" s="1"/>
  <c r="Y88" i="16" s="1"/>
  <c r="F36" i="16"/>
  <c r="H36" i="16" s="1"/>
  <c r="I36" i="16" s="1"/>
  <c r="F123" i="16"/>
  <c r="H123" i="16" s="1"/>
  <c r="J123" i="16" s="1"/>
  <c r="G147" i="16"/>
  <c r="BY147" i="6" s="1"/>
  <c r="G98" i="16"/>
  <c r="BY98" i="6" s="1"/>
  <c r="H313" i="16"/>
  <c r="I313" i="16" s="1"/>
  <c r="AA98" i="16"/>
  <c r="Z98" i="16" s="1"/>
  <c r="Y98" i="16" s="1"/>
  <c r="H289" i="16"/>
  <c r="I289" i="16" s="1"/>
  <c r="AA208" i="16"/>
  <c r="Z208" i="16" s="1"/>
  <c r="Y208" i="16" s="1"/>
  <c r="G208" i="16"/>
  <c r="BY208" i="6" s="1"/>
  <c r="G297" i="16"/>
  <c r="BY297" i="6" s="1"/>
  <c r="AA287" i="16"/>
  <c r="Z287" i="16" s="1"/>
  <c r="Y287" i="16" s="1"/>
  <c r="J208" i="16"/>
  <c r="AA83" i="16"/>
  <c r="Z83" i="16" s="1"/>
  <c r="Y83" i="16" s="1"/>
  <c r="H287" i="16"/>
  <c r="I287" i="16" s="1"/>
  <c r="H303" i="16"/>
  <c r="I303" i="16" s="1"/>
  <c r="AA262" i="16"/>
  <c r="Z262" i="16" s="1"/>
  <c r="Y262" i="16" s="1"/>
  <c r="AA67" i="16"/>
  <c r="Z67" i="16" s="1"/>
  <c r="Y67" i="16" s="1"/>
  <c r="F112" i="16"/>
  <c r="AA112" i="16" s="1"/>
  <c r="Z112" i="16" s="1"/>
  <c r="Y112" i="16" s="1"/>
  <c r="F40" i="16"/>
  <c r="G40" i="16" s="1"/>
  <c r="BY40" i="6" s="1"/>
  <c r="F139" i="16"/>
  <c r="AA139" i="16" s="1"/>
  <c r="Z139" i="16" s="1"/>
  <c r="Y139" i="16" s="1"/>
  <c r="F184" i="16"/>
  <c r="AA184" i="16" s="1"/>
  <c r="Z184" i="16" s="1"/>
  <c r="Y184" i="16" s="1"/>
  <c r="F374" i="16"/>
  <c r="G374" i="16" s="1"/>
  <c r="BY374" i="6" s="1"/>
  <c r="F274" i="16"/>
  <c r="G274" i="16" s="1"/>
  <c r="BY274" i="6" s="1"/>
  <c r="H83" i="16"/>
  <c r="J83" i="16" s="1"/>
  <c r="G178" i="16"/>
  <c r="BY178" i="6" s="1"/>
  <c r="H307" i="16"/>
  <c r="J307" i="16" s="1"/>
  <c r="F33" i="16"/>
  <c r="H33" i="16" s="1"/>
  <c r="J33" i="16" s="1"/>
  <c r="F278" i="16"/>
  <c r="G278" i="16" s="1"/>
  <c r="BY278" i="6" s="1"/>
  <c r="AA178" i="16"/>
  <c r="Z178" i="16" s="1"/>
  <c r="Y178" i="16" s="1"/>
  <c r="AA307" i="16"/>
  <c r="Z307" i="16" s="1"/>
  <c r="Y307" i="16" s="1"/>
  <c r="AA289" i="16"/>
  <c r="Z289" i="16" s="1"/>
  <c r="Y289" i="16" s="1"/>
  <c r="AA90" i="16"/>
  <c r="Z90" i="16" s="1"/>
  <c r="Y90" i="16" s="1"/>
  <c r="AA214" i="16"/>
  <c r="Z214" i="16" s="1"/>
  <c r="Y214" i="16" s="1"/>
  <c r="Q12" i="18"/>
  <c r="AA15" i="7" s="1"/>
  <c r="AA161" i="16"/>
  <c r="Z161" i="16" s="1"/>
  <c r="Y161" i="16" s="1"/>
  <c r="AA321" i="16"/>
  <c r="Z321" i="16" s="1"/>
  <c r="Y321" i="16" s="1"/>
  <c r="AA198" i="16"/>
  <c r="Z198" i="16" s="1"/>
  <c r="Y198" i="16" s="1"/>
  <c r="G362" i="16"/>
  <c r="BY362" i="6" s="1"/>
  <c r="AA230" i="16"/>
  <c r="Z230" i="16" s="1"/>
  <c r="Y230" i="16" s="1"/>
  <c r="AA362" i="16"/>
  <c r="Z362" i="16" s="1"/>
  <c r="Y362" i="16" s="1"/>
  <c r="AA359" i="16"/>
  <c r="Z359" i="16" s="1"/>
  <c r="Y359" i="16" s="1"/>
  <c r="AA353" i="16"/>
  <c r="Z353" i="16" s="1"/>
  <c r="Y353" i="16" s="1"/>
  <c r="U10" i="17"/>
  <c r="H318" i="16"/>
  <c r="J318" i="16" s="1"/>
  <c r="AA254" i="16"/>
  <c r="Z254" i="16" s="1"/>
  <c r="Y254" i="16" s="1"/>
  <c r="AA355" i="16"/>
  <c r="Z355" i="16" s="1"/>
  <c r="Y355" i="16" s="1"/>
  <c r="AA265" i="16"/>
  <c r="Z265" i="16" s="1"/>
  <c r="Y265" i="16" s="1"/>
  <c r="H129" i="16"/>
  <c r="I129" i="16" s="1"/>
  <c r="H359" i="16"/>
  <c r="I359" i="16" s="1"/>
  <c r="AA131" i="16"/>
  <c r="Z131" i="16" s="1"/>
  <c r="Y131" i="16" s="1"/>
  <c r="H335" i="16"/>
  <c r="I335" i="16" s="1"/>
  <c r="J355" i="16"/>
  <c r="H249" i="16"/>
  <c r="J249" i="16" s="1"/>
  <c r="G273" i="16"/>
  <c r="BY273" i="6" s="1"/>
  <c r="H81" i="16"/>
  <c r="I81" i="16" s="1"/>
  <c r="AA318" i="16"/>
  <c r="Z318" i="16" s="1"/>
  <c r="Y318" i="16" s="1"/>
  <c r="G198" i="16"/>
  <c r="BY198" i="6" s="1"/>
  <c r="G355" i="16"/>
  <c r="BY355" i="6" s="1"/>
  <c r="J284" i="16"/>
  <c r="H279" i="16"/>
  <c r="J279" i="16" s="1"/>
  <c r="H211" i="16"/>
  <c r="I211" i="16" s="1"/>
  <c r="AA200" i="16"/>
  <c r="Z200" i="16" s="1"/>
  <c r="Y200" i="16" s="1"/>
  <c r="AA302" i="16"/>
  <c r="Z302" i="16" s="1"/>
  <c r="Y302" i="16" s="1"/>
  <c r="H365" i="16"/>
  <c r="J365" i="16" s="1"/>
  <c r="J246" i="16"/>
  <c r="AA221" i="16"/>
  <c r="Z221" i="16" s="1"/>
  <c r="Y221" i="16" s="1"/>
  <c r="H133" i="16"/>
  <c r="J133" i="16" s="1"/>
  <c r="AA245" i="16"/>
  <c r="Z245" i="16" s="1"/>
  <c r="Y245" i="16" s="1"/>
  <c r="G221" i="16"/>
  <c r="BY221" i="6" s="1"/>
  <c r="AA133" i="16"/>
  <c r="Z133" i="16" s="1"/>
  <c r="Y133" i="16" s="1"/>
  <c r="H270" i="16"/>
  <c r="I270" i="16" s="1"/>
  <c r="H200" i="16"/>
  <c r="J200" i="16" s="1"/>
  <c r="AA155" i="16"/>
  <c r="Z155" i="16" s="1"/>
  <c r="Y155" i="16" s="1"/>
  <c r="G230" i="16"/>
  <c r="BY230" i="6" s="1"/>
  <c r="AA246" i="16"/>
  <c r="Z246" i="16" s="1"/>
  <c r="Y246" i="16" s="1"/>
  <c r="AA367" i="16"/>
  <c r="Z367" i="16" s="1"/>
  <c r="Y367" i="16" s="1"/>
  <c r="G353" i="16"/>
  <c r="BY353" i="6" s="1"/>
  <c r="D37" i="19"/>
  <c r="J242" i="16"/>
  <c r="H51" i="16"/>
  <c r="I51" i="16" s="1"/>
  <c r="H227" i="16"/>
  <c r="I227" i="16" s="1"/>
  <c r="I369" i="16"/>
  <c r="G214" i="16"/>
  <c r="BY214" i="6" s="1"/>
  <c r="AA62" i="16"/>
  <c r="Z62" i="16" s="1"/>
  <c r="Y62" i="16" s="1"/>
  <c r="F78" i="16"/>
  <c r="G78" i="16" s="1"/>
  <c r="BY78" i="6" s="1"/>
  <c r="AA197" i="16"/>
  <c r="Z197" i="16" s="1"/>
  <c r="Y197" i="16" s="1"/>
  <c r="F52" i="16"/>
  <c r="G52" i="16" s="1"/>
  <c r="BY52" i="6" s="1"/>
  <c r="AA199" i="16"/>
  <c r="Z199" i="16" s="1"/>
  <c r="Y199" i="16" s="1"/>
  <c r="AA310" i="16"/>
  <c r="Z310" i="16" s="1"/>
  <c r="Y310" i="16" s="1"/>
  <c r="H311" i="16"/>
  <c r="I311" i="16" s="1"/>
  <c r="AA203" i="16"/>
  <c r="Z203" i="16" s="1"/>
  <c r="Y203" i="16" s="1"/>
  <c r="AA227" i="16"/>
  <c r="Z227" i="16" s="1"/>
  <c r="Y227" i="16" s="1"/>
  <c r="AA235" i="16"/>
  <c r="Z235" i="16" s="1"/>
  <c r="Y235" i="16" s="1"/>
  <c r="H235" i="16"/>
  <c r="J235" i="16" s="1"/>
  <c r="G265" i="16"/>
  <c r="BY265" i="6" s="1"/>
  <c r="H189" i="16"/>
  <c r="I189" i="16" s="1"/>
  <c r="H281" i="16"/>
  <c r="J281" i="16" s="1"/>
  <c r="G193" i="16"/>
  <c r="BY193" i="6" s="1"/>
  <c r="H105" i="16"/>
  <c r="J105" i="16" s="1"/>
  <c r="AA114" i="16"/>
  <c r="Z114" i="16" s="1"/>
  <c r="Y114" i="16" s="1"/>
  <c r="G181" i="16"/>
  <c r="BY181" i="6" s="1"/>
  <c r="G270" i="16"/>
  <c r="BY270" i="6" s="1"/>
  <c r="G364" i="16"/>
  <c r="BY364" i="6" s="1"/>
  <c r="G242" i="16"/>
  <c r="BY242" i="6" s="1"/>
  <c r="H138" i="16"/>
  <c r="J138" i="16" s="1"/>
  <c r="H368" i="16"/>
  <c r="I368" i="16" s="1"/>
  <c r="H163" i="16"/>
  <c r="I163" i="16" s="1"/>
  <c r="G155" i="16"/>
  <c r="BY155" i="6" s="1"/>
  <c r="AA138" i="16"/>
  <c r="Z138" i="16" s="1"/>
  <c r="Y138" i="16" s="1"/>
  <c r="G188" i="16"/>
  <c r="BY188" i="6" s="1"/>
  <c r="AA364" i="16"/>
  <c r="Z364" i="16" s="1"/>
  <c r="Y364" i="16" s="1"/>
  <c r="G19" i="16"/>
  <c r="BY19" i="6" s="1"/>
  <c r="J131" i="16"/>
  <c r="H182" i="16"/>
  <c r="J182" i="16" s="1"/>
  <c r="H114" i="16"/>
  <c r="I114" i="16" s="1"/>
  <c r="AA19" i="16"/>
  <c r="Z19" i="16" s="1"/>
  <c r="Y19" i="16" s="1"/>
  <c r="H371" i="16"/>
  <c r="J371" i="16" s="1"/>
  <c r="H353" i="16"/>
  <c r="I353" i="16" s="1"/>
  <c r="G367" i="16"/>
  <c r="BY367" i="6" s="1"/>
  <c r="H349" i="16"/>
  <c r="J349" i="16" s="1"/>
  <c r="H188" i="16"/>
  <c r="J188" i="16" s="1"/>
  <c r="AA261" i="16"/>
  <c r="Z261" i="16" s="1"/>
  <c r="Y261" i="16" s="1"/>
  <c r="H321" i="16"/>
  <c r="I321" i="16" s="1"/>
  <c r="G90" i="16"/>
  <c r="BY90" i="6" s="1"/>
  <c r="H67" i="16"/>
  <c r="J67" i="16" s="1"/>
  <c r="AA81" i="16"/>
  <c r="Z81" i="16" s="1"/>
  <c r="Y81" i="16" s="1"/>
  <c r="G151" i="16"/>
  <c r="BY151" i="6" s="1"/>
  <c r="AA345" i="16"/>
  <c r="Z345" i="16" s="1"/>
  <c r="Y345" i="16" s="1"/>
  <c r="H90" i="16"/>
  <c r="I90" i="16" s="1"/>
  <c r="H113" i="16"/>
  <c r="I113" i="16" s="1"/>
  <c r="AA279" i="16"/>
  <c r="Z279" i="16" s="1"/>
  <c r="Y279" i="16" s="1"/>
  <c r="F46" i="16"/>
  <c r="G46" i="16" s="1"/>
  <c r="BY46" i="6" s="1"/>
  <c r="AA266" i="16"/>
  <c r="Z266" i="16" s="1"/>
  <c r="Y266" i="16" s="1"/>
  <c r="F48" i="16"/>
  <c r="G48" i="16" s="1"/>
  <c r="BY48" i="6" s="1"/>
  <c r="AA210" i="16"/>
  <c r="Z210" i="16" s="1"/>
  <c r="Y210" i="16" s="1"/>
  <c r="F28" i="16"/>
  <c r="G28" i="16" s="1"/>
  <c r="BY28" i="6" s="1"/>
  <c r="AA374" i="16"/>
  <c r="Z374" i="16" s="1"/>
  <c r="Y374" i="16" s="1"/>
  <c r="AA308" i="16"/>
  <c r="Z308" i="16" s="1"/>
  <c r="Y308" i="16" s="1"/>
  <c r="H283" i="16"/>
  <c r="I283" i="16" s="1"/>
  <c r="H255" i="16"/>
  <c r="I255" i="16" s="1"/>
  <c r="AA181" i="16"/>
  <c r="Z181" i="16" s="1"/>
  <c r="Y181" i="16" s="1"/>
  <c r="AA211" i="16"/>
  <c r="Z211" i="16" s="1"/>
  <c r="Y211" i="16" s="1"/>
  <c r="AA303" i="16"/>
  <c r="Z303" i="16" s="1"/>
  <c r="Y303" i="16" s="1"/>
  <c r="H187" i="16"/>
  <c r="J187" i="16" s="1"/>
  <c r="AA255" i="16"/>
  <c r="Z255" i="16" s="1"/>
  <c r="Y255" i="16" s="1"/>
  <c r="H203" i="16"/>
  <c r="J203" i="16" s="1"/>
  <c r="H286" i="16"/>
  <c r="I286" i="16" s="1"/>
  <c r="H245" i="16"/>
  <c r="I245" i="16" s="1"/>
  <c r="H261" i="16"/>
  <c r="I261" i="16" s="1"/>
  <c r="AA129" i="16"/>
  <c r="Z129" i="16" s="1"/>
  <c r="Y129" i="16" s="1"/>
  <c r="AA368" i="16"/>
  <c r="Z368" i="16" s="1"/>
  <c r="Y368" i="16" s="1"/>
  <c r="AA105" i="16"/>
  <c r="Z105" i="16" s="1"/>
  <c r="Y105" i="16" s="1"/>
  <c r="G284" i="16"/>
  <c r="BY284" i="6" s="1"/>
  <c r="AA286" i="16"/>
  <c r="Z286" i="16" s="1"/>
  <c r="Y286" i="16" s="1"/>
  <c r="AA51" i="16"/>
  <c r="Z51" i="16" s="1"/>
  <c r="Y51" i="16" s="1"/>
  <c r="G131" i="16"/>
  <c r="BY131" i="6" s="1"/>
  <c r="AA206" i="16"/>
  <c r="Z206" i="16" s="1"/>
  <c r="Y206" i="16" s="1"/>
  <c r="G302" i="16"/>
  <c r="BY302" i="6" s="1"/>
  <c r="G246" i="16"/>
  <c r="BY246" i="6" s="1"/>
  <c r="AA369" i="16"/>
  <c r="Z369" i="16" s="1"/>
  <c r="Y369" i="16" s="1"/>
  <c r="H373" i="16"/>
  <c r="I373" i="16" s="1"/>
  <c r="AA349" i="16"/>
  <c r="Z349" i="16" s="1"/>
  <c r="Y349" i="16" s="1"/>
  <c r="AA373" i="16"/>
  <c r="Z373" i="16" s="1"/>
  <c r="Y373" i="16" s="1"/>
  <c r="AA371" i="16"/>
  <c r="Z371" i="16" s="1"/>
  <c r="Y371" i="16" s="1"/>
  <c r="AA365" i="16"/>
  <c r="Z365" i="16" s="1"/>
  <c r="Y365" i="16" s="1"/>
  <c r="AA25" i="16"/>
  <c r="Z25" i="16" s="1"/>
  <c r="Y25" i="16" s="1"/>
  <c r="AA189" i="16"/>
  <c r="Z189" i="16" s="1"/>
  <c r="Y189" i="16" s="1"/>
  <c r="AA163" i="16"/>
  <c r="Z163" i="16" s="1"/>
  <c r="Y163" i="16" s="1"/>
  <c r="AA187" i="16"/>
  <c r="Z187" i="16" s="1"/>
  <c r="Y187" i="16" s="1"/>
  <c r="AA283" i="16"/>
  <c r="Z283" i="16" s="1"/>
  <c r="Y283" i="16" s="1"/>
  <c r="AA284" i="16"/>
  <c r="Z284" i="16" s="1"/>
  <c r="Y284" i="16" s="1"/>
  <c r="AA281" i="16"/>
  <c r="Z281" i="16" s="1"/>
  <c r="Y281" i="16" s="1"/>
  <c r="AA182" i="16"/>
  <c r="Z182" i="16" s="1"/>
  <c r="Y182" i="16" s="1"/>
  <c r="H157" i="16"/>
  <c r="I157" i="16" s="1"/>
  <c r="H277" i="16"/>
  <c r="J277" i="16" s="1"/>
  <c r="G253" i="16"/>
  <c r="BY253" i="6" s="1"/>
  <c r="H225" i="16"/>
  <c r="J225" i="16" s="1"/>
  <c r="G161" i="16"/>
  <c r="BY161" i="6" s="1"/>
  <c r="AA313" i="16"/>
  <c r="Z313" i="16" s="1"/>
  <c r="Y313" i="16" s="1"/>
  <c r="G377" i="16"/>
  <c r="BY377" i="6" s="1"/>
  <c r="H357" i="16"/>
  <c r="J357" i="16" s="1"/>
  <c r="AA167" i="16"/>
  <c r="Z167" i="16" s="1"/>
  <c r="Y167" i="16" s="1"/>
  <c r="H71" i="16"/>
  <c r="I71" i="16" s="1"/>
  <c r="AA213" i="16"/>
  <c r="Z213" i="16" s="1"/>
  <c r="Y213" i="16" s="1"/>
  <c r="AA169" i="16"/>
  <c r="Z169" i="16" s="1"/>
  <c r="Y169" i="16" s="1"/>
  <c r="AA151" i="16"/>
  <c r="Z151" i="16" s="1"/>
  <c r="Y151" i="16" s="1"/>
  <c r="AA311" i="16"/>
  <c r="Z311" i="16" s="1"/>
  <c r="Y311" i="16" s="1"/>
  <c r="I226" i="16"/>
  <c r="AA195" i="16"/>
  <c r="Z195" i="16" s="1"/>
  <c r="Y195" i="16" s="1"/>
  <c r="AA239" i="16"/>
  <c r="Z239" i="16" s="1"/>
  <c r="Y239" i="16" s="1"/>
  <c r="AA225" i="16"/>
  <c r="Z225" i="16" s="1"/>
  <c r="Y225" i="16" s="1"/>
  <c r="G201" i="16"/>
  <c r="BY201" i="6" s="1"/>
  <c r="AA145" i="16"/>
  <c r="Z145" i="16" s="1"/>
  <c r="Y145" i="16" s="1"/>
  <c r="H177" i="16"/>
  <c r="J177" i="16" s="1"/>
  <c r="AA43" i="16"/>
  <c r="Z43" i="16" s="1"/>
  <c r="Y43" i="16" s="1"/>
  <c r="AA165" i="16"/>
  <c r="Z165" i="16" s="1"/>
  <c r="Y165" i="16" s="1"/>
  <c r="H328" i="16"/>
  <c r="I328" i="16" s="1"/>
  <c r="G262" i="16"/>
  <c r="BY262" i="6" s="1"/>
  <c r="AA179" i="16"/>
  <c r="Z179" i="16" s="1"/>
  <c r="Y179" i="16" s="1"/>
  <c r="AA347" i="16"/>
  <c r="Z347" i="16" s="1"/>
  <c r="Y347" i="16" s="1"/>
  <c r="AA94" i="16"/>
  <c r="Z94" i="16" s="1"/>
  <c r="Y94" i="16" s="1"/>
  <c r="AA337" i="16"/>
  <c r="Z337" i="16" s="1"/>
  <c r="Y337" i="16" s="1"/>
  <c r="G315" i="16"/>
  <c r="BY315" i="6" s="1"/>
  <c r="AA71" i="16"/>
  <c r="Z71" i="16" s="1"/>
  <c r="Y71" i="16" s="1"/>
  <c r="H375" i="16"/>
  <c r="J375" i="16" s="1"/>
  <c r="J326" i="16"/>
  <c r="G176" i="16"/>
  <c r="BY176" i="6" s="1"/>
  <c r="F74" i="16"/>
  <c r="AA74" i="16" s="1"/>
  <c r="Z74" i="16" s="1"/>
  <c r="Y74" i="16" s="1"/>
  <c r="H267" i="16"/>
  <c r="I267" i="16" s="1"/>
  <c r="AA223" i="16"/>
  <c r="Z223" i="16" s="1"/>
  <c r="Y223" i="16" s="1"/>
  <c r="AA301" i="16"/>
  <c r="Z301" i="16" s="1"/>
  <c r="Y301" i="16" s="1"/>
  <c r="AA229" i="16"/>
  <c r="Z229" i="16" s="1"/>
  <c r="Y229" i="16" s="1"/>
  <c r="H165" i="16"/>
  <c r="J165" i="16" s="1"/>
  <c r="H223" i="16"/>
  <c r="I223" i="16" s="1"/>
  <c r="G301" i="16"/>
  <c r="BY301" i="6" s="1"/>
  <c r="AA201" i="16"/>
  <c r="Z201" i="16" s="1"/>
  <c r="Y201" i="16" s="1"/>
  <c r="G145" i="16"/>
  <c r="BY145" i="6" s="1"/>
  <c r="AA273" i="16"/>
  <c r="Z273" i="16" s="1"/>
  <c r="Y273" i="16" s="1"/>
  <c r="H229" i="16"/>
  <c r="I229" i="16" s="1"/>
  <c r="G25" i="16"/>
  <c r="BY25" i="6" s="1"/>
  <c r="G117" i="16"/>
  <c r="BY117" i="6" s="1"/>
  <c r="H347" i="16"/>
  <c r="J347" i="16" s="1"/>
  <c r="H337" i="16"/>
  <c r="I337" i="16" s="1"/>
  <c r="AA89" i="16"/>
  <c r="Z89" i="16" s="1"/>
  <c r="Y89" i="16" s="1"/>
  <c r="G226" i="16"/>
  <c r="BY226" i="6" s="1"/>
  <c r="H361" i="16"/>
  <c r="J361" i="16" s="1"/>
  <c r="G345" i="16"/>
  <c r="BY345" i="6" s="1"/>
  <c r="H167" i="16"/>
  <c r="I167" i="16" s="1"/>
  <c r="AA193" i="16"/>
  <c r="Z193" i="16" s="1"/>
  <c r="Y193" i="16" s="1"/>
  <c r="AA377" i="16"/>
  <c r="Z377" i="16" s="1"/>
  <c r="Y377" i="16" s="1"/>
  <c r="AA357" i="16"/>
  <c r="Z357" i="16" s="1"/>
  <c r="Y357" i="16" s="1"/>
  <c r="AA335" i="16"/>
  <c r="Z335" i="16" s="1"/>
  <c r="Y335" i="16" s="1"/>
  <c r="AA57" i="16"/>
  <c r="Z57" i="16" s="1"/>
  <c r="Y57" i="16" s="1"/>
  <c r="AA42" i="16"/>
  <c r="Z42" i="16" s="1"/>
  <c r="Y42" i="16" s="1"/>
  <c r="AA296" i="16"/>
  <c r="Z296" i="16" s="1"/>
  <c r="Y296" i="16" s="1"/>
  <c r="AA267" i="16"/>
  <c r="Z267" i="16" s="1"/>
  <c r="Y267" i="16" s="1"/>
  <c r="AA251" i="16"/>
  <c r="Z251" i="16" s="1"/>
  <c r="Y251" i="16" s="1"/>
  <c r="AA157" i="16"/>
  <c r="Z157" i="16" s="1"/>
  <c r="Y157" i="16" s="1"/>
  <c r="AA253" i="16"/>
  <c r="Z253" i="16" s="1"/>
  <c r="Y253" i="16" s="1"/>
  <c r="H251" i="16"/>
  <c r="J251" i="16" s="1"/>
  <c r="H215" i="16"/>
  <c r="I215" i="16" s="1"/>
  <c r="AA215" i="16"/>
  <c r="Z215" i="16" s="1"/>
  <c r="Y215" i="16" s="1"/>
  <c r="H239" i="16"/>
  <c r="J239" i="16" s="1"/>
  <c r="AA249" i="16"/>
  <c r="Z249" i="16" s="1"/>
  <c r="Y249" i="16" s="1"/>
  <c r="AA277" i="16"/>
  <c r="Z277" i="16" s="1"/>
  <c r="Y277" i="16" s="1"/>
  <c r="AA113" i="16"/>
  <c r="Z113" i="16" s="1"/>
  <c r="Y113" i="16" s="1"/>
  <c r="AA177" i="16"/>
  <c r="Z177" i="16" s="1"/>
  <c r="Y177" i="16" s="1"/>
  <c r="H43" i="16"/>
  <c r="I43" i="16" s="1"/>
  <c r="H195" i="16"/>
  <c r="J195" i="16" s="1"/>
  <c r="AA328" i="16"/>
  <c r="Z328" i="16" s="1"/>
  <c r="Y328" i="16" s="1"/>
  <c r="H25" i="16"/>
  <c r="J25" i="16" s="1"/>
  <c r="H179" i="16"/>
  <c r="I179" i="16" s="1"/>
  <c r="AA257" i="16"/>
  <c r="Z257" i="16" s="1"/>
  <c r="Y257" i="16" s="1"/>
  <c r="AA325" i="16"/>
  <c r="Z325" i="16" s="1"/>
  <c r="Y325" i="16" s="1"/>
  <c r="H257" i="16"/>
  <c r="I257" i="16" s="1"/>
  <c r="H94" i="16"/>
  <c r="J94" i="16" s="1"/>
  <c r="H325" i="16"/>
  <c r="I325" i="16" s="1"/>
  <c r="AA226" i="16"/>
  <c r="Z226" i="16" s="1"/>
  <c r="Y226" i="16" s="1"/>
  <c r="G326" i="16"/>
  <c r="BY326" i="6" s="1"/>
  <c r="AA326" i="16"/>
  <c r="Z326" i="16" s="1"/>
  <c r="Y326" i="16" s="1"/>
  <c r="AA361" i="16"/>
  <c r="Z361" i="16" s="1"/>
  <c r="Y361" i="16" s="1"/>
  <c r="AA375" i="16"/>
  <c r="Z375" i="16" s="1"/>
  <c r="Y375" i="16" s="1"/>
  <c r="AA316" i="16"/>
  <c r="Z316" i="16" s="1"/>
  <c r="Y316" i="16" s="1"/>
  <c r="AA315" i="16"/>
  <c r="Z315" i="16" s="1"/>
  <c r="Y315" i="16" s="1"/>
  <c r="V192" i="16"/>
  <c r="F192" i="16" s="1"/>
  <c r="V216" i="16"/>
  <c r="F216" i="16" s="1"/>
  <c r="V248" i="16"/>
  <c r="F248" i="16" s="1"/>
  <c r="V280" i="16"/>
  <c r="F280" i="16" s="1"/>
  <c r="V252" i="16"/>
  <c r="F252" i="16" s="1"/>
  <c r="V312" i="16"/>
  <c r="F312" i="16" s="1"/>
  <c r="V306" i="16"/>
  <c r="F306" i="16" s="1"/>
  <c r="V346" i="16"/>
  <c r="F346" i="16" s="1"/>
  <c r="V370" i="16"/>
  <c r="F370" i="16" s="1"/>
  <c r="V232" i="16"/>
  <c r="F232" i="16" s="1"/>
  <c r="V264" i="16"/>
  <c r="F264" i="16" s="1"/>
  <c r="V236" i="16"/>
  <c r="F236" i="16" s="1"/>
  <c r="V268" i="16"/>
  <c r="F268" i="16" s="1"/>
  <c r="V194" i="16"/>
  <c r="F194" i="16" s="1"/>
  <c r="V338" i="16"/>
  <c r="F338" i="16" s="1"/>
  <c r="V354" i="16"/>
  <c r="F354" i="16" s="1"/>
  <c r="G323" i="16"/>
  <c r="BY323" i="6" s="1"/>
  <c r="H323" i="16"/>
  <c r="AA323" i="16"/>
  <c r="Z323" i="16" s="1"/>
  <c r="Y323" i="16" s="1"/>
  <c r="V22" i="16"/>
  <c r="F22" i="16" s="1"/>
  <c r="V66" i="16"/>
  <c r="F66" i="16" s="1"/>
  <c r="V180" i="16"/>
  <c r="F180" i="16" s="1"/>
  <c r="G180" i="16" s="1"/>
  <c r="BY180" i="6" s="1"/>
  <c r="D49" i="7"/>
  <c r="V156" i="16"/>
  <c r="F156" i="16" s="1"/>
  <c r="V132" i="16"/>
  <c r="F132" i="16" s="1"/>
  <c r="V116" i="16"/>
  <c r="F116" i="16" s="1"/>
  <c r="V80" i="16"/>
  <c r="F80" i="16" s="1"/>
  <c r="V39" i="16"/>
  <c r="F39" i="16" s="1"/>
  <c r="V115" i="16"/>
  <c r="F115" i="16" s="1"/>
  <c r="V205" i="16"/>
  <c r="F205" i="16" s="1"/>
  <c r="V32" i="16"/>
  <c r="F32" i="16" s="1"/>
  <c r="D45" i="7"/>
  <c r="V60" i="16"/>
  <c r="F60" i="16" s="1"/>
  <c r="AA60" i="16" s="1"/>
  <c r="Z60" i="16" s="1"/>
  <c r="Y60" i="16" s="1"/>
  <c r="V76" i="16"/>
  <c r="F76" i="16" s="1"/>
  <c r="V166" i="16"/>
  <c r="F166" i="16" s="1"/>
  <c r="V150" i="16"/>
  <c r="F150" i="16" s="1"/>
  <c r="V130" i="16"/>
  <c r="F130" i="16" s="1"/>
  <c r="V106" i="16"/>
  <c r="F106" i="16" s="1"/>
  <c r="V77" i="16"/>
  <c r="F77" i="16" s="1"/>
  <c r="V63" i="16"/>
  <c r="F63" i="16" s="1"/>
  <c r="V295" i="16"/>
  <c r="F295" i="16" s="1"/>
  <c r="V23" i="16"/>
  <c r="F23" i="16" s="1"/>
  <c r="V186" i="16"/>
  <c r="F186" i="16" s="1"/>
  <c r="V183" i="16"/>
  <c r="F183" i="16" s="1"/>
  <c r="V234" i="16"/>
  <c r="F234" i="16" s="1"/>
  <c r="V298" i="16"/>
  <c r="F298" i="16" s="1"/>
  <c r="D52" i="7"/>
  <c r="V272" i="16"/>
  <c r="F272" i="16" s="1"/>
  <c r="V314" i="16"/>
  <c r="F314" i="16" s="1"/>
  <c r="V356" i="16"/>
  <c r="F356" i="16" s="1"/>
  <c r="V343" i="16"/>
  <c r="F343" i="16" s="1"/>
  <c r="V26" i="16"/>
  <c r="F26" i="16" s="1"/>
  <c r="V168" i="16"/>
  <c r="F168" i="16" s="1"/>
  <c r="V148" i="16"/>
  <c r="F148" i="16" s="1"/>
  <c r="V128" i="16"/>
  <c r="F128" i="16" s="1"/>
  <c r="V104" i="16"/>
  <c r="F104" i="16" s="1"/>
  <c r="V65" i="16"/>
  <c r="F65" i="16" s="1"/>
  <c r="V55" i="16"/>
  <c r="F55" i="16" s="1"/>
  <c r="V20" i="16"/>
  <c r="F20" i="16" s="1"/>
  <c r="V44" i="16"/>
  <c r="F44" i="16" s="1"/>
  <c r="V64" i="16"/>
  <c r="F64" i="16" s="1"/>
  <c r="V29" i="16"/>
  <c r="D44" i="7"/>
  <c r="F29" i="16"/>
  <c r="V162" i="16"/>
  <c r="F162" i="16" s="1"/>
  <c r="V146" i="16"/>
  <c r="F146" i="16" s="1"/>
  <c r="V126" i="16"/>
  <c r="F126" i="16" s="1"/>
  <c r="V102" i="16"/>
  <c r="F102" i="16" s="1"/>
  <c r="V61" i="16"/>
  <c r="F61" i="16" s="1"/>
  <c r="V95" i="16"/>
  <c r="F95" i="16" s="1"/>
  <c r="V291" i="16"/>
  <c r="F291" i="16" s="1"/>
  <c r="V263" i="16"/>
  <c r="F263" i="16" s="1"/>
  <c r="V191" i="16"/>
  <c r="F191" i="16" s="1"/>
  <c r="AA117" i="16"/>
  <c r="Z117" i="16" s="1"/>
  <c r="Y117" i="16" s="1"/>
  <c r="V85" i="16"/>
  <c r="F85" i="16" s="1"/>
  <c r="V196" i="16"/>
  <c r="F196" i="16" s="1"/>
  <c r="V250" i="16"/>
  <c r="F250" i="16" s="1"/>
  <c r="V332" i="16"/>
  <c r="F332" i="16" s="1"/>
  <c r="V256" i="16"/>
  <c r="F256" i="16" s="1"/>
  <c r="V330" i="16"/>
  <c r="F330" i="16" s="1"/>
  <c r="V340" i="16"/>
  <c r="F340" i="16" s="1"/>
  <c r="V331" i="16"/>
  <c r="F331" i="16" s="1"/>
  <c r="V351" i="16"/>
  <c r="F351" i="16" s="1"/>
  <c r="V34" i="16"/>
  <c r="F34" i="16" s="1"/>
  <c r="V164" i="16"/>
  <c r="F164" i="16" s="1"/>
  <c r="V144" i="16"/>
  <c r="F144" i="16" s="1"/>
  <c r="V124" i="16"/>
  <c r="F124" i="16" s="1"/>
  <c r="V100" i="16"/>
  <c r="F100" i="16" s="1"/>
  <c r="V49" i="16"/>
  <c r="F49" i="16" s="1"/>
  <c r="V99" i="16"/>
  <c r="F99" i="16" s="1"/>
  <c r="V285" i="16"/>
  <c r="F285" i="16" s="1"/>
  <c r="V137" i="16"/>
  <c r="F137" i="16" s="1"/>
  <c r="V24" i="16"/>
  <c r="F24" i="16" s="1"/>
  <c r="V68" i="16"/>
  <c r="F68" i="16" s="1"/>
  <c r="V174" i="16"/>
  <c r="F174" i="16" s="1"/>
  <c r="V158" i="16"/>
  <c r="F158" i="16" s="1"/>
  <c r="V142" i="16"/>
  <c r="F142" i="16" s="1"/>
  <c r="V122" i="16"/>
  <c r="F122" i="16" s="1"/>
  <c r="V86" i="16"/>
  <c r="F86" i="16" s="1"/>
  <c r="V35" i="16"/>
  <c r="F35" i="16" s="1"/>
  <c r="V259" i="16"/>
  <c r="F259" i="16" s="1"/>
  <c r="G175" i="16"/>
  <c r="BY175" i="6" s="1"/>
  <c r="H175" i="16"/>
  <c r="V204" i="16"/>
  <c r="F204" i="16" s="1"/>
  <c r="V258" i="16"/>
  <c r="F258" i="16" s="1"/>
  <c r="V324" i="16"/>
  <c r="F324" i="16" s="1"/>
  <c r="V240" i="16"/>
  <c r="F240" i="16" s="1"/>
  <c r="V334" i="16"/>
  <c r="F334" i="16" s="1"/>
  <c r="V348" i="16"/>
  <c r="F348" i="16" s="1"/>
  <c r="V329" i="16"/>
  <c r="F329" i="16" s="1"/>
  <c r="V327" i="16"/>
  <c r="F327" i="16" s="1"/>
  <c r="AG15" i="16"/>
  <c r="AH383" i="16"/>
  <c r="AH381" i="16"/>
  <c r="AH382" i="16"/>
  <c r="V244" i="16"/>
  <c r="F244" i="16" s="1"/>
  <c r="V276" i="16"/>
  <c r="F276" i="16" s="1"/>
  <c r="V292" i="16"/>
  <c r="F292" i="16" s="1"/>
  <c r="V320" i="16"/>
  <c r="F320" i="16" s="1"/>
  <c r="V336" i="16"/>
  <c r="F336" i="16" s="1"/>
  <c r="V202" i="16"/>
  <c r="F202" i="16" s="1"/>
  <c r="V282" i="16"/>
  <c r="F282" i="16" s="1"/>
  <c r="V350" i="16"/>
  <c r="V159" i="16"/>
  <c r="F159" i="16" s="1"/>
  <c r="T382" i="16"/>
  <c r="S15" i="16"/>
  <c r="T383" i="16"/>
  <c r="T381" i="16"/>
  <c r="V160" i="16"/>
  <c r="F160" i="16" s="1"/>
  <c r="V136" i="16"/>
  <c r="F136" i="16" s="1"/>
  <c r="V120" i="16"/>
  <c r="F120" i="16" s="1"/>
  <c r="V96" i="16"/>
  <c r="F96" i="16" s="1"/>
  <c r="V41" i="16"/>
  <c r="F41" i="16" s="1"/>
  <c r="V107" i="16"/>
  <c r="F107" i="16" s="1"/>
  <c r="D51" i="7"/>
  <c r="V241" i="16"/>
  <c r="F241" i="16" s="1"/>
  <c r="H241" i="16" s="1"/>
  <c r="V209" i="16"/>
  <c r="F209" i="16" s="1"/>
  <c r="V72" i="16"/>
  <c r="F72" i="16" s="1"/>
  <c r="V170" i="16"/>
  <c r="F170" i="16" s="1"/>
  <c r="V154" i="16"/>
  <c r="F154" i="16" s="1"/>
  <c r="V134" i="16"/>
  <c r="F134" i="16" s="1"/>
  <c r="V110" i="16"/>
  <c r="F110" i="16" s="1"/>
  <c r="V82" i="16"/>
  <c r="F82" i="16" s="1"/>
  <c r="V47" i="16"/>
  <c r="V171" i="16"/>
  <c r="F171" i="16" s="1"/>
  <c r="V109" i="16"/>
  <c r="F109" i="16" s="1"/>
  <c r="V218" i="16"/>
  <c r="F218" i="16" s="1"/>
  <c r="V290" i="16"/>
  <c r="F290" i="16" s="1"/>
  <c r="V288" i="16"/>
  <c r="F288" i="16" s="1"/>
  <c r="V220" i="16"/>
  <c r="F220" i="16" s="1"/>
  <c r="V366" i="16"/>
  <c r="F366" i="16" s="1"/>
  <c r="V344" i="16"/>
  <c r="F344" i="16" s="1"/>
  <c r="V352" i="16"/>
  <c r="F352" i="16" s="1"/>
  <c r="V360" i="16"/>
  <c r="F360" i="16" s="1"/>
  <c r="G317" i="16"/>
  <c r="BY317" i="6" s="1"/>
  <c r="H317" i="16"/>
  <c r="AA317" i="16"/>
  <c r="Z317" i="16" s="1"/>
  <c r="Y317" i="16" s="1"/>
  <c r="V319" i="16"/>
  <c r="F319" i="16" s="1"/>
  <c r="V339" i="16"/>
  <c r="F339" i="16" s="1"/>
  <c r="AG379" i="16"/>
  <c r="AF379" i="16" s="1"/>
  <c r="AD379" i="16" s="1"/>
  <c r="AA175" i="16"/>
  <c r="Z175" i="16" s="1"/>
  <c r="Y175" i="16" s="1"/>
  <c r="AA242" i="16"/>
  <c r="Z242" i="16" s="1"/>
  <c r="Y242" i="16" s="1"/>
  <c r="G369" i="16"/>
  <c r="BY369" i="6" s="1"/>
  <c r="I161" i="16"/>
  <c r="H143" i="16"/>
  <c r="I143" i="16" s="1"/>
  <c r="G143" i="16"/>
  <c r="BY143" i="6" s="1"/>
  <c r="J59" i="16"/>
  <c r="AA219" i="16"/>
  <c r="Z219" i="16" s="1"/>
  <c r="Y219" i="16" s="1"/>
  <c r="H219" i="16"/>
  <c r="I219" i="16" s="1"/>
  <c r="H316" i="16"/>
  <c r="I316" i="16" s="1"/>
  <c r="I364" i="16"/>
  <c r="H358" i="16"/>
  <c r="J358" i="16" s="1"/>
  <c r="H238" i="16"/>
  <c r="J238" i="16" s="1"/>
  <c r="AA59" i="16"/>
  <c r="Z59" i="16" s="1"/>
  <c r="Y59" i="16" s="1"/>
  <c r="G238" i="16"/>
  <c r="BY238" i="6" s="1"/>
  <c r="G316" i="16"/>
  <c r="BY316" i="6" s="1"/>
  <c r="AA358" i="16"/>
  <c r="Z358" i="16" s="1"/>
  <c r="Y358" i="16" s="1"/>
  <c r="G59" i="16"/>
  <c r="BY59" i="6" s="1"/>
  <c r="H185" i="16"/>
  <c r="I185" i="16" s="1"/>
  <c r="J345" i="16"/>
  <c r="AA185" i="16"/>
  <c r="Z185" i="16" s="1"/>
  <c r="Y185" i="16" s="1"/>
  <c r="I293" i="16"/>
  <c r="J224" i="16"/>
  <c r="J294" i="16"/>
  <c r="AA260" i="16"/>
  <c r="Z260" i="16" s="1"/>
  <c r="Y260" i="16" s="1"/>
  <c r="H300" i="16"/>
  <c r="I300" i="16" s="1"/>
  <c r="H169" i="16"/>
  <c r="J169" i="16" s="1"/>
  <c r="AA376" i="16"/>
  <c r="Z376" i="16" s="1"/>
  <c r="Y376" i="16" s="1"/>
  <c r="J377" i="16"/>
  <c r="G169" i="16"/>
  <c r="BY169" i="6" s="1"/>
  <c r="AA294" i="16"/>
  <c r="Z294" i="16" s="1"/>
  <c r="Y294" i="16" s="1"/>
  <c r="H260" i="16"/>
  <c r="J260" i="16" s="1"/>
  <c r="F379" i="16"/>
  <c r="G379" i="16" s="1"/>
  <c r="BY379" i="6" s="1"/>
  <c r="H376" i="16"/>
  <c r="I376" i="16" s="1"/>
  <c r="G294" i="16"/>
  <c r="BY294" i="6" s="1"/>
  <c r="H243" i="16"/>
  <c r="I243" i="16" s="1"/>
  <c r="AA293" i="16"/>
  <c r="Z293" i="16" s="1"/>
  <c r="Y293" i="16" s="1"/>
  <c r="G293" i="16"/>
  <c r="BY293" i="6" s="1"/>
  <c r="G213" i="16"/>
  <c r="BY213" i="6" s="1"/>
  <c r="AA300" i="16"/>
  <c r="Z300" i="16" s="1"/>
  <c r="Y300" i="16" s="1"/>
  <c r="AA224" i="16"/>
  <c r="Z224" i="16" s="1"/>
  <c r="Y224" i="16" s="1"/>
  <c r="G224" i="16"/>
  <c r="BY224" i="6" s="1"/>
  <c r="AA243" i="16"/>
  <c r="Z243" i="16" s="1"/>
  <c r="Y243" i="16" s="1"/>
  <c r="I302" i="16"/>
  <c r="H213" i="16"/>
  <c r="I213" i="16" s="1"/>
  <c r="L41" i="19"/>
  <c r="H153" i="16"/>
  <c r="AA153" i="16"/>
  <c r="Z153" i="16" s="1"/>
  <c r="Y153" i="16" s="1"/>
  <c r="I367" i="16"/>
  <c r="I362" i="16"/>
  <c r="Q382" i="17"/>
  <c r="J304" i="16"/>
  <c r="I198" i="16"/>
  <c r="G210" i="16"/>
  <c r="BY210" i="6" s="1"/>
  <c r="I315" i="16"/>
  <c r="J98" i="16"/>
  <c r="J121" i="16"/>
  <c r="G111" i="16"/>
  <c r="BY111" i="6" s="1"/>
  <c r="I151" i="16"/>
  <c r="H322" i="16"/>
  <c r="I322" i="16" s="1"/>
  <c r="AA363" i="16"/>
  <c r="Z363" i="16" s="1"/>
  <c r="Y363" i="16" s="1"/>
  <c r="G73" i="16"/>
  <c r="BY73" i="6" s="1"/>
  <c r="G233" i="16"/>
  <c r="BY233" i="6" s="1"/>
  <c r="G372" i="16"/>
  <c r="BY372" i="6" s="1"/>
  <c r="J176" i="16"/>
  <c r="J231" i="16"/>
  <c r="I271" i="16"/>
  <c r="H111" i="16"/>
  <c r="I111" i="16" s="1"/>
  <c r="G197" i="16"/>
  <c r="BY197" i="6" s="1"/>
  <c r="H363" i="16"/>
  <c r="I363" i="16" s="1"/>
  <c r="AA222" i="16"/>
  <c r="Z222" i="16" s="1"/>
  <c r="Y222" i="16" s="1"/>
  <c r="J19" i="16"/>
  <c r="AA299" i="16"/>
  <c r="Z299" i="16" s="1"/>
  <c r="Y299" i="16" s="1"/>
  <c r="H31" i="16"/>
  <c r="J31" i="16" s="1"/>
  <c r="H296" i="16"/>
  <c r="I296" i="16" s="1"/>
  <c r="G149" i="16"/>
  <c r="BY149" i="6" s="1"/>
  <c r="I262" i="16"/>
  <c r="H210" i="16"/>
  <c r="J210" i="16" s="1"/>
  <c r="I178" i="16"/>
  <c r="H197" i="16"/>
  <c r="J197" i="16" s="1"/>
  <c r="G222" i="16"/>
  <c r="BY222" i="6" s="1"/>
  <c r="H73" i="16"/>
  <c r="I73" i="16" s="1"/>
  <c r="G199" i="16"/>
  <c r="BY199" i="6" s="1"/>
  <c r="AA31" i="16"/>
  <c r="Z31" i="16" s="1"/>
  <c r="Y31" i="16" s="1"/>
  <c r="AA233" i="16"/>
  <c r="Z233" i="16" s="1"/>
  <c r="Y233" i="16" s="1"/>
  <c r="H97" i="16"/>
  <c r="I97" i="16" s="1"/>
  <c r="G322" i="16"/>
  <c r="BY322" i="6" s="1"/>
  <c r="AA149" i="16"/>
  <c r="Z149" i="16" s="1"/>
  <c r="Y149" i="16" s="1"/>
  <c r="AA69" i="16"/>
  <c r="Z69" i="16" s="1"/>
  <c r="Y69" i="16" s="1"/>
  <c r="H89" i="16"/>
  <c r="H69" i="16"/>
  <c r="G89" i="16"/>
  <c r="BY89" i="6" s="1"/>
  <c r="I309" i="16"/>
  <c r="I230" i="16"/>
  <c r="J147" i="16"/>
  <c r="AA275" i="16"/>
  <c r="Z275" i="16" s="1"/>
  <c r="Y275" i="16" s="1"/>
  <c r="G310" i="16"/>
  <c r="BY310" i="6" s="1"/>
  <c r="H87" i="16"/>
  <c r="I87" i="16" s="1"/>
  <c r="J269" i="16"/>
  <c r="G378" i="16"/>
  <c r="BY378" i="6" s="1"/>
  <c r="J297" i="16"/>
  <c r="AA341" i="16"/>
  <c r="Z341" i="16" s="1"/>
  <c r="Y341" i="16" s="1"/>
  <c r="H21" i="16"/>
  <c r="J21" i="16" s="1"/>
  <c r="J101" i="16"/>
  <c r="AA17" i="16"/>
  <c r="Z17" i="16" s="1"/>
  <c r="Y17" i="16" s="1"/>
  <c r="G101" i="16"/>
  <c r="BY101" i="6" s="1"/>
  <c r="AA101" i="16"/>
  <c r="Z101" i="16" s="1"/>
  <c r="Y101" i="16" s="1"/>
  <c r="AA53" i="16"/>
  <c r="Z53" i="16" s="1"/>
  <c r="Y53" i="16" s="1"/>
  <c r="AA212" i="16"/>
  <c r="Z212" i="16" s="1"/>
  <c r="Y212" i="16" s="1"/>
  <c r="G119" i="16"/>
  <c r="BY119" i="6" s="1"/>
  <c r="G308" i="16"/>
  <c r="BY308" i="6" s="1"/>
  <c r="G333" i="16"/>
  <c r="BY333" i="6" s="1"/>
  <c r="H108" i="16"/>
  <c r="J108" i="16" s="1"/>
  <c r="H199" i="16"/>
  <c r="I199" i="16" s="1"/>
  <c r="H299" i="16"/>
  <c r="J299" i="16" s="1"/>
  <c r="G296" i="16"/>
  <c r="BY296" i="6" s="1"/>
  <c r="AA97" i="16"/>
  <c r="Z97" i="16" s="1"/>
  <c r="Y97" i="16" s="1"/>
  <c r="H372" i="16"/>
  <c r="I372" i="16" s="1"/>
  <c r="AA84" i="16"/>
  <c r="Z84" i="16" s="1"/>
  <c r="Y84" i="16" s="1"/>
  <c r="H91" i="16"/>
  <c r="AA91" i="16"/>
  <c r="Z91" i="16" s="1"/>
  <c r="Y91" i="16" s="1"/>
  <c r="G91" i="16"/>
  <c r="BY91" i="6" s="1"/>
  <c r="AA30" i="16"/>
  <c r="Z30" i="16" s="1"/>
  <c r="Y30" i="16" s="1"/>
  <c r="H42" i="16"/>
  <c r="I42" i="16" s="1"/>
  <c r="H237" i="16"/>
  <c r="G237" i="16"/>
  <c r="BY237" i="6" s="1"/>
  <c r="AA305" i="16"/>
  <c r="Z305" i="16" s="1"/>
  <c r="Y305" i="16" s="1"/>
  <c r="G45" i="16"/>
  <c r="BY45" i="6" s="1"/>
  <c r="H45" i="16"/>
  <c r="AA45" i="16"/>
  <c r="Z45" i="16" s="1"/>
  <c r="Y45" i="16" s="1"/>
  <c r="H17" i="16"/>
  <c r="G127" i="16"/>
  <c r="BY127" i="6" s="1"/>
  <c r="H127" i="16"/>
  <c r="AA127" i="16"/>
  <c r="Z127" i="16" s="1"/>
  <c r="Y127" i="16" s="1"/>
  <c r="G247" i="16"/>
  <c r="BY247" i="6" s="1"/>
  <c r="H247" i="16"/>
  <c r="AA247" i="16"/>
  <c r="Z247" i="16" s="1"/>
  <c r="Y247" i="16" s="1"/>
  <c r="H79" i="16"/>
  <c r="G79" i="16"/>
  <c r="BY79" i="6" s="1"/>
  <c r="AA79" i="16"/>
  <c r="Z79" i="16" s="1"/>
  <c r="Y79" i="16" s="1"/>
  <c r="G207" i="16"/>
  <c r="BY207" i="6" s="1"/>
  <c r="AA207" i="16"/>
  <c r="Z207" i="16" s="1"/>
  <c r="Y207" i="16" s="1"/>
  <c r="H207" i="16"/>
  <c r="I117" i="16"/>
  <c r="J117" i="16"/>
  <c r="I155" i="16"/>
  <c r="J155" i="16"/>
  <c r="I70" i="16"/>
  <c r="J70" i="16"/>
  <c r="AA118" i="16"/>
  <c r="Z118" i="16" s="1"/>
  <c r="Y118" i="16" s="1"/>
  <c r="H53" i="16"/>
  <c r="J53" i="16" s="1"/>
  <c r="H212" i="16"/>
  <c r="J212" i="16" s="1"/>
  <c r="H57" i="16"/>
  <c r="I57" i="16" s="1"/>
  <c r="G275" i="16"/>
  <c r="BY275" i="6" s="1"/>
  <c r="H310" i="16"/>
  <c r="J310" i="16" s="1"/>
  <c r="AA87" i="16"/>
  <c r="Z87" i="16" s="1"/>
  <c r="Y87" i="16" s="1"/>
  <c r="H217" i="16"/>
  <c r="J217" i="16" s="1"/>
  <c r="AA333" i="16"/>
  <c r="Z333" i="16" s="1"/>
  <c r="Y333" i="16" s="1"/>
  <c r="G341" i="16"/>
  <c r="BY341" i="6" s="1"/>
  <c r="AA21" i="16"/>
  <c r="Z21" i="16" s="1"/>
  <c r="Y21" i="16" s="1"/>
  <c r="AA378" i="16"/>
  <c r="Z378" i="16" s="1"/>
  <c r="Y378" i="16" s="1"/>
  <c r="AA93" i="16"/>
  <c r="Z93" i="16" s="1"/>
  <c r="Y93" i="16" s="1"/>
  <c r="AA56" i="16"/>
  <c r="Z56" i="16" s="1"/>
  <c r="Y56" i="16" s="1"/>
  <c r="G42" i="16"/>
  <c r="BY42" i="6" s="1"/>
  <c r="G62" i="16"/>
  <c r="BY62" i="6" s="1"/>
  <c r="H56" i="16"/>
  <c r="I56" i="16" s="1"/>
  <c r="H62" i="16"/>
  <c r="I38" i="16"/>
  <c r="J38" i="16"/>
  <c r="G57" i="16"/>
  <c r="BY57" i="6" s="1"/>
  <c r="AA119" i="16"/>
  <c r="Z119" i="16" s="1"/>
  <c r="Y119" i="16" s="1"/>
  <c r="H308" i="16"/>
  <c r="J308" i="16" s="1"/>
  <c r="AA217" i="16"/>
  <c r="Z217" i="16" s="1"/>
  <c r="Y217" i="16" s="1"/>
  <c r="H93" i="16"/>
  <c r="I93" i="16" s="1"/>
  <c r="J181" i="16"/>
  <c r="I181" i="16"/>
  <c r="J221" i="16"/>
  <c r="I221" i="16"/>
  <c r="J193" i="16"/>
  <c r="I193" i="16"/>
  <c r="AB380" i="25"/>
  <c r="L380" i="25"/>
  <c r="X380" i="25"/>
  <c r="K380" i="25"/>
  <c r="AK380" i="25"/>
  <c r="AJ380" i="25"/>
  <c r="AC380" i="25"/>
  <c r="O380" i="25"/>
  <c r="J301" i="16"/>
  <c r="I301" i="16"/>
  <c r="J265" i="16"/>
  <c r="I265" i="16"/>
  <c r="I253" i="16"/>
  <c r="J253" i="16"/>
  <c r="J201" i="16"/>
  <c r="I201" i="16"/>
  <c r="I145" i="16"/>
  <c r="J145" i="16"/>
  <c r="I273" i="16"/>
  <c r="J273" i="16"/>
  <c r="AM7" i="16"/>
  <c r="AM11" i="16" s="1"/>
  <c r="AK3" i="16" s="1"/>
  <c r="Q13" i="19" s="1"/>
  <c r="J50" i="16"/>
  <c r="I50" i="16"/>
  <c r="J16" i="16"/>
  <c r="I16" i="16"/>
  <c r="H84" i="16"/>
  <c r="I84" i="16" s="1"/>
  <c r="AA176" i="16"/>
  <c r="Z176" i="16" s="1"/>
  <c r="Y176" i="16" s="1"/>
  <c r="J214" i="16"/>
  <c r="I214" i="16"/>
  <c r="AA27" i="16"/>
  <c r="Z27" i="16" s="1"/>
  <c r="Y27" i="16" s="1"/>
  <c r="H27" i="16"/>
  <c r="G70" i="16"/>
  <c r="BY70" i="6" s="1"/>
  <c r="AA70" i="16"/>
  <c r="Z70" i="16" s="1"/>
  <c r="Y70" i="16" s="1"/>
  <c r="H30" i="16"/>
  <c r="G37" i="16"/>
  <c r="BY37" i="6" s="1"/>
  <c r="H37" i="16"/>
  <c r="AA37" i="16"/>
  <c r="Z37" i="16" s="1"/>
  <c r="Y37" i="16" s="1"/>
  <c r="AA92" i="16"/>
  <c r="Z92" i="16" s="1"/>
  <c r="Y92" i="16" s="1"/>
  <c r="G92" i="16"/>
  <c r="BY92" i="6" s="1"/>
  <c r="H92" i="16"/>
  <c r="G152" i="16"/>
  <c r="BY152" i="6" s="1"/>
  <c r="H152" i="16"/>
  <c r="AA152" i="16"/>
  <c r="Z152" i="16" s="1"/>
  <c r="Y152" i="16" s="1"/>
  <c r="AA38" i="16"/>
  <c r="Z38" i="16" s="1"/>
  <c r="Y38" i="16" s="1"/>
  <c r="G38" i="16"/>
  <c r="BY38" i="6" s="1"/>
  <c r="G58" i="16"/>
  <c r="BY58" i="6" s="1"/>
  <c r="AA58" i="16"/>
  <c r="Z58" i="16" s="1"/>
  <c r="Y58" i="16" s="1"/>
  <c r="AA50" i="16"/>
  <c r="Z50" i="16" s="1"/>
  <c r="Y50" i="16" s="1"/>
  <c r="G50" i="16"/>
  <c r="BY50" i="6" s="1"/>
  <c r="G16" i="16"/>
  <c r="BY16" i="6" s="1"/>
  <c r="AA16" i="16"/>
  <c r="Z16" i="16" s="1"/>
  <c r="Y16" i="16" s="1"/>
  <c r="I190" i="16"/>
  <c r="J190" i="16"/>
  <c r="G18" i="16"/>
  <c r="BY18" i="6" s="1"/>
  <c r="AA18" i="16"/>
  <c r="Z18" i="16" s="1"/>
  <c r="Y18" i="16" s="1"/>
  <c r="AA108" i="16"/>
  <c r="Z108" i="16" s="1"/>
  <c r="Y108" i="16" s="1"/>
  <c r="G108" i="16"/>
  <c r="BY108" i="6" s="1"/>
  <c r="G140" i="16"/>
  <c r="BY140" i="6" s="1"/>
  <c r="AA140" i="16"/>
  <c r="Z140" i="16" s="1"/>
  <c r="Y140" i="16" s="1"/>
  <c r="H58" i="16"/>
  <c r="Q381" i="17"/>
  <c r="Q383" i="17"/>
  <c r="G172" i="16"/>
  <c r="BY172" i="6" s="1"/>
  <c r="H172" i="16"/>
  <c r="I172" i="16" s="1"/>
  <c r="J140" i="16"/>
  <c r="V15" i="7"/>
  <c r="H75" i="16"/>
  <c r="I75" i="16" s="1"/>
  <c r="I18" i="16"/>
  <c r="H266" i="16"/>
  <c r="I266" i="16" s="1"/>
  <c r="AA172" i="16"/>
  <c r="Z172" i="16" s="1"/>
  <c r="Y172" i="16" s="1"/>
  <c r="G266" i="16"/>
  <c r="BY266" i="6" s="1"/>
  <c r="AA75" i="16"/>
  <c r="Z75" i="16" s="1"/>
  <c r="Y75" i="16" s="1"/>
  <c r="O382" i="24"/>
  <c r="O381" i="24"/>
  <c r="O383" i="24"/>
  <c r="G383" i="1"/>
  <c r="G12" i="1" s="1"/>
  <c r="G381" i="1"/>
  <c r="G382" i="1"/>
  <c r="AC383" i="24"/>
  <c r="AC382" i="24"/>
  <c r="AC381" i="24"/>
  <c r="I382" i="1"/>
  <c r="I383" i="1"/>
  <c r="I381" i="1"/>
  <c r="Z379" i="1"/>
  <c r="AL7" i="1" s="1"/>
  <c r="AA382" i="1"/>
  <c r="AA9" i="1"/>
  <c r="AM8" i="1"/>
  <c r="AA381" i="1"/>
  <c r="AA383" i="1"/>
  <c r="AL10" i="1"/>
  <c r="AB9" i="1"/>
  <c r="G11" i="19"/>
  <c r="J35" i="19" s="1"/>
  <c r="F11" i="1"/>
  <c r="I333" i="16"/>
  <c r="J333" i="16"/>
  <c r="J341" i="16"/>
  <c r="I341" i="16"/>
  <c r="I233" i="16"/>
  <c r="J233" i="16"/>
  <c r="I149" i="16"/>
  <c r="J149" i="16"/>
  <c r="I378" i="16"/>
  <c r="J378" i="16"/>
  <c r="AE382" i="17"/>
  <c r="AE381" i="17"/>
  <c r="AE383" i="17"/>
  <c r="AB379" i="25"/>
  <c r="L379" i="25"/>
  <c r="B44" i="19" s="1"/>
  <c r="B33" i="19" s="1"/>
  <c r="AJ379" i="25"/>
  <c r="K379" i="25"/>
  <c r="X379" i="25"/>
  <c r="AK379" i="25"/>
  <c r="O379" i="25"/>
  <c r="C44" i="19" s="1"/>
  <c r="C33" i="19" s="1"/>
  <c r="AC379" i="25"/>
  <c r="AA228" i="16"/>
  <c r="Z228" i="16" s="1"/>
  <c r="Y228" i="16" s="1"/>
  <c r="H228" i="16"/>
  <c r="G228" i="16"/>
  <c r="BY228" i="6" s="1"/>
  <c r="AA15" i="15"/>
  <c r="AL9" i="15" s="1"/>
  <c r="F382" i="15"/>
  <c r="AK10" i="15"/>
  <c r="AK12" i="15" s="1"/>
  <c r="AK13" i="15" s="1"/>
  <c r="F381" i="15"/>
  <c r="H15" i="15"/>
  <c r="G15" i="15"/>
  <c r="BX15" i="6" s="1"/>
  <c r="F383" i="15"/>
  <c r="AM10" i="15"/>
  <c r="F9" i="15"/>
  <c r="B62" i="19"/>
  <c r="V381" i="15"/>
  <c r="Q10" i="18"/>
  <c r="Q22" i="18" s="1"/>
  <c r="J118" i="16"/>
  <c r="AK3" i="22"/>
  <c r="Q17" i="19" s="1"/>
  <c r="I119" i="16"/>
  <c r="J119" i="16"/>
  <c r="I222" i="16"/>
  <c r="J222" i="16"/>
  <c r="L381" i="24"/>
  <c r="L382" i="24"/>
  <c r="L383" i="24"/>
  <c r="I275" i="16" l="1"/>
  <c r="I342" i="16"/>
  <c r="AA173" i="16"/>
  <c r="Z173" i="16" s="1"/>
  <c r="Y173" i="16" s="1"/>
  <c r="H54" i="16"/>
  <c r="J54" i="16" s="1"/>
  <c r="H305" i="16"/>
  <c r="H103" i="16"/>
  <c r="J103" i="16" s="1"/>
  <c r="H173" i="16"/>
  <c r="I173" i="16" s="1"/>
  <c r="G103" i="16"/>
  <c r="BY103" i="6" s="1"/>
  <c r="H125" i="16"/>
  <c r="I125" i="16" s="1"/>
  <c r="H254" i="16"/>
  <c r="J254" i="16" s="1"/>
  <c r="AA342" i="16"/>
  <c r="Z342" i="16" s="1"/>
  <c r="Y342" i="16" s="1"/>
  <c r="G118" i="16"/>
  <c r="BY118" i="6" s="1"/>
  <c r="G342" i="16"/>
  <c r="BY342" i="6" s="1"/>
  <c r="AA125" i="16"/>
  <c r="Z125" i="16" s="1"/>
  <c r="Y125" i="16" s="1"/>
  <c r="AA36" i="16"/>
  <c r="Z36" i="16" s="1"/>
  <c r="Y36" i="16" s="1"/>
  <c r="G54" i="16"/>
  <c r="BY54" i="6" s="1"/>
  <c r="J289" i="16"/>
  <c r="AA40" i="16"/>
  <c r="Z40" i="16" s="1"/>
  <c r="Y40" i="16" s="1"/>
  <c r="J206" i="16"/>
  <c r="J36" i="16"/>
  <c r="G112" i="16"/>
  <c r="BY112" i="6" s="1"/>
  <c r="G123" i="16"/>
  <c r="BY123" i="6" s="1"/>
  <c r="AA123" i="16"/>
  <c r="Z123" i="16" s="1"/>
  <c r="Y123" i="16" s="1"/>
  <c r="H88" i="16"/>
  <c r="I88" i="16" s="1"/>
  <c r="G88" i="16"/>
  <c r="BY88" i="6" s="1"/>
  <c r="I123" i="16"/>
  <c r="G36" i="16"/>
  <c r="BY36" i="6" s="1"/>
  <c r="J287" i="16"/>
  <c r="H184" i="16"/>
  <c r="J184" i="16" s="1"/>
  <c r="J303" i="16"/>
  <c r="J313" i="16"/>
  <c r="H274" i="16"/>
  <c r="I274" i="16" s="1"/>
  <c r="G33" i="16"/>
  <c r="BY33" i="6" s="1"/>
  <c r="H112" i="16"/>
  <c r="I112" i="16" s="1"/>
  <c r="H374" i="16"/>
  <c r="J374" i="16" s="1"/>
  <c r="H139" i="16"/>
  <c r="J139" i="16" s="1"/>
  <c r="G139" i="16"/>
  <c r="BY139" i="6" s="1"/>
  <c r="I83" i="16"/>
  <c r="H278" i="16"/>
  <c r="J278" i="16" s="1"/>
  <c r="H40" i="16"/>
  <c r="J40" i="16" s="1"/>
  <c r="G184" i="16"/>
  <c r="BY184" i="6" s="1"/>
  <c r="AA274" i="16"/>
  <c r="Z274" i="16" s="1"/>
  <c r="Y274" i="16" s="1"/>
  <c r="AA33" i="16"/>
  <c r="Z33" i="16" s="1"/>
  <c r="Y33" i="16" s="1"/>
  <c r="I33" i="16"/>
  <c r="I307" i="16"/>
  <c r="AA278" i="16"/>
  <c r="Z278" i="16" s="1"/>
  <c r="Y278" i="16" s="1"/>
  <c r="I279" i="16"/>
  <c r="I318" i="16"/>
  <c r="J335" i="16"/>
  <c r="AI31" i="17"/>
  <c r="AH31" i="17" s="1"/>
  <c r="AI360" i="17"/>
  <c r="AH360" i="17" s="1"/>
  <c r="AI264" i="17"/>
  <c r="AH264" i="17" s="1"/>
  <c r="AI376" i="17"/>
  <c r="AH376" i="17" s="1"/>
  <c r="AI296" i="17"/>
  <c r="AH296" i="17" s="1"/>
  <c r="AI168" i="17"/>
  <c r="AH168" i="17" s="1"/>
  <c r="AI352" i="17"/>
  <c r="AH352" i="17" s="1"/>
  <c r="AI312" i="17"/>
  <c r="AH312" i="17" s="1"/>
  <c r="AI248" i="17"/>
  <c r="AH248" i="17" s="1"/>
  <c r="AI184" i="17"/>
  <c r="AH184" i="17" s="1"/>
  <c r="AI111" i="17"/>
  <c r="AH111" i="17" s="1"/>
  <c r="AI364" i="17"/>
  <c r="AH364" i="17" s="1"/>
  <c r="AI348" i="17"/>
  <c r="AH348" i="17" s="1"/>
  <c r="AI332" i="17"/>
  <c r="AH332" i="17" s="1"/>
  <c r="AI304" i="17"/>
  <c r="AH304" i="17" s="1"/>
  <c r="AI272" i="17"/>
  <c r="AH272" i="17" s="1"/>
  <c r="AI240" i="17"/>
  <c r="AH240" i="17" s="1"/>
  <c r="AI208" i="17"/>
  <c r="AH208" i="17" s="1"/>
  <c r="AI176" i="17"/>
  <c r="AH176" i="17" s="1"/>
  <c r="AI144" i="17"/>
  <c r="AH144" i="17" s="1"/>
  <c r="AI95" i="17"/>
  <c r="AH95" i="17" s="1"/>
  <c r="AI18" i="17"/>
  <c r="AH18" i="17" s="1"/>
  <c r="AI328" i="17"/>
  <c r="AH328" i="17" s="1"/>
  <c r="AI200" i="17"/>
  <c r="AH200" i="17" s="1"/>
  <c r="AI136" i="17"/>
  <c r="AH136" i="17" s="1"/>
  <c r="AI344" i="17"/>
  <c r="AH344" i="17" s="1"/>
  <c r="AI232" i="17"/>
  <c r="AH232" i="17" s="1"/>
  <c r="AI79" i="17"/>
  <c r="AH79" i="17" s="1"/>
  <c r="AI368" i="17"/>
  <c r="AH368" i="17" s="1"/>
  <c r="AI336" i="17"/>
  <c r="AH336" i="17" s="1"/>
  <c r="AI280" i="17"/>
  <c r="AH280" i="17" s="1"/>
  <c r="AI216" i="17"/>
  <c r="AH216" i="17" s="1"/>
  <c r="AI152" i="17"/>
  <c r="AH152" i="17" s="1"/>
  <c r="AI47" i="17"/>
  <c r="AH47" i="17" s="1"/>
  <c r="AI372" i="17"/>
  <c r="AH372" i="17" s="1"/>
  <c r="AI356" i="17"/>
  <c r="AH356" i="17" s="1"/>
  <c r="AI340" i="17"/>
  <c r="AH340" i="17" s="1"/>
  <c r="AI320" i="17"/>
  <c r="AH320" i="17" s="1"/>
  <c r="AI288" i="17"/>
  <c r="AH288" i="17" s="1"/>
  <c r="AI256" i="17"/>
  <c r="AH256" i="17" s="1"/>
  <c r="AI224" i="17"/>
  <c r="AH224" i="17" s="1"/>
  <c r="AI192" i="17"/>
  <c r="AH192" i="17" s="1"/>
  <c r="AI160" i="17"/>
  <c r="AH160" i="17" s="1"/>
  <c r="AI127" i="17"/>
  <c r="AH127" i="17" s="1"/>
  <c r="AI63" i="17"/>
  <c r="AH63" i="17" s="1"/>
  <c r="AI15" i="17"/>
  <c r="AI35" i="17"/>
  <c r="AH35" i="17" s="1"/>
  <c r="AI51" i="17"/>
  <c r="AH51" i="17" s="1"/>
  <c r="AI67" i="17"/>
  <c r="AH67" i="17" s="1"/>
  <c r="AI83" i="17"/>
  <c r="AH83" i="17" s="1"/>
  <c r="AI99" i="17"/>
  <c r="AH99" i="17" s="1"/>
  <c r="AI115" i="17"/>
  <c r="AH115" i="17" s="1"/>
  <c r="AI130" i="17"/>
  <c r="AH130" i="17" s="1"/>
  <c r="AI138" i="17"/>
  <c r="AH138" i="17" s="1"/>
  <c r="AI146" i="17"/>
  <c r="AH146" i="17" s="1"/>
  <c r="AI154" i="17"/>
  <c r="AH154" i="17" s="1"/>
  <c r="AI162" i="17"/>
  <c r="AH162" i="17" s="1"/>
  <c r="AI170" i="17"/>
  <c r="AH170" i="17" s="1"/>
  <c r="AI178" i="17"/>
  <c r="AH178" i="17" s="1"/>
  <c r="AI186" i="17"/>
  <c r="AH186" i="17" s="1"/>
  <c r="AI194" i="17"/>
  <c r="AH194" i="17" s="1"/>
  <c r="AI202" i="17"/>
  <c r="AH202" i="17" s="1"/>
  <c r="AI210" i="17"/>
  <c r="AH210" i="17" s="1"/>
  <c r="AI218" i="17"/>
  <c r="AH218" i="17" s="1"/>
  <c r="AI226" i="17"/>
  <c r="AH226" i="17" s="1"/>
  <c r="AI234" i="17"/>
  <c r="AH234" i="17" s="1"/>
  <c r="AI242" i="17"/>
  <c r="AH242" i="17" s="1"/>
  <c r="AI250" i="17"/>
  <c r="AH250" i="17" s="1"/>
  <c r="AI258" i="17"/>
  <c r="AH258" i="17" s="1"/>
  <c r="AI266" i="17"/>
  <c r="AH266" i="17" s="1"/>
  <c r="AI274" i="17"/>
  <c r="AH274" i="17" s="1"/>
  <c r="AI282" i="17"/>
  <c r="AH282" i="17" s="1"/>
  <c r="AI290" i="17"/>
  <c r="AH290" i="17" s="1"/>
  <c r="AI298" i="17"/>
  <c r="AH298" i="17" s="1"/>
  <c r="AI306" i="17"/>
  <c r="AH306" i="17" s="1"/>
  <c r="AI314" i="17"/>
  <c r="AH314" i="17" s="1"/>
  <c r="AI322" i="17"/>
  <c r="AH322" i="17" s="1"/>
  <c r="AI378" i="17"/>
  <c r="AH378" i="17" s="1"/>
  <c r="AI370" i="17"/>
  <c r="AH370" i="17" s="1"/>
  <c r="AI362" i="17"/>
  <c r="AH362" i="17" s="1"/>
  <c r="AI354" i="17"/>
  <c r="AH354" i="17" s="1"/>
  <c r="AI346" i="17"/>
  <c r="AH346" i="17" s="1"/>
  <c r="AI338" i="17"/>
  <c r="AH338" i="17" s="1"/>
  <c r="AI330" i="17"/>
  <c r="AH330" i="17" s="1"/>
  <c r="AI316" i="17"/>
  <c r="AH316" i="17" s="1"/>
  <c r="AI300" i="17"/>
  <c r="AH300" i="17" s="1"/>
  <c r="AI284" i="17"/>
  <c r="AH284" i="17" s="1"/>
  <c r="AI268" i="17"/>
  <c r="AH268" i="17" s="1"/>
  <c r="AI252" i="17"/>
  <c r="AH252" i="17" s="1"/>
  <c r="AI236" i="17"/>
  <c r="AH236" i="17" s="1"/>
  <c r="AI220" i="17"/>
  <c r="AH220" i="17" s="1"/>
  <c r="AI204" i="17"/>
  <c r="AH204" i="17" s="1"/>
  <c r="AI188" i="17"/>
  <c r="AH188" i="17" s="1"/>
  <c r="AI172" i="17"/>
  <c r="AH172" i="17" s="1"/>
  <c r="AI156" i="17"/>
  <c r="AH156" i="17" s="1"/>
  <c r="AI140" i="17"/>
  <c r="AH140" i="17" s="1"/>
  <c r="AI27" i="17"/>
  <c r="AH27" i="17" s="1"/>
  <c r="AI59" i="17"/>
  <c r="AH59" i="17" s="1"/>
  <c r="AI91" i="17"/>
  <c r="AH91" i="17" s="1"/>
  <c r="AI123" i="17"/>
  <c r="AH123" i="17" s="1"/>
  <c r="AI142" i="17"/>
  <c r="AH142" i="17" s="1"/>
  <c r="AI158" i="17"/>
  <c r="AH158" i="17" s="1"/>
  <c r="AI174" i="17"/>
  <c r="AH174" i="17" s="1"/>
  <c r="AI190" i="17"/>
  <c r="AH190" i="17" s="1"/>
  <c r="AI206" i="17"/>
  <c r="AH206" i="17" s="1"/>
  <c r="AI222" i="17"/>
  <c r="AH222" i="17" s="1"/>
  <c r="AI238" i="17"/>
  <c r="AH238" i="17" s="1"/>
  <c r="AI254" i="17"/>
  <c r="AH254" i="17" s="1"/>
  <c r="AI270" i="17"/>
  <c r="AH270" i="17" s="1"/>
  <c r="AI286" i="17"/>
  <c r="AH286" i="17" s="1"/>
  <c r="AI302" i="17"/>
  <c r="AH302" i="17" s="1"/>
  <c r="AI318" i="17"/>
  <c r="AH318" i="17" s="1"/>
  <c r="AI374" i="17"/>
  <c r="AH374" i="17" s="1"/>
  <c r="AI358" i="17"/>
  <c r="AH358" i="17" s="1"/>
  <c r="AI342" i="17"/>
  <c r="AH342" i="17" s="1"/>
  <c r="AI324" i="17"/>
  <c r="AH324" i="17" s="1"/>
  <c r="AI292" i="17"/>
  <c r="AH292" i="17" s="1"/>
  <c r="AI260" i="17"/>
  <c r="AH260" i="17" s="1"/>
  <c r="AI228" i="17"/>
  <c r="AH228" i="17" s="1"/>
  <c r="AI196" i="17"/>
  <c r="AH196" i="17" s="1"/>
  <c r="AI164" i="17"/>
  <c r="AH164" i="17" s="1"/>
  <c r="AI132" i="17"/>
  <c r="AH132" i="17" s="1"/>
  <c r="AI103" i="17"/>
  <c r="AH103" i="17" s="1"/>
  <c r="AI71" i="17"/>
  <c r="AH71" i="17" s="1"/>
  <c r="AI39" i="17"/>
  <c r="AH39" i="17" s="1"/>
  <c r="AI17" i="17"/>
  <c r="AH17" i="17" s="1"/>
  <c r="AI20" i="17"/>
  <c r="AH20" i="17" s="1"/>
  <c r="AI24" i="17"/>
  <c r="AH24" i="17" s="1"/>
  <c r="AI28" i="17"/>
  <c r="AH28" i="17" s="1"/>
  <c r="AI32" i="17"/>
  <c r="AH32" i="17" s="1"/>
  <c r="AI36" i="17"/>
  <c r="AH36" i="17" s="1"/>
  <c r="AI40" i="17"/>
  <c r="AH40" i="17" s="1"/>
  <c r="AI44" i="17"/>
  <c r="AH44" i="17" s="1"/>
  <c r="AI48" i="17"/>
  <c r="AH48" i="17" s="1"/>
  <c r="AI52" i="17"/>
  <c r="AH52" i="17" s="1"/>
  <c r="AI56" i="17"/>
  <c r="AH56" i="17" s="1"/>
  <c r="AI60" i="17"/>
  <c r="AH60" i="17" s="1"/>
  <c r="AI64" i="17"/>
  <c r="AH64" i="17" s="1"/>
  <c r="AI68" i="17"/>
  <c r="AH68" i="17" s="1"/>
  <c r="AI72" i="17"/>
  <c r="AH72" i="17" s="1"/>
  <c r="AI76" i="17"/>
  <c r="AH76" i="17" s="1"/>
  <c r="AI80" i="17"/>
  <c r="AH80" i="17" s="1"/>
  <c r="AI84" i="17"/>
  <c r="AH84" i="17" s="1"/>
  <c r="AI88" i="17"/>
  <c r="AH88" i="17" s="1"/>
  <c r="AI92" i="17"/>
  <c r="AH92" i="17" s="1"/>
  <c r="AI96" i="17"/>
  <c r="AH96" i="17" s="1"/>
  <c r="AI100" i="17"/>
  <c r="AH100" i="17" s="1"/>
  <c r="AI104" i="17"/>
  <c r="AH104" i="17" s="1"/>
  <c r="AI108" i="17"/>
  <c r="AH108" i="17" s="1"/>
  <c r="AI112" i="17"/>
  <c r="AH112" i="17" s="1"/>
  <c r="AI116" i="17"/>
  <c r="AH116" i="17" s="1"/>
  <c r="AI120" i="17"/>
  <c r="AH120" i="17" s="1"/>
  <c r="AI124" i="17"/>
  <c r="AH124" i="17" s="1"/>
  <c r="AI128" i="17"/>
  <c r="AH128" i="17" s="1"/>
  <c r="AI379" i="17"/>
  <c r="AI375" i="17"/>
  <c r="AH375" i="17" s="1"/>
  <c r="AI371" i="17"/>
  <c r="AH371" i="17" s="1"/>
  <c r="AI367" i="17"/>
  <c r="AH367" i="17" s="1"/>
  <c r="AI363" i="17"/>
  <c r="AH363" i="17" s="1"/>
  <c r="AI359" i="17"/>
  <c r="AH359" i="17" s="1"/>
  <c r="AI355" i="17"/>
  <c r="AH355" i="17" s="1"/>
  <c r="AI351" i="17"/>
  <c r="AH351" i="17" s="1"/>
  <c r="AI347" i="17"/>
  <c r="AH347" i="17" s="1"/>
  <c r="AI343" i="17"/>
  <c r="AH343" i="17" s="1"/>
  <c r="AI339" i="17"/>
  <c r="AH339" i="17" s="1"/>
  <c r="AI335" i="17"/>
  <c r="AH335" i="17" s="1"/>
  <c r="AI331" i="17"/>
  <c r="AH331" i="17" s="1"/>
  <c r="AI327" i="17"/>
  <c r="AH327" i="17" s="1"/>
  <c r="AI323" i="17"/>
  <c r="AH323" i="17" s="1"/>
  <c r="AI319" i="17"/>
  <c r="AH319" i="17" s="1"/>
  <c r="AI315" i="17"/>
  <c r="AH315" i="17" s="1"/>
  <c r="AI311" i="17"/>
  <c r="AH311" i="17" s="1"/>
  <c r="AI307" i="17"/>
  <c r="AH307" i="17" s="1"/>
  <c r="AI303" i="17"/>
  <c r="AH303" i="17" s="1"/>
  <c r="AI299" i="17"/>
  <c r="AH299" i="17" s="1"/>
  <c r="AI295" i="17"/>
  <c r="AH295" i="17" s="1"/>
  <c r="AI291" i="17"/>
  <c r="AH291" i="17" s="1"/>
  <c r="AI287" i="17"/>
  <c r="AH287" i="17" s="1"/>
  <c r="AI283" i="17"/>
  <c r="AH283" i="17" s="1"/>
  <c r="AI279" i="17"/>
  <c r="AH279" i="17" s="1"/>
  <c r="AI275" i="17"/>
  <c r="AH275" i="17" s="1"/>
  <c r="AI43" i="17"/>
  <c r="AH43" i="17" s="1"/>
  <c r="AI75" i="17"/>
  <c r="AH75" i="17" s="1"/>
  <c r="AI107" i="17"/>
  <c r="AH107" i="17" s="1"/>
  <c r="AI134" i="17"/>
  <c r="AH134" i="17" s="1"/>
  <c r="AI150" i="17"/>
  <c r="AH150" i="17" s="1"/>
  <c r="AI166" i="17"/>
  <c r="AH166" i="17" s="1"/>
  <c r="AI182" i="17"/>
  <c r="AH182" i="17" s="1"/>
  <c r="AI198" i="17"/>
  <c r="AH198" i="17" s="1"/>
  <c r="AI214" i="17"/>
  <c r="AH214" i="17" s="1"/>
  <c r="AI230" i="17"/>
  <c r="AH230" i="17" s="1"/>
  <c r="AI246" i="17"/>
  <c r="AH246" i="17" s="1"/>
  <c r="AI262" i="17"/>
  <c r="AH262" i="17" s="1"/>
  <c r="AI278" i="17"/>
  <c r="AH278" i="17" s="1"/>
  <c r="AI294" i="17"/>
  <c r="AH294" i="17" s="1"/>
  <c r="AI310" i="17"/>
  <c r="AH310" i="17" s="1"/>
  <c r="AI326" i="17"/>
  <c r="AH326" i="17" s="1"/>
  <c r="AI366" i="17"/>
  <c r="AH366" i="17" s="1"/>
  <c r="AI350" i="17"/>
  <c r="AH350" i="17" s="1"/>
  <c r="AI334" i="17"/>
  <c r="AH334" i="17" s="1"/>
  <c r="AI308" i="17"/>
  <c r="AH308" i="17" s="1"/>
  <c r="AI276" i="17"/>
  <c r="AH276" i="17" s="1"/>
  <c r="AI244" i="17"/>
  <c r="AH244" i="17" s="1"/>
  <c r="AI212" i="17"/>
  <c r="AH212" i="17" s="1"/>
  <c r="AI180" i="17"/>
  <c r="AH180" i="17" s="1"/>
  <c r="AI148" i="17"/>
  <c r="AH148" i="17" s="1"/>
  <c r="AI119" i="17"/>
  <c r="AH119" i="17" s="1"/>
  <c r="AI87" i="17"/>
  <c r="AH87" i="17" s="1"/>
  <c r="AI55" i="17"/>
  <c r="AH55" i="17" s="1"/>
  <c r="AI23" i="17"/>
  <c r="AH23" i="17" s="1"/>
  <c r="W16" i="7"/>
  <c r="AI16" i="17"/>
  <c r="AH16" i="17" s="1"/>
  <c r="AG16" i="17" s="1"/>
  <c r="AF16" i="17" s="1"/>
  <c r="AI22" i="17"/>
  <c r="AH22" i="17" s="1"/>
  <c r="AI26" i="17"/>
  <c r="AH26" i="17" s="1"/>
  <c r="AI30" i="17"/>
  <c r="AH30" i="17" s="1"/>
  <c r="AI34" i="17"/>
  <c r="AH34" i="17" s="1"/>
  <c r="AI38" i="17"/>
  <c r="AH38" i="17" s="1"/>
  <c r="AI42" i="17"/>
  <c r="AH42" i="17" s="1"/>
  <c r="AI46" i="17"/>
  <c r="AH46" i="17" s="1"/>
  <c r="AI50" i="17"/>
  <c r="AH50" i="17" s="1"/>
  <c r="AI54" i="17"/>
  <c r="AH54" i="17" s="1"/>
  <c r="AI58" i="17"/>
  <c r="AH58" i="17" s="1"/>
  <c r="AI62" i="17"/>
  <c r="AH62" i="17" s="1"/>
  <c r="AI66" i="17"/>
  <c r="AH66" i="17" s="1"/>
  <c r="AI70" i="17"/>
  <c r="AH70" i="17" s="1"/>
  <c r="AI74" i="17"/>
  <c r="AH74" i="17" s="1"/>
  <c r="AI78" i="17"/>
  <c r="AH78" i="17" s="1"/>
  <c r="AI82" i="17"/>
  <c r="AH82" i="17" s="1"/>
  <c r="AI86" i="17"/>
  <c r="AH86" i="17" s="1"/>
  <c r="AI90" i="17"/>
  <c r="AH90" i="17" s="1"/>
  <c r="AI94" i="17"/>
  <c r="AH94" i="17" s="1"/>
  <c r="AI98" i="17"/>
  <c r="AH98" i="17" s="1"/>
  <c r="AI102" i="17"/>
  <c r="AH102" i="17" s="1"/>
  <c r="AI106" i="17"/>
  <c r="AH106" i="17" s="1"/>
  <c r="AI110" i="17"/>
  <c r="AH110" i="17" s="1"/>
  <c r="AI114" i="17"/>
  <c r="AH114" i="17" s="1"/>
  <c r="AI118" i="17"/>
  <c r="AH118" i="17" s="1"/>
  <c r="AI122" i="17"/>
  <c r="AH122" i="17" s="1"/>
  <c r="AI126" i="17"/>
  <c r="AH126" i="17" s="1"/>
  <c r="AI377" i="17"/>
  <c r="AH377" i="17" s="1"/>
  <c r="AI373" i="17"/>
  <c r="AH373" i="17" s="1"/>
  <c r="AI369" i="17"/>
  <c r="AH369" i="17" s="1"/>
  <c r="AI365" i="17"/>
  <c r="AH365" i="17" s="1"/>
  <c r="AI361" i="17"/>
  <c r="AH361" i="17" s="1"/>
  <c r="AI357" i="17"/>
  <c r="AH357" i="17" s="1"/>
  <c r="AI353" i="17"/>
  <c r="AH353" i="17" s="1"/>
  <c r="AI349" i="17"/>
  <c r="AH349" i="17" s="1"/>
  <c r="AI345" i="17"/>
  <c r="AH345" i="17" s="1"/>
  <c r="AI341" i="17"/>
  <c r="AH341" i="17" s="1"/>
  <c r="AI337" i="17"/>
  <c r="AH337" i="17" s="1"/>
  <c r="AI333" i="17"/>
  <c r="AH333" i="17" s="1"/>
  <c r="AI329" i="17"/>
  <c r="AH329" i="17" s="1"/>
  <c r="AI325" i="17"/>
  <c r="AH325" i="17" s="1"/>
  <c r="AI321" i="17"/>
  <c r="AH321" i="17" s="1"/>
  <c r="AI317" i="17"/>
  <c r="AH317" i="17" s="1"/>
  <c r="AI313" i="17"/>
  <c r="AH313" i="17" s="1"/>
  <c r="AI309" i="17"/>
  <c r="AH309" i="17" s="1"/>
  <c r="AI305" i="17"/>
  <c r="AH305" i="17" s="1"/>
  <c r="AI301" i="17"/>
  <c r="AH301" i="17" s="1"/>
  <c r="AI297" i="17"/>
  <c r="AH297" i="17" s="1"/>
  <c r="AI293" i="17"/>
  <c r="AH293" i="17" s="1"/>
  <c r="AI289" i="17"/>
  <c r="AH289" i="17" s="1"/>
  <c r="AI285" i="17"/>
  <c r="AH285" i="17" s="1"/>
  <c r="AI281" i="17"/>
  <c r="AH281" i="17" s="1"/>
  <c r="AI277" i="17"/>
  <c r="AH277" i="17" s="1"/>
  <c r="AI273" i="17"/>
  <c r="AH273" i="17" s="1"/>
  <c r="AI271" i="17"/>
  <c r="AH271" i="17" s="1"/>
  <c r="AI267" i="17"/>
  <c r="AH267" i="17" s="1"/>
  <c r="AI263" i="17"/>
  <c r="AH263" i="17" s="1"/>
  <c r="AI259" i="17"/>
  <c r="AH259" i="17" s="1"/>
  <c r="AI255" i="17"/>
  <c r="AH255" i="17" s="1"/>
  <c r="AI251" i="17"/>
  <c r="AH251" i="17" s="1"/>
  <c r="AI247" i="17"/>
  <c r="AH247" i="17" s="1"/>
  <c r="AI243" i="17"/>
  <c r="AH243" i="17" s="1"/>
  <c r="AI239" i="17"/>
  <c r="AH239" i="17" s="1"/>
  <c r="AI235" i="17"/>
  <c r="AH235" i="17" s="1"/>
  <c r="AI231" i="17"/>
  <c r="AH231" i="17" s="1"/>
  <c r="AI227" i="17"/>
  <c r="AH227" i="17" s="1"/>
  <c r="AI223" i="17"/>
  <c r="AH223" i="17" s="1"/>
  <c r="AI219" i="17"/>
  <c r="AH219" i="17" s="1"/>
  <c r="AI215" i="17"/>
  <c r="AH215" i="17" s="1"/>
  <c r="AI211" i="17"/>
  <c r="AH211" i="17" s="1"/>
  <c r="AI207" i="17"/>
  <c r="AH207" i="17" s="1"/>
  <c r="AI203" i="17"/>
  <c r="AH203" i="17" s="1"/>
  <c r="AI199" i="17"/>
  <c r="AH199" i="17" s="1"/>
  <c r="AI195" i="17"/>
  <c r="AH195" i="17" s="1"/>
  <c r="AI191" i="17"/>
  <c r="AH191" i="17" s="1"/>
  <c r="AI187" i="17"/>
  <c r="AH187" i="17" s="1"/>
  <c r="AI183" i="17"/>
  <c r="AH183" i="17" s="1"/>
  <c r="AI179" i="17"/>
  <c r="AH179" i="17" s="1"/>
  <c r="AI175" i="17"/>
  <c r="AH175" i="17" s="1"/>
  <c r="AI171" i="17"/>
  <c r="AH171" i="17" s="1"/>
  <c r="AI167" i="17"/>
  <c r="AH167" i="17" s="1"/>
  <c r="AI163" i="17"/>
  <c r="AH163" i="17" s="1"/>
  <c r="AI159" i="17"/>
  <c r="AH159" i="17" s="1"/>
  <c r="AI155" i="17"/>
  <c r="AH155" i="17" s="1"/>
  <c r="AI151" i="17"/>
  <c r="AH151" i="17" s="1"/>
  <c r="AI147" i="17"/>
  <c r="AH147" i="17" s="1"/>
  <c r="AI143" i="17"/>
  <c r="AH143" i="17" s="1"/>
  <c r="AI139" i="17"/>
  <c r="AH139" i="17" s="1"/>
  <c r="AI135" i="17"/>
  <c r="AH135" i="17" s="1"/>
  <c r="AI131" i="17"/>
  <c r="AH131" i="17" s="1"/>
  <c r="AI125" i="17"/>
  <c r="AH125" i="17" s="1"/>
  <c r="AI117" i="17"/>
  <c r="AH117" i="17" s="1"/>
  <c r="AI109" i="17"/>
  <c r="AH109" i="17" s="1"/>
  <c r="AI101" i="17"/>
  <c r="AH101" i="17" s="1"/>
  <c r="AI93" i="17"/>
  <c r="AH93" i="17" s="1"/>
  <c r="AI85" i="17"/>
  <c r="AH85" i="17" s="1"/>
  <c r="AI77" i="17"/>
  <c r="AH77" i="17" s="1"/>
  <c r="AI69" i="17"/>
  <c r="AH69" i="17" s="1"/>
  <c r="AI61" i="17"/>
  <c r="AH61" i="17" s="1"/>
  <c r="AI53" i="17"/>
  <c r="AH53" i="17" s="1"/>
  <c r="AI45" i="17"/>
  <c r="AH45" i="17" s="1"/>
  <c r="AI37" i="17"/>
  <c r="AH37" i="17" s="1"/>
  <c r="AI29" i="17"/>
  <c r="AH29" i="17" s="1"/>
  <c r="AI21" i="17"/>
  <c r="AH21" i="17" s="1"/>
  <c r="U377" i="17"/>
  <c r="T377" i="17" s="1"/>
  <c r="S377" i="17" s="1"/>
  <c r="R377" i="17" s="1"/>
  <c r="P377" i="17" s="1"/>
  <c r="V377" i="17" s="1"/>
  <c r="U373" i="17"/>
  <c r="T373" i="17" s="1"/>
  <c r="S373" i="17" s="1"/>
  <c r="R373" i="17" s="1"/>
  <c r="P373" i="17" s="1"/>
  <c r="V373" i="17" s="1"/>
  <c r="U369" i="17"/>
  <c r="T369" i="17" s="1"/>
  <c r="S369" i="17" s="1"/>
  <c r="R369" i="17" s="1"/>
  <c r="P369" i="17" s="1"/>
  <c r="V369" i="17" s="1"/>
  <c r="U365" i="17"/>
  <c r="T365" i="17" s="1"/>
  <c r="U361" i="17"/>
  <c r="T361" i="17" s="1"/>
  <c r="S361" i="17" s="1"/>
  <c r="R361" i="17" s="1"/>
  <c r="P361" i="17" s="1"/>
  <c r="V361" i="17" s="1"/>
  <c r="U357" i="17"/>
  <c r="T357" i="17" s="1"/>
  <c r="U353" i="17"/>
  <c r="T353" i="17" s="1"/>
  <c r="S353" i="17" s="1"/>
  <c r="R353" i="17" s="1"/>
  <c r="P353" i="17" s="1"/>
  <c r="V353" i="17" s="1"/>
  <c r="U349" i="17"/>
  <c r="T349" i="17" s="1"/>
  <c r="U345" i="17"/>
  <c r="T345" i="17" s="1"/>
  <c r="U341" i="17"/>
  <c r="T341" i="17" s="1"/>
  <c r="S341" i="17" s="1"/>
  <c r="R341" i="17" s="1"/>
  <c r="P341" i="17" s="1"/>
  <c r="U337" i="17"/>
  <c r="T337" i="17" s="1"/>
  <c r="S337" i="17" s="1"/>
  <c r="R337" i="17" s="1"/>
  <c r="P337" i="17" s="1"/>
  <c r="V337" i="17" s="1"/>
  <c r="U333" i="17"/>
  <c r="T333" i="17" s="1"/>
  <c r="U329" i="17"/>
  <c r="T329" i="17" s="1"/>
  <c r="S329" i="17" s="1"/>
  <c r="R329" i="17" s="1"/>
  <c r="P329" i="17" s="1"/>
  <c r="V329" i="17" s="1"/>
  <c r="U325" i="17"/>
  <c r="T325" i="17" s="1"/>
  <c r="S325" i="17" s="1"/>
  <c r="R325" i="17" s="1"/>
  <c r="P325" i="17" s="1"/>
  <c r="V325" i="17" s="1"/>
  <c r="U321" i="17"/>
  <c r="T321" i="17" s="1"/>
  <c r="U317" i="17"/>
  <c r="T317" i="17" s="1"/>
  <c r="S317" i="17" s="1"/>
  <c r="R317" i="17" s="1"/>
  <c r="P317" i="17" s="1"/>
  <c r="U313" i="17"/>
  <c r="T313" i="17" s="1"/>
  <c r="S313" i="17" s="1"/>
  <c r="R313" i="17" s="1"/>
  <c r="P313" i="17" s="1"/>
  <c r="U309" i="17"/>
  <c r="T309" i="17" s="1"/>
  <c r="S309" i="17" s="1"/>
  <c r="R309" i="17" s="1"/>
  <c r="P309" i="17" s="1"/>
  <c r="V309" i="17" s="1"/>
  <c r="U305" i="17"/>
  <c r="T305" i="17" s="1"/>
  <c r="U301" i="17"/>
  <c r="T301" i="17" s="1"/>
  <c r="S301" i="17" s="1"/>
  <c r="R301" i="17" s="1"/>
  <c r="P301" i="17" s="1"/>
  <c r="V301" i="17" s="1"/>
  <c r="U297" i="17"/>
  <c r="T297" i="17" s="1"/>
  <c r="S297" i="17" s="1"/>
  <c r="R297" i="17" s="1"/>
  <c r="P297" i="17" s="1"/>
  <c r="V297" i="17" s="1"/>
  <c r="U293" i="17"/>
  <c r="T293" i="17" s="1"/>
  <c r="S293" i="17" s="1"/>
  <c r="R293" i="17" s="1"/>
  <c r="P293" i="17" s="1"/>
  <c r="U289" i="17"/>
  <c r="T289" i="17" s="1"/>
  <c r="U285" i="17"/>
  <c r="T285" i="17" s="1"/>
  <c r="S285" i="17" s="1"/>
  <c r="R285" i="17" s="1"/>
  <c r="P285" i="17" s="1"/>
  <c r="V285" i="17" s="1"/>
  <c r="U281" i="17"/>
  <c r="T281" i="17" s="1"/>
  <c r="S281" i="17" s="1"/>
  <c r="R281" i="17" s="1"/>
  <c r="P281" i="17" s="1"/>
  <c r="V281" i="17" s="1"/>
  <c r="U277" i="17"/>
  <c r="T277" i="17" s="1"/>
  <c r="U273" i="17"/>
  <c r="T273" i="17" s="1"/>
  <c r="U269" i="17"/>
  <c r="T269" i="17" s="1"/>
  <c r="U265" i="17"/>
  <c r="T265" i="17" s="1"/>
  <c r="U261" i="17"/>
  <c r="T261" i="17" s="1"/>
  <c r="U257" i="17"/>
  <c r="T257" i="17" s="1"/>
  <c r="U253" i="17"/>
  <c r="T253" i="17" s="1"/>
  <c r="S253" i="17" s="1"/>
  <c r="R253" i="17" s="1"/>
  <c r="P253" i="17" s="1"/>
  <c r="V253" i="17" s="1"/>
  <c r="U249" i="17"/>
  <c r="T249" i="17" s="1"/>
  <c r="S249" i="17" s="1"/>
  <c r="R249" i="17" s="1"/>
  <c r="P249" i="17" s="1"/>
  <c r="U245" i="17"/>
  <c r="T245" i="17" s="1"/>
  <c r="U241" i="17"/>
  <c r="T241" i="17" s="1"/>
  <c r="S241" i="17" s="1"/>
  <c r="R241" i="17" s="1"/>
  <c r="P241" i="17" s="1"/>
  <c r="D63" i="7" s="1"/>
  <c r="U237" i="17"/>
  <c r="T237" i="17" s="1"/>
  <c r="S237" i="17" s="1"/>
  <c r="R237" i="17" s="1"/>
  <c r="P237" i="17" s="1"/>
  <c r="V237" i="17" s="1"/>
  <c r="U233" i="17"/>
  <c r="T233" i="17" s="1"/>
  <c r="U229" i="17"/>
  <c r="T229" i="17" s="1"/>
  <c r="S229" i="17" s="1"/>
  <c r="R229" i="17" s="1"/>
  <c r="P229" i="17" s="1"/>
  <c r="U225" i="17"/>
  <c r="T225" i="17" s="1"/>
  <c r="S225" i="17" s="1"/>
  <c r="R225" i="17" s="1"/>
  <c r="P225" i="17" s="1"/>
  <c r="V225" i="17" s="1"/>
  <c r="U221" i="17"/>
  <c r="T221" i="17" s="1"/>
  <c r="U217" i="17"/>
  <c r="T217" i="17" s="1"/>
  <c r="S217" i="17" s="1"/>
  <c r="R217" i="17" s="1"/>
  <c r="P217" i="17" s="1"/>
  <c r="V217" i="17" s="1"/>
  <c r="U213" i="17"/>
  <c r="T213" i="17" s="1"/>
  <c r="U209" i="17"/>
  <c r="T209" i="17" s="1"/>
  <c r="S209" i="17" s="1"/>
  <c r="R209" i="17" s="1"/>
  <c r="P209" i="17" s="1"/>
  <c r="V209" i="17" s="1"/>
  <c r="U205" i="17"/>
  <c r="T205" i="17" s="1"/>
  <c r="U201" i="17"/>
  <c r="T201" i="17" s="1"/>
  <c r="U197" i="17"/>
  <c r="T197" i="17" s="1"/>
  <c r="U193" i="17"/>
  <c r="T193" i="17" s="1"/>
  <c r="S193" i="17" s="1"/>
  <c r="R193" i="17" s="1"/>
  <c r="P193" i="17" s="1"/>
  <c r="U189" i="17"/>
  <c r="T189" i="17" s="1"/>
  <c r="U185" i="17"/>
  <c r="T185" i="17" s="1"/>
  <c r="U181" i="17"/>
  <c r="T181" i="17" s="1"/>
  <c r="S181" i="17" s="1"/>
  <c r="R181" i="17" s="1"/>
  <c r="P181" i="17" s="1"/>
  <c r="V181" i="17" s="1"/>
  <c r="U177" i="17"/>
  <c r="T177" i="17" s="1"/>
  <c r="U173" i="17"/>
  <c r="T173" i="17" s="1"/>
  <c r="U169" i="17"/>
  <c r="T169" i="17" s="1"/>
  <c r="U165" i="17"/>
  <c r="T165" i="17" s="1"/>
  <c r="U161" i="17"/>
  <c r="T161" i="17" s="1"/>
  <c r="S161" i="17" s="1"/>
  <c r="R161" i="17" s="1"/>
  <c r="P161" i="17" s="1"/>
  <c r="V161" i="17" s="1"/>
  <c r="U157" i="17"/>
  <c r="T157" i="17" s="1"/>
  <c r="S157" i="17" s="1"/>
  <c r="R157" i="17" s="1"/>
  <c r="P157" i="17" s="1"/>
  <c r="V157" i="17" s="1"/>
  <c r="U153" i="17"/>
  <c r="T153" i="17" s="1"/>
  <c r="U149" i="17"/>
  <c r="T149" i="17" s="1"/>
  <c r="U145" i="17"/>
  <c r="T145" i="17" s="1"/>
  <c r="U141" i="17"/>
  <c r="T141" i="17" s="1"/>
  <c r="S141" i="17" s="1"/>
  <c r="R141" i="17" s="1"/>
  <c r="P141" i="17" s="1"/>
  <c r="V141" i="17" s="1"/>
  <c r="U137" i="17"/>
  <c r="T137" i="17" s="1"/>
  <c r="U133" i="17"/>
  <c r="T133" i="17" s="1"/>
  <c r="U129" i="17"/>
  <c r="T129" i="17" s="1"/>
  <c r="S129" i="17" s="1"/>
  <c r="R129" i="17" s="1"/>
  <c r="P129" i="17" s="1"/>
  <c r="V129" i="17" s="1"/>
  <c r="U125" i="17"/>
  <c r="T125" i="17" s="1"/>
  <c r="U121" i="17"/>
  <c r="T121" i="17" s="1"/>
  <c r="U117" i="17"/>
  <c r="T117" i="17" s="1"/>
  <c r="S117" i="17" s="1"/>
  <c r="R117" i="17" s="1"/>
  <c r="P117" i="17" s="1"/>
  <c r="V117" i="17" s="1"/>
  <c r="U113" i="17"/>
  <c r="T113" i="17" s="1"/>
  <c r="S113" i="17" s="1"/>
  <c r="R113" i="17" s="1"/>
  <c r="P113" i="17" s="1"/>
  <c r="V113" i="17" s="1"/>
  <c r="U109" i="17"/>
  <c r="T109" i="17" s="1"/>
  <c r="U105" i="17"/>
  <c r="T105" i="17" s="1"/>
  <c r="S105" i="17" s="1"/>
  <c r="R105" i="17" s="1"/>
  <c r="P105" i="17" s="1"/>
  <c r="U101" i="17"/>
  <c r="T101" i="17" s="1"/>
  <c r="U97" i="17"/>
  <c r="T97" i="17" s="1"/>
  <c r="U93" i="17"/>
  <c r="T93" i="17" s="1"/>
  <c r="S93" i="17" s="1"/>
  <c r="R93" i="17" s="1"/>
  <c r="P93" i="17" s="1"/>
  <c r="U89" i="17"/>
  <c r="T89" i="17" s="1"/>
  <c r="S89" i="17" s="1"/>
  <c r="R89" i="17" s="1"/>
  <c r="P89" i="17" s="1"/>
  <c r="V89" i="17" s="1"/>
  <c r="U85" i="17"/>
  <c r="T85" i="17" s="1"/>
  <c r="S85" i="17" s="1"/>
  <c r="R85" i="17" s="1"/>
  <c r="P85" i="17" s="1"/>
  <c r="V85" i="17" s="1"/>
  <c r="U81" i="17"/>
  <c r="T81" i="17" s="1"/>
  <c r="U77" i="17"/>
  <c r="T77" i="17" s="1"/>
  <c r="U73" i="17"/>
  <c r="T73" i="17" s="1"/>
  <c r="S73" i="17" s="1"/>
  <c r="R73" i="17" s="1"/>
  <c r="P73" i="17" s="1"/>
  <c r="V73" i="17" s="1"/>
  <c r="U69" i="17"/>
  <c r="T69" i="17" s="1"/>
  <c r="S69" i="17" s="1"/>
  <c r="R69" i="17" s="1"/>
  <c r="P69" i="17" s="1"/>
  <c r="U65" i="17"/>
  <c r="T65" i="17" s="1"/>
  <c r="S65" i="17" s="1"/>
  <c r="R65" i="17" s="1"/>
  <c r="P65" i="17" s="1"/>
  <c r="V65" i="17" s="1"/>
  <c r="U61" i="17"/>
  <c r="T61" i="17" s="1"/>
  <c r="S61" i="17" s="1"/>
  <c r="R61" i="17" s="1"/>
  <c r="P61" i="17" s="1"/>
  <c r="V61" i="17" s="1"/>
  <c r="U57" i="17"/>
  <c r="T57" i="17" s="1"/>
  <c r="U53" i="17"/>
  <c r="T53" i="17" s="1"/>
  <c r="U49" i="17"/>
  <c r="T49" i="17" s="1"/>
  <c r="S49" i="17" s="1"/>
  <c r="R49" i="17" s="1"/>
  <c r="P49" i="17" s="1"/>
  <c r="U45" i="17"/>
  <c r="T45" i="17" s="1"/>
  <c r="S45" i="17" s="1"/>
  <c r="R45" i="17" s="1"/>
  <c r="P45" i="17" s="1"/>
  <c r="U41" i="17"/>
  <c r="T41" i="17" s="1"/>
  <c r="U37" i="17"/>
  <c r="T37" i="17" s="1"/>
  <c r="U33" i="17"/>
  <c r="T33" i="17" s="1"/>
  <c r="S33" i="17" s="1"/>
  <c r="R33" i="17" s="1"/>
  <c r="P33" i="17" s="1"/>
  <c r="V33" i="17" s="1"/>
  <c r="U29" i="17"/>
  <c r="T29" i="17" s="1"/>
  <c r="U25" i="17"/>
  <c r="T25" i="17" s="1"/>
  <c r="S25" i="17" s="1"/>
  <c r="R25" i="17" s="1"/>
  <c r="P25" i="17" s="1"/>
  <c r="V25" i="17" s="1"/>
  <c r="U21" i="17"/>
  <c r="T21" i="17" s="1"/>
  <c r="S21" i="17" s="1"/>
  <c r="R21" i="17" s="1"/>
  <c r="P21" i="17" s="1"/>
  <c r="U16" i="17"/>
  <c r="T16" i="17" s="1"/>
  <c r="U378" i="17"/>
  <c r="T378" i="17" s="1"/>
  <c r="S378" i="17" s="1"/>
  <c r="R378" i="17" s="1"/>
  <c r="P378" i="17" s="1"/>
  <c r="V378" i="17" s="1"/>
  <c r="U374" i="17"/>
  <c r="T374" i="17" s="1"/>
  <c r="S374" i="17" s="1"/>
  <c r="R374" i="17" s="1"/>
  <c r="P374" i="17" s="1"/>
  <c r="V374" i="17" s="1"/>
  <c r="U370" i="17"/>
  <c r="T370" i="17" s="1"/>
  <c r="S370" i="17" s="1"/>
  <c r="R370" i="17" s="1"/>
  <c r="P370" i="17" s="1"/>
  <c r="AI269" i="17"/>
  <c r="AH269" i="17" s="1"/>
  <c r="AI265" i="17"/>
  <c r="AH265" i="17" s="1"/>
  <c r="AI261" i="17"/>
  <c r="AH261" i="17" s="1"/>
  <c r="AI257" i="17"/>
  <c r="AH257" i="17" s="1"/>
  <c r="AI253" i="17"/>
  <c r="AH253" i="17" s="1"/>
  <c r="AI249" i="17"/>
  <c r="AH249" i="17" s="1"/>
  <c r="AI245" i="17"/>
  <c r="AH245" i="17" s="1"/>
  <c r="AI241" i="17"/>
  <c r="AH241" i="17" s="1"/>
  <c r="AI237" i="17"/>
  <c r="AH237" i="17" s="1"/>
  <c r="AI233" i="17"/>
  <c r="AH233" i="17" s="1"/>
  <c r="AI229" i="17"/>
  <c r="AH229" i="17" s="1"/>
  <c r="AI225" i="17"/>
  <c r="AH225" i="17" s="1"/>
  <c r="AI221" i="17"/>
  <c r="AH221" i="17" s="1"/>
  <c r="AI217" i="17"/>
  <c r="AH217" i="17" s="1"/>
  <c r="AI213" i="17"/>
  <c r="AH213" i="17" s="1"/>
  <c r="AI209" i="17"/>
  <c r="AH209" i="17" s="1"/>
  <c r="AI205" i="17"/>
  <c r="AH205" i="17" s="1"/>
  <c r="AI201" i="17"/>
  <c r="AH201" i="17" s="1"/>
  <c r="AI197" i="17"/>
  <c r="AH197" i="17" s="1"/>
  <c r="AI193" i="17"/>
  <c r="AH193" i="17" s="1"/>
  <c r="AI189" i="17"/>
  <c r="AH189" i="17" s="1"/>
  <c r="AI185" i="17"/>
  <c r="AH185" i="17" s="1"/>
  <c r="AI181" i="17"/>
  <c r="AH181" i="17" s="1"/>
  <c r="AI177" i="17"/>
  <c r="AH177" i="17" s="1"/>
  <c r="AI173" i="17"/>
  <c r="AH173" i="17" s="1"/>
  <c r="AI169" i="17"/>
  <c r="AH169" i="17" s="1"/>
  <c r="AI165" i="17"/>
  <c r="AH165" i="17" s="1"/>
  <c r="AI161" i="17"/>
  <c r="AH161" i="17" s="1"/>
  <c r="AI157" i="17"/>
  <c r="AH157" i="17" s="1"/>
  <c r="AI153" i="17"/>
  <c r="AH153" i="17" s="1"/>
  <c r="AI149" i="17"/>
  <c r="AH149" i="17" s="1"/>
  <c r="AI145" i="17"/>
  <c r="AH145" i="17" s="1"/>
  <c r="AI141" i="17"/>
  <c r="AH141" i="17" s="1"/>
  <c r="AI137" i="17"/>
  <c r="AH137" i="17" s="1"/>
  <c r="AI133" i="17"/>
  <c r="AH133" i="17" s="1"/>
  <c r="AI129" i="17"/>
  <c r="AH129" i="17" s="1"/>
  <c r="AI121" i="17"/>
  <c r="AH121" i="17" s="1"/>
  <c r="AI113" i="17"/>
  <c r="AH113" i="17" s="1"/>
  <c r="AI105" i="17"/>
  <c r="AH105" i="17" s="1"/>
  <c r="AI97" i="17"/>
  <c r="AH97" i="17" s="1"/>
  <c r="AI89" i="17"/>
  <c r="AH89" i="17" s="1"/>
  <c r="AI81" i="17"/>
  <c r="AH81" i="17" s="1"/>
  <c r="AI73" i="17"/>
  <c r="AH73" i="17" s="1"/>
  <c r="AI65" i="17"/>
  <c r="AH65" i="17" s="1"/>
  <c r="AI57" i="17"/>
  <c r="AH57" i="17" s="1"/>
  <c r="AI49" i="17"/>
  <c r="AH49" i="17" s="1"/>
  <c r="AI41" i="17"/>
  <c r="AH41" i="17" s="1"/>
  <c r="AI33" i="17"/>
  <c r="AH33" i="17" s="1"/>
  <c r="AI25" i="17"/>
  <c r="AH25" i="17" s="1"/>
  <c r="AI19" i="17"/>
  <c r="AH19" i="17" s="1"/>
  <c r="AG19" i="17" s="1"/>
  <c r="AF19" i="17" s="1"/>
  <c r="AD19" i="17" s="1"/>
  <c r="U375" i="17"/>
  <c r="T375" i="17" s="1"/>
  <c r="S375" i="17" s="1"/>
  <c r="R375" i="17" s="1"/>
  <c r="P375" i="17" s="1"/>
  <c r="U367" i="17"/>
  <c r="T367" i="17" s="1"/>
  <c r="U359" i="17"/>
  <c r="T359" i="17" s="1"/>
  <c r="S359" i="17" s="1"/>
  <c r="R359" i="17" s="1"/>
  <c r="P359" i="17" s="1"/>
  <c r="U351" i="17"/>
  <c r="T351" i="17" s="1"/>
  <c r="U343" i="17"/>
  <c r="T343" i="17" s="1"/>
  <c r="S343" i="17" s="1"/>
  <c r="R343" i="17" s="1"/>
  <c r="P343" i="17" s="1"/>
  <c r="V343" i="17" s="1"/>
  <c r="U335" i="17"/>
  <c r="T335" i="17" s="1"/>
  <c r="S335" i="17" s="1"/>
  <c r="R335" i="17" s="1"/>
  <c r="P335" i="17" s="1"/>
  <c r="V335" i="17" s="1"/>
  <c r="U327" i="17"/>
  <c r="T327" i="17" s="1"/>
  <c r="S327" i="17" s="1"/>
  <c r="R327" i="17" s="1"/>
  <c r="P327" i="17" s="1"/>
  <c r="V327" i="17" s="1"/>
  <c r="U319" i="17"/>
  <c r="T319" i="17" s="1"/>
  <c r="S319" i="17" s="1"/>
  <c r="R319" i="17" s="1"/>
  <c r="P319" i="17" s="1"/>
  <c r="V319" i="17" s="1"/>
  <c r="U311" i="17"/>
  <c r="T311" i="17" s="1"/>
  <c r="S311" i="17" s="1"/>
  <c r="R311" i="17" s="1"/>
  <c r="P311" i="17" s="1"/>
  <c r="V311" i="17" s="1"/>
  <c r="U303" i="17"/>
  <c r="T303" i="17" s="1"/>
  <c r="U295" i="17"/>
  <c r="T295" i="17" s="1"/>
  <c r="U287" i="17"/>
  <c r="T287" i="17" s="1"/>
  <c r="S287" i="17" s="1"/>
  <c r="R287" i="17" s="1"/>
  <c r="P287" i="17" s="1"/>
  <c r="V287" i="17" s="1"/>
  <c r="U279" i="17"/>
  <c r="T279" i="17" s="1"/>
  <c r="S279" i="17" s="1"/>
  <c r="R279" i="17" s="1"/>
  <c r="P279" i="17" s="1"/>
  <c r="V279" i="17" s="1"/>
  <c r="U271" i="17"/>
  <c r="T271" i="17" s="1"/>
  <c r="S271" i="17" s="1"/>
  <c r="R271" i="17" s="1"/>
  <c r="P271" i="17" s="1"/>
  <c r="U263" i="17"/>
  <c r="T263" i="17" s="1"/>
  <c r="S263" i="17" s="1"/>
  <c r="R263" i="17" s="1"/>
  <c r="P263" i="17" s="1"/>
  <c r="V263" i="17" s="1"/>
  <c r="U255" i="17"/>
  <c r="T255" i="17" s="1"/>
  <c r="S255" i="17" s="1"/>
  <c r="R255" i="17" s="1"/>
  <c r="P255" i="17" s="1"/>
  <c r="V255" i="17" s="1"/>
  <c r="U247" i="17"/>
  <c r="T247" i="17" s="1"/>
  <c r="S247" i="17" s="1"/>
  <c r="R247" i="17" s="1"/>
  <c r="P247" i="17" s="1"/>
  <c r="U239" i="17"/>
  <c r="T239" i="17" s="1"/>
  <c r="U231" i="17"/>
  <c r="T231" i="17" s="1"/>
  <c r="U223" i="17"/>
  <c r="T223" i="17" s="1"/>
  <c r="U215" i="17"/>
  <c r="T215" i="17" s="1"/>
  <c r="S215" i="17" s="1"/>
  <c r="R215" i="17" s="1"/>
  <c r="P215" i="17" s="1"/>
  <c r="V215" i="17" s="1"/>
  <c r="U207" i="17"/>
  <c r="T207" i="17" s="1"/>
  <c r="U199" i="17"/>
  <c r="T199" i="17" s="1"/>
  <c r="S199" i="17" s="1"/>
  <c r="R199" i="17" s="1"/>
  <c r="P199" i="17" s="1"/>
  <c r="V199" i="17" s="1"/>
  <c r="U191" i="17"/>
  <c r="T191" i="17" s="1"/>
  <c r="S191" i="17" s="1"/>
  <c r="R191" i="17" s="1"/>
  <c r="P191" i="17" s="1"/>
  <c r="V191" i="17" s="1"/>
  <c r="U183" i="17"/>
  <c r="T183" i="17" s="1"/>
  <c r="U175" i="17"/>
  <c r="T175" i="17" s="1"/>
  <c r="S175" i="17" s="1"/>
  <c r="R175" i="17" s="1"/>
  <c r="P175" i="17" s="1"/>
  <c r="V175" i="17" s="1"/>
  <c r="U167" i="17"/>
  <c r="T167" i="17" s="1"/>
  <c r="S167" i="17" s="1"/>
  <c r="R167" i="17" s="1"/>
  <c r="P167" i="17" s="1"/>
  <c r="V167" i="17" s="1"/>
  <c r="U159" i="17"/>
  <c r="T159" i="17" s="1"/>
  <c r="U151" i="17"/>
  <c r="T151" i="17" s="1"/>
  <c r="S151" i="17" s="1"/>
  <c r="R151" i="17" s="1"/>
  <c r="P151" i="17" s="1"/>
  <c r="V151" i="17" s="1"/>
  <c r="U143" i="17"/>
  <c r="T143" i="17" s="1"/>
  <c r="U135" i="17"/>
  <c r="T135" i="17" s="1"/>
  <c r="U127" i="17"/>
  <c r="T127" i="17" s="1"/>
  <c r="S127" i="17" s="1"/>
  <c r="R127" i="17" s="1"/>
  <c r="P127" i="17" s="1"/>
  <c r="U119" i="17"/>
  <c r="T119" i="17" s="1"/>
  <c r="U111" i="17"/>
  <c r="T111" i="17" s="1"/>
  <c r="U103" i="17"/>
  <c r="T103" i="17" s="1"/>
  <c r="S103" i="17" s="1"/>
  <c r="R103" i="17" s="1"/>
  <c r="P103" i="17" s="1"/>
  <c r="U95" i="17"/>
  <c r="T95" i="17" s="1"/>
  <c r="U87" i="17"/>
  <c r="T87" i="17" s="1"/>
  <c r="U79" i="17"/>
  <c r="T79" i="17" s="1"/>
  <c r="U71" i="17"/>
  <c r="T71" i="17" s="1"/>
  <c r="U63" i="17"/>
  <c r="T63" i="17" s="1"/>
  <c r="S63" i="17" s="1"/>
  <c r="R63" i="17" s="1"/>
  <c r="P63" i="17" s="1"/>
  <c r="V63" i="17" s="1"/>
  <c r="U55" i="17"/>
  <c r="T55" i="17" s="1"/>
  <c r="U47" i="17"/>
  <c r="T47" i="17" s="1"/>
  <c r="S47" i="17" s="1"/>
  <c r="R47" i="17" s="1"/>
  <c r="P47" i="17" s="1"/>
  <c r="U39" i="17"/>
  <c r="T39" i="17" s="1"/>
  <c r="S39" i="17" s="1"/>
  <c r="R39" i="17" s="1"/>
  <c r="P39" i="17" s="1"/>
  <c r="U31" i="17"/>
  <c r="T31" i="17" s="1"/>
  <c r="S31" i="17" s="1"/>
  <c r="R31" i="17" s="1"/>
  <c r="P31" i="17" s="1"/>
  <c r="V31" i="17" s="1"/>
  <c r="U23" i="17"/>
  <c r="T23" i="17" s="1"/>
  <c r="S23" i="17" s="1"/>
  <c r="R23" i="17" s="1"/>
  <c r="P23" i="17" s="1"/>
  <c r="U19" i="17"/>
  <c r="T19" i="17" s="1"/>
  <c r="S19" i="17" s="1"/>
  <c r="R19" i="17" s="1"/>
  <c r="P19" i="17" s="1"/>
  <c r="V19" i="17" s="1"/>
  <c r="U372" i="17"/>
  <c r="T372" i="17" s="1"/>
  <c r="U366" i="17"/>
  <c r="T366" i="17" s="1"/>
  <c r="U362" i="17"/>
  <c r="T362" i="17" s="1"/>
  <c r="S362" i="17" s="1"/>
  <c r="R362" i="17" s="1"/>
  <c r="P362" i="17" s="1"/>
  <c r="V362" i="17" s="1"/>
  <c r="U358" i="17"/>
  <c r="T358" i="17" s="1"/>
  <c r="S358" i="17" s="1"/>
  <c r="R358" i="17" s="1"/>
  <c r="P358" i="17" s="1"/>
  <c r="V358" i="17" s="1"/>
  <c r="U354" i="17"/>
  <c r="T354" i="17" s="1"/>
  <c r="U350" i="17"/>
  <c r="T350" i="17" s="1"/>
  <c r="U346" i="17"/>
  <c r="T346" i="17" s="1"/>
  <c r="U342" i="17"/>
  <c r="T342" i="17" s="1"/>
  <c r="S342" i="17" s="1"/>
  <c r="R342" i="17" s="1"/>
  <c r="P342" i="17" s="1"/>
  <c r="U338" i="17"/>
  <c r="T338" i="17" s="1"/>
  <c r="S338" i="17" s="1"/>
  <c r="R338" i="17" s="1"/>
  <c r="P338" i="17" s="1"/>
  <c r="U334" i="17"/>
  <c r="T334" i="17" s="1"/>
  <c r="U330" i="17"/>
  <c r="T330" i="17" s="1"/>
  <c r="U326" i="17"/>
  <c r="T326" i="17" s="1"/>
  <c r="U322" i="17"/>
  <c r="T322" i="17" s="1"/>
  <c r="U318" i="17"/>
  <c r="T318" i="17" s="1"/>
  <c r="U314" i="17"/>
  <c r="T314" i="17" s="1"/>
  <c r="S314" i="17" s="1"/>
  <c r="R314" i="17" s="1"/>
  <c r="P314" i="17" s="1"/>
  <c r="V314" i="17" s="1"/>
  <c r="U310" i="17"/>
  <c r="T310" i="17" s="1"/>
  <c r="S310" i="17" s="1"/>
  <c r="R310" i="17" s="1"/>
  <c r="P310" i="17" s="1"/>
  <c r="V310" i="17" s="1"/>
  <c r="U306" i="17"/>
  <c r="T306" i="17" s="1"/>
  <c r="S306" i="17" s="1"/>
  <c r="R306" i="17" s="1"/>
  <c r="P306" i="17" s="1"/>
  <c r="V306" i="17" s="1"/>
  <c r="U302" i="17"/>
  <c r="T302" i="17" s="1"/>
  <c r="S302" i="17" s="1"/>
  <c r="R302" i="17" s="1"/>
  <c r="P302" i="17" s="1"/>
  <c r="V302" i="17" s="1"/>
  <c r="U298" i="17"/>
  <c r="T298" i="17" s="1"/>
  <c r="S298" i="17" s="1"/>
  <c r="R298" i="17" s="1"/>
  <c r="P298" i="17" s="1"/>
  <c r="V298" i="17" s="1"/>
  <c r="U294" i="17"/>
  <c r="T294" i="17" s="1"/>
  <c r="S294" i="17" s="1"/>
  <c r="R294" i="17" s="1"/>
  <c r="P294" i="17" s="1"/>
  <c r="V294" i="17" s="1"/>
  <c r="U290" i="17"/>
  <c r="T290" i="17" s="1"/>
  <c r="S290" i="17" s="1"/>
  <c r="R290" i="17" s="1"/>
  <c r="P290" i="17" s="1"/>
  <c r="U286" i="17"/>
  <c r="T286" i="17" s="1"/>
  <c r="S286" i="17" s="1"/>
  <c r="R286" i="17" s="1"/>
  <c r="P286" i="17" s="1"/>
  <c r="V286" i="17" s="1"/>
  <c r="U282" i="17"/>
  <c r="T282" i="17" s="1"/>
  <c r="U278" i="17"/>
  <c r="T278" i="17" s="1"/>
  <c r="S278" i="17" s="1"/>
  <c r="R278" i="17" s="1"/>
  <c r="P278" i="17" s="1"/>
  <c r="U274" i="17"/>
  <c r="T274" i="17" s="1"/>
  <c r="S274" i="17" s="1"/>
  <c r="R274" i="17" s="1"/>
  <c r="P274" i="17" s="1"/>
  <c r="U270" i="17"/>
  <c r="T270" i="17" s="1"/>
  <c r="S270" i="17" s="1"/>
  <c r="R270" i="17" s="1"/>
  <c r="P270" i="17" s="1"/>
  <c r="U266" i="17"/>
  <c r="T266" i="17" s="1"/>
  <c r="U262" i="17"/>
  <c r="T262" i="17" s="1"/>
  <c r="U258" i="17"/>
  <c r="T258" i="17" s="1"/>
  <c r="S258" i="17" s="1"/>
  <c r="R258" i="17" s="1"/>
  <c r="P258" i="17" s="1"/>
  <c r="V258" i="17" s="1"/>
  <c r="U254" i="17"/>
  <c r="T254" i="17" s="1"/>
  <c r="S254" i="17" s="1"/>
  <c r="R254" i="17" s="1"/>
  <c r="P254" i="17" s="1"/>
  <c r="V254" i="17" s="1"/>
  <c r="U250" i="17"/>
  <c r="T250" i="17" s="1"/>
  <c r="S250" i="17" s="1"/>
  <c r="R250" i="17" s="1"/>
  <c r="P250" i="17" s="1"/>
  <c r="U246" i="17"/>
  <c r="T246" i="17" s="1"/>
  <c r="U242" i="17"/>
  <c r="T242" i="17" s="1"/>
  <c r="S242" i="17" s="1"/>
  <c r="R242" i="17" s="1"/>
  <c r="P242" i="17" s="1"/>
  <c r="V242" i="17" s="1"/>
  <c r="U238" i="17"/>
  <c r="T238" i="17" s="1"/>
  <c r="S238" i="17" s="1"/>
  <c r="R238" i="17" s="1"/>
  <c r="P238" i="17" s="1"/>
  <c r="U234" i="17"/>
  <c r="T234" i="17" s="1"/>
  <c r="U230" i="17"/>
  <c r="T230" i="17" s="1"/>
  <c r="S230" i="17" s="1"/>
  <c r="R230" i="17" s="1"/>
  <c r="P230" i="17" s="1"/>
  <c r="V230" i="17" s="1"/>
  <c r="U226" i="17"/>
  <c r="T226" i="17" s="1"/>
  <c r="S226" i="17" s="1"/>
  <c r="R226" i="17" s="1"/>
  <c r="P226" i="17" s="1"/>
  <c r="V226" i="17" s="1"/>
  <c r="U222" i="17"/>
  <c r="T222" i="17" s="1"/>
  <c r="S222" i="17" s="1"/>
  <c r="R222" i="17" s="1"/>
  <c r="P222" i="17" s="1"/>
  <c r="V222" i="17" s="1"/>
  <c r="U218" i="17"/>
  <c r="T218" i="17" s="1"/>
  <c r="U214" i="17"/>
  <c r="T214" i="17" s="1"/>
  <c r="S214" i="17" s="1"/>
  <c r="R214" i="17" s="1"/>
  <c r="P214" i="17" s="1"/>
  <c r="V214" i="17" s="1"/>
  <c r="U210" i="17"/>
  <c r="T210" i="17" s="1"/>
  <c r="U206" i="17"/>
  <c r="T206" i="17" s="1"/>
  <c r="U202" i="17"/>
  <c r="T202" i="17" s="1"/>
  <c r="U198" i="17"/>
  <c r="T198" i="17" s="1"/>
  <c r="U194" i="17"/>
  <c r="T194" i="17" s="1"/>
  <c r="S194" i="17" s="1"/>
  <c r="R194" i="17" s="1"/>
  <c r="P194" i="17" s="1"/>
  <c r="V194" i="17" s="1"/>
  <c r="U190" i="17"/>
  <c r="T190" i="17" s="1"/>
  <c r="U186" i="17"/>
  <c r="T186" i="17" s="1"/>
  <c r="S186" i="17" s="1"/>
  <c r="R186" i="17" s="1"/>
  <c r="P186" i="17" s="1"/>
  <c r="V186" i="17" s="1"/>
  <c r="U182" i="17"/>
  <c r="T182" i="17" s="1"/>
  <c r="U178" i="17"/>
  <c r="T178" i="17" s="1"/>
  <c r="U174" i="17"/>
  <c r="T174" i="17" s="1"/>
  <c r="U170" i="17"/>
  <c r="T170" i="17" s="1"/>
  <c r="S170" i="17" s="1"/>
  <c r="R170" i="17" s="1"/>
  <c r="P170" i="17" s="1"/>
  <c r="V170" i="17" s="1"/>
  <c r="U166" i="17"/>
  <c r="T166" i="17" s="1"/>
  <c r="U162" i="17"/>
  <c r="T162" i="17" s="1"/>
  <c r="S162" i="17" s="1"/>
  <c r="R162" i="17" s="1"/>
  <c r="P162" i="17" s="1"/>
  <c r="V162" i="17" s="1"/>
  <c r="U158" i="17"/>
  <c r="T158" i="17" s="1"/>
  <c r="U154" i="17"/>
  <c r="T154" i="17" s="1"/>
  <c r="S154" i="17" s="1"/>
  <c r="R154" i="17" s="1"/>
  <c r="P154" i="17" s="1"/>
  <c r="V154" i="17" s="1"/>
  <c r="U150" i="17"/>
  <c r="T150" i="17" s="1"/>
  <c r="S150" i="17" s="1"/>
  <c r="R150" i="17" s="1"/>
  <c r="P150" i="17" s="1"/>
  <c r="V150" i="17" s="1"/>
  <c r="U146" i="17"/>
  <c r="T146" i="17" s="1"/>
  <c r="U142" i="17"/>
  <c r="T142" i="17" s="1"/>
  <c r="S142" i="17" s="1"/>
  <c r="R142" i="17" s="1"/>
  <c r="P142" i="17" s="1"/>
  <c r="V142" i="17" s="1"/>
  <c r="U138" i="17"/>
  <c r="T138" i="17" s="1"/>
  <c r="U134" i="17"/>
  <c r="T134" i="17" s="1"/>
  <c r="S134" i="17" s="1"/>
  <c r="R134" i="17" s="1"/>
  <c r="P134" i="17" s="1"/>
  <c r="V134" i="17" s="1"/>
  <c r="U130" i="17"/>
  <c r="T130" i="17" s="1"/>
  <c r="U126" i="17"/>
  <c r="T126" i="17" s="1"/>
  <c r="U122" i="17"/>
  <c r="T122" i="17" s="1"/>
  <c r="S122" i="17" s="1"/>
  <c r="R122" i="17" s="1"/>
  <c r="P122" i="17" s="1"/>
  <c r="U118" i="17"/>
  <c r="T118" i="17" s="1"/>
  <c r="U114" i="17"/>
  <c r="T114" i="17" s="1"/>
  <c r="U110" i="17"/>
  <c r="T110" i="17" s="1"/>
  <c r="U106" i="17"/>
  <c r="T106" i="17" s="1"/>
  <c r="S106" i="17" s="1"/>
  <c r="R106" i="17" s="1"/>
  <c r="P106" i="17" s="1"/>
  <c r="V106" i="17" s="1"/>
  <c r="U102" i="17"/>
  <c r="T102" i="17" s="1"/>
  <c r="U98" i="17"/>
  <c r="T98" i="17" s="1"/>
  <c r="S98" i="17" s="1"/>
  <c r="R98" i="17" s="1"/>
  <c r="P98" i="17" s="1"/>
  <c r="V98" i="17" s="1"/>
  <c r="U94" i="17"/>
  <c r="T94" i="17" s="1"/>
  <c r="U90" i="17"/>
  <c r="T90" i="17" s="1"/>
  <c r="S90" i="17" s="1"/>
  <c r="R90" i="17" s="1"/>
  <c r="P90" i="17" s="1"/>
  <c r="V90" i="17" s="1"/>
  <c r="U86" i="17"/>
  <c r="T86" i="17" s="1"/>
  <c r="S86" i="17" s="1"/>
  <c r="R86" i="17" s="1"/>
  <c r="P86" i="17" s="1"/>
  <c r="U82" i="17"/>
  <c r="T82" i="17" s="1"/>
  <c r="U78" i="17"/>
  <c r="T78" i="17" s="1"/>
  <c r="S78" i="17" s="1"/>
  <c r="R78" i="17" s="1"/>
  <c r="P78" i="17" s="1"/>
  <c r="V78" i="17" s="1"/>
  <c r="U74" i="17"/>
  <c r="T74" i="17" s="1"/>
  <c r="S74" i="17" s="1"/>
  <c r="R74" i="17" s="1"/>
  <c r="P74" i="17" s="1"/>
  <c r="V74" i="17" s="1"/>
  <c r="U66" i="17"/>
  <c r="T66" i="17" s="1"/>
  <c r="S66" i="17" s="1"/>
  <c r="R66" i="17" s="1"/>
  <c r="P66" i="17" s="1"/>
  <c r="U62" i="17"/>
  <c r="T62" i="17" s="1"/>
  <c r="S62" i="17" s="1"/>
  <c r="R62" i="17" s="1"/>
  <c r="P62" i="17" s="1"/>
  <c r="V62" i="17" s="1"/>
  <c r="U58" i="17"/>
  <c r="T58" i="17" s="1"/>
  <c r="S58" i="17" s="1"/>
  <c r="R58" i="17" s="1"/>
  <c r="P58" i="17" s="1"/>
  <c r="U54" i="17"/>
  <c r="T54" i="17" s="1"/>
  <c r="U50" i="17"/>
  <c r="T50" i="17" s="1"/>
  <c r="S50" i="17" s="1"/>
  <c r="R50" i="17" s="1"/>
  <c r="P50" i="17" s="1"/>
  <c r="V50" i="17" s="1"/>
  <c r="U42" i="17"/>
  <c r="T42" i="17" s="1"/>
  <c r="U34" i="17"/>
  <c r="T34" i="17" s="1"/>
  <c r="S34" i="17" s="1"/>
  <c r="R34" i="17" s="1"/>
  <c r="P34" i="17" s="1"/>
  <c r="U26" i="17"/>
  <c r="T26" i="17" s="1"/>
  <c r="U17" i="17"/>
  <c r="T17" i="17" s="1"/>
  <c r="S17" i="17" s="1"/>
  <c r="R17" i="17" s="1"/>
  <c r="P17" i="17" s="1"/>
  <c r="V17" i="17" s="1"/>
  <c r="U379" i="17"/>
  <c r="U371" i="17"/>
  <c r="T371" i="17" s="1"/>
  <c r="S371" i="17" s="1"/>
  <c r="R371" i="17" s="1"/>
  <c r="P371" i="17" s="1"/>
  <c r="V371" i="17" s="1"/>
  <c r="U363" i="17"/>
  <c r="T363" i="17" s="1"/>
  <c r="U355" i="17"/>
  <c r="T355" i="17" s="1"/>
  <c r="S355" i="17" s="1"/>
  <c r="R355" i="17" s="1"/>
  <c r="P355" i="17" s="1"/>
  <c r="U347" i="17"/>
  <c r="T347" i="17" s="1"/>
  <c r="U339" i="17"/>
  <c r="T339" i="17" s="1"/>
  <c r="S339" i="17" s="1"/>
  <c r="R339" i="17" s="1"/>
  <c r="P339" i="17" s="1"/>
  <c r="V339" i="17" s="1"/>
  <c r="U331" i="17"/>
  <c r="T331" i="17" s="1"/>
  <c r="S331" i="17" s="1"/>
  <c r="R331" i="17" s="1"/>
  <c r="P331" i="17" s="1"/>
  <c r="V331" i="17" s="1"/>
  <c r="U323" i="17"/>
  <c r="T323" i="17" s="1"/>
  <c r="U315" i="17"/>
  <c r="T315" i="17" s="1"/>
  <c r="S315" i="17" s="1"/>
  <c r="R315" i="17" s="1"/>
  <c r="P315" i="17" s="1"/>
  <c r="V315" i="17" s="1"/>
  <c r="U307" i="17"/>
  <c r="T307" i="17" s="1"/>
  <c r="U299" i="17"/>
  <c r="T299" i="17" s="1"/>
  <c r="S299" i="17" s="1"/>
  <c r="R299" i="17" s="1"/>
  <c r="P299" i="17" s="1"/>
  <c r="V299" i="17" s="1"/>
  <c r="U291" i="17"/>
  <c r="T291" i="17" s="1"/>
  <c r="U283" i="17"/>
  <c r="T283" i="17" s="1"/>
  <c r="S283" i="17" s="1"/>
  <c r="R283" i="17" s="1"/>
  <c r="P283" i="17" s="1"/>
  <c r="U275" i="17"/>
  <c r="T275" i="17" s="1"/>
  <c r="U267" i="17"/>
  <c r="T267" i="17" s="1"/>
  <c r="U259" i="17"/>
  <c r="T259" i="17" s="1"/>
  <c r="S259" i="17" s="1"/>
  <c r="R259" i="17" s="1"/>
  <c r="P259" i="17" s="1"/>
  <c r="U251" i="17"/>
  <c r="T251" i="17" s="1"/>
  <c r="U243" i="17"/>
  <c r="T243" i="17" s="1"/>
  <c r="U235" i="17"/>
  <c r="T235" i="17" s="1"/>
  <c r="U227" i="17"/>
  <c r="T227" i="17" s="1"/>
  <c r="U219" i="17"/>
  <c r="T219" i="17" s="1"/>
  <c r="S219" i="17" s="1"/>
  <c r="R219" i="17" s="1"/>
  <c r="P219" i="17" s="1"/>
  <c r="V219" i="17" s="1"/>
  <c r="U211" i="17"/>
  <c r="T211" i="17" s="1"/>
  <c r="S211" i="17" s="1"/>
  <c r="R211" i="17" s="1"/>
  <c r="P211" i="17" s="1"/>
  <c r="U203" i="17"/>
  <c r="T203" i="17" s="1"/>
  <c r="S203" i="17" s="1"/>
  <c r="R203" i="17" s="1"/>
  <c r="P203" i="17" s="1"/>
  <c r="V203" i="17" s="1"/>
  <c r="U195" i="17"/>
  <c r="T195" i="17" s="1"/>
  <c r="S195" i="17" s="1"/>
  <c r="R195" i="17" s="1"/>
  <c r="P195" i="17" s="1"/>
  <c r="V195" i="17" s="1"/>
  <c r="U187" i="17"/>
  <c r="T187" i="17" s="1"/>
  <c r="S187" i="17" s="1"/>
  <c r="R187" i="17" s="1"/>
  <c r="P187" i="17" s="1"/>
  <c r="U179" i="17"/>
  <c r="T179" i="17" s="1"/>
  <c r="U171" i="17"/>
  <c r="T171" i="17" s="1"/>
  <c r="U163" i="17"/>
  <c r="T163" i="17" s="1"/>
  <c r="U155" i="17"/>
  <c r="T155" i="17" s="1"/>
  <c r="U147" i="17"/>
  <c r="T147" i="17" s="1"/>
  <c r="U139" i="17"/>
  <c r="T139" i="17" s="1"/>
  <c r="S139" i="17" s="1"/>
  <c r="R139" i="17" s="1"/>
  <c r="P139" i="17" s="1"/>
  <c r="V139" i="17" s="1"/>
  <c r="U131" i="17"/>
  <c r="T131" i="17" s="1"/>
  <c r="U123" i="17"/>
  <c r="T123" i="17" s="1"/>
  <c r="S123" i="17" s="1"/>
  <c r="R123" i="17" s="1"/>
  <c r="P123" i="17" s="1"/>
  <c r="V123" i="17" s="1"/>
  <c r="U115" i="17"/>
  <c r="T115" i="17" s="1"/>
  <c r="U107" i="17"/>
  <c r="T107" i="17" s="1"/>
  <c r="S107" i="17" s="1"/>
  <c r="R107" i="17" s="1"/>
  <c r="P107" i="17" s="1"/>
  <c r="V107" i="17" s="1"/>
  <c r="U99" i="17"/>
  <c r="T99" i="17" s="1"/>
  <c r="S99" i="17" s="1"/>
  <c r="R99" i="17" s="1"/>
  <c r="P99" i="17" s="1"/>
  <c r="U91" i="17"/>
  <c r="T91" i="17" s="1"/>
  <c r="U83" i="17"/>
  <c r="T83" i="17" s="1"/>
  <c r="S83" i="17" s="1"/>
  <c r="R83" i="17" s="1"/>
  <c r="P83" i="17" s="1"/>
  <c r="V83" i="17" s="1"/>
  <c r="U75" i="17"/>
  <c r="T75" i="17" s="1"/>
  <c r="U67" i="17"/>
  <c r="T67" i="17" s="1"/>
  <c r="S67" i="17" s="1"/>
  <c r="R67" i="17" s="1"/>
  <c r="P67" i="17" s="1"/>
  <c r="U59" i="17"/>
  <c r="T59" i="17" s="1"/>
  <c r="U51" i="17"/>
  <c r="T51" i="17" s="1"/>
  <c r="U43" i="17"/>
  <c r="T43" i="17" s="1"/>
  <c r="U35" i="17"/>
  <c r="T35" i="17" s="1"/>
  <c r="S35" i="17" s="1"/>
  <c r="R35" i="17" s="1"/>
  <c r="P35" i="17" s="1"/>
  <c r="U27" i="17"/>
  <c r="T27" i="17" s="1"/>
  <c r="U15" i="17"/>
  <c r="U376" i="17"/>
  <c r="T376" i="17" s="1"/>
  <c r="S376" i="17" s="1"/>
  <c r="R376" i="17" s="1"/>
  <c r="P376" i="17" s="1"/>
  <c r="V376" i="17" s="1"/>
  <c r="U368" i="17"/>
  <c r="T368" i="17" s="1"/>
  <c r="S368" i="17" s="1"/>
  <c r="R368" i="17" s="1"/>
  <c r="P368" i="17" s="1"/>
  <c r="V368" i="17" s="1"/>
  <c r="U364" i="17"/>
  <c r="T364" i="17" s="1"/>
  <c r="S364" i="17" s="1"/>
  <c r="R364" i="17" s="1"/>
  <c r="P364" i="17" s="1"/>
  <c r="V364" i="17" s="1"/>
  <c r="U360" i="17"/>
  <c r="T360" i="17" s="1"/>
  <c r="U356" i="17"/>
  <c r="T356" i="17" s="1"/>
  <c r="U352" i="17"/>
  <c r="T352" i="17" s="1"/>
  <c r="S352" i="17" s="1"/>
  <c r="R352" i="17" s="1"/>
  <c r="P352" i="17" s="1"/>
  <c r="U348" i="17"/>
  <c r="T348" i="17" s="1"/>
  <c r="S348" i="17" s="1"/>
  <c r="R348" i="17" s="1"/>
  <c r="P348" i="17" s="1"/>
  <c r="U344" i="17"/>
  <c r="T344" i="17" s="1"/>
  <c r="S344" i="17" s="1"/>
  <c r="R344" i="17" s="1"/>
  <c r="P344" i="17" s="1"/>
  <c r="V344" i="17" s="1"/>
  <c r="U340" i="17"/>
  <c r="T340" i="17" s="1"/>
  <c r="S340" i="17" s="1"/>
  <c r="R340" i="17" s="1"/>
  <c r="P340" i="17" s="1"/>
  <c r="V340" i="17" s="1"/>
  <c r="U336" i="17"/>
  <c r="T336" i="17" s="1"/>
  <c r="S336" i="17" s="1"/>
  <c r="R336" i="17" s="1"/>
  <c r="P336" i="17" s="1"/>
  <c r="V336" i="17" s="1"/>
  <c r="U332" i="17"/>
  <c r="T332" i="17" s="1"/>
  <c r="S332" i="17" s="1"/>
  <c r="R332" i="17" s="1"/>
  <c r="P332" i="17" s="1"/>
  <c r="V332" i="17" s="1"/>
  <c r="U328" i="17"/>
  <c r="T328" i="17" s="1"/>
  <c r="S328" i="17" s="1"/>
  <c r="R328" i="17" s="1"/>
  <c r="P328" i="17" s="1"/>
  <c r="V328" i="17" s="1"/>
  <c r="U324" i="17"/>
  <c r="T324" i="17" s="1"/>
  <c r="S324" i="17" s="1"/>
  <c r="R324" i="17" s="1"/>
  <c r="P324" i="17" s="1"/>
  <c r="V324" i="17" s="1"/>
  <c r="U320" i="17"/>
  <c r="T320" i="17" s="1"/>
  <c r="S320" i="17" s="1"/>
  <c r="R320" i="17" s="1"/>
  <c r="P320" i="17" s="1"/>
  <c r="V320" i="17" s="1"/>
  <c r="U316" i="17"/>
  <c r="T316" i="17" s="1"/>
  <c r="S316" i="17" s="1"/>
  <c r="R316" i="17" s="1"/>
  <c r="P316" i="17" s="1"/>
  <c r="V316" i="17" s="1"/>
  <c r="U312" i="17"/>
  <c r="T312" i="17" s="1"/>
  <c r="S312" i="17" s="1"/>
  <c r="R312" i="17" s="1"/>
  <c r="P312" i="17" s="1"/>
  <c r="V312" i="17" s="1"/>
  <c r="U308" i="17"/>
  <c r="T308" i="17" s="1"/>
  <c r="U304" i="17"/>
  <c r="T304" i="17" s="1"/>
  <c r="S304" i="17" s="1"/>
  <c r="R304" i="17" s="1"/>
  <c r="P304" i="17" s="1"/>
  <c r="U300" i="17"/>
  <c r="T300" i="17" s="1"/>
  <c r="S300" i="17" s="1"/>
  <c r="R300" i="17" s="1"/>
  <c r="P300" i="17" s="1"/>
  <c r="V300" i="17" s="1"/>
  <c r="U296" i="17"/>
  <c r="T296" i="17" s="1"/>
  <c r="U292" i="17"/>
  <c r="T292" i="17" s="1"/>
  <c r="U288" i="17"/>
  <c r="T288" i="17" s="1"/>
  <c r="S288" i="17" s="1"/>
  <c r="R288" i="17" s="1"/>
  <c r="P288" i="17" s="1"/>
  <c r="V288" i="17" s="1"/>
  <c r="U284" i="17"/>
  <c r="T284" i="17" s="1"/>
  <c r="U280" i="17"/>
  <c r="T280" i="17" s="1"/>
  <c r="S280" i="17" s="1"/>
  <c r="R280" i="17" s="1"/>
  <c r="P280" i="17" s="1"/>
  <c r="V280" i="17" s="1"/>
  <c r="U276" i="17"/>
  <c r="T276" i="17" s="1"/>
  <c r="U272" i="17"/>
  <c r="T272" i="17" s="1"/>
  <c r="S272" i="17" s="1"/>
  <c r="R272" i="17" s="1"/>
  <c r="P272" i="17" s="1"/>
  <c r="U268" i="17"/>
  <c r="T268" i="17" s="1"/>
  <c r="U264" i="17"/>
  <c r="T264" i="17" s="1"/>
  <c r="S264" i="17" s="1"/>
  <c r="R264" i="17" s="1"/>
  <c r="P264" i="17" s="1"/>
  <c r="U260" i="17"/>
  <c r="T260" i="17" s="1"/>
  <c r="U256" i="17"/>
  <c r="T256" i="17" s="1"/>
  <c r="S256" i="17" s="1"/>
  <c r="R256" i="17" s="1"/>
  <c r="P256" i="17" s="1"/>
  <c r="V256" i="17" s="1"/>
  <c r="U252" i="17"/>
  <c r="T252" i="17" s="1"/>
  <c r="S252" i="17" s="1"/>
  <c r="R252" i="17" s="1"/>
  <c r="P252" i="17" s="1"/>
  <c r="U248" i="17"/>
  <c r="T248" i="17" s="1"/>
  <c r="S248" i="17" s="1"/>
  <c r="R248" i="17" s="1"/>
  <c r="P248" i="17" s="1"/>
  <c r="V248" i="17" s="1"/>
  <c r="U244" i="17"/>
  <c r="T244" i="17" s="1"/>
  <c r="S244" i="17" s="1"/>
  <c r="R244" i="17" s="1"/>
  <c r="P244" i="17" s="1"/>
  <c r="V244" i="17" s="1"/>
  <c r="U240" i="17"/>
  <c r="T240" i="17" s="1"/>
  <c r="S240" i="17" s="1"/>
  <c r="R240" i="17" s="1"/>
  <c r="P240" i="17" s="1"/>
  <c r="V240" i="17" s="1"/>
  <c r="U236" i="17"/>
  <c r="T236" i="17" s="1"/>
  <c r="U232" i="17"/>
  <c r="T232" i="17" s="1"/>
  <c r="S232" i="17" s="1"/>
  <c r="R232" i="17" s="1"/>
  <c r="P232" i="17" s="1"/>
  <c r="V232" i="17" s="1"/>
  <c r="U228" i="17"/>
  <c r="T228" i="17" s="1"/>
  <c r="U224" i="17"/>
  <c r="T224" i="17" s="1"/>
  <c r="S224" i="17" s="1"/>
  <c r="R224" i="17" s="1"/>
  <c r="P224" i="17" s="1"/>
  <c r="V224" i="17" s="1"/>
  <c r="U220" i="17"/>
  <c r="T220" i="17" s="1"/>
  <c r="U216" i="17"/>
  <c r="T216" i="17" s="1"/>
  <c r="S216" i="17" s="1"/>
  <c r="R216" i="17" s="1"/>
  <c r="P216" i="17" s="1"/>
  <c r="V216" i="17" s="1"/>
  <c r="U212" i="17"/>
  <c r="T212" i="17" s="1"/>
  <c r="S212" i="17" s="1"/>
  <c r="R212" i="17" s="1"/>
  <c r="P212" i="17" s="1"/>
  <c r="V212" i="17" s="1"/>
  <c r="U208" i="17"/>
  <c r="T208" i="17" s="1"/>
  <c r="S208" i="17" s="1"/>
  <c r="R208" i="17" s="1"/>
  <c r="P208" i="17" s="1"/>
  <c r="V208" i="17" s="1"/>
  <c r="U204" i="17"/>
  <c r="T204" i="17" s="1"/>
  <c r="U200" i="17"/>
  <c r="T200" i="17" s="1"/>
  <c r="U196" i="17"/>
  <c r="T196" i="17" s="1"/>
  <c r="U192" i="17"/>
  <c r="T192" i="17" s="1"/>
  <c r="S192" i="17" s="1"/>
  <c r="R192" i="17" s="1"/>
  <c r="P192" i="17" s="1"/>
  <c r="V192" i="17" s="1"/>
  <c r="U188" i="17"/>
  <c r="T188" i="17" s="1"/>
  <c r="S188" i="17" s="1"/>
  <c r="R188" i="17" s="1"/>
  <c r="P188" i="17" s="1"/>
  <c r="V188" i="17" s="1"/>
  <c r="U184" i="17"/>
  <c r="T184" i="17" s="1"/>
  <c r="S184" i="17" s="1"/>
  <c r="R184" i="17" s="1"/>
  <c r="P184" i="17" s="1"/>
  <c r="V184" i="17" s="1"/>
  <c r="U180" i="17"/>
  <c r="T180" i="17" s="1"/>
  <c r="S180" i="17" s="1"/>
  <c r="R180" i="17" s="1"/>
  <c r="P180" i="17" s="1"/>
  <c r="D61" i="7" s="1"/>
  <c r="U176" i="17"/>
  <c r="T176" i="17" s="1"/>
  <c r="U172" i="17"/>
  <c r="T172" i="17" s="1"/>
  <c r="S172" i="17" s="1"/>
  <c r="R172" i="17" s="1"/>
  <c r="P172" i="17" s="1"/>
  <c r="V172" i="17" s="1"/>
  <c r="U168" i="17"/>
  <c r="T168" i="17" s="1"/>
  <c r="S168" i="17" s="1"/>
  <c r="R168" i="17" s="1"/>
  <c r="P168" i="17" s="1"/>
  <c r="U164" i="17"/>
  <c r="T164" i="17" s="1"/>
  <c r="S164" i="17" s="1"/>
  <c r="R164" i="17" s="1"/>
  <c r="P164" i="17" s="1"/>
  <c r="V164" i="17" s="1"/>
  <c r="U160" i="17"/>
  <c r="T160" i="17" s="1"/>
  <c r="S160" i="17" s="1"/>
  <c r="R160" i="17" s="1"/>
  <c r="P160" i="17" s="1"/>
  <c r="V160" i="17" s="1"/>
  <c r="U156" i="17"/>
  <c r="T156" i="17" s="1"/>
  <c r="U152" i="17"/>
  <c r="T152" i="17" s="1"/>
  <c r="S152" i="17" s="1"/>
  <c r="R152" i="17" s="1"/>
  <c r="P152" i="17" s="1"/>
  <c r="V152" i="17" s="1"/>
  <c r="U148" i="17"/>
  <c r="T148" i="17" s="1"/>
  <c r="S148" i="17" s="1"/>
  <c r="R148" i="17" s="1"/>
  <c r="P148" i="17" s="1"/>
  <c r="V148" i="17" s="1"/>
  <c r="U144" i="17"/>
  <c r="T144" i="17" s="1"/>
  <c r="S144" i="17" s="1"/>
  <c r="R144" i="17" s="1"/>
  <c r="P144" i="17" s="1"/>
  <c r="V144" i="17" s="1"/>
  <c r="U140" i="17"/>
  <c r="T140" i="17" s="1"/>
  <c r="S140" i="17" s="1"/>
  <c r="R140" i="17" s="1"/>
  <c r="P140" i="17" s="1"/>
  <c r="V140" i="17" s="1"/>
  <c r="U136" i="17"/>
  <c r="T136" i="17" s="1"/>
  <c r="S136" i="17" s="1"/>
  <c r="R136" i="17" s="1"/>
  <c r="P136" i="17" s="1"/>
  <c r="V136" i="17" s="1"/>
  <c r="U132" i="17"/>
  <c r="T132" i="17" s="1"/>
  <c r="S132" i="17" s="1"/>
  <c r="R132" i="17" s="1"/>
  <c r="P132" i="17" s="1"/>
  <c r="U128" i="17"/>
  <c r="T128" i="17" s="1"/>
  <c r="U124" i="17"/>
  <c r="T124" i="17" s="1"/>
  <c r="S124" i="17" s="1"/>
  <c r="R124" i="17" s="1"/>
  <c r="P124" i="17" s="1"/>
  <c r="V124" i="17" s="1"/>
  <c r="U120" i="17"/>
  <c r="T120" i="17" s="1"/>
  <c r="S120" i="17" s="1"/>
  <c r="R120" i="17" s="1"/>
  <c r="P120" i="17" s="1"/>
  <c r="V120" i="17" s="1"/>
  <c r="U116" i="17"/>
  <c r="T116" i="17" s="1"/>
  <c r="U112" i="17"/>
  <c r="T112" i="17" s="1"/>
  <c r="S112" i="17" s="1"/>
  <c r="R112" i="17" s="1"/>
  <c r="P112" i="17" s="1"/>
  <c r="U108" i="17"/>
  <c r="T108" i="17" s="1"/>
  <c r="U104" i="17"/>
  <c r="T104" i="17" s="1"/>
  <c r="S104" i="17" s="1"/>
  <c r="R104" i="17" s="1"/>
  <c r="P104" i="17" s="1"/>
  <c r="V104" i="17" s="1"/>
  <c r="U100" i="17"/>
  <c r="T100" i="17" s="1"/>
  <c r="S100" i="17" s="1"/>
  <c r="R100" i="17" s="1"/>
  <c r="P100" i="17" s="1"/>
  <c r="U96" i="17"/>
  <c r="T96" i="17" s="1"/>
  <c r="S96" i="17" s="1"/>
  <c r="R96" i="17" s="1"/>
  <c r="P96" i="17" s="1"/>
  <c r="V96" i="17" s="1"/>
  <c r="U92" i="17"/>
  <c r="T92" i="17" s="1"/>
  <c r="U88" i="17"/>
  <c r="T88" i="17" s="1"/>
  <c r="U84" i="17"/>
  <c r="T84" i="17" s="1"/>
  <c r="S84" i="17" s="1"/>
  <c r="R84" i="17" s="1"/>
  <c r="P84" i="17" s="1"/>
  <c r="V84" i="17" s="1"/>
  <c r="U80" i="17"/>
  <c r="T80" i="17" s="1"/>
  <c r="S80" i="17" s="1"/>
  <c r="R80" i="17" s="1"/>
  <c r="P80" i="17" s="1"/>
  <c r="V80" i="17" s="1"/>
  <c r="U76" i="17"/>
  <c r="T76" i="17" s="1"/>
  <c r="S76" i="17" s="1"/>
  <c r="R76" i="17" s="1"/>
  <c r="P76" i="17" s="1"/>
  <c r="V76" i="17" s="1"/>
  <c r="U72" i="17"/>
  <c r="T72" i="17" s="1"/>
  <c r="S72" i="17" s="1"/>
  <c r="R72" i="17" s="1"/>
  <c r="P72" i="17" s="1"/>
  <c r="V72" i="17" s="1"/>
  <c r="U68" i="17"/>
  <c r="T68" i="17" s="1"/>
  <c r="U64" i="17"/>
  <c r="T64" i="17" s="1"/>
  <c r="U60" i="17"/>
  <c r="T60" i="17" s="1"/>
  <c r="S60" i="17" s="1"/>
  <c r="R60" i="17" s="1"/>
  <c r="P60" i="17" s="1"/>
  <c r="D57" i="7" s="1"/>
  <c r="U56" i="17"/>
  <c r="T56" i="17" s="1"/>
  <c r="U52" i="17"/>
  <c r="T52" i="17" s="1"/>
  <c r="S52" i="17" s="1"/>
  <c r="R52" i="17" s="1"/>
  <c r="P52" i="17" s="1"/>
  <c r="V52" i="17" s="1"/>
  <c r="U48" i="17"/>
  <c r="T48" i="17" s="1"/>
  <c r="S48" i="17" s="1"/>
  <c r="R48" i="17" s="1"/>
  <c r="P48" i="17" s="1"/>
  <c r="V48" i="17" s="1"/>
  <c r="U44" i="17"/>
  <c r="T44" i="17" s="1"/>
  <c r="U40" i="17"/>
  <c r="T40" i="17" s="1"/>
  <c r="S40" i="17" s="1"/>
  <c r="R40" i="17" s="1"/>
  <c r="P40" i="17" s="1"/>
  <c r="U36" i="17"/>
  <c r="T36" i="17" s="1"/>
  <c r="U32" i="17"/>
  <c r="T32" i="17" s="1"/>
  <c r="U28" i="17"/>
  <c r="T28" i="17" s="1"/>
  <c r="S28" i="17" s="1"/>
  <c r="R28" i="17" s="1"/>
  <c r="P28" i="17" s="1"/>
  <c r="U24" i="17"/>
  <c r="T24" i="17" s="1"/>
  <c r="S24" i="17" s="1"/>
  <c r="R24" i="17" s="1"/>
  <c r="P24" i="17" s="1"/>
  <c r="V24" i="17" s="1"/>
  <c r="U20" i="17"/>
  <c r="T20" i="17" s="1"/>
  <c r="S20" i="17" s="1"/>
  <c r="R20" i="17" s="1"/>
  <c r="P20" i="17" s="1"/>
  <c r="V20" i="17" s="1"/>
  <c r="U18" i="17"/>
  <c r="T18" i="17" s="1"/>
  <c r="S18" i="17" s="1"/>
  <c r="R18" i="17" s="1"/>
  <c r="P18" i="17" s="1"/>
  <c r="V18" i="17" s="1"/>
  <c r="U70" i="17"/>
  <c r="T70" i="17" s="1"/>
  <c r="S70" i="17" s="1"/>
  <c r="R70" i="17" s="1"/>
  <c r="P70" i="17" s="1"/>
  <c r="V70" i="17" s="1"/>
  <c r="U46" i="17"/>
  <c r="T46" i="17" s="1"/>
  <c r="U38" i="17"/>
  <c r="T38" i="17" s="1"/>
  <c r="U30" i="17"/>
  <c r="T30" i="17" s="1"/>
  <c r="U22" i="17"/>
  <c r="T22" i="17" s="1"/>
  <c r="AA180" i="16"/>
  <c r="Z180" i="16" s="1"/>
  <c r="Y180" i="16" s="1"/>
  <c r="J125" i="16"/>
  <c r="J129" i="16"/>
  <c r="I349" i="16"/>
  <c r="J163" i="16"/>
  <c r="H78" i="16"/>
  <c r="I78" i="16" s="1"/>
  <c r="J114" i="16"/>
  <c r="AA52" i="16"/>
  <c r="Z52" i="16" s="1"/>
  <c r="Y52" i="16" s="1"/>
  <c r="I203" i="16"/>
  <c r="J359" i="16"/>
  <c r="J51" i="16"/>
  <c r="I195" i="16"/>
  <c r="I25" i="16"/>
  <c r="J353" i="16"/>
  <c r="I187" i="16"/>
  <c r="AA46" i="16"/>
  <c r="Z46" i="16" s="1"/>
  <c r="Y46" i="16" s="1"/>
  <c r="I249" i="16"/>
  <c r="J245" i="16"/>
  <c r="I177" i="16"/>
  <c r="J227" i="16"/>
  <c r="I281" i="16"/>
  <c r="J223" i="16"/>
  <c r="J157" i="16"/>
  <c r="J113" i="16"/>
  <c r="I133" i="16"/>
  <c r="J255" i="16"/>
  <c r="I105" i="16"/>
  <c r="H48" i="16"/>
  <c r="I48" i="16" s="1"/>
  <c r="H28" i="16"/>
  <c r="J28" i="16" s="1"/>
  <c r="J81" i="16"/>
  <c r="I371" i="16"/>
  <c r="AA78" i="16"/>
  <c r="Z78" i="16" s="1"/>
  <c r="Y78" i="16" s="1"/>
  <c r="J167" i="16"/>
  <c r="I188" i="16"/>
  <c r="J215" i="16"/>
  <c r="J311" i="16"/>
  <c r="I182" i="16"/>
  <c r="J257" i="16"/>
  <c r="I365" i="16"/>
  <c r="J90" i="16"/>
  <c r="J373" i="16"/>
  <c r="H46" i="16"/>
  <c r="J46" i="16" s="1"/>
  <c r="J321" i="16"/>
  <c r="I239" i="16"/>
  <c r="G74" i="16"/>
  <c r="BY74" i="6" s="1"/>
  <c r="AA28" i="16"/>
  <c r="Z28" i="16" s="1"/>
  <c r="Y28" i="16" s="1"/>
  <c r="AA48" i="16"/>
  <c r="Z48" i="16" s="1"/>
  <c r="Y48" i="16" s="1"/>
  <c r="J270" i="16"/>
  <c r="J325" i="16"/>
  <c r="H52" i="16"/>
  <c r="I52" i="16" s="1"/>
  <c r="I138" i="16"/>
  <c r="J316" i="16"/>
  <c r="J211" i="16"/>
  <c r="J189" i="16"/>
  <c r="I235" i="16"/>
  <c r="I200" i="16"/>
  <c r="I67" i="16"/>
  <c r="J261" i="16"/>
  <c r="J283" i="16"/>
  <c r="J368" i="16"/>
  <c r="J286" i="16"/>
  <c r="I225" i="16"/>
  <c r="I251" i="16"/>
  <c r="J267" i="16"/>
  <c r="I277" i="16"/>
  <c r="I357" i="16"/>
  <c r="J43" i="16"/>
  <c r="I165" i="16"/>
  <c r="J229" i="16"/>
  <c r="I63" i="19"/>
  <c r="J71" i="16"/>
  <c r="I358" i="16"/>
  <c r="J179" i="16"/>
  <c r="H60" i="16"/>
  <c r="I60" i="16" s="1"/>
  <c r="J337" i="16"/>
  <c r="J143" i="16"/>
  <c r="J328" i="16"/>
  <c r="J219" i="16"/>
  <c r="I94" i="16"/>
  <c r="I375" i="16"/>
  <c r="C63" i="19"/>
  <c r="H180" i="16"/>
  <c r="J180" i="16" s="1"/>
  <c r="H74" i="16"/>
  <c r="J74" i="16" s="1"/>
  <c r="E63" i="19"/>
  <c r="I347" i="16"/>
  <c r="I361" i="16"/>
  <c r="M63" i="19"/>
  <c r="D63" i="19"/>
  <c r="G60" i="16"/>
  <c r="BY60" i="6" s="1"/>
  <c r="H63" i="19"/>
  <c r="F47" i="16"/>
  <c r="G47" i="16" s="1"/>
  <c r="BY47" i="6" s="1"/>
  <c r="F350" i="16"/>
  <c r="AA350" i="16" s="1"/>
  <c r="Z350" i="16" s="1"/>
  <c r="Y350" i="16" s="1"/>
  <c r="G319" i="16"/>
  <c r="BY319" i="6" s="1"/>
  <c r="H319" i="16"/>
  <c r="AA319" i="16"/>
  <c r="Z319" i="16" s="1"/>
  <c r="Y319" i="16" s="1"/>
  <c r="I241" i="16"/>
  <c r="J241" i="16"/>
  <c r="AA351" i="16"/>
  <c r="Z351" i="16" s="1"/>
  <c r="Y351" i="16" s="1"/>
  <c r="G351" i="16"/>
  <c r="BY351" i="6" s="1"/>
  <c r="H351" i="16"/>
  <c r="G340" i="16"/>
  <c r="BY340" i="6" s="1"/>
  <c r="H340" i="16"/>
  <c r="AA340" i="16"/>
  <c r="Z340" i="16" s="1"/>
  <c r="Y340" i="16" s="1"/>
  <c r="G256" i="16"/>
  <c r="BY256" i="6" s="1"/>
  <c r="H256" i="16"/>
  <c r="AA256" i="16"/>
  <c r="Z256" i="16" s="1"/>
  <c r="Y256" i="16" s="1"/>
  <c r="G250" i="16"/>
  <c r="BY250" i="6" s="1"/>
  <c r="AA250" i="16"/>
  <c r="Z250" i="16" s="1"/>
  <c r="Y250" i="16" s="1"/>
  <c r="H250" i="16"/>
  <c r="G85" i="16"/>
  <c r="BY85" i="6" s="1"/>
  <c r="H85" i="16"/>
  <c r="AA85" i="16"/>
  <c r="Z85" i="16" s="1"/>
  <c r="Y85" i="16" s="1"/>
  <c r="G44" i="16"/>
  <c r="BY44" i="6" s="1"/>
  <c r="AA44" i="16"/>
  <c r="Z44" i="16" s="1"/>
  <c r="Y44" i="16" s="1"/>
  <c r="H44" i="16"/>
  <c r="H55" i="16"/>
  <c r="G55" i="16"/>
  <c r="BY55" i="6" s="1"/>
  <c r="AA55" i="16"/>
  <c r="Z55" i="16" s="1"/>
  <c r="Y55" i="16" s="1"/>
  <c r="G104" i="16"/>
  <c r="BY104" i="6" s="1"/>
  <c r="AA104" i="16"/>
  <c r="Z104" i="16" s="1"/>
  <c r="Y104" i="16" s="1"/>
  <c r="H104" i="16"/>
  <c r="AA148" i="16"/>
  <c r="Z148" i="16" s="1"/>
  <c r="Y148" i="16" s="1"/>
  <c r="G148" i="16"/>
  <c r="BY148" i="6" s="1"/>
  <c r="H148" i="16"/>
  <c r="G26" i="16"/>
  <c r="BY26" i="6" s="1"/>
  <c r="H26" i="16"/>
  <c r="AA26" i="16"/>
  <c r="Z26" i="16" s="1"/>
  <c r="Y26" i="16" s="1"/>
  <c r="G356" i="16"/>
  <c r="BY356" i="6" s="1"/>
  <c r="H356" i="16"/>
  <c r="AA356" i="16"/>
  <c r="Z356" i="16" s="1"/>
  <c r="Y356" i="16" s="1"/>
  <c r="G298" i="16"/>
  <c r="BY298" i="6" s="1"/>
  <c r="H298" i="16"/>
  <c r="AA298" i="16"/>
  <c r="Z298" i="16" s="1"/>
  <c r="Y298" i="16" s="1"/>
  <c r="G183" i="16"/>
  <c r="BY183" i="6" s="1"/>
  <c r="H183" i="16"/>
  <c r="AA183" i="16"/>
  <c r="Z183" i="16" s="1"/>
  <c r="Y183" i="16" s="1"/>
  <c r="G23" i="16"/>
  <c r="BY23" i="6" s="1"/>
  <c r="H23" i="16"/>
  <c r="AA23" i="16"/>
  <c r="Z23" i="16" s="1"/>
  <c r="Y23" i="16" s="1"/>
  <c r="H63" i="16"/>
  <c r="AA63" i="16"/>
  <c r="Z63" i="16" s="1"/>
  <c r="Y63" i="16" s="1"/>
  <c r="G63" i="16"/>
  <c r="BY63" i="6" s="1"/>
  <c r="AA106" i="16"/>
  <c r="Z106" i="16" s="1"/>
  <c r="Y106" i="16" s="1"/>
  <c r="H106" i="16"/>
  <c r="G106" i="16"/>
  <c r="BY106" i="6" s="1"/>
  <c r="AA150" i="16"/>
  <c r="Z150" i="16" s="1"/>
  <c r="Y150" i="16" s="1"/>
  <c r="H150" i="16"/>
  <c r="G150" i="16"/>
  <c r="BY150" i="6" s="1"/>
  <c r="H76" i="16"/>
  <c r="AA76" i="16"/>
  <c r="Z76" i="16" s="1"/>
  <c r="Y76" i="16" s="1"/>
  <c r="G76" i="16"/>
  <c r="BY76" i="6" s="1"/>
  <c r="H205" i="16"/>
  <c r="G205" i="16"/>
  <c r="BY205" i="6" s="1"/>
  <c r="AA205" i="16"/>
  <c r="Z205" i="16" s="1"/>
  <c r="Y205" i="16" s="1"/>
  <c r="G39" i="16"/>
  <c r="BY39" i="6" s="1"/>
  <c r="H39" i="16"/>
  <c r="AA39" i="16"/>
  <c r="Z39" i="16" s="1"/>
  <c r="Y39" i="16" s="1"/>
  <c r="G116" i="16"/>
  <c r="BY116" i="6" s="1"/>
  <c r="AA116" i="16"/>
  <c r="Z116" i="16" s="1"/>
  <c r="Y116" i="16" s="1"/>
  <c r="H116" i="16"/>
  <c r="H156" i="16"/>
  <c r="AA156" i="16"/>
  <c r="Z156" i="16" s="1"/>
  <c r="Y156" i="16" s="1"/>
  <c r="G156" i="16"/>
  <c r="BY156" i="6" s="1"/>
  <c r="G22" i="16"/>
  <c r="BY22" i="6" s="1"/>
  <c r="H22" i="16"/>
  <c r="AA22" i="16"/>
  <c r="Z22" i="16" s="1"/>
  <c r="Y22" i="16" s="1"/>
  <c r="AA354" i="16"/>
  <c r="Z354" i="16" s="1"/>
  <c r="Y354" i="16" s="1"/>
  <c r="H354" i="16"/>
  <c r="G354" i="16"/>
  <c r="BY354" i="6" s="1"/>
  <c r="G194" i="16"/>
  <c r="BY194" i="6" s="1"/>
  <c r="AA194" i="16"/>
  <c r="Z194" i="16" s="1"/>
  <c r="Y194" i="16" s="1"/>
  <c r="H194" i="16"/>
  <c r="G236" i="16"/>
  <c r="BY236" i="6" s="1"/>
  <c r="H236" i="16"/>
  <c r="AA236" i="16"/>
  <c r="Z236" i="16" s="1"/>
  <c r="Y236" i="16" s="1"/>
  <c r="G232" i="16"/>
  <c r="BY232" i="6" s="1"/>
  <c r="AA232" i="16"/>
  <c r="Z232" i="16" s="1"/>
  <c r="Y232" i="16" s="1"/>
  <c r="H232" i="16"/>
  <c r="G346" i="16"/>
  <c r="BY346" i="6" s="1"/>
  <c r="H346" i="16"/>
  <c r="AA346" i="16"/>
  <c r="Z346" i="16" s="1"/>
  <c r="Y346" i="16" s="1"/>
  <c r="H312" i="16"/>
  <c r="G312" i="16"/>
  <c r="BY312" i="6" s="1"/>
  <c r="AA312" i="16"/>
  <c r="Z312" i="16" s="1"/>
  <c r="Y312" i="16" s="1"/>
  <c r="AA280" i="16"/>
  <c r="Z280" i="16" s="1"/>
  <c r="Y280" i="16" s="1"/>
  <c r="G280" i="16"/>
  <c r="BY280" i="6" s="1"/>
  <c r="H280" i="16"/>
  <c r="G216" i="16"/>
  <c r="BY216" i="6" s="1"/>
  <c r="H216" i="16"/>
  <c r="AA216" i="16"/>
  <c r="Z216" i="16" s="1"/>
  <c r="Y216" i="16" s="1"/>
  <c r="H339" i="16"/>
  <c r="AA339" i="16"/>
  <c r="Z339" i="16" s="1"/>
  <c r="Y339" i="16" s="1"/>
  <c r="G339" i="16"/>
  <c r="BY339" i="6" s="1"/>
  <c r="G331" i="16"/>
  <c r="BY331" i="6" s="1"/>
  <c r="H331" i="16"/>
  <c r="AA331" i="16"/>
  <c r="Z331" i="16" s="1"/>
  <c r="Y331" i="16" s="1"/>
  <c r="G330" i="16"/>
  <c r="BY330" i="6" s="1"/>
  <c r="AA330" i="16"/>
  <c r="Z330" i="16" s="1"/>
  <c r="Y330" i="16" s="1"/>
  <c r="H330" i="16"/>
  <c r="G332" i="16"/>
  <c r="BY332" i="6" s="1"/>
  <c r="AA332" i="16"/>
  <c r="Z332" i="16" s="1"/>
  <c r="Y332" i="16" s="1"/>
  <c r="H332" i="16"/>
  <c r="G196" i="16"/>
  <c r="BY196" i="6" s="1"/>
  <c r="AA196" i="16"/>
  <c r="Z196" i="16" s="1"/>
  <c r="Y196" i="16" s="1"/>
  <c r="H196" i="16"/>
  <c r="AA64" i="16"/>
  <c r="Z64" i="16" s="1"/>
  <c r="Y64" i="16" s="1"/>
  <c r="G64" i="16"/>
  <c r="BY64" i="6" s="1"/>
  <c r="H64" i="16"/>
  <c r="G20" i="16"/>
  <c r="BY20" i="6" s="1"/>
  <c r="AA20" i="16"/>
  <c r="Z20" i="16" s="1"/>
  <c r="Y20" i="16" s="1"/>
  <c r="H20" i="16"/>
  <c r="H65" i="16"/>
  <c r="G65" i="16"/>
  <c r="BY65" i="6" s="1"/>
  <c r="AA65" i="16"/>
  <c r="Z65" i="16" s="1"/>
  <c r="Y65" i="16" s="1"/>
  <c r="G128" i="16"/>
  <c r="BY128" i="6" s="1"/>
  <c r="H128" i="16"/>
  <c r="AA128" i="16"/>
  <c r="Z128" i="16" s="1"/>
  <c r="Y128" i="16" s="1"/>
  <c r="H168" i="16"/>
  <c r="G168" i="16"/>
  <c r="BY168" i="6" s="1"/>
  <c r="AA168" i="16"/>
  <c r="Z168" i="16" s="1"/>
  <c r="Y168" i="16" s="1"/>
  <c r="AA343" i="16"/>
  <c r="Z343" i="16" s="1"/>
  <c r="Y343" i="16" s="1"/>
  <c r="H343" i="16"/>
  <c r="G343" i="16"/>
  <c r="BY343" i="6" s="1"/>
  <c r="G314" i="16"/>
  <c r="BY314" i="6" s="1"/>
  <c r="H314" i="16"/>
  <c r="AA314" i="16"/>
  <c r="Z314" i="16" s="1"/>
  <c r="Y314" i="16" s="1"/>
  <c r="G234" i="16"/>
  <c r="BY234" i="6" s="1"/>
  <c r="AA234" i="16"/>
  <c r="Z234" i="16" s="1"/>
  <c r="Y234" i="16" s="1"/>
  <c r="H234" i="16"/>
  <c r="G186" i="16"/>
  <c r="BY186" i="6" s="1"/>
  <c r="AA186" i="16"/>
  <c r="Z186" i="16" s="1"/>
  <c r="Y186" i="16" s="1"/>
  <c r="H186" i="16"/>
  <c r="H295" i="16"/>
  <c r="AA295" i="16"/>
  <c r="Z295" i="16" s="1"/>
  <c r="Y295" i="16" s="1"/>
  <c r="G295" i="16"/>
  <c r="BY295" i="6" s="1"/>
  <c r="G77" i="16"/>
  <c r="BY77" i="6" s="1"/>
  <c r="H77" i="16"/>
  <c r="AA77" i="16"/>
  <c r="Z77" i="16" s="1"/>
  <c r="Y77" i="16" s="1"/>
  <c r="G130" i="16"/>
  <c r="BY130" i="6" s="1"/>
  <c r="H130" i="16"/>
  <c r="AA130" i="16"/>
  <c r="Z130" i="16" s="1"/>
  <c r="Y130" i="16" s="1"/>
  <c r="AA166" i="16"/>
  <c r="Z166" i="16" s="1"/>
  <c r="Y166" i="16" s="1"/>
  <c r="G166" i="16"/>
  <c r="BY166" i="6" s="1"/>
  <c r="H166" i="16"/>
  <c r="G32" i="16"/>
  <c r="BY32" i="6" s="1"/>
  <c r="AA32" i="16"/>
  <c r="Z32" i="16" s="1"/>
  <c r="Y32" i="16" s="1"/>
  <c r="H32" i="16"/>
  <c r="G115" i="16"/>
  <c r="BY115" i="6" s="1"/>
  <c r="AA115" i="16"/>
  <c r="Z115" i="16" s="1"/>
  <c r="Y115" i="16" s="1"/>
  <c r="H115" i="16"/>
  <c r="G80" i="16"/>
  <c r="BY80" i="6" s="1"/>
  <c r="H80" i="16"/>
  <c r="AA80" i="16"/>
  <c r="Z80" i="16" s="1"/>
  <c r="Y80" i="16" s="1"/>
  <c r="H132" i="16"/>
  <c r="AA132" i="16"/>
  <c r="Z132" i="16" s="1"/>
  <c r="Y132" i="16" s="1"/>
  <c r="G132" i="16"/>
  <c r="BY132" i="6" s="1"/>
  <c r="AA66" i="16"/>
  <c r="Z66" i="16" s="1"/>
  <c r="Y66" i="16" s="1"/>
  <c r="G66" i="16"/>
  <c r="BY66" i="6" s="1"/>
  <c r="H66" i="16"/>
  <c r="G338" i="16"/>
  <c r="BY338" i="6" s="1"/>
  <c r="H338" i="16"/>
  <c r="AA338" i="16"/>
  <c r="Z338" i="16" s="1"/>
  <c r="Y338" i="16" s="1"/>
  <c r="G268" i="16"/>
  <c r="BY268" i="6" s="1"/>
  <c r="AA268" i="16"/>
  <c r="Z268" i="16" s="1"/>
  <c r="Y268" i="16" s="1"/>
  <c r="H268" i="16"/>
  <c r="G264" i="16"/>
  <c r="BY264" i="6" s="1"/>
  <c r="AA264" i="16"/>
  <c r="Z264" i="16" s="1"/>
  <c r="Y264" i="16" s="1"/>
  <c r="H264" i="16"/>
  <c r="G370" i="16"/>
  <c r="BY370" i="6" s="1"/>
  <c r="H370" i="16"/>
  <c r="AA370" i="16"/>
  <c r="Z370" i="16" s="1"/>
  <c r="Y370" i="16" s="1"/>
  <c r="G306" i="16"/>
  <c r="BY306" i="6" s="1"/>
  <c r="AA306" i="16"/>
  <c r="Z306" i="16" s="1"/>
  <c r="Y306" i="16" s="1"/>
  <c r="H306" i="16"/>
  <c r="AA252" i="16"/>
  <c r="Z252" i="16" s="1"/>
  <c r="Y252" i="16" s="1"/>
  <c r="H252" i="16"/>
  <c r="G252" i="16"/>
  <c r="BY252" i="6" s="1"/>
  <c r="AA248" i="16"/>
  <c r="Z248" i="16" s="1"/>
  <c r="Y248" i="16" s="1"/>
  <c r="G248" i="16"/>
  <c r="BY248" i="6" s="1"/>
  <c r="H248" i="16"/>
  <c r="G192" i="16"/>
  <c r="BY192" i="6" s="1"/>
  <c r="AA192" i="16"/>
  <c r="Z192" i="16" s="1"/>
  <c r="Y192" i="16" s="1"/>
  <c r="H192" i="16"/>
  <c r="K63" i="19"/>
  <c r="F63" i="19"/>
  <c r="L63" i="19"/>
  <c r="AG381" i="16"/>
  <c r="AF15" i="16"/>
  <c r="AG383" i="16"/>
  <c r="AG382" i="16"/>
  <c r="J63" i="19"/>
  <c r="AA272" i="16"/>
  <c r="Z272" i="16" s="1"/>
  <c r="Y272" i="16" s="1"/>
  <c r="G272" i="16"/>
  <c r="BY272" i="6" s="1"/>
  <c r="H272" i="16"/>
  <c r="I323" i="16"/>
  <c r="J323" i="16"/>
  <c r="I317" i="16"/>
  <c r="J317" i="16"/>
  <c r="G360" i="16"/>
  <c r="BY360" i="6" s="1"/>
  <c r="H360" i="16"/>
  <c r="AA360" i="16"/>
  <c r="Z360" i="16" s="1"/>
  <c r="Y360" i="16" s="1"/>
  <c r="G352" i="16"/>
  <c r="BY352" i="6" s="1"/>
  <c r="H352" i="16"/>
  <c r="AA352" i="16"/>
  <c r="Z352" i="16" s="1"/>
  <c r="Y352" i="16" s="1"/>
  <c r="H344" i="16"/>
  <c r="AA344" i="16"/>
  <c r="Z344" i="16" s="1"/>
  <c r="Y344" i="16" s="1"/>
  <c r="G344" i="16"/>
  <c r="BY344" i="6" s="1"/>
  <c r="H366" i="16"/>
  <c r="AA366" i="16"/>
  <c r="Z366" i="16" s="1"/>
  <c r="Y366" i="16" s="1"/>
  <c r="G366" i="16"/>
  <c r="BY366" i="6" s="1"/>
  <c r="G220" i="16"/>
  <c r="BY220" i="6" s="1"/>
  <c r="AA220" i="16"/>
  <c r="Z220" i="16" s="1"/>
  <c r="Y220" i="16" s="1"/>
  <c r="H220" i="16"/>
  <c r="G288" i="16"/>
  <c r="BY288" i="6" s="1"/>
  <c r="H288" i="16"/>
  <c r="AA288" i="16"/>
  <c r="Z288" i="16" s="1"/>
  <c r="Y288" i="16" s="1"/>
  <c r="G290" i="16"/>
  <c r="BY290" i="6" s="1"/>
  <c r="AA290" i="16"/>
  <c r="Z290" i="16" s="1"/>
  <c r="Y290" i="16" s="1"/>
  <c r="H290" i="16"/>
  <c r="AA218" i="16"/>
  <c r="Z218" i="16" s="1"/>
  <c r="Y218" i="16" s="1"/>
  <c r="G218" i="16"/>
  <c r="BY218" i="6" s="1"/>
  <c r="H218" i="16"/>
  <c r="H109" i="16"/>
  <c r="G109" i="16"/>
  <c r="BY109" i="6" s="1"/>
  <c r="AA109" i="16"/>
  <c r="Z109" i="16" s="1"/>
  <c r="Y109" i="16" s="1"/>
  <c r="G171" i="16"/>
  <c r="BY171" i="6" s="1"/>
  <c r="AA171" i="16"/>
  <c r="Z171" i="16" s="1"/>
  <c r="Y171" i="16" s="1"/>
  <c r="G82" i="16"/>
  <c r="BY82" i="6" s="1"/>
  <c r="H82" i="16"/>
  <c r="AA82" i="16"/>
  <c r="Z82" i="16" s="1"/>
  <c r="Y82" i="16" s="1"/>
  <c r="G110" i="16"/>
  <c r="BY110" i="6" s="1"/>
  <c r="AA110" i="16"/>
  <c r="Z110" i="16" s="1"/>
  <c r="Y110" i="16" s="1"/>
  <c r="H110" i="16"/>
  <c r="H134" i="16"/>
  <c r="AA134" i="16"/>
  <c r="Z134" i="16" s="1"/>
  <c r="Y134" i="16" s="1"/>
  <c r="G134" i="16"/>
  <c r="BY134" i="6" s="1"/>
  <c r="H154" i="16"/>
  <c r="AA154" i="16"/>
  <c r="Z154" i="16" s="1"/>
  <c r="Y154" i="16" s="1"/>
  <c r="G154" i="16"/>
  <c r="BY154" i="6" s="1"/>
  <c r="AA170" i="16"/>
  <c r="Z170" i="16" s="1"/>
  <c r="Y170" i="16" s="1"/>
  <c r="H170" i="16"/>
  <c r="G170" i="16"/>
  <c r="BY170" i="6" s="1"/>
  <c r="G72" i="16"/>
  <c r="BY72" i="6" s="1"/>
  <c r="AA72" i="16"/>
  <c r="Z72" i="16" s="1"/>
  <c r="Y72" i="16" s="1"/>
  <c r="H72" i="16"/>
  <c r="AA209" i="16"/>
  <c r="Z209" i="16" s="1"/>
  <c r="Y209" i="16" s="1"/>
  <c r="G209" i="16"/>
  <c r="BY209" i="6" s="1"/>
  <c r="H209" i="16"/>
  <c r="G241" i="16"/>
  <c r="BY241" i="6" s="1"/>
  <c r="AA241" i="16"/>
  <c r="Z241" i="16" s="1"/>
  <c r="Y241" i="16" s="1"/>
  <c r="G107" i="16"/>
  <c r="BY107" i="6" s="1"/>
  <c r="AA107" i="16"/>
  <c r="Z107" i="16" s="1"/>
  <c r="Y107" i="16" s="1"/>
  <c r="H107" i="16"/>
  <c r="AA41" i="16"/>
  <c r="Z41" i="16" s="1"/>
  <c r="Y41" i="16" s="1"/>
  <c r="G41" i="16"/>
  <c r="BY41" i="6" s="1"/>
  <c r="H41" i="16"/>
  <c r="H96" i="16"/>
  <c r="G96" i="16"/>
  <c r="BY96" i="6" s="1"/>
  <c r="AA96" i="16"/>
  <c r="Z96" i="16" s="1"/>
  <c r="Y96" i="16" s="1"/>
  <c r="G120" i="16"/>
  <c r="BY120" i="6" s="1"/>
  <c r="H120" i="16"/>
  <c r="AA120" i="16"/>
  <c r="Z120" i="16" s="1"/>
  <c r="Y120" i="16" s="1"/>
  <c r="AA136" i="16"/>
  <c r="Z136" i="16" s="1"/>
  <c r="Y136" i="16" s="1"/>
  <c r="G136" i="16"/>
  <c r="BY136" i="6" s="1"/>
  <c r="H160" i="16"/>
  <c r="G160" i="16"/>
  <c r="BY160" i="6" s="1"/>
  <c r="AA160" i="16"/>
  <c r="Z160" i="16" s="1"/>
  <c r="Y160" i="16" s="1"/>
  <c r="S383" i="16"/>
  <c r="R15" i="16"/>
  <c r="S382" i="16"/>
  <c r="S381" i="16"/>
  <c r="G159" i="16"/>
  <c r="BY159" i="6" s="1"/>
  <c r="AA159" i="16"/>
  <c r="Z159" i="16" s="1"/>
  <c r="Y159" i="16" s="1"/>
  <c r="H159" i="16"/>
  <c r="H282" i="16"/>
  <c r="G282" i="16"/>
  <c r="BY282" i="6" s="1"/>
  <c r="AA282" i="16"/>
  <c r="Z282" i="16" s="1"/>
  <c r="Y282" i="16" s="1"/>
  <c r="AA202" i="16"/>
  <c r="Z202" i="16" s="1"/>
  <c r="Y202" i="16" s="1"/>
  <c r="G202" i="16"/>
  <c r="BY202" i="6" s="1"/>
  <c r="H202" i="16"/>
  <c r="G336" i="16"/>
  <c r="BY336" i="6" s="1"/>
  <c r="AA336" i="16"/>
  <c r="Z336" i="16" s="1"/>
  <c r="Y336" i="16" s="1"/>
  <c r="H336" i="16"/>
  <c r="H320" i="16"/>
  <c r="G320" i="16"/>
  <c r="BY320" i="6" s="1"/>
  <c r="AA320" i="16"/>
  <c r="Z320" i="16" s="1"/>
  <c r="Y320" i="16" s="1"/>
  <c r="H292" i="16"/>
  <c r="G292" i="16"/>
  <c r="BY292" i="6" s="1"/>
  <c r="AA292" i="16"/>
  <c r="Z292" i="16" s="1"/>
  <c r="Y292" i="16" s="1"/>
  <c r="AA276" i="16"/>
  <c r="Z276" i="16" s="1"/>
  <c r="Y276" i="16" s="1"/>
  <c r="H276" i="16"/>
  <c r="G276" i="16"/>
  <c r="BY276" i="6" s="1"/>
  <c r="H244" i="16"/>
  <c r="AA244" i="16"/>
  <c r="Z244" i="16" s="1"/>
  <c r="Y244" i="16" s="1"/>
  <c r="G244" i="16"/>
  <c r="BY244" i="6" s="1"/>
  <c r="G327" i="16"/>
  <c r="BY327" i="6" s="1"/>
  <c r="AA327" i="16"/>
  <c r="Z327" i="16" s="1"/>
  <c r="Y327" i="16" s="1"/>
  <c r="H327" i="16"/>
  <c r="G329" i="16"/>
  <c r="BY329" i="6" s="1"/>
  <c r="H329" i="16"/>
  <c r="AA329" i="16"/>
  <c r="Z329" i="16" s="1"/>
  <c r="Y329" i="16" s="1"/>
  <c r="G348" i="16"/>
  <c r="BY348" i="6" s="1"/>
  <c r="AA348" i="16"/>
  <c r="Z348" i="16" s="1"/>
  <c r="Y348" i="16" s="1"/>
  <c r="H348" i="16"/>
  <c r="G334" i="16"/>
  <c r="BY334" i="6" s="1"/>
  <c r="AA334" i="16"/>
  <c r="Z334" i="16" s="1"/>
  <c r="Y334" i="16" s="1"/>
  <c r="H334" i="16"/>
  <c r="G240" i="16"/>
  <c r="BY240" i="6" s="1"/>
  <c r="H240" i="16"/>
  <c r="AA240" i="16"/>
  <c r="Z240" i="16" s="1"/>
  <c r="Y240" i="16" s="1"/>
  <c r="G324" i="16"/>
  <c r="BY324" i="6" s="1"/>
  <c r="AA324" i="16"/>
  <c r="Z324" i="16" s="1"/>
  <c r="Y324" i="16" s="1"/>
  <c r="G258" i="16"/>
  <c r="BY258" i="6" s="1"/>
  <c r="H258" i="16"/>
  <c r="AA258" i="16"/>
  <c r="Z258" i="16" s="1"/>
  <c r="Y258" i="16" s="1"/>
  <c r="H204" i="16"/>
  <c r="AA204" i="16"/>
  <c r="Z204" i="16" s="1"/>
  <c r="Y204" i="16" s="1"/>
  <c r="G204" i="16"/>
  <c r="BY204" i="6" s="1"/>
  <c r="J175" i="16"/>
  <c r="I175" i="16"/>
  <c r="AA259" i="16"/>
  <c r="Z259" i="16" s="1"/>
  <c r="Y259" i="16" s="1"/>
  <c r="G259" i="16"/>
  <c r="BY259" i="6" s="1"/>
  <c r="H259" i="16"/>
  <c r="G35" i="16"/>
  <c r="BY35" i="6" s="1"/>
  <c r="AA35" i="16"/>
  <c r="Z35" i="16" s="1"/>
  <c r="Y35" i="16" s="1"/>
  <c r="H35" i="16"/>
  <c r="H86" i="16"/>
  <c r="AA86" i="16"/>
  <c r="Z86" i="16" s="1"/>
  <c r="Y86" i="16" s="1"/>
  <c r="G86" i="16"/>
  <c r="BY86" i="6" s="1"/>
  <c r="G122" i="16"/>
  <c r="BY122" i="6" s="1"/>
  <c r="AA122" i="16"/>
  <c r="Z122" i="16" s="1"/>
  <c r="Y122" i="16" s="1"/>
  <c r="H122" i="16"/>
  <c r="G142" i="16"/>
  <c r="BY142" i="6" s="1"/>
  <c r="AA142" i="16"/>
  <c r="Z142" i="16" s="1"/>
  <c r="Y142" i="16" s="1"/>
  <c r="H142" i="16"/>
  <c r="H158" i="16"/>
  <c r="AA158" i="16"/>
  <c r="Z158" i="16" s="1"/>
  <c r="Y158" i="16" s="1"/>
  <c r="G158" i="16"/>
  <c r="BY158" i="6" s="1"/>
  <c r="AA174" i="16"/>
  <c r="Z174" i="16" s="1"/>
  <c r="Y174" i="16" s="1"/>
  <c r="G174" i="16"/>
  <c r="BY174" i="6" s="1"/>
  <c r="H174" i="16"/>
  <c r="G68" i="16"/>
  <c r="BY68" i="6" s="1"/>
  <c r="H68" i="16"/>
  <c r="AA68" i="16"/>
  <c r="Z68" i="16" s="1"/>
  <c r="Y68" i="16" s="1"/>
  <c r="G24" i="16"/>
  <c r="BY24" i="6" s="1"/>
  <c r="H24" i="16"/>
  <c r="AA24" i="16"/>
  <c r="Z24" i="16" s="1"/>
  <c r="Y24" i="16" s="1"/>
  <c r="H137" i="16"/>
  <c r="AA137" i="16"/>
  <c r="Z137" i="16" s="1"/>
  <c r="Y137" i="16" s="1"/>
  <c r="G137" i="16"/>
  <c r="BY137" i="6" s="1"/>
  <c r="G285" i="16"/>
  <c r="BY285" i="6" s="1"/>
  <c r="AA285" i="16"/>
  <c r="Z285" i="16" s="1"/>
  <c r="Y285" i="16" s="1"/>
  <c r="H285" i="16"/>
  <c r="AA99" i="16"/>
  <c r="Z99" i="16" s="1"/>
  <c r="Y99" i="16" s="1"/>
  <c r="H99" i="16"/>
  <c r="G99" i="16"/>
  <c r="BY99" i="6" s="1"/>
  <c r="AA49" i="16"/>
  <c r="Z49" i="16" s="1"/>
  <c r="Y49" i="16" s="1"/>
  <c r="H49" i="16"/>
  <c r="G49" i="16"/>
  <c r="BY49" i="6" s="1"/>
  <c r="H100" i="16"/>
  <c r="G100" i="16"/>
  <c r="BY100" i="6" s="1"/>
  <c r="AA100" i="16"/>
  <c r="Z100" i="16" s="1"/>
  <c r="Y100" i="16" s="1"/>
  <c r="G124" i="16"/>
  <c r="BY124" i="6" s="1"/>
  <c r="AA124" i="16"/>
  <c r="Z124" i="16" s="1"/>
  <c r="Y124" i="16" s="1"/>
  <c r="H124" i="16"/>
  <c r="H144" i="16"/>
  <c r="AA144" i="16"/>
  <c r="Z144" i="16" s="1"/>
  <c r="Y144" i="16" s="1"/>
  <c r="G144" i="16"/>
  <c r="BY144" i="6" s="1"/>
  <c r="H164" i="16"/>
  <c r="G164" i="16"/>
  <c r="BY164" i="6" s="1"/>
  <c r="AA164" i="16"/>
  <c r="Z164" i="16" s="1"/>
  <c r="Y164" i="16" s="1"/>
  <c r="AA34" i="16"/>
  <c r="Z34" i="16" s="1"/>
  <c r="Y34" i="16" s="1"/>
  <c r="H34" i="16"/>
  <c r="G34" i="16"/>
  <c r="BY34" i="6" s="1"/>
  <c r="H324" i="16"/>
  <c r="AA191" i="16"/>
  <c r="Z191" i="16" s="1"/>
  <c r="Y191" i="16" s="1"/>
  <c r="G191" i="16"/>
  <c r="BY191" i="6" s="1"/>
  <c r="H191" i="16"/>
  <c r="G263" i="16"/>
  <c r="BY263" i="6" s="1"/>
  <c r="AA263" i="16"/>
  <c r="Z263" i="16" s="1"/>
  <c r="Y263" i="16" s="1"/>
  <c r="H263" i="16"/>
  <c r="AA291" i="16"/>
  <c r="Z291" i="16" s="1"/>
  <c r="Y291" i="16" s="1"/>
  <c r="H291" i="16"/>
  <c r="G291" i="16"/>
  <c r="BY291" i="6" s="1"/>
  <c r="AA95" i="16"/>
  <c r="Z95" i="16" s="1"/>
  <c r="Y95" i="16" s="1"/>
  <c r="G95" i="16"/>
  <c r="BY95" i="6" s="1"/>
  <c r="H95" i="16"/>
  <c r="H61" i="16"/>
  <c r="AA61" i="16"/>
  <c r="Z61" i="16" s="1"/>
  <c r="Y61" i="16" s="1"/>
  <c r="G61" i="16"/>
  <c r="BY61" i="6" s="1"/>
  <c r="G102" i="16"/>
  <c r="BY102" i="6" s="1"/>
  <c r="AA102" i="16"/>
  <c r="Z102" i="16" s="1"/>
  <c r="Y102" i="16" s="1"/>
  <c r="H102" i="16"/>
  <c r="G126" i="16"/>
  <c r="BY126" i="6" s="1"/>
  <c r="AA126" i="16"/>
  <c r="Z126" i="16" s="1"/>
  <c r="Y126" i="16" s="1"/>
  <c r="H126" i="16"/>
  <c r="G146" i="16"/>
  <c r="BY146" i="6" s="1"/>
  <c r="H146" i="16"/>
  <c r="AA146" i="16"/>
  <c r="Z146" i="16" s="1"/>
  <c r="Y146" i="16" s="1"/>
  <c r="G162" i="16"/>
  <c r="BY162" i="6" s="1"/>
  <c r="H162" i="16"/>
  <c r="AA162" i="16"/>
  <c r="Z162" i="16" s="1"/>
  <c r="Y162" i="16" s="1"/>
  <c r="H29" i="16"/>
  <c r="AA29" i="16"/>
  <c r="Z29" i="16" s="1"/>
  <c r="Y29" i="16" s="1"/>
  <c r="G29" i="16"/>
  <c r="BY29" i="6" s="1"/>
  <c r="G63" i="19"/>
  <c r="H136" i="16"/>
  <c r="H171" i="16"/>
  <c r="L43" i="19"/>
  <c r="J185" i="16"/>
  <c r="J300" i="16"/>
  <c r="J213" i="16"/>
  <c r="I238" i="16"/>
  <c r="J376" i="16"/>
  <c r="I260" i="16"/>
  <c r="AA379" i="16"/>
  <c r="Z379" i="16" s="1"/>
  <c r="Y379" i="16" s="1"/>
  <c r="I169" i="16"/>
  <c r="J243" i="16"/>
  <c r="D11" i="19"/>
  <c r="E11" i="19" s="1"/>
  <c r="G35" i="19"/>
  <c r="J372" i="16"/>
  <c r="I153" i="16"/>
  <c r="J153" i="16"/>
  <c r="Q331" i="18"/>
  <c r="Q202" i="18"/>
  <c r="Q267" i="18"/>
  <c r="Q138" i="18"/>
  <c r="J322" i="16"/>
  <c r="J199" i="16"/>
  <c r="J57" i="16"/>
  <c r="J296" i="16"/>
  <c r="I31" i="16"/>
  <c r="I197" i="16"/>
  <c r="J97" i="16"/>
  <c r="J73" i="16"/>
  <c r="J363" i="16"/>
  <c r="I212" i="16"/>
  <c r="I210" i="16"/>
  <c r="I299" i="16"/>
  <c r="I184" i="16"/>
  <c r="J111" i="16"/>
  <c r="J87" i="16"/>
  <c r="J93" i="16"/>
  <c r="J42" i="16"/>
  <c r="J173" i="16"/>
  <c r="J89" i="16"/>
  <c r="I89" i="16"/>
  <c r="I21" i="16"/>
  <c r="J69" i="16"/>
  <c r="I69" i="16"/>
  <c r="I103" i="16"/>
  <c r="I310" i="16"/>
  <c r="I217" i="16"/>
  <c r="I308" i="16"/>
  <c r="I53" i="16"/>
  <c r="J75" i="16"/>
  <c r="I108" i="16"/>
  <c r="Q363" i="18"/>
  <c r="Q299" i="18"/>
  <c r="Q234" i="18"/>
  <c r="Q170" i="18"/>
  <c r="Q78" i="18"/>
  <c r="I91" i="16"/>
  <c r="J91" i="16"/>
  <c r="J84" i="16"/>
  <c r="J56" i="16"/>
  <c r="Q373" i="18"/>
  <c r="Q347" i="18"/>
  <c r="Q315" i="18"/>
  <c r="Q283" i="18"/>
  <c r="Q251" i="18"/>
  <c r="Q218" i="18"/>
  <c r="Q186" i="18"/>
  <c r="Q154" i="18"/>
  <c r="Q110" i="18"/>
  <c r="Q46" i="18"/>
  <c r="I17" i="16"/>
  <c r="J17" i="16"/>
  <c r="J45" i="16"/>
  <c r="I45" i="16"/>
  <c r="J305" i="16"/>
  <c r="I305" i="16"/>
  <c r="I237" i="16"/>
  <c r="J237" i="16"/>
  <c r="J207" i="16"/>
  <c r="I207" i="16"/>
  <c r="I127" i="16"/>
  <c r="J127" i="16"/>
  <c r="I79" i="16"/>
  <c r="J79" i="16"/>
  <c r="J247" i="16"/>
  <c r="I247" i="16"/>
  <c r="I54" i="16"/>
  <c r="J172" i="16"/>
  <c r="I62" i="16"/>
  <c r="J62" i="16"/>
  <c r="J266" i="16"/>
  <c r="Q377" i="18"/>
  <c r="Q369" i="18"/>
  <c r="Q355" i="18"/>
  <c r="Q339" i="18"/>
  <c r="Q323" i="18"/>
  <c r="Q307" i="18"/>
  <c r="Q291" i="18"/>
  <c r="Q275" i="18"/>
  <c r="Q259" i="18"/>
  <c r="Q243" i="18"/>
  <c r="Q226" i="18"/>
  <c r="Q210" i="18"/>
  <c r="Q194" i="18"/>
  <c r="Q178" i="18"/>
  <c r="Q162" i="18"/>
  <c r="Q146" i="18"/>
  <c r="Q126" i="18"/>
  <c r="Q94" i="18"/>
  <c r="Q62" i="18"/>
  <c r="Q30" i="18"/>
  <c r="Q379" i="18"/>
  <c r="Q375" i="18"/>
  <c r="Q371" i="18"/>
  <c r="Q367" i="18"/>
  <c r="Q359" i="18"/>
  <c r="Q351" i="18"/>
  <c r="Q343" i="18"/>
  <c r="Q335" i="18"/>
  <c r="Q327" i="18"/>
  <c r="Q319" i="18"/>
  <c r="Q311" i="18"/>
  <c r="Q303" i="18"/>
  <c r="Q295" i="18"/>
  <c r="Q287" i="18"/>
  <c r="Q279" i="18"/>
  <c r="Q271" i="18"/>
  <c r="Q263" i="18"/>
  <c r="Q255" i="18"/>
  <c r="Q247" i="18"/>
  <c r="Q239" i="18"/>
  <c r="Q230" i="18"/>
  <c r="Q222" i="18"/>
  <c r="Q214" i="18"/>
  <c r="Q206" i="18"/>
  <c r="Q198" i="18"/>
  <c r="Q190" i="18"/>
  <c r="Q182" i="18"/>
  <c r="Q174" i="18"/>
  <c r="Q166" i="18"/>
  <c r="Q158" i="18"/>
  <c r="Q150" i="18"/>
  <c r="Q142" i="18"/>
  <c r="Q134" i="18"/>
  <c r="Q118" i="18"/>
  <c r="Q102" i="18"/>
  <c r="Q86" i="18"/>
  <c r="Q70" i="18"/>
  <c r="Q54" i="18"/>
  <c r="Q38" i="18"/>
  <c r="AE18" i="18"/>
  <c r="Q16" i="18"/>
  <c r="Q26" i="18"/>
  <c r="Q34" i="18"/>
  <c r="Q42" i="18"/>
  <c r="Q50" i="18"/>
  <c r="Q58" i="18"/>
  <c r="Q66" i="18"/>
  <c r="Q74" i="18"/>
  <c r="Q82" i="18"/>
  <c r="Q90" i="18"/>
  <c r="Q98" i="18"/>
  <c r="Q106" i="18"/>
  <c r="Q114" i="18"/>
  <c r="Q122" i="18"/>
  <c r="Q130" i="18"/>
  <c r="Q136" i="18"/>
  <c r="Q140" i="18"/>
  <c r="Q144" i="18"/>
  <c r="Q148" i="18"/>
  <c r="Q152" i="18"/>
  <c r="Q156" i="18"/>
  <c r="Q160" i="18"/>
  <c r="Q164" i="18"/>
  <c r="Q168" i="18"/>
  <c r="Q172" i="18"/>
  <c r="Q176" i="18"/>
  <c r="Q180" i="18"/>
  <c r="Q184" i="18"/>
  <c r="Q188" i="18"/>
  <c r="Q192" i="18"/>
  <c r="Q196" i="18"/>
  <c r="Q200" i="18"/>
  <c r="Q204" i="18"/>
  <c r="Q208" i="18"/>
  <c r="Q212" i="18"/>
  <c r="Q216" i="18"/>
  <c r="Q220" i="18"/>
  <c r="Q224" i="18"/>
  <c r="Q228" i="18"/>
  <c r="Q232" i="18"/>
  <c r="Q236" i="18"/>
  <c r="Q241" i="18"/>
  <c r="Q245" i="18"/>
  <c r="Q249" i="18"/>
  <c r="Q253" i="18"/>
  <c r="Q257" i="18"/>
  <c r="Q261" i="18"/>
  <c r="Q265" i="18"/>
  <c r="Q269" i="18"/>
  <c r="Q273" i="18"/>
  <c r="Q277" i="18"/>
  <c r="Q281" i="18"/>
  <c r="Q285" i="18"/>
  <c r="Q289" i="18"/>
  <c r="Q293" i="18"/>
  <c r="Q297" i="18"/>
  <c r="Q301" i="18"/>
  <c r="Q305" i="18"/>
  <c r="Q309" i="18"/>
  <c r="Q313" i="18"/>
  <c r="Q317" i="18"/>
  <c r="Q321" i="18"/>
  <c r="Q325" i="18"/>
  <c r="Q329" i="18"/>
  <c r="Q333" i="18"/>
  <c r="Q337" i="18"/>
  <c r="Q341" i="18"/>
  <c r="Q345" i="18"/>
  <c r="Q349" i="18"/>
  <c r="Q353" i="18"/>
  <c r="Q357" i="18"/>
  <c r="Q361" i="18"/>
  <c r="Q365" i="18"/>
  <c r="J152" i="16"/>
  <c r="I152" i="16"/>
  <c r="I27" i="16"/>
  <c r="J27" i="16"/>
  <c r="Q132" i="18"/>
  <c r="Q128" i="18"/>
  <c r="Q124" i="18"/>
  <c r="Q120" i="18"/>
  <c r="Q116" i="18"/>
  <c r="Q112" i="18"/>
  <c r="Q108" i="18"/>
  <c r="Q104" i="18"/>
  <c r="Q100" i="18"/>
  <c r="Q96" i="18"/>
  <c r="Q92" i="18"/>
  <c r="Q88" i="18"/>
  <c r="Q84" i="18"/>
  <c r="Q80" i="18"/>
  <c r="Q76" i="18"/>
  <c r="Q72" i="18"/>
  <c r="Q68" i="18"/>
  <c r="Q64" i="18"/>
  <c r="Q60" i="18"/>
  <c r="Q56" i="18"/>
  <c r="Q52" i="18"/>
  <c r="Q48" i="18"/>
  <c r="Q44" i="18"/>
  <c r="Q40" i="18"/>
  <c r="Q36" i="18"/>
  <c r="Q32" i="18"/>
  <c r="Q28" i="18"/>
  <c r="Q24" i="18"/>
  <c r="Q20" i="18"/>
  <c r="Q19" i="18"/>
  <c r="J58" i="16"/>
  <c r="I58" i="16"/>
  <c r="J92" i="16"/>
  <c r="I92" i="16"/>
  <c r="I37" i="16"/>
  <c r="J37" i="16"/>
  <c r="J30" i="16"/>
  <c r="I30" i="16"/>
  <c r="AL11" i="1"/>
  <c r="AJ3" i="1" s="1"/>
  <c r="O11" i="19" s="1"/>
  <c r="V383" i="15"/>
  <c r="AC382" i="25"/>
  <c r="AC383" i="25"/>
  <c r="AC381" i="25"/>
  <c r="Y379" i="1"/>
  <c r="AL5" i="1" s="1"/>
  <c r="Z381" i="1"/>
  <c r="Z383" i="1"/>
  <c r="Z9" i="1"/>
  <c r="Z382" i="1"/>
  <c r="AL8" i="1"/>
  <c r="E7" i="7"/>
  <c r="A7" i="6"/>
  <c r="V382" i="15"/>
  <c r="O383" i="25"/>
  <c r="O381" i="25"/>
  <c r="O382" i="25"/>
  <c r="J379" i="15"/>
  <c r="I379" i="15"/>
  <c r="H379" i="16" s="1"/>
  <c r="V105" i="17"/>
  <c r="V49" i="17"/>
  <c r="V359" i="17"/>
  <c r="V283" i="17"/>
  <c r="V259" i="17"/>
  <c r="V247" i="17"/>
  <c r="V127" i="17"/>
  <c r="V348" i="17"/>
  <c r="V40" i="17"/>
  <c r="V28" i="17"/>
  <c r="V93" i="17"/>
  <c r="V69" i="17"/>
  <c r="V45" i="17"/>
  <c r="V355" i="17"/>
  <c r="V271" i="17"/>
  <c r="V352" i="17"/>
  <c r="V304" i="17"/>
  <c r="V60" i="17"/>
  <c r="Q378" i="18"/>
  <c r="Q376" i="18"/>
  <c r="Q374" i="18"/>
  <c r="Q372" i="18"/>
  <c r="Q370" i="18"/>
  <c r="Q368" i="18"/>
  <c r="Q366" i="18"/>
  <c r="Q364" i="18"/>
  <c r="Q362" i="18"/>
  <c r="Q360" i="18"/>
  <c r="Q358" i="18"/>
  <c r="Q356" i="18"/>
  <c r="Q354" i="18"/>
  <c r="Q352" i="18"/>
  <c r="Q350" i="18"/>
  <c r="Q348" i="18"/>
  <c r="Q346" i="18"/>
  <c r="Q344" i="18"/>
  <c r="Q342" i="18"/>
  <c r="Q340" i="18"/>
  <c r="Q338" i="18"/>
  <c r="Q336" i="18"/>
  <c r="Q334" i="18"/>
  <c r="Q332" i="18"/>
  <c r="Q330" i="18"/>
  <c r="Q328" i="18"/>
  <c r="Q326" i="18"/>
  <c r="Q324" i="18"/>
  <c r="Q322" i="18"/>
  <c r="Q320" i="18"/>
  <c r="Q318" i="18"/>
  <c r="Q316" i="18"/>
  <c r="Q314" i="18"/>
  <c r="Q312" i="18"/>
  <c r="Q310" i="18"/>
  <c r="Q308" i="18"/>
  <c r="Q306" i="18"/>
  <c r="Q304" i="18"/>
  <c r="Q302" i="18"/>
  <c r="Q300" i="18"/>
  <c r="Q298" i="18"/>
  <c r="Q296" i="18"/>
  <c r="Q294" i="18"/>
  <c r="Q292" i="18"/>
  <c r="Q290" i="18"/>
  <c r="Q288" i="18"/>
  <c r="Q286" i="18"/>
  <c r="Q284" i="18"/>
  <c r="Q282" i="18"/>
  <c r="Q280" i="18"/>
  <c r="Q278" i="18"/>
  <c r="Q276" i="18"/>
  <c r="Q274" i="18"/>
  <c r="Q272" i="18"/>
  <c r="Q270" i="18"/>
  <c r="Q268" i="18"/>
  <c r="Q266" i="18"/>
  <c r="Q264" i="18"/>
  <c r="Q262" i="18"/>
  <c r="Q260" i="18"/>
  <c r="Q258" i="18"/>
  <c r="Q256" i="18"/>
  <c r="Q254" i="18"/>
  <c r="Q252" i="18"/>
  <c r="Q250" i="18"/>
  <c r="Q248" i="18"/>
  <c r="Q246" i="18"/>
  <c r="Q244" i="18"/>
  <c r="Q242" i="18"/>
  <c r="Q240" i="18"/>
  <c r="Q238" i="18"/>
  <c r="Q235" i="18"/>
  <c r="Q233" i="18"/>
  <c r="Q231" i="18"/>
  <c r="Q229" i="18"/>
  <c r="Q227" i="18"/>
  <c r="Q225" i="18"/>
  <c r="Q223" i="18"/>
  <c r="Q221" i="18"/>
  <c r="Q219" i="18"/>
  <c r="Q217" i="18"/>
  <c r="Q215" i="18"/>
  <c r="Q213" i="18"/>
  <c r="Q211" i="18"/>
  <c r="Q209" i="18"/>
  <c r="Q207" i="18"/>
  <c r="Q205" i="18"/>
  <c r="Q203" i="18"/>
  <c r="Q201" i="18"/>
  <c r="Q199" i="18"/>
  <c r="Q197" i="18"/>
  <c r="Q195" i="18"/>
  <c r="Q193" i="18"/>
  <c r="Q191" i="18"/>
  <c r="Q189" i="18"/>
  <c r="Q187" i="18"/>
  <c r="Q185" i="18"/>
  <c r="Q183" i="18"/>
  <c r="Q181" i="18"/>
  <c r="Q179" i="18"/>
  <c r="Q177" i="18"/>
  <c r="Q175" i="18"/>
  <c r="Q173" i="18"/>
  <c r="Q171" i="18"/>
  <c r="Q169" i="18"/>
  <c r="Q167" i="18"/>
  <c r="Q165" i="18"/>
  <c r="Q163" i="18"/>
  <c r="Q161" i="18"/>
  <c r="Q159" i="18"/>
  <c r="Q157" i="18"/>
  <c r="Q155" i="18"/>
  <c r="Q153" i="18"/>
  <c r="Q151" i="18"/>
  <c r="Q149" i="18"/>
  <c r="Q147" i="18"/>
  <c r="Q145" i="18"/>
  <c r="Q143" i="18"/>
  <c r="Q141" i="18"/>
  <c r="Q139" i="18"/>
  <c r="Q137" i="18"/>
  <c r="Q135" i="18"/>
  <c r="Q133" i="18"/>
  <c r="Q131" i="18"/>
  <c r="Q129" i="18"/>
  <c r="Q127" i="18"/>
  <c r="Q125" i="18"/>
  <c r="Q123" i="18"/>
  <c r="Q121" i="18"/>
  <c r="Q119" i="18"/>
  <c r="Q117" i="18"/>
  <c r="Q115" i="18"/>
  <c r="Q113" i="18"/>
  <c r="Q111" i="18"/>
  <c r="Q109" i="18"/>
  <c r="Q107" i="18"/>
  <c r="Q105" i="18"/>
  <c r="Q103" i="18"/>
  <c r="Q101" i="18"/>
  <c r="Q99" i="18"/>
  <c r="Q97" i="18"/>
  <c r="Q95" i="18"/>
  <c r="Q93" i="18"/>
  <c r="Q91" i="18"/>
  <c r="Q89" i="18"/>
  <c r="Q87" i="18"/>
  <c r="Q85" i="18"/>
  <c r="Q83" i="18"/>
  <c r="Q81" i="18"/>
  <c r="Q79" i="18"/>
  <c r="Q77" i="18"/>
  <c r="Q75" i="18"/>
  <c r="Q73" i="18"/>
  <c r="Q71" i="18"/>
  <c r="Q69" i="18"/>
  <c r="Q67" i="18"/>
  <c r="Q65" i="18"/>
  <c r="Q63" i="18"/>
  <c r="Q61" i="18"/>
  <c r="Q59" i="18"/>
  <c r="Q57" i="18"/>
  <c r="Q55" i="18"/>
  <c r="Q53" i="18"/>
  <c r="Q51" i="18"/>
  <c r="Q49" i="18"/>
  <c r="Q47" i="18"/>
  <c r="Q45" i="18"/>
  <c r="Q43" i="18"/>
  <c r="Q41" i="18"/>
  <c r="Q39" i="18"/>
  <c r="Q37" i="18"/>
  <c r="Q35" i="18"/>
  <c r="Q33" i="18"/>
  <c r="Q31" i="18"/>
  <c r="Q29" i="18"/>
  <c r="Q27" i="18"/>
  <c r="Q25" i="18"/>
  <c r="Q23" i="18"/>
  <c r="Q21" i="18"/>
  <c r="Q15" i="18"/>
  <c r="Q17" i="18"/>
  <c r="Q18" i="18"/>
  <c r="N62" i="19"/>
  <c r="G381" i="15"/>
  <c r="G382" i="15"/>
  <c r="G383" i="15"/>
  <c r="G12" i="15" s="1"/>
  <c r="I228" i="16"/>
  <c r="J228" i="16"/>
  <c r="AM7" i="25"/>
  <c r="AM11" i="25" s="1"/>
  <c r="AM5" i="25"/>
  <c r="AK9" i="25"/>
  <c r="AK5" i="25"/>
  <c r="AM9" i="25"/>
  <c r="AK7" i="25"/>
  <c r="AK11" i="25" s="1"/>
  <c r="L382" i="25"/>
  <c r="L383" i="25"/>
  <c r="L381" i="25"/>
  <c r="AE379" i="18"/>
  <c r="AE12" i="20" s="1"/>
  <c r="AE377" i="18"/>
  <c r="AE375" i="18"/>
  <c r="AE373" i="18"/>
  <c r="AE371" i="18"/>
  <c r="AE369" i="18"/>
  <c r="AE367" i="18"/>
  <c r="AE365" i="18"/>
  <c r="AE363" i="18"/>
  <c r="AE361" i="18"/>
  <c r="AE359" i="18"/>
  <c r="AE357" i="18"/>
  <c r="AE355" i="18"/>
  <c r="AE353" i="18"/>
  <c r="AE351" i="18"/>
  <c r="AE349" i="18"/>
  <c r="AE347" i="18"/>
  <c r="AE345" i="18"/>
  <c r="AE343" i="18"/>
  <c r="AE341" i="18"/>
  <c r="AE339" i="18"/>
  <c r="AE337" i="18"/>
  <c r="AE335" i="18"/>
  <c r="AE333" i="18"/>
  <c r="AE331" i="18"/>
  <c r="AE329" i="18"/>
  <c r="AE327" i="18"/>
  <c r="AE325" i="18"/>
  <c r="AE323" i="18"/>
  <c r="AE321" i="18"/>
  <c r="AE319" i="18"/>
  <c r="AE317" i="18"/>
  <c r="AE315" i="18"/>
  <c r="AE313" i="18"/>
  <c r="AE311" i="18"/>
  <c r="AE309" i="18"/>
  <c r="AE307" i="18"/>
  <c r="AE305" i="18"/>
  <c r="AE303" i="18"/>
  <c r="AE301" i="18"/>
  <c r="AE299" i="18"/>
  <c r="AE297" i="18"/>
  <c r="AE295" i="18"/>
  <c r="AE293" i="18"/>
  <c r="AE291" i="18"/>
  <c r="AE289" i="18"/>
  <c r="AE287" i="18"/>
  <c r="AE285" i="18"/>
  <c r="AE283" i="18"/>
  <c r="AE281" i="18"/>
  <c r="AE279" i="18"/>
  <c r="AE277" i="18"/>
  <c r="AE275" i="18"/>
  <c r="AE273" i="18"/>
  <c r="AE271" i="18"/>
  <c r="AE269" i="18"/>
  <c r="AE267" i="18"/>
  <c r="AE265" i="18"/>
  <c r="AE263" i="18"/>
  <c r="AE261" i="18"/>
  <c r="AE259" i="18"/>
  <c r="AE257" i="18"/>
  <c r="AE255" i="18"/>
  <c r="AE253" i="18"/>
  <c r="AE251" i="18"/>
  <c r="AE249" i="18"/>
  <c r="AE247" i="18"/>
  <c r="AE245" i="18"/>
  <c r="AE243" i="18"/>
  <c r="AE241" i="18"/>
  <c r="AE239" i="18"/>
  <c r="AE237" i="18"/>
  <c r="AE235" i="18"/>
  <c r="AE233" i="18"/>
  <c r="AE231" i="18"/>
  <c r="AE229" i="18"/>
  <c r="AE227" i="18"/>
  <c r="AE225" i="18"/>
  <c r="AE223" i="18"/>
  <c r="AE221" i="18"/>
  <c r="AE219" i="18"/>
  <c r="AE217" i="18"/>
  <c r="AE215" i="18"/>
  <c r="AE213" i="18"/>
  <c r="AE211" i="18"/>
  <c r="AE209" i="18"/>
  <c r="AE207" i="18"/>
  <c r="AE205" i="18"/>
  <c r="AE203" i="18"/>
  <c r="AE201" i="18"/>
  <c r="AE199" i="18"/>
  <c r="AE197" i="18"/>
  <c r="AE195" i="18"/>
  <c r="AE193" i="18"/>
  <c r="AE191" i="18"/>
  <c r="AE189" i="18"/>
  <c r="AE187" i="18"/>
  <c r="AE185" i="18"/>
  <c r="AE183" i="18"/>
  <c r="AE181" i="18"/>
  <c r="AE179" i="18"/>
  <c r="AE177" i="18"/>
  <c r="AE175" i="18"/>
  <c r="AE173" i="18"/>
  <c r="AE171" i="18"/>
  <c r="AE169" i="18"/>
  <c r="AE167" i="18"/>
  <c r="AE165" i="18"/>
  <c r="AE163" i="18"/>
  <c r="AE161" i="18"/>
  <c r="AE159" i="18"/>
  <c r="AE157" i="18"/>
  <c r="AE155" i="18"/>
  <c r="AE153" i="18"/>
  <c r="AE151" i="18"/>
  <c r="AE149" i="18"/>
  <c r="AE147" i="18"/>
  <c r="AE145" i="18"/>
  <c r="AE143" i="18"/>
  <c r="AE141" i="18"/>
  <c r="AE139" i="18"/>
  <c r="AE137" i="18"/>
  <c r="AE135" i="18"/>
  <c r="AE133" i="18"/>
  <c r="AE131" i="18"/>
  <c r="AE129" i="18"/>
  <c r="AE127" i="18"/>
  <c r="AE125" i="18"/>
  <c r="AE123" i="18"/>
  <c r="AE121" i="18"/>
  <c r="AE119" i="18"/>
  <c r="AE117" i="18"/>
  <c r="AE115" i="18"/>
  <c r="AE113" i="18"/>
  <c r="AE111" i="18"/>
  <c r="AE109" i="18"/>
  <c r="AE107" i="18"/>
  <c r="AE105" i="18"/>
  <c r="AE103" i="18"/>
  <c r="AE101" i="18"/>
  <c r="AE99" i="18"/>
  <c r="AE97" i="18"/>
  <c r="AE95" i="18"/>
  <c r="AE93" i="18"/>
  <c r="AE91" i="18"/>
  <c r="AE89" i="18"/>
  <c r="AE87" i="18"/>
  <c r="AE85" i="18"/>
  <c r="AE83" i="18"/>
  <c r="AE81" i="18"/>
  <c r="AE79" i="18"/>
  <c r="AE77" i="18"/>
  <c r="AE75" i="18"/>
  <c r="AE73" i="18"/>
  <c r="AE71" i="18"/>
  <c r="AE69" i="18"/>
  <c r="AE67" i="18"/>
  <c r="AE65" i="18"/>
  <c r="AE63" i="18"/>
  <c r="AE61" i="18"/>
  <c r="AE59" i="18"/>
  <c r="AE57" i="18"/>
  <c r="AE55" i="18"/>
  <c r="AE53" i="18"/>
  <c r="AE51" i="18"/>
  <c r="AE49" i="18"/>
  <c r="AE47" i="18"/>
  <c r="AE45" i="18"/>
  <c r="AE43" i="18"/>
  <c r="AE41" i="18"/>
  <c r="AE39" i="18"/>
  <c r="AE37" i="18"/>
  <c r="AE35" i="18"/>
  <c r="AE33" i="18"/>
  <c r="AE31" i="18"/>
  <c r="AE29" i="18"/>
  <c r="AE27" i="18"/>
  <c r="AE25" i="18"/>
  <c r="AE23" i="18"/>
  <c r="AE21" i="18"/>
  <c r="AE15" i="18"/>
  <c r="AE16" i="18"/>
  <c r="V341" i="17"/>
  <c r="V317" i="17"/>
  <c r="V313" i="17"/>
  <c r="V293" i="17"/>
  <c r="V249" i="17"/>
  <c r="V241" i="17"/>
  <c r="V229" i="17"/>
  <c r="V193" i="17"/>
  <c r="V21" i="17"/>
  <c r="Q237" i="18"/>
  <c r="AC15" i="7"/>
  <c r="F11" i="15"/>
  <c r="G12" i="19"/>
  <c r="AB9" i="15"/>
  <c r="J15" i="15"/>
  <c r="I15" i="15"/>
  <c r="AA383" i="15"/>
  <c r="AL10" i="15"/>
  <c r="AM8" i="15"/>
  <c r="Z15" i="15"/>
  <c r="AL7" i="15" s="1"/>
  <c r="AA382" i="15"/>
  <c r="AA9" i="15"/>
  <c r="AA381" i="15"/>
  <c r="V370" i="17"/>
  <c r="V342" i="17"/>
  <c r="V338" i="17"/>
  <c r="D65" i="7"/>
  <c r="V290" i="17"/>
  <c r="V278" i="17"/>
  <c r="V274" i="17"/>
  <c r="V270" i="17"/>
  <c r="V250" i="17"/>
  <c r="V238" i="17"/>
  <c r="V122" i="17"/>
  <c r="V86" i="17"/>
  <c r="V66" i="17"/>
  <c r="V58" i="17"/>
  <c r="V34" i="17"/>
  <c r="V375" i="17"/>
  <c r="V211" i="17"/>
  <c r="V187" i="17"/>
  <c r="V103" i="17"/>
  <c r="V99" i="17"/>
  <c r="V67" i="17"/>
  <c r="V47" i="17"/>
  <c r="V39" i="17"/>
  <c r="V35" i="17"/>
  <c r="V23" i="17"/>
  <c r="V264" i="17"/>
  <c r="V252" i="17"/>
  <c r="V180" i="17"/>
  <c r="V168" i="17"/>
  <c r="V132" i="17"/>
  <c r="V112" i="17"/>
  <c r="V100" i="17"/>
  <c r="AE378" i="18"/>
  <c r="AE376" i="18"/>
  <c r="AE374" i="18"/>
  <c r="AE372" i="18"/>
  <c r="AE370" i="18"/>
  <c r="AE368" i="18"/>
  <c r="AE366" i="18"/>
  <c r="AE364" i="18"/>
  <c r="AE362" i="18"/>
  <c r="AE360" i="18"/>
  <c r="AE358" i="18"/>
  <c r="AE356" i="18"/>
  <c r="AE354" i="18"/>
  <c r="AE352" i="18"/>
  <c r="AE350" i="18"/>
  <c r="AE348" i="18"/>
  <c r="AE346" i="18"/>
  <c r="AE344" i="18"/>
  <c r="AE342" i="18"/>
  <c r="AE340" i="18"/>
  <c r="AE338" i="18"/>
  <c r="AE336" i="18"/>
  <c r="AE334" i="18"/>
  <c r="AE332" i="18"/>
  <c r="AE330" i="18"/>
  <c r="AE328" i="18"/>
  <c r="AE326" i="18"/>
  <c r="AE324" i="18"/>
  <c r="AE322" i="18"/>
  <c r="AE320" i="18"/>
  <c r="AE318" i="18"/>
  <c r="AE316" i="18"/>
  <c r="AE314" i="18"/>
  <c r="AE312" i="18"/>
  <c r="AE310" i="18"/>
  <c r="AE308" i="18"/>
  <c r="AE306" i="18"/>
  <c r="AE304" i="18"/>
  <c r="AE302" i="18"/>
  <c r="AE300" i="18"/>
  <c r="AE298" i="18"/>
  <c r="AE296" i="18"/>
  <c r="AE294" i="18"/>
  <c r="AE292" i="18"/>
  <c r="AE290" i="18"/>
  <c r="AE288" i="18"/>
  <c r="AE286" i="18"/>
  <c r="AE284" i="18"/>
  <c r="AE282" i="18"/>
  <c r="AE280" i="18"/>
  <c r="AE278" i="18"/>
  <c r="AE276" i="18"/>
  <c r="AE274" i="18"/>
  <c r="AE272" i="18"/>
  <c r="AE270" i="18"/>
  <c r="AE268" i="18"/>
  <c r="AE266" i="18"/>
  <c r="AE264" i="18"/>
  <c r="AE262" i="18"/>
  <c r="AE260" i="18"/>
  <c r="AE258" i="18"/>
  <c r="AE256" i="18"/>
  <c r="AE254" i="18"/>
  <c r="AE252" i="18"/>
  <c r="AE250" i="18"/>
  <c r="AE248" i="18"/>
  <c r="AE246" i="18"/>
  <c r="AE244" i="18"/>
  <c r="AE242" i="18"/>
  <c r="AE240" i="18"/>
  <c r="AE238" i="18"/>
  <c r="AE236" i="18"/>
  <c r="AE234" i="18"/>
  <c r="AE232" i="18"/>
  <c r="AE230" i="18"/>
  <c r="AE228" i="18"/>
  <c r="AE226" i="18"/>
  <c r="AE224" i="18"/>
  <c r="AE222" i="18"/>
  <c r="AE220" i="18"/>
  <c r="AE218" i="18"/>
  <c r="AE216" i="18"/>
  <c r="AE214" i="18"/>
  <c r="AE212" i="18"/>
  <c r="AE210" i="18"/>
  <c r="AE208" i="18"/>
  <c r="AE206" i="18"/>
  <c r="AE204" i="18"/>
  <c r="AE202" i="18"/>
  <c r="AE200" i="18"/>
  <c r="AE198" i="18"/>
  <c r="AE196" i="18"/>
  <c r="AE194" i="18"/>
  <c r="AE192" i="18"/>
  <c r="AE190" i="18"/>
  <c r="AE188" i="18"/>
  <c r="AE186" i="18"/>
  <c r="AE184" i="18"/>
  <c r="AE182" i="18"/>
  <c r="AE180" i="18"/>
  <c r="AE178" i="18"/>
  <c r="AE176" i="18"/>
  <c r="AE174" i="18"/>
  <c r="AE172" i="18"/>
  <c r="AE170" i="18"/>
  <c r="AE168" i="18"/>
  <c r="AE166" i="18"/>
  <c r="AE164" i="18"/>
  <c r="AE162" i="18"/>
  <c r="AE160" i="18"/>
  <c r="AE158" i="18"/>
  <c r="AE156" i="18"/>
  <c r="AE154" i="18"/>
  <c r="AE152" i="18"/>
  <c r="AE150" i="18"/>
  <c r="AE148" i="18"/>
  <c r="AE146" i="18"/>
  <c r="AE144" i="18"/>
  <c r="AE142" i="18"/>
  <c r="AE140" i="18"/>
  <c r="AE138" i="18"/>
  <c r="AE136" i="18"/>
  <c r="AE134" i="18"/>
  <c r="AE132" i="18"/>
  <c r="AE130" i="18"/>
  <c r="AE128" i="18"/>
  <c r="AE126" i="18"/>
  <c r="AE124" i="18"/>
  <c r="AE122" i="18"/>
  <c r="AE120" i="18"/>
  <c r="AE118" i="18"/>
  <c r="AE116" i="18"/>
  <c r="AE114" i="18"/>
  <c r="AE112" i="18"/>
  <c r="AE110" i="18"/>
  <c r="AE108" i="18"/>
  <c r="AE106" i="18"/>
  <c r="AE104" i="18"/>
  <c r="AE102" i="18"/>
  <c r="AE100" i="18"/>
  <c r="AE98" i="18"/>
  <c r="AE96" i="18"/>
  <c r="AE94" i="18"/>
  <c r="AE92" i="18"/>
  <c r="AE90" i="18"/>
  <c r="AE88" i="18"/>
  <c r="AE86" i="18"/>
  <c r="AE84" i="18"/>
  <c r="AE82" i="18"/>
  <c r="AE80" i="18"/>
  <c r="AE78" i="18"/>
  <c r="AE76" i="18"/>
  <c r="AE74" i="18"/>
  <c r="AE72" i="18"/>
  <c r="AE70" i="18"/>
  <c r="AE68" i="18"/>
  <c r="AE66" i="18"/>
  <c r="AE64" i="18"/>
  <c r="AE62" i="18"/>
  <c r="AE60" i="18"/>
  <c r="AE58" i="18"/>
  <c r="AE56" i="18"/>
  <c r="AE54" i="18"/>
  <c r="AE52" i="18"/>
  <c r="AE50" i="18"/>
  <c r="AE48" i="18"/>
  <c r="AE46" i="18"/>
  <c r="AE44" i="18"/>
  <c r="AE42" i="18"/>
  <c r="AE40" i="18"/>
  <c r="AE38" i="18"/>
  <c r="AE36" i="18"/>
  <c r="AE34" i="18"/>
  <c r="AE32" i="18"/>
  <c r="AE30" i="18"/>
  <c r="AE28" i="18"/>
  <c r="AE26" i="18"/>
  <c r="AE24" i="18"/>
  <c r="AE22" i="18"/>
  <c r="AE20" i="18"/>
  <c r="AE19" i="18"/>
  <c r="AE17" i="18"/>
  <c r="I254" i="16" l="1"/>
  <c r="I40" i="16"/>
  <c r="AD16" i="17"/>
  <c r="J112" i="16"/>
  <c r="I139" i="16"/>
  <c r="J274" i="16"/>
  <c r="J88" i="16"/>
  <c r="I374" i="16"/>
  <c r="I278" i="16"/>
  <c r="AB15" i="7"/>
  <c r="J36" i="19"/>
  <c r="S30" i="17"/>
  <c r="R30" i="17" s="1"/>
  <c r="P30" i="17" s="1"/>
  <c r="V30" i="17" s="1"/>
  <c r="S46" i="17"/>
  <c r="R46" i="17" s="1"/>
  <c r="P46" i="17" s="1"/>
  <c r="V46" i="17" s="1"/>
  <c r="S32" i="17"/>
  <c r="R32" i="17" s="1"/>
  <c r="P32" i="17" s="1"/>
  <c r="V32" i="17" s="1"/>
  <c r="S56" i="17"/>
  <c r="R56" i="17" s="1"/>
  <c r="P56" i="17" s="1"/>
  <c r="V56" i="17" s="1"/>
  <c r="S64" i="17"/>
  <c r="R64" i="17" s="1"/>
  <c r="P64" i="17" s="1"/>
  <c r="V64" i="17" s="1"/>
  <c r="S88" i="17"/>
  <c r="R88" i="17" s="1"/>
  <c r="P88" i="17" s="1"/>
  <c r="S128" i="17"/>
  <c r="R128" i="17" s="1"/>
  <c r="P128" i="17" s="1"/>
  <c r="V128" i="17" s="1"/>
  <c r="S176" i="17"/>
  <c r="R176" i="17" s="1"/>
  <c r="P176" i="17" s="1"/>
  <c r="V176" i="17" s="1"/>
  <c r="S200" i="17"/>
  <c r="R200" i="17" s="1"/>
  <c r="P200" i="17" s="1"/>
  <c r="V200" i="17" s="1"/>
  <c r="V272" i="17"/>
  <c r="D64" i="7"/>
  <c r="S296" i="17"/>
  <c r="R296" i="17" s="1"/>
  <c r="P296" i="17" s="1"/>
  <c r="V296" i="17" s="1"/>
  <c r="S360" i="17"/>
  <c r="R360" i="17" s="1"/>
  <c r="P360" i="17" s="1"/>
  <c r="V360" i="17" s="1"/>
  <c r="U381" i="17"/>
  <c r="U383" i="17"/>
  <c r="T15" i="17"/>
  <c r="U382" i="17"/>
  <c r="S51" i="17"/>
  <c r="R51" i="17" s="1"/>
  <c r="P51" i="17" s="1"/>
  <c r="V51" i="17" s="1"/>
  <c r="S115" i="17"/>
  <c r="R115" i="17" s="1"/>
  <c r="P115" i="17" s="1"/>
  <c r="V115" i="17" s="1"/>
  <c r="S131" i="17"/>
  <c r="R131" i="17" s="1"/>
  <c r="P131" i="17" s="1"/>
  <c r="V131" i="17" s="1"/>
  <c r="S147" i="17"/>
  <c r="R147" i="17" s="1"/>
  <c r="P147" i="17" s="1"/>
  <c r="V147" i="17" s="1"/>
  <c r="S163" i="17"/>
  <c r="R163" i="17" s="1"/>
  <c r="P163" i="17" s="1"/>
  <c r="V163" i="17" s="1"/>
  <c r="S179" i="17"/>
  <c r="R179" i="17" s="1"/>
  <c r="P179" i="17" s="1"/>
  <c r="V179" i="17" s="1"/>
  <c r="S227" i="17"/>
  <c r="R227" i="17" s="1"/>
  <c r="P227" i="17" s="1"/>
  <c r="V227" i="17" s="1"/>
  <c r="S243" i="17"/>
  <c r="R243" i="17" s="1"/>
  <c r="P243" i="17" s="1"/>
  <c r="V243" i="17" s="1"/>
  <c r="S275" i="17"/>
  <c r="R275" i="17" s="1"/>
  <c r="P275" i="17" s="1"/>
  <c r="V275" i="17" s="1"/>
  <c r="S291" i="17"/>
  <c r="R291" i="17" s="1"/>
  <c r="P291" i="17" s="1"/>
  <c r="V291" i="17" s="1"/>
  <c r="S307" i="17"/>
  <c r="R307" i="17" s="1"/>
  <c r="P307" i="17" s="1"/>
  <c r="V307" i="17" s="1"/>
  <c r="S323" i="17"/>
  <c r="R323" i="17" s="1"/>
  <c r="P323" i="17" s="1"/>
  <c r="V323" i="17" s="1"/>
  <c r="S94" i="17"/>
  <c r="R94" i="17" s="1"/>
  <c r="P94" i="17" s="1"/>
  <c r="V94" i="17" s="1"/>
  <c r="S102" i="17"/>
  <c r="R102" i="17" s="1"/>
  <c r="P102" i="17" s="1"/>
  <c r="V102" i="17" s="1"/>
  <c r="S110" i="17"/>
  <c r="R110" i="17" s="1"/>
  <c r="P110" i="17" s="1"/>
  <c r="V110" i="17" s="1"/>
  <c r="S118" i="17"/>
  <c r="R118" i="17" s="1"/>
  <c r="P118" i="17" s="1"/>
  <c r="V118" i="17" s="1"/>
  <c r="S126" i="17"/>
  <c r="R126" i="17" s="1"/>
  <c r="P126" i="17" s="1"/>
  <c r="V126" i="17" s="1"/>
  <c r="S158" i="17"/>
  <c r="R158" i="17" s="1"/>
  <c r="P158" i="17" s="1"/>
  <c r="V158" i="17" s="1"/>
  <c r="S166" i="17"/>
  <c r="R166" i="17" s="1"/>
  <c r="P166" i="17" s="1"/>
  <c r="V166" i="17" s="1"/>
  <c r="S174" i="17"/>
  <c r="R174" i="17" s="1"/>
  <c r="P174" i="17" s="1"/>
  <c r="V174" i="17" s="1"/>
  <c r="S182" i="17"/>
  <c r="R182" i="17" s="1"/>
  <c r="P182" i="17" s="1"/>
  <c r="V182" i="17" s="1"/>
  <c r="S190" i="17"/>
  <c r="R190" i="17" s="1"/>
  <c r="P190" i="17" s="1"/>
  <c r="V190" i="17" s="1"/>
  <c r="S198" i="17"/>
  <c r="R198" i="17" s="1"/>
  <c r="P198" i="17" s="1"/>
  <c r="V198" i="17" s="1"/>
  <c r="S206" i="17"/>
  <c r="R206" i="17" s="1"/>
  <c r="P206" i="17" s="1"/>
  <c r="V206" i="17" s="1"/>
  <c r="S246" i="17"/>
  <c r="R246" i="17" s="1"/>
  <c r="P246" i="17" s="1"/>
  <c r="V246" i="17" s="1"/>
  <c r="S262" i="17"/>
  <c r="R262" i="17" s="1"/>
  <c r="P262" i="17" s="1"/>
  <c r="V262" i="17" s="1"/>
  <c r="S318" i="17"/>
  <c r="R318" i="17" s="1"/>
  <c r="P318" i="17" s="1"/>
  <c r="V318" i="17" s="1"/>
  <c r="S326" i="17"/>
  <c r="R326" i="17" s="1"/>
  <c r="P326" i="17" s="1"/>
  <c r="V326" i="17" s="1"/>
  <c r="S334" i="17"/>
  <c r="R334" i="17" s="1"/>
  <c r="P334" i="17" s="1"/>
  <c r="V334" i="17" s="1"/>
  <c r="S350" i="17"/>
  <c r="R350" i="17" s="1"/>
  <c r="P350" i="17" s="1"/>
  <c r="V350" i="17" s="1"/>
  <c r="S366" i="17"/>
  <c r="R366" i="17" s="1"/>
  <c r="P366" i="17" s="1"/>
  <c r="V366" i="17" s="1"/>
  <c r="S79" i="17"/>
  <c r="R79" i="17" s="1"/>
  <c r="P79" i="17" s="1"/>
  <c r="V79" i="17" s="1"/>
  <c r="S95" i="17"/>
  <c r="R95" i="17" s="1"/>
  <c r="P95" i="17" s="1"/>
  <c r="V95" i="17" s="1"/>
  <c r="S111" i="17"/>
  <c r="R111" i="17" s="1"/>
  <c r="P111" i="17" s="1"/>
  <c r="V111" i="17" s="1"/>
  <c r="S143" i="17"/>
  <c r="R143" i="17" s="1"/>
  <c r="P143" i="17" s="1"/>
  <c r="V143" i="17" s="1"/>
  <c r="S159" i="17"/>
  <c r="R159" i="17" s="1"/>
  <c r="P159" i="17" s="1"/>
  <c r="V159" i="17" s="1"/>
  <c r="S207" i="17"/>
  <c r="R207" i="17" s="1"/>
  <c r="P207" i="17" s="1"/>
  <c r="V207" i="17" s="1"/>
  <c r="S223" i="17"/>
  <c r="R223" i="17" s="1"/>
  <c r="P223" i="17" s="1"/>
  <c r="V223" i="17" s="1"/>
  <c r="S239" i="17"/>
  <c r="R239" i="17" s="1"/>
  <c r="P239" i="17" s="1"/>
  <c r="V239" i="17" s="1"/>
  <c r="S303" i="17"/>
  <c r="R303" i="17" s="1"/>
  <c r="P303" i="17" s="1"/>
  <c r="V303" i="17" s="1"/>
  <c r="S351" i="17"/>
  <c r="R351" i="17" s="1"/>
  <c r="P351" i="17" s="1"/>
  <c r="V351" i="17" s="1"/>
  <c r="S367" i="17"/>
  <c r="R367" i="17" s="1"/>
  <c r="P367" i="17" s="1"/>
  <c r="V367" i="17" s="1"/>
  <c r="AG33" i="17"/>
  <c r="AF33" i="17" s="1"/>
  <c r="AD33" i="17" s="1"/>
  <c r="AG49" i="17"/>
  <c r="AF49" i="17" s="1"/>
  <c r="AD49" i="17" s="1"/>
  <c r="AG65" i="17"/>
  <c r="AF65" i="17" s="1"/>
  <c r="AD65" i="17" s="1"/>
  <c r="AG81" i="17"/>
  <c r="AF81" i="17" s="1"/>
  <c r="AD81" i="17" s="1"/>
  <c r="AG97" i="17"/>
  <c r="AF97" i="17" s="1"/>
  <c r="AD97" i="17" s="1"/>
  <c r="AG113" i="17"/>
  <c r="AF113" i="17" s="1"/>
  <c r="AD113" i="17" s="1"/>
  <c r="AG129" i="17"/>
  <c r="AF129" i="17" s="1"/>
  <c r="AD129" i="17" s="1"/>
  <c r="AG137" i="17"/>
  <c r="AF137" i="17" s="1"/>
  <c r="AD137" i="17" s="1"/>
  <c r="AG145" i="17"/>
  <c r="AF145" i="17" s="1"/>
  <c r="AD145" i="17" s="1"/>
  <c r="AG153" i="17"/>
  <c r="AF153" i="17" s="1"/>
  <c r="AD153" i="17" s="1"/>
  <c r="AG161" i="17"/>
  <c r="AF161" i="17" s="1"/>
  <c r="AD161" i="17" s="1"/>
  <c r="AG169" i="17"/>
  <c r="AF169" i="17" s="1"/>
  <c r="AD169" i="17" s="1"/>
  <c r="AG177" i="17"/>
  <c r="AF177" i="17" s="1"/>
  <c r="AD177" i="17" s="1"/>
  <c r="AG185" i="17"/>
  <c r="AF185" i="17" s="1"/>
  <c r="AD185" i="17" s="1"/>
  <c r="AG193" i="17"/>
  <c r="AF193" i="17" s="1"/>
  <c r="AD193" i="17" s="1"/>
  <c r="AG201" i="17"/>
  <c r="AF201" i="17" s="1"/>
  <c r="AD201" i="17" s="1"/>
  <c r="AG209" i="17"/>
  <c r="AF209" i="17" s="1"/>
  <c r="AD209" i="17" s="1"/>
  <c r="AG217" i="17"/>
  <c r="AF217" i="17" s="1"/>
  <c r="AD217" i="17" s="1"/>
  <c r="AG225" i="17"/>
  <c r="AF225" i="17" s="1"/>
  <c r="AD225" i="17" s="1"/>
  <c r="AG233" i="17"/>
  <c r="AF233" i="17" s="1"/>
  <c r="AD233" i="17" s="1"/>
  <c r="AG241" i="17"/>
  <c r="AF241" i="17" s="1"/>
  <c r="AD241" i="17" s="1"/>
  <c r="AG249" i="17"/>
  <c r="AF249" i="17" s="1"/>
  <c r="AD249" i="17" s="1"/>
  <c r="AG257" i="17"/>
  <c r="AF257" i="17" s="1"/>
  <c r="AD257" i="17" s="1"/>
  <c r="AG265" i="17"/>
  <c r="AF265" i="17" s="1"/>
  <c r="AD265" i="17" s="1"/>
  <c r="S29" i="17"/>
  <c r="R29" i="17" s="1"/>
  <c r="P29" i="17" s="1"/>
  <c r="S37" i="17"/>
  <c r="R37" i="17" s="1"/>
  <c r="P37" i="17" s="1"/>
  <c r="V37" i="17" s="1"/>
  <c r="S53" i="17"/>
  <c r="R53" i="17" s="1"/>
  <c r="P53" i="17" s="1"/>
  <c r="V53" i="17" s="1"/>
  <c r="S77" i="17"/>
  <c r="R77" i="17" s="1"/>
  <c r="P77" i="17" s="1"/>
  <c r="V77" i="17" s="1"/>
  <c r="S101" i="17"/>
  <c r="R101" i="17" s="1"/>
  <c r="P101" i="17" s="1"/>
  <c r="V101" i="17" s="1"/>
  <c r="S109" i="17"/>
  <c r="R109" i="17" s="1"/>
  <c r="P109" i="17" s="1"/>
  <c r="V109" i="17" s="1"/>
  <c r="S125" i="17"/>
  <c r="R125" i="17" s="1"/>
  <c r="P125" i="17" s="1"/>
  <c r="V125" i="17" s="1"/>
  <c r="S133" i="17"/>
  <c r="R133" i="17" s="1"/>
  <c r="P133" i="17" s="1"/>
  <c r="V133" i="17" s="1"/>
  <c r="S149" i="17"/>
  <c r="R149" i="17" s="1"/>
  <c r="P149" i="17" s="1"/>
  <c r="S165" i="17"/>
  <c r="R165" i="17" s="1"/>
  <c r="P165" i="17" s="1"/>
  <c r="V165" i="17" s="1"/>
  <c r="S173" i="17"/>
  <c r="R173" i="17" s="1"/>
  <c r="P173" i="17" s="1"/>
  <c r="V173" i="17" s="1"/>
  <c r="S189" i="17"/>
  <c r="R189" i="17" s="1"/>
  <c r="P189" i="17" s="1"/>
  <c r="V189" i="17" s="1"/>
  <c r="S197" i="17"/>
  <c r="R197" i="17" s="1"/>
  <c r="P197" i="17" s="1"/>
  <c r="V197" i="17" s="1"/>
  <c r="S205" i="17"/>
  <c r="R205" i="17" s="1"/>
  <c r="P205" i="17" s="1"/>
  <c r="V205" i="17" s="1"/>
  <c r="S213" i="17"/>
  <c r="R213" i="17" s="1"/>
  <c r="P213" i="17" s="1"/>
  <c r="V213" i="17" s="1"/>
  <c r="S221" i="17"/>
  <c r="R221" i="17" s="1"/>
  <c r="P221" i="17" s="1"/>
  <c r="V221" i="17" s="1"/>
  <c r="S245" i="17"/>
  <c r="R245" i="17" s="1"/>
  <c r="P245" i="17" s="1"/>
  <c r="V245" i="17" s="1"/>
  <c r="S261" i="17"/>
  <c r="R261" i="17" s="1"/>
  <c r="P261" i="17" s="1"/>
  <c r="V261" i="17" s="1"/>
  <c r="S269" i="17"/>
  <c r="R269" i="17" s="1"/>
  <c r="P269" i="17" s="1"/>
  <c r="V269" i="17" s="1"/>
  <c r="S277" i="17"/>
  <c r="R277" i="17" s="1"/>
  <c r="P277" i="17" s="1"/>
  <c r="V277" i="17" s="1"/>
  <c r="S333" i="17"/>
  <c r="R333" i="17" s="1"/>
  <c r="P333" i="17" s="1"/>
  <c r="S349" i="17"/>
  <c r="R349" i="17" s="1"/>
  <c r="P349" i="17" s="1"/>
  <c r="V349" i="17" s="1"/>
  <c r="S357" i="17"/>
  <c r="R357" i="17" s="1"/>
  <c r="P357" i="17" s="1"/>
  <c r="V357" i="17" s="1"/>
  <c r="S365" i="17"/>
  <c r="R365" i="17" s="1"/>
  <c r="P365" i="17" s="1"/>
  <c r="V365" i="17" s="1"/>
  <c r="AG21" i="17"/>
  <c r="AF21" i="17" s="1"/>
  <c r="AD21" i="17" s="1"/>
  <c r="AG37" i="17"/>
  <c r="AF37" i="17" s="1"/>
  <c r="AD37" i="17" s="1"/>
  <c r="AG53" i="17"/>
  <c r="AF53" i="17" s="1"/>
  <c r="AD53" i="17" s="1"/>
  <c r="AG69" i="17"/>
  <c r="AF69" i="17" s="1"/>
  <c r="AD69" i="17" s="1"/>
  <c r="AG85" i="17"/>
  <c r="AF85" i="17" s="1"/>
  <c r="AD85" i="17" s="1"/>
  <c r="AG101" i="17"/>
  <c r="AF101" i="17" s="1"/>
  <c r="AD101" i="17" s="1"/>
  <c r="AG117" i="17"/>
  <c r="AF117" i="17" s="1"/>
  <c r="AD117" i="17" s="1"/>
  <c r="AG131" i="17"/>
  <c r="AF131" i="17" s="1"/>
  <c r="AD131" i="17" s="1"/>
  <c r="AG139" i="17"/>
  <c r="AF139" i="17" s="1"/>
  <c r="AD139" i="17" s="1"/>
  <c r="AG147" i="17"/>
  <c r="AF147" i="17" s="1"/>
  <c r="AD147" i="17" s="1"/>
  <c r="AG155" i="17"/>
  <c r="AF155" i="17" s="1"/>
  <c r="AD155" i="17" s="1"/>
  <c r="AG163" i="17"/>
  <c r="AF163" i="17" s="1"/>
  <c r="AD163" i="17" s="1"/>
  <c r="AG171" i="17"/>
  <c r="AF171" i="17" s="1"/>
  <c r="AD171" i="17" s="1"/>
  <c r="AG179" i="17"/>
  <c r="AF179" i="17" s="1"/>
  <c r="AD179" i="17" s="1"/>
  <c r="AG187" i="17"/>
  <c r="AF187" i="17" s="1"/>
  <c r="AD187" i="17" s="1"/>
  <c r="AG195" i="17"/>
  <c r="AF195" i="17" s="1"/>
  <c r="AD195" i="17" s="1"/>
  <c r="AG203" i="17"/>
  <c r="AF203" i="17" s="1"/>
  <c r="AD203" i="17" s="1"/>
  <c r="AG211" i="17"/>
  <c r="AF211" i="17" s="1"/>
  <c r="AD211" i="17" s="1"/>
  <c r="AG219" i="17"/>
  <c r="AF219" i="17" s="1"/>
  <c r="AD219" i="17" s="1"/>
  <c r="AG227" i="17"/>
  <c r="AF227" i="17" s="1"/>
  <c r="AD227" i="17" s="1"/>
  <c r="AG235" i="17"/>
  <c r="AF235" i="17" s="1"/>
  <c r="AD235" i="17" s="1"/>
  <c r="AG243" i="17"/>
  <c r="AF243" i="17" s="1"/>
  <c r="AD243" i="17" s="1"/>
  <c r="AG251" i="17"/>
  <c r="AF251" i="17" s="1"/>
  <c r="AD251" i="17" s="1"/>
  <c r="AG259" i="17"/>
  <c r="AF259" i="17" s="1"/>
  <c r="AD259" i="17" s="1"/>
  <c r="AG267" i="17"/>
  <c r="AF267" i="17" s="1"/>
  <c r="AD267" i="17" s="1"/>
  <c r="AG273" i="17"/>
  <c r="AF273" i="17" s="1"/>
  <c r="AD273" i="17" s="1"/>
  <c r="AG281" i="17"/>
  <c r="AF281" i="17" s="1"/>
  <c r="AD281" i="17" s="1"/>
  <c r="AG289" i="17"/>
  <c r="AF289" i="17" s="1"/>
  <c r="AD289" i="17" s="1"/>
  <c r="AG297" i="17"/>
  <c r="AF297" i="17" s="1"/>
  <c r="AD297" i="17" s="1"/>
  <c r="AG305" i="17"/>
  <c r="AF305" i="17" s="1"/>
  <c r="AD305" i="17" s="1"/>
  <c r="AG313" i="17"/>
  <c r="AF313" i="17" s="1"/>
  <c r="AD313" i="17" s="1"/>
  <c r="AG321" i="17"/>
  <c r="AF321" i="17" s="1"/>
  <c r="AD321" i="17" s="1"/>
  <c r="AG329" i="17"/>
  <c r="AF329" i="17" s="1"/>
  <c r="AD329" i="17" s="1"/>
  <c r="AG337" i="17"/>
  <c r="AF337" i="17" s="1"/>
  <c r="AD337" i="17" s="1"/>
  <c r="AG345" i="17"/>
  <c r="AF345" i="17" s="1"/>
  <c r="AD345" i="17" s="1"/>
  <c r="AG353" i="17"/>
  <c r="AF353" i="17" s="1"/>
  <c r="AD353" i="17" s="1"/>
  <c r="AG361" i="17"/>
  <c r="AF361" i="17" s="1"/>
  <c r="AD361" i="17" s="1"/>
  <c r="AG369" i="17"/>
  <c r="AF369" i="17" s="1"/>
  <c r="AD369" i="17" s="1"/>
  <c r="AG377" i="17"/>
  <c r="AF377" i="17" s="1"/>
  <c r="AD377" i="17" s="1"/>
  <c r="AG122" i="17"/>
  <c r="AF122" i="17" s="1"/>
  <c r="AD122" i="17" s="1"/>
  <c r="AG114" i="17"/>
  <c r="AF114" i="17" s="1"/>
  <c r="AD114" i="17" s="1"/>
  <c r="AG106" i="17"/>
  <c r="AF106" i="17" s="1"/>
  <c r="AD106" i="17" s="1"/>
  <c r="AG98" i="17"/>
  <c r="AF98" i="17" s="1"/>
  <c r="AD98" i="17" s="1"/>
  <c r="AG90" i="17"/>
  <c r="AF90" i="17" s="1"/>
  <c r="AD90" i="17" s="1"/>
  <c r="AG82" i="17"/>
  <c r="AF82" i="17" s="1"/>
  <c r="AD82" i="17" s="1"/>
  <c r="AG74" i="17"/>
  <c r="AF74" i="17" s="1"/>
  <c r="AD74" i="17" s="1"/>
  <c r="AG66" i="17"/>
  <c r="AF66" i="17" s="1"/>
  <c r="AD66" i="17" s="1"/>
  <c r="AG58" i="17"/>
  <c r="AF58" i="17" s="1"/>
  <c r="AD58" i="17" s="1"/>
  <c r="AG50" i="17"/>
  <c r="AF50" i="17" s="1"/>
  <c r="AD50" i="17" s="1"/>
  <c r="AG42" i="17"/>
  <c r="AF42" i="17" s="1"/>
  <c r="AD42" i="17" s="1"/>
  <c r="AG34" i="17"/>
  <c r="AF34" i="17" s="1"/>
  <c r="AD34" i="17" s="1"/>
  <c r="AG26" i="17"/>
  <c r="AF26" i="17" s="1"/>
  <c r="AD26" i="17" s="1"/>
  <c r="AG23" i="17"/>
  <c r="AF23" i="17" s="1"/>
  <c r="AD23" i="17" s="1"/>
  <c r="AG87" i="17"/>
  <c r="AF87" i="17" s="1"/>
  <c r="AD87" i="17" s="1"/>
  <c r="AG148" i="17"/>
  <c r="AF148" i="17" s="1"/>
  <c r="AD148" i="17" s="1"/>
  <c r="AG212" i="17"/>
  <c r="AF212" i="17" s="1"/>
  <c r="AD212" i="17" s="1"/>
  <c r="AG276" i="17"/>
  <c r="AF276" i="17" s="1"/>
  <c r="AD276" i="17" s="1"/>
  <c r="AG334" i="17"/>
  <c r="AF334" i="17" s="1"/>
  <c r="AD334" i="17" s="1"/>
  <c r="AG366" i="17"/>
  <c r="AF366" i="17" s="1"/>
  <c r="AD366" i="17" s="1"/>
  <c r="AG310" i="17"/>
  <c r="AF310" i="17" s="1"/>
  <c r="AD310" i="17" s="1"/>
  <c r="AG278" i="17"/>
  <c r="AF278" i="17" s="1"/>
  <c r="AD278" i="17" s="1"/>
  <c r="AG246" i="17"/>
  <c r="AF246" i="17" s="1"/>
  <c r="AD246" i="17" s="1"/>
  <c r="AG214" i="17"/>
  <c r="AF214" i="17" s="1"/>
  <c r="AD214" i="17" s="1"/>
  <c r="AG182" i="17"/>
  <c r="AF182" i="17" s="1"/>
  <c r="AD182" i="17" s="1"/>
  <c r="AG150" i="17"/>
  <c r="AF150" i="17" s="1"/>
  <c r="AD150" i="17" s="1"/>
  <c r="AG107" i="17"/>
  <c r="AF107" i="17" s="1"/>
  <c r="AD107" i="17" s="1"/>
  <c r="AG43" i="17"/>
  <c r="AF43" i="17" s="1"/>
  <c r="AD43" i="17" s="1"/>
  <c r="AG279" i="17"/>
  <c r="AF279" i="17" s="1"/>
  <c r="AD279" i="17" s="1"/>
  <c r="AG287" i="17"/>
  <c r="AF287" i="17" s="1"/>
  <c r="AD287" i="17" s="1"/>
  <c r="AG295" i="17"/>
  <c r="AF295" i="17" s="1"/>
  <c r="AD295" i="17" s="1"/>
  <c r="AG303" i="17"/>
  <c r="AF303" i="17" s="1"/>
  <c r="AD303" i="17" s="1"/>
  <c r="AG311" i="17"/>
  <c r="AF311" i="17" s="1"/>
  <c r="AD311" i="17" s="1"/>
  <c r="AG319" i="17"/>
  <c r="AF319" i="17" s="1"/>
  <c r="AD319" i="17" s="1"/>
  <c r="AG327" i="17"/>
  <c r="AF327" i="17" s="1"/>
  <c r="AD327" i="17" s="1"/>
  <c r="AG335" i="17"/>
  <c r="AF335" i="17" s="1"/>
  <c r="AD335" i="17" s="1"/>
  <c r="AG343" i="17"/>
  <c r="AF343" i="17" s="1"/>
  <c r="AD343" i="17" s="1"/>
  <c r="AG351" i="17"/>
  <c r="AF351" i="17" s="1"/>
  <c r="AD351" i="17" s="1"/>
  <c r="AG359" i="17"/>
  <c r="AF359" i="17" s="1"/>
  <c r="AD359" i="17" s="1"/>
  <c r="AG367" i="17"/>
  <c r="AF367" i="17" s="1"/>
  <c r="AD367" i="17" s="1"/>
  <c r="AG375" i="17"/>
  <c r="AF375" i="17" s="1"/>
  <c r="AD375" i="17" s="1"/>
  <c r="AG128" i="17"/>
  <c r="AF128" i="17" s="1"/>
  <c r="AD128" i="17" s="1"/>
  <c r="AG120" i="17"/>
  <c r="AF120" i="17" s="1"/>
  <c r="AD120" i="17" s="1"/>
  <c r="AG112" i="17"/>
  <c r="AF112" i="17" s="1"/>
  <c r="AD112" i="17" s="1"/>
  <c r="AG104" i="17"/>
  <c r="AF104" i="17" s="1"/>
  <c r="AD104" i="17" s="1"/>
  <c r="AG96" i="17"/>
  <c r="AF96" i="17" s="1"/>
  <c r="AD96" i="17" s="1"/>
  <c r="AG88" i="17"/>
  <c r="AF88" i="17" s="1"/>
  <c r="AD88" i="17" s="1"/>
  <c r="AG80" i="17"/>
  <c r="AF80" i="17" s="1"/>
  <c r="AD80" i="17" s="1"/>
  <c r="AG72" i="17"/>
  <c r="AF72" i="17" s="1"/>
  <c r="AD72" i="17" s="1"/>
  <c r="AG64" i="17"/>
  <c r="AF64" i="17" s="1"/>
  <c r="AD64" i="17" s="1"/>
  <c r="AG56" i="17"/>
  <c r="AF56" i="17" s="1"/>
  <c r="AD56" i="17" s="1"/>
  <c r="AG48" i="17"/>
  <c r="AF48" i="17" s="1"/>
  <c r="AD48" i="17" s="1"/>
  <c r="AG40" i="17"/>
  <c r="AF40" i="17" s="1"/>
  <c r="AD40" i="17" s="1"/>
  <c r="AG32" i="17"/>
  <c r="AF32" i="17" s="1"/>
  <c r="AD32" i="17" s="1"/>
  <c r="AG24" i="17"/>
  <c r="AF24" i="17" s="1"/>
  <c r="AD24" i="17" s="1"/>
  <c r="AG17" i="17"/>
  <c r="AF17" i="17" s="1"/>
  <c r="AD17" i="17" s="1"/>
  <c r="AG71" i="17"/>
  <c r="AF71" i="17" s="1"/>
  <c r="AD71" i="17" s="1"/>
  <c r="AG132" i="17"/>
  <c r="AF132" i="17" s="1"/>
  <c r="AD132" i="17" s="1"/>
  <c r="AG196" i="17"/>
  <c r="AF196" i="17" s="1"/>
  <c r="AD196" i="17" s="1"/>
  <c r="AG260" i="17"/>
  <c r="AF260" i="17" s="1"/>
  <c r="AD260" i="17" s="1"/>
  <c r="AG324" i="17"/>
  <c r="AF324" i="17" s="1"/>
  <c r="AD324" i="17" s="1"/>
  <c r="AG358" i="17"/>
  <c r="AF358" i="17" s="1"/>
  <c r="AD358" i="17" s="1"/>
  <c r="AG318" i="17"/>
  <c r="AF318" i="17" s="1"/>
  <c r="AD318" i="17" s="1"/>
  <c r="AG286" i="17"/>
  <c r="AF286" i="17" s="1"/>
  <c r="AD286" i="17" s="1"/>
  <c r="AG254" i="17"/>
  <c r="AF254" i="17" s="1"/>
  <c r="AD254" i="17" s="1"/>
  <c r="AG222" i="17"/>
  <c r="AF222" i="17" s="1"/>
  <c r="AD222" i="17" s="1"/>
  <c r="AG190" i="17"/>
  <c r="AF190" i="17" s="1"/>
  <c r="AD190" i="17" s="1"/>
  <c r="AG158" i="17"/>
  <c r="AF158" i="17" s="1"/>
  <c r="AD158" i="17" s="1"/>
  <c r="AG123" i="17"/>
  <c r="AF123" i="17" s="1"/>
  <c r="AD123" i="17" s="1"/>
  <c r="AG59" i="17"/>
  <c r="AF59" i="17" s="1"/>
  <c r="AD59" i="17" s="1"/>
  <c r="AG140" i="17"/>
  <c r="AF140" i="17" s="1"/>
  <c r="AD140" i="17" s="1"/>
  <c r="AG172" i="17"/>
  <c r="AF172" i="17" s="1"/>
  <c r="AD172" i="17" s="1"/>
  <c r="AG204" i="17"/>
  <c r="AF204" i="17" s="1"/>
  <c r="AD204" i="17" s="1"/>
  <c r="AG236" i="17"/>
  <c r="AF236" i="17" s="1"/>
  <c r="AD236" i="17" s="1"/>
  <c r="AG268" i="17"/>
  <c r="AF268" i="17" s="1"/>
  <c r="AD268" i="17" s="1"/>
  <c r="AG300" i="17"/>
  <c r="AF300" i="17" s="1"/>
  <c r="AD300" i="17" s="1"/>
  <c r="AG330" i="17"/>
  <c r="AF330" i="17" s="1"/>
  <c r="AD330" i="17" s="1"/>
  <c r="AG346" i="17"/>
  <c r="AF346" i="17" s="1"/>
  <c r="AD346" i="17" s="1"/>
  <c r="AG362" i="17"/>
  <c r="AF362" i="17" s="1"/>
  <c r="AD362" i="17" s="1"/>
  <c r="AG378" i="17"/>
  <c r="AF378" i="17" s="1"/>
  <c r="AD378" i="17" s="1"/>
  <c r="AG314" i="17"/>
  <c r="AF314" i="17" s="1"/>
  <c r="AD314" i="17" s="1"/>
  <c r="AG298" i="17"/>
  <c r="AF298" i="17" s="1"/>
  <c r="AD298" i="17" s="1"/>
  <c r="AG282" i="17"/>
  <c r="AF282" i="17" s="1"/>
  <c r="AD282" i="17" s="1"/>
  <c r="AG266" i="17"/>
  <c r="AF266" i="17" s="1"/>
  <c r="AD266" i="17" s="1"/>
  <c r="AG250" i="17"/>
  <c r="AF250" i="17" s="1"/>
  <c r="AD250" i="17" s="1"/>
  <c r="AG234" i="17"/>
  <c r="AF234" i="17" s="1"/>
  <c r="AD234" i="17" s="1"/>
  <c r="AG218" i="17"/>
  <c r="AF218" i="17" s="1"/>
  <c r="AD218" i="17" s="1"/>
  <c r="AG202" i="17"/>
  <c r="AF202" i="17" s="1"/>
  <c r="AD202" i="17" s="1"/>
  <c r="AG186" i="17"/>
  <c r="AF186" i="17" s="1"/>
  <c r="AD186" i="17" s="1"/>
  <c r="AG170" i="17"/>
  <c r="AF170" i="17" s="1"/>
  <c r="AD170" i="17" s="1"/>
  <c r="AG154" i="17"/>
  <c r="AF154" i="17" s="1"/>
  <c r="AD154" i="17" s="1"/>
  <c r="AG138" i="17"/>
  <c r="AF138" i="17" s="1"/>
  <c r="AD138" i="17" s="1"/>
  <c r="AG115" i="17"/>
  <c r="AF115" i="17" s="1"/>
  <c r="AD115" i="17" s="1"/>
  <c r="AG83" i="17"/>
  <c r="AF83" i="17" s="1"/>
  <c r="AD83" i="17" s="1"/>
  <c r="AG51" i="17"/>
  <c r="AF51" i="17" s="1"/>
  <c r="AD51" i="17" s="1"/>
  <c r="AH15" i="17"/>
  <c r="AI382" i="17"/>
  <c r="AI381" i="17"/>
  <c r="AI383" i="17"/>
  <c r="AG127" i="17"/>
  <c r="AF127" i="17" s="1"/>
  <c r="AD127" i="17" s="1"/>
  <c r="AG192" i="17"/>
  <c r="AF192" i="17" s="1"/>
  <c r="AD192" i="17" s="1"/>
  <c r="AG256" i="17"/>
  <c r="AF256" i="17" s="1"/>
  <c r="AD256" i="17" s="1"/>
  <c r="AG320" i="17"/>
  <c r="AF320" i="17" s="1"/>
  <c r="AD320" i="17" s="1"/>
  <c r="AG356" i="17"/>
  <c r="AF356" i="17" s="1"/>
  <c r="AD356" i="17" s="1"/>
  <c r="AG47" i="17"/>
  <c r="AF47" i="17" s="1"/>
  <c r="AD47" i="17" s="1"/>
  <c r="AG216" i="17"/>
  <c r="AF216" i="17" s="1"/>
  <c r="AD216" i="17" s="1"/>
  <c r="AG336" i="17"/>
  <c r="AF336" i="17" s="1"/>
  <c r="AD336" i="17" s="1"/>
  <c r="AG79" i="17"/>
  <c r="AF79" i="17" s="1"/>
  <c r="AD79" i="17" s="1"/>
  <c r="AG344" i="17"/>
  <c r="AF344" i="17" s="1"/>
  <c r="AD344" i="17" s="1"/>
  <c r="AG200" i="17"/>
  <c r="AF200" i="17" s="1"/>
  <c r="AD200" i="17" s="1"/>
  <c r="AG18" i="17"/>
  <c r="AF18" i="17" s="1"/>
  <c r="AD18" i="17" s="1"/>
  <c r="AG144" i="17"/>
  <c r="AF144" i="17" s="1"/>
  <c r="AD144" i="17" s="1"/>
  <c r="AG208" i="17"/>
  <c r="AF208" i="17" s="1"/>
  <c r="AD208" i="17" s="1"/>
  <c r="AG272" i="17"/>
  <c r="AF272" i="17" s="1"/>
  <c r="AD272" i="17" s="1"/>
  <c r="AG332" i="17"/>
  <c r="AF332" i="17" s="1"/>
  <c r="AD332" i="17" s="1"/>
  <c r="AG364" i="17"/>
  <c r="AF364" i="17" s="1"/>
  <c r="AD364" i="17" s="1"/>
  <c r="AG184" i="17"/>
  <c r="AF184" i="17" s="1"/>
  <c r="AD184" i="17" s="1"/>
  <c r="AG312" i="17"/>
  <c r="AF312" i="17" s="1"/>
  <c r="AD312" i="17" s="1"/>
  <c r="AG168" i="17"/>
  <c r="AF168" i="17" s="1"/>
  <c r="AD168" i="17" s="1"/>
  <c r="AG376" i="17"/>
  <c r="AF376" i="17" s="1"/>
  <c r="AD376" i="17" s="1"/>
  <c r="AG360" i="17"/>
  <c r="AF360" i="17" s="1"/>
  <c r="AD360" i="17" s="1"/>
  <c r="S22" i="17"/>
  <c r="R22" i="17" s="1"/>
  <c r="P22" i="17" s="1"/>
  <c r="V22" i="17" s="1"/>
  <c r="S38" i="17"/>
  <c r="R38" i="17" s="1"/>
  <c r="P38" i="17" s="1"/>
  <c r="V38" i="17" s="1"/>
  <c r="S36" i="17"/>
  <c r="R36" i="17" s="1"/>
  <c r="P36" i="17" s="1"/>
  <c r="V36" i="17" s="1"/>
  <c r="S44" i="17"/>
  <c r="R44" i="17" s="1"/>
  <c r="P44" i="17" s="1"/>
  <c r="V44" i="17" s="1"/>
  <c r="S68" i="17"/>
  <c r="R68" i="17" s="1"/>
  <c r="P68" i="17" s="1"/>
  <c r="V68" i="17" s="1"/>
  <c r="S92" i="17"/>
  <c r="R92" i="17" s="1"/>
  <c r="P92" i="17" s="1"/>
  <c r="V92" i="17" s="1"/>
  <c r="S108" i="17"/>
  <c r="R108" i="17" s="1"/>
  <c r="P108" i="17" s="1"/>
  <c r="V108" i="17" s="1"/>
  <c r="S116" i="17"/>
  <c r="R116" i="17" s="1"/>
  <c r="P116" i="17" s="1"/>
  <c r="V116" i="17" s="1"/>
  <c r="S156" i="17"/>
  <c r="R156" i="17" s="1"/>
  <c r="P156" i="17" s="1"/>
  <c r="V156" i="17" s="1"/>
  <c r="S196" i="17"/>
  <c r="R196" i="17" s="1"/>
  <c r="P196" i="17" s="1"/>
  <c r="V196" i="17" s="1"/>
  <c r="S204" i="17"/>
  <c r="R204" i="17" s="1"/>
  <c r="P204" i="17" s="1"/>
  <c r="V204" i="17" s="1"/>
  <c r="S220" i="17"/>
  <c r="R220" i="17" s="1"/>
  <c r="P220" i="17" s="1"/>
  <c r="V220" i="17" s="1"/>
  <c r="S228" i="17"/>
  <c r="R228" i="17" s="1"/>
  <c r="P228" i="17" s="1"/>
  <c r="V228" i="17" s="1"/>
  <c r="S236" i="17"/>
  <c r="R236" i="17" s="1"/>
  <c r="P236" i="17" s="1"/>
  <c r="V236" i="17" s="1"/>
  <c r="S260" i="17"/>
  <c r="R260" i="17" s="1"/>
  <c r="P260" i="17" s="1"/>
  <c r="V260" i="17" s="1"/>
  <c r="S268" i="17"/>
  <c r="R268" i="17" s="1"/>
  <c r="P268" i="17" s="1"/>
  <c r="V268" i="17" s="1"/>
  <c r="S276" i="17"/>
  <c r="R276" i="17" s="1"/>
  <c r="P276" i="17" s="1"/>
  <c r="V276" i="17" s="1"/>
  <c r="S284" i="17"/>
  <c r="R284" i="17" s="1"/>
  <c r="P284" i="17" s="1"/>
  <c r="V284" i="17" s="1"/>
  <c r="S292" i="17"/>
  <c r="R292" i="17" s="1"/>
  <c r="P292" i="17" s="1"/>
  <c r="V292" i="17" s="1"/>
  <c r="S308" i="17"/>
  <c r="R308" i="17" s="1"/>
  <c r="P308" i="17" s="1"/>
  <c r="V308" i="17" s="1"/>
  <c r="S356" i="17"/>
  <c r="R356" i="17" s="1"/>
  <c r="P356" i="17" s="1"/>
  <c r="V356" i="17" s="1"/>
  <c r="S27" i="17"/>
  <c r="R27" i="17" s="1"/>
  <c r="P27" i="17" s="1"/>
  <c r="V27" i="17" s="1"/>
  <c r="S43" i="17"/>
  <c r="R43" i="17" s="1"/>
  <c r="P43" i="17" s="1"/>
  <c r="V43" i="17" s="1"/>
  <c r="S59" i="17"/>
  <c r="R59" i="17" s="1"/>
  <c r="P59" i="17" s="1"/>
  <c r="V59" i="17" s="1"/>
  <c r="S75" i="17"/>
  <c r="R75" i="17" s="1"/>
  <c r="P75" i="17" s="1"/>
  <c r="V75" i="17" s="1"/>
  <c r="S91" i="17"/>
  <c r="R91" i="17" s="1"/>
  <c r="P91" i="17" s="1"/>
  <c r="V91" i="17" s="1"/>
  <c r="S155" i="17"/>
  <c r="R155" i="17" s="1"/>
  <c r="P155" i="17" s="1"/>
  <c r="V155" i="17" s="1"/>
  <c r="S171" i="17"/>
  <c r="R171" i="17" s="1"/>
  <c r="P171" i="17" s="1"/>
  <c r="V171" i="17" s="1"/>
  <c r="S235" i="17"/>
  <c r="R235" i="17" s="1"/>
  <c r="P235" i="17" s="1"/>
  <c r="V235" i="17" s="1"/>
  <c r="S251" i="17"/>
  <c r="R251" i="17" s="1"/>
  <c r="P251" i="17" s="1"/>
  <c r="V251" i="17" s="1"/>
  <c r="S267" i="17"/>
  <c r="R267" i="17" s="1"/>
  <c r="P267" i="17" s="1"/>
  <c r="V267" i="17" s="1"/>
  <c r="S347" i="17"/>
  <c r="R347" i="17" s="1"/>
  <c r="P347" i="17" s="1"/>
  <c r="V347" i="17" s="1"/>
  <c r="S363" i="17"/>
  <c r="R363" i="17" s="1"/>
  <c r="P363" i="17" s="1"/>
  <c r="T379" i="17"/>
  <c r="S379" i="17" s="1"/>
  <c r="R379" i="17" s="1"/>
  <c r="P379" i="17" s="1"/>
  <c r="D38" i="19" s="1"/>
  <c r="V16" i="7"/>
  <c r="AB11" i="7" s="1"/>
  <c r="U11" i="18" s="1"/>
  <c r="U12" i="18"/>
  <c r="S26" i="17"/>
  <c r="R26" i="17" s="1"/>
  <c r="P26" i="17" s="1"/>
  <c r="V26" i="17" s="1"/>
  <c r="S42" i="17"/>
  <c r="R42" i="17" s="1"/>
  <c r="P42" i="17" s="1"/>
  <c r="V42" i="17" s="1"/>
  <c r="S54" i="17"/>
  <c r="R54" i="17" s="1"/>
  <c r="P54" i="17" s="1"/>
  <c r="V54" i="17" s="1"/>
  <c r="S82" i="17"/>
  <c r="R82" i="17" s="1"/>
  <c r="P82" i="17" s="1"/>
  <c r="V82" i="17" s="1"/>
  <c r="S114" i="17"/>
  <c r="R114" i="17" s="1"/>
  <c r="P114" i="17" s="1"/>
  <c r="V114" i="17" s="1"/>
  <c r="S130" i="17"/>
  <c r="R130" i="17" s="1"/>
  <c r="P130" i="17" s="1"/>
  <c r="V130" i="17" s="1"/>
  <c r="S138" i="17"/>
  <c r="R138" i="17" s="1"/>
  <c r="P138" i="17" s="1"/>
  <c r="V138" i="17" s="1"/>
  <c r="S146" i="17"/>
  <c r="R146" i="17" s="1"/>
  <c r="P146" i="17" s="1"/>
  <c r="V146" i="17" s="1"/>
  <c r="S178" i="17"/>
  <c r="R178" i="17" s="1"/>
  <c r="P178" i="17" s="1"/>
  <c r="V178" i="17" s="1"/>
  <c r="S202" i="17"/>
  <c r="R202" i="17" s="1"/>
  <c r="P202" i="17" s="1"/>
  <c r="V202" i="17" s="1"/>
  <c r="S210" i="17"/>
  <c r="R210" i="17" s="1"/>
  <c r="P210" i="17" s="1"/>
  <c r="S218" i="17"/>
  <c r="R218" i="17" s="1"/>
  <c r="P218" i="17" s="1"/>
  <c r="V218" i="17" s="1"/>
  <c r="S234" i="17"/>
  <c r="R234" i="17" s="1"/>
  <c r="P234" i="17" s="1"/>
  <c r="V234" i="17" s="1"/>
  <c r="S266" i="17"/>
  <c r="R266" i="17" s="1"/>
  <c r="P266" i="17" s="1"/>
  <c r="V266" i="17" s="1"/>
  <c r="S282" i="17"/>
  <c r="R282" i="17" s="1"/>
  <c r="P282" i="17" s="1"/>
  <c r="V282" i="17" s="1"/>
  <c r="S322" i="17"/>
  <c r="R322" i="17" s="1"/>
  <c r="P322" i="17" s="1"/>
  <c r="V322" i="17" s="1"/>
  <c r="S330" i="17"/>
  <c r="R330" i="17" s="1"/>
  <c r="P330" i="17" s="1"/>
  <c r="V330" i="17" s="1"/>
  <c r="S346" i="17"/>
  <c r="R346" i="17" s="1"/>
  <c r="P346" i="17" s="1"/>
  <c r="V346" i="17" s="1"/>
  <c r="S354" i="17"/>
  <c r="R354" i="17" s="1"/>
  <c r="P354" i="17" s="1"/>
  <c r="V354" i="17" s="1"/>
  <c r="S372" i="17"/>
  <c r="R372" i="17" s="1"/>
  <c r="P372" i="17" s="1"/>
  <c r="V372" i="17" s="1"/>
  <c r="S55" i="17"/>
  <c r="R55" i="17" s="1"/>
  <c r="P55" i="17" s="1"/>
  <c r="V55" i="17" s="1"/>
  <c r="S71" i="17"/>
  <c r="R71" i="17" s="1"/>
  <c r="P71" i="17" s="1"/>
  <c r="V71" i="17" s="1"/>
  <c r="S87" i="17"/>
  <c r="R87" i="17" s="1"/>
  <c r="P87" i="17" s="1"/>
  <c r="V87" i="17" s="1"/>
  <c r="S119" i="17"/>
  <c r="R119" i="17" s="1"/>
  <c r="P119" i="17" s="1"/>
  <c r="S135" i="17"/>
  <c r="R135" i="17" s="1"/>
  <c r="P135" i="17" s="1"/>
  <c r="V135" i="17" s="1"/>
  <c r="S183" i="17"/>
  <c r="R183" i="17" s="1"/>
  <c r="P183" i="17" s="1"/>
  <c r="V183" i="17" s="1"/>
  <c r="S231" i="17"/>
  <c r="R231" i="17" s="1"/>
  <c r="P231" i="17" s="1"/>
  <c r="V231" i="17" s="1"/>
  <c r="S295" i="17"/>
  <c r="R295" i="17" s="1"/>
  <c r="P295" i="17" s="1"/>
  <c r="V295" i="17" s="1"/>
  <c r="AG25" i="17"/>
  <c r="AF25" i="17" s="1"/>
  <c r="AD25" i="17" s="1"/>
  <c r="AG41" i="17"/>
  <c r="AF41" i="17" s="1"/>
  <c r="AD41" i="17" s="1"/>
  <c r="AG57" i="17"/>
  <c r="AF57" i="17" s="1"/>
  <c r="AD57" i="17" s="1"/>
  <c r="AG73" i="17"/>
  <c r="AF73" i="17" s="1"/>
  <c r="AD73" i="17" s="1"/>
  <c r="AG89" i="17"/>
  <c r="AF89" i="17" s="1"/>
  <c r="AD89" i="17" s="1"/>
  <c r="AG105" i="17"/>
  <c r="AF105" i="17" s="1"/>
  <c r="AD105" i="17" s="1"/>
  <c r="AG121" i="17"/>
  <c r="AF121" i="17" s="1"/>
  <c r="AD121" i="17" s="1"/>
  <c r="AG133" i="17"/>
  <c r="AF133" i="17" s="1"/>
  <c r="AD133" i="17" s="1"/>
  <c r="AG141" i="17"/>
  <c r="AF141" i="17" s="1"/>
  <c r="AD141" i="17" s="1"/>
  <c r="AG149" i="17"/>
  <c r="AF149" i="17" s="1"/>
  <c r="AD149" i="17" s="1"/>
  <c r="AG157" i="17"/>
  <c r="AF157" i="17" s="1"/>
  <c r="AD157" i="17" s="1"/>
  <c r="AG165" i="17"/>
  <c r="AF165" i="17" s="1"/>
  <c r="AD165" i="17" s="1"/>
  <c r="AG173" i="17"/>
  <c r="AF173" i="17" s="1"/>
  <c r="AD173" i="17" s="1"/>
  <c r="AG181" i="17"/>
  <c r="AF181" i="17" s="1"/>
  <c r="AD181" i="17" s="1"/>
  <c r="AG189" i="17"/>
  <c r="AF189" i="17" s="1"/>
  <c r="AD189" i="17" s="1"/>
  <c r="AG197" i="17"/>
  <c r="AF197" i="17" s="1"/>
  <c r="AD197" i="17" s="1"/>
  <c r="AG205" i="17"/>
  <c r="AF205" i="17" s="1"/>
  <c r="AD205" i="17" s="1"/>
  <c r="AG213" i="17"/>
  <c r="AF213" i="17" s="1"/>
  <c r="AD213" i="17" s="1"/>
  <c r="AG221" i="17"/>
  <c r="AF221" i="17" s="1"/>
  <c r="AD221" i="17" s="1"/>
  <c r="AG229" i="17"/>
  <c r="AF229" i="17" s="1"/>
  <c r="AD229" i="17" s="1"/>
  <c r="AG237" i="17"/>
  <c r="AF237" i="17" s="1"/>
  <c r="AD237" i="17" s="1"/>
  <c r="AG245" i="17"/>
  <c r="AF245" i="17" s="1"/>
  <c r="AD245" i="17" s="1"/>
  <c r="AG253" i="17"/>
  <c r="AF253" i="17" s="1"/>
  <c r="AD253" i="17" s="1"/>
  <c r="AG261" i="17"/>
  <c r="AF261" i="17" s="1"/>
  <c r="AD261" i="17" s="1"/>
  <c r="AG269" i="17"/>
  <c r="AF269" i="17" s="1"/>
  <c r="AD269" i="17" s="1"/>
  <c r="S16" i="17"/>
  <c r="R16" i="17" s="1"/>
  <c r="P16" i="17" s="1"/>
  <c r="V16" i="17" s="1"/>
  <c r="S41" i="17"/>
  <c r="R41" i="17" s="1"/>
  <c r="P41" i="17" s="1"/>
  <c r="V41" i="17" s="1"/>
  <c r="S57" i="17"/>
  <c r="R57" i="17" s="1"/>
  <c r="P57" i="17" s="1"/>
  <c r="V57" i="17" s="1"/>
  <c r="S81" i="17"/>
  <c r="R81" i="17" s="1"/>
  <c r="P81" i="17" s="1"/>
  <c r="V81" i="17" s="1"/>
  <c r="S97" i="17"/>
  <c r="R97" i="17" s="1"/>
  <c r="P97" i="17" s="1"/>
  <c r="V97" i="17" s="1"/>
  <c r="S121" i="17"/>
  <c r="R121" i="17" s="1"/>
  <c r="P121" i="17" s="1"/>
  <c r="V121" i="17" s="1"/>
  <c r="S137" i="17"/>
  <c r="R137" i="17" s="1"/>
  <c r="P137" i="17" s="1"/>
  <c r="V137" i="17" s="1"/>
  <c r="S145" i="17"/>
  <c r="R145" i="17" s="1"/>
  <c r="P145" i="17" s="1"/>
  <c r="V145" i="17" s="1"/>
  <c r="S153" i="17"/>
  <c r="R153" i="17" s="1"/>
  <c r="P153" i="17" s="1"/>
  <c r="V153" i="17" s="1"/>
  <c r="S169" i="17"/>
  <c r="R169" i="17" s="1"/>
  <c r="P169" i="17" s="1"/>
  <c r="V169" i="17" s="1"/>
  <c r="S177" i="17"/>
  <c r="R177" i="17" s="1"/>
  <c r="P177" i="17" s="1"/>
  <c r="V177" i="17" s="1"/>
  <c r="S185" i="17"/>
  <c r="R185" i="17" s="1"/>
  <c r="P185" i="17" s="1"/>
  <c r="V185" i="17" s="1"/>
  <c r="S201" i="17"/>
  <c r="R201" i="17" s="1"/>
  <c r="P201" i="17" s="1"/>
  <c r="V201" i="17" s="1"/>
  <c r="S233" i="17"/>
  <c r="R233" i="17" s="1"/>
  <c r="P233" i="17" s="1"/>
  <c r="V233" i="17" s="1"/>
  <c r="S257" i="17"/>
  <c r="R257" i="17" s="1"/>
  <c r="P257" i="17" s="1"/>
  <c r="V257" i="17" s="1"/>
  <c r="S265" i="17"/>
  <c r="R265" i="17" s="1"/>
  <c r="P265" i="17" s="1"/>
  <c r="V265" i="17" s="1"/>
  <c r="S273" i="17"/>
  <c r="R273" i="17" s="1"/>
  <c r="P273" i="17" s="1"/>
  <c r="V273" i="17" s="1"/>
  <c r="S289" i="17"/>
  <c r="R289" i="17" s="1"/>
  <c r="P289" i="17" s="1"/>
  <c r="V289" i="17" s="1"/>
  <c r="S305" i="17"/>
  <c r="R305" i="17" s="1"/>
  <c r="P305" i="17" s="1"/>
  <c r="V305" i="17" s="1"/>
  <c r="S321" i="17"/>
  <c r="R321" i="17" s="1"/>
  <c r="P321" i="17" s="1"/>
  <c r="V321" i="17" s="1"/>
  <c r="S345" i="17"/>
  <c r="R345" i="17" s="1"/>
  <c r="P345" i="17" s="1"/>
  <c r="V345" i="17" s="1"/>
  <c r="AG29" i="17"/>
  <c r="AF29" i="17" s="1"/>
  <c r="AD29" i="17" s="1"/>
  <c r="AG45" i="17"/>
  <c r="AF45" i="17" s="1"/>
  <c r="AD45" i="17" s="1"/>
  <c r="AG61" i="17"/>
  <c r="AF61" i="17" s="1"/>
  <c r="AD61" i="17" s="1"/>
  <c r="AG77" i="17"/>
  <c r="AF77" i="17" s="1"/>
  <c r="AD77" i="17" s="1"/>
  <c r="AG93" i="17"/>
  <c r="AF93" i="17" s="1"/>
  <c r="AD93" i="17" s="1"/>
  <c r="AG109" i="17"/>
  <c r="AF109" i="17" s="1"/>
  <c r="AD109" i="17" s="1"/>
  <c r="AG125" i="17"/>
  <c r="AF125" i="17" s="1"/>
  <c r="AD125" i="17" s="1"/>
  <c r="AG135" i="17"/>
  <c r="AF135" i="17" s="1"/>
  <c r="AD135" i="17" s="1"/>
  <c r="AG143" i="17"/>
  <c r="AF143" i="17" s="1"/>
  <c r="AD143" i="17" s="1"/>
  <c r="AG151" i="17"/>
  <c r="AF151" i="17" s="1"/>
  <c r="AD151" i="17" s="1"/>
  <c r="AG159" i="17"/>
  <c r="AF159" i="17" s="1"/>
  <c r="AD159" i="17" s="1"/>
  <c r="AG167" i="17"/>
  <c r="AF167" i="17" s="1"/>
  <c r="AD167" i="17" s="1"/>
  <c r="AG175" i="17"/>
  <c r="AF175" i="17" s="1"/>
  <c r="AD175" i="17" s="1"/>
  <c r="AG183" i="17"/>
  <c r="AF183" i="17" s="1"/>
  <c r="AD183" i="17" s="1"/>
  <c r="AG191" i="17"/>
  <c r="AF191" i="17" s="1"/>
  <c r="AD191" i="17" s="1"/>
  <c r="AG199" i="17"/>
  <c r="AF199" i="17" s="1"/>
  <c r="AD199" i="17" s="1"/>
  <c r="AG207" i="17"/>
  <c r="AF207" i="17" s="1"/>
  <c r="AD207" i="17" s="1"/>
  <c r="AG215" i="17"/>
  <c r="AF215" i="17" s="1"/>
  <c r="AD215" i="17" s="1"/>
  <c r="AG223" i="17"/>
  <c r="AF223" i="17" s="1"/>
  <c r="AD223" i="17" s="1"/>
  <c r="AG231" i="17"/>
  <c r="AF231" i="17" s="1"/>
  <c r="AD231" i="17" s="1"/>
  <c r="AG239" i="17"/>
  <c r="AF239" i="17" s="1"/>
  <c r="AD239" i="17" s="1"/>
  <c r="AG247" i="17"/>
  <c r="AF247" i="17" s="1"/>
  <c r="AD247" i="17" s="1"/>
  <c r="AG255" i="17"/>
  <c r="AF255" i="17" s="1"/>
  <c r="AD255" i="17" s="1"/>
  <c r="AG263" i="17"/>
  <c r="AF263" i="17" s="1"/>
  <c r="AD263" i="17" s="1"/>
  <c r="AG271" i="17"/>
  <c r="AF271" i="17" s="1"/>
  <c r="AD271" i="17" s="1"/>
  <c r="AG277" i="17"/>
  <c r="AF277" i="17" s="1"/>
  <c r="AD277" i="17" s="1"/>
  <c r="AG285" i="17"/>
  <c r="AF285" i="17" s="1"/>
  <c r="AD285" i="17" s="1"/>
  <c r="AG293" i="17"/>
  <c r="AF293" i="17" s="1"/>
  <c r="AD293" i="17" s="1"/>
  <c r="AG301" i="17"/>
  <c r="AF301" i="17" s="1"/>
  <c r="AD301" i="17" s="1"/>
  <c r="AG309" i="17"/>
  <c r="AF309" i="17" s="1"/>
  <c r="AD309" i="17" s="1"/>
  <c r="AG317" i="17"/>
  <c r="AF317" i="17" s="1"/>
  <c r="AD317" i="17" s="1"/>
  <c r="AG325" i="17"/>
  <c r="AF325" i="17" s="1"/>
  <c r="AD325" i="17" s="1"/>
  <c r="AG333" i="17"/>
  <c r="AF333" i="17" s="1"/>
  <c r="AD333" i="17" s="1"/>
  <c r="AG341" i="17"/>
  <c r="AF341" i="17" s="1"/>
  <c r="AD341" i="17" s="1"/>
  <c r="AG349" i="17"/>
  <c r="AF349" i="17" s="1"/>
  <c r="AD349" i="17" s="1"/>
  <c r="AG357" i="17"/>
  <c r="AF357" i="17" s="1"/>
  <c r="AD357" i="17" s="1"/>
  <c r="AG365" i="17"/>
  <c r="AF365" i="17" s="1"/>
  <c r="AD365" i="17" s="1"/>
  <c r="AG373" i="17"/>
  <c r="AF373" i="17" s="1"/>
  <c r="AD373" i="17" s="1"/>
  <c r="AG126" i="17"/>
  <c r="AF126" i="17" s="1"/>
  <c r="AD126" i="17" s="1"/>
  <c r="AG118" i="17"/>
  <c r="AF118" i="17" s="1"/>
  <c r="AD118" i="17" s="1"/>
  <c r="AG110" i="17"/>
  <c r="AF110" i="17" s="1"/>
  <c r="AD110" i="17" s="1"/>
  <c r="AG102" i="17"/>
  <c r="AF102" i="17" s="1"/>
  <c r="AD102" i="17" s="1"/>
  <c r="AG94" i="17"/>
  <c r="AF94" i="17" s="1"/>
  <c r="AD94" i="17" s="1"/>
  <c r="AG86" i="17"/>
  <c r="AF86" i="17" s="1"/>
  <c r="AD86" i="17" s="1"/>
  <c r="AG78" i="17"/>
  <c r="AF78" i="17" s="1"/>
  <c r="AD78" i="17" s="1"/>
  <c r="AG70" i="17"/>
  <c r="AF70" i="17" s="1"/>
  <c r="AD70" i="17" s="1"/>
  <c r="AG62" i="17"/>
  <c r="AF62" i="17" s="1"/>
  <c r="AD62" i="17" s="1"/>
  <c r="AG54" i="17"/>
  <c r="AF54" i="17" s="1"/>
  <c r="AD54" i="17" s="1"/>
  <c r="AG46" i="17"/>
  <c r="AF46" i="17" s="1"/>
  <c r="AD46" i="17" s="1"/>
  <c r="AG38" i="17"/>
  <c r="AF38" i="17" s="1"/>
  <c r="AD38" i="17" s="1"/>
  <c r="AG30" i="17"/>
  <c r="AF30" i="17" s="1"/>
  <c r="AD30" i="17" s="1"/>
  <c r="AG22" i="17"/>
  <c r="AF22" i="17" s="1"/>
  <c r="AD22" i="17" s="1"/>
  <c r="AG55" i="17"/>
  <c r="AF55" i="17" s="1"/>
  <c r="AD55" i="17" s="1"/>
  <c r="AG119" i="17"/>
  <c r="AF119" i="17" s="1"/>
  <c r="AD119" i="17" s="1"/>
  <c r="AG180" i="17"/>
  <c r="AF180" i="17" s="1"/>
  <c r="AD180" i="17" s="1"/>
  <c r="AG244" i="17"/>
  <c r="AF244" i="17" s="1"/>
  <c r="AD244" i="17" s="1"/>
  <c r="AG308" i="17"/>
  <c r="AF308" i="17" s="1"/>
  <c r="AD308" i="17" s="1"/>
  <c r="AG350" i="17"/>
  <c r="AF350" i="17" s="1"/>
  <c r="AD350" i="17" s="1"/>
  <c r="AG326" i="17"/>
  <c r="AF326" i="17" s="1"/>
  <c r="AD326" i="17" s="1"/>
  <c r="AG294" i="17"/>
  <c r="AF294" i="17" s="1"/>
  <c r="AD294" i="17" s="1"/>
  <c r="AG262" i="17"/>
  <c r="AF262" i="17" s="1"/>
  <c r="AD262" i="17" s="1"/>
  <c r="AG230" i="17"/>
  <c r="AF230" i="17" s="1"/>
  <c r="AD230" i="17" s="1"/>
  <c r="AG198" i="17"/>
  <c r="AF198" i="17" s="1"/>
  <c r="AD198" i="17" s="1"/>
  <c r="AG166" i="17"/>
  <c r="AF166" i="17" s="1"/>
  <c r="AD166" i="17" s="1"/>
  <c r="AG134" i="17"/>
  <c r="AF134" i="17" s="1"/>
  <c r="AD134" i="17" s="1"/>
  <c r="AG75" i="17"/>
  <c r="AF75" i="17" s="1"/>
  <c r="AD75" i="17" s="1"/>
  <c r="AG275" i="17"/>
  <c r="AF275" i="17" s="1"/>
  <c r="AD275" i="17" s="1"/>
  <c r="AG283" i="17"/>
  <c r="AF283" i="17" s="1"/>
  <c r="AD283" i="17" s="1"/>
  <c r="AG291" i="17"/>
  <c r="AF291" i="17" s="1"/>
  <c r="AD291" i="17" s="1"/>
  <c r="AG299" i="17"/>
  <c r="AF299" i="17" s="1"/>
  <c r="AD299" i="17" s="1"/>
  <c r="AG307" i="17"/>
  <c r="AF307" i="17" s="1"/>
  <c r="AD307" i="17" s="1"/>
  <c r="AG315" i="17"/>
  <c r="AF315" i="17" s="1"/>
  <c r="AD315" i="17" s="1"/>
  <c r="AG323" i="17"/>
  <c r="AF323" i="17" s="1"/>
  <c r="AD323" i="17" s="1"/>
  <c r="AG331" i="17"/>
  <c r="AF331" i="17" s="1"/>
  <c r="AD331" i="17" s="1"/>
  <c r="AG339" i="17"/>
  <c r="AF339" i="17" s="1"/>
  <c r="AD339" i="17" s="1"/>
  <c r="AG347" i="17"/>
  <c r="AF347" i="17" s="1"/>
  <c r="AD347" i="17" s="1"/>
  <c r="AG355" i="17"/>
  <c r="AF355" i="17" s="1"/>
  <c r="AD355" i="17" s="1"/>
  <c r="AG363" i="17"/>
  <c r="AF363" i="17" s="1"/>
  <c r="AD363" i="17" s="1"/>
  <c r="AG371" i="17"/>
  <c r="AF371" i="17" s="1"/>
  <c r="AD371" i="17" s="1"/>
  <c r="AH379" i="17"/>
  <c r="AI12" i="18"/>
  <c r="AG124" i="17"/>
  <c r="AF124" i="17" s="1"/>
  <c r="AD124" i="17" s="1"/>
  <c r="AG116" i="17"/>
  <c r="AF116" i="17" s="1"/>
  <c r="AD116" i="17" s="1"/>
  <c r="AG108" i="17"/>
  <c r="AF108" i="17" s="1"/>
  <c r="AD108" i="17" s="1"/>
  <c r="AG100" i="17"/>
  <c r="AF100" i="17" s="1"/>
  <c r="AD100" i="17" s="1"/>
  <c r="AG92" i="17"/>
  <c r="AF92" i="17" s="1"/>
  <c r="AD92" i="17" s="1"/>
  <c r="AG84" i="17"/>
  <c r="AF84" i="17" s="1"/>
  <c r="AD84" i="17" s="1"/>
  <c r="AG76" i="17"/>
  <c r="AF76" i="17" s="1"/>
  <c r="AD76" i="17" s="1"/>
  <c r="AG68" i="17"/>
  <c r="AF68" i="17" s="1"/>
  <c r="AD68" i="17" s="1"/>
  <c r="AG60" i="17"/>
  <c r="AF60" i="17" s="1"/>
  <c r="AD60" i="17" s="1"/>
  <c r="AG52" i="17"/>
  <c r="AF52" i="17" s="1"/>
  <c r="AD52" i="17" s="1"/>
  <c r="AG44" i="17"/>
  <c r="AF44" i="17" s="1"/>
  <c r="AD44" i="17" s="1"/>
  <c r="AG36" i="17"/>
  <c r="AF36" i="17" s="1"/>
  <c r="AD36" i="17" s="1"/>
  <c r="AG28" i="17"/>
  <c r="AF28" i="17" s="1"/>
  <c r="AD28" i="17" s="1"/>
  <c r="AG20" i="17"/>
  <c r="AF20" i="17" s="1"/>
  <c r="AD20" i="17" s="1"/>
  <c r="AG39" i="17"/>
  <c r="AF39" i="17" s="1"/>
  <c r="AD39" i="17" s="1"/>
  <c r="AG103" i="17"/>
  <c r="AF103" i="17" s="1"/>
  <c r="AD103" i="17" s="1"/>
  <c r="AG164" i="17"/>
  <c r="AF164" i="17" s="1"/>
  <c r="AD164" i="17" s="1"/>
  <c r="AG228" i="17"/>
  <c r="AF228" i="17" s="1"/>
  <c r="AD228" i="17" s="1"/>
  <c r="AG292" i="17"/>
  <c r="AF292" i="17" s="1"/>
  <c r="AD292" i="17" s="1"/>
  <c r="AG342" i="17"/>
  <c r="AF342" i="17" s="1"/>
  <c r="AD342" i="17" s="1"/>
  <c r="AG374" i="17"/>
  <c r="AF374" i="17" s="1"/>
  <c r="AD374" i="17" s="1"/>
  <c r="AG302" i="17"/>
  <c r="AF302" i="17" s="1"/>
  <c r="AD302" i="17" s="1"/>
  <c r="AG270" i="17"/>
  <c r="AF270" i="17" s="1"/>
  <c r="AD270" i="17" s="1"/>
  <c r="AG238" i="17"/>
  <c r="AF238" i="17" s="1"/>
  <c r="AD238" i="17" s="1"/>
  <c r="AG206" i="17"/>
  <c r="AF206" i="17" s="1"/>
  <c r="AD206" i="17" s="1"/>
  <c r="AG174" i="17"/>
  <c r="AF174" i="17" s="1"/>
  <c r="AD174" i="17" s="1"/>
  <c r="AG142" i="17"/>
  <c r="AF142" i="17" s="1"/>
  <c r="AD142" i="17" s="1"/>
  <c r="AG91" i="17"/>
  <c r="AF91" i="17" s="1"/>
  <c r="AD91" i="17" s="1"/>
  <c r="AG27" i="17"/>
  <c r="AF27" i="17" s="1"/>
  <c r="AD27" i="17" s="1"/>
  <c r="AG156" i="17"/>
  <c r="AF156" i="17" s="1"/>
  <c r="AD156" i="17" s="1"/>
  <c r="AG188" i="17"/>
  <c r="AF188" i="17" s="1"/>
  <c r="AD188" i="17" s="1"/>
  <c r="AG220" i="17"/>
  <c r="AF220" i="17" s="1"/>
  <c r="AD220" i="17" s="1"/>
  <c r="AG252" i="17"/>
  <c r="AF252" i="17" s="1"/>
  <c r="AD252" i="17" s="1"/>
  <c r="AG284" i="17"/>
  <c r="AF284" i="17" s="1"/>
  <c r="AD284" i="17" s="1"/>
  <c r="AG316" i="17"/>
  <c r="AF316" i="17" s="1"/>
  <c r="AD316" i="17" s="1"/>
  <c r="AG338" i="17"/>
  <c r="AF338" i="17" s="1"/>
  <c r="AD338" i="17" s="1"/>
  <c r="AG354" i="17"/>
  <c r="AF354" i="17" s="1"/>
  <c r="AD354" i="17" s="1"/>
  <c r="AG370" i="17"/>
  <c r="AF370" i="17" s="1"/>
  <c r="AD370" i="17" s="1"/>
  <c r="AG322" i="17"/>
  <c r="AF322" i="17" s="1"/>
  <c r="AD322" i="17" s="1"/>
  <c r="AG306" i="17"/>
  <c r="AF306" i="17" s="1"/>
  <c r="AD306" i="17" s="1"/>
  <c r="AG290" i="17"/>
  <c r="AF290" i="17" s="1"/>
  <c r="AD290" i="17" s="1"/>
  <c r="AG274" i="17"/>
  <c r="AF274" i="17" s="1"/>
  <c r="AD274" i="17" s="1"/>
  <c r="AG258" i="17"/>
  <c r="AF258" i="17" s="1"/>
  <c r="AD258" i="17" s="1"/>
  <c r="AG242" i="17"/>
  <c r="AF242" i="17" s="1"/>
  <c r="AD242" i="17" s="1"/>
  <c r="AG226" i="17"/>
  <c r="AF226" i="17" s="1"/>
  <c r="AD226" i="17" s="1"/>
  <c r="AG210" i="17"/>
  <c r="AF210" i="17" s="1"/>
  <c r="AD210" i="17" s="1"/>
  <c r="AG194" i="17"/>
  <c r="AF194" i="17" s="1"/>
  <c r="AD194" i="17" s="1"/>
  <c r="AG178" i="17"/>
  <c r="AF178" i="17" s="1"/>
  <c r="AD178" i="17" s="1"/>
  <c r="AG162" i="17"/>
  <c r="AF162" i="17" s="1"/>
  <c r="AD162" i="17" s="1"/>
  <c r="AG146" i="17"/>
  <c r="AF146" i="17" s="1"/>
  <c r="AD146" i="17" s="1"/>
  <c r="AG130" i="17"/>
  <c r="AF130" i="17" s="1"/>
  <c r="AD130" i="17" s="1"/>
  <c r="AG99" i="17"/>
  <c r="AF99" i="17" s="1"/>
  <c r="AD99" i="17" s="1"/>
  <c r="AG67" i="17"/>
  <c r="AF67" i="17" s="1"/>
  <c r="AD67" i="17" s="1"/>
  <c r="AG35" i="17"/>
  <c r="AF35" i="17" s="1"/>
  <c r="AD35" i="17" s="1"/>
  <c r="AG63" i="17"/>
  <c r="AF63" i="17" s="1"/>
  <c r="AD63" i="17" s="1"/>
  <c r="AG160" i="17"/>
  <c r="AF160" i="17" s="1"/>
  <c r="AD160" i="17" s="1"/>
  <c r="AG224" i="17"/>
  <c r="AF224" i="17" s="1"/>
  <c r="AD224" i="17" s="1"/>
  <c r="AG288" i="17"/>
  <c r="AF288" i="17" s="1"/>
  <c r="AD288" i="17" s="1"/>
  <c r="AG340" i="17"/>
  <c r="AF340" i="17" s="1"/>
  <c r="AD340" i="17" s="1"/>
  <c r="AG372" i="17"/>
  <c r="AF372" i="17" s="1"/>
  <c r="AD372" i="17" s="1"/>
  <c r="AG152" i="17"/>
  <c r="AF152" i="17" s="1"/>
  <c r="AD152" i="17" s="1"/>
  <c r="AG280" i="17"/>
  <c r="AF280" i="17" s="1"/>
  <c r="AD280" i="17" s="1"/>
  <c r="AG368" i="17"/>
  <c r="AF368" i="17" s="1"/>
  <c r="AD368" i="17" s="1"/>
  <c r="AG232" i="17"/>
  <c r="AF232" i="17" s="1"/>
  <c r="AD232" i="17" s="1"/>
  <c r="AG136" i="17"/>
  <c r="AF136" i="17" s="1"/>
  <c r="AD136" i="17" s="1"/>
  <c r="AG328" i="17"/>
  <c r="AF328" i="17" s="1"/>
  <c r="AD328" i="17" s="1"/>
  <c r="AG95" i="17"/>
  <c r="AF95" i="17" s="1"/>
  <c r="AD95" i="17" s="1"/>
  <c r="AG176" i="17"/>
  <c r="AF176" i="17" s="1"/>
  <c r="AD176" i="17" s="1"/>
  <c r="AG240" i="17"/>
  <c r="AF240" i="17" s="1"/>
  <c r="AD240" i="17" s="1"/>
  <c r="AG304" i="17"/>
  <c r="AF304" i="17" s="1"/>
  <c r="AD304" i="17" s="1"/>
  <c r="AG348" i="17"/>
  <c r="AF348" i="17" s="1"/>
  <c r="AD348" i="17" s="1"/>
  <c r="AG111" i="17"/>
  <c r="AF111" i="17" s="1"/>
  <c r="AD111" i="17" s="1"/>
  <c r="AG248" i="17"/>
  <c r="AF248" i="17" s="1"/>
  <c r="AD248" i="17" s="1"/>
  <c r="AG352" i="17"/>
  <c r="AF352" i="17" s="1"/>
  <c r="AD352" i="17" s="1"/>
  <c r="AG296" i="17"/>
  <c r="AF296" i="17" s="1"/>
  <c r="AD296" i="17" s="1"/>
  <c r="AG264" i="17"/>
  <c r="AF264" i="17" s="1"/>
  <c r="AD264" i="17" s="1"/>
  <c r="AG31" i="17"/>
  <c r="AF31" i="17" s="1"/>
  <c r="AD31" i="17" s="1"/>
  <c r="J48" i="16"/>
  <c r="J60" i="16"/>
  <c r="I46" i="16"/>
  <c r="I28" i="16"/>
  <c r="J78" i="16"/>
  <c r="J52" i="16"/>
  <c r="I180" i="16"/>
  <c r="H350" i="16"/>
  <c r="J350" i="16" s="1"/>
  <c r="I74" i="16"/>
  <c r="H47" i="16"/>
  <c r="J47" i="16" s="1"/>
  <c r="G350" i="16"/>
  <c r="BY350" i="6" s="1"/>
  <c r="AA47" i="16"/>
  <c r="Z47" i="16" s="1"/>
  <c r="Y47" i="16" s="1"/>
  <c r="J171" i="16"/>
  <c r="I171" i="16"/>
  <c r="J146" i="16"/>
  <c r="I146" i="16"/>
  <c r="I126" i="16"/>
  <c r="J126" i="16"/>
  <c r="J61" i="16"/>
  <c r="I61" i="16"/>
  <c r="J191" i="16"/>
  <c r="I191" i="16"/>
  <c r="J144" i="16"/>
  <c r="I144" i="16"/>
  <c r="I100" i="16"/>
  <c r="J100" i="16"/>
  <c r="J49" i="16"/>
  <c r="I49" i="16"/>
  <c r="J137" i="16"/>
  <c r="I137" i="16"/>
  <c r="I24" i="16"/>
  <c r="J24" i="16"/>
  <c r="I158" i="16"/>
  <c r="J158" i="16"/>
  <c r="J122" i="16"/>
  <c r="I122" i="16"/>
  <c r="J35" i="16"/>
  <c r="I35" i="16"/>
  <c r="I204" i="16"/>
  <c r="J204" i="16"/>
  <c r="I258" i="16"/>
  <c r="J258" i="16"/>
  <c r="I348" i="16"/>
  <c r="J348" i="16"/>
  <c r="I329" i="16"/>
  <c r="J329" i="16"/>
  <c r="J327" i="16"/>
  <c r="I327" i="16"/>
  <c r="J320" i="16"/>
  <c r="I320" i="16"/>
  <c r="I202" i="16"/>
  <c r="J202" i="16"/>
  <c r="R382" i="16"/>
  <c r="R383" i="16"/>
  <c r="R381" i="16"/>
  <c r="P15" i="16"/>
  <c r="I160" i="16"/>
  <c r="J160" i="16"/>
  <c r="J120" i="16"/>
  <c r="I120" i="16"/>
  <c r="I96" i="16"/>
  <c r="J96" i="16"/>
  <c r="J107" i="16"/>
  <c r="I107" i="16"/>
  <c r="J72" i="16"/>
  <c r="I72" i="16"/>
  <c r="I170" i="16"/>
  <c r="J170" i="16"/>
  <c r="I154" i="16"/>
  <c r="J154" i="16"/>
  <c r="J110" i="16"/>
  <c r="I110" i="16"/>
  <c r="I82" i="16"/>
  <c r="J82" i="16"/>
  <c r="J218" i="16"/>
  <c r="I218" i="16"/>
  <c r="J366" i="16"/>
  <c r="I366" i="16"/>
  <c r="I360" i="16"/>
  <c r="J360" i="16"/>
  <c r="J272" i="16"/>
  <c r="I272" i="16"/>
  <c r="AF382" i="16"/>
  <c r="AF383" i="16"/>
  <c r="AF381" i="16"/>
  <c r="AD15" i="16"/>
  <c r="I248" i="16"/>
  <c r="J248" i="16"/>
  <c r="I252" i="16"/>
  <c r="J252" i="16"/>
  <c r="J306" i="16"/>
  <c r="I306" i="16"/>
  <c r="I370" i="16"/>
  <c r="J370" i="16"/>
  <c r="J264" i="16"/>
  <c r="I264" i="16"/>
  <c r="J132" i="16"/>
  <c r="I132" i="16"/>
  <c r="J80" i="16"/>
  <c r="I80" i="16"/>
  <c r="J115" i="16"/>
  <c r="I115" i="16"/>
  <c r="I166" i="16"/>
  <c r="J166" i="16"/>
  <c r="J130" i="16"/>
  <c r="I130" i="16"/>
  <c r="I186" i="16"/>
  <c r="J186" i="16"/>
  <c r="J343" i="16"/>
  <c r="I343" i="16"/>
  <c r="J168" i="16"/>
  <c r="I168" i="16"/>
  <c r="J128" i="16"/>
  <c r="I128" i="16"/>
  <c r="I65" i="16"/>
  <c r="J65" i="16"/>
  <c r="J64" i="16"/>
  <c r="I64" i="16"/>
  <c r="I332" i="16"/>
  <c r="J332" i="16"/>
  <c r="J312" i="16"/>
  <c r="I312" i="16"/>
  <c r="J346" i="16"/>
  <c r="I346" i="16"/>
  <c r="I232" i="16"/>
  <c r="J232" i="16"/>
  <c r="I236" i="16"/>
  <c r="J236" i="16"/>
  <c r="I194" i="16"/>
  <c r="J194" i="16"/>
  <c r="J354" i="16"/>
  <c r="I354" i="16"/>
  <c r="I116" i="16"/>
  <c r="J116" i="16"/>
  <c r="J39" i="16"/>
  <c r="I39" i="16"/>
  <c r="I205" i="16"/>
  <c r="J205" i="16"/>
  <c r="I106" i="16"/>
  <c r="J106" i="16"/>
  <c r="I63" i="16"/>
  <c r="J63" i="16"/>
  <c r="J23" i="16"/>
  <c r="I23" i="16"/>
  <c r="I298" i="16"/>
  <c r="J298" i="16"/>
  <c r="J26" i="16"/>
  <c r="I26" i="16"/>
  <c r="I148" i="16"/>
  <c r="J148" i="16"/>
  <c r="I55" i="16"/>
  <c r="J55" i="16"/>
  <c r="J340" i="16"/>
  <c r="I340" i="16"/>
  <c r="I351" i="16"/>
  <c r="J351" i="16"/>
  <c r="J319" i="16"/>
  <c r="I319" i="16"/>
  <c r="I136" i="16"/>
  <c r="J136" i="16"/>
  <c r="I29" i="16"/>
  <c r="J29" i="16"/>
  <c r="I162" i="16"/>
  <c r="J162" i="16"/>
  <c r="J102" i="16"/>
  <c r="I102" i="16"/>
  <c r="J95" i="16"/>
  <c r="I95" i="16"/>
  <c r="J291" i="16"/>
  <c r="I291" i="16"/>
  <c r="J263" i="16"/>
  <c r="I263" i="16"/>
  <c r="I324" i="16"/>
  <c r="J324" i="16"/>
  <c r="I34" i="16"/>
  <c r="J34" i="16"/>
  <c r="J164" i="16"/>
  <c r="I164" i="16"/>
  <c r="I124" i="16"/>
  <c r="J124" i="16"/>
  <c r="I99" i="16"/>
  <c r="J99" i="16"/>
  <c r="J285" i="16"/>
  <c r="I285" i="16"/>
  <c r="I68" i="16"/>
  <c r="J68" i="16"/>
  <c r="J174" i="16"/>
  <c r="I174" i="16"/>
  <c r="I142" i="16"/>
  <c r="J142" i="16"/>
  <c r="I86" i="16"/>
  <c r="J86" i="16"/>
  <c r="I259" i="16"/>
  <c r="J259" i="16"/>
  <c r="I240" i="16"/>
  <c r="J240" i="16"/>
  <c r="I334" i="16"/>
  <c r="J334" i="16"/>
  <c r="J244" i="16"/>
  <c r="I244" i="16"/>
  <c r="I276" i="16"/>
  <c r="J276" i="16"/>
  <c r="I292" i="16"/>
  <c r="J292" i="16"/>
  <c r="I336" i="16"/>
  <c r="J336" i="16"/>
  <c r="I282" i="16"/>
  <c r="J282" i="16"/>
  <c r="J159" i="16"/>
  <c r="I159" i="16"/>
  <c r="I41" i="16"/>
  <c r="J41" i="16"/>
  <c r="J209" i="16"/>
  <c r="I209" i="16"/>
  <c r="J134" i="16"/>
  <c r="I134" i="16"/>
  <c r="J109" i="16"/>
  <c r="I109" i="16"/>
  <c r="J290" i="16"/>
  <c r="I290" i="16"/>
  <c r="J288" i="16"/>
  <c r="I288" i="16"/>
  <c r="J220" i="16"/>
  <c r="I220" i="16"/>
  <c r="I344" i="16"/>
  <c r="J344" i="16"/>
  <c r="I352" i="16"/>
  <c r="J352" i="16"/>
  <c r="I192" i="16"/>
  <c r="J192" i="16"/>
  <c r="I268" i="16"/>
  <c r="J268" i="16"/>
  <c r="I338" i="16"/>
  <c r="J338" i="16"/>
  <c r="I66" i="16"/>
  <c r="J66" i="16"/>
  <c r="J32" i="16"/>
  <c r="I32" i="16"/>
  <c r="J77" i="16"/>
  <c r="I77" i="16"/>
  <c r="I295" i="16"/>
  <c r="J295" i="16"/>
  <c r="I234" i="16"/>
  <c r="J234" i="16"/>
  <c r="J314" i="16"/>
  <c r="I314" i="16"/>
  <c r="J20" i="16"/>
  <c r="I20" i="16"/>
  <c r="I196" i="16"/>
  <c r="J196" i="16"/>
  <c r="I330" i="16"/>
  <c r="J330" i="16"/>
  <c r="I331" i="16"/>
  <c r="J331" i="16"/>
  <c r="J339" i="16"/>
  <c r="I339" i="16"/>
  <c r="I216" i="16"/>
  <c r="J216" i="16"/>
  <c r="J280" i="16"/>
  <c r="I280" i="16"/>
  <c r="J22" i="16"/>
  <c r="I22" i="16"/>
  <c r="I156" i="16"/>
  <c r="J156" i="16"/>
  <c r="J76" i="16"/>
  <c r="I76" i="16"/>
  <c r="J150" i="16"/>
  <c r="I150" i="16"/>
  <c r="J183" i="16"/>
  <c r="I183" i="16"/>
  <c r="J356" i="16"/>
  <c r="I356" i="16"/>
  <c r="J104" i="16"/>
  <c r="I104" i="16"/>
  <c r="I44" i="16"/>
  <c r="J44" i="16"/>
  <c r="J85" i="16"/>
  <c r="I85" i="16"/>
  <c r="J250" i="16"/>
  <c r="I250" i="16"/>
  <c r="J256" i="16"/>
  <c r="I256" i="16"/>
  <c r="L44" i="19"/>
  <c r="D12" i="19"/>
  <c r="G36" i="19"/>
  <c r="Q12" i="20"/>
  <c r="Q10" i="20" s="1"/>
  <c r="AE79" i="20" s="1"/>
  <c r="AJ5" i="17"/>
  <c r="AM5" i="16"/>
  <c r="I379" i="16"/>
  <c r="J379" i="16"/>
  <c r="F11" i="19"/>
  <c r="Y382" i="1"/>
  <c r="AM6" i="1"/>
  <c r="AM12" i="1" s="1"/>
  <c r="Y381" i="1"/>
  <c r="X9" i="1"/>
  <c r="Y383" i="1"/>
  <c r="AL6" i="1"/>
  <c r="AL12" i="1" s="1"/>
  <c r="Z382" i="15"/>
  <c r="Y15" i="15"/>
  <c r="AL5" i="15" s="1"/>
  <c r="AL11" i="15" s="1"/>
  <c r="AJ3" i="15" s="1"/>
  <c r="O12" i="19" s="1"/>
  <c r="Z381" i="15"/>
  <c r="Z9" i="15"/>
  <c r="AL8" i="15"/>
  <c r="Z383" i="15"/>
  <c r="AG15" i="7"/>
  <c r="AE382" i="18"/>
  <c r="AE383" i="18"/>
  <c r="AE381" i="18"/>
  <c r="K7" i="7"/>
  <c r="B7" i="6"/>
  <c r="Q381" i="18"/>
  <c r="Q382" i="18"/>
  <c r="Q383" i="18"/>
  <c r="AK3" i="25"/>
  <c r="Q20" i="19" s="1"/>
  <c r="V379" i="17" l="1"/>
  <c r="U10" i="18"/>
  <c r="AI221" i="18" s="1"/>
  <c r="AH221" i="18" s="1"/>
  <c r="AG221" i="18" s="1"/>
  <c r="AF221" i="18" s="1"/>
  <c r="AD221" i="18" s="1"/>
  <c r="E12" i="19"/>
  <c r="K64" i="19"/>
  <c r="J64" i="19"/>
  <c r="AI229" i="18"/>
  <c r="AH229" i="18" s="1"/>
  <c r="AG229" i="18" s="1"/>
  <c r="AF229" i="18" s="1"/>
  <c r="AI108" i="18"/>
  <c r="AH108" i="18" s="1"/>
  <c r="AG108" i="18" s="1"/>
  <c r="AF108" i="18" s="1"/>
  <c r="U73" i="18"/>
  <c r="T73" i="18" s="1"/>
  <c r="U258" i="18"/>
  <c r="T258" i="18" s="1"/>
  <c r="S258" i="18" s="1"/>
  <c r="R258" i="18" s="1"/>
  <c r="P258" i="18" s="1"/>
  <c r="V258" i="18" s="1"/>
  <c r="B258" i="18" s="1"/>
  <c r="U147" i="18"/>
  <c r="T147" i="18" s="1"/>
  <c r="S147" i="18" s="1"/>
  <c r="R147" i="18" s="1"/>
  <c r="P147" i="18" s="1"/>
  <c r="V147" i="18" s="1"/>
  <c r="B147" i="18" s="1"/>
  <c r="D59" i="7"/>
  <c r="V119" i="17"/>
  <c r="D58" i="7"/>
  <c r="V88" i="17"/>
  <c r="C64" i="19"/>
  <c r="G64" i="19"/>
  <c r="I64" i="19"/>
  <c r="D62" i="7"/>
  <c r="V210" i="17"/>
  <c r="AG379" i="17"/>
  <c r="AF379" i="17" s="1"/>
  <c r="AD379" i="17" s="1"/>
  <c r="D67" i="7"/>
  <c r="V363" i="17"/>
  <c r="D66" i="7"/>
  <c r="V333" i="17"/>
  <c r="D60" i="7"/>
  <c r="V149" i="17"/>
  <c r="D56" i="7"/>
  <c r="V29" i="17"/>
  <c r="AI231" i="18"/>
  <c r="AH231" i="18" s="1"/>
  <c r="AG231" i="18" s="1"/>
  <c r="AF231" i="18" s="1"/>
  <c r="AD231" i="18" s="1"/>
  <c r="AI167" i="18"/>
  <c r="AH167" i="18" s="1"/>
  <c r="AG167" i="18" s="1"/>
  <c r="AF167" i="18" s="1"/>
  <c r="AD167" i="18" s="1"/>
  <c r="AI103" i="18"/>
  <c r="AH103" i="18" s="1"/>
  <c r="AG103" i="18" s="1"/>
  <c r="AF103" i="18" s="1"/>
  <c r="AD103" i="18" s="1"/>
  <c r="AI39" i="18"/>
  <c r="AH39" i="18" s="1"/>
  <c r="AG39" i="18" s="1"/>
  <c r="AF39" i="18" s="1"/>
  <c r="AD39" i="18" s="1"/>
  <c r="AI110" i="18"/>
  <c r="AH110" i="18" s="1"/>
  <c r="AG110" i="18" s="1"/>
  <c r="AF110" i="18" s="1"/>
  <c r="AI46" i="18"/>
  <c r="AH46" i="18" s="1"/>
  <c r="AG46" i="18" s="1"/>
  <c r="AF46" i="18" s="1"/>
  <c r="U71" i="18"/>
  <c r="T71" i="18" s="1"/>
  <c r="S71" i="18" s="1"/>
  <c r="R71" i="18" s="1"/>
  <c r="P71" i="18" s="1"/>
  <c r="V71" i="18" s="1"/>
  <c r="B71" i="18" s="1"/>
  <c r="U199" i="18"/>
  <c r="T199" i="18" s="1"/>
  <c r="S199" i="18" s="1"/>
  <c r="R199" i="18" s="1"/>
  <c r="P199" i="18" s="1"/>
  <c r="V199" i="18" s="1"/>
  <c r="B199" i="18" s="1"/>
  <c r="U319" i="18"/>
  <c r="T319" i="18" s="1"/>
  <c r="S319" i="18" s="1"/>
  <c r="R319" i="18" s="1"/>
  <c r="P319" i="18" s="1"/>
  <c r="V319" i="18" s="1"/>
  <c r="B319" i="18" s="1"/>
  <c r="U368" i="18"/>
  <c r="T368" i="18" s="1"/>
  <c r="S368" i="18" s="1"/>
  <c r="R368" i="18" s="1"/>
  <c r="P368" i="18" s="1"/>
  <c r="V368" i="18" s="1"/>
  <c r="B368" i="18" s="1"/>
  <c r="U332" i="18"/>
  <c r="T332" i="18" s="1"/>
  <c r="S332" i="18" s="1"/>
  <c r="R332" i="18" s="1"/>
  <c r="P332" i="18" s="1"/>
  <c r="V332" i="18" s="1"/>
  <c r="B332" i="18" s="1"/>
  <c r="U300" i="18"/>
  <c r="T300" i="18" s="1"/>
  <c r="S300" i="18" s="1"/>
  <c r="R300" i="18" s="1"/>
  <c r="P300" i="18" s="1"/>
  <c r="V300" i="18" s="1"/>
  <c r="B300" i="18" s="1"/>
  <c r="U268" i="18"/>
  <c r="T268" i="18" s="1"/>
  <c r="S268" i="18" s="1"/>
  <c r="R268" i="18" s="1"/>
  <c r="P268" i="18" s="1"/>
  <c r="V268" i="18" s="1"/>
  <c r="B268" i="18" s="1"/>
  <c r="U236" i="18"/>
  <c r="T236" i="18" s="1"/>
  <c r="S236" i="18" s="1"/>
  <c r="R236" i="18" s="1"/>
  <c r="P236" i="18" s="1"/>
  <c r="V236" i="18" s="1"/>
  <c r="B236" i="18" s="1"/>
  <c r="U204" i="18"/>
  <c r="T204" i="18" s="1"/>
  <c r="S204" i="18" s="1"/>
  <c r="R204" i="18" s="1"/>
  <c r="P204" i="18" s="1"/>
  <c r="V204" i="18" s="1"/>
  <c r="B204" i="18" s="1"/>
  <c r="U172" i="18"/>
  <c r="T172" i="18" s="1"/>
  <c r="S172" i="18" s="1"/>
  <c r="R172" i="18" s="1"/>
  <c r="P172" i="18" s="1"/>
  <c r="V172" i="18" s="1"/>
  <c r="B172" i="18" s="1"/>
  <c r="U140" i="18"/>
  <c r="T140" i="18" s="1"/>
  <c r="S140" i="18" s="1"/>
  <c r="R140" i="18" s="1"/>
  <c r="P140" i="18" s="1"/>
  <c r="V140" i="18" s="1"/>
  <c r="B140" i="18" s="1"/>
  <c r="U108" i="18"/>
  <c r="T108" i="18" s="1"/>
  <c r="S108" i="18" s="1"/>
  <c r="R108" i="18" s="1"/>
  <c r="P108" i="18" s="1"/>
  <c r="V108" i="18" s="1"/>
  <c r="B108" i="18" s="1"/>
  <c r="U84" i="18"/>
  <c r="T84" i="18" s="1"/>
  <c r="S84" i="18" s="1"/>
  <c r="R84" i="18" s="1"/>
  <c r="P84" i="18" s="1"/>
  <c r="V84" i="18" s="1"/>
  <c r="B84" i="18" s="1"/>
  <c r="U68" i="18"/>
  <c r="T68" i="18" s="1"/>
  <c r="S68" i="18" s="1"/>
  <c r="R68" i="18" s="1"/>
  <c r="P68" i="18" s="1"/>
  <c r="V68" i="18" s="1"/>
  <c r="B68" i="18" s="1"/>
  <c r="U52" i="18"/>
  <c r="T52" i="18" s="1"/>
  <c r="S52" i="18" s="1"/>
  <c r="R52" i="18" s="1"/>
  <c r="P52" i="18" s="1"/>
  <c r="V52" i="18" s="1"/>
  <c r="B52" i="18" s="1"/>
  <c r="U36" i="18"/>
  <c r="T36" i="18" s="1"/>
  <c r="S36" i="18" s="1"/>
  <c r="R36" i="18" s="1"/>
  <c r="P36" i="18" s="1"/>
  <c r="V36" i="18" s="1"/>
  <c r="B36" i="18" s="1"/>
  <c r="U20" i="18"/>
  <c r="T20" i="18" s="1"/>
  <c r="S20" i="18" s="1"/>
  <c r="R20" i="18" s="1"/>
  <c r="P20" i="18" s="1"/>
  <c r="V20" i="18" s="1"/>
  <c r="U65" i="18"/>
  <c r="T65" i="18" s="1"/>
  <c r="U129" i="18"/>
  <c r="T129" i="18" s="1"/>
  <c r="S129" i="18" s="1"/>
  <c r="R129" i="18" s="1"/>
  <c r="P129" i="18" s="1"/>
  <c r="V129" i="18" s="1"/>
  <c r="B129" i="18" s="1"/>
  <c r="U193" i="18"/>
  <c r="T193" i="18" s="1"/>
  <c r="S193" i="18" s="1"/>
  <c r="R193" i="18" s="1"/>
  <c r="P193" i="18" s="1"/>
  <c r="V193" i="18" s="1"/>
  <c r="B193" i="18" s="1"/>
  <c r="U257" i="18"/>
  <c r="T257" i="18" s="1"/>
  <c r="S257" i="18" s="1"/>
  <c r="R257" i="18" s="1"/>
  <c r="P257" i="18" s="1"/>
  <c r="V257" i="18" s="1"/>
  <c r="B257" i="18" s="1"/>
  <c r="U321" i="18"/>
  <c r="T321" i="18" s="1"/>
  <c r="U369" i="18"/>
  <c r="T369" i="18" s="1"/>
  <c r="S369" i="18" s="1"/>
  <c r="R369" i="18" s="1"/>
  <c r="P369" i="18" s="1"/>
  <c r="V369" i="18" s="1"/>
  <c r="B369" i="18" s="1"/>
  <c r="U101" i="18"/>
  <c r="T101" i="18" s="1"/>
  <c r="S101" i="18" s="1"/>
  <c r="R101" i="18" s="1"/>
  <c r="P101" i="18" s="1"/>
  <c r="V101" i="18" s="1"/>
  <c r="B101" i="18" s="1"/>
  <c r="U229" i="18"/>
  <c r="T229" i="18" s="1"/>
  <c r="S229" i="18" s="1"/>
  <c r="R229" i="18" s="1"/>
  <c r="P229" i="18" s="1"/>
  <c r="V229" i="18" s="1"/>
  <c r="B229" i="18" s="1"/>
  <c r="U355" i="18"/>
  <c r="T355" i="18" s="1"/>
  <c r="S355" i="18" s="1"/>
  <c r="R355" i="18" s="1"/>
  <c r="P355" i="18" s="1"/>
  <c r="V355" i="18" s="1"/>
  <c r="B355" i="18" s="1"/>
  <c r="AA16" i="7"/>
  <c r="U77" i="18"/>
  <c r="T77" i="18" s="1"/>
  <c r="U205" i="18"/>
  <c r="T205" i="18" s="1"/>
  <c r="S205" i="18" s="1"/>
  <c r="R205" i="18" s="1"/>
  <c r="P205" i="18" s="1"/>
  <c r="V205" i="18" s="1"/>
  <c r="B205" i="18" s="1"/>
  <c r="U333" i="18"/>
  <c r="T333" i="18" s="1"/>
  <c r="S333" i="18" s="1"/>
  <c r="R333" i="18" s="1"/>
  <c r="P333" i="18" s="1"/>
  <c r="V333" i="18" s="1"/>
  <c r="U61" i="18"/>
  <c r="T61" i="18" s="1"/>
  <c r="U189" i="18"/>
  <c r="T189" i="18" s="1"/>
  <c r="U317" i="18"/>
  <c r="T317" i="18" s="1"/>
  <c r="S317" i="18" s="1"/>
  <c r="R317" i="18" s="1"/>
  <c r="P317" i="18" s="1"/>
  <c r="V317" i="18" s="1"/>
  <c r="B317" i="18" s="1"/>
  <c r="AG15" i="17"/>
  <c r="AH382" i="17"/>
  <c r="AH383" i="17"/>
  <c r="AH381" i="17"/>
  <c r="T382" i="17"/>
  <c r="S15" i="17"/>
  <c r="T381" i="17"/>
  <c r="T383" i="17"/>
  <c r="I350" i="16"/>
  <c r="I47" i="16"/>
  <c r="AD381" i="16"/>
  <c r="AD382" i="16"/>
  <c r="AD383" i="16"/>
  <c r="V15" i="16"/>
  <c r="P382" i="16"/>
  <c r="P381" i="16"/>
  <c r="P383" i="16"/>
  <c r="Q170" i="20"/>
  <c r="AE11" i="20"/>
  <c r="AE287" i="20" s="1"/>
  <c r="AE335" i="20"/>
  <c r="AE343" i="20"/>
  <c r="AE214" i="20"/>
  <c r="AE15" i="20"/>
  <c r="Q347" i="20"/>
  <c r="AE371" i="20"/>
  <c r="AE339" i="20"/>
  <c r="AE307" i="20"/>
  <c r="AE275" i="20"/>
  <c r="AE243" i="20"/>
  <c r="AE227" i="20"/>
  <c r="AE206" i="20"/>
  <c r="AE174" i="20"/>
  <c r="AE142" i="20"/>
  <c r="AE100" i="20"/>
  <c r="AE47" i="20"/>
  <c r="Q283" i="20"/>
  <c r="Q379" i="20"/>
  <c r="AH15" i="7" s="1"/>
  <c r="Q315" i="20"/>
  <c r="Q226" i="20"/>
  <c r="AE377" i="20"/>
  <c r="AE373" i="20"/>
  <c r="AE369" i="20"/>
  <c r="AE365" i="20"/>
  <c r="AE361" i="20"/>
  <c r="AE357" i="20"/>
  <c r="AE353" i="20"/>
  <c r="AE349" i="20"/>
  <c r="AE345" i="20"/>
  <c r="AE341" i="20"/>
  <c r="AE337" i="20"/>
  <c r="AE333" i="20"/>
  <c r="AE329" i="20"/>
  <c r="AE325" i="20"/>
  <c r="AE321" i="20"/>
  <c r="AE317" i="20"/>
  <c r="AE313" i="20"/>
  <c r="AE309" i="20"/>
  <c r="AE305" i="20"/>
  <c r="AE301" i="20"/>
  <c r="AE297" i="20"/>
  <c r="AE293" i="20"/>
  <c r="AE289" i="20"/>
  <c r="AE285" i="20"/>
  <c r="AE281" i="20"/>
  <c r="AE277" i="20"/>
  <c r="AE273" i="20"/>
  <c r="AE269" i="20"/>
  <c r="AE265" i="20"/>
  <c r="AE261" i="20"/>
  <c r="AE257" i="20"/>
  <c r="AE253" i="20"/>
  <c r="AE249" i="20"/>
  <c r="AE245" i="20"/>
  <c r="AE241" i="20"/>
  <c r="AE237" i="20"/>
  <c r="AE233" i="20"/>
  <c r="AE229" i="20"/>
  <c r="AE225" i="20"/>
  <c r="AE221" i="20"/>
  <c r="AE217" i="20"/>
  <c r="AE210" i="20"/>
  <c r="AE202" i="20"/>
  <c r="AE194" i="20"/>
  <c r="AE186" i="20"/>
  <c r="AE178" i="20"/>
  <c r="AE170" i="20"/>
  <c r="AE162" i="20"/>
  <c r="AE154" i="20"/>
  <c r="AE146" i="20"/>
  <c r="AE138" i="20"/>
  <c r="AE130" i="20"/>
  <c r="AE122" i="20"/>
  <c r="AE108" i="20"/>
  <c r="AE92" i="20"/>
  <c r="AE63" i="20"/>
  <c r="AE31" i="20"/>
  <c r="Q363" i="20"/>
  <c r="Q331" i="20"/>
  <c r="Q299" i="20"/>
  <c r="Q258" i="20"/>
  <c r="Q116" i="20"/>
  <c r="Q154" i="20"/>
  <c r="Q186" i="20"/>
  <c r="Q218" i="20"/>
  <c r="Q234" i="20"/>
  <c r="Q250" i="20"/>
  <c r="Q266" i="20"/>
  <c r="Q279" i="20"/>
  <c r="Q287" i="20"/>
  <c r="Q295" i="20"/>
  <c r="Q303" i="20"/>
  <c r="Q311" i="20"/>
  <c r="Q319" i="20"/>
  <c r="Q327" i="20"/>
  <c r="Q335" i="20"/>
  <c r="Q343" i="20"/>
  <c r="Q351" i="20"/>
  <c r="Q359" i="20"/>
  <c r="Q367" i="20"/>
  <c r="Q375" i="20"/>
  <c r="AE18" i="20"/>
  <c r="AE27" i="20"/>
  <c r="AE35" i="20"/>
  <c r="AE43" i="20"/>
  <c r="AE51" i="20"/>
  <c r="AE59" i="20"/>
  <c r="AE67" i="20"/>
  <c r="AE75" i="20"/>
  <c r="AE83" i="20"/>
  <c r="AE90" i="20"/>
  <c r="AE94" i="20"/>
  <c r="AE98" i="20"/>
  <c r="AE102" i="20"/>
  <c r="AE106" i="20"/>
  <c r="AE110" i="20"/>
  <c r="AE114" i="20"/>
  <c r="AE118" i="20"/>
  <c r="AE121" i="20"/>
  <c r="AE123" i="20"/>
  <c r="AE125" i="20"/>
  <c r="AE127" i="20"/>
  <c r="AE129" i="20"/>
  <c r="AE131" i="20"/>
  <c r="AE133" i="20"/>
  <c r="AE135" i="20"/>
  <c r="AE137" i="20"/>
  <c r="AE139" i="20"/>
  <c r="AE141" i="20"/>
  <c r="AE143" i="20"/>
  <c r="AE145" i="20"/>
  <c r="AE147" i="20"/>
  <c r="AE149" i="20"/>
  <c r="AE151" i="20"/>
  <c r="AE153" i="20"/>
  <c r="AE155" i="20"/>
  <c r="AE157" i="20"/>
  <c r="AE159" i="20"/>
  <c r="AE161" i="20"/>
  <c r="AE163" i="20"/>
  <c r="AE165" i="20"/>
  <c r="AE167" i="20"/>
  <c r="AE169" i="20"/>
  <c r="AE171" i="20"/>
  <c r="AE173" i="20"/>
  <c r="AE175" i="20"/>
  <c r="AE177" i="20"/>
  <c r="AE179" i="20"/>
  <c r="AE181" i="20"/>
  <c r="AE183" i="20"/>
  <c r="AE185" i="20"/>
  <c r="AE187" i="20"/>
  <c r="AE189" i="20"/>
  <c r="AE191" i="20"/>
  <c r="AE193" i="20"/>
  <c r="AE195" i="20"/>
  <c r="AE197" i="20"/>
  <c r="AE199" i="20"/>
  <c r="AE201" i="20"/>
  <c r="AE203" i="20"/>
  <c r="AE205" i="20"/>
  <c r="AE207" i="20"/>
  <c r="AE209" i="20"/>
  <c r="AE211" i="20"/>
  <c r="AE213" i="20"/>
  <c r="AE215" i="20"/>
  <c r="AE378" i="20"/>
  <c r="AE376" i="20"/>
  <c r="AE374" i="20"/>
  <c r="AE372" i="20"/>
  <c r="AE370" i="20"/>
  <c r="AE368" i="20"/>
  <c r="AE366" i="20"/>
  <c r="AE364" i="20"/>
  <c r="AE362" i="20"/>
  <c r="AE360" i="20"/>
  <c r="AE358" i="20"/>
  <c r="AE356" i="20"/>
  <c r="AE354" i="20"/>
  <c r="AE352" i="20"/>
  <c r="AE350" i="20"/>
  <c r="AE348" i="20"/>
  <c r="AE346" i="20"/>
  <c r="AE344" i="20"/>
  <c r="AE342" i="20"/>
  <c r="AE340" i="20"/>
  <c r="AE338" i="20"/>
  <c r="AE336" i="20"/>
  <c r="AE334" i="20"/>
  <c r="AE332" i="20"/>
  <c r="AE330" i="20"/>
  <c r="AE328" i="20"/>
  <c r="AE326" i="20"/>
  <c r="AE324" i="20"/>
  <c r="AE322" i="20"/>
  <c r="AE320" i="20"/>
  <c r="AE318" i="20"/>
  <c r="AE316" i="20"/>
  <c r="AE314" i="20"/>
  <c r="AE312" i="20"/>
  <c r="AE310" i="20"/>
  <c r="AE308" i="20"/>
  <c r="AE306" i="20"/>
  <c r="AE304" i="20"/>
  <c r="AE302" i="20"/>
  <c r="AE300" i="20"/>
  <c r="AE298" i="20"/>
  <c r="AE296" i="20"/>
  <c r="AE294" i="20"/>
  <c r="AE292" i="20"/>
  <c r="AE290" i="20"/>
  <c r="AE288" i="20"/>
  <c r="AE286" i="20"/>
  <c r="AE284" i="20"/>
  <c r="AE282" i="20"/>
  <c r="AE280" i="20"/>
  <c r="AE278" i="20"/>
  <c r="AE276" i="20"/>
  <c r="AE274" i="20"/>
  <c r="AE272" i="20"/>
  <c r="AE270" i="20"/>
  <c r="AE268" i="20"/>
  <c r="AE266" i="20"/>
  <c r="AE264" i="20"/>
  <c r="AE262" i="20"/>
  <c r="AE260" i="20"/>
  <c r="AE258" i="20"/>
  <c r="AE256" i="20"/>
  <c r="AE254" i="20"/>
  <c r="AE252" i="20"/>
  <c r="AE250" i="20"/>
  <c r="AE248" i="20"/>
  <c r="AE246" i="20"/>
  <c r="AE244" i="20"/>
  <c r="AE242" i="20"/>
  <c r="AE240" i="20"/>
  <c r="AE238" i="20"/>
  <c r="AE236" i="20"/>
  <c r="AE234" i="20"/>
  <c r="AE232" i="20"/>
  <c r="AE230" i="20"/>
  <c r="AE228" i="20"/>
  <c r="AE226" i="20"/>
  <c r="AE224" i="20"/>
  <c r="AE222" i="20"/>
  <c r="AE220" i="20"/>
  <c r="AE218" i="20"/>
  <c r="AE216" i="20"/>
  <c r="AE212" i="20"/>
  <c r="AE208" i="20"/>
  <c r="AE204" i="20"/>
  <c r="AE200" i="20"/>
  <c r="AE196" i="20"/>
  <c r="AE192" i="20"/>
  <c r="AE188" i="20"/>
  <c r="AE184" i="20"/>
  <c r="AE180" i="20"/>
  <c r="AE176" i="20"/>
  <c r="AE172" i="20"/>
  <c r="AE168" i="20"/>
  <c r="AE164" i="20"/>
  <c r="AE160" i="20"/>
  <c r="AE156" i="20"/>
  <c r="AE152" i="20"/>
  <c r="AE148" i="20"/>
  <c r="AE144" i="20"/>
  <c r="AE140" i="20"/>
  <c r="AE136" i="20"/>
  <c r="AE132" i="20"/>
  <c r="AE128" i="20"/>
  <c r="AE124" i="20"/>
  <c r="AE120" i="20"/>
  <c r="AE112" i="20"/>
  <c r="AE104" i="20"/>
  <c r="AE96" i="20"/>
  <c r="AE87" i="20"/>
  <c r="AE71" i="20"/>
  <c r="AE55" i="20"/>
  <c r="AE39" i="20"/>
  <c r="AE23" i="20"/>
  <c r="Q371" i="20"/>
  <c r="Q355" i="20"/>
  <c r="Q339" i="20"/>
  <c r="Q323" i="20"/>
  <c r="Q307" i="20"/>
  <c r="Q291" i="20"/>
  <c r="Q274" i="20"/>
  <c r="Q242" i="20"/>
  <c r="Q202" i="20"/>
  <c r="Q138" i="20"/>
  <c r="Q46" i="20"/>
  <c r="Q102" i="20"/>
  <c r="Q124" i="20"/>
  <c r="Q134" i="20"/>
  <c r="Q142" i="20"/>
  <c r="Q150" i="20"/>
  <c r="Q158" i="20"/>
  <c r="Q166" i="20"/>
  <c r="Q174" i="20"/>
  <c r="Q182" i="20"/>
  <c r="Q190" i="20"/>
  <c r="Q198" i="20"/>
  <c r="Q206" i="20"/>
  <c r="Q214" i="20"/>
  <c r="Q222" i="20"/>
  <c r="Q230" i="20"/>
  <c r="Q238" i="20"/>
  <c r="Q246" i="20"/>
  <c r="Q254" i="20"/>
  <c r="Q262" i="20"/>
  <c r="Q270" i="20"/>
  <c r="Q277" i="20"/>
  <c r="Q281" i="20"/>
  <c r="Q285" i="20"/>
  <c r="Q289" i="20"/>
  <c r="Q293" i="20"/>
  <c r="Q297" i="20"/>
  <c r="Q301" i="20"/>
  <c r="Q305" i="20"/>
  <c r="Q309" i="20"/>
  <c r="Q313" i="20"/>
  <c r="Q317" i="20"/>
  <c r="Q321" i="20"/>
  <c r="Q325" i="20"/>
  <c r="Q329" i="20"/>
  <c r="Q333" i="20"/>
  <c r="Q337" i="20"/>
  <c r="Q341" i="20"/>
  <c r="Q345" i="20"/>
  <c r="Q349" i="20"/>
  <c r="Q353" i="20"/>
  <c r="Q357" i="20"/>
  <c r="Q361" i="20"/>
  <c r="Q365" i="20"/>
  <c r="Q369" i="20"/>
  <c r="Q373" i="20"/>
  <c r="Q377" i="20"/>
  <c r="AE17" i="20"/>
  <c r="AE21" i="20"/>
  <c r="AE25" i="20"/>
  <c r="AE29" i="20"/>
  <c r="AE33" i="20"/>
  <c r="AE37" i="20"/>
  <c r="AE41" i="20"/>
  <c r="AE45" i="20"/>
  <c r="AE49" i="20"/>
  <c r="AE53" i="20"/>
  <c r="AE57" i="20"/>
  <c r="AE61" i="20"/>
  <c r="AE65" i="20"/>
  <c r="AE69" i="20"/>
  <c r="AE73" i="20"/>
  <c r="AE77" i="20"/>
  <c r="AE81" i="20"/>
  <c r="AE85" i="20"/>
  <c r="AE89" i="20"/>
  <c r="AE91" i="20"/>
  <c r="AE93" i="20"/>
  <c r="AE95" i="20"/>
  <c r="AE97" i="20"/>
  <c r="AE99" i="20"/>
  <c r="AE101" i="20"/>
  <c r="AE103" i="20"/>
  <c r="AE105" i="20"/>
  <c r="AE107" i="20"/>
  <c r="AE109" i="20"/>
  <c r="AE111" i="20"/>
  <c r="AE113" i="20"/>
  <c r="AE115" i="20"/>
  <c r="AE117" i="20"/>
  <c r="AE119" i="20"/>
  <c r="Q210" i="20"/>
  <c r="Q194" i="20"/>
  <c r="Q178" i="20"/>
  <c r="Q162" i="20"/>
  <c r="Q146" i="20"/>
  <c r="Q130" i="20"/>
  <c r="Q78" i="20"/>
  <c r="Q17" i="20"/>
  <c r="Q22" i="20"/>
  <c r="Q38" i="20"/>
  <c r="Q54" i="20"/>
  <c r="Q70" i="20"/>
  <c r="Q86" i="20"/>
  <c r="Q98" i="20"/>
  <c r="Q106" i="20"/>
  <c r="Q114" i="20"/>
  <c r="Q118" i="20"/>
  <c r="Q122" i="20"/>
  <c r="Q126" i="20"/>
  <c r="Q129" i="20"/>
  <c r="Q131" i="20"/>
  <c r="Q133" i="20"/>
  <c r="Q135" i="20"/>
  <c r="Q137" i="20"/>
  <c r="Q139" i="20"/>
  <c r="Q141" i="20"/>
  <c r="Q143" i="20"/>
  <c r="Q145" i="20"/>
  <c r="Q147" i="20"/>
  <c r="Q149" i="20"/>
  <c r="Q151" i="20"/>
  <c r="Q153" i="20"/>
  <c r="Q155" i="20"/>
  <c r="Q157" i="20"/>
  <c r="Q159" i="20"/>
  <c r="Q161" i="20"/>
  <c r="Q163" i="20"/>
  <c r="Q165" i="20"/>
  <c r="Q167" i="20"/>
  <c r="Q169" i="20"/>
  <c r="Q171" i="20"/>
  <c r="Q173" i="20"/>
  <c r="Q175" i="20"/>
  <c r="Q177" i="20"/>
  <c r="Q179" i="20"/>
  <c r="Q181" i="20"/>
  <c r="Q183" i="20"/>
  <c r="Q185" i="20"/>
  <c r="Q187" i="20"/>
  <c r="Q189" i="20"/>
  <c r="Q191" i="20"/>
  <c r="Q193" i="20"/>
  <c r="Q195" i="20"/>
  <c r="Q197" i="20"/>
  <c r="Q199" i="20"/>
  <c r="Q201" i="20"/>
  <c r="Q203" i="20"/>
  <c r="Q205" i="20"/>
  <c r="Q207" i="20"/>
  <c r="Q209" i="20"/>
  <c r="Q211" i="20"/>
  <c r="Q213" i="20"/>
  <c r="Q215" i="20"/>
  <c r="Q217" i="20"/>
  <c r="Q219" i="20"/>
  <c r="Q221" i="20"/>
  <c r="Q223" i="20"/>
  <c r="Q225" i="20"/>
  <c r="Q227" i="20"/>
  <c r="Q229" i="20"/>
  <c r="Q231" i="20"/>
  <c r="Q233" i="20"/>
  <c r="Q235" i="20"/>
  <c r="Q237" i="20"/>
  <c r="Q239" i="20"/>
  <c r="Q241" i="20"/>
  <c r="Q243" i="20"/>
  <c r="Q245" i="20"/>
  <c r="Q247" i="20"/>
  <c r="Q249" i="20"/>
  <c r="Q251" i="20"/>
  <c r="Q253" i="20"/>
  <c r="Q255" i="20"/>
  <c r="Q257" i="20"/>
  <c r="Q259" i="20"/>
  <c r="Q261" i="20"/>
  <c r="Q263" i="20"/>
  <c r="Q265" i="20"/>
  <c r="Q267" i="20"/>
  <c r="Q269" i="20"/>
  <c r="Q271" i="20"/>
  <c r="Q273" i="20"/>
  <c r="Q275" i="20"/>
  <c r="AE88" i="20"/>
  <c r="AE86" i="20"/>
  <c r="AE84" i="20"/>
  <c r="AE82" i="20"/>
  <c r="AE80" i="20"/>
  <c r="AE78" i="20"/>
  <c r="AE76" i="20"/>
  <c r="AE74" i="20"/>
  <c r="AE72" i="20"/>
  <c r="AE70" i="20"/>
  <c r="AE68" i="20"/>
  <c r="AE66" i="20"/>
  <c r="AE64" i="20"/>
  <c r="AE62" i="20"/>
  <c r="AE60" i="20"/>
  <c r="AE58" i="20"/>
  <c r="AE56" i="20"/>
  <c r="AE54" i="20"/>
  <c r="AE52" i="20"/>
  <c r="AE50" i="20"/>
  <c r="AE48" i="20"/>
  <c r="AE46" i="20"/>
  <c r="AE44" i="20"/>
  <c r="AE42" i="20"/>
  <c r="AE40" i="20"/>
  <c r="AE38" i="20"/>
  <c r="AE36" i="20"/>
  <c r="AE34" i="20"/>
  <c r="AE32" i="20"/>
  <c r="AE30" i="20"/>
  <c r="AE28" i="20"/>
  <c r="AE26" i="20"/>
  <c r="AE24" i="20"/>
  <c r="AE22" i="20"/>
  <c r="AE20" i="20"/>
  <c r="AE16" i="20"/>
  <c r="AE19" i="20"/>
  <c r="Q378" i="20"/>
  <c r="Q376" i="20"/>
  <c r="Q374" i="20"/>
  <c r="Q372" i="20"/>
  <c r="Q370" i="20"/>
  <c r="Q368" i="20"/>
  <c r="Q366" i="20"/>
  <c r="Q364" i="20"/>
  <c r="Q362" i="20"/>
  <c r="Q360" i="20"/>
  <c r="Q358" i="20"/>
  <c r="Q356" i="20"/>
  <c r="Q354" i="20"/>
  <c r="Q352" i="20"/>
  <c r="Q350" i="20"/>
  <c r="Q348" i="20"/>
  <c r="Q346" i="20"/>
  <c r="Q344" i="20"/>
  <c r="Q342" i="20"/>
  <c r="Q340" i="20"/>
  <c r="Q338" i="20"/>
  <c r="Q336" i="20"/>
  <c r="Q334" i="20"/>
  <c r="Q332" i="20"/>
  <c r="Q330" i="20"/>
  <c r="Q328" i="20"/>
  <c r="Q326" i="20"/>
  <c r="Q324" i="20"/>
  <c r="Q322" i="20"/>
  <c r="Q320" i="20"/>
  <c r="Q318" i="20"/>
  <c r="Q316" i="20"/>
  <c r="Q314" i="20"/>
  <c r="Q312" i="20"/>
  <c r="Q310" i="20"/>
  <c r="Q308" i="20"/>
  <c r="Q306" i="20"/>
  <c r="Q304" i="20"/>
  <c r="Q302" i="20"/>
  <c r="Q300" i="20"/>
  <c r="Q298" i="20"/>
  <c r="Q296" i="20"/>
  <c r="Q294" i="20"/>
  <c r="Q292" i="20"/>
  <c r="Q290" i="20"/>
  <c r="Q288" i="20"/>
  <c r="Q286" i="20"/>
  <c r="Q284" i="20"/>
  <c r="Q282" i="20"/>
  <c r="Q280" i="20"/>
  <c r="Q278" i="20"/>
  <c r="Q276" i="20"/>
  <c r="Q272" i="20"/>
  <c r="Q268" i="20"/>
  <c r="Q264" i="20"/>
  <c r="Q260" i="20"/>
  <c r="Q256" i="20"/>
  <c r="Q252" i="20"/>
  <c r="Q248" i="20"/>
  <c r="Q244" i="20"/>
  <c r="Q240" i="20"/>
  <c r="Q236" i="20"/>
  <c r="Q232" i="20"/>
  <c r="Q228" i="20"/>
  <c r="Q224" i="20"/>
  <c r="Q220" i="20"/>
  <c r="Q216" i="20"/>
  <c r="Q212" i="20"/>
  <c r="Q208" i="20"/>
  <c r="Q204" i="20"/>
  <c r="Q200" i="20"/>
  <c r="Q196" i="20"/>
  <c r="Q192" i="20"/>
  <c r="Q188" i="20"/>
  <c r="Q184" i="20"/>
  <c r="Q180" i="20"/>
  <c r="Q176" i="20"/>
  <c r="Q172" i="20"/>
  <c r="Q168" i="20"/>
  <c r="Q164" i="20"/>
  <c r="Q160" i="20"/>
  <c r="Q156" i="20"/>
  <c r="Q152" i="20"/>
  <c r="Q148" i="20"/>
  <c r="Q144" i="20"/>
  <c r="Q140" i="20"/>
  <c r="Q136" i="20"/>
  <c r="Q132" i="20"/>
  <c r="Q128" i="20"/>
  <c r="Q120" i="20"/>
  <c r="Q110" i="20"/>
  <c r="Q94" i="20"/>
  <c r="Q62" i="20"/>
  <c r="Q30" i="20"/>
  <c r="AE380" i="20"/>
  <c r="Q380" i="20"/>
  <c r="Q112" i="20"/>
  <c r="Q108" i="20"/>
  <c r="Q104" i="20"/>
  <c r="Q100" i="20"/>
  <c r="Q96" i="20"/>
  <c r="Q91" i="20"/>
  <c r="Q82" i="20"/>
  <c r="Q74" i="20"/>
  <c r="Q66" i="20"/>
  <c r="Q58" i="20"/>
  <c r="Q50" i="20"/>
  <c r="Q42" i="20"/>
  <c r="Q34" i="20"/>
  <c r="Q26" i="20"/>
  <c r="Q15" i="20"/>
  <c r="Q127" i="20"/>
  <c r="Q125" i="20"/>
  <c r="Q123" i="20"/>
  <c r="Q121" i="20"/>
  <c r="Q119" i="20"/>
  <c r="Q117" i="20"/>
  <c r="Q115" i="20"/>
  <c r="Q113" i="20"/>
  <c r="Q111" i="20"/>
  <c r="Q109" i="20"/>
  <c r="Q107" i="20"/>
  <c r="Q105" i="20"/>
  <c r="Q103" i="20"/>
  <c r="Q101" i="20"/>
  <c r="Q99" i="20"/>
  <c r="Q97" i="20"/>
  <c r="Q95" i="20"/>
  <c r="Q93" i="20"/>
  <c r="Q88" i="20"/>
  <c r="Q84" i="20"/>
  <c r="Q80" i="20"/>
  <c r="Q76" i="20"/>
  <c r="Q72" i="20"/>
  <c r="Q68" i="20"/>
  <c r="Q64" i="20"/>
  <c r="Q60" i="20"/>
  <c r="Q56" i="20"/>
  <c r="Q52" i="20"/>
  <c r="Q48" i="20"/>
  <c r="Q44" i="20"/>
  <c r="Q40" i="20"/>
  <c r="Q36" i="20"/>
  <c r="Q32" i="20"/>
  <c r="Q28" i="20"/>
  <c r="Q24" i="20"/>
  <c r="Q20" i="20"/>
  <c r="Q16" i="20"/>
  <c r="AL13" i="1"/>
  <c r="AJ4" i="1"/>
  <c r="P11" i="19" s="1"/>
  <c r="M12" i="19" s="1"/>
  <c r="J11" i="19"/>
  <c r="AA11" i="1"/>
  <c r="AA5" i="1" s="1"/>
  <c r="I11" i="19" s="1"/>
  <c r="I35" i="19" s="1"/>
  <c r="AM13" i="1"/>
  <c r="AK4" i="1"/>
  <c r="R11" i="19" s="1"/>
  <c r="N12" i="19" s="1"/>
  <c r="Y11" i="1"/>
  <c r="Q92" i="20"/>
  <c r="Q89" i="20"/>
  <c r="Q87" i="20"/>
  <c r="Q85" i="20"/>
  <c r="Q83" i="20"/>
  <c r="Q81" i="20"/>
  <c r="Q79" i="20"/>
  <c r="Q77" i="20"/>
  <c r="Q75" i="20"/>
  <c r="Q73" i="20"/>
  <c r="Q71" i="20"/>
  <c r="Q69" i="20"/>
  <c r="Q67" i="20"/>
  <c r="Q65" i="20"/>
  <c r="Q63" i="20"/>
  <c r="Q61" i="20"/>
  <c r="Q59" i="20"/>
  <c r="Q57" i="20"/>
  <c r="Q55" i="20"/>
  <c r="Q53" i="20"/>
  <c r="Q51" i="20"/>
  <c r="Q49" i="20"/>
  <c r="Q47" i="20"/>
  <c r="Q45" i="20"/>
  <c r="Q43" i="20"/>
  <c r="Q41" i="20"/>
  <c r="Q39" i="20"/>
  <c r="Q37" i="20"/>
  <c r="Q35" i="20"/>
  <c r="Q33" i="20"/>
  <c r="Q31" i="20"/>
  <c r="Q29" i="20"/>
  <c r="Q27" i="20"/>
  <c r="Q25" i="20"/>
  <c r="Q23" i="20"/>
  <c r="Q21" i="20"/>
  <c r="Q19" i="20"/>
  <c r="Q18" i="20"/>
  <c r="Z11" i="1"/>
  <c r="Z5" i="1" s="1"/>
  <c r="H11" i="19" s="1"/>
  <c r="H35" i="19" s="1"/>
  <c r="D78" i="7"/>
  <c r="AL10" i="16"/>
  <c r="Q12" i="22"/>
  <c r="Q90" i="20"/>
  <c r="AI15" i="7"/>
  <c r="X9" i="15"/>
  <c r="Y11" i="15" s="1"/>
  <c r="Y382" i="15"/>
  <c r="Y381" i="15"/>
  <c r="AL6" i="15"/>
  <c r="AL12" i="15" s="1"/>
  <c r="Y383" i="15"/>
  <c r="AM6" i="15"/>
  <c r="AM12" i="15" s="1"/>
  <c r="H64" i="19" l="1"/>
  <c r="F64" i="19"/>
  <c r="L64" i="19"/>
  <c r="B333" i="18"/>
  <c r="D64" i="19"/>
  <c r="E64" i="19"/>
  <c r="AD108" i="18"/>
  <c r="AD229" i="18"/>
  <c r="U367" i="18"/>
  <c r="T367" i="18" s="1"/>
  <c r="S367" i="18" s="1"/>
  <c r="R367" i="18" s="1"/>
  <c r="P367" i="18" s="1"/>
  <c r="V367" i="18" s="1"/>
  <c r="B367" i="18" s="1"/>
  <c r="U253" i="18"/>
  <c r="T253" i="18" s="1"/>
  <c r="S253" i="18" s="1"/>
  <c r="R253" i="18" s="1"/>
  <c r="P253" i="18" s="1"/>
  <c r="V253" i="18" s="1"/>
  <c r="B253" i="18" s="1"/>
  <c r="U125" i="18"/>
  <c r="T125" i="18" s="1"/>
  <c r="U375" i="18"/>
  <c r="T375" i="18" s="1"/>
  <c r="S375" i="18" s="1"/>
  <c r="R375" i="18" s="1"/>
  <c r="P375" i="18" s="1"/>
  <c r="V375" i="18" s="1"/>
  <c r="B375" i="18" s="1"/>
  <c r="U269" i="18"/>
  <c r="T269" i="18" s="1"/>
  <c r="S269" i="18" s="1"/>
  <c r="R269" i="18" s="1"/>
  <c r="P269" i="18" s="1"/>
  <c r="V269" i="18" s="1"/>
  <c r="B269" i="18" s="1"/>
  <c r="U141" i="18"/>
  <c r="T141" i="18" s="1"/>
  <c r="S141" i="18" s="1"/>
  <c r="R141" i="18" s="1"/>
  <c r="P141" i="18" s="1"/>
  <c r="V141" i="18" s="1"/>
  <c r="B141" i="18" s="1"/>
  <c r="U293" i="18"/>
  <c r="T293" i="18" s="1"/>
  <c r="S293" i="18" s="1"/>
  <c r="R293" i="18" s="1"/>
  <c r="P293" i="18" s="1"/>
  <c r="V293" i="18" s="1"/>
  <c r="B293" i="18" s="1"/>
  <c r="U165" i="18"/>
  <c r="T165" i="18" s="1"/>
  <c r="S165" i="18" s="1"/>
  <c r="R165" i="18" s="1"/>
  <c r="P165" i="18" s="1"/>
  <c r="V165" i="18" s="1"/>
  <c r="B165" i="18" s="1"/>
  <c r="U37" i="18"/>
  <c r="T37" i="18" s="1"/>
  <c r="S37" i="18" s="1"/>
  <c r="R37" i="18" s="1"/>
  <c r="P37" i="18" s="1"/>
  <c r="V37" i="18" s="1"/>
  <c r="B37" i="18" s="1"/>
  <c r="U353" i="18"/>
  <c r="T353" i="18" s="1"/>
  <c r="S353" i="18" s="1"/>
  <c r="R353" i="18" s="1"/>
  <c r="P353" i="18" s="1"/>
  <c r="V353" i="18" s="1"/>
  <c r="B353" i="18" s="1"/>
  <c r="U289" i="18"/>
  <c r="T289" i="18" s="1"/>
  <c r="S289" i="18" s="1"/>
  <c r="R289" i="18" s="1"/>
  <c r="P289" i="18" s="1"/>
  <c r="V289" i="18" s="1"/>
  <c r="B289" i="18" s="1"/>
  <c r="U225" i="18"/>
  <c r="T225" i="18" s="1"/>
  <c r="S225" i="18" s="1"/>
  <c r="R225" i="18" s="1"/>
  <c r="P225" i="18" s="1"/>
  <c r="V225" i="18" s="1"/>
  <c r="B225" i="18" s="1"/>
  <c r="U161" i="18"/>
  <c r="T161" i="18" s="1"/>
  <c r="S161" i="18" s="1"/>
  <c r="R161" i="18" s="1"/>
  <c r="P161" i="18" s="1"/>
  <c r="V161" i="18" s="1"/>
  <c r="B161" i="18" s="1"/>
  <c r="U97" i="18"/>
  <c r="T97" i="18" s="1"/>
  <c r="S97" i="18" s="1"/>
  <c r="R97" i="18" s="1"/>
  <c r="P97" i="18" s="1"/>
  <c r="V97" i="18" s="1"/>
  <c r="B97" i="18" s="1"/>
  <c r="U33" i="18"/>
  <c r="T33" i="18" s="1"/>
  <c r="S33" i="18" s="1"/>
  <c r="R33" i="18" s="1"/>
  <c r="P33" i="18" s="1"/>
  <c r="V33" i="18" s="1"/>
  <c r="U28" i="18"/>
  <c r="T28" i="18" s="1"/>
  <c r="S28" i="18" s="1"/>
  <c r="R28" i="18" s="1"/>
  <c r="P28" i="18" s="1"/>
  <c r="V28" i="18" s="1"/>
  <c r="U44" i="18"/>
  <c r="T44" i="18" s="1"/>
  <c r="S44" i="18" s="1"/>
  <c r="R44" i="18" s="1"/>
  <c r="P44" i="18" s="1"/>
  <c r="V44" i="18" s="1"/>
  <c r="B44" i="18" s="1"/>
  <c r="U60" i="18"/>
  <c r="T60" i="18" s="1"/>
  <c r="S60" i="18" s="1"/>
  <c r="R60" i="18" s="1"/>
  <c r="P60" i="18" s="1"/>
  <c r="U76" i="18"/>
  <c r="T76" i="18" s="1"/>
  <c r="S76" i="18" s="1"/>
  <c r="R76" i="18" s="1"/>
  <c r="P76" i="18" s="1"/>
  <c r="V76" i="18" s="1"/>
  <c r="B76" i="18" s="1"/>
  <c r="U92" i="18"/>
  <c r="T92" i="18" s="1"/>
  <c r="S92" i="18" s="1"/>
  <c r="R92" i="18" s="1"/>
  <c r="P92" i="18" s="1"/>
  <c r="V92" i="18" s="1"/>
  <c r="B92" i="18" s="1"/>
  <c r="U124" i="18"/>
  <c r="T124" i="18" s="1"/>
  <c r="S124" i="18" s="1"/>
  <c r="R124" i="18" s="1"/>
  <c r="P124" i="18" s="1"/>
  <c r="V124" i="18" s="1"/>
  <c r="B124" i="18" s="1"/>
  <c r="U156" i="18"/>
  <c r="T156" i="18" s="1"/>
  <c r="S156" i="18" s="1"/>
  <c r="R156" i="18" s="1"/>
  <c r="P156" i="18" s="1"/>
  <c r="V156" i="18" s="1"/>
  <c r="B156" i="18" s="1"/>
  <c r="U188" i="18"/>
  <c r="T188" i="18" s="1"/>
  <c r="S188" i="18" s="1"/>
  <c r="R188" i="18" s="1"/>
  <c r="P188" i="18" s="1"/>
  <c r="V188" i="18" s="1"/>
  <c r="B188" i="18" s="1"/>
  <c r="U220" i="18"/>
  <c r="T220" i="18" s="1"/>
  <c r="S220" i="18" s="1"/>
  <c r="R220" i="18" s="1"/>
  <c r="P220" i="18" s="1"/>
  <c r="V220" i="18" s="1"/>
  <c r="B220" i="18" s="1"/>
  <c r="U252" i="18"/>
  <c r="T252" i="18" s="1"/>
  <c r="S252" i="18" s="1"/>
  <c r="R252" i="18" s="1"/>
  <c r="P252" i="18" s="1"/>
  <c r="V252" i="18" s="1"/>
  <c r="B252" i="18" s="1"/>
  <c r="U284" i="18"/>
  <c r="T284" i="18" s="1"/>
  <c r="S284" i="18" s="1"/>
  <c r="R284" i="18" s="1"/>
  <c r="P284" i="18" s="1"/>
  <c r="V284" i="18" s="1"/>
  <c r="B284" i="18" s="1"/>
  <c r="U316" i="18"/>
  <c r="T316" i="18" s="1"/>
  <c r="S316" i="18" s="1"/>
  <c r="R316" i="18" s="1"/>
  <c r="P316" i="18" s="1"/>
  <c r="V316" i="18" s="1"/>
  <c r="B316" i="18" s="1"/>
  <c r="U348" i="18"/>
  <c r="T348" i="18" s="1"/>
  <c r="S348" i="18" s="1"/>
  <c r="R348" i="18" s="1"/>
  <c r="P348" i="18" s="1"/>
  <c r="V348" i="18" s="1"/>
  <c r="B348" i="18" s="1"/>
  <c r="U351" i="18"/>
  <c r="T351" i="18" s="1"/>
  <c r="S351" i="18" s="1"/>
  <c r="R351" i="18" s="1"/>
  <c r="P351" i="18" s="1"/>
  <c r="V351" i="18" s="1"/>
  <c r="B351" i="18" s="1"/>
  <c r="U263" i="18"/>
  <c r="T263" i="18" s="1"/>
  <c r="S263" i="18" s="1"/>
  <c r="R263" i="18" s="1"/>
  <c r="P263" i="18" s="1"/>
  <c r="V263" i="18" s="1"/>
  <c r="B263" i="18" s="1"/>
  <c r="U135" i="18"/>
  <c r="T135" i="18" s="1"/>
  <c r="S135" i="18" s="1"/>
  <c r="R135" i="18" s="1"/>
  <c r="P135" i="18" s="1"/>
  <c r="V135" i="18" s="1"/>
  <c r="B135" i="18" s="1"/>
  <c r="AC16" i="7"/>
  <c r="AI78" i="18"/>
  <c r="AH78" i="18" s="1"/>
  <c r="AG78" i="18" s="1"/>
  <c r="AF78" i="18" s="1"/>
  <c r="AI142" i="18"/>
  <c r="AH142" i="18" s="1"/>
  <c r="AG142" i="18" s="1"/>
  <c r="AF142" i="18" s="1"/>
  <c r="AI71" i="18"/>
  <c r="AH71" i="18" s="1"/>
  <c r="AG71" i="18" s="1"/>
  <c r="AF71" i="18" s="1"/>
  <c r="AD71" i="18" s="1"/>
  <c r="AI135" i="18"/>
  <c r="AH135" i="18" s="1"/>
  <c r="AG135" i="18" s="1"/>
  <c r="AF135" i="18" s="1"/>
  <c r="AD135" i="18" s="1"/>
  <c r="AI199" i="18"/>
  <c r="AH199" i="18" s="1"/>
  <c r="AG199" i="18" s="1"/>
  <c r="AF199" i="18" s="1"/>
  <c r="AD199" i="18" s="1"/>
  <c r="AI263" i="18"/>
  <c r="AH263" i="18" s="1"/>
  <c r="AG263" i="18" s="1"/>
  <c r="AF263" i="18" s="1"/>
  <c r="AD263" i="18" s="1"/>
  <c r="U339" i="18"/>
  <c r="T339" i="18" s="1"/>
  <c r="S339" i="18" s="1"/>
  <c r="R339" i="18" s="1"/>
  <c r="P339" i="18" s="1"/>
  <c r="V339" i="18" s="1"/>
  <c r="B339" i="18" s="1"/>
  <c r="U130" i="18"/>
  <c r="T130" i="18" s="1"/>
  <c r="S130" i="18" s="1"/>
  <c r="R130" i="18" s="1"/>
  <c r="P130" i="18" s="1"/>
  <c r="V130" i="18" s="1"/>
  <c r="B130" i="18" s="1"/>
  <c r="U363" i="18"/>
  <c r="T363" i="18" s="1"/>
  <c r="S363" i="18" s="1"/>
  <c r="R363" i="18" s="1"/>
  <c r="P363" i="18" s="1"/>
  <c r="AI101" i="18"/>
  <c r="AH101" i="18" s="1"/>
  <c r="AG101" i="18" s="1"/>
  <c r="AF101" i="18" s="1"/>
  <c r="AD101" i="18" s="1"/>
  <c r="U100" i="18"/>
  <c r="T100" i="18" s="1"/>
  <c r="S100" i="18" s="1"/>
  <c r="R100" i="18" s="1"/>
  <c r="P100" i="18" s="1"/>
  <c r="V100" i="18" s="1"/>
  <c r="B100" i="18" s="1"/>
  <c r="U116" i="18"/>
  <c r="T116" i="18" s="1"/>
  <c r="S116" i="18" s="1"/>
  <c r="R116" i="18" s="1"/>
  <c r="P116" i="18" s="1"/>
  <c r="V116" i="18" s="1"/>
  <c r="B116" i="18" s="1"/>
  <c r="U132" i="18"/>
  <c r="T132" i="18" s="1"/>
  <c r="S132" i="18" s="1"/>
  <c r="R132" i="18" s="1"/>
  <c r="P132" i="18" s="1"/>
  <c r="V132" i="18" s="1"/>
  <c r="B132" i="18" s="1"/>
  <c r="U148" i="18"/>
  <c r="T148" i="18" s="1"/>
  <c r="S148" i="18" s="1"/>
  <c r="R148" i="18" s="1"/>
  <c r="P148" i="18" s="1"/>
  <c r="V148" i="18" s="1"/>
  <c r="B148" i="18" s="1"/>
  <c r="U164" i="18"/>
  <c r="T164" i="18" s="1"/>
  <c r="S164" i="18" s="1"/>
  <c r="R164" i="18" s="1"/>
  <c r="P164" i="18" s="1"/>
  <c r="V164" i="18" s="1"/>
  <c r="B164" i="18" s="1"/>
  <c r="U180" i="18"/>
  <c r="T180" i="18" s="1"/>
  <c r="S180" i="18" s="1"/>
  <c r="R180" i="18" s="1"/>
  <c r="P180" i="18" s="1"/>
  <c r="U196" i="18"/>
  <c r="T196" i="18" s="1"/>
  <c r="S196" i="18" s="1"/>
  <c r="R196" i="18" s="1"/>
  <c r="P196" i="18" s="1"/>
  <c r="V196" i="18" s="1"/>
  <c r="B196" i="18" s="1"/>
  <c r="U212" i="18"/>
  <c r="T212" i="18" s="1"/>
  <c r="S212" i="18" s="1"/>
  <c r="R212" i="18" s="1"/>
  <c r="P212" i="18" s="1"/>
  <c r="V212" i="18" s="1"/>
  <c r="B212" i="18" s="1"/>
  <c r="U228" i="18"/>
  <c r="T228" i="18" s="1"/>
  <c r="S228" i="18" s="1"/>
  <c r="R228" i="18" s="1"/>
  <c r="P228" i="18" s="1"/>
  <c r="V228" i="18" s="1"/>
  <c r="B228" i="18" s="1"/>
  <c r="U244" i="18"/>
  <c r="T244" i="18" s="1"/>
  <c r="S244" i="18" s="1"/>
  <c r="R244" i="18" s="1"/>
  <c r="P244" i="18" s="1"/>
  <c r="V244" i="18" s="1"/>
  <c r="B244" i="18" s="1"/>
  <c r="U260" i="18"/>
  <c r="T260" i="18" s="1"/>
  <c r="S260" i="18" s="1"/>
  <c r="R260" i="18" s="1"/>
  <c r="P260" i="18" s="1"/>
  <c r="V260" i="18" s="1"/>
  <c r="B260" i="18" s="1"/>
  <c r="U276" i="18"/>
  <c r="T276" i="18" s="1"/>
  <c r="S276" i="18" s="1"/>
  <c r="R276" i="18" s="1"/>
  <c r="P276" i="18" s="1"/>
  <c r="V276" i="18" s="1"/>
  <c r="B276" i="18" s="1"/>
  <c r="U292" i="18"/>
  <c r="T292" i="18" s="1"/>
  <c r="S292" i="18" s="1"/>
  <c r="R292" i="18" s="1"/>
  <c r="P292" i="18" s="1"/>
  <c r="V292" i="18" s="1"/>
  <c r="B292" i="18" s="1"/>
  <c r="U308" i="18"/>
  <c r="T308" i="18" s="1"/>
  <c r="S308" i="18" s="1"/>
  <c r="R308" i="18" s="1"/>
  <c r="P308" i="18" s="1"/>
  <c r="V308" i="18" s="1"/>
  <c r="B308" i="18" s="1"/>
  <c r="U324" i="18"/>
  <c r="T324" i="18" s="1"/>
  <c r="S324" i="18" s="1"/>
  <c r="R324" i="18" s="1"/>
  <c r="P324" i="18" s="1"/>
  <c r="V324" i="18" s="1"/>
  <c r="B324" i="18" s="1"/>
  <c r="U340" i="18"/>
  <c r="T340" i="18" s="1"/>
  <c r="S340" i="18" s="1"/>
  <c r="R340" i="18" s="1"/>
  <c r="P340" i="18" s="1"/>
  <c r="V340" i="18" s="1"/>
  <c r="B340" i="18" s="1"/>
  <c r="U376" i="18"/>
  <c r="T376" i="18" s="1"/>
  <c r="S376" i="18" s="1"/>
  <c r="R376" i="18" s="1"/>
  <c r="P376" i="18" s="1"/>
  <c r="V376" i="18" s="1"/>
  <c r="B376" i="18" s="1"/>
  <c r="U360" i="18"/>
  <c r="T360" i="18" s="1"/>
  <c r="S360" i="18" s="1"/>
  <c r="R360" i="18" s="1"/>
  <c r="P360" i="18" s="1"/>
  <c r="V360" i="18" s="1"/>
  <c r="B360" i="18" s="1"/>
  <c r="U335" i="18"/>
  <c r="T335" i="18" s="1"/>
  <c r="S335" i="18" s="1"/>
  <c r="R335" i="18" s="1"/>
  <c r="P335" i="18" s="1"/>
  <c r="V335" i="18" s="1"/>
  <c r="B335" i="18" s="1"/>
  <c r="U295" i="18"/>
  <c r="T295" i="18" s="1"/>
  <c r="S295" i="18" s="1"/>
  <c r="R295" i="18" s="1"/>
  <c r="P295" i="18" s="1"/>
  <c r="V295" i="18" s="1"/>
  <c r="B295" i="18" s="1"/>
  <c r="U231" i="18"/>
  <c r="T231" i="18" s="1"/>
  <c r="S231" i="18" s="1"/>
  <c r="R231" i="18" s="1"/>
  <c r="P231" i="18" s="1"/>
  <c r="V231" i="18" s="1"/>
  <c r="B231" i="18" s="1"/>
  <c r="U167" i="18"/>
  <c r="T167" i="18" s="1"/>
  <c r="S167" i="18" s="1"/>
  <c r="R167" i="18" s="1"/>
  <c r="P167" i="18" s="1"/>
  <c r="V167" i="18" s="1"/>
  <c r="B167" i="18" s="1"/>
  <c r="U103" i="18"/>
  <c r="T103" i="18" s="1"/>
  <c r="S103" i="18" s="1"/>
  <c r="R103" i="18" s="1"/>
  <c r="P103" i="18" s="1"/>
  <c r="V103" i="18" s="1"/>
  <c r="B103" i="18" s="1"/>
  <c r="U39" i="18"/>
  <c r="T39" i="18" s="1"/>
  <c r="S39" i="18" s="1"/>
  <c r="R39" i="18" s="1"/>
  <c r="P39" i="18" s="1"/>
  <c r="V39" i="18" s="1"/>
  <c r="B39" i="18" s="1"/>
  <c r="AI30" i="18"/>
  <c r="AH30" i="18" s="1"/>
  <c r="AG30" i="18" s="1"/>
  <c r="AF30" i="18" s="1"/>
  <c r="AI62" i="18"/>
  <c r="AH62" i="18" s="1"/>
  <c r="AG62" i="18" s="1"/>
  <c r="AF62" i="18" s="1"/>
  <c r="AI94" i="18"/>
  <c r="AH94" i="18" s="1"/>
  <c r="AI126" i="18"/>
  <c r="AH126" i="18" s="1"/>
  <c r="AI23" i="18"/>
  <c r="AH23" i="18" s="1"/>
  <c r="AG23" i="18" s="1"/>
  <c r="AF23" i="18" s="1"/>
  <c r="AD23" i="18" s="1"/>
  <c r="AI55" i="18"/>
  <c r="AH55" i="18" s="1"/>
  <c r="AG55" i="18" s="1"/>
  <c r="AF55" i="18" s="1"/>
  <c r="AD55" i="18" s="1"/>
  <c r="AI87" i="18"/>
  <c r="AH87" i="18" s="1"/>
  <c r="AG87" i="18" s="1"/>
  <c r="AF87" i="18" s="1"/>
  <c r="AD87" i="18" s="1"/>
  <c r="AI119" i="18"/>
  <c r="AH119" i="18" s="1"/>
  <c r="AG119" i="18" s="1"/>
  <c r="AF119" i="18" s="1"/>
  <c r="AD119" i="18" s="1"/>
  <c r="AI151" i="18"/>
  <c r="AH151" i="18" s="1"/>
  <c r="AG151" i="18" s="1"/>
  <c r="AF151" i="18" s="1"/>
  <c r="AD151" i="18" s="1"/>
  <c r="AI183" i="18"/>
  <c r="AH183" i="18" s="1"/>
  <c r="AG183" i="18" s="1"/>
  <c r="AF183" i="18" s="1"/>
  <c r="AD183" i="18" s="1"/>
  <c r="AI215" i="18"/>
  <c r="AH215" i="18" s="1"/>
  <c r="AG215" i="18" s="1"/>
  <c r="AF215" i="18" s="1"/>
  <c r="AD215" i="18" s="1"/>
  <c r="AI247" i="18"/>
  <c r="AH247" i="18" s="1"/>
  <c r="AG247" i="18" s="1"/>
  <c r="AF247" i="18" s="1"/>
  <c r="AD247" i="18" s="1"/>
  <c r="U83" i="18"/>
  <c r="T83" i="18" s="1"/>
  <c r="S83" i="18" s="1"/>
  <c r="R83" i="18" s="1"/>
  <c r="P83" i="18" s="1"/>
  <c r="V83" i="18" s="1"/>
  <c r="B83" i="18" s="1"/>
  <c r="U211" i="18"/>
  <c r="T211" i="18" s="1"/>
  <c r="S211" i="18" s="1"/>
  <c r="R211" i="18" s="1"/>
  <c r="P211" i="18" s="1"/>
  <c r="V211" i="18" s="1"/>
  <c r="B211" i="18" s="1"/>
  <c r="U322" i="18"/>
  <c r="T322" i="18" s="1"/>
  <c r="S322" i="18" s="1"/>
  <c r="R322" i="18" s="1"/>
  <c r="P322" i="18" s="1"/>
  <c r="V322" i="18" s="1"/>
  <c r="B322" i="18" s="1"/>
  <c r="U194" i="18"/>
  <c r="T194" i="18" s="1"/>
  <c r="S194" i="18" s="1"/>
  <c r="R194" i="18" s="1"/>
  <c r="P194" i="18" s="1"/>
  <c r="V194" i="18" s="1"/>
  <c r="B194" i="18" s="1"/>
  <c r="U66" i="18"/>
  <c r="T66" i="18" s="1"/>
  <c r="S66" i="18" s="1"/>
  <c r="R66" i="18" s="1"/>
  <c r="P66" i="18" s="1"/>
  <c r="V66" i="18" s="1"/>
  <c r="B66" i="18" s="1"/>
  <c r="U329" i="18"/>
  <c r="T329" i="18" s="1"/>
  <c r="S329" i="18" s="1"/>
  <c r="R329" i="18" s="1"/>
  <c r="P329" i="18" s="1"/>
  <c r="V329" i="18" s="1"/>
  <c r="B329" i="18" s="1"/>
  <c r="AI44" i="18"/>
  <c r="AH44" i="18" s="1"/>
  <c r="AI37" i="18"/>
  <c r="AH37" i="18" s="1"/>
  <c r="AG37" i="18" s="1"/>
  <c r="AF37" i="18" s="1"/>
  <c r="AD37" i="18" s="1"/>
  <c r="AI165" i="18"/>
  <c r="AH165" i="18" s="1"/>
  <c r="AD62" i="18"/>
  <c r="AD78" i="18"/>
  <c r="AD30" i="18"/>
  <c r="AD46" i="18"/>
  <c r="AD110" i="18"/>
  <c r="U349" i="18"/>
  <c r="T349" i="18" s="1"/>
  <c r="S349" i="18" s="1"/>
  <c r="R349" i="18" s="1"/>
  <c r="P349" i="18" s="1"/>
  <c r="V349" i="18" s="1"/>
  <c r="B349" i="18" s="1"/>
  <c r="U285" i="18"/>
  <c r="T285" i="18" s="1"/>
  <c r="S285" i="18" s="1"/>
  <c r="R285" i="18" s="1"/>
  <c r="P285" i="18" s="1"/>
  <c r="V285" i="18" s="1"/>
  <c r="B285" i="18" s="1"/>
  <c r="U221" i="18"/>
  <c r="T221" i="18" s="1"/>
  <c r="S221" i="18" s="1"/>
  <c r="R221" i="18" s="1"/>
  <c r="P221" i="18" s="1"/>
  <c r="V221" i="18" s="1"/>
  <c r="B221" i="18" s="1"/>
  <c r="U157" i="18"/>
  <c r="T157" i="18" s="1"/>
  <c r="S157" i="18" s="1"/>
  <c r="R157" i="18" s="1"/>
  <c r="P157" i="18" s="1"/>
  <c r="V157" i="18" s="1"/>
  <c r="B157" i="18" s="1"/>
  <c r="U93" i="18"/>
  <c r="T93" i="18" s="1"/>
  <c r="S93" i="18" s="1"/>
  <c r="R93" i="18" s="1"/>
  <c r="P93" i="18" s="1"/>
  <c r="V93" i="18" s="1"/>
  <c r="B93" i="18" s="1"/>
  <c r="U29" i="18"/>
  <c r="T29" i="18" s="1"/>
  <c r="S29" i="18" s="1"/>
  <c r="R29" i="18" s="1"/>
  <c r="P29" i="18" s="1"/>
  <c r="U359" i="18"/>
  <c r="T359" i="18" s="1"/>
  <c r="S359" i="18" s="1"/>
  <c r="R359" i="18" s="1"/>
  <c r="P359" i="18" s="1"/>
  <c r="V359" i="18" s="1"/>
  <c r="B359" i="18" s="1"/>
  <c r="U301" i="18"/>
  <c r="T301" i="18" s="1"/>
  <c r="S301" i="18" s="1"/>
  <c r="R301" i="18" s="1"/>
  <c r="P301" i="18" s="1"/>
  <c r="V301" i="18" s="1"/>
  <c r="B301" i="18" s="1"/>
  <c r="U237" i="18"/>
  <c r="T237" i="18" s="1"/>
  <c r="S237" i="18" s="1"/>
  <c r="R237" i="18" s="1"/>
  <c r="P237" i="18" s="1"/>
  <c r="V237" i="18" s="1"/>
  <c r="B237" i="18" s="1"/>
  <c r="U173" i="18"/>
  <c r="T173" i="18" s="1"/>
  <c r="S173" i="18" s="1"/>
  <c r="R173" i="18" s="1"/>
  <c r="P173" i="18" s="1"/>
  <c r="V173" i="18" s="1"/>
  <c r="B173" i="18" s="1"/>
  <c r="U109" i="18"/>
  <c r="T109" i="18" s="1"/>
  <c r="S109" i="18" s="1"/>
  <c r="R109" i="18" s="1"/>
  <c r="P109" i="18" s="1"/>
  <c r="V109" i="18" s="1"/>
  <c r="B109" i="18" s="1"/>
  <c r="U45" i="18"/>
  <c r="T45" i="18" s="1"/>
  <c r="S45" i="18" s="1"/>
  <c r="R45" i="18" s="1"/>
  <c r="P45" i="18" s="1"/>
  <c r="V45" i="18" s="1"/>
  <c r="B45" i="18" s="1"/>
  <c r="U371" i="18"/>
  <c r="T371" i="18" s="1"/>
  <c r="S371" i="18" s="1"/>
  <c r="R371" i="18" s="1"/>
  <c r="P371" i="18" s="1"/>
  <c r="V371" i="18" s="1"/>
  <c r="B371" i="18" s="1"/>
  <c r="U325" i="18"/>
  <c r="T325" i="18" s="1"/>
  <c r="S325" i="18" s="1"/>
  <c r="R325" i="18" s="1"/>
  <c r="P325" i="18" s="1"/>
  <c r="V325" i="18" s="1"/>
  <c r="B325" i="18" s="1"/>
  <c r="U261" i="18"/>
  <c r="T261" i="18" s="1"/>
  <c r="S261" i="18" s="1"/>
  <c r="R261" i="18" s="1"/>
  <c r="P261" i="18" s="1"/>
  <c r="V261" i="18" s="1"/>
  <c r="B261" i="18" s="1"/>
  <c r="U197" i="18"/>
  <c r="T197" i="18" s="1"/>
  <c r="S197" i="18" s="1"/>
  <c r="R197" i="18" s="1"/>
  <c r="P197" i="18" s="1"/>
  <c r="V197" i="18" s="1"/>
  <c r="B197" i="18" s="1"/>
  <c r="U133" i="18"/>
  <c r="T133" i="18" s="1"/>
  <c r="S133" i="18" s="1"/>
  <c r="R133" i="18" s="1"/>
  <c r="P133" i="18" s="1"/>
  <c r="V133" i="18" s="1"/>
  <c r="B133" i="18" s="1"/>
  <c r="U69" i="18"/>
  <c r="T69" i="18" s="1"/>
  <c r="U377" i="18"/>
  <c r="T377" i="18" s="1"/>
  <c r="S377" i="18" s="1"/>
  <c r="R377" i="18" s="1"/>
  <c r="P377" i="18" s="1"/>
  <c r="V377" i="18" s="1"/>
  <c r="B377" i="18" s="1"/>
  <c r="U361" i="18"/>
  <c r="T361" i="18" s="1"/>
  <c r="S361" i="18" s="1"/>
  <c r="R361" i="18" s="1"/>
  <c r="P361" i="18" s="1"/>
  <c r="V361" i="18" s="1"/>
  <c r="B361" i="18" s="1"/>
  <c r="U337" i="18"/>
  <c r="T337" i="18" s="1"/>
  <c r="S337" i="18" s="1"/>
  <c r="R337" i="18" s="1"/>
  <c r="P337" i="18" s="1"/>
  <c r="V337" i="18" s="1"/>
  <c r="B337" i="18" s="1"/>
  <c r="U305" i="18"/>
  <c r="T305" i="18" s="1"/>
  <c r="S305" i="18" s="1"/>
  <c r="R305" i="18" s="1"/>
  <c r="P305" i="18" s="1"/>
  <c r="V305" i="18" s="1"/>
  <c r="B305" i="18" s="1"/>
  <c r="U273" i="18"/>
  <c r="T273" i="18" s="1"/>
  <c r="S273" i="18" s="1"/>
  <c r="R273" i="18" s="1"/>
  <c r="P273" i="18" s="1"/>
  <c r="V273" i="18" s="1"/>
  <c r="B273" i="18" s="1"/>
  <c r="U241" i="18"/>
  <c r="T241" i="18" s="1"/>
  <c r="S241" i="18" s="1"/>
  <c r="R241" i="18" s="1"/>
  <c r="P241" i="18" s="1"/>
  <c r="U209" i="18"/>
  <c r="T209" i="18" s="1"/>
  <c r="S209" i="18" s="1"/>
  <c r="R209" i="18" s="1"/>
  <c r="P209" i="18" s="1"/>
  <c r="V209" i="18" s="1"/>
  <c r="B209" i="18" s="1"/>
  <c r="U177" i="18"/>
  <c r="T177" i="18" s="1"/>
  <c r="S177" i="18" s="1"/>
  <c r="R177" i="18" s="1"/>
  <c r="P177" i="18" s="1"/>
  <c r="V177" i="18" s="1"/>
  <c r="B177" i="18" s="1"/>
  <c r="U145" i="18"/>
  <c r="T145" i="18" s="1"/>
  <c r="S145" i="18" s="1"/>
  <c r="R145" i="18" s="1"/>
  <c r="P145" i="18" s="1"/>
  <c r="V145" i="18" s="1"/>
  <c r="B145" i="18" s="1"/>
  <c r="U113" i="18"/>
  <c r="T113" i="18" s="1"/>
  <c r="S113" i="18" s="1"/>
  <c r="R113" i="18" s="1"/>
  <c r="P113" i="18" s="1"/>
  <c r="V113" i="18" s="1"/>
  <c r="B113" i="18" s="1"/>
  <c r="U81" i="18"/>
  <c r="T81" i="18" s="1"/>
  <c r="S81" i="18" s="1"/>
  <c r="R81" i="18" s="1"/>
  <c r="P81" i="18" s="1"/>
  <c r="V81" i="18" s="1"/>
  <c r="B81" i="18" s="1"/>
  <c r="U49" i="18"/>
  <c r="T49" i="18" s="1"/>
  <c r="S49" i="18" s="1"/>
  <c r="R49" i="18" s="1"/>
  <c r="P49" i="18" s="1"/>
  <c r="V49" i="18" s="1"/>
  <c r="B49" i="18" s="1"/>
  <c r="U16" i="18"/>
  <c r="T16" i="18" s="1"/>
  <c r="S16" i="18" s="1"/>
  <c r="R16" i="18" s="1"/>
  <c r="P16" i="18" s="1"/>
  <c r="V16" i="18" s="1"/>
  <c r="U24" i="18"/>
  <c r="T24" i="18" s="1"/>
  <c r="S24" i="18" s="1"/>
  <c r="R24" i="18" s="1"/>
  <c r="P24" i="18" s="1"/>
  <c r="V24" i="18" s="1"/>
  <c r="U32" i="18"/>
  <c r="T32" i="18" s="1"/>
  <c r="S32" i="18" s="1"/>
  <c r="R32" i="18" s="1"/>
  <c r="P32" i="18" s="1"/>
  <c r="V32" i="18" s="1"/>
  <c r="U40" i="18"/>
  <c r="T40" i="18" s="1"/>
  <c r="S40" i="18" s="1"/>
  <c r="R40" i="18" s="1"/>
  <c r="P40" i="18" s="1"/>
  <c r="V40" i="18" s="1"/>
  <c r="B40" i="18" s="1"/>
  <c r="U48" i="18"/>
  <c r="T48" i="18" s="1"/>
  <c r="S48" i="18" s="1"/>
  <c r="R48" i="18" s="1"/>
  <c r="P48" i="18" s="1"/>
  <c r="V48" i="18" s="1"/>
  <c r="B48" i="18" s="1"/>
  <c r="U56" i="18"/>
  <c r="T56" i="18" s="1"/>
  <c r="S56" i="18" s="1"/>
  <c r="R56" i="18" s="1"/>
  <c r="P56" i="18" s="1"/>
  <c r="V56" i="18" s="1"/>
  <c r="B56" i="18" s="1"/>
  <c r="U64" i="18"/>
  <c r="T64" i="18" s="1"/>
  <c r="S64" i="18" s="1"/>
  <c r="R64" i="18" s="1"/>
  <c r="P64" i="18" s="1"/>
  <c r="V64" i="18" s="1"/>
  <c r="B64" i="18" s="1"/>
  <c r="U72" i="18"/>
  <c r="T72" i="18" s="1"/>
  <c r="S72" i="18" s="1"/>
  <c r="R72" i="18" s="1"/>
  <c r="P72" i="18" s="1"/>
  <c r="V72" i="18" s="1"/>
  <c r="B72" i="18" s="1"/>
  <c r="U80" i="18"/>
  <c r="T80" i="18" s="1"/>
  <c r="S80" i="18" s="1"/>
  <c r="R80" i="18" s="1"/>
  <c r="P80" i="18" s="1"/>
  <c r="V80" i="18" s="1"/>
  <c r="B80" i="18" s="1"/>
  <c r="U88" i="18"/>
  <c r="T88" i="18" s="1"/>
  <c r="S88" i="18" s="1"/>
  <c r="R88" i="18" s="1"/>
  <c r="P88" i="18" s="1"/>
  <c r="U96" i="18"/>
  <c r="T96" i="18" s="1"/>
  <c r="S96" i="18" s="1"/>
  <c r="R96" i="18" s="1"/>
  <c r="P96" i="18" s="1"/>
  <c r="V96" i="18" s="1"/>
  <c r="B96" i="18" s="1"/>
  <c r="U104" i="18"/>
  <c r="T104" i="18" s="1"/>
  <c r="S104" i="18" s="1"/>
  <c r="R104" i="18" s="1"/>
  <c r="P104" i="18" s="1"/>
  <c r="V104" i="18" s="1"/>
  <c r="B104" i="18" s="1"/>
  <c r="U112" i="18"/>
  <c r="T112" i="18" s="1"/>
  <c r="S112" i="18" s="1"/>
  <c r="R112" i="18" s="1"/>
  <c r="P112" i="18" s="1"/>
  <c r="V112" i="18" s="1"/>
  <c r="B112" i="18" s="1"/>
  <c r="U120" i="18"/>
  <c r="T120" i="18" s="1"/>
  <c r="S120" i="18" s="1"/>
  <c r="R120" i="18" s="1"/>
  <c r="P120" i="18" s="1"/>
  <c r="V120" i="18" s="1"/>
  <c r="B120" i="18" s="1"/>
  <c r="U128" i="18"/>
  <c r="T128" i="18" s="1"/>
  <c r="S128" i="18" s="1"/>
  <c r="R128" i="18" s="1"/>
  <c r="P128" i="18" s="1"/>
  <c r="V128" i="18" s="1"/>
  <c r="B128" i="18" s="1"/>
  <c r="U136" i="18"/>
  <c r="T136" i="18" s="1"/>
  <c r="S136" i="18" s="1"/>
  <c r="R136" i="18" s="1"/>
  <c r="P136" i="18" s="1"/>
  <c r="V136" i="18" s="1"/>
  <c r="B136" i="18" s="1"/>
  <c r="U144" i="18"/>
  <c r="T144" i="18" s="1"/>
  <c r="S144" i="18" s="1"/>
  <c r="R144" i="18" s="1"/>
  <c r="P144" i="18" s="1"/>
  <c r="V144" i="18" s="1"/>
  <c r="B144" i="18" s="1"/>
  <c r="U152" i="18"/>
  <c r="T152" i="18" s="1"/>
  <c r="S152" i="18" s="1"/>
  <c r="R152" i="18" s="1"/>
  <c r="P152" i="18" s="1"/>
  <c r="V152" i="18" s="1"/>
  <c r="B152" i="18" s="1"/>
  <c r="U160" i="18"/>
  <c r="T160" i="18" s="1"/>
  <c r="S160" i="18" s="1"/>
  <c r="R160" i="18" s="1"/>
  <c r="P160" i="18" s="1"/>
  <c r="V160" i="18" s="1"/>
  <c r="B160" i="18" s="1"/>
  <c r="U168" i="18"/>
  <c r="T168" i="18" s="1"/>
  <c r="S168" i="18" s="1"/>
  <c r="R168" i="18" s="1"/>
  <c r="P168" i="18" s="1"/>
  <c r="V168" i="18" s="1"/>
  <c r="B168" i="18" s="1"/>
  <c r="U176" i="18"/>
  <c r="T176" i="18" s="1"/>
  <c r="S176" i="18" s="1"/>
  <c r="R176" i="18" s="1"/>
  <c r="P176" i="18" s="1"/>
  <c r="V176" i="18" s="1"/>
  <c r="B176" i="18" s="1"/>
  <c r="U184" i="18"/>
  <c r="T184" i="18" s="1"/>
  <c r="S184" i="18" s="1"/>
  <c r="R184" i="18" s="1"/>
  <c r="P184" i="18" s="1"/>
  <c r="V184" i="18" s="1"/>
  <c r="B184" i="18" s="1"/>
  <c r="U192" i="18"/>
  <c r="T192" i="18" s="1"/>
  <c r="S192" i="18" s="1"/>
  <c r="R192" i="18" s="1"/>
  <c r="P192" i="18" s="1"/>
  <c r="V192" i="18" s="1"/>
  <c r="B192" i="18" s="1"/>
  <c r="U200" i="18"/>
  <c r="T200" i="18" s="1"/>
  <c r="S200" i="18" s="1"/>
  <c r="R200" i="18" s="1"/>
  <c r="P200" i="18" s="1"/>
  <c r="V200" i="18" s="1"/>
  <c r="B200" i="18" s="1"/>
  <c r="U208" i="18"/>
  <c r="T208" i="18" s="1"/>
  <c r="S208" i="18" s="1"/>
  <c r="R208" i="18" s="1"/>
  <c r="P208" i="18" s="1"/>
  <c r="V208" i="18" s="1"/>
  <c r="B208" i="18" s="1"/>
  <c r="U216" i="18"/>
  <c r="T216" i="18" s="1"/>
  <c r="S216" i="18" s="1"/>
  <c r="R216" i="18" s="1"/>
  <c r="P216" i="18" s="1"/>
  <c r="V216" i="18" s="1"/>
  <c r="B216" i="18" s="1"/>
  <c r="U224" i="18"/>
  <c r="T224" i="18" s="1"/>
  <c r="S224" i="18" s="1"/>
  <c r="R224" i="18" s="1"/>
  <c r="P224" i="18" s="1"/>
  <c r="V224" i="18" s="1"/>
  <c r="B224" i="18" s="1"/>
  <c r="U232" i="18"/>
  <c r="T232" i="18" s="1"/>
  <c r="S232" i="18" s="1"/>
  <c r="R232" i="18" s="1"/>
  <c r="P232" i="18" s="1"/>
  <c r="V232" i="18" s="1"/>
  <c r="B232" i="18" s="1"/>
  <c r="U240" i="18"/>
  <c r="T240" i="18" s="1"/>
  <c r="S240" i="18" s="1"/>
  <c r="R240" i="18" s="1"/>
  <c r="P240" i="18" s="1"/>
  <c r="V240" i="18" s="1"/>
  <c r="B240" i="18" s="1"/>
  <c r="U248" i="18"/>
  <c r="T248" i="18" s="1"/>
  <c r="S248" i="18" s="1"/>
  <c r="R248" i="18" s="1"/>
  <c r="P248" i="18" s="1"/>
  <c r="V248" i="18" s="1"/>
  <c r="B248" i="18" s="1"/>
  <c r="U256" i="18"/>
  <c r="T256" i="18" s="1"/>
  <c r="S256" i="18" s="1"/>
  <c r="R256" i="18" s="1"/>
  <c r="P256" i="18" s="1"/>
  <c r="V256" i="18" s="1"/>
  <c r="B256" i="18" s="1"/>
  <c r="U264" i="18"/>
  <c r="T264" i="18" s="1"/>
  <c r="S264" i="18" s="1"/>
  <c r="R264" i="18" s="1"/>
  <c r="P264" i="18" s="1"/>
  <c r="V264" i="18" s="1"/>
  <c r="B264" i="18" s="1"/>
  <c r="U272" i="18"/>
  <c r="T272" i="18" s="1"/>
  <c r="S272" i="18" s="1"/>
  <c r="R272" i="18" s="1"/>
  <c r="P272" i="18" s="1"/>
  <c r="U280" i="18"/>
  <c r="T280" i="18" s="1"/>
  <c r="S280" i="18" s="1"/>
  <c r="R280" i="18" s="1"/>
  <c r="P280" i="18" s="1"/>
  <c r="V280" i="18" s="1"/>
  <c r="B280" i="18" s="1"/>
  <c r="U288" i="18"/>
  <c r="T288" i="18" s="1"/>
  <c r="S288" i="18" s="1"/>
  <c r="R288" i="18" s="1"/>
  <c r="P288" i="18" s="1"/>
  <c r="V288" i="18" s="1"/>
  <c r="B288" i="18" s="1"/>
  <c r="U296" i="18"/>
  <c r="T296" i="18" s="1"/>
  <c r="S296" i="18" s="1"/>
  <c r="R296" i="18" s="1"/>
  <c r="P296" i="18" s="1"/>
  <c r="V296" i="18" s="1"/>
  <c r="B296" i="18" s="1"/>
  <c r="U304" i="18"/>
  <c r="T304" i="18" s="1"/>
  <c r="S304" i="18" s="1"/>
  <c r="R304" i="18" s="1"/>
  <c r="P304" i="18" s="1"/>
  <c r="V304" i="18" s="1"/>
  <c r="B304" i="18" s="1"/>
  <c r="U312" i="18"/>
  <c r="T312" i="18" s="1"/>
  <c r="S312" i="18" s="1"/>
  <c r="R312" i="18" s="1"/>
  <c r="P312" i="18" s="1"/>
  <c r="V312" i="18" s="1"/>
  <c r="B312" i="18" s="1"/>
  <c r="U320" i="18"/>
  <c r="T320" i="18" s="1"/>
  <c r="S320" i="18" s="1"/>
  <c r="R320" i="18" s="1"/>
  <c r="P320" i="18" s="1"/>
  <c r="V320" i="18" s="1"/>
  <c r="B320" i="18" s="1"/>
  <c r="U328" i="18"/>
  <c r="T328" i="18" s="1"/>
  <c r="S328" i="18" s="1"/>
  <c r="R328" i="18" s="1"/>
  <c r="P328" i="18" s="1"/>
  <c r="V328" i="18" s="1"/>
  <c r="B328" i="18" s="1"/>
  <c r="U336" i="18"/>
  <c r="T336" i="18" s="1"/>
  <c r="S336" i="18" s="1"/>
  <c r="R336" i="18" s="1"/>
  <c r="P336" i="18" s="1"/>
  <c r="V336" i="18" s="1"/>
  <c r="B336" i="18" s="1"/>
  <c r="U344" i="18"/>
  <c r="T344" i="18" s="1"/>
  <c r="S344" i="18" s="1"/>
  <c r="R344" i="18" s="1"/>
  <c r="P344" i="18" s="1"/>
  <c r="V344" i="18" s="1"/>
  <c r="B344" i="18" s="1"/>
  <c r="U352" i="18"/>
  <c r="T352" i="18" s="1"/>
  <c r="S352" i="18" s="1"/>
  <c r="R352" i="18" s="1"/>
  <c r="P352" i="18" s="1"/>
  <c r="V352" i="18" s="1"/>
  <c r="B352" i="18" s="1"/>
  <c r="U372" i="18"/>
  <c r="T372" i="18" s="1"/>
  <c r="S372" i="18" s="1"/>
  <c r="R372" i="18" s="1"/>
  <c r="P372" i="18" s="1"/>
  <c r="V372" i="18" s="1"/>
  <c r="B372" i="18" s="1"/>
  <c r="U364" i="18"/>
  <c r="T364" i="18" s="1"/>
  <c r="S364" i="18" s="1"/>
  <c r="R364" i="18" s="1"/>
  <c r="P364" i="18" s="1"/>
  <c r="V364" i="18" s="1"/>
  <c r="B364" i="18" s="1"/>
  <c r="U356" i="18"/>
  <c r="T356" i="18" s="1"/>
  <c r="S356" i="18" s="1"/>
  <c r="R356" i="18" s="1"/>
  <c r="P356" i="18" s="1"/>
  <c r="V356" i="18" s="1"/>
  <c r="B356" i="18" s="1"/>
  <c r="U343" i="18"/>
  <c r="T343" i="18" s="1"/>
  <c r="S343" i="18" s="1"/>
  <c r="R343" i="18" s="1"/>
  <c r="P343" i="18" s="1"/>
  <c r="V343" i="18" s="1"/>
  <c r="B343" i="18" s="1"/>
  <c r="U327" i="18"/>
  <c r="T327" i="18" s="1"/>
  <c r="S327" i="18" s="1"/>
  <c r="R327" i="18" s="1"/>
  <c r="P327" i="18" s="1"/>
  <c r="V327" i="18" s="1"/>
  <c r="B327" i="18" s="1"/>
  <c r="U311" i="18"/>
  <c r="T311" i="18" s="1"/>
  <c r="S311" i="18" s="1"/>
  <c r="R311" i="18" s="1"/>
  <c r="P311" i="18" s="1"/>
  <c r="V311" i="18" s="1"/>
  <c r="B311" i="18" s="1"/>
  <c r="U279" i="18"/>
  <c r="T279" i="18" s="1"/>
  <c r="S279" i="18" s="1"/>
  <c r="R279" i="18" s="1"/>
  <c r="P279" i="18" s="1"/>
  <c r="V279" i="18" s="1"/>
  <c r="B279" i="18" s="1"/>
  <c r="U247" i="18"/>
  <c r="T247" i="18" s="1"/>
  <c r="S247" i="18" s="1"/>
  <c r="R247" i="18" s="1"/>
  <c r="P247" i="18" s="1"/>
  <c r="V247" i="18" s="1"/>
  <c r="B247" i="18" s="1"/>
  <c r="U215" i="18"/>
  <c r="T215" i="18" s="1"/>
  <c r="S215" i="18" s="1"/>
  <c r="R215" i="18" s="1"/>
  <c r="P215" i="18" s="1"/>
  <c r="V215" i="18" s="1"/>
  <c r="B215" i="18" s="1"/>
  <c r="U183" i="18"/>
  <c r="T183" i="18" s="1"/>
  <c r="S183" i="18" s="1"/>
  <c r="R183" i="18" s="1"/>
  <c r="P183" i="18" s="1"/>
  <c r="V183" i="18" s="1"/>
  <c r="B183" i="18" s="1"/>
  <c r="U151" i="18"/>
  <c r="T151" i="18" s="1"/>
  <c r="S151" i="18" s="1"/>
  <c r="R151" i="18" s="1"/>
  <c r="P151" i="18" s="1"/>
  <c r="V151" i="18" s="1"/>
  <c r="B151" i="18" s="1"/>
  <c r="U119" i="18"/>
  <c r="T119" i="18" s="1"/>
  <c r="S119" i="18" s="1"/>
  <c r="R119" i="18" s="1"/>
  <c r="P119" i="18" s="1"/>
  <c r="U87" i="18"/>
  <c r="T87" i="18" s="1"/>
  <c r="S87" i="18" s="1"/>
  <c r="R87" i="18" s="1"/>
  <c r="P87" i="18" s="1"/>
  <c r="V87" i="18" s="1"/>
  <c r="B87" i="18" s="1"/>
  <c r="U55" i="18"/>
  <c r="T55" i="18" s="1"/>
  <c r="S55" i="18" s="1"/>
  <c r="R55" i="18" s="1"/>
  <c r="P55" i="18" s="1"/>
  <c r="V55" i="18" s="1"/>
  <c r="B55" i="18" s="1"/>
  <c r="U23" i="18"/>
  <c r="T23" i="18" s="1"/>
  <c r="S23" i="18" s="1"/>
  <c r="R23" i="18" s="1"/>
  <c r="P23" i="18" s="1"/>
  <c r="V23" i="18" s="1"/>
  <c r="AI22" i="18"/>
  <c r="AH22" i="18" s="1"/>
  <c r="AI38" i="18"/>
  <c r="AH38" i="18" s="1"/>
  <c r="AI54" i="18"/>
  <c r="AH54" i="18" s="1"/>
  <c r="AI70" i="18"/>
  <c r="AH70" i="18" s="1"/>
  <c r="AI86" i="18"/>
  <c r="AH86" i="18" s="1"/>
  <c r="AI102" i="18"/>
  <c r="AH102" i="18" s="1"/>
  <c r="AG102" i="18" s="1"/>
  <c r="AF102" i="18" s="1"/>
  <c r="AI118" i="18"/>
  <c r="AH118" i="18" s="1"/>
  <c r="AG118" i="18" s="1"/>
  <c r="AF118" i="18" s="1"/>
  <c r="AI134" i="18"/>
  <c r="AH134" i="18" s="1"/>
  <c r="AG134" i="18" s="1"/>
  <c r="AF134" i="18" s="1"/>
  <c r="AI17" i="18"/>
  <c r="AH17" i="18" s="1"/>
  <c r="AG17" i="18" s="1"/>
  <c r="AF17" i="18" s="1"/>
  <c r="AI31" i="18"/>
  <c r="AH31" i="18" s="1"/>
  <c r="AG31" i="18" s="1"/>
  <c r="AF31" i="18" s="1"/>
  <c r="AD31" i="18" s="1"/>
  <c r="AI47" i="18"/>
  <c r="AH47" i="18" s="1"/>
  <c r="AG47" i="18" s="1"/>
  <c r="AF47" i="18" s="1"/>
  <c r="AD47" i="18" s="1"/>
  <c r="AI63" i="18"/>
  <c r="AH63" i="18" s="1"/>
  <c r="AG63" i="18" s="1"/>
  <c r="AF63" i="18" s="1"/>
  <c r="AD63" i="18" s="1"/>
  <c r="AI79" i="18"/>
  <c r="AH79" i="18" s="1"/>
  <c r="AG79" i="18" s="1"/>
  <c r="AF79" i="18" s="1"/>
  <c r="AD79" i="18" s="1"/>
  <c r="AI95" i="18"/>
  <c r="AH95" i="18" s="1"/>
  <c r="AG95" i="18" s="1"/>
  <c r="AF95" i="18" s="1"/>
  <c r="AD95" i="18" s="1"/>
  <c r="AI111" i="18"/>
  <c r="AH111" i="18" s="1"/>
  <c r="AG111" i="18" s="1"/>
  <c r="AF111" i="18" s="1"/>
  <c r="AD111" i="18" s="1"/>
  <c r="AI127" i="18"/>
  <c r="AH127" i="18" s="1"/>
  <c r="AG127" i="18" s="1"/>
  <c r="AF127" i="18" s="1"/>
  <c r="AD127" i="18" s="1"/>
  <c r="AI143" i="18"/>
  <c r="AH143" i="18" s="1"/>
  <c r="AG143" i="18" s="1"/>
  <c r="AF143" i="18" s="1"/>
  <c r="AD143" i="18" s="1"/>
  <c r="AI159" i="18"/>
  <c r="AH159" i="18" s="1"/>
  <c r="AG159" i="18" s="1"/>
  <c r="AF159" i="18" s="1"/>
  <c r="AD159" i="18" s="1"/>
  <c r="AI175" i="18"/>
  <c r="AH175" i="18" s="1"/>
  <c r="AG175" i="18" s="1"/>
  <c r="AF175" i="18" s="1"/>
  <c r="AD175" i="18" s="1"/>
  <c r="AI191" i="18"/>
  <c r="AH191" i="18" s="1"/>
  <c r="AG191" i="18" s="1"/>
  <c r="AF191" i="18" s="1"/>
  <c r="AD191" i="18" s="1"/>
  <c r="AI207" i="18"/>
  <c r="AH207" i="18" s="1"/>
  <c r="AG207" i="18" s="1"/>
  <c r="AF207" i="18" s="1"/>
  <c r="AD207" i="18" s="1"/>
  <c r="AI223" i="18"/>
  <c r="AH223" i="18" s="1"/>
  <c r="AG223" i="18" s="1"/>
  <c r="AF223" i="18" s="1"/>
  <c r="AD223" i="18" s="1"/>
  <c r="AI239" i="18"/>
  <c r="AH239" i="18" s="1"/>
  <c r="AG239" i="18" s="1"/>
  <c r="AF239" i="18" s="1"/>
  <c r="AD239" i="18" s="1"/>
  <c r="AI255" i="18"/>
  <c r="AH255" i="18" s="1"/>
  <c r="AG255" i="18" s="1"/>
  <c r="AF255" i="18" s="1"/>
  <c r="AD255" i="18" s="1"/>
  <c r="U51" i="18"/>
  <c r="T51" i="18" s="1"/>
  <c r="S51" i="18" s="1"/>
  <c r="R51" i="18" s="1"/>
  <c r="P51" i="18" s="1"/>
  <c r="V51" i="18" s="1"/>
  <c r="B51" i="18" s="1"/>
  <c r="U115" i="18"/>
  <c r="T115" i="18" s="1"/>
  <c r="S115" i="18" s="1"/>
  <c r="R115" i="18" s="1"/>
  <c r="P115" i="18" s="1"/>
  <c r="V115" i="18" s="1"/>
  <c r="B115" i="18" s="1"/>
  <c r="U179" i="18"/>
  <c r="T179" i="18" s="1"/>
  <c r="S179" i="18" s="1"/>
  <c r="R179" i="18" s="1"/>
  <c r="P179" i="18" s="1"/>
  <c r="V179" i="18" s="1"/>
  <c r="B179" i="18" s="1"/>
  <c r="U275" i="18"/>
  <c r="T275" i="18" s="1"/>
  <c r="S275" i="18" s="1"/>
  <c r="R275" i="18" s="1"/>
  <c r="P275" i="18" s="1"/>
  <c r="V275" i="18" s="1"/>
  <c r="B275" i="18" s="1"/>
  <c r="U378" i="18"/>
  <c r="T378" i="18" s="1"/>
  <c r="S378" i="18" s="1"/>
  <c r="R378" i="18" s="1"/>
  <c r="P378" i="18" s="1"/>
  <c r="V378" i="18" s="1"/>
  <c r="B378" i="18" s="1"/>
  <c r="U290" i="18"/>
  <c r="T290" i="18" s="1"/>
  <c r="S290" i="18" s="1"/>
  <c r="R290" i="18" s="1"/>
  <c r="P290" i="18" s="1"/>
  <c r="V290" i="18" s="1"/>
  <c r="B290" i="18" s="1"/>
  <c r="U226" i="18"/>
  <c r="T226" i="18" s="1"/>
  <c r="S226" i="18" s="1"/>
  <c r="R226" i="18" s="1"/>
  <c r="P226" i="18" s="1"/>
  <c r="V226" i="18" s="1"/>
  <c r="B226" i="18" s="1"/>
  <c r="U162" i="18"/>
  <c r="T162" i="18" s="1"/>
  <c r="S162" i="18" s="1"/>
  <c r="R162" i="18" s="1"/>
  <c r="P162" i="18" s="1"/>
  <c r="V162" i="18" s="1"/>
  <c r="B162" i="18" s="1"/>
  <c r="U98" i="18"/>
  <c r="T98" i="18" s="1"/>
  <c r="S98" i="18" s="1"/>
  <c r="R98" i="18" s="1"/>
  <c r="P98" i="18" s="1"/>
  <c r="V98" i="18" s="1"/>
  <c r="B98" i="18" s="1"/>
  <c r="U34" i="18"/>
  <c r="T34" i="18" s="1"/>
  <c r="S34" i="18" s="1"/>
  <c r="R34" i="18" s="1"/>
  <c r="P34" i="18" s="1"/>
  <c r="V34" i="18" s="1"/>
  <c r="U201" i="18"/>
  <c r="T201" i="18" s="1"/>
  <c r="S201" i="18" s="1"/>
  <c r="R201" i="18" s="1"/>
  <c r="P201" i="18" s="1"/>
  <c r="V201" i="18" s="1"/>
  <c r="B201" i="18" s="1"/>
  <c r="U117" i="18"/>
  <c r="T117" i="18" s="1"/>
  <c r="S117" i="18" s="1"/>
  <c r="R117" i="18" s="1"/>
  <c r="P117" i="18" s="1"/>
  <c r="V117" i="18" s="1"/>
  <c r="B117" i="18" s="1"/>
  <c r="U365" i="18"/>
  <c r="T365" i="18" s="1"/>
  <c r="S365" i="18" s="1"/>
  <c r="R365" i="18" s="1"/>
  <c r="P365" i="18" s="1"/>
  <c r="V365" i="18" s="1"/>
  <c r="B365" i="18" s="1"/>
  <c r="AI76" i="18"/>
  <c r="AH76" i="18" s="1"/>
  <c r="AI140" i="18"/>
  <c r="AH140" i="18" s="1"/>
  <c r="AG140" i="18" s="1"/>
  <c r="AF140" i="18" s="1"/>
  <c r="AI69" i="18"/>
  <c r="AH69" i="18" s="1"/>
  <c r="AG69" i="18" s="1"/>
  <c r="AF69" i="18" s="1"/>
  <c r="AI133" i="18"/>
  <c r="AH133" i="18" s="1"/>
  <c r="AG133" i="18" s="1"/>
  <c r="AF133" i="18" s="1"/>
  <c r="AD133" i="18" s="1"/>
  <c r="AI197" i="18"/>
  <c r="AH197" i="18" s="1"/>
  <c r="AG197" i="18" s="1"/>
  <c r="AF197" i="18" s="1"/>
  <c r="AD197" i="18" s="1"/>
  <c r="AD17" i="18"/>
  <c r="AD102" i="18"/>
  <c r="U243" i="18"/>
  <c r="T243" i="18" s="1"/>
  <c r="S243" i="18" s="1"/>
  <c r="R243" i="18" s="1"/>
  <c r="P243" i="18" s="1"/>
  <c r="V243" i="18" s="1"/>
  <c r="B243" i="18" s="1"/>
  <c r="U307" i="18"/>
  <c r="T307" i="18" s="1"/>
  <c r="S307" i="18" s="1"/>
  <c r="R307" i="18" s="1"/>
  <c r="P307" i="18" s="1"/>
  <c r="V307" i="18" s="1"/>
  <c r="B307" i="18" s="1"/>
  <c r="U362" i="18"/>
  <c r="T362" i="18" s="1"/>
  <c r="S362" i="18" s="1"/>
  <c r="R362" i="18" s="1"/>
  <c r="P362" i="18" s="1"/>
  <c r="V362" i="18" s="1"/>
  <c r="B362" i="18" s="1"/>
  <c r="U338" i="18"/>
  <c r="T338" i="18" s="1"/>
  <c r="S338" i="18" s="1"/>
  <c r="R338" i="18" s="1"/>
  <c r="P338" i="18" s="1"/>
  <c r="V338" i="18" s="1"/>
  <c r="B338" i="18" s="1"/>
  <c r="U306" i="18"/>
  <c r="T306" i="18" s="1"/>
  <c r="S306" i="18" s="1"/>
  <c r="R306" i="18" s="1"/>
  <c r="P306" i="18" s="1"/>
  <c r="V306" i="18" s="1"/>
  <c r="B306" i="18" s="1"/>
  <c r="U274" i="18"/>
  <c r="T274" i="18" s="1"/>
  <c r="S274" i="18" s="1"/>
  <c r="R274" i="18" s="1"/>
  <c r="P274" i="18" s="1"/>
  <c r="V274" i="18" s="1"/>
  <c r="B274" i="18" s="1"/>
  <c r="U242" i="18"/>
  <c r="T242" i="18" s="1"/>
  <c r="S242" i="18" s="1"/>
  <c r="R242" i="18" s="1"/>
  <c r="P242" i="18" s="1"/>
  <c r="V242" i="18" s="1"/>
  <c r="B242" i="18" s="1"/>
  <c r="U210" i="18"/>
  <c r="T210" i="18" s="1"/>
  <c r="S210" i="18" s="1"/>
  <c r="R210" i="18" s="1"/>
  <c r="P210" i="18" s="1"/>
  <c r="U178" i="18"/>
  <c r="T178" i="18" s="1"/>
  <c r="S178" i="18" s="1"/>
  <c r="R178" i="18" s="1"/>
  <c r="P178" i="18" s="1"/>
  <c r="V178" i="18" s="1"/>
  <c r="B178" i="18" s="1"/>
  <c r="U146" i="18"/>
  <c r="T146" i="18" s="1"/>
  <c r="S146" i="18" s="1"/>
  <c r="R146" i="18" s="1"/>
  <c r="P146" i="18" s="1"/>
  <c r="V146" i="18" s="1"/>
  <c r="B146" i="18" s="1"/>
  <c r="U114" i="18"/>
  <c r="T114" i="18" s="1"/>
  <c r="S114" i="18" s="1"/>
  <c r="R114" i="18" s="1"/>
  <c r="P114" i="18" s="1"/>
  <c r="V114" i="18" s="1"/>
  <c r="B114" i="18" s="1"/>
  <c r="U82" i="18"/>
  <c r="T82" i="18" s="1"/>
  <c r="S82" i="18" s="1"/>
  <c r="R82" i="18" s="1"/>
  <c r="P82" i="18" s="1"/>
  <c r="V82" i="18" s="1"/>
  <c r="B82" i="18" s="1"/>
  <c r="U50" i="18"/>
  <c r="T50" i="18" s="1"/>
  <c r="S50" i="18" s="1"/>
  <c r="R50" i="18" s="1"/>
  <c r="P50" i="18" s="1"/>
  <c r="V50" i="18" s="1"/>
  <c r="B50" i="18" s="1"/>
  <c r="U17" i="18"/>
  <c r="T17" i="18" s="1"/>
  <c r="S17" i="18" s="1"/>
  <c r="R17" i="18" s="1"/>
  <c r="P17" i="18" s="1"/>
  <c r="V17" i="18" s="1"/>
  <c r="U137" i="18"/>
  <c r="T137" i="18" s="1"/>
  <c r="S137" i="18" s="1"/>
  <c r="R137" i="18" s="1"/>
  <c r="P137" i="18" s="1"/>
  <c r="V137" i="18" s="1"/>
  <c r="B137" i="18" s="1"/>
  <c r="U265" i="18"/>
  <c r="T265" i="18" s="1"/>
  <c r="S265" i="18" s="1"/>
  <c r="R265" i="18" s="1"/>
  <c r="P265" i="18" s="1"/>
  <c r="V265" i="18" s="1"/>
  <c r="B265" i="18" s="1"/>
  <c r="U373" i="18"/>
  <c r="T373" i="18" s="1"/>
  <c r="S373" i="18" s="1"/>
  <c r="R373" i="18" s="1"/>
  <c r="P373" i="18" s="1"/>
  <c r="V373" i="18" s="1"/>
  <c r="B373" i="18" s="1"/>
  <c r="U245" i="18"/>
  <c r="T245" i="18" s="1"/>
  <c r="S245" i="18" s="1"/>
  <c r="R245" i="18" s="1"/>
  <c r="P245" i="18" s="1"/>
  <c r="V245" i="18" s="1"/>
  <c r="B245" i="18" s="1"/>
  <c r="U213" i="18"/>
  <c r="T213" i="18" s="1"/>
  <c r="S213" i="18" s="1"/>
  <c r="R213" i="18" s="1"/>
  <c r="P213" i="18" s="1"/>
  <c r="V213" i="18" s="1"/>
  <c r="B213" i="18" s="1"/>
  <c r="AI28" i="18"/>
  <c r="AH28" i="18" s="1"/>
  <c r="AI60" i="18"/>
  <c r="AH60" i="18" s="1"/>
  <c r="AI92" i="18"/>
  <c r="AH92" i="18" s="1"/>
  <c r="AI124" i="18"/>
  <c r="AH124" i="18" s="1"/>
  <c r="AI21" i="18"/>
  <c r="AH21" i="18" s="1"/>
  <c r="AI53" i="18"/>
  <c r="AH53" i="18" s="1"/>
  <c r="AG53" i="18" s="1"/>
  <c r="AF53" i="18" s="1"/>
  <c r="AD53" i="18" s="1"/>
  <c r="AI85" i="18"/>
  <c r="AH85" i="18" s="1"/>
  <c r="AG85" i="18" s="1"/>
  <c r="AF85" i="18" s="1"/>
  <c r="AD85" i="18" s="1"/>
  <c r="AI117" i="18"/>
  <c r="AH117" i="18" s="1"/>
  <c r="AG117" i="18" s="1"/>
  <c r="AF117" i="18" s="1"/>
  <c r="AD117" i="18" s="1"/>
  <c r="AI149" i="18"/>
  <c r="AH149" i="18" s="1"/>
  <c r="AG149" i="18" s="1"/>
  <c r="AF149" i="18" s="1"/>
  <c r="AD149" i="18" s="1"/>
  <c r="AI181" i="18"/>
  <c r="AH181" i="18" s="1"/>
  <c r="AI213" i="18"/>
  <c r="AH213" i="18" s="1"/>
  <c r="AG213" i="18" s="1"/>
  <c r="AF213" i="18" s="1"/>
  <c r="AD213" i="18" s="1"/>
  <c r="U303" i="18"/>
  <c r="T303" i="18" s="1"/>
  <c r="S303" i="18" s="1"/>
  <c r="R303" i="18" s="1"/>
  <c r="P303" i="18" s="1"/>
  <c r="V303" i="18" s="1"/>
  <c r="B303" i="18" s="1"/>
  <c r="U287" i="18"/>
  <c r="T287" i="18" s="1"/>
  <c r="S287" i="18" s="1"/>
  <c r="R287" i="18" s="1"/>
  <c r="P287" i="18" s="1"/>
  <c r="V287" i="18" s="1"/>
  <c r="B287" i="18" s="1"/>
  <c r="U271" i="18"/>
  <c r="T271" i="18" s="1"/>
  <c r="S271" i="18" s="1"/>
  <c r="R271" i="18" s="1"/>
  <c r="P271" i="18" s="1"/>
  <c r="V271" i="18" s="1"/>
  <c r="B271" i="18" s="1"/>
  <c r="U255" i="18"/>
  <c r="T255" i="18" s="1"/>
  <c r="S255" i="18" s="1"/>
  <c r="R255" i="18" s="1"/>
  <c r="P255" i="18" s="1"/>
  <c r="V255" i="18" s="1"/>
  <c r="B255" i="18" s="1"/>
  <c r="U239" i="18"/>
  <c r="T239" i="18" s="1"/>
  <c r="S239" i="18" s="1"/>
  <c r="R239" i="18" s="1"/>
  <c r="P239" i="18" s="1"/>
  <c r="V239" i="18" s="1"/>
  <c r="B239" i="18" s="1"/>
  <c r="U223" i="18"/>
  <c r="T223" i="18" s="1"/>
  <c r="S223" i="18" s="1"/>
  <c r="R223" i="18" s="1"/>
  <c r="P223" i="18" s="1"/>
  <c r="V223" i="18" s="1"/>
  <c r="B223" i="18" s="1"/>
  <c r="U207" i="18"/>
  <c r="T207" i="18" s="1"/>
  <c r="S207" i="18" s="1"/>
  <c r="R207" i="18" s="1"/>
  <c r="P207" i="18" s="1"/>
  <c r="V207" i="18" s="1"/>
  <c r="B207" i="18" s="1"/>
  <c r="U191" i="18"/>
  <c r="T191" i="18" s="1"/>
  <c r="S191" i="18" s="1"/>
  <c r="R191" i="18" s="1"/>
  <c r="P191" i="18" s="1"/>
  <c r="V191" i="18" s="1"/>
  <c r="B191" i="18" s="1"/>
  <c r="U175" i="18"/>
  <c r="T175" i="18" s="1"/>
  <c r="S175" i="18" s="1"/>
  <c r="R175" i="18" s="1"/>
  <c r="P175" i="18" s="1"/>
  <c r="V175" i="18" s="1"/>
  <c r="B175" i="18" s="1"/>
  <c r="U159" i="18"/>
  <c r="T159" i="18" s="1"/>
  <c r="S159" i="18" s="1"/>
  <c r="R159" i="18" s="1"/>
  <c r="P159" i="18" s="1"/>
  <c r="V159" i="18" s="1"/>
  <c r="B159" i="18" s="1"/>
  <c r="U143" i="18"/>
  <c r="T143" i="18" s="1"/>
  <c r="S143" i="18" s="1"/>
  <c r="R143" i="18" s="1"/>
  <c r="P143" i="18" s="1"/>
  <c r="V143" i="18" s="1"/>
  <c r="B143" i="18" s="1"/>
  <c r="U127" i="18"/>
  <c r="T127" i="18" s="1"/>
  <c r="S127" i="18" s="1"/>
  <c r="R127" i="18" s="1"/>
  <c r="P127" i="18" s="1"/>
  <c r="V127" i="18" s="1"/>
  <c r="B127" i="18" s="1"/>
  <c r="U111" i="18"/>
  <c r="T111" i="18" s="1"/>
  <c r="S111" i="18" s="1"/>
  <c r="R111" i="18" s="1"/>
  <c r="P111" i="18" s="1"/>
  <c r="V111" i="18" s="1"/>
  <c r="B111" i="18" s="1"/>
  <c r="U95" i="18"/>
  <c r="T95" i="18" s="1"/>
  <c r="S95" i="18" s="1"/>
  <c r="R95" i="18" s="1"/>
  <c r="P95" i="18" s="1"/>
  <c r="V95" i="18" s="1"/>
  <c r="B95" i="18" s="1"/>
  <c r="U79" i="18"/>
  <c r="T79" i="18" s="1"/>
  <c r="S79" i="18" s="1"/>
  <c r="R79" i="18" s="1"/>
  <c r="P79" i="18" s="1"/>
  <c r="V79" i="18" s="1"/>
  <c r="B79" i="18" s="1"/>
  <c r="U63" i="18"/>
  <c r="T63" i="18" s="1"/>
  <c r="S63" i="18" s="1"/>
  <c r="R63" i="18" s="1"/>
  <c r="P63" i="18" s="1"/>
  <c r="V63" i="18" s="1"/>
  <c r="B63" i="18" s="1"/>
  <c r="U47" i="18"/>
  <c r="T47" i="18" s="1"/>
  <c r="S47" i="18" s="1"/>
  <c r="R47" i="18" s="1"/>
  <c r="P47" i="18" s="1"/>
  <c r="V47" i="18" s="1"/>
  <c r="B47" i="18" s="1"/>
  <c r="U31" i="18"/>
  <c r="T31" i="18" s="1"/>
  <c r="S31" i="18" s="1"/>
  <c r="R31" i="18" s="1"/>
  <c r="P31" i="18" s="1"/>
  <c r="V31" i="18" s="1"/>
  <c r="U18" i="18"/>
  <c r="T18" i="18" s="1"/>
  <c r="S18" i="18" s="1"/>
  <c r="R18" i="18" s="1"/>
  <c r="P18" i="18" s="1"/>
  <c r="V18" i="18" s="1"/>
  <c r="AI18" i="18"/>
  <c r="AH18" i="18" s="1"/>
  <c r="AG18" i="18" s="1"/>
  <c r="AF18" i="18" s="1"/>
  <c r="AD18" i="18" s="1"/>
  <c r="AI26" i="18"/>
  <c r="AH26" i="18" s="1"/>
  <c r="AI34" i="18"/>
  <c r="AH34" i="18" s="1"/>
  <c r="AI42" i="18"/>
  <c r="AH42" i="18" s="1"/>
  <c r="AI50" i="18"/>
  <c r="AH50" i="18" s="1"/>
  <c r="AI58" i="18"/>
  <c r="AH58" i="18" s="1"/>
  <c r="AI66" i="18"/>
  <c r="AH66" i="18" s="1"/>
  <c r="AI74" i="18"/>
  <c r="AH74" i="18" s="1"/>
  <c r="AI82" i="18"/>
  <c r="AH82" i="18" s="1"/>
  <c r="AI90" i="18"/>
  <c r="AH90" i="18" s="1"/>
  <c r="AI98" i="18"/>
  <c r="AH98" i="18" s="1"/>
  <c r="AI106" i="18"/>
  <c r="AH106" i="18" s="1"/>
  <c r="AI114" i="18"/>
  <c r="AH114" i="18" s="1"/>
  <c r="AI122" i="18"/>
  <c r="AH122" i="18" s="1"/>
  <c r="AI130" i="18"/>
  <c r="AH130" i="18" s="1"/>
  <c r="AI138" i="18"/>
  <c r="AH138" i="18" s="1"/>
  <c r="AI146" i="18"/>
  <c r="AH146" i="18" s="1"/>
  <c r="AI15" i="18"/>
  <c r="AH15" i="18" s="1"/>
  <c r="AG15" i="18" s="1"/>
  <c r="AI27" i="18"/>
  <c r="AH27" i="18" s="1"/>
  <c r="AG27" i="18" s="1"/>
  <c r="AF27" i="18" s="1"/>
  <c r="AD27" i="18" s="1"/>
  <c r="AI35" i="18"/>
  <c r="AH35" i="18" s="1"/>
  <c r="AG35" i="18" s="1"/>
  <c r="AF35" i="18" s="1"/>
  <c r="AD35" i="18" s="1"/>
  <c r="AI43" i="18"/>
  <c r="AH43" i="18" s="1"/>
  <c r="AG43" i="18" s="1"/>
  <c r="AF43" i="18" s="1"/>
  <c r="AD43" i="18" s="1"/>
  <c r="AI51" i="18"/>
  <c r="AH51" i="18" s="1"/>
  <c r="AG51" i="18" s="1"/>
  <c r="AF51" i="18" s="1"/>
  <c r="AD51" i="18" s="1"/>
  <c r="AI59" i="18"/>
  <c r="AH59" i="18" s="1"/>
  <c r="AG59" i="18" s="1"/>
  <c r="AF59" i="18" s="1"/>
  <c r="AD59" i="18" s="1"/>
  <c r="AI67" i="18"/>
  <c r="AH67" i="18" s="1"/>
  <c r="AG67" i="18" s="1"/>
  <c r="AF67" i="18" s="1"/>
  <c r="AD67" i="18" s="1"/>
  <c r="AI75" i="18"/>
  <c r="AH75" i="18" s="1"/>
  <c r="AG75" i="18" s="1"/>
  <c r="AF75" i="18" s="1"/>
  <c r="AD75" i="18" s="1"/>
  <c r="AI83" i="18"/>
  <c r="AH83" i="18" s="1"/>
  <c r="AG83" i="18" s="1"/>
  <c r="AF83" i="18" s="1"/>
  <c r="AD83" i="18" s="1"/>
  <c r="AI91" i="18"/>
  <c r="AH91" i="18" s="1"/>
  <c r="AG91" i="18" s="1"/>
  <c r="AF91" i="18" s="1"/>
  <c r="AD91" i="18" s="1"/>
  <c r="AI99" i="18"/>
  <c r="AH99" i="18" s="1"/>
  <c r="AG99" i="18" s="1"/>
  <c r="AF99" i="18" s="1"/>
  <c r="AD99" i="18" s="1"/>
  <c r="AI107" i="18"/>
  <c r="AH107" i="18" s="1"/>
  <c r="AG107" i="18" s="1"/>
  <c r="AF107" i="18" s="1"/>
  <c r="AD107" i="18" s="1"/>
  <c r="AI115" i="18"/>
  <c r="AH115" i="18" s="1"/>
  <c r="AG115" i="18" s="1"/>
  <c r="AF115" i="18" s="1"/>
  <c r="AD115" i="18" s="1"/>
  <c r="AI123" i="18"/>
  <c r="AH123" i="18" s="1"/>
  <c r="AG123" i="18" s="1"/>
  <c r="AF123" i="18" s="1"/>
  <c r="AD123" i="18" s="1"/>
  <c r="AI131" i="18"/>
  <c r="AH131" i="18" s="1"/>
  <c r="AG131" i="18" s="1"/>
  <c r="AF131" i="18" s="1"/>
  <c r="AD131" i="18" s="1"/>
  <c r="AI139" i="18"/>
  <c r="AH139" i="18" s="1"/>
  <c r="AG139" i="18" s="1"/>
  <c r="AF139" i="18" s="1"/>
  <c r="AD139" i="18" s="1"/>
  <c r="AI147" i="18"/>
  <c r="AH147" i="18" s="1"/>
  <c r="AG147" i="18" s="1"/>
  <c r="AF147" i="18" s="1"/>
  <c r="AD147" i="18" s="1"/>
  <c r="AI155" i="18"/>
  <c r="AH155" i="18" s="1"/>
  <c r="AG155" i="18" s="1"/>
  <c r="AF155" i="18" s="1"/>
  <c r="AD155" i="18" s="1"/>
  <c r="AI163" i="18"/>
  <c r="AH163" i="18" s="1"/>
  <c r="AG163" i="18" s="1"/>
  <c r="AF163" i="18" s="1"/>
  <c r="AD163" i="18" s="1"/>
  <c r="AI171" i="18"/>
  <c r="AH171" i="18" s="1"/>
  <c r="AG171" i="18" s="1"/>
  <c r="AF171" i="18" s="1"/>
  <c r="AD171" i="18" s="1"/>
  <c r="AI179" i="18"/>
  <c r="AH179" i="18" s="1"/>
  <c r="AG179" i="18" s="1"/>
  <c r="AF179" i="18" s="1"/>
  <c r="AD179" i="18" s="1"/>
  <c r="AI187" i="18"/>
  <c r="AH187" i="18" s="1"/>
  <c r="AG187" i="18" s="1"/>
  <c r="AF187" i="18" s="1"/>
  <c r="AD187" i="18" s="1"/>
  <c r="AI195" i="18"/>
  <c r="AH195" i="18" s="1"/>
  <c r="AG195" i="18" s="1"/>
  <c r="AF195" i="18" s="1"/>
  <c r="AD195" i="18" s="1"/>
  <c r="AI203" i="18"/>
  <c r="AH203" i="18" s="1"/>
  <c r="AG203" i="18" s="1"/>
  <c r="AF203" i="18" s="1"/>
  <c r="AD203" i="18" s="1"/>
  <c r="AI211" i="18"/>
  <c r="AH211" i="18" s="1"/>
  <c r="AG211" i="18" s="1"/>
  <c r="AF211" i="18" s="1"/>
  <c r="AD211" i="18" s="1"/>
  <c r="AI219" i="18"/>
  <c r="AH219" i="18" s="1"/>
  <c r="AG219" i="18" s="1"/>
  <c r="AF219" i="18" s="1"/>
  <c r="AD219" i="18" s="1"/>
  <c r="AI227" i="18"/>
  <c r="AH227" i="18" s="1"/>
  <c r="AG227" i="18" s="1"/>
  <c r="AF227" i="18" s="1"/>
  <c r="AD227" i="18" s="1"/>
  <c r="AI235" i="18"/>
  <c r="AH235" i="18" s="1"/>
  <c r="AG235" i="18" s="1"/>
  <c r="AF235" i="18" s="1"/>
  <c r="AD235" i="18" s="1"/>
  <c r="AI243" i="18"/>
  <c r="AH243" i="18" s="1"/>
  <c r="AG243" i="18" s="1"/>
  <c r="AF243" i="18" s="1"/>
  <c r="AD243" i="18" s="1"/>
  <c r="AI251" i="18"/>
  <c r="AH251" i="18" s="1"/>
  <c r="AG251" i="18" s="1"/>
  <c r="AF251" i="18" s="1"/>
  <c r="AD251" i="18" s="1"/>
  <c r="AI259" i="18"/>
  <c r="AH259" i="18" s="1"/>
  <c r="AG259" i="18" s="1"/>
  <c r="AF259" i="18" s="1"/>
  <c r="AD259" i="18" s="1"/>
  <c r="AI267" i="18"/>
  <c r="AH267" i="18" s="1"/>
  <c r="U67" i="18"/>
  <c r="T67" i="18" s="1"/>
  <c r="S67" i="18" s="1"/>
  <c r="R67" i="18" s="1"/>
  <c r="P67" i="18" s="1"/>
  <c r="V67" i="18" s="1"/>
  <c r="B67" i="18" s="1"/>
  <c r="U99" i="18"/>
  <c r="T99" i="18" s="1"/>
  <c r="S99" i="18" s="1"/>
  <c r="R99" i="18" s="1"/>
  <c r="P99" i="18" s="1"/>
  <c r="V99" i="18" s="1"/>
  <c r="B99" i="18" s="1"/>
  <c r="U131" i="18"/>
  <c r="T131" i="18" s="1"/>
  <c r="S131" i="18" s="1"/>
  <c r="R131" i="18" s="1"/>
  <c r="P131" i="18" s="1"/>
  <c r="V131" i="18" s="1"/>
  <c r="B131" i="18" s="1"/>
  <c r="U163" i="18"/>
  <c r="T163" i="18" s="1"/>
  <c r="S163" i="18" s="1"/>
  <c r="R163" i="18" s="1"/>
  <c r="P163" i="18" s="1"/>
  <c r="V163" i="18" s="1"/>
  <c r="B163" i="18" s="1"/>
  <c r="U195" i="18"/>
  <c r="T195" i="18" s="1"/>
  <c r="S195" i="18" s="1"/>
  <c r="R195" i="18" s="1"/>
  <c r="P195" i="18" s="1"/>
  <c r="V195" i="18" s="1"/>
  <c r="B195" i="18" s="1"/>
  <c r="U227" i="18"/>
  <c r="T227" i="18" s="1"/>
  <c r="S227" i="18" s="1"/>
  <c r="R227" i="18" s="1"/>
  <c r="P227" i="18" s="1"/>
  <c r="V227" i="18" s="1"/>
  <c r="B227" i="18" s="1"/>
  <c r="U259" i="18"/>
  <c r="T259" i="18" s="1"/>
  <c r="S259" i="18" s="1"/>
  <c r="R259" i="18" s="1"/>
  <c r="P259" i="18" s="1"/>
  <c r="V259" i="18" s="1"/>
  <c r="B259" i="18" s="1"/>
  <c r="U291" i="18"/>
  <c r="T291" i="18" s="1"/>
  <c r="S291" i="18" s="1"/>
  <c r="R291" i="18" s="1"/>
  <c r="P291" i="18" s="1"/>
  <c r="V291" i="18" s="1"/>
  <c r="B291" i="18" s="1"/>
  <c r="U323" i="18"/>
  <c r="T323" i="18" s="1"/>
  <c r="S323" i="18" s="1"/>
  <c r="R323" i="18" s="1"/>
  <c r="P323" i="18" s="1"/>
  <c r="V323" i="18" s="1"/>
  <c r="B323" i="18" s="1"/>
  <c r="U354" i="18"/>
  <c r="T354" i="18" s="1"/>
  <c r="S354" i="18" s="1"/>
  <c r="R354" i="18" s="1"/>
  <c r="P354" i="18" s="1"/>
  <c r="V354" i="18" s="1"/>
  <c r="B354" i="18" s="1"/>
  <c r="U370" i="18"/>
  <c r="T370" i="18" s="1"/>
  <c r="S370" i="18" s="1"/>
  <c r="R370" i="18" s="1"/>
  <c r="P370" i="18" s="1"/>
  <c r="V370" i="18" s="1"/>
  <c r="B370" i="18" s="1"/>
  <c r="U346" i="18"/>
  <c r="T346" i="18" s="1"/>
  <c r="S346" i="18" s="1"/>
  <c r="R346" i="18" s="1"/>
  <c r="P346" i="18" s="1"/>
  <c r="V346" i="18" s="1"/>
  <c r="B346" i="18" s="1"/>
  <c r="U330" i="18"/>
  <c r="T330" i="18" s="1"/>
  <c r="S330" i="18" s="1"/>
  <c r="R330" i="18" s="1"/>
  <c r="P330" i="18" s="1"/>
  <c r="V330" i="18" s="1"/>
  <c r="B330" i="18" s="1"/>
  <c r="U314" i="18"/>
  <c r="T314" i="18" s="1"/>
  <c r="S314" i="18" s="1"/>
  <c r="R314" i="18" s="1"/>
  <c r="P314" i="18" s="1"/>
  <c r="V314" i="18" s="1"/>
  <c r="B314" i="18" s="1"/>
  <c r="U298" i="18"/>
  <c r="T298" i="18" s="1"/>
  <c r="S298" i="18" s="1"/>
  <c r="R298" i="18" s="1"/>
  <c r="P298" i="18" s="1"/>
  <c r="V298" i="18" s="1"/>
  <c r="B298" i="18" s="1"/>
  <c r="U282" i="18"/>
  <c r="T282" i="18" s="1"/>
  <c r="S282" i="18" s="1"/>
  <c r="R282" i="18" s="1"/>
  <c r="P282" i="18" s="1"/>
  <c r="V282" i="18" s="1"/>
  <c r="B282" i="18" s="1"/>
  <c r="U266" i="18"/>
  <c r="T266" i="18" s="1"/>
  <c r="S266" i="18" s="1"/>
  <c r="R266" i="18" s="1"/>
  <c r="P266" i="18" s="1"/>
  <c r="V266" i="18" s="1"/>
  <c r="B266" i="18" s="1"/>
  <c r="U250" i="18"/>
  <c r="T250" i="18" s="1"/>
  <c r="S250" i="18" s="1"/>
  <c r="R250" i="18" s="1"/>
  <c r="P250" i="18" s="1"/>
  <c r="V250" i="18" s="1"/>
  <c r="B250" i="18" s="1"/>
  <c r="U234" i="18"/>
  <c r="T234" i="18" s="1"/>
  <c r="S234" i="18" s="1"/>
  <c r="R234" i="18" s="1"/>
  <c r="P234" i="18" s="1"/>
  <c r="V234" i="18" s="1"/>
  <c r="B234" i="18" s="1"/>
  <c r="U218" i="18"/>
  <c r="T218" i="18" s="1"/>
  <c r="S218" i="18" s="1"/>
  <c r="R218" i="18" s="1"/>
  <c r="P218" i="18" s="1"/>
  <c r="V218" i="18" s="1"/>
  <c r="B218" i="18" s="1"/>
  <c r="U202" i="18"/>
  <c r="T202" i="18" s="1"/>
  <c r="S202" i="18" s="1"/>
  <c r="R202" i="18" s="1"/>
  <c r="P202" i="18" s="1"/>
  <c r="V202" i="18" s="1"/>
  <c r="B202" i="18" s="1"/>
  <c r="U186" i="18"/>
  <c r="T186" i="18" s="1"/>
  <c r="S186" i="18" s="1"/>
  <c r="R186" i="18" s="1"/>
  <c r="P186" i="18" s="1"/>
  <c r="V186" i="18" s="1"/>
  <c r="B186" i="18" s="1"/>
  <c r="U170" i="18"/>
  <c r="T170" i="18" s="1"/>
  <c r="S170" i="18" s="1"/>
  <c r="R170" i="18" s="1"/>
  <c r="P170" i="18" s="1"/>
  <c r="V170" i="18" s="1"/>
  <c r="B170" i="18" s="1"/>
  <c r="U154" i="18"/>
  <c r="T154" i="18" s="1"/>
  <c r="S154" i="18" s="1"/>
  <c r="R154" i="18" s="1"/>
  <c r="P154" i="18" s="1"/>
  <c r="V154" i="18" s="1"/>
  <c r="B154" i="18" s="1"/>
  <c r="U138" i="18"/>
  <c r="T138" i="18" s="1"/>
  <c r="S138" i="18" s="1"/>
  <c r="R138" i="18" s="1"/>
  <c r="P138" i="18" s="1"/>
  <c r="V138" i="18" s="1"/>
  <c r="B138" i="18" s="1"/>
  <c r="U122" i="18"/>
  <c r="T122" i="18" s="1"/>
  <c r="S122" i="18" s="1"/>
  <c r="R122" i="18" s="1"/>
  <c r="P122" i="18" s="1"/>
  <c r="V122" i="18" s="1"/>
  <c r="B122" i="18" s="1"/>
  <c r="U106" i="18"/>
  <c r="T106" i="18" s="1"/>
  <c r="S106" i="18" s="1"/>
  <c r="R106" i="18" s="1"/>
  <c r="P106" i="18" s="1"/>
  <c r="V106" i="18" s="1"/>
  <c r="B106" i="18" s="1"/>
  <c r="U90" i="18"/>
  <c r="T90" i="18" s="1"/>
  <c r="S90" i="18" s="1"/>
  <c r="R90" i="18" s="1"/>
  <c r="P90" i="18" s="1"/>
  <c r="V90" i="18" s="1"/>
  <c r="B90" i="18" s="1"/>
  <c r="U74" i="18"/>
  <c r="T74" i="18" s="1"/>
  <c r="S74" i="18" s="1"/>
  <c r="R74" i="18" s="1"/>
  <c r="P74" i="18" s="1"/>
  <c r="V74" i="18" s="1"/>
  <c r="B74" i="18" s="1"/>
  <c r="U58" i="18"/>
  <c r="T58" i="18" s="1"/>
  <c r="S58" i="18" s="1"/>
  <c r="R58" i="18" s="1"/>
  <c r="P58" i="18" s="1"/>
  <c r="V58" i="18" s="1"/>
  <c r="B58" i="18" s="1"/>
  <c r="U42" i="18"/>
  <c r="T42" i="18" s="1"/>
  <c r="S42" i="18" s="1"/>
  <c r="R42" i="18" s="1"/>
  <c r="P42" i="18" s="1"/>
  <c r="V42" i="18" s="1"/>
  <c r="B42" i="18" s="1"/>
  <c r="U26" i="18"/>
  <c r="T26" i="18" s="1"/>
  <c r="S26" i="18" s="1"/>
  <c r="R26" i="18" s="1"/>
  <c r="P26" i="18" s="1"/>
  <c r="V26" i="18" s="1"/>
  <c r="U41" i="18"/>
  <c r="T41" i="18" s="1"/>
  <c r="S41" i="18" s="1"/>
  <c r="R41" i="18" s="1"/>
  <c r="P41" i="18" s="1"/>
  <c r="V41" i="18" s="1"/>
  <c r="B41" i="18" s="1"/>
  <c r="U105" i="18"/>
  <c r="T105" i="18" s="1"/>
  <c r="S105" i="18" s="1"/>
  <c r="R105" i="18" s="1"/>
  <c r="P105" i="18" s="1"/>
  <c r="V105" i="18" s="1"/>
  <c r="B105" i="18" s="1"/>
  <c r="U169" i="18"/>
  <c r="T169" i="18" s="1"/>
  <c r="S169" i="18" s="1"/>
  <c r="R169" i="18" s="1"/>
  <c r="P169" i="18" s="1"/>
  <c r="V169" i="18" s="1"/>
  <c r="B169" i="18" s="1"/>
  <c r="U233" i="18"/>
  <c r="T233" i="18" s="1"/>
  <c r="S233" i="18" s="1"/>
  <c r="R233" i="18" s="1"/>
  <c r="P233" i="18" s="1"/>
  <c r="V233" i="18" s="1"/>
  <c r="B233" i="18" s="1"/>
  <c r="U297" i="18"/>
  <c r="T297" i="18" s="1"/>
  <c r="U357" i="18"/>
  <c r="T357" i="18" s="1"/>
  <c r="S357" i="18" s="1"/>
  <c r="R357" i="18" s="1"/>
  <c r="P357" i="18" s="1"/>
  <c r="V357" i="18" s="1"/>
  <c r="B357" i="18" s="1"/>
  <c r="U53" i="18"/>
  <c r="T53" i="18" s="1"/>
  <c r="S53" i="18" s="1"/>
  <c r="R53" i="18" s="1"/>
  <c r="P53" i="18" s="1"/>
  <c r="V53" i="18" s="1"/>
  <c r="B53" i="18" s="1"/>
  <c r="U181" i="18"/>
  <c r="T181" i="18" s="1"/>
  <c r="S181" i="18" s="1"/>
  <c r="R181" i="18" s="1"/>
  <c r="P181" i="18" s="1"/>
  <c r="V181" i="18" s="1"/>
  <c r="B181" i="18" s="1"/>
  <c r="U309" i="18"/>
  <c r="T309" i="18" s="1"/>
  <c r="S309" i="18" s="1"/>
  <c r="R309" i="18" s="1"/>
  <c r="P309" i="18" s="1"/>
  <c r="V309" i="18" s="1"/>
  <c r="B309" i="18" s="1"/>
  <c r="U25" i="18"/>
  <c r="T25" i="18" s="1"/>
  <c r="S25" i="18" s="1"/>
  <c r="R25" i="18" s="1"/>
  <c r="P25" i="18" s="1"/>
  <c r="V25" i="18" s="1"/>
  <c r="U85" i="18"/>
  <c r="T85" i="18" s="1"/>
  <c r="S85" i="18" s="1"/>
  <c r="R85" i="18" s="1"/>
  <c r="P85" i="18" s="1"/>
  <c r="V85" i="18" s="1"/>
  <c r="B85" i="18" s="1"/>
  <c r="U313" i="18"/>
  <c r="T313" i="18" s="1"/>
  <c r="S313" i="18" s="1"/>
  <c r="R313" i="18" s="1"/>
  <c r="P313" i="18" s="1"/>
  <c r="V313" i="18" s="1"/>
  <c r="B313" i="18" s="1"/>
  <c r="AI36" i="18"/>
  <c r="AH36" i="18" s="1"/>
  <c r="AI52" i="18"/>
  <c r="AH52" i="18" s="1"/>
  <c r="AI68" i="18"/>
  <c r="AH68" i="18" s="1"/>
  <c r="AI84" i="18"/>
  <c r="AH84" i="18" s="1"/>
  <c r="AI100" i="18"/>
  <c r="AH100" i="18" s="1"/>
  <c r="AI116" i="18"/>
  <c r="AH116" i="18" s="1"/>
  <c r="AI132" i="18"/>
  <c r="AH132" i="18" s="1"/>
  <c r="AI148" i="18"/>
  <c r="AH148" i="18" s="1"/>
  <c r="AI29" i="18"/>
  <c r="AH29" i="18" s="1"/>
  <c r="AG29" i="18" s="1"/>
  <c r="AF29" i="18" s="1"/>
  <c r="AD29" i="18" s="1"/>
  <c r="AI45" i="18"/>
  <c r="AH45" i="18" s="1"/>
  <c r="AG45" i="18" s="1"/>
  <c r="AF45" i="18" s="1"/>
  <c r="AD45" i="18" s="1"/>
  <c r="AI61" i="18"/>
  <c r="AH61" i="18" s="1"/>
  <c r="AG61" i="18" s="1"/>
  <c r="AF61" i="18" s="1"/>
  <c r="AD61" i="18" s="1"/>
  <c r="AI77" i="18"/>
  <c r="AH77" i="18" s="1"/>
  <c r="AI93" i="18"/>
  <c r="AH93" i="18" s="1"/>
  <c r="AG93" i="18" s="1"/>
  <c r="AF93" i="18" s="1"/>
  <c r="AD93" i="18" s="1"/>
  <c r="AI109" i="18"/>
  <c r="AH109" i="18" s="1"/>
  <c r="AG109" i="18" s="1"/>
  <c r="AF109" i="18" s="1"/>
  <c r="AD109" i="18" s="1"/>
  <c r="AI125" i="18"/>
  <c r="AH125" i="18" s="1"/>
  <c r="AG125" i="18" s="1"/>
  <c r="AF125" i="18" s="1"/>
  <c r="AD125" i="18" s="1"/>
  <c r="AI141" i="18"/>
  <c r="AH141" i="18" s="1"/>
  <c r="AG141" i="18" s="1"/>
  <c r="AF141" i="18" s="1"/>
  <c r="AD141" i="18" s="1"/>
  <c r="AI157" i="18"/>
  <c r="AH157" i="18" s="1"/>
  <c r="AG157" i="18" s="1"/>
  <c r="AF157" i="18" s="1"/>
  <c r="AD157" i="18" s="1"/>
  <c r="AI173" i="18"/>
  <c r="AH173" i="18" s="1"/>
  <c r="AG173" i="18" s="1"/>
  <c r="AF173" i="18" s="1"/>
  <c r="AD173" i="18" s="1"/>
  <c r="AI189" i="18"/>
  <c r="AH189" i="18" s="1"/>
  <c r="AG189" i="18" s="1"/>
  <c r="AF189" i="18" s="1"/>
  <c r="AD189" i="18" s="1"/>
  <c r="AI205" i="18"/>
  <c r="AH205" i="18" s="1"/>
  <c r="AG205" i="18" s="1"/>
  <c r="AF205" i="18" s="1"/>
  <c r="AD205" i="18" s="1"/>
  <c r="M64" i="19"/>
  <c r="U19" i="18"/>
  <c r="T19" i="18" s="1"/>
  <c r="S19" i="18" s="1"/>
  <c r="R19" i="18" s="1"/>
  <c r="P19" i="18" s="1"/>
  <c r="V19" i="18" s="1"/>
  <c r="U341" i="18"/>
  <c r="T341" i="18" s="1"/>
  <c r="S341" i="18" s="1"/>
  <c r="R341" i="18" s="1"/>
  <c r="P341" i="18" s="1"/>
  <c r="V341" i="18" s="1"/>
  <c r="B341" i="18" s="1"/>
  <c r="AI20" i="18"/>
  <c r="AH20" i="18" s="1"/>
  <c r="U149" i="18"/>
  <c r="T149" i="18" s="1"/>
  <c r="S149" i="18" s="1"/>
  <c r="R149" i="18" s="1"/>
  <c r="P149" i="18" s="1"/>
  <c r="U249" i="18"/>
  <c r="T249" i="18" s="1"/>
  <c r="U121" i="18"/>
  <c r="T121" i="18" s="1"/>
  <c r="S121" i="18" s="1"/>
  <c r="R121" i="18" s="1"/>
  <c r="P121" i="18" s="1"/>
  <c r="V121" i="18" s="1"/>
  <c r="B121" i="18" s="1"/>
  <c r="U15" i="18"/>
  <c r="U46" i="18"/>
  <c r="T46" i="18" s="1"/>
  <c r="S46" i="18" s="1"/>
  <c r="R46" i="18" s="1"/>
  <c r="P46" i="18" s="1"/>
  <c r="V46" i="18" s="1"/>
  <c r="B46" i="18" s="1"/>
  <c r="U78" i="18"/>
  <c r="T78" i="18" s="1"/>
  <c r="S78" i="18" s="1"/>
  <c r="R78" i="18" s="1"/>
  <c r="P78" i="18" s="1"/>
  <c r="V78" i="18" s="1"/>
  <c r="B78" i="18" s="1"/>
  <c r="U110" i="18"/>
  <c r="T110" i="18" s="1"/>
  <c r="S110" i="18" s="1"/>
  <c r="R110" i="18" s="1"/>
  <c r="P110" i="18" s="1"/>
  <c r="V110" i="18" s="1"/>
  <c r="B110" i="18" s="1"/>
  <c r="U142" i="18"/>
  <c r="T142" i="18" s="1"/>
  <c r="S142" i="18" s="1"/>
  <c r="R142" i="18" s="1"/>
  <c r="P142" i="18" s="1"/>
  <c r="V142" i="18" s="1"/>
  <c r="B142" i="18" s="1"/>
  <c r="U174" i="18"/>
  <c r="T174" i="18" s="1"/>
  <c r="S174" i="18" s="1"/>
  <c r="R174" i="18" s="1"/>
  <c r="P174" i="18" s="1"/>
  <c r="V174" i="18" s="1"/>
  <c r="B174" i="18" s="1"/>
  <c r="U206" i="18"/>
  <c r="T206" i="18" s="1"/>
  <c r="S206" i="18" s="1"/>
  <c r="R206" i="18" s="1"/>
  <c r="P206" i="18" s="1"/>
  <c r="V206" i="18" s="1"/>
  <c r="B206" i="18" s="1"/>
  <c r="U238" i="18"/>
  <c r="T238" i="18" s="1"/>
  <c r="S238" i="18" s="1"/>
  <c r="R238" i="18" s="1"/>
  <c r="P238" i="18" s="1"/>
  <c r="V238" i="18" s="1"/>
  <c r="B238" i="18" s="1"/>
  <c r="U270" i="18"/>
  <c r="T270" i="18" s="1"/>
  <c r="S270" i="18" s="1"/>
  <c r="R270" i="18" s="1"/>
  <c r="P270" i="18" s="1"/>
  <c r="V270" i="18" s="1"/>
  <c r="B270" i="18" s="1"/>
  <c r="U302" i="18"/>
  <c r="T302" i="18" s="1"/>
  <c r="S302" i="18" s="1"/>
  <c r="R302" i="18" s="1"/>
  <c r="P302" i="18" s="1"/>
  <c r="U334" i="18"/>
  <c r="T334" i="18" s="1"/>
  <c r="S334" i="18" s="1"/>
  <c r="R334" i="18" s="1"/>
  <c r="P334" i="18" s="1"/>
  <c r="V334" i="18" s="1"/>
  <c r="B334" i="18" s="1"/>
  <c r="U366" i="18"/>
  <c r="T366" i="18" s="1"/>
  <c r="S366" i="18" s="1"/>
  <c r="R366" i="18" s="1"/>
  <c r="P366" i="18" s="1"/>
  <c r="V366" i="18" s="1"/>
  <c r="B366" i="18" s="1"/>
  <c r="U315" i="18"/>
  <c r="T315" i="18" s="1"/>
  <c r="S315" i="18" s="1"/>
  <c r="R315" i="18" s="1"/>
  <c r="P315" i="18" s="1"/>
  <c r="V315" i="18" s="1"/>
  <c r="B315" i="18" s="1"/>
  <c r="U251" i="18"/>
  <c r="T251" i="18" s="1"/>
  <c r="S251" i="18" s="1"/>
  <c r="R251" i="18" s="1"/>
  <c r="P251" i="18" s="1"/>
  <c r="V251" i="18" s="1"/>
  <c r="B251" i="18" s="1"/>
  <c r="U187" i="18"/>
  <c r="T187" i="18" s="1"/>
  <c r="S187" i="18" s="1"/>
  <c r="R187" i="18" s="1"/>
  <c r="P187" i="18" s="1"/>
  <c r="V187" i="18" s="1"/>
  <c r="B187" i="18" s="1"/>
  <c r="U123" i="18"/>
  <c r="T123" i="18" s="1"/>
  <c r="S123" i="18" s="1"/>
  <c r="R123" i="18" s="1"/>
  <c r="P123" i="18" s="1"/>
  <c r="V123" i="18" s="1"/>
  <c r="B123" i="18" s="1"/>
  <c r="U59" i="18"/>
  <c r="T59" i="18" s="1"/>
  <c r="S59" i="18" s="1"/>
  <c r="R59" i="18" s="1"/>
  <c r="P59" i="18" s="1"/>
  <c r="V59" i="18" s="1"/>
  <c r="B59" i="18" s="1"/>
  <c r="AI19" i="18"/>
  <c r="AH19" i="18" s="1"/>
  <c r="AI32" i="18"/>
  <c r="AH32" i="18" s="1"/>
  <c r="AI48" i="18"/>
  <c r="AH48" i="18" s="1"/>
  <c r="AI64" i="18"/>
  <c r="AH64" i="18" s="1"/>
  <c r="AI80" i="18"/>
  <c r="AH80" i="18" s="1"/>
  <c r="AI96" i="18"/>
  <c r="AH96" i="18" s="1"/>
  <c r="AI112" i="18"/>
  <c r="AH112" i="18" s="1"/>
  <c r="AI128" i="18"/>
  <c r="AH128" i="18" s="1"/>
  <c r="AI144" i="18"/>
  <c r="AH144" i="18" s="1"/>
  <c r="AI25" i="18"/>
  <c r="AH25" i="18" s="1"/>
  <c r="AI41" i="18"/>
  <c r="AH41" i="18" s="1"/>
  <c r="AI57" i="18"/>
  <c r="AH57" i="18" s="1"/>
  <c r="AG57" i="18" s="1"/>
  <c r="AF57" i="18" s="1"/>
  <c r="AD57" i="18" s="1"/>
  <c r="AI73" i="18"/>
  <c r="AH73" i="18" s="1"/>
  <c r="AG73" i="18" s="1"/>
  <c r="AF73" i="18" s="1"/>
  <c r="AD73" i="18" s="1"/>
  <c r="AI89" i="18"/>
  <c r="AH89" i="18" s="1"/>
  <c r="AG89" i="18" s="1"/>
  <c r="AF89" i="18" s="1"/>
  <c r="AD89" i="18" s="1"/>
  <c r="AI105" i="18"/>
  <c r="AH105" i="18" s="1"/>
  <c r="AG105" i="18" s="1"/>
  <c r="AF105" i="18" s="1"/>
  <c r="AD105" i="18" s="1"/>
  <c r="AI121" i="18"/>
  <c r="AH121" i="18" s="1"/>
  <c r="AI137" i="18"/>
  <c r="AH137" i="18" s="1"/>
  <c r="AG137" i="18" s="1"/>
  <c r="AF137" i="18" s="1"/>
  <c r="AD137" i="18" s="1"/>
  <c r="AI153" i="18"/>
  <c r="AH153" i="18" s="1"/>
  <c r="AG153" i="18" s="1"/>
  <c r="AF153" i="18" s="1"/>
  <c r="AD153" i="18" s="1"/>
  <c r="AI169" i="18"/>
  <c r="AH169" i="18" s="1"/>
  <c r="AG169" i="18" s="1"/>
  <c r="AF169" i="18" s="1"/>
  <c r="AD169" i="18" s="1"/>
  <c r="AI185" i="18"/>
  <c r="AH185" i="18" s="1"/>
  <c r="AG185" i="18" s="1"/>
  <c r="AF185" i="18" s="1"/>
  <c r="AD185" i="18" s="1"/>
  <c r="AI201" i="18"/>
  <c r="AH201" i="18" s="1"/>
  <c r="AG201" i="18" s="1"/>
  <c r="AF201" i="18" s="1"/>
  <c r="AD201" i="18" s="1"/>
  <c r="AI217" i="18"/>
  <c r="AH217" i="18" s="1"/>
  <c r="AG217" i="18" s="1"/>
  <c r="AF217" i="18" s="1"/>
  <c r="AD217" i="18" s="1"/>
  <c r="AI233" i="18"/>
  <c r="AH233" i="18" s="1"/>
  <c r="AG233" i="18" s="1"/>
  <c r="AF233" i="18" s="1"/>
  <c r="AD233" i="18" s="1"/>
  <c r="AI241" i="18"/>
  <c r="AH241" i="18" s="1"/>
  <c r="AG241" i="18" s="1"/>
  <c r="AF241" i="18" s="1"/>
  <c r="AD241" i="18" s="1"/>
  <c r="AI249" i="18"/>
  <c r="AH249" i="18" s="1"/>
  <c r="AG249" i="18" s="1"/>
  <c r="AF249" i="18" s="1"/>
  <c r="AD249" i="18" s="1"/>
  <c r="AI257" i="18"/>
  <c r="AH257" i="18" s="1"/>
  <c r="AG257" i="18" s="1"/>
  <c r="AF257" i="18" s="1"/>
  <c r="AD257" i="18" s="1"/>
  <c r="AI265" i="18"/>
  <c r="AH265" i="18" s="1"/>
  <c r="AI271" i="18"/>
  <c r="AH271" i="18" s="1"/>
  <c r="AG271" i="18" s="1"/>
  <c r="AF271" i="18" s="1"/>
  <c r="AD271" i="18" s="1"/>
  <c r="AI275" i="18"/>
  <c r="AH275" i="18" s="1"/>
  <c r="AG275" i="18" s="1"/>
  <c r="AF275" i="18" s="1"/>
  <c r="AD275" i="18" s="1"/>
  <c r="AI279" i="18"/>
  <c r="AH279" i="18" s="1"/>
  <c r="AG279" i="18" s="1"/>
  <c r="AF279" i="18" s="1"/>
  <c r="AD279" i="18" s="1"/>
  <c r="AI283" i="18"/>
  <c r="AH283" i="18" s="1"/>
  <c r="AG283" i="18" s="1"/>
  <c r="AF283" i="18" s="1"/>
  <c r="AD283" i="18" s="1"/>
  <c r="AI287" i="18"/>
  <c r="AH287" i="18" s="1"/>
  <c r="AG287" i="18" s="1"/>
  <c r="AF287" i="18" s="1"/>
  <c r="AD287" i="18" s="1"/>
  <c r="AI291" i="18"/>
  <c r="AH291" i="18" s="1"/>
  <c r="AG291" i="18" s="1"/>
  <c r="AF291" i="18" s="1"/>
  <c r="AD291" i="18" s="1"/>
  <c r="AI295" i="18"/>
  <c r="AH295" i="18" s="1"/>
  <c r="AI299" i="18"/>
  <c r="AH299" i="18" s="1"/>
  <c r="AG299" i="18" s="1"/>
  <c r="AF299" i="18" s="1"/>
  <c r="AD299" i="18" s="1"/>
  <c r="AI303" i="18"/>
  <c r="AH303" i="18" s="1"/>
  <c r="AG303" i="18" s="1"/>
  <c r="AF303" i="18" s="1"/>
  <c r="AD303" i="18" s="1"/>
  <c r="AI307" i="18"/>
  <c r="AH307" i="18" s="1"/>
  <c r="AG307" i="18" s="1"/>
  <c r="AF307" i="18" s="1"/>
  <c r="AD307" i="18" s="1"/>
  <c r="AI311" i="18"/>
  <c r="AH311" i="18" s="1"/>
  <c r="AI315" i="18"/>
  <c r="AH315" i="18" s="1"/>
  <c r="AG315" i="18" s="1"/>
  <c r="AF315" i="18" s="1"/>
  <c r="AD315" i="18" s="1"/>
  <c r="AI319" i="18"/>
  <c r="AH319" i="18" s="1"/>
  <c r="AG319" i="18" s="1"/>
  <c r="AF319" i="18" s="1"/>
  <c r="AD319" i="18" s="1"/>
  <c r="AI323" i="18"/>
  <c r="AH323" i="18" s="1"/>
  <c r="AG323" i="18" s="1"/>
  <c r="AF323" i="18" s="1"/>
  <c r="AD323" i="18" s="1"/>
  <c r="AI327" i="18"/>
  <c r="AH327" i="18" s="1"/>
  <c r="AG327" i="18" s="1"/>
  <c r="AF327" i="18" s="1"/>
  <c r="AD327" i="18" s="1"/>
  <c r="AI331" i="18"/>
  <c r="AH331" i="18" s="1"/>
  <c r="AG331" i="18" s="1"/>
  <c r="AF331" i="18" s="1"/>
  <c r="AD331" i="18" s="1"/>
  <c r="AI335" i="18"/>
  <c r="AH335" i="18" s="1"/>
  <c r="AI339" i="18"/>
  <c r="AH339" i="18" s="1"/>
  <c r="AI343" i="18"/>
  <c r="AH343" i="18" s="1"/>
  <c r="AI347" i="18"/>
  <c r="AH347" i="18" s="1"/>
  <c r="AI351" i="18"/>
  <c r="AH351" i="18" s="1"/>
  <c r="AI355" i="18"/>
  <c r="AH355" i="18" s="1"/>
  <c r="AI359" i="18"/>
  <c r="AH359" i="18" s="1"/>
  <c r="AG359" i="18" s="1"/>
  <c r="AF359" i="18" s="1"/>
  <c r="AD359" i="18" s="1"/>
  <c r="AI363" i="18"/>
  <c r="AH363" i="18" s="1"/>
  <c r="AI367" i="18"/>
  <c r="AH367" i="18" s="1"/>
  <c r="AI371" i="18"/>
  <c r="AH371" i="18" s="1"/>
  <c r="AI375" i="18"/>
  <c r="AH375" i="18" s="1"/>
  <c r="AI379" i="18"/>
  <c r="AI152" i="18"/>
  <c r="AH152" i="18" s="1"/>
  <c r="AI156" i="18"/>
  <c r="AH156" i="18" s="1"/>
  <c r="AI160" i="18"/>
  <c r="AH160" i="18" s="1"/>
  <c r="AI164" i="18"/>
  <c r="AH164" i="18" s="1"/>
  <c r="AI168" i="18"/>
  <c r="AH168" i="18" s="1"/>
  <c r="AI172" i="18"/>
  <c r="AH172" i="18" s="1"/>
  <c r="AI176" i="18"/>
  <c r="AH176" i="18" s="1"/>
  <c r="AI180" i="18"/>
  <c r="AH180" i="18" s="1"/>
  <c r="AI184" i="18"/>
  <c r="AH184" i="18" s="1"/>
  <c r="AI188" i="18"/>
  <c r="AH188" i="18" s="1"/>
  <c r="AI192" i="18"/>
  <c r="AH192" i="18" s="1"/>
  <c r="AI196" i="18"/>
  <c r="AH196" i="18" s="1"/>
  <c r="AI200" i="18"/>
  <c r="AH200" i="18" s="1"/>
  <c r="AI204" i="18"/>
  <c r="AH204" i="18" s="1"/>
  <c r="AI208" i="18"/>
  <c r="AH208" i="18" s="1"/>
  <c r="AI212" i="18"/>
  <c r="AH212" i="18" s="1"/>
  <c r="AI216" i="18"/>
  <c r="AH216" i="18" s="1"/>
  <c r="AI220" i="18"/>
  <c r="AH220" i="18" s="1"/>
  <c r="AI224" i="18"/>
  <c r="AH224" i="18" s="1"/>
  <c r="AI228" i="18"/>
  <c r="AH228" i="18" s="1"/>
  <c r="AI232" i="18"/>
  <c r="AH232" i="18" s="1"/>
  <c r="AI236" i="18"/>
  <c r="AH236" i="18" s="1"/>
  <c r="AI240" i="18"/>
  <c r="AH240" i="18" s="1"/>
  <c r="AI244" i="18"/>
  <c r="AH244" i="18" s="1"/>
  <c r="AI248" i="18"/>
  <c r="AH248" i="18" s="1"/>
  <c r="AI252" i="18"/>
  <c r="AH252" i="18" s="1"/>
  <c r="AI256" i="18"/>
  <c r="AH256" i="18" s="1"/>
  <c r="AI262" i="18"/>
  <c r="AH262" i="18" s="1"/>
  <c r="AI270" i="18"/>
  <c r="AH270" i="18" s="1"/>
  <c r="AI278" i="18"/>
  <c r="AH278" i="18" s="1"/>
  <c r="AI286" i="18"/>
  <c r="AH286" i="18" s="1"/>
  <c r="AI294" i="18"/>
  <c r="AH294" i="18" s="1"/>
  <c r="AI302" i="18"/>
  <c r="AH302" i="18" s="1"/>
  <c r="AI310" i="18"/>
  <c r="AH310" i="18" s="1"/>
  <c r="AI318" i="18"/>
  <c r="AH318" i="18" s="1"/>
  <c r="AI326" i="18"/>
  <c r="AH326" i="18" s="1"/>
  <c r="AI334" i="18"/>
  <c r="AH334" i="18" s="1"/>
  <c r="AI342" i="18"/>
  <c r="AH342" i="18" s="1"/>
  <c r="AI350" i="18"/>
  <c r="AH350" i="18" s="1"/>
  <c r="AI358" i="18"/>
  <c r="AH358" i="18" s="1"/>
  <c r="AI366" i="18"/>
  <c r="AH366" i="18" s="1"/>
  <c r="AI374" i="18"/>
  <c r="AH374" i="18" s="1"/>
  <c r="AI260" i="18"/>
  <c r="AH260" i="18" s="1"/>
  <c r="AI268" i="18"/>
  <c r="AH268" i="18" s="1"/>
  <c r="AI276" i="18"/>
  <c r="AH276" i="18" s="1"/>
  <c r="AI284" i="18"/>
  <c r="AH284" i="18" s="1"/>
  <c r="AI292" i="18"/>
  <c r="AH292" i="18" s="1"/>
  <c r="AI300" i="18"/>
  <c r="AH300" i="18" s="1"/>
  <c r="AI308" i="18"/>
  <c r="AH308" i="18" s="1"/>
  <c r="AI316" i="18"/>
  <c r="AH316" i="18" s="1"/>
  <c r="AI324" i="18"/>
  <c r="AH324" i="18" s="1"/>
  <c r="AI332" i="18"/>
  <c r="AH332" i="18" s="1"/>
  <c r="AI340" i="18"/>
  <c r="AH340" i="18" s="1"/>
  <c r="AI348" i="18"/>
  <c r="AH348" i="18" s="1"/>
  <c r="AI356" i="18"/>
  <c r="AH356" i="18" s="1"/>
  <c r="AI364" i="18"/>
  <c r="AH364" i="18" s="1"/>
  <c r="AI372" i="18"/>
  <c r="AH372" i="18" s="1"/>
  <c r="U281" i="18"/>
  <c r="T281" i="18" s="1"/>
  <c r="S281" i="18" s="1"/>
  <c r="R281" i="18" s="1"/>
  <c r="P281" i="18" s="1"/>
  <c r="V281" i="18" s="1"/>
  <c r="B281" i="18" s="1"/>
  <c r="U89" i="18"/>
  <c r="T89" i="18" s="1"/>
  <c r="S89" i="18" s="1"/>
  <c r="R89" i="18" s="1"/>
  <c r="P89" i="18" s="1"/>
  <c r="V89" i="18" s="1"/>
  <c r="B89" i="18" s="1"/>
  <c r="U22" i="18"/>
  <c r="T22" i="18" s="1"/>
  <c r="S22" i="18" s="1"/>
  <c r="R22" i="18" s="1"/>
  <c r="P22" i="18" s="1"/>
  <c r="V22" i="18" s="1"/>
  <c r="U38" i="18"/>
  <c r="T38" i="18" s="1"/>
  <c r="S38" i="18" s="1"/>
  <c r="R38" i="18" s="1"/>
  <c r="P38" i="18" s="1"/>
  <c r="V38" i="18" s="1"/>
  <c r="B38" i="18" s="1"/>
  <c r="U54" i="18"/>
  <c r="T54" i="18" s="1"/>
  <c r="S54" i="18" s="1"/>
  <c r="R54" i="18" s="1"/>
  <c r="P54" i="18" s="1"/>
  <c r="V54" i="18" s="1"/>
  <c r="B54" i="18" s="1"/>
  <c r="U70" i="18"/>
  <c r="T70" i="18" s="1"/>
  <c r="S70" i="18" s="1"/>
  <c r="R70" i="18" s="1"/>
  <c r="P70" i="18" s="1"/>
  <c r="V70" i="18" s="1"/>
  <c r="B70" i="18" s="1"/>
  <c r="U86" i="18"/>
  <c r="T86" i="18" s="1"/>
  <c r="S86" i="18" s="1"/>
  <c r="R86" i="18" s="1"/>
  <c r="P86" i="18" s="1"/>
  <c r="V86" i="18" s="1"/>
  <c r="B86" i="18" s="1"/>
  <c r="U102" i="18"/>
  <c r="T102" i="18" s="1"/>
  <c r="S102" i="18" s="1"/>
  <c r="R102" i="18" s="1"/>
  <c r="P102" i="18" s="1"/>
  <c r="V102" i="18" s="1"/>
  <c r="B102" i="18" s="1"/>
  <c r="U118" i="18"/>
  <c r="T118" i="18" s="1"/>
  <c r="S118" i="18" s="1"/>
  <c r="R118" i="18" s="1"/>
  <c r="P118" i="18" s="1"/>
  <c r="V118" i="18" s="1"/>
  <c r="B118" i="18" s="1"/>
  <c r="U134" i="18"/>
  <c r="T134" i="18" s="1"/>
  <c r="S134" i="18" s="1"/>
  <c r="R134" i="18" s="1"/>
  <c r="P134" i="18" s="1"/>
  <c r="V134" i="18" s="1"/>
  <c r="B134" i="18" s="1"/>
  <c r="U150" i="18"/>
  <c r="T150" i="18" s="1"/>
  <c r="S150" i="18" s="1"/>
  <c r="R150" i="18" s="1"/>
  <c r="P150" i="18" s="1"/>
  <c r="V150" i="18" s="1"/>
  <c r="B150" i="18" s="1"/>
  <c r="U166" i="18"/>
  <c r="T166" i="18" s="1"/>
  <c r="S166" i="18" s="1"/>
  <c r="R166" i="18" s="1"/>
  <c r="P166" i="18" s="1"/>
  <c r="V166" i="18" s="1"/>
  <c r="B166" i="18" s="1"/>
  <c r="U182" i="18"/>
  <c r="T182" i="18" s="1"/>
  <c r="S182" i="18" s="1"/>
  <c r="R182" i="18" s="1"/>
  <c r="P182" i="18" s="1"/>
  <c r="V182" i="18" s="1"/>
  <c r="B182" i="18" s="1"/>
  <c r="U198" i="18"/>
  <c r="T198" i="18" s="1"/>
  <c r="S198" i="18" s="1"/>
  <c r="R198" i="18" s="1"/>
  <c r="P198" i="18" s="1"/>
  <c r="V198" i="18" s="1"/>
  <c r="B198" i="18" s="1"/>
  <c r="U214" i="18"/>
  <c r="T214" i="18" s="1"/>
  <c r="S214" i="18" s="1"/>
  <c r="R214" i="18" s="1"/>
  <c r="P214" i="18" s="1"/>
  <c r="V214" i="18" s="1"/>
  <c r="B214" i="18" s="1"/>
  <c r="U230" i="18"/>
  <c r="T230" i="18" s="1"/>
  <c r="S230" i="18" s="1"/>
  <c r="R230" i="18" s="1"/>
  <c r="P230" i="18" s="1"/>
  <c r="V230" i="18" s="1"/>
  <c r="B230" i="18" s="1"/>
  <c r="U246" i="18"/>
  <c r="T246" i="18" s="1"/>
  <c r="S246" i="18" s="1"/>
  <c r="R246" i="18" s="1"/>
  <c r="P246" i="18" s="1"/>
  <c r="V246" i="18" s="1"/>
  <c r="B246" i="18" s="1"/>
  <c r="U262" i="18"/>
  <c r="T262" i="18" s="1"/>
  <c r="S262" i="18" s="1"/>
  <c r="R262" i="18" s="1"/>
  <c r="P262" i="18" s="1"/>
  <c r="V262" i="18" s="1"/>
  <c r="B262" i="18" s="1"/>
  <c r="U278" i="18"/>
  <c r="T278" i="18" s="1"/>
  <c r="S278" i="18" s="1"/>
  <c r="R278" i="18" s="1"/>
  <c r="P278" i="18" s="1"/>
  <c r="V278" i="18" s="1"/>
  <c r="B278" i="18" s="1"/>
  <c r="U294" i="18"/>
  <c r="T294" i="18" s="1"/>
  <c r="S294" i="18" s="1"/>
  <c r="R294" i="18" s="1"/>
  <c r="P294" i="18" s="1"/>
  <c r="V294" i="18" s="1"/>
  <c r="B294" i="18" s="1"/>
  <c r="U310" i="18"/>
  <c r="T310" i="18" s="1"/>
  <c r="S310" i="18" s="1"/>
  <c r="R310" i="18" s="1"/>
  <c r="P310" i="18" s="1"/>
  <c r="V310" i="18" s="1"/>
  <c r="B310" i="18" s="1"/>
  <c r="U326" i="18"/>
  <c r="T326" i="18" s="1"/>
  <c r="S326" i="18" s="1"/>
  <c r="R326" i="18" s="1"/>
  <c r="P326" i="18" s="1"/>
  <c r="V326" i="18" s="1"/>
  <c r="B326" i="18" s="1"/>
  <c r="U342" i="18"/>
  <c r="T342" i="18" s="1"/>
  <c r="S342" i="18" s="1"/>
  <c r="R342" i="18" s="1"/>
  <c r="P342" i="18" s="1"/>
  <c r="V342" i="18" s="1"/>
  <c r="B342" i="18" s="1"/>
  <c r="U374" i="18"/>
  <c r="T374" i="18" s="1"/>
  <c r="S374" i="18" s="1"/>
  <c r="R374" i="18" s="1"/>
  <c r="P374" i="18" s="1"/>
  <c r="V374" i="18" s="1"/>
  <c r="B374" i="18" s="1"/>
  <c r="U358" i="18"/>
  <c r="T358" i="18" s="1"/>
  <c r="S358" i="18" s="1"/>
  <c r="R358" i="18" s="1"/>
  <c r="P358" i="18" s="1"/>
  <c r="V358" i="18" s="1"/>
  <c r="B358" i="18" s="1"/>
  <c r="U331" i="18"/>
  <c r="T331" i="18" s="1"/>
  <c r="S331" i="18" s="1"/>
  <c r="R331" i="18" s="1"/>
  <c r="P331" i="18" s="1"/>
  <c r="V331" i="18" s="1"/>
  <c r="B331" i="18" s="1"/>
  <c r="U299" i="18"/>
  <c r="T299" i="18" s="1"/>
  <c r="S299" i="18" s="1"/>
  <c r="R299" i="18" s="1"/>
  <c r="P299" i="18" s="1"/>
  <c r="V299" i="18" s="1"/>
  <c r="B299" i="18" s="1"/>
  <c r="U267" i="18"/>
  <c r="T267" i="18" s="1"/>
  <c r="S267" i="18" s="1"/>
  <c r="R267" i="18" s="1"/>
  <c r="P267" i="18" s="1"/>
  <c r="V267" i="18" s="1"/>
  <c r="B267" i="18" s="1"/>
  <c r="U235" i="18"/>
  <c r="T235" i="18" s="1"/>
  <c r="S235" i="18" s="1"/>
  <c r="R235" i="18" s="1"/>
  <c r="P235" i="18" s="1"/>
  <c r="V235" i="18" s="1"/>
  <c r="B235" i="18" s="1"/>
  <c r="U203" i="18"/>
  <c r="T203" i="18" s="1"/>
  <c r="S203" i="18" s="1"/>
  <c r="R203" i="18" s="1"/>
  <c r="P203" i="18" s="1"/>
  <c r="V203" i="18" s="1"/>
  <c r="B203" i="18" s="1"/>
  <c r="U171" i="18"/>
  <c r="T171" i="18" s="1"/>
  <c r="S171" i="18" s="1"/>
  <c r="R171" i="18" s="1"/>
  <c r="P171" i="18" s="1"/>
  <c r="V171" i="18" s="1"/>
  <c r="B171" i="18" s="1"/>
  <c r="U139" i="18"/>
  <c r="T139" i="18" s="1"/>
  <c r="S139" i="18" s="1"/>
  <c r="R139" i="18" s="1"/>
  <c r="P139" i="18" s="1"/>
  <c r="V139" i="18" s="1"/>
  <c r="B139" i="18" s="1"/>
  <c r="U107" i="18"/>
  <c r="T107" i="18" s="1"/>
  <c r="S107" i="18" s="1"/>
  <c r="R107" i="18" s="1"/>
  <c r="P107" i="18" s="1"/>
  <c r="V107" i="18" s="1"/>
  <c r="B107" i="18" s="1"/>
  <c r="U43" i="18"/>
  <c r="T43" i="18" s="1"/>
  <c r="S43" i="18" s="1"/>
  <c r="R43" i="18" s="1"/>
  <c r="P43" i="18" s="1"/>
  <c r="V43" i="18" s="1"/>
  <c r="B43" i="18" s="1"/>
  <c r="U27" i="18"/>
  <c r="T27" i="18" s="1"/>
  <c r="S27" i="18" s="1"/>
  <c r="R27" i="18" s="1"/>
  <c r="P27" i="18" s="1"/>
  <c r="V27" i="18" s="1"/>
  <c r="AI24" i="18"/>
  <c r="AH24" i="18" s="1"/>
  <c r="AI40" i="18"/>
  <c r="AH40" i="18" s="1"/>
  <c r="AI56" i="18"/>
  <c r="AH56" i="18" s="1"/>
  <c r="AI72" i="18"/>
  <c r="AH72" i="18" s="1"/>
  <c r="AI88" i="18"/>
  <c r="AH88" i="18" s="1"/>
  <c r="AI104" i="18"/>
  <c r="AH104" i="18" s="1"/>
  <c r="AI120" i="18"/>
  <c r="AH120" i="18" s="1"/>
  <c r="AI136" i="18"/>
  <c r="AH136" i="18" s="1"/>
  <c r="AI16" i="18"/>
  <c r="AI33" i="18"/>
  <c r="AH33" i="18" s="1"/>
  <c r="AG33" i="18" s="1"/>
  <c r="AF33" i="18" s="1"/>
  <c r="AD33" i="18" s="1"/>
  <c r="AI49" i="18"/>
  <c r="AH49" i="18" s="1"/>
  <c r="AG49" i="18" s="1"/>
  <c r="AF49" i="18" s="1"/>
  <c r="AD49" i="18" s="1"/>
  <c r="AI65" i="18"/>
  <c r="AH65" i="18" s="1"/>
  <c r="AI81" i="18"/>
  <c r="AH81" i="18" s="1"/>
  <c r="AI97" i="18"/>
  <c r="AH97" i="18" s="1"/>
  <c r="AG97" i="18" s="1"/>
  <c r="AF97" i="18" s="1"/>
  <c r="AD97" i="18" s="1"/>
  <c r="AI113" i="18"/>
  <c r="AH113" i="18" s="1"/>
  <c r="AG113" i="18" s="1"/>
  <c r="AF113" i="18" s="1"/>
  <c r="AD113" i="18" s="1"/>
  <c r="AI129" i="18"/>
  <c r="AH129" i="18" s="1"/>
  <c r="AG129" i="18" s="1"/>
  <c r="AF129" i="18" s="1"/>
  <c r="AD129" i="18" s="1"/>
  <c r="AI145" i="18"/>
  <c r="AH145" i="18" s="1"/>
  <c r="AG145" i="18" s="1"/>
  <c r="AF145" i="18" s="1"/>
  <c r="AD145" i="18" s="1"/>
  <c r="AI161" i="18"/>
  <c r="AH161" i="18" s="1"/>
  <c r="AG161" i="18" s="1"/>
  <c r="AF161" i="18" s="1"/>
  <c r="AD161" i="18" s="1"/>
  <c r="AI177" i="18"/>
  <c r="AH177" i="18" s="1"/>
  <c r="AG177" i="18" s="1"/>
  <c r="AF177" i="18" s="1"/>
  <c r="AD177" i="18" s="1"/>
  <c r="AI193" i="18"/>
  <c r="AH193" i="18" s="1"/>
  <c r="AG193" i="18" s="1"/>
  <c r="AF193" i="18" s="1"/>
  <c r="AD193" i="18" s="1"/>
  <c r="AI209" i="18"/>
  <c r="AH209" i="18" s="1"/>
  <c r="AG209" i="18" s="1"/>
  <c r="AF209" i="18" s="1"/>
  <c r="AD209" i="18" s="1"/>
  <c r="AI225" i="18"/>
  <c r="AH225" i="18" s="1"/>
  <c r="AG225" i="18" s="1"/>
  <c r="AF225" i="18" s="1"/>
  <c r="AD225" i="18" s="1"/>
  <c r="AI237" i="18"/>
  <c r="AH237" i="18" s="1"/>
  <c r="AG237" i="18" s="1"/>
  <c r="AF237" i="18" s="1"/>
  <c r="AD237" i="18" s="1"/>
  <c r="AI245" i="18"/>
  <c r="AH245" i="18" s="1"/>
  <c r="AG245" i="18" s="1"/>
  <c r="AF245" i="18" s="1"/>
  <c r="AD245" i="18" s="1"/>
  <c r="AI253" i="18"/>
  <c r="AH253" i="18" s="1"/>
  <c r="AG253" i="18" s="1"/>
  <c r="AF253" i="18" s="1"/>
  <c r="AD253" i="18" s="1"/>
  <c r="AI261" i="18"/>
  <c r="AH261" i="18" s="1"/>
  <c r="AI269" i="18"/>
  <c r="AH269" i="18" s="1"/>
  <c r="AG269" i="18" s="1"/>
  <c r="AF269" i="18" s="1"/>
  <c r="AD269" i="18" s="1"/>
  <c r="AI273" i="18"/>
  <c r="AH273" i="18" s="1"/>
  <c r="AI277" i="18"/>
  <c r="AH277" i="18" s="1"/>
  <c r="AI281" i="18"/>
  <c r="AH281" i="18" s="1"/>
  <c r="AI285" i="18"/>
  <c r="AH285" i="18" s="1"/>
  <c r="AI289" i="18"/>
  <c r="AH289" i="18" s="1"/>
  <c r="AI293" i="18"/>
  <c r="AH293" i="18" s="1"/>
  <c r="AI297" i="18"/>
  <c r="AH297" i="18" s="1"/>
  <c r="AI301" i="18"/>
  <c r="AH301" i="18" s="1"/>
  <c r="AI305" i="18"/>
  <c r="AH305" i="18" s="1"/>
  <c r="AI309" i="18"/>
  <c r="AH309" i="18" s="1"/>
  <c r="AG309" i="18" s="1"/>
  <c r="AF309" i="18" s="1"/>
  <c r="AD309" i="18" s="1"/>
  <c r="AI313" i="18"/>
  <c r="AH313" i="18" s="1"/>
  <c r="AI317" i="18"/>
  <c r="AH317" i="18" s="1"/>
  <c r="AG317" i="18" s="1"/>
  <c r="AF317" i="18" s="1"/>
  <c r="AD317" i="18" s="1"/>
  <c r="AI321" i="18"/>
  <c r="AH321" i="18" s="1"/>
  <c r="AI325" i="18"/>
  <c r="AH325" i="18" s="1"/>
  <c r="AI329" i="18"/>
  <c r="AH329" i="18" s="1"/>
  <c r="AI333" i="18"/>
  <c r="AH333" i="18" s="1"/>
  <c r="AG333" i="18" s="1"/>
  <c r="AF333" i="18" s="1"/>
  <c r="AD333" i="18" s="1"/>
  <c r="AI337" i="18"/>
  <c r="AH337" i="18" s="1"/>
  <c r="AI345" i="18"/>
  <c r="AH345" i="18" s="1"/>
  <c r="AI349" i="18"/>
  <c r="AH349" i="18" s="1"/>
  <c r="AG349" i="18" s="1"/>
  <c r="AF349" i="18" s="1"/>
  <c r="AD349" i="18" s="1"/>
  <c r="AI361" i="18"/>
  <c r="AH361" i="18" s="1"/>
  <c r="AI369" i="18"/>
  <c r="AH369" i="18" s="1"/>
  <c r="AG369" i="18" s="1"/>
  <c r="AF369" i="18" s="1"/>
  <c r="AD369" i="18" s="1"/>
  <c r="AI377" i="18"/>
  <c r="AH377" i="18" s="1"/>
  <c r="AI154" i="18"/>
  <c r="AH154" i="18" s="1"/>
  <c r="AI162" i="18"/>
  <c r="AH162" i="18" s="1"/>
  <c r="AI170" i="18"/>
  <c r="AH170" i="18" s="1"/>
  <c r="AI178" i="18"/>
  <c r="AH178" i="18" s="1"/>
  <c r="AI186" i="18"/>
  <c r="AH186" i="18" s="1"/>
  <c r="AI194" i="18"/>
  <c r="AH194" i="18" s="1"/>
  <c r="AI202" i="18"/>
  <c r="AH202" i="18" s="1"/>
  <c r="AI210" i="18"/>
  <c r="AH210" i="18" s="1"/>
  <c r="AI218" i="18"/>
  <c r="AH218" i="18" s="1"/>
  <c r="AI226" i="18"/>
  <c r="AH226" i="18" s="1"/>
  <c r="AI234" i="18"/>
  <c r="AH234" i="18" s="1"/>
  <c r="AI242" i="18"/>
  <c r="AH242" i="18" s="1"/>
  <c r="AI250" i="18"/>
  <c r="AH250" i="18" s="1"/>
  <c r="AI258" i="18"/>
  <c r="AH258" i="18" s="1"/>
  <c r="AI274" i="18"/>
  <c r="AH274" i="18" s="1"/>
  <c r="AI290" i="18"/>
  <c r="AH290" i="18" s="1"/>
  <c r="AI306" i="18"/>
  <c r="AH306" i="18" s="1"/>
  <c r="AI322" i="18"/>
  <c r="AH322" i="18" s="1"/>
  <c r="AI346" i="18"/>
  <c r="AH346" i="18" s="1"/>
  <c r="AI362" i="18"/>
  <c r="AH362" i="18" s="1"/>
  <c r="AI378" i="18"/>
  <c r="AH378" i="18" s="1"/>
  <c r="AI272" i="18"/>
  <c r="AH272" i="18" s="1"/>
  <c r="AI288" i="18"/>
  <c r="AH288" i="18" s="1"/>
  <c r="AI304" i="18"/>
  <c r="AH304" i="18" s="1"/>
  <c r="AI320" i="18"/>
  <c r="AH320" i="18" s="1"/>
  <c r="AI336" i="18"/>
  <c r="AH336" i="18" s="1"/>
  <c r="AI344" i="18"/>
  <c r="AH344" i="18" s="1"/>
  <c r="AI360" i="18"/>
  <c r="AH360" i="18" s="1"/>
  <c r="AI376" i="18"/>
  <c r="AH376" i="18" s="1"/>
  <c r="U277" i="18"/>
  <c r="T277" i="18" s="1"/>
  <c r="S277" i="18" s="1"/>
  <c r="R277" i="18" s="1"/>
  <c r="P277" i="18" s="1"/>
  <c r="V277" i="18" s="1"/>
  <c r="B277" i="18" s="1"/>
  <c r="U21" i="18"/>
  <c r="T21" i="18" s="1"/>
  <c r="U217" i="18"/>
  <c r="T217" i="18" s="1"/>
  <c r="S217" i="18" s="1"/>
  <c r="R217" i="18" s="1"/>
  <c r="P217" i="18" s="1"/>
  <c r="V217" i="18" s="1"/>
  <c r="B217" i="18" s="1"/>
  <c r="U153" i="18"/>
  <c r="T153" i="18" s="1"/>
  <c r="S153" i="18" s="1"/>
  <c r="R153" i="18" s="1"/>
  <c r="P153" i="18" s="1"/>
  <c r="V153" i="18" s="1"/>
  <c r="B153" i="18" s="1"/>
  <c r="U75" i="18"/>
  <c r="T75" i="18" s="1"/>
  <c r="S75" i="18" s="1"/>
  <c r="R75" i="18" s="1"/>
  <c r="P75" i="18" s="1"/>
  <c r="V75" i="18" s="1"/>
  <c r="B75" i="18" s="1"/>
  <c r="AI341" i="18"/>
  <c r="AH341" i="18" s="1"/>
  <c r="AG341" i="18" s="1"/>
  <c r="AF341" i="18" s="1"/>
  <c r="AD341" i="18" s="1"/>
  <c r="AI353" i="18"/>
  <c r="AH353" i="18" s="1"/>
  <c r="AG353" i="18" s="1"/>
  <c r="AF353" i="18" s="1"/>
  <c r="AD353" i="18" s="1"/>
  <c r="AI357" i="18"/>
  <c r="AH357" i="18" s="1"/>
  <c r="AI365" i="18"/>
  <c r="AH365" i="18" s="1"/>
  <c r="AI373" i="18"/>
  <c r="AH373" i="18" s="1"/>
  <c r="AI150" i="18"/>
  <c r="AH150" i="18" s="1"/>
  <c r="AI158" i="18"/>
  <c r="AH158" i="18" s="1"/>
  <c r="AI166" i="18"/>
  <c r="AH166" i="18" s="1"/>
  <c r="AI174" i="18"/>
  <c r="AH174" i="18" s="1"/>
  <c r="AI182" i="18"/>
  <c r="AH182" i="18" s="1"/>
  <c r="AI190" i="18"/>
  <c r="AH190" i="18" s="1"/>
  <c r="AI198" i="18"/>
  <c r="AH198" i="18" s="1"/>
  <c r="AI206" i="18"/>
  <c r="AH206" i="18" s="1"/>
  <c r="AI214" i="18"/>
  <c r="AH214" i="18" s="1"/>
  <c r="AI222" i="18"/>
  <c r="AH222" i="18" s="1"/>
  <c r="AI230" i="18"/>
  <c r="AH230" i="18" s="1"/>
  <c r="AI238" i="18"/>
  <c r="AH238" i="18" s="1"/>
  <c r="AI246" i="18"/>
  <c r="AH246" i="18" s="1"/>
  <c r="AI254" i="18"/>
  <c r="AH254" i="18" s="1"/>
  <c r="AI266" i="18"/>
  <c r="AH266" i="18" s="1"/>
  <c r="AI282" i="18"/>
  <c r="AH282" i="18" s="1"/>
  <c r="AI298" i="18"/>
  <c r="AH298" i="18" s="1"/>
  <c r="AI314" i="18"/>
  <c r="AH314" i="18" s="1"/>
  <c r="AI330" i="18"/>
  <c r="AH330" i="18" s="1"/>
  <c r="AI338" i="18"/>
  <c r="AH338" i="18" s="1"/>
  <c r="AI354" i="18"/>
  <c r="AH354" i="18" s="1"/>
  <c r="AI370" i="18"/>
  <c r="AH370" i="18" s="1"/>
  <c r="AI264" i="18"/>
  <c r="AH264" i="18" s="1"/>
  <c r="AI280" i="18"/>
  <c r="AH280" i="18" s="1"/>
  <c r="AI296" i="18"/>
  <c r="AH296" i="18" s="1"/>
  <c r="AI312" i="18"/>
  <c r="AH312" i="18" s="1"/>
  <c r="AI328" i="18"/>
  <c r="AH328" i="18" s="1"/>
  <c r="AI352" i="18"/>
  <c r="AH352" i="18" s="1"/>
  <c r="AI368" i="18"/>
  <c r="AH368" i="18" s="1"/>
  <c r="U345" i="18"/>
  <c r="T345" i="18" s="1"/>
  <c r="S345" i="18" s="1"/>
  <c r="R345" i="18" s="1"/>
  <c r="P345" i="18" s="1"/>
  <c r="V345" i="18" s="1"/>
  <c r="B345" i="18" s="1"/>
  <c r="U185" i="18"/>
  <c r="T185" i="18" s="1"/>
  <c r="S185" i="18" s="1"/>
  <c r="R185" i="18" s="1"/>
  <c r="P185" i="18" s="1"/>
  <c r="V185" i="18" s="1"/>
  <c r="B185" i="18" s="1"/>
  <c r="U57" i="18"/>
  <c r="T57" i="18" s="1"/>
  <c r="S57" i="18" s="1"/>
  <c r="R57" i="18" s="1"/>
  <c r="P57" i="18" s="1"/>
  <c r="V57" i="18" s="1"/>
  <c r="B57" i="18" s="1"/>
  <c r="U30" i="18"/>
  <c r="T30" i="18" s="1"/>
  <c r="S30" i="18" s="1"/>
  <c r="R30" i="18" s="1"/>
  <c r="P30" i="18" s="1"/>
  <c r="V30" i="18" s="1"/>
  <c r="U62" i="18"/>
  <c r="T62" i="18" s="1"/>
  <c r="S62" i="18" s="1"/>
  <c r="R62" i="18" s="1"/>
  <c r="P62" i="18" s="1"/>
  <c r="V62" i="18" s="1"/>
  <c r="B62" i="18" s="1"/>
  <c r="U94" i="18"/>
  <c r="T94" i="18" s="1"/>
  <c r="S94" i="18" s="1"/>
  <c r="R94" i="18" s="1"/>
  <c r="P94" i="18" s="1"/>
  <c r="V94" i="18" s="1"/>
  <c r="B94" i="18" s="1"/>
  <c r="U126" i="18"/>
  <c r="T126" i="18" s="1"/>
  <c r="S126" i="18" s="1"/>
  <c r="R126" i="18" s="1"/>
  <c r="P126" i="18" s="1"/>
  <c r="V126" i="18" s="1"/>
  <c r="B126" i="18" s="1"/>
  <c r="U158" i="18"/>
  <c r="T158" i="18" s="1"/>
  <c r="S158" i="18" s="1"/>
  <c r="R158" i="18" s="1"/>
  <c r="P158" i="18" s="1"/>
  <c r="V158" i="18" s="1"/>
  <c r="B158" i="18" s="1"/>
  <c r="U190" i="18"/>
  <c r="T190" i="18" s="1"/>
  <c r="S190" i="18" s="1"/>
  <c r="R190" i="18" s="1"/>
  <c r="P190" i="18" s="1"/>
  <c r="V190" i="18" s="1"/>
  <c r="B190" i="18" s="1"/>
  <c r="U222" i="18"/>
  <c r="T222" i="18" s="1"/>
  <c r="S222" i="18" s="1"/>
  <c r="R222" i="18" s="1"/>
  <c r="P222" i="18" s="1"/>
  <c r="V222" i="18" s="1"/>
  <c r="B222" i="18" s="1"/>
  <c r="U254" i="18"/>
  <c r="T254" i="18" s="1"/>
  <c r="S254" i="18" s="1"/>
  <c r="R254" i="18" s="1"/>
  <c r="P254" i="18" s="1"/>
  <c r="V254" i="18" s="1"/>
  <c r="B254" i="18" s="1"/>
  <c r="U286" i="18"/>
  <c r="T286" i="18" s="1"/>
  <c r="S286" i="18" s="1"/>
  <c r="R286" i="18" s="1"/>
  <c r="P286" i="18" s="1"/>
  <c r="V286" i="18" s="1"/>
  <c r="B286" i="18" s="1"/>
  <c r="U318" i="18"/>
  <c r="T318" i="18" s="1"/>
  <c r="S318" i="18" s="1"/>
  <c r="R318" i="18" s="1"/>
  <c r="P318" i="18" s="1"/>
  <c r="V318" i="18" s="1"/>
  <c r="B318" i="18" s="1"/>
  <c r="U350" i="18"/>
  <c r="T350" i="18" s="1"/>
  <c r="S350" i="18" s="1"/>
  <c r="R350" i="18" s="1"/>
  <c r="P350" i="18" s="1"/>
  <c r="V350" i="18" s="1"/>
  <c r="B350" i="18" s="1"/>
  <c r="U347" i="18"/>
  <c r="T347" i="18" s="1"/>
  <c r="S347" i="18" s="1"/>
  <c r="R347" i="18" s="1"/>
  <c r="P347" i="18" s="1"/>
  <c r="V347" i="18" s="1"/>
  <c r="B347" i="18" s="1"/>
  <c r="U283" i="18"/>
  <c r="T283" i="18" s="1"/>
  <c r="S283" i="18" s="1"/>
  <c r="R283" i="18" s="1"/>
  <c r="P283" i="18" s="1"/>
  <c r="V283" i="18" s="1"/>
  <c r="B283" i="18" s="1"/>
  <c r="U219" i="18"/>
  <c r="T219" i="18" s="1"/>
  <c r="S219" i="18" s="1"/>
  <c r="R219" i="18" s="1"/>
  <c r="P219" i="18" s="1"/>
  <c r="V219" i="18" s="1"/>
  <c r="B219" i="18" s="1"/>
  <c r="U155" i="18"/>
  <c r="T155" i="18" s="1"/>
  <c r="S155" i="18" s="1"/>
  <c r="R155" i="18" s="1"/>
  <c r="P155" i="18" s="1"/>
  <c r="V155" i="18" s="1"/>
  <c r="B155" i="18" s="1"/>
  <c r="U91" i="18"/>
  <c r="T91" i="18" s="1"/>
  <c r="S91" i="18" s="1"/>
  <c r="R91" i="18" s="1"/>
  <c r="P91" i="18" s="1"/>
  <c r="V91" i="18" s="1"/>
  <c r="B91" i="18" s="1"/>
  <c r="U35" i="18"/>
  <c r="T35" i="18" s="1"/>
  <c r="S35" i="18" s="1"/>
  <c r="R35" i="18" s="1"/>
  <c r="P35" i="18" s="1"/>
  <c r="V35" i="18" s="1"/>
  <c r="U379" i="18"/>
  <c r="F12" i="19"/>
  <c r="S73" i="18"/>
  <c r="R73" i="18" s="1"/>
  <c r="P73" i="18" s="1"/>
  <c r="V73" i="18" s="1"/>
  <c r="B73" i="18" s="1"/>
  <c r="S297" i="18"/>
  <c r="R297" i="18" s="1"/>
  <c r="P297" i="18" s="1"/>
  <c r="V297" i="18" s="1"/>
  <c r="B297" i="18" s="1"/>
  <c r="AI11" i="20"/>
  <c r="AG382" i="17"/>
  <c r="AG383" i="17"/>
  <c r="AG381" i="17"/>
  <c r="AF15" i="17"/>
  <c r="S69" i="18"/>
  <c r="R69" i="18" s="1"/>
  <c r="P69" i="18" s="1"/>
  <c r="V69" i="18" s="1"/>
  <c r="B69" i="18" s="1"/>
  <c r="S381" i="17"/>
  <c r="S383" i="17"/>
  <c r="S382" i="17"/>
  <c r="R15" i="17"/>
  <c r="S189" i="18"/>
  <c r="R189" i="18" s="1"/>
  <c r="P189" i="18" s="1"/>
  <c r="V189" i="18" s="1"/>
  <c r="B189" i="18" s="1"/>
  <c r="S125" i="18"/>
  <c r="R125" i="18" s="1"/>
  <c r="P125" i="18" s="1"/>
  <c r="V125" i="18" s="1"/>
  <c r="B125" i="18" s="1"/>
  <c r="S61" i="18"/>
  <c r="R61" i="18" s="1"/>
  <c r="P61" i="18" s="1"/>
  <c r="V61" i="18" s="1"/>
  <c r="B61" i="18" s="1"/>
  <c r="S77" i="18"/>
  <c r="R77" i="18" s="1"/>
  <c r="P77" i="18" s="1"/>
  <c r="V77" i="18" s="1"/>
  <c r="B77" i="18" s="1"/>
  <c r="S321" i="18"/>
  <c r="R321" i="18" s="1"/>
  <c r="P321" i="18" s="1"/>
  <c r="V321" i="18" s="1"/>
  <c r="B321" i="18" s="1"/>
  <c r="S65" i="18"/>
  <c r="R65" i="18" s="1"/>
  <c r="P65" i="18" s="1"/>
  <c r="V65" i="18" s="1"/>
  <c r="B65" i="18" s="1"/>
  <c r="AE259" i="20"/>
  <c r="AE291" i="20"/>
  <c r="AE323" i="20"/>
  <c r="AE355" i="20"/>
  <c r="AE116" i="20"/>
  <c r="AE279" i="20"/>
  <c r="AE198" i="20"/>
  <c r="AE319" i="20"/>
  <c r="F15" i="16"/>
  <c r="V382" i="16"/>
  <c r="V381" i="16"/>
  <c r="B63" i="19"/>
  <c r="N63" i="19" s="1"/>
  <c r="V383" i="16"/>
  <c r="AE126" i="20"/>
  <c r="AE158" i="20"/>
  <c r="AE190" i="20"/>
  <c r="AE219" i="20"/>
  <c r="AE235" i="20"/>
  <c r="AE251" i="20"/>
  <c r="AE267" i="20"/>
  <c r="AE283" i="20"/>
  <c r="AE299" i="20"/>
  <c r="AE315" i="20"/>
  <c r="AE331" i="20"/>
  <c r="AE347" i="20"/>
  <c r="AE363" i="20"/>
  <c r="AE379" i="20"/>
  <c r="AE12" i="22" s="1"/>
  <c r="AE150" i="20"/>
  <c r="AE247" i="20"/>
  <c r="AE311" i="20"/>
  <c r="AE375" i="20"/>
  <c r="AE271" i="20"/>
  <c r="AE166" i="20"/>
  <c r="AE351" i="20"/>
  <c r="AE182" i="20"/>
  <c r="AE231" i="20"/>
  <c r="AE263" i="20"/>
  <c r="AE295" i="20"/>
  <c r="AE327" i="20"/>
  <c r="AE359" i="20"/>
  <c r="AE134" i="20"/>
  <c r="AE239" i="20"/>
  <c r="AE303" i="20"/>
  <c r="AE367" i="20"/>
  <c r="AE255" i="20"/>
  <c r="AE223" i="20"/>
  <c r="Q382" i="20"/>
  <c r="AJ4" i="15"/>
  <c r="P12" i="19" s="1"/>
  <c r="AL13" i="15"/>
  <c r="Q381" i="20"/>
  <c r="AM15" i="7"/>
  <c r="Q10" i="22"/>
  <c r="Q16" i="22" s="1"/>
  <c r="Z11" i="15"/>
  <c r="Z5" i="15" s="1"/>
  <c r="H12" i="19" s="1"/>
  <c r="J12" i="19"/>
  <c r="AA11" i="15"/>
  <c r="AA5" i="15" s="1"/>
  <c r="I12" i="19" s="1"/>
  <c r="Q383" i="20"/>
  <c r="AK4" i="15"/>
  <c r="R12" i="19" s="1"/>
  <c r="N13" i="19" s="1"/>
  <c r="AM13" i="15"/>
  <c r="AL8" i="16"/>
  <c r="AD140" i="18" l="1"/>
  <c r="V60" i="18"/>
  <c r="B60" i="18" s="1"/>
  <c r="D69" i="7"/>
  <c r="AD118" i="18"/>
  <c r="AD142" i="18"/>
  <c r="V363" i="18"/>
  <c r="B363" i="18" s="1"/>
  <c r="D79" i="7"/>
  <c r="AG126" i="18"/>
  <c r="AF126" i="18" s="1"/>
  <c r="AD126" i="18" s="1"/>
  <c r="V180" i="18"/>
  <c r="B180" i="18" s="1"/>
  <c r="D73" i="7"/>
  <c r="AG165" i="18"/>
  <c r="AF165" i="18" s="1"/>
  <c r="AD165" i="18" s="1"/>
  <c r="AG44" i="18"/>
  <c r="AF44" i="18" s="1"/>
  <c r="AD44" i="18" s="1"/>
  <c r="AG94" i="18"/>
  <c r="AF94" i="18" s="1"/>
  <c r="AD94" i="18" s="1"/>
  <c r="AG76" i="18"/>
  <c r="AF76" i="18" s="1"/>
  <c r="AD76" i="18" s="1"/>
  <c r="AG70" i="18"/>
  <c r="AF70" i="18" s="1"/>
  <c r="AD70" i="18" s="1"/>
  <c r="AG38" i="18"/>
  <c r="AF38" i="18" s="1"/>
  <c r="AD38" i="18" s="1"/>
  <c r="D70" i="7"/>
  <c r="V88" i="18"/>
  <c r="B88" i="18" s="1"/>
  <c r="V241" i="18"/>
  <c r="B241" i="18" s="1"/>
  <c r="D75" i="7"/>
  <c r="V29" i="18"/>
  <c r="D68" i="7"/>
  <c r="AD69" i="18"/>
  <c r="AD134" i="18"/>
  <c r="AG86" i="18"/>
  <c r="AF86" i="18" s="1"/>
  <c r="AD86" i="18" s="1"/>
  <c r="AG54" i="18"/>
  <c r="AF54" i="18" s="1"/>
  <c r="AD54" i="18" s="1"/>
  <c r="AG22" i="18"/>
  <c r="AF22" i="18" s="1"/>
  <c r="AD22" i="18" s="1"/>
  <c r="D71" i="7"/>
  <c r="V119" i="18"/>
  <c r="V272" i="18"/>
  <c r="B272" i="18" s="1"/>
  <c r="D76" i="7"/>
  <c r="AE381" i="20"/>
  <c r="AE382" i="20"/>
  <c r="AG21" i="18"/>
  <c r="AF21" i="18" s="1"/>
  <c r="AD21" i="18" s="1"/>
  <c r="AG92" i="18"/>
  <c r="AF92" i="18" s="1"/>
  <c r="AD92" i="18" s="1"/>
  <c r="AG28" i="18"/>
  <c r="AF28" i="18" s="1"/>
  <c r="AD28" i="18" s="1"/>
  <c r="V210" i="18"/>
  <c r="B210" i="18" s="1"/>
  <c r="D74" i="7"/>
  <c r="AG181" i="18"/>
  <c r="AF181" i="18" s="1"/>
  <c r="AD181" i="18" s="1"/>
  <c r="AG124" i="18"/>
  <c r="AF124" i="18" s="1"/>
  <c r="AD124" i="18" s="1"/>
  <c r="AG60" i="18"/>
  <c r="AF60" i="18" s="1"/>
  <c r="AD60" i="18" s="1"/>
  <c r="AG77" i="18"/>
  <c r="AF77" i="18" s="1"/>
  <c r="AD77" i="18" s="1"/>
  <c r="AG148" i="18"/>
  <c r="AF148" i="18" s="1"/>
  <c r="AD148" i="18" s="1"/>
  <c r="AG116" i="18"/>
  <c r="AF116" i="18" s="1"/>
  <c r="AD116" i="18" s="1"/>
  <c r="AG84" i="18"/>
  <c r="AF84" i="18" s="1"/>
  <c r="AD84" i="18" s="1"/>
  <c r="AG52" i="18"/>
  <c r="AF52" i="18" s="1"/>
  <c r="AD52" i="18" s="1"/>
  <c r="AG267" i="18"/>
  <c r="AF267" i="18" s="1"/>
  <c r="AD267" i="18" s="1"/>
  <c r="AG146" i="18"/>
  <c r="AF146" i="18" s="1"/>
  <c r="AD146" i="18" s="1"/>
  <c r="AG130" i="18"/>
  <c r="AF130" i="18" s="1"/>
  <c r="AD130" i="18" s="1"/>
  <c r="AG114" i="18"/>
  <c r="AF114" i="18" s="1"/>
  <c r="AD114" i="18" s="1"/>
  <c r="AG98" i="18"/>
  <c r="AF98" i="18" s="1"/>
  <c r="AD98" i="18" s="1"/>
  <c r="AG82" i="18"/>
  <c r="AF82" i="18" s="1"/>
  <c r="AD82" i="18" s="1"/>
  <c r="AG66" i="18"/>
  <c r="AF66" i="18" s="1"/>
  <c r="AD66" i="18" s="1"/>
  <c r="AG50" i="18"/>
  <c r="AF50" i="18" s="1"/>
  <c r="AD50" i="18" s="1"/>
  <c r="AG34" i="18"/>
  <c r="AF34" i="18" s="1"/>
  <c r="AD34" i="18" s="1"/>
  <c r="AG132" i="18"/>
  <c r="AF132" i="18" s="1"/>
  <c r="AD132" i="18" s="1"/>
  <c r="AG100" i="18"/>
  <c r="AF100" i="18" s="1"/>
  <c r="AD100" i="18" s="1"/>
  <c r="AG68" i="18"/>
  <c r="AF68" i="18" s="1"/>
  <c r="AD68" i="18" s="1"/>
  <c r="AG36" i="18"/>
  <c r="AF36" i="18" s="1"/>
  <c r="AD36" i="18" s="1"/>
  <c r="AG138" i="18"/>
  <c r="AF138" i="18" s="1"/>
  <c r="AD138" i="18" s="1"/>
  <c r="AG122" i="18"/>
  <c r="AF122" i="18" s="1"/>
  <c r="AD122" i="18" s="1"/>
  <c r="AG106" i="18"/>
  <c r="AF106" i="18" s="1"/>
  <c r="AD106" i="18" s="1"/>
  <c r="AG90" i="18"/>
  <c r="AF90" i="18" s="1"/>
  <c r="AD90" i="18" s="1"/>
  <c r="AG74" i="18"/>
  <c r="AF74" i="18" s="1"/>
  <c r="AD74" i="18" s="1"/>
  <c r="AG58" i="18"/>
  <c r="AF58" i="18" s="1"/>
  <c r="AD58" i="18" s="1"/>
  <c r="AG42" i="18"/>
  <c r="AF42" i="18" s="1"/>
  <c r="AD42" i="18" s="1"/>
  <c r="AG26" i="18"/>
  <c r="AF26" i="18" s="1"/>
  <c r="AD26" i="18" s="1"/>
  <c r="D65" i="19"/>
  <c r="G65" i="19"/>
  <c r="J65" i="19"/>
  <c r="H65" i="19"/>
  <c r="AG368" i="18"/>
  <c r="AF368" i="18" s="1"/>
  <c r="AD368" i="18" s="1"/>
  <c r="AG328" i="18"/>
  <c r="AF328" i="18" s="1"/>
  <c r="AD328" i="18" s="1"/>
  <c r="AG296" i="18"/>
  <c r="AF296" i="18" s="1"/>
  <c r="AD296" i="18" s="1"/>
  <c r="AG264" i="18"/>
  <c r="AF264" i="18" s="1"/>
  <c r="AD264" i="18" s="1"/>
  <c r="AG354" i="18"/>
  <c r="AF354" i="18" s="1"/>
  <c r="AD354" i="18" s="1"/>
  <c r="AG330" i="18"/>
  <c r="AF330" i="18" s="1"/>
  <c r="AD330" i="18" s="1"/>
  <c r="AG298" i="18"/>
  <c r="AF298" i="18" s="1"/>
  <c r="AD298" i="18" s="1"/>
  <c r="AG266" i="18"/>
  <c r="AF266" i="18" s="1"/>
  <c r="AD266" i="18" s="1"/>
  <c r="AG246" i="18"/>
  <c r="AF246" i="18" s="1"/>
  <c r="AD246" i="18" s="1"/>
  <c r="AG230" i="18"/>
  <c r="AF230" i="18" s="1"/>
  <c r="AD230" i="18" s="1"/>
  <c r="AG214" i="18"/>
  <c r="AF214" i="18" s="1"/>
  <c r="AD214" i="18" s="1"/>
  <c r="AG198" i="18"/>
  <c r="AF198" i="18" s="1"/>
  <c r="AD198" i="18" s="1"/>
  <c r="AG182" i="18"/>
  <c r="AF182" i="18" s="1"/>
  <c r="AD182" i="18" s="1"/>
  <c r="AG166" i="18"/>
  <c r="AF166" i="18" s="1"/>
  <c r="AD166" i="18" s="1"/>
  <c r="AG150" i="18"/>
  <c r="AF150" i="18" s="1"/>
  <c r="AD150" i="18" s="1"/>
  <c r="AG365" i="18"/>
  <c r="AF365" i="18" s="1"/>
  <c r="AD365" i="18" s="1"/>
  <c r="AG360" i="18"/>
  <c r="AF360" i="18" s="1"/>
  <c r="AD360" i="18" s="1"/>
  <c r="AG336" i="18"/>
  <c r="AF336" i="18" s="1"/>
  <c r="AD336" i="18" s="1"/>
  <c r="AG304" i="18"/>
  <c r="AF304" i="18" s="1"/>
  <c r="AD304" i="18" s="1"/>
  <c r="AG272" i="18"/>
  <c r="AF272" i="18" s="1"/>
  <c r="AD272" i="18" s="1"/>
  <c r="AG362" i="18"/>
  <c r="AF362" i="18" s="1"/>
  <c r="AD362" i="18" s="1"/>
  <c r="AG322" i="18"/>
  <c r="AF322" i="18" s="1"/>
  <c r="AD322" i="18" s="1"/>
  <c r="AG290" i="18"/>
  <c r="AF290" i="18" s="1"/>
  <c r="AD290" i="18" s="1"/>
  <c r="AG258" i="18"/>
  <c r="AF258" i="18" s="1"/>
  <c r="AD258" i="18" s="1"/>
  <c r="AG242" i="18"/>
  <c r="AF242" i="18" s="1"/>
  <c r="AD242" i="18" s="1"/>
  <c r="AG226" i="18"/>
  <c r="AF226" i="18" s="1"/>
  <c r="AD226" i="18" s="1"/>
  <c r="AG210" i="18"/>
  <c r="AF210" i="18" s="1"/>
  <c r="AD210" i="18" s="1"/>
  <c r="AG194" i="18"/>
  <c r="AF194" i="18" s="1"/>
  <c r="AD194" i="18" s="1"/>
  <c r="AG178" i="18"/>
  <c r="AF178" i="18" s="1"/>
  <c r="AD178" i="18" s="1"/>
  <c r="AG162" i="18"/>
  <c r="AF162" i="18" s="1"/>
  <c r="AD162" i="18" s="1"/>
  <c r="AG377" i="18"/>
  <c r="AF377" i="18" s="1"/>
  <c r="AD377" i="18" s="1"/>
  <c r="AG361" i="18"/>
  <c r="AF361" i="18" s="1"/>
  <c r="AD361" i="18" s="1"/>
  <c r="AG345" i="18"/>
  <c r="AF345" i="18" s="1"/>
  <c r="AD345" i="18" s="1"/>
  <c r="AG325" i="18"/>
  <c r="AF325" i="18" s="1"/>
  <c r="AD325" i="18" s="1"/>
  <c r="AG301" i="18"/>
  <c r="AF301" i="18" s="1"/>
  <c r="AD301" i="18" s="1"/>
  <c r="AG293" i="18"/>
  <c r="AF293" i="18" s="1"/>
  <c r="AD293" i="18" s="1"/>
  <c r="AG285" i="18"/>
  <c r="AF285" i="18" s="1"/>
  <c r="AD285" i="18" s="1"/>
  <c r="AG277" i="18"/>
  <c r="AF277" i="18" s="1"/>
  <c r="AD277" i="18" s="1"/>
  <c r="AG81" i="18"/>
  <c r="AF81" i="18" s="1"/>
  <c r="AD81" i="18" s="1"/>
  <c r="AH16" i="18"/>
  <c r="AI382" i="18"/>
  <c r="AI383" i="18"/>
  <c r="AI381" i="18"/>
  <c r="AG120" i="18"/>
  <c r="AF120" i="18" s="1"/>
  <c r="AD120" i="18" s="1"/>
  <c r="AG88" i="18"/>
  <c r="AF88" i="18" s="1"/>
  <c r="AD88" i="18" s="1"/>
  <c r="AG56" i="18"/>
  <c r="AF56" i="18" s="1"/>
  <c r="AD56" i="18" s="1"/>
  <c r="AG24" i="18"/>
  <c r="AF24" i="18" s="1"/>
  <c r="AD24" i="18" s="1"/>
  <c r="AG372" i="18"/>
  <c r="AF372" i="18" s="1"/>
  <c r="AD372" i="18" s="1"/>
  <c r="AG356" i="18"/>
  <c r="AF356" i="18" s="1"/>
  <c r="AD356" i="18" s="1"/>
  <c r="AG340" i="18"/>
  <c r="AF340" i="18" s="1"/>
  <c r="AD340" i="18" s="1"/>
  <c r="AG324" i="18"/>
  <c r="AF324" i="18" s="1"/>
  <c r="AD324" i="18" s="1"/>
  <c r="AG308" i="18"/>
  <c r="AF308" i="18" s="1"/>
  <c r="AD308" i="18" s="1"/>
  <c r="AG292" i="18"/>
  <c r="AF292" i="18" s="1"/>
  <c r="AD292" i="18" s="1"/>
  <c r="AG276" i="18"/>
  <c r="AF276" i="18" s="1"/>
  <c r="AD276" i="18" s="1"/>
  <c r="AG260" i="18"/>
  <c r="AF260" i="18" s="1"/>
  <c r="AD260" i="18" s="1"/>
  <c r="AG366" i="18"/>
  <c r="AF366" i="18" s="1"/>
  <c r="AD366" i="18" s="1"/>
  <c r="AG350" i="18"/>
  <c r="AF350" i="18" s="1"/>
  <c r="AD350" i="18" s="1"/>
  <c r="AG334" i="18"/>
  <c r="AF334" i="18" s="1"/>
  <c r="AD334" i="18" s="1"/>
  <c r="AG318" i="18"/>
  <c r="AF318" i="18" s="1"/>
  <c r="AD318" i="18" s="1"/>
  <c r="AG302" i="18"/>
  <c r="AF302" i="18" s="1"/>
  <c r="AD302" i="18" s="1"/>
  <c r="AG286" i="18"/>
  <c r="AF286" i="18" s="1"/>
  <c r="AD286" i="18" s="1"/>
  <c r="AG270" i="18"/>
  <c r="AF270" i="18" s="1"/>
  <c r="AD270" i="18" s="1"/>
  <c r="AG256" i="18"/>
  <c r="AF256" i="18" s="1"/>
  <c r="AD256" i="18" s="1"/>
  <c r="AG248" i="18"/>
  <c r="AF248" i="18" s="1"/>
  <c r="AD248" i="18" s="1"/>
  <c r="AG240" i="18"/>
  <c r="AF240" i="18" s="1"/>
  <c r="AD240" i="18" s="1"/>
  <c r="AG232" i="18"/>
  <c r="AF232" i="18" s="1"/>
  <c r="AD232" i="18" s="1"/>
  <c r="AG224" i="18"/>
  <c r="AF224" i="18" s="1"/>
  <c r="AD224" i="18" s="1"/>
  <c r="AG216" i="18"/>
  <c r="AF216" i="18" s="1"/>
  <c r="AD216" i="18" s="1"/>
  <c r="AG208" i="18"/>
  <c r="AF208" i="18" s="1"/>
  <c r="AD208" i="18" s="1"/>
  <c r="AG200" i="18"/>
  <c r="AF200" i="18" s="1"/>
  <c r="AD200" i="18" s="1"/>
  <c r="AG192" i="18"/>
  <c r="AF192" i="18" s="1"/>
  <c r="AD192" i="18" s="1"/>
  <c r="AG184" i="18"/>
  <c r="AF184" i="18" s="1"/>
  <c r="AD184" i="18" s="1"/>
  <c r="AG176" i="18"/>
  <c r="AF176" i="18" s="1"/>
  <c r="AD176" i="18" s="1"/>
  <c r="AG168" i="18"/>
  <c r="AF168" i="18" s="1"/>
  <c r="AD168" i="18" s="1"/>
  <c r="AG160" i="18"/>
  <c r="AF160" i="18" s="1"/>
  <c r="AD160" i="18" s="1"/>
  <c r="AG152" i="18"/>
  <c r="AF152" i="18" s="1"/>
  <c r="AD152" i="18" s="1"/>
  <c r="AG375" i="18"/>
  <c r="AF375" i="18" s="1"/>
  <c r="AD375" i="18" s="1"/>
  <c r="AG367" i="18"/>
  <c r="AF367" i="18" s="1"/>
  <c r="AD367" i="18" s="1"/>
  <c r="AG351" i="18"/>
  <c r="AF351" i="18" s="1"/>
  <c r="AD351" i="18" s="1"/>
  <c r="AG343" i="18"/>
  <c r="AF343" i="18" s="1"/>
  <c r="AD343" i="18" s="1"/>
  <c r="AG335" i="18"/>
  <c r="AF335" i="18" s="1"/>
  <c r="AD335" i="18" s="1"/>
  <c r="AG311" i="18"/>
  <c r="AF311" i="18" s="1"/>
  <c r="AD311" i="18" s="1"/>
  <c r="AG295" i="18"/>
  <c r="AF295" i="18" s="1"/>
  <c r="AD295" i="18" s="1"/>
  <c r="AG121" i="18"/>
  <c r="AF121" i="18" s="1"/>
  <c r="AD121" i="18" s="1"/>
  <c r="AG25" i="18"/>
  <c r="AF25" i="18" s="1"/>
  <c r="AD25" i="18" s="1"/>
  <c r="AG128" i="18"/>
  <c r="AF128" i="18" s="1"/>
  <c r="AD128" i="18" s="1"/>
  <c r="AG96" i="18"/>
  <c r="AF96" i="18" s="1"/>
  <c r="AD96" i="18" s="1"/>
  <c r="AG64" i="18"/>
  <c r="AF64" i="18" s="1"/>
  <c r="AD64" i="18" s="1"/>
  <c r="AG32" i="18"/>
  <c r="AF32" i="18" s="1"/>
  <c r="AD32" i="18" s="1"/>
  <c r="V302" i="18"/>
  <c r="B302" i="18" s="1"/>
  <c r="D77" i="7"/>
  <c r="V149" i="18"/>
  <c r="B149" i="18" s="1"/>
  <c r="D72" i="7"/>
  <c r="F65" i="19"/>
  <c r="U12" i="20"/>
  <c r="T379" i="18"/>
  <c r="S379" i="18" s="1"/>
  <c r="R379" i="18" s="1"/>
  <c r="P379" i="18" s="1"/>
  <c r="AB16" i="7"/>
  <c r="AH11" i="7" s="1"/>
  <c r="U11" i="20" s="1"/>
  <c r="U10" i="20" s="1"/>
  <c r="AG352" i="18"/>
  <c r="AF352" i="18" s="1"/>
  <c r="AD352" i="18" s="1"/>
  <c r="AG312" i="18"/>
  <c r="AF312" i="18" s="1"/>
  <c r="AD312" i="18" s="1"/>
  <c r="AG280" i="18"/>
  <c r="AF280" i="18" s="1"/>
  <c r="AD280" i="18" s="1"/>
  <c r="AG370" i="18"/>
  <c r="AF370" i="18" s="1"/>
  <c r="AD370" i="18" s="1"/>
  <c r="AG338" i="18"/>
  <c r="AF338" i="18" s="1"/>
  <c r="AD338" i="18" s="1"/>
  <c r="AG314" i="18"/>
  <c r="AF314" i="18" s="1"/>
  <c r="AD314" i="18" s="1"/>
  <c r="AG282" i="18"/>
  <c r="AF282" i="18" s="1"/>
  <c r="AD282" i="18" s="1"/>
  <c r="AG254" i="18"/>
  <c r="AF254" i="18" s="1"/>
  <c r="AD254" i="18" s="1"/>
  <c r="AG238" i="18"/>
  <c r="AF238" i="18" s="1"/>
  <c r="AD238" i="18" s="1"/>
  <c r="AG222" i="18"/>
  <c r="AF222" i="18" s="1"/>
  <c r="AD222" i="18" s="1"/>
  <c r="AG206" i="18"/>
  <c r="AF206" i="18" s="1"/>
  <c r="AD206" i="18" s="1"/>
  <c r="AG190" i="18"/>
  <c r="AF190" i="18" s="1"/>
  <c r="AD190" i="18" s="1"/>
  <c r="AG174" i="18"/>
  <c r="AF174" i="18" s="1"/>
  <c r="AD174" i="18" s="1"/>
  <c r="AG158" i="18"/>
  <c r="AF158" i="18" s="1"/>
  <c r="AD158" i="18" s="1"/>
  <c r="AG373" i="18"/>
  <c r="AF373" i="18" s="1"/>
  <c r="AD373" i="18" s="1"/>
  <c r="AG357" i="18"/>
  <c r="AF357" i="18" s="1"/>
  <c r="AD357" i="18" s="1"/>
  <c r="S21" i="18"/>
  <c r="R21" i="18" s="1"/>
  <c r="P21" i="18" s="1"/>
  <c r="V21" i="18" s="1"/>
  <c r="AG376" i="18"/>
  <c r="AF376" i="18" s="1"/>
  <c r="AD376" i="18" s="1"/>
  <c r="AG344" i="18"/>
  <c r="AF344" i="18" s="1"/>
  <c r="AD344" i="18" s="1"/>
  <c r="AG320" i="18"/>
  <c r="AF320" i="18" s="1"/>
  <c r="AD320" i="18" s="1"/>
  <c r="AG288" i="18"/>
  <c r="AF288" i="18" s="1"/>
  <c r="AD288" i="18" s="1"/>
  <c r="AG378" i="18"/>
  <c r="AF378" i="18" s="1"/>
  <c r="AD378" i="18" s="1"/>
  <c r="AG346" i="18"/>
  <c r="AF346" i="18" s="1"/>
  <c r="AD346" i="18" s="1"/>
  <c r="AG306" i="18"/>
  <c r="AF306" i="18" s="1"/>
  <c r="AD306" i="18" s="1"/>
  <c r="AG274" i="18"/>
  <c r="AF274" i="18" s="1"/>
  <c r="AD274" i="18" s="1"/>
  <c r="AG250" i="18"/>
  <c r="AF250" i="18" s="1"/>
  <c r="AD250" i="18" s="1"/>
  <c r="AG234" i="18"/>
  <c r="AF234" i="18" s="1"/>
  <c r="AD234" i="18" s="1"/>
  <c r="AG218" i="18"/>
  <c r="AF218" i="18" s="1"/>
  <c r="AD218" i="18" s="1"/>
  <c r="AG202" i="18"/>
  <c r="AF202" i="18" s="1"/>
  <c r="AD202" i="18" s="1"/>
  <c r="AG186" i="18"/>
  <c r="AF186" i="18" s="1"/>
  <c r="AD186" i="18" s="1"/>
  <c r="AG170" i="18"/>
  <c r="AF170" i="18" s="1"/>
  <c r="AD170" i="18" s="1"/>
  <c r="AG154" i="18"/>
  <c r="AF154" i="18" s="1"/>
  <c r="AD154" i="18" s="1"/>
  <c r="AG337" i="18"/>
  <c r="AF337" i="18" s="1"/>
  <c r="AD337" i="18" s="1"/>
  <c r="AG329" i="18"/>
  <c r="AF329" i="18" s="1"/>
  <c r="AD329" i="18" s="1"/>
  <c r="AG321" i="18"/>
  <c r="AF321" i="18" s="1"/>
  <c r="AD321" i="18" s="1"/>
  <c r="AG313" i="18"/>
  <c r="AF313" i="18" s="1"/>
  <c r="AD313" i="18" s="1"/>
  <c r="AG305" i="18"/>
  <c r="AF305" i="18" s="1"/>
  <c r="AD305" i="18" s="1"/>
  <c r="AG297" i="18"/>
  <c r="AF297" i="18" s="1"/>
  <c r="AD297" i="18" s="1"/>
  <c r="AG289" i="18"/>
  <c r="AF289" i="18" s="1"/>
  <c r="AD289" i="18" s="1"/>
  <c r="AG281" i="18"/>
  <c r="AF281" i="18" s="1"/>
  <c r="AD281" i="18" s="1"/>
  <c r="AG273" i="18"/>
  <c r="AF273" i="18" s="1"/>
  <c r="AD273" i="18" s="1"/>
  <c r="AG261" i="18"/>
  <c r="AF261" i="18" s="1"/>
  <c r="AD261" i="18" s="1"/>
  <c r="AG65" i="18"/>
  <c r="AF65" i="18" s="1"/>
  <c r="AD65" i="18" s="1"/>
  <c r="AG136" i="18"/>
  <c r="AF136" i="18" s="1"/>
  <c r="AD136" i="18" s="1"/>
  <c r="AG104" i="18"/>
  <c r="AF104" i="18" s="1"/>
  <c r="AD104" i="18" s="1"/>
  <c r="AG72" i="18"/>
  <c r="AF72" i="18" s="1"/>
  <c r="AD72" i="18" s="1"/>
  <c r="AG40" i="18"/>
  <c r="AF40" i="18" s="1"/>
  <c r="AD40" i="18" s="1"/>
  <c r="AG364" i="18"/>
  <c r="AF364" i="18" s="1"/>
  <c r="AD364" i="18" s="1"/>
  <c r="AG348" i="18"/>
  <c r="AF348" i="18" s="1"/>
  <c r="AD348" i="18" s="1"/>
  <c r="AG332" i="18"/>
  <c r="AF332" i="18" s="1"/>
  <c r="AD332" i="18" s="1"/>
  <c r="AG316" i="18"/>
  <c r="AF316" i="18" s="1"/>
  <c r="AD316" i="18" s="1"/>
  <c r="AG300" i="18"/>
  <c r="AF300" i="18" s="1"/>
  <c r="AD300" i="18" s="1"/>
  <c r="AG284" i="18"/>
  <c r="AF284" i="18" s="1"/>
  <c r="AD284" i="18" s="1"/>
  <c r="AG268" i="18"/>
  <c r="AF268" i="18" s="1"/>
  <c r="AD268" i="18" s="1"/>
  <c r="AG374" i="18"/>
  <c r="AF374" i="18" s="1"/>
  <c r="AD374" i="18" s="1"/>
  <c r="AG358" i="18"/>
  <c r="AF358" i="18" s="1"/>
  <c r="AD358" i="18" s="1"/>
  <c r="AG342" i="18"/>
  <c r="AF342" i="18" s="1"/>
  <c r="AD342" i="18" s="1"/>
  <c r="AG326" i="18"/>
  <c r="AF326" i="18" s="1"/>
  <c r="AD326" i="18" s="1"/>
  <c r="AG310" i="18"/>
  <c r="AF310" i="18" s="1"/>
  <c r="AD310" i="18" s="1"/>
  <c r="AG294" i="18"/>
  <c r="AF294" i="18" s="1"/>
  <c r="AD294" i="18" s="1"/>
  <c r="AG278" i="18"/>
  <c r="AF278" i="18" s="1"/>
  <c r="AD278" i="18" s="1"/>
  <c r="AG262" i="18"/>
  <c r="AF262" i="18" s="1"/>
  <c r="AD262" i="18" s="1"/>
  <c r="AG252" i="18"/>
  <c r="AF252" i="18" s="1"/>
  <c r="AD252" i="18" s="1"/>
  <c r="AG244" i="18"/>
  <c r="AF244" i="18" s="1"/>
  <c r="AD244" i="18" s="1"/>
  <c r="AG236" i="18"/>
  <c r="AF236" i="18" s="1"/>
  <c r="AD236" i="18" s="1"/>
  <c r="AG228" i="18"/>
  <c r="AF228" i="18" s="1"/>
  <c r="AD228" i="18" s="1"/>
  <c r="AG220" i="18"/>
  <c r="AF220" i="18" s="1"/>
  <c r="AD220" i="18" s="1"/>
  <c r="AG212" i="18"/>
  <c r="AF212" i="18" s="1"/>
  <c r="AD212" i="18" s="1"/>
  <c r="AG204" i="18"/>
  <c r="AF204" i="18" s="1"/>
  <c r="AD204" i="18" s="1"/>
  <c r="AG196" i="18"/>
  <c r="AF196" i="18" s="1"/>
  <c r="AD196" i="18" s="1"/>
  <c r="AG188" i="18"/>
  <c r="AF188" i="18" s="1"/>
  <c r="AD188" i="18" s="1"/>
  <c r="AG180" i="18"/>
  <c r="AF180" i="18" s="1"/>
  <c r="AD180" i="18" s="1"/>
  <c r="AG172" i="18"/>
  <c r="AF172" i="18" s="1"/>
  <c r="AD172" i="18" s="1"/>
  <c r="AG164" i="18"/>
  <c r="AF164" i="18" s="1"/>
  <c r="AD164" i="18" s="1"/>
  <c r="AG156" i="18"/>
  <c r="AF156" i="18" s="1"/>
  <c r="AD156" i="18" s="1"/>
  <c r="AI12" i="20"/>
  <c r="AH379" i="18"/>
  <c r="AG379" i="18" s="1"/>
  <c r="AF379" i="18" s="1"/>
  <c r="AD379" i="18" s="1"/>
  <c r="AG371" i="18"/>
  <c r="AF371" i="18" s="1"/>
  <c r="AD371" i="18" s="1"/>
  <c r="AG363" i="18"/>
  <c r="AF363" i="18" s="1"/>
  <c r="AD363" i="18" s="1"/>
  <c r="AG355" i="18"/>
  <c r="AF355" i="18" s="1"/>
  <c r="AD355" i="18" s="1"/>
  <c r="AG347" i="18"/>
  <c r="AF347" i="18" s="1"/>
  <c r="AD347" i="18" s="1"/>
  <c r="AG339" i="18"/>
  <c r="AF339" i="18" s="1"/>
  <c r="AD339" i="18" s="1"/>
  <c r="AG265" i="18"/>
  <c r="AF265" i="18" s="1"/>
  <c r="AD265" i="18" s="1"/>
  <c r="AG41" i="18"/>
  <c r="AF41" i="18" s="1"/>
  <c r="AD41" i="18" s="1"/>
  <c r="AG144" i="18"/>
  <c r="AF144" i="18" s="1"/>
  <c r="AD144" i="18" s="1"/>
  <c r="AG112" i="18"/>
  <c r="AF112" i="18" s="1"/>
  <c r="AD112" i="18" s="1"/>
  <c r="AG80" i="18"/>
  <c r="AF80" i="18" s="1"/>
  <c r="AD80" i="18" s="1"/>
  <c r="AG48" i="18"/>
  <c r="AF48" i="18" s="1"/>
  <c r="AD48" i="18" s="1"/>
  <c r="AG19" i="18"/>
  <c r="AF19" i="18" s="1"/>
  <c r="AD19" i="18" s="1"/>
  <c r="T15" i="18"/>
  <c r="U383" i="18"/>
  <c r="U381" i="18"/>
  <c r="U382" i="18"/>
  <c r="S249" i="18"/>
  <c r="R249" i="18" s="1"/>
  <c r="P249" i="18" s="1"/>
  <c r="V249" i="18" s="1"/>
  <c r="B249" i="18" s="1"/>
  <c r="AG20" i="18"/>
  <c r="AF20" i="18" s="1"/>
  <c r="AD20" i="18" s="1"/>
  <c r="I36" i="19"/>
  <c r="H36" i="19"/>
  <c r="L65" i="19"/>
  <c r="K65" i="19"/>
  <c r="C65" i="19"/>
  <c r="R382" i="17"/>
  <c r="P15" i="17"/>
  <c r="R383" i="17"/>
  <c r="R381" i="17"/>
  <c r="AF381" i="17"/>
  <c r="AD15" i="17"/>
  <c r="AF382" i="17"/>
  <c r="AF383" i="17"/>
  <c r="Q296" i="22"/>
  <c r="AA15" i="16"/>
  <c r="AK10" i="16"/>
  <c r="AK12" i="16" s="1"/>
  <c r="AK13" i="16" s="1"/>
  <c r="G15" i="16"/>
  <c r="F382" i="16"/>
  <c r="H15" i="16"/>
  <c r="F381" i="16"/>
  <c r="F383" i="16"/>
  <c r="AM10" i="16"/>
  <c r="F9" i="16"/>
  <c r="Q360" i="22"/>
  <c r="Q232" i="22"/>
  <c r="Q328" i="22"/>
  <c r="Q264" i="22"/>
  <c r="Q200" i="22"/>
  <c r="Q376" i="22"/>
  <c r="Q344" i="22"/>
  <c r="Q312" i="22"/>
  <c r="Q280" i="22"/>
  <c r="Q248" i="22"/>
  <c r="Q216" i="22"/>
  <c r="Q150" i="22"/>
  <c r="Q368" i="22"/>
  <c r="Q352" i="22"/>
  <c r="Q336" i="22"/>
  <c r="Q320" i="22"/>
  <c r="Q304" i="22"/>
  <c r="Q288" i="22"/>
  <c r="Q272" i="22"/>
  <c r="Q256" i="22"/>
  <c r="Q240" i="22"/>
  <c r="Q224" i="22"/>
  <c r="Q208" i="22"/>
  <c r="Q182" i="22"/>
  <c r="Q110" i="22"/>
  <c r="Q372" i="22"/>
  <c r="Q364" i="22"/>
  <c r="Q356" i="22"/>
  <c r="Q348" i="22"/>
  <c r="Q340" i="22"/>
  <c r="Q332" i="22"/>
  <c r="Q324" i="22"/>
  <c r="Q316" i="22"/>
  <c r="Q308" i="22"/>
  <c r="Q300" i="22"/>
  <c r="Q292" i="22"/>
  <c r="Q284" i="22"/>
  <c r="Q276" i="22"/>
  <c r="Q268" i="22"/>
  <c r="Q260" i="22"/>
  <c r="Q252" i="22"/>
  <c r="Q244" i="22"/>
  <c r="Q236" i="22"/>
  <c r="Q228" i="22"/>
  <c r="Q220" i="22"/>
  <c r="Q212" i="22"/>
  <c r="Q204" i="22"/>
  <c r="Q196" i="22"/>
  <c r="Q166" i="22"/>
  <c r="Q134" i="22"/>
  <c r="Q78" i="22"/>
  <c r="AE383" i="20"/>
  <c r="Q378" i="22"/>
  <c r="Q374" i="22"/>
  <c r="Q370" i="22"/>
  <c r="Q366" i="22"/>
  <c r="Q362" i="22"/>
  <c r="Q358" i="22"/>
  <c r="Q354" i="22"/>
  <c r="Q350" i="22"/>
  <c r="Q346" i="22"/>
  <c r="Q342" i="22"/>
  <c r="Q338" i="22"/>
  <c r="Q334" i="22"/>
  <c r="Q330" i="22"/>
  <c r="Q326" i="22"/>
  <c r="Q322" i="22"/>
  <c r="Q318" i="22"/>
  <c r="Q314" i="22"/>
  <c r="Q310" i="22"/>
  <c r="Q306" i="22"/>
  <c r="Q302" i="22"/>
  <c r="Q298" i="22"/>
  <c r="Q294" i="22"/>
  <c r="Q290" i="22"/>
  <c r="Q286" i="22"/>
  <c r="Q282" i="22"/>
  <c r="Q278" i="22"/>
  <c r="Q274" i="22"/>
  <c r="Q270" i="22"/>
  <c r="Q266" i="22"/>
  <c r="Q262" i="22"/>
  <c r="Q258" i="22"/>
  <c r="Q254" i="22"/>
  <c r="Q250" i="22"/>
  <c r="Q246" i="22"/>
  <c r="Q242" i="22"/>
  <c r="Q238" i="22"/>
  <c r="Q234" i="22"/>
  <c r="Q230" i="22"/>
  <c r="Q226" i="22"/>
  <c r="Q222" i="22"/>
  <c r="Q218" i="22"/>
  <c r="Q214" i="22"/>
  <c r="Q210" i="22"/>
  <c r="Q206" i="22"/>
  <c r="Q202" i="22"/>
  <c r="Q198" i="22"/>
  <c r="Q190" i="22"/>
  <c r="Q174" i="22"/>
  <c r="Q158" i="22"/>
  <c r="Q142" i="22"/>
  <c r="Q126" i="22"/>
  <c r="Q94" i="22"/>
  <c r="Q46" i="22"/>
  <c r="Q118" i="22"/>
  <c r="Q102" i="22"/>
  <c r="Q86" i="22"/>
  <c r="Q62" i="22"/>
  <c r="Q30" i="22"/>
  <c r="Q194" i="22"/>
  <c r="Q186" i="22"/>
  <c r="Q178" i="22"/>
  <c r="Q170" i="22"/>
  <c r="Q162" i="22"/>
  <c r="Q154" i="22"/>
  <c r="Q146" i="22"/>
  <c r="Q138" i="22"/>
  <c r="Q130" i="22"/>
  <c r="Q122" i="22"/>
  <c r="Q114" i="22"/>
  <c r="Q106" i="22"/>
  <c r="Q98" i="22"/>
  <c r="Q90" i="22"/>
  <c r="Q82" i="22"/>
  <c r="Q70" i="22"/>
  <c r="Q54" i="22"/>
  <c r="Q38" i="22"/>
  <c r="Q22" i="22"/>
  <c r="Q379" i="22"/>
  <c r="Q12" i="23" s="1"/>
  <c r="Q377" i="22"/>
  <c r="Q375" i="22"/>
  <c r="Q373" i="22"/>
  <c r="Q371" i="22"/>
  <c r="Q369" i="22"/>
  <c r="Q367" i="22"/>
  <c r="Q365" i="22"/>
  <c r="Q363" i="22"/>
  <c r="Q361" i="22"/>
  <c r="Q359" i="22"/>
  <c r="Q357" i="22"/>
  <c r="Q355" i="22"/>
  <c r="Q353" i="22"/>
  <c r="Q351" i="22"/>
  <c r="Q349" i="22"/>
  <c r="Q347" i="22"/>
  <c r="Q345" i="22"/>
  <c r="Q343" i="22"/>
  <c r="Q341" i="22"/>
  <c r="Q339" i="22"/>
  <c r="Q337" i="22"/>
  <c r="Q335" i="22"/>
  <c r="Q333" i="22"/>
  <c r="Q331" i="22"/>
  <c r="Q329" i="22"/>
  <c r="Q327" i="22"/>
  <c r="Q325" i="22"/>
  <c r="Q323" i="22"/>
  <c r="Q321" i="22"/>
  <c r="Q319" i="22"/>
  <c r="Q317" i="22"/>
  <c r="Q315" i="22"/>
  <c r="Q313" i="22"/>
  <c r="Q311" i="22"/>
  <c r="Q309" i="22"/>
  <c r="Q307" i="22"/>
  <c r="Q305" i="22"/>
  <c r="Q303" i="22"/>
  <c r="Q301" i="22"/>
  <c r="Q299" i="22"/>
  <c r="Q297" i="22"/>
  <c r="Q295" i="22"/>
  <c r="Q293" i="22"/>
  <c r="Q291" i="22"/>
  <c r="Q289" i="22"/>
  <c r="Q287" i="22"/>
  <c r="Q285" i="22"/>
  <c r="Q283" i="22"/>
  <c r="Q281" i="22"/>
  <c r="Q279" i="22"/>
  <c r="Q277" i="22"/>
  <c r="Q275" i="22"/>
  <c r="Q273" i="22"/>
  <c r="Q271" i="22"/>
  <c r="Q269" i="22"/>
  <c r="Q267" i="22"/>
  <c r="Q265" i="22"/>
  <c r="Q263" i="22"/>
  <c r="Q261" i="22"/>
  <c r="Q259" i="22"/>
  <c r="Q257" i="22"/>
  <c r="Q255" i="22"/>
  <c r="Q253" i="22"/>
  <c r="Q251" i="22"/>
  <c r="Q249" i="22"/>
  <c r="Q247" i="22"/>
  <c r="Q245" i="22"/>
  <c r="Q243" i="22"/>
  <c r="Q241" i="22"/>
  <c r="Q239" i="22"/>
  <c r="Q237" i="22"/>
  <c r="Q235" i="22"/>
  <c r="Q233" i="22"/>
  <c r="Q231" i="22"/>
  <c r="Q229" i="22"/>
  <c r="Q227" i="22"/>
  <c r="Q225" i="22"/>
  <c r="Q223" i="22"/>
  <c r="Q221" i="22"/>
  <c r="Q219" i="22"/>
  <c r="Q217" i="22"/>
  <c r="Q215" i="22"/>
  <c r="Q213" i="22"/>
  <c r="Q211" i="22"/>
  <c r="Q209" i="22"/>
  <c r="Q207" i="22"/>
  <c r="Q205" i="22"/>
  <c r="Q203" i="22"/>
  <c r="Q201" i="22"/>
  <c r="Q199" i="22"/>
  <c r="Q197" i="22"/>
  <c r="Q195" i="22"/>
  <c r="Q192" i="22"/>
  <c r="Q188" i="22"/>
  <c r="Q184" i="22"/>
  <c r="Q180" i="22"/>
  <c r="Q176" i="22"/>
  <c r="Q172" i="22"/>
  <c r="Q168" i="22"/>
  <c r="Q164" i="22"/>
  <c r="Q160" i="22"/>
  <c r="Q156" i="22"/>
  <c r="Q152" i="22"/>
  <c r="Q148" i="22"/>
  <c r="Q144" i="22"/>
  <c r="Q140" i="22"/>
  <c r="Q136" i="22"/>
  <c r="Q132" i="22"/>
  <c r="Q128" i="22"/>
  <c r="Q124" i="22"/>
  <c r="Q120" i="22"/>
  <c r="Q116" i="22"/>
  <c r="Q112" i="22"/>
  <c r="Q108" i="22"/>
  <c r="Q104" i="22"/>
  <c r="Q100" i="22"/>
  <c r="Q96" i="22"/>
  <c r="Q92" i="22"/>
  <c r="Q88" i="22"/>
  <c r="Q84" i="22"/>
  <c r="Q80" i="22"/>
  <c r="Q74" i="22"/>
  <c r="Q66" i="22"/>
  <c r="Q58" i="22"/>
  <c r="Q50" i="22"/>
  <c r="Q42" i="22"/>
  <c r="Q34" i="22"/>
  <c r="Q26" i="22"/>
  <c r="Q15" i="22"/>
  <c r="AF15" i="18"/>
  <c r="Q76" i="22"/>
  <c r="Q72" i="22"/>
  <c r="Q68" i="22"/>
  <c r="Q64" i="22"/>
  <c r="Q60" i="22"/>
  <c r="Q56" i="22"/>
  <c r="Q52" i="22"/>
  <c r="Q48" i="22"/>
  <c r="Q44" i="22"/>
  <c r="Q40" i="22"/>
  <c r="Q36" i="22"/>
  <c r="Q32" i="22"/>
  <c r="Q28" i="22"/>
  <c r="Q24" i="22"/>
  <c r="Q20" i="22"/>
  <c r="AO15" i="7"/>
  <c r="AE17" i="22"/>
  <c r="AE19" i="22"/>
  <c r="AE18" i="22"/>
  <c r="AE21" i="22"/>
  <c r="AE23" i="22"/>
  <c r="AE25" i="22"/>
  <c r="AE27" i="22"/>
  <c r="AE29" i="22"/>
  <c r="AE31" i="22"/>
  <c r="AE33" i="22"/>
  <c r="AE35" i="22"/>
  <c r="AE37" i="22"/>
  <c r="AE39" i="22"/>
  <c r="AE41" i="22"/>
  <c r="AE43" i="22"/>
  <c r="AE45" i="22"/>
  <c r="AE47" i="22"/>
  <c r="AE49" i="22"/>
  <c r="AE51" i="22"/>
  <c r="AE53" i="22"/>
  <c r="AE55" i="22"/>
  <c r="AE57" i="22"/>
  <c r="AE59" i="22"/>
  <c r="AE61" i="22"/>
  <c r="AE63" i="22"/>
  <c r="AE65" i="22"/>
  <c r="AE67" i="22"/>
  <c r="AE69" i="22"/>
  <c r="AE71" i="22"/>
  <c r="AE73" i="22"/>
  <c r="AE75" i="22"/>
  <c r="AE77" i="22"/>
  <c r="AE79" i="22"/>
  <c r="AE81" i="22"/>
  <c r="AE83" i="22"/>
  <c r="AE85" i="22"/>
  <c r="AE87" i="22"/>
  <c r="AE89" i="22"/>
  <c r="AE91" i="22"/>
  <c r="AE93" i="22"/>
  <c r="AE95" i="22"/>
  <c r="AE97" i="22"/>
  <c r="AE99" i="22"/>
  <c r="AE101" i="22"/>
  <c r="AE103" i="22"/>
  <c r="AE105" i="22"/>
  <c r="AE107" i="22"/>
  <c r="AE109" i="22"/>
  <c r="AE111" i="22"/>
  <c r="AE113" i="22"/>
  <c r="AE115" i="22"/>
  <c r="AE117" i="22"/>
  <c r="AE119" i="22"/>
  <c r="AE121" i="22"/>
  <c r="AE123" i="22"/>
  <c r="AE125" i="22"/>
  <c r="AE127" i="22"/>
  <c r="AE129" i="22"/>
  <c r="AE131" i="22"/>
  <c r="AE133" i="22"/>
  <c r="AE135" i="22"/>
  <c r="AE137" i="22"/>
  <c r="AE139" i="22"/>
  <c r="AE141" i="22"/>
  <c r="AE143" i="22"/>
  <c r="AE145" i="22"/>
  <c r="AE147" i="22"/>
  <c r="AE149" i="22"/>
  <c r="AE151" i="22"/>
  <c r="AE153" i="22"/>
  <c r="AE155" i="22"/>
  <c r="AE157" i="22"/>
  <c r="AE159" i="22"/>
  <c r="AE161" i="22"/>
  <c r="AE163" i="22"/>
  <c r="AE165" i="22"/>
  <c r="AE167" i="22"/>
  <c r="AE169" i="22"/>
  <c r="AE171" i="22"/>
  <c r="AE173" i="22"/>
  <c r="AE175" i="22"/>
  <c r="AE177" i="22"/>
  <c r="AE179" i="22"/>
  <c r="AE181" i="22"/>
  <c r="AE183" i="22"/>
  <c r="AE185" i="22"/>
  <c r="AE187" i="22"/>
  <c r="AE189" i="22"/>
  <c r="AE191" i="22"/>
  <c r="AE193" i="22"/>
  <c r="AE195" i="22"/>
  <c r="AE197" i="22"/>
  <c r="AE199" i="22"/>
  <c r="AE201" i="22"/>
  <c r="AE203" i="22"/>
  <c r="AE205" i="22"/>
  <c r="AE207" i="22"/>
  <c r="AE209" i="22"/>
  <c r="AE211" i="22"/>
  <c r="AE213" i="22"/>
  <c r="AE215" i="22"/>
  <c r="AE217" i="22"/>
  <c r="AE219" i="22"/>
  <c r="AE221" i="22"/>
  <c r="AE223" i="22"/>
  <c r="AE225" i="22"/>
  <c r="AE227" i="22"/>
  <c r="AE229" i="22"/>
  <c r="AE231" i="22"/>
  <c r="AE233" i="22"/>
  <c r="AE235" i="22"/>
  <c r="AE237" i="22"/>
  <c r="AE239" i="22"/>
  <c r="AE241" i="22"/>
  <c r="AE243" i="22"/>
  <c r="AE245" i="22"/>
  <c r="AE247" i="22"/>
  <c r="AE249" i="22"/>
  <c r="AE251" i="22"/>
  <c r="AE253" i="22"/>
  <c r="AE255" i="22"/>
  <c r="AE257" i="22"/>
  <c r="AE259" i="22"/>
  <c r="AE261" i="22"/>
  <c r="AE263" i="22"/>
  <c r="AE265" i="22"/>
  <c r="AE267" i="22"/>
  <c r="AE269" i="22"/>
  <c r="AE271" i="22"/>
  <c r="AE273" i="22"/>
  <c r="AE275" i="22"/>
  <c r="AE277" i="22"/>
  <c r="AE279" i="22"/>
  <c r="AE281" i="22"/>
  <c r="AE283" i="22"/>
  <c r="AE285" i="22"/>
  <c r="AE287" i="22"/>
  <c r="AE289" i="22"/>
  <c r="AE291" i="22"/>
  <c r="AE293" i="22"/>
  <c r="AE295" i="22"/>
  <c r="AE297" i="22"/>
  <c r="AE299" i="22"/>
  <c r="AE301" i="22"/>
  <c r="AE303" i="22"/>
  <c r="AE305" i="22"/>
  <c r="AE307" i="22"/>
  <c r="AE309" i="22"/>
  <c r="AE311" i="22"/>
  <c r="AE313" i="22"/>
  <c r="AE315" i="22"/>
  <c r="AE317" i="22"/>
  <c r="AE319" i="22"/>
  <c r="AE321" i="22"/>
  <c r="AE323" i="22"/>
  <c r="AE325" i="22"/>
  <c r="AE327" i="22"/>
  <c r="AE329" i="22"/>
  <c r="AE331" i="22"/>
  <c r="AE333" i="22"/>
  <c r="AE335" i="22"/>
  <c r="AE337" i="22"/>
  <c r="AE339" i="22"/>
  <c r="AE341" i="22"/>
  <c r="AE343" i="22"/>
  <c r="AE345" i="22"/>
  <c r="AE347" i="22"/>
  <c r="AE349" i="22"/>
  <c r="AE351" i="22"/>
  <c r="AE353" i="22"/>
  <c r="AE355" i="22"/>
  <c r="AE357" i="22"/>
  <c r="AE359" i="22"/>
  <c r="AE361" i="22"/>
  <c r="AE363" i="22"/>
  <c r="AE365" i="22"/>
  <c r="AE367" i="22"/>
  <c r="AE369" i="22"/>
  <c r="AE371" i="22"/>
  <c r="AE373" i="22"/>
  <c r="AE375" i="22"/>
  <c r="AE377" i="22"/>
  <c r="AE379" i="22"/>
  <c r="AE12" i="23" s="1"/>
  <c r="AE15" i="22"/>
  <c r="AE16" i="22"/>
  <c r="AE20" i="22"/>
  <c r="AE22" i="22"/>
  <c r="AE24" i="22"/>
  <c r="AE26" i="22"/>
  <c r="AE28" i="22"/>
  <c r="AE30" i="22"/>
  <c r="AE32" i="22"/>
  <c r="AE34" i="22"/>
  <c r="AE36" i="22"/>
  <c r="AE38" i="22"/>
  <c r="AE40" i="22"/>
  <c r="AE42" i="22"/>
  <c r="AE44" i="22"/>
  <c r="AE46" i="22"/>
  <c r="AE48" i="22"/>
  <c r="AE50" i="22"/>
  <c r="AE52" i="22"/>
  <c r="AE54" i="22"/>
  <c r="AE56" i="22"/>
  <c r="AE58" i="22"/>
  <c r="AE60" i="22"/>
  <c r="AE62" i="22"/>
  <c r="AE64" i="22"/>
  <c r="AE66" i="22"/>
  <c r="AE68" i="22"/>
  <c r="AE70" i="22"/>
  <c r="AE72" i="22"/>
  <c r="AE74" i="22"/>
  <c r="AE76" i="22"/>
  <c r="AE78" i="22"/>
  <c r="AE80" i="22"/>
  <c r="AE82" i="22"/>
  <c r="AE84" i="22"/>
  <c r="AE86" i="22"/>
  <c r="AE88" i="22"/>
  <c r="AE90" i="22"/>
  <c r="AE92" i="22"/>
  <c r="AE94" i="22"/>
  <c r="AE96" i="22"/>
  <c r="AE98" i="22"/>
  <c r="AE100" i="22"/>
  <c r="AE102" i="22"/>
  <c r="AE104" i="22"/>
  <c r="AE106" i="22"/>
  <c r="AE108" i="22"/>
  <c r="AE110" i="22"/>
  <c r="AE112" i="22"/>
  <c r="AE114" i="22"/>
  <c r="AE116" i="22"/>
  <c r="AE118" i="22"/>
  <c r="AE120" i="22"/>
  <c r="AE122" i="22"/>
  <c r="AE124" i="22"/>
  <c r="AE126" i="22"/>
  <c r="AE128" i="22"/>
  <c r="AE130" i="22"/>
  <c r="AE132" i="22"/>
  <c r="AE134" i="22"/>
  <c r="AE136" i="22"/>
  <c r="AE138" i="22"/>
  <c r="AE140" i="22"/>
  <c r="AE142" i="22"/>
  <c r="AE144" i="22"/>
  <c r="AE146" i="22"/>
  <c r="AE148" i="22"/>
  <c r="AE150" i="22"/>
  <c r="AE152" i="22"/>
  <c r="AE154" i="22"/>
  <c r="AE156" i="22"/>
  <c r="AE158" i="22"/>
  <c r="AE160" i="22"/>
  <c r="AE162" i="22"/>
  <c r="AE164" i="22"/>
  <c r="AE166" i="22"/>
  <c r="AE168" i="22"/>
  <c r="AE170" i="22"/>
  <c r="AE172" i="22"/>
  <c r="AE174" i="22"/>
  <c r="AE176" i="22"/>
  <c r="AE178" i="22"/>
  <c r="AE180" i="22"/>
  <c r="AE182" i="22"/>
  <c r="AE184" i="22"/>
  <c r="AE186" i="22"/>
  <c r="AE188" i="22"/>
  <c r="AE190" i="22"/>
  <c r="AE192" i="22"/>
  <c r="AE194" i="22"/>
  <c r="AE196" i="22"/>
  <c r="AE198" i="22"/>
  <c r="AE200" i="22"/>
  <c r="AE202" i="22"/>
  <c r="AE204" i="22"/>
  <c r="AE206" i="22"/>
  <c r="AE208" i="22"/>
  <c r="AE210" i="22"/>
  <c r="AE212" i="22"/>
  <c r="AE214" i="22"/>
  <c r="AE216" i="22"/>
  <c r="AE218" i="22"/>
  <c r="AE220" i="22"/>
  <c r="AE222" i="22"/>
  <c r="AE224" i="22"/>
  <c r="AE226" i="22"/>
  <c r="AE228" i="22"/>
  <c r="AE230" i="22"/>
  <c r="AE232" i="22"/>
  <c r="AE234" i="22"/>
  <c r="AE236" i="22"/>
  <c r="AE238" i="22"/>
  <c r="AE240" i="22"/>
  <c r="AE242" i="22"/>
  <c r="AE244" i="22"/>
  <c r="AE246" i="22"/>
  <c r="AE248" i="22"/>
  <c r="AE250" i="22"/>
  <c r="AE252" i="22"/>
  <c r="AE254" i="22"/>
  <c r="AE256" i="22"/>
  <c r="AE258" i="22"/>
  <c r="AE260" i="22"/>
  <c r="AE262" i="22"/>
  <c r="AE264" i="22"/>
  <c r="AE266" i="22"/>
  <c r="AE268" i="22"/>
  <c r="AE270" i="22"/>
  <c r="AE272" i="22"/>
  <c r="AE274" i="22"/>
  <c r="AE276" i="22"/>
  <c r="AE278" i="22"/>
  <c r="AE280" i="22"/>
  <c r="AE282" i="22"/>
  <c r="AE284" i="22"/>
  <c r="AE286" i="22"/>
  <c r="AE288" i="22"/>
  <c r="AE290" i="22"/>
  <c r="AE292" i="22"/>
  <c r="AE294" i="22"/>
  <c r="AE296" i="22"/>
  <c r="AE298" i="22"/>
  <c r="AE300" i="22"/>
  <c r="AE302" i="22"/>
  <c r="AE304" i="22"/>
  <c r="AE306" i="22"/>
  <c r="AE308" i="22"/>
  <c r="AE310" i="22"/>
  <c r="AE312" i="22"/>
  <c r="AE314" i="22"/>
  <c r="AE316" i="22"/>
  <c r="AE318" i="22"/>
  <c r="AE320" i="22"/>
  <c r="AE322" i="22"/>
  <c r="AE324" i="22"/>
  <c r="AE326" i="22"/>
  <c r="AE328" i="22"/>
  <c r="AE330" i="22"/>
  <c r="AE332" i="22"/>
  <c r="AE334" i="22"/>
  <c r="AE336" i="22"/>
  <c r="AE338" i="22"/>
  <c r="AE340" i="22"/>
  <c r="AE342" i="22"/>
  <c r="AE344" i="22"/>
  <c r="AE346" i="22"/>
  <c r="AE348" i="22"/>
  <c r="AE350" i="22"/>
  <c r="AE352" i="22"/>
  <c r="AE354" i="22"/>
  <c r="AE356" i="22"/>
  <c r="AE358" i="22"/>
  <c r="AE360" i="22"/>
  <c r="AE362" i="22"/>
  <c r="AE364" i="22"/>
  <c r="AE366" i="22"/>
  <c r="AE368" i="22"/>
  <c r="AE370" i="22"/>
  <c r="AE372" i="22"/>
  <c r="AE374" i="22"/>
  <c r="AE376" i="22"/>
  <c r="AE378" i="22"/>
  <c r="AL6" i="16"/>
  <c r="AL12" i="16" s="1"/>
  <c r="Q193" i="22"/>
  <c r="Q191" i="22"/>
  <c r="Q189" i="22"/>
  <c r="Q187" i="22"/>
  <c r="Q185" i="22"/>
  <c r="Q183" i="22"/>
  <c r="Q181" i="22"/>
  <c r="Q179" i="22"/>
  <c r="Q177" i="22"/>
  <c r="Q175" i="22"/>
  <c r="Q173" i="22"/>
  <c r="Q171" i="22"/>
  <c r="Q169" i="22"/>
  <c r="Q167" i="22"/>
  <c r="Q165" i="22"/>
  <c r="Q163" i="22"/>
  <c r="Q161" i="22"/>
  <c r="Q159" i="22"/>
  <c r="Q157" i="22"/>
  <c r="Q155" i="22"/>
  <c r="Q153" i="22"/>
  <c r="Q151" i="22"/>
  <c r="Q149" i="22"/>
  <c r="Q147" i="22"/>
  <c r="Q145" i="22"/>
  <c r="Q143" i="22"/>
  <c r="Q141" i="22"/>
  <c r="Q139" i="22"/>
  <c r="Q137" i="22"/>
  <c r="Q135" i="22"/>
  <c r="Q133" i="22"/>
  <c r="Q131" i="22"/>
  <c r="Q129" i="22"/>
  <c r="Q127" i="22"/>
  <c r="Q125" i="22"/>
  <c r="Q123" i="22"/>
  <c r="Q121" i="22"/>
  <c r="Q119" i="22"/>
  <c r="Q117" i="22"/>
  <c r="Q115" i="22"/>
  <c r="Q113" i="22"/>
  <c r="Q111" i="22"/>
  <c r="Q109" i="22"/>
  <c r="Q107" i="22"/>
  <c r="Q105" i="22"/>
  <c r="Q103" i="22"/>
  <c r="Q101" i="22"/>
  <c r="Q99" i="22"/>
  <c r="Q97" i="22"/>
  <c r="Q95" i="22"/>
  <c r="Q93" i="22"/>
  <c r="Q91" i="22"/>
  <c r="Q89" i="22"/>
  <c r="Q87" i="22"/>
  <c r="Q85" i="22"/>
  <c r="Q83" i="22"/>
  <c r="Q81" i="22"/>
  <c r="Q79" i="22"/>
  <c r="Q77" i="22"/>
  <c r="Q75" i="22"/>
  <c r="Q73" i="22"/>
  <c r="Q71" i="22"/>
  <c r="Q69" i="22"/>
  <c r="Q67" i="22"/>
  <c r="Q65" i="22"/>
  <c r="Q63" i="22"/>
  <c r="Q61" i="22"/>
  <c r="Q59" i="22"/>
  <c r="Q57" i="22"/>
  <c r="Q55" i="22"/>
  <c r="Q53" i="22"/>
  <c r="Q51" i="22"/>
  <c r="Q49" i="22"/>
  <c r="Q47" i="22"/>
  <c r="Q45" i="22"/>
  <c r="Q43" i="22"/>
  <c r="Q41" i="22"/>
  <c r="Q39" i="22"/>
  <c r="Q37" i="22"/>
  <c r="Q35" i="22"/>
  <c r="Q33" i="22"/>
  <c r="Q31" i="22"/>
  <c r="Q29" i="22"/>
  <c r="Q27" i="22"/>
  <c r="Q25" i="22"/>
  <c r="Q23" i="22"/>
  <c r="Q21" i="22"/>
  <c r="Q19" i="22"/>
  <c r="Q17" i="22"/>
  <c r="Q18" i="22"/>
  <c r="E65" i="19" l="1"/>
  <c r="B119" i="18"/>
  <c r="I65" i="19"/>
  <c r="AI16" i="7"/>
  <c r="AG16" i="7"/>
  <c r="U27" i="20"/>
  <c r="T27" i="20" s="1"/>
  <c r="U43" i="20"/>
  <c r="T43" i="20" s="1"/>
  <c r="S43" i="20" s="1"/>
  <c r="R43" i="20" s="1"/>
  <c r="P43" i="20" s="1"/>
  <c r="V43" i="20" s="1"/>
  <c r="U59" i="20"/>
  <c r="T59" i="20" s="1"/>
  <c r="U75" i="20"/>
  <c r="T75" i="20" s="1"/>
  <c r="U91" i="20"/>
  <c r="T91" i="20" s="1"/>
  <c r="S91" i="20" s="1"/>
  <c r="R91" i="20" s="1"/>
  <c r="P91" i="20" s="1"/>
  <c r="V91" i="20" s="1"/>
  <c r="U107" i="20"/>
  <c r="T107" i="20" s="1"/>
  <c r="S107" i="20" s="1"/>
  <c r="R107" i="20" s="1"/>
  <c r="P107" i="20" s="1"/>
  <c r="V107" i="20" s="1"/>
  <c r="U123" i="20"/>
  <c r="T123" i="20" s="1"/>
  <c r="S123" i="20" s="1"/>
  <c r="R123" i="20" s="1"/>
  <c r="P123" i="20" s="1"/>
  <c r="V123" i="20" s="1"/>
  <c r="U139" i="20"/>
  <c r="T139" i="20" s="1"/>
  <c r="S139" i="20" s="1"/>
  <c r="R139" i="20" s="1"/>
  <c r="P139" i="20" s="1"/>
  <c r="V139" i="20" s="1"/>
  <c r="U155" i="20"/>
  <c r="T155" i="20" s="1"/>
  <c r="S155" i="20" s="1"/>
  <c r="R155" i="20" s="1"/>
  <c r="P155" i="20" s="1"/>
  <c r="V155" i="20" s="1"/>
  <c r="U171" i="20"/>
  <c r="T171" i="20" s="1"/>
  <c r="S171" i="20" s="1"/>
  <c r="R171" i="20" s="1"/>
  <c r="P171" i="20" s="1"/>
  <c r="V171" i="20" s="1"/>
  <c r="U187" i="20"/>
  <c r="T187" i="20" s="1"/>
  <c r="S187" i="20" s="1"/>
  <c r="R187" i="20" s="1"/>
  <c r="P187" i="20" s="1"/>
  <c r="V187" i="20" s="1"/>
  <c r="U203" i="20"/>
  <c r="T203" i="20" s="1"/>
  <c r="S203" i="20" s="1"/>
  <c r="R203" i="20" s="1"/>
  <c r="P203" i="20" s="1"/>
  <c r="V203" i="20" s="1"/>
  <c r="U219" i="20"/>
  <c r="T219" i="20" s="1"/>
  <c r="S219" i="20" s="1"/>
  <c r="R219" i="20" s="1"/>
  <c r="P219" i="20" s="1"/>
  <c r="V219" i="20" s="1"/>
  <c r="U235" i="20"/>
  <c r="T235" i="20" s="1"/>
  <c r="S235" i="20" s="1"/>
  <c r="R235" i="20" s="1"/>
  <c r="P235" i="20" s="1"/>
  <c r="V235" i="20" s="1"/>
  <c r="U251" i="20"/>
  <c r="T251" i="20" s="1"/>
  <c r="S251" i="20" s="1"/>
  <c r="R251" i="20" s="1"/>
  <c r="P251" i="20" s="1"/>
  <c r="V251" i="20" s="1"/>
  <c r="U261" i="20"/>
  <c r="T261" i="20" s="1"/>
  <c r="S261" i="20" s="1"/>
  <c r="R261" i="20" s="1"/>
  <c r="P261" i="20" s="1"/>
  <c r="V261" i="20" s="1"/>
  <c r="U269" i="20"/>
  <c r="T269" i="20" s="1"/>
  <c r="S269" i="20" s="1"/>
  <c r="R269" i="20" s="1"/>
  <c r="P269" i="20" s="1"/>
  <c r="V269" i="20" s="1"/>
  <c r="U277" i="20"/>
  <c r="T277" i="20" s="1"/>
  <c r="S277" i="20" s="1"/>
  <c r="R277" i="20" s="1"/>
  <c r="P277" i="20" s="1"/>
  <c r="V277" i="20" s="1"/>
  <c r="U285" i="20"/>
  <c r="T285" i="20" s="1"/>
  <c r="S285" i="20" s="1"/>
  <c r="R285" i="20" s="1"/>
  <c r="P285" i="20" s="1"/>
  <c r="V285" i="20" s="1"/>
  <c r="U293" i="20"/>
  <c r="T293" i="20" s="1"/>
  <c r="S293" i="20" s="1"/>
  <c r="R293" i="20" s="1"/>
  <c r="P293" i="20" s="1"/>
  <c r="V293" i="20" s="1"/>
  <c r="U301" i="20"/>
  <c r="T301" i="20" s="1"/>
  <c r="S301" i="20" s="1"/>
  <c r="R301" i="20" s="1"/>
  <c r="P301" i="20" s="1"/>
  <c r="V301" i="20" s="1"/>
  <c r="U309" i="20"/>
  <c r="T309" i="20" s="1"/>
  <c r="S309" i="20" s="1"/>
  <c r="R309" i="20" s="1"/>
  <c r="P309" i="20" s="1"/>
  <c r="V309" i="20" s="1"/>
  <c r="U317" i="20"/>
  <c r="T317" i="20" s="1"/>
  <c r="S317" i="20" s="1"/>
  <c r="R317" i="20" s="1"/>
  <c r="P317" i="20" s="1"/>
  <c r="V317" i="20" s="1"/>
  <c r="U325" i="20"/>
  <c r="T325" i="20" s="1"/>
  <c r="S325" i="20" s="1"/>
  <c r="R325" i="20" s="1"/>
  <c r="P325" i="20" s="1"/>
  <c r="V325" i="20" s="1"/>
  <c r="U333" i="20"/>
  <c r="T333" i="20" s="1"/>
  <c r="S333" i="20" s="1"/>
  <c r="R333" i="20" s="1"/>
  <c r="P333" i="20" s="1"/>
  <c r="U341" i="20"/>
  <c r="T341" i="20" s="1"/>
  <c r="S341" i="20" s="1"/>
  <c r="R341" i="20" s="1"/>
  <c r="P341" i="20" s="1"/>
  <c r="V341" i="20" s="1"/>
  <c r="U349" i="20"/>
  <c r="T349" i="20" s="1"/>
  <c r="S349" i="20" s="1"/>
  <c r="R349" i="20" s="1"/>
  <c r="P349" i="20" s="1"/>
  <c r="V349" i="20" s="1"/>
  <c r="U357" i="20"/>
  <c r="T357" i="20" s="1"/>
  <c r="S357" i="20" s="1"/>
  <c r="R357" i="20" s="1"/>
  <c r="P357" i="20" s="1"/>
  <c r="V357" i="20" s="1"/>
  <c r="U365" i="20"/>
  <c r="T365" i="20" s="1"/>
  <c r="S365" i="20" s="1"/>
  <c r="R365" i="20" s="1"/>
  <c r="P365" i="20" s="1"/>
  <c r="V365" i="20" s="1"/>
  <c r="U373" i="20"/>
  <c r="T373" i="20" s="1"/>
  <c r="S373" i="20" s="1"/>
  <c r="R373" i="20" s="1"/>
  <c r="P373" i="20" s="1"/>
  <c r="V373" i="20" s="1"/>
  <c r="U23" i="20"/>
  <c r="T23" i="20" s="1"/>
  <c r="S23" i="20" s="1"/>
  <c r="R23" i="20" s="1"/>
  <c r="P23" i="20" s="1"/>
  <c r="V23" i="20" s="1"/>
  <c r="U39" i="20"/>
  <c r="T39" i="20" s="1"/>
  <c r="S39" i="20" s="1"/>
  <c r="R39" i="20" s="1"/>
  <c r="P39" i="20" s="1"/>
  <c r="V39" i="20" s="1"/>
  <c r="U55" i="20"/>
  <c r="T55" i="20" s="1"/>
  <c r="S55" i="20" s="1"/>
  <c r="R55" i="20" s="1"/>
  <c r="P55" i="20" s="1"/>
  <c r="V55" i="20" s="1"/>
  <c r="U71" i="20"/>
  <c r="T71" i="20" s="1"/>
  <c r="U87" i="20"/>
  <c r="T87" i="20" s="1"/>
  <c r="U103" i="20"/>
  <c r="T103" i="20" s="1"/>
  <c r="S103" i="20" s="1"/>
  <c r="R103" i="20" s="1"/>
  <c r="P103" i="20" s="1"/>
  <c r="V103" i="20" s="1"/>
  <c r="U119" i="20"/>
  <c r="T119" i="20" s="1"/>
  <c r="S119" i="20" s="1"/>
  <c r="R119" i="20" s="1"/>
  <c r="P119" i="20" s="1"/>
  <c r="U135" i="20"/>
  <c r="T135" i="20" s="1"/>
  <c r="S135" i="20" s="1"/>
  <c r="R135" i="20" s="1"/>
  <c r="P135" i="20" s="1"/>
  <c r="V135" i="20" s="1"/>
  <c r="U151" i="20"/>
  <c r="T151" i="20" s="1"/>
  <c r="S151" i="20" s="1"/>
  <c r="R151" i="20" s="1"/>
  <c r="P151" i="20" s="1"/>
  <c r="V151" i="20" s="1"/>
  <c r="U167" i="20"/>
  <c r="T167" i="20" s="1"/>
  <c r="S167" i="20" s="1"/>
  <c r="R167" i="20" s="1"/>
  <c r="P167" i="20" s="1"/>
  <c r="V167" i="20" s="1"/>
  <c r="U183" i="20"/>
  <c r="T183" i="20" s="1"/>
  <c r="S183" i="20" s="1"/>
  <c r="R183" i="20" s="1"/>
  <c r="P183" i="20" s="1"/>
  <c r="V183" i="20" s="1"/>
  <c r="U199" i="20"/>
  <c r="T199" i="20" s="1"/>
  <c r="S199" i="20" s="1"/>
  <c r="R199" i="20" s="1"/>
  <c r="P199" i="20" s="1"/>
  <c r="V199" i="20" s="1"/>
  <c r="U215" i="20"/>
  <c r="T215" i="20" s="1"/>
  <c r="S215" i="20" s="1"/>
  <c r="R215" i="20" s="1"/>
  <c r="P215" i="20" s="1"/>
  <c r="V215" i="20" s="1"/>
  <c r="U231" i="20"/>
  <c r="T231" i="20" s="1"/>
  <c r="S231" i="20" s="1"/>
  <c r="R231" i="20" s="1"/>
  <c r="P231" i="20" s="1"/>
  <c r="V231" i="20" s="1"/>
  <c r="U247" i="20"/>
  <c r="T247" i="20" s="1"/>
  <c r="S247" i="20" s="1"/>
  <c r="R247" i="20" s="1"/>
  <c r="P247" i="20" s="1"/>
  <c r="V247" i="20" s="1"/>
  <c r="U259" i="20"/>
  <c r="T259" i="20" s="1"/>
  <c r="S259" i="20" s="1"/>
  <c r="R259" i="20" s="1"/>
  <c r="P259" i="20" s="1"/>
  <c r="V259" i="20" s="1"/>
  <c r="U267" i="20"/>
  <c r="T267" i="20" s="1"/>
  <c r="S267" i="20" s="1"/>
  <c r="R267" i="20" s="1"/>
  <c r="P267" i="20" s="1"/>
  <c r="V267" i="20" s="1"/>
  <c r="U275" i="20"/>
  <c r="T275" i="20" s="1"/>
  <c r="S275" i="20" s="1"/>
  <c r="R275" i="20" s="1"/>
  <c r="P275" i="20" s="1"/>
  <c r="V275" i="20" s="1"/>
  <c r="U283" i="20"/>
  <c r="T283" i="20" s="1"/>
  <c r="S283" i="20" s="1"/>
  <c r="R283" i="20" s="1"/>
  <c r="P283" i="20" s="1"/>
  <c r="V283" i="20" s="1"/>
  <c r="U291" i="20"/>
  <c r="T291" i="20" s="1"/>
  <c r="S291" i="20" s="1"/>
  <c r="R291" i="20" s="1"/>
  <c r="P291" i="20" s="1"/>
  <c r="V291" i="20" s="1"/>
  <c r="U299" i="20"/>
  <c r="T299" i="20" s="1"/>
  <c r="S299" i="20" s="1"/>
  <c r="R299" i="20" s="1"/>
  <c r="P299" i="20" s="1"/>
  <c r="V299" i="20" s="1"/>
  <c r="U307" i="20"/>
  <c r="T307" i="20" s="1"/>
  <c r="S307" i="20" s="1"/>
  <c r="R307" i="20" s="1"/>
  <c r="P307" i="20" s="1"/>
  <c r="V307" i="20" s="1"/>
  <c r="U315" i="20"/>
  <c r="T315" i="20" s="1"/>
  <c r="S315" i="20" s="1"/>
  <c r="R315" i="20" s="1"/>
  <c r="P315" i="20" s="1"/>
  <c r="V315" i="20" s="1"/>
  <c r="U323" i="20"/>
  <c r="T323" i="20" s="1"/>
  <c r="S323" i="20" s="1"/>
  <c r="R323" i="20" s="1"/>
  <c r="P323" i="20" s="1"/>
  <c r="V323" i="20" s="1"/>
  <c r="U331" i="20"/>
  <c r="T331" i="20" s="1"/>
  <c r="S331" i="20" s="1"/>
  <c r="R331" i="20" s="1"/>
  <c r="P331" i="20" s="1"/>
  <c r="V331" i="20" s="1"/>
  <c r="U339" i="20"/>
  <c r="T339" i="20" s="1"/>
  <c r="S339" i="20" s="1"/>
  <c r="R339" i="20" s="1"/>
  <c r="P339" i="20" s="1"/>
  <c r="V339" i="20" s="1"/>
  <c r="U347" i="20"/>
  <c r="T347" i="20" s="1"/>
  <c r="S347" i="20" s="1"/>
  <c r="R347" i="20" s="1"/>
  <c r="P347" i="20" s="1"/>
  <c r="V347" i="20" s="1"/>
  <c r="U355" i="20"/>
  <c r="T355" i="20" s="1"/>
  <c r="S355" i="20" s="1"/>
  <c r="R355" i="20" s="1"/>
  <c r="P355" i="20" s="1"/>
  <c r="V355" i="20" s="1"/>
  <c r="U363" i="20"/>
  <c r="T363" i="20" s="1"/>
  <c r="S363" i="20" s="1"/>
  <c r="R363" i="20" s="1"/>
  <c r="P363" i="20" s="1"/>
  <c r="U371" i="20"/>
  <c r="T371" i="20" s="1"/>
  <c r="S371" i="20" s="1"/>
  <c r="R371" i="20" s="1"/>
  <c r="P371" i="20" s="1"/>
  <c r="V371" i="20" s="1"/>
  <c r="U379" i="20"/>
  <c r="U19" i="20"/>
  <c r="T19" i="20" s="1"/>
  <c r="U17" i="20"/>
  <c r="T17" i="20" s="1"/>
  <c r="S17" i="20" s="1"/>
  <c r="R17" i="20" s="1"/>
  <c r="P17" i="20" s="1"/>
  <c r="V17" i="20" s="1"/>
  <c r="U24" i="20"/>
  <c r="T24" i="20" s="1"/>
  <c r="U28" i="20"/>
  <c r="T28" i="20" s="1"/>
  <c r="S28" i="20" s="1"/>
  <c r="R28" i="20" s="1"/>
  <c r="P28" i="20" s="1"/>
  <c r="V28" i="20" s="1"/>
  <c r="U32" i="20"/>
  <c r="T32" i="20" s="1"/>
  <c r="S32" i="20" s="1"/>
  <c r="R32" i="20" s="1"/>
  <c r="P32" i="20" s="1"/>
  <c r="V32" i="20" s="1"/>
  <c r="U36" i="20"/>
  <c r="T36" i="20" s="1"/>
  <c r="S36" i="20" s="1"/>
  <c r="R36" i="20" s="1"/>
  <c r="P36" i="20" s="1"/>
  <c r="V36" i="20" s="1"/>
  <c r="U16" i="20"/>
  <c r="T16" i="20" s="1"/>
  <c r="S16" i="20" s="1"/>
  <c r="R16" i="20" s="1"/>
  <c r="P16" i="20" s="1"/>
  <c r="V16" i="20" s="1"/>
  <c r="U35" i="20"/>
  <c r="T35" i="20" s="1"/>
  <c r="S35" i="20" s="1"/>
  <c r="R35" i="20" s="1"/>
  <c r="P35" i="20" s="1"/>
  <c r="V35" i="20" s="1"/>
  <c r="U51" i="20"/>
  <c r="T51" i="20" s="1"/>
  <c r="S51" i="20" s="1"/>
  <c r="R51" i="20" s="1"/>
  <c r="P51" i="20" s="1"/>
  <c r="V51" i="20" s="1"/>
  <c r="U67" i="20"/>
  <c r="T67" i="20" s="1"/>
  <c r="S67" i="20" s="1"/>
  <c r="R67" i="20" s="1"/>
  <c r="P67" i="20" s="1"/>
  <c r="V67" i="20" s="1"/>
  <c r="U83" i="20"/>
  <c r="T83" i="20" s="1"/>
  <c r="S83" i="20" s="1"/>
  <c r="R83" i="20" s="1"/>
  <c r="P83" i="20" s="1"/>
  <c r="V83" i="20" s="1"/>
  <c r="U99" i="20"/>
  <c r="T99" i="20" s="1"/>
  <c r="S99" i="20" s="1"/>
  <c r="R99" i="20" s="1"/>
  <c r="P99" i="20" s="1"/>
  <c r="V99" i="20" s="1"/>
  <c r="U115" i="20"/>
  <c r="T115" i="20" s="1"/>
  <c r="S115" i="20" s="1"/>
  <c r="R115" i="20" s="1"/>
  <c r="P115" i="20" s="1"/>
  <c r="V115" i="20" s="1"/>
  <c r="U131" i="20"/>
  <c r="T131" i="20" s="1"/>
  <c r="S131" i="20" s="1"/>
  <c r="R131" i="20" s="1"/>
  <c r="P131" i="20" s="1"/>
  <c r="V131" i="20" s="1"/>
  <c r="U147" i="20"/>
  <c r="T147" i="20" s="1"/>
  <c r="S147" i="20" s="1"/>
  <c r="R147" i="20" s="1"/>
  <c r="P147" i="20" s="1"/>
  <c r="V147" i="20" s="1"/>
  <c r="U163" i="20"/>
  <c r="T163" i="20" s="1"/>
  <c r="S163" i="20" s="1"/>
  <c r="R163" i="20" s="1"/>
  <c r="P163" i="20" s="1"/>
  <c r="V163" i="20" s="1"/>
  <c r="U179" i="20"/>
  <c r="T179" i="20" s="1"/>
  <c r="S179" i="20" s="1"/>
  <c r="R179" i="20" s="1"/>
  <c r="P179" i="20" s="1"/>
  <c r="V179" i="20" s="1"/>
  <c r="U195" i="20"/>
  <c r="T195" i="20" s="1"/>
  <c r="S195" i="20" s="1"/>
  <c r="R195" i="20" s="1"/>
  <c r="P195" i="20" s="1"/>
  <c r="V195" i="20" s="1"/>
  <c r="U211" i="20"/>
  <c r="T211" i="20" s="1"/>
  <c r="S211" i="20" s="1"/>
  <c r="R211" i="20" s="1"/>
  <c r="P211" i="20" s="1"/>
  <c r="V211" i="20" s="1"/>
  <c r="U227" i="20"/>
  <c r="T227" i="20" s="1"/>
  <c r="S227" i="20" s="1"/>
  <c r="R227" i="20" s="1"/>
  <c r="P227" i="20" s="1"/>
  <c r="V227" i="20" s="1"/>
  <c r="U243" i="20"/>
  <c r="T243" i="20" s="1"/>
  <c r="S243" i="20" s="1"/>
  <c r="R243" i="20" s="1"/>
  <c r="P243" i="20" s="1"/>
  <c r="V243" i="20" s="1"/>
  <c r="U257" i="20"/>
  <c r="T257" i="20" s="1"/>
  <c r="S257" i="20" s="1"/>
  <c r="R257" i="20" s="1"/>
  <c r="P257" i="20" s="1"/>
  <c r="V257" i="20" s="1"/>
  <c r="U265" i="20"/>
  <c r="T265" i="20" s="1"/>
  <c r="S265" i="20" s="1"/>
  <c r="R265" i="20" s="1"/>
  <c r="P265" i="20" s="1"/>
  <c r="V265" i="20" s="1"/>
  <c r="U273" i="20"/>
  <c r="T273" i="20" s="1"/>
  <c r="S273" i="20" s="1"/>
  <c r="R273" i="20" s="1"/>
  <c r="P273" i="20" s="1"/>
  <c r="V273" i="20" s="1"/>
  <c r="U281" i="20"/>
  <c r="T281" i="20" s="1"/>
  <c r="S281" i="20" s="1"/>
  <c r="R281" i="20" s="1"/>
  <c r="P281" i="20" s="1"/>
  <c r="V281" i="20" s="1"/>
  <c r="U289" i="20"/>
  <c r="T289" i="20" s="1"/>
  <c r="S289" i="20" s="1"/>
  <c r="R289" i="20" s="1"/>
  <c r="P289" i="20" s="1"/>
  <c r="V289" i="20" s="1"/>
  <c r="U297" i="20"/>
  <c r="T297" i="20" s="1"/>
  <c r="S297" i="20" s="1"/>
  <c r="R297" i="20" s="1"/>
  <c r="P297" i="20" s="1"/>
  <c r="V297" i="20" s="1"/>
  <c r="U305" i="20"/>
  <c r="T305" i="20" s="1"/>
  <c r="S305" i="20" s="1"/>
  <c r="R305" i="20" s="1"/>
  <c r="P305" i="20" s="1"/>
  <c r="V305" i="20" s="1"/>
  <c r="U313" i="20"/>
  <c r="T313" i="20" s="1"/>
  <c r="S313" i="20" s="1"/>
  <c r="R313" i="20" s="1"/>
  <c r="P313" i="20" s="1"/>
  <c r="V313" i="20" s="1"/>
  <c r="U321" i="20"/>
  <c r="T321" i="20" s="1"/>
  <c r="S321" i="20" s="1"/>
  <c r="R321" i="20" s="1"/>
  <c r="P321" i="20" s="1"/>
  <c r="V321" i="20" s="1"/>
  <c r="U329" i="20"/>
  <c r="T329" i="20" s="1"/>
  <c r="S329" i="20" s="1"/>
  <c r="R329" i="20" s="1"/>
  <c r="P329" i="20" s="1"/>
  <c r="V329" i="20" s="1"/>
  <c r="U337" i="20"/>
  <c r="T337" i="20" s="1"/>
  <c r="S337" i="20" s="1"/>
  <c r="R337" i="20" s="1"/>
  <c r="P337" i="20" s="1"/>
  <c r="V337" i="20" s="1"/>
  <c r="U345" i="20"/>
  <c r="T345" i="20" s="1"/>
  <c r="S345" i="20" s="1"/>
  <c r="R345" i="20" s="1"/>
  <c r="P345" i="20" s="1"/>
  <c r="V345" i="20" s="1"/>
  <c r="U353" i="20"/>
  <c r="T353" i="20" s="1"/>
  <c r="S353" i="20" s="1"/>
  <c r="R353" i="20" s="1"/>
  <c r="P353" i="20" s="1"/>
  <c r="V353" i="20" s="1"/>
  <c r="U361" i="20"/>
  <c r="T361" i="20" s="1"/>
  <c r="S361" i="20" s="1"/>
  <c r="R361" i="20" s="1"/>
  <c r="P361" i="20" s="1"/>
  <c r="V361" i="20" s="1"/>
  <c r="U369" i="20"/>
  <c r="T369" i="20" s="1"/>
  <c r="S369" i="20" s="1"/>
  <c r="R369" i="20" s="1"/>
  <c r="P369" i="20" s="1"/>
  <c r="V369" i="20" s="1"/>
  <c r="U377" i="20"/>
  <c r="T377" i="20" s="1"/>
  <c r="S377" i="20" s="1"/>
  <c r="R377" i="20" s="1"/>
  <c r="P377" i="20" s="1"/>
  <c r="V377" i="20" s="1"/>
  <c r="U18" i="20"/>
  <c r="T18" i="20" s="1"/>
  <c r="U31" i="20"/>
  <c r="T31" i="20" s="1"/>
  <c r="U47" i="20"/>
  <c r="T47" i="20" s="1"/>
  <c r="U63" i="20"/>
  <c r="T63" i="20" s="1"/>
  <c r="S63" i="20" s="1"/>
  <c r="R63" i="20" s="1"/>
  <c r="P63" i="20" s="1"/>
  <c r="V63" i="20" s="1"/>
  <c r="U79" i="20"/>
  <c r="T79" i="20" s="1"/>
  <c r="S79" i="20" s="1"/>
  <c r="R79" i="20" s="1"/>
  <c r="P79" i="20" s="1"/>
  <c r="V79" i="20" s="1"/>
  <c r="U95" i="20"/>
  <c r="T95" i="20" s="1"/>
  <c r="S95" i="20" s="1"/>
  <c r="R95" i="20" s="1"/>
  <c r="P95" i="20" s="1"/>
  <c r="V95" i="20" s="1"/>
  <c r="U111" i="20"/>
  <c r="T111" i="20" s="1"/>
  <c r="S111" i="20" s="1"/>
  <c r="R111" i="20" s="1"/>
  <c r="P111" i="20" s="1"/>
  <c r="V111" i="20" s="1"/>
  <c r="U127" i="20"/>
  <c r="T127" i="20" s="1"/>
  <c r="S127" i="20" s="1"/>
  <c r="R127" i="20" s="1"/>
  <c r="P127" i="20" s="1"/>
  <c r="V127" i="20" s="1"/>
  <c r="U143" i="20"/>
  <c r="T143" i="20" s="1"/>
  <c r="S143" i="20" s="1"/>
  <c r="R143" i="20" s="1"/>
  <c r="P143" i="20" s="1"/>
  <c r="V143" i="20" s="1"/>
  <c r="U159" i="20"/>
  <c r="T159" i="20" s="1"/>
  <c r="S159" i="20" s="1"/>
  <c r="R159" i="20" s="1"/>
  <c r="P159" i="20" s="1"/>
  <c r="V159" i="20" s="1"/>
  <c r="U175" i="20"/>
  <c r="T175" i="20" s="1"/>
  <c r="S175" i="20" s="1"/>
  <c r="R175" i="20" s="1"/>
  <c r="P175" i="20" s="1"/>
  <c r="V175" i="20" s="1"/>
  <c r="U191" i="20"/>
  <c r="T191" i="20" s="1"/>
  <c r="S191" i="20" s="1"/>
  <c r="R191" i="20" s="1"/>
  <c r="P191" i="20" s="1"/>
  <c r="V191" i="20" s="1"/>
  <c r="U207" i="20"/>
  <c r="T207" i="20" s="1"/>
  <c r="S207" i="20" s="1"/>
  <c r="R207" i="20" s="1"/>
  <c r="P207" i="20" s="1"/>
  <c r="V207" i="20" s="1"/>
  <c r="U223" i="20"/>
  <c r="T223" i="20" s="1"/>
  <c r="S223" i="20" s="1"/>
  <c r="R223" i="20" s="1"/>
  <c r="P223" i="20" s="1"/>
  <c r="V223" i="20" s="1"/>
  <c r="U239" i="20"/>
  <c r="T239" i="20" s="1"/>
  <c r="S239" i="20" s="1"/>
  <c r="R239" i="20" s="1"/>
  <c r="P239" i="20" s="1"/>
  <c r="V239" i="20" s="1"/>
  <c r="U255" i="20"/>
  <c r="T255" i="20" s="1"/>
  <c r="S255" i="20" s="1"/>
  <c r="R255" i="20" s="1"/>
  <c r="P255" i="20" s="1"/>
  <c r="V255" i="20" s="1"/>
  <c r="U263" i="20"/>
  <c r="T263" i="20" s="1"/>
  <c r="S263" i="20" s="1"/>
  <c r="R263" i="20" s="1"/>
  <c r="P263" i="20" s="1"/>
  <c r="V263" i="20" s="1"/>
  <c r="U271" i="20"/>
  <c r="T271" i="20" s="1"/>
  <c r="S271" i="20" s="1"/>
  <c r="R271" i="20" s="1"/>
  <c r="P271" i="20" s="1"/>
  <c r="V271" i="20" s="1"/>
  <c r="U279" i="20"/>
  <c r="T279" i="20" s="1"/>
  <c r="S279" i="20" s="1"/>
  <c r="R279" i="20" s="1"/>
  <c r="P279" i="20" s="1"/>
  <c r="V279" i="20" s="1"/>
  <c r="U287" i="20"/>
  <c r="T287" i="20" s="1"/>
  <c r="S287" i="20" s="1"/>
  <c r="R287" i="20" s="1"/>
  <c r="P287" i="20" s="1"/>
  <c r="V287" i="20" s="1"/>
  <c r="U295" i="20"/>
  <c r="T295" i="20" s="1"/>
  <c r="S295" i="20" s="1"/>
  <c r="R295" i="20" s="1"/>
  <c r="P295" i="20" s="1"/>
  <c r="V295" i="20" s="1"/>
  <c r="U303" i="20"/>
  <c r="T303" i="20" s="1"/>
  <c r="S303" i="20" s="1"/>
  <c r="R303" i="20" s="1"/>
  <c r="P303" i="20" s="1"/>
  <c r="V303" i="20" s="1"/>
  <c r="U311" i="20"/>
  <c r="T311" i="20" s="1"/>
  <c r="S311" i="20" s="1"/>
  <c r="R311" i="20" s="1"/>
  <c r="P311" i="20" s="1"/>
  <c r="V311" i="20" s="1"/>
  <c r="U319" i="20"/>
  <c r="T319" i="20" s="1"/>
  <c r="S319" i="20" s="1"/>
  <c r="R319" i="20" s="1"/>
  <c r="P319" i="20" s="1"/>
  <c r="V319" i="20" s="1"/>
  <c r="U327" i="20"/>
  <c r="T327" i="20" s="1"/>
  <c r="S327" i="20" s="1"/>
  <c r="R327" i="20" s="1"/>
  <c r="P327" i="20" s="1"/>
  <c r="V327" i="20" s="1"/>
  <c r="U335" i="20"/>
  <c r="T335" i="20" s="1"/>
  <c r="S335" i="20" s="1"/>
  <c r="R335" i="20" s="1"/>
  <c r="P335" i="20" s="1"/>
  <c r="V335" i="20" s="1"/>
  <c r="U343" i="20"/>
  <c r="T343" i="20" s="1"/>
  <c r="S343" i="20" s="1"/>
  <c r="R343" i="20" s="1"/>
  <c r="P343" i="20" s="1"/>
  <c r="V343" i="20" s="1"/>
  <c r="U351" i="20"/>
  <c r="T351" i="20" s="1"/>
  <c r="S351" i="20" s="1"/>
  <c r="R351" i="20" s="1"/>
  <c r="P351" i="20" s="1"/>
  <c r="V351" i="20" s="1"/>
  <c r="U359" i="20"/>
  <c r="T359" i="20" s="1"/>
  <c r="S359" i="20" s="1"/>
  <c r="R359" i="20" s="1"/>
  <c r="P359" i="20" s="1"/>
  <c r="V359" i="20" s="1"/>
  <c r="U367" i="20"/>
  <c r="T367" i="20" s="1"/>
  <c r="S367" i="20" s="1"/>
  <c r="R367" i="20" s="1"/>
  <c r="P367" i="20" s="1"/>
  <c r="V367" i="20" s="1"/>
  <c r="U375" i="20"/>
  <c r="T375" i="20" s="1"/>
  <c r="S375" i="20" s="1"/>
  <c r="R375" i="20" s="1"/>
  <c r="P375" i="20" s="1"/>
  <c r="V375" i="20" s="1"/>
  <c r="U20" i="20"/>
  <c r="T20" i="20" s="1"/>
  <c r="S20" i="20" s="1"/>
  <c r="R20" i="20" s="1"/>
  <c r="P20" i="20" s="1"/>
  <c r="V20" i="20" s="1"/>
  <c r="U22" i="20"/>
  <c r="T22" i="20" s="1"/>
  <c r="S22" i="20" s="1"/>
  <c r="R22" i="20" s="1"/>
  <c r="P22" i="20" s="1"/>
  <c r="V22" i="20" s="1"/>
  <c r="U26" i="20"/>
  <c r="T26" i="20" s="1"/>
  <c r="S26" i="20" s="1"/>
  <c r="R26" i="20" s="1"/>
  <c r="P26" i="20" s="1"/>
  <c r="V26" i="20" s="1"/>
  <c r="U30" i="20"/>
  <c r="T30" i="20" s="1"/>
  <c r="S30" i="20" s="1"/>
  <c r="R30" i="20" s="1"/>
  <c r="P30" i="20" s="1"/>
  <c r="V30" i="20" s="1"/>
  <c r="U34" i="20"/>
  <c r="T34" i="20" s="1"/>
  <c r="S34" i="20" s="1"/>
  <c r="R34" i="20" s="1"/>
  <c r="P34" i="20" s="1"/>
  <c r="V34" i="20" s="1"/>
  <c r="U38" i="20"/>
  <c r="T38" i="20" s="1"/>
  <c r="S38" i="20" s="1"/>
  <c r="R38" i="20" s="1"/>
  <c r="P38" i="20" s="1"/>
  <c r="V38" i="20" s="1"/>
  <c r="U42" i="20"/>
  <c r="T42" i="20" s="1"/>
  <c r="S42" i="20" s="1"/>
  <c r="R42" i="20" s="1"/>
  <c r="P42" i="20" s="1"/>
  <c r="V42" i="20" s="1"/>
  <c r="U44" i="20"/>
  <c r="T44" i="20" s="1"/>
  <c r="S44" i="20" s="1"/>
  <c r="R44" i="20" s="1"/>
  <c r="P44" i="20" s="1"/>
  <c r="V44" i="20" s="1"/>
  <c r="U48" i="20"/>
  <c r="T48" i="20" s="1"/>
  <c r="S48" i="20" s="1"/>
  <c r="R48" i="20" s="1"/>
  <c r="P48" i="20" s="1"/>
  <c r="V48" i="20" s="1"/>
  <c r="U52" i="20"/>
  <c r="T52" i="20" s="1"/>
  <c r="S52" i="20" s="1"/>
  <c r="R52" i="20" s="1"/>
  <c r="P52" i="20" s="1"/>
  <c r="V52" i="20" s="1"/>
  <c r="U56" i="20"/>
  <c r="T56" i="20" s="1"/>
  <c r="S56" i="20" s="1"/>
  <c r="R56" i="20" s="1"/>
  <c r="P56" i="20" s="1"/>
  <c r="V56" i="20" s="1"/>
  <c r="U60" i="20"/>
  <c r="T60" i="20" s="1"/>
  <c r="S60" i="20" s="1"/>
  <c r="R60" i="20" s="1"/>
  <c r="P60" i="20" s="1"/>
  <c r="U64" i="20"/>
  <c r="T64" i="20" s="1"/>
  <c r="S64" i="20" s="1"/>
  <c r="R64" i="20" s="1"/>
  <c r="P64" i="20" s="1"/>
  <c r="V64" i="20" s="1"/>
  <c r="U68" i="20"/>
  <c r="T68" i="20" s="1"/>
  <c r="S68" i="20" s="1"/>
  <c r="R68" i="20" s="1"/>
  <c r="P68" i="20" s="1"/>
  <c r="V68" i="20" s="1"/>
  <c r="U72" i="20"/>
  <c r="T72" i="20" s="1"/>
  <c r="U76" i="20"/>
  <c r="T76" i="20" s="1"/>
  <c r="S76" i="20" s="1"/>
  <c r="R76" i="20" s="1"/>
  <c r="P76" i="20" s="1"/>
  <c r="V76" i="20" s="1"/>
  <c r="U80" i="20"/>
  <c r="T80" i="20" s="1"/>
  <c r="S80" i="20" s="1"/>
  <c r="R80" i="20" s="1"/>
  <c r="P80" i="20" s="1"/>
  <c r="V80" i="20" s="1"/>
  <c r="U84" i="20"/>
  <c r="T84" i="20" s="1"/>
  <c r="S84" i="20" s="1"/>
  <c r="R84" i="20" s="1"/>
  <c r="P84" i="20" s="1"/>
  <c r="V84" i="20" s="1"/>
  <c r="U88" i="20"/>
  <c r="T88" i="20" s="1"/>
  <c r="U92" i="20"/>
  <c r="T92" i="20" s="1"/>
  <c r="S92" i="20" s="1"/>
  <c r="R92" i="20" s="1"/>
  <c r="P92" i="20" s="1"/>
  <c r="V92" i="20" s="1"/>
  <c r="U96" i="20"/>
  <c r="T96" i="20" s="1"/>
  <c r="S96" i="20" s="1"/>
  <c r="R96" i="20" s="1"/>
  <c r="P96" i="20" s="1"/>
  <c r="V96" i="20" s="1"/>
  <c r="U100" i="20"/>
  <c r="T100" i="20" s="1"/>
  <c r="U104" i="20"/>
  <c r="T104" i="20" s="1"/>
  <c r="S104" i="20" s="1"/>
  <c r="R104" i="20" s="1"/>
  <c r="P104" i="20" s="1"/>
  <c r="V104" i="20" s="1"/>
  <c r="U108" i="20"/>
  <c r="T108" i="20" s="1"/>
  <c r="S108" i="20" s="1"/>
  <c r="R108" i="20" s="1"/>
  <c r="P108" i="20" s="1"/>
  <c r="V108" i="20" s="1"/>
  <c r="U112" i="20"/>
  <c r="T112" i="20" s="1"/>
  <c r="S112" i="20" s="1"/>
  <c r="R112" i="20" s="1"/>
  <c r="P112" i="20" s="1"/>
  <c r="V112" i="20" s="1"/>
  <c r="U116" i="20"/>
  <c r="T116" i="20" s="1"/>
  <c r="S116" i="20" s="1"/>
  <c r="R116" i="20" s="1"/>
  <c r="P116" i="20" s="1"/>
  <c r="V116" i="20" s="1"/>
  <c r="U120" i="20"/>
  <c r="T120" i="20" s="1"/>
  <c r="S120" i="20" s="1"/>
  <c r="R120" i="20" s="1"/>
  <c r="P120" i="20" s="1"/>
  <c r="V120" i="20" s="1"/>
  <c r="U124" i="20"/>
  <c r="T124" i="20" s="1"/>
  <c r="S124" i="20" s="1"/>
  <c r="R124" i="20" s="1"/>
  <c r="P124" i="20" s="1"/>
  <c r="V124" i="20" s="1"/>
  <c r="U128" i="20"/>
  <c r="T128" i="20" s="1"/>
  <c r="S128" i="20" s="1"/>
  <c r="R128" i="20" s="1"/>
  <c r="P128" i="20" s="1"/>
  <c r="V128" i="20" s="1"/>
  <c r="U132" i="20"/>
  <c r="T132" i="20" s="1"/>
  <c r="S132" i="20" s="1"/>
  <c r="R132" i="20" s="1"/>
  <c r="P132" i="20" s="1"/>
  <c r="V132" i="20" s="1"/>
  <c r="U136" i="20"/>
  <c r="T136" i="20" s="1"/>
  <c r="S136" i="20" s="1"/>
  <c r="R136" i="20" s="1"/>
  <c r="P136" i="20" s="1"/>
  <c r="V136" i="20" s="1"/>
  <c r="U140" i="20"/>
  <c r="T140" i="20" s="1"/>
  <c r="S140" i="20" s="1"/>
  <c r="R140" i="20" s="1"/>
  <c r="P140" i="20" s="1"/>
  <c r="V140" i="20" s="1"/>
  <c r="U144" i="20"/>
  <c r="T144" i="20" s="1"/>
  <c r="S144" i="20" s="1"/>
  <c r="R144" i="20" s="1"/>
  <c r="P144" i="20" s="1"/>
  <c r="V144" i="20" s="1"/>
  <c r="U148" i="20"/>
  <c r="T148" i="20" s="1"/>
  <c r="S148" i="20" s="1"/>
  <c r="R148" i="20" s="1"/>
  <c r="P148" i="20" s="1"/>
  <c r="V148" i="20" s="1"/>
  <c r="U152" i="20"/>
  <c r="T152" i="20" s="1"/>
  <c r="S152" i="20" s="1"/>
  <c r="R152" i="20" s="1"/>
  <c r="P152" i="20" s="1"/>
  <c r="V152" i="20" s="1"/>
  <c r="U156" i="20"/>
  <c r="T156" i="20" s="1"/>
  <c r="S156" i="20" s="1"/>
  <c r="R156" i="20" s="1"/>
  <c r="P156" i="20" s="1"/>
  <c r="V156" i="20" s="1"/>
  <c r="U160" i="20"/>
  <c r="T160" i="20" s="1"/>
  <c r="S160" i="20" s="1"/>
  <c r="R160" i="20" s="1"/>
  <c r="P160" i="20" s="1"/>
  <c r="V160" i="20" s="1"/>
  <c r="U164" i="20"/>
  <c r="T164" i="20" s="1"/>
  <c r="S164" i="20" s="1"/>
  <c r="R164" i="20" s="1"/>
  <c r="P164" i="20" s="1"/>
  <c r="V164" i="20" s="1"/>
  <c r="U168" i="20"/>
  <c r="T168" i="20" s="1"/>
  <c r="S168" i="20" s="1"/>
  <c r="R168" i="20" s="1"/>
  <c r="P168" i="20" s="1"/>
  <c r="V168" i="20" s="1"/>
  <c r="U172" i="20"/>
  <c r="T172" i="20" s="1"/>
  <c r="S172" i="20" s="1"/>
  <c r="R172" i="20" s="1"/>
  <c r="P172" i="20" s="1"/>
  <c r="V172" i="20" s="1"/>
  <c r="U176" i="20"/>
  <c r="T176" i="20" s="1"/>
  <c r="S176" i="20" s="1"/>
  <c r="R176" i="20" s="1"/>
  <c r="P176" i="20" s="1"/>
  <c r="V176" i="20" s="1"/>
  <c r="U180" i="20"/>
  <c r="T180" i="20" s="1"/>
  <c r="S180" i="20" s="1"/>
  <c r="R180" i="20" s="1"/>
  <c r="P180" i="20" s="1"/>
  <c r="U184" i="20"/>
  <c r="T184" i="20" s="1"/>
  <c r="S184" i="20" s="1"/>
  <c r="R184" i="20" s="1"/>
  <c r="P184" i="20" s="1"/>
  <c r="V184" i="20" s="1"/>
  <c r="U188" i="20"/>
  <c r="T188" i="20" s="1"/>
  <c r="S188" i="20" s="1"/>
  <c r="R188" i="20" s="1"/>
  <c r="P188" i="20" s="1"/>
  <c r="V188" i="20" s="1"/>
  <c r="U192" i="20"/>
  <c r="T192" i="20" s="1"/>
  <c r="S192" i="20" s="1"/>
  <c r="R192" i="20" s="1"/>
  <c r="P192" i="20" s="1"/>
  <c r="V192" i="20" s="1"/>
  <c r="U196" i="20"/>
  <c r="T196" i="20" s="1"/>
  <c r="S196" i="20" s="1"/>
  <c r="R196" i="20" s="1"/>
  <c r="P196" i="20" s="1"/>
  <c r="V196" i="20" s="1"/>
  <c r="U200" i="20"/>
  <c r="T200" i="20" s="1"/>
  <c r="S200" i="20" s="1"/>
  <c r="R200" i="20" s="1"/>
  <c r="P200" i="20" s="1"/>
  <c r="V200" i="20" s="1"/>
  <c r="U204" i="20"/>
  <c r="T204" i="20" s="1"/>
  <c r="S204" i="20" s="1"/>
  <c r="R204" i="20" s="1"/>
  <c r="P204" i="20" s="1"/>
  <c r="V204" i="20" s="1"/>
  <c r="U208" i="20"/>
  <c r="T208" i="20" s="1"/>
  <c r="S208" i="20" s="1"/>
  <c r="R208" i="20" s="1"/>
  <c r="P208" i="20" s="1"/>
  <c r="V208" i="20" s="1"/>
  <c r="U212" i="20"/>
  <c r="T212" i="20" s="1"/>
  <c r="S212" i="20" s="1"/>
  <c r="R212" i="20" s="1"/>
  <c r="P212" i="20" s="1"/>
  <c r="V212" i="20" s="1"/>
  <c r="U216" i="20"/>
  <c r="T216" i="20" s="1"/>
  <c r="S216" i="20" s="1"/>
  <c r="R216" i="20" s="1"/>
  <c r="P216" i="20" s="1"/>
  <c r="V216" i="20" s="1"/>
  <c r="U220" i="20"/>
  <c r="T220" i="20" s="1"/>
  <c r="S220" i="20" s="1"/>
  <c r="R220" i="20" s="1"/>
  <c r="P220" i="20" s="1"/>
  <c r="V220" i="20" s="1"/>
  <c r="U224" i="20"/>
  <c r="T224" i="20" s="1"/>
  <c r="S224" i="20" s="1"/>
  <c r="R224" i="20" s="1"/>
  <c r="P224" i="20" s="1"/>
  <c r="V224" i="20" s="1"/>
  <c r="U228" i="20"/>
  <c r="T228" i="20" s="1"/>
  <c r="S228" i="20" s="1"/>
  <c r="R228" i="20" s="1"/>
  <c r="P228" i="20" s="1"/>
  <c r="V228" i="20" s="1"/>
  <c r="U232" i="20"/>
  <c r="T232" i="20" s="1"/>
  <c r="S232" i="20" s="1"/>
  <c r="R232" i="20" s="1"/>
  <c r="P232" i="20" s="1"/>
  <c r="V232" i="20" s="1"/>
  <c r="U236" i="20"/>
  <c r="T236" i="20" s="1"/>
  <c r="S236" i="20" s="1"/>
  <c r="R236" i="20" s="1"/>
  <c r="P236" i="20" s="1"/>
  <c r="V236" i="20" s="1"/>
  <c r="U240" i="20"/>
  <c r="T240" i="20" s="1"/>
  <c r="S240" i="20" s="1"/>
  <c r="R240" i="20" s="1"/>
  <c r="P240" i="20" s="1"/>
  <c r="V240" i="20" s="1"/>
  <c r="U244" i="20"/>
  <c r="T244" i="20" s="1"/>
  <c r="S244" i="20" s="1"/>
  <c r="R244" i="20" s="1"/>
  <c r="P244" i="20" s="1"/>
  <c r="V244" i="20" s="1"/>
  <c r="U248" i="20"/>
  <c r="T248" i="20" s="1"/>
  <c r="S248" i="20" s="1"/>
  <c r="R248" i="20" s="1"/>
  <c r="P248" i="20" s="1"/>
  <c r="V248" i="20" s="1"/>
  <c r="U252" i="20"/>
  <c r="T252" i="20" s="1"/>
  <c r="S252" i="20" s="1"/>
  <c r="R252" i="20" s="1"/>
  <c r="P252" i="20" s="1"/>
  <c r="V252" i="20" s="1"/>
  <c r="U376" i="20"/>
  <c r="T376" i="20" s="1"/>
  <c r="S376" i="20" s="1"/>
  <c r="R376" i="20" s="1"/>
  <c r="P376" i="20" s="1"/>
  <c r="V376" i="20" s="1"/>
  <c r="U372" i="20"/>
  <c r="T372" i="20" s="1"/>
  <c r="S372" i="20" s="1"/>
  <c r="R372" i="20" s="1"/>
  <c r="P372" i="20" s="1"/>
  <c r="V372" i="20" s="1"/>
  <c r="U368" i="20"/>
  <c r="T368" i="20" s="1"/>
  <c r="S368" i="20" s="1"/>
  <c r="R368" i="20" s="1"/>
  <c r="P368" i="20" s="1"/>
  <c r="V368" i="20" s="1"/>
  <c r="U364" i="20"/>
  <c r="T364" i="20" s="1"/>
  <c r="S364" i="20" s="1"/>
  <c r="R364" i="20" s="1"/>
  <c r="P364" i="20" s="1"/>
  <c r="V364" i="20" s="1"/>
  <c r="U360" i="20"/>
  <c r="T360" i="20" s="1"/>
  <c r="S360" i="20" s="1"/>
  <c r="R360" i="20" s="1"/>
  <c r="P360" i="20" s="1"/>
  <c r="V360" i="20" s="1"/>
  <c r="U356" i="20"/>
  <c r="T356" i="20" s="1"/>
  <c r="S356" i="20" s="1"/>
  <c r="R356" i="20" s="1"/>
  <c r="P356" i="20" s="1"/>
  <c r="V356" i="20" s="1"/>
  <c r="U352" i="20"/>
  <c r="T352" i="20" s="1"/>
  <c r="S352" i="20" s="1"/>
  <c r="R352" i="20" s="1"/>
  <c r="P352" i="20" s="1"/>
  <c r="V352" i="20" s="1"/>
  <c r="U348" i="20"/>
  <c r="T348" i="20" s="1"/>
  <c r="S348" i="20" s="1"/>
  <c r="R348" i="20" s="1"/>
  <c r="P348" i="20" s="1"/>
  <c r="V348" i="20" s="1"/>
  <c r="U344" i="20"/>
  <c r="T344" i="20" s="1"/>
  <c r="S344" i="20" s="1"/>
  <c r="R344" i="20" s="1"/>
  <c r="P344" i="20" s="1"/>
  <c r="V344" i="20" s="1"/>
  <c r="U340" i="20"/>
  <c r="T340" i="20" s="1"/>
  <c r="S340" i="20" s="1"/>
  <c r="R340" i="20" s="1"/>
  <c r="P340" i="20" s="1"/>
  <c r="V340" i="20" s="1"/>
  <c r="U336" i="20"/>
  <c r="T336" i="20" s="1"/>
  <c r="S336" i="20" s="1"/>
  <c r="R336" i="20" s="1"/>
  <c r="P336" i="20" s="1"/>
  <c r="V336" i="20" s="1"/>
  <c r="U332" i="20"/>
  <c r="T332" i="20" s="1"/>
  <c r="S332" i="20" s="1"/>
  <c r="R332" i="20" s="1"/>
  <c r="P332" i="20" s="1"/>
  <c r="V332" i="20" s="1"/>
  <c r="U328" i="20"/>
  <c r="T328" i="20" s="1"/>
  <c r="S328" i="20" s="1"/>
  <c r="R328" i="20" s="1"/>
  <c r="P328" i="20" s="1"/>
  <c r="V328" i="20" s="1"/>
  <c r="U324" i="20"/>
  <c r="T324" i="20" s="1"/>
  <c r="S324" i="20" s="1"/>
  <c r="R324" i="20" s="1"/>
  <c r="P324" i="20" s="1"/>
  <c r="V324" i="20" s="1"/>
  <c r="U320" i="20"/>
  <c r="T320" i="20" s="1"/>
  <c r="S320" i="20" s="1"/>
  <c r="R320" i="20" s="1"/>
  <c r="P320" i="20" s="1"/>
  <c r="V320" i="20" s="1"/>
  <c r="U316" i="20"/>
  <c r="T316" i="20" s="1"/>
  <c r="S316" i="20" s="1"/>
  <c r="R316" i="20" s="1"/>
  <c r="P316" i="20" s="1"/>
  <c r="V316" i="20" s="1"/>
  <c r="U312" i="20"/>
  <c r="T312" i="20" s="1"/>
  <c r="S312" i="20" s="1"/>
  <c r="R312" i="20" s="1"/>
  <c r="P312" i="20" s="1"/>
  <c r="V312" i="20" s="1"/>
  <c r="U308" i="20"/>
  <c r="T308" i="20" s="1"/>
  <c r="S308" i="20" s="1"/>
  <c r="R308" i="20" s="1"/>
  <c r="P308" i="20" s="1"/>
  <c r="V308" i="20" s="1"/>
  <c r="U304" i="20"/>
  <c r="T304" i="20" s="1"/>
  <c r="S304" i="20" s="1"/>
  <c r="R304" i="20" s="1"/>
  <c r="P304" i="20" s="1"/>
  <c r="V304" i="20" s="1"/>
  <c r="U300" i="20"/>
  <c r="T300" i="20" s="1"/>
  <c r="S300" i="20" s="1"/>
  <c r="R300" i="20" s="1"/>
  <c r="P300" i="20" s="1"/>
  <c r="V300" i="20" s="1"/>
  <c r="U296" i="20"/>
  <c r="T296" i="20" s="1"/>
  <c r="S296" i="20" s="1"/>
  <c r="R296" i="20" s="1"/>
  <c r="P296" i="20" s="1"/>
  <c r="V296" i="20" s="1"/>
  <c r="U292" i="20"/>
  <c r="T292" i="20" s="1"/>
  <c r="S292" i="20" s="1"/>
  <c r="R292" i="20" s="1"/>
  <c r="P292" i="20" s="1"/>
  <c r="V292" i="20" s="1"/>
  <c r="U288" i="20"/>
  <c r="T288" i="20" s="1"/>
  <c r="S288" i="20" s="1"/>
  <c r="R288" i="20" s="1"/>
  <c r="P288" i="20" s="1"/>
  <c r="V288" i="20" s="1"/>
  <c r="U284" i="20"/>
  <c r="T284" i="20" s="1"/>
  <c r="S284" i="20" s="1"/>
  <c r="R284" i="20" s="1"/>
  <c r="P284" i="20" s="1"/>
  <c r="V284" i="20" s="1"/>
  <c r="U280" i="20"/>
  <c r="T280" i="20" s="1"/>
  <c r="S280" i="20" s="1"/>
  <c r="R280" i="20" s="1"/>
  <c r="P280" i="20" s="1"/>
  <c r="V280" i="20" s="1"/>
  <c r="U276" i="20"/>
  <c r="T276" i="20" s="1"/>
  <c r="S276" i="20" s="1"/>
  <c r="R276" i="20" s="1"/>
  <c r="P276" i="20" s="1"/>
  <c r="V276" i="20" s="1"/>
  <c r="U272" i="20"/>
  <c r="T272" i="20" s="1"/>
  <c r="S272" i="20" s="1"/>
  <c r="R272" i="20" s="1"/>
  <c r="P272" i="20" s="1"/>
  <c r="U268" i="20"/>
  <c r="T268" i="20" s="1"/>
  <c r="S268" i="20" s="1"/>
  <c r="R268" i="20" s="1"/>
  <c r="P268" i="20" s="1"/>
  <c r="V268" i="20" s="1"/>
  <c r="U264" i="20"/>
  <c r="T264" i="20" s="1"/>
  <c r="S264" i="20" s="1"/>
  <c r="R264" i="20" s="1"/>
  <c r="P264" i="20" s="1"/>
  <c r="V264" i="20" s="1"/>
  <c r="U260" i="20"/>
  <c r="T260" i="20" s="1"/>
  <c r="S260" i="20" s="1"/>
  <c r="R260" i="20" s="1"/>
  <c r="P260" i="20" s="1"/>
  <c r="V260" i="20" s="1"/>
  <c r="U256" i="20"/>
  <c r="T256" i="20" s="1"/>
  <c r="S256" i="20" s="1"/>
  <c r="R256" i="20" s="1"/>
  <c r="P256" i="20" s="1"/>
  <c r="V256" i="20" s="1"/>
  <c r="U249" i="20"/>
  <c r="T249" i="20" s="1"/>
  <c r="S249" i="20" s="1"/>
  <c r="R249" i="20" s="1"/>
  <c r="P249" i="20" s="1"/>
  <c r="V249" i="20" s="1"/>
  <c r="U241" i="20"/>
  <c r="T241" i="20" s="1"/>
  <c r="S241" i="20" s="1"/>
  <c r="R241" i="20" s="1"/>
  <c r="P241" i="20" s="1"/>
  <c r="U233" i="20"/>
  <c r="T233" i="20" s="1"/>
  <c r="S233" i="20" s="1"/>
  <c r="R233" i="20" s="1"/>
  <c r="P233" i="20" s="1"/>
  <c r="V233" i="20" s="1"/>
  <c r="U225" i="20"/>
  <c r="T225" i="20" s="1"/>
  <c r="S225" i="20" s="1"/>
  <c r="R225" i="20" s="1"/>
  <c r="P225" i="20" s="1"/>
  <c r="V225" i="20" s="1"/>
  <c r="U217" i="20"/>
  <c r="T217" i="20" s="1"/>
  <c r="S217" i="20" s="1"/>
  <c r="R217" i="20" s="1"/>
  <c r="P217" i="20" s="1"/>
  <c r="V217" i="20" s="1"/>
  <c r="U209" i="20"/>
  <c r="T209" i="20" s="1"/>
  <c r="S209" i="20" s="1"/>
  <c r="R209" i="20" s="1"/>
  <c r="P209" i="20" s="1"/>
  <c r="V209" i="20" s="1"/>
  <c r="U201" i="20"/>
  <c r="T201" i="20" s="1"/>
  <c r="S201" i="20" s="1"/>
  <c r="R201" i="20" s="1"/>
  <c r="P201" i="20" s="1"/>
  <c r="V201" i="20" s="1"/>
  <c r="U193" i="20"/>
  <c r="T193" i="20" s="1"/>
  <c r="S193" i="20" s="1"/>
  <c r="R193" i="20" s="1"/>
  <c r="P193" i="20" s="1"/>
  <c r="V193" i="20" s="1"/>
  <c r="U185" i="20"/>
  <c r="T185" i="20" s="1"/>
  <c r="S185" i="20" s="1"/>
  <c r="R185" i="20" s="1"/>
  <c r="P185" i="20" s="1"/>
  <c r="V185" i="20" s="1"/>
  <c r="U177" i="20"/>
  <c r="T177" i="20" s="1"/>
  <c r="S177" i="20" s="1"/>
  <c r="R177" i="20" s="1"/>
  <c r="P177" i="20" s="1"/>
  <c r="V177" i="20" s="1"/>
  <c r="U169" i="20"/>
  <c r="T169" i="20" s="1"/>
  <c r="S169" i="20" s="1"/>
  <c r="R169" i="20" s="1"/>
  <c r="P169" i="20" s="1"/>
  <c r="V169" i="20" s="1"/>
  <c r="U161" i="20"/>
  <c r="T161" i="20" s="1"/>
  <c r="S161" i="20" s="1"/>
  <c r="R161" i="20" s="1"/>
  <c r="P161" i="20" s="1"/>
  <c r="V161" i="20" s="1"/>
  <c r="U153" i="20"/>
  <c r="T153" i="20" s="1"/>
  <c r="S153" i="20" s="1"/>
  <c r="R153" i="20" s="1"/>
  <c r="P153" i="20" s="1"/>
  <c r="V153" i="20" s="1"/>
  <c r="U145" i="20"/>
  <c r="T145" i="20" s="1"/>
  <c r="S145" i="20" s="1"/>
  <c r="R145" i="20" s="1"/>
  <c r="P145" i="20" s="1"/>
  <c r="V145" i="20" s="1"/>
  <c r="U137" i="20"/>
  <c r="T137" i="20" s="1"/>
  <c r="S137" i="20" s="1"/>
  <c r="R137" i="20" s="1"/>
  <c r="P137" i="20" s="1"/>
  <c r="V137" i="20" s="1"/>
  <c r="U129" i="20"/>
  <c r="T129" i="20" s="1"/>
  <c r="S129" i="20" s="1"/>
  <c r="R129" i="20" s="1"/>
  <c r="P129" i="20" s="1"/>
  <c r="V129" i="20" s="1"/>
  <c r="U121" i="20"/>
  <c r="T121" i="20" s="1"/>
  <c r="S121" i="20" s="1"/>
  <c r="R121" i="20" s="1"/>
  <c r="P121" i="20" s="1"/>
  <c r="V121" i="20" s="1"/>
  <c r="U113" i="20"/>
  <c r="T113" i="20" s="1"/>
  <c r="S113" i="20" s="1"/>
  <c r="R113" i="20" s="1"/>
  <c r="P113" i="20" s="1"/>
  <c r="V113" i="20" s="1"/>
  <c r="U105" i="20"/>
  <c r="T105" i="20" s="1"/>
  <c r="S105" i="20" s="1"/>
  <c r="R105" i="20" s="1"/>
  <c r="P105" i="20" s="1"/>
  <c r="V105" i="20" s="1"/>
  <c r="U97" i="20"/>
  <c r="T97" i="20" s="1"/>
  <c r="S97" i="20" s="1"/>
  <c r="R97" i="20" s="1"/>
  <c r="P97" i="20" s="1"/>
  <c r="V97" i="20" s="1"/>
  <c r="U89" i="20"/>
  <c r="T89" i="20" s="1"/>
  <c r="S89" i="20" s="1"/>
  <c r="R89" i="20" s="1"/>
  <c r="P89" i="20" s="1"/>
  <c r="V89" i="20" s="1"/>
  <c r="U81" i="20"/>
  <c r="T81" i="20" s="1"/>
  <c r="S81" i="20" s="1"/>
  <c r="R81" i="20" s="1"/>
  <c r="P81" i="20" s="1"/>
  <c r="V81" i="20" s="1"/>
  <c r="U73" i="20"/>
  <c r="T73" i="20" s="1"/>
  <c r="S73" i="20" s="1"/>
  <c r="R73" i="20" s="1"/>
  <c r="P73" i="20" s="1"/>
  <c r="V73" i="20" s="1"/>
  <c r="U65" i="20"/>
  <c r="T65" i="20" s="1"/>
  <c r="S65" i="20" s="1"/>
  <c r="R65" i="20" s="1"/>
  <c r="P65" i="20" s="1"/>
  <c r="V65" i="20" s="1"/>
  <c r="U57" i="20"/>
  <c r="T57" i="20" s="1"/>
  <c r="S57" i="20" s="1"/>
  <c r="R57" i="20" s="1"/>
  <c r="P57" i="20" s="1"/>
  <c r="V57" i="20" s="1"/>
  <c r="U49" i="20"/>
  <c r="T49" i="20" s="1"/>
  <c r="S49" i="20" s="1"/>
  <c r="R49" i="20" s="1"/>
  <c r="P49" i="20" s="1"/>
  <c r="V49" i="20" s="1"/>
  <c r="U41" i="20"/>
  <c r="T41" i="20" s="1"/>
  <c r="S41" i="20" s="1"/>
  <c r="R41" i="20" s="1"/>
  <c r="P41" i="20" s="1"/>
  <c r="V41" i="20" s="1"/>
  <c r="U33" i="20"/>
  <c r="T33" i="20" s="1"/>
  <c r="S33" i="20" s="1"/>
  <c r="R33" i="20" s="1"/>
  <c r="P33" i="20" s="1"/>
  <c r="V33" i="20" s="1"/>
  <c r="U25" i="20"/>
  <c r="T25" i="20" s="1"/>
  <c r="S25" i="20" s="1"/>
  <c r="R25" i="20" s="1"/>
  <c r="P25" i="20" s="1"/>
  <c r="V25" i="20" s="1"/>
  <c r="U15" i="20"/>
  <c r="U380" i="20"/>
  <c r="T380" i="20" s="1"/>
  <c r="S380" i="20" s="1"/>
  <c r="R380" i="20" s="1"/>
  <c r="P380" i="20" s="1"/>
  <c r="V380" i="20" s="1"/>
  <c r="U40" i="20"/>
  <c r="T40" i="20" s="1"/>
  <c r="S40" i="20" s="1"/>
  <c r="R40" i="20" s="1"/>
  <c r="P40" i="20" s="1"/>
  <c r="V40" i="20" s="1"/>
  <c r="U46" i="20"/>
  <c r="T46" i="20" s="1"/>
  <c r="S46" i="20" s="1"/>
  <c r="R46" i="20" s="1"/>
  <c r="P46" i="20" s="1"/>
  <c r="V46" i="20" s="1"/>
  <c r="U50" i="20"/>
  <c r="T50" i="20" s="1"/>
  <c r="S50" i="20" s="1"/>
  <c r="R50" i="20" s="1"/>
  <c r="P50" i="20" s="1"/>
  <c r="V50" i="20" s="1"/>
  <c r="U54" i="20"/>
  <c r="T54" i="20" s="1"/>
  <c r="S54" i="20" s="1"/>
  <c r="R54" i="20" s="1"/>
  <c r="P54" i="20" s="1"/>
  <c r="V54" i="20" s="1"/>
  <c r="U58" i="20"/>
  <c r="T58" i="20" s="1"/>
  <c r="S58" i="20" s="1"/>
  <c r="R58" i="20" s="1"/>
  <c r="P58" i="20" s="1"/>
  <c r="V58" i="20" s="1"/>
  <c r="U62" i="20"/>
  <c r="T62" i="20" s="1"/>
  <c r="S62" i="20" s="1"/>
  <c r="R62" i="20" s="1"/>
  <c r="P62" i="20" s="1"/>
  <c r="V62" i="20" s="1"/>
  <c r="U66" i="20"/>
  <c r="T66" i="20" s="1"/>
  <c r="S66" i="20" s="1"/>
  <c r="R66" i="20" s="1"/>
  <c r="P66" i="20" s="1"/>
  <c r="V66" i="20" s="1"/>
  <c r="U70" i="20"/>
  <c r="T70" i="20" s="1"/>
  <c r="S70" i="20" s="1"/>
  <c r="R70" i="20" s="1"/>
  <c r="P70" i="20" s="1"/>
  <c r="V70" i="20" s="1"/>
  <c r="U74" i="20"/>
  <c r="T74" i="20" s="1"/>
  <c r="S74" i="20" s="1"/>
  <c r="R74" i="20" s="1"/>
  <c r="P74" i="20" s="1"/>
  <c r="V74" i="20" s="1"/>
  <c r="U78" i="20"/>
  <c r="T78" i="20" s="1"/>
  <c r="S78" i="20" s="1"/>
  <c r="R78" i="20" s="1"/>
  <c r="P78" i="20" s="1"/>
  <c r="V78" i="20" s="1"/>
  <c r="U82" i="20"/>
  <c r="T82" i="20" s="1"/>
  <c r="S82" i="20" s="1"/>
  <c r="R82" i="20" s="1"/>
  <c r="P82" i="20" s="1"/>
  <c r="V82" i="20" s="1"/>
  <c r="U86" i="20"/>
  <c r="T86" i="20" s="1"/>
  <c r="S86" i="20" s="1"/>
  <c r="R86" i="20" s="1"/>
  <c r="P86" i="20" s="1"/>
  <c r="V86" i="20" s="1"/>
  <c r="U90" i="20"/>
  <c r="T90" i="20" s="1"/>
  <c r="U94" i="20"/>
  <c r="T94" i="20" s="1"/>
  <c r="S94" i="20" s="1"/>
  <c r="R94" i="20" s="1"/>
  <c r="P94" i="20" s="1"/>
  <c r="V94" i="20" s="1"/>
  <c r="U98" i="20"/>
  <c r="T98" i="20" s="1"/>
  <c r="S98" i="20" s="1"/>
  <c r="R98" i="20" s="1"/>
  <c r="P98" i="20" s="1"/>
  <c r="V98" i="20" s="1"/>
  <c r="U102" i="20"/>
  <c r="T102" i="20" s="1"/>
  <c r="S102" i="20" s="1"/>
  <c r="R102" i="20" s="1"/>
  <c r="P102" i="20" s="1"/>
  <c r="V102" i="20" s="1"/>
  <c r="U106" i="20"/>
  <c r="T106" i="20" s="1"/>
  <c r="S106" i="20" s="1"/>
  <c r="R106" i="20" s="1"/>
  <c r="P106" i="20" s="1"/>
  <c r="V106" i="20" s="1"/>
  <c r="U110" i="20"/>
  <c r="T110" i="20" s="1"/>
  <c r="S110" i="20" s="1"/>
  <c r="R110" i="20" s="1"/>
  <c r="P110" i="20" s="1"/>
  <c r="V110" i="20" s="1"/>
  <c r="U114" i="20"/>
  <c r="T114" i="20" s="1"/>
  <c r="S114" i="20" s="1"/>
  <c r="R114" i="20" s="1"/>
  <c r="P114" i="20" s="1"/>
  <c r="V114" i="20" s="1"/>
  <c r="U118" i="20"/>
  <c r="T118" i="20" s="1"/>
  <c r="S118" i="20" s="1"/>
  <c r="R118" i="20" s="1"/>
  <c r="P118" i="20" s="1"/>
  <c r="V118" i="20" s="1"/>
  <c r="U122" i="20"/>
  <c r="T122" i="20" s="1"/>
  <c r="S122" i="20" s="1"/>
  <c r="R122" i="20" s="1"/>
  <c r="P122" i="20" s="1"/>
  <c r="V122" i="20" s="1"/>
  <c r="U126" i="20"/>
  <c r="T126" i="20" s="1"/>
  <c r="S126" i="20" s="1"/>
  <c r="R126" i="20" s="1"/>
  <c r="P126" i="20" s="1"/>
  <c r="V126" i="20" s="1"/>
  <c r="U130" i="20"/>
  <c r="T130" i="20" s="1"/>
  <c r="S130" i="20" s="1"/>
  <c r="R130" i="20" s="1"/>
  <c r="P130" i="20" s="1"/>
  <c r="V130" i="20" s="1"/>
  <c r="U134" i="20"/>
  <c r="T134" i="20" s="1"/>
  <c r="S134" i="20" s="1"/>
  <c r="R134" i="20" s="1"/>
  <c r="P134" i="20" s="1"/>
  <c r="V134" i="20" s="1"/>
  <c r="U138" i="20"/>
  <c r="T138" i="20" s="1"/>
  <c r="S138" i="20" s="1"/>
  <c r="R138" i="20" s="1"/>
  <c r="P138" i="20" s="1"/>
  <c r="V138" i="20" s="1"/>
  <c r="U142" i="20"/>
  <c r="T142" i="20" s="1"/>
  <c r="S142" i="20" s="1"/>
  <c r="R142" i="20" s="1"/>
  <c r="P142" i="20" s="1"/>
  <c r="V142" i="20" s="1"/>
  <c r="U146" i="20"/>
  <c r="T146" i="20" s="1"/>
  <c r="S146" i="20" s="1"/>
  <c r="R146" i="20" s="1"/>
  <c r="P146" i="20" s="1"/>
  <c r="V146" i="20" s="1"/>
  <c r="U150" i="20"/>
  <c r="T150" i="20" s="1"/>
  <c r="S150" i="20" s="1"/>
  <c r="R150" i="20" s="1"/>
  <c r="P150" i="20" s="1"/>
  <c r="V150" i="20" s="1"/>
  <c r="U154" i="20"/>
  <c r="T154" i="20" s="1"/>
  <c r="S154" i="20" s="1"/>
  <c r="R154" i="20" s="1"/>
  <c r="P154" i="20" s="1"/>
  <c r="V154" i="20" s="1"/>
  <c r="U158" i="20"/>
  <c r="T158" i="20" s="1"/>
  <c r="S158" i="20" s="1"/>
  <c r="R158" i="20" s="1"/>
  <c r="P158" i="20" s="1"/>
  <c r="V158" i="20" s="1"/>
  <c r="U162" i="20"/>
  <c r="T162" i="20" s="1"/>
  <c r="S162" i="20" s="1"/>
  <c r="R162" i="20" s="1"/>
  <c r="P162" i="20" s="1"/>
  <c r="V162" i="20" s="1"/>
  <c r="U166" i="20"/>
  <c r="T166" i="20" s="1"/>
  <c r="S166" i="20" s="1"/>
  <c r="R166" i="20" s="1"/>
  <c r="P166" i="20" s="1"/>
  <c r="V166" i="20" s="1"/>
  <c r="U170" i="20"/>
  <c r="T170" i="20" s="1"/>
  <c r="S170" i="20" s="1"/>
  <c r="R170" i="20" s="1"/>
  <c r="P170" i="20" s="1"/>
  <c r="V170" i="20" s="1"/>
  <c r="U174" i="20"/>
  <c r="T174" i="20" s="1"/>
  <c r="S174" i="20" s="1"/>
  <c r="R174" i="20" s="1"/>
  <c r="P174" i="20" s="1"/>
  <c r="V174" i="20" s="1"/>
  <c r="U178" i="20"/>
  <c r="T178" i="20" s="1"/>
  <c r="S178" i="20" s="1"/>
  <c r="R178" i="20" s="1"/>
  <c r="P178" i="20" s="1"/>
  <c r="V178" i="20" s="1"/>
  <c r="U182" i="20"/>
  <c r="T182" i="20" s="1"/>
  <c r="S182" i="20" s="1"/>
  <c r="R182" i="20" s="1"/>
  <c r="P182" i="20" s="1"/>
  <c r="V182" i="20" s="1"/>
  <c r="U186" i="20"/>
  <c r="T186" i="20" s="1"/>
  <c r="S186" i="20" s="1"/>
  <c r="R186" i="20" s="1"/>
  <c r="P186" i="20" s="1"/>
  <c r="V186" i="20" s="1"/>
  <c r="U190" i="20"/>
  <c r="T190" i="20" s="1"/>
  <c r="S190" i="20" s="1"/>
  <c r="R190" i="20" s="1"/>
  <c r="P190" i="20" s="1"/>
  <c r="V190" i="20" s="1"/>
  <c r="U194" i="20"/>
  <c r="T194" i="20" s="1"/>
  <c r="S194" i="20" s="1"/>
  <c r="R194" i="20" s="1"/>
  <c r="P194" i="20" s="1"/>
  <c r="V194" i="20" s="1"/>
  <c r="U198" i="20"/>
  <c r="T198" i="20" s="1"/>
  <c r="S198" i="20" s="1"/>
  <c r="R198" i="20" s="1"/>
  <c r="P198" i="20" s="1"/>
  <c r="V198" i="20" s="1"/>
  <c r="U202" i="20"/>
  <c r="T202" i="20" s="1"/>
  <c r="S202" i="20" s="1"/>
  <c r="R202" i="20" s="1"/>
  <c r="P202" i="20" s="1"/>
  <c r="V202" i="20" s="1"/>
  <c r="U206" i="20"/>
  <c r="T206" i="20" s="1"/>
  <c r="S206" i="20" s="1"/>
  <c r="R206" i="20" s="1"/>
  <c r="P206" i="20" s="1"/>
  <c r="V206" i="20" s="1"/>
  <c r="U210" i="20"/>
  <c r="T210" i="20" s="1"/>
  <c r="S210" i="20" s="1"/>
  <c r="R210" i="20" s="1"/>
  <c r="P210" i="20" s="1"/>
  <c r="U214" i="20"/>
  <c r="T214" i="20" s="1"/>
  <c r="S214" i="20" s="1"/>
  <c r="R214" i="20" s="1"/>
  <c r="P214" i="20" s="1"/>
  <c r="V214" i="20" s="1"/>
  <c r="U218" i="20"/>
  <c r="T218" i="20" s="1"/>
  <c r="S218" i="20" s="1"/>
  <c r="R218" i="20" s="1"/>
  <c r="P218" i="20" s="1"/>
  <c r="V218" i="20" s="1"/>
  <c r="U222" i="20"/>
  <c r="T222" i="20" s="1"/>
  <c r="S222" i="20" s="1"/>
  <c r="R222" i="20" s="1"/>
  <c r="P222" i="20" s="1"/>
  <c r="V222" i="20" s="1"/>
  <c r="U226" i="20"/>
  <c r="T226" i="20" s="1"/>
  <c r="S226" i="20" s="1"/>
  <c r="R226" i="20" s="1"/>
  <c r="P226" i="20" s="1"/>
  <c r="V226" i="20" s="1"/>
  <c r="U230" i="20"/>
  <c r="T230" i="20" s="1"/>
  <c r="S230" i="20" s="1"/>
  <c r="R230" i="20" s="1"/>
  <c r="P230" i="20" s="1"/>
  <c r="V230" i="20" s="1"/>
  <c r="U234" i="20"/>
  <c r="T234" i="20" s="1"/>
  <c r="S234" i="20" s="1"/>
  <c r="R234" i="20" s="1"/>
  <c r="P234" i="20" s="1"/>
  <c r="V234" i="20" s="1"/>
  <c r="U238" i="20"/>
  <c r="T238" i="20" s="1"/>
  <c r="S238" i="20" s="1"/>
  <c r="R238" i="20" s="1"/>
  <c r="P238" i="20" s="1"/>
  <c r="V238" i="20" s="1"/>
  <c r="U242" i="20"/>
  <c r="T242" i="20" s="1"/>
  <c r="S242" i="20" s="1"/>
  <c r="R242" i="20" s="1"/>
  <c r="P242" i="20" s="1"/>
  <c r="V242" i="20" s="1"/>
  <c r="U246" i="20"/>
  <c r="T246" i="20" s="1"/>
  <c r="S246" i="20" s="1"/>
  <c r="R246" i="20" s="1"/>
  <c r="P246" i="20" s="1"/>
  <c r="V246" i="20" s="1"/>
  <c r="U250" i="20"/>
  <c r="T250" i="20" s="1"/>
  <c r="S250" i="20" s="1"/>
  <c r="R250" i="20" s="1"/>
  <c r="P250" i="20" s="1"/>
  <c r="V250" i="20" s="1"/>
  <c r="U254" i="20"/>
  <c r="T254" i="20" s="1"/>
  <c r="S254" i="20" s="1"/>
  <c r="R254" i="20" s="1"/>
  <c r="P254" i="20" s="1"/>
  <c r="V254" i="20" s="1"/>
  <c r="U378" i="20"/>
  <c r="T378" i="20" s="1"/>
  <c r="S378" i="20" s="1"/>
  <c r="R378" i="20" s="1"/>
  <c r="P378" i="20" s="1"/>
  <c r="V378" i="20" s="1"/>
  <c r="U374" i="20"/>
  <c r="T374" i="20" s="1"/>
  <c r="S374" i="20" s="1"/>
  <c r="R374" i="20" s="1"/>
  <c r="P374" i="20" s="1"/>
  <c r="V374" i="20" s="1"/>
  <c r="U370" i="20"/>
  <c r="T370" i="20" s="1"/>
  <c r="S370" i="20" s="1"/>
  <c r="R370" i="20" s="1"/>
  <c r="P370" i="20" s="1"/>
  <c r="V370" i="20" s="1"/>
  <c r="U366" i="20"/>
  <c r="T366" i="20" s="1"/>
  <c r="S366" i="20" s="1"/>
  <c r="R366" i="20" s="1"/>
  <c r="P366" i="20" s="1"/>
  <c r="V366" i="20" s="1"/>
  <c r="U362" i="20"/>
  <c r="T362" i="20" s="1"/>
  <c r="S362" i="20" s="1"/>
  <c r="R362" i="20" s="1"/>
  <c r="P362" i="20" s="1"/>
  <c r="V362" i="20" s="1"/>
  <c r="U358" i="20"/>
  <c r="T358" i="20" s="1"/>
  <c r="S358" i="20" s="1"/>
  <c r="R358" i="20" s="1"/>
  <c r="P358" i="20" s="1"/>
  <c r="V358" i="20" s="1"/>
  <c r="U354" i="20"/>
  <c r="T354" i="20" s="1"/>
  <c r="S354" i="20" s="1"/>
  <c r="R354" i="20" s="1"/>
  <c r="P354" i="20" s="1"/>
  <c r="V354" i="20" s="1"/>
  <c r="U350" i="20"/>
  <c r="T350" i="20" s="1"/>
  <c r="S350" i="20" s="1"/>
  <c r="R350" i="20" s="1"/>
  <c r="P350" i="20" s="1"/>
  <c r="V350" i="20" s="1"/>
  <c r="U346" i="20"/>
  <c r="T346" i="20" s="1"/>
  <c r="S346" i="20" s="1"/>
  <c r="R346" i="20" s="1"/>
  <c r="P346" i="20" s="1"/>
  <c r="V346" i="20" s="1"/>
  <c r="U342" i="20"/>
  <c r="T342" i="20" s="1"/>
  <c r="S342" i="20" s="1"/>
  <c r="R342" i="20" s="1"/>
  <c r="P342" i="20" s="1"/>
  <c r="V342" i="20" s="1"/>
  <c r="U338" i="20"/>
  <c r="T338" i="20" s="1"/>
  <c r="S338" i="20" s="1"/>
  <c r="R338" i="20" s="1"/>
  <c r="P338" i="20" s="1"/>
  <c r="V338" i="20" s="1"/>
  <c r="U334" i="20"/>
  <c r="T334" i="20" s="1"/>
  <c r="S334" i="20" s="1"/>
  <c r="R334" i="20" s="1"/>
  <c r="P334" i="20" s="1"/>
  <c r="V334" i="20" s="1"/>
  <c r="U330" i="20"/>
  <c r="T330" i="20" s="1"/>
  <c r="S330" i="20" s="1"/>
  <c r="R330" i="20" s="1"/>
  <c r="P330" i="20" s="1"/>
  <c r="V330" i="20" s="1"/>
  <c r="U326" i="20"/>
  <c r="T326" i="20" s="1"/>
  <c r="S326" i="20" s="1"/>
  <c r="R326" i="20" s="1"/>
  <c r="P326" i="20" s="1"/>
  <c r="V326" i="20" s="1"/>
  <c r="U322" i="20"/>
  <c r="T322" i="20" s="1"/>
  <c r="S322" i="20" s="1"/>
  <c r="R322" i="20" s="1"/>
  <c r="P322" i="20" s="1"/>
  <c r="V322" i="20" s="1"/>
  <c r="U318" i="20"/>
  <c r="T318" i="20" s="1"/>
  <c r="S318" i="20" s="1"/>
  <c r="R318" i="20" s="1"/>
  <c r="P318" i="20" s="1"/>
  <c r="V318" i="20" s="1"/>
  <c r="U314" i="20"/>
  <c r="T314" i="20" s="1"/>
  <c r="S314" i="20" s="1"/>
  <c r="R314" i="20" s="1"/>
  <c r="P314" i="20" s="1"/>
  <c r="V314" i="20" s="1"/>
  <c r="U310" i="20"/>
  <c r="T310" i="20" s="1"/>
  <c r="S310" i="20" s="1"/>
  <c r="R310" i="20" s="1"/>
  <c r="P310" i="20" s="1"/>
  <c r="V310" i="20" s="1"/>
  <c r="U306" i="20"/>
  <c r="T306" i="20" s="1"/>
  <c r="S306" i="20" s="1"/>
  <c r="R306" i="20" s="1"/>
  <c r="P306" i="20" s="1"/>
  <c r="V306" i="20" s="1"/>
  <c r="U302" i="20"/>
  <c r="T302" i="20" s="1"/>
  <c r="S302" i="20" s="1"/>
  <c r="R302" i="20" s="1"/>
  <c r="P302" i="20" s="1"/>
  <c r="U298" i="20"/>
  <c r="T298" i="20" s="1"/>
  <c r="S298" i="20" s="1"/>
  <c r="R298" i="20" s="1"/>
  <c r="P298" i="20" s="1"/>
  <c r="V298" i="20" s="1"/>
  <c r="U294" i="20"/>
  <c r="T294" i="20" s="1"/>
  <c r="S294" i="20" s="1"/>
  <c r="R294" i="20" s="1"/>
  <c r="P294" i="20" s="1"/>
  <c r="V294" i="20" s="1"/>
  <c r="U290" i="20"/>
  <c r="T290" i="20" s="1"/>
  <c r="S290" i="20" s="1"/>
  <c r="R290" i="20" s="1"/>
  <c r="P290" i="20" s="1"/>
  <c r="V290" i="20" s="1"/>
  <c r="U286" i="20"/>
  <c r="T286" i="20" s="1"/>
  <c r="S286" i="20" s="1"/>
  <c r="R286" i="20" s="1"/>
  <c r="P286" i="20" s="1"/>
  <c r="V286" i="20" s="1"/>
  <c r="U282" i="20"/>
  <c r="T282" i="20" s="1"/>
  <c r="S282" i="20" s="1"/>
  <c r="R282" i="20" s="1"/>
  <c r="P282" i="20" s="1"/>
  <c r="V282" i="20" s="1"/>
  <c r="U278" i="20"/>
  <c r="T278" i="20" s="1"/>
  <c r="S278" i="20" s="1"/>
  <c r="R278" i="20" s="1"/>
  <c r="P278" i="20" s="1"/>
  <c r="V278" i="20" s="1"/>
  <c r="U274" i="20"/>
  <c r="T274" i="20" s="1"/>
  <c r="S274" i="20" s="1"/>
  <c r="R274" i="20" s="1"/>
  <c r="P274" i="20" s="1"/>
  <c r="V274" i="20" s="1"/>
  <c r="U270" i="20"/>
  <c r="T270" i="20" s="1"/>
  <c r="S270" i="20" s="1"/>
  <c r="R270" i="20" s="1"/>
  <c r="P270" i="20" s="1"/>
  <c r="V270" i="20" s="1"/>
  <c r="U266" i="20"/>
  <c r="T266" i="20" s="1"/>
  <c r="S266" i="20" s="1"/>
  <c r="R266" i="20" s="1"/>
  <c r="P266" i="20" s="1"/>
  <c r="V266" i="20" s="1"/>
  <c r="U262" i="20"/>
  <c r="T262" i="20" s="1"/>
  <c r="S262" i="20" s="1"/>
  <c r="R262" i="20" s="1"/>
  <c r="P262" i="20" s="1"/>
  <c r="V262" i="20" s="1"/>
  <c r="U258" i="20"/>
  <c r="T258" i="20" s="1"/>
  <c r="S258" i="20" s="1"/>
  <c r="R258" i="20" s="1"/>
  <c r="P258" i="20" s="1"/>
  <c r="V258" i="20" s="1"/>
  <c r="U253" i="20"/>
  <c r="T253" i="20" s="1"/>
  <c r="S253" i="20" s="1"/>
  <c r="R253" i="20" s="1"/>
  <c r="P253" i="20" s="1"/>
  <c r="V253" i="20" s="1"/>
  <c r="U245" i="20"/>
  <c r="T245" i="20" s="1"/>
  <c r="S245" i="20" s="1"/>
  <c r="R245" i="20" s="1"/>
  <c r="P245" i="20" s="1"/>
  <c r="V245" i="20" s="1"/>
  <c r="U237" i="20"/>
  <c r="T237" i="20" s="1"/>
  <c r="S237" i="20" s="1"/>
  <c r="R237" i="20" s="1"/>
  <c r="P237" i="20" s="1"/>
  <c r="V237" i="20" s="1"/>
  <c r="U229" i="20"/>
  <c r="T229" i="20" s="1"/>
  <c r="S229" i="20" s="1"/>
  <c r="R229" i="20" s="1"/>
  <c r="P229" i="20" s="1"/>
  <c r="V229" i="20" s="1"/>
  <c r="U221" i="20"/>
  <c r="T221" i="20" s="1"/>
  <c r="S221" i="20" s="1"/>
  <c r="R221" i="20" s="1"/>
  <c r="P221" i="20" s="1"/>
  <c r="V221" i="20" s="1"/>
  <c r="U213" i="20"/>
  <c r="T213" i="20" s="1"/>
  <c r="S213" i="20" s="1"/>
  <c r="R213" i="20" s="1"/>
  <c r="P213" i="20" s="1"/>
  <c r="V213" i="20" s="1"/>
  <c r="U205" i="20"/>
  <c r="T205" i="20" s="1"/>
  <c r="S205" i="20" s="1"/>
  <c r="R205" i="20" s="1"/>
  <c r="P205" i="20" s="1"/>
  <c r="V205" i="20" s="1"/>
  <c r="U197" i="20"/>
  <c r="T197" i="20" s="1"/>
  <c r="S197" i="20" s="1"/>
  <c r="R197" i="20" s="1"/>
  <c r="P197" i="20" s="1"/>
  <c r="V197" i="20" s="1"/>
  <c r="U189" i="20"/>
  <c r="T189" i="20" s="1"/>
  <c r="S189" i="20" s="1"/>
  <c r="R189" i="20" s="1"/>
  <c r="P189" i="20" s="1"/>
  <c r="V189" i="20" s="1"/>
  <c r="U181" i="20"/>
  <c r="T181" i="20" s="1"/>
  <c r="S181" i="20" s="1"/>
  <c r="R181" i="20" s="1"/>
  <c r="P181" i="20" s="1"/>
  <c r="V181" i="20" s="1"/>
  <c r="U173" i="20"/>
  <c r="T173" i="20" s="1"/>
  <c r="S173" i="20" s="1"/>
  <c r="R173" i="20" s="1"/>
  <c r="P173" i="20" s="1"/>
  <c r="V173" i="20" s="1"/>
  <c r="U165" i="20"/>
  <c r="T165" i="20" s="1"/>
  <c r="S165" i="20" s="1"/>
  <c r="R165" i="20" s="1"/>
  <c r="P165" i="20" s="1"/>
  <c r="V165" i="20" s="1"/>
  <c r="U157" i="20"/>
  <c r="T157" i="20" s="1"/>
  <c r="S157" i="20" s="1"/>
  <c r="R157" i="20" s="1"/>
  <c r="P157" i="20" s="1"/>
  <c r="V157" i="20" s="1"/>
  <c r="U149" i="20"/>
  <c r="T149" i="20" s="1"/>
  <c r="S149" i="20" s="1"/>
  <c r="R149" i="20" s="1"/>
  <c r="P149" i="20" s="1"/>
  <c r="U141" i="20"/>
  <c r="T141" i="20" s="1"/>
  <c r="S141" i="20" s="1"/>
  <c r="R141" i="20" s="1"/>
  <c r="P141" i="20" s="1"/>
  <c r="V141" i="20" s="1"/>
  <c r="U133" i="20"/>
  <c r="T133" i="20" s="1"/>
  <c r="S133" i="20" s="1"/>
  <c r="R133" i="20" s="1"/>
  <c r="P133" i="20" s="1"/>
  <c r="V133" i="20" s="1"/>
  <c r="U125" i="20"/>
  <c r="T125" i="20" s="1"/>
  <c r="S125" i="20" s="1"/>
  <c r="R125" i="20" s="1"/>
  <c r="P125" i="20" s="1"/>
  <c r="V125" i="20" s="1"/>
  <c r="U117" i="20"/>
  <c r="T117" i="20" s="1"/>
  <c r="S117" i="20" s="1"/>
  <c r="R117" i="20" s="1"/>
  <c r="P117" i="20" s="1"/>
  <c r="V117" i="20" s="1"/>
  <c r="U109" i="20"/>
  <c r="T109" i="20" s="1"/>
  <c r="S109" i="20" s="1"/>
  <c r="R109" i="20" s="1"/>
  <c r="P109" i="20" s="1"/>
  <c r="V109" i="20" s="1"/>
  <c r="U101" i="20"/>
  <c r="T101" i="20" s="1"/>
  <c r="S101" i="20" s="1"/>
  <c r="R101" i="20" s="1"/>
  <c r="P101" i="20" s="1"/>
  <c r="V101" i="20" s="1"/>
  <c r="U93" i="20"/>
  <c r="T93" i="20" s="1"/>
  <c r="S93" i="20" s="1"/>
  <c r="R93" i="20" s="1"/>
  <c r="P93" i="20" s="1"/>
  <c r="V93" i="20" s="1"/>
  <c r="U85" i="20"/>
  <c r="T85" i="20" s="1"/>
  <c r="S85" i="20" s="1"/>
  <c r="R85" i="20" s="1"/>
  <c r="P85" i="20" s="1"/>
  <c r="V85" i="20" s="1"/>
  <c r="U77" i="20"/>
  <c r="T77" i="20" s="1"/>
  <c r="S77" i="20" s="1"/>
  <c r="R77" i="20" s="1"/>
  <c r="P77" i="20" s="1"/>
  <c r="V77" i="20" s="1"/>
  <c r="U69" i="20"/>
  <c r="T69" i="20" s="1"/>
  <c r="S69" i="20" s="1"/>
  <c r="R69" i="20" s="1"/>
  <c r="P69" i="20" s="1"/>
  <c r="V69" i="20" s="1"/>
  <c r="U61" i="20"/>
  <c r="T61" i="20" s="1"/>
  <c r="S61" i="20" s="1"/>
  <c r="R61" i="20" s="1"/>
  <c r="P61" i="20" s="1"/>
  <c r="V61" i="20" s="1"/>
  <c r="U53" i="20"/>
  <c r="T53" i="20" s="1"/>
  <c r="S53" i="20" s="1"/>
  <c r="R53" i="20" s="1"/>
  <c r="P53" i="20" s="1"/>
  <c r="V53" i="20" s="1"/>
  <c r="U45" i="20"/>
  <c r="T45" i="20" s="1"/>
  <c r="S45" i="20" s="1"/>
  <c r="R45" i="20" s="1"/>
  <c r="P45" i="20" s="1"/>
  <c r="V45" i="20" s="1"/>
  <c r="U37" i="20"/>
  <c r="T37" i="20" s="1"/>
  <c r="S37" i="20" s="1"/>
  <c r="R37" i="20" s="1"/>
  <c r="P37" i="20" s="1"/>
  <c r="V37" i="20" s="1"/>
  <c r="U29" i="20"/>
  <c r="T29" i="20" s="1"/>
  <c r="S29" i="20" s="1"/>
  <c r="R29" i="20" s="1"/>
  <c r="P29" i="20" s="1"/>
  <c r="U21" i="20"/>
  <c r="T21" i="20" s="1"/>
  <c r="S21" i="20" s="1"/>
  <c r="R21" i="20" s="1"/>
  <c r="P21" i="20" s="1"/>
  <c r="V21" i="20" s="1"/>
  <c r="AG16" i="18"/>
  <c r="AH381" i="18"/>
  <c r="AH383" i="18"/>
  <c r="AH382" i="18"/>
  <c r="S15" i="18"/>
  <c r="T383" i="18"/>
  <c r="T382" i="18"/>
  <c r="T381" i="18"/>
  <c r="AI319" i="20"/>
  <c r="AH319" i="20" s="1"/>
  <c r="AI255" i="20"/>
  <c r="AH255" i="20" s="1"/>
  <c r="AG255" i="20" s="1"/>
  <c r="AF255" i="20" s="1"/>
  <c r="AD255" i="20" s="1"/>
  <c r="AI191" i="20"/>
  <c r="AH191" i="20" s="1"/>
  <c r="AG191" i="20" s="1"/>
  <c r="AF191" i="20" s="1"/>
  <c r="AD191" i="20" s="1"/>
  <c r="AI127" i="20"/>
  <c r="AH127" i="20" s="1"/>
  <c r="AG127" i="20" s="1"/>
  <c r="AF127" i="20" s="1"/>
  <c r="AD127" i="20" s="1"/>
  <c r="AI63" i="20"/>
  <c r="AH63" i="20" s="1"/>
  <c r="AG63" i="20" s="1"/>
  <c r="AF63" i="20" s="1"/>
  <c r="AD63" i="20" s="1"/>
  <c r="AI23" i="20"/>
  <c r="AH23" i="20" s="1"/>
  <c r="AG23" i="20" s="1"/>
  <c r="AF23" i="20" s="1"/>
  <c r="AD23" i="20" s="1"/>
  <c r="AI378" i="20"/>
  <c r="AH378" i="20" s="1"/>
  <c r="AG378" i="20" s="1"/>
  <c r="AF378" i="20" s="1"/>
  <c r="AD378" i="20" s="1"/>
  <c r="AI362" i="20"/>
  <c r="AH362" i="20" s="1"/>
  <c r="AG362" i="20" s="1"/>
  <c r="AF362" i="20" s="1"/>
  <c r="AD362" i="20" s="1"/>
  <c r="AI346" i="20"/>
  <c r="AH346" i="20" s="1"/>
  <c r="AG346" i="20" s="1"/>
  <c r="AF346" i="20" s="1"/>
  <c r="AD346" i="20" s="1"/>
  <c r="AI330" i="20"/>
  <c r="AH330" i="20" s="1"/>
  <c r="AG330" i="20" s="1"/>
  <c r="AF330" i="20" s="1"/>
  <c r="AD330" i="20" s="1"/>
  <c r="AI314" i="20"/>
  <c r="AH314" i="20" s="1"/>
  <c r="AG314" i="20" s="1"/>
  <c r="AF314" i="20" s="1"/>
  <c r="AD314" i="20" s="1"/>
  <c r="AI298" i="20"/>
  <c r="AH298" i="20" s="1"/>
  <c r="AG298" i="20" s="1"/>
  <c r="AF298" i="20" s="1"/>
  <c r="AD298" i="20" s="1"/>
  <c r="AI282" i="20"/>
  <c r="AH282" i="20" s="1"/>
  <c r="AG282" i="20" s="1"/>
  <c r="AF282" i="20" s="1"/>
  <c r="AD282" i="20" s="1"/>
  <c r="AI266" i="20"/>
  <c r="AH266" i="20" s="1"/>
  <c r="AG266" i="20" s="1"/>
  <c r="AF266" i="20" s="1"/>
  <c r="AD266" i="20" s="1"/>
  <c r="AI250" i="20"/>
  <c r="AH250" i="20" s="1"/>
  <c r="AG250" i="20" s="1"/>
  <c r="AF250" i="20" s="1"/>
  <c r="AD250" i="20" s="1"/>
  <c r="AI234" i="20"/>
  <c r="AH234" i="20" s="1"/>
  <c r="AG234" i="20" s="1"/>
  <c r="AF234" i="20" s="1"/>
  <c r="AD234" i="20" s="1"/>
  <c r="AI218" i="20"/>
  <c r="AH218" i="20" s="1"/>
  <c r="AG218" i="20" s="1"/>
  <c r="AF218" i="20" s="1"/>
  <c r="AD218" i="20" s="1"/>
  <c r="AI202" i="20"/>
  <c r="AH202" i="20" s="1"/>
  <c r="AG202" i="20" s="1"/>
  <c r="AF202" i="20" s="1"/>
  <c r="AD202" i="20" s="1"/>
  <c r="AI186" i="20"/>
  <c r="AH186" i="20" s="1"/>
  <c r="AG186" i="20" s="1"/>
  <c r="AF186" i="20" s="1"/>
  <c r="AD186" i="20" s="1"/>
  <c r="AI170" i="20"/>
  <c r="AH170" i="20" s="1"/>
  <c r="AG170" i="20" s="1"/>
  <c r="AF170" i="20" s="1"/>
  <c r="AD170" i="20" s="1"/>
  <c r="AI154" i="20"/>
  <c r="AH154" i="20" s="1"/>
  <c r="AG154" i="20" s="1"/>
  <c r="AF154" i="20" s="1"/>
  <c r="AD154" i="20" s="1"/>
  <c r="AI138" i="20"/>
  <c r="AH138" i="20" s="1"/>
  <c r="AG138" i="20" s="1"/>
  <c r="AF138" i="20" s="1"/>
  <c r="AD138" i="20" s="1"/>
  <c r="AI122" i="20"/>
  <c r="AH122" i="20" s="1"/>
  <c r="AG122" i="20" s="1"/>
  <c r="AF122" i="20" s="1"/>
  <c r="AD122" i="20" s="1"/>
  <c r="AI106" i="20"/>
  <c r="AH106" i="20" s="1"/>
  <c r="AG106" i="20" s="1"/>
  <c r="AF106" i="20" s="1"/>
  <c r="AD106" i="20" s="1"/>
  <c r="AI90" i="20"/>
  <c r="AH90" i="20" s="1"/>
  <c r="AG90" i="20" s="1"/>
  <c r="AF90" i="20" s="1"/>
  <c r="AD90" i="20" s="1"/>
  <c r="AI74" i="20"/>
  <c r="AH74" i="20" s="1"/>
  <c r="AG74" i="20" s="1"/>
  <c r="AF74" i="20" s="1"/>
  <c r="AD74" i="20" s="1"/>
  <c r="AI58" i="20"/>
  <c r="AH58" i="20" s="1"/>
  <c r="AG58" i="20" s="1"/>
  <c r="AF58" i="20" s="1"/>
  <c r="AD58" i="20" s="1"/>
  <c r="AI42" i="20"/>
  <c r="AH42" i="20" s="1"/>
  <c r="AG42" i="20" s="1"/>
  <c r="AF42" i="20" s="1"/>
  <c r="AD42" i="20" s="1"/>
  <c r="AI26" i="20"/>
  <c r="AH26" i="20" s="1"/>
  <c r="AG26" i="20" s="1"/>
  <c r="AF26" i="20" s="1"/>
  <c r="AD26" i="20" s="1"/>
  <c r="AI367" i="20"/>
  <c r="AH367" i="20" s="1"/>
  <c r="AI303" i="20"/>
  <c r="AH303" i="20" s="1"/>
  <c r="AI239" i="20"/>
  <c r="AH239" i="20" s="1"/>
  <c r="AI175" i="20"/>
  <c r="AH175" i="20" s="1"/>
  <c r="AG175" i="20" s="1"/>
  <c r="AF175" i="20" s="1"/>
  <c r="AD175" i="20" s="1"/>
  <c r="AI111" i="20"/>
  <c r="AH111" i="20" s="1"/>
  <c r="AG111" i="20" s="1"/>
  <c r="AF111" i="20" s="1"/>
  <c r="AD111" i="20" s="1"/>
  <c r="AI47" i="20"/>
  <c r="AH47" i="20" s="1"/>
  <c r="AG47" i="20" s="1"/>
  <c r="AF47" i="20" s="1"/>
  <c r="AD47" i="20" s="1"/>
  <c r="AI21" i="20"/>
  <c r="AH21" i="20" s="1"/>
  <c r="AG21" i="20" s="1"/>
  <c r="AF21" i="20" s="1"/>
  <c r="AD21" i="20" s="1"/>
  <c r="AI366" i="20"/>
  <c r="AH366" i="20" s="1"/>
  <c r="AG366" i="20" s="1"/>
  <c r="AF366" i="20" s="1"/>
  <c r="AD366" i="20" s="1"/>
  <c r="AI350" i="20"/>
  <c r="AH350" i="20" s="1"/>
  <c r="AG350" i="20" s="1"/>
  <c r="AF350" i="20" s="1"/>
  <c r="AD350" i="20" s="1"/>
  <c r="AI334" i="20"/>
  <c r="AH334" i="20" s="1"/>
  <c r="AG334" i="20" s="1"/>
  <c r="AF334" i="20" s="1"/>
  <c r="AD334" i="20" s="1"/>
  <c r="AI318" i="20"/>
  <c r="AH318" i="20" s="1"/>
  <c r="AG318" i="20" s="1"/>
  <c r="AF318" i="20" s="1"/>
  <c r="AD318" i="20" s="1"/>
  <c r="AI302" i="20"/>
  <c r="AH302" i="20" s="1"/>
  <c r="AG302" i="20" s="1"/>
  <c r="AF302" i="20" s="1"/>
  <c r="AD302" i="20" s="1"/>
  <c r="AI286" i="20"/>
  <c r="AH286" i="20" s="1"/>
  <c r="AG286" i="20" s="1"/>
  <c r="AF286" i="20" s="1"/>
  <c r="AD286" i="20" s="1"/>
  <c r="AI270" i="20"/>
  <c r="AH270" i="20" s="1"/>
  <c r="AG270" i="20" s="1"/>
  <c r="AF270" i="20" s="1"/>
  <c r="AD270" i="20" s="1"/>
  <c r="AI254" i="20"/>
  <c r="AH254" i="20" s="1"/>
  <c r="AG254" i="20" s="1"/>
  <c r="AF254" i="20" s="1"/>
  <c r="AD254" i="20" s="1"/>
  <c r="AI238" i="20"/>
  <c r="AH238" i="20" s="1"/>
  <c r="AG238" i="20" s="1"/>
  <c r="AF238" i="20" s="1"/>
  <c r="AD238" i="20" s="1"/>
  <c r="AI222" i="20"/>
  <c r="AH222" i="20" s="1"/>
  <c r="AG222" i="20" s="1"/>
  <c r="AF222" i="20" s="1"/>
  <c r="AD222" i="20" s="1"/>
  <c r="AI206" i="20"/>
  <c r="AH206" i="20" s="1"/>
  <c r="AG206" i="20" s="1"/>
  <c r="AF206" i="20" s="1"/>
  <c r="AD206" i="20" s="1"/>
  <c r="AI190" i="20"/>
  <c r="AH190" i="20" s="1"/>
  <c r="AI174" i="20"/>
  <c r="AH174" i="20" s="1"/>
  <c r="AG174" i="20" s="1"/>
  <c r="AF174" i="20" s="1"/>
  <c r="AD174" i="20" s="1"/>
  <c r="AI158" i="20"/>
  <c r="AH158" i="20" s="1"/>
  <c r="AI142" i="20"/>
  <c r="AH142" i="20" s="1"/>
  <c r="AG142" i="20" s="1"/>
  <c r="AF142" i="20" s="1"/>
  <c r="AD142" i="20" s="1"/>
  <c r="AI126" i="20"/>
  <c r="AH126" i="20" s="1"/>
  <c r="AI110" i="20"/>
  <c r="AH110" i="20" s="1"/>
  <c r="AG110" i="20" s="1"/>
  <c r="AF110" i="20" s="1"/>
  <c r="AD110" i="20" s="1"/>
  <c r="AI94" i="20"/>
  <c r="AH94" i="20" s="1"/>
  <c r="AG94" i="20" s="1"/>
  <c r="AF94" i="20" s="1"/>
  <c r="AD94" i="20" s="1"/>
  <c r="AI78" i="20"/>
  <c r="AH78" i="20" s="1"/>
  <c r="AG78" i="20" s="1"/>
  <c r="AF78" i="20" s="1"/>
  <c r="AD78" i="20" s="1"/>
  <c r="AI62" i="20"/>
  <c r="AH62" i="20" s="1"/>
  <c r="AG62" i="20" s="1"/>
  <c r="AF62" i="20" s="1"/>
  <c r="AD62" i="20" s="1"/>
  <c r="AI46" i="20"/>
  <c r="AH46" i="20" s="1"/>
  <c r="AG46" i="20" s="1"/>
  <c r="AF46" i="20" s="1"/>
  <c r="AD46" i="20" s="1"/>
  <c r="AI30" i="20"/>
  <c r="AH30" i="20" s="1"/>
  <c r="AG30" i="20" s="1"/>
  <c r="AF30" i="20" s="1"/>
  <c r="AD30" i="20" s="1"/>
  <c r="AI351" i="20"/>
  <c r="AH351" i="20" s="1"/>
  <c r="AI287" i="20"/>
  <c r="AH287" i="20" s="1"/>
  <c r="AI223" i="20"/>
  <c r="AH223" i="20" s="1"/>
  <c r="AI159" i="20"/>
  <c r="AH159" i="20" s="1"/>
  <c r="AG159" i="20" s="1"/>
  <c r="AF159" i="20" s="1"/>
  <c r="AD159" i="20" s="1"/>
  <c r="AI95" i="20"/>
  <c r="AH95" i="20" s="1"/>
  <c r="AG95" i="20" s="1"/>
  <c r="AF95" i="20" s="1"/>
  <c r="AD95" i="20" s="1"/>
  <c r="AI39" i="20"/>
  <c r="AH39" i="20" s="1"/>
  <c r="AG39" i="20" s="1"/>
  <c r="AF39" i="20" s="1"/>
  <c r="AD39" i="20" s="1"/>
  <c r="AI370" i="20"/>
  <c r="AH370" i="20" s="1"/>
  <c r="AG370" i="20" s="1"/>
  <c r="AF370" i="20" s="1"/>
  <c r="AD370" i="20" s="1"/>
  <c r="AI354" i="20"/>
  <c r="AH354" i="20" s="1"/>
  <c r="AG354" i="20" s="1"/>
  <c r="AF354" i="20" s="1"/>
  <c r="AD354" i="20" s="1"/>
  <c r="AI338" i="20"/>
  <c r="AH338" i="20" s="1"/>
  <c r="AG338" i="20" s="1"/>
  <c r="AF338" i="20" s="1"/>
  <c r="AD338" i="20" s="1"/>
  <c r="AI322" i="20"/>
  <c r="AH322" i="20" s="1"/>
  <c r="AG322" i="20" s="1"/>
  <c r="AF322" i="20" s="1"/>
  <c r="AD322" i="20" s="1"/>
  <c r="AI306" i="20"/>
  <c r="AH306" i="20" s="1"/>
  <c r="AG306" i="20" s="1"/>
  <c r="AF306" i="20" s="1"/>
  <c r="AD306" i="20" s="1"/>
  <c r="AI290" i="20"/>
  <c r="AH290" i="20" s="1"/>
  <c r="AG290" i="20" s="1"/>
  <c r="AF290" i="20" s="1"/>
  <c r="AD290" i="20" s="1"/>
  <c r="AI274" i="20"/>
  <c r="AH274" i="20" s="1"/>
  <c r="AG274" i="20" s="1"/>
  <c r="AF274" i="20" s="1"/>
  <c r="AD274" i="20" s="1"/>
  <c r="AI258" i="20"/>
  <c r="AH258" i="20" s="1"/>
  <c r="AG258" i="20" s="1"/>
  <c r="AF258" i="20" s="1"/>
  <c r="AD258" i="20" s="1"/>
  <c r="AI242" i="20"/>
  <c r="AH242" i="20" s="1"/>
  <c r="AG242" i="20" s="1"/>
  <c r="AF242" i="20" s="1"/>
  <c r="AD242" i="20" s="1"/>
  <c r="AI226" i="20"/>
  <c r="AH226" i="20" s="1"/>
  <c r="AG226" i="20" s="1"/>
  <c r="AF226" i="20" s="1"/>
  <c r="AD226" i="20" s="1"/>
  <c r="AI210" i="20"/>
  <c r="AH210" i="20" s="1"/>
  <c r="AG210" i="20" s="1"/>
  <c r="AF210" i="20" s="1"/>
  <c r="AD210" i="20" s="1"/>
  <c r="AI194" i="20"/>
  <c r="AH194" i="20" s="1"/>
  <c r="AG194" i="20" s="1"/>
  <c r="AF194" i="20" s="1"/>
  <c r="AD194" i="20" s="1"/>
  <c r="AI178" i="20"/>
  <c r="AH178" i="20" s="1"/>
  <c r="AG178" i="20" s="1"/>
  <c r="AF178" i="20" s="1"/>
  <c r="AD178" i="20" s="1"/>
  <c r="AI162" i="20"/>
  <c r="AH162" i="20" s="1"/>
  <c r="AG162" i="20" s="1"/>
  <c r="AF162" i="20" s="1"/>
  <c r="AD162" i="20" s="1"/>
  <c r="AI146" i="20"/>
  <c r="AH146" i="20" s="1"/>
  <c r="AG146" i="20" s="1"/>
  <c r="AF146" i="20" s="1"/>
  <c r="AD146" i="20" s="1"/>
  <c r="AI130" i="20"/>
  <c r="AH130" i="20" s="1"/>
  <c r="AG130" i="20" s="1"/>
  <c r="AF130" i="20" s="1"/>
  <c r="AD130" i="20" s="1"/>
  <c r="AI114" i="20"/>
  <c r="AH114" i="20" s="1"/>
  <c r="AG114" i="20" s="1"/>
  <c r="AF114" i="20" s="1"/>
  <c r="AD114" i="20" s="1"/>
  <c r="AI98" i="20"/>
  <c r="AH98" i="20" s="1"/>
  <c r="AG98" i="20" s="1"/>
  <c r="AF98" i="20" s="1"/>
  <c r="AD98" i="20" s="1"/>
  <c r="AI82" i="20"/>
  <c r="AH82" i="20" s="1"/>
  <c r="AG82" i="20" s="1"/>
  <c r="AF82" i="20" s="1"/>
  <c r="AD82" i="20" s="1"/>
  <c r="AI66" i="20"/>
  <c r="AH66" i="20" s="1"/>
  <c r="AG66" i="20" s="1"/>
  <c r="AF66" i="20" s="1"/>
  <c r="AD66" i="20" s="1"/>
  <c r="AI50" i="20"/>
  <c r="AH50" i="20" s="1"/>
  <c r="AG50" i="20" s="1"/>
  <c r="AF50" i="20" s="1"/>
  <c r="AD50" i="20" s="1"/>
  <c r="AI34" i="20"/>
  <c r="AH34" i="20" s="1"/>
  <c r="AG34" i="20" s="1"/>
  <c r="AF34" i="20" s="1"/>
  <c r="AD34" i="20" s="1"/>
  <c r="AI15" i="20"/>
  <c r="AI335" i="20"/>
  <c r="AH335" i="20" s="1"/>
  <c r="AG335" i="20" s="1"/>
  <c r="AF335" i="20" s="1"/>
  <c r="AD335" i="20" s="1"/>
  <c r="AI271" i="20"/>
  <c r="AH271" i="20" s="1"/>
  <c r="AG271" i="20" s="1"/>
  <c r="AF271" i="20" s="1"/>
  <c r="AD271" i="20" s="1"/>
  <c r="AI207" i="20"/>
  <c r="AH207" i="20" s="1"/>
  <c r="AG207" i="20" s="1"/>
  <c r="AF207" i="20" s="1"/>
  <c r="AD207" i="20" s="1"/>
  <c r="AI143" i="20"/>
  <c r="AH143" i="20" s="1"/>
  <c r="AG143" i="20" s="1"/>
  <c r="AF143" i="20" s="1"/>
  <c r="AD143" i="20" s="1"/>
  <c r="AI79" i="20"/>
  <c r="AH79" i="20" s="1"/>
  <c r="AG79" i="20" s="1"/>
  <c r="AF79" i="20" s="1"/>
  <c r="AD79" i="20" s="1"/>
  <c r="AI31" i="20"/>
  <c r="AH31" i="20" s="1"/>
  <c r="AG31" i="20" s="1"/>
  <c r="AF31" i="20" s="1"/>
  <c r="AD31" i="20" s="1"/>
  <c r="AI374" i="20"/>
  <c r="AH374" i="20" s="1"/>
  <c r="AG374" i="20" s="1"/>
  <c r="AF374" i="20" s="1"/>
  <c r="AD374" i="20" s="1"/>
  <c r="AI358" i="20"/>
  <c r="AH358" i="20" s="1"/>
  <c r="AG358" i="20" s="1"/>
  <c r="AF358" i="20" s="1"/>
  <c r="AD358" i="20" s="1"/>
  <c r="AI342" i="20"/>
  <c r="AH342" i="20" s="1"/>
  <c r="AG342" i="20" s="1"/>
  <c r="AF342" i="20" s="1"/>
  <c r="AD342" i="20" s="1"/>
  <c r="AI326" i="20"/>
  <c r="AH326" i="20" s="1"/>
  <c r="AG326" i="20" s="1"/>
  <c r="AF326" i="20" s="1"/>
  <c r="AD326" i="20" s="1"/>
  <c r="AI310" i="20"/>
  <c r="AH310" i="20" s="1"/>
  <c r="AG310" i="20" s="1"/>
  <c r="AF310" i="20" s="1"/>
  <c r="AD310" i="20" s="1"/>
  <c r="AI294" i="20"/>
  <c r="AH294" i="20" s="1"/>
  <c r="AG294" i="20" s="1"/>
  <c r="AF294" i="20" s="1"/>
  <c r="AD294" i="20" s="1"/>
  <c r="AI278" i="20"/>
  <c r="AH278" i="20" s="1"/>
  <c r="AG278" i="20" s="1"/>
  <c r="AF278" i="20" s="1"/>
  <c r="AD278" i="20" s="1"/>
  <c r="AI262" i="20"/>
  <c r="AH262" i="20" s="1"/>
  <c r="AG262" i="20" s="1"/>
  <c r="AF262" i="20" s="1"/>
  <c r="AD262" i="20" s="1"/>
  <c r="AI246" i="20"/>
  <c r="AH246" i="20" s="1"/>
  <c r="AG246" i="20" s="1"/>
  <c r="AF246" i="20" s="1"/>
  <c r="AD246" i="20" s="1"/>
  <c r="AI230" i="20"/>
  <c r="AH230" i="20" s="1"/>
  <c r="AG230" i="20" s="1"/>
  <c r="AF230" i="20" s="1"/>
  <c r="AD230" i="20" s="1"/>
  <c r="AI214" i="20"/>
  <c r="AH214" i="20" s="1"/>
  <c r="AG214" i="20" s="1"/>
  <c r="AF214" i="20" s="1"/>
  <c r="AD214" i="20" s="1"/>
  <c r="AI198" i="20"/>
  <c r="AH198" i="20" s="1"/>
  <c r="AI182" i="20"/>
  <c r="AH182" i="20" s="1"/>
  <c r="AI166" i="20"/>
  <c r="AH166" i="20" s="1"/>
  <c r="AI150" i="20"/>
  <c r="AH150" i="20" s="1"/>
  <c r="AI134" i="20"/>
  <c r="AH134" i="20" s="1"/>
  <c r="AI118" i="20"/>
  <c r="AH118" i="20" s="1"/>
  <c r="AG118" i="20" s="1"/>
  <c r="AF118" i="20" s="1"/>
  <c r="AD118" i="20" s="1"/>
  <c r="AI102" i="20"/>
  <c r="AH102" i="20" s="1"/>
  <c r="AG102" i="20" s="1"/>
  <c r="AF102" i="20" s="1"/>
  <c r="AD102" i="20" s="1"/>
  <c r="AI86" i="20"/>
  <c r="AH86" i="20" s="1"/>
  <c r="AG86" i="20" s="1"/>
  <c r="AF86" i="20" s="1"/>
  <c r="AD86" i="20" s="1"/>
  <c r="AI70" i="20"/>
  <c r="AH70" i="20" s="1"/>
  <c r="AG70" i="20" s="1"/>
  <c r="AF70" i="20" s="1"/>
  <c r="AD70" i="20" s="1"/>
  <c r="AI54" i="20"/>
  <c r="AH54" i="20" s="1"/>
  <c r="AG54" i="20" s="1"/>
  <c r="AF54" i="20" s="1"/>
  <c r="AD54" i="20" s="1"/>
  <c r="AI38" i="20"/>
  <c r="AH38" i="20" s="1"/>
  <c r="AG38" i="20" s="1"/>
  <c r="AF38" i="20" s="1"/>
  <c r="AD38" i="20" s="1"/>
  <c r="AI22" i="20"/>
  <c r="AH22" i="20" s="1"/>
  <c r="AG22" i="20" s="1"/>
  <c r="AF22" i="20" s="1"/>
  <c r="AD22" i="20" s="1"/>
  <c r="AI380" i="20"/>
  <c r="AH380" i="20" s="1"/>
  <c r="AI373" i="20"/>
  <c r="AH373" i="20" s="1"/>
  <c r="AG373" i="20" s="1"/>
  <c r="AF373" i="20" s="1"/>
  <c r="AD373" i="20" s="1"/>
  <c r="AI365" i="20"/>
  <c r="AH365" i="20" s="1"/>
  <c r="AG365" i="20" s="1"/>
  <c r="AF365" i="20" s="1"/>
  <c r="AD365" i="20" s="1"/>
  <c r="AI357" i="20"/>
  <c r="AH357" i="20" s="1"/>
  <c r="AG357" i="20" s="1"/>
  <c r="AF357" i="20" s="1"/>
  <c r="AD357" i="20" s="1"/>
  <c r="AI349" i="20"/>
  <c r="AH349" i="20" s="1"/>
  <c r="AG349" i="20" s="1"/>
  <c r="AF349" i="20" s="1"/>
  <c r="AD349" i="20" s="1"/>
  <c r="AI341" i="20"/>
  <c r="AH341" i="20" s="1"/>
  <c r="AG341" i="20" s="1"/>
  <c r="AF341" i="20" s="1"/>
  <c r="AD341" i="20" s="1"/>
  <c r="AI333" i="20"/>
  <c r="AH333" i="20" s="1"/>
  <c r="AG333" i="20" s="1"/>
  <c r="AF333" i="20" s="1"/>
  <c r="AD333" i="20" s="1"/>
  <c r="AI325" i="20"/>
  <c r="AH325" i="20" s="1"/>
  <c r="AG325" i="20" s="1"/>
  <c r="AF325" i="20" s="1"/>
  <c r="AD325" i="20" s="1"/>
  <c r="AI317" i="20"/>
  <c r="AH317" i="20" s="1"/>
  <c r="AG317" i="20" s="1"/>
  <c r="AF317" i="20" s="1"/>
  <c r="AD317" i="20" s="1"/>
  <c r="AI309" i="20"/>
  <c r="AH309" i="20" s="1"/>
  <c r="AG309" i="20" s="1"/>
  <c r="AF309" i="20" s="1"/>
  <c r="AD309" i="20" s="1"/>
  <c r="AI301" i="20"/>
  <c r="AH301" i="20" s="1"/>
  <c r="AG301" i="20" s="1"/>
  <c r="AF301" i="20" s="1"/>
  <c r="AD301" i="20" s="1"/>
  <c r="AI293" i="20"/>
  <c r="AH293" i="20" s="1"/>
  <c r="AG293" i="20" s="1"/>
  <c r="AF293" i="20" s="1"/>
  <c r="AD293" i="20" s="1"/>
  <c r="AI285" i="20"/>
  <c r="AH285" i="20" s="1"/>
  <c r="AG285" i="20" s="1"/>
  <c r="AF285" i="20" s="1"/>
  <c r="AD285" i="20" s="1"/>
  <c r="AI277" i="20"/>
  <c r="AH277" i="20" s="1"/>
  <c r="AG277" i="20" s="1"/>
  <c r="AF277" i="20" s="1"/>
  <c r="AD277" i="20" s="1"/>
  <c r="AI269" i="20"/>
  <c r="AH269" i="20" s="1"/>
  <c r="AG269" i="20" s="1"/>
  <c r="AF269" i="20" s="1"/>
  <c r="AD269" i="20" s="1"/>
  <c r="AI261" i="20"/>
  <c r="AH261" i="20" s="1"/>
  <c r="AG261" i="20" s="1"/>
  <c r="AF261" i="20" s="1"/>
  <c r="AD261" i="20" s="1"/>
  <c r="AI253" i="20"/>
  <c r="AH253" i="20" s="1"/>
  <c r="AG253" i="20" s="1"/>
  <c r="AF253" i="20" s="1"/>
  <c r="AD253" i="20" s="1"/>
  <c r="AI245" i="20"/>
  <c r="AH245" i="20" s="1"/>
  <c r="AG245" i="20" s="1"/>
  <c r="AF245" i="20" s="1"/>
  <c r="AD245" i="20" s="1"/>
  <c r="AI237" i="20"/>
  <c r="AH237" i="20" s="1"/>
  <c r="AG237" i="20" s="1"/>
  <c r="AF237" i="20" s="1"/>
  <c r="AD237" i="20" s="1"/>
  <c r="AI229" i="20"/>
  <c r="AH229" i="20" s="1"/>
  <c r="AG229" i="20" s="1"/>
  <c r="AF229" i="20" s="1"/>
  <c r="AD229" i="20" s="1"/>
  <c r="AI221" i="20"/>
  <c r="AH221" i="20" s="1"/>
  <c r="AG221" i="20" s="1"/>
  <c r="AF221" i="20" s="1"/>
  <c r="AD221" i="20" s="1"/>
  <c r="AI213" i="20"/>
  <c r="AH213" i="20" s="1"/>
  <c r="AG213" i="20" s="1"/>
  <c r="AF213" i="20" s="1"/>
  <c r="AD213" i="20" s="1"/>
  <c r="AI205" i="20"/>
  <c r="AH205" i="20" s="1"/>
  <c r="AG205" i="20" s="1"/>
  <c r="AF205" i="20" s="1"/>
  <c r="AD205" i="20" s="1"/>
  <c r="AI197" i="20"/>
  <c r="AH197" i="20" s="1"/>
  <c r="AG197" i="20" s="1"/>
  <c r="AF197" i="20" s="1"/>
  <c r="AD197" i="20" s="1"/>
  <c r="AI189" i="20"/>
  <c r="AH189" i="20" s="1"/>
  <c r="AG189" i="20" s="1"/>
  <c r="AF189" i="20" s="1"/>
  <c r="AD189" i="20" s="1"/>
  <c r="AI181" i="20"/>
  <c r="AH181" i="20" s="1"/>
  <c r="AG181" i="20" s="1"/>
  <c r="AF181" i="20" s="1"/>
  <c r="AD181" i="20" s="1"/>
  <c r="AI173" i="20"/>
  <c r="AH173" i="20" s="1"/>
  <c r="AG173" i="20" s="1"/>
  <c r="AF173" i="20" s="1"/>
  <c r="AD173" i="20" s="1"/>
  <c r="AI165" i="20"/>
  <c r="AH165" i="20" s="1"/>
  <c r="AG165" i="20" s="1"/>
  <c r="AF165" i="20" s="1"/>
  <c r="AD165" i="20" s="1"/>
  <c r="AI157" i="20"/>
  <c r="AH157" i="20" s="1"/>
  <c r="AG157" i="20" s="1"/>
  <c r="AF157" i="20" s="1"/>
  <c r="AD157" i="20" s="1"/>
  <c r="AI149" i="20"/>
  <c r="AH149" i="20" s="1"/>
  <c r="AG149" i="20" s="1"/>
  <c r="AF149" i="20" s="1"/>
  <c r="AD149" i="20" s="1"/>
  <c r="AI141" i="20"/>
  <c r="AH141" i="20" s="1"/>
  <c r="AG141" i="20" s="1"/>
  <c r="AF141" i="20" s="1"/>
  <c r="AD141" i="20" s="1"/>
  <c r="AI133" i="20"/>
  <c r="AH133" i="20" s="1"/>
  <c r="AG133" i="20" s="1"/>
  <c r="AF133" i="20" s="1"/>
  <c r="AD133" i="20" s="1"/>
  <c r="AI125" i="20"/>
  <c r="AH125" i="20" s="1"/>
  <c r="AG125" i="20" s="1"/>
  <c r="AF125" i="20" s="1"/>
  <c r="AD125" i="20" s="1"/>
  <c r="AI117" i="20"/>
  <c r="AH117" i="20" s="1"/>
  <c r="AG117" i="20" s="1"/>
  <c r="AF117" i="20" s="1"/>
  <c r="AD117" i="20" s="1"/>
  <c r="AI109" i="20"/>
  <c r="AH109" i="20" s="1"/>
  <c r="AG109" i="20" s="1"/>
  <c r="AF109" i="20" s="1"/>
  <c r="AD109" i="20" s="1"/>
  <c r="AI101" i="20"/>
  <c r="AH101" i="20" s="1"/>
  <c r="AG101" i="20" s="1"/>
  <c r="AF101" i="20" s="1"/>
  <c r="AD101" i="20" s="1"/>
  <c r="AI93" i="20"/>
  <c r="AH93" i="20" s="1"/>
  <c r="AG93" i="20" s="1"/>
  <c r="AF93" i="20" s="1"/>
  <c r="AD93" i="20" s="1"/>
  <c r="AI85" i="20"/>
  <c r="AH85" i="20" s="1"/>
  <c r="AG85" i="20" s="1"/>
  <c r="AF85" i="20" s="1"/>
  <c r="AD85" i="20" s="1"/>
  <c r="AI77" i="20"/>
  <c r="AH77" i="20" s="1"/>
  <c r="AG77" i="20" s="1"/>
  <c r="AF77" i="20" s="1"/>
  <c r="AD77" i="20" s="1"/>
  <c r="AI69" i="20"/>
  <c r="AH69" i="20" s="1"/>
  <c r="AG69" i="20" s="1"/>
  <c r="AF69" i="20" s="1"/>
  <c r="AD69" i="20" s="1"/>
  <c r="AI61" i="20"/>
  <c r="AH61" i="20" s="1"/>
  <c r="AG61" i="20" s="1"/>
  <c r="AF61" i="20" s="1"/>
  <c r="AD61" i="20" s="1"/>
  <c r="AI53" i="20"/>
  <c r="AH53" i="20" s="1"/>
  <c r="AG53" i="20" s="1"/>
  <c r="AF53" i="20" s="1"/>
  <c r="AD53" i="20" s="1"/>
  <c r="AI379" i="20"/>
  <c r="AI363" i="20"/>
  <c r="AH363" i="20" s="1"/>
  <c r="AG363" i="20" s="1"/>
  <c r="AF363" i="20" s="1"/>
  <c r="AD363" i="20" s="1"/>
  <c r="AI347" i="20"/>
  <c r="AH347" i="20" s="1"/>
  <c r="AG347" i="20" s="1"/>
  <c r="AF347" i="20" s="1"/>
  <c r="AD347" i="20" s="1"/>
  <c r="AI331" i="20"/>
  <c r="AH331" i="20" s="1"/>
  <c r="AG331" i="20" s="1"/>
  <c r="AF331" i="20" s="1"/>
  <c r="AD331" i="20" s="1"/>
  <c r="AI315" i="20"/>
  <c r="AH315" i="20" s="1"/>
  <c r="AG315" i="20" s="1"/>
  <c r="AF315" i="20" s="1"/>
  <c r="AD315" i="20" s="1"/>
  <c r="AI299" i="20"/>
  <c r="AH299" i="20" s="1"/>
  <c r="AG299" i="20" s="1"/>
  <c r="AF299" i="20" s="1"/>
  <c r="AD299" i="20" s="1"/>
  <c r="AI283" i="20"/>
  <c r="AH283" i="20" s="1"/>
  <c r="AG283" i="20" s="1"/>
  <c r="AF283" i="20" s="1"/>
  <c r="AD283" i="20" s="1"/>
  <c r="AI267" i="20"/>
  <c r="AH267" i="20" s="1"/>
  <c r="AG267" i="20" s="1"/>
  <c r="AF267" i="20" s="1"/>
  <c r="AD267" i="20" s="1"/>
  <c r="AI251" i="20"/>
  <c r="AH251" i="20" s="1"/>
  <c r="AG251" i="20" s="1"/>
  <c r="AF251" i="20" s="1"/>
  <c r="AD251" i="20" s="1"/>
  <c r="AI235" i="20"/>
  <c r="AH235" i="20" s="1"/>
  <c r="AG235" i="20" s="1"/>
  <c r="AF235" i="20" s="1"/>
  <c r="AD235" i="20" s="1"/>
  <c r="AI219" i="20"/>
  <c r="AH219" i="20" s="1"/>
  <c r="AG219" i="20" s="1"/>
  <c r="AF219" i="20" s="1"/>
  <c r="AD219" i="20" s="1"/>
  <c r="AI203" i="20"/>
  <c r="AH203" i="20" s="1"/>
  <c r="AG203" i="20" s="1"/>
  <c r="AF203" i="20" s="1"/>
  <c r="AD203" i="20" s="1"/>
  <c r="AI187" i="20"/>
  <c r="AH187" i="20" s="1"/>
  <c r="AG187" i="20" s="1"/>
  <c r="AF187" i="20" s="1"/>
  <c r="AD187" i="20" s="1"/>
  <c r="AI171" i="20"/>
  <c r="AH171" i="20" s="1"/>
  <c r="AG171" i="20" s="1"/>
  <c r="AF171" i="20" s="1"/>
  <c r="AD171" i="20" s="1"/>
  <c r="AI155" i="20"/>
  <c r="AH155" i="20" s="1"/>
  <c r="AG155" i="20" s="1"/>
  <c r="AF155" i="20" s="1"/>
  <c r="AD155" i="20" s="1"/>
  <c r="AI139" i="20"/>
  <c r="AH139" i="20" s="1"/>
  <c r="AG139" i="20" s="1"/>
  <c r="AF139" i="20" s="1"/>
  <c r="AD139" i="20" s="1"/>
  <c r="AI123" i="20"/>
  <c r="AH123" i="20" s="1"/>
  <c r="AG123" i="20" s="1"/>
  <c r="AF123" i="20" s="1"/>
  <c r="AD123" i="20" s="1"/>
  <c r="AI107" i="20"/>
  <c r="AH107" i="20" s="1"/>
  <c r="AG107" i="20" s="1"/>
  <c r="AF107" i="20" s="1"/>
  <c r="AD107" i="20" s="1"/>
  <c r="AI91" i="20"/>
  <c r="AH91" i="20" s="1"/>
  <c r="AG91" i="20" s="1"/>
  <c r="AF91" i="20" s="1"/>
  <c r="AD91" i="20" s="1"/>
  <c r="AI75" i="20"/>
  <c r="AH75" i="20" s="1"/>
  <c r="AG75" i="20" s="1"/>
  <c r="AF75" i="20" s="1"/>
  <c r="AD75" i="20" s="1"/>
  <c r="AI59" i="20"/>
  <c r="AH59" i="20" s="1"/>
  <c r="AG59" i="20" s="1"/>
  <c r="AF59" i="20" s="1"/>
  <c r="AD59" i="20" s="1"/>
  <c r="AI45" i="20"/>
  <c r="AH45" i="20" s="1"/>
  <c r="AG45" i="20" s="1"/>
  <c r="AF45" i="20" s="1"/>
  <c r="AD45" i="20" s="1"/>
  <c r="AI37" i="20"/>
  <c r="AH37" i="20" s="1"/>
  <c r="AG37" i="20" s="1"/>
  <c r="AF37" i="20" s="1"/>
  <c r="AD37" i="20" s="1"/>
  <c r="AI29" i="20"/>
  <c r="AH29" i="20" s="1"/>
  <c r="AG29" i="20" s="1"/>
  <c r="AF29" i="20" s="1"/>
  <c r="AD29" i="20" s="1"/>
  <c r="AI19" i="20"/>
  <c r="AH19" i="20" s="1"/>
  <c r="AG19" i="20" s="1"/>
  <c r="AF19" i="20" s="1"/>
  <c r="AD19" i="20" s="1"/>
  <c r="AI18" i="20"/>
  <c r="AH18" i="20" s="1"/>
  <c r="AG18" i="20" s="1"/>
  <c r="AF18" i="20" s="1"/>
  <c r="AD18" i="20" s="1"/>
  <c r="AI24" i="20"/>
  <c r="AH24" i="20" s="1"/>
  <c r="AG24" i="20" s="1"/>
  <c r="AF24" i="20" s="1"/>
  <c r="AD24" i="20" s="1"/>
  <c r="AI32" i="20"/>
  <c r="AH32" i="20" s="1"/>
  <c r="AG32" i="20" s="1"/>
  <c r="AF32" i="20" s="1"/>
  <c r="AD32" i="20" s="1"/>
  <c r="AI40" i="20"/>
  <c r="AH40" i="20" s="1"/>
  <c r="AG40" i="20" s="1"/>
  <c r="AF40" i="20" s="1"/>
  <c r="AD40" i="20" s="1"/>
  <c r="AI48" i="20"/>
  <c r="AH48" i="20" s="1"/>
  <c r="AG48" i="20" s="1"/>
  <c r="AF48" i="20" s="1"/>
  <c r="AD48" i="20" s="1"/>
  <c r="AI56" i="20"/>
  <c r="AH56" i="20" s="1"/>
  <c r="AG56" i="20" s="1"/>
  <c r="AF56" i="20" s="1"/>
  <c r="AD56" i="20" s="1"/>
  <c r="AI64" i="20"/>
  <c r="AH64" i="20" s="1"/>
  <c r="AG64" i="20" s="1"/>
  <c r="AF64" i="20" s="1"/>
  <c r="AD64" i="20" s="1"/>
  <c r="AI72" i="20"/>
  <c r="AH72" i="20" s="1"/>
  <c r="AG72" i="20" s="1"/>
  <c r="AF72" i="20" s="1"/>
  <c r="AD72" i="20" s="1"/>
  <c r="AI80" i="20"/>
  <c r="AH80" i="20" s="1"/>
  <c r="AG80" i="20" s="1"/>
  <c r="AF80" i="20" s="1"/>
  <c r="AD80" i="20" s="1"/>
  <c r="AI88" i="20"/>
  <c r="AH88" i="20" s="1"/>
  <c r="AG88" i="20" s="1"/>
  <c r="AF88" i="20" s="1"/>
  <c r="AD88" i="20" s="1"/>
  <c r="AI96" i="20"/>
  <c r="AH96" i="20" s="1"/>
  <c r="AG96" i="20" s="1"/>
  <c r="AF96" i="20" s="1"/>
  <c r="AD96" i="20" s="1"/>
  <c r="AI104" i="20"/>
  <c r="AH104" i="20" s="1"/>
  <c r="AG104" i="20" s="1"/>
  <c r="AF104" i="20" s="1"/>
  <c r="AD104" i="20" s="1"/>
  <c r="AI112" i="20"/>
  <c r="AH112" i="20" s="1"/>
  <c r="AG112" i="20" s="1"/>
  <c r="AF112" i="20" s="1"/>
  <c r="AD112" i="20" s="1"/>
  <c r="AI120" i="20"/>
  <c r="AH120" i="20" s="1"/>
  <c r="AG120" i="20" s="1"/>
  <c r="AF120" i="20" s="1"/>
  <c r="AD120" i="20" s="1"/>
  <c r="AI128" i="20"/>
  <c r="AH128" i="20" s="1"/>
  <c r="AG128" i="20" s="1"/>
  <c r="AF128" i="20" s="1"/>
  <c r="AD128" i="20" s="1"/>
  <c r="AI136" i="20"/>
  <c r="AH136" i="20" s="1"/>
  <c r="AG136" i="20" s="1"/>
  <c r="AF136" i="20" s="1"/>
  <c r="AD136" i="20" s="1"/>
  <c r="AI144" i="20"/>
  <c r="AH144" i="20" s="1"/>
  <c r="AG144" i="20" s="1"/>
  <c r="AF144" i="20" s="1"/>
  <c r="AD144" i="20" s="1"/>
  <c r="AI152" i="20"/>
  <c r="AH152" i="20" s="1"/>
  <c r="AG152" i="20" s="1"/>
  <c r="AF152" i="20" s="1"/>
  <c r="AD152" i="20" s="1"/>
  <c r="AI160" i="20"/>
  <c r="AH160" i="20" s="1"/>
  <c r="AG160" i="20" s="1"/>
  <c r="AF160" i="20" s="1"/>
  <c r="AD160" i="20" s="1"/>
  <c r="AI168" i="20"/>
  <c r="AH168" i="20" s="1"/>
  <c r="AG168" i="20" s="1"/>
  <c r="AF168" i="20" s="1"/>
  <c r="AD168" i="20" s="1"/>
  <c r="AI176" i="20"/>
  <c r="AH176" i="20" s="1"/>
  <c r="AG176" i="20" s="1"/>
  <c r="AF176" i="20" s="1"/>
  <c r="AD176" i="20" s="1"/>
  <c r="AI184" i="20"/>
  <c r="AH184" i="20" s="1"/>
  <c r="AG184" i="20" s="1"/>
  <c r="AF184" i="20" s="1"/>
  <c r="AD184" i="20" s="1"/>
  <c r="AI192" i="20"/>
  <c r="AH192" i="20" s="1"/>
  <c r="AG192" i="20" s="1"/>
  <c r="AF192" i="20" s="1"/>
  <c r="AD192" i="20" s="1"/>
  <c r="AI200" i="20"/>
  <c r="AH200" i="20" s="1"/>
  <c r="AG200" i="20" s="1"/>
  <c r="AF200" i="20" s="1"/>
  <c r="AD200" i="20" s="1"/>
  <c r="AI208" i="20"/>
  <c r="AH208" i="20" s="1"/>
  <c r="AG208" i="20" s="1"/>
  <c r="AF208" i="20" s="1"/>
  <c r="AD208" i="20" s="1"/>
  <c r="AI216" i="20"/>
  <c r="AH216" i="20" s="1"/>
  <c r="AG216" i="20" s="1"/>
  <c r="AF216" i="20" s="1"/>
  <c r="AD216" i="20" s="1"/>
  <c r="AI224" i="20"/>
  <c r="AH224" i="20" s="1"/>
  <c r="AG224" i="20" s="1"/>
  <c r="AF224" i="20" s="1"/>
  <c r="AD224" i="20" s="1"/>
  <c r="AI232" i="20"/>
  <c r="AH232" i="20" s="1"/>
  <c r="AG232" i="20" s="1"/>
  <c r="AF232" i="20" s="1"/>
  <c r="AD232" i="20" s="1"/>
  <c r="AI240" i="20"/>
  <c r="AH240" i="20" s="1"/>
  <c r="AG240" i="20" s="1"/>
  <c r="AF240" i="20" s="1"/>
  <c r="AD240" i="20" s="1"/>
  <c r="AI248" i="20"/>
  <c r="AH248" i="20" s="1"/>
  <c r="AG248" i="20" s="1"/>
  <c r="AF248" i="20" s="1"/>
  <c r="AD248" i="20" s="1"/>
  <c r="AI256" i="20"/>
  <c r="AH256" i="20" s="1"/>
  <c r="AG256" i="20" s="1"/>
  <c r="AF256" i="20" s="1"/>
  <c r="AD256" i="20" s="1"/>
  <c r="AI264" i="20"/>
  <c r="AH264" i="20" s="1"/>
  <c r="AG264" i="20" s="1"/>
  <c r="AF264" i="20" s="1"/>
  <c r="AD264" i="20" s="1"/>
  <c r="AI272" i="20"/>
  <c r="AH272" i="20" s="1"/>
  <c r="AG272" i="20" s="1"/>
  <c r="AF272" i="20" s="1"/>
  <c r="AD272" i="20" s="1"/>
  <c r="AI280" i="20"/>
  <c r="AH280" i="20" s="1"/>
  <c r="AG280" i="20" s="1"/>
  <c r="AF280" i="20" s="1"/>
  <c r="AD280" i="20" s="1"/>
  <c r="AI288" i="20"/>
  <c r="AH288" i="20" s="1"/>
  <c r="AG288" i="20" s="1"/>
  <c r="AF288" i="20" s="1"/>
  <c r="AD288" i="20" s="1"/>
  <c r="AI296" i="20"/>
  <c r="AH296" i="20" s="1"/>
  <c r="AG296" i="20" s="1"/>
  <c r="AF296" i="20" s="1"/>
  <c r="AD296" i="20" s="1"/>
  <c r="AI304" i="20"/>
  <c r="AH304" i="20" s="1"/>
  <c r="AG304" i="20" s="1"/>
  <c r="AF304" i="20" s="1"/>
  <c r="AD304" i="20" s="1"/>
  <c r="AI312" i="20"/>
  <c r="AH312" i="20" s="1"/>
  <c r="AG312" i="20" s="1"/>
  <c r="AF312" i="20" s="1"/>
  <c r="AD312" i="20" s="1"/>
  <c r="AI320" i="20"/>
  <c r="AH320" i="20" s="1"/>
  <c r="AG320" i="20" s="1"/>
  <c r="AF320" i="20" s="1"/>
  <c r="AD320" i="20" s="1"/>
  <c r="AI328" i="20"/>
  <c r="AH328" i="20" s="1"/>
  <c r="AG328" i="20" s="1"/>
  <c r="AF328" i="20" s="1"/>
  <c r="AD328" i="20" s="1"/>
  <c r="AI336" i="20"/>
  <c r="AH336" i="20" s="1"/>
  <c r="AG336" i="20" s="1"/>
  <c r="AF336" i="20" s="1"/>
  <c r="AD336" i="20" s="1"/>
  <c r="AI344" i="20"/>
  <c r="AH344" i="20" s="1"/>
  <c r="AG344" i="20" s="1"/>
  <c r="AF344" i="20" s="1"/>
  <c r="AD344" i="20" s="1"/>
  <c r="AI352" i="20"/>
  <c r="AH352" i="20" s="1"/>
  <c r="AG352" i="20" s="1"/>
  <c r="AF352" i="20" s="1"/>
  <c r="AD352" i="20" s="1"/>
  <c r="AI360" i="20"/>
  <c r="AH360" i="20" s="1"/>
  <c r="AG360" i="20" s="1"/>
  <c r="AF360" i="20" s="1"/>
  <c r="AD360" i="20" s="1"/>
  <c r="AI368" i="20"/>
  <c r="AH368" i="20" s="1"/>
  <c r="AG368" i="20" s="1"/>
  <c r="AF368" i="20" s="1"/>
  <c r="AD368" i="20" s="1"/>
  <c r="AI376" i="20"/>
  <c r="AH376" i="20" s="1"/>
  <c r="AG376" i="20" s="1"/>
  <c r="AF376" i="20" s="1"/>
  <c r="AD376" i="20" s="1"/>
  <c r="AI27" i="20"/>
  <c r="AH27" i="20" s="1"/>
  <c r="AG27" i="20" s="1"/>
  <c r="AF27" i="20" s="1"/>
  <c r="AD27" i="20" s="1"/>
  <c r="AI43" i="20"/>
  <c r="AH43" i="20" s="1"/>
  <c r="AG43" i="20" s="1"/>
  <c r="AF43" i="20" s="1"/>
  <c r="AD43" i="20" s="1"/>
  <c r="AI71" i="20"/>
  <c r="AH71" i="20" s="1"/>
  <c r="AG71" i="20" s="1"/>
  <c r="AF71" i="20" s="1"/>
  <c r="AD71" i="20" s="1"/>
  <c r="AI103" i="20"/>
  <c r="AH103" i="20" s="1"/>
  <c r="AG103" i="20" s="1"/>
  <c r="AF103" i="20" s="1"/>
  <c r="AD103" i="20" s="1"/>
  <c r="AI135" i="20"/>
  <c r="AH135" i="20" s="1"/>
  <c r="AG135" i="20" s="1"/>
  <c r="AF135" i="20" s="1"/>
  <c r="AD135" i="20" s="1"/>
  <c r="AI167" i="20"/>
  <c r="AH167" i="20" s="1"/>
  <c r="AG167" i="20" s="1"/>
  <c r="AF167" i="20" s="1"/>
  <c r="AD167" i="20" s="1"/>
  <c r="AI199" i="20"/>
  <c r="AH199" i="20" s="1"/>
  <c r="AG199" i="20" s="1"/>
  <c r="AF199" i="20" s="1"/>
  <c r="AD199" i="20" s="1"/>
  <c r="AI231" i="20"/>
  <c r="AH231" i="20" s="1"/>
  <c r="AG231" i="20" s="1"/>
  <c r="AF231" i="20" s="1"/>
  <c r="AD231" i="20" s="1"/>
  <c r="AI263" i="20"/>
  <c r="AH263" i="20" s="1"/>
  <c r="AG263" i="20" s="1"/>
  <c r="AF263" i="20" s="1"/>
  <c r="AD263" i="20" s="1"/>
  <c r="AI295" i="20"/>
  <c r="AH295" i="20" s="1"/>
  <c r="AG295" i="20" s="1"/>
  <c r="AF295" i="20" s="1"/>
  <c r="AD295" i="20" s="1"/>
  <c r="AI327" i="20"/>
  <c r="AH327" i="20" s="1"/>
  <c r="AG327" i="20" s="1"/>
  <c r="AF327" i="20" s="1"/>
  <c r="AD327" i="20" s="1"/>
  <c r="AI359" i="20"/>
  <c r="AH359" i="20" s="1"/>
  <c r="AG359" i="20" s="1"/>
  <c r="AF359" i="20" s="1"/>
  <c r="AD359" i="20" s="1"/>
  <c r="AI377" i="20"/>
  <c r="AH377" i="20" s="1"/>
  <c r="AG377" i="20" s="1"/>
  <c r="AF377" i="20" s="1"/>
  <c r="AD377" i="20" s="1"/>
  <c r="AI369" i="20"/>
  <c r="AH369" i="20" s="1"/>
  <c r="AG369" i="20" s="1"/>
  <c r="AF369" i="20" s="1"/>
  <c r="AD369" i="20" s="1"/>
  <c r="AI361" i="20"/>
  <c r="AH361" i="20" s="1"/>
  <c r="AG361" i="20" s="1"/>
  <c r="AF361" i="20" s="1"/>
  <c r="AD361" i="20" s="1"/>
  <c r="AI353" i="20"/>
  <c r="AH353" i="20" s="1"/>
  <c r="AG353" i="20" s="1"/>
  <c r="AF353" i="20" s="1"/>
  <c r="AD353" i="20" s="1"/>
  <c r="AI345" i="20"/>
  <c r="AH345" i="20" s="1"/>
  <c r="AG345" i="20" s="1"/>
  <c r="AF345" i="20" s="1"/>
  <c r="AD345" i="20" s="1"/>
  <c r="AI337" i="20"/>
  <c r="AH337" i="20" s="1"/>
  <c r="AG337" i="20" s="1"/>
  <c r="AF337" i="20" s="1"/>
  <c r="AD337" i="20" s="1"/>
  <c r="AI329" i="20"/>
  <c r="AH329" i="20" s="1"/>
  <c r="AG329" i="20" s="1"/>
  <c r="AF329" i="20" s="1"/>
  <c r="AD329" i="20" s="1"/>
  <c r="AI321" i="20"/>
  <c r="AH321" i="20" s="1"/>
  <c r="AG321" i="20" s="1"/>
  <c r="AF321" i="20" s="1"/>
  <c r="AD321" i="20" s="1"/>
  <c r="AI313" i="20"/>
  <c r="AH313" i="20" s="1"/>
  <c r="AG313" i="20" s="1"/>
  <c r="AF313" i="20" s="1"/>
  <c r="AD313" i="20" s="1"/>
  <c r="AI305" i="20"/>
  <c r="AH305" i="20" s="1"/>
  <c r="AG305" i="20" s="1"/>
  <c r="AF305" i="20" s="1"/>
  <c r="AD305" i="20" s="1"/>
  <c r="AI297" i="20"/>
  <c r="AH297" i="20" s="1"/>
  <c r="AG297" i="20" s="1"/>
  <c r="AF297" i="20" s="1"/>
  <c r="AD297" i="20" s="1"/>
  <c r="AI289" i="20"/>
  <c r="AH289" i="20" s="1"/>
  <c r="AG289" i="20" s="1"/>
  <c r="AF289" i="20" s="1"/>
  <c r="AD289" i="20" s="1"/>
  <c r="AI281" i="20"/>
  <c r="AH281" i="20" s="1"/>
  <c r="AG281" i="20" s="1"/>
  <c r="AF281" i="20" s="1"/>
  <c r="AD281" i="20" s="1"/>
  <c r="AI273" i="20"/>
  <c r="AH273" i="20" s="1"/>
  <c r="AG273" i="20" s="1"/>
  <c r="AF273" i="20" s="1"/>
  <c r="AD273" i="20" s="1"/>
  <c r="AI265" i="20"/>
  <c r="AH265" i="20" s="1"/>
  <c r="AG265" i="20" s="1"/>
  <c r="AF265" i="20" s="1"/>
  <c r="AD265" i="20" s="1"/>
  <c r="AI257" i="20"/>
  <c r="AH257" i="20" s="1"/>
  <c r="AG257" i="20" s="1"/>
  <c r="AF257" i="20" s="1"/>
  <c r="AD257" i="20" s="1"/>
  <c r="AI249" i="20"/>
  <c r="AH249" i="20" s="1"/>
  <c r="AG249" i="20" s="1"/>
  <c r="AF249" i="20" s="1"/>
  <c r="AD249" i="20" s="1"/>
  <c r="AI241" i="20"/>
  <c r="AH241" i="20" s="1"/>
  <c r="AG241" i="20" s="1"/>
  <c r="AF241" i="20" s="1"/>
  <c r="AD241" i="20" s="1"/>
  <c r="AI233" i="20"/>
  <c r="AH233" i="20" s="1"/>
  <c r="AG233" i="20" s="1"/>
  <c r="AF233" i="20" s="1"/>
  <c r="AD233" i="20" s="1"/>
  <c r="AI225" i="20"/>
  <c r="AH225" i="20" s="1"/>
  <c r="AG225" i="20" s="1"/>
  <c r="AF225" i="20" s="1"/>
  <c r="AD225" i="20" s="1"/>
  <c r="AI217" i="20"/>
  <c r="AH217" i="20" s="1"/>
  <c r="AG217" i="20" s="1"/>
  <c r="AF217" i="20" s="1"/>
  <c r="AD217" i="20" s="1"/>
  <c r="AI209" i="20"/>
  <c r="AH209" i="20" s="1"/>
  <c r="AG209" i="20" s="1"/>
  <c r="AF209" i="20" s="1"/>
  <c r="AD209" i="20" s="1"/>
  <c r="AI201" i="20"/>
  <c r="AH201" i="20" s="1"/>
  <c r="AG201" i="20" s="1"/>
  <c r="AF201" i="20" s="1"/>
  <c r="AD201" i="20" s="1"/>
  <c r="AI193" i="20"/>
  <c r="AH193" i="20" s="1"/>
  <c r="AG193" i="20" s="1"/>
  <c r="AF193" i="20" s="1"/>
  <c r="AD193" i="20" s="1"/>
  <c r="AI185" i="20"/>
  <c r="AH185" i="20" s="1"/>
  <c r="AG185" i="20" s="1"/>
  <c r="AF185" i="20" s="1"/>
  <c r="AD185" i="20" s="1"/>
  <c r="AI177" i="20"/>
  <c r="AH177" i="20" s="1"/>
  <c r="AG177" i="20" s="1"/>
  <c r="AF177" i="20" s="1"/>
  <c r="AD177" i="20" s="1"/>
  <c r="AI169" i="20"/>
  <c r="AH169" i="20" s="1"/>
  <c r="AG169" i="20" s="1"/>
  <c r="AF169" i="20" s="1"/>
  <c r="AD169" i="20" s="1"/>
  <c r="AI161" i="20"/>
  <c r="AH161" i="20" s="1"/>
  <c r="AG161" i="20" s="1"/>
  <c r="AF161" i="20" s="1"/>
  <c r="AD161" i="20" s="1"/>
  <c r="AI153" i="20"/>
  <c r="AH153" i="20" s="1"/>
  <c r="AG153" i="20" s="1"/>
  <c r="AF153" i="20" s="1"/>
  <c r="AD153" i="20" s="1"/>
  <c r="AI145" i="20"/>
  <c r="AH145" i="20" s="1"/>
  <c r="AG145" i="20" s="1"/>
  <c r="AF145" i="20" s="1"/>
  <c r="AD145" i="20" s="1"/>
  <c r="AI137" i="20"/>
  <c r="AH137" i="20" s="1"/>
  <c r="AG137" i="20" s="1"/>
  <c r="AF137" i="20" s="1"/>
  <c r="AD137" i="20" s="1"/>
  <c r="AI129" i="20"/>
  <c r="AH129" i="20" s="1"/>
  <c r="AG129" i="20" s="1"/>
  <c r="AF129" i="20" s="1"/>
  <c r="AD129" i="20" s="1"/>
  <c r="AI121" i="20"/>
  <c r="AH121" i="20" s="1"/>
  <c r="AG121" i="20" s="1"/>
  <c r="AF121" i="20" s="1"/>
  <c r="AD121" i="20" s="1"/>
  <c r="AI113" i="20"/>
  <c r="AH113" i="20" s="1"/>
  <c r="AG113" i="20" s="1"/>
  <c r="AF113" i="20" s="1"/>
  <c r="AD113" i="20" s="1"/>
  <c r="AI105" i="20"/>
  <c r="AH105" i="20" s="1"/>
  <c r="AG105" i="20" s="1"/>
  <c r="AF105" i="20" s="1"/>
  <c r="AD105" i="20" s="1"/>
  <c r="AI97" i="20"/>
  <c r="AH97" i="20" s="1"/>
  <c r="AG97" i="20" s="1"/>
  <c r="AF97" i="20" s="1"/>
  <c r="AD97" i="20" s="1"/>
  <c r="AI89" i="20"/>
  <c r="AH89" i="20" s="1"/>
  <c r="AG89" i="20" s="1"/>
  <c r="AF89" i="20" s="1"/>
  <c r="AD89" i="20" s="1"/>
  <c r="AI81" i="20"/>
  <c r="AH81" i="20" s="1"/>
  <c r="AG81" i="20" s="1"/>
  <c r="AF81" i="20" s="1"/>
  <c r="AD81" i="20" s="1"/>
  <c r="AI73" i="20"/>
  <c r="AH73" i="20" s="1"/>
  <c r="AG73" i="20" s="1"/>
  <c r="AF73" i="20" s="1"/>
  <c r="AD73" i="20" s="1"/>
  <c r="AI65" i="20"/>
  <c r="AH65" i="20" s="1"/>
  <c r="AG65" i="20" s="1"/>
  <c r="AF65" i="20" s="1"/>
  <c r="AD65" i="20" s="1"/>
  <c r="AI57" i="20"/>
  <c r="AH57" i="20" s="1"/>
  <c r="AG57" i="20" s="1"/>
  <c r="AF57" i="20" s="1"/>
  <c r="AD57" i="20" s="1"/>
  <c r="AI49" i="20"/>
  <c r="AH49" i="20" s="1"/>
  <c r="AG49" i="20" s="1"/>
  <c r="AF49" i="20" s="1"/>
  <c r="AD49" i="20" s="1"/>
  <c r="AI371" i="20"/>
  <c r="AH371" i="20" s="1"/>
  <c r="AG371" i="20" s="1"/>
  <c r="AF371" i="20" s="1"/>
  <c r="AD371" i="20" s="1"/>
  <c r="AI355" i="20"/>
  <c r="AH355" i="20" s="1"/>
  <c r="AG355" i="20" s="1"/>
  <c r="AF355" i="20" s="1"/>
  <c r="AD355" i="20" s="1"/>
  <c r="AI339" i="20"/>
  <c r="AH339" i="20" s="1"/>
  <c r="AG339" i="20" s="1"/>
  <c r="AF339" i="20" s="1"/>
  <c r="AD339" i="20" s="1"/>
  <c r="AI323" i="20"/>
  <c r="AH323" i="20" s="1"/>
  <c r="AG323" i="20" s="1"/>
  <c r="AF323" i="20" s="1"/>
  <c r="AD323" i="20" s="1"/>
  <c r="AI307" i="20"/>
  <c r="AH307" i="20" s="1"/>
  <c r="AG307" i="20" s="1"/>
  <c r="AF307" i="20" s="1"/>
  <c r="AD307" i="20" s="1"/>
  <c r="AI291" i="20"/>
  <c r="AH291" i="20" s="1"/>
  <c r="AG291" i="20" s="1"/>
  <c r="AF291" i="20" s="1"/>
  <c r="AD291" i="20" s="1"/>
  <c r="AI275" i="20"/>
  <c r="AH275" i="20" s="1"/>
  <c r="AG275" i="20" s="1"/>
  <c r="AF275" i="20" s="1"/>
  <c r="AD275" i="20" s="1"/>
  <c r="AI259" i="20"/>
  <c r="AH259" i="20" s="1"/>
  <c r="AG259" i="20" s="1"/>
  <c r="AF259" i="20" s="1"/>
  <c r="AD259" i="20" s="1"/>
  <c r="AI243" i="20"/>
  <c r="AH243" i="20" s="1"/>
  <c r="AG243" i="20" s="1"/>
  <c r="AF243" i="20" s="1"/>
  <c r="AD243" i="20" s="1"/>
  <c r="AI227" i="20"/>
  <c r="AH227" i="20" s="1"/>
  <c r="AG227" i="20" s="1"/>
  <c r="AF227" i="20" s="1"/>
  <c r="AD227" i="20" s="1"/>
  <c r="AI211" i="20"/>
  <c r="AH211" i="20" s="1"/>
  <c r="AG211" i="20" s="1"/>
  <c r="AF211" i="20" s="1"/>
  <c r="AD211" i="20" s="1"/>
  <c r="AI195" i="20"/>
  <c r="AH195" i="20" s="1"/>
  <c r="AG195" i="20" s="1"/>
  <c r="AF195" i="20" s="1"/>
  <c r="AD195" i="20" s="1"/>
  <c r="AI179" i="20"/>
  <c r="AH179" i="20" s="1"/>
  <c r="AG179" i="20" s="1"/>
  <c r="AF179" i="20" s="1"/>
  <c r="AD179" i="20" s="1"/>
  <c r="AI163" i="20"/>
  <c r="AH163" i="20" s="1"/>
  <c r="AG163" i="20" s="1"/>
  <c r="AF163" i="20" s="1"/>
  <c r="AD163" i="20" s="1"/>
  <c r="AI147" i="20"/>
  <c r="AH147" i="20" s="1"/>
  <c r="AG147" i="20" s="1"/>
  <c r="AF147" i="20" s="1"/>
  <c r="AD147" i="20" s="1"/>
  <c r="AI131" i="20"/>
  <c r="AH131" i="20" s="1"/>
  <c r="AG131" i="20" s="1"/>
  <c r="AF131" i="20" s="1"/>
  <c r="AD131" i="20" s="1"/>
  <c r="AI115" i="20"/>
  <c r="AH115" i="20" s="1"/>
  <c r="AG115" i="20" s="1"/>
  <c r="AF115" i="20" s="1"/>
  <c r="AD115" i="20" s="1"/>
  <c r="AI99" i="20"/>
  <c r="AH99" i="20" s="1"/>
  <c r="AG99" i="20" s="1"/>
  <c r="AF99" i="20" s="1"/>
  <c r="AD99" i="20" s="1"/>
  <c r="AI83" i="20"/>
  <c r="AH83" i="20" s="1"/>
  <c r="AG83" i="20" s="1"/>
  <c r="AF83" i="20" s="1"/>
  <c r="AD83" i="20" s="1"/>
  <c r="AI67" i="20"/>
  <c r="AH67" i="20" s="1"/>
  <c r="AG67" i="20" s="1"/>
  <c r="AF67" i="20" s="1"/>
  <c r="AD67" i="20" s="1"/>
  <c r="AI51" i="20"/>
  <c r="AH51" i="20" s="1"/>
  <c r="AG51" i="20" s="1"/>
  <c r="AF51" i="20" s="1"/>
  <c r="AD51" i="20" s="1"/>
  <c r="AI41" i="20"/>
  <c r="AH41" i="20" s="1"/>
  <c r="AG41" i="20" s="1"/>
  <c r="AF41" i="20" s="1"/>
  <c r="AD41" i="20" s="1"/>
  <c r="AI33" i="20"/>
  <c r="AH33" i="20" s="1"/>
  <c r="AG33" i="20" s="1"/>
  <c r="AF33" i="20" s="1"/>
  <c r="AD33" i="20" s="1"/>
  <c r="AI25" i="20"/>
  <c r="AH25" i="20" s="1"/>
  <c r="AG25" i="20" s="1"/>
  <c r="AF25" i="20" s="1"/>
  <c r="AD25" i="20" s="1"/>
  <c r="AI20" i="20"/>
  <c r="AH20" i="20" s="1"/>
  <c r="AG20" i="20" s="1"/>
  <c r="AF20" i="20" s="1"/>
  <c r="AD20" i="20" s="1"/>
  <c r="AI17" i="20"/>
  <c r="AH17" i="20" s="1"/>
  <c r="AG17" i="20" s="1"/>
  <c r="AF17" i="20" s="1"/>
  <c r="AD17" i="20" s="1"/>
  <c r="AI28" i="20"/>
  <c r="AH28" i="20" s="1"/>
  <c r="AG28" i="20" s="1"/>
  <c r="AF28" i="20" s="1"/>
  <c r="AD28" i="20" s="1"/>
  <c r="AI36" i="20"/>
  <c r="AH36" i="20" s="1"/>
  <c r="AG36" i="20" s="1"/>
  <c r="AF36" i="20" s="1"/>
  <c r="AD36" i="20" s="1"/>
  <c r="AI44" i="20"/>
  <c r="AH44" i="20" s="1"/>
  <c r="AG44" i="20" s="1"/>
  <c r="AF44" i="20" s="1"/>
  <c r="AD44" i="20" s="1"/>
  <c r="AI52" i="20"/>
  <c r="AH52" i="20" s="1"/>
  <c r="AG52" i="20" s="1"/>
  <c r="AF52" i="20" s="1"/>
  <c r="AD52" i="20" s="1"/>
  <c r="AI60" i="20"/>
  <c r="AH60" i="20" s="1"/>
  <c r="AG60" i="20" s="1"/>
  <c r="AF60" i="20" s="1"/>
  <c r="AD60" i="20" s="1"/>
  <c r="AI68" i="20"/>
  <c r="AH68" i="20" s="1"/>
  <c r="AG68" i="20" s="1"/>
  <c r="AF68" i="20" s="1"/>
  <c r="AD68" i="20" s="1"/>
  <c r="AI76" i="20"/>
  <c r="AH76" i="20" s="1"/>
  <c r="AG76" i="20" s="1"/>
  <c r="AF76" i="20" s="1"/>
  <c r="AD76" i="20" s="1"/>
  <c r="AI84" i="20"/>
  <c r="AH84" i="20" s="1"/>
  <c r="AG84" i="20" s="1"/>
  <c r="AF84" i="20" s="1"/>
  <c r="AD84" i="20" s="1"/>
  <c r="AI92" i="20"/>
  <c r="AH92" i="20" s="1"/>
  <c r="AG92" i="20" s="1"/>
  <c r="AF92" i="20" s="1"/>
  <c r="AD92" i="20" s="1"/>
  <c r="AI100" i="20"/>
  <c r="AH100" i="20" s="1"/>
  <c r="AG100" i="20" s="1"/>
  <c r="AF100" i="20" s="1"/>
  <c r="AD100" i="20" s="1"/>
  <c r="AI108" i="20"/>
  <c r="AH108" i="20" s="1"/>
  <c r="AG108" i="20" s="1"/>
  <c r="AF108" i="20" s="1"/>
  <c r="AD108" i="20" s="1"/>
  <c r="AI116" i="20"/>
  <c r="AH116" i="20" s="1"/>
  <c r="AG116" i="20" s="1"/>
  <c r="AF116" i="20" s="1"/>
  <c r="AD116" i="20" s="1"/>
  <c r="AI124" i="20"/>
  <c r="AH124" i="20" s="1"/>
  <c r="AG124" i="20" s="1"/>
  <c r="AF124" i="20" s="1"/>
  <c r="AD124" i="20" s="1"/>
  <c r="AI132" i="20"/>
  <c r="AH132" i="20" s="1"/>
  <c r="AG132" i="20" s="1"/>
  <c r="AF132" i="20" s="1"/>
  <c r="AD132" i="20" s="1"/>
  <c r="AI140" i="20"/>
  <c r="AH140" i="20" s="1"/>
  <c r="AG140" i="20" s="1"/>
  <c r="AF140" i="20" s="1"/>
  <c r="AD140" i="20" s="1"/>
  <c r="AI148" i="20"/>
  <c r="AH148" i="20" s="1"/>
  <c r="AG148" i="20" s="1"/>
  <c r="AF148" i="20" s="1"/>
  <c r="AD148" i="20" s="1"/>
  <c r="AI156" i="20"/>
  <c r="AH156" i="20" s="1"/>
  <c r="AG156" i="20" s="1"/>
  <c r="AF156" i="20" s="1"/>
  <c r="AD156" i="20" s="1"/>
  <c r="AI164" i="20"/>
  <c r="AH164" i="20" s="1"/>
  <c r="AG164" i="20" s="1"/>
  <c r="AF164" i="20" s="1"/>
  <c r="AD164" i="20" s="1"/>
  <c r="AI172" i="20"/>
  <c r="AH172" i="20" s="1"/>
  <c r="AG172" i="20" s="1"/>
  <c r="AF172" i="20" s="1"/>
  <c r="AD172" i="20" s="1"/>
  <c r="AI180" i="20"/>
  <c r="AH180" i="20" s="1"/>
  <c r="AG180" i="20" s="1"/>
  <c r="AF180" i="20" s="1"/>
  <c r="AD180" i="20" s="1"/>
  <c r="AI188" i="20"/>
  <c r="AH188" i="20" s="1"/>
  <c r="AG188" i="20" s="1"/>
  <c r="AF188" i="20" s="1"/>
  <c r="AD188" i="20" s="1"/>
  <c r="AI196" i="20"/>
  <c r="AH196" i="20" s="1"/>
  <c r="AG196" i="20" s="1"/>
  <c r="AF196" i="20" s="1"/>
  <c r="AD196" i="20" s="1"/>
  <c r="AI204" i="20"/>
  <c r="AH204" i="20" s="1"/>
  <c r="AG204" i="20" s="1"/>
  <c r="AF204" i="20" s="1"/>
  <c r="AD204" i="20" s="1"/>
  <c r="AI212" i="20"/>
  <c r="AH212" i="20" s="1"/>
  <c r="AG212" i="20" s="1"/>
  <c r="AF212" i="20" s="1"/>
  <c r="AD212" i="20" s="1"/>
  <c r="AI220" i="20"/>
  <c r="AH220" i="20" s="1"/>
  <c r="AG220" i="20" s="1"/>
  <c r="AF220" i="20" s="1"/>
  <c r="AD220" i="20" s="1"/>
  <c r="AI228" i="20"/>
  <c r="AH228" i="20" s="1"/>
  <c r="AG228" i="20" s="1"/>
  <c r="AF228" i="20" s="1"/>
  <c r="AD228" i="20" s="1"/>
  <c r="AI236" i="20"/>
  <c r="AH236" i="20" s="1"/>
  <c r="AG236" i="20" s="1"/>
  <c r="AF236" i="20" s="1"/>
  <c r="AD236" i="20" s="1"/>
  <c r="AI244" i="20"/>
  <c r="AH244" i="20" s="1"/>
  <c r="AG244" i="20" s="1"/>
  <c r="AF244" i="20" s="1"/>
  <c r="AD244" i="20" s="1"/>
  <c r="AI252" i="20"/>
  <c r="AH252" i="20" s="1"/>
  <c r="AG252" i="20" s="1"/>
  <c r="AF252" i="20" s="1"/>
  <c r="AD252" i="20" s="1"/>
  <c r="AI260" i="20"/>
  <c r="AH260" i="20" s="1"/>
  <c r="AG260" i="20" s="1"/>
  <c r="AF260" i="20" s="1"/>
  <c r="AD260" i="20" s="1"/>
  <c r="AI268" i="20"/>
  <c r="AH268" i="20" s="1"/>
  <c r="AG268" i="20" s="1"/>
  <c r="AF268" i="20" s="1"/>
  <c r="AD268" i="20" s="1"/>
  <c r="AI276" i="20"/>
  <c r="AH276" i="20" s="1"/>
  <c r="AG276" i="20" s="1"/>
  <c r="AF276" i="20" s="1"/>
  <c r="AD276" i="20" s="1"/>
  <c r="AI284" i="20"/>
  <c r="AH284" i="20" s="1"/>
  <c r="AG284" i="20" s="1"/>
  <c r="AF284" i="20" s="1"/>
  <c r="AD284" i="20" s="1"/>
  <c r="AI292" i="20"/>
  <c r="AH292" i="20" s="1"/>
  <c r="AG292" i="20" s="1"/>
  <c r="AF292" i="20" s="1"/>
  <c r="AD292" i="20" s="1"/>
  <c r="AI300" i="20"/>
  <c r="AH300" i="20" s="1"/>
  <c r="AG300" i="20" s="1"/>
  <c r="AF300" i="20" s="1"/>
  <c r="AD300" i="20" s="1"/>
  <c r="AI308" i="20"/>
  <c r="AH308" i="20" s="1"/>
  <c r="AG308" i="20" s="1"/>
  <c r="AF308" i="20" s="1"/>
  <c r="AD308" i="20" s="1"/>
  <c r="AI316" i="20"/>
  <c r="AH316" i="20" s="1"/>
  <c r="AG316" i="20" s="1"/>
  <c r="AF316" i="20" s="1"/>
  <c r="AD316" i="20" s="1"/>
  <c r="AI324" i="20"/>
  <c r="AH324" i="20" s="1"/>
  <c r="AG324" i="20" s="1"/>
  <c r="AF324" i="20" s="1"/>
  <c r="AD324" i="20" s="1"/>
  <c r="AI332" i="20"/>
  <c r="AH332" i="20" s="1"/>
  <c r="AG332" i="20" s="1"/>
  <c r="AF332" i="20" s="1"/>
  <c r="AD332" i="20" s="1"/>
  <c r="AI340" i="20"/>
  <c r="AH340" i="20" s="1"/>
  <c r="AG340" i="20" s="1"/>
  <c r="AF340" i="20" s="1"/>
  <c r="AD340" i="20" s="1"/>
  <c r="AI348" i="20"/>
  <c r="AH348" i="20" s="1"/>
  <c r="AG348" i="20" s="1"/>
  <c r="AF348" i="20" s="1"/>
  <c r="AD348" i="20" s="1"/>
  <c r="AI356" i="20"/>
  <c r="AH356" i="20" s="1"/>
  <c r="AG356" i="20" s="1"/>
  <c r="AF356" i="20" s="1"/>
  <c r="AD356" i="20" s="1"/>
  <c r="AI364" i="20"/>
  <c r="AH364" i="20" s="1"/>
  <c r="AG364" i="20" s="1"/>
  <c r="AF364" i="20" s="1"/>
  <c r="AD364" i="20" s="1"/>
  <c r="AI372" i="20"/>
  <c r="AH372" i="20" s="1"/>
  <c r="AG372" i="20" s="1"/>
  <c r="AF372" i="20" s="1"/>
  <c r="AD372" i="20" s="1"/>
  <c r="AI16" i="20"/>
  <c r="AH16" i="20" s="1"/>
  <c r="AG16" i="20" s="1"/>
  <c r="AF16" i="20" s="1"/>
  <c r="AD16" i="20" s="1"/>
  <c r="AI35" i="20"/>
  <c r="AH35" i="20" s="1"/>
  <c r="AG35" i="20" s="1"/>
  <c r="AF35" i="20" s="1"/>
  <c r="AD35" i="20" s="1"/>
  <c r="AI55" i="20"/>
  <c r="AH55" i="20" s="1"/>
  <c r="AG55" i="20" s="1"/>
  <c r="AF55" i="20" s="1"/>
  <c r="AD55" i="20" s="1"/>
  <c r="AI87" i="20"/>
  <c r="AH87" i="20" s="1"/>
  <c r="AG87" i="20" s="1"/>
  <c r="AF87" i="20" s="1"/>
  <c r="AD87" i="20" s="1"/>
  <c r="AI119" i="20"/>
  <c r="AH119" i="20" s="1"/>
  <c r="AG119" i="20" s="1"/>
  <c r="AF119" i="20" s="1"/>
  <c r="AD119" i="20" s="1"/>
  <c r="AI151" i="20"/>
  <c r="AH151" i="20" s="1"/>
  <c r="AG151" i="20" s="1"/>
  <c r="AF151" i="20" s="1"/>
  <c r="AD151" i="20" s="1"/>
  <c r="AI183" i="20"/>
  <c r="AH183" i="20" s="1"/>
  <c r="AG183" i="20" s="1"/>
  <c r="AF183" i="20" s="1"/>
  <c r="AD183" i="20" s="1"/>
  <c r="AI215" i="20"/>
  <c r="AH215" i="20" s="1"/>
  <c r="AG215" i="20" s="1"/>
  <c r="AF215" i="20" s="1"/>
  <c r="AD215" i="20" s="1"/>
  <c r="AI247" i="20"/>
  <c r="AH247" i="20" s="1"/>
  <c r="AG247" i="20" s="1"/>
  <c r="AF247" i="20" s="1"/>
  <c r="AD247" i="20" s="1"/>
  <c r="AI279" i="20"/>
  <c r="AH279" i="20" s="1"/>
  <c r="AG279" i="20" s="1"/>
  <c r="AF279" i="20" s="1"/>
  <c r="AD279" i="20" s="1"/>
  <c r="AI311" i="20"/>
  <c r="AH311" i="20" s="1"/>
  <c r="AI343" i="20"/>
  <c r="AH343" i="20" s="1"/>
  <c r="AG343" i="20" s="1"/>
  <c r="AF343" i="20" s="1"/>
  <c r="AD343" i="20" s="1"/>
  <c r="AI375" i="20"/>
  <c r="AH375" i="20" s="1"/>
  <c r="AG375" i="20" s="1"/>
  <c r="AF375" i="20" s="1"/>
  <c r="AD375" i="20" s="1"/>
  <c r="D39" i="19"/>
  <c r="V379" i="18"/>
  <c r="AN15" i="7"/>
  <c r="AD382" i="17"/>
  <c r="AD381" i="17"/>
  <c r="AD383" i="17"/>
  <c r="V15" i="17"/>
  <c r="P381" i="17"/>
  <c r="P383" i="17"/>
  <c r="P382" i="17"/>
  <c r="F11" i="16"/>
  <c r="AB9" i="16"/>
  <c r="G13" i="19"/>
  <c r="J15" i="16"/>
  <c r="I15" i="16"/>
  <c r="BY15" i="6"/>
  <c r="G383" i="16"/>
  <c r="G12" i="16" s="1"/>
  <c r="G381" i="16"/>
  <c r="G382" i="16"/>
  <c r="AL9" i="16"/>
  <c r="AA381" i="16"/>
  <c r="Z15" i="16"/>
  <c r="AA383" i="16"/>
  <c r="AA382" i="16"/>
  <c r="AM8" i="16"/>
  <c r="AA9" i="16"/>
  <c r="AD15" i="18"/>
  <c r="Q381" i="22"/>
  <c r="AE381" i="22"/>
  <c r="AE382" i="22"/>
  <c r="AE383" i="22"/>
  <c r="Q382" i="22"/>
  <c r="Q10" i="23"/>
  <c r="Q125" i="23" s="1"/>
  <c r="AS15" i="7"/>
  <c r="Q16" i="23"/>
  <c r="AJ4" i="16"/>
  <c r="P13" i="19" s="1"/>
  <c r="Q383" i="22"/>
  <c r="M65" i="19" l="1"/>
  <c r="B379" i="18"/>
  <c r="AI12" i="22"/>
  <c r="AH379" i="20"/>
  <c r="AG379" i="20" s="1"/>
  <c r="AF379" i="20" s="1"/>
  <c r="AD379" i="20" s="1"/>
  <c r="AG380" i="20"/>
  <c r="AF380" i="20" s="1"/>
  <c r="AD380" i="20" s="1"/>
  <c r="AG134" i="20"/>
  <c r="AF134" i="20" s="1"/>
  <c r="AD134" i="20" s="1"/>
  <c r="AG166" i="20"/>
  <c r="AF166" i="20" s="1"/>
  <c r="AD166" i="20" s="1"/>
  <c r="AG198" i="20"/>
  <c r="AF198" i="20" s="1"/>
  <c r="AD198" i="20" s="1"/>
  <c r="AH15" i="20"/>
  <c r="AI383" i="20"/>
  <c r="AI381" i="20"/>
  <c r="AI382" i="20"/>
  <c r="AG223" i="20"/>
  <c r="AF223" i="20" s="1"/>
  <c r="AD223" i="20" s="1"/>
  <c r="AG351" i="20"/>
  <c r="AF351" i="20" s="1"/>
  <c r="AD351" i="20" s="1"/>
  <c r="AG303" i="20"/>
  <c r="AF303" i="20" s="1"/>
  <c r="AD303" i="20" s="1"/>
  <c r="AG319" i="20"/>
  <c r="AF319" i="20" s="1"/>
  <c r="AD319" i="20" s="1"/>
  <c r="S382" i="18"/>
  <c r="R15" i="18"/>
  <c r="S381" i="18"/>
  <c r="S383" i="18"/>
  <c r="AH20" i="7"/>
  <c r="V29" i="20"/>
  <c r="AH29" i="7"/>
  <c r="V302" i="20"/>
  <c r="K66" i="19" s="1"/>
  <c r="AH25" i="7"/>
  <c r="V180" i="20"/>
  <c r="G66" i="19" s="1"/>
  <c r="S100" i="20"/>
  <c r="R100" i="20" s="1"/>
  <c r="P100" i="20" s="1"/>
  <c r="V100" i="20" s="1"/>
  <c r="AH21" i="7"/>
  <c r="V60" i="20"/>
  <c r="S47" i="20"/>
  <c r="R47" i="20" s="1"/>
  <c r="P47" i="20" s="1"/>
  <c r="V47" i="20" s="1"/>
  <c r="S18" i="20"/>
  <c r="R18" i="20" s="1"/>
  <c r="P18" i="20" s="1"/>
  <c r="V18" i="20" s="1"/>
  <c r="AH16" i="7"/>
  <c r="AN11" i="7" s="1"/>
  <c r="U11" i="22" s="1"/>
  <c r="T379" i="20"/>
  <c r="S379" i="20" s="1"/>
  <c r="R379" i="20" s="1"/>
  <c r="P379" i="20" s="1"/>
  <c r="U12" i="22"/>
  <c r="AH31" i="7"/>
  <c r="V363" i="20"/>
  <c r="AH23" i="7"/>
  <c r="V119" i="20"/>
  <c r="E66" i="19" s="1"/>
  <c r="S87" i="20"/>
  <c r="R87" i="20" s="1"/>
  <c r="P87" i="20" s="1"/>
  <c r="V87" i="20" s="1"/>
  <c r="AH30" i="7"/>
  <c r="V333" i="20"/>
  <c r="L66" i="19" s="1"/>
  <c r="S59" i="20"/>
  <c r="R59" i="20" s="1"/>
  <c r="P59" i="20" s="1"/>
  <c r="V59" i="20" s="1"/>
  <c r="S27" i="20"/>
  <c r="R27" i="20" s="1"/>
  <c r="P27" i="20" s="1"/>
  <c r="V27" i="20" s="1"/>
  <c r="AG311" i="20"/>
  <c r="AF311" i="20" s="1"/>
  <c r="AD311" i="20" s="1"/>
  <c r="AG150" i="20"/>
  <c r="AF150" i="20" s="1"/>
  <c r="AD150" i="20" s="1"/>
  <c r="AG182" i="20"/>
  <c r="AF182" i="20" s="1"/>
  <c r="AD182" i="20" s="1"/>
  <c r="AG287" i="20"/>
  <c r="AF287" i="20" s="1"/>
  <c r="AD287" i="20" s="1"/>
  <c r="AG126" i="20"/>
  <c r="AF126" i="20" s="1"/>
  <c r="AD126" i="20" s="1"/>
  <c r="AG158" i="20"/>
  <c r="AF158" i="20" s="1"/>
  <c r="AD158" i="20" s="1"/>
  <c r="AG190" i="20"/>
  <c r="AF190" i="20" s="1"/>
  <c r="AD190" i="20" s="1"/>
  <c r="AG239" i="20"/>
  <c r="AF239" i="20" s="1"/>
  <c r="AD239" i="20" s="1"/>
  <c r="AG367" i="20"/>
  <c r="AF367" i="20" s="1"/>
  <c r="AD367" i="20" s="1"/>
  <c r="AF16" i="18"/>
  <c r="AG382" i="18"/>
  <c r="AG381" i="18"/>
  <c r="AG383" i="18"/>
  <c r="AH24" i="7"/>
  <c r="V149" i="20"/>
  <c r="F66" i="19" s="1"/>
  <c r="AH26" i="7"/>
  <c r="V210" i="20"/>
  <c r="H66" i="19" s="1"/>
  <c r="S90" i="20"/>
  <c r="R90" i="20" s="1"/>
  <c r="P90" i="20" s="1"/>
  <c r="V90" i="20" s="1"/>
  <c r="U383" i="20"/>
  <c r="U381" i="20"/>
  <c r="U382" i="20"/>
  <c r="T15" i="20"/>
  <c r="AH27" i="7"/>
  <c r="V241" i="20"/>
  <c r="I66" i="19" s="1"/>
  <c r="AH28" i="7"/>
  <c r="V272" i="20"/>
  <c r="J66" i="19" s="1"/>
  <c r="S88" i="20"/>
  <c r="R88" i="20" s="1"/>
  <c r="P88" i="20" s="1"/>
  <c r="S72" i="20"/>
  <c r="R72" i="20" s="1"/>
  <c r="P72" i="20" s="1"/>
  <c r="V72" i="20" s="1"/>
  <c r="S31" i="20"/>
  <c r="R31" i="20" s="1"/>
  <c r="P31" i="20" s="1"/>
  <c r="V31" i="20" s="1"/>
  <c r="S24" i="20"/>
  <c r="R24" i="20" s="1"/>
  <c r="P24" i="20" s="1"/>
  <c r="V24" i="20" s="1"/>
  <c r="S19" i="20"/>
  <c r="R19" i="20" s="1"/>
  <c r="P19" i="20" s="1"/>
  <c r="V19" i="20" s="1"/>
  <c r="S71" i="20"/>
  <c r="R71" i="20" s="1"/>
  <c r="P71" i="20" s="1"/>
  <c r="V71" i="20" s="1"/>
  <c r="S75" i="20"/>
  <c r="R75" i="20" s="1"/>
  <c r="P75" i="20" s="1"/>
  <c r="V75" i="20" s="1"/>
  <c r="J37" i="19"/>
  <c r="V382" i="17"/>
  <c r="V381" i="17"/>
  <c r="B64" i="19"/>
  <c r="N64" i="19" s="1"/>
  <c r="V383" i="17"/>
  <c r="AE11" i="23"/>
  <c r="AL7" i="16"/>
  <c r="Y15" i="16"/>
  <c r="Z383" i="16"/>
  <c r="Z381" i="16"/>
  <c r="Z382" i="16"/>
  <c r="Z9" i="16"/>
  <c r="Q7" i="7"/>
  <c r="C7" i="6"/>
  <c r="G37" i="19"/>
  <c r="D13" i="19"/>
  <c r="AE180" i="23"/>
  <c r="AE276" i="23"/>
  <c r="AE122" i="23"/>
  <c r="AE324" i="23"/>
  <c r="AE260" i="23"/>
  <c r="AE196" i="23"/>
  <c r="AE58" i="23"/>
  <c r="AE348" i="23"/>
  <c r="AE316" i="23"/>
  <c r="AE284" i="23"/>
  <c r="AE252" i="23"/>
  <c r="AE220" i="23"/>
  <c r="AE188" i="23"/>
  <c r="AE152" i="23"/>
  <c r="AE90" i="23"/>
  <c r="AE26" i="23"/>
  <c r="Q343" i="23"/>
  <c r="AE376" i="23"/>
  <c r="AE360" i="23"/>
  <c r="AE344" i="23"/>
  <c r="AE328" i="23"/>
  <c r="AE312" i="23"/>
  <c r="AE296" i="23"/>
  <c r="AE280" i="23"/>
  <c r="AE264" i="23"/>
  <c r="AE248" i="23"/>
  <c r="AE232" i="23"/>
  <c r="AE216" i="23"/>
  <c r="AE200" i="23"/>
  <c r="AE184" i="23"/>
  <c r="AE168" i="23"/>
  <c r="AE138" i="23"/>
  <c r="AE74" i="23"/>
  <c r="AE42" i="23"/>
  <c r="Q375" i="23"/>
  <c r="Q311" i="23"/>
  <c r="AE156" i="23"/>
  <c r="AE130" i="23"/>
  <c r="AE98" i="23"/>
  <c r="AE82" i="23"/>
  <c r="AE66" i="23"/>
  <c r="AE50" i="23"/>
  <c r="AE34" i="23"/>
  <c r="AE19" i="23"/>
  <c r="Q359" i="23"/>
  <c r="Q327" i="23"/>
  <c r="Q279" i="23"/>
  <c r="Q367" i="23"/>
  <c r="Q351" i="23"/>
  <c r="Q335" i="23"/>
  <c r="Q319" i="23"/>
  <c r="Q295" i="23"/>
  <c r="Q255" i="23"/>
  <c r="Q209" i="23"/>
  <c r="Q303" i="23"/>
  <c r="Q287" i="23"/>
  <c r="Q271" i="23"/>
  <c r="Q239" i="23"/>
  <c r="Q177" i="23"/>
  <c r="Q145" i="23"/>
  <c r="Q263" i="23"/>
  <c r="Q247" i="23"/>
  <c r="Q225" i="23"/>
  <c r="Q193" i="23"/>
  <c r="Q161" i="23"/>
  <c r="AU15" i="7"/>
  <c r="Q99" i="23"/>
  <c r="Q117" i="23"/>
  <c r="Q133" i="23"/>
  <c r="Q141" i="23"/>
  <c r="Q149" i="23"/>
  <c r="Q157" i="23"/>
  <c r="Q165" i="23"/>
  <c r="Q173" i="23"/>
  <c r="Q181" i="23"/>
  <c r="Q189" i="23"/>
  <c r="Q197" i="23"/>
  <c r="Q205" i="23"/>
  <c r="Q213" i="23"/>
  <c r="Q221" i="23"/>
  <c r="Q229" i="23"/>
  <c r="Q237" i="23"/>
  <c r="Q241" i="23"/>
  <c r="Q245" i="23"/>
  <c r="Q249" i="23"/>
  <c r="Q253" i="23"/>
  <c r="Q257" i="23"/>
  <c r="Q261" i="23"/>
  <c r="Q265" i="23"/>
  <c r="Q269" i="23"/>
  <c r="Q273" i="23"/>
  <c r="Q277" i="23"/>
  <c r="Q281" i="23"/>
  <c r="Q285" i="23"/>
  <c r="Q289" i="23"/>
  <c r="Q293" i="23"/>
  <c r="Q297" i="23"/>
  <c r="Q301" i="23"/>
  <c r="Q305" i="23"/>
  <c r="Q309" i="23"/>
  <c r="Q313" i="23"/>
  <c r="Q317" i="23"/>
  <c r="Q321" i="23"/>
  <c r="Q325" i="23"/>
  <c r="Q329" i="23"/>
  <c r="Q333" i="23"/>
  <c r="Q337" i="23"/>
  <c r="Q341" i="23"/>
  <c r="Q345" i="23"/>
  <c r="Q349" i="23"/>
  <c r="Q353" i="23"/>
  <c r="Q357" i="23"/>
  <c r="Q361" i="23"/>
  <c r="Q365" i="23"/>
  <c r="Q369" i="23"/>
  <c r="Q373" i="23"/>
  <c r="Q377" i="23"/>
  <c r="AE17" i="23"/>
  <c r="AE20" i="23"/>
  <c r="AE24" i="23"/>
  <c r="AE28" i="23"/>
  <c r="AE32" i="23"/>
  <c r="AE36" i="23"/>
  <c r="AE40" i="23"/>
  <c r="AE44" i="23"/>
  <c r="AE48" i="23"/>
  <c r="AE52" i="23"/>
  <c r="AE56" i="23"/>
  <c r="AE60" i="23"/>
  <c r="AE64" i="23"/>
  <c r="AE68" i="23"/>
  <c r="AE72" i="23"/>
  <c r="AE76" i="23"/>
  <c r="AE80" i="23"/>
  <c r="AE84" i="23"/>
  <c r="AE88" i="23"/>
  <c r="AE92" i="23"/>
  <c r="AE96" i="23"/>
  <c r="AE100" i="23"/>
  <c r="AE108" i="23"/>
  <c r="AE116" i="23"/>
  <c r="AE124" i="23"/>
  <c r="AE132" i="23"/>
  <c r="AE140" i="23"/>
  <c r="AE148" i="23"/>
  <c r="AE374" i="23"/>
  <c r="AE366" i="23"/>
  <c r="AE358" i="23"/>
  <c r="AE350" i="23"/>
  <c r="AE342" i="23"/>
  <c r="AE334" i="23"/>
  <c r="AE326" i="23"/>
  <c r="AE318" i="23"/>
  <c r="AE310" i="23"/>
  <c r="AE302" i="23"/>
  <c r="AE294" i="23"/>
  <c r="AE286" i="23"/>
  <c r="AE278" i="23"/>
  <c r="AE270" i="23"/>
  <c r="AE262" i="23"/>
  <c r="AE254" i="23"/>
  <c r="AE246" i="23"/>
  <c r="AE238" i="23"/>
  <c r="AE230" i="23"/>
  <c r="AE222" i="23"/>
  <c r="AE214" i="23"/>
  <c r="AE206" i="23"/>
  <c r="AE198" i="23"/>
  <c r="AE190" i="23"/>
  <c r="AE182" i="23"/>
  <c r="AE174" i="23"/>
  <c r="AE166" i="23"/>
  <c r="AE158" i="23"/>
  <c r="AE150" i="23"/>
  <c r="AE134" i="23"/>
  <c r="AE118" i="23"/>
  <c r="AE102" i="23"/>
  <c r="AE94" i="23"/>
  <c r="AE86" i="23"/>
  <c r="AE78" i="23"/>
  <c r="AE70" i="23"/>
  <c r="AE62" i="23"/>
  <c r="AE54" i="23"/>
  <c r="AE46" i="23"/>
  <c r="AE38" i="23"/>
  <c r="AE30" i="23"/>
  <c r="AE22" i="23"/>
  <c r="Q379" i="23"/>
  <c r="AT15" i="7" s="1"/>
  <c r="Q371" i="23"/>
  <c r="Q363" i="23"/>
  <c r="Q355" i="23"/>
  <c r="Q347" i="23"/>
  <c r="Q339" i="23"/>
  <c r="Q331" i="23"/>
  <c r="Q323" i="23"/>
  <c r="Q315" i="23"/>
  <c r="Q307" i="23"/>
  <c r="Q299" i="23"/>
  <c r="Q291" i="23"/>
  <c r="Q283" i="23"/>
  <c r="Q275" i="23"/>
  <c r="Q267" i="23"/>
  <c r="Q259" i="23"/>
  <c r="Q251" i="23"/>
  <c r="Q243" i="23"/>
  <c r="Q233" i="23"/>
  <c r="Q217" i="23"/>
  <c r="Q201" i="23"/>
  <c r="Q185" i="23"/>
  <c r="Q169" i="23"/>
  <c r="Q153" i="23"/>
  <c r="Q137" i="23"/>
  <c r="Q109" i="23"/>
  <c r="Q235" i="23"/>
  <c r="Q231" i="23"/>
  <c r="Q227" i="23"/>
  <c r="Q223" i="23"/>
  <c r="Q219" i="23"/>
  <c r="Q215" i="23"/>
  <c r="Q211" i="23"/>
  <c r="Q207" i="23"/>
  <c r="Q203" i="23"/>
  <c r="Q199" i="23"/>
  <c r="Q195" i="23"/>
  <c r="Q191" i="23"/>
  <c r="Q187" i="23"/>
  <c r="Q183" i="23"/>
  <c r="Q179" i="23"/>
  <c r="Q175" i="23"/>
  <c r="Q171" i="23"/>
  <c r="Q167" i="23"/>
  <c r="Q163" i="23"/>
  <c r="Q159" i="23"/>
  <c r="Q155" i="23"/>
  <c r="Q151" i="23"/>
  <c r="Q147" i="23"/>
  <c r="Q143" i="23"/>
  <c r="Q139" i="23"/>
  <c r="Q135" i="23"/>
  <c r="Q129" i="23"/>
  <c r="Q121" i="23"/>
  <c r="Q113" i="23"/>
  <c r="Q105" i="23"/>
  <c r="Q91" i="23"/>
  <c r="Q63" i="23"/>
  <c r="Q131" i="23"/>
  <c r="Q127" i="23"/>
  <c r="Q123" i="23"/>
  <c r="Q119" i="23"/>
  <c r="Q115" i="23"/>
  <c r="Q111" i="23"/>
  <c r="Q107" i="23"/>
  <c r="Q103" i="23"/>
  <c r="Q95" i="23"/>
  <c r="Q79" i="23"/>
  <c r="Q47" i="23"/>
  <c r="AE379" i="23"/>
  <c r="AE12" i="24" s="1"/>
  <c r="AE375" i="23"/>
  <c r="AE371" i="23"/>
  <c r="AE367" i="23"/>
  <c r="AE363" i="23"/>
  <c r="AE359" i="23"/>
  <c r="AE355" i="23"/>
  <c r="AE351" i="23"/>
  <c r="AE349" i="23"/>
  <c r="AE347" i="23"/>
  <c r="AE345" i="23"/>
  <c r="AE343" i="23"/>
  <c r="AE341" i="23"/>
  <c r="AE339" i="23"/>
  <c r="AE337" i="23"/>
  <c r="AE335" i="23"/>
  <c r="AE333" i="23"/>
  <c r="AE331" i="23"/>
  <c r="AE329" i="23"/>
  <c r="AE327" i="23"/>
  <c r="AE325" i="23"/>
  <c r="AE323" i="23"/>
  <c r="AE321" i="23"/>
  <c r="AE319" i="23"/>
  <c r="AE317" i="23"/>
  <c r="AE315" i="23"/>
  <c r="AE313" i="23"/>
  <c r="AE311" i="23"/>
  <c r="AE309" i="23"/>
  <c r="AE307" i="23"/>
  <c r="AE305" i="23"/>
  <c r="AE303" i="23"/>
  <c r="AE301" i="23"/>
  <c r="AE299" i="23"/>
  <c r="AE297" i="23"/>
  <c r="AE295" i="23"/>
  <c r="AE293" i="23"/>
  <c r="AE291" i="23"/>
  <c r="AE289" i="23"/>
  <c r="AE287" i="23"/>
  <c r="AE285" i="23"/>
  <c r="AE283" i="23"/>
  <c r="AE281" i="23"/>
  <c r="AE279" i="23"/>
  <c r="AE277" i="23"/>
  <c r="AE275" i="23"/>
  <c r="AE273" i="23"/>
  <c r="AE271" i="23"/>
  <c r="AE269" i="23"/>
  <c r="AE267" i="23"/>
  <c r="AE265" i="23"/>
  <c r="AE263" i="23"/>
  <c r="AE261" i="23"/>
  <c r="AE259" i="23"/>
  <c r="AE257" i="23"/>
  <c r="AE255" i="23"/>
  <c r="AE253" i="23"/>
  <c r="AE251" i="23"/>
  <c r="AE249" i="23"/>
  <c r="AE247" i="23"/>
  <c r="AE245" i="23"/>
  <c r="AE243" i="23"/>
  <c r="AE241" i="23"/>
  <c r="AE239" i="23"/>
  <c r="AE237" i="23"/>
  <c r="AE235" i="23"/>
  <c r="AE233" i="23"/>
  <c r="AE231" i="23"/>
  <c r="AE229" i="23"/>
  <c r="AE227" i="23"/>
  <c r="AE225" i="23"/>
  <c r="AE223" i="23"/>
  <c r="AE221" i="23"/>
  <c r="AE219" i="23"/>
  <c r="AE217" i="23"/>
  <c r="AE215" i="23"/>
  <c r="AE213" i="23"/>
  <c r="AE211" i="23"/>
  <c r="AE209" i="23"/>
  <c r="AE207" i="23"/>
  <c r="AE205" i="23"/>
  <c r="AE203" i="23"/>
  <c r="AE201" i="23"/>
  <c r="AE199" i="23"/>
  <c r="AE197" i="23"/>
  <c r="AE195" i="23"/>
  <c r="AE193" i="23"/>
  <c r="AE191" i="23"/>
  <c r="AE189" i="23"/>
  <c r="AE187" i="23"/>
  <c r="AE185" i="23"/>
  <c r="AE183" i="23"/>
  <c r="AE181" i="23"/>
  <c r="AE179" i="23"/>
  <c r="AE177" i="23"/>
  <c r="AE175" i="23"/>
  <c r="AE173" i="23"/>
  <c r="AE171" i="23"/>
  <c r="AE169" i="23"/>
  <c r="AE167" i="23"/>
  <c r="AE165" i="23"/>
  <c r="AE163" i="23"/>
  <c r="AE161" i="23"/>
  <c r="AE159" i="23"/>
  <c r="AE157" i="23"/>
  <c r="AE155" i="23"/>
  <c r="AE153" i="23"/>
  <c r="AE151" i="23"/>
  <c r="AE149" i="23"/>
  <c r="AE147" i="23"/>
  <c r="AE145" i="23"/>
  <c r="AE143" i="23"/>
  <c r="AE141" i="23"/>
  <c r="AE139" i="23"/>
  <c r="AE137" i="23"/>
  <c r="AE135" i="23"/>
  <c r="AE133" i="23"/>
  <c r="AE131" i="23"/>
  <c r="AE129" i="23"/>
  <c r="AE127" i="23"/>
  <c r="AE125" i="23"/>
  <c r="AE123" i="23"/>
  <c r="AE121" i="23"/>
  <c r="AE119" i="23"/>
  <c r="AE117" i="23"/>
  <c r="AE115" i="23"/>
  <c r="AE113" i="23"/>
  <c r="AE111" i="23"/>
  <c r="AE109" i="23"/>
  <c r="AE107" i="23"/>
  <c r="AE105" i="23"/>
  <c r="AE103" i="23"/>
  <c r="AE101" i="23"/>
  <c r="AE99" i="23"/>
  <c r="AE97" i="23"/>
  <c r="AE95" i="23"/>
  <c r="AE93" i="23"/>
  <c r="AE91" i="23"/>
  <c r="AE89" i="23"/>
  <c r="AE87" i="23"/>
  <c r="AE85" i="23"/>
  <c r="AE83" i="23"/>
  <c r="AE81" i="23"/>
  <c r="AE79" i="23"/>
  <c r="AE77" i="23"/>
  <c r="AE75" i="23"/>
  <c r="AE73" i="23"/>
  <c r="AE71" i="23"/>
  <c r="AE69" i="23"/>
  <c r="AE67" i="23"/>
  <c r="AE65" i="23"/>
  <c r="AE63" i="23"/>
  <c r="AE61" i="23"/>
  <c r="AE59" i="23"/>
  <c r="AE57" i="23"/>
  <c r="AE55" i="23"/>
  <c r="AE53" i="23"/>
  <c r="AE51" i="23"/>
  <c r="AE49" i="23"/>
  <c r="AE47" i="23"/>
  <c r="AE45" i="23"/>
  <c r="AE43" i="23"/>
  <c r="AE41" i="23"/>
  <c r="AE39" i="23"/>
  <c r="AE37" i="23"/>
  <c r="AE35" i="23"/>
  <c r="AE33" i="23"/>
  <c r="AE31" i="23"/>
  <c r="AE29" i="23"/>
  <c r="AE27" i="23"/>
  <c r="AE25" i="23"/>
  <c r="AE23" i="23"/>
  <c r="AE21" i="23"/>
  <c r="AE18" i="23"/>
  <c r="AE15" i="23"/>
  <c r="AE16" i="23"/>
  <c r="Q378" i="23"/>
  <c r="Q376" i="23"/>
  <c r="Q374" i="23"/>
  <c r="Q372" i="23"/>
  <c r="Q370" i="23"/>
  <c r="Q368" i="23"/>
  <c r="Q366" i="23"/>
  <c r="Q364" i="23"/>
  <c r="Q362" i="23"/>
  <c r="Q360" i="23"/>
  <c r="Q358" i="23"/>
  <c r="Q356" i="23"/>
  <c r="Q354" i="23"/>
  <c r="Q352" i="23"/>
  <c r="Q350" i="23"/>
  <c r="Q348" i="23"/>
  <c r="Q346" i="23"/>
  <c r="Q344" i="23"/>
  <c r="Q342" i="23"/>
  <c r="Q340" i="23"/>
  <c r="Q338" i="23"/>
  <c r="Q336" i="23"/>
  <c r="Q334" i="23"/>
  <c r="Q332" i="23"/>
  <c r="Q330" i="23"/>
  <c r="Q328" i="23"/>
  <c r="Q326" i="23"/>
  <c r="Q324" i="23"/>
  <c r="Q322" i="23"/>
  <c r="Q320" i="23"/>
  <c r="Q318" i="23"/>
  <c r="Q316" i="23"/>
  <c r="Q314" i="23"/>
  <c r="Q312" i="23"/>
  <c r="Q310" i="23"/>
  <c r="Q308" i="23"/>
  <c r="Q306" i="23"/>
  <c r="Q304" i="23"/>
  <c r="Q302" i="23"/>
  <c r="Q300" i="23"/>
  <c r="Q298" i="23"/>
  <c r="Q296" i="23"/>
  <c r="Q294" i="23"/>
  <c r="Q292" i="23"/>
  <c r="Q290" i="23"/>
  <c r="Q288" i="23"/>
  <c r="Q286" i="23"/>
  <c r="Q284" i="23"/>
  <c r="Q282" i="23"/>
  <c r="Q280" i="23"/>
  <c r="Q278" i="23"/>
  <c r="Q276" i="23"/>
  <c r="Q274" i="23"/>
  <c r="Q272" i="23"/>
  <c r="Q270" i="23"/>
  <c r="Q268" i="23"/>
  <c r="Q266" i="23"/>
  <c r="Q264" i="23"/>
  <c r="Q262" i="23"/>
  <c r="Q260" i="23"/>
  <c r="Q258" i="23"/>
  <c r="Q256" i="23"/>
  <c r="Q254" i="23"/>
  <c r="Q252" i="23"/>
  <c r="Q250" i="23"/>
  <c r="Q248" i="23"/>
  <c r="Q246" i="23"/>
  <c r="Q244" i="23"/>
  <c r="Q242" i="23"/>
  <c r="Q240" i="23"/>
  <c r="Q238" i="23"/>
  <c r="Q236" i="23"/>
  <c r="Q234" i="23"/>
  <c r="Q232" i="23"/>
  <c r="Q230" i="23"/>
  <c r="Q228" i="23"/>
  <c r="Q226" i="23"/>
  <c r="Q224" i="23"/>
  <c r="Q222" i="23"/>
  <c r="Q220" i="23"/>
  <c r="Q218" i="23"/>
  <c r="Q216" i="23"/>
  <c r="Q214" i="23"/>
  <c r="Q212" i="23"/>
  <c r="Q210" i="23"/>
  <c r="Q208" i="23"/>
  <c r="Q206" i="23"/>
  <c r="Q204" i="23"/>
  <c r="Q202" i="23"/>
  <c r="Q200" i="23"/>
  <c r="Q198" i="23"/>
  <c r="Q196" i="23"/>
  <c r="Q194" i="23"/>
  <c r="Q192" i="23"/>
  <c r="Q190" i="23"/>
  <c r="Q188" i="23"/>
  <c r="Q186" i="23"/>
  <c r="Q184" i="23"/>
  <c r="Q182" i="23"/>
  <c r="Q180" i="23"/>
  <c r="Q178" i="23"/>
  <c r="Q176" i="23"/>
  <c r="Q174" i="23"/>
  <c r="Q172" i="23"/>
  <c r="Q170" i="23"/>
  <c r="Q168" i="23"/>
  <c r="Q166" i="23"/>
  <c r="Q164" i="23"/>
  <c r="Q162" i="23"/>
  <c r="Q160" i="23"/>
  <c r="Q158" i="23"/>
  <c r="Q156" i="23"/>
  <c r="Q154" i="23"/>
  <c r="Q152" i="23"/>
  <c r="Q150" i="23"/>
  <c r="Q148" i="23"/>
  <c r="Q146" i="23"/>
  <c r="Q144" i="23"/>
  <c r="Q142" i="23"/>
  <c r="Q140" i="23"/>
  <c r="Q138" i="23"/>
  <c r="Q136" i="23"/>
  <c r="Q134" i="23"/>
  <c r="Q132" i="23"/>
  <c r="Q130" i="23"/>
  <c r="Q128" i="23"/>
  <c r="Q126" i="23"/>
  <c r="Q124" i="23"/>
  <c r="Q122" i="23"/>
  <c r="Q120" i="23"/>
  <c r="Q118" i="23"/>
  <c r="Q116" i="23"/>
  <c r="Q114" i="23"/>
  <c r="Q112" i="23"/>
  <c r="Q110" i="23"/>
  <c r="Q108" i="23"/>
  <c r="Q106" i="23"/>
  <c r="Q104" i="23"/>
  <c r="Q101" i="23"/>
  <c r="Q97" i="23"/>
  <c r="Q93" i="23"/>
  <c r="Q87" i="23"/>
  <c r="Q71" i="23"/>
  <c r="Q55" i="23"/>
  <c r="Q31" i="23"/>
  <c r="Q83" i="23"/>
  <c r="Q75" i="23"/>
  <c r="Q67" i="23"/>
  <c r="Q59" i="23"/>
  <c r="Q51" i="23"/>
  <c r="Q39" i="23"/>
  <c r="Q23" i="23"/>
  <c r="Q89" i="23"/>
  <c r="Q85" i="23"/>
  <c r="Q81" i="23"/>
  <c r="Q77" i="23"/>
  <c r="Q73" i="23"/>
  <c r="Q69" i="23"/>
  <c r="Q65" i="23"/>
  <c r="Q61" i="23"/>
  <c r="Q57" i="23"/>
  <c r="Q53" i="23"/>
  <c r="Q49" i="23"/>
  <c r="Q43" i="23"/>
  <c r="Q35" i="23"/>
  <c r="Q27" i="23"/>
  <c r="Q19" i="23"/>
  <c r="Q102" i="23"/>
  <c r="Q100" i="23"/>
  <c r="Q98" i="23"/>
  <c r="Q96" i="23"/>
  <c r="Q94" i="23"/>
  <c r="Q92" i="23"/>
  <c r="Q90" i="23"/>
  <c r="Q88" i="23"/>
  <c r="Q86" i="23"/>
  <c r="Q84" i="23"/>
  <c r="Q82" i="23"/>
  <c r="Q80" i="23"/>
  <c r="Q78" i="23"/>
  <c r="Q76" i="23"/>
  <c r="Q74" i="23"/>
  <c r="Q72" i="23"/>
  <c r="Q70" i="23"/>
  <c r="Q68" i="23"/>
  <c r="Q66" i="23"/>
  <c r="Q64" i="23"/>
  <c r="Q62" i="23"/>
  <c r="Q60" i="23"/>
  <c r="Q58" i="23"/>
  <c r="Q56" i="23"/>
  <c r="Q54" i="23"/>
  <c r="Q52" i="23"/>
  <c r="Q50" i="23"/>
  <c r="Q48" i="23"/>
  <c r="Q45" i="23"/>
  <c r="Q41" i="23"/>
  <c r="Q37" i="23"/>
  <c r="Q33" i="23"/>
  <c r="Q29" i="23"/>
  <c r="Q25" i="23"/>
  <c r="Q21" i="23"/>
  <c r="Q17" i="23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5" i="23"/>
  <c r="Q18" i="23"/>
  <c r="AE308" i="23" l="1"/>
  <c r="AE340" i="23"/>
  <c r="AE212" i="23"/>
  <c r="AE356" i="23"/>
  <c r="AE292" i="23"/>
  <c r="AE228" i="23"/>
  <c r="AE164" i="23"/>
  <c r="AE364" i="23"/>
  <c r="AE332" i="23"/>
  <c r="AE300" i="23"/>
  <c r="AE268" i="23"/>
  <c r="AE236" i="23"/>
  <c r="AE204" i="23"/>
  <c r="AE172" i="23"/>
  <c r="AE368" i="23"/>
  <c r="AE352" i="23"/>
  <c r="AE336" i="23"/>
  <c r="AE320" i="23"/>
  <c r="AE304" i="23"/>
  <c r="AE288" i="23"/>
  <c r="AE272" i="23"/>
  <c r="AE256" i="23"/>
  <c r="AE240" i="23"/>
  <c r="AE224" i="23"/>
  <c r="AE208" i="23"/>
  <c r="AE192" i="23"/>
  <c r="AE176" i="23"/>
  <c r="AE160" i="23"/>
  <c r="AE106" i="23"/>
  <c r="AE146" i="23"/>
  <c r="AE114" i="23"/>
  <c r="AE104" i="23"/>
  <c r="AE112" i="23"/>
  <c r="AE120" i="23"/>
  <c r="AE128" i="23"/>
  <c r="AE136" i="23"/>
  <c r="AE144" i="23"/>
  <c r="AE378" i="23"/>
  <c r="AE370" i="23"/>
  <c r="AE362" i="23"/>
  <c r="AE354" i="23"/>
  <c r="AE346" i="23"/>
  <c r="AE338" i="23"/>
  <c r="AE330" i="23"/>
  <c r="AE322" i="23"/>
  <c r="AE314" i="23"/>
  <c r="AE306" i="23"/>
  <c r="AE298" i="23"/>
  <c r="AE290" i="23"/>
  <c r="AE282" i="23"/>
  <c r="AE274" i="23"/>
  <c r="AE266" i="23"/>
  <c r="AE258" i="23"/>
  <c r="AE250" i="23"/>
  <c r="AE242" i="23"/>
  <c r="AE234" i="23"/>
  <c r="AE226" i="23"/>
  <c r="AE218" i="23"/>
  <c r="AE210" i="23"/>
  <c r="AE202" i="23"/>
  <c r="AE194" i="23"/>
  <c r="AE186" i="23"/>
  <c r="AE178" i="23"/>
  <c r="AE170" i="23"/>
  <c r="AE162" i="23"/>
  <c r="AE154" i="23"/>
  <c r="AE142" i="23"/>
  <c r="AE126" i="23"/>
  <c r="AE110" i="23"/>
  <c r="AE377" i="23"/>
  <c r="AE373" i="23"/>
  <c r="AE369" i="23"/>
  <c r="AE365" i="23"/>
  <c r="AE361" i="23"/>
  <c r="AE357" i="23"/>
  <c r="AE353" i="23"/>
  <c r="AD16" i="18"/>
  <c r="AF381" i="18"/>
  <c r="AF382" i="18"/>
  <c r="AF383" i="18"/>
  <c r="V379" i="20"/>
  <c r="M66" i="19" s="1"/>
  <c r="D40" i="19"/>
  <c r="C66" i="19"/>
  <c r="AH382" i="20"/>
  <c r="AH383" i="20"/>
  <c r="AG15" i="20"/>
  <c r="AH381" i="20"/>
  <c r="AH22" i="7"/>
  <c r="V88" i="20"/>
  <c r="D66" i="19" s="1"/>
  <c r="S15" i="20"/>
  <c r="T383" i="20"/>
  <c r="T381" i="20"/>
  <c r="T382" i="20"/>
  <c r="AM16" i="7"/>
  <c r="U10" i="22"/>
  <c r="U10" i="23" s="1"/>
  <c r="R382" i="18"/>
  <c r="P15" i="18"/>
  <c r="R381" i="18"/>
  <c r="R383" i="18"/>
  <c r="Q12" i="24"/>
  <c r="AY15" i="7" s="1"/>
  <c r="E13" i="19"/>
  <c r="AE244" i="23"/>
  <c r="AE372" i="23"/>
  <c r="AE382" i="23" s="1"/>
  <c r="AL5" i="16"/>
  <c r="AL11" i="16" s="1"/>
  <c r="Y381" i="16"/>
  <c r="X9" i="16"/>
  <c r="AM6" i="16"/>
  <c r="AM12" i="16" s="1"/>
  <c r="Y383" i="16"/>
  <c r="Y382" i="16"/>
  <c r="Q381" i="23"/>
  <c r="Q10" i="24"/>
  <c r="Q47" i="24" s="1"/>
  <c r="Q382" i="23"/>
  <c r="Q383" i="23"/>
  <c r="Q257" i="24" l="1"/>
  <c r="AE381" i="23"/>
  <c r="AE383" i="23"/>
  <c r="AI374" i="22"/>
  <c r="AH374" i="22" s="1"/>
  <c r="AG374" i="22" s="1"/>
  <c r="AF374" i="22" s="1"/>
  <c r="AD374" i="22" s="1"/>
  <c r="U19" i="22"/>
  <c r="T19" i="22" s="1"/>
  <c r="S19" i="22" s="1"/>
  <c r="R19" i="22" s="1"/>
  <c r="P19" i="22" s="1"/>
  <c r="V19" i="22" s="1"/>
  <c r="U35" i="22"/>
  <c r="T35" i="22" s="1"/>
  <c r="S35" i="22" s="1"/>
  <c r="R35" i="22" s="1"/>
  <c r="P35" i="22" s="1"/>
  <c r="V35" i="22" s="1"/>
  <c r="U51" i="22"/>
  <c r="T51" i="22" s="1"/>
  <c r="S51" i="22" s="1"/>
  <c r="R51" i="22" s="1"/>
  <c r="P51" i="22" s="1"/>
  <c r="V51" i="22" s="1"/>
  <c r="U67" i="22"/>
  <c r="T67" i="22" s="1"/>
  <c r="S67" i="22" s="1"/>
  <c r="R67" i="22" s="1"/>
  <c r="P67" i="22" s="1"/>
  <c r="V67" i="22" s="1"/>
  <c r="U83" i="22"/>
  <c r="T83" i="22" s="1"/>
  <c r="S83" i="22" s="1"/>
  <c r="R83" i="22" s="1"/>
  <c r="P83" i="22" s="1"/>
  <c r="V83" i="22" s="1"/>
  <c r="U99" i="22"/>
  <c r="T99" i="22" s="1"/>
  <c r="S99" i="22" s="1"/>
  <c r="R99" i="22" s="1"/>
  <c r="P99" i="22" s="1"/>
  <c r="V99" i="22" s="1"/>
  <c r="U115" i="22"/>
  <c r="T115" i="22" s="1"/>
  <c r="S115" i="22" s="1"/>
  <c r="R115" i="22" s="1"/>
  <c r="P115" i="22" s="1"/>
  <c r="V115" i="22" s="1"/>
  <c r="U131" i="22"/>
  <c r="T131" i="22" s="1"/>
  <c r="S131" i="22" s="1"/>
  <c r="R131" i="22" s="1"/>
  <c r="P131" i="22" s="1"/>
  <c r="V131" i="22" s="1"/>
  <c r="U147" i="22"/>
  <c r="T147" i="22" s="1"/>
  <c r="S147" i="22" s="1"/>
  <c r="R147" i="22" s="1"/>
  <c r="P147" i="22" s="1"/>
  <c r="V147" i="22" s="1"/>
  <c r="U20" i="22"/>
  <c r="T20" i="22" s="1"/>
  <c r="S20" i="22" s="1"/>
  <c r="R20" i="22" s="1"/>
  <c r="P20" i="22" s="1"/>
  <c r="V20" i="22" s="1"/>
  <c r="U25" i="22"/>
  <c r="T25" i="22" s="1"/>
  <c r="S25" i="22" s="1"/>
  <c r="R25" i="22" s="1"/>
  <c r="P25" i="22" s="1"/>
  <c r="V25" i="22" s="1"/>
  <c r="U33" i="22"/>
  <c r="T33" i="22" s="1"/>
  <c r="S33" i="22" s="1"/>
  <c r="R33" i="22" s="1"/>
  <c r="P33" i="22" s="1"/>
  <c r="V33" i="22" s="1"/>
  <c r="U41" i="22"/>
  <c r="T41" i="22" s="1"/>
  <c r="S41" i="22" s="1"/>
  <c r="R41" i="22" s="1"/>
  <c r="P41" i="22" s="1"/>
  <c r="V41" i="22" s="1"/>
  <c r="U49" i="22"/>
  <c r="T49" i="22" s="1"/>
  <c r="S49" i="22" s="1"/>
  <c r="R49" i="22" s="1"/>
  <c r="P49" i="22" s="1"/>
  <c r="V49" i="22" s="1"/>
  <c r="U57" i="22"/>
  <c r="T57" i="22" s="1"/>
  <c r="S57" i="22" s="1"/>
  <c r="R57" i="22" s="1"/>
  <c r="P57" i="22" s="1"/>
  <c r="V57" i="22" s="1"/>
  <c r="U65" i="22"/>
  <c r="T65" i="22" s="1"/>
  <c r="S65" i="22" s="1"/>
  <c r="R65" i="22" s="1"/>
  <c r="P65" i="22" s="1"/>
  <c r="V65" i="22" s="1"/>
  <c r="U73" i="22"/>
  <c r="T73" i="22" s="1"/>
  <c r="S73" i="22" s="1"/>
  <c r="R73" i="22" s="1"/>
  <c r="P73" i="22" s="1"/>
  <c r="V73" i="22" s="1"/>
  <c r="U81" i="22"/>
  <c r="T81" i="22" s="1"/>
  <c r="S81" i="22" s="1"/>
  <c r="R81" i="22" s="1"/>
  <c r="P81" i="22" s="1"/>
  <c r="V81" i="22" s="1"/>
  <c r="U89" i="22"/>
  <c r="T89" i="22" s="1"/>
  <c r="S89" i="22" s="1"/>
  <c r="R89" i="22" s="1"/>
  <c r="P89" i="22" s="1"/>
  <c r="V89" i="22" s="1"/>
  <c r="U97" i="22"/>
  <c r="T97" i="22" s="1"/>
  <c r="S97" i="22" s="1"/>
  <c r="R97" i="22" s="1"/>
  <c r="P97" i="22" s="1"/>
  <c r="V97" i="22" s="1"/>
  <c r="U105" i="22"/>
  <c r="T105" i="22" s="1"/>
  <c r="S105" i="22" s="1"/>
  <c r="R105" i="22" s="1"/>
  <c r="P105" i="22" s="1"/>
  <c r="V105" i="22" s="1"/>
  <c r="U113" i="22"/>
  <c r="T113" i="22" s="1"/>
  <c r="S113" i="22" s="1"/>
  <c r="R113" i="22" s="1"/>
  <c r="P113" i="22" s="1"/>
  <c r="V113" i="22" s="1"/>
  <c r="U121" i="22"/>
  <c r="T121" i="22" s="1"/>
  <c r="S121" i="22" s="1"/>
  <c r="R121" i="22" s="1"/>
  <c r="P121" i="22" s="1"/>
  <c r="V121" i="22" s="1"/>
  <c r="U129" i="22"/>
  <c r="T129" i="22" s="1"/>
  <c r="S129" i="22" s="1"/>
  <c r="R129" i="22" s="1"/>
  <c r="P129" i="22" s="1"/>
  <c r="V129" i="22" s="1"/>
  <c r="U137" i="22"/>
  <c r="T137" i="22" s="1"/>
  <c r="S137" i="22" s="1"/>
  <c r="R137" i="22" s="1"/>
  <c r="P137" i="22" s="1"/>
  <c r="V137" i="22" s="1"/>
  <c r="U145" i="22"/>
  <c r="T145" i="22" s="1"/>
  <c r="S145" i="22" s="1"/>
  <c r="R145" i="22" s="1"/>
  <c r="P145" i="22" s="1"/>
  <c r="V145" i="22" s="1"/>
  <c r="U153" i="22"/>
  <c r="T153" i="22" s="1"/>
  <c r="S153" i="22" s="1"/>
  <c r="R153" i="22" s="1"/>
  <c r="P153" i="22" s="1"/>
  <c r="V153" i="22" s="1"/>
  <c r="U161" i="22"/>
  <c r="T161" i="22" s="1"/>
  <c r="S161" i="22" s="1"/>
  <c r="R161" i="22" s="1"/>
  <c r="P161" i="22" s="1"/>
  <c r="V161" i="22" s="1"/>
  <c r="U169" i="22"/>
  <c r="T169" i="22" s="1"/>
  <c r="S169" i="22" s="1"/>
  <c r="R169" i="22" s="1"/>
  <c r="P169" i="22" s="1"/>
  <c r="V169" i="22" s="1"/>
  <c r="U177" i="22"/>
  <c r="T177" i="22" s="1"/>
  <c r="S177" i="22" s="1"/>
  <c r="R177" i="22" s="1"/>
  <c r="P177" i="22" s="1"/>
  <c r="V177" i="22" s="1"/>
  <c r="U185" i="22"/>
  <c r="T185" i="22" s="1"/>
  <c r="S185" i="22" s="1"/>
  <c r="R185" i="22" s="1"/>
  <c r="P185" i="22" s="1"/>
  <c r="V185" i="22" s="1"/>
  <c r="U193" i="22"/>
  <c r="T193" i="22" s="1"/>
  <c r="S193" i="22" s="1"/>
  <c r="R193" i="22" s="1"/>
  <c r="P193" i="22" s="1"/>
  <c r="V193" i="22" s="1"/>
  <c r="U201" i="22"/>
  <c r="T201" i="22" s="1"/>
  <c r="S201" i="22" s="1"/>
  <c r="R201" i="22" s="1"/>
  <c r="P201" i="22" s="1"/>
  <c r="V201" i="22" s="1"/>
  <c r="U209" i="22"/>
  <c r="T209" i="22" s="1"/>
  <c r="S209" i="22" s="1"/>
  <c r="R209" i="22" s="1"/>
  <c r="P209" i="22" s="1"/>
  <c r="V209" i="22" s="1"/>
  <c r="U217" i="22"/>
  <c r="T217" i="22" s="1"/>
  <c r="S217" i="22" s="1"/>
  <c r="R217" i="22" s="1"/>
  <c r="P217" i="22" s="1"/>
  <c r="V217" i="22" s="1"/>
  <c r="U231" i="22"/>
  <c r="T231" i="22" s="1"/>
  <c r="S231" i="22" s="1"/>
  <c r="R231" i="22" s="1"/>
  <c r="P231" i="22" s="1"/>
  <c r="V231" i="22" s="1"/>
  <c r="U247" i="22"/>
  <c r="T247" i="22" s="1"/>
  <c r="S247" i="22" s="1"/>
  <c r="R247" i="22" s="1"/>
  <c r="P247" i="22" s="1"/>
  <c r="V247" i="22" s="1"/>
  <c r="U263" i="22"/>
  <c r="T263" i="22" s="1"/>
  <c r="S263" i="22" s="1"/>
  <c r="R263" i="22" s="1"/>
  <c r="P263" i="22" s="1"/>
  <c r="V263" i="22" s="1"/>
  <c r="U279" i="22"/>
  <c r="T279" i="22" s="1"/>
  <c r="S279" i="22" s="1"/>
  <c r="R279" i="22" s="1"/>
  <c r="P279" i="22" s="1"/>
  <c r="V279" i="22" s="1"/>
  <c r="U295" i="22"/>
  <c r="T295" i="22" s="1"/>
  <c r="S295" i="22" s="1"/>
  <c r="R295" i="22" s="1"/>
  <c r="P295" i="22" s="1"/>
  <c r="V295" i="22" s="1"/>
  <c r="U311" i="22"/>
  <c r="T311" i="22" s="1"/>
  <c r="S311" i="22" s="1"/>
  <c r="R311" i="22" s="1"/>
  <c r="P311" i="22" s="1"/>
  <c r="V311" i="22" s="1"/>
  <c r="U327" i="22"/>
  <c r="T327" i="22" s="1"/>
  <c r="S327" i="22" s="1"/>
  <c r="R327" i="22" s="1"/>
  <c r="P327" i="22" s="1"/>
  <c r="V327" i="22" s="1"/>
  <c r="U343" i="22"/>
  <c r="T343" i="22" s="1"/>
  <c r="S343" i="22" s="1"/>
  <c r="R343" i="22" s="1"/>
  <c r="P343" i="22" s="1"/>
  <c r="V343" i="22" s="1"/>
  <c r="U359" i="22"/>
  <c r="T359" i="22" s="1"/>
  <c r="S359" i="22" s="1"/>
  <c r="R359" i="22" s="1"/>
  <c r="P359" i="22" s="1"/>
  <c r="V359" i="22" s="1"/>
  <c r="U375" i="22"/>
  <c r="T375" i="22" s="1"/>
  <c r="S375" i="22" s="1"/>
  <c r="R375" i="22" s="1"/>
  <c r="P375" i="22" s="1"/>
  <c r="V375" i="22" s="1"/>
  <c r="U26" i="22"/>
  <c r="T26" i="22" s="1"/>
  <c r="S26" i="22" s="1"/>
  <c r="R26" i="22" s="1"/>
  <c r="P26" i="22" s="1"/>
  <c r="V26" i="22" s="1"/>
  <c r="U42" i="22"/>
  <c r="T42" i="22" s="1"/>
  <c r="S42" i="22" s="1"/>
  <c r="R42" i="22" s="1"/>
  <c r="P42" i="22" s="1"/>
  <c r="V42" i="22" s="1"/>
  <c r="U58" i="22"/>
  <c r="T58" i="22" s="1"/>
  <c r="S58" i="22" s="1"/>
  <c r="R58" i="22" s="1"/>
  <c r="P58" i="22" s="1"/>
  <c r="V58" i="22" s="1"/>
  <c r="U74" i="22"/>
  <c r="T74" i="22" s="1"/>
  <c r="S74" i="22" s="1"/>
  <c r="R74" i="22" s="1"/>
  <c r="P74" i="22" s="1"/>
  <c r="V74" i="22" s="1"/>
  <c r="U90" i="22"/>
  <c r="T90" i="22" s="1"/>
  <c r="S90" i="22" s="1"/>
  <c r="R90" i="22" s="1"/>
  <c r="P90" i="22" s="1"/>
  <c r="V90" i="22" s="1"/>
  <c r="U106" i="22"/>
  <c r="T106" i="22" s="1"/>
  <c r="S106" i="22" s="1"/>
  <c r="R106" i="22" s="1"/>
  <c r="P106" i="22" s="1"/>
  <c r="V106" i="22" s="1"/>
  <c r="U122" i="22"/>
  <c r="T122" i="22" s="1"/>
  <c r="S122" i="22" s="1"/>
  <c r="R122" i="22" s="1"/>
  <c r="P122" i="22" s="1"/>
  <c r="V122" i="22" s="1"/>
  <c r="U138" i="22"/>
  <c r="T138" i="22" s="1"/>
  <c r="S138" i="22" s="1"/>
  <c r="R138" i="22" s="1"/>
  <c r="P138" i="22" s="1"/>
  <c r="V138" i="22" s="1"/>
  <c r="U154" i="22"/>
  <c r="T154" i="22" s="1"/>
  <c r="S154" i="22" s="1"/>
  <c r="R154" i="22" s="1"/>
  <c r="P154" i="22" s="1"/>
  <c r="V154" i="22" s="1"/>
  <c r="U170" i="22"/>
  <c r="T170" i="22" s="1"/>
  <c r="S170" i="22" s="1"/>
  <c r="R170" i="22" s="1"/>
  <c r="P170" i="22" s="1"/>
  <c r="V170" i="22" s="1"/>
  <c r="U186" i="22"/>
  <c r="T186" i="22" s="1"/>
  <c r="S186" i="22" s="1"/>
  <c r="R186" i="22" s="1"/>
  <c r="P186" i="22" s="1"/>
  <c r="V186" i="22" s="1"/>
  <c r="U202" i="22"/>
  <c r="T202" i="22" s="1"/>
  <c r="S202" i="22" s="1"/>
  <c r="R202" i="22" s="1"/>
  <c r="P202" i="22" s="1"/>
  <c r="V202" i="22" s="1"/>
  <c r="U218" i="22"/>
  <c r="T218" i="22" s="1"/>
  <c r="S218" i="22" s="1"/>
  <c r="R218" i="22" s="1"/>
  <c r="P218" i="22" s="1"/>
  <c r="V218" i="22" s="1"/>
  <c r="U234" i="22"/>
  <c r="T234" i="22" s="1"/>
  <c r="S234" i="22" s="1"/>
  <c r="R234" i="22" s="1"/>
  <c r="P234" i="22" s="1"/>
  <c r="V234" i="22" s="1"/>
  <c r="U250" i="22"/>
  <c r="T250" i="22" s="1"/>
  <c r="S250" i="22" s="1"/>
  <c r="R250" i="22" s="1"/>
  <c r="P250" i="22" s="1"/>
  <c r="V250" i="22" s="1"/>
  <c r="U266" i="22"/>
  <c r="T266" i="22" s="1"/>
  <c r="S266" i="22" s="1"/>
  <c r="R266" i="22" s="1"/>
  <c r="P266" i="22" s="1"/>
  <c r="V266" i="22" s="1"/>
  <c r="U282" i="22"/>
  <c r="T282" i="22" s="1"/>
  <c r="S282" i="22" s="1"/>
  <c r="R282" i="22" s="1"/>
  <c r="P282" i="22" s="1"/>
  <c r="V282" i="22" s="1"/>
  <c r="U298" i="22"/>
  <c r="T298" i="22" s="1"/>
  <c r="S298" i="22" s="1"/>
  <c r="R298" i="22" s="1"/>
  <c r="P298" i="22" s="1"/>
  <c r="V298" i="22" s="1"/>
  <c r="U314" i="22"/>
  <c r="T314" i="22" s="1"/>
  <c r="S314" i="22" s="1"/>
  <c r="R314" i="22" s="1"/>
  <c r="P314" i="22" s="1"/>
  <c r="V314" i="22" s="1"/>
  <c r="U330" i="22"/>
  <c r="T330" i="22" s="1"/>
  <c r="S330" i="22" s="1"/>
  <c r="R330" i="22" s="1"/>
  <c r="P330" i="22" s="1"/>
  <c r="V330" i="22" s="1"/>
  <c r="U346" i="22"/>
  <c r="T346" i="22" s="1"/>
  <c r="S346" i="22" s="1"/>
  <c r="R346" i="22" s="1"/>
  <c r="P346" i="22" s="1"/>
  <c r="V346" i="22" s="1"/>
  <c r="U362" i="22"/>
  <c r="T362" i="22" s="1"/>
  <c r="S362" i="22" s="1"/>
  <c r="R362" i="22" s="1"/>
  <c r="P362" i="22" s="1"/>
  <c r="V362" i="22" s="1"/>
  <c r="U378" i="22"/>
  <c r="T378" i="22" s="1"/>
  <c r="S378" i="22" s="1"/>
  <c r="R378" i="22" s="1"/>
  <c r="P378" i="22" s="1"/>
  <c r="V378" i="22" s="1"/>
  <c r="U16" i="22"/>
  <c r="T16" i="22" s="1"/>
  <c r="S16" i="22" s="1"/>
  <c r="R16" i="22" s="1"/>
  <c r="P16" i="22" s="1"/>
  <c r="V16" i="22" s="1"/>
  <c r="U39" i="22"/>
  <c r="T39" i="22" s="1"/>
  <c r="S39" i="22" s="1"/>
  <c r="R39" i="22" s="1"/>
  <c r="P39" i="22" s="1"/>
  <c r="V39" i="22" s="1"/>
  <c r="U55" i="22"/>
  <c r="T55" i="22" s="1"/>
  <c r="S55" i="22" s="1"/>
  <c r="R55" i="22" s="1"/>
  <c r="P55" i="22" s="1"/>
  <c r="V55" i="22" s="1"/>
  <c r="U71" i="22"/>
  <c r="T71" i="22" s="1"/>
  <c r="S71" i="22" s="1"/>
  <c r="R71" i="22" s="1"/>
  <c r="P71" i="22" s="1"/>
  <c r="V71" i="22" s="1"/>
  <c r="U87" i="22"/>
  <c r="T87" i="22" s="1"/>
  <c r="S87" i="22" s="1"/>
  <c r="R87" i="22" s="1"/>
  <c r="P87" i="22" s="1"/>
  <c r="V87" i="22" s="1"/>
  <c r="U103" i="22"/>
  <c r="T103" i="22" s="1"/>
  <c r="S103" i="22" s="1"/>
  <c r="R103" i="22" s="1"/>
  <c r="P103" i="22" s="1"/>
  <c r="V103" i="22" s="1"/>
  <c r="U119" i="22"/>
  <c r="T119" i="22" s="1"/>
  <c r="S119" i="22" s="1"/>
  <c r="R119" i="22" s="1"/>
  <c r="P119" i="22" s="1"/>
  <c r="U135" i="22"/>
  <c r="T135" i="22" s="1"/>
  <c r="S135" i="22" s="1"/>
  <c r="R135" i="22" s="1"/>
  <c r="P135" i="22" s="1"/>
  <c r="V135" i="22" s="1"/>
  <c r="U151" i="22"/>
  <c r="T151" i="22" s="1"/>
  <c r="S151" i="22" s="1"/>
  <c r="R151" i="22" s="1"/>
  <c r="P151" i="22" s="1"/>
  <c r="V151" i="22" s="1"/>
  <c r="U163" i="22"/>
  <c r="T163" i="22" s="1"/>
  <c r="S163" i="22" s="1"/>
  <c r="R163" i="22" s="1"/>
  <c r="P163" i="22" s="1"/>
  <c r="V163" i="22" s="1"/>
  <c r="U171" i="22"/>
  <c r="T171" i="22" s="1"/>
  <c r="S171" i="22" s="1"/>
  <c r="R171" i="22" s="1"/>
  <c r="P171" i="22" s="1"/>
  <c r="V171" i="22" s="1"/>
  <c r="U179" i="22"/>
  <c r="T179" i="22" s="1"/>
  <c r="S179" i="22" s="1"/>
  <c r="R179" i="22" s="1"/>
  <c r="P179" i="22" s="1"/>
  <c r="V179" i="22" s="1"/>
  <c r="U187" i="22"/>
  <c r="T187" i="22" s="1"/>
  <c r="S187" i="22" s="1"/>
  <c r="R187" i="22" s="1"/>
  <c r="P187" i="22" s="1"/>
  <c r="V187" i="22" s="1"/>
  <c r="U195" i="22"/>
  <c r="T195" i="22" s="1"/>
  <c r="S195" i="22" s="1"/>
  <c r="R195" i="22" s="1"/>
  <c r="P195" i="22" s="1"/>
  <c r="V195" i="22" s="1"/>
  <c r="U203" i="22"/>
  <c r="T203" i="22" s="1"/>
  <c r="S203" i="22" s="1"/>
  <c r="R203" i="22" s="1"/>
  <c r="P203" i="22" s="1"/>
  <c r="V203" i="22" s="1"/>
  <c r="U211" i="22"/>
  <c r="T211" i="22" s="1"/>
  <c r="S211" i="22" s="1"/>
  <c r="R211" i="22" s="1"/>
  <c r="P211" i="22" s="1"/>
  <c r="V211" i="22" s="1"/>
  <c r="U219" i="22"/>
  <c r="T219" i="22" s="1"/>
  <c r="S219" i="22" s="1"/>
  <c r="R219" i="22" s="1"/>
  <c r="P219" i="22" s="1"/>
  <c r="V219" i="22" s="1"/>
  <c r="U235" i="22"/>
  <c r="T235" i="22" s="1"/>
  <c r="S235" i="22" s="1"/>
  <c r="R235" i="22" s="1"/>
  <c r="P235" i="22" s="1"/>
  <c r="V235" i="22" s="1"/>
  <c r="U251" i="22"/>
  <c r="T251" i="22" s="1"/>
  <c r="S251" i="22" s="1"/>
  <c r="R251" i="22" s="1"/>
  <c r="P251" i="22" s="1"/>
  <c r="V251" i="22" s="1"/>
  <c r="U267" i="22"/>
  <c r="T267" i="22" s="1"/>
  <c r="S267" i="22" s="1"/>
  <c r="R267" i="22" s="1"/>
  <c r="P267" i="22" s="1"/>
  <c r="V267" i="22" s="1"/>
  <c r="U283" i="22"/>
  <c r="T283" i="22" s="1"/>
  <c r="S283" i="22" s="1"/>
  <c r="R283" i="22" s="1"/>
  <c r="P283" i="22" s="1"/>
  <c r="V283" i="22" s="1"/>
  <c r="U299" i="22"/>
  <c r="T299" i="22" s="1"/>
  <c r="S299" i="22" s="1"/>
  <c r="R299" i="22" s="1"/>
  <c r="P299" i="22" s="1"/>
  <c r="V299" i="22" s="1"/>
  <c r="U315" i="22"/>
  <c r="T315" i="22" s="1"/>
  <c r="S315" i="22" s="1"/>
  <c r="R315" i="22" s="1"/>
  <c r="P315" i="22" s="1"/>
  <c r="V315" i="22" s="1"/>
  <c r="U331" i="22"/>
  <c r="T331" i="22" s="1"/>
  <c r="S331" i="22" s="1"/>
  <c r="R331" i="22" s="1"/>
  <c r="P331" i="22" s="1"/>
  <c r="V331" i="22" s="1"/>
  <c r="U347" i="22"/>
  <c r="T347" i="22" s="1"/>
  <c r="S347" i="22" s="1"/>
  <c r="R347" i="22" s="1"/>
  <c r="P347" i="22" s="1"/>
  <c r="V347" i="22" s="1"/>
  <c r="U363" i="22"/>
  <c r="T363" i="22" s="1"/>
  <c r="S363" i="22" s="1"/>
  <c r="R363" i="22" s="1"/>
  <c r="P363" i="22" s="1"/>
  <c r="U379" i="22"/>
  <c r="U30" i="22"/>
  <c r="T30" i="22" s="1"/>
  <c r="S30" i="22" s="1"/>
  <c r="R30" i="22" s="1"/>
  <c r="P30" i="22" s="1"/>
  <c r="V30" i="22" s="1"/>
  <c r="U46" i="22"/>
  <c r="T46" i="22" s="1"/>
  <c r="S46" i="22" s="1"/>
  <c r="R46" i="22" s="1"/>
  <c r="P46" i="22" s="1"/>
  <c r="V46" i="22" s="1"/>
  <c r="U62" i="22"/>
  <c r="T62" i="22" s="1"/>
  <c r="S62" i="22" s="1"/>
  <c r="R62" i="22" s="1"/>
  <c r="P62" i="22" s="1"/>
  <c r="V62" i="22" s="1"/>
  <c r="U78" i="22"/>
  <c r="T78" i="22" s="1"/>
  <c r="S78" i="22" s="1"/>
  <c r="R78" i="22" s="1"/>
  <c r="P78" i="22" s="1"/>
  <c r="V78" i="22" s="1"/>
  <c r="U94" i="22"/>
  <c r="T94" i="22" s="1"/>
  <c r="S94" i="22" s="1"/>
  <c r="R94" i="22" s="1"/>
  <c r="P94" i="22" s="1"/>
  <c r="V94" i="22" s="1"/>
  <c r="U110" i="22"/>
  <c r="T110" i="22" s="1"/>
  <c r="S110" i="22" s="1"/>
  <c r="R110" i="22" s="1"/>
  <c r="P110" i="22" s="1"/>
  <c r="V110" i="22" s="1"/>
  <c r="U126" i="22"/>
  <c r="T126" i="22" s="1"/>
  <c r="S126" i="22" s="1"/>
  <c r="R126" i="22" s="1"/>
  <c r="P126" i="22" s="1"/>
  <c r="V126" i="22" s="1"/>
  <c r="U142" i="22"/>
  <c r="T142" i="22" s="1"/>
  <c r="S142" i="22" s="1"/>
  <c r="R142" i="22" s="1"/>
  <c r="P142" i="22" s="1"/>
  <c r="V142" i="22" s="1"/>
  <c r="U158" i="22"/>
  <c r="T158" i="22" s="1"/>
  <c r="S158" i="22" s="1"/>
  <c r="R158" i="22" s="1"/>
  <c r="P158" i="22" s="1"/>
  <c r="V158" i="22" s="1"/>
  <c r="U174" i="22"/>
  <c r="T174" i="22" s="1"/>
  <c r="S174" i="22" s="1"/>
  <c r="R174" i="22" s="1"/>
  <c r="P174" i="22" s="1"/>
  <c r="V174" i="22" s="1"/>
  <c r="U190" i="22"/>
  <c r="T190" i="22" s="1"/>
  <c r="S190" i="22" s="1"/>
  <c r="R190" i="22" s="1"/>
  <c r="P190" i="22" s="1"/>
  <c r="V190" i="22" s="1"/>
  <c r="U206" i="22"/>
  <c r="T206" i="22" s="1"/>
  <c r="S206" i="22" s="1"/>
  <c r="R206" i="22" s="1"/>
  <c r="P206" i="22" s="1"/>
  <c r="V206" i="22" s="1"/>
  <c r="U222" i="22"/>
  <c r="T222" i="22" s="1"/>
  <c r="S222" i="22" s="1"/>
  <c r="R222" i="22" s="1"/>
  <c r="P222" i="22" s="1"/>
  <c r="V222" i="22" s="1"/>
  <c r="U238" i="22"/>
  <c r="T238" i="22" s="1"/>
  <c r="S238" i="22" s="1"/>
  <c r="R238" i="22" s="1"/>
  <c r="P238" i="22" s="1"/>
  <c r="V238" i="22" s="1"/>
  <c r="U254" i="22"/>
  <c r="T254" i="22" s="1"/>
  <c r="S254" i="22" s="1"/>
  <c r="R254" i="22" s="1"/>
  <c r="P254" i="22" s="1"/>
  <c r="V254" i="22" s="1"/>
  <c r="U270" i="22"/>
  <c r="T270" i="22" s="1"/>
  <c r="S270" i="22" s="1"/>
  <c r="R270" i="22" s="1"/>
  <c r="P270" i="22" s="1"/>
  <c r="V270" i="22" s="1"/>
  <c r="U286" i="22"/>
  <c r="T286" i="22" s="1"/>
  <c r="S286" i="22" s="1"/>
  <c r="R286" i="22" s="1"/>
  <c r="P286" i="22" s="1"/>
  <c r="V286" i="22" s="1"/>
  <c r="U302" i="22"/>
  <c r="T302" i="22" s="1"/>
  <c r="S302" i="22" s="1"/>
  <c r="R302" i="22" s="1"/>
  <c r="P302" i="22" s="1"/>
  <c r="U318" i="22"/>
  <c r="T318" i="22" s="1"/>
  <c r="S318" i="22" s="1"/>
  <c r="R318" i="22" s="1"/>
  <c r="P318" i="22" s="1"/>
  <c r="V318" i="22" s="1"/>
  <c r="U334" i="22"/>
  <c r="T334" i="22" s="1"/>
  <c r="S334" i="22" s="1"/>
  <c r="R334" i="22" s="1"/>
  <c r="P334" i="22" s="1"/>
  <c r="V334" i="22" s="1"/>
  <c r="U350" i="22"/>
  <c r="T350" i="22" s="1"/>
  <c r="S350" i="22" s="1"/>
  <c r="R350" i="22" s="1"/>
  <c r="P350" i="22" s="1"/>
  <c r="V350" i="22" s="1"/>
  <c r="U366" i="22"/>
  <c r="T366" i="22" s="1"/>
  <c r="S366" i="22" s="1"/>
  <c r="R366" i="22" s="1"/>
  <c r="P366" i="22" s="1"/>
  <c r="V366" i="22" s="1"/>
  <c r="U221" i="22"/>
  <c r="T221" i="22" s="1"/>
  <c r="S221" i="22" s="1"/>
  <c r="R221" i="22" s="1"/>
  <c r="P221" i="22" s="1"/>
  <c r="V221" i="22" s="1"/>
  <c r="U229" i="22"/>
  <c r="T229" i="22" s="1"/>
  <c r="S229" i="22" s="1"/>
  <c r="R229" i="22" s="1"/>
  <c r="P229" i="22" s="1"/>
  <c r="V229" i="22" s="1"/>
  <c r="U237" i="22"/>
  <c r="T237" i="22" s="1"/>
  <c r="S237" i="22" s="1"/>
  <c r="R237" i="22" s="1"/>
  <c r="P237" i="22" s="1"/>
  <c r="V237" i="22" s="1"/>
  <c r="U245" i="22"/>
  <c r="T245" i="22" s="1"/>
  <c r="S245" i="22" s="1"/>
  <c r="R245" i="22" s="1"/>
  <c r="P245" i="22" s="1"/>
  <c r="V245" i="22" s="1"/>
  <c r="U253" i="22"/>
  <c r="T253" i="22" s="1"/>
  <c r="S253" i="22" s="1"/>
  <c r="R253" i="22" s="1"/>
  <c r="P253" i="22" s="1"/>
  <c r="V253" i="22" s="1"/>
  <c r="U261" i="22"/>
  <c r="T261" i="22" s="1"/>
  <c r="S261" i="22" s="1"/>
  <c r="R261" i="22" s="1"/>
  <c r="P261" i="22" s="1"/>
  <c r="V261" i="22" s="1"/>
  <c r="U269" i="22"/>
  <c r="T269" i="22" s="1"/>
  <c r="S269" i="22" s="1"/>
  <c r="R269" i="22" s="1"/>
  <c r="P269" i="22" s="1"/>
  <c r="V269" i="22" s="1"/>
  <c r="U277" i="22"/>
  <c r="T277" i="22" s="1"/>
  <c r="S277" i="22" s="1"/>
  <c r="R277" i="22" s="1"/>
  <c r="P277" i="22" s="1"/>
  <c r="V277" i="22" s="1"/>
  <c r="U285" i="22"/>
  <c r="T285" i="22" s="1"/>
  <c r="S285" i="22" s="1"/>
  <c r="R285" i="22" s="1"/>
  <c r="P285" i="22" s="1"/>
  <c r="V285" i="22" s="1"/>
  <c r="U293" i="22"/>
  <c r="T293" i="22" s="1"/>
  <c r="S293" i="22" s="1"/>
  <c r="R293" i="22" s="1"/>
  <c r="P293" i="22" s="1"/>
  <c r="V293" i="22" s="1"/>
  <c r="U301" i="22"/>
  <c r="T301" i="22" s="1"/>
  <c r="S301" i="22" s="1"/>
  <c r="R301" i="22" s="1"/>
  <c r="P301" i="22" s="1"/>
  <c r="V301" i="22" s="1"/>
  <c r="U309" i="22"/>
  <c r="T309" i="22" s="1"/>
  <c r="S309" i="22" s="1"/>
  <c r="R309" i="22" s="1"/>
  <c r="P309" i="22" s="1"/>
  <c r="V309" i="22" s="1"/>
  <c r="U317" i="22"/>
  <c r="T317" i="22" s="1"/>
  <c r="S317" i="22" s="1"/>
  <c r="R317" i="22" s="1"/>
  <c r="P317" i="22" s="1"/>
  <c r="V317" i="22" s="1"/>
  <c r="U325" i="22"/>
  <c r="T325" i="22" s="1"/>
  <c r="S325" i="22" s="1"/>
  <c r="R325" i="22" s="1"/>
  <c r="P325" i="22" s="1"/>
  <c r="V325" i="22" s="1"/>
  <c r="U333" i="22"/>
  <c r="T333" i="22" s="1"/>
  <c r="S333" i="22" s="1"/>
  <c r="R333" i="22" s="1"/>
  <c r="P333" i="22" s="1"/>
  <c r="U341" i="22"/>
  <c r="T341" i="22" s="1"/>
  <c r="S341" i="22" s="1"/>
  <c r="R341" i="22" s="1"/>
  <c r="P341" i="22" s="1"/>
  <c r="V341" i="22" s="1"/>
  <c r="U349" i="22"/>
  <c r="T349" i="22" s="1"/>
  <c r="S349" i="22" s="1"/>
  <c r="R349" i="22" s="1"/>
  <c r="P349" i="22" s="1"/>
  <c r="V349" i="22" s="1"/>
  <c r="U357" i="22"/>
  <c r="T357" i="22" s="1"/>
  <c r="S357" i="22" s="1"/>
  <c r="R357" i="22" s="1"/>
  <c r="P357" i="22" s="1"/>
  <c r="V357" i="22" s="1"/>
  <c r="U365" i="22"/>
  <c r="T365" i="22" s="1"/>
  <c r="S365" i="22" s="1"/>
  <c r="R365" i="22" s="1"/>
  <c r="P365" i="22" s="1"/>
  <c r="V365" i="22" s="1"/>
  <c r="U373" i="22"/>
  <c r="T373" i="22" s="1"/>
  <c r="S373" i="22" s="1"/>
  <c r="R373" i="22" s="1"/>
  <c r="P373" i="22" s="1"/>
  <c r="V373" i="22" s="1"/>
  <c r="U18" i="22"/>
  <c r="T18" i="22" s="1"/>
  <c r="S18" i="22" s="1"/>
  <c r="R18" i="22" s="1"/>
  <c r="P18" i="22" s="1"/>
  <c r="V18" i="22" s="1"/>
  <c r="U24" i="22"/>
  <c r="T24" i="22" s="1"/>
  <c r="S24" i="22" s="1"/>
  <c r="R24" i="22" s="1"/>
  <c r="P24" i="22" s="1"/>
  <c r="V24" i="22" s="1"/>
  <c r="U32" i="22"/>
  <c r="T32" i="22" s="1"/>
  <c r="S32" i="22" s="1"/>
  <c r="R32" i="22" s="1"/>
  <c r="P32" i="22" s="1"/>
  <c r="V32" i="22" s="1"/>
  <c r="U40" i="22"/>
  <c r="T40" i="22" s="1"/>
  <c r="S40" i="22" s="1"/>
  <c r="R40" i="22" s="1"/>
  <c r="P40" i="22" s="1"/>
  <c r="V40" i="22" s="1"/>
  <c r="U48" i="22"/>
  <c r="T48" i="22" s="1"/>
  <c r="S48" i="22" s="1"/>
  <c r="R48" i="22" s="1"/>
  <c r="P48" i="22" s="1"/>
  <c r="V48" i="22" s="1"/>
  <c r="U56" i="22"/>
  <c r="T56" i="22" s="1"/>
  <c r="S56" i="22" s="1"/>
  <c r="R56" i="22" s="1"/>
  <c r="P56" i="22" s="1"/>
  <c r="V56" i="22" s="1"/>
  <c r="U64" i="22"/>
  <c r="T64" i="22" s="1"/>
  <c r="S64" i="22" s="1"/>
  <c r="R64" i="22" s="1"/>
  <c r="P64" i="22" s="1"/>
  <c r="V64" i="22" s="1"/>
  <c r="U72" i="22"/>
  <c r="T72" i="22" s="1"/>
  <c r="S72" i="22" s="1"/>
  <c r="R72" i="22" s="1"/>
  <c r="P72" i="22" s="1"/>
  <c r="V72" i="22" s="1"/>
  <c r="U80" i="22"/>
  <c r="T80" i="22" s="1"/>
  <c r="S80" i="22" s="1"/>
  <c r="R80" i="22" s="1"/>
  <c r="P80" i="22" s="1"/>
  <c r="V80" i="22" s="1"/>
  <c r="U88" i="22"/>
  <c r="T88" i="22" s="1"/>
  <c r="S88" i="22" s="1"/>
  <c r="R88" i="22" s="1"/>
  <c r="P88" i="22" s="1"/>
  <c r="U96" i="22"/>
  <c r="T96" i="22" s="1"/>
  <c r="S96" i="22" s="1"/>
  <c r="R96" i="22" s="1"/>
  <c r="P96" i="22" s="1"/>
  <c r="V96" i="22" s="1"/>
  <c r="U104" i="22"/>
  <c r="T104" i="22" s="1"/>
  <c r="S104" i="22" s="1"/>
  <c r="R104" i="22" s="1"/>
  <c r="P104" i="22" s="1"/>
  <c r="V104" i="22" s="1"/>
  <c r="U112" i="22"/>
  <c r="T112" i="22" s="1"/>
  <c r="S112" i="22" s="1"/>
  <c r="R112" i="22" s="1"/>
  <c r="P112" i="22" s="1"/>
  <c r="V112" i="22" s="1"/>
  <c r="U120" i="22"/>
  <c r="T120" i="22" s="1"/>
  <c r="S120" i="22" s="1"/>
  <c r="R120" i="22" s="1"/>
  <c r="P120" i="22" s="1"/>
  <c r="V120" i="22" s="1"/>
  <c r="U128" i="22"/>
  <c r="T128" i="22" s="1"/>
  <c r="S128" i="22" s="1"/>
  <c r="R128" i="22" s="1"/>
  <c r="P128" i="22" s="1"/>
  <c r="V128" i="22" s="1"/>
  <c r="U136" i="22"/>
  <c r="T136" i="22" s="1"/>
  <c r="S136" i="22" s="1"/>
  <c r="R136" i="22" s="1"/>
  <c r="P136" i="22" s="1"/>
  <c r="V136" i="22" s="1"/>
  <c r="U144" i="22"/>
  <c r="T144" i="22" s="1"/>
  <c r="S144" i="22" s="1"/>
  <c r="R144" i="22" s="1"/>
  <c r="P144" i="22" s="1"/>
  <c r="V144" i="22" s="1"/>
  <c r="U152" i="22"/>
  <c r="T152" i="22" s="1"/>
  <c r="S152" i="22" s="1"/>
  <c r="R152" i="22" s="1"/>
  <c r="P152" i="22" s="1"/>
  <c r="V152" i="22" s="1"/>
  <c r="U160" i="22"/>
  <c r="T160" i="22" s="1"/>
  <c r="S160" i="22" s="1"/>
  <c r="R160" i="22" s="1"/>
  <c r="P160" i="22" s="1"/>
  <c r="V160" i="22" s="1"/>
  <c r="U168" i="22"/>
  <c r="T168" i="22" s="1"/>
  <c r="S168" i="22" s="1"/>
  <c r="R168" i="22" s="1"/>
  <c r="P168" i="22" s="1"/>
  <c r="V168" i="22" s="1"/>
  <c r="U176" i="22"/>
  <c r="T176" i="22" s="1"/>
  <c r="S176" i="22" s="1"/>
  <c r="R176" i="22" s="1"/>
  <c r="P176" i="22" s="1"/>
  <c r="V176" i="22" s="1"/>
  <c r="U184" i="22"/>
  <c r="T184" i="22" s="1"/>
  <c r="S184" i="22" s="1"/>
  <c r="R184" i="22" s="1"/>
  <c r="P184" i="22" s="1"/>
  <c r="V184" i="22" s="1"/>
  <c r="U192" i="22"/>
  <c r="T192" i="22" s="1"/>
  <c r="S192" i="22" s="1"/>
  <c r="R192" i="22" s="1"/>
  <c r="P192" i="22" s="1"/>
  <c r="V192" i="22" s="1"/>
  <c r="U200" i="22"/>
  <c r="T200" i="22" s="1"/>
  <c r="S200" i="22" s="1"/>
  <c r="R200" i="22" s="1"/>
  <c r="P200" i="22" s="1"/>
  <c r="V200" i="22" s="1"/>
  <c r="U208" i="22"/>
  <c r="T208" i="22" s="1"/>
  <c r="S208" i="22" s="1"/>
  <c r="R208" i="22" s="1"/>
  <c r="P208" i="22" s="1"/>
  <c r="V208" i="22" s="1"/>
  <c r="U216" i="22"/>
  <c r="T216" i="22" s="1"/>
  <c r="S216" i="22" s="1"/>
  <c r="R216" i="22" s="1"/>
  <c r="P216" i="22" s="1"/>
  <c r="V216" i="22" s="1"/>
  <c r="U224" i="22"/>
  <c r="T224" i="22" s="1"/>
  <c r="S224" i="22" s="1"/>
  <c r="R224" i="22" s="1"/>
  <c r="P224" i="22" s="1"/>
  <c r="V224" i="22" s="1"/>
  <c r="U232" i="22"/>
  <c r="T232" i="22" s="1"/>
  <c r="S232" i="22" s="1"/>
  <c r="R232" i="22" s="1"/>
  <c r="P232" i="22" s="1"/>
  <c r="V232" i="22" s="1"/>
  <c r="U240" i="22"/>
  <c r="T240" i="22" s="1"/>
  <c r="S240" i="22" s="1"/>
  <c r="R240" i="22" s="1"/>
  <c r="P240" i="22" s="1"/>
  <c r="V240" i="22" s="1"/>
  <c r="U248" i="22"/>
  <c r="T248" i="22" s="1"/>
  <c r="S248" i="22" s="1"/>
  <c r="R248" i="22" s="1"/>
  <c r="P248" i="22" s="1"/>
  <c r="V248" i="22" s="1"/>
  <c r="U256" i="22"/>
  <c r="T256" i="22" s="1"/>
  <c r="S256" i="22" s="1"/>
  <c r="R256" i="22" s="1"/>
  <c r="P256" i="22" s="1"/>
  <c r="V256" i="22" s="1"/>
  <c r="U264" i="22"/>
  <c r="T264" i="22" s="1"/>
  <c r="S264" i="22" s="1"/>
  <c r="R264" i="22" s="1"/>
  <c r="P264" i="22" s="1"/>
  <c r="V264" i="22" s="1"/>
  <c r="U272" i="22"/>
  <c r="T272" i="22" s="1"/>
  <c r="S272" i="22" s="1"/>
  <c r="R272" i="22" s="1"/>
  <c r="P272" i="22" s="1"/>
  <c r="U280" i="22"/>
  <c r="T280" i="22" s="1"/>
  <c r="S280" i="22" s="1"/>
  <c r="R280" i="22" s="1"/>
  <c r="P280" i="22" s="1"/>
  <c r="V280" i="22" s="1"/>
  <c r="U288" i="22"/>
  <c r="T288" i="22" s="1"/>
  <c r="S288" i="22" s="1"/>
  <c r="R288" i="22" s="1"/>
  <c r="P288" i="22" s="1"/>
  <c r="V288" i="22" s="1"/>
  <c r="U296" i="22"/>
  <c r="T296" i="22" s="1"/>
  <c r="S296" i="22" s="1"/>
  <c r="R296" i="22" s="1"/>
  <c r="P296" i="22" s="1"/>
  <c r="V296" i="22" s="1"/>
  <c r="U304" i="22"/>
  <c r="T304" i="22" s="1"/>
  <c r="S304" i="22" s="1"/>
  <c r="R304" i="22" s="1"/>
  <c r="P304" i="22" s="1"/>
  <c r="V304" i="22" s="1"/>
  <c r="U312" i="22"/>
  <c r="T312" i="22" s="1"/>
  <c r="S312" i="22" s="1"/>
  <c r="R312" i="22" s="1"/>
  <c r="P312" i="22" s="1"/>
  <c r="V312" i="22" s="1"/>
  <c r="U320" i="22"/>
  <c r="T320" i="22" s="1"/>
  <c r="S320" i="22" s="1"/>
  <c r="R320" i="22" s="1"/>
  <c r="P320" i="22" s="1"/>
  <c r="V320" i="22" s="1"/>
  <c r="U328" i="22"/>
  <c r="T328" i="22" s="1"/>
  <c r="S328" i="22" s="1"/>
  <c r="R328" i="22" s="1"/>
  <c r="P328" i="22" s="1"/>
  <c r="V328" i="22" s="1"/>
  <c r="U336" i="22"/>
  <c r="T336" i="22" s="1"/>
  <c r="S336" i="22" s="1"/>
  <c r="R336" i="22" s="1"/>
  <c r="P336" i="22" s="1"/>
  <c r="V336" i="22" s="1"/>
  <c r="U344" i="22"/>
  <c r="T344" i="22" s="1"/>
  <c r="S344" i="22" s="1"/>
  <c r="R344" i="22" s="1"/>
  <c r="P344" i="22" s="1"/>
  <c r="V344" i="22" s="1"/>
  <c r="U352" i="22"/>
  <c r="T352" i="22" s="1"/>
  <c r="S352" i="22" s="1"/>
  <c r="R352" i="22" s="1"/>
  <c r="P352" i="22" s="1"/>
  <c r="V352" i="22" s="1"/>
  <c r="U360" i="22"/>
  <c r="T360" i="22" s="1"/>
  <c r="S360" i="22" s="1"/>
  <c r="R360" i="22" s="1"/>
  <c r="P360" i="22" s="1"/>
  <c r="V360" i="22" s="1"/>
  <c r="U368" i="22"/>
  <c r="T368" i="22" s="1"/>
  <c r="S368" i="22" s="1"/>
  <c r="R368" i="22" s="1"/>
  <c r="P368" i="22" s="1"/>
  <c r="V368" i="22" s="1"/>
  <c r="U376" i="22"/>
  <c r="T376" i="22" s="1"/>
  <c r="S376" i="22" s="1"/>
  <c r="R376" i="22" s="1"/>
  <c r="P376" i="22" s="1"/>
  <c r="V376" i="22" s="1"/>
  <c r="S383" i="20"/>
  <c r="S381" i="20"/>
  <c r="R15" i="20"/>
  <c r="S382" i="20"/>
  <c r="AI25" i="22"/>
  <c r="AH25" i="22" s="1"/>
  <c r="AG25" i="22" s="1"/>
  <c r="AF25" i="22" s="1"/>
  <c r="AD25" i="22" s="1"/>
  <c r="AI41" i="22"/>
  <c r="AH41" i="22" s="1"/>
  <c r="AG41" i="22" s="1"/>
  <c r="AF41" i="22" s="1"/>
  <c r="AD41" i="22" s="1"/>
  <c r="AI57" i="22"/>
  <c r="AH57" i="22" s="1"/>
  <c r="AG57" i="22" s="1"/>
  <c r="AF57" i="22" s="1"/>
  <c r="AD57" i="22" s="1"/>
  <c r="AI73" i="22"/>
  <c r="AH73" i="22" s="1"/>
  <c r="AG73" i="22" s="1"/>
  <c r="AF73" i="22" s="1"/>
  <c r="AD73" i="22" s="1"/>
  <c r="AI89" i="22"/>
  <c r="AH89" i="22" s="1"/>
  <c r="AG89" i="22" s="1"/>
  <c r="AF89" i="22" s="1"/>
  <c r="AD89" i="22" s="1"/>
  <c r="AI105" i="22"/>
  <c r="AH105" i="22" s="1"/>
  <c r="AG105" i="22" s="1"/>
  <c r="AF105" i="22" s="1"/>
  <c r="AD105" i="22" s="1"/>
  <c r="AI121" i="22"/>
  <c r="AH121" i="22" s="1"/>
  <c r="AG121" i="22" s="1"/>
  <c r="AF121" i="22" s="1"/>
  <c r="AD121" i="22" s="1"/>
  <c r="AI137" i="22"/>
  <c r="AH137" i="22" s="1"/>
  <c r="AG137" i="22" s="1"/>
  <c r="AF137" i="22" s="1"/>
  <c r="AD137" i="22" s="1"/>
  <c r="AI153" i="22"/>
  <c r="AH153" i="22" s="1"/>
  <c r="AG153" i="22" s="1"/>
  <c r="AF153" i="22" s="1"/>
  <c r="AD153" i="22" s="1"/>
  <c r="AI169" i="22"/>
  <c r="AH169" i="22" s="1"/>
  <c r="AG169" i="22" s="1"/>
  <c r="AF169" i="22" s="1"/>
  <c r="AD169" i="22" s="1"/>
  <c r="AI185" i="22"/>
  <c r="AH185" i="22" s="1"/>
  <c r="AG185" i="22" s="1"/>
  <c r="AF185" i="22" s="1"/>
  <c r="AD185" i="22" s="1"/>
  <c r="AI201" i="22"/>
  <c r="AH201" i="22" s="1"/>
  <c r="AG201" i="22" s="1"/>
  <c r="AF201" i="22" s="1"/>
  <c r="AD201" i="22" s="1"/>
  <c r="AI217" i="22"/>
  <c r="AH217" i="22" s="1"/>
  <c r="AG217" i="22" s="1"/>
  <c r="AF217" i="22" s="1"/>
  <c r="AD217" i="22" s="1"/>
  <c r="AI233" i="22"/>
  <c r="AH233" i="22" s="1"/>
  <c r="AG233" i="22" s="1"/>
  <c r="AF233" i="22" s="1"/>
  <c r="AD233" i="22" s="1"/>
  <c r="AI249" i="22"/>
  <c r="AH249" i="22" s="1"/>
  <c r="AG249" i="22" s="1"/>
  <c r="AF249" i="22" s="1"/>
  <c r="AD249" i="22" s="1"/>
  <c r="AI265" i="22"/>
  <c r="AH265" i="22" s="1"/>
  <c r="AG265" i="22" s="1"/>
  <c r="AF265" i="22" s="1"/>
  <c r="AD265" i="22" s="1"/>
  <c r="AI281" i="22"/>
  <c r="AH281" i="22" s="1"/>
  <c r="AG281" i="22" s="1"/>
  <c r="AF281" i="22" s="1"/>
  <c r="AD281" i="22" s="1"/>
  <c r="AI297" i="22"/>
  <c r="AH297" i="22" s="1"/>
  <c r="AG297" i="22" s="1"/>
  <c r="AF297" i="22" s="1"/>
  <c r="AD297" i="22" s="1"/>
  <c r="AI313" i="22"/>
  <c r="AH313" i="22" s="1"/>
  <c r="AG313" i="22" s="1"/>
  <c r="AF313" i="22" s="1"/>
  <c r="AD313" i="22" s="1"/>
  <c r="AI329" i="22"/>
  <c r="AH329" i="22" s="1"/>
  <c r="AG329" i="22" s="1"/>
  <c r="AF329" i="22" s="1"/>
  <c r="AD329" i="22" s="1"/>
  <c r="AI345" i="22"/>
  <c r="AH345" i="22" s="1"/>
  <c r="AG345" i="22" s="1"/>
  <c r="AF345" i="22" s="1"/>
  <c r="AD345" i="22" s="1"/>
  <c r="AI361" i="22"/>
  <c r="AH361" i="22" s="1"/>
  <c r="AG361" i="22" s="1"/>
  <c r="AF361" i="22" s="1"/>
  <c r="AD361" i="22" s="1"/>
  <c r="AI377" i="22"/>
  <c r="AH377" i="22" s="1"/>
  <c r="AG377" i="22" s="1"/>
  <c r="AF377" i="22" s="1"/>
  <c r="AD377" i="22" s="1"/>
  <c r="AI30" i="22"/>
  <c r="AH30" i="22" s="1"/>
  <c r="AG30" i="22" s="1"/>
  <c r="AF30" i="22" s="1"/>
  <c r="AD30" i="22" s="1"/>
  <c r="AI46" i="22"/>
  <c r="AH46" i="22" s="1"/>
  <c r="AG46" i="22" s="1"/>
  <c r="AF46" i="22" s="1"/>
  <c r="AD46" i="22" s="1"/>
  <c r="AI62" i="22"/>
  <c r="AH62" i="22" s="1"/>
  <c r="AG62" i="22" s="1"/>
  <c r="AF62" i="22" s="1"/>
  <c r="AD62" i="22" s="1"/>
  <c r="AI78" i="22"/>
  <c r="AH78" i="22" s="1"/>
  <c r="AG78" i="22" s="1"/>
  <c r="AF78" i="22" s="1"/>
  <c r="AD78" i="22" s="1"/>
  <c r="AI94" i="22"/>
  <c r="AH94" i="22" s="1"/>
  <c r="AG94" i="22" s="1"/>
  <c r="AF94" i="22" s="1"/>
  <c r="AD94" i="22" s="1"/>
  <c r="AI110" i="22"/>
  <c r="AH110" i="22" s="1"/>
  <c r="AG110" i="22" s="1"/>
  <c r="AF110" i="22" s="1"/>
  <c r="AD110" i="22" s="1"/>
  <c r="AI126" i="22"/>
  <c r="AH126" i="22" s="1"/>
  <c r="AG126" i="22" s="1"/>
  <c r="AF126" i="22" s="1"/>
  <c r="AD126" i="22" s="1"/>
  <c r="AI142" i="22"/>
  <c r="AH142" i="22" s="1"/>
  <c r="AG142" i="22" s="1"/>
  <c r="AF142" i="22" s="1"/>
  <c r="AD142" i="22" s="1"/>
  <c r="AI158" i="22"/>
  <c r="AH158" i="22" s="1"/>
  <c r="AG158" i="22" s="1"/>
  <c r="AF158" i="22" s="1"/>
  <c r="AD158" i="22" s="1"/>
  <c r="AI174" i="22"/>
  <c r="AH174" i="22" s="1"/>
  <c r="AG174" i="22" s="1"/>
  <c r="AF174" i="22" s="1"/>
  <c r="AD174" i="22" s="1"/>
  <c r="AI190" i="22"/>
  <c r="AH190" i="22" s="1"/>
  <c r="AG190" i="22" s="1"/>
  <c r="AF190" i="22" s="1"/>
  <c r="AD190" i="22" s="1"/>
  <c r="AI206" i="22"/>
  <c r="AH206" i="22" s="1"/>
  <c r="AG206" i="22" s="1"/>
  <c r="AF206" i="22" s="1"/>
  <c r="AD206" i="22" s="1"/>
  <c r="AI222" i="22"/>
  <c r="AH222" i="22" s="1"/>
  <c r="AG222" i="22" s="1"/>
  <c r="AF222" i="22" s="1"/>
  <c r="AD222" i="22" s="1"/>
  <c r="AI238" i="22"/>
  <c r="AH238" i="22" s="1"/>
  <c r="AG238" i="22" s="1"/>
  <c r="AF238" i="22" s="1"/>
  <c r="AD238" i="22" s="1"/>
  <c r="AI254" i="22"/>
  <c r="AH254" i="22" s="1"/>
  <c r="AG254" i="22" s="1"/>
  <c r="AF254" i="22" s="1"/>
  <c r="AD254" i="22" s="1"/>
  <c r="AI270" i="22"/>
  <c r="AH270" i="22" s="1"/>
  <c r="AG270" i="22" s="1"/>
  <c r="AF270" i="22" s="1"/>
  <c r="AD270" i="22" s="1"/>
  <c r="AI286" i="22"/>
  <c r="AH286" i="22" s="1"/>
  <c r="AG286" i="22" s="1"/>
  <c r="AF286" i="22" s="1"/>
  <c r="AD286" i="22" s="1"/>
  <c r="AI302" i="22"/>
  <c r="AH302" i="22" s="1"/>
  <c r="AG302" i="22" s="1"/>
  <c r="AF302" i="22" s="1"/>
  <c r="AD302" i="22" s="1"/>
  <c r="AI318" i="22"/>
  <c r="AH318" i="22" s="1"/>
  <c r="AG318" i="22" s="1"/>
  <c r="AF318" i="22" s="1"/>
  <c r="AD318" i="22" s="1"/>
  <c r="AI334" i="22"/>
  <c r="AH334" i="22" s="1"/>
  <c r="AG334" i="22" s="1"/>
  <c r="AF334" i="22" s="1"/>
  <c r="AD334" i="22" s="1"/>
  <c r="AI350" i="22"/>
  <c r="AH350" i="22" s="1"/>
  <c r="AG350" i="22" s="1"/>
  <c r="AF350" i="22" s="1"/>
  <c r="AD350" i="22" s="1"/>
  <c r="AI366" i="22"/>
  <c r="AH366" i="22" s="1"/>
  <c r="AG366" i="22" s="1"/>
  <c r="AF366" i="22" s="1"/>
  <c r="AD366" i="22" s="1"/>
  <c r="AI29" i="22"/>
  <c r="AH29" i="22" s="1"/>
  <c r="AG29" i="22" s="1"/>
  <c r="AF29" i="22" s="1"/>
  <c r="AD29" i="22" s="1"/>
  <c r="AI45" i="22"/>
  <c r="AH45" i="22" s="1"/>
  <c r="AG45" i="22" s="1"/>
  <c r="AF45" i="22" s="1"/>
  <c r="AD45" i="22" s="1"/>
  <c r="AI61" i="22"/>
  <c r="AH61" i="22" s="1"/>
  <c r="AG61" i="22" s="1"/>
  <c r="AF61" i="22" s="1"/>
  <c r="AD61" i="22" s="1"/>
  <c r="AI77" i="22"/>
  <c r="AH77" i="22" s="1"/>
  <c r="AG77" i="22" s="1"/>
  <c r="AF77" i="22" s="1"/>
  <c r="AD77" i="22" s="1"/>
  <c r="AI93" i="22"/>
  <c r="AH93" i="22" s="1"/>
  <c r="AG93" i="22" s="1"/>
  <c r="AF93" i="22" s="1"/>
  <c r="AD93" i="22" s="1"/>
  <c r="AI109" i="22"/>
  <c r="AH109" i="22" s="1"/>
  <c r="AG109" i="22" s="1"/>
  <c r="AF109" i="22" s="1"/>
  <c r="AD109" i="22" s="1"/>
  <c r="AI125" i="22"/>
  <c r="AH125" i="22" s="1"/>
  <c r="AG125" i="22" s="1"/>
  <c r="AF125" i="22" s="1"/>
  <c r="AD125" i="22" s="1"/>
  <c r="AI141" i="22"/>
  <c r="AH141" i="22" s="1"/>
  <c r="AG141" i="22" s="1"/>
  <c r="AF141" i="22" s="1"/>
  <c r="AD141" i="22" s="1"/>
  <c r="AI157" i="22"/>
  <c r="AH157" i="22" s="1"/>
  <c r="AG157" i="22" s="1"/>
  <c r="AF157" i="22" s="1"/>
  <c r="AD157" i="22" s="1"/>
  <c r="AI173" i="22"/>
  <c r="AH173" i="22" s="1"/>
  <c r="AG173" i="22" s="1"/>
  <c r="AF173" i="22" s="1"/>
  <c r="AD173" i="22" s="1"/>
  <c r="AI189" i="22"/>
  <c r="AH189" i="22" s="1"/>
  <c r="AG189" i="22" s="1"/>
  <c r="AF189" i="22" s="1"/>
  <c r="AD189" i="22" s="1"/>
  <c r="AI205" i="22"/>
  <c r="AH205" i="22" s="1"/>
  <c r="AG205" i="22" s="1"/>
  <c r="AF205" i="22" s="1"/>
  <c r="AD205" i="22" s="1"/>
  <c r="AI221" i="22"/>
  <c r="AH221" i="22" s="1"/>
  <c r="AG221" i="22" s="1"/>
  <c r="AF221" i="22" s="1"/>
  <c r="AD221" i="22" s="1"/>
  <c r="AI237" i="22"/>
  <c r="AH237" i="22" s="1"/>
  <c r="AG237" i="22" s="1"/>
  <c r="AF237" i="22" s="1"/>
  <c r="AD237" i="22" s="1"/>
  <c r="AI253" i="22"/>
  <c r="AH253" i="22" s="1"/>
  <c r="AG253" i="22" s="1"/>
  <c r="AF253" i="22" s="1"/>
  <c r="AD253" i="22" s="1"/>
  <c r="AI269" i="22"/>
  <c r="AH269" i="22" s="1"/>
  <c r="AG269" i="22" s="1"/>
  <c r="AF269" i="22" s="1"/>
  <c r="AD269" i="22" s="1"/>
  <c r="AI285" i="22"/>
  <c r="AH285" i="22" s="1"/>
  <c r="AG285" i="22" s="1"/>
  <c r="AF285" i="22" s="1"/>
  <c r="AD285" i="22" s="1"/>
  <c r="AI301" i="22"/>
  <c r="AH301" i="22" s="1"/>
  <c r="AG301" i="22" s="1"/>
  <c r="AF301" i="22" s="1"/>
  <c r="AD301" i="22" s="1"/>
  <c r="AI317" i="22"/>
  <c r="AH317" i="22" s="1"/>
  <c r="AG317" i="22" s="1"/>
  <c r="AF317" i="22" s="1"/>
  <c r="AD317" i="22" s="1"/>
  <c r="AI333" i="22"/>
  <c r="AH333" i="22" s="1"/>
  <c r="AG333" i="22" s="1"/>
  <c r="AF333" i="22" s="1"/>
  <c r="AD333" i="22" s="1"/>
  <c r="AI349" i="22"/>
  <c r="AH349" i="22" s="1"/>
  <c r="AG349" i="22" s="1"/>
  <c r="AF349" i="22" s="1"/>
  <c r="AD349" i="22" s="1"/>
  <c r="AI365" i="22"/>
  <c r="AH365" i="22" s="1"/>
  <c r="AG365" i="22" s="1"/>
  <c r="AF365" i="22" s="1"/>
  <c r="AD365" i="22" s="1"/>
  <c r="AI19" i="22"/>
  <c r="AH19" i="22" s="1"/>
  <c r="AG19" i="22" s="1"/>
  <c r="AF19" i="22" s="1"/>
  <c r="AD19" i="22" s="1"/>
  <c r="AI34" i="22"/>
  <c r="AH34" i="22" s="1"/>
  <c r="AG34" i="22" s="1"/>
  <c r="AF34" i="22" s="1"/>
  <c r="AD34" i="22" s="1"/>
  <c r="AI50" i="22"/>
  <c r="AH50" i="22" s="1"/>
  <c r="AG50" i="22" s="1"/>
  <c r="AF50" i="22" s="1"/>
  <c r="AD50" i="22" s="1"/>
  <c r="AI66" i="22"/>
  <c r="AH66" i="22" s="1"/>
  <c r="AG66" i="22" s="1"/>
  <c r="AF66" i="22" s="1"/>
  <c r="AD66" i="22" s="1"/>
  <c r="AI82" i="22"/>
  <c r="AH82" i="22" s="1"/>
  <c r="AG82" i="22" s="1"/>
  <c r="AF82" i="22" s="1"/>
  <c r="AD82" i="22" s="1"/>
  <c r="AI98" i="22"/>
  <c r="AH98" i="22" s="1"/>
  <c r="AG98" i="22" s="1"/>
  <c r="AF98" i="22" s="1"/>
  <c r="AD98" i="22" s="1"/>
  <c r="AI114" i="22"/>
  <c r="AH114" i="22" s="1"/>
  <c r="AG114" i="22" s="1"/>
  <c r="AF114" i="22" s="1"/>
  <c r="AD114" i="22" s="1"/>
  <c r="AI130" i="22"/>
  <c r="AH130" i="22" s="1"/>
  <c r="AG130" i="22" s="1"/>
  <c r="AF130" i="22" s="1"/>
  <c r="AD130" i="22" s="1"/>
  <c r="AI146" i="22"/>
  <c r="AH146" i="22" s="1"/>
  <c r="AG146" i="22" s="1"/>
  <c r="AF146" i="22" s="1"/>
  <c r="AD146" i="22" s="1"/>
  <c r="AI162" i="22"/>
  <c r="AH162" i="22" s="1"/>
  <c r="AG162" i="22" s="1"/>
  <c r="AF162" i="22" s="1"/>
  <c r="AD162" i="22" s="1"/>
  <c r="AI178" i="22"/>
  <c r="AH178" i="22" s="1"/>
  <c r="AG178" i="22" s="1"/>
  <c r="AF178" i="22" s="1"/>
  <c r="AD178" i="22" s="1"/>
  <c r="AI194" i="22"/>
  <c r="AH194" i="22" s="1"/>
  <c r="AG194" i="22" s="1"/>
  <c r="AF194" i="22" s="1"/>
  <c r="AD194" i="22" s="1"/>
  <c r="AI210" i="22"/>
  <c r="AH210" i="22" s="1"/>
  <c r="AG210" i="22" s="1"/>
  <c r="AF210" i="22" s="1"/>
  <c r="AD210" i="22" s="1"/>
  <c r="AI226" i="22"/>
  <c r="AH226" i="22" s="1"/>
  <c r="AG226" i="22" s="1"/>
  <c r="AF226" i="22" s="1"/>
  <c r="AD226" i="22" s="1"/>
  <c r="AI242" i="22"/>
  <c r="AH242" i="22" s="1"/>
  <c r="AG242" i="22" s="1"/>
  <c r="AF242" i="22" s="1"/>
  <c r="AD242" i="22" s="1"/>
  <c r="AI258" i="22"/>
  <c r="AH258" i="22" s="1"/>
  <c r="AG258" i="22" s="1"/>
  <c r="AF258" i="22" s="1"/>
  <c r="AD258" i="22" s="1"/>
  <c r="AI274" i="22"/>
  <c r="AH274" i="22" s="1"/>
  <c r="AG274" i="22" s="1"/>
  <c r="AF274" i="22" s="1"/>
  <c r="AD274" i="22" s="1"/>
  <c r="AI290" i="22"/>
  <c r="AH290" i="22" s="1"/>
  <c r="AG290" i="22" s="1"/>
  <c r="AF290" i="22" s="1"/>
  <c r="AD290" i="22" s="1"/>
  <c r="AI306" i="22"/>
  <c r="AH306" i="22" s="1"/>
  <c r="AG306" i="22" s="1"/>
  <c r="AF306" i="22" s="1"/>
  <c r="AD306" i="22" s="1"/>
  <c r="AI322" i="22"/>
  <c r="AH322" i="22" s="1"/>
  <c r="AG322" i="22" s="1"/>
  <c r="AF322" i="22" s="1"/>
  <c r="AD322" i="22" s="1"/>
  <c r="AI338" i="22"/>
  <c r="AH338" i="22" s="1"/>
  <c r="AG338" i="22" s="1"/>
  <c r="AF338" i="22" s="1"/>
  <c r="AD338" i="22" s="1"/>
  <c r="AI354" i="22"/>
  <c r="AH354" i="22" s="1"/>
  <c r="AG354" i="22" s="1"/>
  <c r="AF354" i="22" s="1"/>
  <c r="AD354" i="22" s="1"/>
  <c r="AI370" i="22"/>
  <c r="AH370" i="22" s="1"/>
  <c r="AG370" i="22" s="1"/>
  <c r="AF370" i="22" s="1"/>
  <c r="AD370" i="22" s="1"/>
  <c r="AI15" i="22"/>
  <c r="AI27" i="22"/>
  <c r="AH27" i="22" s="1"/>
  <c r="AG27" i="22" s="1"/>
  <c r="AF27" i="22" s="1"/>
  <c r="AD27" i="22" s="1"/>
  <c r="AI35" i="22"/>
  <c r="AH35" i="22" s="1"/>
  <c r="AG35" i="22" s="1"/>
  <c r="AF35" i="22" s="1"/>
  <c r="AD35" i="22" s="1"/>
  <c r="AI43" i="22"/>
  <c r="AH43" i="22" s="1"/>
  <c r="AG43" i="22" s="1"/>
  <c r="AF43" i="22" s="1"/>
  <c r="AD43" i="22" s="1"/>
  <c r="AI51" i="22"/>
  <c r="AH51" i="22" s="1"/>
  <c r="AG51" i="22" s="1"/>
  <c r="AF51" i="22" s="1"/>
  <c r="AD51" i="22" s="1"/>
  <c r="AI59" i="22"/>
  <c r="AH59" i="22" s="1"/>
  <c r="AG59" i="22" s="1"/>
  <c r="AF59" i="22" s="1"/>
  <c r="AD59" i="22" s="1"/>
  <c r="AI67" i="22"/>
  <c r="AH67" i="22" s="1"/>
  <c r="AG67" i="22" s="1"/>
  <c r="AF67" i="22" s="1"/>
  <c r="AD67" i="22" s="1"/>
  <c r="AI75" i="22"/>
  <c r="AH75" i="22" s="1"/>
  <c r="AG75" i="22" s="1"/>
  <c r="AF75" i="22" s="1"/>
  <c r="AD75" i="22" s="1"/>
  <c r="AI83" i="22"/>
  <c r="AH83" i="22" s="1"/>
  <c r="AG83" i="22" s="1"/>
  <c r="AF83" i="22" s="1"/>
  <c r="AD83" i="22" s="1"/>
  <c r="AI91" i="22"/>
  <c r="AH91" i="22" s="1"/>
  <c r="AG91" i="22" s="1"/>
  <c r="AF91" i="22" s="1"/>
  <c r="AD91" i="22" s="1"/>
  <c r="AI99" i="22"/>
  <c r="AH99" i="22" s="1"/>
  <c r="AG99" i="22" s="1"/>
  <c r="AF99" i="22" s="1"/>
  <c r="AD99" i="22" s="1"/>
  <c r="AI107" i="22"/>
  <c r="AH107" i="22" s="1"/>
  <c r="AG107" i="22" s="1"/>
  <c r="AF107" i="22" s="1"/>
  <c r="AD107" i="22" s="1"/>
  <c r="AI115" i="22"/>
  <c r="AH115" i="22" s="1"/>
  <c r="AG115" i="22" s="1"/>
  <c r="AF115" i="22" s="1"/>
  <c r="AD115" i="22" s="1"/>
  <c r="AI123" i="22"/>
  <c r="AH123" i="22" s="1"/>
  <c r="AG123" i="22" s="1"/>
  <c r="AF123" i="22" s="1"/>
  <c r="AD123" i="22" s="1"/>
  <c r="AI131" i="22"/>
  <c r="AH131" i="22" s="1"/>
  <c r="AG131" i="22" s="1"/>
  <c r="AF131" i="22" s="1"/>
  <c r="AD131" i="22" s="1"/>
  <c r="AI139" i="22"/>
  <c r="AH139" i="22" s="1"/>
  <c r="AG139" i="22" s="1"/>
  <c r="AF139" i="22" s="1"/>
  <c r="AD139" i="22" s="1"/>
  <c r="AI147" i="22"/>
  <c r="AH147" i="22" s="1"/>
  <c r="AG147" i="22" s="1"/>
  <c r="AF147" i="22" s="1"/>
  <c r="AD147" i="22" s="1"/>
  <c r="AI155" i="22"/>
  <c r="AH155" i="22" s="1"/>
  <c r="AG155" i="22" s="1"/>
  <c r="AF155" i="22" s="1"/>
  <c r="AD155" i="22" s="1"/>
  <c r="AI163" i="22"/>
  <c r="AH163" i="22" s="1"/>
  <c r="AG163" i="22" s="1"/>
  <c r="AF163" i="22" s="1"/>
  <c r="AD163" i="22" s="1"/>
  <c r="AI171" i="22"/>
  <c r="AH171" i="22" s="1"/>
  <c r="AG171" i="22" s="1"/>
  <c r="AF171" i="22" s="1"/>
  <c r="AD171" i="22" s="1"/>
  <c r="AI179" i="22"/>
  <c r="AH179" i="22" s="1"/>
  <c r="AG179" i="22" s="1"/>
  <c r="AF179" i="22" s="1"/>
  <c r="AD179" i="22" s="1"/>
  <c r="AI187" i="22"/>
  <c r="AH187" i="22" s="1"/>
  <c r="AG187" i="22" s="1"/>
  <c r="AF187" i="22" s="1"/>
  <c r="AD187" i="22" s="1"/>
  <c r="AI195" i="22"/>
  <c r="AH195" i="22" s="1"/>
  <c r="AG195" i="22" s="1"/>
  <c r="AF195" i="22" s="1"/>
  <c r="AD195" i="22" s="1"/>
  <c r="AI203" i="22"/>
  <c r="AH203" i="22" s="1"/>
  <c r="AG203" i="22" s="1"/>
  <c r="AF203" i="22" s="1"/>
  <c r="AD203" i="22" s="1"/>
  <c r="AI211" i="22"/>
  <c r="AH211" i="22" s="1"/>
  <c r="AG211" i="22" s="1"/>
  <c r="AF211" i="22" s="1"/>
  <c r="AD211" i="22" s="1"/>
  <c r="AI219" i="22"/>
  <c r="AH219" i="22" s="1"/>
  <c r="AG219" i="22" s="1"/>
  <c r="AF219" i="22" s="1"/>
  <c r="AD219" i="22" s="1"/>
  <c r="AI227" i="22"/>
  <c r="AH227" i="22" s="1"/>
  <c r="AG227" i="22" s="1"/>
  <c r="AF227" i="22" s="1"/>
  <c r="AD227" i="22" s="1"/>
  <c r="AI235" i="22"/>
  <c r="AH235" i="22" s="1"/>
  <c r="AG235" i="22" s="1"/>
  <c r="AF235" i="22" s="1"/>
  <c r="AD235" i="22" s="1"/>
  <c r="AI243" i="22"/>
  <c r="AH243" i="22" s="1"/>
  <c r="AG243" i="22" s="1"/>
  <c r="AF243" i="22" s="1"/>
  <c r="AD243" i="22" s="1"/>
  <c r="AI251" i="22"/>
  <c r="AH251" i="22" s="1"/>
  <c r="AG251" i="22" s="1"/>
  <c r="AF251" i="22" s="1"/>
  <c r="AD251" i="22" s="1"/>
  <c r="AI259" i="22"/>
  <c r="AH259" i="22" s="1"/>
  <c r="AG259" i="22" s="1"/>
  <c r="AF259" i="22" s="1"/>
  <c r="AD259" i="22" s="1"/>
  <c r="AI267" i="22"/>
  <c r="AH267" i="22" s="1"/>
  <c r="AG267" i="22" s="1"/>
  <c r="AF267" i="22" s="1"/>
  <c r="AD267" i="22" s="1"/>
  <c r="AI275" i="22"/>
  <c r="AH275" i="22" s="1"/>
  <c r="AG275" i="22" s="1"/>
  <c r="AF275" i="22" s="1"/>
  <c r="AD275" i="22" s="1"/>
  <c r="AI283" i="22"/>
  <c r="AH283" i="22" s="1"/>
  <c r="AG283" i="22" s="1"/>
  <c r="AF283" i="22" s="1"/>
  <c r="AD283" i="22" s="1"/>
  <c r="AI291" i="22"/>
  <c r="AH291" i="22" s="1"/>
  <c r="AG291" i="22" s="1"/>
  <c r="AF291" i="22" s="1"/>
  <c r="AD291" i="22" s="1"/>
  <c r="AI299" i="22"/>
  <c r="AH299" i="22" s="1"/>
  <c r="AG299" i="22" s="1"/>
  <c r="AF299" i="22" s="1"/>
  <c r="AD299" i="22" s="1"/>
  <c r="AI307" i="22"/>
  <c r="AH307" i="22" s="1"/>
  <c r="AG307" i="22" s="1"/>
  <c r="AF307" i="22" s="1"/>
  <c r="AD307" i="22" s="1"/>
  <c r="AI315" i="22"/>
  <c r="AH315" i="22" s="1"/>
  <c r="AG315" i="22" s="1"/>
  <c r="AF315" i="22" s="1"/>
  <c r="AD315" i="22" s="1"/>
  <c r="AI323" i="22"/>
  <c r="AH323" i="22" s="1"/>
  <c r="AG323" i="22" s="1"/>
  <c r="AF323" i="22" s="1"/>
  <c r="AD323" i="22" s="1"/>
  <c r="AI331" i="22"/>
  <c r="AH331" i="22" s="1"/>
  <c r="AG331" i="22" s="1"/>
  <c r="AF331" i="22" s="1"/>
  <c r="AD331" i="22" s="1"/>
  <c r="AI339" i="22"/>
  <c r="AH339" i="22" s="1"/>
  <c r="AG339" i="22" s="1"/>
  <c r="AF339" i="22" s="1"/>
  <c r="AD339" i="22" s="1"/>
  <c r="AI347" i="22"/>
  <c r="AH347" i="22" s="1"/>
  <c r="AG347" i="22" s="1"/>
  <c r="AF347" i="22" s="1"/>
  <c r="AD347" i="22" s="1"/>
  <c r="AI355" i="22"/>
  <c r="AH355" i="22" s="1"/>
  <c r="AG355" i="22" s="1"/>
  <c r="AF355" i="22" s="1"/>
  <c r="AD355" i="22" s="1"/>
  <c r="AI363" i="22"/>
  <c r="AH363" i="22" s="1"/>
  <c r="AG363" i="22" s="1"/>
  <c r="AF363" i="22" s="1"/>
  <c r="AD363" i="22" s="1"/>
  <c r="AI371" i="22"/>
  <c r="AH371" i="22" s="1"/>
  <c r="AG371" i="22" s="1"/>
  <c r="AF371" i="22" s="1"/>
  <c r="AD371" i="22" s="1"/>
  <c r="AI379" i="22"/>
  <c r="AI16" i="22"/>
  <c r="AH16" i="22" s="1"/>
  <c r="AG16" i="22" s="1"/>
  <c r="AF16" i="22" s="1"/>
  <c r="AD16" i="22" s="1"/>
  <c r="AI28" i="22"/>
  <c r="AH28" i="22" s="1"/>
  <c r="AG28" i="22" s="1"/>
  <c r="AF28" i="22" s="1"/>
  <c r="AD28" i="22" s="1"/>
  <c r="AI36" i="22"/>
  <c r="AH36" i="22" s="1"/>
  <c r="AG36" i="22" s="1"/>
  <c r="AF36" i="22" s="1"/>
  <c r="AD36" i="22" s="1"/>
  <c r="AI44" i="22"/>
  <c r="AH44" i="22" s="1"/>
  <c r="AG44" i="22" s="1"/>
  <c r="AF44" i="22" s="1"/>
  <c r="AD44" i="22" s="1"/>
  <c r="AI52" i="22"/>
  <c r="AH52" i="22" s="1"/>
  <c r="AG52" i="22" s="1"/>
  <c r="AF52" i="22" s="1"/>
  <c r="AD52" i="22" s="1"/>
  <c r="AI60" i="22"/>
  <c r="AH60" i="22" s="1"/>
  <c r="AG60" i="22" s="1"/>
  <c r="AF60" i="22" s="1"/>
  <c r="AD60" i="22" s="1"/>
  <c r="AI68" i="22"/>
  <c r="AH68" i="22" s="1"/>
  <c r="AG68" i="22" s="1"/>
  <c r="AF68" i="22" s="1"/>
  <c r="AD68" i="22" s="1"/>
  <c r="AI76" i="22"/>
  <c r="AH76" i="22" s="1"/>
  <c r="AG76" i="22" s="1"/>
  <c r="AF76" i="22" s="1"/>
  <c r="AD76" i="22" s="1"/>
  <c r="AI84" i="22"/>
  <c r="AH84" i="22" s="1"/>
  <c r="AG84" i="22" s="1"/>
  <c r="AF84" i="22" s="1"/>
  <c r="AD84" i="22" s="1"/>
  <c r="AI92" i="22"/>
  <c r="AH92" i="22" s="1"/>
  <c r="AG92" i="22" s="1"/>
  <c r="AF92" i="22" s="1"/>
  <c r="AD92" i="22" s="1"/>
  <c r="AI100" i="22"/>
  <c r="AH100" i="22" s="1"/>
  <c r="AG100" i="22" s="1"/>
  <c r="AF100" i="22" s="1"/>
  <c r="AD100" i="22" s="1"/>
  <c r="AI108" i="22"/>
  <c r="AH108" i="22" s="1"/>
  <c r="AG108" i="22" s="1"/>
  <c r="AF108" i="22" s="1"/>
  <c r="AD108" i="22" s="1"/>
  <c r="AI116" i="22"/>
  <c r="AH116" i="22" s="1"/>
  <c r="AG116" i="22" s="1"/>
  <c r="AF116" i="22" s="1"/>
  <c r="AD116" i="22" s="1"/>
  <c r="AI124" i="22"/>
  <c r="AH124" i="22" s="1"/>
  <c r="AG124" i="22" s="1"/>
  <c r="AF124" i="22" s="1"/>
  <c r="AD124" i="22" s="1"/>
  <c r="AI132" i="22"/>
  <c r="AH132" i="22" s="1"/>
  <c r="AG132" i="22" s="1"/>
  <c r="AF132" i="22" s="1"/>
  <c r="AD132" i="22" s="1"/>
  <c r="AI140" i="22"/>
  <c r="AH140" i="22" s="1"/>
  <c r="AG140" i="22" s="1"/>
  <c r="AF140" i="22" s="1"/>
  <c r="AD140" i="22" s="1"/>
  <c r="AI148" i="22"/>
  <c r="AH148" i="22" s="1"/>
  <c r="AG148" i="22" s="1"/>
  <c r="AF148" i="22" s="1"/>
  <c r="AD148" i="22" s="1"/>
  <c r="AI156" i="22"/>
  <c r="AH156" i="22" s="1"/>
  <c r="AG156" i="22" s="1"/>
  <c r="AF156" i="22" s="1"/>
  <c r="AD156" i="22" s="1"/>
  <c r="AI164" i="22"/>
  <c r="AH164" i="22" s="1"/>
  <c r="AG164" i="22" s="1"/>
  <c r="AF164" i="22" s="1"/>
  <c r="AD164" i="22" s="1"/>
  <c r="AI172" i="22"/>
  <c r="AH172" i="22" s="1"/>
  <c r="AG172" i="22" s="1"/>
  <c r="AF172" i="22" s="1"/>
  <c r="AD172" i="22" s="1"/>
  <c r="AI180" i="22"/>
  <c r="AH180" i="22" s="1"/>
  <c r="AG180" i="22" s="1"/>
  <c r="AF180" i="22" s="1"/>
  <c r="AD180" i="22" s="1"/>
  <c r="AI188" i="22"/>
  <c r="AH188" i="22" s="1"/>
  <c r="AG188" i="22" s="1"/>
  <c r="AF188" i="22" s="1"/>
  <c r="AD188" i="22" s="1"/>
  <c r="AI196" i="22"/>
  <c r="AH196" i="22" s="1"/>
  <c r="AG196" i="22" s="1"/>
  <c r="AF196" i="22" s="1"/>
  <c r="AD196" i="22" s="1"/>
  <c r="AI204" i="22"/>
  <c r="AH204" i="22" s="1"/>
  <c r="AG204" i="22" s="1"/>
  <c r="AF204" i="22" s="1"/>
  <c r="AD204" i="22" s="1"/>
  <c r="AI212" i="22"/>
  <c r="AH212" i="22" s="1"/>
  <c r="AG212" i="22" s="1"/>
  <c r="AF212" i="22" s="1"/>
  <c r="AD212" i="22" s="1"/>
  <c r="AI220" i="22"/>
  <c r="AH220" i="22" s="1"/>
  <c r="AG220" i="22" s="1"/>
  <c r="AF220" i="22" s="1"/>
  <c r="AD220" i="22" s="1"/>
  <c r="AI228" i="22"/>
  <c r="AH228" i="22" s="1"/>
  <c r="AG228" i="22" s="1"/>
  <c r="AF228" i="22" s="1"/>
  <c r="AD228" i="22" s="1"/>
  <c r="AI236" i="22"/>
  <c r="AH236" i="22" s="1"/>
  <c r="AG236" i="22" s="1"/>
  <c r="AF236" i="22" s="1"/>
  <c r="AD236" i="22" s="1"/>
  <c r="AI244" i="22"/>
  <c r="AH244" i="22" s="1"/>
  <c r="AG244" i="22" s="1"/>
  <c r="AF244" i="22" s="1"/>
  <c r="AD244" i="22" s="1"/>
  <c r="AI252" i="22"/>
  <c r="AH252" i="22" s="1"/>
  <c r="AG252" i="22" s="1"/>
  <c r="AF252" i="22" s="1"/>
  <c r="AD252" i="22" s="1"/>
  <c r="AI260" i="22"/>
  <c r="AH260" i="22" s="1"/>
  <c r="AG260" i="22" s="1"/>
  <c r="AF260" i="22" s="1"/>
  <c r="AD260" i="22" s="1"/>
  <c r="AI268" i="22"/>
  <c r="AH268" i="22" s="1"/>
  <c r="AG268" i="22" s="1"/>
  <c r="AF268" i="22" s="1"/>
  <c r="AD268" i="22" s="1"/>
  <c r="AI276" i="22"/>
  <c r="AH276" i="22" s="1"/>
  <c r="AG276" i="22" s="1"/>
  <c r="AF276" i="22" s="1"/>
  <c r="AD276" i="22" s="1"/>
  <c r="AI284" i="22"/>
  <c r="AH284" i="22" s="1"/>
  <c r="AG284" i="22" s="1"/>
  <c r="AF284" i="22" s="1"/>
  <c r="AD284" i="22" s="1"/>
  <c r="AI292" i="22"/>
  <c r="AH292" i="22" s="1"/>
  <c r="AG292" i="22" s="1"/>
  <c r="AF292" i="22" s="1"/>
  <c r="AD292" i="22" s="1"/>
  <c r="AI300" i="22"/>
  <c r="AH300" i="22" s="1"/>
  <c r="AG300" i="22" s="1"/>
  <c r="AF300" i="22" s="1"/>
  <c r="AD300" i="22" s="1"/>
  <c r="AI308" i="22"/>
  <c r="AH308" i="22" s="1"/>
  <c r="AG308" i="22" s="1"/>
  <c r="AF308" i="22" s="1"/>
  <c r="AD308" i="22" s="1"/>
  <c r="AI316" i="22"/>
  <c r="AH316" i="22" s="1"/>
  <c r="AG316" i="22" s="1"/>
  <c r="AF316" i="22" s="1"/>
  <c r="AD316" i="22" s="1"/>
  <c r="AI324" i="22"/>
  <c r="AH324" i="22" s="1"/>
  <c r="AG324" i="22" s="1"/>
  <c r="AF324" i="22" s="1"/>
  <c r="AD324" i="22" s="1"/>
  <c r="AI332" i="22"/>
  <c r="AH332" i="22" s="1"/>
  <c r="AG332" i="22" s="1"/>
  <c r="AF332" i="22" s="1"/>
  <c r="AD332" i="22" s="1"/>
  <c r="AI340" i="22"/>
  <c r="AH340" i="22" s="1"/>
  <c r="AG340" i="22" s="1"/>
  <c r="AF340" i="22" s="1"/>
  <c r="AD340" i="22" s="1"/>
  <c r="AI348" i="22"/>
  <c r="AH348" i="22" s="1"/>
  <c r="AG348" i="22" s="1"/>
  <c r="AF348" i="22" s="1"/>
  <c r="AD348" i="22" s="1"/>
  <c r="AI356" i="22"/>
  <c r="AH356" i="22" s="1"/>
  <c r="AG356" i="22" s="1"/>
  <c r="AF356" i="22" s="1"/>
  <c r="AD356" i="22" s="1"/>
  <c r="AI364" i="22"/>
  <c r="AH364" i="22" s="1"/>
  <c r="AG364" i="22" s="1"/>
  <c r="AF364" i="22" s="1"/>
  <c r="AD364" i="22" s="1"/>
  <c r="AI372" i="22"/>
  <c r="AH372" i="22" s="1"/>
  <c r="AG372" i="22" s="1"/>
  <c r="AF372" i="22" s="1"/>
  <c r="AD372" i="22" s="1"/>
  <c r="AD382" i="18"/>
  <c r="AD381" i="18"/>
  <c r="AD383" i="18"/>
  <c r="P382" i="18"/>
  <c r="V15" i="18"/>
  <c r="P381" i="18"/>
  <c r="P383" i="18"/>
  <c r="AO16" i="7"/>
  <c r="U27" i="22"/>
  <c r="T27" i="22" s="1"/>
  <c r="S27" i="22" s="1"/>
  <c r="R27" i="22" s="1"/>
  <c r="P27" i="22" s="1"/>
  <c r="V27" i="22" s="1"/>
  <c r="U43" i="22"/>
  <c r="T43" i="22" s="1"/>
  <c r="S43" i="22" s="1"/>
  <c r="R43" i="22" s="1"/>
  <c r="P43" i="22" s="1"/>
  <c r="V43" i="22" s="1"/>
  <c r="U59" i="22"/>
  <c r="T59" i="22" s="1"/>
  <c r="S59" i="22" s="1"/>
  <c r="R59" i="22" s="1"/>
  <c r="P59" i="22" s="1"/>
  <c r="V59" i="22" s="1"/>
  <c r="U75" i="22"/>
  <c r="T75" i="22" s="1"/>
  <c r="S75" i="22" s="1"/>
  <c r="R75" i="22" s="1"/>
  <c r="P75" i="22" s="1"/>
  <c r="V75" i="22" s="1"/>
  <c r="U91" i="22"/>
  <c r="T91" i="22" s="1"/>
  <c r="S91" i="22" s="1"/>
  <c r="R91" i="22" s="1"/>
  <c r="P91" i="22" s="1"/>
  <c r="V91" i="22" s="1"/>
  <c r="U107" i="22"/>
  <c r="T107" i="22" s="1"/>
  <c r="S107" i="22" s="1"/>
  <c r="R107" i="22" s="1"/>
  <c r="P107" i="22" s="1"/>
  <c r="V107" i="22" s="1"/>
  <c r="U123" i="22"/>
  <c r="T123" i="22" s="1"/>
  <c r="S123" i="22" s="1"/>
  <c r="R123" i="22" s="1"/>
  <c r="P123" i="22" s="1"/>
  <c r="V123" i="22" s="1"/>
  <c r="U139" i="22"/>
  <c r="T139" i="22" s="1"/>
  <c r="S139" i="22" s="1"/>
  <c r="R139" i="22" s="1"/>
  <c r="P139" i="22" s="1"/>
  <c r="V139" i="22" s="1"/>
  <c r="U155" i="22"/>
  <c r="T155" i="22" s="1"/>
  <c r="S155" i="22" s="1"/>
  <c r="R155" i="22" s="1"/>
  <c r="P155" i="22" s="1"/>
  <c r="V155" i="22" s="1"/>
  <c r="U23" i="22"/>
  <c r="T23" i="22" s="1"/>
  <c r="S23" i="22" s="1"/>
  <c r="R23" i="22" s="1"/>
  <c r="P23" i="22" s="1"/>
  <c r="V23" i="22" s="1"/>
  <c r="U29" i="22"/>
  <c r="T29" i="22" s="1"/>
  <c r="S29" i="22" s="1"/>
  <c r="R29" i="22" s="1"/>
  <c r="P29" i="22" s="1"/>
  <c r="U37" i="22"/>
  <c r="T37" i="22" s="1"/>
  <c r="S37" i="22" s="1"/>
  <c r="R37" i="22" s="1"/>
  <c r="P37" i="22" s="1"/>
  <c r="V37" i="22" s="1"/>
  <c r="U45" i="22"/>
  <c r="T45" i="22" s="1"/>
  <c r="S45" i="22" s="1"/>
  <c r="R45" i="22" s="1"/>
  <c r="P45" i="22" s="1"/>
  <c r="V45" i="22" s="1"/>
  <c r="U53" i="22"/>
  <c r="T53" i="22" s="1"/>
  <c r="S53" i="22" s="1"/>
  <c r="R53" i="22" s="1"/>
  <c r="P53" i="22" s="1"/>
  <c r="V53" i="22" s="1"/>
  <c r="U61" i="22"/>
  <c r="T61" i="22" s="1"/>
  <c r="S61" i="22" s="1"/>
  <c r="R61" i="22" s="1"/>
  <c r="P61" i="22" s="1"/>
  <c r="V61" i="22" s="1"/>
  <c r="U69" i="22"/>
  <c r="T69" i="22" s="1"/>
  <c r="S69" i="22" s="1"/>
  <c r="R69" i="22" s="1"/>
  <c r="P69" i="22" s="1"/>
  <c r="V69" i="22" s="1"/>
  <c r="U77" i="22"/>
  <c r="T77" i="22" s="1"/>
  <c r="S77" i="22" s="1"/>
  <c r="R77" i="22" s="1"/>
  <c r="P77" i="22" s="1"/>
  <c r="V77" i="22" s="1"/>
  <c r="U85" i="22"/>
  <c r="T85" i="22" s="1"/>
  <c r="S85" i="22" s="1"/>
  <c r="R85" i="22" s="1"/>
  <c r="P85" i="22" s="1"/>
  <c r="V85" i="22" s="1"/>
  <c r="U93" i="22"/>
  <c r="T93" i="22" s="1"/>
  <c r="S93" i="22" s="1"/>
  <c r="R93" i="22" s="1"/>
  <c r="P93" i="22" s="1"/>
  <c r="V93" i="22" s="1"/>
  <c r="U101" i="22"/>
  <c r="T101" i="22" s="1"/>
  <c r="S101" i="22" s="1"/>
  <c r="R101" i="22" s="1"/>
  <c r="P101" i="22" s="1"/>
  <c r="V101" i="22" s="1"/>
  <c r="U109" i="22"/>
  <c r="T109" i="22" s="1"/>
  <c r="S109" i="22" s="1"/>
  <c r="R109" i="22" s="1"/>
  <c r="P109" i="22" s="1"/>
  <c r="V109" i="22" s="1"/>
  <c r="U117" i="22"/>
  <c r="T117" i="22" s="1"/>
  <c r="S117" i="22" s="1"/>
  <c r="R117" i="22" s="1"/>
  <c r="P117" i="22" s="1"/>
  <c r="V117" i="22" s="1"/>
  <c r="U125" i="22"/>
  <c r="T125" i="22" s="1"/>
  <c r="S125" i="22" s="1"/>
  <c r="R125" i="22" s="1"/>
  <c r="P125" i="22" s="1"/>
  <c r="V125" i="22" s="1"/>
  <c r="U133" i="22"/>
  <c r="T133" i="22" s="1"/>
  <c r="S133" i="22" s="1"/>
  <c r="R133" i="22" s="1"/>
  <c r="P133" i="22" s="1"/>
  <c r="V133" i="22" s="1"/>
  <c r="U141" i="22"/>
  <c r="T141" i="22" s="1"/>
  <c r="S141" i="22" s="1"/>
  <c r="R141" i="22" s="1"/>
  <c r="P141" i="22" s="1"/>
  <c r="V141" i="22" s="1"/>
  <c r="U149" i="22"/>
  <c r="T149" i="22" s="1"/>
  <c r="S149" i="22" s="1"/>
  <c r="R149" i="22" s="1"/>
  <c r="P149" i="22" s="1"/>
  <c r="U157" i="22"/>
  <c r="T157" i="22" s="1"/>
  <c r="S157" i="22" s="1"/>
  <c r="R157" i="22" s="1"/>
  <c r="P157" i="22" s="1"/>
  <c r="V157" i="22" s="1"/>
  <c r="U165" i="22"/>
  <c r="T165" i="22" s="1"/>
  <c r="S165" i="22" s="1"/>
  <c r="R165" i="22" s="1"/>
  <c r="P165" i="22" s="1"/>
  <c r="V165" i="22" s="1"/>
  <c r="U173" i="22"/>
  <c r="T173" i="22" s="1"/>
  <c r="S173" i="22" s="1"/>
  <c r="R173" i="22" s="1"/>
  <c r="P173" i="22" s="1"/>
  <c r="V173" i="22" s="1"/>
  <c r="U181" i="22"/>
  <c r="T181" i="22" s="1"/>
  <c r="S181" i="22" s="1"/>
  <c r="R181" i="22" s="1"/>
  <c r="P181" i="22" s="1"/>
  <c r="V181" i="22" s="1"/>
  <c r="U189" i="22"/>
  <c r="T189" i="22" s="1"/>
  <c r="S189" i="22" s="1"/>
  <c r="R189" i="22" s="1"/>
  <c r="P189" i="22" s="1"/>
  <c r="V189" i="22" s="1"/>
  <c r="U197" i="22"/>
  <c r="T197" i="22" s="1"/>
  <c r="S197" i="22" s="1"/>
  <c r="R197" i="22" s="1"/>
  <c r="P197" i="22" s="1"/>
  <c r="V197" i="22" s="1"/>
  <c r="U205" i="22"/>
  <c r="T205" i="22" s="1"/>
  <c r="S205" i="22" s="1"/>
  <c r="R205" i="22" s="1"/>
  <c r="P205" i="22" s="1"/>
  <c r="V205" i="22" s="1"/>
  <c r="U213" i="22"/>
  <c r="T213" i="22" s="1"/>
  <c r="S213" i="22" s="1"/>
  <c r="R213" i="22" s="1"/>
  <c r="P213" i="22" s="1"/>
  <c r="V213" i="22" s="1"/>
  <c r="U223" i="22"/>
  <c r="T223" i="22" s="1"/>
  <c r="S223" i="22" s="1"/>
  <c r="R223" i="22" s="1"/>
  <c r="P223" i="22" s="1"/>
  <c r="V223" i="22" s="1"/>
  <c r="U239" i="22"/>
  <c r="T239" i="22" s="1"/>
  <c r="S239" i="22" s="1"/>
  <c r="R239" i="22" s="1"/>
  <c r="P239" i="22" s="1"/>
  <c r="V239" i="22" s="1"/>
  <c r="U255" i="22"/>
  <c r="T255" i="22" s="1"/>
  <c r="S255" i="22" s="1"/>
  <c r="R255" i="22" s="1"/>
  <c r="P255" i="22" s="1"/>
  <c r="V255" i="22" s="1"/>
  <c r="U271" i="22"/>
  <c r="T271" i="22" s="1"/>
  <c r="S271" i="22" s="1"/>
  <c r="R271" i="22" s="1"/>
  <c r="P271" i="22" s="1"/>
  <c r="V271" i="22" s="1"/>
  <c r="U287" i="22"/>
  <c r="T287" i="22" s="1"/>
  <c r="S287" i="22" s="1"/>
  <c r="R287" i="22" s="1"/>
  <c r="P287" i="22" s="1"/>
  <c r="V287" i="22" s="1"/>
  <c r="U303" i="22"/>
  <c r="T303" i="22" s="1"/>
  <c r="S303" i="22" s="1"/>
  <c r="R303" i="22" s="1"/>
  <c r="P303" i="22" s="1"/>
  <c r="V303" i="22" s="1"/>
  <c r="U319" i="22"/>
  <c r="T319" i="22" s="1"/>
  <c r="S319" i="22" s="1"/>
  <c r="R319" i="22" s="1"/>
  <c r="P319" i="22" s="1"/>
  <c r="V319" i="22" s="1"/>
  <c r="U335" i="22"/>
  <c r="T335" i="22" s="1"/>
  <c r="S335" i="22" s="1"/>
  <c r="R335" i="22" s="1"/>
  <c r="P335" i="22" s="1"/>
  <c r="V335" i="22" s="1"/>
  <c r="U351" i="22"/>
  <c r="T351" i="22" s="1"/>
  <c r="S351" i="22" s="1"/>
  <c r="R351" i="22" s="1"/>
  <c r="P351" i="22" s="1"/>
  <c r="V351" i="22" s="1"/>
  <c r="U367" i="22"/>
  <c r="T367" i="22" s="1"/>
  <c r="S367" i="22" s="1"/>
  <c r="R367" i="22" s="1"/>
  <c r="P367" i="22" s="1"/>
  <c r="V367" i="22" s="1"/>
  <c r="U17" i="22"/>
  <c r="T17" i="22" s="1"/>
  <c r="S17" i="22" s="1"/>
  <c r="R17" i="22" s="1"/>
  <c r="P17" i="22" s="1"/>
  <c r="V17" i="22" s="1"/>
  <c r="U34" i="22"/>
  <c r="T34" i="22" s="1"/>
  <c r="S34" i="22" s="1"/>
  <c r="R34" i="22" s="1"/>
  <c r="P34" i="22" s="1"/>
  <c r="V34" i="22" s="1"/>
  <c r="U50" i="22"/>
  <c r="T50" i="22" s="1"/>
  <c r="S50" i="22" s="1"/>
  <c r="R50" i="22" s="1"/>
  <c r="P50" i="22" s="1"/>
  <c r="V50" i="22" s="1"/>
  <c r="U66" i="22"/>
  <c r="T66" i="22" s="1"/>
  <c r="S66" i="22" s="1"/>
  <c r="R66" i="22" s="1"/>
  <c r="P66" i="22" s="1"/>
  <c r="V66" i="22" s="1"/>
  <c r="U82" i="22"/>
  <c r="T82" i="22" s="1"/>
  <c r="S82" i="22" s="1"/>
  <c r="R82" i="22" s="1"/>
  <c r="P82" i="22" s="1"/>
  <c r="V82" i="22" s="1"/>
  <c r="U98" i="22"/>
  <c r="T98" i="22" s="1"/>
  <c r="S98" i="22" s="1"/>
  <c r="R98" i="22" s="1"/>
  <c r="P98" i="22" s="1"/>
  <c r="V98" i="22" s="1"/>
  <c r="U114" i="22"/>
  <c r="T114" i="22" s="1"/>
  <c r="S114" i="22" s="1"/>
  <c r="R114" i="22" s="1"/>
  <c r="P114" i="22" s="1"/>
  <c r="V114" i="22" s="1"/>
  <c r="U130" i="22"/>
  <c r="T130" i="22" s="1"/>
  <c r="S130" i="22" s="1"/>
  <c r="R130" i="22" s="1"/>
  <c r="P130" i="22" s="1"/>
  <c r="V130" i="22" s="1"/>
  <c r="U146" i="22"/>
  <c r="T146" i="22" s="1"/>
  <c r="S146" i="22" s="1"/>
  <c r="R146" i="22" s="1"/>
  <c r="P146" i="22" s="1"/>
  <c r="V146" i="22" s="1"/>
  <c r="U162" i="22"/>
  <c r="T162" i="22" s="1"/>
  <c r="S162" i="22" s="1"/>
  <c r="R162" i="22" s="1"/>
  <c r="P162" i="22" s="1"/>
  <c r="V162" i="22" s="1"/>
  <c r="U178" i="22"/>
  <c r="T178" i="22" s="1"/>
  <c r="S178" i="22" s="1"/>
  <c r="R178" i="22" s="1"/>
  <c r="P178" i="22" s="1"/>
  <c r="V178" i="22" s="1"/>
  <c r="U194" i="22"/>
  <c r="T194" i="22" s="1"/>
  <c r="S194" i="22" s="1"/>
  <c r="R194" i="22" s="1"/>
  <c r="P194" i="22" s="1"/>
  <c r="V194" i="22" s="1"/>
  <c r="U210" i="22"/>
  <c r="T210" i="22" s="1"/>
  <c r="S210" i="22" s="1"/>
  <c r="R210" i="22" s="1"/>
  <c r="P210" i="22" s="1"/>
  <c r="U226" i="22"/>
  <c r="T226" i="22" s="1"/>
  <c r="S226" i="22" s="1"/>
  <c r="R226" i="22" s="1"/>
  <c r="P226" i="22" s="1"/>
  <c r="V226" i="22" s="1"/>
  <c r="U242" i="22"/>
  <c r="T242" i="22" s="1"/>
  <c r="S242" i="22" s="1"/>
  <c r="R242" i="22" s="1"/>
  <c r="P242" i="22" s="1"/>
  <c r="V242" i="22" s="1"/>
  <c r="U258" i="22"/>
  <c r="T258" i="22" s="1"/>
  <c r="S258" i="22" s="1"/>
  <c r="R258" i="22" s="1"/>
  <c r="P258" i="22" s="1"/>
  <c r="V258" i="22" s="1"/>
  <c r="U274" i="22"/>
  <c r="T274" i="22" s="1"/>
  <c r="S274" i="22" s="1"/>
  <c r="R274" i="22" s="1"/>
  <c r="P274" i="22" s="1"/>
  <c r="V274" i="22" s="1"/>
  <c r="U290" i="22"/>
  <c r="T290" i="22" s="1"/>
  <c r="S290" i="22" s="1"/>
  <c r="R290" i="22" s="1"/>
  <c r="P290" i="22" s="1"/>
  <c r="V290" i="22" s="1"/>
  <c r="U306" i="22"/>
  <c r="T306" i="22" s="1"/>
  <c r="S306" i="22" s="1"/>
  <c r="R306" i="22" s="1"/>
  <c r="P306" i="22" s="1"/>
  <c r="V306" i="22" s="1"/>
  <c r="U322" i="22"/>
  <c r="T322" i="22" s="1"/>
  <c r="S322" i="22" s="1"/>
  <c r="R322" i="22" s="1"/>
  <c r="P322" i="22" s="1"/>
  <c r="V322" i="22" s="1"/>
  <c r="U338" i="22"/>
  <c r="T338" i="22" s="1"/>
  <c r="S338" i="22" s="1"/>
  <c r="R338" i="22" s="1"/>
  <c r="P338" i="22" s="1"/>
  <c r="V338" i="22" s="1"/>
  <c r="U354" i="22"/>
  <c r="T354" i="22" s="1"/>
  <c r="S354" i="22" s="1"/>
  <c r="R354" i="22" s="1"/>
  <c r="P354" i="22" s="1"/>
  <c r="V354" i="22" s="1"/>
  <c r="U370" i="22"/>
  <c r="T370" i="22" s="1"/>
  <c r="S370" i="22" s="1"/>
  <c r="R370" i="22" s="1"/>
  <c r="P370" i="22" s="1"/>
  <c r="V370" i="22" s="1"/>
  <c r="U22" i="22"/>
  <c r="T22" i="22" s="1"/>
  <c r="S22" i="22" s="1"/>
  <c r="R22" i="22" s="1"/>
  <c r="P22" i="22" s="1"/>
  <c r="V22" i="22" s="1"/>
  <c r="U31" i="22"/>
  <c r="T31" i="22" s="1"/>
  <c r="S31" i="22" s="1"/>
  <c r="R31" i="22" s="1"/>
  <c r="P31" i="22" s="1"/>
  <c r="V31" i="22" s="1"/>
  <c r="U47" i="22"/>
  <c r="T47" i="22" s="1"/>
  <c r="S47" i="22" s="1"/>
  <c r="R47" i="22" s="1"/>
  <c r="P47" i="22" s="1"/>
  <c r="V47" i="22" s="1"/>
  <c r="U63" i="22"/>
  <c r="T63" i="22" s="1"/>
  <c r="S63" i="22" s="1"/>
  <c r="R63" i="22" s="1"/>
  <c r="P63" i="22" s="1"/>
  <c r="V63" i="22" s="1"/>
  <c r="U79" i="22"/>
  <c r="T79" i="22" s="1"/>
  <c r="S79" i="22" s="1"/>
  <c r="R79" i="22" s="1"/>
  <c r="P79" i="22" s="1"/>
  <c r="V79" i="22" s="1"/>
  <c r="U95" i="22"/>
  <c r="T95" i="22" s="1"/>
  <c r="S95" i="22" s="1"/>
  <c r="R95" i="22" s="1"/>
  <c r="P95" i="22" s="1"/>
  <c r="V95" i="22" s="1"/>
  <c r="U111" i="22"/>
  <c r="T111" i="22" s="1"/>
  <c r="S111" i="22" s="1"/>
  <c r="R111" i="22" s="1"/>
  <c r="P111" i="22" s="1"/>
  <c r="V111" i="22" s="1"/>
  <c r="U127" i="22"/>
  <c r="T127" i="22" s="1"/>
  <c r="S127" i="22" s="1"/>
  <c r="R127" i="22" s="1"/>
  <c r="P127" i="22" s="1"/>
  <c r="V127" i="22" s="1"/>
  <c r="U143" i="22"/>
  <c r="T143" i="22" s="1"/>
  <c r="S143" i="22" s="1"/>
  <c r="R143" i="22" s="1"/>
  <c r="P143" i="22" s="1"/>
  <c r="V143" i="22" s="1"/>
  <c r="U159" i="22"/>
  <c r="T159" i="22" s="1"/>
  <c r="S159" i="22" s="1"/>
  <c r="R159" i="22" s="1"/>
  <c r="P159" i="22" s="1"/>
  <c r="V159" i="22" s="1"/>
  <c r="U167" i="22"/>
  <c r="T167" i="22" s="1"/>
  <c r="S167" i="22" s="1"/>
  <c r="R167" i="22" s="1"/>
  <c r="P167" i="22" s="1"/>
  <c r="V167" i="22" s="1"/>
  <c r="U175" i="22"/>
  <c r="T175" i="22" s="1"/>
  <c r="S175" i="22" s="1"/>
  <c r="R175" i="22" s="1"/>
  <c r="P175" i="22" s="1"/>
  <c r="V175" i="22" s="1"/>
  <c r="U183" i="22"/>
  <c r="T183" i="22" s="1"/>
  <c r="S183" i="22" s="1"/>
  <c r="R183" i="22" s="1"/>
  <c r="P183" i="22" s="1"/>
  <c r="V183" i="22" s="1"/>
  <c r="U191" i="22"/>
  <c r="T191" i="22" s="1"/>
  <c r="S191" i="22" s="1"/>
  <c r="R191" i="22" s="1"/>
  <c r="P191" i="22" s="1"/>
  <c r="V191" i="22" s="1"/>
  <c r="U199" i="22"/>
  <c r="T199" i="22" s="1"/>
  <c r="S199" i="22" s="1"/>
  <c r="R199" i="22" s="1"/>
  <c r="P199" i="22" s="1"/>
  <c r="V199" i="22" s="1"/>
  <c r="U207" i="22"/>
  <c r="T207" i="22" s="1"/>
  <c r="S207" i="22" s="1"/>
  <c r="R207" i="22" s="1"/>
  <c r="P207" i="22" s="1"/>
  <c r="V207" i="22" s="1"/>
  <c r="U215" i="22"/>
  <c r="T215" i="22" s="1"/>
  <c r="S215" i="22" s="1"/>
  <c r="R215" i="22" s="1"/>
  <c r="P215" i="22" s="1"/>
  <c r="V215" i="22" s="1"/>
  <c r="U227" i="22"/>
  <c r="T227" i="22" s="1"/>
  <c r="S227" i="22" s="1"/>
  <c r="R227" i="22" s="1"/>
  <c r="P227" i="22" s="1"/>
  <c r="V227" i="22" s="1"/>
  <c r="U243" i="22"/>
  <c r="T243" i="22" s="1"/>
  <c r="S243" i="22" s="1"/>
  <c r="R243" i="22" s="1"/>
  <c r="P243" i="22" s="1"/>
  <c r="V243" i="22" s="1"/>
  <c r="U259" i="22"/>
  <c r="T259" i="22" s="1"/>
  <c r="S259" i="22" s="1"/>
  <c r="R259" i="22" s="1"/>
  <c r="P259" i="22" s="1"/>
  <c r="V259" i="22" s="1"/>
  <c r="U275" i="22"/>
  <c r="T275" i="22" s="1"/>
  <c r="S275" i="22" s="1"/>
  <c r="R275" i="22" s="1"/>
  <c r="P275" i="22" s="1"/>
  <c r="V275" i="22" s="1"/>
  <c r="U291" i="22"/>
  <c r="T291" i="22" s="1"/>
  <c r="S291" i="22" s="1"/>
  <c r="R291" i="22" s="1"/>
  <c r="P291" i="22" s="1"/>
  <c r="V291" i="22" s="1"/>
  <c r="U307" i="22"/>
  <c r="T307" i="22" s="1"/>
  <c r="S307" i="22" s="1"/>
  <c r="R307" i="22" s="1"/>
  <c r="P307" i="22" s="1"/>
  <c r="V307" i="22" s="1"/>
  <c r="U323" i="22"/>
  <c r="T323" i="22" s="1"/>
  <c r="S323" i="22" s="1"/>
  <c r="R323" i="22" s="1"/>
  <c r="P323" i="22" s="1"/>
  <c r="V323" i="22" s="1"/>
  <c r="U339" i="22"/>
  <c r="T339" i="22" s="1"/>
  <c r="S339" i="22" s="1"/>
  <c r="R339" i="22" s="1"/>
  <c r="P339" i="22" s="1"/>
  <c r="V339" i="22" s="1"/>
  <c r="U355" i="22"/>
  <c r="T355" i="22" s="1"/>
  <c r="S355" i="22" s="1"/>
  <c r="R355" i="22" s="1"/>
  <c r="P355" i="22" s="1"/>
  <c r="V355" i="22" s="1"/>
  <c r="U371" i="22"/>
  <c r="T371" i="22" s="1"/>
  <c r="S371" i="22" s="1"/>
  <c r="R371" i="22" s="1"/>
  <c r="P371" i="22" s="1"/>
  <c r="V371" i="22" s="1"/>
  <c r="U21" i="22"/>
  <c r="T21" i="22" s="1"/>
  <c r="S21" i="22" s="1"/>
  <c r="R21" i="22" s="1"/>
  <c r="P21" i="22" s="1"/>
  <c r="V21" i="22" s="1"/>
  <c r="U38" i="22"/>
  <c r="T38" i="22" s="1"/>
  <c r="S38" i="22" s="1"/>
  <c r="R38" i="22" s="1"/>
  <c r="P38" i="22" s="1"/>
  <c r="V38" i="22" s="1"/>
  <c r="U54" i="22"/>
  <c r="T54" i="22" s="1"/>
  <c r="S54" i="22" s="1"/>
  <c r="R54" i="22" s="1"/>
  <c r="P54" i="22" s="1"/>
  <c r="V54" i="22" s="1"/>
  <c r="U70" i="22"/>
  <c r="T70" i="22" s="1"/>
  <c r="S70" i="22" s="1"/>
  <c r="R70" i="22" s="1"/>
  <c r="P70" i="22" s="1"/>
  <c r="V70" i="22" s="1"/>
  <c r="U86" i="22"/>
  <c r="T86" i="22" s="1"/>
  <c r="S86" i="22" s="1"/>
  <c r="R86" i="22" s="1"/>
  <c r="P86" i="22" s="1"/>
  <c r="V86" i="22" s="1"/>
  <c r="U102" i="22"/>
  <c r="T102" i="22" s="1"/>
  <c r="S102" i="22" s="1"/>
  <c r="R102" i="22" s="1"/>
  <c r="P102" i="22" s="1"/>
  <c r="V102" i="22" s="1"/>
  <c r="U118" i="22"/>
  <c r="T118" i="22" s="1"/>
  <c r="S118" i="22" s="1"/>
  <c r="R118" i="22" s="1"/>
  <c r="P118" i="22" s="1"/>
  <c r="V118" i="22" s="1"/>
  <c r="U134" i="22"/>
  <c r="T134" i="22" s="1"/>
  <c r="S134" i="22" s="1"/>
  <c r="R134" i="22" s="1"/>
  <c r="P134" i="22" s="1"/>
  <c r="V134" i="22" s="1"/>
  <c r="U150" i="22"/>
  <c r="T150" i="22" s="1"/>
  <c r="S150" i="22" s="1"/>
  <c r="R150" i="22" s="1"/>
  <c r="P150" i="22" s="1"/>
  <c r="V150" i="22" s="1"/>
  <c r="U166" i="22"/>
  <c r="T166" i="22" s="1"/>
  <c r="S166" i="22" s="1"/>
  <c r="R166" i="22" s="1"/>
  <c r="P166" i="22" s="1"/>
  <c r="V166" i="22" s="1"/>
  <c r="U182" i="22"/>
  <c r="T182" i="22" s="1"/>
  <c r="S182" i="22" s="1"/>
  <c r="R182" i="22" s="1"/>
  <c r="P182" i="22" s="1"/>
  <c r="V182" i="22" s="1"/>
  <c r="U198" i="22"/>
  <c r="T198" i="22" s="1"/>
  <c r="S198" i="22" s="1"/>
  <c r="R198" i="22" s="1"/>
  <c r="P198" i="22" s="1"/>
  <c r="V198" i="22" s="1"/>
  <c r="U214" i="22"/>
  <c r="T214" i="22" s="1"/>
  <c r="S214" i="22" s="1"/>
  <c r="R214" i="22" s="1"/>
  <c r="P214" i="22" s="1"/>
  <c r="V214" i="22" s="1"/>
  <c r="U230" i="22"/>
  <c r="T230" i="22" s="1"/>
  <c r="S230" i="22" s="1"/>
  <c r="R230" i="22" s="1"/>
  <c r="P230" i="22" s="1"/>
  <c r="V230" i="22" s="1"/>
  <c r="U246" i="22"/>
  <c r="T246" i="22" s="1"/>
  <c r="S246" i="22" s="1"/>
  <c r="R246" i="22" s="1"/>
  <c r="P246" i="22" s="1"/>
  <c r="V246" i="22" s="1"/>
  <c r="U262" i="22"/>
  <c r="T262" i="22" s="1"/>
  <c r="S262" i="22" s="1"/>
  <c r="R262" i="22" s="1"/>
  <c r="P262" i="22" s="1"/>
  <c r="V262" i="22" s="1"/>
  <c r="U278" i="22"/>
  <c r="T278" i="22" s="1"/>
  <c r="S278" i="22" s="1"/>
  <c r="R278" i="22" s="1"/>
  <c r="P278" i="22" s="1"/>
  <c r="V278" i="22" s="1"/>
  <c r="U294" i="22"/>
  <c r="T294" i="22" s="1"/>
  <c r="S294" i="22" s="1"/>
  <c r="R294" i="22" s="1"/>
  <c r="P294" i="22" s="1"/>
  <c r="V294" i="22" s="1"/>
  <c r="U310" i="22"/>
  <c r="T310" i="22" s="1"/>
  <c r="S310" i="22" s="1"/>
  <c r="R310" i="22" s="1"/>
  <c r="P310" i="22" s="1"/>
  <c r="V310" i="22" s="1"/>
  <c r="U326" i="22"/>
  <c r="T326" i="22" s="1"/>
  <c r="S326" i="22" s="1"/>
  <c r="R326" i="22" s="1"/>
  <c r="P326" i="22" s="1"/>
  <c r="V326" i="22" s="1"/>
  <c r="U342" i="22"/>
  <c r="T342" i="22" s="1"/>
  <c r="S342" i="22" s="1"/>
  <c r="R342" i="22" s="1"/>
  <c r="P342" i="22" s="1"/>
  <c r="V342" i="22" s="1"/>
  <c r="U358" i="22"/>
  <c r="T358" i="22" s="1"/>
  <c r="S358" i="22" s="1"/>
  <c r="R358" i="22" s="1"/>
  <c r="P358" i="22" s="1"/>
  <c r="V358" i="22" s="1"/>
  <c r="U374" i="22"/>
  <c r="T374" i="22" s="1"/>
  <c r="S374" i="22" s="1"/>
  <c r="R374" i="22" s="1"/>
  <c r="P374" i="22" s="1"/>
  <c r="V374" i="22" s="1"/>
  <c r="U225" i="22"/>
  <c r="T225" i="22" s="1"/>
  <c r="S225" i="22" s="1"/>
  <c r="R225" i="22" s="1"/>
  <c r="P225" i="22" s="1"/>
  <c r="V225" i="22" s="1"/>
  <c r="U233" i="22"/>
  <c r="T233" i="22" s="1"/>
  <c r="S233" i="22" s="1"/>
  <c r="R233" i="22" s="1"/>
  <c r="P233" i="22" s="1"/>
  <c r="V233" i="22" s="1"/>
  <c r="U241" i="22"/>
  <c r="T241" i="22" s="1"/>
  <c r="S241" i="22" s="1"/>
  <c r="R241" i="22" s="1"/>
  <c r="P241" i="22" s="1"/>
  <c r="U249" i="22"/>
  <c r="T249" i="22" s="1"/>
  <c r="S249" i="22" s="1"/>
  <c r="R249" i="22" s="1"/>
  <c r="P249" i="22" s="1"/>
  <c r="V249" i="22" s="1"/>
  <c r="U257" i="22"/>
  <c r="T257" i="22" s="1"/>
  <c r="S257" i="22" s="1"/>
  <c r="R257" i="22" s="1"/>
  <c r="P257" i="22" s="1"/>
  <c r="V257" i="22" s="1"/>
  <c r="U265" i="22"/>
  <c r="T265" i="22" s="1"/>
  <c r="S265" i="22" s="1"/>
  <c r="R265" i="22" s="1"/>
  <c r="P265" i="22" s="1"/>
  <c r="V265" i="22" s="1"/>
  <c r="U273" i="22"/>
  <c r="T273" i="22" s="1"/>
  <c r="S273" i="22" s="1"/>
  <c r="R273" i="22" s="1"/>
  <c r="P273" i="22" s="1"/>
  <c r="V273" i="22" s="1"/>
  <c r="U281" i="22"/>
  <c r="T281" i="22" s="1"/>
  <c r="S281" i="22" s="1"/>
  <c r="R281" i="22" s="1"/>
  <c r="P281" i="22" s="1"/>
  <c r="V281" i="22" s="1"/>
  <c r="U289" i="22"/>
  <c r="T289" i="22" s="1"/>
  <c r="S289" i="22" s="1"/>
  <c r="R289" i="22" s="1"/>
  <c r="P289" i="22" s="1"/>
  <c r="V289" i="22" s="1"/>
  <c r="U297" i="22"/>
  <c r="T297" i="22" s="1"/>
  <c r="S297" i="22" s="1"/>
  <c r="R297" i="22" s="1"/>
  <c r="P297" i="22" s="1"/>
  <c r="V297" i="22" s="1"/>
  <c r="U305" i="22"/>
  <c r="T305" i="22" s="1"/>
  <c r="S305" i="22" s="1"/>
  <c r="R305" i="22" s="1"/>
  <c r="P305" i="22" s="1"/>
  <c r="V305" i="22" s="1"/>
  <c r="U313" i="22"/>
  <c r="T313" i="22" s="1"/>
  <c r="S313" i="22" s="1"/>
  <c r="R313" i="22" s="1"/>
  <c r="P313" i="22" s="1"/>
  <c r="V313" i="22" s="1"/>
  <c r="U321" i="22"/>
  <c r="T321" i="22" s="1"/>
  <c r="S321" i="22" s="1"/>
  <c r="R321" i="22" s="1"/>
  <c r="P321" i="22" s="1"/>
  <c r="V321" i="22" s="1"/>
  <c r="U329" i="22"/>
  <c r="T329" i="22" s="1"/>
  <c r="S329" i="22" s="1"/>
  <c r="R329" i="22" s="1"/>
  <c r="P329" i="22" s="1"/>
  <c r="V329" i="22" s="1"/>
  <c r="U337" i="22"/>
  <c r="T337" i="22" s="1"/>
  <c r="S337" i="22" s="1"/>
  <c r="R337" i="22" s="1"/>
  <c r="P337" i="22" s="1"/>
  <c r="V337" i="22" s="1"/>
  <c r="U345" i="22"/>
  <c r="T345" i="22" s="1"/>
  <c r="S345" i="22" s="1"/>
  <c r="R345" i="22" s="1"/>
  <c r="P345" i="22" s="1"/>
  <c r="V345" i="22" s="1"/>
  <c r="U353" i="22"/>
  <c r="T353" i="22" s="1"/>
  <c r="S353" i="22" s="1"/>
  <c r="R353" i="22" s="1"/>
  <c r="P353" i="22" s="1"/>
  <c r="V353" i="22" s="1"/>
  <c r="U361" i="22"/>
  <c r="T361" i="22" s="1"/>
  <c r="S361" i="22" s="1"/>
  <c r="R361" i="22" s="1"/>
  <c r="P361" i="22" s="1"/>
  <c r="V361" i="22" s="1"/>
  <c r="U369" i="22"/>
  <c r="T369" i="22" s="1"/>
  <c r="S369" i="22" s="1"/>
  <c r="R369" i="22" s="1"/>
  <c r="P369" i="22" s="1"/>
  <c r="V369" i="22" s="1"/>
  <c r="U377" i="22"/>
  <c r="T377" i="22" s="1"/>
  <c r="S377" i="22" s="1"/>
  <c r="R377" i="22" s="1"/>
  <c r="P377" i="22" s="1"/>
  <c r="V377" i="22" s="1"/>
  <c r="U15" i="22"/>
  <c r="U28" i="22"/>
  <c r="T28" i="22" s="1"/>
  <c r="S28" i="22" s="1"/>
  <c r="R28" i="22" s="1"/>
  <c r="P28" i="22" s="1"/>
  <c r="V28" i="22" s="1"/>
  <c r="U36" i="22"/>
  <c r="T36" i="22" s="1"/>
  <c r="S36" i="22" s="1"/>
  <c r="R36" i="22" s="1"/>
  <c r="P36" i="22" s="1"/>
  <c r="V36" i="22" s="1"/>
  <c r="U44" i="22"/>
  <c r="T44" i="22" s="1"/>
  <c r="S44" i="22" s="1"/>
  <c r="R44" i="22" s="1"/>
  <c r="P44" i="22" s="1"/>
  <c r="V44" i="22" s="1"/>
  <c r="U52" i="22"/>
  <c r="T52" i="22" s="1"/>
  <c r="S52" i="22" s="1"/>
  <c r="R52" i="22" s="1"/>
  <c r="P52" i="22" s="1"/>
  <c r="V52" i="22" s="1"/>
  <c r="U60" i="22"/>
  <c r="T60" i="22" s="1"/>
  <c r="S60" i="22" s="1"/>
  <c r="R60" i="22" s="1"/>
  <c r="P60" i="22" s="1"/>
  <c r="U68" i="22"/>
  <c r="T68" i="22" s="1"/>
  <c r="S68" i="22" s="1"/>
  <c r="R68" i="22" s="1"/>
  <c r="P68" i="22" s="1"/>
  <c r="V68" i="22" s="1"/>
  <c r="U76" i="22"/>
  <c r="T76" i="22" s="1"/>
  <c r="S76" i="22" s="1"/>
  <c r="R76" i="22" s="1"/>
  <c r="P76" i="22" s="1"/>
  <c r="V76" i="22" s="1"/>
  <c r="U84" i="22"/>
  <c r="T84" i="22" s="1"/>
  <c r="S84" i="22" s="1"/>
  <c r="R84" i="22" s="1"/>
  <c r="P84" i="22" s="1"/>
  <c r="V84" i="22" s="1"/>
  <c r="U92" i="22"/>
  <c r="T92" i="22" s="1"/>
  <c r="S92" i="22" s="1"/>
  <c r="R92" i="22" s="1"/>
  <c r="P92" i="22" s="1"/>
  <c r="V92" i="22" s="1"/>
  <c r="U100" i="22"/>
  <c r="T100" i="22" s="1"/>
  <c r="S100" i="22" s="1"/>
  <c r="R100" i="22" s="1"/>
  <c r="P100" i="22" s="1"/>
  <c r="V100" i="22" s="1"/>
  <c r="U108" i="22"/>
  <c r="T108" i="22" s="1"/>
  <c r="S108" i="22" s="1"/>
  <c r="R108" i="22" s="1"/>
  <c r="P108" i="22" s="1"/>
  <c r="V108" i="22" s="1"/>
  <c r="U116" i="22"/>
  <c r="T116" i="22" s="1"/>
  <c r="S116" i="22" s="1"/>
  <c r="R116" i="22" s="1"/>
  <c r="P116" i="22" s="1"/>
  <c r="V116" i="22" s="1"/>
  <c r="U124" i="22"/>
  <c r="T124" i="22" s="1"/>
  <c r="S124" i="22" s="1"/>
  <c r="R124" i="22" s="1"/>
  <c r="P124" i="22" s="1"/>
  <c r="V124" i="22" s="1"/>
  <c r="U132" i="22"/>
  <c r="T132" i="22" s="1"/>
  <c r="S132" i="22" s="1"/>
  <c r="R132" i="22" s="1"/>
  <c r="P132" i="22" s="1"/>
  <c r="V132" i="22" s="1"/>
  <c r="U140" i="22"/>
  <c r="T140" i="22" s="1"/>
  <c r="S140" i="22" s="1"/>
  <c r="R140" i="22" s="1"/>
  <c r="P140" i="22" s="1"/>
  <c r="V140" i="22" s="1"/>
  <c r="U148" i="22"/>
  <c r="T148" i="22" s="1"/>
  <c r="S148" i="22" s="1"/>
  <c r="R148" i="22" s="1"/>
  <c r="P148" i="22" s="1"/>
  <c r="V148" i="22" s="1"/>
  <c r="U156" i="22"/>
  <c r="T156" i="22" s="1"/>
  <c r="S156" i="22" s="1"/>
  <c r="R156" i="22" s="1"/>
  <c r="P156" i="22" s="1"/>
  <c r="V156" i="22" s="1"/>
  <c r="U164" i="22"/>
  <c r="T164" i="22" s="1"/>
  <c r="S164" i="22" s="1"/>
  <c r="R164" i="22" s="1"/>
  <c r="P164" i="22" s="1"/>
  <c r="V164" i="22" s="1"/>
  <c r="U172" i="22"/>
  <c r="T172" i="22" s="1"/>
  <c r="S172" i="22" s="1"/>
  <c r="R172" i="22" s="1"/>
  <c r="P172" i="22" s="1"/>
  <c r="V172" i="22" s="1"/>
  <c r="U180" i="22"/>
  <c r="T180" i="22" s="1"/>
  <c r="S180" i="22" s="1"/>
  <c r="R180" i="22" s="1"/>
  <c r="P180" i="22" s="1"/>
  <c r="U188" i="22"/>
  <c r="T188" i="22" s="1"/>
  <c r="S188" i="22" s="1"/>
  <c r="R188" i="22" s="1"/>
  <c r="P188" i="22" s="1"/>
  <c r="V188" i="22" s="1"/>
  <c r="U196" i="22"/>
  <c r="T196" i="22" s="1"/>
  <c r="S196" i="22" s="1"/>
  <c r="R196" i="22" s="1"/>
  <c r="P196" i="22" s="1"/>
  <c r="V196" i="22" s="1"/>
  <c r="U204" i="22"/>
  <c r="T204" i="22" s="1"/>
  <c r="S204" i="22" s="1"/>
  <c r="R204" i="22" s="1"/>
  <c r="P204" i="22" s="1"/>
  <c r="V204" i="22" s="1"/>
  <c r="U212" i="22"/>
  <c r="T212" i="22" s="1"/>
  <c r="S212" i="22" s="1"/>
  <c r="R212" i="22" s="1"/>
  <c r="P212" i="22" s="1"/>
  <c r="V212" i="22" s="1"/>
  <c r="U220" i="22"/>
  <c r="T220" i="22" s="1"/>
  <c r="S220" i="22" s="1"/>
  <c r="R220" i="22" s="1"/>
  <c r="P220" i="22" s="1"/>
  <c r="V220" i="22" s="1"/>
  <c r="U228" i="22"/>
  <c r="T228" i="22" s="1"/>
  <c r="S228" i="22" s="1"/>
  <c r="R228" i="22" s="1"/>
  <c r="P228" i="22" s="1"/>
  <c r="V228" i="22" s="1"/>
  <c r="U236" i="22"/>
  <c r="T236" i="22" s="1"/>
  <c r="S236" i="22" s="1"/>
  <c r="R236" i="22" s="1"/>
  <c r="P236" i="22" s="1"/>
  <c r="V236" i="22" s="1"/>
  <c r="U244" i="22"/>
  <c r="T244" i="22" s="1"/>
  <c r="S244" i="22" s="1"/>
  <c r="R244" i="22" s="1"/>
  <c r="P244" i="22" s="1"/>
  <c r="V244" i="22" s="1"/>
  <c r="U252" i="22"/>
  <c r="T252" i="22" s="1"/>
  <c r="S252" i="22" s="1"/>
  <c r="R252" i="22" s="1"/>
  <c r="P252" i="22" s="1"/>
  <c r="V252" i="22" s="1"/>
  <c r="U260" i="22"/>
  <c r="T260" i="22" s="1"/>
  <c r="S260" i="22" s="1"/>
  <c r="R260" i="22" s="1"/>
  <c r="P260" i="22" s="1"/>
  <c r="V260" i="22" s="1"/>
  <c r="U268" i="22"/>
  <c r="T268" i="22" s="1"/>
  <c r="S268" i="22" s="1"/>
  <c r="R268" i="22" s="1"/>
  <c r="P268" i="22" s="1"/>
  <c r="V268" i="22" s="1"/>
  <c r="U276" i="22"/>
  <c r="T276" i="22" s="1"/>
  <c r="S276" i="22" s="1"/>
  <c r="R276" i="22" s="1"/>
  <c r="P276" i="22" s="1"/>
  <c r="V276" i="22" s="1"/>
  <c r="U284" i="22"/>
  <c r="T284" i="22" s="1"/>
  <c r="S284" i="22" s="1"/>
  <c r="R284" i="22" s="1"/>
  <c r="P284" i="22" s="1"/>
  <c r="V284" i="22" s="1"/>
  <c r="U292" i="22"/>
  <c r="T292" i="22" s="1"/>
  <c r="S292" i="22" s="1"/>
  <c r="R292" i="22" s="1"/>
  <c r="P292" i="22" s="1"/>
  <c r="V292" i="22" s="1"/>
  <c r="U300" i="22"/>
  <c r="T300" i="22" s="1"/>
  <c r="S300" i="22" s="1"/>
  <c r="R300" i="22" s="1"/>
  <c r="P300" i="22" s="1"/>
  <c r="V300" i="22" s="1"/>
  <c r="U308" i="22"/>
  <c r="T308" i="22" s="1"/>
  <c r="S308" i="22" s="1"/>
  <c r="R308" i="22" s="1"/>
  <c r="P308" i="22" s="1"/>
  <c r="V308" i="22" s="1"/>
  <c r="U316" i="22"/>
  <c r="T316" i="22" s="1"/>
  <c r="S316" i="22" s="1"/>
  <c r="R316" i="22" s="1"/>
  <c r="P316" i="22" s="1"/>
  <c r="V316" i="22" s="1"/>
  <c r="U324" i="22"/>
  <c r="T324" i="22" s="1"/>
  <c r="S324" i="22" s="1"/>
  <c r="R324" i="22" s="1"/>
  <c r="P324" i="22" s="1"/>
  <c r="V324" i="22" s="1"/>
  <c r="U332" i="22"/>
  <c r="T332" i="22" s="1"/>
  <c r="S332" i="22" s="1"/>
  <c r="R332" i="22" s="1"/>
  <c r="P332" i="22" s="1"/>
  <c r="V332" i="22" s="1"/>
  <c r="U340" i="22"/>
  <c r="T340" i="22" s="1"/>
  <c r="S340" i="22" s="1"/>
  <c r="R340" i="22" s="1"/>
  <c r="P340" i="22" s="1"/>
  <c r="V340" i="22" s="1"/>
  <c r="U348" i="22"/>
  <c r="T348" i="22" s="1"/>
  <c r="S348" i="22" s="1"/>
  <c r="R348" i="22" s="1"/>
  <c r="P348" i="22" s="1"/>
  <c r="V348" i="22" s="1"/>
  <c r="U356" i="22"/>
  <c r="T356" i="22" s="1"/>
  <c r="S356" i="22" s="1"/>
  <c r="R356" i="22" s="1"/>
  <c r="P356" i="22" s="1"/>
  <c r="V356" i="22" s="1"/>
  <c r="U364" i="22"/>
  <c r="T364" i="22" s="1"/>
  <c r="S364" i="22" s="1"/>
  <c r="R364" i="22" s="1"/>
  <c r="P364" i="22" s="1"/>
  <c r="V364" i="22" s="1"/>
  <c r="U372" i="22"/>
  <c r="T372" i="22" s="1"/>
  <c r="S372" i="22" s="1"/>
  <c r="R372" i="22" s="1"/>
  <c r="P372" i="22" s="1"/>
  <c r="V372" i="22" s="1"/>
  <c r="AI21" i="22"/>
  <c r="AH21" i="22" s="1"/>
  <c r="AG21" i="22" s="1"/>
  <c r="AF21" i="22" s="1"/>
  <c r="AD21" i="22" s="1"/>
  <c r="AI33" i="22"/>
  <c r="AH33" i="22" s="1"/>
  <c r="AG33" i="22" s="1"/>
  <c r="AF33" i="22" s="1"/>
  <c r="AD33" i="22" s="1"/>
  <c r="AI49" i="22"/>
  <c r="AH49" i="22" s="1"/>
  <c r="AG49" i="22" s="1"/>
  <c r="AF49" i="22" s="1"/>
  <c r="AD49" i="22" s="1"/>
  <c r="AI65" i="22"/>
  <c r="AH65" i="22" s="1"/>
  <c r="AG65" i="22" s="1"/>
  <c r="AF65" i="22" s="1"/>
  <c r="AD65" i="22" s="1"/>
  <c r="AI81" i="22"/>
  <c r="AH81" i="22" s="1"/>
  <c r="AG81" i="22" s="1"/>
  <c r="AF81" i="22" s="1"/>
  <c r="AD81" i="22" s="1"/>
  <c r="AI97" i="22"/>
  <c r="AH97" i="22" s="1"/>
  <c r="AG97" i="22" s="1"/>
  <c r="AF97" i="22" s="1"/>
  <c r="AD97" i="22" s="1"/>
  <c r="AI113" i="22"/>
  <c r="AH113" i="22" s="1"/>
  <c r="AG113" i="22" s="1"/>
  <c r="AF113" i="22" s="1"/>
  <c r="AD113" i="22" s="1"/>
  <c r="AI129" i="22"/>
  <c r="AH129" i="22" s="1"/>
  <c r="AG129" i="22" s="1"/>
  <c r="AF129" i="22" s="1"/>
  <c r="AD129" i="22" s="1"/>
  <c r="AI145" i="22"/>
  <c r="AH145" i="22" s="1"/>
  <c r="AG145" i="22" s="1"/>
  <c r="AF145" i="22" s="1"/>
  <c r="AD145" i="22" s="1"/>
  <c r="AI161" i="22"/>
  <c r="AH161" i="22" s="1"/>
  <c r="AG161" i="22" s="1"/>
  <c r="AF161" i="22" s="1"/>
  <c r="AD161" i="22" s="1"/>
  <c r="AI177" i="22"/>
  <c r="AH177" i="22" s="1"/>
  <c r="AG177" i="22" s="1"/>
  <c r="AF177" i="22" s="1"/>
  <c r="AD177" i="22" s="1"/>
  <c r="AI193" i="22"/>
  <c r="AH193" i="22" s="1"/>
  <c r="AG193" i="22" s="1"/>
  <c r="AF193" i="22" s="1"/>
  <c r="AD193" i="22" s="1"/>
  <c r="AI209" i="22"/>
  <c r="AH209" i="22" s="1"/>
  <c r="AG209" i="22" s="1"/>
  <c r="AF209" i="22" s="1"/>
  <c r="AD209" i="22" s="1"/>
  <c r="AI225" i="22"/>
  <c r="AH225" i="22" s="1"/>
  <c r="AG225" i="22" s="1"/>
  <c r="AF225" i="22" s="1"/>
  <c r="AD225" i="22" s="1"/>
  <c r="AI241" i="22"/>
  <c r="AH241" i="22" s="1"/>
  <c r="AG241" i="22" s="1"/>
  <c r="AF241" i="22" s="1"/>
  <c r="AD241" i="22" s="1"/>
  <c r="AI257" i="22"/>
  <c r="AH257" i="22" s="1"/>
  <c r="AG257" i="22" s="1"/>
  <c r="AF257" i="22" s="1"/>
  <c r="AD257" i="22" s="1"/>
  <c r="AI273" i="22"/>
  <c r="AH273" i="22" s="1"/>
  <c r="AG273" i="22" s="1"/>
  <c r="AF273" i="22" s="1"/>
  <c r="AD273" i="22" s="1"/>
  <c r="AI289" i="22"/>
  <c r="AH289" i="22" s="1"/>
  <c r="AG289" i="22" s="1"/>
  <c r="AF289" i="22" s="1"/>
  <c r="AD289" i="22" s="1"/>
  <c r="AI305" i="22"/>
  <c r="AH305" i="22" s="1"/>
  <c r="AG305" i="22" s="1"/>
  <c r="AF305" i="22" s="1"/>
  <c r="AD305" i="22" s="1"/>
  <c r="AI321" i="22"/>
  <c r="AH321" i="22" s="1"/>
  <c r="AG321" i="22" s="1"/>
  <c r="AF321" i="22" s="1"/>
  <c r="AD321" i="22" s="1"/>
  <c r="AI337" i="22"/>
  <c r="AH337" i="22" s="1"/>
  <c r="AG337" i="22" s="1"/>
  <c r="AF337" i="22" s="1"/>
  <c r="AD337" i="22" s="1"/>
  <c r="AI353" i="22"/>
  <c r="AH353" i="22" s="1"/>
  <c r="AG353" i="22" s="1"/>
  <c r="AF353" i="22" s="1"/>
  <c r="AD353" i="22" s="1"/>
  <c r="AI369" i="22"/>
  <c r="AH369" i="22" s="1"/>
  <c r="AG369" i="22" s="1"/>
  <c r="AF369" i="22" s="1"/>
  <c r="AD369" i="22" s="1"/>
  <c r="AI22" i="22"/>
  <c r="AH22" i="22" s="1"/>
  <c r="AG22" i="22" s="1"/>
  <c r="AF22" i="22" s="1"/>
  <c r="AD22" i="22" s="1"/>
  <c r="AI38" i="22"/>
  <c r="AH38" i="22" s="1"/>
  <c r="AG38" i="22" s="1"/>
  <c r="AF38" i="22" s="1"/>
  <c r="AD38" i="22" s="1"/>
  <c r="AI54" i="22"/>
  <c r="AH54" i="22" s="1"/>
  <c r="AG54" i="22" s="1"/>
  <c r="AF54" i="22" s="1"/>
  <c r="AD54" i="22" s="1"/>
  <c r="AI70" i="22"/>
  <c r="AH70" i="22" s="1"/>
  <c r="AG70" i="22" s="1"/>
  <c r="AF70" i="22" s="1"/>
  <c r="AD70" i="22" s="1"/>
  <c r="AI86" i="22"/>
  <c r="AH86" i="22" s="1"/>
  <c r="AG86" i="22" s="1"/>
  <c r="AF86" i="22" s="1"/>
  <c r="AD86" i="22" s="1"/>
  <c r="AI102" i="22"/>
  <c r="AH102" i="22" s="1"/>
  <c r="AG102" i="22" s="1"/>
  <c r="AF102" i="22" s="1"/>
  <c r="AD102" i="22" s="1"/>
  <c r="AI118" i="22"/>
  <c r="AH118" i="22" s="1"/>
  <c r="AG118" i="22" s="1"/>
  <c r="AF118" i="22" s="1"/>
  <c r="AD118" i="22" s="1"/>
  <c r="AI134" i="22"/>
  <c r="AH134" i="22" s="1"/>
  <c r="AG134" i="22" s="1"/>
  <c r="AF134" i="22" s="1"/>
  <c r="AD134" i="22" s="1"/>
  <c r="AI150" i="22"/>
  <c r="AH150" i="22" s="1"/>
  <c r="AG150" i="22" s="1"/>
  <c r="AF150" i="22" s="1"/>
  <c r="AD150" i="22" s="1"/>
  <c r="AI166" i="22"/>
  <c r="AH166" i="22" s="1"/>
  <c r="AG166" i="22" s="1"/>
  <c r="AF166" i="22" s="1"/>
  <c r="AD166" i="22" s="1"/>
  <c r="AI182" i="22"/>
  <c r="AH182" i="22" s="1"/>
  <c r="AG182" i="22" s="1"/>
  <c r="AF182" i="22" s="1"/>
  <c r="AD182" i="22" s="1"/>
  <c r="AI198" i="22"/>
  <c r="AH198" i="22" s="1"/>
  <c r="AG198" i="22" s="1"/>
  <c r="AF198" i="22" s="1"/>
  <c r="AD198" i="22" s="1"/>
  <c r="AI214" i="22"/>
  <c r="AH214" i="22" s="1"/>
  <c r="AG214" i="22" s="1"/>
  <c r="AF214" i="22" s="1"/>
  <c r="AD214" i="22" s="1"/>
  <c r="AI230" i="22"/>
  <c r="AH230" i="22" s="1"/>
  <c r="AG230" i="22" s="1"/>
  <c r="AF230" i="22" s="1"/>
  <c r="AD230" i="22" s="1"/>
  <c r="AI246" i="22"/>
  <c r="AH246" i="22" s="1"/>
  <c r="AG246" i="22" s="1"/>
  <c r="AF246" i="22" s="1"/>
  <c r="AD246" i="22" s="1"/>
  <c r="AI262" i="22"/>
  <c r="AH262" i="22" s="1"/>
  <c r="AG262" i="22" s="1"/>
  <c r="AF262" i="22" s="1"/>
  <c r="AD262" i="22" s="1"/>
  <c r="AI278" i="22"/>
  <c r="AH278" i="22" s="1"/>
  <c r="AG278" i="22" s="1"/>
  <c r="AF278" i="22" s="1"/>
  <c r="AD278" i="22" s="1"/>
  <c r="AI294" i="22"/>
  <c r="AH294" i="22" s="1"/>
  <c r="AG294" i="22" s="1"/>
  <c r="AF294" i="22" s="1"/>
  <c r="AD294" i="22" s="1"/>
  <c r="AI310" i="22"/>
  <c r="AH310" i="22" s="1"/>
  <c r="AG310" i="22" s="1"/>
  <c r="AF310" i="22" s="1"/>
  <c r="AD310" i="22" s="1"/>
  <c r="AI326" i="22"/>
  <c r="AH326" i="22" s="1"/>
  <c r="AG326" i="22" s="1"/>
  <c r="AF326" i="22" s="1"/>
  <c r="AD326" i="22" s="1"/>
  <c r="AI342" i="22"/>
  <c r="AH342" i="22" s="1"/>
  <c r="AG342" i="22" s="1"/>
  <c r="AF342" i="22" s="1"/>
  <c r="AD342" i="22" s="1"/>
  <c r="AI358" i="22"/>
  <c r="AH358" i="22" s="1"/>
  <c r="AG358" i="22" s="1"/>
  <c r="AF358" i="22" s="1"/>
  <c r="AD358" i="22" s="1"/>
  <c r="AI18" i="22"/>
  <c r="AH18" i="22" s="1"/>
  <c r="AG18" i="22" s="1"/>
  <c r="AF18" i="22" s="1"/>
  <c r="AD18" i="22" s="1"/>
  <c r="AI37" i="22"/>
  <c r="AH37" i="22" s="1"/>
  <c r="AG37" i="22" s="1"/>
  <c r="AF37" i="22" s="1"/>
  <c r="AD37" i="22" s="1"/>
  <c r="AI53" i="22"/>
  <c r="AH53" i="22" s="1"/>
  <c r="AG53" i="22" s="1"/>
  <c r="AF53" i="22" s="1"/>
  <c r="AD53" i="22" s="1"/>
  <c r="AI69" i="22"/>
  <c r="AH69" i="22" s="1"/>
  <c r="AG69" i="22" s="1"/>
  <c r="AF69" i="22" s="1"/>
  <c r="AD69" i="22" s="1"/>
  <c r="AI85" i="22"/>
  <c r="AH85" i="22" s="1"/>
  <c r="AG85" i="22" s="1"/>
  <c r="AF85" i="22" s="1"/>
  <c r="AD85" i="22" s="1"/>
  <c r="AI101" i="22"/>
  <c r="AH101" i="22" s="1"/>
  <c r="AG101" i="22" s="1"/>
  <c r="AF101" i="22" s="1"/>
  <c r="AD101" i="22" s="1"/>
  <c r="AI117" i="22"/>
  <c r="AH117" i="22" s="1"/>
  <c r="AG117" i="22" s="1"/>
  <c r="AF117" i="22" s="1"/>
  <c r="AD117" i="22" s="1"/>
  <c r="AI133" i="22"/>
  <c r="AH133" i="22" s="1"/>
  <c r="AG133" i="22" s="1"/>
  <c r="AF133" i="22" s="1"/>
  <c r="AD133" i="22" s="1"/>
  <c r="AI149" i="22"/>
  <c r="AH149" i="22" s="1"/>
  <c r="AG149" i="22" s="1"/>
  <c r="AF149" i="22" s="1"/>
  <c r="AD149" i="22" s="1"/>
  <c r="AI165" i="22"/>
  <c r="AH165" i="22" s="1"/>
  <c r="AG165" i="22" s="1"/>
  <c r="AF165" i="22" s="1"/>
  <c r="AD165" i="22" s="1"/>
  <c r="AI181" i="22"/>
  <c r="AH181" i="22" s="1"/>
  <c r="AG181" i="22" s="1"/>
  <c r="AF181" i="22" s="1"/>
  <c r="AD181" i="22" s="1"/>
  <c r="AI197" i="22"/>
  <c r="AH197" i="22" s="1"/>
  <c r="AG197" i="22" s="1"/>
  <c r="AF197" i="22" s="1"/>
  <c r="AD197" i="22" s="1"/>
  <c r="AI213" i="22"/>
  <c r="AH213" i="22" s="1"/>
  <c r="AG213" i="22" s="1"/>
  <c r="AF213" i="22" s="1"/>
  <c r="AD213" i="22" s="1"/>
  <c r="AI229" i="22"/>
  <c r="AH229" i="22" s="1"/>
  <c r="AG229" i="22" s="1"/>
  <c r="AF229" i="22" s="1"/>
  <c r="AD229" i="22" s="1"/>
  <c r="AI245" i="22"/>
  <c r="AH245" i="22" s="1"/>
  <c r="AG245" i="22" s="1"/>
  <c r="AF245" i="22" s="1"/>
  <c r="AD245" i="22" s="1"/>
  <c r="AI261" i="22"/>
  <c r="AH261" i="22" s="1"/>
  <c r="AG261" i="22" s="1"/>
  <c r="AF261" i="22" s="1"/>
  <c r="AD261" i="22" s="1"/>
  <c r="AI277" i="22"/>
  <c r="AH277" i="22" s="1"/>
  <c r="AG277" i="22" s="1"/>
  <c r="AF277" i="22" s="1"/>
  <c r="AD277" i="22" s="1"/>
  <c r="AI293" i="22"/>
  <c r="AH293" i="22" s="1"/>
  <c r="AG293" i="22" s="1"/>
  <c r="AF293" i="22" s="1"/>
  <c r="AD293" i="22" s="1"/>
  <c r="AI309" i="22"/>
  <c r="AH309" i="22" s="1"/>
  <c r="AG309" i="22" s="1"/>
  <c r="AF309" i="22" s="1"/>
  <c r="AD309" i="22" s="1"/>
  <c r="AI325" i="22"/>
  <c r="AH325" i="22" s="1"/>
  <c r="AG325" i="22" s="1"/>
  <c r="AF325" i="22" s="1"/>
  <c r="AD325" i="22" s="1"/>
  <c r="AI341" i="22"/>
  <c r="AH341" i="22" s="1"/>
  <c r="AG341" i="22" s="1"/>
  <c r="AF341" i="22" s="1"/>
  <c r="AD341" i="22" s="1"/>
  <c r="AI357" i="22"/>
  <c r="AH357" i="22" s="1"/>
  <c r="AG357" i="22" s="1"/>
  <c r="AF357" i="22" s="1"/>
  <c r="AD357" i="22" s="1"/>
  <c r="AI373" i="22"/>
  <c r="AH373" i="22" s="1"/>
  <c r="AG373" i="22" s="1"/>
  <c r="AF373" i="22" s="1"/>
  <c r="AD373" i="22" s="1"/>
  <c r="AI26" i="22"/>
  <c r="AH26" i="22" s="1"/>
  <c r="AG26" i="22" s="1"/>
  <c r="AF26" i="22" s="1"/>
  <c r="AD26" i="22" s="1"/>
  <c r="AI42" i="22"/>
  <c r="AH42" i="22" s="1"/>
  <c r="AG42" i="22" s="1"/>
  <c r="AF42" i="22" s="1"/>
  <c r="AD42" i="22" s="1"/>
  <c r="AI58" i="22"/>
  <c r="AH58" i="22" s="1"/>
  <c r="AG58" i="22" s="1"/>
  <c r="AF58" i="22" s="1"/>
  <c r="AD58" i="22" s="1"/>
  <c r="AI74" i="22"/>
  <c r="AH74" i="22" s="1"/>
  <c r="AG74" i="22" s="1"/>
  <c r="AF74" i="22" s="1"/>
  <c r="AD74" i="22" s="1"/>
  <c r="AI90" i="22"/>
  <c r="AH90" i="22" s="1"/>
  <c r="AG90" i="22" s="1"/>
  <c r="AF90" i="22" s="1"/>
  <c r="AD90" i="22" s="1"/>
  <c r="AI106" i="22"/>
  <c r="AH106" i="22" s="1"/>
  <c r="AG106" i="22" s="1"/>
  <c r="AF106" i="22" s="1"/>
  <c r="AD106" i="22" s="1"/>
  <c r="AI122" i="22"/>
  <c r="AH122" i="22" s="1"/>
  <c r="AG122" i="22" s="1"/>
  <c r="AF122" i="22" s="1"/>
  <c r="AD122" i="22" s="1"/>
  <c r="AI138" i="22"/>
  <c r="AH138" i="22" s="1"/>
  <c r="AG138" i="22" s="1"/>
  <c r="AF138" i="22" s="1"/>
  <c r="AD138" i="22" s="1"/>
  <c r="AI154" i="22"/>
  <c r="AH154" i="22" s="1"/>
  <c r="AG154" i="22" s="1"/>
  <c r="AF154" i="22" s="1"/>
  <c r="AD154" i="22" s="1"/>
  <c r="AI170" i="22"/>
  <c r="AH170" i="22" s="1"/>
  <c r="AG170" i="22" s="1"/>
  <c r="AF170" i="22" s="1"/>
  <c r="AD170" i="22" s="1"/>
  <c r="AI186" i="22"/>
  <c r="AH186" i="22" s="1"/>
  <c r="AG186" i="22" s="1"/>
  <c r="AF186" i="22" s="1"/>
  <c r="AD186" i="22" s="1"/>
  <c r="AI202" i="22"/>
  <c r="AH202" i="22" s="1"/>
  <c r="AG202" i="22" s="1"/>
  <c r="AF202" i="22" s="1"/>
  <c r="AD202" i="22" s="1"/>
  <c r="AI218" i="22"/>
  <c r="AH218" i="22" s="1"/>
  <c r="AG218" i="22" s="1"/>
  <c r="AF218" i="22" s="1"/>
  <c r="AD218" i="22" s="1"/>
  <c r="AI234" i="22"/>
  <c r="AH234" i="22" s="1"/>
  <c r="AG234" i="22" s="1"/>
  <c r="AF234" i="22" s="1"/>
  <c r="AD234" i="22" s="1"/>
  <c r="AI250" i="22"/>
  <c r="AH250" i="22" s="1"/>
  <c r="AG250" i="22" s="1"/>
  <c r="AF250" i="22" s="1"/>
  <c r="AD250" i="22" s="1"/>
  <c r="AI266" i="22"/>
  <c r="AH266" i="22" s="1"/>
  <c r="AG266" i="22" s="1"/>
  <c r="AF266" i="22" s="1"/>
  <c r="AD266" i="22" s="1"/>
  <c r="AI282" i="22"/>
  <c r="AH282" i="22" s="1"/>
  <c r="AG282" i="22" s="1"/>
  <c r="AF282" i="22" s="1"/>
  <c r="AD282" i="22" s="1"/>
  <c r="AI298" i="22"/>
  <c r="AH298" i="22" s="1"/>
  <c r="AG298" i="22" s="1"/>
  <c r="AF298" i="22" s="1"/>
  <c r="AD298" i="22" s="1"/>
  <c r="AI314" i="22"/>
  <c r="AH314" i="22" s="1"/>
  <c r="AG314" i="22" s="1"/>
  <c r="AF314" i="22" s="1"/>
  <c r="AD314" i="22" s="1"/>
  <c r="AI330" i="22"/>
  <c r="AH330" i="22" s="1"/>
  <c r="AG330" i="22" s="1"/>
  <c r="AF330" i="22" s="1"/>
  <c r="AD330" i="22" s="1"/>
  <c r="AI346" i="22"/>
  <c r="AH346" i="22" s="1"/>
  <c r="AG346" i="22" s="1"/>
  <c r="AF346" i="22" s="1"/>
  <c r="AD346" i="22" s="1"/>
  <c r="AI362" i="22"/>
  <c r="AH362" i="22" s="1"/>
  <c r="AG362" i="22" s="1"/>
  <c r="AF362" i="22" s="1"/>
  <c r="AD362" i="22" s="1"/>
  <c r="AI17" i="22"/>
  <c r="AH17" i="22" s="1"/>
  <c r="AG17" i="22" s="1"/>
  <c r="AF17" i="22" s="1"/>
  <c r="AD17" i="22" s="1"/>
  <c r="AI23" i="22"/>
  <c r="AH23" i="22" s="1"/>
  <c r="AG23" i="22" s="1"/>
  <c r="AF23" i="22" s="1"/>
  <c r="AD23" i="22" s="1"/>
  <c r="AI31" i="22"/>
  <c r="AH31" i="22" s="1"/>
  <c r="AG31" i="22" s="1"/>
  <c r="AF31" i="22" s="1"/>
  <c r="AD31" i="22" s="1"/>
  <c r="AI39" i="22"/>
  <c r="AH39" i="22" s="1"/>
  <c r="AG39" i="22" s="1"/>
  <c r="AF39" i="22" s="1"/>
  <c r="AD39" i="22" s="1"/>
  <c r="AI47" i="22"/>
  <c r="AH47" i="22" s="1"/>
  <c r="AG47" i="22" s="1"/>
  <c r="AF47" i="22" s="1"/>
  <c r="AD47" i="22" s="1"/>
  <c r="AI55" i="22"/>
  <c r="AH55" i="22" s="1"/>
  <c r="AG55" i="22" s="1"/>
  <c r="AF55" i="22" s="1"/>
  <c r="AD55" i="22" s="1"/>
  <c r="AI63" i="22"/>
  <c r="AH63" i="22" s="1"/>
  <c r="AG63" i="22" s="1"/>
  <c r="AF63" i="22" s="1"/>
  <c r="AD63" i="22" s="1"/>
  <c r="AI71" i="22"/>
  <c r="AH71" i="22" s="1"/>
  <c r="AG71" i="22" s="1"/>
  <c r="AF71" i="22" s="1"/>
  <c r="AD71" i="22" s="1"/>
  <c r="AI79" i="22"/>
  <c r="AH79" i="22" s="1"/>
  <c r="AG79" i="22" s="1"/>
  <c r="AF79" i="22" s="1"/>
  <c r="AD79" i="22" s="1"/>
  <c r="AI87" i="22"/>
  <c r="AH87" i="22" s="1"/>
  <c r="AG87" i="22" s="1"/>
  <c r="AF87" i="22" s="1"/>
  <c r="AD87" i="22" s="1"/>
  <c r="AI95" i="22"/>
  <c r="AH95" i="22" s="1"/>
  <c r="AG95" i="22" s="1"/>
  <c r="AF95" i="22" s="1"/>
  <c r="AD95" i="22" s="1"/>
  <c r="AI103" i="22"/>
  <c r="AH103" i="22" s="1"/>
  <c r="AG103" i="22" s="1"/>
  <c r="AF103" i="22" s="1"/>
  <c r="AD103" i="22" s="1"/>
  <c r="AI111" i="22"/>
  <c r="AH111" i="22" s="1"/>
  <c r="AG111" i="22" s="1"/>
  <c r="AF111" i="22" s="1"/>
  <c r="AD111" i="22" s="1"/>
  <c r="AI119" i="22"/>
  <c r="AH119" i="22" s="1"/>
  <c r="AG119" i="22" s="1"/>
  <c r="AF119" i="22" s="1"/>
  <c r="AD119" i="22" s="1"/>
  <c r="AI127" i="22"/>
  <c r="AH127" i="22" s="1"/>
  <c r="AG127" i="22" s="1"/>
  <c r="AF127" i="22" s="1"/>
  <c r="AD127" i="22" s="1"/>
  <c r="AI135" i="22"/>
  <c r="AH135" i="22" s="1"/>
  <c r="AG135" i="22" s="1"/>
  <c r="AF135" i="22" s="1"/>
  <c r="AD135" i="22" s="1"/>
  <c r="AI143" i="22"/>
  <c r="AH143" i="22" s="1"/>
  <c r="AG143" i="22" s="1"/>
  <c r="AF143" i="22" s="1"/>
  <c r="AD143" i="22" s="1"/>
  <c r="AI151" i="22"/>
  <c r="AH151" i="22" s="1"/>
  <c r="AG151" i="22" s="1"/>
  <c r="AF151" i="22" s="1"/>
  <c r="AD151" i="22" s="1"/>
  <c r="AI159" i="22"/>
  <c r="AH159" i="22" s="1"/>
  <c r="AG159" i="22" s="1"/>
  <c r="AF159" i="22" s="1"/>
  <c r="AD159" i="22" s="1"/>
  <c r="AI167" i="22"/>
  <c r="AH167" i="22" s="1"/>
  <c r="AG167" i="22" s="1"/>
  <c r="AF167" i="22" s="1"/>
  <c r="AD167" i="22" s="1"/>
  <c r="AI175" i="22"/>
  <c r="AH175" i="22" s="1"/>
  <c r="AG175" i="22" s="1"/>
  <c r="AF175" i="22" s="1"/>
  <c r="AD175" i="22" s="1"/>
  <c r="AI183" i="22"/>
  <c r="AH183" i="22" s="1"/>
  <c r="AG183" i="22" s="1"/>
  <c r="AF183" i="22" s="1"/>
  <c r="AD183" i="22" s="1"/>
  <c r="AI191" i="22"/>
  <c r="AH191" i="22" s="1"/>
  <c r="AG191" i="22" s="1"/>
  <c r="AF191" i="22" s="1"/>
  <c r="AD191" i="22" s="1"/>
  <c r="AI199" i="22"/>
  <c r="AH199" i="22" s="1"/>
  <c r="AG199" i="22" s="1"/>
  <c r="AF199" i="22" s="1"/>
  <c r="AD199" i="22" s="1"/>
  <c r="AI207" i="22"/>
  <c r="AH207" i="22" s="1"/>
  <c r="AG207" i="22" s="1"/>
  <c r="AF207" i="22" s="1"/>
  <c r="AD207" i="22" s="1"/>
  <c r="AI215" i="22"/>
  <c r="AH215" i="22" s="1"/>
  <c r="AG215" i="22" s="1"/>
  <c r="AF215" i="22" s="1"/>
  <c r="AD215" i="22" s="1"/>
  <c r="AI223" i="22"/>
  <c r="AH223" i="22" s="1"/>
  <c r="AG223" i="22" s="1"/>
  <c r="AF223" i="22" s="1"/>
  <c r="AD223" i="22" s="1"/>
  <c r="AI231" i="22"/>
  <c r="AH231" i="22" s="1"/>
  <c r="AG231" i="22" s="1"/>
  <c r="AF231" i="22" s="1"/>
  <c r="AD231" i="22" s="1"/>
  <c r="AI239" i="22"/>
  <c r="AH239" i="22" s="1"/>
  <c r="AG239" i="22" s="1"/>
  <c r="AF239" i="22" s="1"/>
  <c r="AD239" i="22" s="1"/>
  <c r="AI247" i="22"/>
  <c r="AH247" i="22" s="1"/>
  <c r="AG247" i="22" s="1"/>
  <c r="AF247" i="22" s="1"/>
  <c r="AD247" i="22" s="1"/>
  <c r="AI255" i="22"/>
  <c r="AH255" i="22" s="1"/>
  <c r="AG255" i="22" s="1"/>
  <c r="AF255" i="22" s="1"/>
  <c r="AD255" i="22" s="1"/>
  <c r="AI263" i="22"/>
  <c r="AH263" i="22" s="1"/>
  <c r="AG263" i="22" s="1"/>
  <c r="AF263" i="22" s="1"/>
  <c r="AD263" i="22" s="1"/>
  <c r="AI271" i="22"/>
  <c r="AH271" i="22" s="1"/>
  <c r="AG271" i="22" s="1"/>
  <c r="AF271" i="22" s="1"/>
  <c r="AD271" i="22" s="1"/>
  <c r="AI279" i="22"/>
  <c r="AH279" i="22" s="1"/>
  <c r="AG279" i="22" s="1"/>
  <c r="AF279" i="22" s="1"/>
  <c r="AD279" i="22" s="1"/>
  <c r="AI287" i="22"/>
  <c r="AH287" i="22" s="1"/>
  <c r="AG287" i="22" s="1"/>
  <c r="AF287" i="22" s="1"/>
  <c r="AD287" i="22" s="1"/>
  <c r="AI295" i="22"/>
  <c r="AH295" i="22" s="1"/>
  <c r="AG295" i="22" s="1"/>
  <c r="AF295" i="22" s="1"/>
  <c r="AD295" i="22" s="1"/>
  <c r="AI303" i="22"/>
  <c r="AH303" i="22" s="1"/>
  <c r="AG303" i="22" s="1"/>
  <c r="AF303" i="22" s="1"/>
  <c r="AD303" i="22" s="1"/>
  <c r="AI311" i="22"/>
  <c r="AH311" i="22" s="1"/>
  <c r="AG311" i="22" s="1"/>
  <c r="AF311" i="22" s="1"/>
  <c r="AD311" i="22" s="1"/>
  <c r="AI319" i="22"/>
  <c r="AH319" i="22" s="1"/>
  <c r="AG319" i="22" s="1"/>
  <c r="AF319" i="22" s="1"/>
  <c r="AD319" i="22" s="1"/>
  <c r="AI327" i="22"/>
  <c r="AH327" i="22" s="1"/>
  <c r="AG327" i="22" s="1"/>
  <c r="AF327" i="22" s="1"/>
  <c r="AD327" i="22" s="1"/>
  <c r="AI335" i="22"/>
  <c r="AH335" i="22" s="1"/>
  <c r="AG335" i="22" s="1"/>
  <c r="AF335" i="22" s="1"/>
  <c r="AD335" i="22" s="1"/>
  <c r="AI343" i="22"/>
  <c r="AH343" i="22" s="1"/>
  <c r="AG343" i="22" s="1"/>
  <c r="AF343" i="22" s="1"/>
  <c r="AD343" i="22" s="1"/>
  <c r="AI351" i="22"/>
  <c r="AH351" i="22" s="1"/>
  <c r="AG351" i="22" s="1"/>
  <c r="AF351" i="22" s="1"/>
  <c r="AD351" i="22" s="1"/>
  <c r="AI359" i="22"/>
  <c r="AH359" i="22" s="1"/>
  <c r="AG359" i="22" s="1"/>
  <c r="AF359" i="22" s="1"/>
  <c r="AD359" i="22" s="1"/>
  <c r="AI367" i="22"/>
  <c r="AH367" i="22" s="1"/>
  <c r="AG367" i="22" s="1"/>
  <c r="AF367" i="22" s="1"/>
  <c r="AD367" i="22" s="1"/>
  <c r="AI375" i="22"/>
  <c r="AH375" i="22" s="1"/>
  <c r="AG375" i="22" s="1"/>
  <c r="AF375" i="22" s="1"/>
  <c r="AD375" i="22" s="1"/>
  <c r="AI20" i="22"/>
  <c r="AH20" i="22" s="1"/>
  <c r="AG20" i="22" s="1"/>
  <c r="AF20" i="22" s="1"/>
  <c r="AD20" i="22" s="1"/>
  <c r="AI24" i="22"/>
  <c r="AH24" i="22" s="1"/>
  <c r="AG24" i="22" s="1"/>
  <c r="AF24" i="22" s="1"/>
  <c r="AD24" i="22" s="1"/>
  <c r="AI32" i="22"/>
  <c r="AH32" i="22" s="1"/>
  <c r="AG32" i="22" s="1"/>
  <c r="AF32" i="22" s="1"/>
  <c r="AD32" i="22" s="1"/>
  <c r="AI40" i="22"/>
  <c r="AH40" i="22" s="1"/>
  <c r="AG40" i="22" s="1"/>
  <c r="AF40" i="22" s="1"/>
  <c r="AD40" i="22" s="1"/>
  <c r="AI48" i="22"/>
  <c r="AH48" i="22" s="1"/>
  <c r="AG48" i="22" s="1"/>
  <c r="AF48" i="22" s="1"/>
  <c r="AD48" i="22" s="1"/>
  <c r="AI56" i="22"/>
  <c r="AH56" i="22" s="1"/>
  <c r="AG56" i="22" s="1"/>
  <c r="AF56" i="22" s="1"/>
  <c r="AD56" i="22" s="1"/>
  <c r="AI64" i="22"/>
  <c r="AH64" i="22" s="1"/>
  <c r="AG64" i="22" s="1"/>
  <c r="AF64" i="22" s="1"/>
  <c r="AD64" i="22" s="1"/>
  <c r="AI72" i="22"/>
  <c r="AH72" i="22" s="1"/>
  <c r="AG72" i="22" s="1"/>
  <c r="AF72" i="22" s="1"/>
  <c r="AD72" i="22" s="1"/>
  <c r="AI80" i="22"/>
  <c r="AH80" i="22" s="1"/>
  <c r="AG80" i="22" s="1"/>
  <c r="AF80" i="22" s="1"/>
  <c r="AD80" i="22" s="1"/>
  <c r="AI88" i="22"/>
  <c r="AH88" i="22" s="1"/>
  <c r="AG88" i="22" s="1"/>
  <c r="AF88" i="22" s="1"/>
  <c r="AD88" i="22" s="1"/>
  <c r="AI96" i="22"/>
  <c r="AH96" i="22" s="1"/>
  <c r="AG96" i="22" s="1"/>
  <c r="AF96" i="22" s="1"/>
  <c r="AD96" i="22" s="1"/>
  <c r="AI104" i="22"/>
  <c r="AH104" i="22" s="1"/>
  <c r="AG104" i="22" s="1"/>
  <c r="AF104" i="22" s="1"/>
  <c r="AD104" i="22" s="1"/>
  <c r="AI112" i="22"/>
  <c r="AH112" i="22" s="1"/>
  <c r="AG112" i="22" s="1"/>
  <c r="AF112" i="22" s="1"/>
  <c r="AD112" i="22" s="1"/>
  <c r="AI120" i="22"/>
  <c r="AH120" i="22" s="1"/>
  <c r="AG120" i="22" s="1"/>
  <c r="AF120" i="22" s="1"/>
  <c r="AD120" i="22" s="1"/>
  <c r="AI128" i="22"/>
  <c r="AH128" i="22" s="1"/>
  <c r="AG128" i="22" s="1"/>
  <c r="AF128" i="22" s="1"/>
  <c r="AD128" i="22" s="1"/>
  <c r="AI136" i="22"/>
  <c r="AH136" i="22" s="1"/>
  <c r="AG136" i="22" s="1"/>
  <c r="AF136" i="22" s="1"/>
  <c r="AD136" i="22" s="1"/>
  <c r="AI144" i="22"/>
  <c r="AH144" i="22" s="1"/>
  <c r="AG144" i="22" s="1"/>
  <c r="AF144" i="22" s="1"/>
  <c r="AD144" i="22" s="1"/>
  <c r="AI152" i="22"/>
  <c r="AH152" i="22" s="1"/>
  <c r="AG152" i="22" s="1"/>
  <c r="AF152" i="22" s="1"/>
  <c r="AD152" i="22" s="1"/>
  <c r="AI160" i="22"/>
  <c r="AH160" i="22" s="1"/>
  <c r="AG160" i="22" s="1"/>
  <c r="AF160" i="22" s="1"/>
  <c r="AD160" i="22" s="1"/>
  <c r="AI168" i="22"/>
  <c r="AH168" i="22" s="1"/>
  <c r="AG168" i="22" s="1"/>
  <c r="AF168" i="22" s="1"/>
  <c r="AD168" i="22" s="1"/>
  <c r="AI176" i="22"/>
  <c r="AH176" i="22" s="1"/>
  <c r="AG176" i="22" s="1"/>
  <c r="AF176" i="22" s="1"/>
  <c r="AD176" i="22" s="1"/>
  <c r="AI184" i="22"/>
  <c r="AH184" i="22" s="1"/>
  <c r="AG184" i="22" s="1"/>
  <c r="AF184" i="22" s="1"/>
  <c r="AD184" i="22" s="1"/>
  <c r="AI192" i="22"/>
  <c r="AH192" i="22" s="1"/>
  <c r="AG192" i="22" s="1"/>
  <c r="AF192" i="22" s="1"/>
  <c r="AD192" i="22" s="1"/>
  <c r="AI200" i="22"/>
  <c r="AH200" i="22" s="1"/>
  <c r="AG200" i="22" s="1"/>
  <c r="AF200" i="22" s="1"/>
  <c r="AD200" i="22" s="1"/>
  <c r="AI208" i="22"/>
  <c r="AH208" i="22" s="1"/>
  <c r="AG208" i="22" s="1"/>
  <c r="AF208" i="22" s="1"/>
  <c r="AD208" i="22" s="1"/>
  <c r="AI216" i="22"/>
  <c r="AH216" i="22" s="1"/>
  <c r="AG216" i="22" s="1"/>
  <c r="AF216" i="22" s="1"/>
  <c r="AD216" i="22" s="1"/>
  <c r="AI224" i="22"/>
  <c r="AH224" i="22" s="1"/>
  <c r="AG224" i="22" s="1"/>
  <c r="AF224" i="22" s="1"/>
  <c r="AD224" i="22" s="1"/>
  <c r="AI232" i="22"/>
  <c r="AH232" i="22" s="1"/>
  <c r="AG232" i="22" s="1"/>
  <c r="AF232" i="22" s="1"/>
  <c r="AD232" i="22" s="1"/>
  <c r="AI240" i="22"/>
  <c r="AH240" i="22" s="1"/>
  <c r="AG240" i="22" s="1"/>
  <c r="AF240" i="22" s="1"/>
  <c r="AD240" i="22" s="1"/>
  <c r="AI248" i="22"/>
  <c r="AH248" i="22" s="1"/>
  <c r="AG248" i="22" s="1"/>
  <c r="AF248" i="22" s="1"/>
  <c r="AD248" i="22" s="1"/>
  <c r="AI256" i="22"/>
  <c r="AH256" i="22" s="1"/>
  <c r="AG256" i="22" s="1"/>
  <c r="AF256" i="22" s="1"/>
  <c r="AD256" i="22" s="1"/>
  <c r="AI264" i="22"/>
  <c r="AH264" i="22" s="1"/>
  <c r="AG264" i="22" s="1"/>
  <c r="AF264" i="22" s="1"/>
  <c r="AD264" i="22" s="1"/>
  <c r="AI272" i="22"/>
  <c r="AH272" i="22" s="1"/>
  <c r="AG272" i="22" s="1"/>
  <c r="AF272" i="22" s="1"/>
  <c r="AD272" i="22" s="1"/>
  <c r="AI280" i="22"/>
  <c r="AH280" i="22" s="1"/>
  <c r="AG280" i="22" s="1"/>
  <c r="AF280" i="22" s="1"/>
  <c r="AD280" i="22" s="1"/>
  <c r="AI288" i="22"/>
  <c r="AH288" i="22" s="1"/>
  <c r="AG288" i="22" s="1"/>
  <c r="AF288" i="22" s="1"/>
  <c r="AD288" i="22" s="1"/>
  <c r="AI296" i="22"/>
  <c r="AH296" i="22" s="1"/>
  <c r="AG296" i="22" s="1"/>
  <c r="AF296" i="22" s="1"/>
  <c r="AD296" i="22" s="1"/>
  <c r="AI304" i="22"/>
  <c r="AH304" i="22" s="1"/>
  <c r="AG304" i="22" s="1"/>
  <c r="AF304" i="22" s="1"/>
  <c r="AD304" i="22" s="1"/>
  <c r="AI312" i="22"/>
  <c r="AH312" i="22" s="1"/>
  <c r="AG312" i="22" s="1"/>
  <c r="AF312" i="22" s="1"/>
  <c r="AD312" i="22" s="1"/>
  <c r="AI320" i="22"/>
  <c r="AH320" i="22" s="1"/>
  <c r="AG320" i="22" s="1"/>
  <c r="AF320" i="22" s="1"/>
  <c r="AD320" i="22" s="1"/>
  <c r="AI328" i="22"/>
  <c r="AH328" i="22" s="1"/>
  <c r="AG328" i="22" s="1"/>
  <c r="AF328" i="22" s="1"/>
  <c r="AD328" i="22" s="1"/>
  <c r="AI336" i="22"/>
  <c r="AH336" i="22" s="1"/>
  <c r="AG336" i="22" s="1"/>
  <c r="AF336" i="22" s="1"/>
  <c r="AD336" i="22" s="1"/>
  <c r="AI344" i="22"/>
  <c r="AH344" i="22" s="1"/>
  <c r="AG344" i="22" s="1"/>
  <c r="AF344" i="22" s="1"/>
  <c r="AD344" i="22" s="1"/>
  <c r="AI352" i="22"/>
  <c r="AH352" i="22" s="1"/>
  <c r="AG352" i="22" s="1"/>
  <c r="AF352" i="22" s="1"/>
  <c r="AD352" i="22" s="1"/>
  <c r="AI360" i="22"/>
  <c r="AH360" i="22" s="1"/>
  <c r="AG360" i="22" s="1"/>
  <c r="AF360" i="22" s="1"/>
  <c r="AD360" i="22" s="1"/>
  <c r="AI368" i="22"/>
  <c r="AH368" i="22" s="1"/>
  <c r="AG368" i="22" s="1"/>
  <c r="AF368" i="22" s="1"/>
  <c r="AD368" i="22" s="1"/>
  <c r="AI376" i="22"/>
  <c r="AH376" i="22" s="1"/>
  <c r="AG376" i="22" s="1"/>
  <c r="AF376" i="22" s="1"/>
  <c r="AD376" i="22" s="1"/>
  <c r="AI378" i="22"/>
  <c r="AH378" i="22" s="1"/>
  <c r="AG378" i="22" s="1"/>
  <c r="AF378" i="22" s="1"/>
  <c r="AD378" i="22" s="1"/>
  <c r="AG382" i="20"/>
  <c r="AG381" i="20"/>
  <c r="AG383" i="20"/>
  <c r="AF15" i="20"/>
  <c r="F13" i="19"/>
  <c r="Z11" i="16"/>
  <c r="Z5" i="16" s="1"/>
  <c r="H13" i="19" s="1"/>
  <c r="J13" i="19"/>
  <c r="AA11" i="16"/>
  <c r="AA5" i="16" s="1"/>
  <c r="I13" i="19" s="1"/>
  <c r="AJ3" i="16"/>
  <c r="O13" i="19" s="1"/>
  <c r="M13" i="19" s="1"/>
  <c r="AL13" i="16"/>
  <c r="AK4" i="16"/>
  <c r="R13" i="19" s="1"/>
  <c r="N14" i="19" s="1"/>
  <c r="AM13" i="16"/>
  <c r="Y11" i="16"/>
  <c r="Q351" i="24"/>
  <c r="Q367" i="24"/>
  <c r="Q319" i="24"/>
  <c r="Q335" i="24"/>
  <c r="Q303" i="24"/>
  <c r="Q375" i="24"/>
  <c r="Q359" i="24"/>
  <c r="Q343" i="24"/>
  <c r="Q327" i="24"/>
  <c r="Q311" i="24"/>
  <c r="Q295" i="24"/>
  <c r="Q379" i="24"/>
  <c r="Q12" i="25" s="1"/>
  <c r="Q371" i="24"/>
  <c r="Q363" i="24"/>
  <c r="Q355" i="24"/>
  <c r="Q347" i="24"/>
  <c r="Q339" i="24"/>
  <c r="Q331" i="24"/>
  <c r="Q323" i="24"/>
  <c r="Q315" i="24"/>
  <c r="Q307" i="24"/>
  <c r="Q299" i="24"/>
  <c r="Q283" i="24"/>
  <c r="Q291" i="24"/>
  <c r="Q275" i="24"/>
  <c r="Q287" i="24"/>
  <c r="Q279" i="24"/>
  <c r="Q271" i="24"/>
  <c r="Q267" i="24"/>
  <c r="Q21" i="24"/>
  <c r="Q377" i="24"/>
  <c r="Q373" i="24"/>
  <c r="Q369" i="24"/>
  <c r="Q365" i="24"/>
  <c r="Q361" i="24"/>
  <c r="Q357" i="24"/>
  <c r="Q353" i="24"/>
  <c r="Q349" i="24"/>
  <c r="Q345" i="24"/>
  <c r="Q341" i="24"/>
  <c r="Q337" i="24"/>
  <c r="Q333" i="24"/>
  <c r="Q329" i="24"/>
  <c r="Q325" i="24"/>
  <c r="Q321" i="24"/>
  <c r="Q317" i="24"/>
  <c r="Q313" i="24"/>
  <c r="Q309" i="24"/>
  <c r="Q305" i="24"/>
  <c r="Q301" i="24"/>
  <c r="Q297" i="24"/>
  <c r="Q293" i="24"/>
  <c r="Q289" i="24"/>
  <c r="Q285" i="24"/>
  <c r="Q281" i="24"/>
  <c r="Q277" i="24"/>
  <c r="Q273" i="24"/>
  <c r="Q269" i="24"/>
  <c r="Q265" i="24"/>
  <c r="Q249" i="24"/>
  <c r="Q261" i="24"/>
  <c r="Q253" i="24"/>
  <c r="Q232" i="24"/>
  <c r="AE11" i="24"/>
  <c r="Q245" i="24"/>
  <c r="Q216" i="24"/>
  <c r="Q240" i="24"/>
  <c r="Q224" i="24"/>
  <c r="Q176" i="24"/>
  <c r="Q200" i="24"/>
  <c r="Q144" i="24"/>
  <c r="Q112" i="24"/>
  <c r="Q80" i="24"/>
  <c r="Q263" i="24"/>
  <c r="Q259" i="24"/>
  <c r="Q255" i="24"/>
  <c r="Q251" i="24"/>
  <c r="Q247" i="24"/>
  <c r="Q243" i="24"/>
  <c r="Q236" i="24"/>
  <c r="Q228" i="24"/>
  <c r="Q220" i="24"/>
  <c r="Q208" i="24"/>
  <c r="Q192" i="24"/>
  <c r="Q160" i="24"/>
  <c r="Q128" i="24"/>
  <c r="Q96" i="24"/>
  <c r="Q64" i="24"/>
  <c r="Q184" i="24"/>
  <c r="Q168" i="24"/>
  <c r="Q152" i="24"/>
  <c r="Q136" i="24"/>
  <c r="Q120" i="24"/>
  <c r="Q104" i="24"/>
  <c r="Q88" i="24"/>
  <c r="Q72" i="24"/>
  <c r="Q56" i="24"/>
  <c r="Q378" i="24"/>
  <c r="Q376" i="24"/>
  <c r="Q374" i="24"/>
  <c r="Q372" i="24"/>
  <c r="Q370" i="24"/>
  <c r="Q368" i="24"/>
  <c r="Q366" i="24"/>
  <c r="Q364" i="24"/>
  <c r="Q362" i="24"/>
  <c r="Q360" i="24"/>
  <c r="Q358" i="24"/>
  <c r="Q356" i="24"/>
  <c r="Q354" i="24"/>
  <c r="Q352" i="24"/>
  <c r="Q350" i="24"/>
  <c r="Q348" i="24"/>
  <c r="Q346" i="24"/>
  <c r="Q344" i="24"/>
  <c r="Q342" i="24"/>
  <c r="Q340" i="24"/>
  <c r="Q338" i="24"/>
  <c r="Q336" i="24"/>
  <c r="Q334" i="24"/>
  <c r="Q332" i="24"/>
  <c r="Q330" i="24"/>
  <c r="Q328" i="24"/>
  <c r="Q326" i="24"/>
  <c r="Q324" i="24"/>
  <c r="Q322" i="24"/>
  <c r="Q320" i="24"/>
  <c r="Q318" i="24"/>
  <c r="Q316" i="24"/>
  <c r="Q314" i="24"/>
  <c r="Q312" i="24"/>
  <c r="Q310" i="24"/>
  <c r="Q308" i="24"/>
  <c r="Q306" i="24"/>
  <c r="Q304" i="24"/>
  <c r="Q302" i="24"/>
  <c r="Q300" i="24"/>
  <c r="Q298" i="24"/>
  <c r="Q296" i="24"/>
  <c r="Q294" i="24"/>
  <c r="Q292" i="24"/>
  <c r="Q290" i="24"/>
  <c r="Q288" i="24"/>
  <c r="Q286" i="24"/>
  <c r="Q284" i="24"/>
  <c r="Q282" i="24"/>
  <c r="Q280" i="24"/>
  <c r="Q278" i="24"/>
  <c r="Q276" i="24"/>
  <c r="Q274" i="24"/>
  <c r="Q272" i="24"/>
  <c r="Q270" i="24"/>
  <c r="Q268" i="24"/>
  <c r="Q266" i="24"/>
  <c r="Q264" i="24"/>
  <c r="Q262" i="24"/>
  <c r="Q260" i="24"/>
  <c r="Q258" i="24"/>
  <c r="Q256" i="24"/>
  <c r="Q254" i="24"/>
  <c r="Q252" i="24"/>
  <c r="Q250" i="24"/>
  <c r="Q248" i="24"/>
  <c r="Q246" i="24"/>
  <c r="Q244" i="24"/>
  <c r="Q242" i="24"/>
  <c r="Q238" i="24"/>
  <c r="Q234" i="24"/>
  <c r="Q230" i="24"/>
  <c r="Q226" i="24"/>
  <c r="Q222" i="24"/>
  <c r="Q218" i="24"/>
  <c r="Q212" i="24"/>
  <c r="Q204" i="24"/>
  <c r="Q196" i="24"/>
  <c r="Q188" i="24"/>
  <c r="Q180" i="24"/>
  <c r="Q172" i="24"/>
  <c r="Q164" i="24"/>
  <c r="Q156" i="24"/>
  <c r="Q148" i="24"/>
  <c r="Q140" i="24"/>
  <c r="Q132" i="24"/>
  <c r="Q124" i="24"/>
  <c r="Q116" i="24"/>
  <c r="Q108" i="24"/>
  <c r="Q100" i="24"/>
  <c r="Q92" i="24"/>
  <c r="Q84" i="24"/>
  <c r="Q76" i="24"/>
  <c r="Q68" i="24"/>
  <c r="Q60" i="24"/>
  <c r="Q52" i="24"/>
  <c r="Q241" i="24"/>
  <c r="Q239" i="24"/>
  <c r="Q237" i="24"/>
  <c r="Q235" i="24"/>
  <c r="Q233" i="24"/>
  <c r="Q231" i="24"/>
  <c r="Q229" i="24"/>
  <c r="Q227" i="24"/>
  <c r="Q225" i="24"/>
  <c r="Q223" i="24"/>
  <c r="Q221" i="24"/>
  <c r="Q219" i="24"/>
  <c r="Q217" i="24"/>
  <c r="Q214" i="24"/>
  <c r="Q210" i="24"/>
  <c r="Q206" i="24"/>
  <c r="Q202" i="24"/>
  <c r="Q198" i="24"/>
  <c r="Q194" i="24"/>
  <c r="Q190" i="24"/>
  <c r="Q186" i="24"/>
  <c r="Q182" i="24"/>
  <c r="Q178" i="24"/>
  <c r="Q174" i="24"/>
  <c r="Q170" i="24"/>
  <c r="Q166" i="24"/>
  <c r="Q162" i="24"/>
  <c r="Q158" i="24"/>
  <c r="Q154" i="24"/>
  <c r="Q150" i="24"/>
  <c r="Q146" i="24"/>
  <c r="Q142" i="24"/>
  <c r="Q138" i="24"/>
  <c r="Q134" i="24"/>
  <c r="Q130" i="24"/>
  <c r="Q126" i="24"/>
  <c r="Q122" i="24"/>
  <c r="Q118" i="24"/>
  <c r="Q114" i="24"/>
  <c r="Q110" i="24"/>
  <c r="Q106" i="24"/>
  <c r="Q102" i="24"/>
  <c r="Q98" i="24"/>
  <c r="Q94" i="24"/>
  <c r="Q90" i="24"/>
  <c r="Q86" i="24"/>
  <c r="Q82" i="24"/>
  <c r="Q78" i="24"/>
  <c r="Q74" i="24"/>
  <c r="Q70" i="24"/>
  <c r="Q66" i="24"/>
  <c r="Q62" i="24"/>
  <c r="Q58" i="24"/>
  <c r="Q54" i="24"/>
  <c r="Q50" i="24"/>
  <c r="AU16" i="7"/>
  <c r="Q19" i="24"/>
  <c r="Q44" i="24"/>
  <c r="Q49" i="24"/>
  <c r="Q51" i="24"/>
  <c r="Q53" i="24"/>
  <c r="Q55" i="24"/>
  <c r="Q57" i="24"/>
  <c r="Q59" i="24"/>
  <c r="Q61" i="24"/>
  <c r="Q63" i="24"/>
  <c r="Q65" i="24"/>
  <c r="Q67" i="24"/>
  <c r="Q69" i="24"/>
  <c r="Q71" i="24"/>
  <c r="Q73" i="24"/>
  <c r="Q75" i="24"/>
  <c r="Q77" i="24"/>
  <c r="Q79" i="24"/>
  <c r="Q81" i="24"/>
  <c r="Q83" i="24"/>
  <c r="Q85" i="24"/>
  <c r="Q87" i="24"/>
  <c r="Q89" i="24"/>
  <c r="Q91" i="24"/>
  <c r="Q93" i="24"/>
  <c r="Q95" i="24"/>
  <c r="Q97" i="24"/>
  <c r="Q99" i="24"/>
  <c r="Q101" i="24"/>
  <c r="Q103" i="24"/>
  <c r="Q105" i="24"/>
  <c r="Q107" i="24"/>
  <c r="Q109" i="24"/>
  <c r="Q111" i="24"/>
  <c r="Q113" i="24"/>
  <c r="Q115" i="24"/>
  <c r="Q117" i="24"/>
  <c r="Q119" i="24"/>
  <c r="Q121" i="24"/>
  <c r="Q123" i="24"/>
  <c r="Q125" i="24"/>
  <c r="Q127" i="24"/>
  <c r="Q129" i="24"/>
  <c r="Q131" i="24"/>
  <c r="Q133" i="24"/>
  <c r="Q135" i="24"/>
  <c r="Q137" i="24"/>
  <c r="Q139" i="24"/>
  <c r="Q141" i="24"/>
  <c r="Q143" i="24"/>
  <c r="Q145" i="24"/>
  <c r="Q147" i="24"/>
  <c r="Q149" i="24"/>
  <c r="Q151" i="24"/>
  <c r="Q153" i="24"/>
  <c r="Q155" i="24"/>
  <c r="Q157" i="24"/>
  <c r="Q159" i="24"/>
  <c r="Q161" i="24"/>
  <c r="Q163" i="24"/>
  <c r="Q165" i="24"/>
  <c r="Q167" i="24"/>
  <c r="Q169" i="24"/>
  <c r="Q171" i="24"/>
  <c r="Q173" i="24"/>
  <c r="Q175" i="24"/>
  <c r="Q177" i="24"/>
  <c r="Q179" i="24"/>
  <c r="Q181" i="24"/>
  <c r="Q183" i="24"/>
  <c r="Q185" i="24"/>
  <c r="Q187" i="24"/>
  <c r="Q189" i="24"/>
  <c r="Q191" i="24"/>
  <c r="Q193" i="24"/>
  <c r="Q195" i="24"/>
  <c r="Q197" i="24"/>
  <c r="Q199" i="24"/>
  <c r="Q201" i="24"/>
  <c r="Q203" i="24"/>
  <c r="Q205" i="24"/>
  <c r="Q207" i="24"/>
  <c r="Q209" i="24"/>
  <c r="Q211" i="24"/>
  <c r="Q213" i="24"/>
  <c r="Q215" i="24"/>
  <c r="Q48" i="24"/>
  <c r="Q46" i="24"/>
  <c r="Q40" i="24"/>
  <c r="Q36" i="24"/>
  <c r="Q45" i="24"/>
  <c r="Q42" i="24"/>
  <c r="Q38" i="24"/>
  <c r="Q32" i="24"/>
  <c r="Q34" i="24"/>
  <c r="Q30" i="24"/>
  <c r="Q43" i="24"/>
  <c r="Q41" i="24"/>
  <c r="Q39" i="24"/>
  <c r="Q37" i="24"/>
  <c r="Q35" i="24"/>
  <c r="Q33" i="24"/>
  <c r="Q31" i="24"/>
  <c r="Q26" i="24"/>
  <c r="Q28" i="24"/>
  <c r="Q24" i="24"/>
  <c r="Q29" i="24"/>
  <c r="Q27" i="24"/>
  <c r="Q25" i="24"/>
  <c r="Q23" i="24"/>
  <c r="Q17" i="24"/>
  <c r="Q18" i="24"/>
  <c r="Q22" i="24"/>
  <c r="Q20" i="24"/>
  <c r="Q15" i="24"/>
  <c r="Q16" i="24"/>
  <c r="AZ15" i="7"/>
  <c r="BA15" i="7"/>
  <c r="AE21" i="24"/>
  <c r="AE16" i="24"/>
  <c r="AE23" i="24"/>
  <c r="AE27" i="24"/>
  <c r="AE31" i="24"/>
  <c r="AE35" i="24"/>
  <c r="AE39" i="24"/>
  <c r="AE43" i="24"/>
  <c r="AE47" i="24"/>
  <c r="AE51" i="24"/>
  <c r="AE55" i="24"/>
  <c r="AE59" i="24"/>
  <c r="AE65" i="24"/>
  <c r="AE67" i="24"/>
  <c r="AE71" i="24"/>
  <c r="AE75" i="24"/>
  <c r="AE79" i="24"/>
  <c r="AE83" i="24"/>
  <c r="AE87" i="24"/>
  <c r="AE91" i="24"/>
  <c r="AE95" i="24"/>
  <c r="AE99" i="24"/>
  <c r="AE103" i="24"/>
  <c r="AE107" i="24"/>
  <c r="AE111" i="24"/>
  <c r="AE115" i="24"/>
  <c r="AE119" i="24"/>
  <c r="AE123" i="24"/>
  <c r="AE127" i="24"/>
  <c r="AE131" i="24"/>
  <c r="AE135" i="24"/>
  <c r="AE139" i="24"/>
  <c r="AE143" i="24"/>
  <c r="AE147" i="24"/>
  <c r="AE151" i="24"/>
  <c r="AE155" i="24"/>
  <c r="AE159" i="24"/>
  <c r="AE165" i="24"/>
  <c r="AE169" i="24"/>
  <c r="AE173" i="24"/>
  <c r="AE177" i="24"/>
  <c r="AE181" i="24"/>
  <c r="AE185" i="24"/>
  <c r="AE189" i="24"/>
  <c r="AE193" i="24"/>
  <c r="AE197" i="24"/>
  <c r="AE201" i="24"/>
  <c r="AE205" i="24"/>
  <c r="AE209" i="24"/>
  <c r="AE213" i="24"/>
  <c r="AE217" i="24"/>
  <c r="AE221" i="24"/>
  <c r="AE225" i="24"/>
  <c r="AE229" i="24"/>
  <c r="AE233" i="24"/>
  <c r="AE237" i="24"/>
  <c r="AE241" i="24"/>
  <c r="AE245" i="24"/>
  <c r="AE249" i="24"/>
  <c r="AE253" i="24"/>
  <c r="AE257" i="24"/>
  <c r="AE261" i="24"/>
  <c r="AE265" i="24"/>
  <c r="AE269" i="24"/>
  <c r="AE273" i="24"/>
  <c r="AE277" i="24"/>
  <c r="AE281" i="24"/>
  <c r="AE285" i="24"/>
  <c r="AE289" i="24"/>
  <c r="AE293" i="24"/>
  <c r="AE297" i="24"/>
  <c r="AE301" i="24"/>
  <c r="AE305" i="24"/>
  <c r="AE309" i="24"/>
  <c r="AE313" i="24"/>
  <c r="AE317" i="24"/>
  <c r="AE321" i="24"/>
  <c r="AE325" i="24"/>
  <c r="AE329" i="24"/>
  <c r="AE333" i="24"/>
  <c r="AE337" i="24"/>
  <c r="AE341" i="24"/>
  <c r="AE345" i="24"/>
  <c r="AE349" i="24"/>
  <c r="AE353" i="24"/>
  <c r="AE357" i="24"/>
  <c r="AE361" i="24"/>
  <c r="AE363" i="24"/>
  <c r="AE369" i="24"/>
  <c r="AE371" i="24"/>
  <c r="AE375" i="24"/>
  <c r="AE379" i="24"/>
  <c r="AE12" i="25" s="1"/>
  <c r="AE17" i="24"/>
  <c r="AE19" i="24"/>
  <c r="AE18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2" i="24"/>
  <c r="AE54" i="24"/>
  <c r="AE56" i="24"/>
  <c r="AE58" i="24"/>
  <c r="AE60" i="24"/>
  <c r="AE62" i="24"/>
  <c r="AE64" i="24"/>
  <c r="AE66" i="24"/>
  <c r="AE68" i="24"/>
  <c r="AE70" i="24"/>
  <c r="AE72" i="24"/>
  <c r="AE74" i="24"/>
  <c r="AE76" i="24"/>
  <c r="AE78" i="24"/>
  <c r="AE80" i="24"/>
  <c r="AE82" i="24"/>
  <c r="AE84" i="24"/>
  <c r="AE86" i="24"/>
  <c r="AE88" i="24"/>
  <c r="AE90" i="24"/>
  <c r="AE92" i="24"/>
  <c r="AE94" i="24"/>
  <c r="AE96" i="24"/>
  <c r="AE98" i="24"/>
  <c r="AE100" i="24"/>
  <c r="AE102" i="24"/>
  <c r="AE104" i="24"/>
  <c r="AE106" i="24"/>
  <c r="AE108" i="24"/>
  <c r="AE110" i="24"/>
  <c r="AE112" i="24"/>
  <c r="AE114" i="24"/>
  <c r="AE116" i="24"/>
  <c r="AE118" i="24"/>
  <c r="AE120" i="24"/>
  <c r="AE122" i="24"/>
  <c r="AE124" i="24"/>
  <c r="AE126" i="24"/>
  <c r="AE128" i="24"/>
  <c r="AE130" i="24"/>
  <c r="AE132" i="24"/>
  <c r="AE134" i="24"/>
  <c r="AE136" i="24"/>
  <c r="AE138" i="24"/>
  <c r="AE140" i="24"/>
  <c r="AE142" i="24"/>
  <c r="AE144" i="24"/>
  <c r="AE146" i="24"/>
  <c r="AE148" i="24"/>
  <c r="AE150" i="24"/>
  <c r="AE152" i="24"/>
  <c r="AE154" i="24"/>
  <c r="AE156" i="24"/>
  <c r="AE158" i="24"/>
  <c r="AE160" i="24"/>
  <c r="AE162" i="24"/>
  <c r="AE164" i="24"/>
  <c r="AE166" i="24"/>
  <c r="AE168" i="24"/>
  <c r="AE170" i="24"/>
  <c r="AE172" i="24"/>
  <c r="AE174" i="24"/>
  <c r="AE176" i="24"/>
  <c r="AE178" i="24"/>
  <c r="AE180" i="24"/>
  <c r="AE182" i="24"/>
  <c r="AE184" i="24"/>
  <c r="AE186" i="24"/>
  <c r="AE188" i="24"/>
  <c r="AE190" i="24"/>
  <c r="AE192" i="24"/>
  <c r="AE194" i="24"/>
  <c r="AE196" i="24"/>
  <c r="AE198" i="24"/>
  <c r="AE200" i="24"/>
  <c r="AE202" i="24"/>
  <c r="AE204" i="24"/>
  <c r="AE206" i="24"/>
  <c r="AE208" i="24"/>
  <c r="AE210" i="24"/>
  <c r="AE212" i="24"/>
  <c r="AE214" i="24"/>
  <c r="AE216" i="24"/>
  <c r="AE218" i="24"/>
  <c r="AE220" i="24"/>
  <c r="AE222" i="24"/>
  <c r="AE224" i="24"/>
  <c r="AE226" i="24"/>
  <c r="AE228" i="24"/>
  <c r="AE230" i="24"/>
  <c r="AE232" i="24"/>
  <c r="AE234" i="24"/>
  <c r="AE236" i="24"/>
  <c r="AE238" i="24"/>
  <c r="AE240" i="24"/>
  <c r="AE242" i="24"/>
  <c r="AE244" i="24"/>
  <c r="AE246" i="24"/>
  <c r="AE248" i="24"/>
  <c r="AE250" i="24"/>
  <c r="AE252" i="24"/>
  <c r="AE254" i="24"/>
  <c r="AE256" i="24"/>
  <c r="AE258" i="24"/>
  <c r="AE260" i="24"/>
  <c r="AE262" i="24"/>
  <c r="AE264" i="24"/>
  <c r="AE266" i="24"/>
  <c r="AE268" i="24"/>
  <c r="AE270" i="24"/>
  <c r="AE272" i="24"/>
  <c r="AE274" i="24"/>
  <c r="AE276" i="24"/>
  <c r="AE278" i="24"/>
  <c r="AE280" i="24"/>
  <c r="AE282" i="24"/>
  <c r="AE284" i="24"/>
  <c r="AE286" i="24"/>
  <c r="AE288" i="24"/>
  <c r="AE290" i="24"/>
  <c r="AE292" i="24"/>
  <c r="AE294" i="24"/>
  <c r="AE296" i="24"/>
  <c r="AE298" i="24"/>
  <c r="AE300" i="24"/>
  <c r="AE302" i="24"/>
  <c r="AE304" i="24"/>
  <c r="AE306" i="24"/>
  <c r="AE308" i="24"/>
  <c r="AE310" i="24"/>
  <c r="AE312" i="24"/>
  <c r="AE314" i="24"/>
  <c r="AE316" i="24"/>
  <c r="AE318" i="24"/>
  <c r="AE320" i="24"/>
  <c r="AE322" i="24"/>
  <c r="AE324" i="24"/>
  <c r="AE326" i="24"/>
  <c r="AE328" i="24"/>
  <c r="AE330" i="24"/>
  <c r="AE332" i="24"/>
  <c r="AE334" i="24"/>
  <c r="AE336" i="24"/>
  <c r="AE338" i="24"/>
  <c r="AE340" i="24"/>
  <c r="AE342" i="24"/>
  <c r="AE344" i="24"/>
  <c r="AE346" i="24"/>
  <c r="AE348" i="24"/>
  <c r="AE350" i="24"/>
  <c r="AE352" i="24"/>
  <c r="AE354" i="24"/>
  <c r="AE356" i="24"/>
  <c r="AE358" i="24"/>
  <c r="AE360" i="24"/>
  <c r="AE362" i="24"/>
  <c r="AE364" i="24"/>
  <c r="AE366" i="24"/>
  <c r="AE368" i="24"/>
  <c r="AE370" i="24"/>
  <c r="AE372" i="24"/>
  <c r="AE374" i="24"/>
  <c r="AE376" i="24"/>
  <c r="AE378" i="24"/>
  <c r="AE20" i="24"/>
  <c r="AE15" i="24"/>
  <c r="AE25" i="24"/>
  <c r="AE29" i="24"/>
  <c r="AE33" i="24"/>
  <c r="AE37" i="24"/>
  <c r="AE41" i="24"/>
  <c r="AE45" i="24"/>
  <c r="AE49" i="24"/>
  <c r="AE53" i="24"/>
  <c r="AE57" i="24"/>
  <c r="AE61" i="24"/>
  <c r="AE63" i="24"/>
  <c r="AE69" i="24"/>
  <c r="AE73" i="24"/>
  <c r="AE77" i="24"/>
  <c r="AE81" i="24"/>
  <c r="AE85" i="24"/>
  <c r="AE89" i="24"/>
  <c r="AE93" i="24"/>
  <c r="AE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E149" i="24"/>
  <c r="AE153" i="24"/>
  <c r="AE157" i="24"/>
  <c r="AE161" i="24"/>
  <c r="AE163" i="24"/>
  <c r="AE167" i="24"/>
  <c r="AE171" i="24"/>
  <c r="AE175" i="24"/>
  <c r="AE179" i="24"/>
  <c r="AE183" i="24"/>
  <c r="AE187" i="24"/>
  <c r="AE191" i="24"/>
  <c r="AE195" i="24"/>
  <c r="AE199" i="24"/>
  <c r="AE203" i="24"/>
  <c r="AE207" i="24"/>
  <c r="AE211" i="24"/>
  <c r="AE215" i="24"/>
  <c r="AE219" i="24"/>
  <c r="AE223" i="24"/>
  <c r="AE227" i="24"/>
  <c r="AE231" i="24"/>
  <c r="AE235" i="24"/>
  <c r="AE239" i="24"/>
  <c r="AE243" i="24"/>
  <c r="AE247" i="24"/>
  <c r="AE251" i="24"/>
  <c r="AE255" i="24"/>
  <c r="AE259" i="24"/>
  <c r="AE263" i="24"/>
  <c r="AE267" i="24"/>
  <c r="AE271" i="24"/>
  <c r="AE275" i="24"/>
  <c r="AE279" i="24"/>
  <c r="AE283" i="24"/>
  <c r="AE287" i="24"/>
  <c r="AE291" i="24"/>
  <c r="AE295" i="24"/>
  <c r="AE299" i="24"/>
  <c r="AE303" i="24"/>
  <c r="AE307" i="24"/>
  <c r="AE311" i="24"/>
  <c r="AE315" i="24"/>
  <c r="AE319" i="24"/>
  <c r="AE323" i="24"/>
  <c r="AE327" i="24"/>
  <c r="AE331" i="24"/>
  <c r="AE335" i="24"/>
  <c r="AE339" i="24"/>
  <c r="AE343" i="24"/>
  <c r="AE347" i="24"/>
  <c r="AE351" i="24"/>
  <c r="AE355" i="24"/>
  <c r="AE359" i="24"/>
  <c r="AE365" i="24"/>
  <c r="AE367" i="24"/>
  <c r="AE373" i="24"/>
  <c r="AE377" i="24"/>
  <c r="Q383" i="24" l="1"/>
  <c r="AF381" i="20"/>
  <c r="AF382" i="20"/>
  <c r="AF383" i="20"/>
  <c r="AD15" i="20"/>
  <c r="V60" i="22"/>
  <c r="C67" i="19" s="1"/>
  <c r="AH33" i="7"/>
  <c r="AH38" i="7"/>
  <c r="V210" i="22"/>
  <c r="H67" i="19" s="1"/>
  <c r="V29" i="22"/>
  <c r="AH32" i="7"/>
  <c r="AI383" i="22"/>
  <c r="AI382" i="22"/>
  <c r="AI381" i="22"/>
  <c r="AH15" i="22"/>
  <c r="R383" i="20"/>
  <c r="P15" i="20"/>
  <c r="R382" i="20"/>
  <c r="R381" i="20"/>
  <c r="V272" i="22"/>
  <c r="J67" i="19" s="1"/>
  <c r="AH40" i="7"/>
  <c r="V333" i="22"/>
  <c r="L67" i="19" s="1"/>
  <c r="AH42" i="7"/>
  <c r="AH43" i="7"/>
  <c r="V363" i="22"/>
  <c r="AH37" i="7"/>
  <c r="V180" i="22"/>
  <c r="G67" i="19" s="1"/>
  <c r="U382" i="22"/>
  <c r="T15" i="22"/>
  <c r="U383" i="22"/>
  <c r="U381" i="22"/>
  <c r="V241" i="22"/>
  <c r="I67" i="19" s="1"/>
  <c r="AH39" i="7"/>
  <c r="AH36" i="7"/>
  <c r="V149" i="22"/>
  <c r="F67" i="19" s="1"/>
  <c r="V380" i="18"/>
  <c r="V381" i="18" s="1"/>
  <c r="B65" i="19"/>
  <c r="AI12" i="23"/>
  <c r="AH379" i="22"/>
  <c r="AG379" i="22" s="1"/>
  <c r="AF379" i="22" s="1"/>
  <c r="AD379" i="22" s="1"/>
  <c r="AH34" i="7"/>
  <c r="V88" i="22"/>
  <c r="D67" i="19" s="1"/>
  <c r="V302" i="22"/>
  <c r="K67" i="19" s="1"/>
  <c r="AH41" i="7"/>
  <c r="U12" i="23"/>
  <c r="T379" i="22"/>
  <c r="S379" i="22" s="1"/>
  <c r="R379" i="22" s="1"/>
  <c r="P379" i="22" s="1"/>
  <c r="AN16" i="7"/>
  <c r="AT11" i="7" s="1"/>
  <c r="U11" i="23" s="1"/>
  <c r="AH35" i="7"/>
  <c r="V119" i="22"/>
  <c r="E67" i="19" s="1"/>
  <c r="I37" i="19"/>
  <c r="H37" i="19"/>
  <c r="Q381" i="24"/>
  <c r="Q382" i="24"/>
  <c r="AE381" i="24"/>
  <c r="AE382" i="24"/>
  <c r="AE383" i="24"/>
  <c r="BE15" i="7"/>
  <c r="Q10" i="25"/>
  <c r="BG15" i="7" s="1"/>
  <c r="V382" i="18" l="1"/>
  <c r="Q375" i="25"/>
  <c r="Q311" i="25"/>
  <c r="Q247" i="25"/>
  <c r="V383" i="18"/>
  <c r="Q183" i="25"/>
  <c r="D41" i="19"/>
  <c r="V379" i="22"/>
  <c r="M67" i="19" s="1"/>
  <c r="AI20" i="23"/>
  <c r="AH20" i="23" s="1"/>
  <c r="AG20" i="23" s="1"/>
  <c r="AF20" i="23" s="1"/>
  <c r="AD20" i="23" s="1"/>
  <c r="AI17" i="23"/>
  <c r="AH17" i="23" s="1"/>
  <c r="AG17" i="23" s="1"/>
  <c r="AF17" i="23" s="1"/>
  <c r="AD17" i="23" s="1"/>
  <c r="AI19" i="23"/>
  <c r="AH19" i="23" s="1"/>
  <c r="AG19" i="23" s="1"/>
  <c r="AF19" i="23" s="1"/>
  <c r="AD19" i="23" s="1"/>
  <c r="AI27" i="23"/>
  <c r="AH27" i="23" s="1"/>
  <c r="AG27" i="23" s="1"/>
  <c r="AF27" i="23" s="1"/>
  <c r="AD27" i="23" s="1"/>
  <c r="AI31" i="23"/>
  <c r="AH31" i="23" s="1"/>
  <c r="AG31" i="23" s="1"/>
  <c r="AF31" i="23" s="1"/>
  <c r="AD31" i="23" s="1"/>
  <c r="AI35" i="23"/>
  <c r="AH35" i="23" s="1"/>
  <c r="AG35" i="23" s="1"/>
  <c r="AF35" i="23" s="1"/>
  <c r="AD35" i="23" s="1"/>
  <c r="AI39" i="23"/>
  <c r="AH39" i="23" s="1"/>
  <c r="AG39" i="23" s="1"/>
  <c r="AF39" i="23" s="1"/>
  <c r="AD39" i="23" s="1"/>
  <c r="AI43" i="23"/>
  <c r="AH43" i="23" s="1"/>
  <c r="AG43" i="23" s="1"/>
  <c r="AF43" i="23" s="1"/>
  <c r="AD43" i="23" s="1"/>
  <c r="AI47" i="23"/>
  <c r="AH47" i="23" s="1"/>
  <c r="AG47" i="23" s="1"/>
  <c r="AF47" i="23" s="1"/>
  <c r="AD47" i="23" s="1"/>
  <c r="AI51" i="23"/>
  <c r="AH51" i="23" s="1"/>
  <c r="AG51" i="23" s="1"/>
  <c r="AF51" i="23" s="1"/>
  <c r="AD51" i="23" s="1"/>
  <c r="AI55" i="23"/>
  <c r="AH55" i="23" s="1"/>
  <c r="AG55" i="23" s="1"/>
  <c r="AF55" i="23" s="1"/>
  <c r="AD55" i="23" s="1"/>
  <c r="AI59" i="23"/>
  <c r="AH59" i="23" s="1"/>
  <c r="AG59" i="23" s="1"/>
  <c r="AF59" i="23" s="1"/>
  <c r="AD59" i="23" s="1"/>
  <c r="AI62" i="23"/>
  <c r="AH62" i="23" s="1"/>
  <c r="AG62" i="23" s="1"/>
  <c r="AF62" i="23" s="1"/>
  <c r="AD62" i="23" s="1"/>
  <c r="AI64" i="23"/>
  <c r="AH64" i="23" s="1"/>
  <c r="AG64" i="23" s="1"/>
  <c r="AF64" i="23" s="1"/>
  <c r="AD64" i="23" s="1"/>
  <c r="AI66" i="23"/>
  <c r="AH66" i="23" s="1"/>
  <c r="AG66" i="23" s="1"/>
  <c r="AF66" i="23" s="1"/>
  <c r="AD66" i="23" s="1"/>
  <c r="AI68" i="23"/>
  <c r="AH68" i="23" s="1"/>
  <c r="AG68" i="23" s="1"/>
  <c r="AF68" i="23" s="1"/>
  <c r="AD68" i="23" s="1"/>
  <c r="AI70" i="23"/>
  <c r="AH70" i="23" s="1"/>
  <c r="AG70" i="23" s="1"/>
  <c r="AF70" i="23" s="1"/>
  <c r="AD70" i="23" s="1"/>
  <c r="AI72" i="23"/>
  <c r="AH72" i="23" s="1"/>
  <c r="AG72" i="23" s="1"/>
  <c r="AF72" i="23" s="1"/>
  <c r="AD72" i="23" s="1"/>
  <c r="AI74" i="23"/>
  <c r="AH74" i="23" s="1"/>
  <c r="AG74" i="23" s="1"/>
  <c r="AF74" i="23" s="1"/>
  <c r="AD74" i="23" s="1"/>
  <c r="AI76" i="23"/>
  <c r="AH76" i="23" s="1"/>
  <c r="AG76" i="23" s="1"/>
  <c r="AF76" i="23" s="1"/>
  <c r="AD76" i="23" s="1"/>
  <c r="AI78" i="23"/>
  <c r="AH78" i="23" s="1"/>
  <c r="AG78" i="23" s="1"/>
  <c r="AF78" i="23" s="1"/>
  <c r="AD78" i="23" s="1"/>
  <c r="AI80" i="23"/>
  <c r="AH80" i="23" s="1"/>
  <c r="AG80" i="23" s="1"/>
  <c r="AF80" i="23" s="1"/>
  <c r="AD80" i="23" s="1"/>
  <c r="AI82" i="23"/>
  <c r="AH82" i="23" s="1"/>
  <c r="AG82" i="23" s="1"/>
  <c r="AF82" i="23" s="1"/>
  <c r="AD82" i="23" s="1"/>
  <c r="AI84" i="23"/>
  <c r="AH84" i="23" s="1"/>
  <c r="AG84" i="23" s="1"/>
  <c r="AF84" i="23" s="1"/>
  <c r="AD84" i="23" s="1"/>
  <c r="AI86" i="23"/>
  <c r="AH86" i="23" s="1"/>
  <c r="AG86" i="23" s="1"/>
  <c r="AF86" i="23" s="1"/>
  <c r="AD86" i="23" s="1"/>
  <c r="AI88" i="23"/>
  <c r="AH88" i="23" s="1"/>
  <c r="AG88" i="23" s="1"/>
  <c r="AF88" i="23" s="1"/>
  <c r="AD88" i="23" s="1"/>
  <c r="AI90" i="23"/>
  <c r="AH90" i="23" s="1"/>
  <c r="AG90" i="23" s="1"/>
  <c r="AF90" i="23" s="1"/>
  <c r="AD90" i="23" s="1"/>
  <c r="AI92" i="23"/>
  <c r="AH92" i="23" s="1"/>
  <c r="AG92" i="23" s="1"/>
  <c r="AF92" i="23" s="1"/>
  <c r="AD92" i="23" s="1"/>
  <c r="AI94" i="23"/>
  <c r="AH94" i="23" s="1"/>
  <c r="AG94" i="23" s="1"/>
  <c r="AF94" i="23" s="1"/>
  <c r="AD94" i="23" s="1"/>
  <c r="AI96" i="23"/>
  <c r="AH96" i="23" s="1"/>
  <c r="AG96" i="23" s="1"/>
  <c r="AF96" i="23" s="1"/>
  <c r="AD96" i="23" s="1"/>
  <c r="AI98" i="23"/>
  <c r="AH98" i="23" s="1"/>
  <c r="AG98" i="23" s="1"/>
  <c r="AF98" i="23" s="1"/>
  <c r="AD98" i="23" s="1"/>
  <c r="AI100" i="23"/>
  <c r="AH100" i="23" s="1"/>
  <c r="AG100" i="23" s="1"/>
  <c r="AF100" i="23" s="1"/>
  <c r="AD100" i="23" s="1"/>
  <c r="AI102" i="23"/>
  <c r="AH102" i="23" s="1"/>
  <c r="AG102" i="23" s="1"/>
  <c r="AF102" i="23" s="1"/>
  <c r="AD102" i="23" s="1"/>
  <c r="AI99" i="23"/>
  <c r="AH99" i="23" s="1"/>
  <c r="AG99" i="23" s="1"/>
  <c r="AF99" i="23" s="1"/>
  <c r="AD99" i="23" s="1"/>
  <c r="AI103" i="23"/>
  <c r="AH103" i="23" s="1"/>
  <c r="AG103" i="23" s="1"/>
  <c r="AF103" i="23" s="1"/>
  <c r="AD103" i="23" s="1"/>
  <c r="AI18" i="23"/>
  <c r="AH18" i="23" s="1"/>
  <c r="AG18" i="23" s="1"/>
  <c r="AF18" i="23" s="1"/>
  <c r="AD18" i="23" s="1"/>
  <c r="AI21" i="23"/>
  <c r="AH21" i="23" s="1"/>
  <c r="AG21" i="23" s="1"/>
  <c r="AF21" i="23" s="1"/>
  <c r="AD21" i="23" s="1"/>
  <c r="AI25" i="23"/>
  <c r="AH25" i="23" s="1"/>
  <c r="AG25" i="23" s="1"/>
  <c r="AF25" i="23" s="1"/>
  <c r="AD25" i="23" s="1"/>
  <c r="AI29" i="23"/>
  <c r="AH29" i="23" s="1"/>
  <c r="AG29" i="23" s="1"/>
  <c r="AF29" i="23" s="1"/>
  <c r="AD29" i="23" s="1"/>
  <c r="AI33" i="23"/>
  <c r="AH33" i="23" s="1"/>
  <c r="AG33" i="23" s="1"/>
  <c r="AF33" i="23" s="1"/>
  <c r="AD33" i="23" s="1"/>
  <c r="AI37" i="23"/>
  <c r="AH37" i="23" s="1"/>
  <c r="AG37" i="23" s="1"/>
  <c r="AF37" i="23" s="1"/>
  <c r="AD37" i="23" s="1"/>
  <c r="AI41" i="23"/>
  <c r="AH41" i="23" s="1"/>
  <c r="AG41" i="23" s="1"/>
  <c r="AF41" i="23" s="1"/>
  <c r="AD41" i="23" s="1"/>
  <c r="AI45" i="23"/>
  <c r="AH45" i="23" s="1"/>
  <c r="AG45" i="23" s="1"/>
  <c r="AF45" i="23" s="1"/>
  <c r="AD45" i="23" s="1"/>
  <c r="AI49" i="23"/>
  <c r="AH49" i="23" s="1"/>
  <c r="AG49" i="23" s="1"/>
  <c r="AF49" i="23" s="1"/>
  <c r="AD49" i="23" s="1"/>
  <c r="AI53" i="23"/>
  <c r="AH53" i="23" s="1"/>
  <c r="AG53" i="23" s="1"/>
  <c r="AF53" i="23" s="1"/>
  <c r="AD53" i="23" s="1"/>
  <c r="AI57" i="23"/>
  <c r="AH57" i="23" s="1"/>
  <c r="AG57" i="23" s="1"/>
  <c r="AF57" i="23" s="1"/>
  <c r="AD57" i="23" s="1"/>
  <c r="AI61" i="23"/>
  <c r="AH61" i="23" s="1"/>
  <c r="AG61" i="23" s="1"/>
  <c r="AF61" i="23" s="1"/>
  <c r="AD61" i="23" s="1"/>
  <c r="AI63" i="23"/>
  <c r="AH63" i="23" s="1"/>
  <c r="AG63" i="23" s="1"/>
  <c r="AF63" i="23" s="1"/>
  <c r="AD63" i="23" s="1"/>
  <c r="AI65" i="23"/>
  <c r="AH65" i="23" s="1"/>
  <c r="AG65" i="23" s="1"/>
  <c r="AF65" i="23" s="1"/>
  <c r="AD65" i="23" s="1"/>
  <c r="AI67" i="23"/>
  <c r="AH67" i="23" s="1"/>
  <c r="AG67" i="23" s="1"/>
  <c r="AF67" i="23" s="1"/>
  <c r="AD67" i="23" s="1"/>
  <c r="AI69" i="23"/>
  <c r="AH69" i="23" s="1"/>
  <c r="AG69" i="23" s="1"/>
  <c r="AF69" i="23" s="1"/>
  <c r="AD69" i="23" s="1"/>
  <c r="AI71" i="23"/>
  <c r="AH71" i="23" s="1"/>
  <c r="AG71" i="23" s="1"/>
  <c r="AF71" i="23" s="1"/>
  <c r="AD71" i="23" s="1"/>
  <c r="AI73" i="23"/>
  <c r="AH73" i="23" s="1"/>
  <c r="AG73" i="23" s="1"/>
  <c r="AF73" i="23" s="1"/>
  <c r="AD73" i="23" s="1"/>
  <c r="AI75" i="23"/>
  <c r="AH75" i="23" s="1"/>
  <c r="AG75" i="23" s="1"/>
  <c r="AF75" i="23" s="1"/>
  <c r="AD75" i="23" s="1"/>
  <c r="AI77" i="23"/>
  <c r="AH77" i="23" s="1"/>
  <c r="AG77" i="23" s="1"/>
  <c r="AF77" i="23" s="1"/>
  <c r="AD77" i="23" s="1"/>
  <c r="AI79" i="23"/>
  <c r="AH79" i="23" s="1"/>
  <c r="AG79" i="23" s="1"/>
  <c r="AF79" i="23" s="1"/>
  <c r="AD79" i="23" s="1"/>
  <c r="AI81" i="23"/>
  <c r="AH81" i="23" s="1"/>
  <c r="AG81" i="23" s="1"/>
  <c r="AF81" i="23" s="1"/>
  <c r="AD81" i="23" s="1"/>
  <c r="AI83" i="23"/>
  <c r="AH83" i="23" s="1"/>
  <c r="AG83" i="23" s="1"/>
  <c r="AF83" i="23" s="1"/>
  <c r="AD83" i="23" s="1"/>
  <c r="AI85" i="23"/>
  <c r="AH85" i="23" s="1"/>
  <c r="AG85" i="23" s="1"/>
  <c r="AF85" i="23" s="1"/>
  <c r="AD85" i="23" s="1"/>
  <c r="AI87" i="23"/>
  <c r="AH87" i="23" s="1"/>
  <c r="AG87" i="23" s="1"/>
  <c r="AF87" i="23" s="1"/>
  <c r="AD87" i="23" s="1"/>
  <c r="AI89" i="23"/>
  <c r="AH89" i="23" s="1"/>
  <c r="AG89" i="23" s="1"/>
  <c r="AF89" i="23" s="1"/>
  <c r="AD89" i="23" s="1"/>
  <c r="AI91" i="23"/>
  <c r="AH91" i="23" s="1"/>
  <c r="AG91" i="23" s="1"/>
  <c r="AF91" i="23" s="1"/>
  <c r="AD91" i="23" s="1"/>
  <c r="AI93" i="23"/>
  <c r="AH93" i="23" s="1"/>
  <c r="AG93" i="23" s="1"/>
  <c r="AF93" i="23" s="1"/>
  <c r="AD93" i="23" s="1"/>
  <c r="AI95" i="23"/>
  <c r="AH95" i="23" s="1"/>
  <c r="AG95" i="23" s="1"/>
  <c r="AF95" i="23" s="1"/>
  <c r="AD95" i="23" s="1"/>
  <c r="AI97" i="23"/>
  <c r="AH97" i="23" s="1"/>
  <c r="AG97" i="23" s="1"/>
  <c r="AF97" i="23" s="1"/>
  <c r="AD97" i="23" s="1"/>
  <c r="AI101" i="23"/>
  <c r="AH101" i="23" s="1"/>
  <c r="AG101" i="23" s="1"/>
  <c r="AF101" i="23" s="1"/>
  <c r="AD101" i="23" s="1"/>
  <c r="AI58" i="23"/>
  <c r="AH58" i="23" s="1"/>
  <c r="AG58" i="23" s="1"/>
  <c r="AF58" i="23" s="1"/>
  <c r="AD58" i="23" s="1"/>
  <c r="AI54" i="23"/>
  <c r="AH54" i="23" s="1"/>
  <c r="AG54" i="23" s="1"/>
  <c r="AF54" i="23" s="1"/>
  <c r="AD54" i="23" s="1"/>
  <c r="AI50" i="23"/>
  <c r="AH50" i="23" s="1"/>
  <c r="AG50" i="23" s="1"/>
  <c r="AF50" i="23" s="1"/>
  <c r="AD50" i="23" s="1"/>
  <c r="AI46" i="23"/>
  <c r="AH46" i="23" s="1"/>
  <c r="AG46" i="23" s="1"/>
  <c r="AF46" i="23" s="1"/>
  <c r="AD46" i="23" s="1"/>
  <c r="AI42" i="23"/>
  <c r="AH42" i="23" s="1"/>
  <c r="AG42" i="23" s="1"/>
  <c r="AF42" i="23" s="1"/>
  <c r="AD42" i="23" s="1"/>
  <c r="AI38" i="23"/>
  <c r="AH38" i="23" s="1"/>
  <c r="AG38" i="23" s="1"/>
  <c r="AF38" i="23" s="1"/>
  <c r="AD38" i="23" s="1"/>
  <c r="AI34" i="23"/>
  <c r="AH34" i="23" s="1"/>
  <c r="AG34" i="23" s="1"/>
  <c r="AF34" i="23" s="1"/>
  <c r="AD34" i="23" s="1"/>
  <c r="AI30" i="23"/>
  <c r="AH30" i="23" s="1"/>
  <c r="AG30" i="23" s="1"/>
  <c r="AF30" i="23" s="1"/>
  <c r="AD30" i="23" s="1"/>
  <c r="AI26" i="23"/>
  <c r="AH26" i="23" s="1"/>
  <c r="AG26" i="23" s="1"/>
  <c r="AF26" i="23" s="1"/>
  <c r="AD26" i="23" s="1"/>
  <c r="AI15" i="23"/>
  <c r="AH15" i="23" s="1"/>
  <c r="AG15" i="23" s="1"/>
  <c r="AI23" i="23"/>
  <c r="AH23" i="23" s="1"/>
  <c r="AG23" i="23" s="1"/>
  <c r="AF23" i="23" s="1"/>
  <c r="AD23" i="23" s="1"/>
  <c r="AI60" i="23"/>
  <c r="AH60" i="23" s="1"/>
  <c r="AG60" i="23" s="1"/>
  <c r="AF60" i="23" s="1"/>
  <c r="AD60" i="23" s="1"/>
  <c r="AI56" i="23"/>
  <c r="AH56" i="23" s="1"/>
  <c r="AG56" i="23" s="1"/>
  <c r="AF56" i="23" s="1"/>
  <c r="AD56" i="23" s="1"/>
  <c r="AI52" i="23"/>
  <c r="AH52" i="23" s="1"/>
  <c r="AG52" i="23" s="1"/>
  <c r="AF52" i="23" s="1"/>
  <c r="AD52" i="23" s="1"/>
  <c r="AI48" i="23"/>
  <c r="AH48" i="23" s="1"/>
  <c r="AG48" i="23" s="1"/>
  <c r="AF48" i="23" s="1"/>
  <c r="AD48" i="23" s="1"/>
  <c r="AI44" i="23"/>
  <c r="AH44" i="23" s="1"/>
  <c r="AG44" i="23" s="1"/>
  <c r="AF44" i="23" s="1"/>
  <c r="AD44" i="23" s="1"/>
  <c r="AI40" i="23"/>
  <c r="AH40" i="23" s="1"/>
  <c r="AG40" i="23" s="1"/>
  <c r="AF40" i="23" s="1"/>
  <c r="AD40" i="23" s="1"/>
  <c r="AI36" i="23"/>
  <c r="AH36" i="23" s="1"/>
  <c r="AG36" i="23" s="1"/>
  <c r="AF36" i="23" s="1"/>
  <c r="AD36" i="23" s="1"/>
  <c r="AI32" i="23"/>
  <c r="AH32" i="23" s="1"/>
  <c r="AG32" i="23" s="1"/>
  <c r="AF32" i="23" s="1"/>
  <c r="AD32" i="23" s="1"/>
  <c r="AI28" i="23"/>
  <c r="AH28" i="23" s="1"/>
  <c r="AG28" i="23" s="1"/>
  <c r="AF28" i="23" s="1"/>
  <c r="AD28" i="23" s="1"/>
  <c r="AI24" i="23"/>
  <c r="AH24" i="23" s="1"/>
  <c r="AG24" i="23" s="1"/>
  <c r="AF24" i="23" s="1"/>
  <c r="AD24" i="23" s="1"/>
  <c r="AI16" i="23"/>
  <c r="AH16" i="23" s="1"/>
  <c r="AG16" i="23" s="1"/>
  <c r="AF16" i="23" s="1"/>
  <c r="AD16" i="23" s="1"/>
  <c r="AI22" i="23"/>
  <c r="AH22" i="23" s="1"/>
  <c r="AG22" i="23" s="1"/>
  <c r="AF22" i="23" s="1"/>
  <c r="AD22" i="23" s="1"/>
  <c r="S15" i="22"/>
  <c r="T381" i="22"/>
  <c r="T382" i="22"/>
  <c r="T383" i="22"/>
  <c r="P382" i="20"/>
  <c r="P383" i="20"/>
  <c r="V15" i="20"/>
  <c r="P381" i="20"/>
  <c r="AH383" i="22"/>
  <c r="AH382" i="22"/>
  <c r="AH381" i="22"/>
  <c r="AG15" i="22"/>
  <c r="AD381" i="20"/>
  <c r="AD382" i="20"/>
  <c r="AD383" i="20"/>
  <c r="U122" i="23"/>
  <c r="T122" i="23" s="1"/>
  <c r="S122" i="23" s="1"/>
  <c r="R122" i="23" s="1"/>
  <c r="P122" i="23" s="1"/>
  <c r="V122" i="23" s="1"/>
  <c r="U154" i="23"/>
  <c r="T154" i="23" s="1"/>
  <c r="S154" i="23" s="1"/>
  <c r="R154" i="23" s="1"/>
  <c r="P154" i="23" s="1"/>
  <c r="V154" i="23" s="1"/>
  <c r="U185" i="23"/>
  <c r="T185" i="23" s="1"/>
  <c r="S185" i="23" s="1"/>
  <c r="R185" i="23" s="1"/>
  <c r="P185" i="23" s="1"/>
  <c r="V185" i="23" s="1"/>
  <c r="U201" i="23"/>
  <c r="T201" i="23" s="1"/>
  <c r="S201" i="23" s="1"/>
  <c r="R201" i="23" s="1"/>
  <c r="P201" i="23" s="1"/>
  <c r="V201" i="23" s="1"/>
  <c r="U209" i="23"/>
  <c r="T209" i="23" s="1"/>
  <c r="S209" i="23" s="1"/>
  <c r="R209" i="23" s="1"/>
  <c r="P209" i="23" s="1"/>
  <c r="V209" i="23" s="1"/>
  <c r="U217" i="23"/>
  <c r="T217" i="23" s="1"/>
  <c r="S217" i="23" s="1"/>
  <c r="R217" i="23" s="1"/>
  <c r="P217" i="23" s="1"/>
  <c r="V217" i="23" s="1"/>
  <c r="U225" i="23"/>
  <c r="T225" i="23" s="1"/>
  <c r="S225" i="23" s="1"/>
  <c r="R225" i="23" s="1"/>
  <c r="P225" i="23" s="1"/>
  <c r="V225" i="23" s="1"/>
  <c r="U233" i="23"/>
  <c r="T233" i="23" s="1"/>
  <c r="S233" i="23" s="1"/>
  <c r="R233" i="23" s="1"/>
  <c r="P233" i="23" s="1"/>
  <c r="V233" i="23" s="1"/>
  <c r="U239" i="23"/>
  <c r="T239" i="23" s="1"/>
  <c r="S239" i="23" s="1"/>
  <c r="R239" i="23" s="1"/>
  <c r="P239" i="23" s="1"/>
  <c r="V239" i="23" s="1"/>
  <c r="U243" i="23"/>
  <c r="T243" i="23" s="1"/>
  <c r="S243" i="23" s="1"/>
  <c r="R243" i="23" s="1"/>
  <c r="P243" i="23" s="1"/>
  <c r="V243" i="23" s="1"/>
  <c r="U247" i="23"/>
  <c r="T247" i="23" s="1"/>
  <c r="S247" i="23" s="1"/>
  <c r="R247" i="23" s="1"/>
  <c r="P247" i="23" s="1"/>
  <c r="V247" i="23" s="1"/>
  <c r="U251" i="23"/>
  <c r="T251" i="23" s="1"/>
  <c r="S251" i="23" s="1"/>
  <c r="R251" i="23" s="1"/>
  <c r="P251" i="23" s="1"/>
  <c r="V251" i="23" s="1"/>
  <c r="U255" i="23"/>
  <c r="T255" i="23" s="1"/>
  <c r="S255" i="23" s="1"/>
  <c r="R255" i="23" s="1"/>
  <c r="P255" i="23" s="1"/>
  <c r="V255" i="23" s="1"/>
  <c r="U259" i="23"/>
  <c r="T259" i="23" s="1"/>
  <c r="S259" i="23" s="1"/>
  <c r="R259" i="23" s="1"/>
  <c r="P259" i="23" s="1"/>
  <c r="V259" i="23" s="1"/>
  <c r="U263" i="23"/>
  <c r="T263" i="23" s="1"/>
  <c r="S263" i="23" s="1"/>
  <c r="R263" i="23" s="1"/>
  <c r="P263" i="23" s="1"/>
  <c r="V263" i="23" s="1"/>
  <c r="U267" i="23"/>
  <c r="T267" i="23" s="1"/>
  <c r="S267" i="23" s="1"/>
  <c r="R267" i="23" s="1"/>
  <c r="P267" i="23" s="1"/>
  <c r="V267" i="23" s="1"/>
  <c r="U271" i="23"/>
  <c r="T271" i="23" s="1"/>
  <c r="S271" i="23" s="1"/>
  <c r="R271" i="23" s="1"/>
  <c r="P271" i="23" s="1"/>
  <c r="V271" i="23" s="1"/>
  <c r="U275" i="23"/>
  <c r="T275" i="23" s="1"/>
  <c r="S275" i="23" s="1"/>
  <c r="R275" i="23" s="1"/>
  <c r="P275" i="23" s="1"/>
  <c r="V275" i="23" s="1"/>
  <c r="U279" i="23"/>
  <c r="T279" i="23" s="1"/>
  <c r="S279" i="23" s="1"/>
  <c r="R279" i="23" s="1"/>
  <c r="P279" i="23" s="1"/>
  <c r="V279" i="23" s="1"/>
  <c r="U283" i="23"/>
  <c r="T283" i="23" s="1"/>
  <c r="S283" i="23" s="1"/>
  <c r="R283" i="23" s="1"/>
  <c r="P283" i="23" s="1"/>
  <c r="V283" i="23" s="1"/>
  <c r="U287" i="23"/>
  <c r="T287" i="23" s="1"/>
  <c r="S287" i="23" s="1"/>
  <c r="R287" i="23" s="1"/>
  <c r="P287" i="23" s="1"/>
  <c r="V287" i="23" s="1"/>
  <c r="U291" i="23"/>
  <c r="T291" i="23" s="1"/>
  <c r="S291" i="23" s="1"/>
  <c r="R291" i="23" s="1"/>
  <c r="P291" i="23" s="1"/>
  <c r="V291" i="23" s="1"/>
  <c r="U295" i="23"/>
  <c r="T295" i="23" s="1"/>
  <c r="S295" i="23" s="1"/>
  <c r="R295" i="23" s="1"/>
  <c r="P295" i="23" s="1"/>
  <c r="V295" i="23" s="1"/>
  <c r="U299" i="23"/>
  <c r="T299" i="23" s="1"/>
  <c r="S299" i="23" s="1"/>
  <c r="R299" i="23" s="1"/>
  <c r="P299" i="23" s="1"/>
  <c r="V299" i="23" s="1"/>
  <c r="U303" i="23"/>
  <c r="T303" i="23" s="1"/>
  <c r="S303" i="23" s="1"/>
  <c r="R303" i="23" s="1"/>
  <c r="P303" i="23" s="1"/>
  <c r="V303" i="23" s="1"/>
  <c r="U307" i="23"/>
  <c r="T307" i="23" s="1"/>
  <c r="S307" i="23" s="1"/>
  <c r="R307" i="23" s="1"/>
  <c r="P307" i="23" s="1"/>
  <c r="V307" i="23" s="1"/>
  <c r="U311" i="23"/>
  <c r="T311" i="23" s="1"/>
  <c r="S311" i="23" s="1"/>
  <c r="R311" i="23" s="1"/>
  <c r="P311" i="23" s="1"/>
  <c r="V311" i="23" s="1"/>
  <c r="U315" i="23"/>
  <c r="T315" i="23" s="1"/>
  <c r="S315" i="23" s="1"/>
  <c r="R315" i="23" s="1"/>
  <c r="P315" i="23" s="1"/>
  <c r="V315" i="23" s="1"/>
  <c r="U319" i="23"/>
  <c r="T319" i="23" s="1"/>
  <c r="S319" i="23" s="1"/>
  <c r="R319" i="23" s="1"/>
  <c r="P319" i="23" s="1"/>
  <c r="V319" i="23" s="1"/>
  <c r="U323" i="23"/>
  <c r="T323" i="23" s="1"/>
  <c r="S323" i="23" s="1"/>
  <c r="R323" i="23" s="1"/>
  <c r="P323" i="23" s="1"/>
  <c r="V323" i="23" s="1"/>
  <c r="U327" i="23"/>
  <c r="T327" i="23" s="1"/>
  <c r="S327" i="23" s="1"/>
  <c r="R327" i="23" s="1"/>
  <c r="P327" i="23" s="1"/>
  <c r="V327" i="23" s="1"/>
  <c r="U331" i="23"/>
  <c r="T331" i="23" s="1"/>
  <c r="S331" i="23" s="1"/>
  <c r="R331" i="23" s="1"/>
  <c r="P331" i="23" s="1"/>
  <c r="V331" i="23" s="1"/>
  <c r="U335" i="23"/>
  <c r="T335" i="23" s="1"/>
  <c r="S335" i="23" s="1"/>
  <c r="R335" i="23" s="1"/>
  <c r="P335" i="23" s="1"/>
  <c r="V335" i="23" s="1"/>
  <c r="U339" i="23"/>
  <c r="T339" i="23" s="1"/>
  <c r="S339" i="23" s="1"/>
  <c r="R339" i="23" s="1"/>
  <c r="P339" i="23" s="1"/>
  <c r="V339" i="23" s="1"/>
  <c r="U343" i="23"/>
  <c r="T343" i="23" s="1"/>
  <c r="S343" i="23" s="1"/>
  <c r="R343" i="23" s="1"/>
  <c r="P343" i="23" s="1"/>
  <c r="V343" i="23" s="1"/>
  <c r="U347" i="23"/>
  <c r="T347" i="23" s="1"/>
  <c r="S347" i="23" s="1"/>
  <c r="R347" i="23" s="1"/>
  <c r="P347" i="23" s="1"/>
  <c r="V347" i="23" s="1"/>
  <c r="U351" i="23"/>
  <c r="T351" i="23" s="1"/>
  <c r="S351" i="23" s="1"/>
  <c r="R351" i="23" s="1"/>
  <c r="P351" i="23" s="1"/>
  <c r="V351" i="23" s="1"/>
  <c r="U355" i="23"/>
  <c r="T355" i="23" s="1"/>
  <c r="S355" i="23" s="1"/>
  <c r="R355" i="23" s="1"/>
  <c r="P355" i="23" s="1"/>
  <c r="V355" i="23" s="1"/>
  <c r="U359" i="23"/>
  <c r="T359" i="23" s="1"/>
  <c r="S359" i="23" s="1"/>
  <c r="R359" i="23" s="1"/>
  <c r="P359" i="23" s="1"/>
  <c r="V359" i="23" s="1"/>
  <c r="U363" i="23"/>
  <c r="T363" i="23" s="1"/>
  <c r="S363" i="23" s="1"/>
  <c r="R363" i="23" s="1"/>
  <c r="P363" i="23" s="1"/>
  <c r="U367" i="23"/>
  <c r="T367" i="23" s="1"/>
  <c r="S367" i="23" s="1"/>
  <c r="R367" i="23" s="1"/>
  <c r="P367" i="23" s="1"/>
  <c r="V367" i="23" s="1"/>
  <c r="U371" i="23"/>
  <c r="T371" i="23" s="1"/>
  <c r="S371" i="23" s="1"/>
  <c r="R371" i="23" s="1"/>
  <c r="P371" i="23" s="1"/>
  <c r="V371" i="23" s="1"/>
  <c r="U375" i="23"/>
  <c r="T375" i="23" s="1"/>
  <c r="S375" i="23" s="1"/>
  <c r="R375" i="23" s="1"/>
  <c r="P375" i="23" s="1"/>
  <c r="V375" i="23" s="1"/>
  <c r="U379" i="23"/>
  <c r="U106" i="23"/>
  <c r="T106" i="23" s="1"/>
  <c r="S106" i="23" s="1"/>
  <c r="R106" i="23" s="1"/>
  <c r="P106" i="23" s="1"/>
  <c r="V106" i="23" s="1"/>
  <c r="U138" i="23"/>
  <c r="T138" i="23" s="1"/>
  <c r="S138" i="23" s="1"/>
  <c r="R138" i="23" s="1"/>
  <c r="P138" i="23" s="1"/>
  <c r="V138" i="23" s="1"/>
  <c r="U170" i="23"/>
  <c r="T170" i="23" s="1"/>
  <c r="S170" i="23" s="1"/>
  <c r="R170" i="23" s="1"/>
  <c r="P170" i="23" s="1"/>
  <c r="V170" i="23" s="1"/>
  <c r="U193" i="23"/>
  <c r="T193" i="23" s="1"/>
  <c r="S193" i="23" s="1"/>
  <c r="R193" i="23" s="1"/>
  <c r="P193" i="23" s="1"/>
  <c r="V193" i="23" s="1"/>
  <c r="U205" i="23"/>
  <c r="T205" i="23" s="1"/>
  <c r="S205" i="23" s="1"/>
  <c r="R205" i="23" s="1"/>
  <c r="P205" i="23" s="1"/>
  <c r="V205" i="23" s="1"/>
  <c r="U213" i="23"/>
  <c r="T213" i="23" s="1"/>
  <c r="S213" i="23" s="1"/>
  <c r="R213" i="23" s="1"/>
  <c r="P213" i="23" s="1"/>
  <c r="V213" i="23" s="1"/>
  <c r="U221" i="23"/>
  <c r="T221" i="23" s="1"/>
  <c r="S221" i="23" s="1"/>
  <c r="R221" i="23" s="1"/>
  <c r="P221" i="23" s="1"/>
  <c r="V221" i="23" s="1"/>
  <c r="U229" i="23"/>
  <c r="T229" i="23" s="1"/>
  <c r="S229" i="23" s="1"/>
  <c r="R229" i="23" s="1"/>
  <c r="P229" i="23" s="1"/>
  <c r="V229" i="23" s="1"/>
  <c r="U237" i="23"/>
  <c r="T237" i="23" s="1"/>
  <c r="S237" i="23" s="1"/>
  <c r="R237" i="23" s="1"/>
  <c r="P237" i="23" s="1"/>
  <c r="V237" i="23" s="1"/>
  <c r="U241" i="23"/>
  <c r="T241" i="23" s="1"/>
  <c r="S241" i="23" s="1"/>
  <c r="R241" i="23" s="1"/>
  <c r="P241" i="23" s="1"/>
  <c r="U245" i="23"/>
  <c r="T245" i="23" s="1"/>
  <c r="S245" i="23" s="1"/>
  <c r="R245" i="23" s="1"/>
  <c r="P245" i="23" s="1"/>
  <c r="V245" i="23" s="1"/>
  <c r="U249" i="23"/>
  <c r="T249" i="23" s="1"/>
  <c r="S249" i="23" s="1"/>
  <c r="R249" i="23" s="1"/>
  <c r="P249" i="23" s="1"/>
  <c r="V249" i="23" s="1"/>
  <c r="U253" i="23"/>
  <c r="T253" i="23" s="1"/>
  <c r="S253" i="23" s="1"/>
  <c r="R253" i="23" s="1"/>
  <c r="P253" i="23" s="1"/>
  <c r="V253" i="23" s="1"/>
  <c r="U257" i="23"/>
  <c r="T257" i="23" s="1"/>
  <c r="S257" i="23" s="1"/>
  <c r="R257" i="23" s="1"/>
  <c r="P257" i="23" s="1"/>
  <c r="V257" i="23" s="1"/>
  <c r="U261" i="23"/>
  <c r="T261" i="23" s="1"/>
  <c r="S261" i="23" s="1"/>
  <c r="R261" i="23" s="1"/>
  <c r="P261" i="23" s="1"/>
  <c r="V261" i="23" s="1"/>
  <c r="U265" i="23"/>
  <c r="T265" i="23" s="1"/>
  <c r="S265" i="23" s="1"/>
  <c r="R265" i="23" s="1"/>
  <c r="P265" i="23" s="1"/>
  <c r="V265" i="23" s="1"/>
  <c r="U269" i="23"/>
  <c r="T269" i="23" s="1"/>
  <c r="S269" i="23" s="1"/>
  <c r="R269" i="23" s="1"/>
  <c r="P269" i="23" s="1"/>
  <c r="V269" i="23" s="1"/>
  <c r="U273" i="23"/>
  <c r="T273" i="23" s="1"/>
  <c r="S273" i="23" s="1"/>
  <c r="R273" i="23" s="1"/>
  <c r="P273" i="23" s="1"/>
  <c r="V273" i="23" s="1"/>
  <c r="U277" i="23"/>
  <c r="T277" i="23" s="1"/>
  <c r="S277" i="23" s="1"/>
  <c r="R277" i="23" s="1"/>
  <c r="P277" i="23" s="1"/>
  <c r="V277" i="23" s="1"/>
  <c r="U281" i="23"/>
  <c r="T281" i="23" s="1"/>
  <c r="S281" i="23" s="1"/>
  <c r="R281" i="23" s="1"/>
  <c r="P281" i="23" s="1"/>
  <c r="V281" i="23" s="1"/>
  <c r="U285" i="23"/>
  <c r="T285" i="23" s="1"/>
  <c r="S285" i="23" s="1"/>
  <c r="R285" i="23" s="1"/>
  <c r="P285" i="23" s="1"/>
  <c r="V285" i="23" s="1"/>
  <c r="U289" i="23"/>
  <c r="T289" i="23" s="1"/>
  <c r="S289" i="23" s="1"/>
  <c r="R289" i="23" s="1"/>
  <c r="P289" i="23" s="1"/>
  <c r="V289" i="23" s="1"/>
  <c r="U293" i="23"/>
  <c r="T293" i="23" s="1"/>
  <c r="S293" i="23" s="1"/>
  <c r="R293" i="23" s="1"/>
  <c r="P293" i="23" s="1"/>
  <c r="V293" i="23" s="1"/>
  <c r="U297" i="23"/>
  <c r="T297" i="23" s="1"/>
  <c r="S297" i="23" s="1"/>
  <c r="R297" i="23" s="1"/>
  <c r="P297" i="23" s="1"/>
  <c r="V297" i="23" s="1"/>
  <c r="U301" i="23"/>
  <c r="T301" i="23" s="1"/>
  <c r="S301" i="23" s="1"/>
  <c r="R301" i="23" s="1"/>
  <c r="P301" i="23" s="1"/>
  <c r="V301" i="23" s="1"/>
  <c r="U305" i="23"/>
  <c r="T305" i="23" s="1"/>
  <c r="S305" i="23" s="1"/>
  <c r="R305" i="23" s="1"/>
  <c r="P305" i="23" s="1"/>
  <c r="V305" i="23" s="1"/>
  <c r="U309" i="23"/>
  <c r="T309" i="23" s="1"/>
  <c r="S309" i="23" s="1"/>
  <c r="R309" i="23" s="1"/>
  <c r="P309" i="23" s="1"/>
  <c r="V309" i="23" s="1"/>
  <c r="U313" i="23"/>
  <c r="T313" i="23" s="1"/>
  <c r="S313" i="23" s="1"/>
  <c r="R313" i="23" s="1"/>
  <c r="P313" i="23" s="1"/>
  <c r="V313" i="23" s="1"/>
  <c r="U317" i="23"/>
  <c r="T317" i="23" s="1"/>
  <c r="S317" i="23" s="1"/>
  <c r="R317" i="23" s="1"/>
  <c r="P317" i="23" s="1"/>
  <c r="V317" i="23" s="1"/>
  <c r="U321" i="23"/>
  <c r="T321" i="23" s="1"/>
  <c r="S321" i="23" s="1"/>
  <c r="R321" i="23" s="1"/>
  <c r="P321" i="23" s="1"/>
  <c r="V321" i="23" s="1"/>
  <c r="U325" i="23"/>
  <c r="T325" i="23" s="1"/>
  <c r="S325" i="23" s="1"/>
  <c r="R325" i="23" s="1"/>
  <c r="P325" i="23" s="1"/>
  <c r="V325" i="23" s="1"/>
  <c r="U329" i="23"/>
  <c r="T329" i="23" s="1"/>
  <c r="S329" i="23" s="1"/>
  <c r="R329" i="23" s="1"/>
  <c r="P329" i="23" s="1"/>
  <c r="V329" i="23" s="1"/>
  <c r="U333" i="23"/>
  <c r="T333" i="23" s="1"/>
  <c r="S333" i="23" s="1"/>
  <c r="R333" i="23" s="1"/>
  <c r="P333" i="23" s="1"/>
  <c r="U337" i="23"/>
  <c r="T337" i="23" s="1"/>
  <c r="S337" i="23" s="1"/>
  <c r="R337" i="23" s="1"/>
  <c r="P337" i="23" s="1"/>
  <c r="V337" i="23" s="1"/>
  <c r="U341" i="23"/>
  <c r="T341" i="23" s="1"/>
  <c r="S341" i="23" s="1"/>
  <c r="R341" i="23" s="1"/>
  <c r="P341" i="23" s="1"/>
  <c r="V341" i="23" s="1"/>
  <c r="U345" i="23"/>
  <c r="T345" i="23" s="1"/>
  <c r="S345" i="23" s="1"/>
  <c r="R345" i="23" s="1"/>
  <c r="P345" i="23" s="1"/>
  <c r="V345" i="23" s="1"/>
  <c r="U349" i="23"/>
  <c r="T349" i="23" s="1"/>
  <c r="S349" i="23" s="1"/>
  <c r="R349" i="23" s="1"/>
  <c r="P349" i="23" s="1"/>
  <c r="V349" i="23" s="1"/>
  <c r="U353" i="23"/>
  <c r="T353" i="23" s="1"/>
  <c r="S353" i="23" s="1"/>
  <c r="R353" i="23" s="1"/>
  <c r="P353" i="23" s="1"/>
  <c r="V353" i="23" s="1"/>
  <c r="U357" i="23"/>
  <c r="T357" i="23" s="1"/>
  <c r="S357" i="23" s="1"/>
  <c r="R357" i="23" s="1"/>
  <c r="P357" i="23" s="1"/>
  <c r="V357" i="23" s="1"/>
  <c r="U361" i="23"/>
  <c r="T361" i="23" s="1"/>
  <c r="S361" i="23" s="1"/>
  <c r="R361" i="23" s="1"/>
  <c r="P361" i="23" s="1"/>
  <c r="V361" i="23" s="1"/>
  <c r="U365" i="23"/>
  <c r="T365" i="23" s="1"/>
  <c r="S365" i="23" s="1"/>
  <c r="R365" i="23" s="1"/>
  <c r="P365" i="23" s="1"/>
  <c r="V365" i="23" s="1"/>
  <c r="U369" i="23"/>
  <c r="T369" i="23" s="1"/>
  <c r="S369" i="23" s="1"/>
  <c r="R369" i="23" s="1"/>
  <c r="P369" i="23" s="1"/>
  <c r="V369" i="23" s="1"/>
  <c r="U373" i="23"/>
  <c r="T373" i="23" s="1"/>
  <c r="S373" i="23" s="1"/>
  <c r="R373" i="23" s="1"/>
  <c r="P373" i="23" s="1"/>
  <c r="V373" i="23" s="1"/>
  <c r="U377" i="23"/>
  <c r="T377" i="23" s="1"/>
  <c r="S377" i="23" s="1"/>
  <c r="R377" i="23" s="1"/>
  <c r="P377" i="23" s="1"/>
  <c r="V377" i="23" s="1"/>
  <c r="U235" i="23"/>
  <c r="T235" i="23" s="1"/>
  <c r="S235" i="23" s="1"/>
  <c r="R235" i="23" s="1"/>
  <c r="P235" i="23" s="1"/>
  <c r="V235" i="23" s="1"/>
  <c r="U227" i="23"/>
  <c r="T227" i="23" s="1"/>
  <c r="S227" i="23" s="1"/>
  <c r="R227" i="23" s="1"/>
  <c r="P227" i="23" s="1"/>
  <c r="V227" i="23" s="1"/>
  <c r="U219" i="23"/>
  <c r="T219" i="23" s="1"/>
  <c r="S219" i="23" s="1"/>
  <c r="R219" i="23" s="1"/>
  <c r="P219" i="23" s="1"/>
  <c r="V219" i="23" s="1"/>
  <c r="U211" i="23"/>
  <c r="T211" i="23" s="1"/>
  <c r="S211" i="23" s="1"/>
  <c r="R211" i="23" s="1"/>
  <c r="P211" i="23" s="1"/>
  <c r="V211" i="23" s="1"/>
  <c r="U203" i="23"/>
  <c r="T203" i="23" s="1"/>
  <c r="S203" i="23" s="1"/>
  <c r="R203" i="23" s="1"/>
  <c r="P203" i="23" s="1"/>
  <c r="V203" i="23" s="1"/>
  <c r="U189" i="23"/>
  <c r="T189" i="23" s="1"/>
  <c r="S189" i="23" s="1"/>
  <c r="R189" i="23" s="1"/>
  <c r="P189" i="23" s="1"/>
  <c r="V189" i="23" s="1"/>
  <c r="U162" i="23"/>
  <c r="T162" i="23" s="1"/>
  <c r="S162" i="23" s="1"/>
  <c r="R162" i="23" s="1"/>
  <c r="P162" i="23" s="1"/>
  <c r="V162" i="23" s="1"/>
  <c r="U130" i="23"/>
  <c r="T130" i="23" s="1"/>
  <c r="S130" i="23" s="1"/>
  <c r="R130" i="23" s="1"/>
  <c r="P130" i="23" s="1"/>
  <c r="V130" i="23" s="1"/>
  <c r="U195" i="23"/>
  <c r="T195" i="23" s="1"/>
  <c r="S195" i="23" s="1"/>
  <c r="R195" i="23" s="1"/>
  <c r="P195" i="23" s="1"/>
  <c r="V195" i="23" s="1"/>
  <c r="U187" i="23"/>
  <c r="T187" i="23" s="1"/>
  <c r="S187" i="23" s="1"/>
  <c r="R187" i="23" s="1"/>
  <c r="P187" i="23" s="1"/>
  <c r="V187" i="23" s="1"/>
  <c r="U174" i="23"/>
  <c r="T174" i="23" s="1"/>
  <c r="S174" i="23" s="1"/>
  <c r="R174" i="23" s="1"/>
  <c r="P174" i="23" s="1"/>
  <c r="V174" i="23" s="1"/>
  <c r="U158" i="23"/>
  <c r="T158" i="23" s="1"/>
  <c r="S158" i="23" s="1"/>
  <c r="R158" i="23" s="1"/>
  <c r="P158" i="23" s="1"/>
  <c r="V158" i="23" s="1"/>
  <c r="U142" i="23"/>
  <c r="T142" i="23" s="1"/>
  <c r="S142" i="23" s="1"/>
  <c r="R142" i="23" s="1"/>
  <c r="P142" i="23" s="1"/>
  <c r="V142" i="23" s="1"/>
  <c r="U126" i="23"/>
  <c r="T126" i="23" s="1"/>
  <c r="S126" i="23" s="1"/>
  <c r="R126" i="23" s="1"/>
  <c r="P126" i="23" s="1"/>
  <c r="V126" i="23" s="1"/>
  <c r="U110" i="23"/>
  <c r="T110" i="23" s="1"/>
  <c r="S110" i="23" s="1"/>
  <c r="R110" i="23" s="1"/>
  <c r="P110" i="23" s="1"/>
  <c r="V110" i="23" s="1"/>
  <c r="U107" i="23"/>
  <c r="T107" i="23" s="1"/>
  <c r="S107" i="23" s="1"/>
  <c r="R107" i="23" s="1"/>
  <c r="P107" i="23" s="1"/>
  <c r="V107" i="23" s="1"/>
  <c r="U111" i="23"/>
  <c r="T111" i="23" s="1"/>
  <c r="S111" i="23" s="1"/>
  <c r="R111" i="23" s="1"/>
  <c r="P111" i="23" s="1"/>
  <c r="V111" i="23" s="1"/>
  <c r="U115" i="23"/>
  <c r="T115" i="23" s="1"/>
  <c r="S115" i="23" s="1"/>
  <c r="R115" i="23" s="1"/>
  <c r="P115" i="23" s="1"/>
  <c r="V115" i="23" s="1"/>
  <c r="U119" i="23"/>
  <c r="T119" i="23" s="1"/>
  <c r="S119" i="23" s="1"/>
  <c r="R119" i="23" s="1"/>
  <c r="P119" i="23" s="1"/>
  <c r="U123" i="23"/>
  <c r="T123" i="23" s="1"/>
  <c r="S123" i="23" s="1"/>
  <c r="R123" i="23" s="1"/>
  <c r="P123" i="23" s="1"/>
  <c r="V123" i="23" s="1"/>
  <c r="U127" i="23"/>
  <c r="T127" i="23" s="1"/>
  <c r="S127" i="23" s="1"/>
  <c r="R127" i="23" s="1"/>
  <c r="P127" i="23" s="1"/>
  <c r="V127" i="23" s="1"/>
  <c r="U131" i="23"/>
  <c r="T131" i="23" s="1"/>
  <c r="S131" i="23" s="1"/>
  <c r="R131" i="23" s="1"/>
  <c r="P131" i="23" s="1"/>
  <c r="V131" i="23" s="1"/>
  <c r="U135" i="23"/>
  <c r="T135" i="23" s="1"/>
  <c r="S135" i="23" s="1"/>
  <c r="R135" i="23" s="1"/>
  <c r="P135" i="23" s="1"/>
  <c r="V135" i="23" s="1"/>
  <c r="U139" i="23"/>
  <c r="T139" i="23" s="1"/>
  <c r="S139" i="23" s="1"/>
  <c r="R139" i="23" s="1"/>
  <c r="P139" i="23" s="1"/>
  <c r="V139" i="23" s="1"/>
  <c r="U143" i="23"/>
  <c r="T143" i="23" s="1"/>
  <c r="S143" i="23" s="1"/>
  <c r="R143" i="23" s="1"/>
  <c r="P143" i="23" s="1"/>
  <c r="V143" i="23" s="1"/>
  <c r="U147" i="23"/>
  <c r="T147" i="23" s="1"/>
  <c r="S147" i="23" s="1"/>
  <c r="R147" i="23" s="1"/>
  <c r="P147" i="23" s="1"/>
  <c r="V147" i="23" s="1"/>
  <c r="U151" i="23"/>
  <c r="T151" i="23" s="1"/>
  <c r="S151" i="23" s="1"/>
  <c r="R151" i="23" s="1"/>
  <c r="P151" i="23" s="1"/>
  <c r="V151" i="23" s="1"/>
  <c r="U155" i="23"/>
  <c r="T155" i="23" s="1"/>
  <c r="S155" i="23" s="1"/>
  <c r="R155" i="23" s="1"/>
  <c r="P155" i="23" s="1"/>
  <c r="V155" i="23" s="1"/>
  <c r="U159" i="23"/>
  <c r="T159" i="23" s="1"/>
  <c r="S159" i="23" s="1"/>
  <c r="R159" i="23" s="1"/>
  <c r="P159" i="23" s="1"/>
  <c r="V159" i="23" s="1"/>
  <c r="U163" i="23"/>
  <c r="T163" i="23" s="1"/>
  <c r="S163" i="23" s="1"/>
  <c r="R163" i="23" s="1"/>
  <c r="P163" i="23" s="1"/>
  <c r="V163" i="23" s="1"/>
  <c r="U167" i="23"/>
  <c r="T167" i="23" s="1"/>
  <c r="S167" i="23" s="1"/>
  <c r="R167" i="23" s="1"/>
  <c r="P167" i="23" s="1"/>
  <c r="V167" i="23" s="1"/>
  <c r="U171" i="23"/>
  <c r="T171" i="23" s="1"/>
  <c r="S171" i="23" s="1"/>
  <c r="R171" i="23" s="1"/>
  <c r="P171" i="23" s="1"/>
  <c r="V171" i="23" s="1"/>
  <c r="U175" i="23"/>
  <c r="T175" i="23" s="1"/>
  <c r="S175" i="23" s="1"/>
  <c r="R175" i="23" s="1"/>
  <c r="P175" i="23" s="1"/>
  <c r="V175" i="23" s="1"/>
  <c r="U179" i="23"/>
  <c r="T179" i="23" s="1"/>
  <c r="S179" i="23" s="1"/>
  <c r="R179" i="23" s="1"/>
  <c r="P179" i="23" s="1"/>
  <c r="V179" i="23" s="1"/>
  <c r="U183" i="23"/>
  <c r="T183" i="23" s="1"/>
  <c r="S183" i="23" s="1"/>
  <c r="R183" i="23" s="1"/>
  <c r="P183" i="23" s="1"/>
  <c r="V183" i="23" s="1"/>
  <c r="U378" i="23"/>
  <c r="T378" i="23" s="1"/>
  <c r="S378" i="23" s="1"/>
  <c r="R378" i="23" s="1"/>
  <c r="P378" i="23" s="1"/>
  <c r="V378" i="23" s="1"/>
  <c r="U374" i="23"/>
  <c r="T374" i="23" s="1"/>
  <c r="S374" i="23" s="1"/>
  <c r="R374" i="23" s="1"/>
  <c r="P374" i="23" s="1"/>
  <c r="V374" i="23" s="1"/>
  <c r="U370" i="23"/>
  <c r="T370" i="23" s="1"/>
  <c r="S370" i="23" s="1"/>
  <c r="R370" i="23" s="1"/>
  <c r="P370" i="23" s="1"/>
  <c r="V370" i="23" s="1"/>
  <c r="U366" i="23"/>
  <c r="T366" i="23" s="1"/>
  <c r="S366" i="23" s="1"/>
  <c r="R366" i="23" s="1"/>
  <c r="P366" i="23" s="1"/>
  <c r="V366" i="23" s="1"/>
  <c r="U362" i="23"/>
  <c r="T362" i="23" s="1"/>
  <c r="S362" i="23" s="1"/>
  <c r="R362" i="23" s="1"/>
  <c r="P362" i="23" s="1"/>
  <c r="V362" i="23" s="1"/>
  <c r="U358" i="23"/>
  <c r="T358" i="23" s="1"/>
  <c r="S358" i="23" s="1"/>
  <c r="R358" i="23" s="1"/>
  <c r="P358" i="23" s="1"/>
  <c r="V358" i="23" s="1"/>
  <c r="U354" i="23"/>
  <c r="T354" i="23" s="1"/>
  <c r="S354" i="23" s="1"/>
  <c r="R354" i="23" s="1"/>
  <c r="P354" i="23" s="1"/>
  <c r="V354" i="23" s="1"/>
  <c r="U350" i="23"/>
  <c r="T350" i="23" s="1"/>
  <c r="S350" i="23" s="1"/>
  <c r="R350" i="23" s="1"/>
  <c r="P350" i="23" s="1"/>
  <c r="V350" i="23" s="1"/>
  <c r="U346" i="23"/>
  <c r="T346" i="23" s="1"/>
  <c r="S346" i="23" s="1"/>
  <c r="R346" i="23" s="1"/>
  <c r="P346" i="23" s="1"/>
  <c r="V346" i="23" s="1"/>
  <c r="U342" i="23"/>
  <c r="T342" i="23" s="1"/>
  <c r="S342" i="23" s="1"/>
  <c r="R342" i="23" s="1"/>
  <c r="P342" i="23" s="1"/>
  <c r="V342" i="23" s="1"/>
  <c r="U338" i="23"/>
  <c r="T338" i="23" s="1"/>
  <c r="S338" i="23" s="1"/>
  <c r="R338" i="23" s="1"/>
  <c r="P338" i="23" s="1"/>
  <c r="V338" i="23" s="1"/>
  <c r="U334" i="23"/>
  <c r="T334" i="23" s="1"/>
  <c r="S334" i="23" s="1"/>
  <c r="R334" i="23" s="1"/>
  <c r="P334" i="23" s="1"/>
  <c r="V334" i="23" s="1"/>
  <c r="U330" i="23"/>
  <c r="T330" i="23" s="1"/>
  <c r="S330" i="23" s="1"/>
  <c r="R330" i="23" s="1"/>
  <c r="P330" i="23" s="1"/>
  <c r="V330" i="23" s="1"/>
  <c r="U326" i="23"/>
  <c r="T326" i="23" s="1"/>
  <c r="S326" i="23" s="1"/>
  <c r="R326" i="23" s="1"/>
  <c r="P326" i="23" s="1"/>
  <c r="V326" i="23" s="1"/>
  <c r="U322" i="23"/>
  <c r="T322" i="23" s="1"/>
  <c r="S322" i="23" s="1"/>
  <c r="R322" i="23" s="1"/>
  <c r="P322" i="23" s="1"/>
  <c r="V322" i="23" s="1"/>
  <c r="U318" i="23"/>
  <c r="T318" i="23" s="1"/>
  <c r="S318" i="23" s="1"/>
  <c r="R318" i="23" s="1"/>
  <c r="P318" i="23" s="1"/>
  <c r="V318" i="23" s="1"/>
  <c r="U314" i="23"/>
  <c r="T314" i="23" s="1"/>
  <c r="S314" i="23" s="1"/>
  <c r="R314" i="23" s="1"/>
  <c r="P314" i="23" s="1"/>
  <c r="V314" i="23" s="1"/>
  <c r="U310" i="23"/>
  <c r="T310" i="23" s="1"/>
  <c r="S310" i="23" s="1"/>
  <c r="R310" i="23" s="1"/>
  <c r="P310" i="23" s="1"/>
  <c r="V310" i="23" s="1"/>
  <c r="U306" i="23"/>
  <c r="T306" i="23" s="1"/>
  <c r="S306" i="23" s="1"/>
  <c r="R306" i="23" s="1"/>
  <c r="P306" i="23" s="1"/>
  <c r="V306" i="23" s="1"/>
  <c r="U302" i="23"/>
  <c r="T302" i="23" s="1"/>
  <c r="S302" i="23" s="1"/>
  <c r="R302" i="23" s="1"/>
  <c r="P302" i="23" s="1"/>
  <c r="U298" i="23"/>
  <c r="T298" i="23" s="1"/>
  <c r="S298" i="23" s="1"/>
  <c r="R298" i="23" s="1"/>
  <c r="P298" i="23" s="1"/>
  <c r="V298" i="23" s="1"/>
  <c r="U294" i="23"/>
  <c r="T294" i="23" s="1"/>
  <c r="S294" i="23" s="1"/>
  <c r="R294" i="23" s="1"/>
  <c r="P294" i="23" s="1"/>
  <c r="V294" i="23" s="1"/>
  <c r="U290" i="23"/>
  <c r="T290" i="23" s="1"/>
  <c r="S290" i="23" s="1"/>
  <c r="R290" i="23" s="1"/>
  <c r="P290" i="23" s="1"/>
  <c r="V290" i="23" s="1"/>
  <c r="U286" i="23"/>
  <c r="T286" i="23" s="1"/>
  <c r="S286" i="23" s="1"/>
  <c r="R286" i="23" s="1"/>
  <c r="P286" i="23" s="1"/>
  <c r="V286" i="23" s="1"/>
  <c r="U282" i="23"/>
  <c r="T282" i="23" s="1"/>
  <c r="S282" i="23" s="1"/>
  <c r="R282" i="23" s="1"/>
  <c r="P282" i="23" s="1"/>
  <c r="V282" i="23" s="1"/>
  <c r="U278" i="23"/>
  <c r="T278" i="23" s="1"/>
  <c r="S278" i="23" s="1"/>
  <c r="R278" i="23" s="1"/>
  <c r="P278" i="23" s="1"/>
  <c r="V278" i="23" s="1"/>
  <c r="U274" i="23"/>
  <c r="T274" i="23" s="1"/>
  <c r="S274" i="23" s="1"/>
  <c r="R274" i="23" s="1"/>
  <c r="P274" i="23" s="1"/>
  <c r="V274" i="23" s="1"/>
  <c r="U270" i="23"/>
  <c r="T270" i="23" s="1"/>
  <c r="S270" i="23" s="1"/>
  <c r="R270" i="23" s="1"/>
  <c r="P270" i="23" s="1"/>
  <c r="V270" i="23" s="1"/>
  <c r="U266" i="23"/>
  <c r="T266" i="23" s="1"/>
  <c r="S266" i="23" s="1"/>
  <c r="R266" i="23" s="1"/>
  <c r="P266" i="23" s="1"/>
  <c r="V266" i="23" s="1"/>
  <c r="U262" i="23"/>
  <c r="T262" i="23" s="1"/>
  <c r="S262" i="23" s="1"/>
  <c r="R262" i="23" s="1"/>
  <c r="P262" i="23" s="1"/>
  <c r="V262" i="23" s="1"/>
  <c r="U258" i="23"/>
  <c r="T258" i="23" s="1"/>
  <c r="S258" i="23" s="1"/>
  <c r="R258" i="23" s="1"/>
  <c r="P258" i="23" s="1"/>
  <c r="V258" i="23" s="1"/>
  <c r="U254" i="23"/>
  <c r="T254" i="23" s="1"/>
  <c r="S254" i="23" s="1"/>
  <c r="R254" i="23" s="1"/>
  <c r="P254" i="23" s="1"/>
  <c r="V254" i="23" s="1"/>
  <c r="U250" i="23"/>
  <c r="T250" i="23" s="1"/>
  <c r="S250" i="23" s="1"/>
  <c r="R250" i="23" s="1"/>
  <c r="P250" i="23" s="1"/>
  <c r="V250" i="23" s="1"/>
  <c r="U246" i="23"/>
  <c r="T246" i="23" s="1"/>
  <c r="S246" i="23" s="1"/>
  <c r="R246" i="23" s="1"/>
  <c r="P246" i="23" s="1"/>
  <c r="V246" i="23" s="1"/>
  <c r="U242" i="23"/>
  <c r="T242" i="23" s="1"/>
  <c r="S242" i="23" s="1"/>
  <c r="R242" i="23" s="1"/>
  <c r="P242" i="23" s="1"/>
  <c r="V242" i="23" s="1"/>
  <c r="U238" i="23"/>
  <c r="T238" i="23" s="1"/>
  <c r="S238" i="23" s="1"/>
  <c r="R238" i="23" s="1"/>
  <c r="P238" i="23" s="1"/>
  <c r="V238" i="23" s="1"/>
  <c r="U234" i="23"/>
  <c r="T234" i="23" s="1"/>
  <c r="S234" i="23" s="1"/>
  <c r="R234" i="23" s="1"/>
  <c r="P234" i="23" s="1"/>
  <c r="V234" i="23" s="1"/>
  <c r="U230" i="23"/>
  <c r="T230" i="23" s="1"/>
  <c r="S230" i="23" s="1"/>
  <c r="R230" i="23" s="1"/>
  <c r="P230" i="23" s="1"/>
  <c r="V230" i="23" s="1"/>
  <c r="U226" i="23"/>
  <c r="T226" i="23" s="1"/>
  <c r="S226" i="23" s="1"/>
  <c r="R226" i="23" s="1"/>
  <c r="P226" i="23" s="1"/>
  <c r="V226" i="23" s="1"/>
  <c r="U222" i="23"/>
  <c r="T222" i="23" s="1"/>
  <c r="S222" i="23" s="1"/>
  <c r="R222" i="23" s="1"/>
  <c r="P222" i="23" s="1"/>
  <c r="V222" i="23" s="1"/>
  <c r="U218" i="23"/>
  <c r="T218" i="23" s="1"/>
  <c r="S218" i="23" s="1"/>
  <c r="R218" i="23" s="1"/>
  <c r="P218" i="23" s="1"/>
  <c r="V218" i="23" s="1"/>
  <c r="U214" i="23"/>
  <c r="T214" i="23" s="1"/>
  <c r="S214" i="23" s="1"/>
  <c r="R214" i="23" s="1"/>
  <c r="P214" i="23" s="1"/>
  <c r="V214" i="23" s="1"/>
  <c r="U210" i="23"/>
  <c r="T210" i="23" s="1"/>
  <c r="S210" i="23" s="1"/>
  <c r="R210" i="23" s="1"/>
  <c r="P210" i="23" s="1"/>
  <c r="U206" i="23"/>
  <c r="T206" i="23" s="1"/>
  <c r="S206" i="23" s="1"/>
  <c r="R206" i="23" s="1"/>
  <c r="P206" i="23" s="1"/>
  <c r="V206" i="23" s="1"/>
  <c r="U202" i="23"/>
  <c r="T202" i="23" s="1"/>
  <c r="S202" i="23" s="1"/>
  <c r="R202" i="23" s="1"/>
  <c r="P202" i="23" s="1"/>
  <c r="V202" i="23" s="1"/>
  <c r="U198" i="23"/>
  <c r="T198" i="23" s="1"/>
  <c r="S198" i="23" s="1"/>
  <c r="R198" i="23" s="1"/>
  <c r="P198" i="23" s="1"/>
  <c r="V198" i="23" s="1"/>
  <c r="U194" i="23"/>
  <c r="T194" i="23" s="1"/>
  <c r="S194" i="23" s="1"/>
  <c r="R194" i="23" s="1"/>
  <c r="P194" i="23" s="1"/>
  <c r="V194" i="23" s="1"/>
  <c r="U190" i="23"/>
  <c r="T190" i="23" s="1"/>
  <c r="S190" i="23" s="1"/>
  <c r="R190" i="23" s="1"/>
  <c r="P190" i="23" s="1"/>
  <c r="V190" i="23" s="1"/>
  <c r="U186" i="23"/>
  <c r="T186" i="23" s="1"/>
  <c r="S186" i="23" s="1"/>
  <c r="R186" i="23" s="1"/>
  <c r="P186" i="23" s="1"/>
  <c r="V186" i="23" s="1"/>
  <c r="U180" i="23"/>
  <c r="T180" i="23" s="1"/>
  <c r="S180" i="23" s="1"/>
  <c r="R180" i="23" s="1"/>
  <c r="P180" i="23" s="1"/>
  <c r="U172" i="23"/>
  <c r="T172" i="23" s="1"/>
  <c r="S172" i="23" s="1"/>
  <c r="R172" i="23" s="1"/>
  <c r="P172" i="23" s="1"/>
  <c r="V172" i="23" s="1"/>
  <c r="U164" i="23"/>
  <c r="T164" i="23" s="1"/>
  <c r="S164" i="23" s="1"/>
  <c r="R164" i="23" s="1"/>
  <c r="P164" i="23" s="1"/>
  <c r="V164" i="23" s="1"/>
  <c r="U156" i="23"/>
  <c r="T156" i="23" s="1"/>
  <c r="S156" i="23" s="1"/>
  <c r="R156" i="23" s="1"/>
  <c r="P156" i="23" s="1"/>
  <c r="V156" i="23" s="1"/>
  <c r="U148" i="23"/>
  <c r="T148" i="23" s="1"/>
  <c r="S148" i="23" s="1"/>
  <c r="R148" i="23" s="1"/>
  <c r="P148" i="23" s="1"/>
  <c r="V148" i="23" s="1"/>
  <c r="U140" i="23"/>
  <c r="T140" i="23" s="1"/>
  <c r="S140" i="23" s="1"/>
  <c r="R140" i="23" s="1"/>
  <c r="P140" i="23" s="1"/>
  <c r="V140" i="23" s="1"/>
  <c r="U132" i="23"/>
  <c r="T132" i="23" s="1"/>
  <c r="S132" i="23" s="1"/>
  <c r="R132" i="23" s="1"/>
  <c r="P132" i="23" s="1"/>
  <c r="V132" i="23" s="1"/>
  <c r="U124" i="23"/>
  <c r="T124" i="23" s="1"/>
  <c r="S124" i="23" s="1"/>
  <c r="R124" i="23" s="1"/>
  <c r="P124" i="23" s="1"/>
  <c r="V124" i="23" s="1"/>
  <c r="U116" i="23"/>
  <c r="T116" i="23" s="1"/>
  <c r="S116" i="23" s="1"/>
  <c r="R116" i="23" s="1"/>
  <c r="P116" i="23" s="1"/>
  <c r="V116" i="23" s="1"/>
  <c r="U108" i="23"/>
  <c r="T108" i="23" s="1"/>
  <c r="S108" i="23" s="1"/>
  <c r="R108" i="23" s="1"/>
  <c r="P108" i="23" s="1"/>
  <c r="V108" i="23" s="1"/>
  <c r="U231" i="23"/>
  <c r="T231" i="23" s="1"/>
  <c r="S231" i="23" s="1"/>
  <c r="R231" i="23" s="1"/>
  <c r="P231" i="23" s="1"/>
  <c r="V231" i="23" s="1"/>
  <c r="U223" i="23"/>
  <c r="T223" i="23" s="1"/>
  <c r="S223" i="23" s="1"/>
  <c r="R223" i="23" s="1"/>
  <c r="P223" i="23" s="1"/>
  <c r="V223" i="23" s="1"/>
  <c r="U215" i="23"/>
  <c r="T215" i="23" s="1"/>
  <c r="S215" i="23" s="1"/>
  <c r="R215" i="23" s="1"/>
  <c r="P215" i="23" s="1"/>
  <c r="V215" i="23" s="1"/>
  <c r="U207" i="23"/>
  <c r="T207" i="23" s="1"/>
  <c r="S207" i="23" s="1"/>
  <c r="R207" i="23" s="1"/>
  <c r="P207" i="23" s="1"/>
  <c r="V207" i="23" s="1"/>
  <c r="U197" i="23"/>
  <c r="T197" i="23" s="1"/>
  <c r="S197" i="23" s="1"/>
  <c r="R197" i="23" s="1"/>
  <c r="P197" i="23" s="1"/>
  <c r="V197" i="23" s="1"/>
  <c r="U178" i="23"/>
  <c r="T178" i="23" s="1"/>
  <c r="S178" i="23" s="1"/>
  <c r="R178" i="23" s="1"/>
  <c r="P178" i="23" s="1"/>
  <c r="V178" i="23" s="1"/>
  <c r="U146" i="23"/>
  <c r="T146" i="23" s="1"/>
  <c r="S146" i="23" s="1"/>
  <c r="R146" i="23" s="1"/>
  <c r="P146" i="23" s="1"/>
  <c r="V146" i="23" s="1"/>
  <c r="U114" i="23"/>
  <c r="T114" i="23" s="1"/>
  <c r="S114" i="23" s="1"/>
  <c r="R114" i="23" s="1"/>
  <c r="P114" i="23" s="1"/>
  <c r="V114" i="23" s="1"/>
  <c r="U199" i="23"/>
  <c r="T199" i="23" s="1"/>
  <c r="S199" i="23" s="1"/>
  <c r="R199" i="23" s="1"/>
  <c r="P199" i="23" s="1"/>
  <c r="V199" i="23" s="1"/>
  <c r="U191" i="23"/>
  <c r="T191" i="23" s="1"/>
  <c r="S191" i="23" s="1"/>
  <c r="R191" i="23" s="1"/>
  <c r="P191" i="23" s="1"/>
  <c r="V191" i="23" s="1"/>
  <c r="U182" i="23"/>
  <c r="T182" i="23" s="1"/>
  <c r="S182" i="23" s="1"/>
  <c r="R182" i="23" s="1"/>
  <c r="P182" i="23" s="1"/>
  <c r="V182" i="23" s="1"/>
  <c r="U166" i="23"/>
  <c r="T166" i="23" s="1"/>
  <c r="S166" i="23" s="1"/>
  <c r="R166" i="23" s="1"/>
  <c r="P166" i="23" s="1"/>
  <c r="V166" i="23" s="1"/>
  <c r="U150" i="23"/>
  <c r="T150" i="23" s="1"/>
  <c r="S150" i="23" s="1"/>
  <c r="R150" i="23" s="1"/>
  <c r="P150" i="23" s="1"/>
  <c r="V150" i="23" s="1"/>
  <c r="U134" i="23"/>
  <c r="T134" i="23" s="1"/>
  <c r="S134" i="23" s="1"/>
  <c r="R134" i="23" s="1"/>
  <c r="P134" i="23" s="1"/>
  <c r="V134" i="23" s="1"/>
  <c r="U118" i="23"/>
  <c r="T118" i="23" s="1"/>
  <c r="S118" i="23" s="1"/>
  <c r="R118" i="23" s="1"/>
  <c r="P118" i="23" s="1"/>
  <c r="V118" i="23" s="1"/>
  <c r="U105" i="23"/>
  <c r="T105" i="23" s="1"/>
  <c r="S105" i="23" s="1"/>
  <c r="R105" i="23" s="1"/>
  <c r="P105" i="23" s="1"/>
  <c r="V105" i="23" s="1"/>
  <c r="U109" i="23"/>
  <c r="T109" i="23" s="1"/>
  <c r="S109" i="23" s="1"/>
  <c r="R109" i="23" s="1"/>
  <c r="P109" i="23" s="1"/>
  <c r="V109" i="23" s="1"/>
  <c r="U113" i="23"/>
  <c r="T113" i="23" s="1"/>
  <c r="S113" i="23" s="1"/>
  <c r="R113" i="23" s="1"/>
  <c r="P113" i="23" s="1"/>
  <c r="V113" i="23" s="1"/>
  <c r="U117" i="23"/>
  <c r="T117" i="23" s="1"/>
  <c r="S117" i="23" s="1"/>
  <c r="R117" i="23" s="1"/>
  <c r="P117" i="23" s="1"/>
  <c r="V117" i="23" s="1"/>
  <c r="U121" i="23"/>
  <c r="T121" i="23" s="1"/>
  <c r="S121" i="23" s="1"/>
  <c r="R121" i="23" s="1"/>
  <c r="P121" i="23" s="1"/>
  <c r="V121" i="23" s="1"/>
  <c r="U125" i="23"/>
  <c r="T125" i="23" s="1"/>
  <c r="S125" i="23" s="1"/>
  <c r="R125" i="23" s="1"/>
  <c r="P125" i="23" s="1"/>
  <c r="V125" i="23" s="1"/>
  <c r="U129" i="23"/>
  <c r="T129" i="23" s="1"/>
  <c r="S129" i="23" s="1"/>
  <c r="R129" i="23" s="1"/>
  <c r="P129" i="23" s="1"/>
  <c r="V129" i="23" s="1"/>
  <c r="U133" i="23"/>
  <c r="T133" i="23" s="1"/>
  <c r="S133" i="23" s="1"/>
  <c r="R133" i="23" s="1"/>
  <c r="P133" i="23" s="1"/>
  <c r="V133" i="23" s="1"/>
  <c r="U137" i="23"/>
  <c r="T137" i="23" s="1"/>
  <c r="S137" i="23" s="1"/>
  <c r="R137" i="23" s="1"/>
  <c r="P137" i="23" s="1"/>
  <c r="V137" i="23" s="1"/>
  <c r="U141" i="23"/>
  <c r="T141" i="23" s="1"/>
  <c r="S141" i="23" s="1"/>
  <c r="R141" i="23" s="1"/>
  <c r="P141" i="23" s="1"/>
  <c r="V141" i="23" s="1"/>
  <c r="U145" i="23"/>
  <c r="T145" i="23" s="1"/>
  <c r="S145" i="23" s="1"/>
  <c r="R145" i="23" s="1"/>
  <c r="P145" i="23" s="1"/>
  <c r="V145" i="23" s="1"/>
  <c r="U149" i="23"/>
  <c r="T149" i="23" s="1"/>
  <c r="S149" i="23" s="1"/>
  <c r="R149" i="23" s="1"/>
  <c r="P149" i="23" s="1"/>
  <c r="U153" i="23"/>
  <c r="T153" i="23" s="1"/>
  <c r="S153" i="23" s="1"/>
  <c r="R153" i="23" s="1"/>
  <c r="P153" i="23" s="1"/>
  <c r="V153" i="23" s="1"/>
  <c r="U157" i="23"/>
  <c r="T157" i="23" s="1"/>
  <c r="S157" i="23" s="1"/>
  <c r="R157" i="23" s="1"/>
  <c r="P157" i="23" s="1"/>
  <c r="V157" i="23" s="1"/>
  <c r="U161" i="23"/>
  <c r="T161" i="23" s="1"/>
  <c r="S161" i="23" s="1"/>
  <c r="R161" i="23" s="1"/>
  <c r="P161" i="23" s="1"/>
  <c r="V161" i="23" s="1"/>
  <c r="U165" i="23"/>
  <c r="T165" i="23" s="1"/>
  <c r="S165" i="23" s="1"/>
  <c r="R165" i="23" s="1"/>
  <c r="P165" i="23" s="1"/>
  <c r="V165" i="23" s="1"/>
  <c r="U169" i="23"/>
  <c r="T169" i="23" s="1"/>
  <c r="S169" i="23" s="1"/>
  <c r="R169" i="23" s="1"/>
  <c r="P169" i="23" s="1"/>
  <c r="V169" i="23" s="1"/>
  <c r="U173" i="23"/>
  <c r="T173" i="23" s="1"/>
  <c r="S173" i="23" s="1"/>
  <c r="R173" i="23" s="1"/>
  <c r="P173" i="23" s="1"/>
  <c r="V173" i="23" s="1"/>
  <c r="U177" i="23"/>
  <c r="T177" i="23" s="1"/>
  <c r="S177" i="23" s="1"/>
  <c r="R177" i="23" s="1"/>
  <c r="P177" i="23" s="1"/>
  <c r="V177" i="23" s="1"/>
  <c r="U181" i="23"/>
  <c r="T181" i="23" s="1"/>
  <c r="S181" i="23" s="1"/>
  <c r="R181" i="23" s="1"/>
  <c r="P181" i="23" s="1"/>
  <c r="V181" i="23" s="1"/>
  <c r="U376" i="23"/>
  <c r="T376" i="23" s="1"/>
  <c r="S376" i="23" s="1"/>
  <c r="R376" i="23" s="1"/>
  <c r="P376" i="23" s="1"/>
  <c r="V376" i="23" s="1"/>
  <c r="U372" i="23"/>
  <c r="T372" i="23" s="1"/>
  <c r="S372" i="23" s="1"/>
  <c r="R372" i="23" s="1"/>
  <c r="P372" i="23" s="1"/>
  <c r="V372" i="23" s="1"/>
  <c r="U368" i="23"/>
  <c r="T368" i="23" s="1"/>
  <c r="S368" i="23" s="1"/>
  <c r="R368" i="23" s="1"/>
  <c r="P368" i="23" s="1"/>
  <c r="V368" i="23" s="1"/>
  <c r="U364" i="23"/>
  <c r="T364" i="23" s="1"/>
  <c r="S364" i="23" s="1"/>
  <c r="R364" i="23" s="1"/>
  <c r="P364" i="23" s="1"/>
  <c r="V364" i="23" s="1"/>
  <c r="U360" i="23"/>
  <c r="T360" i="23" s="1"/>
  <c r="S360" i="23" s="1"/>
  <c r="R360" i="23" s="1"/>
  <c r="P360" i="23" s="1"/>
  <c r="V360" i="23" s="1"/>
  <c r="U356" i="23"/>
  <c r="T356" i="23" s="1"/>
  <c r="S356" i="23" s="1"/>
  <c r="R356" i="23" s="1"/>
  <c r="P356" i="23" s="1"/>
  <c r="V356" i="23" s="1"/>
  <c r="U352" i="23"/>
  <c r="T352" i="23" s="1"/>
  <c r="S352" i="23" s="1"/>
  <c r="R352" i="23" s="1"/>
  <c r="P352" i="23" s="1"/>
  <c r="V352" i="23" s="1"/>
  <c r="U348" i="23"/>
  <c r="T348" i="23" s="1"/>
  <c r="S348" i="23" s="1"/>
  <c r="R348" i="23" s="1"/>
  <c r="P348" i="23" s="1"/>
  <c r="V348" i="23" s="1"/>
  <c r="U344" i="23"/>
  <c r="T344" i="23" s="1"/>
  <c r="S344" i="23" s="1"/>
  <c r="R344" i="23" s="1"/>
  <c r="P344" i="23" s="1"/>
  <c r="V344" i="23" s="1"/>
  <c r="U340" i="23"/>
  <c r="T340" i="23" s="1"/>
  <c r="S340" i="23" s="1"/>
  <c r="R340" i="23" s="1"/>
  <c r="P340" i="23" s="1"/>
  <c r="V340" i="23" s="1"/>
  <c r="U336" i="23"/>
  <c r="T336" i="23" s="1"/>
  <c r="S336" i="23" s="1"/>
  <c r="R336" i="23" s="1"/>
  <c r="P336" i="23" s="1"/>
  <c r="V336" i="23" s="1"/>
  <c r="U332" i="23"/>
  <c r="T332" i="23" s="1"/>
  <c r="S332" i="23" s="1"/>
  <c r="R332" i="23" s="1"/>
  <c r="P332" i="23" s="1"/>
  <c r="V332" i="23" s="1"/>
  <c r="U328" i="23"/>
  <c r="T328" i="23" s="1"/>
  <c r="S328" i="23" s="1"/>
  <c r="R328" i="23" s="1"/>
  <c r="P328" i="23" s="1"/>
  <c r="V328" i="23" s="1"/>
  <c r="U324" i="23"/>
  <c r="T324" i="23" s="1"/>
  <c r="S324" i="23" s="1"/>
  <c r="R324" i="23" s="1"/>
  <c r="P324" i="23" s="1"/>
  <c r="V324" i="23" s="1"/>
  <c r="U320" i="23"/>
  <c r="T320" i="23" s="1"/>
  <c r="S320" i="23" s="1"/>
  <c r="R320" i="23" s="1"/>
  <c r="P320" i="23" s="1"/>
  <c r="V320" i="23" s="1"/>
  <c r="U316" i="23"/>
  <c r="T316" i="23" s="1"/>
  <c r="S316" i="23" s="1"/>
  <c r="R316" i="23" s="1"/>
  <c r="P316" i="23" s="1"/>
  <c r="V316" i="23" s="1"/>
  <c r="U312" i="23"/>
  <c r="T312" i="23" s="1"/>
  <c r="S312" i="23" s="1"/>
  <c r="R312" i="23" s="1"/>
  <c r="P312" i="23" s="1"/>
  <c r="V312" i="23" s="1"/>
  <c r="U308" i="23"/>
  <c r="T308" i="23" s="1"/>
  <c r="S308" i="23" s="1"/>
  <c r="R308" i="23" s="1"/>
  <c r="P308" i="23" s="1"/>
  <c r="V308" i="23" s="1"/>
  <c r="U304" i="23"/>
  <c r="T304" i="23" s="1"/>
  <c r="S304" i="23" s="1"/>
  <c r="R304" i="23" s="1"/>
  <c r="P304" i="23" s="1"/>
  <c r="V304" i="23" s="1"/>
  <c r="U300" i="23"/>
  <c r="T300" i="23" s="1"/>
  <c r="S300" i="23" s="1"/>
  <c r="R300" i="23" s="1"/>
  <c r="P300" i="23" s="1"/>
  <c r="V300" i="23" s="1"/>
  <c r="U296" i="23"/>
  <c r="T296" i="23" s="1"/>
  <c r="S296" i="23" s="1"/>
  <c r="R296" i="23" s="1"/>
  <c r="P296" i="23" s="1"/>
  <c r="V296" i="23" s="1"/>
  <c r="U292" i="23"/>
  <c r="T292" i="23" s="1"/>
  <c r="S292" i="23" s="1"/>
  <c r="R292" i="23" s="1"/>
  <c r="P292" i="23" s="1"/>
  <c r="V292" i="23" s="1"/>
  <c r="U288" i="23"/>
  <c r="T288" i="23" s="1"/>
  <c r="S288" i="23" s="1"/>
  <c r="R288" i="23" s="1"/>
  <c r="P288" i="23" s="1"/>
  <c r="V288" i="23" s="1"/>
  <c r="U284" i="23"/>
  <c r="T284" i="23" s="1"/>
  <c r="S284" i="23" s="1"/>
  <c r="R284" i="23" s="1"/>
  <c r="P284" i="23" s="1"/>
  <c r="V284" i="23" s="1"/>
  <c r="U280" i="23"/>
  <c r="T280" i="23" s="1"/>
  <c r="S280" i="23" s="1"/>
  <c r="R280" i="23" s="1"/>
  <c r="P280" i="23" s="1"/>
  <c r="V280" i="23" s="1"/>
  <c r="U276" i="23"/>
  <c r="T276" i="23" s="1"/>
  <c r="S276" i="23" s="1"/>
  <c r="R276" i="23" s="1"/>
  <c r="P276" i="23" s="1"/>
  <c r="V276" i="23" s="1"/>
  <c r="U272" i="23"/>
  <c r="T272" i="23" s="1"/>
  <c r="S272" i="23" s="1"/>
  <c r="R272" i="23" s="1"/>
  <c r="P272" i="23" s="1"/>
  <c r="U268" i="23"/>
  <c r="T268" i="23" s="1"/>
  <c r="S268" i="23" s="1"/>
  <c r="R268" i="23" s="1"/>
  <c r="P268" i="23" s="1"/>
  <c r="V268" i="23" s="1"/>
  <c r="U264" i="23"/>
  <c r="T264" i="23" s="1"/>
  <c r="S264" i="23" s="1"/>
  <c r="R264" i="23" s="1"/>
  <c r="P264" i="23" s="1"/>
  <c r="V264" i="23" s="1"/>
  <c r="U260" i="23"/>
  <c r="T260" i="23" s="1"/>
  <c r="S260" i="23" s="1"/>
  <c r="R260" i="23" s="1"/>
  <c r="P260" i="23" s="1"/>
  <c r="V260" i="23" s="1"/>
  <c r="U256" i="23"/>
  <c r="T256" i="23" s="1"/>
  <c r="S256" i="23" s="1"/>
  <c r="R256" i="23" s="1"/>
  <c r="P256" i="23" s="1"/>
  <c r="V256" i="23" s="1"/>
  <c r="U252" i="23"/>
  <c r="T252" i="23" s="1"/>
  <c r="S252" i="23" s="1"/>
  <c r="R252" i="23" s="1"/>
  <c r="P252" i="23" s="1"/>
  <c r="V252" i="23" s="1"/>
  <c r="U248" i="23"/>
  <c r="T248" i="23" s="1"/>
  <c r="S248" i="23" s="1"/>
  <c r="R248" i="23" s="1"/>
  <c r="P248" i="23" s="1"/>
  <c r="V248" i="23" s="1"/>
  <c r="U244" i="23"/>
  <c r="T244" i="23" s="1"/>
  <c r="S244" i="23" s="1"/>
  <c r="R244" i="23" s="1"/>
  <c r="P244" i="23" s="1"/>
  <c r="V244" i="23" s="1"/>
  <c r="U240" i="23"/>
  <c r="T240" i="23" s="1"/>
  <c r="S240" i="23" s="1"/>
  <c r="R240" i="23" s="1"/>
  <c r="P240" i="23" s="1"/>
  <c r="V240" i="23" s="1"/>
  <c r="U236" i="23"/>
  <c r="T236" i="23" s="1"/>
  <c r="S236" i="23" s="1"/>
  <c r="R236" i="23" s="1"/>
  <c r="P236" i="23" s="1"/>
  <c r="V236" i="23" s="1"/>
  <c r="U232" i="23"/>
  <c r="T232" i="23" s="1"/>
  <c r="S232" i="23" s="1"/>
  <c r="R232" i="23" s="1"/>
  <c r="P232" i="23" s="1"/>
  <c r="V232" i="23" s="1"/>
  <c r="U228" i="23"/>
  <c r="T228" i="23" s="1"/>
  <c r="S228" i="23" s="1"/>
  <c r="R228" i="23" s="1"/>
  <c r="P228" i="23" s="1"/>
  <c r="V228" i="23" s="1"/>
  <c r="U224" i="23"/>
  <c r="T224" i="23" s="1"/>
  <c r="S224" i="23" s="1"/>
  <c r="R224" i="23" s="1"/>
  <c r="P224" i="23" s="1"/>
  <c r="V224" i="23" s="1"/>
  <c r="U220" i="23"/>
  <c r="T220" i="23" s="1"/>
  <c r="S220" i="23" s="1"/>
  <c r="R220" i="23" s="1"/>
  <c r="P220" i="23" s="1"/>
  <c r="V220" i="23" s="1"/>
  <c r="U216" i="23"/>
  <c r="T216" i="23" s="1"/>
  <c r="S216" i="23" s="1"/>
  <c r="R216" i="23" s="1"/>
  <c r="P216" i="23" s="1"/>
  <c r="V216" i="23" s="1"/>
  <c r="U212" i="23"/>
  <c r="T212" i="23" s="1"/>
  <c r="S212" i="23" s="1"/>
  <c r="R212" i="23" s="1"/>
  <c r="P212" i="23" s="1"/>
  <c r="V212" i="23" s="1"/>
  <c r="U208" i="23"/>
  <c r="T208" i="23" s="1"/>
  <c r="S208" i="23" s="1"/>
  <c r="R208" i="23" s="1"/>
  <c r="P208" i="23" s="1"/>
  <c r="V208" i="23" s="1"/>
  <c r="U204" i="23"/>
  <c r="T204" i="23" s="1"/>
  <c r="S204" i="23" s="1"/>
  <c r="R204" i="23" s="1"/>
  <c r="P204" i="23" s="1"/>
  <c r="V204" i="23" s="1"/>
  <c r="U200" i="23"/>
  <c r="T200" i="23" s="1"/>
  <c r="S200" i="23" s="1"/>
  <c r="R200" i="23" s="1"/>
  <c r="P200" i="23" s="1"/>
  <c r="V200" i="23" s="1"/>
  <c r="U196" i="23"/>
  <c r="T196" i="23" s="1"/>
  <c r="S196" i="23" s="1"/>
  <c r="R196" i="23" s="1"/>
  <c r="P196" i="23" s="1"/>
  <c r="V196" i="23" s="1"/>
  <c r="U192" i="23"/>
  <c r="T192" i="23" s="1"/>
  <c r="S192" i="23" s="1"/>
  <c r="R192" i="23" s="1"/>
  <c r="P192" i="23" s="1"/>
  <c r="V192" i="23" s="1"/>
  <c r="U188" i="23"/>
  <c r="T188" i="23" s="1"/>
  <c r="S188" i="23" s="1"/>
  <c r="R188" i="23" s="1"/>
  <c r="P188" i="23" s="1"/>
  <c r="V188" i="23" s="1"/>
  <c r="U184" i="23"/>
  <c r="T184" i="23" s="1"/>
  <c r="S184" i="23" s="1"/>
  <c r="R184" i="23" s="1"/>
  <c r="P184" i="23" s="1"/>
  <c r="V184" i="23" s="1"/>
  <c r="U176" i="23"/>
  <c r="T176" i="23" s="1"/>
  <c r="S176" i="23" s="1"/>
  <c r="R176" i="23" s="1"/>
  <c r="P176" i="23" s="1"/>
  <c r="V176" i="23" s="1"/>
  <c r="U168" i="23"/>
  <c r="T168" i="23" s="1"/>
  <c r="S168" i="23" s="1"/>
  <c r="R168" i="23" s="1"/>
  <c r="P168" i="23" s="1"/>
  <c r="V168" i="23" s="1"/>
  <c r="U160" i="23"/>
  <c r="T160" i="23" s="1"/>
  <c r="S160" i="23" s="1"/>
  <c r="R160" i="23" s="1"/>
  <c r="P160" i="23" s="1"/>
  <c r="V160" i="23" s="1"/>
  <c r="U152" i="23"/>
  <c r="T152" i="23" s="1"/>
  <c r="S152" i="23" s="1"/>
  <c r="R152" i="23" s="1"/>
  <c r="P152" i="23" s="1"/>
  <c r="V152" i="23" s="1"/>
  <c r="U144" i="23"/>
  <c r="T144" i="23" s="1"/>
  <c r="S144" i="23" s="1"/>
  <c r="R144" i="23" s="1"/>
  <c r="P144" i="23" s="1"/>
  <c r="V144" i="23" s="1"/>
  <c r="U136" i="23"/>
  <c r="T136" i="23" s="1"/>
  <c r="S136" i="23" s="1"/>
  <c r="R136" i="23" s="1"/>
  <c r="P136" i="23" s="1"/>
  <c r="V136" i="23" s="1"/>
  <c r="U128" i="23"/>
  <c r="T128" i="23" s="1"/>
  <c r="S128" i="23" s="1"/>
  <c r="R128" i="23" s="1"/>
  <c r="P128" i="23" s="1"/>
  <c r="V128" i="23" s="1"/>
  <c r="U120" i="23"/>
  <c r="T120" i="23" s="1"/>
  <c r="S120" i="23" s="1"/>
  <c r="R120" i="23" s="1"/>
  <c r="P120" i="23" s="1"/>
  <c r="V120" i="23" s="1"/>
  <c r="U112" i="23"/>
  <c r="T112" i="23" s="1"/>
  <c r="S112" i="23" s="1"/>
  <c r="R112" i="23" s="1"/>
  <c r="P112" i="23" s="1"/>
  <c r="V112" i="23" s="1"/>
  <c r="U104" i="23"/>
  <c r="T104" i="23" s="1"/>
  <c r="S104" i="23" s="1"/>
  <c r="R104" i="23" s="1"/>
  <c r="P104" i="23" s="1"/>
  <c r="V104" i="23" s="1"/>
  <c r="U26" i="23"/>
  <c r="T26" i="23" s="1"/>
  <c r="S26" i="23" s="1"/>
  <c r="R26" i="23" s="1"/>
  <c r="P26" i="23" s="1"/>
  <c r="V26" i="23" s="1"/>
  <c r="U58" i="23"/>
  <c r="T58" i="23" s="1"/>
  <c r="S58" i="23" s="1"/>
  <c r="R58" i="23" s="1"/>
  <c r="P58" i="23" s="1"/>
  <c r="V58" i="23" s="1"/>
  <c r="U90" i="23"/>
  <c r="T90" i="23" s="1"/>
  <c r="S90" i="23" s="1"/>
  <c r="R90" i="23" s="1"/>
  <c r="P90" i="23" s="1"/>
  <c r="V90" i="23" s="1"/>
  <c r="AS16" i="7"/>
  <c r="U42" i="23"/>
  <c r="T42" i="23" s="1"/>
  <c r="S42" i="23" s="1"/>
  <c r="R42" i="23" s="1"/>
  <c r="P42" i="23" s="1"/>
  <c r="V42" i="23" s="1"/>
  <c r="U74" i="23"/>
  <c r="T74" i="23" s="1"/>
  <c r="S74" i="23" s="1"/>
  <c r="R74" i="23" s="1"/>
  <c r="P74" i="23" s="1"/>
  <c r="V74" i="23" s="1"/>
  <c r="U23" i="23"/>
  <c r="T23" i="23" s="1"/>
  <c r="S23" i="23" s="1"/>
  <c r="R23" i="23" s="1"/>
  <c r="P23" i="23" s="1"/>
  <c r="V23" i="23" s="1"/>
  <c r="AI11" i="23"/>
  <c r="U98" i="23"/>
  <c r="T98" i="23" s="1"/>
  <c r="S98" i="23" s="1"/>
  <c r="R98" i="23" s="1"/>
  <c r="P98" i="23" s="1"/>
  <c r="V98" i="23" s="1"/>
  <c r="U66" i="23"/>
  <c r="T66" i="23" s="1"/>
  <c r="S66" i="23" s="1"/>
  <c r="R66" i="23" s="1"/>
  <c r="P66" i="23" s="1"/>
  <c r="V66" i="23" s="1"/>
  <c r="U34" i="23"/>
  <c r="T34" i="23" s="1"/>
  <c r="S34" i="23" s="1"/>
  <c r="R34" i="23" s="1"/>
  <c r="P34" i="23" s="1"/>
  <c r="V34" i="23" s="1"/>
  <c r="U94" i="23"/>
  <c r="T94" i="23" s="1"/>
  <c r="S94" i="23" s="1"/>
  <c r="R94" i="23" s="1"/>
  <c r="P94" i="23" s="1"/>
  <c r="V94" i="23" s="1"/>
  <c r="U78" i="23"/>
  <c r="T78" i="23" s="1"/>
  <c r="S78" i="23" s="1"/>
  <c r="R78" i="23" s="1"/>
  <c r="P78" i="23" s="1"/>
  <c r="V78" i="23" s="1"/>
  <c r="U62" i="23"/>
  <c r="T62" i="23" s="1"/>
  <c r="S62" i="23" s="1"/>
  <c r="R62" i="23" s="1"/>
  <c r="P62" i="23" s="1"/>
  <c r="V62" i="23" s="1"/>
  <c r="U46" i="23"/>
  <c r="T46" i="23" s="1"/>
  <c r="S46" i="23" s="1"/>
  <c r="R46" i="23" s="1"/>
  <c r="P46" i="23" s="1"/>
  <c r="V46" i="23" s="1"/>
  <c r="U30" i="23"/>
  <c r="T30" i="23" s="1"/>
  <c r="S30" i="23" s="1"/>
  <c r="R30" i="23" s="1"/>
  <c r="P30" i="23" s="1"/>
  <c r="V30" i="23" s="1"/>
  <c r="U15" i="23"/>
  <c r="U17" i="23"/>
  <c r="T17" i="23" s="1"/>
  <c r="S17" i="23" s="1"/>
  <c r="R17" i="23" s="1"/>
  <c r="P17" i="23" s="1"/>
  <c r="V17" i="23" s="1"/>
  <c r="U21" i="23"/>
  <c r="T21" i="23" s="1"/>
  <c r="S21" i="23" s="1"/>
  <c r="R21" i="23" s="1"/>
  <c r="P21" i="23" s="1"/>
  <c r="V21" i="23" s="1"/>
  <c r="U27" i="23"/>
  <c r="T27" i="23" s="1"/>
  <c r="S27" i="23" s="1"/>
  <c r="R27" i="23" s="1"/>
  <c r="P27" i="23" s="1"/>
  <c r="V27" i="23" s="1"/>
  <c r="U31" i="23"/>
  <c r="T31" i="23" s="1"/>
  <c r="S31" i="23" s="1"/>
  <c r="R31" i="23" s="1"/>
  <c r="P31" i="23" s="1"/>
  <c r="V31" i="23" s="1"/>
  <c r="U35" i="23"/>
  <c r="T35" i="23" s="1"/>
  <c r="S35" i="23" s="1"/>
  <c r="R35" i="23" s="1"/>
  <c r="P35" i="23" s="1"/>
  <c r="V35" i="23" s="1"/>
  <c r="U39" i="23"/>
  <c r="T39" i="23" s="1"/>
  <c r="S39" i="23" s="1"/>
  <c r="R39" i="23" s="1"/>
  <c r="P39" i="23" s="1"/>
  <c r="V39" i="23" s="1"/>
  <c r="U43" i="23"/>
  <c r="T43" i="23" s="1"/>
  <c r="S43" i="23" s="1"/>
  <c r="R43" i="23" s="1"/>
  <c r="P43" i="23" s="1"/>
  <c r="V43" i="23" s="1"/>
  <c r="U47" i="23"/>
  <c r="T47" i="23" s="1"/>
  <c r="S47" i="23" s="1"/>
  <c r="R47" i="23" s="1"/>
  <c r="P47" i="23" s="1"/>
  <c r="V47" i="23" s="1"/>
  <c r="U51" i="23"/>
  <c r="T51" i="23" s="1"/>
  <c r="S51" i="23" s="1"/>
  <c r="R51" i="23" s="1"/>
  <c r="P51" i="23" s="1"/>
  <c r="V51" i="23" s="1"/>
  <c r="U55" i="23"/>
  <c r="T55" i="23" s="1"/>
  <c r="S55" i="23" s="1"/>
  <c r="R55" i="23" s="1"/>
  <c r="P55" i="23" s="1"/>
  <c r="V55" i="23" s="1"/>
  <c r="U59" i="23"/>
  <c r="T59" i="23" s="1"/>
  <c r="S59" i="23" s="1"/>
  <c r="R59" i="23" s="1"/>
  <c r="P59" i="23" s="1"/>
  <c r="V59" i="23" s="1"/>
  <c r="U63" i="23"/>
  <c r="T63" i="23" s="1"/>
  <c r="S63" i="23" s="1"/>
  <c r="R63" i="23" s="1"/>
  <c r="P63" i="23" s="1"/>
  <c r="V63" i="23" s="1"/>
  <c r="U67" i="23"/>
  <c r="T67" i="23" s="1"/>
  <c r="S67" i="23" s="1"/>
  <c r="R67" i="23" s="1"/>
  <c r="P67" i="23" s="1"/>
  <c r="V67" i="23" s="1"/>
  <c r="U71" i="23"/>
  <c r="T71" i="23" s="1"/>
  <c r="S71" i="23" s="1"/>
  <c r="R71" i="23" s="1"/>
  <c r="P71" i="23" s="1"/>
  <c r="V71" i="23" s="1"/>
  <c r="U75" i="23"/>
  <c r="T75" i="23" s="1"/>
  <c r="S75" i="23" s="1"/>
  <c r="R75" i="23" s="1"/>
  <c r="P75" i="23" s="1"/>
  <c r="V75" i="23" s="1"/>
  <c r="U79" i="23"/>
  <c r="T79" i="23" s="1"/>
  <c r="S79" i="23" s="1"/>
  <c r="R79" i="23" s="1"/>
  <c r="P79" i="23" s="1"/>
  <c r="V79" i="23" s="1"/>
  <c r="U83" i="23"/>
  <c r="T83" i="23" s="1"/>
  <c r="S83" i="23" s="1"/>
  <c r="R83" i="23" s="1"/>
  <c r="P83" i="23" s="1"/>
  <c r="V83" i="23" s="1"/>
  <c r="U87" i="23"/>
  <c r="T87" i="23" s="1"/>
  <c r="S87" i="23" s="1"/>
  <c r="R87" i="23" s="1"/>
  <c r="P87" i="23" s="1"/>
  <c r="V87" i="23" s="1"/>
  <c r="U91" i="23"/>
  <c r="T91" i="23" s="1"/>
  <c r="S91" i="23" s="1"/>
  <c r="R91" i="23" s="1"/>
  <c r="P91" i="23" s="1"/>
  <c r="V91" i="23" s="1"/>
  <c r="U95" i="23"/>
  <c r="T95" i="23" s="1"/>
  <c r="S95" i="23" s="1"/>
  <c r="R95" i="23" s="1"/>
  <c r="P95" i="23" s="1"/>
  <c r="V95" i="23" s="1"/>
  <c r="U99" i="23"/>
  <c r="T99" i="23" s="1"/>
  <c r="S99" i="23" s="1"/>
  <c r="R99" i="23" s="1"/>
  <c r="P99" i="23" s="1"/>
  <c r="V99" i="23" s="1"/>
  <c r="U103" i="23"/>
  <c r="T103" i="23" s="1"/>
  <c r="S103" i="23" s="1"/>
  <c r="R103" i="23" s="1"/>
  <c r="P103" i="23" s="1"/>
  <c r="V103" i="23" s="1"/>
  <c r="U100" i="23"/>
  <c r="T100" i="23" s="1"/>
  <c r="S100" i="23" s="1"/>
  <c r="R100" i="23" s="1"/>
  <c r="P100" i="23" s="1"/>
  <c r="V100" i="23" s="1"/>
  <c r="U92" i="23"/>
  <c r="T92" i="23" s="1"/>
  <c r="S92" i="23" s="1"/>
  <c r="R92" i="23" s="1"/>
  <c r="P92" i="23" s="1"/>
  <c r="V92" i="23" s="1"/>
  <c r="U84" i="23"/>
  <c r="T84" i="23" s="1"/>
  <c r="S84" i="23" s="1"/>
  <c r="R84" i="23" s="1"/>
  <c r="P84" i="23" s="1"/>
  <c r="V84" i="23" s="1"/>
  <c r="U76" i="23"/>
  <c r="T76" i="23" s="1"/>
  <c r="S76" i="23" s="1"/>
  <c r="R76" i="23" s="1"/>
  <c r="P76" i="23" s="1"/>
  <c r="V76" i="23" s="1"/>
  <c r="U68" i="23"/>
  <c r="T68" i="23" s="1"/>
  <c r="S68" i="23" s="1"/>
  <c r="R68" i="23" s="1"/>
  <c r="P68" i="23" s="1"/>
  <c r="V68" i="23" s="1"/>
  <c r="U60" i="23"/>
  <c r="T60" i="23" s="1"/>
  <c r="S60" i="23" s="1"/>
  <c r="R60" i="23" s="1"/>
  <c r="P60" i="23" s="1"/>
  <c r="U52" i="23"/>
  <c r="T52" i="23" s="1"/>
  <c r="S52" i="23" s="1"/>
  <c r="R52" i="23" s="1"/>
  <c r="P52" i="23" s="1"/>
  <c r="V52" i="23" s="1"/>
  <c r="U44" i="23"/>
  <c r="T44" i="23" s="1"/>
  <c r="S44" i="23" s="1"/>
  <c r="R44" i="23" s="1"/>
  <c r="P44" i="23" s="1"/>
  <c r="V44" i="23" s="1"/>
  <c r="U36" i="23"/>
  <c r="T36" i="23" s="1"/>
  <c r="S36" i="23" s="1"/>
  <c r="R36" i="23" s="1"/>
  <c r="P36" i="23" s="1"/>
  <c r="V36" i="23" s="1"/>
  <c r="U28" i="23"/>
  <c r="T28" i="23" s="1"/>
  <c r="S28" i="23" s="1"/>
  <c r="R28" i="23" s="1"/>
  <c r="P28" i="23" s="1"/>
  <c r="V28" i="23" s="1"/>
  <c r="U19" i="23"/>
  <c r="T19" i="23" s="1"/>
  <c r="S19" i="23" s="1"/>
  <c r="R19" i="23" s="1"/>
  <c r="P19" i="23" s="1"/>
  <c r="V19" i="23" s="1"/>
  <c r="U82" i="23"/>
  <c r="T82" i="23" s="1"/>
  <c r="S82" i="23" s="1"/>
  <c r="R82" i="23" s="1"/>
  <c r="P82" i="23" s="1"/>
  <c r="V82" i="23" s="1"/>
  <c r="U50" i="23"/>
  <c r="T50" i="23" s="1"/>
  <c r="S50" i="23" s="1"/>
  <c r="R50" i="23" s="1"/>
  <c r="P50" i="23" s="1"/>
  <c r="V50" i="23" s="1"/>
  <c r="U102" i="23"/>
  <c r="T102" i="23" s="1"/>
  <c r="S102" i="23" s="1"/>
  <c r="R102" i="23" s="1"/>
  <c r="P102" i="23" s="1"/>
  <c r="V102" i="23" s="1"/>
  <c r="U86" i="23"/>
  <c r="T86" i="23" s="1"/>
  <c r="S86" i="23" s="1"/>
  <c r="R86" i="23" s="1"/>
  <c r="P86" i="23" s="1"/>
  <c r="V86" i="23" s="1"/>
  <c r="U70" i="23"/>
  <c r="T70" i="23" s="1"/>
  <c r="S70" i="23" s="1"/>
  <c r="R70" i="23" s="1"/>
  <c r="P70" i="23" s="1"/>
  <c r="V70" i="23" s="1"/>
  <c r="U54" i="23"/>
  <c r="T54" i="23" s="1"/>
  <c r="S54" i="23" s="1"/>
  <c r="R54" i="23" s="1"/>
  <c r="P54" i="23" s="1"/>
  <c r="V54" i="23" s="1"/>
  <c r="U38" i="23"/>
  <c r="T38" i="23" s="1"/>
  <c r="S38" i="23" s="1"/>
  <c r="R38" i="23" s="1"/>
  <c r="P38" i="23" s="1"/>
  <c r="V38" i="23" s="1"/>
  <c r="U20" i="23"/>
  <c r="T20" i="23" s="1"/>
  <c r="S20" i="23" s="1"/>
  <c r="R20" i="23" s="1"/>
  <c r="P20" i="23" s="1"/>
  <c r="V20" i="23" s="1"/>
  <c r="U22" i="23"/>
  <c r="T22" i="23" s="1"/>
  <c r="S22" i="23" s="1"/>
  <c r="R22" i="23" s="1"/>
  <c r="P22" i="23" s="1"/>
  <c r="V22" i="23" s="1"/>
  <c r="U16" i="23"/>
  <c r="T16" i="23" s="1"/>
  <c r="S16" i="23" s="1"/>
  <c r="R16" i="23" s="1"/>
  <c r="P16" i="23" s="1"/>
  <c r="V16" i="23" s="1"/>
  <c r="U25" i="23"/>
  <c r="T25" i="23" s="1"/>
  <c r="S25" i="23" s="1"/>
  <c r="R25" i="23" s="1"/>
  <c r="P25" i="23" s="1"/>
  <c r="V25" i="23" s="1"/>
  <c r="U29" i="23"/>
  <c r="T29" i="23" s="1"/>
  <c r="S29" i="23" s="1"/>
  <c r="R29" i="23" s="1"/>
  <c r="P29" i="23" s="1"/>
  <c r="U33" i="23"/>
  <c r="T33" i="23" s="1"/>
  <c r="S33" i="23" s="1"/>
  <c r="R33" i="23" s="1"/>
  <c r="P33" i="23" s="1"/>
  <c r="V33" i="23" s="1"/>
  <c r="U37" i="23"/>
  <c r="T37" i="23" s="1"/>
  <c r="S37" i="23" s="1"/>
  <c r="R37" i="23" s="1"/>
  <c r="P37" i="23" s="1"/>
  <c r="V37" i="23" s="1"/>
  <c r="U41" i="23"/>
  <c r="T41" i="23" s="1"/>
  <c r="S41" i="23" s="1"/>
  <c r="R41" i="23" s="1"/>
  <c r="P41" i="23" s="1"/>
  <c r="V41" i="23" s="1"/>
  <c r="U45" i="23"/>
  <c r="T45" i="23" s="1"/>
  <c r="S45" i="23" s="1"/>
  <c r="R45" i="23" s="1"/>
  <c r="P45" i="23" s="1"/>
  <c r="V45" i="23" s="1"/>
  <c r="U49" i="23"/>
  <c r="T49" i="23" s="1"/>
  <c r="S49" i="23" s="1"/>
  <c r="R49" i="23" s="1"/>
  <c r="P49" i="23" s="1"/>
  <c r="V49" i="23" s="1"/>
  <c r="U53" i="23"/>
  <c r="T53" i="23" s="1"/>
  <c r="S53" i="23" s="1"/>
  <c r="R53" i="23" s="1"/>
  <c r="P53" i="23" s="1"/>
  <c r="V53" i="23" s="1"/>
  <c r="U57" i="23"/>
  <c r="T57" i="23" s="1"/>
  <c r="S57" i="23" s="1"/>
  <c r="R57" i="23" s="1"/>
  <c r="P57" i="23" s="1"/>
  <c r="V57" i="23" s="1"/>
  <c r="U61" i="23"/>
  <c r="T61" i="23" s="1"/>
  <c r="S61" i="23" s="1"/>
  <c r="R61" i="23" s="1"/>
  <c r="P61" i="23" s="1"/>
  <c r="V61" i="23" s="1"/>
  <c r="U65" i="23"/>
  <c r="T65" i="23" s="1"/>
  <c r="S65" i="23" s="1"/>
  <c r="R65" i="23" s="1"/>
  <c r="P65" i="23" s="1"/>
  <c r="V65" i="23" s="1"/>
  <c r="U69" i="23"/>
  <c r="T69" i="23" s="1"/>
  <c r="S69" i="23" s="1"/>
  <c r="R69" i="23" s="1"/>
  <c r="P69" i="23" s="1"/>
  <c r="V69" i="23" s="1"/>
  <c r="U73" i="23"/>
  <c r="T73" i="23" s="1"/>
  <c r="S73" i="23" s="1"/>
  <c r="R73" i="23" s="1"/>
  <c r="P73" i="23" s="1"/>
  <c r="V73" i="23" s="1"/>
  <c r="U77" i="23"/>
  <c r="T77" i="23" s="1"/>
  <c r="S77" i="23" s="1"/>
  <c r="R77" i="23" s="1"/>
  <c r="P77" i="23" s="1"/>
  <c r="V77" i="23" s="1"/>
  <c r="U81" i="23"/>
  <c r="T81" i="23" s="1"/>
  <c r="S81" i="23" s="1"/>
  <c r="R81" i="23" s="1"/>
  <c r="P81" i="23" s="1"/>
  <c r="V81" i="23" s="1"/>
  <c r="U85" i="23"/>
  <c r="T85" i="23" s="1"/>
  <c r="S85" i="23" s="1"/>
  <c r="R85" i="23" s="1"/>
  <c r="P85" i="23" s="1"/>
  <c r="V85" i="23" s="1"/>
  <c r="U89" i="23"/>
  <c r="T89" i="23" s="1"/>
  <c r="S89" i="23" s="1"/>
  <c r="R89" i="23" s="1"/>
  <c r="P89" i="23" s="1"/>
  <c r="V89" i="23" s="1"/>
  <c r="U93" i="23"/>
  <c r="T93" i="23" s="1"/>
  <c r="S93" i="23" s="1"/>
  <c r="R93" i="23" s="1"/>
  <c r="P93" i="23" s="1"/>
  <c r="V93" i="23" s="1"/>
  <c r="U97" i="23"/>
  <c r="T97" i="23" s="1"/>
  <c r="S97" i="23" s="1"/>
  <c r="R97" i="23" s="1"/>
  <c r="P97" i="23" s="1"/>
  <c r="V97" i="23" s="1"/>
  <c r="U101" i="23"/>
  <c r="T101" i="23" s="1"/>
  <c r="S101" i="23" s="1"/>
  <c r="R101" i="23" s="1"/>
  <c r="P101" i="23" s="1"/>
  <c r="V101" i="23" s="1"/>
  <c r="U96" i="23"/>
  <c r="T96" i="23" s="1"/>
  <c r="S96" i="23" s="1"/>
  <c r="R96" i="23" s="1"/>
  <c r="P96" i="23" s="1"/>
  <c r="V96" i="23" s="1"/>
  <c r="U88" i="23"/>
  <c r="T88" i="23" s="1"/>
  <c r="S88" i="23" s="1"/>
  <c r="R88" i="23" s="1"/>
  <c r="P88" i="23" s="1"/>
  <c r="U80" i="23"/>
  <c r="T80" i="23" s="1"/>
  <c r="S80" i="23" s="1"/>
  <c r="R80" i="23" s="1"/>
  <c r="P80" i="23" s="1"/>
  <c r="V80" i="23" s="1"/>
  <c r="U72" i="23"/>
  <c r="T72" i="23" s="1"/>
  <c r="S72" i="23" s="1"/>
  <c r="R72" i="23" s="1"/>
  <c r="P72" i="23" s="1"/>
  <c r="V72" i="23" s="1"/>
  <c r="U64" i="23"/>
  <c r="T64" i="23" s="1"/>
  <c r="S64" i="23" s="1"/>
  <c r="R64" i="23" s="1"/>
  <c r="P64" i="23" s="1"/>
  <c r="V64" i="23" s="1"/>
  <c r="U56" i="23"/>
  <c r="T56" i="23" s="1"/>
  <c r="S56" i="23" s="1"/>
  <c r="R56" i="23" s="1"/>
  <c r="P56" i="23" s="1"/>
  <c r="V56" i="23" s="1"/>
  <c r="U48" i="23"/>
  <c r="T48" i="23" s="1"/>
  <c r="S48" i="23" s="1"/>
  <c r="R48" i="23" s="1"/>
  <c r="P48" i="23" s="1"/>
  <c r="V48" i="23" s="1"/>
  <c r="U40" i="23"/>
  <c r="T40" i="23" s="1"/>
  <c r="S40" i="23" s="1"/>
  <c r="R40" i="23" s="1"/>
  <c r="P40" i="23" s="1"/>
  <c r="V40" i="23" s="1"/>
  <c r="U32" i="23"/>
  <c r="T32" i="23" s="1"/>
  <c r="S32" i="23" s="1"/>
  <c r="R32" i="23" s="1"/>
  <c r="P32" i="23" s="1"/>
  <c r="V32" i="23" s="1"/>
  <c r="U24" i="23"/>
  <c r="T24" i="23" s="1"/>
  <c r="S24" i="23" s="1"/>
  <c r="R24" i="23" s="1"/>
  <c r="P24" i="23" s="1"/>
  <c r="V24" i="23" s="1"/>
  <c r="U18" i="23"/>
  <c r="T18" i="23" s="1"/>
  <c r="S18" i="23" s="1"/>
  <c r="R18" i="23" s="1"/>
  <c r="P18" i="23" s="1"/>
  <c r="V18" i="23" s="1"/>
  <c r="N65" i="19"/>
  <c r="Q343" i="25"/>
  <c r="Q279" i="25"/>
  <c r="Q215" i="25"/>
  <c r="Q121" i="25"/>
  <c r="Q359" i="25"/>
  <c r="Q327" i="25"/>
  <c r="Q295" i="25"/>
  <c r="Q263" i="25"/>
  <c r="Q231" i="25"/>
  <c r="Q199" i="25"/>
  <c r="Q153" i="25"/>
  <c r="Q81" i="25"/>
  <c r="Q367" i="25"/>
  <c r="Q351" i="25"/>
  <c r="Q335" i="25"/>
  <c r="Q319" i="25"/>
  <c r="Q303" i="25"/>
  <c r="Q287" i="25"/>
  <c r="Q271" i="25"/>
  <c r="Q255" i="25"/>
  <c r="Q239" i="25"/>
  <c r="Q223" i="25"/>
  <c r="Q207" i="25"/>
  <c r="Q191" i="25"/>
  <c r="Q169" i="25"/>
  <c r="Q137" i="25"/>
  <c r="Q105" i="25"/>
  <c r="Q49" i="25"/>
  <c r="Q379" i="25"/>
  <c r="BF15" i="7" s="1"/>
  <c r="Q371" i="25"/>
  <c r="Q363" i="25"/>
  <c r="Q355" i="25"/>
  <c r="Q347" i="25"/>
  <c r="Q339" i="25"/>
  <c r="Q331" i="25"/>
  <c r="Q323" i="25"/>
  <c r="Q315" i="25"/>
  <c r="Q307" i="25"/>
  <c r="Q299" i="25"/>
  <c r="Q291" i="25"/>
  <c r="Q283" i="25"/>
  <c r="Q275" i="25"/>
  <c r="Q267" i="25"/>
  <c r="Q259" i="25"/>
  <c r="Q251" i="25"/>
  <c r="Q243" i="25"/>
  <c r="Q235" i="25"/>
  <c r="Q227" i="25"/>
  <c r="Q219" i="25"/>
  <c r="Q211" i="25"/>
  <c r="Q203" i="25"/>
  <c r="Q195" i="25"/>
  <c r="Q187" i="25"/>
  <c r="Q177" i="25"/>
  <c r="Q161" i="25"/>
  <c r="Q145" i="25"/>
  <c r="Q129" i="25"/>
  <c r="Q113" i="25"/>
  <c r="Q97" i="25"/>
  <c r="Q65" i="25"/>
  <c r="Q33" i="25"/>
  <c r="AI11" i="24"/>
  <c r="Q377" i="25"/>
  <c r="Q373" i="25"/>
  <c r="Q369" i="25"/>
  <c r="Q365" i="25"/>
  <c r="Q361" i="25"/>
  <c r="Q357" i="25"/>
  <c r="Q353" i="25"/>
  <c r="Q349" i="25"/>
  <c r="Q345" i="25"/>
  <c r="Q341" i="25"/>
  <c r="Q337" i="25"/>
  <c r="Q333" i="25"/>
  <c r="Q329" i="25"/>
  <c r="Q325" i="25"/>
  <c r="Q321" i="25"/>
  <c r="Q317" i="25"/>
  <c r="Q313" i="25"/>
  <c r="Q309" i="25"/>
  <c r="Q305" i="25"/>
  <c r="Q301" i="25"/>
  <c r="Q297" i="25"/>
  <c r="Q293" i="25"/>
  <c r="Q289" i="25"/>
  <c r="Q285" i="25"/>
  <c r="Q281" i="25"/>
  <c r="Q277" i="25"/>
  <c r="Q273" i="25"/>
  <c r="Q269" i="25"/>
  <c r="Q265" i="25"/>
  <c r="Q261" i="25"/>
  <c r="Q257" i="25"/>
  <c r="Q253" i="25"/>
  <c r="Q249" i="25"/>
  <c r="Q245" i="25"/>
  <c r="Q241" i="25"/>
  <c r="Q237" i="25"/>
  <c r="Q233" i="25"/>
  <c r="Q229" i="25"/>
  <c r="Q225" i="25"/>
  <c r="Q221" i="25"/>
  <c r="Q217" i="25"/>
  <c r="Q213" i="25"/>
  <c r="Q209" i="25"/>
  <c r="Q205" i="25"/>
  <c r="Q201" i="25"/>
  <c r="Q197" i="25"/>
  <c r="Q193" i="25"/>
  <c r="Q189" i="25"/>
  <c r="Q185" i="25"/>
  <c r="Q181" i="25"/>
  <c r="Q173" i="25"/>
  <c r="Q165" i="25"/>
  <c r="Q157" i="25"/>
  <c r="Q149" i="25"/>
  <c r="Q141" i="25"/>
  <c r="Q133" i="25"/>
  <c r="Q125" i="25"/>
  <c r="Q117" i="25"/>
  <c r="Q109" i="25"/>
  <c r="Q101" i="25"/>
  <c r="Q89" i="25"/>
  <c r="Q73" i="25"/>
  <c r="Q57" i="25"/>
  <c r="Q41" i="25"/>
  <c r="Q25" i="25"/>
  <c r="Q179" i="25"/>
  <c r="Q175" i="25"/>
  <c r="Q171" i="25"/>
  <c r="Q167" i="25"/>
  <c r="Q163" i="25"/>
  <c r="Q159" i="25"/>
  <c r="Q155" i="25"/>
  <c r="Q151" i="25"/>
  <c r="Q147" i="25"/>
  <c r="Q143" i="25"/>
  <c r="Q139" i="25"/>
  <c r="Q135" i="25"/>
  <c r="Q131" i="25"/>
  <c r="Q127" i="25"/>
  <c r="Q123" i="25"/>
  <c r="Q119" i="25"/>
  <c r="Q115" i="25"/>
  <c r="Q111" i="25"/>
  <c r="Q107" i="25"/>
  <c r="Q103" i="25"/>
  <c r="Q99" i="25"/>
  <c r="Q93" i="25"/>
  <c r="Q85" i="25"/>
  <c r="Q77" i="25"/>
  <c r="Q69" i="25"/>
  <c r="Q61" i="25"/>
  <c r="Q53" i="25"/>
  <c r="Q45" i="25"/>
  <c r="Q37" i="25"/>
  <c r="Q29" i="25"/>
  <c r="Q16" i="25"/>
  <c r="Q95" i="25"/>
  <c r="Q91" i="25"/>
  <c r="Q87" i="25"/>
  <c r="Q83" i="25"/>
  <c r="Q79" i="25"/>
  <c r="Q75" i="25"/>
  <c r="Q71" i="25"/>
  <c r="Q67" i="25"/>
  <c r="Q63" i="25"/>
  <c r="Q59" i="25"/>
  <c r="Q55" i="25"/>
  <c r="Q51" i="25"/>
  <c r="Q47" i="25"/>
  <c r="Q43" i="25"/>
  <c r="Q39" i="25"/>
  <c r="Q35" i="25"/>
  <c r="Q31" i="25"/>
  <c r="Q27" i="25"/>
  <c r="Q23" i="25"/>
  <c r="Q18" i="25"/>
  <c r="Q378" i="25"/>
  <c r="Q376" i="25"/>
  <c r="Q374" i="25"/>
  <c r="Q372" i="25"/>
  <c r="Q370" i="25"/>
  <c r="Q368" i="25"/>
  <c r="Q366" i="25"/>
  <c r="Q364" i="25"/>
  <c r="Q362" i="25"/>
  <c r="Q360" i="25"/>
  <c r="Q358" i="25"/>
  <c r="Q356" i="25"/>
  <c r="Q354" i="25"/>
  <c r="Q352" i="25"/>
  <c r="Q350" i="25"/>
  <c r="Q348" i="25"/>
  <c r="Q346" i="25"/>
  <c r="Q344" i="25"/>
  <c r="Q342" i="25"/>
  <c r="Q340" i="25"/>
  <c r="Q338" i="25"/>
  <c r="Q336" i="25"/>
  <c r="Q334" i="25"/>
  <c r="Q332" i="25"/>
  <c r="Q330" i="25"/>
  <c r="Q328" i="25"/>
  <c r="Q326" i="25"/>
  <c r="Q324" i="25"/>
  <c r="Q322" i="25"/>
  <c r="Q320" i="25"/>
  <c r="Q318" i="25"/>
  <c r="Q316" i="25"/>
  <c r="Q314" i="25"/>
  <c r="Q312" i="25"/>
  <c r="Q310" i="25"/>
  <c r="Q308" i="25"/>
  <c r="Q306" i="25"/>
  <c r="Q304" i="25"/>
  <c r="Q302" i="25"/>
  <c r="Q300" i="25"/>
  <c r="Q298" i="25"/>
  <c r="Q296" i="25"/>
  <c r="Q294" i="25"/>
  <c r="Q292" i="25"/>
  <c r="Q290" i="25"/>
  <c r="Q288" i="25"/>
  <c r="Q286" i="25"/>
  <c r="Q284" i="25"/>
  <c r="Q282" i="25"/>
  <c r="Q280" i="25"/>
  <c r="Q278" i="25"/>
  <c r="Q276" i="25"/>
  <c r="Q274" i="25"/>
  <c r="Q272" i="25"/>
  <c r="Q270" i="25"/>
  <c r="Q268" i="25"/>
  <c r="Q266" i="25"/>
  <c r="Q264" i="25"/>
  <c r="Q262" i="25"/>
  <c r="Q260" i="25"/>
  <c r="Q258" i="25"/>
  <c r="Q256" i="25"/>
  <c r="Q254" i="25"/>
  <c r="Q252" i="25"/>
  <c r="Q250" i="25"/>
  <c r="Q248" i="25"/>
  <c r="Q246" i="25"/>
  <c r="Q244" i="25"/>
  <c r="Q242" i="25"/>
  <c r="Q240" i="25"/>
  <c r="Q238" i="25"/>
  <c r="Q236" i="25"/>
  <c r="Q234" i="25"/>
  <c r="Q232" i="25"/>
  <c r="Q230" i="25"/>
  <c r="Q228" i="25"/>
  <c r="Q226" i="25"/>
  <c r="Q224" i="25"/>
  <c r="Q222" i="25"/>
  <c r="Q220" i="25"/>
  <c r="Q218" i="25"/>
  <c r="Q216" i="25"/>
  <c r="Q214" i="25"/>
  <c r="Q212" i="25"/>
  <c r="Q210" i="25"/>
  <c r="Q208" i="25"/>
  <c r="Q206" i="25"/>
  <c r="Q204" i="25"/>
  <c r="Q202" i="25"/>
  <c r="Q200" i="25"/>
  <c r="Q198" i="25"/>
  <c r="Q196" i="25"/>
  <c r="Q194" i="25"/>
  <c r="Q192" i="25"/>
  <c r="Q190" i="25"/>
  <c r="Q188" i="25"/>
  <c r="Q186" i="25"/>
  <c r="Q184" i="25"/>
  <c r="Q182" i="25"/>
  <c r="Q180" i="25"/>
  <c r="Q178" i="25"/>
  <c r="Q176" i="25"/>
  <c r="Q174" i="25"/>
  <c r="Q172" i="25"/>
  <c r="Q170" i="25"/>
  <c r="Q168" i="25"/>
  <c r="Q166" i="25"/>
  <c r="Q164" i="25"/>
  <c r="Q162" i="25"/>
  <c r="Q160" i="25"/>
  <c r="Q158" i="25"/>
  <c r="Q156" i="25"/>
  <c r="Q154" i="25"/>
  <c r="Q152" i="25"/>
  <c r="Q150" i="25"/>
  <c r="Q148" i="25"/>
  <c r="Q146" i="25"/>
  <c r="Q144" i="25"/>
  <c r="Q142" i="25"/>
  <c r="Q140" i="25"/>
  <c r="Q138" i="25"/>
  <c r="Q136" i="25"/>
  <c r="Q134" i="25"/>
  <c r="Q132" i="25"/>
  <c r="Q130" i="25"/>
  <c r="Q128" i="25"/>
  <c r="Q126" i="25"/>
  <c r="Q124" i="25"/>
  <c r="Q122" i="25"/>
  <c r="Q120" i="25"/>
  <c r="Q118" i="25"/>
  <c r="Q116" i="25"/>
  <c r="Q114" i="25"/>
  <c r="Q112" i="25"/>
  <c r="Q110" i="25"/>
  <c r="Q108" i="25"/>
  <c r="Q106" i="25"/>
  <c r="Q104" i="25"/>
  <c r="Q102" i="25"/>
  <c r="Q100" i="25"/>
  <c r="Q98" i="25"/>
  <c r="Q96" i="25"/>
  <c r="Q94" i="25"/>
  <c r="Q92" i="25"/>
  <c r="Q90" i="25"/>
  <c r="Q88" i="25"/>
  <c r="Q86" i="25"/>
  <c r="Q84" i="25"/>
  <c r="Q82" i="25"/>
  <c r="Q80" i="25"/>
  <c r="Q78" i="25"/>
  <c r="Q76" i="25"/>
  <c r="Q74" i="25"/>
  <c r="Q72" i="25"/>
  <c r="Q70" i="25"/>
  <c r="Q68" i="25"/>
  <c r="Q66" i="25"/>
  <c r="Q64" i="25"/>
  <c r="Q62" i="25"/>
  <c r="Q60" i="25"/>
  <c r="Q58" i="25"/>
  <c r="Q56" i="25"/>
  <c r="Q54" i="25"/>
  <c r="Q52" i="25"/>
  <c r="Q50" i="25"/>
  <c r="Q48" i="25"/>
  <c r="Q46" i="25"/>
  <c r="Q44" i="25"/>
  <c r="Q42" i="25"/>
  <c r="Q40" i="25"/>
  <c r="Q38" i="25"/>
  <c r="Q36" i="25"/>
  <c r="Q34" i="25"/>
  <c r="Q32" i="25"/>
  <c r="Q30" i="25"/>
  <c r="Q28" i="25"/>
  <c r="Q26" i="25"/>
  <c r="Q24" i="25"/>
  <c r="Q22" i="25"/>
  <c r="Q15" i="25"/>
  <c r="Q21" i="25"/>
  <c r="Q380" i="25"/>
  <c r="AE380" i="25"/>
  <c r="Q20" i="25"/>
  <c r="Q19" i="25"/>
  <c r="Q17" i="25"/>
  <c r="AE379" i="25"/>
  <c r="AE377" i="25"/>
  <c r="AE375" i="25"/>
  <c r="AE373" i="25"/>
  <c r="AE371" i="25"/>
  <c r="AE369" i="25"/>
  <c r="AE367" i="25"/>
  <c r="AE365" i="25"/>
  <c r="AE363" i="25"/>
  <c r="AE361" i="25"/>
  <c r="AE359" i="25"/>
  <c r="AE357" i="25"/>
  <c r="AE355" i="25"/>
  <c r="AE353" i="25"/>
  <c r="AE351" i="25"/>
  <c r="AE349" i="25"/>
  <c r="AE347" i="25"/>
  <c r="AE345" i="25"/>
  <c r="AE343" i="25"/>
  <c r="AE341" i="25"/>
  <c r="AE339" i="25"/>
  <c r="AE337" i="25"/>
  <c r="AE335" i="25"/>
  <c r="AE333" i="25"/>
  <c r="AE331" i="25"/>
  <c r="AE329" i="25"/>
  <c r="AE327" i="25"/>
  <c r="AE325" i="25"/>
  <c r="AE323" i="25"/>
  <c r="AE321" i="25"/>
  <c r="AE319" i="25"/>
  <c r="AE317" i="25"/>
  <c r="AE315" i="25"/>
  <c r="AE313" i="25"/>
  <c r="AE311" i="25"/>
  <c r="AE309" i="25"/>
  <c r="AE307" i="25"/>
  <c r="AE305" i="25"/>
  <c r="AE303" i="25"/>
  <c r="AE301" i="25"/>
  <c r="AE299" i="25"/>
  <c r="AE297" i="25"/>
  <c r="AE295" i="25"/>
  <c r="AE293" i="25"/>
  <c r="AE291" i="25"/>
  <c r="AE289" i="25"/>
  <c r="AE287" i="25"/>
  <c r="AE285" i="25"/>
  <c r="AE283" i="25"/>
  <c r="AE281" i="25"/>
  <c r="AE279" i="25"/>
  <c r="AE277" i="25"/>
  <c r="AE275" i="25"/>
  <c r="AE273" i="25"/>
  <c r="AE271" i="25"/>
  <c r="AE269" i="25"/>
  <c r="AE267" i="25"/>
  <c r="AE265" i="25"/>
  <c r="AE263" i="25"/>
  <c r="AE261" i="25"/>
  <c r="AE259" i="25"/>
  <c r="AE257" i="25"/>
  <c r="AE255" i="25"/>
  <c r="AE253" i="25"/>
  <c r="AE251" i="25"/>
  <c r="AE249" i="25"/>
  <c r="AE247" i="25"/>
  <c r="AE245" i="25"/>
  <c r="AE243" i="25"/>
  <c r="AE241" i="25"/>
  <c r="AE239" i="25"/>
  <c r="AE237" i="25"/>
  <c r="AE235" i="25"/>
  <c r="AE233" i="25"/>
  <c r="AE231" i="25"/>
  <c r="AE229" i="25"/>
  <c r="AE227" i="25"/>
  <c r="AE225" i="25"/>
  <c r="AE223" i="25"/>
  <c r="AE221" i="25"/>
  <c r="AE219" i="25"/>
  <c r="AE217" i="25"/>
  <c r="AE215" i="25"/>
  <c r="AE213" i="25"/>
  <c r="AE211" i="25"/>
  <c r="AE209" i="25"/>
  <c r="AE207" i="25"/>
  <c r="AE205" i="25"/>
  <c r="AE203" i="25"/>
  <c r="AE201" i="25"/>
  <c r="AE199" i="25"/>
  <c r="AE197" i="25"/>
  <c r="AE195" i="25"/>
  <c r="AE193" i="25"/>
  <c r="AE191" i="25"/>
  <c r="AE189" i="25"/>
  <c r="AE187" i="25"/>
  <c r="AE185" i="25"/>
  <c r="AE183" i="25"/>
  <c r="AE181" i="25"/>
  <c r="AE179" i="25"/>
  <c r="AE177" i="25"/>
  <c r="AE175" i="25"/>
  <c r="AE173" i="25"/>
  <c r="AE171" i="25"/>
  <c r="AE169" i="25"/>
  <c r="AE167" i="25"/>
  <c r="AE165" i="25"/>
  <c r="AE163" i="25"/>
  <c r="AE161" i="25"/>
  <c r="AE159" i="25"/>
  <c r="AE157" i="25"/>
  <c r="AE155" i="25"/>
  <c r="AE153" i="25"/>
  <c r="AE151" i="25"/>
  <c r="AE149" i="25"/>
  <c r="AE147" i="25"/>
  <c r="AE145" i="25"/>
  <c r="AE143" i="25"/>
  <c r="AE141" i="25"/>
  <c r="AE139" i="25"/>
  <c r="AE137" i="25"/>
  <c r="AE135" i="25"/>
  <c r="AE133" i="25"/>
  <c r="AE131" i="25"/>
  <c r="AE129" i="25"/>
  <c r="AE127" i="25"/>
  <c r="AE125" i="25"/>
  <c r="AE123" i="25"/>
  <c r="AE121" i="25"/>
  <c r="AE119" i="25"/>
  <c r="AE117" i="25"/>
  <c r="AE115" i="25"/>
  <c r="AE113" i="25"/>
  <c r="AE111" i="25"/>
  <c r="AE109" i="25"/>
  <c r="AE107" i="25"/>
  <c r="AE105" i="25"/>
  <c r="AE103" i="25"/>
  <c r="AE101" i="25"/>
  <c r="AE99" i="25"/>
  <c r="AE97" i="25"/>
  <c r="AE95" i="25"/>
  <c r="AE93" i="25"/>
  <c r="AE91" i="25"/>
  <c r="AE89" i="25"/>
  <c r="AE87" i="25"/>
  <c r="AE85" i="25"/>
  <c r="AE83" i="25"/>
  <c r="AE81" i="25"/>
  <c r="AE79" i="25"/>
  <c r="AE77" i="25"/>
  <c r="AE75" i="25"/>
  <c r="AE73" i="25"/>
  <c r="AE71" i="25"/>
  <c r="AE69" i="25"/>
  <c r="AE67" i="25"/>
  <c r="AE65" i="25"/>
  <c r="AE63" i="25"/>
  <c r="AE61" i="25"/>
  <c r="AE59" i="25"/>
  <c r="AE57" i="25"/>
  <c r="AE55" i="25"/>
  <c r="AE53" i="25"/>
  <c r="AE51" i="25"/>
  <c r="AE49" i="25"/>
  <c r="AE47" i="25"/>
  <c r="AE45" i="25"/>
  <c r="AE43" i="25"/>
  <c r="AE41" i="25"/>
  <c r="AE39" i="25"/>
  <c r="AE37" i="25"/>
  <c r="AE35" i="25"/>
  <c r="AE33" i="25"/>
  <c r="AE31" i="25"/>
  <c r="AE29" i="25"/>
  <c r="AE27" i="25"/>
  <c r="AE25" i="25"/>
  <c r="AE23" i="25"/>
  <c r="AE21" i="25"/>
  <c r="AE20" i="25"/>
  <c r="AE16" i="25"/>
  <c r="AE17" i="25"/>
  <c r="AE378" i="25"/>
  <c r="AE376" i="25"/>
  <c r="AE374" i="25"/>
  <c r="AE372" i="25"/>
  <c r="AE370" i="25"/>
  <c r="AE368" i="25"/>
  <c r="AE366" i="25"/>
  <c r="AE364" i="25"/>
  <c r="AE362" i="25"/>
  <c r="AE360" i="25"/>
  <c r="AE358" i="25"/>
  <c r="AE356" i="25"/>
  <c r="AE354" i="25"/>
  <c r="AE352" i="25"/>
  <c r="AE350" i="25"/>
  <c r="AE348" i="25"/>
  <c r="AE346" i="25"/>
  <c r="AE344" i="25"/>
  <c r="AE342" i="25"/>
  <c r="AE340" i="25"/>
  <c r="AE338" i="25"/>
  <c r="AE336" i="25"/>
  <c r="AE334" i="25"/>
  <c r="AE332" i="25"/>
  <c r="AE330" i="25"/>
  <c r="AE328" i="25"/>
  <c r="AE326" i="25"/>
  <c r="AE324" i="25"/>
  <c r="AE322" i="25"/>
  <c r="AE320" i="25"/>
  <c r="AE318" i="25"/>
  <c r="AE316" i="25"/>
  <c r="AE314" i="25"/>
  <c r="AE312" i="25"/>
  <c r="AE310" i="25"/>
  <c r="AE308" i="25"/>
  <c r="AE306" i="25"/>
  <c r="AE304" i="25"/>
  <c r="AE302" i="25"/>
  <c r="AE300" i="25"/>
  <c r="AE298" i="25"/>
  <c r="AE296" i="25"/>
  <c r="AE294" i="25"/>
  <c r="AE292" i="25"/>
  <c r="AE290" i="25"/>
  <c r="AE288" i="25"/>
  <c r="AE286" i="25"/>
  <c r="AE284" i="25"/>
  <c r="AE282" i="25"/>
  <c r="AE280" i="25"/>
  <c r="AE278" i="25"/>
  <c r="AE276" i="25"/>
  <c r="AE274" i="25"/>
  <c r="AE272" i="25"/>
  <c r="AE270" i="25"/>
  <c r="AE268" i="25"/>
  <c r="AE266" i="25"/>
  <c r="AE264" i="25"/>
  <c r="AE262" i="25"/>
  <c r="AE260" i="25"/>
  <c r="AE258" i="25"/>
  <c r="AE256" i="25"/>
  <c r="AE254" i="25"/>
  <c r="AE252" i="25"/>
  <c r="AE250" i="25"/>
  <c r="AE248" i="25"/>
  <c r="AE246" i="25"/>
  <c r="AE244" i="25"/>
  <c r="AE242" i="25"/>
  <c r="AE240" i="25"/>
  <c r="AE238" i="25"/>
  <c r="AE236" i="25"/>
  <c r="AE234" i="25"/>
  <c r="AE232" i="25"/>
  <c r="AE230" i="25"/>
  <c r="AE228" i="25"/>
  <c r="AE226" i="25"/>
  <c r="AE224" i="25"/>
  <c r="AE222" i="25"/>
  <c r="AE220" i="25"/>
  <c r="AE218" i="25"/>
  <c r="AE216" i="25"/>
  <c r="AE214" i="25"/>
  <c r="AE212" i="25"/>
  <c r="AE210" i="25"/>
  <c r="AE208" i="25"/>
  <c r="AE206" i="25"/>
  <c r="AE204" i="25"/>
  <c r="AE202" i="25"/>
  <c r="AE200" i="25"/>
  <c r="AE198" i="25"/>
  <c r="AE196" i="25"/>
  <c r="AE194" i="25"/>
  <c r="AE192" i="25"/>
  <c r="AE190" i="25"/>
  <c r="AE188" i="25"/>
  <c r="AE186" i="25"/>
  <c r="AE184" i="25"/>
  <c r="AE182" i="25"/>
  <c r="AE180" i="25"/>
  <c r="AE178" i="25"/>
  <c r="AE176" i="25"/>
  <c r="AE174" i="25"/>
  <c r="AE172" i="25"/>
  <c r="AE170" i="25"/>
  <c r="AE168" i="25"/>
  <c r="AE166" i="25"/>
  <c r="AE164" i="25"/>
  <c r="AE162" i="25"/>
  <c r="AE160" i="25"/>
  <c r="AE158" i="25"/>
  <c r="AE156" i="25"/>
  <c r="AE154" i="25"/>
  <c r="AE152" i="25"/>
  <c r="AE150" i="25"/>
  <c r="AE148" i="25"/>
  <c r="AE146" i="25"/>
  <c r="AE144" i="25"/>
  <c r="AE142" i="25"/>
  <c r="AE140" i="25"/>
  <c r="AE138" i="25"/>
  <c r="AE136" i="25"/>
  <c r="AE134" i="25"/>
  <c r="AE132" i="25"/>
  <c r="AE130" i="25"/>
  <c r="AE128" i="25"/>
  <c r="AE126" i="25"/>
  <c r="AE124" i="25"/>
  <c r="AE122" i="25"/>
  <c r="AE120" i="25"/>
  <c r="AE118" i="25"/>
  <c r="AE116" i="25"/>
  <c r="AE114" i="25"/>
  <c r="AE112" i="25"/>
  <c r="AE110" i="25"/>
  <c r="AE108" i="25"/>
  <c r="AE106" i="25"/>
  <c r="AE104" i="25"/>
  <c r="AE102" i="25"/>
  <c r="AE100" i="25"/>
  <c r="AE98" i="25"/>
  <c r="AE96" i="25"/>
  <c r="AE94" i="25"/>
  <c r="AE92" i="25"/>
  <c r="AE90" i="25"/>
  <c r="AE88" i="25"/>
  <c r="AE86" i="25"/>
  <c r="AE84" i="25"/>
  <c r="AE82" i="25"/>
  <c r="AE80" i="25"/>
  <c r="AE78" i="25"/>
  <c r="AE76" i="25"/>
  <c r="AE74" i="25"/>
  <c r="AE72" i="25"/>
  <c r="AE70" i="25"/>
  <c r="AE68" i="25"/>
  <c r="AE66" i="25"/>
  <c r="AE64" i="25"/>
  <c r="AE62" i="25"/>
  <c r="AE60" i="25"/>
  <c r="AE58" i="25"/>
  <c r="AE56" i="25"/>
  <c r="AE54" i="25"/>
  <c r="AE52" i="25"/>
  <c r="AE50" i="25"/>
  <c r="AE48" i="25"/>
  <c r="AE46" i="25"/>
  <c r="AE44" i="25"/>
  <c r="AE42" i="25"/>
  <c r="AE40" i="25"/>
  <c r="AE38" i="25"/>
  <c r="AE36" i="25"/>
  <c r="AE34" i="25"/>
  <c r="AE32" i="25"/>
  <c r="AE30" i="25"/>
  <c r="AE28" i="25"/>
  <c r="AE26" i="25"/>
  <c r="AE24" i="25"/>
  <c r="AE22" i="25"/>
  <c r="AE19" i="25"/>
  <c r="AE18" i="25"/>
  <c r="AE15" i="25"/>
  <c r="AF15" i="23" l="1"/>
  <c r="AH46" i="7"/>
  <c r="V88" i="23"/>
  <c r="D68" i="19" s="1"/>
  <c r="V29" i="23"/>
  <c r="AH44" i="7"/>
  <c r="AI105" i="23"/>
  <c r="AH105" i="23" s="1"/>
  <c r="AG105" i="23" s="1"/>
  <c r="AF105" i="23" s="1"/>
  <c r="AD105" i="23" s="1"/>
  <c r="AI109" i="23"/>
  <c r="AH109" i="23" s="1"/>
  <c r="AG109" i="23" s="1"/>
  <c r="AF109" i="23" s="1"/>
  <c r="AD109" i="23" s="1"/>
  <c r="AI113" i="23"/>
  <c r="AH113" i="23" s="1"/>
  <c r="AG113" i="23" s="1"/>
  <c r="AF113" i="23" s="1"/>
  <c r="AD113" i="23" s="1"/>
  <c r="AI117" i="23"/>
  <c r="AH117" i="23" s="1"/>
  <c r="AG117" i="23" s="1"/>
  <c r="AF117" i="23" s="1"/>
  <c r="AD117" i="23" s="1"/>
  <c r="AI121" i="23"/>
  <c r="AH121" i="23" s="1"/>
  <c r="AG121" i="23" s="1"/>
  <c r="AF121" i="23" s="1"/>
  <c r="AD121" i="23" s="1"/>
  <c r="AI125" i="23"/>
  <c r="AH125" i="23" s="1"/>
  <c r="AG125" i="23" s="1"/>
  <c r="AF125" i="23" s="1"/>
  <c r="AD125" i="23" s="1"/>
  <c r="AI129" i="23"/>
  <c r="AH129" i="23" s="1"/>
  <c r="AG129" i="23" s="1"/>
  <c r="AF129" i="23" s="1"/>
  <c r="AD129" i="23" s="1"/>
  <c r="AI133" i="23"/>
  <c r="AH133" i="23" s="1"/>
  <c r="AG133" i="23" s="1"/>
  <c r="AF133" i="23" s="1"/>
  <c r="AD133" i="23" s="1"/>
  <c r="AI137" i="23"/>
  <c r="AH137" i="23" s="1"/>
  <c r="AG137" i="23" s="1"/>
  <c r="AF137" i="23" s="1"/>
  <c r="AD137" i="23" s="1"/>
  <c r="AI141" i="23"/>
  <c r="AH141" i="23" s="1"/>
  <c r="AG141" i="23" s="1"/>
  <c r="AF141" i="23" s="1"/>
  <c r="AD141" i="23" s="1"/>
  <c r="AI145" i="23"/>
  <c r="AH145" i="23" s="1"/>
  <c r="AG145" i="23" s="1"/>
  <c r="AF145" i="23" s="1"/>
  <c r="AD145" i="23" s="1"/>
  <c r="AI149" i="23"/>
  <c r="AH149" i="23" s="1"/>
  <c r="AG149" i="23" s="1"/>
  <c r="AF149" i="23" s="1"/>
  <c r="AD149" i="23" s="1"/>
  <c r="AI153" i="23"/>
  <c r="AH153" i="23" s="1"/>
  <c r="AG153" i="23" s="1"/>
  <c r="AF153" i="23" s="1"/>
  <c r="AD153" i="23" s="1"/>
  <c r="AI157" i="23"/>
  <c r="AH157" i="23" s="1"/>
  <c r="AG157" i="23" s="1"/>
  <c r="AF157" i="23" s="1"/>
  <c r="AD157" i="23" s="1"/>
  <c r="AI161" i="23"/>
  <c r="AH161" i="23" s="1"/>
  <c r="AG161" i="23" s="1"/>
  <c r="AF161" i="23" s="1"/>
  <c r="AD161" i="23" s="1"/>
  <c r="AI165" i="23"/>
  <c r="AH165" i="23" s="1"/>
  <c r="AG165" i="23" s="1"/>
  <c r="AF165" i="23" s="1"/>
  <c r="AD165" i="23" s="1"/>
  <c r="AI169" i="23"/>
  <c r="AH169" i="23" s="1"/>
  <c r="AG169" i="23" s="1"/>
  <c r="AF169" i="23" s="1"/>
  <c r="AD169" i="23" s="1"/>
  <c r="AI173" i="23"/>
  <c r="AH173" i="23" s="1"/>
  <c r="AG173" i="23" s="1"/>
  <c r="AF173" i="23" s="1"/>
  <c r="AD173" i="23" s="1"/>
  <c r="AI177" i="23"/>
  <c r="AH177" i="23" s="1"/>
  <c r="AG177" i="23" s="1"/>
  <c r="AF177" i="23" s="1"/>
  <c r="AD177" i="23" s="1"/>
  <c r="AI181" i="23"/>
  <c r="AH181" i="23" s="1"/>
  <c r="AG181" i="23" s="1"/>
  <c r="AF181" i="23" s="1"/>
  <c r="AD181" i="23" s="1"/>
  <c r="AI185" i="23"/>
  <c r="AH185" i="23" s="1"/>
  <c r="AG185" i="23" s="1"/>
  <c r="AF185" i="23" s="1"/>
  <c r="AD185" i="23" s="1"/>
  <c r="AI189" i="23"/>
  <c r="AH189" i="23" s="1"/>
  <c r="AG189" i="23" s="1"/>
  <c r="AF189" i="23" s="1"/>
  <c r="AD189" i="23" s="1"/>
  <c r="AI193" i="23"/>
  <c r="AH193" i="23" s="1"/>
  <c r="AG193" i="23" s="1"/>
  <c r="AF193" i="23" s="1"/>
  <c r="AD193" i="23" s="1"/>
  <c r="AI197" i="23"/>
  <c r="AH197" i="23" s="1"/>
  <c r="AG197" i="23" s="1"/>
  <c r="AF197" i="23" s="1"/>
  <c r="AD197" i="23" s="1"/>
  <c r="AI201" i="23"/>
  <c r="AH201" i="23" s="1"/>
  <c r="AG201" i="23" s="1"/>
  <c r="AF201" i="23" s="1"/>
  <c r="AD201" i="23" s="1"/>
  <c r="AI205" i="23"/>
  <c r="AH205" i="23" s="1"/>
  <c r="AG205" i="23" s="1"/>
  <c r="AF205" i="23" s="1"/>
  <c r="AD205" i="23" s="1"/>
  <c r="AI209" i="23"/>
  <c r="AH209" i="23" s="1"/>
  <c r="AG209" i="23" s="1"/>
  <c r="AF209" i="23" s="1"/>
  <c r="AD209" i="23" s="1"/>
  <c r="AI213" i="23"/>
  <c r="AH213" i="23" s="1"/>
  <c r="AG213" i="23" s="1"/>
  <c r="AF213" i="23" s="1"/>
  <c r="AD213" i="23" s="1"/>
  <c r="AI217" i="23"/>
  <c r="AH217" i="23" s="1"/>
  <c r="AG217" i="23" s="1"/>
  <c r="AF217" i="23" s="1"/>
  <c r="AD217" i="23" s="1"/>
  <c r="AI221" i="23"/>
  <c r="AH221" i="23" s="1"/>
  <c r="AG221" i="23" s="1"/>
  <c r="AF221" i="23" s="1"/>
  <c r="AD221" i="23" s="1"/>
  <c r="AI225" i="23"/>
  <c r="AH225" i="23" s="1"/>
  <c r="AG225" i="23" s="1"/>
  <c r="AF225" i="23" s="1"/>
  <c r="AD225" i="23" s="1"/>
  <c r="AI229" i="23"/>
  <c r="AH229" i="23" s="1"/>
  <c r="AG229" i="23" s="1"/>
  <c r="AF229" i="23" s="1"/>
  <c r="AD229" i="23" s="1"/>
  <c r="AI233" i="23"/>
  <c r="AH233" i="23" s="1"/>
  <c r="AG233" i="23" s="1"/>
  <c r="AF233" i="23" s="1"/>
  <c r="AD233" i="23" s="1"/>
  <c r="AI237" i="23"/>
  <c r="AH237" i="23" s="1"/>
  <c r="AG237" i="23" s="1"/>
  <c r="AF237" i="23" s="1"/>
  <c r="AD237" i="23" s="1"/>
  <c r="AI241" i="23"/>
  <c r="AH241" i="23" s="1"/>
  <c r="AG241" i="23" s="1"/>
  <c r="AF241" i="23" s="1"/>
  <c r="AD241" i="23" s="1"/>
  <c r="AI245" i="23"/>
  <c r="AH245" i="23" s="1"/>
  <c r="AG245" i="23" s="1"/>
  <c r="AF245" i="23" s="1"/>
  <c r="AD245" i="23" s="1"/>
  <c r="AI249" i="23"/>
  <c r="AH249" i="23" s="1"/>
  <c r="AG249" i="23" s="1"/>
  <c r="AF249" i="23" s="1"/>
  <c r="AD249" i="23" s="1"/>
  <c r="AI253" i="23"/>
  <c r="AH253" i="23" s="1"/>
  <c r="AG253" i="23" s="1"/>
  <c r="AF253" i="23" s="1"/>
  <c r="AD253" i="23" s="1"/>
  <c r="AI257" i="23"/>
  <c r="AH257" i="23" s="1"/>
  <c r="AG257" i="23" s="1"/>
  <c r="AF257" i="23" s="1"/>
  <c r="AD257" i="23" s="1"/>
  <c r="AI261" i="23"/>
  <c r="AH261" i="23" s="1"/>
  <c r="AG261" i="23" s="1"/>
  <c r="AF261" i="23" s="1"/>
  <c r="AD261" i="23" s="1"/>
  <c r="AI265" i="23"/>
  <c r="AH265" i="23" s="1"/>
  <c r="AG265" i="23" s="1"/>
  <c r="AF265" i="23" s="1"/>
  <c r="AD265" i="23" s="1"/>
  <c r="AI269" i="23"/>
  <c r="AH269" i="23" s="1"/>
  <c r="AG269" i="23" s="1"/>
  <c r="AF269" i="23" s="1"/>
  <c r="AD269" i="23" s="1"/>
  <c r="AI273" i="23"/>
  <c r="AH273" i="23" s="1"/>
  <c r="AG273" i="23" s="1"/>
  <c r="AF273" i="23" s="1"/>
  <c r="AD273" i="23" s="1"/>
  <c r="AI277" i="23"/>
  <c r="AH277" i="23" s="1"/>
  <c r="AG277" i="23" s="1"/>
  <c r="AF277" i="23" s="1"/>
  <c r="AD277" i="23" s="1"/>
  <c r="AI281" i="23"/>
  <c r="AH281" i="23" s="1"/>
  <c r="AG281" i="23" s="1"/>
  <c r="AF281" i="23" s="1"/>
  <c r="AD281" i="23" s="1"/>
  <c r="AI285" i="23"/>
  <c r="AH285" i="23" s="1"/>
  <c r="AG285" i="23" s="1"/>
  <c r="AF285" i="23" s="1"/>
  <c r="AD285" i="23" s="1"/>
  <c r="AI289" i="23"/>
  <c r="AH289" i="23" s="1"/>
  <c r="AG289" i="23" s="1"/>
  <c r="AF289" i="23" s="1"/>
  <c r="AD289" i="23" s="1"/>
  <c r="AI293" i="23"/>
  <c r="AH293" i="23" s="1"/>
  <c r="AG293" i="23" s="1"/>
  <c r="AF293" i="23" s="1"/>
  <c r="AD293" i="23" s="1"/>
  <c r="AI297" i="23"/>
  <c r="AH297" i="23" s="1"/>
  <c r="AG297" i="23" s="1"/>
  <c r="AF297" i="23" s="1"/>
  <c r="AD297" i="23" s="1"/>
  <c r="AI301" i="23"/>
  <c r="AH301" i="23" s="1"/>
  <c r="AG301" i="23" s="1"/>
  <c r="AF301" i="23" s="1"/>
  <c r="AD301" i="23" s="1"/>
  <c r="AI305" i="23"/>
  <c r="AH305" i="23" s="1"/>
  <c r="AG305" i="23" s="1"/>
  <c r="AF305" i="23" s="1"/>
  <c r="AD305" i="23" s="1"/>
  <c r="AI309" i="23"/>
  <c r="AH309" i="23" s="1"/>
  <c r="AG309" i="23" s="1"/>
  <c r="AF309" i="23" s="1"/>
  <c r="AD309" i="23" s="1"/>
  <c r="AI313" i="23"/>
  <c r="AH313" i="23" s="1"/>
  <c r="AG313" i="23" s="1"/>
  <c r="AF313" i="23" s="1"/>
  <c r="AD313" i="23" s="1"/>
  <c r="AI317" i="23"/>
  <c r="AH317" i="23" s="1"/>
  <c r="AG317" i="23" s="1"/>
  <c r="AF317" i="23" s="1"/>
  <c r="AD317" i="23" s="1"/>
  <c r="AI321" i="23"/>
  <c r="AH321" i="23" s="1"/>
  <c r="AG321" i="23" s="1"/>
  <c r="AF321" i="23" s="1"/>
  <c r="AD321" i="23" s="1"/>
  <c r="AI325" i="23"/>
  <c r="AH325" i="23" s="1"/>
  <c r="AG325" i="23" s="1"/>
  <c r="AF325" i="23" s="1"/>
  <c r="AD325" i="23" s="1"/>
  <c r="AI329" i="23"/>
  <c r="AH329" i="23" s="1"/>
  <c r="AG329" i="23" s="1"/>
  <c r="AF329" i="23" s="1"/>
  <c r="AD329" i="23" s="1"/>
  <c r="AI333" i="23"/>
  <c r="AH333" i="23" s="1"/>
  <c r="AG333" i="23" s="1"/>
  <c r="AF333" i="23" s="1"/>
  <c r="AD333" i="23" s="1"/>
  <c r="AI337" i="23"/>
  <c r="AH337" i="23" s="1"/>
  <c r="AG337" i="23" s="1"/>
  <c r="AF337" i="23" s="1"/>
  <c r="AD337" i="23" s="1"/>
  <c r="AI341" i="23"/>
  <c r="AH341" i="23" s="1"/>
  <c r="AG341" i="23" s="1"/>
  <c r="AF341" i="23" s="1"/>
  <c r="AD341" i="23" s="1"/>
  <c r="AI345" i="23"/>
  <c r="AH345" i="23" s="1"/>
  <c r="AG345" i="23" s="1"/>
  <c r="AF345" i="23" s="1"/>
  <c r="AD345" i="23" s="1"/>
  <c r="AI349" i="23"/>
  <c r="AH349" i="23" s="1"/>
  <c r="AG349" i="23" s="1"/>
  <c r="AF349" i="23" s="1"/>
  <c r="AD349" i="23" s="1"/>
  <c r="AI353" i="23"/>
  <c r="AH353" i="23" s="1"/>
  <c r="AG353" i="23" s="1"/>
  <c r="AF353" i="23" s="1"/>
  <c r="AD353" i="23" s="1"/>
  <c r="AI357" i="23"/>
  <c r="AH357" i="23" s="1"/>
  <c r="AG357" i="23" s="1"/>
  <c r="AF357" i="23" s="1"/>
  <c r="AD357" i="23" s="1"/>
  <c r="AI361" i="23"/>
  <c r="AH361" i="23" s="1"/>
  <c r="AG361" i="23" s="1"/>
  <c r="AF361" i="23" s="1"/>
  <c r="AD361" i="23" s="1"/>
  <c r="AI365" i="23"/>
  <c r="AH365" i="23" s="1"/>
  <c r="AG365" i="23" s="1"/>
  <c r="AF365" i="23" s="1"/>
  <c r="AD365" i="23" s="1"/>
  <c r="AI369" i="23"/>
  <c r="AH369" i="23" s="1"/>
  <c r="AG369" i="23" s="1"/>
  <c r="AF369" i="23" s="1"/>
  <c r="AD369" i="23" s="1"/>
  <c r="AI373" i="23"/>
  <c r="AH373" i="23" s="1"/>
  <c r="AG373" i="23" s="1"/>
  <c r="AF373" i="23" s="1"/>
  <c r="AD373" i="23" s="1"/>
  <c r="AI377" i="23"/>
  <c r="AH377" i="23" s="1"/>
  <c r="AG377" i="23" s="1"/>
  <c r="AF377" i="23" s="1"/>
  <c r="AD377" i="23" s="1"/>
  <c r="AI104" i="23"/>
  <c r="AI108" i="23"/>
  <c r="AH108" i="23" s="1"/>
  <c r="AG108" i="23" s="1"/>
  <c r="AF108" i="23" s="1"/>
  <c r="AD108" i="23" s="1"/>
  <c r="AI112" i="23"/>
  <c r="AH112" i="23" s="1"/>
  <c r="AG112" i="23" s="1"/>
  <c r="AF112" i="23" s="1"/>
  <c r="AD112" i="23" s="1"/>
  <c r="AI116" i="23"/>
  <c r="AH116" i="23" s="1"/>
  <c r="AG116" i="23" s="1"/>
  <c r="AF116" i="23" s="1"/>
  <c r="AD116" i="23" s="1"/>
  <c r="AI120" i="23"/>
  <c r="AH120" i="23" s="1"/>
  <c r="AG120" i="23" s="1"/>
  <c r="AF120" i="23" s="1"/>
  <c r="AD120" i="23" s="1"/>
  <c r="AI124" i="23"/>
  <c r="AH124" i="23" s="1"/>
  <c r="AG124" i="23" s="1"/>
  <c r="AF124" i="23" s="1"/>
  <c r="AD124" i="23" s="1"/>
  <c r="AI128" i="23"/>
  <c r="AH128" i="23" s="1"/>
  <c r="AG128" i="23" s="1"/>
  <c r="AF128" i="23" s="1"/>
  <c r="AD128" i="23" s="1"/>
  <c r="AI132" i="23"/>
  <c r="AH132" i="23" s="1"/>
  <c r="AG132" i="23" s="1"/>
  <c r="AF132" i="23" s="1"/>
  <c r="AD132" i="23" s="1"/>
  <c r="AI136" i="23"/>
  <c r="AH136" i="23" s="1"/>
  <c r="AG136" i="23" s="1"/>
  <c r="AF136" i="23" s="1"/>
  <c r="AD136" i="23" s="1"/>
  <c r="AI140" i="23"/>
  <c r="AH140" i="23" s="1"/>
  <c r="AG140" i="23" s="1"/>
  <c r="AF140" i="23" s="1"/>
  <c r="AD140" i="23" s="1"/>
  <c r="AI144" i="23"/>
  <c r="AH144" i="23" s="1"/>
  <c r="AG144" i="23" s="1"/>
  <c r="AF144" i="23" s="1"/>
  <c r="AD144" i="23" s="1"/>
  <c r="AI148" i="23"/>
  <c r="AH148" i="23" s="1"/>
  <c r="AG148" i="23" s="1"/>
  <c r="AF148" i="23" s="1"/>
  <c r="AD148" i="23" s="1"/>
  <c r="AI152" i="23"/>
  <c r="AH152" i="23" s="1"/>
  <c r="AG152" i="23" s="1"/>
  <c r="AF152" i="23" s="1"/>
  <c r="AD152" i="23" s="1"/>
  <c r="AI156" i="23"/>
  <c r="AH156" i="23" s="1"/>
  <c r="AG156" i="23" s="1"/>
  <c r="AF156" i="23" s="1"/>
  <c r="AD156" i="23" s="1"/>
  <c r="AI160" i="23"/>
  <c r="AH160" i="23" s="1"/>
  <c r="AG160" i="23" s="1"/>
  <c r="AF160" i="23" s="1"/>
  <c r="AD160" i="23" s="1"/>
  <c r="AI164" i="23"/>
  <c r="AH164" i="23" s="1"/>
  <c r="AG164" i="23" s="1"/>
  <c r="AF164" i="23" s="1"/>
  <c r="AD164" i="23" s="1"/>
  <c r="AI168" i="23"/>
  <c r="AH168" i="23" s="1"/>
  <c r="AG168" i="23" s="1"/>
  <c r="AF168" i="23" s="1"/>
  <c r="AD168" i="23" s="1"/>
  <c r="AI172" i="23"/>
  <c r="AH172" i="23" s="1"/>
  <c r="AG172" i="23" s="1"/>
  <c r="AF172" i="23" s="1"/>
  <c r="AD172" i="23" s="1"/>
  <c r="AI176" i="23"/>
  <c r="AH176" i="23" s="1"/>
  <c r="AG176" i="23" s="1"/>
  <c r="AF176" i="23" s="1"/>
  <c r="AD176" i="23" s="1"/>
  <c r="AI180" i="23"/>
  <c r="AH180" i="23" s="1"/>
  <c r="AG180" i="23" s="1"/>
  <c r="AF180" i="23" s="1"/>
  <c r="AD180" i="23" s="1"/>
  <c r="AI184" i="23"/>
  <c r="AH184" i="23" s="1"/>
  <c r="AG184" i="23" s="1"/>
  <c r="AF184" i="23" s="1"/>
  <c r="AD184" i="23" s="1"/>
  <c r="AI188" i="23"/>
  <c r="AH188" i="23" s="1"/>
  <c r="AG188" i="23" s="1"/>
  <c r="AF188" i="23" s="1"/>
  <c r="AD188" i="23" s="1"/>
  <c r="AI192" i="23"/>
  <c r="AH192" i="23" s="1"/>
  <c r="AG192" i="23" s="1"/>
  <c r="AF192" i="23" s="1"/>
  <c r="AD192" i="23" s="1"/>
  <c r="AI196" i="23"/>
  <c r="AH196" i="23" s="1"/>
  <c r="AG196" i="23" s="1"/>
  <c r="AF196" i="23" s="1"/>
  <c r="AD196" i="23" s="1"/>
  <c r="AI200" i="23"/>
  <c r="AH200" i="23" s="1"/>
  <c r="AG200" i="23" s="1"/>
  <c r="AF200" i="23" s="1"/>
  <c r="AD200" i="23" s="1"/>
  <c r="AI204" i="23"/>
  <c r="AH204" i="23" s="1"/>
  <c r="AG204" i="23" s="1"/>
  <c r="AF204" i="23" s="1"/>
  <c r="AD204" i="23" s="1"/>
  <c r="AI208" i="23"/>
  <c r="AH208" i="23" s="1"/>
  <c r="AG208" i="23" s="1"/>
  <c r="AF208" i="23" s="1"/>
  <c r="AD208" i="23" s="1"/>
  <c r="AI212" i="23"/>
  <c r="AH212" i="23" s="1"/>
  <c r="AG212" i="23" s="1"/>
  <c r="AF212" i="23" s="1"/>
  <c r="AD212" i="23" s="1"/>
  <c r="AI216" i="23"/>
  <c r="AH216" i="23" s="1"/>
  <c r="AG216" i="23" s="1"/>
  <c r="AF216" i="23" s="1"/>
  <c r="AD216" i="23" s="1"/>
  <c r="AI220" i="23"/>
  <c r="AH220" i="23" s="1"/>
  <c r="AG220" i="23" s="1"/>
  <c r="AF220" i="23" s="1"/>
  <c r="AD220" i="23" s="1"/>
  <c r="AI224" i="23"/>
  <c r="AH224" i="23" s="1"/>
  <c r="AG224" i="23" s="1"/>
  <c r="AF224" i="23" s="1"/>
  <c r="AD224" i="23" s="1"/>
  <c r="AI228" i="23"/>
  <c r="AH228" i="23" s="1"/>
  <c r="AG228" i="23" s="1"/>
  <c r="AF228" i="23" s="1"/>
  <c r="AD228" i="23" s="1"/>
  <c r="AI232" i="23"/>
  <c r="AH232" i="23" s="1"/>
  <c r="AG232" i="23" s="1"/>
  <c r="AF232" i="23" s="1"/>
  <c r="AD232" i="23" s="1"/>
  <c r="AI236" i="23"/>
  <c r="AH236" i="23" s="1"/>
  <c r="AG236" i="23" s="1"/>
  <c r="AF236" i="23" s="1"/>
  <c r="AD236" i="23" s="1"/>
  <c r="AI240" i="23"/>
  <c r="AH240" i="23" s="1"/>
  <c r="AG240" i="23" s="1"/>
  <c r="AF240" i="23" s="1"/>
  <c r="AD240" i="23" s="1"/>
  <c r="AI244" i="23"/>
  <c r="AH244" i="23" s="1"/>
  <c r="AG244" i="23" s="1"/>
  <c r="AF244" i="23" s="1"/>
  <c r="AD244" i="23" s="1"/>
  <c r="AI248" i="23"/>
  <c r="AH248" i="23" s="1"/>
  <c r="AG248" i="23" s="1"/>
  <c r="AF248" i="23" s="1"/>
  <c r="AD248" i="23" s="1"/>
  <c r="AI252" i="23"/>
  <c r="AH252" i="23" s="1"/>
  <c r="AG252" i="23" s="1"/>
  <c r="AF252" i="23" s="1"/>
  <c r="AD252" i="23" s="1"/>
  <c r="AI256" i="23"/>
  <c r="AH256" i="23" s="1"/>
  <c r="AG256" i="23" s="1"/>
  <c r="AF256" i="23" s="1"/>
  <c r="AD256" i="23" s="1"/>
  <c r="AI260" i="23"/>
  <c r="AH260" i="23" s="1"/>
  <c r="AG260" i="23" s="1"/>
  <c r="AF260" i="23" s="1"/>
  <c r="AD260" i="23" s="1"/>
  <c r="AI264" i="23"/>
  <c r="AH264" i="23" s="1"/>
  <c r="AG264" i="23" s="1"/>
  <c r="AF264" i="23" s="1"/>
  <c r="AD264" i="23" s="1"/>
  <c r="AI268" i="23"/>
  <c r="AH268" i="23" s="1"/>
  <c r="AG268" i="23" s="1"/>
  <c r="AF268" i="23" s="1"/>
  <c r="AD268" i="23" s="1"/>
  <c r="AI272" i="23"/>
  <c r="AH272" i="23" s="1"/>
  <c r="AG272" i="23" s="1"/>
  <c r="AF272" i="23" s="1"/>
  <c r="AD272" i="23" s="1"/>
  <c r="AI276" i="23"/>
  <c r="AH276" i="23" s="1"/>
  <c r="AG276" i="23" s="1"/>
  <c r="AF276" i="23" s="1"/>
  <c r="AD276" i="23" s="1"/>
  <c r="AI280" i="23"/>
  <c r="AH280" i="23" s="1"/>
  <c r="AG280" i="23" s="1"/>
  <c r="AF280" i="23" s="1"/>
  <c r="AD280" i="23" s="1"/>
  <c r="AI284" i="23"/>
  <c r="AH284" i="23" s="1"/>
  <c r="AG284" i="23" s="1"/>
  <c r="AF284" i="23" s="1"/>
  <c r="AD284" i="23" s="1"/>
  <c r="AI288" i="23"/>
  <c r="AH288" i="23" s="1"/>
  <c r="AG288" i="23" s="1"/>
  <c r="AF288" i="23" s="1"/>
  <c r="AD288" i="23" s="1"/>
  <c r="AI292" i="23"/>
  <c r="AH292" i="23" s="1"/>
  <c r="AG292" i="23" s="1"/>
  <c r="AF292" i="23" s="1"/>
  <c r="AD292" i="23" s="1"/>
  <c r="AI296" i="23"/>
  <c r="AH296" i="23" s="1"/>
  <c r="AG296" i="23" s="1"/>
  <c r="AF296" i="23" s="1"/>
  <c r="AD296" i="23" s="1"/>
  <c r="AI300" i="23"/>
  <c r="AH300" i="23" s="1"/>
  <c r="AG300" i="23" s="1"/>
  <c r="AF300" i="23" s="1"/>
  <c r="AD300" i="23" s="1"/>
  <c r="AI304" i="23"/>
  <c r="AH304" i="23" s="1"/>
  <c r="AG304" i="23" s="1"/>
  <c r="AF304" i="23" s="1"/>
  <c r="AD304" i="23" s="1"/>
  <c r="AI308" i="23"/>
  <c r="AH308" i="23" s="1"/>
  <c r="AG308" i="23" s="1"/>
  <c r="AF308" i="23" s="1"/>
  <c r="AD308" i="23" s="1"/>
  <c r="AI312" i="23"/>
  <c r="AH312" i="23" s="1"/>
  <c r="AG312" i="23" s="1"/>
  <c r="AF312" i="23" s="1"/>
  <c r="AD312" i="23" s="1"/>
  <c r="AI316" i="23"/>
  <c r="AH316" i="23" s="1"/>
  <c r="AG316" i="23" s="1"/>
  <c r="AF316" i="23" s="1"/>
  <c r="AD316" i="23" s="1"/>
  <c r="AI320" i="23"/>
  <c r="AH320" i="23" s="1"/>
  <c r="AG320" i="23" s="1"/>
  <c r="AF320" i="23" s="1"/>
  <c r="AD320" i="23" s="1"/>
  <c r="AI324" i="23"/>
  <c r="AH324" i="23" s="1"/>
  <c r="AG324" i="23" s="1"/>
  <c r="AF324" i="23" s="1"/>
  <c r="AD324" i="23" s="1"/>
  <c r="AI328" i="23"/>
  <c r="AH328" i="23" s="1"/>
  <c r="AG328" i="23" s="1"/>
  <c r="AF328" i="23" s="1"/>
  <c r="AD328" i="23" s="1"/>
  <c r="AI332" i="23"/>
  <c r="AH332" i="23" s="1"/>
  <c r="AG332" i="23" s="1"/>
  <c r="AF332" i="23" s="1"/>
  <c r="AD332" i="23" s="1"/>
  <c r="AI336" i="23"/>
  <c r="AH336" i="23" s="1"/>
  <c r="AG336" i="23" s="1"/>
  <c r="AF336" i="23" s="1"/>
  <c r="AD336" i="23" s="1"/>
  <c r="AI340" i="23"/>
  <c r="AH340" i="23" s="1"/>
  <c r="AG340" i="23" s="1"/>
  <c r="AF340" i="23" s="1"/>
  <c r="AD340" i="23" s="1"/>
  <c r="AI344" i="23"/>
  <c r="AH344" i="23" s="1"/>
  <c r="AG344" i="23" s="1"/>
  <c r="AF344" i="23" s="1"/>
  <c r="AD344" i="23" s="1"/>
  <c r="AI348" i="23"/>
  <c r="AH348" i="23" s="1"/>
  <c r="AG348" i="23" s="1"/>
  <c r="AF348" i="23" s="1"/>
  <c r="AD348" i="23" s="1"/>
  <c r="AI352" i="23"/>
  <c r="AH352" i="23" s="1"/>
  <c r="AG352" i="23" s="1"/>
  <c r="AF352" i="23" s="1"/>
  <c r="AD352" i="23" s="1"/>
  <c r="AI356" i="23"/>
  <c r="AH356" i="23" s="1"/>
  <c r="AG356" i="23" s="1"/>
  <c r="AF356" i="23" s="1"/>
  <c r="AD356" i="23" s="1"/>
  <c r="AI360" i="23"/>
  <c r="AH360" i="23" s="1"/>
  <c r="AG360" i="23" s="1"/>
  <c r="AF360" i="23" s="1"/>
  <c r="AD360" i="23" s="1"/>
  <c r="AI364" i="23"/>
  <c r="AH364" i="23" s="1"/>
  <c r="AG364" i="23" s="1"/>
  <c r="AF364" i="23" s="1"/>
  <c r="AD364" i="23" s="1"/>
  <c r="AI368" i="23"/>
  <c r="AH368" i="23" s="1"/>
  <c r="AG368" i="23" s="1"/>
  <c r="AF368" i="23" s="1"/>
  <c r="AD368" i="23" s="1"/>
  <c r="AI372" i="23"/>
  <c r="AH372" i="23" s="1"/>
  <c r="AG372" i="23" s="1"/>
  <c r="AF372" i="23" s="1"/>
  <c r="AD372" i="23" s="1"/>
  <c r="AI376" i="23"/>
  <c r="AH376" i="23" s="1"/>
  <c r="AG376" i="23" s="1"/>
  <c r="AF376" i="23" s="1"/>
  <c r="AD376" i="23" s="1"/>
  <c r="AI107" i="23"/>
  <c r="AH107" i="23" s="1"/>
  <c r="AG107" i="23" s="1"/>
  <c r="AF107" i="23" s="1"/>
  <c r="AD107" i="23" s="1"/>
  <c r="AI111" i="23"/>
  <c r="AH111" i="23" s="1"/>
  <c r="AG111" i="23" s="1"/>
  <c r="AF111" i="23" s="1"/>
  <c r="AD111" i="23" s="1"/>
  <c r="AI115" i="23"/>
  <c r="AH115" i="23" s="1"/>
  <c r="AG115" i="23" s="1"/>
  <c r="AF115" i="23" s="1"/>
  <c r="AD115" i="23" s="1"/>
  <c r="AI119" i="23"/>
  <c r="AH119" i="23" s="1"/>
  <c r="AG119" i="23" s="1"/>
  <c r="AF119" i="23" s="1"/>
  <c r="AD119" i="23" s="1"/>
  <c r="AI123" i="23"/>
  <c r="AH123" i="23" s="1"/>
  <c r="AG123" i="23" s="1"/>
  <c r="AF123" i="23" s="1"/>
  <c r="AD123" i="23" s="1"/>
  <c r="AI127" i="23"/>
  <c r="AH127" i="23" s="1"/>
  <c r="AG127" i="23" s="1"/>
  <c r="AF127" i="23" s="1"/>
  <c r="AD127" i="23" s="1"/>
  <c r="AI131" i="23"/>
  <c r="AH131" i="23" s="1"/>
  <c r="AG131" i="23" s="1"/>
  <c r="AF131" i="23" s="1"/>
  <c r="AD131" i="23" s="1"/>
  <c r="AI135" i="23"/>
  <c r="AH135" i="23" s="1"/>
  <c r="AG135" i="23" s="1"/>
  <c r="AF135" i="23" s="1"/>
  <c r="AD135" i="23" s="1"/>
  <c r="AI139" i="23"/>
  <c r="AH139" i="23" s="1"/>
  <c r="AG139" i="23" s="1"/>
  <c r="AF139" i="23" s="1"/>
  <c r="AD139" i="23" s="1"/>
  <c r="AI143" i="23"/>
  <c r="AH143" i="23" s="1"/>
  <c r="AG143" i="23" s="1"/>
  <c r="AF143" i="23" s="1"/>
  <c r="AD143" i="23" s="1"/>
  <c r="AI147" i="23"/>
  <c r="AH147" i="23" s="1"/>
  <c r="AG147" i="23" s="1"/>
  <c r="AF147" i="23" s="1"/>
  <c r="AD147" i="23" s="1"/>
  <c r="AI151" i="23"/>
  <c r="AH151" i="23" s="1"/>
  <c r="AG151" i="23" s="1"/>
  <c r="AF151" i="23" s="1"/>
  <c r="AD151" i="23" s="1"/>
  <c r="AI155" i="23"/>
  <c r="AH155" i="23" s="1"/>
  <c r="AG155" i="23" s="1"/>
  <c r="AF155" i="23" s="1"/>
  <c r="AD155" i="23" s="1"/>
  <c r="AI159" i="23"/>
  <c r="AH159" i="23" s="1"/>
  <c r="AG159" i="23" s="1"/>
  <c r="AF159" i="23" s="1"/>
  <c r="AD159" i="23" s="1"/>
  <c r="AI163" i="23"/>
  <c r="AH163" i="23" s="1"/>
  <c r="AG163" i="23" s="1"/>
  <c r="AF163" i="23" s="1"/>
  <c r="AD163" i="23" s="1"/>
  <c r="AI167" i="23"/>
  <c r="AH167" i="23" s="1"/>
  <c r="AG167" i="23" s="1"/>
  <c r="AF167" i="23" s="1"/>
  <c r="AD167" i="23" s="1"/>
  <c r="AI171" i="23"/>
  <c r="AH171" i="23" s="1"/>
  <c r="AG171" i="23" s="1"/>
  <c r="AF171" i="23" s="1"/>
  <c r="AD171" i="23" s="1"/>
  <c r="AI175" i="23"/>
  <c r="AH175" i="23" s="1"/>
  <c r="AG175" i="23" s="1"/>
  <c r="AF175" i="23" s="1"/>
  <c r="AD175" i="23" s="1"/>
  <c r="AI179" i="23"/>
  <c r="AH179" i="23" s="1"/>
  <c r="AG179" i="23" s="1"/>
  <c r="AF179" i="23" s="1"/>
  <c r="AD179" i="23" s="1"/>
  <c r="AI183" i="23"/>
  <c r="AH183" i="23" s="1"/>
  <c r="AG183" i="23" s="1"/>
  <c r="AF183" i="23" s="1"/>
  <c r="AD183" i="23" s="1"/>
  <c r="AI187" i="23"/>
  <c r="AH187" i="23" s="1"/>
  <c r="AG187" i="23" s="1"/>
  <c r="AF187" i="23" s="1"/>
  <c r="AD187" i="23" s="1"/>
  <c r="AI191" i="23"/>
  <c r="AH191" i="23" s="1"/>
  <c r="AG191" i="23" s="1"/>
  <c r="AF191" i="23" s="1"/>
  <c r="AD191" i="23" s="1"/>
  <c r="AI195" i="23"/>
  <c r="AH195" i="23" s="1"/>
  <c r="AG195" i="23" s="1"/>
  <c r="AF195" i="23" s="1"/>
  <c r="AD195" i="23" s="1"/>
  <c r="AI199" i="23"/>
  <c r="AH199" i="23" s="1"/>
  <c r="AG199" i="23" s="1"/>
  <c r="AF199" i="23" s="1"/>
  <c r="AD199" i="23" s="1"/>
  <c r="AI203" i="23"/>
  <c r="AH203" i="23" s="1"/>
  <c r="AG203" i="23" s="1"/>
  <c r="AF203" i="23" s="1"/>
  <c r="AD203" i="23" s="1"/>
  <c r="AI207" i="23"/>
  <c r="AH207" i="23" s="1"/>
  <c r="AG207" i="23" s="1"/>
  <c r="AF207" i="23" s="1"/>
  <c r="AD207" i="23" s="1"/>
  <c r="AI211" i="23"/>
  <c r="AH211" i="23" s="1"/>
  <c r="AG211" i="23" s="1"/>
  <c r="AF211" i="23" s="1"/>
  <c r="AD211" i="23" s="1"/>
  <c r="AI215" i="23"/>
  <c r="AH215" i="23" s="1"/>
  <c r="AG215" i="23" s="1"/>
  <c r="AF215" i="23" s="1"/>
  <c r="AD215" i="23" s="1"/>
  <c r="AI219" i="23"/>
  <c r="AH219" i="23" s="1"/>
  <c r="AG219" i="23" s="1"/>
  <c r="AF219" i="23" s="1"/>
  <c r="AD219" i="23" s="1"/>
  <c r="AI223" i="23"/>
  <c r="AH223" i="23" s="1"/>
  <c r="AG223" i="23" s="1"/>
  <c r="AF223" i="23" s="1"/>
  <c r="AD223" i="23" s="1"/>
  <c r="AI227" i="23"/>
  <c r="AH227" i="23" s="1"/>
  <c r="AG227" i="23" s="1"/>
  <c r="AF227" i="23" s="1"/>
  <c r="AD227" i="23" s="1"/>
  <c r="AI231" i="23"/>
  <c r="AH231" i="23" s="1"/>
  <c r="AG231" i="23" s="1"/>
  <c r="AF231" i="23" s="1"/>
  <c r="AD231" i="23" s="1"/>
  <c r="AI235" i="23"/>
  <c r="AH235" i="23" s="1"/>
  <c r="AG235" i="23" s="1"/>
  <c r="AF235" i="23" s="1"/>
  <c r="AD235" i="23" s="1"/>
  <c r="AI239" i="23"/>
  <c r="AH239" i="23" s="1"/>
  <c r="AG239" i="23" s="1"/>
  <c r="AF239" i="23" s="1"/>
  <c r="AD239" i="23" s="1"/>
  <c r="AI243" i="23"/>
  <c r="AH243" i="23" s="1"/>
  <c r="AG243" i="23" s="1"/>
  <c r="AF243" i="23" s="1"/>
  <c r="AD243" i="23" s="1"/>
  <c r="AI247" i="23"/>
  <c r="AH247" i="23" s="1"/>
  <c r="AG247" i="23" s="1"/>
  <c r="AF247" i="23" s="1"/>
  <c r="AD247" i="23" s="1"/>
  <c r="AI251" i="23"/>
  <c r="AH251" i="23" s="1"/>
  <c r="AG251" i="23" s="1"/>
  <c r="AF251" i="23" s="1"/>
  <c r="AD251" i="23" s="1"/>
  <c r="AI255" i="23"/>
  <c r="AH255" i="23" s="1"/>
  <c r="AG255" i="23" s="1"/>
  <c r="AF255" i="23" s="1"/>
  <c r="AD255" i="23" s="1"/>
  <c r="AI259" i="23"/>
  <c r="AH259" i="23" s="1"/>
  <c r="AG259" i="23" s="1"/>
  <c r="AF259" i="23" s="1"/>
  <c r="AD259" i="23" s="1"/>
  <c r="AI263" i="23"/>
  <c r="AH263" i="23" s="1"/>
  <c r="AG263" i="23" s="1"/>
  <c r="AF263" i="23" s="1"/>
  <c r="AD263" i="23" s="1"/>
  <c r="AI267" i="23"/>
  <c r="AH267" i="23" s="1"/>
  <c r="AG267" i="23" s="1"/>
  <c r="AF267" i="23" s="1"/>
  <c r="AD267" i="23" s="1"/>
  <c r="AI271" i="23"/>
  <c r="AH271" i="23" s="1"/>
  <c r="AG271" i="23" s="1"/>
  <c r="AF271" i="23" s="1"/>
  <c r="AD271" i="23" s="1"/>
  <c r="AI275" i="23"/>
  <c r="AH275" i="23" s="1"/>
  <c r="AG275" i="23" s="1"/>
  <c r="AF275" i="23" s="1"/>
  <c r="AD275" i="23" s="1"/>
  <c r="AI279" i="23"/>
  <c r="AH279" i="23" s="1"/>
  <c r="AG279" i="23" s="1"/>
  <c r="AF279" i="23" s="1"/>
  <c r="AD279" i="23" s="1"/>
  <c r="AI283" i="23"/>
  <c r="AH283" i="23" s="1"/>
  <c r="AG283" i="23" s="1"/>
  <c r="AF283" i="23" s="1"/>
  <c r="AD283" i="23" s="1"/>
  <c r="AI287" i="23"/>
  <c r="AH287" i="23" s="1"/>
  <c r="AG287" i="23" s="1"/>
  <c r="AF287" i="23" s="1"/>
  <c r="AD287" i="23" s="1"/>
  <c r="AI291" i="23"/>
  <c r="AH291" i="23" s="1"/>
  <c r="AG291" i="23" s="1"/>
  <c r="AF291" i="23" s="1"/>
  <c r="AD291" i="23" s="1"/>
  <c r="AI295" i="23"/>
  <c r="AH295" i="23" s="1"/>
  <c r="AG295" i="23" s="1"/>
  <c r="AF295" i="23" s="1"/>
  <c r="AD295" i="23" s="1"/>
  <c r="AI299" i="23"/>
  <c r="AH299" i="23" s="1"/>
  <c r="AG299" i="23" s="1"/>
  <c r="AF299" i="23" s="1"/>
  <c r="AD299" i="23" s="1"/>
  <c r="AI303" i="23"/>
  <c r="AH303" i="23" s="1"/>
  <c r="AG303" i="23" s="1"/>
  <c r="AF303" i="23" s="1"/>
  <c r="AD303" i="23" s="1"/>
  <c r="AI307" i="23"/>
  <c r="AH307" i="23" s="1"/>
  <c r="AG307" i="23" s="1"/>
  <c r="AF307" i="23" s="1"/>
  <c r="AD307" i="23" s="1"/>
  <c r="AI311" i="23"/>
  <c r="AH311" i="23" s="1"/>
  <c r="AG311" i="23" s="1"/>
  <c r="AF311" i="23" s="1"/>
  <c r="AD311" i="23" s="1"/>
  <c r="AI315" i="23"/>
  <c r="AH315" i="23" s="1"/>
  <c r="AG315" i="23" s="1"/>
  <c r="AF315" i="23" s="1"/>
  <c r="AD315" i="23" s="1"/>
  <c r="AI319" i="23"/>
  <c r="AH319" i="23" s="1"/>
  <c r="AG319" i="23" s="1"/>
  <c r="AF319" i="23" s="1"/>
  <c r="AD319" i="23" s="1"/>
  <c r="AI323" i="23"/>
  <c r="AH323" i="23" s="1"/>
  <c r="AG323" i="23" s="1"/>
  <c r="AF323" i="23" s="1"/>
  <c r="AD323" i="23" s="1"/>
  <c r="AI327" i="23"/>
  <c r="AH327" i="23" s="1"/>
  <c r="AG327" i="23" s="1"/>
  <c r="AF327" i="23" s="1"/>
  <c r="AD327" i="23" s="1"/>
  <c r="AI331" i="23"/>
  <c r="AH331" i="23" s="1"/>
  <c r="AG331" i="23" s="1"/>
  <c r="AF331" i="23" s="1"/>
  <c r="AD331" i="23" s="1"/>
  <c r="AI335" i="23"/>
  <c r="AH335" i="23" s="1"/>
  <c r="AG335" i="23" s="1"/>
  <c r="AF335" i="23" s="1"/>
  <c r="AD335" i="23" s="1"/>
  <c r="AI339" i="23"/>
  <c r="AH339" i="23" s="1"/>
  <c r="AG339" i="23" s="1"/>
  <c r="AF339" i="23" s="1"/>
  <c r="AD339" i="23" s="1"/>
  <c r="AI343" i="23"/>
  <c r="AH343" i="23" s="1"/>
  <c r="AG343" i="23" s="1"/>
  <c r="AF343" i="23" s="1"/>
  <c r="AD343" i="23" s="1"/>
  <c r="AI347" i="23"/>
  <c r="AH347" i="23" s="1"/>
  <c r="AG347" i="23" s="1"/>
  <c r="AF347" i="23" s="1"/>
  <c r="AD347" i="23" s="1"/>
  <c r="AI351" i="23"/>
  <c r="AH351" i="23" s="1"/>
  <c r="AG351" i="23" s="1"/>
  <c r="AF351" i="23" s="1"/>
  <c r="AD351" i="23" s="1"/>
  <c r="AI355" i="23"/>
  <c r="AH355" i="23" s="1"/>
  <c r="AG355" i="23" s="1"/>
  <c r="AF355" i="23" s="1"/>
  <c r="AD355" i="23" s="1"/>
  <c r="AI359" i="23"/>
  <c r="AH359" i="23" s="1"/>
  <c r="AG359" i="23" s="1"/>
  <c r="AF359" i="23" s="1"/>
  <c r="AD359" i="23" s="1"/>
  <c r="AI363" i="23"/>
  <c r="AH363" i="23" s="1"/>
  <c r="AG363" i="23" s="1"/>
  <c r="AF363" i="23" s="1"/>
  <c r="AD363" i="23" s="1"/>
  <c r="AI367" i="23"/>
  <c r="AH367" i="23" s="1"/>
  <c r="AG367" i="23" s="1"/>
  <c r="AF367" i="23" s="1"/>
  <c r="AD367" i="23" s="1"/>
  <c r="AI371" i="23"/>
  <c r="AH371" i="23" s="1"/>
  <c r="AG371" i="23" s="1"/>
  <c r="AF371" i="23" s="1"/>
  <c r="AD371" i="23" s="1"/>
  <c r="AI375" i="23"/>
  <c r="AH375" i="23" s="1"/>
  <c r="AG375" i="23" s="1"/>
  <c r="AF375" i="23" s="1"/>
  <c r="AD375" i="23" s="1"/>
  <c r="AI379" i="23"/>
  <c r="AI106" i="23"/>
  <c r="AH106" i="23" s="1"/>
  <c r="AG106" i="23" s="1"/>
  <c r="AF106" i="23" s="1"/>
  <c r="AD106" i="23" s="1"/>
  <c r="AI110" i="23"/>
  <c r="AH110" i="23" s="1"/>
  <c r="AG110" i="23" s="1"/>
  <c r="AF110" i="23" s="1"/>
  <c r="AD110" i="23" s="1"/>
  <c r="AI114" i="23"/>
  <c r="AH114" i="23" s="1"/>
  <c r="AG114" i="23" s="1"/>
  <c r="AF114" i="23" s="1"/>
  <c r="AD114" i="23" s="1"/>
  <c r="AI118" i="23"/>
  <c r="AH118" i="23" s="1"/>
  <c r="AG118" i="23" s="1"/>
  <c r="AF118" i="23" s="1"/>
  <c r="AD118" i="23" s="1"/>
  <c r="AI122" i="23"/>
  <c r="AH122" i="23" s="1"/>
  <c r="AG122" i="23" s="1"/>
  <c r="AF122" i="23" s="1"/>
  <c r="AD122" i="23" s="1"/>
  <c r="AI126" i="23"/>
  <c r="AH126" i="23" s="1"/>
  <c r="AG126" i="23" s="1"/>
  <c r="AF126" i="23" s="1"/>
  <c r="AD126" i="23" s="1"/>
  <c r="AI130" i="23"/>
  <c r="AH130" i="23" s="1"/>
  <c r="AG130" i="23" s="1"/>
  <c r="AF130" i="23" s="1"/>
  <c r="AD130" i="23" s="1"/>
  <c r="AI134" i="23"/>
  <c r="AH134" i="23" s="1"/>
  <c r="AG134" i="23" s="1"/>
  <c r="AF134" i="23" s="1"/>
  <c r="AD134" i="23" s="1"/>
  <c r="AI138" i="23"/>
  <c r="AH138" i="23" s="1"/>
  <c r="AG138" i="23" s="1"/>
  <c r="AF138" i="23" s="1"/>
  <c r="AD138" i="23" s="1"/>
  <c r="AI142" i="23"/>
  <c r="AH142" i="23" s="1"/>
  <c r="AG142" i="23" s="1"/>
  <c r="AF142" i="23" s="1"/>
  <c r="AD142" i="23" s="1"/>
  <c r="AI146" i="23"/>
  <c r="AH146" i="23" s="1"/>
  <c r="AG146" i="23" s="1"/>
  <c r="AF146" i="23" s="1"/>
  <c r="AD146" i="23" s="1"/>
  <c r="AI150" i="23"/>
  <c r="AH150" i="23" s="1"/>
  <c r="AG150" i="23" s="1"/>
  <c r="AF150" i="23" s="1"/>
  <c r="AD150" i="23" s="1"/>
  <c r="AI154" i="23"/>
  <c r="AH154" i="23" s="1"/>
  <c r="AG154" i="23" s="1"/>
  <c r="AF154" i="23" s="1"/>
  <c r="AD154" i="23" s="1"/>
  <c r="AI158" i="23"/>
  <c r="AH158" i="23" s="1"/>
  <c r="AG158" i="23" s="1"/>
  <c r="AF158" i="23" s="1"/>
  <c r="AD158" i="23" s="1"/>
  <c r="AI162" i="23"/>
  <c r="AH162" i="23" s="1"/>
  <c r="AG162" i="23" s="1"/>
  <c r="AF162" i="23" s="1"/>
  <c r="AD162" i="23" s="1"/>
  <c r="AI166" i="23"/>
  <c r="AH166" i="23" s="1"/>
  <c r="AG166" i="23" s="1"/>
  <c r="AF166" i="23" s="1"/>
  <c r="AD166" i="23" s="1"/>
  <c r="AI170" i="23"/>
  <c r="AH170" i="23" s="1"/>
  <c r="AG170" i="23" s="1"/>
  <c r="AF170" i="23" s="1"/>
  <c r="AD170" i="23" s="1"/>
  <c r="AI174" i="23"/>
  <c r="AH174" i="23" s="1"/>
  <c r="AG174" i="23" s="1"/>
  <c r="AF174" i="23" s="1"/>
  <c r="AD174" i="23" s="1"/>
  <c r="AI178" i="23"/>
  <c r="AH178" i="23" s="1"/>
  <c r="AG178" i="23" s="1"/>
  <c r="AF178" i="23" s="1"/>
  <c r="AD178" i="23" s="1"/>
  <c r="AI182" i="23"/>
  <c r="AH182" i="23" s="1"/>
  <c r="AG182" i="23" s="1"/>
  <c r="AF182" i="23" s="1"/>
  <c r="AD182" i="23" s="1"/>
  <c r="AI186" i="23"/>
  <c r="AH186" i="23" s="1"/>
  <c r="AG186" i="23" s="1"/>
  <c r="AF186" i="23" s="1"/>
  <c r="AD186" i="23" s="1"/>
  <c r="AI190" i="23"/>
  <c r="AH190" i="23" s="1"/>
  <c r="AG190" i="23" s="1"/>
  <c r="AF190" i="23" s="1"/>
  <c r="AD190" i="23" s="1"/>
  <c r="AI194" i="23"/>
  <c r="AH194" i="23" s="1"/>
  <c r="AG194" i="23" s="1"/>
  <c r="AF194" i="23" s="1"/>
  <c r="AD194" i="23" s="1"/>
  <c r="AI198" i="23"/>
  <c r="AH198" i="23" s="1"/>
  <c r="AG198" i="23" s="1"/>
  <c r="AF198" i="23" s="1"/>
  <c r="AD198" i="23" s="1"/>
  <c r="AI202" i="23"/>
  <c r="AH202" i="23" s="1"/>
  <c r="AG202" i="23" s="1"/>
  <c r="AF202" i="23" s="1"/>
  <c r="AD202" i="23" s="1"/>
  <c r="AI206" i="23"/>
  <c r="AH206" i="23" s="1"/>
  <c r="AG206" i="23" s="1"/>
  <c r="AF206" i="23" s="1"/>
  <c r="AD206" i="23" s="1"/>
  <c r="AI210" i="23"/>
  <c r="AH210" i="23" s="1"/>
  <c r="AG210" i="23" s="1"/>
  <c r="AF210" i="23" s="1"/>
  <c r="AD210" i="23" s="1"/>
  <c r="AI214" i="23"/>
  <c r="AH214" i="23" s="1"/>
  <c r="AG214" i="23" s="1"/>
  <c r="AF214" i="23" s="1"/>
  <c r="AD214" i="23" s="1"/>
  <c r="AI218" i="23"/>
  <c r="AH218" i="23" s="1"/>
  <c r="AG218" i="23" s="1"/>
  <c r="AF218" i="23" s="1"/>
  <c r="AD218" i="23" s="1"/>
  <c r="AI222" i="23"/>
  <c r="AH222" i="23" s="1"/>
  <c r="AG222" i="23" s="1"/>
  <c r="AF222" i="23" s="1"/>
  <c r="AD222" i="23" s="1"/>
  <c r="AI226" i="23"/>
  <c r="AH226" i="23" s="1"/>
  <c r="AG226" i="23" s="1"/>
  <c r="AF226" i="23" s="1"/>
  <c r="AD226" i="23" s="1"/>
  <c r="AI230" i="23"/>
  <c r="AH230" i="23" s="1"/>
  <c r="AG230" i="23" s="1"/>
  <c r="AF230" i="23" s="1"/>
  <c r="AD230" i="23" s="1"/>
  <c r="AI234" i="23"/>
  <c r="AH234" i="23" s="1"/>
  <c r="AG234" i="23" s="1"/>
  <c r="AF234" i="23" s="1"/>
  <c r="AD234" i="23" s="1"/>
  <c r="AI238" i="23"/>
  <c r="AH238" i="23" s="1"/>
  <c r="AG238" i="23" s="1"/>
  <c r="AF238" i="23" s="1"/>
  <c r="AD238" i="23" s="1"/>
  <c r="AI242" i="23"/>
  <c r="AH242" i="23" s="1"/>
  <c r="AG242" i="23" s="1"/>
  <c r="AF242" i="23" s="1"/>
  <c r="AD242" i="23" s="1"/>
  <c r="AI246" i="23"/>
  <c r="AH246" i="23" s="1"/>
  <c r="AG246" i="23" s="1"/>
  <c r="AF246" i="23" s="1"/>
  <c r="AD246" i="23" s="1"/>
  <c r="AI250" i="23"/>
  <c r="AH250" i="23" s="1"/>
  <c r="AG250" i="23" s="1"/>
  <c r="AF250" i="23" s="1"/>
  <c r="AD250" i="23" s="1"/>
  <c r="AI254" i="23"/>
  <c r="AH254" i="23" s="1"/>
  <c r="AG254" i="23" s="1"/>
  <c r="AF254" i="23" s="1"/>
  <c r="AD254" i="23" s="1"/>
  <c r="AI258" i="23"/>
  <c r="AH258" i="23" s="1"/>
  <c r="AG258" i="23" s="1"/>
  <c r="AF258" i="23" s="1"/>
  <c r="AD258" i="23" s="1"/>
  <c r="AI262" i="23"/>
  <c r="AH262" i="23" s="1"/>
  <c r="AG262" i="23" s="1"/>
  <c r="AF262" i="23" s="1"/>
  <c r="AD262" i="23" s="1"/>
  <c r="AI266" i="23"/>
  <c r="AH266" i="23" s="1"/>
  <c r="AG266" i="23" s="1"/>
  <c r="AF266" i="23" s="1"/>
  <c r="AD266" i="23" s="1"/>
  <c r="AI270" i="23"/>
  <c r="AH270" i="23" s="1"/>
  <c r="AG270" i="23" s="1"/>
  <c r="AF270" i="23" s="1"/>
  <c r="AD270" i="23" s="1"/>
  <c r="AI274" i="23"/>
  <c r="AH274" i="23" s="1"/>
  <c r="AG274" i="23" s="1"/>
  <c r="AF274" i="23" s="1"/>
  <c r="AD274" i="23" s="1"/>
  <c r="AI278" i="23"/>
  <c r="AH278" i="23" s="1"/>
  <c r="AG278" i="23" s="1"/>
  <c r="AF278" i="23" s="1"/>
  <c r="AD278" i="23" s="1"/>
  <c r="AI282" i="23"/>
  <c r="AH282" i="23" s="1"/>
  <c r="AG282" i="23" s="1"/>
  <c r="AF282" i="23" s="1"/>
  <c r="AD282" i="23" s="1"/>
  <c r="AI286" i="23"/>
  <c r="AH286" i="23" s="1"/>
  <c r="AG286" i="23" s="1"/>
  <c r="AF286" i="23" s="1"/>
  <c r="AD286" i="23" s="1"/>
  <c r="AI290" i="23"/>
  <c r="AH290" i="23" s="1"/>
  <c r="AG290" i="23" s="1"/>
  <c r="AF290" i="23" s="1"/>
  <c r="AD290" i="23" s="1"/>
  <c r="AI294" i="23"/>
  <c r="AH294" i="23" s="1"/>
  <c r="AG294" i="23" s="1"/>
  <c r="AF294" i="23" s="1"/>
  <c r="AD294" i="23" s="1"/>
  <c r="AI298" i="23"/>
  <c r="AH298" i="23" s="1"/>
  <c r="AG298" i="23" s="1"/>
  <c r="AF298" i="23" s="1"/>
  <c r="AD298" i="23" s="1"/>
  <c r="AI302" i="23"/>
  <c r="AH302" i="23" s="1"/>
  <c r="AG302" i="23" s="1"/>
  <c r="AF302" i="23" s="1"/>
  <c r="AD302" i="23" s="1"/>
  <c r="AI306" i="23"/>
  <c r="AH306" i="23" s="1"/>
  <c r="AG306" i="23" s="1"/>
  <c r="AF306" i="23" s="1"/>
  <c r="AD306" i="23" s="1"/>
  <c r="AI310" i="23"/>
  <c r="AH310" i="23" s="1"/>
  <c r="AG310" i="23" s="1"/>
  <c r="AF310" i="23" s="1"/>
  <c r="AD310" i="23" s="1"/>
  <c r="AI314" i="23"/>
  <c r="AH314" i="23" s="1"/>
  <c r="AG314" i="23" s="1"/>
  <c r="AF314" i="23" s="1"/>
  <c r="AD314" i="23" s="1"/>
  <c r="AI318" i="23"/>
  <c r="AH318" i="23" s="1"/>
  <c r="AG318" i="23" s="1"/>
  <c r="AF318" i="23" s="1"/>
  <c r="AD318" i="23" s="1"/>
  <c r="AI322" i="23"/>
  <c r="AH322" i="23" s="1"/>
  <c r="AG322" i="23" s="1"/>
  <c r="AF322" i="23" s="1"/>
  <c r="AD322" i="23" s="1"/>
  <c r="AI326" i="23"/>
  <c r="AH326" i="23" s="1"/>
  <c r="AG326" i="23" s="1"/>
  <c r="AF326" i="23" s="1"/>
  <c r="AD326" i="23" s="1"/>
  <c r="AI330" i="23"/>
  <c r="AH330" i="23" s="1"/>
  <c r="AG330" i="23" s="1"/>
  <c r="AF330" i="23" s="1"/>
  <c r="AD330" i="23" s="1"/>
  <c r="AI334" i="23"/>
  <c r="AH334" i="23" s="1"/>
  <c r="AG334" i="23" s="1"/>
  <c r="AF334" i="23" s="1"/>
  <c r="AD334" i="23" s="1"/>
  <c r="AI338" i="23"/>
  <c r="AH338" i="23" s="1"/>
  <c r="AG338" i="23" s="1"/>
  <c r="AF338" i="23" s="1"/>
  <c r="AD338" i="23" s="1"/>
  <c r="AI342" i="23"/>
  <c r="AH342" i="23" s="1"/>
  <c r="AG342" i="23" s="1"/>
  <c r="AF342" i="23" s="1"/>
  <c r="AD342" i="23" s="1"/>
  <c r="AI346" i="23"/>
  <c r="AH346" i="23" s="1"/>
  <c r="AG346" i="23" s="1"/>
  <c r="AF346" i="23" s="1"/>
  <c r="AD346" i="23" s="1"/>
  <c r="AI350" i="23"/>
  <c r="AH350" i="23" s="1"/>
  <c r="AG350" i="23" s="1"/>
  <c r="AF350" i="23" s="1"/>
  <c r="AD350" i="23" s="1"/>
  <c r="AI354" i="23"/>
  <c r="AH354" i="23" s="1"/>
  <c r="AG354" i="23" s="1"/>
  <c r="AF354" i="23" s="1"/>
  <c r="AD354" i="23" s="1"/>
  <c r="AI358" i="23"/>
  <c r="AH358" i="23" s="1"/>
  <c r="AG358" i="23" s="1"/>
  <c r="AF358" i="23" s="1"/>
  <c r="AD358" i="23" s="1"/>
  <c r="AI362" i="23"/>
  <c r="AH362" i="23" s="1"/>
  <c r="AG362" i="23" s="1"/>
  <c r="AF362" i="23" s="1"/>
  <c r="AD362" i="23" s="1"/>
  <c r="AI366" i="23"/>
  <c r="AH366" i="23" s="1"/>
  <c r="AG366" i="23" s="1"/>
  <c r="AF366" i="23" s="1"/>
  <c r="AD366" i="23" s="1"/>
  <c r="AI370" i="23"/>
  <c r="AH370" i="23" s="1"/>
  <c r="AG370" i="23" s="1"/>
  <c r="AF370" i="23" s="1"/>
  <c r="AD370" i="23" s="1"/>
  <c r="AI374" i="23"/>
  <c r="AH374" i="23" s="1"/>
  <c r="AG374" i="23" s="1"/>
  <c r="AF374" i="23" s="1"/>
  <c r="AD374" i="23" s="1"/>
  <c r="AI378" i="23"/>
  <c r="AH378" i="23" s="1"/>
  <c r="AG378" i="23" s="1"/>
  <c r="AF378" i="23" s="1"/>
  <c r="AD378" i="23" s="1"/>
  <c r="V272" i="23"/>
  <c r="J68" i="19" s="1"/>
  <c r="AH52" i="7"/>
  <c r="AH50" i="7"/>
  <c r="V210" i="23"/>
  <c r="H68" i="19" s="1"/>
  <c r="V241" i="23"/>
  <c r="I68" i="19" s="1"/>
  <c r="AH51" i="7"/>
  <c r="T379" i="23"/>
  <c r="S379" i="23" s="1"/>
  <c r="R379" i="23" s="1"/>
  <c r="P379" i="23" s="1"/>
  <c r="AT16" i="7"/>
  <c r="AZ11" i="7" s="1"/>
  <c r="U11" i="24" s="1"/>
  <c r="U12" i="24"/>
  <c r="AH55" i="7"/>
  <c r="V363" i="23"/>
  <c r="V381" i="20"/>
  <c r="B66" i="19"/>
  <c r="N66" i="19" s="1"/>
  <c r="V383" i="20"/>
  <c r="V382" i="20"/>
  <c r="S383" i="22"/>
  <c r="R15" i="22"/>
  <c r="S381" i="22"/>
  <c r="S382" i="22"/>
  <c r="AH45" i="7"/>
  <c r="V60" i="23"/>
  <c r="C68" i="19" s="1"/>
  <c r="T15" i="23"/>
  <c r="U382" i="23"/>
  <c r="U381" i="23"/>
  <c r="U383" i="23"/>
  <c r="AH48" i="7"/>
  <c r="V149" i="23"/>
  <c r="F68" i="19" s="1"/>
  <c r="AH49" i="7"/>
  <c r="V180" i="23"/>
  <c r="G68" i="19" s="1"/>
  <c r="AH53" i="7"/>
  <c r="V302" i="23"/>
  <c r="K68" i="19" s="1"/>
  <c r="V119" i="23"/>
  <c r="E68" i="19" s="1"/>
  <c r="AH47" i="7"/>
  <c r="AH54" i="7"/>
  <c r="V333" i="23"/>
  <c r="L68" i="19" s="1"/>
  <c r="AG383" i="22"/>
  <c r="AF15" i="22"/>
  <c r="AG381" i="22"/>
  <c r="AG382" i="22"/>
  <c r="Q382" i="25"/>
  <c r="Q383" i="25"/>
  <c r="Q381" i="25"/>
  <c r="AE381" i="25"/>
  <c r="AE382" i="25"/>
  <c r="AE383" i="25"/>
  <c r="AD15" i="23"/>
  <c r="U10" i="24" l="1"/>
  <c r="U72" i="24" s="1"/>
  <c r="T72" i="24" s="1"/>
  <c r="S72" i="24" s="1"/>
  <c r="R72" i="24" s="1"/>
  <c r="P72" i="24" s="1"/>
  <c r="V72" i="24" s="1"/>
  <c r="T383" i="23"/>
  <c r="T382" i="23"/>
  <c r="T381" i="23"/>
  <c r="S15" i="23"/>
  <c r="R382" i="22"/>
  <c r="P15" i="22"/>
  <c r="R381" i="22"/>
  <c r="R383" i="22"/>
  <c r="U260" i="24"/>
  <c r="T260" i="24" s="1"/>
  <c r="S260" i="24" s="1"/>
  <c r="R260" i="24" s="1"/>
  <c r="P260" i="24" s="1"/>
  <c r="V260" i="24" s="1"/>
  <c r="AY16" i="7"/>
  <c r="U256" i="24"/>
  <c r="T256" i="24" s="1"/>
  <c r="S256" i="24" s="1"/>
  <c r="R256" i="24" s="1"/>
  <c r="P256" i="24" s="1"/>
  <c r="V256" i="24" s="1"/>
  <c r="U378" i="24"/>
  <c r="T378" i="24" s="1"/>
  <c r="S378" i="24" s="1"/>
  <c r="R378" i="24" s="1"/>
  <c r="P378" i="24" s="1"/>
  <c r="V378" i="24" s="1"/>
  <c r="U244" i="24"/>
  <c r="T244" i="24" s="1"/>
  <c r="S244" i="24" s="1"/>
  <c r="R244" i="24" s="1"/>
  <c r="P244" i="24" s="1"/>
  <c r="V244" i="24" s="1"/>
  <c r="U17" i="24"/>
  <c r="T17" i="24" s="1"/>
  <c r="S17" i="24" s="1"/>
  <c r="R17" i="24" s="1"/>
  <c r="P17" i="24" s="1"/>
  <c r="V17" i="24" s="1"/>
  <c r="U150" i="24"/>
  <c r="T150" i="24" s="1"/>
  <c r="S150" i="24" s="1"/>
  <c r="R150" i="24" s="1"/>
  <c r="P150" i="24" s="1"/>
  <c r="V150" i="24" s="1"/>
  <c r="U371" i="24"/>
  <c r="T371" i="24" s="1"/>
  <c r="S371" i="24" s="1"/>
  <c r="R371" i="24" s="1"/>
  <c r="P371" i="24" s="1"/>
  <c r="V371" i="24" s="1"/>
  <c r="U307" i="24"/>
  <c r="T307" i="24" s="1"/>
  <c r="S307" i="24" s="1"/>
  <c r="R307" i="24" s="1"/>
  <c r="P307" i="24" s="1"/>
  <c r="V307" i="24" s="1"/>
  <c r="U243" i="24"/>
  <c r="T243" i="24" s="1"/>
  <c r="S243" i="24" s="1"/>
  <c r="R243" i="24" s="1"/>
  <c r="P243" i="24" s="1"/>
  <c r="V243" i="24" s="1"/>
  <c r="U183" i="24"/>
  <c r="T183" i="24" s="1"/>
  <c r="S183" i="24" s="1"/>
  <c r="R183" i="24" s="1"/>
  <c r="P183" i="24" s="1"/>
  <c r="V183" i="24" s="1"/>
  <c r="U151" i="24"/>
  <c r="T151" i="24" s="1"/>
  <c r="S151" i="24" s="1"/>
  <c r="R151" i="24" s="1"/>
  <c r="P151" i="24" s="1"/>
  <c r="V151" i="24" s="1"/>
  <c r="U119" i="24"/>
  <c r="T119" i="24" s="1"/>
  <c r="S119" i="24" s="1"/>
  <c r="R119" i="24" s="1"/>
  <c r="P119" i="24" s="1"/>
  <c r="U87" i="24"/>
  <c r="T87" i="24" s="1"/>
  <c r="S87" i="24" s="1"/>
  <c r="R87" i="24" s="1"/>
  <c r="P87" i="24" s="1"/>
  <c r="V87" i="24" s="1"/>
  <c r="U55" i="24"/>
  <c r="T55" i="24" s="1"/>
  <c r="S55" i="24" s="1"/>
  <c r="R55" i="24" s="1"/>
  <c r="P55" i="24" s="1"/>
  <c r="V55" i="24" s="1"/>
  <c r="U18" i="24"/>
  <c r="T18" i="24" s="1"/>
  <c r="S18" i="24" s="1"/>
  <c r="R18" i="24" s="1"/>
  <c r="P18" i="24" s="1"/>
  <c r="V18" i="24" s="1"/>
  <c r="U334" i="24"/>
  <c r="T334" i="24" s="1"/>
  <c r="S334" i="24" s="1"/>
  <c r="R334" i="24" s="1"/>
  <c r="P334" i="24" s="1"/>
  <c r="V334" i="24" s="1"/>
  <c r="U270" i="24"/>
  <c r="T270" i="24" s="1"/>
  <c r="S270" i="24" s="1"/>
  <c r="R270" i="24" s="1"/>
  <c r="P270" i="24" s="1"/>
  <c r="V270" i="24" s="1"/>
  <c r="U156" i="24"/>
  <c r="T156" i="24" s="1"/>
  <c r="S156" i="24" s="1"/>
  <c r="R156" i="24" s="1"/>
  <c r="P156" i="24" s="1"/>
  <c r="V156" i="24" s="1"/>
  <c r="U28" i="24"/>
  <c r="T28" i="24" s="1"/>
  <c r="S28" i="24" s="1"/>
  <c r="R28" i="24" s="1"/>
  <c r="P28" i="24" s="1"/>
  <c r="V28" i="24" s="1"/>
  <c r="U74" i="24"/>
  <c r="T74" i="24" s="1"/>
  <c r="S74" i="24" s="1"/>
  <c r="R74" i="24" s="1"/>
  <c r="P74" i="24" s="1"/>
  <c r="V74" i="24" s="1"/>
  <c r="U138" i="24"/>
  <c r="T138" i="24" s="1"/>
  <c r="S138" i="24" s="1"/>
  <c r="R138" i="24" s="1"/>
  <c r="P138" i="24" s="1"/>
  <c r="V138" i="24" s="1"/>
  <c r="U202" i="24"/>
  <c r="T202" i="24" s="1"/>
  <c r="S202" i="24" s="1"/>
  <c r="R202" i="24" s="1"/>
  <c r="P202" i="24" s="1"/>
  <c r="V202" i="24" s="1"/>
  <c r="U373" i="24"/>
  <c r="T373" i="24" s="1"/>
  <c r="S373" i="24" s="1"/>
  <c r="R373" i="24" s="1"/>
  <c r="P373" i="24" s="1"/>
  <c r="V373" i="24" s="1"/>
  <c r="U341" i="24"/>
  <c r="T341" i="24" s="1"/>
  <c r="S341" i="24" s="1"/>
  <c r="R341" i="24" s="1"/>
  <c r="P341" i="24" s="1"/>
  <c r="V341" i="24" s="1"/>
  <c r="U309" i="24"/>
  <c r="T309" i="24" s="1"/>
  <c r="S309" i="24" s="1"/>
  <c r="R309" i="24" s="1"/>
  <c r="P309" i="24" s="1"/>
  <c r="V309" i="24" s="1"/>
  <c r="U277" i="24"/>
  <c r="T277" i="24" s="1"/>
  <c r="S277" i="24" s="1"/>
  <c r="R277" i="24" s="1"/>
  <c r="P277" i="24" s="1"/>
  <c r="V277" i="24" s="1"/>
  <c r="U245" i="24"/>
  <c r="T245" i="24" s="1"/>
  <c r="S245" i="24" s="1"/>
  <c r="R245" i="24" s="1"/>
  <c r="P245" i="24" s="1"/>
  <c r="V245" i="24" s="1"/>
  <c r="U213" i="24"/>
  <c r="T213" i="24" s="1"/>
  <c r="S213" i="24" s="1"/>
  <c r="R213" i="24" s="1"/>
  <c r="P213" i="24" s="1"/>
  <c r="V213" i="24" s="1"/>
  <c r="U181" i="24"/>
  <c r="T181" i="24" s="1"/>
  <c r="S181" i="24" s="1"/>
  <c r="R181" i="24" s="1"/>
  <c r="P181" i="24" s="1"/>
  <c r="V181" i="24" s="1"/>
  <c r="U149" i="24"/>
  <c r="T149" i="24" s="1"/>
  <c r="S149" i="24" s="1"/>
  <c r="R149" i="24" s="1"/>
  <c r="P149" i="24" s="1"/>
  <c r="U117" i="24"/>
  <c r="T117" i="24" s="1"/>
  <c r="S117" i="24" s="1"/>
  <c r="R117" i="24" s="1"/>
  <c r="P117" i="24" s="1"/>
  <c r="V117" i="24" s="1"/>
  <c r="U85" i="24"/>
  <c r="T85" i="24" s="1"/>
  <c r="S85" i="24" s="1"/>
  <c r="R85" i="24" s="1"/>
  <c r="P85" i="24" s="1"/>
  <c r="V85" i="24" s="1"/>
  <c r="U53" i="24"/>
  <c r="T53" i="24" s="1"/>
  <c r="S53" i="24" s="1"/>
  <c r="R53" i="24" s="1"/>
  <c r="P53" i="24" s="1"/>
  <c r="V53" i="24" s="1"/>
  <c r="U19" i="24"/>
  <c r="T19" i="24" s="1"/>
  <c r="S19" i="24" s="1"/>
  <c r="R19" i="24" s="1"/>
  <c r="P19" i="24" s="1"/>
  <c r="V19" i="24" s="1"/>
  <c r="D42" i="19"/>
  <c r="V379" i="23"/>
  <c r="M68" i="19" s="1"/>
  <c r="AI12" i="24"/>
  <c r="AH379" i="23"/>
  <c r="AG379" i="23" s="1"/>
  <c r="AF379" i="23" s="1"/>
  <c r="AD379" i="23" s="1"/>
  <c r="AF382" i="22"/>
  <c r="AD15" i="22"/>
  <c r="AF381" i="22"/>
  <c r="AF383" i="22"/>
  <c r="AI382" i="23"/>
  <c r="AI383" i="23"/>
  <c r="AI381" i="23"/>
  <c r="AH104" i="23"/>
  <c r="U37" i="24" l="1"/>
  <c r="T37" i="24" s="1"/>
  <c r="S37" i="24" s="1"/>
  <c r="R37" i="24" s="1"/>
  <c r="P37" i="24" s="1"/>
  <c r="V37" i="24" s="1"/>
  <c r="U69" i="24"/>
  <c r="T69" i="24" s="1"/>
  <c r="S69" i="24" s="1"/>
  <c r="R69" i="24" s="1"/>
  <c r="P69" i="24" s="1"/>
  <c r="V69" i="24" s="1"/>
  <c r="U101" i="24"/>
  <c r="T101" i="24" s="1"/>
  <c r="S101" i="24" s="1"/>
  <c r="R101" i="24" s="1"/>
  <c r="P101" i="24" s="1"/>
  <c r="V101" i="24" s="1"/>
  <c r="U133" i="24"/>
  <c r="T133" i="24" s="1"/>
  <c r="S133" i="24" s="1"/>
  <c r="R133" i="24" s="1"/>
  <c r="P133" i="24" s="1"/>
  <c r="V133" i="24" s="1"/>
  <c r="U165" i="24"/>
  <c r="T165" i="24" s="1"/>
  <c r="S165" i="24" s="1"/>
  <c r="R165" i="24" s="1"/>
  <c r="P165" i="24" s="1"/>
  <c r="V165" i="24" s="1"/>
  <c r="U197" i="24"/>
  <c r="T197" i="24" s="1"/>
  <c r="S197" i="24" s="1"/>
  <c r="R197" i="24" s="1"/>
  <c r="P197" i="24" s="1"/>
  <c r="V197" i="24" s="1"/>
  <c r="U229" i="24"/>
  <c r="T229" i="24" s="1"/>
  <c r="S229" i="24" s="1"/>
  <c r="R229" i="24" s="1"/>
  <c r="P229" i="24" s="1"/>
  <c r="V229" i="24" s="1"/>
  <c r="U261" i="24"/>
  <c r="T261" i="24" s="1"/>
  <c r="S261" i="24" s="1"/>
  <c r="R261" i="24" s="1"/>
  <c r="P261" i="24" s="1"/>
  <c r="V261" i="24" s="1"/>
  <c r="U293" i="24"/>
  <c r="T293" i="24" s="1"/>
  <c r="S293" i="24" s="1"/>
  <c r="R293" i="24" s="1"/>
  <c r="P293" i="24" s="1"/>
  <c r="V293" i="24" s="1"/>
  <c r="U325" i="24"/>
  <c r="T325" i="24" s="1"/>
  <c r="S325" i="24" s="1"/>
  <c r="R325" i="24" s="1"/>
  <c r="P325" i="24" s="1"/>
  <c r="V325" i="24" s="1"/>
  <c r="U357" i="24"/>
  <c r="T357" i="24" s="1"/>
  <c r="S357" i="24" s="1"/>
  <c r="R357" i="24" s="1"/>
  <c r="P357" i="24" s="1"/>
  <c r="V357" i="24" s="1"/>
  <c r="U234" i="24"/>
  <c r="T234" i="24" s="1"/>
  <c r="S234" i="24" s="1"/>
  <c r="R234" i="24" s="1"/>
  <c r="P234" i="24" s="1"/>
  <c r="V234" i="24" s="1"/>
  <c r="U170" i="24"/>
  <c r="T170" i="24" s="1"/>
  <c r="S170" i="24" s="1"/>
  <c r="R170" i="24" s="1"/>
  <c r="P170" i="24" s="1"/>
  <c r="V170" i="24" s="1"/>
  <c r="U106" i="24"/>
  <c r="T106" i="24" s="1"/>
  <c r="S106" i="24" s="1"/>
  <c r="R106" i="24" s="1"/>
  <c r="P106" i="24" s="1"/>
  <c r="V106" i="24" s="1"/>
  <c r="U42" i="24"/>
  <c r="T42" i="24" s="1"/>
  <c r="S42" i="24" s="1"/>
  <c r="R42" i="24" s="1"/>
  <c r="P42" i="24" s="1"/>
  <c r="V42" i="24" s="1"/>
  <c r="U92" i="24"/>
  <c r="T92" i="24" s="1"/>
  <c r="S92" i="24" s="1"/>
  <c r="R92" i="24" s="1"/>
  <c r="P92" i="24" s="1"/>
  <c r="V92" i="24" s="1"/>
  <c r="U220" i="24"/>
  <c r="T220" i="24" s="1"/>
  <c r="S220" i="24" s="1"/>
  <c r="R220" i="24" s="1"/>
  <c r="P220" i="24" s="1"/>
  <c r="V220" i="24" s="1"/>
  <c r="U302" i="24"/>
  <c r="T302" i="24" s="1"/>
  <c r="S302" i="24" s="1"/>
  <c r="R302" i="24" s="1"/>
  <c r="P302" i="24" s="1"/>
  <c r="U366" i="24"/>
  <c r="T366" i="24" s="1"/>
  <c r="S366" i="24" s="1"/>
  <c r="R366" i="24" s="1"/>
  <c r="P366" i="24" s="1"/>
  <c r="V366" i="24" s="1"/>
  <c r="U39" i="24"/>
  <c r="T39" i="24" s="1"/>
  <c r="S39" i="24" s="1"/>
  <c r="R39" i="24" s="1"/>
  <c r="P39" i="24" s="1"/>
  <c r="V39" i="24" s="1"/>
  <c r="U71" i="24"/>
  <c r="T71" i="24" s="1"/>
  <c r="S71" i="24" s="1"/>
  <c r="R71" i="24" s="1"/>
  <c r="P71" i="24" s="1"/>
  <c r="V71" i="24" s="1"/>
  <c r="U103" i="24"/>
  <c r="T103" i="24" s="1"/>
  <c r="S103" i="24" s="1"/>
  <c r="R103" i="24" s="1"/>
  <c r="P103" i="24" s="1"/>
  <c r="V103" i="24" s="1"/>
  <c r="U135" i="24"/>
  <c r="T135" i="24" s="1"/>
  <c r="S135" i="24" s="1"/>
  <c r="R135" i="24" s="1"/>
  <c r="P135" i="24" s="1"/>
  <c r="V135" i="24" s="1"/>
  <c r="U167" i="24"/>
  <c r="T167" i="24" s="1"/>
  <c r="S167" i="24" s="1"/>
  <c r="R167" i="24" s="1"/>
  <c r="P167" i="24" s="1"/>
  <c r="V167" i="24" s="1"/>
  <c r="U211" i="24"/>
  <c r="T211" i="24" s="1"/>
  <c r="S211" i="24" s="1"/>
  <c r="R211" i="24" s="1"/>
  <c r="P211" i="24" s="1"/>
  <c r="V211" i="24" s="1"/>
  <c r="U275" i="24"/>
  <c r="T275" i="24" s="1"/>
  <c r="S275" i="24" s="1"/>
  <c r="R275" i="24" s="1"/>
  <c r="P275" i="24" s="1"/>
  <c r="V275" i="24" s="1"/>
  <c r="U339" i="24"/>
  <c r="T339" i="24" s="1"/>
  <c r="S339" i="24" s="1"/>
  <c r="R339" i="24" s="1"/>
  <c r="P339" i="24" s="1"/>
  <c r="V339" i="24" s="1"/>
  <c r="U214" i="24"/>
  <c r="T214" i="24" s="1"/>
  <c r="S214" i="24" s="1"/>
  <c r="R214" i="24" s="1"/>
  <c r="P214" i="24" s="1"/>
  <c r="V214" i="24" s="1"/>
  <c r="U86" i="24"/>
  <c r="T86" i="24" s="1"/>
  <c r="S86" i="24" s="1"/>
  <c r="R86" i="24" s="1"/>
  <c r="P86" i="24" s="1"/>
  <c r="V86" i="24" s="1"/>
  <c r="U116" i="24"/>
  <c r="T116" i="24" s="1"/>
  <c r="S116" i="24" s="1"/>
  <c r="R116" i="24" s="1"/>
  <c r="P116" i="24" s="1"/>
  <c r="V116" i="24" s="1"/>
  <c r="U314" i="24"/>
  <c r="T314" i="24" s="1"/>
  <c r="S314" i="24" s="1"/>
  <c r="R314" i="24" s="1"/>
  <c r="P314" i="24" s="1"/>
  <c r="V314" i="24" s="1"/>
  <c r="U320" i="24"/>
  <c r="T320" i="24" s="1"/>
  <c r="S320" i="24" s="1"/>
  <c r="R320" i="24" s="1"/>
  <c r="P320" i="24" s="1"/>
  <c r="V320" i="24" s="1"/>
  <c r="U128" i="24"/>
  <c r="T128" i="24" s="1"/>
  <c r="S128" i="24" s="1"/>
  <c r="R128" i="24" s="1"/>
  <c r="P128" i="24" s="1"/>
  <c r="V128" i="24" s="1"/>
  <c r="U324" i="24"/>
  <c r="T324" i="24" s="1"/>
  <c r="S324" i="24" s="1"/>
  <c r="R324" i="24" s="1"/>
  <c r="P324" i="24" s="1"/>
  <c r="V324" i="24" s="1"/>
  <c r="U136" i="24"/>
  <c r="T136" i="24" s="1"/>
  <c r="S136" i="24" s="1"/>
  <c r="R136" i="24" s="1"/>
  <c r="P136" i="24" s="1"/>
  <c r="V136" i="24" s="1"/>
  <c r="BA16" i="7"/>
  <c r="U29" i="24"/>
  <c r="T29" i="24" s="1"/>
  <c r="S29" i="24" s="1"/>
  <c r="R29" i="24" s="1"/>
  <c r="P29" i="24" s="1"/>
  <c r="AH56" i="7" s="1"/>
  <c r="U45" i="24"/>
  <c r="T45" i="24" s="1"/>
  <c r="S45" i="24" s="1"/>
  <c r="R45" i="24" s="1"/>
  <c r="P45" i="24" s="1"/>
  <c r="V45" i="24" s="1"/>
  <c r="U61" i="24"/>
  <c r="T61" i="24" s="1"/>
  <c r="S61" i="24" s="1"/>
  <c r="R61" i="24" s="1"/>
  <c r="P61" i="24" s="1"/>
  <c r="V61" i="24" s="1"/>
  <c r="U77" i="24"/>
  <c r="T77" i="24" s="1"/>
  <c r="S77" i="24" s="1"/>
  <c r="R77" i="24" s="1"/>
  <c r="P77" i="24" s="1"/>
  <c r="V77" i="24" s="1"/>
  <c r="U93" i="24"/>
  <c r="T93" i="24" s="1"/>
  <c r="S93" i="24" s="1"/>
  <c r="R93" i="24" s="1"/>
  <c r="P93" i="24" s="1"/>
  <c r="V93" i="24" s="1"/>
  <c r="U109" i="24"/>
  <c r="T109" i="24" s="1"/>
  <c r="S109" i="24" s="1"/>
  <c r="R109" i="24" s="1"/>
  <c r="P109" i="24" s="1"/>
  <c r="V109" i="24" s="1"/>
  <c r="U125" i="24"/>
  <c r="T125" i="24" s="1"/>
  <c r="S125" i="24" s="1"/>
  <c r="R125" i="24" s="1"/>
  <c r="P125" i="24" s="1"/>
  <c r="V125" i="24" s="1"/>
  <c r="U141" i="24"/>
  <c r="T141" i="24" s="1"/>
  <c r="S141" i="24" s="1"/>
  <c r="R141" i="24" s="1"/>
  <c r="P141" i="24" s="1"/>
  <c r="V141" i="24" s="1"/>
  <c r="U157" i="24"/>
  <c r="T157" i="24" s="1"/>
  <c r="S157" i="24" s="1"/>
  <c r="R157" i="24" s="1"/>
  <c r="P157" i="24" s="1"/>
  <c r="V157" i="24" s="1"/>
  <c r="U173" i="24"/>
  <c r="T173" i="24" s="1"/>
  <c r="S173" i="24" s="1"/>
  <c r="R173" i="24" s="1"/>
  <c r="P173" i="24" s="1"/>
  <c r="V173" i="24" s="1"/>
  <c r="U189" i="24"/>
  <c r="T189" i="24" s="1"/>
  <c r="S189" i="24" s="1"/>
  <c r="R189" i="24" s="1"/>
  <c r="P189" i="24" s="1"/>
  <c r="V189" i="24" s="1"/>
  <c r="U205" i="24"/>
  <c r="T205" i="24" s="1"/>
  <c r="S205" i="24" s="1"/>
  <c r="R205" i="24" s="1"/>
  <c r="P205" i="24" s="1"/>
  <c r="V205" i="24" s="1"/>
  <c r="U221" i="24"/>
  <c r="T221" i="24" s="1"/>
  <c r="S221" i="24" s="1"/>
  <c r="R221" i="24" s="1"/>
  <c r="P221" i="24" s="1"/>
  <c r="V221" i="24" s="1"/>
  <c r="U237" i="24"/>
  <c r="T237" i="24" s="1"/>
  <c r="S237" i="24" s="1"/>
  <c r="R237" i="24" s="1"/>
  <c r="P237" i="24" s="1"/>
  <c r="V237" i="24" s="1"/>
  <c r="U253" i="24"/>
  <c r="T253" i="24" s="1"/>
  <c r="S253" i="24" s="1"/>
  <c r="R253" i="24" s="1"/>
  <c r="P253" i="24" s="1"/>
  <c r="V253" i="24" s="1"/>
  <c r="U269" i="24"/>
  <c r="T269" i="24" s="1"/>
  <c r="S269" i="24" s="1"/>
  <c r="R269" i="24" s="1"/>
  <c r="P269" i="24" s="1"/>
  <c r="V269" i="24" s="1"/>
  <c r="U285" i="24"/>
  <c r="T285" i="24" s="1"/>
  <c r="S285" i="24" s="1"/>
  <c r="R285" i="24" s="1"/>
  <c r="P285" i="24" s="1"/>
  <c r="V285" i="24" s="1"/>
  <c r="U301" i="24"/>
  <c r="T301" i="24" s="1"/>
  <c r="S301" i="24" s="1"/>
  <c r="R301" i="24" s="1"/>
  <c r="P301" i="24" s="1"/>
  <c r="V301" i="24" s="1"/>
  <c r="U317" i="24"/>
  <c r="T317" i="24" s="1"/>
  <c r="S317" i="24" s="1"/>
  <c r="R317" i="24" s="1"/>
  <c r="P317" i="24" s="1"/>
  <c r="V317" i="24" s="1"/>
  <c r="U333" i="24"/>
  <c r="T333" i="24" s="1"/>
  <c r="S333" i="24" s="1"/>
  <c r="R333" i="24" s="1"/>
  <c r="P333" i="24" s="1"/>
  <c r="V333" i="24" s="1"/>
  <c r="U349" i="24"/>
  <c r="T349" i="24" s="1"/>
  <c r="S349" i="24" s="1"/>
  <c r="R349" i="24" s="1"/>
  <c r="P349" i="24" s="1"/>
  <c r="V349" i="24" s="1"/>
  <c r="U365" i="24"/>
  <c r="T365" i="24" s="1"/>
  <c r="S365" i="24" s="1"/>
  <c r="R365" i="24" s="1"/>
  <c r="P365" i="24" s="1"/>
  <c r="V365" i="24" s="1"/>
  <c r="U250" i="24"/>
  <c r="T250" i="24" s="1"/>
  <c r="S250" i="24" s="1"/>
  <c r="R250" i="24" s="1"/>
  <c r="P250" i="24" s="1"/>
  <c r="V250" i="24" s="1"/>
  <c r="U218" i="24"/>
  <c r="T218" i="24" s="1"/>
  <c r="S218" i="24" s="1"/>
  <c r="R218" i="24" s="1"/>
  <c r="P218" i="24" s="1"/>
  <c r="V218" i="24" s="1"/>
  <c r="U186" i="24"/>
  <c r="T186" i="24" s="1"/>
  <c r="S186" i="24" s="1"/>
  <c r="R186" i="24" s="1"/>
  <c r="P186" i="24" s="1"/>
  <c r="V186" i="24" s="1"/>
  <c r="U154" i="24"/>
  <c r="T154" i="24" s="1"/>
  <c r="S154" i="24" s="1"/>
  <c r="R154" i="24" s="1"/>
  <c r="P154" i="24" s="1"/>
  <c r="V154" i="24" s="1"/>
  <c r="U122" i="24"/>
  <c r="T122" i="24" s="1"/>
  <c r="S122" i="24" s="1"/>
  <c r="R122" i="24" s="1"/>
  <c r="P122" i="24" s="1"/>
  <c r="V122" i="24" s="1"/>
  <c r="U90" i="24"/>
  <c r="T90" i="24" s="1"/>
  <c r="S90" i="24" s="1"/>
  <c r="R90" i="24" s="1"/>
  <c r="P90" i="24" s="1"/>
  <c r="V90" i="24" s="1"/>
  <c r="U58" i="24"/>
  <c r="T58" i="24" s="1"/>
  <c r="S58" i="24" s="1"/>
  <c r="R58" i="24" s="1"/>
  <c r="P58" i="24" s="1"/>
  <c r="V58" i="24" s="1"/>
  <c r="U26" i="24"/>
  <c r="T26" i="24" s="1"/>
  <c r="S26" i="24" s="1"/>
  <c r="R26" i="24" s="1"/>
  <c r="P26" i="24" s="1"/>
  <c r="V26" i="24" s="1"/>
  <c r="U60" i="24"/>
  <c r="T60" i="24" s="1"/>
  <c r="S60" i="24" s="1"/>
  <c r="R60" i="24" s="1"/>
  <c r="P60" i="24" s="1"/>
  <c r="V60" i="24" s="1"/>
  <c r="U124" i="24"/>
  <c r="T124" i="24" s="1"/>
  <c r="S124" i="24" s="1"/>
  <c r="R124" i="24" s="1"/>
  <c r="P124" i="24" s="1"/>
  <c r="V124" i="24" s="1"/>
  <c r="U188" i="24"/>
  <c r="T188" i="24" s="1"/>
  <c r="S188" i="24" s="1"/>
  <c r="R188" i="24" s="1"/>
  <c r="P188" i="24" s="1"/>
  <c r="V188" i="24" s="1"/>
  <c r="U252" i="24"/>
  <c r="T252" i="24" s="1"/>
  <c r="S252" i="24" s="1"/>
  <c r="R252" i="24" s="1"/>
  <c r="P252" i="24" s="1"/>
  <c r="V252" i="24" s="1"/>
  <c r="U286" i="24"/>
  <c r="T286" i="24" s="1"/>
  <c r="S286" i="24" s="1"/>
  <c r="R286" i="24" s="1"/>
  <c r="P286" i="24" s="1"/>
  <c r="V286" i="24" s="1"/>
  <c r="U318" i="24"/>
  <c r="T318" i="24" s="1"/>
  <c r="S318" i="24" s="1"/>
  <c r="R318" i="24" s="1"/>
  <c r="P318" i="24" s="1"/>
  <c r="V318" i="24" s="1"/>
  <c r="U350" i="24"/>
  <c r="T350" i="24" s="1"/>
  <c r="S350" i="24" s="1"/>
  <c r="R350" i="24" s="1"/>
  <c r="P350" i="24" s="1"/>
  <c r="V350" i="24" s="1"/>
  <c r="U20" i="24"/>
  <c r="T20" i="24" s="1"/>
  <c r="S20" i="24" s="1"/>
  <c r="R20" i="24" s="1"/>
  <c r="P20" i="24" s="1"/>
  <c r="V20" i="24" s="1"/>
  <c r="U31" i="24"/>
  <c r="T31" i="24" s="1"/>
  <c r="S31" i="24" s="1"/>
  <c r="R31" i="24" s="1"/>
  <c r="P31" i="24" s="1"/>
  <c r="V31" i="24" s="1"/>
  <c r="U47" i="24"/>
  <c r="T47" i="24" s="1"/>
  <c r="S47" i="24" s="1"/>
  <c r="R47" i="24" s="1"/>
  <c r="P47" i="24" s="1"/>
  <c r="V47" i="24" s="1"/>
  <c r="U63" i="24"/>
  <c r="T63" i="24" s="1"/>
  <c r="S63" i="24" s="1"/>
  <c r="R63" i="24" s="1"/>
  <c r="P63" i="24" s="1"/>
  <c r="V63" i="24" s="1"/>
  <c r="U79" i="24"/>
  <c r="T79" i="24" s="1"/>
  <c r="S79" i="24" s="1"/>
  <c r="R79" i="24" s="1"/>
  <c r="P79" i="24" s="1"/>
  <c r="V79" i="24" s="1"/>
  <c r="U95" i="24"/>
  <c r="T95" i="24" s="1"/>
  <c r="S95" i="24" s="1"/>
  <c r="R95" i="24" s="1"/>
  <c r="P95" i="24" s="1"/>
  <c r="V95" i="24" s="1"/>
  <c r="U111" i="24"/>
  <c r="T111" i="24" s="1"/>
  <c r="S111" i="24" s="1"/>
  <c r="R111" i="24" s="1"/>
  <c r="P111" i="24" s="1"/>
  <c r="V111" i="24" s="1"/>
  <c r="U127" i="24"/>
  <c r="T127" i="24" s="1"/>
  <c r="S127" i="24" s="1"/>
  <c r="R127" i="24" s="1"/>
  <c r="P127" i="24" s="1"/>
  <c r="V127" i="24" s="1"/>
  <c r="U143" i="24"/>
  <c r="T143" i="24" s="1"/>
  <c r="S143" i="24" s="1"/>
  <c r="R143" i="24" s="1"/>
  <c r="P143" i="24" s="1"/>
  <c r="V143" i="24" s="1"/>
  <c r="U159" i="24"/>
  <c r="T159" i="24" s="1"/>
  <c r="S159" i="24" s="1"/>
  <c r="R159" i="24" s="1"/>
  <c r="P159" i="24" s="1"/>
  <c r="V159" i="24" s="1"/>
  <c r="U175" i="24"/>
  <c r="T175" i="24" s="1"/>
  <c r="S175" i="24" s="1"/>
  <c r="R175" i="24" s="1"/>
  <c r="P175" i="24" s="1"/>
  <c r="V175" i="24" s="1"/>
  <c r="U195" i="24"/>
  <c r="T195" i="24" s="1"/>
  <c r="S195" i="24" s="1"/>
  <c r="R195" i="24" s="1"/>
  <c r="P195" i="24" s="1"/>
  <c r="V195" i="24" s="1"/>
  <c r="U227" i="24"/>
  <c r="T227" i="24" s="1"/>
  <c r="S227" i="24" s="1"/>
  <c r="R227" i="24" s="1"/>
  <c r="P227" i="24" s="1"/>
  <c r="V227" i="24" s="1"/>
  <c r="U259" i="24"/>
  <c r="T259" i="24" s="1"/>
  <c r="S259" i="24" s="1"/>
  <c r="R259" i="24" s="1"/>
  <c r="P259" i="24" s="1"/>
  <c r="V259" i="24" s="1"/>
  <c r="U291" i="24"/>
  <c r="T291" i="24" s="1"/>
  <c r="S291" i="24" s="1"/>
  <c r="R291" i="24" s="1"/>
  <c r="P291" i="24" s="1"/>
  <c r="V291" i="24" s="1"/>
  <c r="U323" i="24"/>
  <c r="T323" i="24" s="1"/>
  <c r="S323" i="24" s="1"/>
  <c r="R323" i="24" s="1"/>
  <c r="P323" i="24" s="1"/>
  <c r="V323" i="24" s="1"/>
  <c r="U355" i="24"/>
  <c r="T355" i="24" s="1"/>
  <c r="S355" i="24" s="1"/>
  <c r="R355" i="24" s="1"/>
  <c r="P355" i="24" s="1"/>
  <c r="V355" i="24" s="1"/>
  <c r="U246" i="24"/>
  <c r="T246" i="24" s="1"/>
  <c r="S246" i="24" s="1"/>
  <c r="R246" i="24" s="1"/>
  <c r="P246" i="24" s="1"/>
  <c r="V246" i="24" s="1"/>
  <c r="U182" i="24"/>
  <c r="T182" i="24" s="1"/>
  <c r="S182" i="24" s="1"/>
  <c r="R182" i="24" s="1"/>
  <c r="P182" i="24" s="1"/>
  <c r="V182" i="24" s="1"/>
  <c r="U118" i="24"/>
  <c r="T118" i="24" s="1"/>
  <c r="S118" i="24" s="1"/>
  <c r="R118" i="24" s="1"/>
  <c r="P118" i="24" s="1"/>
  <c r="V118" i="24" s="1"/>
  <c r="U54" i="24"/>
  <c r="T54" i="24" s="1"/>
  <c r="S54" i="24" s="1"/>
  <c r="R54" i="24" s="1"/>
  <c r="P54" i="24" s="1"/>
  <c r="V54" i="24" s="1"/>
  <c r="U52" i="24"/>
  <c r="T52" i="24" s="1"/>
  <c r="S52" i="24" s="1"/>
  <c r="R52" i="24" s="1"/>
  <c r="P52" i="24" s="1"/>
  <c r="V52" i="24" s="1"/>
  <c r="U180" i="24"/>
  <c r="T180" i="24" s="1"/>
  <c r="S180" i="24" s="1"/>
  <c r="R180" i="24" s="1"/>
  <c r="P180" i="24" s="1"/>
  <c r="V180" i="24" s="1"/>
  <c r="U282" i="24"/>
  <c r="T282" i="24" s="1"/>
  <c r="S282" i="24" s="1"/>
  <c r="R282" i="24" s="1"/>
  <c r="P282" i="24" s="1"/>
  <c r="V282" i="24" s="1"/>
  <c r="U346" i="24"/>
  <c r="T346" i="24" s="1"/>
  <c r="S346" i="24" s="1"/>
  <c r="R346" i="24" s="1"/>
  <c r="P346" i="24" s="1"/>
  <c r="V346" i="24" s="1"/>
  <c r="U352" i="24"/>
  <c r="T352" i="24" s="1"/>
  <c r="S352" i="24" s="1"/>
  <c r="R352" i="24" s="1"/>
  <c r="P352" i="24" s="1"/>
  <c r="V352" i="24" s="1"/>
  <c r="U288" i="24"/>
  <c r="T288" i="24" s="1"/>
  <c r="S288" i="24" s="1"/>
  <c r="R288" i="24" s="1"/>
  <c r="P288" i="24" s="1"/>
  <c r="V288" i="24" s="1"/>
  <c r="U192" i="24"/>
  <c r="T192" i="24" s="1"/>
  <c r="S192" i="24" s="1"/>
  <c r="R192" i="24" s="1"/>
  <c r="P192" i="24" s="1"/>
  <c r="V192" i="24" s="1"/>
  <c r="U64" i="24"/>
  <c r="T64" i="24" s="1"/>
  <c r="S64" i="24" s="1"/>
  <c r="R64" i="24" s="1"/>
  <c r="P64" i="24" s="1"/>
  <c r="V64" i="24" s="1"/>
  <c r="U356" i="24"/>
  <c r="T356" i="24" s="1"/>
  <c r="S356" i="24" s="1"/>
  <c r="R356" i="24" s="1"/>
  <c r="P356" i="24" s="1"/>
  <c r="V356" i="24" s="1"/>
  <c r="U292" i="24"/>
  <c r="T292" i="24" s="1"/>
  <c r="S292" i="24" s="1"/>
  <c r="R292" i="24" s="1"/>
  <c r="P292" i="24" s="1"/>
  <c r="V292" i="24" s="1"/>
  <c r="U200" i="24"/>
  <c r="T200" i="24" s="1"/>
  <c r="S200" i="24" s="1"/>
  <c r="R200" i="24" s="1"/>
  <c r="P200" i="24" s="1"/>
  <c r="V200" i="24" s="1"/>
  <c r="U25" i="24"/>
  <c r="T25" i="24" s="1"/>
  <c r="S25" i="24" s="1"/>
  <c r="R25" i="24" s="1"/>
  <c r="P25" i="24" s="1"/>
  <c r="V25" i="24" s="1"/>
  <c r="U56" i="24"/>
  <c r="T56" i="24" s="1"/>
  <c r="S56" i="24" s="1"/>
  <c r="R56" i="24" s="1"/>
  <c r="P56" i="24" s="1"/>
  <c r="V56" i="24" s="1"/>
  <c r="U88" i="24"/>
  <c r="T88" i="24" s="1"/>
  <c r="S88" i="24" s="1"/>
  <c r="R88" i="24" s="1"/>
  <c r="P88" i="24" s="1"/>
  <c r="V88" i="24" s="1"/>
  <c r="U120" i="24"/>
  <c r="T120" i="24" s="1"/>
  <c r="S120" i="24" s="1"/>
  <c r="R120" i="24" s="1"/>
  <c r="P120" i="24" s="1"/>
  <c r="V120" i="24" s="1"/>
  <c r="U152" i="24"/>
  <c r="T152" i="24" s="1"/>
  <c r="S152" i="24" s="1"/>
  <c r="R152" i="24" s="1"/>
  <c r="P152" i="24" s="1"/>
  <c r="V152" i="24" s="1"/>
  <c r="U184" i="24"/>
  <c r="T184" i="24" s="1"/>
  <c r="S184" i="24" s="1"/>
  <c r="R184" i="24" s="1"/>
  <c r="P184" i="24" s="1"/>
  <c r="V184" i="24" s="1"/>
  <c r="U216" i="24"/>
  <c r="T216" i="24" s="1"/>
  <c r="S216" i="24" s="1"/>
  <c r="R216" i="24" s="1"/>
  <c r="P216" i="24" s="1"/>
  <c r="V216" i="24" s="1"/>
  <c r="U248" i="24"/>
  <c r="T248" i="24" s="1"/>
  <c r="S248" i="24" s="1"/>
  <c r="R248" i="24" s="1"/>
  <c r="P248" i="24" s="1"/>
  <c r="V248" i="24" s="1"/>
  <c r="U268" i="24"/>
  <c r="T268" i="24" s="1"/>
  <c r="S268" i="24" s="1"/>
  <c r="R268" i="24" s="1"/>
  <c r="P268" i="24" s="1"/>
  <c r="V268" i="24" s="1"/>
  <c r="U284" i="24"/>
  <c r="T284" i="24" s="1"/>
  <c r="S284" i="24" s="1"/>
  <c r="R284" i="24" s="1"/>
  <c r="P284" i="24" s="1"/>
  <c r="V284" i="24" s="1"/>
  <c r="U300" i="24"/>
  <c r="T300" i="24" s="1"/>
  <c r="S300" i="24" s="1"/>
  <c r="R300" i="24" s="1"/>
  <c r="P300" i="24" s="1"/>
  <c r="V300" i="24" s="1"/>
  <c r="U316" i="24"/>
  <c r="T316" i="24" s="1"/>
  <c r="S316" i="24" s="1"/>
  <c r="R316" i="24" s="1"/>
  <c r="P316" i="24" s="1"/>
  <c r="V316" i="24" s="1"/>
  <c r="U332" i="24"/>
  <c r="T332" i="24" s="1"/>
  <c r="S332" i="24" s="1"/>
  <c r="R332" i="24" s="1"/>
  <c r="P332" i="24" s="1"/>
  <c r="V332" i="24" s="1"/>
  <c r="U348" i="24"/>
  <c r="T348" i="24" s="1"/>
  <c r="S348" i="24" s="1"/>
  <c r="R348" i="24" s="1"/>
  <c r="P348" i="24" s="1"/>
  <c r="V348" i="24" s="1"/>
  <c r="U364" i="24"/>
  <c r="T364" i="24" s="1"/>
  <c r="S364" i="24" s="1"/>
  <c r="R364" i="24" s="1"/>
  <c r="P364" i="24" s="1"/>
  <c r="V364" i="24" s="1"/>
  <c r="U48" i="24"/>
  <c r="T48" i="24" s="1"/>
  <c r="S48" i="24" s="1"/>
  <c r="R48" i="24" s="1"/>
  <c r="P48" i="24" s="1"/>
  <c r="V48" i="24" s="1"/>
  <c r="U80" i="24"/>
  <c r="T80" i="24" s="1"/>
  <c r="S80" i="24" s="1"/>
  <c r="R80" i="24" s="1"/>
  <c r="P80" i="24" s="1"/>
  <c r="V80" i="24" s="1"/>
  <c r="U112" i="24"/>
  <c r="T112" i="24" s="1"/>
  <c r="S112" i="24" s="1"/>
  <c r="R112" i="24" s="1"/>
  <c r="P112" i="24" s="1"/>
  <c r="V112" i="24" s="1"/>
  <c r="U144" i="24"/>
  <c r="T144" i="24" s="1"/>
  <c r="S144" i="24" s="1"/>
  <c r="R144" i="24" s="1"/>
  <c r="P144" i="24" s="1"/>
  <c r="V144" i="24" s="1"/>
  <c r="U176" i="24"/>
  <c r="T176" i="24" s="1"/>
  <c r="S176" i="24" s="1"/>
  <c r="R176" i="24" s="1"/>
  <c r="P176" i="24" s="1"/>
  <c r="V176" i="24" s="1"/>
  <c r="U208" i="24"/>
  <c r="T208" i="24" s="1"/>
  <c r="S208" i="24" s="1"/>
  <c r="R208" i="24" s="1"/>
  <c r="P208" i="24" s="1"/>
  <c r="V208" i="24" s="1"/>
  <c r="U240" i="24"/>
  <c r="T240" i="24" s="1"/>
  <c r="S240" i="24" s="1"/>
  <c r="R240" i="24" s="1"/>
  <c r="P240" i="24" s="1"/>
  <c r="V240" i="24" s="1"/>
  <c r="U264" i="24"/>
  <c r="T264" i="24" s="1"/>
  <c r="S264" i="24" s="1"/>
  <c r="R264" i="24" s="1"/>
  <c r="P264" i="24" s="1"/>
  <c r="V264" i="24" s="1"/>
  <c r="U280" i="24"/>
  <c r="T280" i="24" s="1"/>
  <c r="S280" i="24" s="1"/>
  <c r="R280" i="24" s="1"/>
  <c r="P280" i="24" s="1"/>
  <c r="V280" i="24" s="1"/>
  <c r="U296" i="24"/>
  <c r="T296" i="24" s="1"/>
  <c r="S296" i="24" s="1"/>
  <c r="R296" i="24" s="1"/>
  <c r="P296" i="24" s="1"/>
  <c r="V296" i="24" s="1"/>
  <c r="U312" i="24"/>
  <c r="T312" i="24" s="1"/>
  <c r="S312" i="24" s="1"/>
  <c r="R312" i="24" s="1"/>
  <c r="P312" i="24" s="1"/>
  <c r="V312" i="24" s="1"/>
  <c r="U328" i="24"/>
  <c r="T328" i="24" s="1"/>
  <c r="S328" i="24" s="1"/>
  <c r="R328" i="24" s="1"/>
  <c r="P328" i="24" s="1"/>
  <c r="V328" i="24" s="1"/>
  <c r="U344" i="24"/>
  <c r="T344" i="24" s="1"/>
  <c r="S344" i="24" s="1"/>
  <c r="R344" i="24" s="1"/>
  <c r="P344" i="24" s="1"/>
  <c r="V344" i="24" s="1"/>
  <c r="U360" i="24"/>
  <c r="T360" i="24" s="1"/>
  <c r="S360" i="24" s="1"/>
  <c r="R360" i="24" s="1"/>
  <c r="P360" i="24" s="1"/>
  <c r="V360" i="24" s="1"/>
  <c r="U376" i="24"/>
  <c r="T376" i="24" s="1"/>
  <c r="S376" i="24" s="1"/>
  <c r="R376" i="24" s="1"/>
  <c r="P376" i="24" s="1"/>
  <c r="V376" i="24" s="1"/>
  <c r="U370" i="24"/>
  <c r="T370" i="24" s="1"/>
  <c r="S370" i="24" s="1"/>
  <c r="R370" i="24" s="1"/>
  <c r="P370" i="24" s="1"/>
  <c r="V370" i="24" s="1"/>
  <c r="U354" i="24"/>
  <c r="T354" i="24" s="1"/>
  <c r="S354" i="24" s="1"/>
  <c r="R354" i="24" s="1"/>
  <c r="P354" i="24" s="1"/>
  <c r="V354" i="24" s="1"/>
  <c r="U338" i="24"/>
  <c r="T338" i="24" s="1"/>
  <c r="S338" i="24" s="1"/>
  <c r="R338" i="24" s="1"/>
  <c r="P338" i="24" s="1"/>
  <c r="V338" i="24" s="1"/>
  <c r="U322" i="24"/>
  <c r="T322" i="24" s="1"/>
  <c r="S322" i="24" s="1"/>
  <c r="R322" i="24" s="1"/>
  <c r="P322" i="24" s="1"/>
  <c r="V322" i="24" s="1"/>
  <c r="U306" i="24"/>
  <c r="T306" i="24" s="1"/>
  <c r="S306" i="24" s="1"/>
  <c r="R306" i="24" s="1"/>
  <c r="P306" i="24" s="1"/>
  <c r="V306" i="24" s="1"/>
  <c r="U290" i="24"/>
  <c r="T290" i="24" s="1"/>
  <c r="S290" i="24" s="1"/>
  <c r="R290" i="24" s="1"/>
  <c r="P290" i="24" s="1"/>
  <c r="V290" i="24" s="1"/>
  <c r="U274" i="24"/>
  <c r="T274" i="24" s="1"/>
  <c r="S274" i="24" s="1"/>
  <c r="R274" i="24" s="1"/>
  <c r="P274" i="24" s="1"/>
  <c r="V274" i="24" s="1"/>
  <c r="U258" i="24"/>
  <c r="T258" i="24" s="1"/>
  <c r="S258" i="24" s="1"/>
  <c r="R258" i="24" s="1"/>
  <c r="P258" i="24" s="1"/>
  <c r="V258" i="24" s="1"/>
  <c r="U228" i="24"/>
  <c r="T228" i="24" s="1"/>
  <c r="S228" i="24" s="1"/>
  <c r="R228" i="24" s="1"/>
  <c r="P228" i="24" s="1"/>
  <c r="V228" i="24" s="1"/>
  <c r="U196" i="24"/>
  <c r="T196" i="24" s="1"/>
  <c r="S196" i="24" s="1"/>
  <c r="R196" i="24" s="1"/>
  <c r="P196" i="24" s="1"/>
  <c r="V196" i="24" s="1"/>
  <c r="U164" i="24"/>
  <c r="T164" i="24" s="1"/>
  <c r="S164" i="24" s="1"/>
  <c r="R164" i="24" s="1"/>
  <c r="P164" i="24" s="1"/>
  <c r="V164" i="24" s="1"/>
  <c r="U132" i="24"/>
  <c r="T132" i="24" s="1"/>
  <c r="S132" i="24" s="1"/>
  <c r="R132" i="24" s="1"/>
  <c r="P132" i="24" s="1"/>
  <c r="V132" i="24" s="1"/>
  <c r="U100" i="24"/>
  <c r="T100" i="24" s="1"/>
  <c r="S100" i="24" s="1"/>
  <c r="R100" i="24" s="1"/>
  <c r="P100" i="24" s="1"/>
  <c r="V100" i="24" s="1"/>
  <c r="U68" i="24"/>
  <c r="T68" i="24" s="1"/>
  <c r="S68" i="24" s="1"/>
  <c r="R68" i="24" s="1"/>
  <c r="P68" i="24" s="1"/>
  <c r="V68" i="24" s="1"/>
  <c r="U36" i="24"/>
  <c r="T36" i="24" s="1"/>
  <c r="S36" i="24" s="1"/>
  <c r="R36" i="24" s="1"/>
  <c r="P36" i="24" s="1"/>
  <c r="V36" i="24" s="1"/>
  <c r="U22" i="24"/>
  <c r="T22" i="24" s="1"/>
  <c r="S22" i="24" s="1"/>
  <c r="R22" i="24" s="1"/>
  <c r="P22" i="24" s="1"/>
  <c r="V22" i="24" s="1"/>
  <c r="U30" i="24"/>
  <c r="T30" i="24" s="1"/>
  <c r="S30" i="24" s="1"/>
  <c r="R30" i="24" s="1"/>
  <c r="P30" i="24" s="1"/>
  <c r="V30" i="24" s="1"/>
  <c r="U46" i="24"/>
  <c r="T46" i="24" s="1"/>
  <c r="S46" i="24" s="1"/>
  <c r="R46" i="24" s="1"/>
  <c r="P46" i="24" s="1"/>
  <c r="V46" i="24" s="1"/>
  <c r="U62" i="24"/>
  <c r="T62" i="24" s="1"/>
  <c r="S62" i="24" s="1"/>
  <c r="R62" i="24" s="1"/>
  <c r="P62" i="24" s="1"/>
  <c r="V62" i="24" s="1"/>
  <c r="U78" i="24"/>
  <c r="T78" i="24" s="1"/>
  <c r="S78" i="24" s="1"/>
  <c r="R78" i="24" s="1"/>
  <c r="P78" i="24" s="1"/>
  <c r="V78" i="24" s="1"/>
  <c r="U94" i="24"/>
  <c r="T94" i="24" s="1"/>
  <c r="S94" i="24" s="1"/>
  <c r="R94" i="24" s="1"/>
  <c r="P94" i="24" s="1"/>
  <c r="V94" i="24" s="1"/>
  <c r="U110" i="24"/>
  <c r="T110" i="24" s="1"/>
  <c r="S110" i="24" s="1"/>
  <c r="R110" i="24" s="1"/>
  <c r="P110" i="24" s="1"/>
  <c r="V110" i="24" s="1"/>
  <c r="U126" i="24"/>
  <c r="T126" i="24" s="1"/>
  <c r="S126" i="24" s="1"/>
  <c r="R126" i="24" s="1"/>
  <c r="P126" i="24" s="1"/>
  <c r="V126" i="24" s="1"/>
  <c r="U142" i="24"/>
  <c r="T142" i="24" s="1"/>
  <c r="S142" i="24" s="1"/>
  <c r="R142" i="24" s="1"/>
  <c r="P142" i="24" s="1"/>
  <c r="V142" i="24" s="1"/>
  <c r="U158" i="24"/>
  <c r="T158" i="24" s="1"/>
  <c r="S158" i="24" s="1"/>
  <c r="R158" i="24" s="1"/>
  <c r="P158" i="24" s="1"/>
  <c r="V158" i="24" s="1"/>
  <c r="U174" i="24"/>
  <c r="T174" i="24" s="1"/>
  <c r="S174" i="24" s="1"/>
  <c r="R174" i="24" s="1"/>
  <c r="P174" i="24" s="1"/>
  <c r="V174" i="24" s="1"/>
  <c r="U190" i="24"/>
  <c r="T190" i="24" s="1"/>
  <c r="S190" i="24" s="1"/>
  <c r="R190" i="24" s="1"/>
  <c r="P190" i="24" s="1"/>
  <c r="V190" i="24" s="1"/>
  <c r="U206" i="24"/>
  <c r="T206" i="24" s="1"/>
  <c r="S206" i="24" s="1"/>
  <c r="R206" i="24" s="1"/>
  <c r="P206" i="24" s="1"/>
  <c r="V206" i="24" s="1"/>
  <c r="U222" i="24"/>
  <c r="T222" i="24" s="1"/>
  <c r="S222" i="24" s="1"/>
  <c r="R222" i="24" s="1"/>
  <c r="P222" i="24" s="1"/>
  <c r="V222" i="24" s="1"/>
  <c r="U238" i="24"/>
  <c r="T238" i="24" s="1"/>
  <c r="S238" i="24" s="1"/>
  <c r="R238" i="24" s="1"/>
  <c r="P238" i="24" s="1"/>
  <c r="V238" i="24" s="1"/>
  <c r="U254" i="24"/>
  <c r="T254" i="24" s="1"/>
  <c r="S254" i="24" s="1"/>
  <c r="R254" i="24" s="1"/>
  <c r="P254" i="24" s="1"/>
  <c r="V254" i="24" s="1"/>
  <c r="U375" i="24"/>
  <c r="T375" i="24" s="1"/>
  <c r="S375" i="24" s="1"/>
  <c r="R375" i="24" s="1"/>
  <c r="P375" i="24" s="1"/>
  <c r="V375" i="24" s="1"/>
  <c r="U367" i="24"/>
  <c r="T367" i="24" s="1"/>
  <c r="S367" i="24" s="1"/>
  <c r="R367" i="24" s="1"/>
  <c r="P367" i="24" s="1"/>
  <c r="V367" i="24" s="1"/>
  <c r="U359" i="24"/>
  <c r="T359" i="24" s="1"/>
  <c r="S359" i="24" s="1"/>
  <c r="R359" i="24" s="1"/>
  <c r="P359" i="24" s="1"/>
  <c r="V359" i="24" s="1"/>
  <c r="U351" i="24"/>
  <c r="T351" i="24" s="1"/>
  <c r="S351" i="24" s="1"/>
  <c r="R351" i="24" s="1"/>
  <c r="P351" i="24" s="1"/>
  <c r="V351" i="24" s="1"/>
  <c r="U343" i="24"/>
  <c r="T343" i="24" s="1"/>
  <c r="S343" i="24" s="1"/>
  <c r="R343" i="24" s="1"/>
  <c r="P343" i="24" s="1"/>
  <c r="V343" i="24" s="1"/>
  <c r="U335" i="24"/>
  <c r="T335" i="24" s="1"/>
  <c r="S335" i="24" s="1"/>
  <c r="R335" i="24" s="1"/>
  <c r="P335" i="24" s="1"/>
  <c r="V335" i="24" s="1"/>
  <c r="U327" i="24"/>
  <c r="T327" i="24" s="1"/>
  <c r="S327" i="24" s="1"/>
  <c r="R327" i="24" s="1"/>
  <c r="P327" i="24" s="1"/>
  <c r="V327" i="24" s="1"/>
  <c r="U319" i="24"/>
  <c r="T319" i="24" s="1"/>
  <c r="S319" i="24" s="1"/>
  <c r="R319" i="24" s="1"/>
  <c r="P319" i="24" s="1"/>
  <c r="V319" i="24" s="1"/>
  <c r="U311" i="24"/>
  <c r="T311" i="24" s="1"/>
  <c r="S311" i="24" s="1"/>
  <c r="R311" i="24" s="1"/>
  <c r="P311" i="24" s="1"/>
  <c r="V311" i="24" s="1"/>
  <c r="U303" i="24"/>
  <c r="T303" i="24" s="1"/>
  <c r="S303" i="24" s="1"/>
  <c r="R303" i="24" s="1"/>
  <c r="P303" i="24" s="1"/>
  <c r="V303" i="24" s="1"/>
  <c r="U295" i="24"/>
  <c r="T295" i="24" s="1"/>
  <c r="S295" i="24" s="1"/>
  <c r="R295" i="24" s="1"/>
  <c r="P295" i="24" s="1"/>
  <c r="V295" i="24" s="1"/>
  <c r="U287" i="24"/>
  <c r="T287" i="24" s="1"/>
  <c r="S287" i="24" s="1"/>
  <c r="R287" i="24" s="1"/>
  <c r="P287" i="24" s="1"/>
  <c r="V287" i="24" s="1"/>
  <c r="U279" i="24"/>
  <c r="T279" i="24" s="1"/>
  <c r="S279" i="24" s="1"/>
  <c r="R279" i="24" s="1"/>
  <c r="P279" i="24" s="1"/>
  <c r="V279" i="24" s="1"/>
  <c r="U271" i="24"/>
  <c r="T271" i="24" s="1"/>
  <c r="S271" i="24" s="1"/>
  <c r="R271" i="24" s="1"/>
  <c r="P271" i="24" s="1"/>
  <c r="V271" i="24" s="1"/>
  <c r="U263" i="24"/>
  <c r="T263" i="24" s="1"/>
  <c r="S263" i="24" s="1"/>
  <c r="R263" i="24" s="1"/>
  <c r="P263" i="24" s="1"/>
  <c r="V263" i="24" s="1"/>
  <c r="U255" i="24"/>
  <c r="T255" i="24" s="1"/>
  <c r="S255" i="24" s="1"/>
  <c r="R255" i="24" s="1"/>
  <c r="P255" i="24" s="1"/>
  <c r="V255" i="24" s="1"/>
  <c r="U247" i="24"/>
  <c r="T247" i="24" s="1"/>
  <c r="S247" i="24" s="1"/>
  <c r="R247" i="24" s="1"/>
  <c r="P247" i="24" s="1"/>
  <c r="V247" i="24" s="1"/>
  <c r="U239" i="24"/>
  <c r="T239" i="24" s="1"/>
  <c r="S239" i="24" s="1"/>
  <c r="R239" i="24" s="1"/>
  <c r="P239" i="24" s="1"/>
  <c r="V239" i="24" s="1"/>
  <c r="U231" i="24"/>
  <c r="T231" i="24" s="1"/>
  <c r="S231" i="24" s="1"/>
  <c r="R231" i="24" s="1"/>
  <c r="P231" i="24" s="1"/>
  <c r="V231" i="24" s="1"/>
  <c r="U223" i="24"/>
  <c r="T223" i="24" s="1"/>
  <c r="S223" i="24" s="1"/>
  <c r="R223" i="24" s="1"/>
  <c r="P223" i="24" s="1"/>
  <c r="V223" i="24" s="1"/>
  <c r="U215" i="24"/>
  <c r="T215" i="24" s="1"/>
  <c r="S215" i="24" s="1"/>
  <c r="R215" i="24" s="1"/>
  <c r="P215" i="24" s="1"/>
  <c r="V215" i="24" s="1"/>
  <c r="U207" i="24"/>
  <c r="T207" i="24" s="1"/>
  <c r="S207" i="24" s="1"/>
  <c r="R207" i="24" s="1"/>
  <c r="P207" i="24" s="1"/>
  <c r="V207" i="24" s="1"/>
  <c r="U199" i="24"/>
  <c r="T199" i="24" s="1"/>
  <c r="S199" i="24" s="1"/>
  <c r="R199" i="24" s="1"/>
  <c r="P199" i="24" s="1"/>
  <c r="V199" i="24" s="1"/>
  <c r="U191" i="24"/>
  <c r="T191" i="24" s="1"/>
  <c r="S191" i="24" s="1"/>
  <c r="R191" i="24" s="1"/>
  <c r="P191" i="24" s="1"/>
  <c r="V191" i="24" s="1"/>
  <c r="U24" i="24"/>
  <c r="T24" i="24" s="1"/>
  <c r="S24" i="24" s="1"/>
  <c r="R24" i="24" s="1"/>
  <c r="P24" i="24" s="1"/>
  <c r="V24" i="24" s="1"/>
  <c r="U21" i="24"/>
  <c r="T21" i="24" s="1"/>
  <c r="S21" i="24" s="1"/>
  <c r="R21" i="24" s="1"/>
  <c r="P21" i="24" s="1"/>
  <c r="V21" i="24" s="1"/>
  <c r="U33" i="24"/>
  <c r="T33" i="24" s="1"/>
  <c r="S33" i="24" s="1"/>
  <c r="R33" i="24" s="1"/>
  <c r="P33" i="24" s="1"/>
  <c r="V33" i="24" s="1"/>
  <c r="U41" i="24"/>
  <c r="T41" i="24" s="1"/>
  <c r="S41" i="24" s="1"/>
  <c r="R41" i="24" s="1"/>
  <c r="P41" i="24" s="1"/>
  <c r="V41" i="24" s="1"/>
  <c r="U49" i="24"/>
  <c r="T49" i="24" s="1"/>
  <c r="S49" i="24" s="1"/>
  <c r="R49" i="24" s="1"/>
  <c r="P49" i="24" s="1"/>
  <c r="V49" i="24" s="1"/>
  <c r="U57" i="24"/>
  <c r="T57" i="24" s="1"/>
  <c r="S57" i="24" s="1"/>
  <c r="R57" i="24" s="1"/>
  <c r="P57" i="24" s="1"/>
  <c r="V57" i="24" s="1"/>
  <c r="U65" i="24"/>
  <c r="T65" i="24" s="1"/>
  <c r="S65" i="24" s="1"/>
  <c r="R65" i="24" s="1"/>
  <c r="P65" i="24" s="1"/>
  <c r="V65" i="24" s="1"/>
  <c r="U73" i="24"/>
  <c r="T73" i="24" s="1"/>
  <c r="S73" i="24" s="1"/>
  <c r="R73" i="24" s="1"/>
  <c r="P73" i="24" s="1"/>
  <c r="V73" i="24" s="1"/>
  <c r="U81" i="24"/>
  <c r="T81" i="24" s="1"/>
  <c r="S81" i="24" s="1"/>
  <c r="R81" i="24" s="1"/>
  <c r="P81" i="24" s="1"/>
  <c r="V81" i="24" s="1"/>
  <c r="U89" i="24"/>
  <c r="T89" i="24" s="1"/>
  <c r="S89" i="24" s="1"/>
  <c r="R89" i="24" s="1"/>
  <c r="P89" i="24" s="1"/>
  <c r="V89" i="24" s="1"/>
  <c r="U97" i="24"/>
  <c r="T97" i="24" s="1"/>
  <c r="S97" i="24" s="1"/>
  <c r="R97" i="24" s="1"/>
  <c r="P97" i="24" s="1"/>
  <c r="V97" i="24" s="1"/>
  <c r="U105" i="24"/>
  <c r="T105" i="24" s="1"/>
  <c r="S105" i="24" s="1"/>
  <c r="R105" i="24" s="1"/>
  <c r="P105" i="24" s="1"/>
  <c r="V105" i="24" s="1"/>
  <c r="U113" i="24"/>
  <c r="T113" i="24" s="1"/>
  <c r="S113" i="24" s="1"/>
  <c r="R113" i="24" s="1"/>
  <c r="P113" i="24" s="1"/>
  <c r="V113" i="24" s="1"/>
  <c r="U121" i="24"/>
  <c r="T121" i="24" s="1"/>
  <c r="S121" i="24" s="1"/>
  <c r="R121" i="24" s="1"/>
  <c r="P121" i="24" s="1"/>
  <c r="V121" i="24" s="1"/>
  <c r="U129" i="24"/>
  <c r="T129" i="24" s="1"/>
  <c r="S129" i="24" s="1"/>
  <c r="R129" i="24" s="1"/>
  <c r="P129" i="24" s="1"/>
  <c r="V129" i="24" s="1"/>
  <c r="U137" i="24"/>
  <c r="T137" i="24" s="1"/>
  <c r="S137" i="24" s="1"/>
  <c r="R137" i="24" s="1"/>
  <c r="P137" i="24" s="1"/>
  <c r="V137" i="24" s="1"/>
  <c r="U145" i="24"/>
  <c r="T145" i="24" s="1"/>
  <c r="S145" i="24" s="1"/>
  <c r="R145" i="24" s="1"/>
  <c r="P145" i="24" s="1"/>
  <c r="V145" i="24" s="1"/>
  <c r="U153" i="24"/>
  <c r="T153" i="24" s="1"/>
  <c r="S153" i="24" s="1"/>
  <c r="R153" i="24" s="1"/>
  <c r="P153" i="24" s="1"/>
  <c r="V153" i="24" s="1"/>
  <c r="U161" i="24"/>
  <c r="T161" i="24" s="1"/>
  <c r="S161" i="24" s="1"/>
  <c r="R161" i="24" s="1"/>
  <c r="P161" i="24" s="1"/>
  <c r="V161" i="24" s="1"/>
  <c r="U169" i="24"/>
  <c r="T169" i="24" s="1"/>
  <c r="S169" i="24" s="1"/>
  <c r="R169" i="24" s="1"/>
  <c r="P169" i="24" s="1"/>
  <c r="V169" i="24" s="1"/>
  <c r="U177" i="24"/>
  <c r="T177" i="24" s="1"/>
  <c r="S177" i="24" s="1"/>
  <c r="R177" i="24" s="1"/>
  <c r="P177" i="24" s="1"/>
  <c r="V177" i="24" s="1"/>
  <c r="U185" i="24"/>
  <c r="T185" i="24" s="1"/>
  <c r="S185" i="24" s="1"/>
  <c r="R185" i="24" s="1"/>
  <c r="P185" i="24" s="1"/>
  <c r="V185" i="24" s="1"/>
  <c r="U193" i="24"/>
  <c r="T193" i="24" s="1"/>
  <c r="S193" i="24" s="1"/>
  <c r="R193" i="24" s="1"/>
  <c r="P193" i="24" s="1"/>
  <c r="V193" i="24" s="1"/>
  <c r="U201" i="24"/>
  <c r="T201" i="24" s="1"/>
  <c r="S201" i="24" s="1"/>
  <c r="R201" i="24" s="1"/>
  <c r="P201" i="24" s="1"/>
  <c r="V201" i="24" s="1"/>
  <c r="U209" i="24"/>
  <c r="T209" i="24" s="1"/>
  <c r="S209" i="24" s="1"/>
  <c r="R209" i="24" s="1"/>
  <c r="P209" i="24" s="1"/>
  <c r="V209" i="24" s="1"/>
  <c r="U217" i="24"/>
  <c r="T217" i="24" s="1"/>
  <c r="S217" i="24" s="1"/>
  <c r="R217" i="24" s="1"/>
  <c r="P217" i="24" s="1"/>
  <c r="V217" i="24" s="1"/>
  <c r="U225" i="24"/>
  <c r="T225" i="24" s="1"/>
  <c r="S225" i="24" s="1"/>
  <c r="R225" i="24" s="1"/>
  <c r="P225" i="24" s="1"/>
  <c r="V225" i="24" s="1"/>
  <c r="U233" i="24"/>
  <c r="T233" i="24" s="1"/>
  <c r="S233" i="24" s="1"/>
  <c r="R233" i="24" s="1"/>
  <c r="P233" i="24" s="1"/>
  <c r="V233" i="24" s="1"/>
  <c r="U241" i="24"/>
  <c r="T241" i="24" s="1"/>
  <c r="S241" i="24" s="1"/>
  <c r="R241" i="24" s="1"/>
  <c r="P241" i="24" s="1"/>
  <c r="AH63" i="7" s="1"/>
  <c r="U249" i="24"/>
  <c r="T249" i="24" s="1"/>
  <c r="S249" i="24" s="1"/>
  <c r="R249" i="24" s="1"/>
  <c r="P249" i="24" s="1"/>
  <c r="V249" i="24" s="1"/>
  <c r="U257" i="24"/>
  <c r="T257" i="24" s="1"/>
  <c r="S257" i="24" s="1"/>
  <c r="R257" i="24" s="1"/>
  <c r="P257" i="24" s="1"/>
  <c r="V257" i="24" s="1"/>
  <c r="U265" i="24"/>
  <c r="T265" i="24" s="1"/>
  <c r="S265" i="24" s="1"/>
  <c r="R265" i="24" s="1"/>
  <c r="P265" i="24" s="1"/>
  <c r="V265" i="24" s="1"/>
  <c r="U273" i="24"/>
  <c r="T273" i="24" s="1"/>
  <c r="S273" i="24" s="1"/>
  <c r="R273" i="24" s="1"/>
  <c r="P273" i="24" s="1"/>
  <c r="V273" i="24" s="1"/>
  <c r="U281" i="24"/>
  <c r="T281" i="24" s="1"/>
  <c r="S281" i="24" s="1"/>
  <c r="R281" i="24" s="1"/>
  <c r="P281" i="24" s="1"/>
  <c r="V281" i="24" s="1"/>
  <c r="U289" i="24"/>
  <c r="T289" i="24" s="1"/>
  <c r="S289" i="24" s="1"/>
  <c r="R289" i="24" s="1"/>
  <c r="P289" i="24" s="1"/>
  <c r="V289" i="24" s="1"/>
  <c r="U297" i="24"/>
  <c r="T297" i="24" s="1"/>
  <c r="S297" i="24" s="1"/>
  <c r="R297" i="24" s="1"/>
  <c r="P297" i="24" s="1"/>
  <c r="V297" i="24" s="1"/>
  <c r="U305" i="24"/>
  <c r="T305" i="24" s="1"/>
  <c r="S305" i="24" s="1"/>
  <c r="R305" i="24" s="1"/>
  <c r="P305" i="24" s="1"/>
  <c r="V305" i="24" s="1"/>
  <c r="U313" i="24"/>
  <c r="T313" i="24" s="1"/>
  <c r="S313" i="24" s="1"/>
  <c r="R313" i="24" s="1"/>
  <c r="P313" i="24" s="1"/>
  <c r="V313" i="24" s="1"/>
  <c r="U321" i="24"/>
  <c r="T321" i="24" s="1"/>
  <c r="S321" i="24" s="1"/>
  <c r="R321" i="24" s="1"/>
  <c r="P321" i="24" s="1"/>
  <c r="V321" i="24" s="1"/>
  <c r="U329" i="24"/>
  <c r="T329" i="24" s="1"/>
  <c r="S329" i="24" s="1"/>
  <c r="R329" i="24" s="1"/>
  <c r="P329" i="24" s="1"/>
  <c r="V329" i="24" s="1"/>
  <c r="U337" i="24"/>
  <c r="T337" i="24" s="1"/>
  <c r="S337" i="24" s="1"/>
  <c r="R337" i="24" s="1"/>
  <c r="P337" i="24" s="1"/>
  <c r="V337" i="24" s="1"/>
  <c r="U345" i="24"/>
  <c r="T345" i="24" s="1"/>
  <c r="S345" i="24" s="1"/>
  <c r="R345" i="24" s="1"/>
  <c r="P345" i="24" s="1"/>
  <c r="V345" i="24" s="1"/>
  <c r="U353" i="24"/>
  <c r="T353" i="24" s="1"/>
  <c r="S353" i="24" s="1"/>
  <c r="R353" i="24" s="1"/>
  <c r="P353" i="24" s="1"/>
  <c r="V353" i="24" s="1"/>
  <c r="U361" i="24"/>
  <c r="T361" i="24" s="1"/>
  <c r="S361" i="24" s="1"/>
  <c r="R361" i="24" s="1"/>
  <c r="P361" i="24" s="1"/>
  <c r="V361" i="24" s="1"/>
  <c r="U369" i="24"/>
  <c r="T369" i="24" s="1"/>
  <c r="S369" i="24" s="1"/>
  <c r="R369" i="24" s="1"/>
  <c r="P369" i="24" s="1"/>
  <c r="V369" i="24" s="1"/>
  <c r="U377" i="24"/>
  <c r="T377" i="24" s="1"/>
  <c r="S377" i="24" s="1"/>
  <c r="R377" i="24" s="1"/>
  <c r="P377" i="24" s="1"/>
  <c r="V377" i="24" s="1"/>
  <c r="U242" i="24"/>
  <c r="T242" i="24" s="1"/>
  <c r="S242" i="24" s="1"/>
  <c r="R242" i="24" s="1"/>
  <c r="P242" i="24" s="1"/>
  <c r="V242" i="24" s="1"/>
  <c r="U226" i="24"/>
  <c r="T226" i="24" s="1"/>
  <c r="S226" i="24" s="1"/>
  <c r="R226" i="24" s="1"/>
  <c r="P226" i="24" s="1"/>
  <c r="V226" i="24" s="1"/>
  <c r="U210" i="24"/>
  <c r="T210" i="24" s="1"/>
  <c r="S210" i="24" s="1"/>
  <c r="R210" i="24" s="1"/>
  <c r="P210" i="24" s="1"/>
  <c r="V210" i="24" s="1"/>
  <c r="U194" i="24"/>
  <c r="T194" i="24" s="1"/>
  <c r="S194" i="24" s="1"/>
  <c r="R194" i="24" s="1"/>
  <c r="P194" i="24" s="1"/>
  <c r="V194" i="24" s="1"/>
  <c r="U178" i="24"/>
  <c r="T178" i="24" s="1"/>
  <c r="S178" i="24" s="1"/>
  <c r="R178" i="24" s="1"/>
  <c r="P178" i="24" s="1"/>
  <c r="V178" i="24" s="1"/>
  <c r="U162" i="24"/>
  <c r="T162" i="24" s="1"/>
  <c r="S162" i="24" s="1"/>
  <c r="R162" i="24" s="1"/>
  <c r="P162" i="24" s="1"/>
  <c r="V162" i="24" s="1"/>
  <c r="U146" i="24"/>
  <c r="T146" i="24" s="1"/>
  <c r="S146" i="24" s="1"/>
  <c r="R146" i="24" s="1"/>
  <c r="P146" i="24" s="1"/>
  <c r="V146" i="24" s="1"/>
  <c r="U130" i="24"/>
  <c r="T130" i="24" s="1"/>
  <c r="S130" i="24" s="1"/>
  <c r="R130" i="24" s="1"/>
  <c r="P130" i="24" s="1"/>
  <c r="V130" i="24" s="1"/>
  <c r="U114" i="24"/>
  <c r="T114" i="24" s="1"/>
  <c r="S114" i="24" s="1"/>
  <c r="R114" i="24" s="1"/>
  <c r="P114" i="24" s="1"/>
  <c r="V114" i="24" s="1"/>
  <c r="U98" i="24"/>
  <c r="T98" i="24" s="1"/>
  <c r="S98" i="24" s="1"/>
  <c r="R98" i="24" s="1"/>
  <c r="P98" i="24" s="1"/>
  <c r="V98" i="24" s="1"/>
  <c r="U82" i="24"/>
  <c r="T82" i="24" s="1"/>
  <c r="S82" i="24" s="1"/>
  <c r="R82" i="24" s="1"/>
  <c r="P82" i="24" s="1"/>
  <c r="V82" i="24" s="1"/>
  <c r="U66" i="24"/>
  <c r="T66" i="24" s="1"/>
  <c r="S66" i="24" s="1"/>
  <c r="R66" i="24" s="1"/>
  <c r="P66" i="24" s="1"/>
  <c r="V66" i="24" s="1"/>
  <c r="U50" i="24"/>
  <c r="T50" i="24" s="1"/>
  <c r="S50" i="24" s="1"/>
  <c r="R50" i="24" s="1"/>
  <c r="P50" i="24" s="1"/>
  <c r="V50" i="24" s="1"/>
  <c r="U34" i="24"/>
  <c r="T34" i="24" s="1"/>
  <c r="S34" i="24" s="1"/>
  <c r="R34" i="24" s="1"/>
  <c r="P34" i="24" s="1"/>
  <c r="V34" i="24" s="1"/>
  <c r="U23" i="24"/>
  <c r="T23" i="24" s="1"/>
  <c r="S23" i="24" s="1"/>
  <c r="R23" i="24" s="1"/>
  <c r="P23" i="24" s="1"/>
  <c r="V23" i="24" s="1"/>
  <c r="U44" i="24"/>
  <c r="T44" i="24" s="1"/>
  <c r="S44" i="24" s="1"/>
  <c r="R44" i="24" s="1"/>
  <c r="P44" i="24" s="1"/>
  <c r="V44" i="24" s="1"/>
  <c r="U76" i="24"/>
  <c r="T76" i="24" s="1"/>
  <c r="S76" i="24" s="1"/>
  <c r="R76" i="24" s="1"/>
  <c r="P76" i="24" s="1"/>
  <c r="V76" i="24" s="1"/>
  <c r="U108" i="24"/>
  <c r="T108" i="24" s="1"/>
  <c r="S108" i="24" s="1"/>
  <c r="R108" i="24" s="1"/>
  <c r="P108" i="24" s="1"/>
  <c r="V108" i="24" s="1"/>
  <c r="U140" i="24"/>
  <c r="T140" i="24" s="1"/>
  <c r="S140" i="24" s="1"/>
  <c r="R140" i="24" s="1"/>
  <c r="P140" i="24" s="1"/>
  <c r="V140" i="24" s="1"/>
  <c r="U172" i="24"/>
  <c r="T172" i="24" s="1"/>
  <c r="S172" i="24" s="1"/>
  <c r="R172" i="24" s="1"/>
  <c r="P172" i="24" s="1"/>
  <c r="V172" i="24" s="1"/>
  <c r="U204" i="24"/>
  <c r="T204" i="24" s="1"/>
  <c r="S204" i="24" s="1"/>
  <c r="R204" i="24" s="1"/>
  <c r="P204" i="24" s="1"/>
  <c r="V204" i="24" s="1"/>
  <c r="U236" i="24"/>
  <c r="T236" i="24" s="1"/>
  <c r="S236" i="24" s="1"/>
  <c r="R236" i="24" s="1"/>
  <c r="P236" i="24" s="1"/>
  <c r="V236" i="24" s="1"/>
  <c r="U262" i="24"/>
  <c r="T262" i="24" s="1"/>
  <c r="S262" i="24" s="1"/>
  <c r="R262" i="24" s="1"/>
  <c r="P262" i="24" s="1"/>
  <c r="V262" i="24" s="1"/>
  <c r="U278" i="24"/>
  <c r="T278" i="24" s="1"/>
  <c r="S278" i="24" s="1"/>
  <c r="R278" i="24" s="1"/>
  <c r="P278" i="24" s="1"/>
  <c r="V278" i="24" s="1"/>
  <c r="U294" i="24"/>
  <c r="T294" i="24" s="1"/>
  <c r="S294" i="24" s="1"/>
  <c r="R294" i="24" s="1"/>
  <c r="P294" i="24" s="1"/>
  <c r="V294" i="24" s="1"/>
  <c r="U310" i="24"/>
  <c r="T310" i="24" s="1"/>
  <c r="S310" i="24" s="1"/>
  <c r="R310" i="24" s="1"/>
  <c r="P310" i="24" s="1"/>
  <c r="V310" i="24" s="1"/>
  <c r="U326" i="24"/>
  <c r="T326" i="24" s="1"/>
  <c r="S326" i="24" s="1"/>
  <c r="R326" i="24" s="1"/>
  <c r="P326" i="24" s="1"/>
  <c r="V326" i="24" s="1"/>
  <c r="U342" i="24"/>
  <c r="T342" i="24" s="1"/>
  <c r="S342" i="24" s="1"/>
  <c r="R342" i="24" s="1"/>
  <c r="P342" i="24" s="1"/>
  <c r="V342" i="24" s="1"/>
  <c r="U358" i="24"/>
  <c r="T358" i="24" s="1"/>
  <c r="S358" i="24" s="1"/>
  <c r="R358" i="24" s="1"/>
  <c r="P358" i="24" s="1"/>
  <c r="V358" i="24" s="1"/>
  <c r="U374" i="24"/>
  <c r="T374" i="24" s="1"/>
  <c r="S374" i="24" s="1"/>
  <c r="R374" i="24" s="1"/>
  <c r="P374" i="24" s="1"/>
  <c r="V374" i="24" s="1"/>
  <c r="U16" i="24"/>
  <c r="T16" i="24" s="1"/>
  <c r="S16" i="24" s="1"/>
  <c r="R16" i="24" s="1"/>
  <c r="P16" i="24" s="1"/>
  <c r="V16" i="24" s="1"/>
  <c r="U27" i="24"/>
  <c r="T27" i="24" s="1"/>
  <c r="S27" i="24" s="1"/>
  <c r="R27" i="24" s="1"/>
  <c r="P27" i="24" s="1"/>
  <c r="V27" i="24" s="1"/>
  <c r="U35" i="24"/>
  <c r="T35" i="24" s="1"/>
  <c r="S35" i="24" s="1"/>
  <c r="R35" i="24" s="1"/>
  <c r="P35" i="24" s="1"/>
  <c r="V35" i="24" s="1"/>
  <c r="U43" i="24"/>
  <c r="T43" i="24" s="1"/>
  <c r="S43" i="24" s="1"/>
  <c r="R43" i="24" s="1"/>
  <c r="P43" i="24" s="1"/>
  <c r="V43" i="24" s="1"/>
  <c r="U51" i="24"/>
  <c r="T51" i="24" s="1"/>
  <c r="S51" i="24" s="1"/>
  <c r="R51" i="24" s="1"/>
  <c r="P51" i="24" s="1"/>
  <c r="V51" i="24" s="1"/>
  <c r="U59" i="24"/>
  <c r="T59" i="24" s="1"/>
  <c r="S59" i="24" s="1"/>
  <c r="R59" i="24" s="1"/>
  <c r="P59" i="24" s="1"/>
  <c r="V59" i="24" s="1"/>
  <c r="U67" i="24"/>
  <c r="T67" i="24" s="1"/>
  <c r="S67" i="24" s="1"/>
  <c r="R67" i="24" s="1"/>
  <c r="P67" i="24" s="1"/>
  <c r="V67" i="24" s="1"/>
  <c r="U75" i="24"/>
  <c r="T75" i="24" s="1"/>
  <c r="S75" i="24" s="1"/>
  <c r="R75" i="24" s="1"/>
  <c r="P75" i="24" s="1"/>
  <c r="V75" i="24" s="1"/>
  <c r="U83" i="24"/>
  <c r="T83" i="24" s="1"/>
  <c r="S83" i="24" s="1"/>
  <c r="R83" i="24" s="1"/>
  <c r="P83" i="24" s="1"/>
  <c r="V83" i="24" s="1"/>
  <c r="U91" i="24"/>
  <c r="T91" i="24" s="1"/>
  <c r="S91" i="24" s="1"/>
  <c r="R91" i="24" s="1"/>
  <c r="P91" i="24" s="1"/>
  <c r="V91" i="24" s="1"/>
  <c r="U99" i="24"/>
  <c r="T99" i="24" s="1"/>
  <c r="S99" i="24" s="1"/>
  <c r="R99" i="24" s="1"/>
  <c r="P99" i="24" s="1"/>
  <c r="V99" i="24" s="1"/>
  <c r="U107" i="24"/>
  <c r="T107" i="24" s="1"/>
  <c r="S107" i="24" s="1"/>
  <c r="R107" i="24" s="1"/>
  <c r="P107" i="24" s="1"/>
  <c r="V107" i="24" s="1"/>
  <c r="U115" i="24"/>
  <c r="T115" i="24" s="1"/>
  <c r="S115" i="24" s="1"/>
  <c r="R115" i="24" s="1"/>
  <c r="P115" i="24" s="1"/>
  <c r="V115" i="24" s="1"/>
  <c r="U123" i="24"/>
  <c r="T123" i="24" s="1"/>
  <c r="S123" i="24" s="1"/>
  <c r="R123" i="24" s="1"/>
  <c r="P123" i="24" s="1"/>
  <c r="V123" i="24" s="1"/>
  <c r="U131" i="24"/>
  <c r="T131" i="24" s="1"/>
  <c r="S131" i="24" s="1"/>
  <c r="R131" i="24" s="1"/>
  <c r="P131" i="24" s="1"/>
  <c r="V131" i="24" s="1"/>
  <c r="U139" i="24"/>
  <c r="T139" i="24" s="1"/>
  <c r="S139" i="24" s="1"/>
  <c r="R139" i="24" s="1"/>
  <c r="P139" i="24" s="1"/>
  <c r="V139" i="24" s="1"/>
  <c r="U147" i="24"/>
  <c r="T147" i="24" s="1"/>
  <c r="S147" i="24" s="1"/>
  <c r="R147" i="24" s="1"/>
  <c r="P147" i="24" s="1"/>
  <c r="V147" i="24" s="1"/>
  <c r="U155" i="24"/>
  <c r="T155" i="24" s="1"/>
  <c r="S155" i="24" s="1"/>
  <c r="R155" i="24" s="1"/>
  <c r="P155" i="24" s="1"/>
  <c r="V155" i="24" s="1"/>
  <c r="U163" i="24"/>
  <c r="T163" i="24" s="1"/>
  <c r="S163" i="24" s="1"/>
  <c r="R163" i="24" s="1"/>
  <c r="P163" i="24" s="1"/>
  <c r="V163" i="24" s="1"/>
  <c r="U171" i="24"/>
  <c r="T171" i="24" s="1"/>
  <c r="S171" i="24" s="1"/>
  <c r="R171" i="24" s="1"/>
  <c r="P171" i="24" s="1"/>
  <c r="V171" i="24" s="1"/>
  <c r="U179" i="24"/>
  <c r="T179" i="24" s="1"/>
  <c r="S179" i="24" s="1"/>
  <c r="R179" i="24" s="1"/>
  <c r="P179" i="24" s="1"/>
  <c r="V179" i="24" s="1"/>
  <c r="U187" i="24"/>
  <c r="T187" i="24" s="1"/>
  <c r="S187" i="24" s="1"/>
  <c r="R187" i="24" s="1"/>
  <c r="P187" i="24" s="1"/>
  <c r="V187" i="24" s="1"/>
  <c r="U203" i="24"/>
  <c r="T203" i="24" s="1"/>
  <c r="S203" i="24" s="1"/>
  <c r="R203" i="24" s="1"/>
  <c r="P203" i="24" s="1"/>
  <c r="V203" i="24" s="1"/>
  <c r="U219" i="24"/>
  <c r="T219" i="24" s="1"/>
  <c r="S219" i="24" s="1"/>
  <c r="R219" i="24" s="1"/>
  <c r="P219" i="24" s="1"/>
  <c r="V219" i="24" s="1"/>
  <c r="U235" i="24"/>
  <c r="T235" i="24" s="1"/>
  <c r="S235" i="24" s="1"/>
  <c r="R235" i="24" s="1"/>
  <c r="P235" i="24" s="1"/>
  <c r="V235" i="24" s="1"/>
  <c r="U251" i="24"/>
  <c r="T251" i="24" s="1"/>
  <c r="S251" i="24" s="1"/>
  <c r="R251" i="24" s="1"/>
  <c r="P251" i="24" s="1"/>
  <c r="V251" i="24" s="1"/>
  <c r="U267" i="24"/>
  <c r="T267" i="24" s="1"/>
  <c r="S267" i="24" s="1"/>
  <c r="R267" i="24" s="1"/>
  <c r="P267" i="24" s="1"/>
  <c r="V267" i="24" s="1"/>
  <c r="U283" i="24"/>
  <c r="T283" i="24" s="1"/>
  <c r="S283" i="24" s="1"/>
  <c r="R283" i="24" s="1"/>
  <c r="P283" i="24" s="1"/>
  <c r="V283" i="24" s="1"/>
  <c r="U299" i="24"/>
  <c r="T299" i="24" s="1"/>
  <c r="S299" i="24" s="1"/>
  <c r="R299" i="24" s="1"/>
  <c r="P299" i="24" s="1"/>
  <c r="V299" i="24" s="1"/>
  <c r="U315" i="24"/>
  <c r="T315" i="24" s="1"/>
  <c r="S315" i="24" s="1"/>
  <c r="R315" i="24" s="1"/>
  <c r="P315" i="24" s="1"/>
  <c r="V315" i="24" s="1"/>
  <c r="U331" i="24"/>
  <c r="T331" i="24" s="1"/>
  <c r="S331" i="24" s="1"/>
  <c r="R331" i="24" s="1"/>
  <c r="P331" i="24" s="1"/>
  <c r="V331" i="24" s="1"/>
  <c r="U347" i="24"/>
  <c r="T347" i="24" s="1"/>
  <c r="S347" i="24" s="1"/>
  <c r="R347" i="24" s="1"/>
  <c r="P347" i="24" s="1"/>
  <c r="V347" i="24" s="1"/>
  <c r="U363" i="24"/>
  <c r="T363" i="24" s="1"/>
  <c r="S363" i="24" s="1"/>
  <c r="R363" i="24" s="1"/>
  <c r="P363" i="24" s="1"/>
  <c r="V363" i="24" s="1"/>
  <c r="U379" i="24"/>
  <c r="U12" i="25" s="1"/>
  <c r="U230" i="24"/>
  <c r="T230" i="24" s="1"/>
  <c r="S230" i="24" s="1"/>
  <c r="R230" i="24" s="1"/>
  <c r="P230" i="24" s="1"/>
  <c r="V230" i="24" s="1"/>
  <c r="U198" i="24"/>
  <c r="T198" i="24" s="1"/>
  <c r="S198" i="24" s="1"/>
  <c r="R198" i="24" s="1"/>
  <c r="P198" i="24" s="1"/>
  <c r="V198" i="24" s="1"/>
  <c r="U166" i="24"/>
  <c r="T166" i="24" s="1"/>
  <c r="S166" i="24" s="1"/>
  <c r="R166" i="24" s="1"/>
  <c r="P166" i="24" s="1"/>
  <c r="V166" i="24" s="1"/>
  <c r="U134" i="24"/>
  <c r="T134" i="24" s="1"/>
  <c r="S134" i="24" s="1"/>
  <c r="R134" i="24" s="1"/>
  <c r="P134" i="24" s="1"/>
  <c r="V134" i="24" s="1"/>
  <c r="U102" i="24"/>
  <c r="T102" i="24" s="1"/>
  <c r="S102" i="24" s="1"/>
  <c r="R102" i="24" s="1"/>
  <c r="P102" i="24" s="1"/>
  <c r="V102" i="24" s="1"/>
  <c r="U70" i="24"/>
  <c r="T70" i="24" s="1"/>
  <c r="S70" i="24" s="1"/>
  <c r="R70" i="24" s="1"/>
  <c r="P70" i="24" s="1"/>
  <c r="V70" i="24" s="1"/>
  <c r="U38" i="24"/>
  <c r="T38" i="24" s="1"/>
  <c r="S38" i="24" s="1"/>
  <c r="R38" i="24" s="1"/>
  <c r="P38" i="24" s="1"/>
  <c r="V38" i="24" s="1"/>
  <c r="U15" i="24"/>
  <c r="T15" i="24" s="1"/>
  <c r="U84" i="24"/>
  <c r="T84" i="24" s="1"/>
  <c r="S84" i="24" s="1"/>
  <c r="R84" i="24" s="1"/>
  <c r="P84" i="24" s="1"/>
  <c r="V84" i="24" s="1"/>
  <c r="U148" i="24"/>
  <c r="T148" i="24" s="1"/>
  <c r="S148" i="24" s="1"/>
  <c r="R148" i="24" s="1"/>
  <c r="P148" i="24" s="1"/>
  <c r="V148" i="24" s="1"/>
  <c r="U212" i="24"/>
  <c r="T212" i="24" s="1"/>
  <c r="S212" i="24" s="1"/>
  <c r="R212" i="24" s="1"/>
  <c r="P212" i="24" s="1"/>
  <c r="V212" i="24" s="1"/>
  <c r="U266" i="24"/>
  <c r="T266" i="24" s="1"/>
  <c r="S266" i="24" s="1"/>
  <c r="R266" i="24" s="1"/>
  <c r="P266" i="24" s="1"/>
  <c r="V266" i="24" s="1"/>
  <c r="U298" i="24"/>
  <c r="T298" i="24" s="1"/>
  <c r="S298" i="24" s="1"/>
  <c r="R298" i="24" s="1"/>
  <c r="P298" i="24" s="1"/>
  <c r="V298" i="24" s="1"/>
  <c r="U330" i="24"/>
  <c r="T330" i="24" s="1"/>
  <c r="S330" i="24" s="1"/>
  <c r="R330" i="24" s="1"/>
  <c r="P330" i="24" s="1"/>
  <c r="V330" i="24" s="1"/>
  <c r="U362" i="24"/>
  <c r="T362" i="24" s="1"/>
  <c r="S362" i="24" s="1"/>
  <c r="R362" i="24" s="1"/>
  <c r="P362" i="24" s="1"/>
  <c r="V362" i="24" s="1"/>
  <c r="U368" i="24"/>
  <c r="T368" i="24" s="1"/>
  <c r="S368" i="24" s="1"/>
  <c r="R368" i="24" s="1"/>
  <c r="P368" i="24" s="1"/>
  <c r="V368" i="24" s="1"/>
  <c r="U336" i="24"/>
  <c r="T336" i="24" s="1"/>
  <c r="S336" i="24" s="1"/>
  <c r="R336" i="24" s="1"/>
  <c r="P336" i="24" s="1"/>
  <c r="V336" i="24" s="1"/>
  <c r="U304" i="24"/>
  <c r="T304" i="24" s="1"/>
  <c r="S304" i="24" s="1"/>
  <c r="R304" i="24" s="1"/>
  <c r="P304" i="24" s="1"/>
  <c r="V304" i="24" s="1"/>
  <c r="U272" i="24"/>
  <c r="T272" i="24" s="1"/>
  <c r="S272" i="24" s="1"/>
  <c r="R272" i="24" s="1"/>
  <c r="P272" i="24" s="1"/>
  <c r="V272" i="24" s="1"/>
  <c r="U224" i="24"/>
  <c r="T224" i="24" s="1"/>
  <c r="S224" i="24" s="1"/>
  <c r="R224" i="24" s="1"/>
  <c r="P224" i="24" s="1"/>
  <c r="V224" i="24" s="1"/>
  <c r="U160" i="24"/>
  <c r="T160" i="24" s="1"/>
  <c r="S160" i="24" s="1"/>
  <c r="R160" i="24" s="1"/>
  <c r="P160" i="24" s="1"/>
  <c r="V160" i="24" s="1"/>
  <c r="U96" i="24"/>
  <c r="T96" i="24" s="1"/>
  <c r="S96" i="24" s="1"/>
  <c r="R96" i="24" s="1"/>
  <c r="P96" i="24" s="1"/>
  <c r="V96" i="24" s="1"/>
  <c r="U32" i="24"/>
  <c r="T32" i="24" s="1"/>
  <c r="S32" i="24" s="1"/>
  <c r="R32" i="24" s="1"/>
  <c r="P32" i="24" s="1"/>
  <c r="V32" i="24" s="1"/>
  <c r="U372" i="24"/>
  <c r="T372" i="24" s="1"/>
  <c r="S372" i="24" s="1"/>
  <c r="R372" i="24" s="1"/>
  <c r="P372" i="24" s="1"/>
  <c r="V372" i="24" s="1"/>
  <c r="U340" i="24"/>
  <c r="T340" i="24" s="1"/>
  <c r="S340" i="24" s="1"/>
  <c r="R340" i="24" s="1"/>
  <c r="P340" i="24" s="1"/>
  <c r="V340" i="24" s="1"/>
  <c r="U308" i="24"/>
  <c r="T308" i="24" s="1"/>
  <c r="S308" i="24" s="1"/>
  <c r="R308" i="24" s="1"/>
  <c r="P308" i="24" s="1"/>
  <c r="V308" i="24" s="1"/>
  <c r="U276" i="24"/>
  <c r="T276" i="24" s="1"/>
  <c r="S276" i="24" s="1"/>
  <c r="R276" i="24" s="1"/>
  <c r="P276" i="24" s="1"/>
  <c r="V276" i="24" s="1"/>
  <c r="U232" i="24"/>
  <c r="T232" i="24" s="1"/>
  <c r="S232" i="24" s="1"/>
  <c r="R232" i="24" s="1"/>
  <c r="P232" i="24" s="1"/>
  <c r="V232" i="24" s="1"/>
  <c r="U168" i="24"/>
  <c r="T168" i="24" s="1"/>
  <c r="S168" i="24" s="1"/>
  <c r="R168" i="24" s="1"/>
  <c r="P168" i="24" s="1"/>
  <c r="V168" i="24" s="1"/>
  <c r="U104" i="24"/>
  <c r="T104" i="24" s="1"/>
  <c r="S104" i="24" s="1"/>
  <c r="R104" i="24" s="1"/>
  <c r="P104" i="24" s="1"/>
  <c r="V104" i="24" s="1"/>
  <c r="U40" i="24"/>
  <c r="T40" i="24" s="1"/>
  <c r="S40" i="24" s="1"/>
  <c r="R40" i="24" s="1"/>
  <c r="P40" i="24" s="1"/>
  <c r="V40" i="24" s="1"/>
  <c r="AH381" i="23"/>
  <c r="AH383" i="23"/>
  <c r="AG104" i="23"/>
  <c r="AH382" i="23"/>
  <c r="AD382" i="22"/>
  <c r="AD381" i="22"/>
  <c r="AD383" i="22"/>
  <c r="V241" i="24"/>
  <c r="AH61" i="7"/>
  <c r="P383" i="22"/>
  <c r="V15" i="22"/>
  <c r="P381" i="22"/>
  <c r="P382" i="22"/>
  <c r="S382" i="23"/>
  <c r="S381" i="23"/>
  <c r="S383" i="23"/>
  <c r="R15" i="23"/>
  <c r="AI15" i="24"/>
  <c r="AI79" i="24"/>
  <c r="AH79" i="24" s="1"/>
  <c r="AG79" i="24" s="1"/>
  <c r="AF79" i="24" s="1"/>
  <c r="AD79" i="24" s="1"/>
  <c r="AI175" i="24"/>
  <c r="AH175" i="24" s="1"/>
  <c r="AG175" i="24" s="1"/>
  <c r="AF175" i="24" s="1"/>
  <c r="AD175" i="24" s="1"/>
  <c r="AI319" i="24"/>
  <c r="AH319" i="24" s="1"/>
  <c r="AG319" i="24" s="1"/>
  <c r="AF319" i="24" s="1"/>
  <c r="AD319" i="24" s="1"/>
  <c r="AI191" i="24"/>
  <c r="AH191" i="24" s="1"/>
  <c r="AG191" i="24" s="1"/>
  <c r="AF191" i="24" s="1"/>
  <c r="AD191" i="24" s="1"/>
  <c r="AI95" i="24"/>
  <c r="AH95" i="24" s="1"/>
  <c r="AG95" i="24" s="1"/>
  <c r="AF95" i="24" s="1"/>
  <c r="AD95" i="24" s="1"/>
  <c r="AI18" i="24"/>
  <c r="AH18" i="24" s="1"/>
  <c r="AG18" i="24" s="1"/>
  <c r="AF18" i="24" s="1"/>
  <c r="AD18" i="24" s="1"/>
  <c r="AI39" i="24"/>
  <c r="AH39" i="24" s="1"/>
  <c r="AG39" i="24" s="1"/>
  <c r="AF39" i="24" s="1"/>
  <c r="AD39" i="24" s="1"/>
  <c r="AI71" i="24"/>
  <c r="AH71" i="24" s="1"/>
  <c r="AG71" i="24" s="1"/>
  <c r="AF71" i="24" s="1"/>
  <c r="AD71" i="24" s="1"/>
  <c r="AI103" i="24"/>
  <c r="AH103" i="24" s="1"/>
  <c r="AG103" i="24" s="1"/>
  <c r="AF103" i="24" s="1"/>
  <c r="AD103" i="24" s="1"/>
  <c r="AI151" i="24"/>
  <c r="AH151" i="24" s="1"/>
  <c r="AG151" i="24" s="1"/>
  <c r="AF151" i="24" s="1"/>
  <c r="AD151" i="24" s="1"/>
  <c r="AI215" i="24"/>
  <c r="AH215" i="24" s="1"/>
  <c r="AG215" i="24" s="1"/>
  <c r="AF215" i="24" s="1"/>
  <c r="AD215" i="24" s="1"/>
  <c r="AI279" i="24"/>
  <c r="AH279" i="24" s="1"/>
  <c r="AG279" i="24" s="1"/>
  <c r="AF279" i="24" s="1"/>
  <c r="AD279" i="24" s="1"/>
  <c r="AI343" i="24"/>
  <c r="AH343" i="24" s="1"/>
  <c r="AG343" i="24" s="1"/>
  <c r="AF343" i="24" s="1"/>
  <c r="AD343" i="24" s="1"/>
  <c r="AI367" i="24"/>
  <c r="AH367" i="24" s="1"/>
  <c r="AG367" i="24" s="1"/>
  <c r="AF367" i="24" s="1"/>
  <c r="AD367" i="24" s="1"/>
  <c r="AI347" i="24"/>
  <c r="AH347" i="24" s="1"/>
  <c r="AG347" i="24" s="1"/>
  <c r="AF347" i="24" s="1"/>
  <c r="AD347" i="24" s="1"/>
  <c r="AI315" i="24"/>
  <c r="AH315" i="24" s="1"/>
  <c r="AG315" i="24" s="1"/>
  <c r="AF315" i="24" s="1"/>
  <c r="AD315" i="24" s="1"/>
  <c r="AI283" i="24"/>
  <c r="AH283" i="24" s="1"/>
  <c r="AG283" i="24" s="1"/>
  <c r="AF283" i="24" s="1"/>
  <c r="AD283" i="24" s="1"/>
  <c r="AI251" i="24"/>
  <c r="AH251" i="24" s="1"/>
  <c r="AG251" i="24" s="1"/>
  <c r="AF251" i="24" s="1"/>
  <c r="AD251" i="24" s="1"/>
  <c r="AI219" i="24"/>
  <c r="AH219" i="24" s="1"/>
  <c r="AG219" i="24" s="1"/>
  <c r="AF219" i="24" s="1"/>
  <c r="AD219" i="24" s="1"/>
  <c r="AI187" i="24"/>
  <c r="AH187" i="24" s="1"/>
  <c r="AG187" i="24" s="1"/>
  <c r="AF187" i="24" s="1"/>
  <c r="AD187" i="24" s="1"/>
  <c r="AI155" i="24"/>
  <c r="AH155" i="24" s="1"/>
  <c r="AG155" i="24" s="1"/>
  <c r="AF155" i="24" s="1"/>
  <c r="AD155" i="24" s="1"/>
  <c r="AI123" i="24"/>
  <c r="AH123" i="24" s="1"/>
  <c r="AG123" i="24" s="1"/>
  <c r="AF123" i="24" s="1"/>
  <c r="AD123" i="24" s="1"/>
  <c r="AI99" i="24"/>
  <c r="AH99" i="24" s="1"/>
  <c r="AG99" i="24" s="1"/>
  <c r="AF99" i="24" s="1"/>
  <c r="AD99" i="24" s="1"/>
  <c r="AI83" i="24"/>
  <c r="AH83" i="24" s="1"/>
  <c r="AG83" i="24" s="1"/>
  <c r="AF83" i="24" s="1"/>
  <c r="AD83" i="24" s="1"/>
  <c r="AI67" i="24"/>
  <c r="AH67" i="24" s="1"/>
  <c r="AG67" i="24" s="1"/>
  <c r="AF67" i="24" s="1"/>
  <c r="AD67" i="24" s="1"/>
  <c r="AI51" i="24"/>
  <c r="AH51" i="24" s="1"/>
  <c r="AG51" i="24" s="1"/>
  <c r="AF51" i="24" s="1"/>
  <c r="AD51" i="24" s="1"/>
  <c r="AI35" i="24"/>
  <c r="AH35" i="24" s="1"/>
  <c r="AG35" i="24" s="1"/>
  <c r="AF35" i="24" s="1"/>
  <c r="AD35" i="24" s="1"/>
  <c r="AI22" i="24"/>
  <c r="AH22" i="24" s="1"/>
  <c r="AG22" i="24" s="1"/>
  <c r="AF22" i="24" s="1"/>
  <c r="AD22" i="24" s="1"/>
  <c r="AI20" i="24"/>
  <c r="AH20" i="24" s="1"/>
  <c r="AG20" i="24" s="1"/>
  <c r="AF20" i="24" s="1"/>
  <c r="AD20" i="24" s="1"/>
  <c r="AI26" i="24"/>
  <c r="AH26" i="24" s="1"/>
  <c r="AG26" i="24" s="1"/>
  <c r="AF26" i="24" s="1"/>
  <c r="AD26" i="24" s="1"/>
  <c r="AI30" i="24"/>
  <c r="AH30" i="24" s="1"/>
  <c r="AG30" i="24" s="1"/>
  <c r="AF30" i="24" s="1"/>
  <c r="AD30" i="24" s="1"/>
  <c r="AI34" i="24"/>
  <c r="AH34" i="24" s="1"/>
  <c r="AG34" i="24" s="1"/>
  <c r="AF34" i="24" s="1"/>
  <c r="AD34" i="24" s="1"/>
  <c r="AI38" i="24"/>
  <c r="AH38" i="24" s="1"/>
  <c r="AG38" i="24" s="1"/>
  <c r="AF38" i="24" s="1"/>
  <c r="AD38" i="24" s="1"/>
  <c r="AI42" i="24"/>
  <c r="AH42" i="24" s="1"/>
  <c r="AG42" i="24" s="1"/>
  <c r="AF42" i="24" s="1"/>
  <c r="AD42" i="24" s="1"/>
  <c r="AI46" i="24"/>
  <c r="AH46" i="24" s="1"/>
  <c r="AG46" i="24" s="1"/>
  <c r="AF46" i="24" s="1"/>
  <c r="AD46" i="24" s="1"/>
  <c r="AI50" i="24"/>
  <c r="AH50" i="24" s="1"/>
  <c r="AG50" i="24" s="1"/>
  <c r="AF50" i="24" s="1"/>
  <c r="AD50" i="24" s="1"/>
  <c r="AI54" i="24"/>
  <c r="AH54" i="24" s="1"/>
  <c r="AG54" i="24" s="1"/>
  <c r="AF54" i="24" s="1"/>
  <c r="AD54" i="24" s="1"/>
  <c r="AI58" i="24"/>
  <c r="AH58" i="24" s="1"/>
  <c r="AG58" i="24" s="1"/>
  <c r="AF58" i="24" s="1"/>
  <c r="AD58" i="24" s="1"/>
  <c r="AI62" i="24"/>
  <c r="AH62" i="24" s="1"/>
  <c r="AG62" i="24" s="1"/>
  <c r="AF62" i="24" s="1"/>
  <c r="AD62" i="24" s="1"/>
  <c r="AI66" i="24"/>
  <c r="AH66" i="24" s="1"/>
  <c r="AG66" i="24" s="1"/>
  <c r="AF66" i="24" s="1"/>
  <c r="AD66" i="24" s="1"/>
  <c r="AI70" i="24"/>
  <c r="AH70" i="24" s="1"/>
  <c r="AG70" i="24" s="1"/>
  <c r="AF70" i="24" s="1"/>
  <c r="AD70" i="24" s="1"/>
  <c r="AI74" i="24"/>
  <c r="AH74" i="24" s="1"/>
  <c r="AG74" i="24" s="1"/>
  <c r="AF74" i="24" s="1"/>
  <c r="AD74" i="24" s="1"/>
  <c r="AI78" i="24"/>
  <c r="AH78" i="24" s="1"/>
  <c r="AG78" i="24" s="1"/>
  <c r="AF78" i="24" s="1"/>
  <c r="AD78" i="24" s="1"/>
  <c r="AI82" i="24"/>
  <c r="AH82" i="24" s="1"/>
  <c r="AG82" i="24" s="1"/>
  <c r="AF82" i="24" s="1"/>
  <c r="AD82" i="24" s="1"/>
  <c r="AI86" i="24"/>
  <c r="AH86" i="24" s="1"/>
  <c r="AG86" i="24" s="1"/>
  <c r="AF86" i="24" s="1"/>
  <c r="AD86" i="24" s="1"/>
  <c r="AI90" i="24"/>
  <c r="AH90" i="24" s="1"/>
  <c r="AG90" i="24" s="1"/>
  <c r="AF90" i="24" s="1"/>
  <c r="AD90" i="24" s="1"/>
  <c r="AI94" i="24"/>
  <c r="AH94" i="24" s="1"/>
  <c r="AG94" i="24" s="1"/>
  <c r="AF94" i="24" s="1"/>
  <c r="AD94" i="24" s="1"/>
  <c r="AI98" i="24"/>
  <c r="AH98" i="24" s="1"/>
  <c r="AG98" i="24" s="1"/>
  <c r="AF98" i="24" s="1"/>
  <c r="AD98" i="24" s="1"/>
  <c r="AI102" i="24"/>
  <c r="AH102" i="24" s="1"/>
  <c r="AG102" i="24" s="1"/>
  <c r="AF102" i="24" s="1"/>
  <c r="AD102" i="24" s="1"/>
  <c r="AI106" i="24"/>
  <c r="AH106" i="24" s="1"/>
  <c r="AG106" i="24" s="1"/>
  <c r="AF106" i="24" s="1"/>
  <c r="AD106" i="24" s="1"/>
  <c r="AI110" i="24"/>
  <c r="AH110" i="24" s="1"/>
  <c r="AG110" i="24" s="1"/>
  <c r="AF110" i="24" s="1"/>
  <c r="AD110" i="24" s="1"/>
  <c r="AI114" i="24"/>
  <c r="AH114" i="24" s="1"/>
  <c r="AG114" i="24" s="1"/>
  <c r="AF114" i="24" s="1"/>
  <c r="AD114" i="24" s="1"/>
  <c r="AI118" i="24"/>
  <c r="AH118" i="24" s="1"/>
  <c r="AG118" i="24" s="1"/>
  <c r="AF118" i="24" s="1"/>
  <c r="AD118" i="24" s="1"/>
  <c r="AI122" i="24"/>
  <c r="AH122" i="24" s="1"/>
  <c r="AG122" i="24" s="1"/>
  <c r="AF122" i="24" s="1"/>
  <c r="AD122" i="24" s="1"/>
  <c r="AI126" i="24"/>
  <c r="AH126" i="24" s="1"/>
  <c r="AG126" i="24" s="1"/>
  <c r="AF126" i="24" s="1"/>
  <c r="AD126" i="24" s="1"/>
  <c r="AI130" i="24"/>
  <c r="AH130" i="24" s="1"/>
  <c r="AG130" i="24" s="1"/>
  <c r="AF130" i="24" s="1"/>
  <c r="AD130" i="24" s="1"/>
  <c r="AI134" i="24"/>
  <c r="AH134" i="24" s="1"/>
  <c r="AG134" i="24" s="1"/>
  <c r="AF134" i="24" s="1"/>
  <c r="AD134" i="24" s="1"/>
  <c r="AI138" i="24"/>
  <c r="AH138" i="24" s="1"/>
  <c r="AG138" i="24" s="1"/>
  <c r="AF138" i="24" s="1"/>
  <c r="AD138" i="24" s="1"/>
  <c r="AI142" i="24"/>
  <c r="AH142" i="24" s="1"/>
  <c r="AG142" i="24" s="1"/>
  <c r="AF142" i="24" s="1"/>
  <c r="AD142" i="24" s="1"/>
  <c r="AI146" i="24"/>
  <c r="AH146" i="24" s="1"/>
  <c r="AG146" i="24" s="1"/>
  <c r="AF146" i="24" s="1"/>
  <c r="AD146" i="24" s="1"/>
  <c r="AI150" i="24"/>
  <c r="AH150" i="24" s="1"/>
  <c r="AG150" i="24" s="1"/>
  <c r="AF150" i="24" s="1"/>
  <c r="AD150" i="24" s="1"/>
  <c r="AI154" i="24"/>
  <c r="AH154" i="24" s="1"/>
  <c r="AG154" i="24" s="1"/>
  <c r="AF154" i="24" s="1"/>
  <c r="AD154" i="24" s="1"/>
  <c r="AI158" i="24"/>
  <c r="AH158" i="24" s="1"/>
  <c r="AG158" i="24" s="1"/>
  <c r="AF158" i="24" s="1"/>
  <c r="AD158" i="24" s="1"/>
  <c r="AI162" i="24"/>
  <c r="AH162" i="24" s="1"/>
  <c r="AG162" i="24" s="1"/>
  <c r="AF162" i="24" s="1"/>
  <c r="AD162" i="24" s="1"/>
  <c r="AI166" i="24"/>
  <c r="AH166" i="24" s="1"/>
  <c r="AG166" i="24" s="1"/>
  <c r="AF166" i="24" s="1"/>
  <c r="AD166" i="24" s="1"/>
  <c r="AI170" i="24"/>
  <c r="AH170" i="24" s="1"/>
  <c r="AG170" i="24" s="1"/>
  <c r="AF170" i="24" s="1"/>
  <c r="AD170" i="24" s="1"/>
  <c r="AI174" i="24"/>
  <c r="AH174" i="24" s="1"/>
  <c r="AG174" i="24" s="1"/>
  <c r="AF174" i="24" s="1"/>
  <c r="AD174" i="24" s="1"/>
  <c r="AI178" i="24"/>
  <c r="AH178" i="24" s="1"/>
  <c r="AG178" i="24" s="1"/>
  <c r="AF178" i="24" s="1"/>
  <c r="AD178" i="24" s="1"/>
  <c r="AI182" i="24"/>
  <c r="AH182" i="24" s="1"/>
  <c r="AG182" i="24" s="1"/>
  <c r="AF182" i="24" s="1"/>
  <c r="AD182" i="24" s="1"/>
  <c r="AI186" i="24"/>
  <c r="AH186" i="24" s="1"/>
  <c r="AG186" i="24" s="1"/>
  <c r="AF186" i="24" s="1"/>
  <c r="AD186" i="24" s="1"/>
  <c r="AI190" i="24"/>
  <c r="AH190" i="24" s="1"/>
  <c r="AG190" i="24" s="1"/>
  <c r="AF190" i="24" s="1"/>
  <c r="AD190" i="24" s="1"/>
  <c r="AI194" i="24"/>
  <c r="AH194" i="24" s="1"/>
  <c r="AG194" i="24" s="1"/>
  <c r="AF194" i="24" s="1"/>
  <c r="AD194" i="24" s="1"/>
  <c r="AI198" i="24"/>
  <c r="AH198" i="24" s="1"/>
  <c r="AG198" i="24" s="1"/>
  <c r="AF198" i="24" s="1"/>
  <c r="AD198" i="24" s="1"/>
  <c r="AI202" i="24"/>
  <c r="AH202" i="24" s="1"/>
  <c r="AG202" i="24" s="1"/>
  <c r="AF202" i="24" s="1"/>
  <c r="AD202" i="24" s="1"/>
  <c r="AI206" i="24"/>
  <c r="AH206" i="24" s="1"/>
  <c r="AG206" i="24" s="1"/>
  <c r="AF206" i="24" s="1"/>
  <c r="AD206" i="24" s="1"/>
  <c r="AI210" i="24"/>
  <c r="AH210" i="24" s="1"/>
  <c r="AG210" i="24" s="1"/>
  <c r="AF210" i="24" s="1"/>
  <c r="AD210" i="24" s="1"/>
  <c r="AI214" i="24"/>
  <c r="AH214" i="24" s="1"/>
  <c r="AG214" i="24" s="1"/>
  <c r="AF214" i="24" s="1"/>
  <c r="AD214" i="24" s="1"/>
  <c r="AI218" i="24"/>
  <c r="AH218" i="24" s="1"/>
  <c r="AG218" i="24" s="1"/>
  <c r="AF218" i="24" s="1"/>
  <c r="AD218" i="24" s="1"/>
  <c r="AI222" i="24"/>
  <c r="AH222" i="24" s="1"/>
  <c r="AG222" i="24" s="1"/>
  <c r="AF222" i="24" s="1"/>
  <c r="AD222" i="24" s="1"/>
  <c r="AI226" i="24"/>
  <c r="AH226" i="24" s="1"/>
  <c r="AG226" i="24" s="1"/>
  <c r="AF226" i="24" s="1"/>
  <c r="AD226" i="24" s="1"/>
  <c r="AI230" i="24"/>
  <c r="AH230" i="24" s="1"/>
  <c r="AG230" i="24" s="1"/>
  <c r="AF230" i="24" s="1"/>
  <c r="AD230" i="24" s="1"/>
  <c r="AI234" i="24"/>
  <c r="AH234" i="24" s="1"/>
  <c r="AG234" i="24" s="1"/>
  <c r="AF234" i="24" s="1"/>
  <c r="AD234" i="24" s="1"/>
  <c r="AI238" i="24"/>
  <c r="AH238" i="24" s="1"/>
  <c r="AG238" i="24" s="1"/>
  <c r="AF238" i="24" s="1"/>
  <c r="AD238" i="24" s="1"/>
  <c r="AI242" i="24"/>
  <c r="AH242" i="24" s="1"/>
  <c r="AG242" i="24" s="1"/>
  <c r="AF242" i="24" s="1"/>
  <c r="AD242" i="24" s="1"/>
  <c r="AI246" i="24"/>
  <c r="AH246" i="24" s="1"/>
  <c r="AG246" i="24" s="1"/>
  <c r="AF246" i="24" s="1"/>
  <c r="AD246" i="24" s="1"/>
  <c r="AI250" i="24"/>
  <c r="AH250" i="24" s="1"/>
  <c r="AG250" i="24" s="1"/>
  <c r="AF250" i="24" s="1"/>
  <c r="AD250" i="24" s="1"/>
  <c r="AI254" i="24"/>
  <c r="AH254" i="24" s="1"/>
  <c r="AG254" i="24" s="1"/>
  <c r="AF254" i="24" s="1"/>
  <c r="AD254" i="24" s="1"/>
  <c r="AI258" i="24"/>
  <c r="AH258" i="24" s="1"/>
  <c r="AG258" i="24" s="1"/>
  <c r="AF258" i="24" s="1"/>
  <c r="AD258" i="24" s="1"/>
  <c r="AI262" i="24"/>
  <c r="AH262" i="24" s="1"/>
  <c r="AG262" i="24" s="1"/>
  <c r="AF262" i="24" s="1"/>
  <c r="AD262" i="24" s="1"/>
  <c r="AI266" i="24"/>
  <c r="AH266" i="24" s="1"/>
  <c r="AG266" i="24" s="1"/>
  <c r="AF266" i="24" s="1"/>
  <c r="AD266" i="24" s="1"/>
  <c r="AI270" i="24"/>
  <c r="AH270" i="24" s="1"/>
  <c r="AG270" i="24" s="1"/>
  <c r="AF270" i="24" s="1"/>
  <c r="AD270" i="24" s="1"/>
  <c r="AI274" i="24"/>
  <c r="AH274" i="24" s="1"/>
  <c r="AG274" i="24" s="1"/>
  <c r="AF274" i="24" s="1"/>
  <c r="AD274" i="24" s="1"/>
  <c r="AI278" i="24"/>
  <c r="AH278" i="24" s="1"/>
  <c r="AG278" i="24" s="1"/>
  <c r="AF278" i="24" s="1"/>
  <c r="AD278" i="24" s="1"/>
  <c r="AI282" i="24"/>
  <c r="AH282" i="24" s="1"/>
  <c r="AG282" i="24" s="1"/>
  <c r="AF282" i="24" s="1"/>
  <c r="AD282" i="24" s="1"/>
  <c r="AI286" i="24"/>
  <c r="AH286" i="24" s="1"/>
  <c r="AG286" i="24" s="1"/>
  <c r="AF286" i="24" s="1"/>
  <c r="AD286" i="24" s="1"/>
  <c r="AI290" i="24"/>
  <c r="AH290" i="24" s="1"/>
  <c r="AG290" i="24" s="1"/>
  <c r="AF290" i="24" s="1"/>
  <c r="AD290" i="24" s="1"/>
  <c r="AI294" i="24"/>
  <c r="AH294" i="24" s="1"/>
  <c r="AG294" i="24" s="1"/>
  <c r="AF294" i="24" s="1"/>
  <c r="AD294" i="24" s="1"/>
  <c r="AI298" i="24"/>
  <c r="AH298" i="24" s="1"/>
  <c r="AG298" i="24" s="1"/>
  <c r="AF298" i="24" s="1"/>
  <c r="AD298" i="24" s="1"/>
  <c r="AI302" i="24"/>
  <c r="AH302" i="24" s="1"/>
  <c r="AG302" i="24" s="1"/>
  <c r="AF302" i="24" s="1"/>
  <c r="AD302" i="24" s="1"/>
  <c r="AI306" i="24"/>
  <c r="AH306" i="24" s="1"/>
  <c r="AG306" i="24" s="1"/>
  <c r="AF306" i="24" s="1"/>
  <c r="AD306" i="24" s="1"/>
  <c r="AI310" i="24"/>
  <c r="AH310" i="24" s="1"/>
  <c r="AG310" i="24" s="1"/>
  <c r="AF310" i="24" s="1"/>
  <c r="AD310" i="24" s="1"/>
  <c r="AI314" i="24"/>
  <c r="AH314" i="24" s="1"/>
  <c r="AG314" i="24" s="1"/>
  <c r="AF314" i="24" s="1"/>
  <c r="AD314" i="24" s="1"/>
  <c r="AI318" i="24"/>
  <c r="AH318" i="24" s="1"/>
  <c r="AG318" i="24" s="1"/>
  <c r="AF318" i="24" s="1"/>
  <c r="AD318" i="24" s="1"/>
  <c r="AI322" i="24"/>
  <c r="AH322" i="24" s="1"/>
  <c r="AG322" i="24" s="1"/>
  <c r="AF322" i="24" s="1"/>
  <c r="AD322" i="24" s="1"/>
  <c r="AI326" i="24"/>
  <c r="AH326" i="24" s="1"/>
  <c r="AG326" i="24" s="1"/>
  <c r="AF326" i="24" s="1"/>
  <c r="AD326" i="24" s="1"/>
  <c r="AI330" i="24"/>
  <c r="AH330" i="24" s="1"/>
  <c r="AG330" i="24" s="1"/>
  <c r="AF330" i="24" s="1"/>
  <c r="AD330" i="24" s="1"/>
  <c r="AI334" i="24"/>
  <c r="AH334" i="24" s="1"/>
  <c r="AG334" i="24" s="1"/>
  <c r="AF334" i="24" s="1"/>
  <c r="AD334" i="24" s="1"/>
  <c r="AI338" i="24"/>
  <c r="AH338" i="24" s="1"/>
  <c r="AG338" i="24" s="1"/>
  <c r="AF338" i="24" s="1"/>
  <c r="AD338" i="24" s="1"/>
  <c r="AI342" i="24"/>
  <c r="AH342" i="24" s="1"/>
  <c r="AG342" i="24" s="1"/>
  <c r="AF342" i="24" s="1"/>
  <c r="AD342" i="24" s="1"/>
  <c r="AI346" i="24"/>
  <c r="AH346" i="24" s="1"/>
  <c r="AG346" i="24" s="1"/>
  <c r="AF346" i="24" s="1"/>
  <c r="AD346" i="24" s="1"/>
  <c r="AI350" i="24"/>
  <c r="AH350" i="24" s="1"/>
  <c r="AG350" i="24" s="1"/>
  <c r="AF350" i="24" s="1"/>
  <c r="AD350" i="24" s="1"/>
  <c r="AI354" i="24"/>
  <c r="AH354" i="24" s="1"/>
  <c r="AG354" i="24" s="1"/>
  <c r="AF354" i="24" s="1"/>
  <c r="AD354" i="24" s="1"/>
  <c r="AI378" i="24"/>
  <c r="AH378" i="24" s="1"/>
  <c r="AG378" i="24" s="1"/>
  <c r="AF378" i="24" s="1"/>
  <c r="AD378" i="24" s="1"/>
  <c r="AI374" i="24"/>
  <c r="AH374" i="24" s="1"/>
  <c r="AG374" i="24" s="1"/>
  <c r="AF374" i="24" s="1"/>
  <c r="AD374" i="24" s="1"/>
  <c r="AI370" i="24"/>
  <c r="AH370" i="24" s="1"/>
  <c r="AG370" i="24" s="1"/>
  <c r="AF370" i="24" s="1"/>
  <c r="AD370" i="24" s="1"/>
  <c r="AI366" i="24"/>
  <c r="AH366" i="24" s="1"/>
  <c r="AG366" i="24" s="1"/>
  <c r="AF366" i="24" s="1"/>
  <c r="AD366" i="24" s="1"/>
  <c r="AI362" i="24"/>
  <c r="AH362" i="24" s="1"/>
  <c r="AG362" i="24" s="1"/>
  <c r="AF362" i="24" s="1"/>
  <c r="AD362" i="24" s="1"/>
  <c r="AI358" i="24"/>
  <c r="AH358" i="24" s="1"/>
  <c r="AG358" i="24" s="1"/>
  <c r="AF358" i="24" s="1"/>
  <c r="AD358" i="24" s="1"/>
  <c r="AI353" i="24"/>
  <c r="AH353" i="24" s="1"/>
  <c r="AG353" i="24" s="1"/>
  <c r="AF353" i="24" s="1"/>
  <c r="AD353" i="24" s="1"/>
  <c r="AI345" i="24"/>
  <c r="AH345" i="24" s="1"/>
  <c r="AG345" i="24" s="1"/>
  <c r="AF345" i="24" s="1"/>
  <c r="AD345" i="24" s="1"/>
  <c r="AI337" i="24"/>
  <c r="AH337" i="24" s="1"/>
  <c r="AG337" i="24" s="1"/>
  <c r="AF337" i="24" s="1"/>
  <c r="AD337" i="24" s="1"/>
  <c r="AI329" i="24"/>
  <c r="AH329" i="24" s="1"/>
  <c r="AG329" i="24" s="1"/>
  <c r="AF329" i="24" s="1"/>
  <c r="AD329" i="24" s="1"/>
  <c r="AI321" i="24"/>
  <c r="AH321" i="24" s="1"/>
  <c r="AG321" i="24" s="1"/>
  <c r="AF321" i="24" s="1"/>
  <c r="AD321" i="24" s="1"/>
  <c r="AI313" i="24"/>
  <c r="AH313" i="24" s="1"/>
  <c r="AG313" i="24" s="1"/>
  <c r="AF313" i="24" s="1"/>
  <c r="AD313" i="24" s="1"/>
  <c r="AI305" i="24"/>
  <c r="AH305" i="24" s="1"/>
  <c r="AG305" i="24" s="1"/>
  <c r="AF305" i="24" s="1"/>
  <c r="AD305" i="24" s="1"/>
  <c r="AI297" i="24"/>
  <c r="AH297" i="24" s="1"/>
  <c r="AG297" i="24" s="1"/>
  <c r="AF297" i="24" s="1"/>
  <c r="AD297" i="24" s="1"/>
  <c r="AI289" i="24"/>
  <c r="AH289" i="24" s="1"/>
  <c r="AG289" i="24" s="1"/>
  <c r="AF289" i="24" s="1"/>
  <c r="AD289" i="24" s="1"/>
  <c r="AI281" i="24"/>
  <c r="AH281" i="24" s="1"/>
  <c r="AG281" i="24" s="1"/>
  <c r="AF281" i="24" s="1"/>
  <c r="AD281" i="24" s="1"/>
  <c r="AI273" i="24"/>
  <c r="AH273" i="24" s="1"/>
  <c r="AG273" i="24" s="1"/>
  <c r="AF273" i="24" s="1"/>
  <c r="AD273" i="24" s="1"/>
  <c r="AI265" i="24"/>
  <c r="AH265" i="24" s="1"/>
  <c r="AG265" i="24" s="1"/>
  <c r="AF265" i="24" s="1"/>
  <c r="AD265" i="24" s="1"/>
  <c r="AI257" i="24"/>
  <c r="AH257" i="24" s="1"/>
  <c r="AG257" i="24" s="1"/>
  <c r="AF257" i="24" s="1"/>
  <c r="AD257" i="24" s="1"/>
  <c r="AI249" i="24"/>
  <c r="AH249" i="24" s="1"/>
  <c r="AG249" i="24" s="1"/>
  <c r="AF249" i="24" s="1"/>
  <c r="AD249" i="24" s="1"/>
  <c r="AI241" i="24"/>
  <c r="AH241" i="24" s="1"/>
  <c r="AG241" i="24" s="1"/>
  <c r="AF241" i="24" s="1"/>
  <c r="AD241" i="24" s="1"/>
  <c r="AI233" i="24"/>
  <c r="AH233" i="24" s="1"/>
  <c r="AG233" i="24" s="1"/>
  <c r="AF233" i="24" s="1"/>
  <c r="AD233" i="24" s="1"/>
  <c r="AI225" i="24"/>
  <c r="AH225" i="24" s="1"/>
  <c r="AG225" i="24" s="1"/>
  <c r="AF225" i="24" s="1"/>
  <c r="AD225" i="24" s="1"/>
  <c r="AI217" i="24"/>
  <c r="AH217" i="24" s="1"/>
  <c r="AG217" i="24" s="1"/>
  <c r="AF217" i="24" s="1"/>
  <c r="AD217" i="24" s="1"/>
  <c r="AI209" i="24"/>
  <c r="AH209" i="24" s="1"/>
  <c r="AG209" i="24" s="1"/>
  <c r="AF209" i="24" s="1"/>
  <c r="AD209" i="24" s="1"/>
  <c r="AI201" i="24"/>
  <c r="AH201" i="24" s="1"/>
  <c r="AG201" i="24" s="1"/>
  <c r="AF201" i="24" s="1"/>
  <c r="AD201" i="24" s="1"/>
  <c r="AI193" i="24"/>
  <c r="AH193" i="24" s="1"/>
  <c r="AG193" i="24" s="1"/>
  <c r="AF193" i="24" s="1"/>
  <c r="AD193" i="24" s="1"/>
  <c r="AI185" i="24"/>
  <c r="AH185" i="24" s="1"/>
  <c r="AG185" i="24" s="1"/>
  <c r="AF185" i="24" s="1"/>
  <c r="AD185" i="24" s="1"/>
  <c r="AI177" i="24"/>
  <c r="AH177" i="24" s="1"/>
  <c r="AG177" i="24" s="1"/>
  <c r="AF177" i="24" s="1"/>
  <c r="AD177" i="24" s="1"/>
  <c r="AI169" i="24"/>
  <c r="AH169" i="24" s="1"/>
  <c r="AG169" i="24" s="1"/>
  <c r="AF169" i="24" s="1"/>
  <c r="AD169" i="24" s="1"/>
  <c r="AI161" i="24"/>
  <c r="AH161" i="24" s="1"/>
  <c r="AG161" i="24" s="1"/>
  <c r="AF161" i="24" s="1"/>
  <c r="AD161" i="24" s="1"/>
  <c r="AI153" i="24"/>
  <c r="AH153" i="24" s="1"/>
  <c r="AG153" i="24" s="1"/>
  <c r="AF153" i="24" s="1"/>
  <c r="AD153" i="24" s="1"/>
  <c r="AI145" i="24"/>
  <c r="AH145" i="24" s="1"/>
  <c r="AG145" i="24" s="1"/>
  <c r="AF145" i="24" s="1"/>
  <c r="AD145" i="24" s="1"/>
  <c r="AI137" i="24"/>
  <c r="AH137" i="24" s="1"/>
  <c r="AG137" i="24" s="1"/>
  <c r="AF137" i="24" s="1"/>
  <c r="AD137" i="24" s="1"/>
  <c r="AI129" i="24"/>
  <c r="AH129" i="24" s="1"/>
  <c r="AG129" i="24" s="1"/>
  <c r="AF129" i="24" s="1"/>
  <c r="AD129" i="24" s="1"/>
  <c r="AI121" i="24"/>
  <c r="AH121" i="24" s="1"/>
  <c r="AG121" i="24" s="1"/>
  <c r="AF121" i="24" s="1"/>
  <c r="AD121" i="24" s="1"/>
  <c r="AI113" i="24"/>
  <c r="AH113" i="24" s="1"/>
  <c r="AG113" i="24" s="1"/>
  <c r="AF113" i="24" s="1"/>
  <c r="AD113" i="24" s="1"/>
  <c r="AI105" i="24"/>
  <c r="AH105" i="24" s="1"/>
  <c r="AG105" i="24" s="1"/>
  <c r="AF105" i="24" s="1"/>
  <c r="AD105" i="24" s="1"/>
  <c r="AI97" i="24"/>
  <c r="AH97" i="24" s="1"/>
  <c r="AG97" i="24" s="1"/>
  <c r="AF97" i="24" s="1"/>
  <c r="AD97" i="24" s="1"/>
  <c r="AI89" i="24"/>
  <c r="AH89" i="24" s="1"/>
  <c r="AG89" i="24" s="1"/>
  <c r="AF89" i="24" s="1"/>
  <c r="AD89" i="24" s="1"/>
  <c r="AI81" i="24"/>
  <c r="AH81" i="24" s="1"/>
  <c r="AG81" i="24" s="1"/>
  <c r="AF81" i="24" s="1"/>
  <c r="AD81" i="24" s="1"/>
  <c r="AI73" i="24"/>
  <c r="AH73" i="24" s="1"/>
  <c r="AG73" i="24" s="1"/>
  <c r="AF73" i="24" s="1"/>
  <c r="AD73" i="24" s="1"/>
  <c r="AI65" i="24"/>
  <c r="AH65" i="24" s="1"/>
  <c r="AG65" i="24" s="1"/>
  <c r="AF65" i="24" s="1"/>
  <c r="AD65" i="24" s="1"/>
  <c r="AI57" i="24"/>
  <c r="AH57" i="24" s="1"/>
  <c r="AG57" i="24" s="1"/>
  <c r="AF57" i="24" s="1"/>
  <c r="AD57" i="24" s="1"/>
  <c r="AI49" i="24"/>
  <c r="AH49" i="24" s="1"/>
  <c r="AG49" i="24" s="1"/>
  <c r="AF49" i="24" s="1"/>
  <c r="AD49" i="24" s="1"/>
  <c r="AI41" i="24"/>
  <c r="AH41" i="24" s="1"/>
  <c r="AG41" i="24" s="1"/>
  <c r="AF41" i="24" s="1"/>
  <c r="AD41" i="24" s="1"/>
  <c r="AI33" i="24"/>
  <c r="AH33" i="24" s="1"/>
  <c r="AG33" i="24" s="1"/>
  <c r="AF33" i="24" s="1"/>
  <c r="AD33" i="24" s="1"/>
  <c r="AI25" i="24"/>
  <c r="AH25" i="24" s="1"/>
  <c r="AG25" i="24" s="1"/>
  <c r="AF25" i="24" s="1"/>
  <c r="AD25" i="24" s="1"/>
  <c r="AI19" i="24"/>
  <c r="AH19" i="24" s="1"/>
  <c r="AG19" i="24" s="1"/>
  <c r="AF19" i="24" s="1"/>
  <c r="AD19" i="24" s="1"/>
  <c r="AI335" i="24"/>
  <c r="AH335" i="24" s="1"/>
  <c r="AG335" i="24" s="1"/>
  <c r="AF335" i="24" s="1"/>
  <c r="AD335" i="24" s="1"/>
  <c r="AI303" i="24"/>
  <c r="AH303" i="24" s="1"/>
  <c r="AG303" i="24" s="1"/>
  <c r="AF303" i="24" s="1"/>
  <c r="AD303" i="24" s="1"/>
  <c r="AI47" i="24"/>
  <c r="AH47" i="24" s="1"/>
  <c r="AG47" i="24" s="1"/>
  <c r="AF47" i="24" s="1"/>
  <c r="AD47" i="24" s="1"/>
  <c r="AI369" i="24"/>
  <c r="AH369" i="24" s="1"/>
  <c r="AG369" i="24" s="1"/>
  <c r="AF369" i="24" s="1"/>
  <c r="AD369" i="24" s="1"/>
  <c r="AI255" i="24"/>
  <c r="AH255" i="24" s="1"/>
  <c r="AG255" i="24" s="1"/>
  <c r="AF255" i="24" s="1"/>
  <c r="AD255" i="24" s="1"/>
  <c r="AI127" i="24"/>
  <c r="AH127" i="24" s="1"/>
  <c r="AG127" i="24" s="1"/>
  <c r="AF127" i="24" s="1"/>
  <c r="AD127" i="24" s="1"/>
  <c r="AI63" i="24"/>
  <c r="AH63" i="24" s="1"/>
  <c r="AG63" i="24" s="1"/>
  <c r="AF63" i="24" s="1"/>
  <c r="AD63" i="24" s="1"/>
  <c r="AI17" i="24"/>
  <c r="AH17" i="24" s="1"/>
  <c r="AG17" i="24" s="1"/>
  <c r="AF17" i="24" s="1"/>
  <c r="AD17" i="24" s="1"/>
  <c r="AI55" i="24"/>
  <c r="AH55" i="24" s="1"/>
  <c r="AG55" i="24" s="1"/>
  <c r="AF55" i="24" s="1"/>
  <c r="AD55" i="24" s="1"/>
  <c r="AI87" i="24"/>
  <c r="AH87" i="24" s="1"/>
  <c r="AG87" i="24" s="1"/>
  <c r="AF87" i="24" s="1"/>
  <c r="AD87" i="24" s="1"/>
  <c r="AI119" i="24"/>
  <c r="AH119" i="24" s="1"/>
  <c r="AG119" i="24" s="1"/>
  <c r="AF119" i="24" s="1"/>
  <c r="AD119" i="24" s="1"/>
  <c r="AI183" i="24"/>
  <c r="AH183" i="24" s="1"/>
  <c r="AG183" i="24" s="1"/>
  <c r="AF183" i="24" s="1"/>
  <c r="AD183" i="24" s="1"/>
  <c r="AI247" i="24"/>
  <c r="AH247" i="24" s="1"/>
  <c r="AG247" i="24" s="1"/>
  <c r="AF247" i="24" s="1"/>
  <c r="AD247" i="24" s="1"/>
  <c r="AI311" i="24"/>
  <c r="AH311" i="24" s="1"/>
  <c r="AG311" i="24" s="1"/>
  <c r="AF311" i="24" s="1"/>
  <c r="AD311" i="24" s="1"/>
  <c r="AI365" i="24"/>
  <c r="AH365" i="24" s="1"/>
  <c r="AG365" i="24" s="1"/>
  <c r="AF365" i="24" s="1"/>
  <c r="AD365" i="24" s="1"/>
  <c r="AI375" i="24"/>
  <c r="AH375" i="24" s="1"/>
  <c r="AG375" i="24" s="1"/>
  <c r="AF375" i="24" s="1"/>
  <c r="AD375" i="24" s="1"/>
  <c r="AI359" i="24"/>
  <c r="AH359" i="24" s="1"/>
  <c r="AG359" i="24" s="1"/>
  <c r="AF359" i="24" s="1"/>
  <c r="AD359" i="24" s="1"/>
  <c r="AI331" i="24"/>
  <c r="AH331" i="24" s="1"/>
  <c r="AG331" i="24" s="1"/>
  <c r="AF331" i="24" s="1"/>
  <c r="AD331" i="24" s="1"/>
  <c r="AI299" i="24"/>
  <c r="AH299" i="24" s="1"/>
  <c r="AG299" i="24" s="1"/>
  <c r="AF299" i="24" s="1"/>
  <c r="AD299" i="24" s="1"/>
  <c r="AI267" i="24"/>
  <c r="AH267" i="24" s="1"/>
  <c r="AG267" i="24" s="1"/>
  <c r="AF267" i="24" s="1"/>
  <c r="AD267" i="24" s="1"/>
  <c r="AI235" i="24"/>
  <c r="AH235" i="24" s="1"/>
  <c r="AG235" i="24" s="1"/>
  <c r="AF235" i="24" s="1"/>
  <c r="AD235" i="24" s="1"/>
  <c r="AI203" i="24"/>
  <c r="AH203" i="24" s="1"/>
  <c r="AG203" i="24" s="1"/>
  <c r="AF203" i="24" s="1"/>
  <c r="AD203" i="24" s="1"/>
  <c r="AI171" i="24"/>
  <c r="AH171" i="24" s="1"/>
  <c r="AG171" i="24" s="1"/>
  <c r="AF171" i="24" s="1"/>
  <c r="AD171" i="24" s="1"/>
  <c r="AI139" i="24"/>
  <c r="AH139" i="24" s="1"/>
  <c r="AG139" i="24" s="1"/>
  <c r="AF139" i="24" s="1"/>
  <c r="AD139" i="24" s="1"/>
  <c r="AI107" i="24"/>
  <c r="AH107" i="24" s="1"/>
  <c r="AG107" i="24" s="1"/>
  <c r="AF107" i="24" s="1"/>
  <c r="AD107" i="24" s="1"/>
  <c r="AI91" i="24"/>
  <c r="AH91" i="24" s="1"/>
  <c r="AG91" i="24" s="1"/>
  <c r="AF91" i="24" s="1"/>
  <c r="AD91" i="24" s="1"/>
  <c r="AI75" i="24"/>
  <c r="AH75" i="24" s="1"/>
  <c r="AG75" i="24" s="1"/>
  <c r="AF75" i="24" s="1"/>
  <c r="AD75" i="24" s="1"/>
  <c r="AI59" i="24"/>
  <c r="AH59" i="24" s="1"/>
  <c r="AG59" i="24" s="1"/>
  <c r="AF59" i="24" s="1"/>
  <c r="AD59" i="24" s="1"/>
  <c r="AI43" i="24"/>
  <c r="AH43" i="24" s="1"/>
  <c r="AG43" i="24" s="1"/>
  <c r="AF43" i="24" s="1"/>
  <c r="AD43" i="24" s="1"/>
  <c r="AI27" i="24"/>
  <c r="AH27" i="24" s="1"/>
  <c r="AG27" i="24" s="1"/>
  <c r="AF27" i="24" s="1"/>
  <c r="AD27" i="24" s="1"/>
  <c r="AI23" i="24"/>
  <c r="AH23" i="24" s="1"/>
  <c r="AG23" i="24" s="1"/>
  <c r="AF23" i="24" s="1"/>
  <c r="AD23" i="24" s="1"/>
  <c r="AI16" i="24"/>
  <c r="AH16" i="24" s="1"/>
  <c r="AG16" i="24" s="1"/>
  <c r="AF16" i="24" s="1"/>
  <c r="AD16" i="24" s="1"/>
  <c r="AI24" i="24"/>
  <c r="AH24" i="24" s="1"/>
  <c r="AG24" i="24" s="1"/>
  <c r="AF24" i="24" s="1"/>
  <c r="AD24" i="24" s="1"/>
  <c r="AI28" i="24"/>
  <c r="AH28" i="24" s="1"/>
  <c r="AG28" i="24" s="1"/>
  <c r="AF28" i="24" s="1"/>
  <c r="AD28" i="24" s="1"/>
  <c r="AI32" i="24"/>
  <c r="AH32" i="24" s="1"/>
  <c r="AG32" i="24" s="1"/>
  <c r="AF32" i="24" s="1"/>
  <c r="AD32" i="24" s="1"/>
  <c r="AI36" i="24"/>
  <c r="AH36" i="24" s="1"/>
  <c r="AG36" i="24" s="1"/>
  <c r="AF36" i="24" s="1"/>
  <c r="AD36" i="24" s="1"/>
  <c r="AI40" i="24"/>
  <c r="AH40" i="24" s="1"/>
  <c r="AG40" i="24" s="1"/>
  <c r="AF40" i="24" s="1"/>
  <c r="AD40" i="24" s="1"/>
  <c r="AI44" i="24"/>
  <c r="AH44" i="24" s="1"/>
  <c r="AG44" i="24" s="1"/>
  <c r="AF44" i="24" s="1"/>
  <c r="AD44" i="24" s="1"/>
  <c r="AI48" i="24"/>
  <c r="AH48" i="24" s="1"/>
  <c r="AG48" i="24" s="1"/>
  <c r="AF48" i="24" s="1"/>
  <c r="AD48" i="24" s="1"/>
  <c r="AI52" i="24"/>
  <c r="AH52" i="24" s="1"/>
  <c r="AG52" i="24" s="1"/>
  <c r="AF52" i="24" s="1"/>
  <c r="AD52" i="24" s="1"/>
  <c r="AI56" i="24"/>
  <c r="AH56" i="24" s="1"/>
  <c r="AG56" i="24" s="1"/>
  <c r="AF56" i="24" s="1"/>
  <c r="AD56" i="24" s="1"/>
  <c r="AI60" i="24"/>
  <c r="AH60" i="24" s="1"/>
  <c r="AG60" i="24" s="1"/>
  <c r="AF60" i="24" s="1"/>
  <c r="AD60" i="24" s="1"/>
  <c r="AI64" i="24"/>
  <c r="AH64" i="24" s="1"/>
  <c r="AG64" i="24" s="1"/>
  <c r="AF64" i="24" s="1"/>
  <c r="AD64" i="24" s="1"/>
  <c r="AI68" i="24"/>
  <c r="AH68" i="24" s="1"/>
  <c r="AG68" i="24" s="1"/>
  <c r="AF68" i="24" s="1"/>
  <c r="AD68" i="24" s="1"/>
  <c r="AI72" i="24"/>
  <c r="AH72" i="24" s="1"/>
  <c r="AG72" i="24" s="1"/>
  <c r="AF72" i="24" s="1"/>
  <c r="AD72" i="24" s="1"/>
  <c r="AI76" i="24"/>
  <c r="AH76" i="24" s="1"/>
  <c r="AG76" i="24" s="1"/>
  <c r="AF76" i="24" s="1"/>
  <c r="AD76" i="24" s="1"/>
  <c r="AI80" i="24"/>
  <c r="AH80" i="24" s="1"/>
  <c r="AG80" i="24" s="1"/>
  <c r="AF80" i="24" s="1"/>
  <c r="AD80" i="24" s="1"/>
  <c r="AI84" i="24"/>
  <c r="AH84" i="24" s="1"/>
  <c r="AG84" i="24" s="1"/>
  <c r="AF84" i="24" s="1"/>
  <c r="AD84" i="24" s="1"/>
  <c r="AI88" i="24"/>
  <c r="AH88" i="24" s="1"/>
  <c r="AG88" i="24" s="1"/>
  <c r="AF88" i="24" s="1"/>
  <c r="AD88" i="24" s="1"/>
  <c r="AI92" i="24"/>
  <c r="AH92" i="24" s="1"/>
  <c r="AG92" i="24" s="1"/>
  <c r="AF92" i="24" s="1"/>
  <c r="AD92" i="24" s="1"/>
  <c r="AI96" i="24"/>
  <c r="AH96" i="24" s="1"/>
  <c r="AG96" i="24" s="1"/>
  <c r="AF96" i="24" s="1"/>
  <c r="AD96" i="24" s="1"/>
  <c r="AI100" i="24"/>
  <c r="AH100" i="24" s="1"/>
  <c r="AG100" i="24" s="1"/>
  <c r="AF100" i="24" s="1"/>
  <c r="AD100" i="24" s="1"/>
  <c r="AI104" i="24"/>
  <c r="AH104" i="24" s="1"/>
  <c r="AG104" i="24" s="1"/>
  <c r="AF104" i="24" s="1"/>
  <c r="AD104" i="24" s="1"/>
  <c r="AI108" i="24"/>
  <c r="AH108" i="24" s="1"/>
  <c r="AG108" i="24" s="1"/>
  <c r="AF108" i="24" s="1"/>
  <c r="AD108" i="24" s="1"/>
  <c r="AI112" i="24"/>
  <c r="AH112" i="24" s="1"/>
  <c r="AG112" i="24" s="1"/>
  <c r="AF112" i="24" s="1"/>
  <c r="AD112" i="24" s="1"/>
  <c r="AI116" i="24"/>
  <c r="AH116" i="24" s="1"/>
  <c r="AG116" i="24" s="1"/>
  <c r="AF116" i="24" s="1"/>
  <c r="AD116" i="24" s="1"/>
  <c r="AI120" i="24"/>
  <c r="AH120" i="24" s="1"/>
  <c r="AG120" i="24" s="1"/>
  <c r="AF120" i="24" s="1"/>
  <c r="AD120" i="24" s="1"/>
  <c r="AI124" i="24"/>
  <c r="AH124" i="24" s="1"/>
  <c r="AG124" i="24" s="1"/>
  <c r="AF124" i="24" s="1"/>
  <c r="AD124" i="24" s="1"/>
  <c r="AI128" i="24"/>
  <c r="AH128" i="24" s="1"/>
  <c r="AG128" i="24" s="1"/>
  <c r="AF128" i="24" s="1"/>
  <c r="AD128" i="24" s="1"/>
  <c r="AI132" i="24"/>
  <c r="AH132" i="24" s="1"/>
  <c r="AG132" i="24" s="1"/>
  <c r="AF132" i="24" s="1"/>
  <c r="AD132" i="24" s="1"/>
  <c r="AI136" i="24"/>
  <c r="AH136" i="24" s="1"/>
  <c r="AG136" i="24" s="1"/>
  <c r="AF136" i="24" s="1"/>
  <c r="AD136" i="24" s="1"/>
  <c r="AI140" i="24"/>
  <c r="AH140" i="24" s="1"/>
  <c r="AG140" i="24" s="1"/>
  <c r="AF140" i="24" s="1"/>
  <c r="AD140" i="24" s="1"/>
  <c r="AI144" i="24"/>
  <c r="AH144" i="24" s="1"/>
  <c r="AG144" i="24" s="1"/>
  <c r="AF144" i="24" s="1"/>
  <c r="AD144" i="24" s="1"/>
  <c r="AI148" i="24"/>
  <c r="AH148" i="24" s="1"/>
  <c r="AG148" i="24" s="1"/>
  <c r="AF148" i="24" s="1"/>
  <c r="AD148" i="24" s="1"/>
  <c r="AI152" i="24"/>
  <c r="AH152" i="24" s="1"/>
  <c r="AG152" i="24" s="1"/>
  <c r="AF152" i="24" s="1"/>
  <c r="AD152" i="24" s="1"/>
  <c r="AI156" i="24"/>
  <c r="AH156" i="24" s="1"/>
  <c r="AG156" i="24" s="1"/>
  <c r="AF156" i="24" s="1"/>
  <c r="AD156" i="24" s="1"/>
  <c r="AI160" i="24"/>
  <c r="AH160" i="24" s="1"/>
  <c r="AG160" i="24" s="1"/>
  <c r="AF160" i="24" s="1"/>
  <c r="AD160" i="24" s="1"/>
  <c r="AI164" i="24"/>
  <c r="AH164" i="24" s="1"/>
  <c r="AG164" i="24" s="1"/>
  <c r="AF164" i="24" s="1"/>
  <c r="AD164" i="24" s="1"/>
  <c r="AI168" i="24"/>
  <c r="AH168" i="24" s="1"/>
  <c r="AG168" i="24" s="1"/>
  <c r="AF168" i="24" s="1"/>
  <c r="AD168" i="24" s="1"/>
  <c r="AI172" i="24"/>
  <c r="AH172" i="24" s="1"/>
  <c r="AG172" i="24" s="1"/>
  <c r="AF172" i="24" s="1"/>
  <c r="AD172" i="24" s="1"/>
  <c r="AI176" i="24"/>
  <c r="AH176" i="24" s="1"/>
  <c r="AG176" i="24" s="1"/>
  <c r="AF176" i="24" s="1"/>
  <c r="AD176" i="24" s="1"/>
  <c r="AI180" i="24"/>
  <c r="AH180" i="24" s="1"/>
  <c r="AG180" i="24" s="1"/>
  <c r="AF180" i="24" s="1"/>
  <c r="AD180" i="24" s="1"/>
  <c r="AI184" i="24"/>
  <c r="AH184" i="24" s="1"/>
  <c r="AG184" i="24" s="1"/>
  <c r="AF184" i="24" s="1"/>
  <c r="AD184" i="24" s="1"/>
  <c r="AI188" i="24"/>
  <c r="AH188" i="24" s="1"/>
  <c r="AG188" i="24" s="1"/>
  <c r="AF188" i="24" s="1"/>
  <c r="AD188" i="24" s="1"/>
  <c r="AI192" i="24"/>
  <c r="AH192" i="24" s="1"/>
  <c r="AG192" i="24" s="1"/>
  <c r="AF192" i="24" s="1"/>
  <c r="AD192" i="24" s="1"/>
  <c r="AI196" i="24"/>
  <c r="AH196" i="24" s="1"/>
  <c r="AG196" i="24" s="1"/>
  <c r="AF196" i="24" s="1"/>
  <c r="AD196" i="24" s="1"/>
  <c r="AI200" i="24"/>
  <c r="AH200" i="24" s="1"/>
  <c r="AG200" i="24" s="1"/>
  <c r="AF200" i="24" s="1"/>
  <c r="AD200" i="24" s="1"/>
  <c r="AI204" i="24"/>
  <c r="AH204" i="24" s="1"/>
  <c r="AG204" i="24" s="1"/>
  <c r="AF204" i="24" s="1"/>
  <c r="AD204" i="24" s="1"/>
  <c r="AI208" i="24"/>
  <c r="AH208" i="24" s="1"/>
  <c r="AG208" i="24" s="1"/>
  <c r="AF208" i="24" s="1"/>
  <c r="AD208" i="24" s="1"/>
  <c r="AI212" i="24"/>
  <c r="AH212" i="24" s="1"/>
  <c r="AG212" i="24" s="1"/>
  <c r="AF212" i="24" s="1"/>
  <c r="AD212" i="24" s="1"/>
  <c r="AI216" i="24"/>
  <c r="AH216" i="24" s="1"/>
  <c r="AG216" i="24" s="1"/>
  <c r="AF216" i="24" s="1"/>
  <c r="AD216" i="24" s="1"/>
  <c r="AI220" i="24"/>
  <c r="AH220" i="24" s="1"/>
  <c r="AG220" i="24" s="1"/>
  <c r="AF220" i="24" s="1"/>
  <c r="AD220" i="24" s="1"/>
  <c r="AI224" i="24"/>
  <c r="AH224" i="24" s="1"/>
  <c r="AG224" i="24" s="1"/>
  <c r="AF224" i="24" s="1"/>
  <c r="AD224" i="24" s="1"/>
  <c r="AI228" i="24"/>
  <c r="AH228" i="24" s="1"/>
  <c r="AG228" i="24" s="1"/>
  <c r="AF228" i="24" s="1"/>
  <c r="AD228" i="24" s="1"/>
  <c r="AI232" i="24"/>
  <c r="AH232" i="24" s="1"/>
  <c r="AG232" i="24" s="1"/>
  <c r="AF232" i="24" s="1"/>
  <c r="AD232" i="24" s="1"/>
  <c r="AI236" i="24"/>
  <c r="AH236" i="24" s="1"/>
  <c r="AG236" i="24" s="1"/>
  <c r="AF236" i="24" s="1"/>
  <c r="AD236" i="24" s="1"/>
  <c r="AI240" i="24"/>
  <c r="AH240" i="24" s="1"/>
  <c r="AG240" i="24" s="1"/>
  <c r="AF240" i="24" s="1"/>
  <c r="AD240" i="24" s="1"/>
  <c r="AI244" i="24"/>
  <c r="AH244" i="24" s="1"/>
  <c r="AG244" i="24" s="1"/>
  <c r="AF244" i="24" s="1"/>
  <c r="AD244" i="24" s="1"/>
  <c r="AI248" i="24"/>
  <c r="AH248" i="24" s="1"/>
  <c r="AG248" i="24" s="1"/>
  <c r="AF248" i="24" s="1"/>
  <c r="AD248" i="24" s="1"/>
  <c r="AI252" i="24"/>
  <c r="AH252" i="24" s="1"/>
  <c r="AG252" i="24" s="1"/>
  <c r="AF252" i="24" s="1"/>
  <c r="AD252" i="24" s="1"/>
  <c r="AI256" i="24"/>
  <c r="AH256" i="24" s="1"/>
  <c r="AG256" i="24" s="1"/>
  <c r="AF256" i="24" s="1"/>
  <c r="AD256" i="24" s="1"/>
  <c r="AI260" i="24"/>
  <c r="AH260" i="24" s="1"/>
  <c r="AG260" i="24" s="1"/>
  <c r="AF260" i="24" s="1"/>
  <c r="AD260" i="24" s="1"/>
  <c r="AI264" i="24"/>
  <c r="AH264" i="24" s="1"/>
  <c r="AG264" i="24" s="1"/>
  <c r="AF264" i="24" s="1"/>
  <c r="AD264" i="24" s="1"/>
  <c r="AI268" i="24"/>
  <c r="AH268" i="24" s="1"/>
  <c r="AG268" i="24" s="1"/>
  <c r="AF268" i="24" s="1"/>
  <c r="AD268" i="24" s="1"/>
  <c r="AI272" i="24"/>
  <c r="AH272" i="24" s="1"/>
  <c r="AG272" i="24" s="1"/>
  <c r="AF272" i="24" s="1"/>
  <c r="AD272" i="24" s="1"/>
  <c r="AI276" i="24"/>
  <c r="AH276" i="24" s="1"/>
  <c r="AG276" i="24" s="1"/>
  <c r="AF276" i="24" s="1"/>
  <c r="AD276" i="24" s="1"/>
  <c r="AI280" i="24"/>
  <c r="AH280" i="24" s="1"/>
  <c r="AG280" i="24" s="1"/>
  <c r="AF280" i="24" s="1"/>
  <c r="AD280" i="24" s="1"/>
  <c r="AI284" i="24"/>
  <c r="AH284" i="24" s="1"/>
  <c r="AG284" i="24" s="1"/>
  <c r="AF284" i="24" s="1"/>
  <c r="AD284" i="24" s="1"/>
  <c r="AI288" i="24"/>
  <c r="AH288" i="24" s="1"/>
  <c r="AG288" i="24" s="1"/>
  <c r="AF288" i="24" s="1"/>
  <c r="AD288" i="24" s="1"/>
  <c r="AI292" i="24"/>
  <c r="AH292" i="24" s="1"/>
  <c r="AG292" i="24" s="1"/>
  <c r="AF292" i="24" s="1"/>
  <c r="AD292" i="24" s="1"/>
  <c r="AI296" i="24"/>
  <c r="AH296" i="24" s="1"/>
  <c r="AG296" i="24" s="1"/>
  <c r="AF296" i="24" s="1"/>
  <c r="AD296" i="24" s="1"/>
  <c r="AI300" i="24"/>
  <c r="AH300" i="24" s="1"/>
  <c r="AG300" i="24" s="1"/>
  <c r="AF300" i="24" s="1"/>
  <c r="AD300" i="24" s="1"/>
  <c r="AI304" i="24"/>
  <c r="AH304" i="24" s="1"/>
  <c r="AG304" i="24" s="1"/>
  <c r="AF304" i="24" s="1"/>
  <c r="AD304" i="24" s="1"/>
  <c r="AI308" i="24"/>
  <c r="AH308" i="24" s="1"/>
  <c r="AG308" i="24" s="1"/>
  <c r="AF308" i="24" s="1"/>
  <c r="AD308" i="24" s="1"/>
  <c r="AI312" i="24"/>
  <c r="AH312" i="24" s="1"/>
  <c r="AG312" i="24" s="1"/>
  <c r="AF312" i="24" s="1"/>
  <c r="AD312" i="24" s="1"/>
  <c r="AI316" i="24"/>
  <c r="AH316" i="24" s="1"/>
  <c r="AG316" i="24" s="1"/>
  <c r="AF316" i="24" s="1"/>
  <c r="AD316" i="24" s="1"/>
  <c r="AI320" i="24"/>
  <c r="AH320" i="24" s="1"/>
  <c r="AG320" i="24" s="1"/>
  <c r="AF320" i="24" s="1"/>
  <c r="AD320" i="24" s="1"/>
  <c r="AI324" i="24"/>
  <c r="AH324" i="24" s="1"/>
  <c r="AG324" i="24" s="1"/>
  <c r="AF324" i="24" s="1"/>
  <c r="AD324" i="24" s="1"/>
  <c r="AI328" i="24"/>
  <c r="AH328" i="24" s="1"/>
  <c r="AG328" i="24" s="1"/>
  <c r="AF328" i="24" s="1"/>
  <c r="AD328" i="24" s="1"/>
  <c r="AI332" i="24"/>
  <c r="AH332" i="24" s="1"/>
  <c r="AG332" i="24" s="1"/>
  <c r="AF332" i="24" s="1"/>
  <c r="AD332" i="24" s="1"/>
  <c r="AI336" i="24"/>
  <c r="AH336" i="24" s="1"/>
  <c r="AG336" i="24" s="1"/>
  <c r="AF336" i="24" s="1"/>
  <c r="AD336" i="24" s="1"/>
  <c r="AI340" i="24"/>
  <c r="AH340" i="24" s="1"/>
  <c r="AG340" i="24" s="1"/>
  <c r="AF340" i="24" s="1"/>
  <c r="AD340" i="24" s="1"/>
  <c r="AI344" i="24"/>
  <c r="AH344" i="24" s="1"/>
  <c r="AG344" i="24" s="1"/>
  <c r="AF344" i="24" s="1"/>
  <c r="AD344" i="24" s="1"/>
  <c r="AI348" i="24"/>
  <c r="AH348" i="24" s="1"/>
  <c r="AG348" i="24" s="1"/>
  <c r="AF348" i="24" s="1"/>
  <c r="AD348" i="24" s="1"/>
  <c r="AI352" i="24"/>
  <c r="AH352" i="24" s="1"/>
  <c r="AG352" i="24" s="1"/>
  <c r="AF352" i="24" s="1"/>
  <c r="AD352" i="24" s="1"/>
  <c r="AI376" i="24"/>
  <c r="AH376" i="24" s="1"/>
  <c r="AG376" i="24" s="1"/>
  <c r="AF376" i="24" s="1"/>
  <c r="AD376" i="24" s="1"/>
  <c r="AI372" i="24"/>
  <c r="AH372" i="24" s="1"/>
  <c r="AG372" i="24" s="1"/>
  <c r="AF372" i="24" s="1"/>
  <c r="AD372" i="24" s="1"/>
  <c r="AI368" i="24"/>
  <c r="AH368" i="24" s="1"/>
  <c r="AG368" i="24" s="1"/>
  <c r="AF368" i="24" s="1"/>
  <c r="AD368" i="24" s="1"/>
  <c r="AI364" i="24"/>
  <c r="AH364" i="24" s="1"/>
  <c r="AG364" i="24" s="1"/>
  <c r="AF364" i="24" s="1"/>
  <c r="AD364" i="24" s="1"/>
  <c r="AI360" i="24"/>
  <c r="AH360" i="24" s="1"/>
  <c r="AG360" i="24" s="1"/>
  <c r="AF360" i="24" s="1"/>
  <c r="AD360" i="24" s="1"/>
  <c r="AI356" i="24"/>
  <c r="AH356" i="24" s="1"/>
  <c r="AG356" i="24" s="1"/>
  <c r="AF356" i="24" s="1"/>
  <c r="AD356" i="24" s="1"/>
  <c r="AI349" i="24"/>
  <c r="AH349" i="24" s="1"/>
  <c r="AG349" i="24" s="1"/>
  <c r="AF349" i="24" s="1"/>
  <c r="AD349" i="24" s="1"/>
  <c r="AI341" i="24"/>
  <c r="AH341" i="24" s="1"/>
  <c r="AG341" i="24" s="1"/>
  <c r="AF341" i="24" s="1"/>
  <c r="AD341" i="24" s="1"/>
  <c r="AI333" i="24"/>
  <c r="AH333" i="24" s="1"/>
  <c r="AG333" i="24" s="1"/>
  <c r="AF333" i="24" s="1"/>
  <c r="AD333" i="24" s="1"/>
  <c r="AI325" i="24"/>
  <c r="AH325" i="24" s="1"/>
  <c r="AG325" i="24" s="1"/>
  <c r="AF325" i="24" s="1"/>
  <c r="AD325" i="24" s="1"/>
  <c r="AI317" i="24"/>
  <c r="AH317" i="24" s="1"/>
  <c r="AG317" i="24" s="1"/>
  <c r="AF317" i="24" s="1"/>
  <c r="AD317" i="24" s="1"/>
  <c r="AI309" i="24"/>
  <c r="AH309" i="24" s="1"/>
  <c r="AG309" i="24" s="1"/>
  <c r="AF309" i="24" s="1"/>
  <c r="AD309" i="24" s="1"/>
  <c r="AI301" i="24"/>
  <c r="AH301" i="24" s="1"/>
  <c r="AG301" i="24" s="1"/>
  <c r="AF301" i="24" s="1"/>
  <c r="AD301" i="24" s="1"/>
  <c r="AI293" i="24"/>
  <c r="AH293" i="24" s="1"/>
  <c r="AG293" i="24" s="1"/>
  <c r="AF293" i="24" s="1"/>
  <c r="AD293" i="24" s="1"/>
  <c r="AI285" i="24"/>
  <c r="AH285" i="24" s="1"/>
  <c r="AG285" i="24" s="1"/>
  <c r="AF285" i="24" s="1"/>
  <c r="AD285" i="24" s="1"/>
  <c r="AI277" i="24"/>
  <c r="AH277" i="24" s="1"/>
  <c r="AG277" i="24" s="1"/>
  <c r="AF277" i="24" s="1"/>
  <c r="AD277" i="24" s="1"/>
  <c r="AI269" i="24"/>
  <c r="AH269" i="24" s="1"/>
  <c r="AG269" i="24" s="1"/>
  <c r="AF269" i="24" s="1"/>
  <c r="AD269" i="24" s="1"/>
  <c r="AI261" i="24"/>
  <c r="AH261" i="24" s="1"/>
  <c r="AG261" i="24" s="1"/>
  <c r="AF261" i="24" s="1"/>
  <c r="AD261" i="24" s="1"/>
  <c r="AI253" i="24"/>
  <c r="AH253" i="24" s="1"/>
  <c r="AG253" i="24" s="1"/>
  <c r="AF253" i="24" s="1"/>
  <c r="AD253" i="24" s="1"/>
  <c r="AI245" i="24"/>
  <c r="AH245" i="24" s="1"/>
  <c r="AG245" i="24" s="1"/>
  <c r="AF245" i="24" s="1"/>
  <c r="AD245" i="24" s="1"/>
  <c r="AI237" i="24"/>
  <c r="AH237" i="24" s="1"/>
  <c r="AG237" i="24" s="1"/>
  <c r="AF237" i="24" s="1"/>
  <c r="AD237" i="24" s="1"/>
  <c r="AI229" i="24"/>
  <c r="AH229" i="24" s="1"/>
  <c r="AG229" i="24" s="1"/>
  <c r="AF229" i="24" s="1"/>
  <c r="AD229" i="24" s="1"/>
  <c r="AI221" i="24"/>
  <c r="AH221" i="24" s="1"/>
  <c r="AG221" i="24" s="1"/>
  <c r="AF221" i="24" s="1"/>
  <c r="AD221" i="24" s="1"/>
  <c r="AI213" i="24"/>
  <c r="AH213" i="24" s="1"/>
  <c r="AG213" i="24" s="1"/>
  <c r="AF213" i="24" s="1"/>
  <c r="AD213" i="24" s="1"/>
  <c r="AI205" i="24"/>
  <c r="AH205" i="24" s="1"/>
  <c r="AG205" i="24" s="1"/>
  <c r="AF205" i="24" s="1"/>
  <c r="AD205" i="24" s="1"/>
  <c r="AI197" i="24"/>
  <c r="AH197" i="24" s="1"/>
  <c r="AG197" i="24" s="1"/>
  <c r="AF197" i="24" s="1"/>
  <c r="AD197" i="24" s="1"/>
  <c r="AI189" i="24"/>
  <c r="AH189" i="24" s="1"/>
  <c r="AG189" i="24" s="1"/>
  <c r="AF189" i="24" s="1"/>
  <c r="AD189" i="24" s="1"/>
  <c r="AI181" i="24"/>
  <c r="AH181" i="24" s="1"/>
  <c r="AG181" i="24" s="1"/>
  <c r="AF181" i="24" s="1"/>
  <c r="AD181" i="24" s="1"/>
  <c r="AI173" i="24"/>
  <c r="AH173" i="24" s="1"/>
  <c r="AG173" i="24" s="1"/>
  <c r="AF173" i="24" s="1"/>
  <c r="AD173" i="24" s="1"/>
  <c r="AI165" i="24"/>
  <c r="AH165" i="24" s="1"/>
  <c r="AG165" i="24" s="1"/>
  <c r="AF165" i="24" s="1"/>
  <c r="AD165" i="24" s="1"/>
  <c r="AI157" i="24"/>
  <c r="AH157" i="24" s="1"/>
  <c r="AG157" i="24" s="1"/>
  <c r="AF157" i="24" s="1"/>
  <c r="AD157" i="24" s="1"/>
  <c r="AI149" i="24"/>
  <c r="AH149" i="24" s="1"/>
  <c r="AG149" i="24" s="1"/>
  <c r="AF149" i="24" s="1"/>
  <c r="AD149" i="24" s="1"/>
  <c r="AI141" i="24"/>
  <c r="AH141" i="24" s="1"/>
  <c r="AG141" i="24" s="1"/>
  <c r="AF141" i="24" s="1"/>
  <c r="AD141" i="24" s="1"/>
  <c r="AI133" i="24"/>
  <c r="AH133" i="24" s="1"/>
  <c r="AG133" i="24" s="1"/>
  <c r="AF133" i="24" s="1"/>
  <c r="AD133" i="24" s="1"/>
  <c r="AI125" i="24"/>
  <c r="AH125" i="24" s="1"/>
  <c r="AG125" i="24" s="1"/>
  <c r="AF125" i="24" s="1"/>
  <c r="AD125" i="24" s="1"/>
  <c r="AI117" i="24"/>
  <c r="AH117" i="24" s="1"/>
  <c r="AG117" i="24" s="1"/>
  <c r="AF117" i="24" s="1"/>
  <c r="AD117" i="24" s="1"/>
  <c r="AI109" i="24"/>
  <c r="AH109" i="24" s="1"/>
  <c r="AG109" i="24" s="1"/>
  <c r="AF109" i="24" s="1"/>
  <c r="AD109" i="24" s="1"/>
  <c r="AI101" i="24"/>
  <c r="AH101" i="24" s="1"/>
  <c r="AG101" i="24" s="1"/>
  <c r="AF101" i="24" s="1"/>
  <c r="AD101" i="24" s="1"/>
  <c r="AI93" i="24"/>
  <c r="AH93" i="24" s="1"/>
  <c r="AG93" i="24" s="1"/>
  <c r="AF93" i="24" s="1"/>
  <c r="AD93" i="24" s="1"/>
  <c r="AI85" i="24"/>
  <c r="AH85" i="24" s="1"/>
  <c r="AG85" i="24" s="1"/>
  <c r="AF85" i="24" s="1"/>
  <c r="AD85" i="24" s="1"/>
  <c r="AI77" i="24"/>
  <c r="AH77" i="24" s="1"/>
  <c r="AG77" i="24" s="1"/>
  <c r="AF77" i="24" s="1"/>
  <c r="AD77" i="24" s="1"/>
  <c r="AI69" i="24"/>
  <c r="AH69" i="24" s="1"/>
  <c r="AG69" i="24" s="1"/>
  <c r="AF69" i="24" s="1"/>
  <c r="AD69" i="24" s="1"/>
  <c r="AI61" i="24"/>
  <c r="AH61" i="24" s="1"/>
  <c r="AG61" i="24" s="1"/>
  <c r="AF61" i="24" s="1"/>
  <c r="AD61" i="24" s="1"/>
  <c r="AI53" i="24"/>
  <c r="AH53" i="24" s="1"/>
  <c r="AG53" i="24" s="1"/>
  <c r="AF53" i="24" s="1"/>
  <c r="AD53" i="24" s="1"/>
  <c r="AI45" i="24"/>
  <c r="AH45" i="24" s="1"/>
  <c r="AG45" i="24" s="1"/>
  <c r="AF45" i="24" s="1"/>
  <c r="AD45" i="24" s="1"/>
  <c r="AI37" i="24"/>
  <c r="AH37" i="24" s="1"/>
  <c r="AG37" i="24" s="1"/>
  <c r="AF37" i="24" s="1"/>
  <c r="AD37" i="24" s="1"/>
  <c r="AI29" i="24"/>
  <c r="AH29" i="24" s="1"/>
  <c r="AG29" i="24" s="1"/>
  <c r="AF29" i="24" s="1"/>
  <c r="AD29" i="24" s="1"/>
  <c r="AI21" i="24"/>
  <c r="AH21" i="24" s="1"/>
  <c r="AG21" i="24" s="1"/>
  <c r="AF21" i="24" s="1"/>
  <c r="AD21" i="24" s="1"/>
  <c r="AI271" i="24"/>
  <c r="AH271" i="24" s="1"/>
  <c r="AG271" i="24" s="1"/>
  <c r="AF271" i="24" s="1"/>
  <c r="AD271" i="24" s="1"/>
  <c r="AI115" i="24"/>
  <c r="AH115" i="24" s="1"/>
  <c r="AG115" i="24" s="1"/>
  <c r="AF115" i="24" s="1"/>
  <c r="AD115" i="24" s="1"/>
  <c r="AI147" i="24"/>
  <c r="AH147" i="24" s="1"/>
  <c r="AG147" i="24" s="1"/>
  <c r="AF147" i="24" s="1"/>
  <c r="AD147" i="24" s="1"/>
  <c r="AI179" i="24"/>
  <c r="AH179" i="24" s="1"/>
  <c r="AG179" i="24" s="1"/>
  <c r="AF179" i="24" s="1"/>
  <c r="AD179" i="24" s="1"/>
  <c r="AI211" i="24"/>
  <c r="AH211" i="24" s="1"/>
  <c r="AG211" i="24" s="1"/>
  <c r="AF211" i="24" s="1"/>
  <c r="AD211" i="24" s="1"/>
  <c r="AI243" i="24"/>
  <c r="AH243" i="24" s="1"/>
  <c r="AG243" i="24" s="1"/>
  <c r="AF243" i="24" s="1"/>
  <c r="AD243" i="24" s="1"/>
  <c r="AI275" i="24"/>
  <c r="AH275" i="24" s="1"/>
  <c r="AG275" i="24" s="1"/>
  <c r="AF275" i="24" s="1"/>
  <c r="AD275" i="24" s="1"/>
  <c r="AI307" i="24"/>
  <c r="AH307" i="24" s="1"/>
  <c r="AG307" i="24" s="1"/>
  <c r="AF307" i="24" s="1"/>
  <c r="AD307" i="24" s="1"/>
  <c r="AI339" i="24"/>
  <c r="AH339" i="24" s="1"/>
  <c r="AG339" i="24" s="1"/>
  <c r="AF339" i="24" s="1"/>
  <c r="AD339" i="24" s="1"/>
  <c r="AI363" i="24"/>
  <c r="AH363" i="24" s="1"/>
  <c r="AG363" i="24" s="1"/>
  <c r="AF363" i="24" s="1"/>
  <c r="AD363" i="24" s="1"/>
  <c r="AI379" i="24"/>
  <c r="AI357" i="24"/>
  <c r="AH357" i="24" s="1"/>
  <c r="AG357" i="24" s="1"/>
  <c r="AF357" i="24" s="1"/>
  <c r="AD357" i="24" s="1"/>
  <c r="AI295" i="24"/>
  <c r="AH295" i="24" s="1"/>
  <c r="AG295" i="24" s="1"/>
  <c r="AF295" i="24" s="1"/>
  <c r="AD295" i="24" s="1"/>
  <c r="AI231" i="24"/>
  <c r="AH231" i="24" s="1"/>
  <c r="AG231" i="24" s="1"/>
  <c r="AF231" i="24" s="1"/>
  <c r="AD231" i="24" s="1"/>
  <c r="AI167" i="24"/>
  <c r="AH167" i="24" s="1"/>
  <c r="AG167" i="24" s="1"/>
  <c r="AF167" i="24" s="1"/>
  <c r="AD167" i="24" s="1"/>
  <c r="AI159" i="24"/>
  <c r="AH159" i="24" s="1"/>
  <c r="AG159" i="24" s="1"/>
  <c r="AF159" i="24" s="1"/>
  <c r="AD159" i="24" s="1"/>
  <c r="AI287" i="24"/>
  <c r="AH287" i="24" s="1"/>
  <c r="AG287" i="24" s="1"/>
  <c r="AF287" i="24" s="1"/>
  <c r="AD287" i="24" s="1"/>
  <c r="AI111" i="24"/>
  <c r="AH111" i="24" s="1"/>
  <c r="AG111" i="24" s="1"/>
  <c r="AF111" i="24" s="1"/>
  <c r="AD111" i="24" s="1"/>
  <c r="AI361" i="24"/>
  <c r="AH361" i="24" s="1"/>
  <c r="AG361" i="24" s="1"/>
  <c r="AF361" i="24" s="1"/>
  <c r="AD361" i="24" s="1"/>
  <c r="AI143" i="24"/>
  <c r="AH143" i="24" s="1"/>
  <c r="AG143" i="24" s="1"/>
  <c r="AF143" i="24" s="1"/>
  <c r="AD143" i="24" s="1"/>
  <c r="AI31" i="24"/>
  <c r="AH31" i="24" s="1"/>
  <c r="AG31" i="24" s="1"/>
  <c r="AF31" i="24" s="1"/>
  <c r="AD31" i="24" s="1"/>
  <c r="AI131" i="24"/>
  <c r="AH131" i="24" s="1"/>
  <c r="AG131" i="24" s="1"/>
  <c r="AF131" i="24" s="1"/>
  <c r="AD131" i="24" s="1"/>
  <c r="AI163" i="24"/>
  <c r="AH163" i="24" s="1"/>
  <c r="AG163" i="24" s="1"/>
  <c r="AF163" i="24" s="1"/>
  <c r="AD163" i="24" s="1"/>
  <c r="AI195" i="24"/>
  <c r="AH195" i="24" s="1"/>
  <c r="AG195" i="24" s="1"/>
  <c r="AF195" i="24" s="1"/>
  <c r="AD195" i="24" s="1"/>
  <c r="AI227" i="24"/>
  <c r="AH227" i="24" s="1"/>
  <c r="AG227" i="24" s="1"/>
  <c r="AF227" i="24" s="1"/>
  <c r="AD227" i="24" s="1"/>
  <c r="AI259" i="24"/>
  <c r="AH259" i="24" s="1"/>
  <c r="AG259" i="24" s="1"/>
  <c r="AF259" i="24" s="1"/>
  <c r="AD259" i="24" s="1"/>
  <c r="AI291" i="24"/>
  <c r="AH291" i="24" s="1"/>
  <c r="AG291" i="24" s="1"/>
  <c r="AF291" i="24" s="1"/>
  <c r="AD291" i="24" s="1"/>
  <c r="AI323" i="24"/>
  <c r="AH323" i="24" s="1"/>
  <c r="AG323" i="24" s="1"/>
  <c r="AF323" i="24" s="1"/>
  <c r="AD323" i="24" s="1"/>
  <c r="AI355" i="24"/>
  <c r="AH355" i="24" s="1"/>
  <c r="AG355" i="24" s="1"/>
  <c r="AF355" i="24" s="1"/>
  <c r="AD355" i="24" s="1"/>
  <c r="AI371" i="24"/>
  <c r="AH371" i="24" s="1"/>
  <c r="AG371" i="24" s="1"/>
  <c r="AF371" i="24" s="1"/>
  <c r="AD371" i="24" s="1"/>
  <c r="AI373" i="24"/>
  <c r="AH373" i="24" s="1"/>
  <c r="AG373" i="24" s="1"/>
  <c r="AF373" i="24" s="1"/>
  <c r="AD373" i="24" s="1"/>
  <c r="AI327" i="24"/>
  <c r="AH327" i="24" s="1"/>
  <c r="AG327" i="24" s="1"/>
  <c r="AF327" i="24" s="1"/>
  <c r="AD327" i="24" s="1"/>
  <c r="AI263" i="24"/>
  <c r="AH263" i="24" s="1"/>
  <c r="AG263" i="24" s="1"/>
  <c r="AF263" i="24" s="1"/>
  <c r="AD263" i="24" s="1"/>
  <c r="AI199" i="24"/>
  <c r="AH199" i="24" s="1"/>
  <c r="AG199" i="24" s="1"/>
  <c r="AF199" i="24" s="1"/>
  <c r="AD199" i="24" s="1"/>
  <c r="AI135" i="24"/>
  <c r="AH135" i="24" s="1"/>
  <c r="AG135" i="24" s="1"/>
  <c r="AF135" i="24" s="1"/>
  <c r="AD135" i="24" s="1"/>
  <c r="AI223" i="24"/>
  <c r="AH223" i="24" s="1"/>
  <c r="AG223" i="24" s="1"/>
  <c r="AF223" i="24" s="1"/>
  <c r="AD223" i="24" s="1"/>
  <c r="AI351" i="24"/>
  <c r="AH351" i="24" s="1"/>
  <c r="AG351" i="24" s="1"/>
  <c r="AF351" i="24" s="1"/>
  <c r="AD351" i="24" s="1"/>
  <c r="AI239" i="24"/>
  <c r="AH239" i="24" s="1"/>
  <c r="AG239" i="24" s="1"/>
  <c r="AF239" i="24" s="1"/>
  <c r="AD239" i="24" s="1"/>
  <c r="AI207" i="24"/>
  <c r="AH207" i="24" s="1"/>
  <c r="AG207" i="24" s="1"/>
  <c r="AF207" i="24" s="1"/>
  <c r="AD207" i="24" s="1"/>
  <c r="AI377" i="24"/>
  <c r="AH377" i="24" s="1"/>
  <c r="AG377" i="24" s="1"/>
  <c r="V149" i="24"/>
  <c r="AH60" i="7"/>
  <c r="AH66" i="7"/>
  <c r="V302" i="24"/>
  <c r="AH65" i="7"/>
  <c r="AH59" i="7"/>
  <c r="V119" i="24"/>
  <c r="AH58" i="7"/>
  <c r="AH67" i="7" l="1"/>
  <c r="AH57" i="7"/>
  <c r="V29" i="24"/>
  <c r="AH64" i="7"/>
  <c r="U382" i="24"/>
  <c r="AH62" i="7"/>
  <c r="T379" i="24"/>
  <c r="S379" i="24" s="1"/>
  <c r="R379" i="24" s="1"/>
  <c r="P379" i="24" s="1"/>
  <c r="V379" i="24" s="1"/>
  <c r="M69" i="19" s="1"/>
  <c r="AZ16" i="7"/>
  <c r="BF11" i="7" s="1"/>
  <c r="U11" i="25" s="1"/>
  <c r="U10" i="25" s="1"/>
  <c r="U383" i="24"/>
  <c r="J69" i="19"/>
  <c r="F69" i="19"/>
  <c r="K69" i="19"/>
  <c r="H69" i="19"/>
  <c r="C69" i="19"/>
  <c r="I69" i="19"/>
  <c r="D69" i="19"/>
  <c r="E69" i="19"/>
  <c r="L69" i="19"/>
  <c r="G69" i="19"/>
  <c r="U381" i="24"/>
  <c r="AI12" i="25"/>
  <c r="AH379" i="24"/>
  <c r="AG379" i="24" s="1"/>
  <c r="AF379" i="24" s="1"/>
  <c r="AD379" i="24" s="1"/>
  <c r="R381" i="23"/>
  <c r="P15" i="23"/>
  <c r="R383" i="23"/>
  <c r="R382" i="23"/>
  <c r="V383" i="22"/>
  <c r="V382" i="22"/>
  <c r="V381" i="22"/>
  <c r="B67" i="19"/>
  <c r="N67" i="19" s="1"/>
  <c r="S15" i="24"/>
  <c r="BE16" i="7"/>
  <c r="U379" i="25"/>
  <c r="U70" i="25"/>
  <c r="T70" i="25" s="1"/>
  <c r="S70" i="25" s="1"/>
  <c r="R70" i="25" s="1"/>
  <c r="P70" i="25" s="1"/>
  <c r="V70" i="25" s="1"/>
  <c r="U134" i="25"/>
  <c r="T134" i="25" s="1"/>
  <c r="S134" i="25" s="1"/>
  <c r="R134" i="25" s="1"/>
  <c r="P134" i="25" s="1"/>
  <c r="V134" i="25" s="1"/>
  <c r="U24" i="25"/>
  <c r="T24" i="25" s="1"/>
  <c r="S24" i="25" s="1"/>
  <c r="R24" i="25" s="1"/>
  <c r="P24" i="25" s="1"/>
  <c r="V24" i="25" s="1"/>
  <c r="U88" i="25"/>
  <c r="T88" i="25" s="1"/>
  <c r="S88" i="25" s="1"/>
  <c r="R88" i="25" s="1"/>
  <c r="P88" i="25" s="1"/>
  <c r="U120" i="25"/>
  <c r="T120" i="25" s="1"/>
  <c r="S120" i="25" s="1"/>
  <c r="R120" i="25" s="1"/>
  <c r="P120" i="25" s="1"/>
  <c r="V120" i="25" s="1"/>
  <c r="U152" i="25"/>
  <c r="T152" i="25" s="1"/>
  <c r="S152" i="25" s="1"/>
  <c r="R152" i="25" s="1"/>
  <c r="P152" i="25" s="1"/>
  <c r="V152" i="25" s="1"/>
  <c r="U380" i="25"/>
  <c r="T380" i="25" s="1"/>
  <c r="S380" i="25" s="1"/>
  <c r="R380" i="25" s="1"/>
  <c r="P380" i="25" s="1"/>
  <c r="V380" i="25" s="1"/>
  <c r="AH15" i="24"/>
  <c r="AI382" i="24"/>
  <c r="AI381" i="24"/>
  <c r="AI383" i="24"/>
  <c r="AF104" i="23"/>
  <c r="AG382" i="23"/>
  <c r="AG383" i="23"/>
  <c r="AG381" i="23"/>
  <c r="AF377" i="24"/>
  <c r="D43" i="19" l="1"/>
  <c r="T381" i="24"/>
  <c r="T382" i="24"/>
  <c r="T383" i="24"/>
  <c r="U25" i="25"/>
  <c r="T25" i="25" s="1"/>
  <c r="S25" i="25" s="1"/>
  <c r="R25" i="25" s="1"/>
  <c r="P25" i="25" s="1"/>
  <c r="V25" i="25" s="1"/>
  <c r="U57" i="25"/>
  <c r="T57" i="25" s="1"/>
  <c r="S57" i="25" s="1"/>
  <c r="R57" i="25" s="1"/>
  <c r="P57" i="25" s="1"/>
  <c r="V57" i="25" s="1"/>
  <c r="U89" i="25"/>
  <c r="T89" i="25" s="1"/>
  <c r="S89" i="25" s="1"/>
  <c r="R89" i="25" s="1"/>
  <c r="P89" i="25" s="1"/>
  <c r="V89" i="25" s="1"/>
  <c r="U121" i="25"/>
  <c r="T121" i="25" s="1"/>
  <c r="S121" i="25" s="1"/>
  <c r="R121" i="25" s="1"/>
  <c r="P121" i="25" s="1"/>
  <c r="V121" i="25" s="1"/>
  <c r="U153" i="25"/>
  <c r="T153" i="25" s="1"/>
  <c r="S153" i="25" s="1"/>
  <c r="R153" i="25" s="1"/>
  <c r="P153" i="25" s="1"/>
  <c r="V153" i="25" s="1"/>
  <c r="U184" i="25"/>
  <c r="T184" i="25" s="1"/>
  <c r="S184" i="25" s="1"/>
  <c r="R184" i="25" s="1"/>
  <c r="P184" i="25" s="1"/>
  <c r="V184" i="25" s="1"/>
  <c r="U200" i="25"/>
  <c r="T200" i="25" s="1"/>
  <c r="S200" i="25" s="1"/>
  <c r="R200" i="25" s="1"/>
  <c r="P200" i="25" s="1"/>
  <c r="V200" i="25" s="1"/>
  <c r="U216" i="25"/>
  <c r="T216" i="25" s="1"/>
  <c r="S216" i="25" s="1"/>
  <c r="R216" i="25" s="1"/>
  <c r="P216" i="25" s="1"/>
  <c r="V216" i="25" s="1"/>
  <c r="U232" i="25"/>
  <c r="T232" i="25" s="1"/>
  <c r="S232" i="25" s="1"/>
  <c r="R232" i="25" s="1"/>
  <c r="P232" i="25" s="1"/>
  <c r="V232" i="25" s="1"/>
  <c r="U248" i="25"/>
  <c r="T248" i="25" s="1"/>
  <c r="S248" i="25" s="1"/>
  <c r="R248" i="25" s="1"/>
  <c r="P248" i="25" s="1"/>
  <c r="V248" i="25" s="1"/>
  <c r="U264" i="25"/>
  <c r="T264" i="25" s="1"/>
  <c r="S264" i="25" s="1"/>
  <c r="R264" i="25" s="1"/>
  <c r="P264" i="25" s="1"/>
  <c r="V264" i="25" s="1"/>
  <c r="U280" i="25"/>
  <c r="T280" i="25" s="1"/>
  <c r="S280" i="25" s="1"/>
  <c r="R280" i="25" s="1"/>
  <c r="P280" i="25" s="1"/>
  <c r="V280" i="25" s="1"/>
  <c r="U296" i="25"/>
  <c r="T296" i="25" s="1"/>
  <c r="S296" i="25" s="1"/>
  <c r="R296" i="25" s="1"/>
  <c r="P296" i="25" s="1"/>
  <c r="V296" i="25" s="1"/>
  <c r="U312" i="25"/>
  <c r="T312" i="25" s="1"/>
  <c r="S312" i="25" s="1"/>
  <c r="R312" i="25" s="1"/>
  <c r="P312" i="25" s="1"/>
  <c r="V312" i="25" s="1"/>
  <c r="U328" i="25"/>
  <c r="T328" i="25" s="1"/>
  <c r="S328" i="25" s="1"/>
  <c r="R328" i="25" s="1"/>
  <c r="P328" i="25" s="1"/>
  <c r="V328" i="25" s="1"/>
  <c r="U344" i="25"/>
  <c r="T344" i="25" s="1"/>
  <c r="S344" i="25" s="1"/>
  <c r="R344" i="25" s="1"/>
  <c r="P344" i="25" s="1"/>
  <c r="V344" i="25" s="1"/>
  <c r="U360" i="25"/>
  <c r="T360" i="25" s="1"/>
  <c r="S360" i="25" s="1"/>
  <c r="R360" i="25" s="1"/>
  <c r="P360" i="25" s="1"/>
  <c r="V360" i="25" s="1"/>
  <c r="U376" i="25"/>
  <c r="T376" i="25" s="1"/>
  <c r="S376" i="25" s="1"/>
  <c r="R376" i="25" s="1"/>
  <c r="P376" i="25" s="1"/>
  <c r="V376" i="25" s="1"/>
  <c r="U47" i="25"/>
  <c r="T47" i="25" s="1"/>
  <c r="S47" i="25" s="1"/>
  <c r="R47" i="25" s="1"/>
  <c r="P47" i="25" s="1"/>
  <c r="V47" i="25" s="1"/>
  <c r="U79" i="25"/>
  <c r="T79" i="25" s="1"/>
  <c r="S79" i="25" s="1"/>
  <c r="R79" i="25" s="1"/>
  <c r="P79" i="25" s="1"/>
  <c r="V79" i="25" s="1"/>
  <c r="U111" i="25"/>
  <c r="T111" i="25" s="1"/>
  <c r="S111" i="25" s="1"/>
  <c r="R111" i="25" s="1"/>
  <c r="P111" i="25" s="1"/>
  <c r="V111" i="25" s="1"/>
  <c r="U143" i="25"/>
  <c r="T143" i="25" s="1"/>
  <c r="S143" i="25" s="1"/>
  <c r="R143" i="25" s="1"/>
  <c r="P143" i="25" s="1"/>
  <c r="V143" i="25" s="1"/>
  <c r="U175" i="25"/>
  <c r="T175" i="25" s="1"/>
  <c r="S175" i="25" s="1"/>
  <c r="R175" i="25" s="1"/>
  <c r="P175" i="25" s="1"/>
  <c r="V175" i="25" s="1"/>
  <c r="U195" i="25"/>
  <c r="T195" i="25" s="1"/>
  <c r="S195" i="25" s="1"/>
  <c r="R195" i="25" s="1"/>
  <c r="P195" i="25" s="1"/>
  <c r="V195" i="25" s="1"/>
  <c r="U211" i="25"/>
  <c r="T211" i="25" s="1"/>
  <c r="S211" i="25" s="1"/>
  <c r="R211" i="25" s="1"/>
  <c r="P211" i="25" s="1"/>
  <c r="V211" i="25" s="1"/>
  <c r="U227" i="25"/>
  <c r="T227" i="25" s="1"/>
  <c r="S227" i="25" s="1"/>
  <c r="R227" i="25" s="1"/>
  <c r="P227" i="25" s="1"/>
  <c r="V227" i="25" s="1"/>
  <c r="U243" i="25"/>
  <c r="T243" i="25" s="1"/>
  <c r="S243" i="25" s="1"/>
  <c r="R243" i="25" s="1"/>
  <c r="P243" i="25" s="1"/>
  <c r="V243" i="25" s="1"/>
  <c r="U259" i="25"/>
  <c r="T259" i="25" s="1"/>
  <c r="S259" i="25" s="1"/>
  <c r="R259" i="25" s="1"/>
  <c r="P259" i="25" s="1"/>
  <c r="V259" i="25" s="1"/>
  <c r="U275" i="25"/>
  <c r="T275" i="25" s="1"/>
  <c r="S275" i="25" s="1"/>
  <c r="R275" i="25" s="1"/>
  <c r="P275" i="25" s="1"/>
  <c r="V275" i="25" s="1"/>
  <c r="U291" i="25"/>
  <c r="T291" i="25" s="1"/>
  <c r="S291" i="25" s="1"/>
  <c r="R291" i="25" s="1"/>
  <c r="P291" i="25" s="1"/>
  <c r="V291" i="25" s="1"/>
  <c r="U307" i="25"/>
  <c r="T307" i="25" s="1"/>
  <c r="S307" i="25" s="1"/>
  <c r="R307" i="25" s="1"/>
  <c r="P307" i="25" s="1"/>
  <c r="V307" i="25" s="1"/>
  <c r="U323" i="25"/>
  <c r="T323" i="25" s="1"/>
  <c r="S323" i="25" s="1"/>
  <c r="R323" i="25" s="1"/>
  <c r="P323" i="25" s="1"/>
  <c r="V323" i="25" s="1"/>
  <c r="U339" i="25"/>
  <c r="T339" i="25" s="1"/>
  <c r="S339" i="25" s="1"/>
  <c r="R339" i="25" s="1"/>
  <c r="P339" i="25" s="1"/>
  <c r="V339" i="25" s="1"/>
  <c r="U355" i="25"/>
  <c r="T355" i="25" s="1"/>
  <c r="S355" i="25" s="1"/>
  <c r="R355" i="25" s="1"/>
  <c r="P355" i="25" s="1"/>
  <c r="V355" i="25" s="1"/>
  <c r="U371" i="25"/>
  <c r="T371" i="25" s="1"/>
  <c r="S371" i="25" s="1"/>
  <c r="R371" i="25" s="1"/>
  <c r="P371" i="25" s="1"/>
  <c r="V371" i="25" s="1"/>
  <c r="U17" i="25"/>
  <c r="T17" i="25" s="1"/>
  <c r="S17" i="25" s="1"/>
  <c r="R17" i="25" s="1"/>
  <c r="P17" i="25" s="1"/>
  <c r="V17" i="25" s="1"/>
  <c r="U54" i="25"/>
  <c r="T54" i="25" s="1"/>
  <c r="S54" i="25" s="1"/>
  <c r="R54" i="25" s="1"/>
  <c r="P54" i="25" s="1"/>
  <c r="V54" i="25" s="1"/>
  <c r="U86" i="25"/>
  <c r="T86" i="25" s="1"/>
  <c r="S86" i="25" s="1"/>
  <c r="R86" i="25" s="1"/>
  <c r="P86" i="25" s="1"/>
  <c r="V86" i="25" s="1"/>
  <c r="U118" i="25"/>
  <c r="T118" i="25" s="1"/>
  <c r="S118" i="25" s="1"/>
  <c r="R118" i="25" s="1"/>
  <c r="P118" i="25" s="1"/>
  <c r="V118" i="25" s="1"/>
  <c r="U150" i="25"/>
  <c r="T150" i="25" s="1"/>
  <c r="S150" i="25" s="1"/>
  <c r="R150" i="25" s="1"/>
  <c r="P150" i="25" s="1"/>
  <c r="V150" i="25" s="1"/>
  <c r="U182" i="25"/>
  <c r="T182" i="25" s="1"/>
  <c r="S182" i="25" s="1"/>
  <c r="R182" i="25" s="1"/>
  <c r="P182" i="25" s="1"/>
  <c r="V182" i="25" s="1"/>
  <c r="U40" i="25"/>
  <c r="T40" i="25" s="1"/>
  <c r="S40" i="25" s="1"/>
  <c r="R40" i="25" s="1"/>
  <c r="P40" i="25" s="1"/>
  <c r="V40" i="25" s="1"/>
  <c r="U72" i="25"/>
  <c r="T72" i="25" s="1"/>
  <c r="S72" i="25" s="1"/>
  <c r="R72" i="25" s="1"/>
  <c r="P72" i="25" s="1"/>
  <c r="V72" i="25" s="1"/>
  <c r="U96" i="25"/>
  <c r="T96" i="25" s="1"/>
  <c r="S96" i="25" s="1"/>
  <c r="R96" i="25" s="1"/>
  <c r="P96" i="25" s="1"/>
  <c r="V96" i="25" s="1"/>
  <c r="U112" i="25"/>
  <c r="T112" i="25" s="1"/>
  <c r="S112" i="25" s="1"/>
  <c r="R112" i="25" s="1"/>
  <c r="P112" i="25" s="1"/>
  <c r="V112" i="25" s="1"/>
  <c r="U128" i="25"/>
  <c r="T128" i="25" s="1"/>
  <c r="S128" i="25" s="1"/>
  <c r="R128" i="25" s="1"/>
  <c r="P128" i="25" s="1"/>
  <c r="V128" i="25" s="1"/>
  <c r="U144" i="25"/>
  <c r="T144" i="25" s="1"/>
  <c r="S144" i="25" s="1"/>
  <c r="R144" i="25" s="1"/>
  <c r="P144" i="25" s="1"/>
  <c r="V144" i="25" s="1"/>
  <c r="U160" i="25"/>
  <c r="T160" i="25" s="1"/>
  <c r="S160" i="25" s="1"/>
  <c r="R160" i="25" s="1"/>
  <c r="P160" i="25" s="1"/>
  <c r="V160" i="25" s="1"/>
  <c r="U176" i="25"/>
  <c r="T176" i="25" s="1"/>
  <c r="S176" i="25" s="1"/>
  <c r="R176" i="25" s="1"/>
  <c r="P176" i="25" s="1"/>
  <c r="V176" i="25" s="1"/>
  <c r="BG16" i="7"/>
  <c r="U41" i="25"/>
  <c r="T41" i="25" s="1"/>
  <c r="S41" i="25" s="1"/>
  <c r="R41" i="25" s="1"/>
  <c r="P41" i="25" s="1"/>
  <c r="V41" i="25" s="1"/>
  <c r="U73" i="25"/>
  <c r="T73" i="25" s="1"/>
  <c r="S73" i="25" s="1"/>
  <c r="R73" i="25" s="1"/>
  <c r="P73" i="25" s="1"/>
  <c r="V73" i="25" s="1"/>
  <c r="U105" i="25"/>
  <c r="T105" i="25" s="1"/>
  <c r="S105" i="25" s="1"/>
  <c r="R105" i="25" s="1"/>
  <c r="P105" i="25" s="1"/>
  <c r="V105" i="25" s="1"/>
  <c r="U137" i="25"/>
  <c r="T137" i="25" s="1"/>
  <c r="S137" i="25" s="1"/>
  <c r="R137" i="25" s="1"/>
  <c r="P137" i="25" s="1"/>
  <c r="V137" i="25" s="1"/>
  <c r="U169" i="25"/>
  <c r="T169" i="25" s="1"/>
  <c r="S169" i="25" s="1"/>
  <c r="R169" i="25" s="1"/>
  <c r="P169" i="25" s="1"/>
  <c r="V169" i="25" s="1"/>
  <c r="U192" i="25"/>
  <c r="T192" i="25" s="1"/>
  <c r="S192" i="25" s="1"/>
  <c r="R192" i="25" s="1"/>
  <c r="P192" i="25" s="1"/>
  <c r="V192" i="25" s="1"/>
  <c r="U208" i="25"/>
  <c r="T208" i="25" s="1"/>
  <c r="S208" i="25" s="1"/>
  <c r="R208" i="25" s="1"/>
  <c r="P208" i="25" s="1"/>
  <c r="V208" i="25" s="1"/>
  <c r="U224" i="25"/>
  <c r="T224" i="25" s="1"/>
  <c r="S224" i="25" s="1"/>
  <c r="R224" i="25" s="1"/>
  <c r="P224" i="25" s="1"/>
  <c r="V224" i="25" s="1"/>
  <c r="U240" i="25"/>
  <c r="T240" i="25" s="1"/>
  <c r="S240" i="25" s="1"/>
  <c r="R240" i="25" s="1"/>
  <c r="P240" i="25" s="1"/>
  <c r="V240" i="25" s="1"/>
  <c r="U256" i="25"/>
  <c r="T256" i="25" s="1"/>
  <c r="S256" i="25" s="1"/>
  <c r="R256" i="25" s="1"/>
  <c r="P256" i="25" s="1"/>
  <c r="V256" i="25" s="1"/>
  <c r="U272" i="25"/>
  <c r="T272" i="25" s="1"/>
  <c r="S272" i="25" s="1"/>
  <c r="R272" i="25" s="1"/>
  <c r="P272" i="25" s="1"/>
  <c r="V272" i="25" s="1"/>
  <c r="U288" i="25"/>
  <c r="T288" i="25" s="1"/>
  <c r="S288" i="25" s="1"/>
  <c r="R288" i="25" s="1"/>
  <c r="P288" i="25" s="1"/>
  <c r="V288" i="25" s="1"/>
  <c r="U304" i="25"/>
  <c r="T304" i="25" s="1"/>
  <c r="S304" i="25" s="1"/>
  <c r="R304" i="25" s="1"/>
  <c r="P304" i="25" s="1"/>
  <c r="V304" i="25" s="1"/>
  <c r="U320" i="25"/>
  <c r="T320" i="25" s="1"/>
  <c r="S320" i="25" s="1"/>
  <c r="R320" i="25" s="1"/>
  <c r="P320" i="25" s="1"/>
  <c r="V320" i="25" s="1"/>
  <c r="U336" i="25"/>
  <c r="T336" i="25" s="1"/>
  <c r="S336" i="25" s="1"/>
  <c r="R336" i="25" s="1"/>
  <c r="P336" i="25" s="1"/>
  <c r="V336" i="25" s="1"/>
  <c r="U352" i="25"/>
  <c r="T352" i="25" s="1"/>
  <c r="S352" i="25" s="1"/>
  <c r="R352" i="25" s="1"/>
  <c r="P352" i="25" s="1"/>
  <c r="V352" i="25" s="1"/>
  <c r="U368" i="25"/>
  <c r="T368" i="25" s="1"/>
  <c r="S368" i="25" s="1"/>
  <c r="R368" i="25" s="1"/>
  <c r="P368" i="25" s="1"/>
  <c r="V368" i="25" s="1"/>
  <c r="U31" i="25"/>
  <c r="T31" i="25" s="1"/>
  <c r="S31" i="25" s="1"/>
  <c r="R31" i="25" s="1"/>
  <c r="P31" i="25" s="1"/>
  <c r="V31" i="25" s="1"/>
  <c r="U63" i="25"/>
  <c r="T63" i="25" s="1"/>
  <c r="S63" i="25" s="1"/>
  <c r="R63" i="25" s="1"/>
  <c r="P63" i="25" s="1"/>
  <c r="V63" i="25" s="1"/>
  <c r="U95" i="25"/>
  <c r="T95" i="25" s="1"/>
  <c r="S95" i="25" s="1"/>
  <c r="R95" i="25" s="1"/>
  <c r="P95" i="25" s="1"/>
  <c r="V95" i="25" s="1"/>
  <c r="U127" i="25"/>
  <c r="T127" i="25" s="1"/>
  <c r="S127" i="25" s="1"/>
  <c r="R127" i="25" s="1"/>
  <c r="P127" i="25" s="1"/>
  <c r="V127" i="25" s="1"/>
  <c r="U159" i="25"/>
  <c r="T159" i="25" s="1"/>
  <c r="S159" i="25" s="1"/>
  <c r="R159" i="25" s="1"/>
  <c r="P159" i="25" s="1"/>
  <c r="V159" i="25" s="1"/>
  <c r="U187" i="25"/>
  <c r="T187" i="25" s="1"/>
  <c r="S187" i="25" s="1"/>
  <c r="R187" i="25" s="1"/>
  <c r="P187" i="25" s="1"/>
  <c r="V187" i="25" s="1"/>
  <c r="U203" i="25"/>
  <c r="T203" i="25" s="1"/>
  <c r="S203" i="25" s="1"/>
  <c r="R203" i="25" s="1"/>
  <c r="P203" i="25" s="1"/>
  <c r="V203" i="25" s="1"/>
  <c r="U219" i="25"/>
  <c r="T219" i="25" s="1"/>
  <c r="S219" i="25" s="1"/>
  <c r="R219" i="25" s="1"/>
  <c r="P219" i="25" s="1"/>
  <c r="V219" i="25" s="1"/>
  <c r="U235" i="25"/>
  <c r="T235" i="25" s="1"/>
  <c r="S235" i="25" s="1"/>
  <c r="R235" i="25" s="1"/>
  <c r="P235" i="25" s="1"/>
  <c r="V235" i="25" s="1"/>
  <c r="U251" i="25"/>
  <c r="T251" i="25" s="1"/>
  <c r="S251" i="25" s="1"/>
  <c r="R251" i="25" s="1"/>
  <c r="P251" i="25" s="1"/>
  <c r="V251" i="25" s="1"/>
  <c r="U267" i="25"/>
  <c r="T267" i="25" s="1"/>
  <c r="S267" i="25" s="1"/>
  <c r="R267" i="25" s="1"/>
  <c r="P267" i="25" s="1"/>
  <c r="V267" i="25" s="1"/>
  <c r="U283" i="25"/>
  <c r="T283" i="25" s="1"/>
  <c r="S283" i="25" s="1"/>
  <c r="R283" i="25" s="1"/>
  <c r="P283" i="25" s="1"/>
  <c r="V283" i="25" s="1"/>
  <c r="U299" i="25"/>
  <c r="T299" i="25" s="1"/>
  <c r="S299" i="25" s="1"/>
  <c r="R299" i="25" s="1"/>
  <c r="P299" i="25" s="1"/>
  <c r="V299" i="25" s="1"/>
  <c r="U315" i="25"/>
  <c r="T315" i="25" s="1"/>
  <c r="S315" i="25" s="1"/>
  <c r="R315" i="25" s="1"/>
  <c r="P315" i="25" s="1"/>
  <c r="V315" i="25" s="1"/>
  <c r="U331" i="25"/>
  <c r="T331" i="25" s="1"/>
  <c r="S331" i="25" s="1"/>
  <c r="R331" i="25" s="1"/>
  <c r="P331" i="25" s="1"/>
  <c r="V331" i="25" s="1"/>
  <c r="U347" i="25"/>
  <c r="T347" i="25" s="1"/>
  <c r="S347" i="25" s="1"/>
  <c r="R347" i="25" s="1"/>
  <c r="P347" i="25" s="1"/>
  <c r="V347" i="25" s="1"/>
  <c r="U363" i="25"/>
  <c r="T363" i="25" s="1"/>
  <c r="S363" i="25" s="1"/>
  <c r="R363" i="25" s="1"/>
  <c r="P363" i="25" s="1"/>
  <c r="AH79" i="7" s="1"/>
  <c r="U168" i="25"/>
  <c r="T168" i="25" s="1"/>
  <c r="S168" i="25" s="1"/>
  <c r="R168" i="25" s="1"/>
  <c r="P168" i="25" s="1"/>
  <c r="V168" i="25" s="1"/>
  <c r="U136" i="25"/>
  <c r="T136" i="25" s="1"/>
  <c r="S136" i="25" s="1"/>
  <c r="R136" i="25" s="1"/>
  <c r="P136" i="25" s="1"/>
  <c r="V136" i="25" s="1"/>
  <c r="U104" i="25"/>
  <c r="T104" i="25" s="1"/>
  <c r="S104" i="25" s="1"/>
  <c r="R104" i="25" s="1"/>
  <c r="P104" i="25" s="1"/>
  <c r="V104" i="25" s="1"/>
  <c r="U56" i="25"/>
  <c r="T56" i="25" s="1"/>
  <c r="S56" i="25" s="1"/>
  <c r="R56" i="25" s="1"/>
  <c r="P56" i="25" s="1"/>
  <c r="V56" i="25" s="1"/>
  <c r="U166" i="25"/>
  <c r="T166" i="25" s="1"/>
  <c r="S166" i="25" s="1"/>
  <c r="R166" i="25" s="1"/>
  <c r="P166" i="25" s="1"/>
  <c r="V166" i="25" s="1"/>
  <c r="U102" i="25"/>
  <c r="T102" i="25" s="1"/>
  <c r="S102" i="25" s="1"/>
  <c r="R102" i="25" s="1"/>
  <c r="P102" i="25" s="1"/>
  <c r="V102" i="25" s="1"/>
  <c r="U38" i="25"/>
  <c r="T38" i="25" s="1"/>
  <c r="S38" i="25" s="1"/>
  <c r="R38" i="25" s="1"/>
  <c r="P38" i="25" s="1"/>
  <c r="V38" i="25" s="1"/>
  <c r="U29" i="25"/>
  <c r="T29" i="25" s="1"/>
  <c r="S29" i="25" s="1"/>
  <c r="R29" i="25" s="1"/>
  <c r="P29" i="25" s="1"/>
  <c r="AH68" i="7" s="1"/>
  <c r="U37" i="25"/>
  <c r="T37" i="25" s="1"/>
  <c r="S37" i="25" s="1"/>
  <c r="R37" i="25" s="1"/>
  <c r="P37" i="25" s="1"/>
  <c r="V37" i="25" s="1"/>
  <c r="U45" i="25"/>
  <c r="T45" i="25" s="1"/>
  <c r="S45" i="25" s="1"/>
  <c r="R45" i="25" s="1"/>
  <c r="P45" i="25" s="1"/>
  <c r="V45" i="25" s="1"/>
  <c r="U53" i="25"/>
  <c r="T53" i="25" s="1"/>
  <c r="S53" i="25" s="1"/>
  <c r="R53" i="25" s="1"/>
  <c r="P53" i="25" s="1"/>
  <c r="V53" i="25" s="1"/>
  <c r="U61" i="25"/>
  <c r="T61" i="25" s="1"/>
  <c r="S61" i="25" s="1"/>
  <c r="R61" i="25" s="1"/>
  <c r="P61" i="25" s="1"/>
  <c r="V61" i="25" s="1"/>
  <c r="U69" i="25"/>
  <c r="T69" i="25" s="1"/>
  <c r="S69" i="25" s="1"/>
  <c r="R69" i="25" s="1"/>
  <c r="P69" i="25" s="1"/>
  <c r="V69" i="25" s="1"/>
  <c r="U77" i="25"/>
  <c r="T77" i="25" s="1"/>
  <c r="S77" i="25" s="1"/>
  <c r="R77" i="25" s="1"/>
  <c r="P77" i="25" s="1"/>
  <c r="V77" i="25" s="1"/>
  <c r="U85" i="25"/>
  <c r="T85" i="25" s="1"/>
  <c r="S85" i="25" s="1"/>
  <c r="R85" i="25" s="1"/>
  <c r="P85" i="25" s="1"/>
  <c r="V85" i="25" s="1"/>
  <c r="U93" i="25"/>
  <c r="T93" i="25" s="1"/>
  <c r="S93" i="25" s="1"/>
  <c r="R93" i="25" s="1"/>
  <c r="P93" i="25" s="1"/>
  <c r="V93" i="25" s="1"/>
  <c r="U101" i="25"/>
  <c r="T101" i="25" s="1"/>
  <c r="S101" i="25" s="1"/>
  <c r="R101" i="25" s="1"/>
  <c r="P101" i="25" s="1"/>
  <c r="V101" i="25" s="1"/>
  <c r="U109" i="25"/>
  <c r="T109" i="25" s="1"/>
  <c r="S109" i="25" s="1"/>
  <c r="R109" i="25" s="1"/>
  <c r="P109" i="25" s="1"/>
  <c r="V109" i="25" s="1"/>
  <c r="U117" i="25"/>
  <c r="T117" i="25" s="1"/>
  <c r="S117" i="25" s="1"/>
  <c r="R117" i="25" s="1"/>
  <c r="P117" i="25" s="1"/>
  <c r="V117" i="25" s="1"/>
  <c r="U125" i="25"/>
  <c r="T125" i="25" s="1"/>
  <c r="S125" i="25" s="1"/>
  <c r="R125" i="25" s="1"/>
  <c r="P125" i="25" s="1"/>
  <c r="V125" i="25" s="1"/>
  <c r="U133" i="25"/>
  <c r="T133" i="25" s="1"/>
  <c r="S133" i="25" s="1"/>
  <c r="R133" i="25" s="1"/>
  <c r="P133" i="25" s="1"/>
  <c r="V133" i="25" s="1"/>
  <c r="U141" i="25"/>
  <c r="T141" i="25" s="1"/>
  <c r="S141" i="25" s="1"/>
  <c r="R141" i="25" s="1"/>
  <c r="P141" i="25" s="1"/>
  <c r="V141" i="25" s="1"/>
  <c r="U149" i="25"/>
  <c r="T149" i="25" s="1"/>
  <c r="S149" i="25" s="1"/>
  <c r="R149" i="25" s="1"/>
  <c r="P149" i="25" s="1"/>
  <c r="AH72" i="7" s="1"/>
  <c r="U157" i="25"/>
  <c r="T157" i="25" s="1"/>
  <c r="S157" i="25" s="1"/>
  <c r="R157" i="25" s="1"/>
  <c r="P157" i="25" s="1"/>
  <c r="V157" i="25" s="1"/>
  <c r="U165" i="25"/>
  <c r="T165" i="25" s="1"/>
  <c r="S165" i="25" s="1"/>
  <c r="R165" i="25" s="1"/>
  <c r="P165" i="25" s="1"/>
  <c r="V165" i="25" s="1"/>
  <c r="U173" i="25"/>
  <c r="T173" i="25" s="1"/>
  <c r="S173" i="25" s="1"/>
  <c r="R173" i="25" s="1"/>
  <c r="P173" i="25" s="1"/>
  <c r="V173" i="25" s="1"/>
  <c r="U181" i="25"/>
  <c r="T181" i="25" s="1"/>
  <c r="S181" i="25" s="1"/>
  <c r="R181" i="25" s="1"/>
  <c r="P181" i="25" s="1"/>
  <c r="V181" i="25" s="1"/>
  <c r="U186" i="25"/>
  <c r="T186" i="25" s="1"/>
  <c r="S186" i="25" s="1"/>
  <c r="R186" i="25" s="1"/>
  <c r="P186" i="25" s="1"/>
  <c r="V186" i="25" s="1"/>
  <c r="U190" i="25"/>
  <c r="T190" i="25" s="1"/>
  <c r="S190" i="25" s="1"/>
  <c r="R190" i="25" s="1"/>
  <c r="P190" i="25" s="1"/>
  <c r="V190" i="25" s="1"/>
  <c r="U194" i="25"/>
  <c r="T194" i="25" s="1"/>
  <c r="S194" i="25" s="1"/>
  <c r="R194" i="25" s="1"/>
  <c r="P194" i="25" s="1"/>
  <c r="V194" i="25" s="1"/>
  <c r="U198" i="25"/>
  <c r="T198" i="25" s="1"/>
  <c r="S198" i="25" s="1"/>
  <c r="R198" i="25" s="1"/>
  <c r="P198" i="25" s="1"/>
  <c r="V198" i="25" s="1"/>
  <c r="U202" i="25"/>
  <c r="T202" i="25" s="1"/>
  <c r="S202" i="25" s="1"/>
  <c r="R202" i="25" s="1"/>
  <c r="P202" i="25" s="1"/>
  <c r="V202" i="25" s="1"/>
  <c r="U206" i="25"/>
  <c r="T206" i="25" s="1"/>
  <c r="S206" i="25" s="1"/>
  <c r="R206" i="25" s="1"/>
  <c r="P206" i="25" s="1"/>
  <c r="V206" i="25" s="1"/>
  <c r="U210" i="25"/>
  <c r="T210" i="25" s="1"/>
  <c r="S210" i="25" s="1"/>
  <c r="R210" i="25" s="1"/>
  <c r="P210" i="25" s="1"/>
  <c r="AH74" i="7" s="1"/>
  <c r="U214" i="25"/>
  <c r="T214" i="25" s="1"/>
  <c r="S214" i="25" s="1"/>
  <c r="R214" i="25" s="1"/>
  <c r="P214" i="25" s="1"/>
  <c r="V214" i="25" s="1"/>
  <c r="U218" i="25"/>
  <c r="T218" i="25" s="1"/>
  <c r="S218" i="25" s="1"/>
  <c r="R218" i="25" s="1"/>
  <c r="P218" i="25" s="1"/>
  <c r="V218" i="25" s="1"/>
  <c r="U222" i="25"/>
  <c r="T222" i="25" s="1"/>
  <c r="S222" i="25" s="1"/>
  <c r="R222" i="25" s="1"/>
  <c r="P222" i="25" s="1"/>
  <c r="V222" i="25" s="1"/>
  <c r="U226" i="25"/>
  <c r="T226" i="25" s="1"/>
  <c r="S226" i="25" s="1"/>
  <c r="R226" i="25" s="1"/>
  <c r="P226" i="25" s="1"/>
  <c r="V226" i="25" s="1"/>
  <c r="U230" i="25"/>
  <c r="T230" i="25" s="1"/>
  <c r="S230" i="25" s="1"/>
  <c r="R230" i="25" s="1"/>
  <c r="P230" i="25" s="1"/>
  <c r="V230" i="25" s="1"/>
  <c r="U234" i="25"/>
  <c r="T234" i="25" s="1"/>
  <c r="S234" i="25" s="1"/>
  <c r="R234" i="25" s="1"/>
  <c r="P234" i="25" s="1"/>
  <c r="V234" i="25" s="1"/>
  <c r="U238" i="25"/>
  <c r="T238" i="25" s="1"/>
  <c r="S238" i="25" s="1"/>
  <c r="R238" i="25" s="1"/>
  <c r="P238" i="25" s="1"/>
  <c r="V238" i="25" s="1"/>
  <c r="U242" i="25"/>
  <c r="T242" i="25" s="1"/>
  <c r="S242" i="25" s="1"/>
  <c r="R242" i="25" s="1"/>
  <c r="P242" i="25" s="1"/>
  <c r="V242" i="25" s="1"/>
  <c r="U246" i="25"/>
  <c r="T246" i="25" s="1"/>
  <c r="S246" i="25" s="1"/>
  <c r="R246" i="25" s="1"/>
  <c r="P246" i="25" s="1"/>
  <c r="V246" i="25" s="1"/>
  <c r="U250" i="25"/>
  <c r="T250" i="25" s="1"/>
  <c r="S250" i="25" s="1"/>
  <c r="R250" i="25" s="1"/>
  <c r="P250" i="25" s="1"/>
  <c r="V250" i="25" s="1"/>
  <c r="U254" i="25"/>
  <c r="T254" i="25" s="1"/>
  <c r="S254" i="25" s="1"/>
  <c r="R254" i="25" s="1"/>
  <c r="P254" i="25" s="1"/>
  <c r="V254" i="25" s="1"/>
  <c r="U258" i="25"/>
  <c r="T258" i="25" s="1"/>
  <c r="S258" i="25" s="1"/>
  <c r="R258" i="25" s="1"/>
  <c r="P258" i="25" s="1"/>
  <c r="V258" i="25" s="1"/>
  <c r="U262" i="25"/>
  <c r="T262" i="25" s="1"/>
  <c r="S262" i="25" s="1"/>
  <c r="R262" i="25" s="1"/>
  <c r="P262" i="25" s="1"/>
  <c r="V262" i="25" s="1"/>
  <c r="U266" i="25"/>
  <c r="T266" i="25" s="1"/>
  <c r="S266" i="25" s="1"/>
  <c r="R266" i="25" s="1"/>
  <c r="P266" i="25" s="1"/>
  <c r="V266" i="25" s="1"/>
  <c r="U270" i="25"/>
  <c r="T270" i="25" s="1"/>
  <c r="S270" i="25" s="1"/>
  <c r="R270" i="25" s="1"/>
  <c r="P270" i="25" s="1"/>
  <c r="V270" i="25" s="1"/>
  <c r="U274" i="25"/>
  <c r="T274" i="25" s="1"/>
  <c r="S274" i="25" s="1"/>
  <c r="R274" i="25" s="1"/>
  <c r="P274" i="25" s="1"/>
  <c r="V274" i="25" s="1"/>
  <c r="U278" i="25"/>
  <c r="T278" i="25" s="1"/>
  <c r="S278" i="25" s="1"/>
  <c r="R278" i="25" s="1"/>
  <c r="P278" i="25" s="1"/>
  <c r="V278" i="25" s="1"/>
  <c r="U282" i="25"/>
  <c r="T282" i="25" s="1"/>
  <c r="S282" i="25" s="1"/>
  <c r="R282" i="25" s="1"/>
  <c r="P282" i="25" s="1"/>
  <c r="V282" i="25" s="1"/>
  <c r="U286" i="25"/>
  <c r="T286" i="25" s="1"/>
  <c r="S286" i="25" s="1"/>
  <c r="R286" i="25" s="1"/>
  <c r="P286" i="25" s="1"/>
  <c r="V286" i="25" s="1"/>
  <c r="U290" i="25"/>
  <c r="T290" i="25" s="1"/>
  <c r="S290" i="25" s="1"/>
  <c r="R290" i="25" s="1"/>
  <c r="P290" i="25" s="1"/>
  <c r="V290" i="25" s="1"/>
  <c r="U294" i="25"/>
  <c r="T294" i="25" s="1"/>
  <c r="S294" i="25" s="1"/>
  <c r="R294" i="25" s="1"/>
  <c r="P294" i="25" s="1"/>
  <c r="V294" i="25" s="1"/>
  <c r="U298" i="25"/>
  <c r="T298" i="25" s="1"/>
  <c r="S298" i="25" s="1"/>
  <c r="R298" i="25" s="1"/>
  <c r="P298" i="25" s="1"/>
  <c r="V298" i="25" s="1"/>
  <c r="U302" i="25"/>
  <c r="T302" i="25" s="1"/>
  <c r="S302" i="25" s="1"/>
  <c r="R302" i="25" s="1"/>
  <c r="P302" i="25" s="1"/>
  <c r="V302" i="25" s="1"/>
  <c r="U306" i="25"/>
  <c r="T306" i="25" s="1"/>
  <c r="S306" i="25" s="1"/>
  <c r="R306" i="25" s="1"/>
  <c r="P306" i="25" s="1"/>
  <c r="V306" i="25" s="1"/>
  <c r="U310" i="25"/>
  <c r="T310" i="25" s="1"/>
  <c r="S310" i="25" s="1"/>
  <c r="R310" i="25" s="1"/>
  <c r="P310" i="25" s="1"/>
  <c r="V310" i="25" s="1"/>
  <c r="U314" i="25"/>
  <c r="T314" i="25" s="1"/>
  <c r="S314" i="25" s="1"/>
  <c r="R314" i="25" s="1"/>
  <c r="P314" i="25" s="1"/>
  <c r="V314" i="25" s="1"/>
  <c r="U318" i="25"/>
  <c r="T318" i="25" s="1"/>
  <c r="S318" i="25" s="1"/>
  <c r="R318" i="25" s="1"/>
  <c r="P318" i="25" s="1"/>
  <c r="V318" i="25" s="1"/>
  <c r="U322" i="25"/>
  <c r="T322" i="25" s="1"/>
  <c r="S322" i="25" s="1"/>
  <c r="R322" i="25" s="1"/>
  <c r="P322" i="25" s="1"/>
  <c r="V322" i="25" s="1"/>
  <c r="U326" i="25"/>
  <c r="T326" i="25" s="1"/>
  <c r="S326" i="25" s="1"/>
  <c r="R326" i="25" s="1"/>
  <c r="P326" i="25" s="1"/>
  <c r="V326" i="25" s="1"/>
  <c r="U330" i="25"/>
  <c r="T330" i="25" s="1"/>
  <c r="S330" i="25" s="1"/>
  <c r="R330" i="25" s="1"/>
  <c r="P330" i="25" s="1"/>
  <c r="V330" i="25" s="1"/>
  <c r="U334" i="25"/>
  <c r="T334" i="25" s="1"/>
  <c r="S334" i="25" s="1"/>
  <c r="R334" i="25" s="1"/>
  <c r="P334" i="25" s="1"/>
  <c r="V334" i="25" s="1"/>
  <c r="U338" i="25"/>
  <c r="T338" i="25" s="1"/>
  <c r="S338" i="25" s="1"/>
  <c r="R338" i="25" s="1"/>
  <c r="P338" i="25" s="1"/>
  <c r="V338" i="25" s="1"/>
  <c r="U342" i="25"/>
  <c r="T342" i="25" s="1"/>
  <c r="S342" i="25" s="1"/>
  <c r="R342" i="25" s="1"/>
  <c r="P342" i="25" s="1"/>
  <c r="V342" i="25" s="1"/>
  <c r="U346" i="25"/>
  <c r="T346" i="25" s="1"/>
  <c r="S346" i="25" s="1"/>
  <c r="R346" i="25" s="1"/>
  <c r="P346" i="25" s="1"/>
  <c r="V346" i="25" s="1"/>
  <c r="U350" i="25"/>
  <c r="T350" i="25" s="1"/>
  <c r="S350" i="25" s="1"/>
  <c r="R350" i="25" s="1"/>
  <c r="P350" i="25" s="1"/>
  <c r="V350" i="25" s="1"/>
  <c r="U354" i="25"/>
  <c r="T354" i="25" s="1"/>
  <c r="S354" i="25" s="1"/>
  <c r="R354" i="25" s="1"/>
  <c r="P354" i="25" s="1"/>
  <c r="V354" i="25" s="1"/>
  <c r="U358" i="25"/>
  <c r="T358" i="25" s="1"/>
  <c r="S358" i="25" s="1"/>
  <c r="R358" i="25" s="1"/>
  <c r="P358" i="25" s="1"/>
  <c r="V358" i="25" s="1"/>
  <c r="U362" i="25"/>
  <c r="T362" i="25" s="1"/>
  <c r="S362" i="25" s="1"/>
  <c r="R362" i="25" s="1"/>
  <c r="P362" i="25" s="1"/>
  <c r="V362" i="25" s="1"/>
  <c r="U366" i="25"/>
  <c r="T366" i="25" s="1"/>
  <c r="S366" i="25" s="1"/>
  <c r="R366" i="25" s="1"/>
  <c r="P366" i="25" s="1"/>
  <c r="V366" i="25" s="1"/>
  <c r="U370" i="25"/>
  <c r="T370" i="25" s="1"/>
  <c r="S370" i="25" s="1"/>
  <c r="R370" i="25" s="1"/>
  <c r="P370" i="25" s="1"/>
  <c r="V370" i="25" s="1"/>
  <c r="U374" i="25"/>
  <c r="T374" i="25" s="1"/>
  <c r="S374" i="25" s="1"/>
  <c r="R374" i="25" s="1"/>
  <c r="P374" i="25" s="1"/>
  <c r="V374" i="25" s="1"/>
  <c r="U378" i="25"/>
  <c r="T378" i="25" s="1"/>
  <c r="S378" i="25" s="1"/>
  <c r="R378" i="25" s="1"/>
  <c r="P378" i="25" s="1"/>
  <c r="V378" i="25" s="1"/>
  <c r="U22" i="25"/>
  <c r="T22" i="25" s="1"/>
  <c r="S22" i="25" s="1"/>
  <c r="R22" i="25" s="1"/>
  <c r="P22" i="25" s="1"/>
  <c r="V22" i="25" s="1"/>
  <c r="U35" i="25"/>
  <c r="T35" i="25" s="1"/>
  <c r="S35" i="25" s="1"/>
  <c r="R35" i="25" s="1"/>
  <c r="P35" i="25" s="1"/>
  <c r="V35" i="25" s="1"/>
  <c r="U43" i="25"/>
  <c r="T43" i="25" s="1"/>
  <c r="S43" i="25" s="1"/>
  <c r="R43" i="25" s="1"/>
  <c r="P43" i="25" s="1"/>
  <c r="V43" i="25" s="1"/>
  <c r="U51" i="25"/>
  <c r="T51" i="25" s="1"/>
  <c r="S51" i="25" s="1"/>
  <c r="R51" i="25" s="1"/>
  <c r="P51" i="25" s="1"/>
  <c r="V51" i="25" s="1"/>
  <c r="U59" i="25"/>
  <c r="T59" i="25" s="1"/>
  <c r="S59" i="25" s="1"/>
  <c r="R59" i="25" s="1"/>
  <c r="P59" i="25" s="1"/>
  <c r="V59" i="25" s="1"/>
  <c r="U67" i="25"/>
  <c r="T67" i="25" s="1"/>
  <c r="S67" i="25" s="1"/>
  <c r="R67" i="25" s="1"/>
  <c r="P67" i="25" s="1"/>
  <c r="V67" i="25" s="1"/>
  <c r="U75" i="25"/>
  <c r="T75" i="25" s="1"/>
  <c r="S75" i="25" s="1"/>
  <c r="R75" i="25" s="1"/>
  <c r="P75" i="25" s="1"/>
  <c r="V75" i="25" s="1"/>
  <c r="U83" i="25"/>
  <c r="T83" i="25" s="1"/>
  <c r="S83" i="25" s="1"/>
  <c r="R83" i="25" s="1"/>
  <c r="P83" i="25" s="1"/>
  <c r="V83" i="25" s="1"/>
  <c r="U91" i="25"/>
  <c r="T91" i="25" s="1"/>
  <c r="S91" i="25" s="1"/>
  <c r="R91" i="25" s="1"/>
  <c r="P91" i="25" s="1"/>
  <c r="V91" i="25" s="1"/>
  <c r="U99" i="25"/>
  <c r="T99" i="25" s="1"/>
  <c r="S99" i="25" s="1"/>
  <c r="R99" i="25" s="1"/>
  <c r="P99" i="25" s="1"/>
  <c r="V99" i="25" s="1"/>
  <c r="U107" i="25"/>
  <c r="T107" i="25" s="1"/>
  <c r="S107" i="25" s="1"/>
  <c r="R107" i="25" s="1"/>
  <c r="P107" i="25" s="1"/>
  <c r="V107" i="25" s="1"/>
  <c r="U115" i="25"/>
  <c r="T115" i="25" s="1"/>
  <c r="S115" i="25" s="1"/>
  <c r="R115" i="25" s="1"/>
  <c r="P115" i="25" s="1"/>
  <c r="V115" i="25" s="1"/>
  <c r="U123" i="25"/>
  <c r="T123" i="25" s="1"/>
  <c r="S123" i="25" s="1"/>
  <c r="R123" i="25" s="1"/>
  <c r="P123" i="25" s="1"/>
  <c r="V123" i="25" s="1"/>
  <c r="U131" i="25"/>
  <c r="T131" i="25" s="1"/>
  <c r="S131" i="25" s="1"/>
  <c r="R131" i="25" s="1"/>
  <c r="P131" i="25" s="1"/>
  <c r="V131" i="25" s="1"/>
  <c r="U139" i="25"/>
  <c r="T139" i="25" s="1"/>
  <c r="S139" i="25" s="1"/>
  <c r="R139" i="25" s="1"/>
  <c r="P139" i="25" s="1"/>
  <c r="V139" i="25" s="1"/>
  <c r="U147" i="25"/>
  <c r="T147" i="25" s="1"/>
  <c r="S147" i="25" s="1"/>
  <c r="R147" i="25" s="1"/>
  <c r="P147" i="25" s="1"/>
  <c r="V147" i="25" s="1"/>
  <c r="U155" i="25"/>
  <c r="T155" i="25" s="1"/>
  <c r="S155" i="25" s="1"/>
  <c r="R155" i="25" s="1"/>
  <c r="P155" i="25" s="1"/>
  <c r="V155" i="25" s="1"/>
  <c r="U163" i="25"/>
  <c r="T163" i="25" s="1"/>
  <c r="S163" i="25" s="1"/>
  <c r="R163" i="25" s="1"/>
  <c r="P163" i="25" s="1"/>
  <c r="V163" i="25" s="1"/>
  <c r="U171" i="25"/>
  <c r="T171" i="25" s="1"/>
  <c r="S171" i="25" s="1"/>
  <c r="R171" i="25" s="1"/>
  <c r="P171" i="25" s="1"/>
  <c r="V171" i="25" s="1"/>
  <c r="U179" i="25"/>
  <c r="T179" i="25" s="1"/>
  <c r="S179" i="25" s="1"/>
  <c r="R179" i="25" s="1"/>
  <c r="P179" i="25" s="1"/>
  <c r="V179" i="25" s="1"/>
  <c r="U185" i="25"/>
  <c r="T185" i="25" s="1"/>
  <c r="S185" i="25" s="1"/>
  <c r="R185" i="25" s="1"/>
  <c r="P185" i="25" s="1"/>
  <c r="V185" i="25" s="1"/>
  <c r="U189" i="25"/>
  <c r="T189" i="25" s="1"/>
  <c r="S189" i="25" s="1"/>
  <c r="R189" i="25" s="1"/>
  <c r="P189" i="25" s="1"/>
  <c r="V189" i="25" s="1"/>
  <c r="U193" i="25"/>
  <c r="T193" i="25" s="1"/>
  <c r="S193" i="25" s="1"/>
  <c r="R193" i="25" s="1"/>
  <c r="P193" i="25" s="1"/>
  <c r="V193" i="25" s="1"/>
  <c r="U197" i="25"/>
  <c r="T197" i="25" s="1"/>
  <c r="S197" i="25" s="1"/>
  <c r="R197" i="25" s="1"/>
  <c r="P197" i="25" s="1"/>
  <c r="V197" i="25" s="1"/>
  <c r="U201" i="25"/>
  <c r="T201" i="25" s="1"/>
  <c r="S201" i="25" s="1"/>
  <c r="R201" i="25" s="1"/>
  <c r="P201" i="25" s="1"/>
  <c r="V201" i="25" s="1"/>
  <c r="U205" i="25"/>
  <c r="T205" i="25" s="1"/>
  <c r="S205" i="25" s="1"/>
  <c r="R205" i="25" s="1"/>
  <c r="P205" i="25" s="1"/>
  <c r="V205" i="25" s="1"/>
  <c r="U209" i="25"/>
  <c r="T209" i="25" s="1"/>
  <c r="S209" i="25" s="1"/>
  <c r="R209" i="25" s="1"/>
  <c r="P209" i="25" s="1"/>
  <c r="V209" i="25" s="1"/>
  <c r="U213" i="25"/>
  <c r="T213" i="25" s="1"/>
  <c r="S213" i="25" s="1"/>
  <c r="R213" i="25" s="1"/>
  <c r="P213" i="25" s="1"/>
  <c r="V213" i="25" s="1"/>
  <c r="U217" i="25"/>
  <c r="T217" i="25" s="1"/>
  <c r="S217" i="25" s="1"/>
  <c r="R217" i="25" s="1"/>
  <c r="P217" i="25" s="1"/>
  <c r="V217" i="25" s="1"/>
  <c r="U221" i="25"/>
  <c r="T221" i="25" s="1"/>
  <c r="S221" i="25" s="1"/>
  <c r="R221" i="25" s="1"/>
  <c r="P221" i="25" s="1"/>
  <c r="V221" i="25" s="1"/>
  <c r="U225" i="25"/>
  <c r="T225" i="25" s="1"/>
  <c r="S225" i="25" s="1"/>
  <c r="R225" i="25" s="1"/>
  <c r="P225" i="25" s="1"/>
  <c r="V225" i="25" s="1"/>
  <c r="U229" i="25"/>
  <c r="T229" i="25" s="1"/>
  <c r="S229" i="25" s="1"/>
  <c r="R229" i="25" s="1"/>
  <c r="P229" i="25" s="1"/>
  <c r="V229" i="25" s="1"/>
  <c r="U233" i="25"/>
  <c r="T233" i="25" s="1"/>
  <c r="S233" i="25" s="1"/>
  <c r="R233" i="25" s="1"/>
  <c r="P233" i="25" s="1"/>
  <c r="V233" i="25" s="1"/>
  <c r="U237" i="25"/>
  <c r="T237" i="25" s="1"/>
  <c r="S237" i="25" s="1"/>
  <c r="R237" i="25" s="1"/>
  <c r="P237" i="25" s="1"/>
  <c r="V237" i="25" s="1"/>
  <c r="U241" i="25"/>
  <c r="T241" i="25" s="1"/>
  <c r="S241" i="25" s="1"/>
  <c r="R241" i="25" s="1"/>
  <c r="P241" i="25" s="1"/>
  <c r="V241" i="25" s="1"/>
  <c r="U245" i="25"/>
  <c r="T245" i="25" s="1"/>
  <c r="S245" i="25" s="1"/>
  <c r="R245" i="25" s="1"/>
  <c r="P245" i="25" s="1"/>
  <c r="V245" i="25" s="1"/>
  <c r="U249" i="25"/>
  <c r="T249" i="25" s="1"/>
  <c r="S249" i="25" s="1"/>
  <c r="R249" i="25" s="1"/>
  <c r="P249" i="25" s="1"/>
  <c r="V249" i="25" s="1"/>
  <c r="U253" i="25"/>
  <c r="T253" i="25" s="1"/>
  <c r="S253" i="25" s="1"/>
  <c r="R253" i="25" s="1"/>
  <c r="P253" i="25" s="1"/>
  <c r="V253" i="25" s="1"/>
  <c r="U257" i="25"/>
  <c r="T257" i="25" s="1"/>
  <c r="S257" i="25" s="1"/>
  <c r="R257" i="25" s="1"/>
  <c r="P257" i="25" s="1"/>
  <c r="V257" i="25" s="1"/>
  <c r="U261" i="25"/>
  <c r="T261" i="25" s="1"/>
  <c r="S261" i="25" s="1"/>
  <c r="R261" i="25" s="1"/>
  <c r="P261" i="25" s="1"/>
  <c r="V261" i="25" s="1"/>
  <c r="U265" i="25"/>
  <c r="T265" i="25" s="1"/>
  <c r="S265" i="25" s="1"/>
  <c r="R265" i="25" s="1"/>
  <c r="P265" i="25" s="1"/>
  <c r="V265" i="25" s="1"/>
  <c r="U269" i="25"/>
  <c r="T269" i="25" s="1"/>
  <c r="S269" i="25" s="1"/>
  <c r="R269" i="25" s="1"/>
  <c r="P269" i="25" s="1"/>
  <c r="V269" i="25" s="1"/>
  <c r="U273" i="25"/>
  <c r="T273" i="25" s="1"/>
  <c r="S273" i="25" s="1"/>
  <c r="R273" i="25" s="1"/>
  <c r="P273" i="25" s="1"/>
  <c r="V273" i="25" s="1"/>
  <c r="U277" i="25"/>
  <c r="T277" i="25" s="1"/>
  <c r="S277" i="25" s="1"/>
  <c r="R277" i="25" s="1"/>
  <c r="P277" i="25" s="1"/>
  <c r="V277" i="25" s="1"/>
  <c r="U281" i="25"/>
  <c r="T281" i="25" s="1"/>
  <c r="S281" i="25" s="1"/>
  <c r="R281" i="25" s="1"/>
  <c r="P281" i="25" s="1"/>
  <c r="V281" i="25" s="1"/>
  <c r="U285" i="25"/>
  <c r="T285" i="25" s="1"/>
  <c r="S285" i="25" s="1"/>
  <c r="R285" i="25" s="1"/>
  <c r="P285" i="25" s="1"/>
  <c r="V285" i="25" s="1"/>
  <c r="U289" i="25"/>
  <c r="T289" i="25" s="1"/>
  <c r="S289" i="25" s="1"/>
  <c r="R289" i="25" s="1"/>
  <c r="P289" i="25" s="1"/>
  <c r="V289" i="25" s="1"/>
  <c r="U293" i="25"/>
  <c r="T293" i="25" s="1"/>
  <c r="S293" i="25" s="1"/>
  <c r="R293" i="25" s="1"/>
  <c r="P293" i="25" s="1"/>
  <c r="V293" i="25" s="1"/>
  <c r="U297" i="25"/>
  <c r="T297" i="25" s="1"/>
  <c r="S297" i="25" s="1"/>
  <c r="R297" i="25" s="1"/>
  <c r="P297" i="25" s="1"/>
  <c r="V297" i="25" s="1"/>
  <c r="U301" i="25"/>
  <c r="T301" i="25" s="1"/>
  <c r="S301" i="25" s="1"/>
  <c r="R301" i="25" s="1"/>
  <c r="P301" i="25" s="1"/>
  <c r="V301" i="25" s="1"/>
  <c r="U305" i="25"/>
  <c r="T305" i="25" s="1"/>
  <c r="S305" i="25" s="1"/>
  <c r="R305" i="25" s="1"/>
  <c r="P305" i="25" s="1"/>
  <c r="V305" i="25" s="1"/>
  <c r="U309" i="25"/>
  <c r="T309" i="25" s="1"/>
  <c r="S309" i="25" s="1"/>
  <c r="R309" i="25" s="1"/>
  <c r="P309" i="25" s="1"/>
  <c r="V309" i="25" s="1"/>
  <c r="U313" i="25"/>
  <c r="T313" i="25" s="1"/>
  <c r="S313" i="25" s="1"/>
  <c r="R313" i="25" s="1"/>
  <c r="P313" i="25" s="1"/>
  <c r="V313" i="25" s="1"/>
  <c r="U317" i="25"/>
  <c r="T317" i="25" s="1"/>
  <c r="S317" i="25" s="1"/>
  <c r="R317" i="25" s="1"/>
  <c r="P317" i="25" s="1"/>
  <c r="V317" i="25" s="1"/>
  <c r="U321" i="25"/>
  <c r="T321" i="25" s="1"/>
  <c r="S321" i="25" s="1"/>
  <c r="R321" i="25" s="1"/>
  <c r="P321" i="25" s="1"/>
  <c r="V321" i="25" s="1"/>
  <c r="U325" i="25"/>
  <c r="T325" i="25" s="1"/>
  <c r="S325" i="25" s="1"/>
  <c r="R325" i="25" s="1"/>
  <c r="P325" i="25" s="1"/>
  <c r="V325" i="25" s="1"/>
  <c r="U329" i="25"/>
  <c r="T329" i="25" s="1"/>
  <c r="S329" i="25" s="1"/>
  <c r="R329" i="25" s="1"/>
  <c r="P329" i="25" s="1"/>
  <c r="V329" i="25" s="1"/>
  <c r="U333" i="25"/>
  <c r="T333" i="25" s="1"/>
  <c r="S333" i="25" s="1"/>
  <c r="R333" i="25" s="1"/>
  <c r="P333" i="25" s="1"/>
  <c r="V333" i="25" s="1"/>
  <c r="U337" i="25"/>
  <c r="T337" i="25" s="1"/>
  <c r="S337" i="25" s="1"/>
  <c r="R337" i="25" s="1"/>
  <c r="P337" i="25" s="1"/>
  <c r="V337" i="25" s="1"/>
  <c r="U341" i="25"/>
  <c r="T341" i="25" s="1"/>
  <c r="S341" i="25" s="1"/>
  <c r="R341" i="25" s="1"/>
  <c r="P341" i="25" s="1"/>
  <c r="V341" i="25" s="1"/>
  <c r="U345" i="25"/>
  <c r="T345" i="25" s="1"/>
  <c r="S345" i="25" s="1"/>
  <c r="R345" i="25" s="1"/>
  <c r="P345" i="25" s="1"/>
  <c r="V345" i="25" s="1"/>
  <c r="U349" i="25"/>
  <c r="T349" i="25" s="1"/>
  <c r="S349" i="25" s="1"/>
  <c r="R349" i="25" s="1"/>
  <c r="P349" i="25" s="1"/>
  <c r="V349" i="25" s="1"/>
  <c r="U353" i="25"/>
  <c r="T353" i="25" s="1"/>
  <c r="S353" i="25" s="1"/>
  <c r="R353" i="25" s="1"/>
  <c r="P353" i="25" s="1"/>
  <c r="V353" i="25" s="1"/>
  <c r="U357" i="25"/>
  <c r="T357" i="25" s="1"/>
  <c r="S357" i="25" s="1"/>
  <c r="R357" i="25" s="1"/>
  <c r="P357" i="25" s="1"/>
  <c r="V357" i="25" s="1"/>
  <c r="U361" i="25"/>
  <c r="T361" i="25" s="1"/>
  <c r="S361" i="25" s="1"/>
  <c r="R361" i="25" s="1"/>
  <c r="P361" i="25" s="1"/>
  <c r="V361" i="25" s="1"/>
  <c r="U365" i="25"/>
  <c r="T365" i="25" s="1"/>
  <c r="S365" i="25" s="1"/>
  <c r="R365" i="25" s="1"/>
  <c r="P365" i="25" s="1"/>
  <c r="V365" i="25" s="1"/>
  <c r="U369" i="25"/>
  <c r="T369" i="25" s="1"/>
  <c r="S369" i="25" s="1"/>
  <c r="R369" i="25" s="1"/>
  <c r="P369" i="25" s="1"/>
  <c r="V369" i="25" s="1"/>
  <c r="U373" i="25"/>
  <c r="T373" i="25" s="1"/>
  <c r="S373" i="25" s="1"/>
  <c r="R373" i="25" s="1"/>
  <c r="P373" i="25" s="1"/>
  <c r="V373" i="25" s="1"/>
  <c r="U377" i="25"/>
  <c r="T377" i="25" s="1"/>
  <c r="S377" i="25" s="1"/>
  <c r="R377" i="25" s="1"/>
  <c r="P377" i="25" s="1"/>
  <c r="V377" i="25" s="1"/>
  <c r="U23" i="25"/>
  <c r="T23" i="25" s="1"/>
  <c r="S23" i="25" s="1"/>
  <c r="R23" i="25" s="1"/>
  <c r="P23" i="25" s="1"/>
  <c r="V23" i="25" s="1"/>
  <c r="U20" i="25"/>
  <c r="T20" i="25" s="1"/>
  <c r="S20" i="25" s="1"/>
  <c r="R20" i="25" s="1"/>
  <c r="P20" i="25" s="1"/>
  <c r="V20" i="25" s="1"/>
  <c r="U27" i="25"/>
  <c r="T27" i="25" s="1"/>
  <c r="S27" i="25" s="1"/>
  <c r="R27" i="25" s="1"/>
  <c r="P27" i="25" s="1"/>
  <c r="V27" i="25" s="1"/>
  <c r="U34" i="25"/>
  <c r="T34" i="25" s="1"/>
  <c r="S34" i="25" s="1"/>
  <c r="R34" i="25" s="1"/>
  <c r="P34" i="25" s="1"/>
  <c r="V34" i="25" s="1"/>
  <c r="U42" i="25"/>
  <c r="T42" i="25" s="1"/>
  <c r="S42" i="25" s="1"/>
  <c r="R42" i="25" s="1"/>
  <c r="P42" i="25" s="1"/>
  <c r="V42" i="25" s="1"/>
  <c r="U50" i="25"/>
  <c r="T50" i="25" s="1"/>
  <c r="S50" i="25" s="1"/>
  <c r="R50" i="25" s="1"/>
  <c r="P50" i="25" s="1"/>
  <c r="V50" i="25" s="1"/>
  <c r="U58" i="25"/>
  <c r="T58" i="25" s="1"/>
  <c r="S58" i="25" s="1"/>
  <c r="R58" i="25" s="1"/>
  <c r="P58" i="25" s="1"/>
  <c r="V58" i="25" s="1"/>
  <c r="U66" i="25"/>
  <c r="T66" i="25" s="1"/>
  <c r="S66" i="25" s="1"/>
  <c r="R66" i="25" s="1"/>
  <c r="P66" i="25" s="1"/>
  <c r="V66" i="25" s="1"/>
  <c r="U74" i="25"/>
  <c r="T74" i="25" s="1"/>
  <c r="S74" i="25" s="1"/>
  <c r="R74" i="25" s="1"/>
  <c r="P74" i="25" s="1"/>
  <c r="V74" i="25" s="1"/>
  <c r="U82" i="25"/>
  <c r="T82" i="25" s="1"/>
  <c r="S82" i="25" s="1"/>
  <c r="R82" i="25" s="1"/>
  <c r="P82" i="25" s="1"/>
  <c r="V82" i="25" s="1"/>
  <c r="U90" i="25"/>
  <c r="T90" i="25" s="1"/>
  <c r="S90" i="25" s="1"/>
  <c r="R90" i="25" s="1"/>
  <c r="P90" i="25" s="1"/>
  <c r="V90" i="25" s="1"/>
  <c r="U98" i="25"/>
  <c r="T98" i="25" s="1"/>
  <c r="S98" i="25" s="1"/>
  <c r="R98" i="25" s="1"/>
  <c r="P98" i="25" s="1"/>
  <c r="V98" i="25" s="1"/>
  <c r="U106" i="25"/>
  <c r="T106" i="25" s="1"/>
  <c r="S106" i="25" s="1"/>
  <c r="R106" i="25" s="1"/>
  <c r="P106" i="25" s="1"/>
  <c r="V106" i="25" s="1"/>
  <c r="U114" i="25"/>
  <c r="T114" i="25" s="1"/>
  <c r="S114" i="25" s="1"/>
  <c r="R114" i="25" s="1"/>
  <c r="P114" i="25" s="1"/>
  <c r="V114" i="25" s="1"/>
  <c r="U122" i="25"/>
  <c r="T122" i="25" s="1"/>
  <c r="S122" i="25" s="1"/>
  <c r="R122" i="25" s="1"/>
  <c r="P122" i="25" s="1"/>
  <c r="V122" i="25" s="1"/>
  <c r="U130" i="25"/>
  <c r="T130" i="25" s="1"/>
  <c r="S130" i="25" s="1"/>
  <c r="R130" i="25" s="1"/>
  <c r="P130" i="25" s="1"/>
  <c r="V130" i="25" s="1"/>
  <c r="U138" i="25"/>
  <c r="T138" i="25" s="1"/>
  <c r="S138" i="25" s="1"/>
  <c r="R138" i="25" s="1"/>
  <c r="P138" i="25" s="1"/>
  <c r="V138" i="25" s="1"/>
  <c r="U146" i="25"/>
  <c r="T146" i="25" s="1"/>
  <c r="S146" i="25" s="1"/>
  <c r="R146" i="25" s="1"/>
  <c r="P146" i="25" s="1"/>
  <c r="V146" i="25" s="1"/>
  <c r="U154" i="25"/>
  <c r="T154" i="25" s="1"/>
  <c r="S154" i="25" s="1"/>
  <c r="R154" i="25" s="1"/>
  <c r="P154" i="25" s="1"/>
  <c r="V154" i="25" s="1"/>
  <c r="U162" i="25"/>
  <c r="T162" i="25" s="1"/>
  <c r="S162" i="25" s="1"/>
  <c r="R162" i="25" s="1"/>
  <c r="P162" i="25" s="1"/>
  <c r="V162" i="25" s="1"/>
  <c r="U170" i="25"/>
  <c r="T170" i="25" s="1"/>
  <c r="S170" i="25" s="1"/>
  <c r="R170" i="25" s="1"/>
  <c r="P170" i="25" s="1"/>
  <c r="V170" i="25" s="1"/>
  <c r="U178" i="25"/>
  <c r="T178" i="25" s="1"/>
  <c r="S178" i="25" s="1"/>
  <c r="R178" i="25" s="1"/>
  <c r="P178" i="25" s="1"/>
  <c r="V178" i="25" s="1"/>
  <c r="U21" i="25"/>
  <c r="T21" i="25" s="1"/>
  <c r="S21" i="25" s="1"/>
  <c r="R21" i="25" s="1"/>
  <c r="P21" i="25" s="1"/>
  <c r="V21" i="25" s="1"/>
  <c r="U18" i="25"/>
  <c r="T18" i="25" s="1"/>
  <c r="S18" i="25" s="1"/>
  <c r="R18" i="25" s="1"/>
  <c r="P18" i="25" s="1"/>
  <c r="V18" i="25" s="1"/>
  <c r="U28" i="25"/>
  <c r="T28" i="25" s="1"/>
  <c r="S28" i="25" s="1"/>
  <c r="R28" i="25" s="1"/>
  <c r="P28" i="25" s="1"/>
  <c r="V28" i="25" s="1"/>
  <c r="U36" i="25"/>
  <c r="T36" i="25" s="1"/>
  <c r="S36" i="25" s="1"/>
  <c r="R36" i="25" s="1"/>
  <c r="P36" i="25" s="1"/>
  <c r="V36" i="25" s="1"/>
  <c r="U44" i="25"/>
  <c r="T44" i="25" s="1"/>
  <c r="S44" i="25" s="1"/>
  <c r="R44" i="25" s="1"/>
  <c r="P44" i="25" s="1"/>
  <c r="V44" i="25" s="1"/>
  <c r="U52" i="25"/>
  <c r="T52" i="25" s="1"/>
  <c r="S52" i="25" s="1"/>
  <c r="R52" i="25" s="1"/>
  <c r="P52" i="25" s="1"/>
  <c r="V52" i="25" s="1"/>
  <c r="U60" i="25"/>
  <c r="T60" i="25" s="1"/>
  <c r="S60" i="25" s="1"/>
  <c r="R60" i="25" s="1"/>
  <c r="P60" i="25" s="1"/>
  <c r="V60" i="25" s="1"/>
  <c r="U68" i="25"/>
  <c r="T68" i="25" s="1"/>
  <c r="S68" i="25" s="1"/>
  <c r="R68" i="25" s="1"/>
  <c r="P68" i="25" s="1"/>
  <c r="V68" i="25" s="1"/>
  <c r="U76" i="25"/>
  <c r="T76" i="25" s="1"/>
  <c r="S76" i="25" s="1"/>
  <c r="R76" i="25" s="1"/>
  <c r="P76" i="25" s="1"/>
  <c r="V76" i="25" s="1"/>
  <c r="U84" i="25"/>
  <c r="T84" i="25" s="1"/>
  <c r="S84" i="25" s="1"/>
  <c r="R84" i="25" s="1"/>
  <c r="P84" i="25" s="1"/>
  <c r="V84" i="25" s="1"/>
  <c r="U19" i="25"/>
  <c r="T19" i="25" s="1"/>
  <c r="S19" i="25" s="1"/>
  <c r="R19" i="25" s="1"/>
  <c r="P19" i="25" s="1"/>
  <c r="V19" i="25" s="1"/>
  <c r="U180" i="25"/>
  <c r="T180" i="25" s="1"/>
  <c r="S180" i="25" s="1"/>
  <c r="R180" i="25" s="1"/>
  <c r="P180" i="25" s="1"/>
  <c r="V180" i="25" s="1"/>
  <c r="U172" i="25"/>
  <c r="T172" i="25" s="1"/>
  <c r="S172" i="25" s="1"/>
  <c r="R172" i="25" s="1"/>
  <c r="P172" i="25" s="1"/>
  <c r="V172" i="25" s="1"/>
  <c r="U164" i="25"/>
  <c r="T164" i="25" s="1"/>
  <c r="S164" i="25" s="1"/>
  <c r="R164" i="25" s="1"/>
  <c r="P164" i="25" s="1"/>
  <c r="V164" i="25" s="1"/>
  <c r="U156" i="25"/>
  <c r="T156" i="25" s="1"/>
  <c r="S156" i="25" s="1"/>
  <c r="R156" i="25" s="1"/>
  <c r="P156" i="25" s="1"/>
  <c r="V156" i="25" s="1"/>
  <c r="U148" i="25"/>
  <c r="T148" i="25" s="1"/>
  <c r="S148" i="25" s="1"/>
  <c r="R148" i="25" s="1"/>
  <c r="P148" i="25" s="1"/>
  <c r="V148" i="25" s="1"/>
  <c r="U140" i="25"/>
  <c r="T140" i="25" s="1"/>
  <c r="S140" i="25" s="1"/>
  <c r="R140" i="25" s="1"/>
  <c r="P140" i="25" s="1"/>
  <c r="V140" i="25" s="1"/>
  <c r="U132" i="25"/>
  <c r="T132" i="25" s="1"/>
  <c r="S132" i="25" s="1"/>
  <c r="R132" i="25" s="1"/>
  <c r="P132" i="25" s="1"/>
  <c r="V132" i="25" s="1"/>
  <c r="U124" i="25"/>
  <c r="T124" i="25" s="1"/>
  <c r="S124" i="25" s="1"/>
  <c r="R124" i="25" s="1"/>
  <c r="P124" i="25" s="1"/>
  <c r="V124" i="25" s="1"/>
  <c r="U116" i="25"/>
  <c r="T116" i="25" s="1"/>
  <c r="S116" i="25" s="1"/>
  <c r="R116" i="25" s="1"/>
  <c r="P116" i="25" s="1"/>
  <c r="V116" i="25" s="1"/>
  <c r="U108" i="25"/>
  <c r="T108" i="25" s="1"/>
  <c r="S108" i="25" s="1"/>
  <c r="R108" i="25" s="1"/>
  <c r="P108" i="25" s="1"/>
  <c r="V108" i="25" s="1"/>
  <c r="U100" i="25"/>
  <c r="T100" i="25" s="1"/>
  <c r="S100" i="25" s="1"/>
  <c r="R100" i="25" s="1"/>
  <c r="P100" i="25" s="1"/>
  <c r="V100" i="25" s="1"/>
  <c r="U92" i="25"/>
  <c r="T92" i="25" s="1"/>
  <c r="S92" i="25" s="1"/>
  <c r="R92" i="25" s="1"/>
  <c r="P92" i="25" s="1"/>
  <c r="V92" i="25" s="1"/>
  <c r="U80" i="25"/>
  <c r="T80" i="25" s="1"/>
  <c r="S80" i="25" s="1"/>
  <c r="R80" i="25" s="1"/>
  <c r="P80" i="25" s="1"/>
  <c r="V80" i="25" s="1"/>
  <c r="U64" i="25"/>
  <c r="T64" i="25" s="1"/>
  <c r="S64" i="25" s="1"/>
  <c r="R64" i="25" s="1"/>
  <c r="P64" i="25" s="1"/>
  <c r="V64" i="25" s="1"/>
  <c r="U48" i="25"/>
  <c r="T48" i="25" s="1"/>
  <c r="S48" i="25" s="1"/>
  <c r="R48" i="25" s="1"/>
  <c r="P48" i="25" s="1"/>
  <c r="V48" i="25" s="1"/>
  <c r="U32" i="25"/>
  <c r="T32" i="25" s="1"/>
  <c r="S32" i="25" s="1"/>
  <c r="R32" i="25" s="1"/>
  <c r="P32" i="25" s="1"/>
  <c r="V32" i="25" s="1"/>
  <c r="U16" i="25"/>
  <c r="T16" i="25" s="1"/>
  <c r="S16" i="25" s="1"/>
  <c r="R16" i="25" s="1"/>
  <c r="P16" i="25" s="1"/>
  <c r="V16" i="25" s="1"/>
  <c r="U174" i="25"/>
  <c r="T174" i="25" s="1"/>
  <c r="S174" i="25" s="1"/>
  <c r="R174" i="25" s="1"/>
  <c r="P174" i="25" s="1"/>
  <c r="V174" i="25" s="1"/>
  <c r="U158" i="25"/>
  <c r="T158" i="25" s="1"/>
  <c r="S158" i="25" s="1"/>
  <c r="R158" i="25" s="1"/>
  <c r="P158" i="25" s="1"/>
  <c r="V158" i="25" s="1"/>
  <c r="U142" i="25"/>
  <c r="T142" i="25" s="1"/>
  <c r="S142" i="25" s="1"/>
  <c r="R142" i="25" s="1"/>
  <c r="P142" i="25" s="1"/>
  <c r="V142" i="25" s="1"/>
  <c r="U126" i="25"/>
  <c r="T126" i="25" s="1"/>
  <c r="S126" i="25" s="1"/>
  <c r="R126" i="25" s="1"/>
  <c r="P126" i="25" s="1"/>
  <c r="V126" i="25" s="1"/>
  <c r="U110" i="25"/>
  <c r="T110" i="25" s="1"/>
  <c r="S110" i="25" s="1"/>
  <c r="R110" i="25" s="1"/>
  <c r="P110" i="25" s="1"/>
  <c r="V110" i="25" s="1"/>
  <c r="U94" i="25"/>
  <c r="T94" i="25" s="1"/>
  <c r="S94" i="25" s="1"/>
  <c r="R94" i="25" s="1"/>
  <c r="P94" i="25" s="1"/>
  <c r="V94" i="25" s="1"/>
  <c r="U78" i="25"/>
  <c r="T78" i="25" s="1"/>
  <c r="S78" i="25" s="1"/>
  <c r="R78" i="25" s="1"/>
  <c r="P78" i="25" s="1"/>
  <c r="V78" i="25" s="1"/>
  <c r="U62" i="25"/>
  <c r="T62" i="25" s="1"/>
  <c r="S62" i="25" s="1"/>
  <c r="R62" i="25" s="1"/>
  <c r="P62" i="25" s="1"/>
  <c r="V62" i="25" s="1"/>
  <c r="U46" i="25"/>
  <c r="T46" i="25" s="1"/>
  <c r="S46" i="25" s="1"/>
  <c r="R46" i="25" s="1"/>
  <c r="P46" i="25" s="1"/>
  <c r="V46" i="25" s="1"/>
  <c r="U30" i="25"/>
  <c r="T30" i="25" s="1"/>
  <c r="S30" i="25" s="1"/>
  <c r="R30" i="25" s="1"/>
  <c r="P30" i="25" s="1"/>
  <c r="V30" i="25" s="1"/>
  <c r="U15" i="25"/>
  <c r="U375" i="25"/>
  <c r="T375" i="25" s="1"/>
  <c r="S375" i="25" s="1"/>
  <c r="R375" i="25" s="1"/>
  <c r="P375" i="25" s="1"/>
  <c r="V375" i="25" s="1"/>
  <c r="U367" i="25"/>
  <c r="T367" i="25" s="1"/>
  <c r="S367" i="25" s="1"/>
  <c r="R367" i="25" s="1"/>
  <c r="P367" i="25" s="1"/>
  <c r="V367" i="25" s="1"/>
  <c r="U359" i="25"/>
  <c r="T359" i="25" s="1"/>
  <c r="S359" i="25" s="1"/>
  <c r="R359" i="25" s="1"/>
  <c r="P359" i="25" s="1"/>
  <c r="V359" i="25" s="1"/>
  <c r="U351" i="25"/>
  <c r="T351" i="25" s="1"/>
  <c r="S351" i="25" s="1"/>
  <c r="R351" i="25" s="1"/>
  <c r="P351" i="25" s="1"/>
  <c r="V351" i="25" s="1"/>
  <c r="U343" i="25"/>
  <c r="T343" i="25" s="1"/>
  <c r="S343" i="25" s="1"/>
  <c r="R343" i="25" s="1"/>
  <c r="P343" i="25" s="1"/>
  <c r="V343" i="25" s="1"/>
  <c r="U335" i="25"/>
  <c r="T335" i="25" s="1"/>
  <c r="S335" i="25" s="1"/>
  <c r="R335" i="25" s="1"/>
  <c r="P335" i="25" s="1"/>
  <c r="V335" i="25" s="1"/>
  <c r="U327" i="25"/>
  <c r="T327" i="25" s="1"/>
  <c r="S327" i="25" s="1"/>
  <c r="R327" i="25" s="1"/>
  <c r="P327" i="25" s="1"/>
  <c r="V327" i="25" s="1"/>
  <c r="U319" i="25"/>
  <c r="T319" i="25" s="1"/>
  <c r="S319" i="25" s="1"/>
  <c r="R319" i="25" s="1"/>
  <c r="P319" i="25" s="1"/>
  <c r="V319" i="25" s="1"/>
  <c r="U311" i="25"/>
  <c r="T311" i="25" s="1"/>
  <c r="S311" i="25" s="1"/>
  <c r="R311" i="25" s="1"/>
  <c r="P311" i="25" s="1"/>
  <c r="V311" i="25" s="1"/>
  <c r="U303" i="25"/>
  <c r="T303" i="25" s="1"/>
  <c r="S303" i="25" s="1"/>
  <c r="R303" i="25" s="1"/>
  <c r="P303" i="25" s="1"/>
  <c r="V303" i="25" s="1"/>
  <c r="U295" i="25"/>
  <c r="T295" i="25" s="1"/>
  <c r="S295" i="25" s="1"/>
  <c r="R295" i="25" s="1"/>
  <c r="P295" i="25" s="1"/>
  <c r="V295" i="25" s="1"/>
  <c r="U287" i="25"/>
  <c r="T287" i="25" s="1"/>
  <c r="S287" i="25" s="1"/>
  <c r="R287" i="25" s="1"/>
  <c r="P287" i="25" s="1"/>
  <c r="V287" i="25" s="1"/>
  <c r="U279" i="25"/>
  <c r="T279" i="25" s="1"/>
  <c r="S279" i="25" s="1"/>
  <c r="R279" i="25" s="1"/>
  <c r="P279" i="25" s="1"/>
  <c r="V279" i="25" s="1"/>
  <c r="U271" i="25"/>
  <c r="T271" i="25" s="1"/>
  <c r="S271" i="25" s="1"/>
  <c r="R271" i="25" s="1"/>
  <c r="P271" i="25" s="1"/>
  <c r="V271" i="25" s="1"/>
  <c r="U263" i="25"/>
  <c r="T263" i="25" s="1"/>
  <c r="S263" i="25" s="1"/>
  <c r="R263" i="25" s="1"/>
  <c r="P263" i="25" s="1"/>
  <c r="V263" i="25" s="1"/>
  <c r="U255" i="25"/>
  <c r="T255" i="25" s="1"/>
  <c r="S255" i="25" s="1"/>
  <c r="R255" i="25" s="1"/>
  <c r="P255" i="25" s="1"/>
  <c r="V255" i="25" s="1"/>
  <c r="U247" i="25"/>
  <c r="T247" i="25" s="1"/>
  <c r="S247" i="25" s="1"/>
  <c r="R247" i="25" s="1"/>
  <c r="P247" i="25" s="1"/>
  <c r="V247" i="25" s="1"/>
  <c r="U239" i="25"/>
  <c r="T239" i="25" s="1"/>
  <c r="S239" i="25" s="1"/>
  <c r="R239" i="25" s="1"/>
  <c r="P239" i="25" s="1"/>
  <c r="V239" i="25" s="1"/>
  <c r="U231" i="25"/>
  <c r="T231" i="25" s="1"/>
  <c r="S231" i="25" s="1"/>
  <c r="R231" i="25" s="1"/>
  <c r="P231" i="25" s="1"/>
  <c r="V231" i="25" s="1"/>
  <c r="U223" i="25"/>
  <c r="T223" i="25" s="1"/>
  <c r="S223" i="25" s="1"/>
  <c r="R223" i="25" s="1"/>
  <c r="P223" i="25" s="1"/>
  <c r="V223" i="25" s="1"/>
  <c r="U215" i="25"/>
  <c r="T215" i="25" s="1"/>
  <c r="S215" i="25" s="1"/>
  <c r="R215" i="25" s="1"/>
  <c r="P215" i="25" s="1"/>
  <c r="V215" i="25" s="1"/>
  <c r="U207" i="25"/>
  <c r="T207" i="25" s="1"/>
  <c r="S207" i="25" s="1"/>
  <c r="R207" i="25" s="1"/>
  <c r="P207" i="25" s="1"/>
  <c r="V207" i="25" s="1"/>
  <c r="U199" i="25"/>
  <c r="T199" i="25" s="1"/>
  <c r="S199" i="25" s="1"/>
  <c r="R199" i="25" s="1"/>
  <c r="P199" i="25" s="1"/>
  <c r="V199" i="25" s="1"/>
  <c r="U191" i="25"/>
  <c r="T191" i="25" s="1"/>
  <c r="S191" i="25" s="1"/>
  <c r="R191" i="25" s="1"/>
  <c r="P191" i="25" s="1"/>
  <c r="V191" i="25" s="1"/>
  <c r="U183" i="25"/>
  <c r="T183" i="25" s="1"/>
  <c r="S183" i="25" s="1"/>
  <c r="R183" i="25" s="1"/>
  <c r="P183" i="25" s="1"/>
  <c r="V183" i="25" s="1"/>
  <c r="U167" i="25"/>
  <c r="T167" i="25" s="1"/>
  <c r="S167" i="25" s="1"/>
  <c r="R167" i="25" s="1"/>
  <c r="P167" i="25" s="1"/>
  <c r="V167" i="25" s="1"/>
  <c r="U151" i="25"/>
  <c r="T151" i="25" s="1"/>
  <c r="S151" i="25" s="1"/>
  <c r="R151" i="25" s="1"/>
  <c r="P151" i="25" s="1"/>
  <c r="V151" i="25" s="1"/>
  <c r="U135" i="25"/>
  <c r="T135" i="25" s="1"/>
  <c r="S135" i="25" s="1"/>
  <c r="R135" i="25" s="1"/>
  <c r="P135" i="25" s="1"/>
  <c r="V135" i="25" s="1"/>
  <c r="U119" i="25"/>
  <c r="T119" i="25" s="1"/>
  <c r="S119" i="25" s="1"/>
  <c r="R119" i="25" s="1"/>
  <c r="P119" i="25" s="1"/>
  <c r="V119" i="25" s="1"/>
  <c r="U103" i="25"/>
  <c r="T103" i="25" s="1"/>
  <c r="S103" i="25" s="1"/>
  <c r="R103" i="25" s="1"/>
  <c r="P103" i="25" s="1"/>
  <c r="V103" i="25" s="1"/>
  <c r="U87" i="25"/>
  <c r="T87" i="25" s="1"/>
  <c r="S87" i="25" s="1"/>
  <c r="R87" i="25" s="1"/>
  <c r="P87" i="25" s="1"/>
  <c r="V87" i="25" s="1"/>
  <c r="U71" i="25"/>
  <c r="T71" i="25" s="1"/>
  <c r="S71" i="25" s="1"/>
  <c r="R71" i="25" s="1"/>
  <c r="P71" i="25" s="1"/>
  <c r="V71" i="25" s="1"/>
  <c r="U55" i="25"/>
  <c r="T55" i="25" s="1"/>
  <c r="S55" i="25" s="1"/>
  <c r="R55" i="25" s="1"/>
  <c r="P55" i="25" s="1"/>
  <c r="V55" i="25" s="1"/>
  <c r="U39" i="25"/>
  <c r="T39" i="25" s="1"/>
  <c r="S39" i="25" s="1"/>
  <c r="R39" i="25" s="1"/>
  <c r="P39" i="25" s="1"/>
  <c r="V39" i="25" s="1"/>
  <c r="U26" i="25"/>
  <c r="T26" i="25" s="1"/>
  <c r="S26" i="25" s="1"/>
  <c r="R26" i="25" s="1"/>
  <c r="P26" i="25" s="1"/>
  <c r="V26" i="25" s="1"/>
  <c r="U372" i="25"/>
  <c r="T372" i="25" s="1"/>
  <c r="S372" i="25" s="1"/>
  <c r="R372" i="25" s="1"/>
  <c r="P372" i="25" s="1"/>
  <c r="V372" i="25" s="1"/>
  <c r="U364" i="25"/>
  <c r="T364" i="25" s="1"/>
  <c r="S364" i="25" s="1"/>
  <c r="R364" i="25" s="1"/>
  <c r="P364" i="25" s="1"/>
  <c r="V364" i="25" s="1"/>
  <c r="U356" i="25"/>
  <c r="T356" i="25" s="1"/>
  <c r="S356" i="25" s="1"/>
  <c r="R356" i="25" s="1"/>
  <c r="P356" i="25" s="1"/>
  <c r="V356" i="25" s="1"/>
  <c r="U348" i="25"/>
  <c r="T348" i="25" s="1"/>
  <c r="S348" i="25" s="1"/>
  <c r="R348" i="25" s="1"/>
  <c r="P348" i="25" s="1"/>
  <c r="V348" i="25" s="1"/>
  <c r="U340" i="25"/>
  <c r="T340" i="25" s="1"/>
  <c r="S340" i="25" s="1"/>
  <c r="R340" i="25" s="1"/>
  <c r="P340" i="25" s="1"/>
  <c r="V340" i="25" s="1"/>
  <c r="U332" i="25"/>
  <c r="T332" i="25" s="1"/>
  <c r="S332" i="25" s="1"/>
  <c r="R332" i="25" s="1"/>
  <c r="P332" i="25" s="1"/>
  <c r="V332" i="25" s="1"/>
  <c r="U324" i="25"/>
  <c r="T324" i="25" s="1"/>
  <c r="S324" i="25" s="1"/>
  <c r="R324" i="25" s="1"/>
  <c r="P324" i="25" s="1"/>
  <c r="V324" i="25" s="1"/>
  <c r="U316" i="25"/>
  <c r="T316" i="25" s="1"/>
  <c r="S316" i="25" s="1"/>
  <c r="R316" i="25" s="1"/>
  <c r="P316" i="25" s="1"/>
  <c r="V316" i="25" s="1"/>
  <c r="U308" i="25"/>
  <c r="T308" i="25" s="1"/>
  <c r="S308" i="25" s="1"/>
  <c r="R308" i="25" s="1"/>
  <c r="P308" i="25" s="1"/>
  <c r="V308" i="25" s="1"/>
  <c r="U300" i="25"/>
  <c r="T300" i="25" s="1"/>
  <c r="S300" i="25" s="1"/>
  <c r="R300" i="25" s="1"/>
  <c r="P300" i="25" s="1"/>
  <c r="V300" i="25" s="1"/>
  <c r="U292" i="25"/>
  <c r="T292" i="25" s="1"/>
  <c r="S292" i="25" s="1"/>
  <c r="R292" i="25" s="1"/>
  <c r="P292" i="25" s="1"/>
  <c r="V292" i="25" s="1"/>
  <c r="U284" i="25"/>
  <c r="T284" i="25" s="1"/>
  <c r="S284" i="25" s="1"/>
  <c r="R284" i="25" s="1"/>
  <c r="P284" i="25" s="1"/>
  <c r="V284" i="25" s="1"/>
  <c r="U276" i="25"/>
  <c r="T276" i="25" s="1"/>
  <c r="S276" i="25" s="1"/>
  <c r="R276" i="25" s="1"/>
  <c r="P276" i="25" s="1"/>
  <c r="V276" i="25" s="1"/>
  <c r="U268" i="25"/>
  <c r="T268" i="25" s="1"/>
  <c r="S268" i="25" s="1"/>
  <c r="R268" i="25" s="1"/>
  <c r="P268" i="25" s="1"/>
  <c r="V268" i="25" s="1"/>
  <c r="U260" i="25"/>
  <c r="T260" i="25" s="1"/>
  <c r="S260" i="25" s="1"/>
  <c r="R260" i="25" s="1"/>
  <c r="P260" i="25" s="1"/>
  <c r="V260" i="25" s="1"/>
  <c r="U252" i="25"/>
  <c r="T252" i="25" s="1"/>
  <c r="S252" i="25" s="1"/>
  <c r="R252" i="25" s="1"/>
  <c r="P252" i="25" s="1"/>
  <c r="V252" i="25" s="1"/>
  <c r="U244" i="25"/>
  <c r="T244" i="25" s="1"/>
  <c r="S244" i="25" s="1"/>
  <c r="R244" i="25" s="1"/>
  <c r="P244" i="25" s="1"/>
  <c r="V244" i="25" s="1"/>
  <c r="U236" i="25"/>
  <c r="T236" i="25" s="1"/>
  <c r="S236" i="25" s="1"/>
  <c r="R236" i="25" s="1"/>
  <c r="P236" i="25" s="1"/>
  <c r="V236" i="25" s="1"/>
  <c r="U228" i="25"/>
  <c r="T228" i="25" s="1"/>
  <c r="S228" i="25" s="1"/>
  <c r="R228" i="25" s="1"/>
  <c r="P228" i="25" s="1"/>
  <c r="V228" i="25" s="1"/>
  <c r="U220" i="25"/>
  <c r="T220" i="25" s="1"/>
  <c r="S220" i="25" s="1"/>
  <c r="R220" i="25" s="1"/>
  <c r="P220" i="25" s="1"/>
  <c r="V220" i="25" s="1"/>
  <c r="U212" i="25"/>
  <c r="T212" i="25" s="1"/>
  <c r="S212" i="25" s="1"/>
  <c r="R212" i="25" s="1"/>
  <c r="P212" i="25" s="1"/>
  <c r="V212" i="25" s="1"/>
  <c r="U204" i="25"/>
  <c r="T204" i="25" s="1"/>
  <c r="S204" i="25" s="1"/>
  <c r="R204" i="25" s="1"/>
  <c r="P204" i="25" s="1"/>
  <c r="V204" i="25" s="1"/>
  <c r="U196" i="25"/>
  <c r="T196" i="25" s="1"/>
  <c r="S196" i="25" s="1"/>
  <c r="R196" i="25" s="1"/>
  <c r="P196" i="25" s="1"/>
  <c r="V196" i="25" s="1"/>
  <c r="U188" i="25"/>
  <c r="T188" i="25" s="1"/>
  <c r="S188" i="25" s="1"/>
  <c r="R188" i="25" s="1"/>
  <c r="P188" i="25" s="1"/>
  <c r="V188" i="25" s="1"/>
  <c r="U177" i="25"/>
  <c r="T177" i="25" s="1"/>
  <c r="S177" i="25" s="1"/>
  <c r="R177" i="25" s="1"/>
  <c r="P177" i="25" s="1"/>
  <c r="V177" i="25" s="1"/>
  <c r="U161" i="25"/>
  <c r="T161" i="25" s="1"/>
  <c r="S161" i="25" s="1"/>
  <c r="R161" i="25" s="1"/>
  <c r="P161" i="25" s="1"/>
  <c r="V161" i="25" s="1"/>
  <c r="U145" i="25"/>
  <c r="T145" i="25" s="1"/>
  <c r="S145" i="25" s="1"/>
  <c r="R145" i="25" s="1"/>
  <c r="P145" i="25" s="1"/>
  <c r="V145" i="25" s="1"/>
  <c r="U129" i="25"/>
  <c r="T129" i="25" s="1"/>
  <c r="S129" i="25" s="1"/>
  <c r="R129" i="25" s="1"/>
  <c r="P129" i="25" s="1"/>
  <c r="V129" i="25" s="1"/>
  <c r="U113" i="25"/>
  <c r="T113" i="25" s="1"/>
  <c r="S113" i="25" s="1"/>
  <c r="R113" i="25" s="1"/>
  <c r="P113" i="25" s="1"/>
  <c r="V113" i="25" s="1"/>
  <c r="U97" i="25"/>
  <c r="T97" i="25" s="1"/>
  <c r="S97" i="25" s="1"/>
  <c r="R97" i="25" s="1"/>
  <c r="P97" i="25" s="1"/>
  <c r="V97" i="25" s="1"/>
  <c r="U81" i="25"/>
  <c r="T81" i="25" s="1"/>
  <c r="S81" i="25" s="1"/>
  <c r="R81" i="25" s="1"/>
  <c r="P81" i="25" s="1"/>
  <c r="V81" i="25" s="1"/>
  <c r="U65" i="25"/>
  <c r="T65" i="25" s="1"/>
  <c r="S65" i="25" s="1"/>
  <c r="R65" i="25" s="1"/>
  <c r="P65" i="25" s="1"/>
  <c r="V65" i="25" s="1"/>
  <c r="U49" i="25"/>
  <c r="T49" i="25" s="1"/>
  <c r="S49" i="25" s="1"/>
  <c r="R49" i="25" s="1"/>
  <c r="P49" i="25" s="1"/>
  <c r="V49" i="25" s="1"/>
  <c r="U33" i="25"/>
  <c r="T33" i="25" s="1"/>
  <c r="S33" i="25" s="1"/>
  <c r="R33" i="25" s="1"/>
  <c r="P33" i="25" s="1"/>
  <c r="V33" i="25" s="1"/>
  <c r="AG15" i="24"/>
  <c r="AH381" i="24"/>
  <c r="AH382" i="24"/>
  <c r="AH383" i="24"/>
  <c r="AH70" i="7"/>
  <c r="V88" i="25"/>
  <c r="T15" i="25"/>
  <c r="T379" i="25"/>
  <c r="S379" i="25" s="1"/>
  <c r="R379" i="25" s="1"/>
  <c r="P379" i="25" s="1"/>
  <c r="BF16" i="7"/>
  <c r="AH71" i="7"/>
  <c r="P382" i="23"/>
  <c r="V15" i="23"/>
  <c r="P381" i="23"/>
  <c r="P383" i="23"/>
  <c r="AD104" i="23"/>
  <c r="AF381" i="23"/>
  <c r="AF382" i="23"/>
  <c r="AF383" i="23"/>
  <c r="AH73" i="7"/>
  <c r="AH77" i="7"/>
  <c r="S381" i="24"/>
  <c r="S383" i="24"/>
  <c r="S382" i="24"/>
  <c r="R15" i="24"/>
  <c r="AI92" i="25"/>
  <c r="AH92" i="25" s="1"/>
  <c r="AG92" i="25" s="1"/>
  <c r="AF92" i="25" s="1"/>
  <c r="AD92" i="25" s="1"/>
  <c r="AI55" i="25"/>
  <c r="AH55" i="25" s="1"/>
  <c r="AG55" i="25" s="1"/>
  <c r="AF55" i="25" s="1"/>
  <c r="AD55" i="25" s="1"/>
  <c r="AI119" i="25"/>
  <c r="AH119" i="25" s="1"/>
  <c r="AG119" i="25" s="1"/>
  <c r="AF119" i="25" s="1"/>
  <c r="AD119" i="25" s="1"/>
  <c r="AI183" i="25"/>
  <c r="AH183" i="25" s="1"/>
  <c r="AG183" i="25" s="1"/>
  <c r="AF183" i="25" s="1"/>
  <c r="AD183" i="25" s="1"/>
  <c r="AI36" i="25"/>
  <c r="AH36" i="25" s="1"/>
  <c r="AG36" i="25" s="1"/>
  <c r="AF36" i="25" s="1"/>
  <c r="AD36" i="25" s="1"/>
  <c r="AI16" i="25"/>
  <c r="AH16" i="25" s="1"/>
  <c r="AG16" i="25" s="1"/>
  <c r="AF16" i="25" s="1"/>
  <c r="AD16" i="25" s="1"/>
  <c r="AI87" i="25"/>
  <c r="AH87" i="25" s="1"/>
  <c r="AG87" i="25" s="1"/>
  <c r="AF87" i="25" s="1"/>
  <c r="AD87" i="25" s="1"/>
  <c r="AI151" i="25"/>
  <c r="AH151" i="25" s="1"/>
  <c r="AG151" i="25" s="1"/>
  <c r="AF151" i="25" s="1"/>
  <c r="AD151" i="25" s="1"/>
  <c r="AI167" i="25"/>
  <c r="AH167" i="25" s="1"/>
  <c r="AG167" i="25" s="1"/>
  <c r="AF167" i="25" s="1"/>
  <c r="AD167" i="25" s="1"/>
  <c r="AI103" i="25"/>
  <c r="AH103" i="25" s="1"/>
  <c r="AG103" i="25" s="1"/>
  <c r="AF103" i="25" s="1"/>
  <c r="AD103" i="25" s="1"/>
  <c r="AI39" i="25"/>
  <c r="AH39" i="25" s="1"/>
  <c r="AG39" i="25" s="1"/>
  <c r="AF39" i="25" s="1"/>
  <c r="AD39" i="25" s="1"/>
  <c r="AI175" i="25"/>
  <c r="AH175" i="25" s="1"/>
  <c r="AG175" i="25" s="1"/>
  <c r="AF175" i="25" s="1"/>
  <c r="AD175" i="25" s="1"/>
  <c r="AI143" i="25"/>
  <c r="AH143" i="25" s="1"/>
  <c r="AG143" i="25" s="1"/>
  <c r="AF143" i="25" s="1"/>
  <c r="AD143" i="25" s="1"/>
  <c r="AI111" i="25"/>
  <c r="AH111" i="25" s="1"/>
  <c r="AG111" i="25" s="1"/>
  <c r="AF111" i="25" s="1"/>
  <c r="AD111" i="25" s="1"/>
  <c r="AI79" i="25"/>
  <c r="AH79" i="25" s="1"/>
  <c r="AG79" i="25" s="1"/>
  <c r="AF79" i="25" s="1"/>
  <c r="AD79" i="25" s="1"/>
  <c r="AI47" i="25"/>
  <c r="AH47" i="25" s="1"/>
  <c r="AG47" i="25" s="1"/>
  <c r="AF47" i="25" s="1"/>
  <c r="AD47" i="25" s="1"/>
  <c r="AI17" i="25"/>
  <c r="AH17" i="25" s="1"/>
  <c r="AG17" i="25" s="1"/>
  <c r="AF17" i="25" s="1"/>
  <c r="AD17" i="25" s="1"/>
  <c r="AI52" i="25"/>
  <c r="AH52" i="25" s="1"/>
  <c r="AG52" i="25" s="1"/>
  <c r="AF52" i="25" s="1"/>
  <c r="AD52" i="25" s="1"/>
  <c r="AI179" i="25"/>
  <c r="AH179" i="25" s="1"/>
  <c r="AG179" i="25" s="1"/>
  <c r="AF179" i="25" s="1"/>
  <c r="AD179" i="25" s="1"/>
  <c r="AI163" i="25"/>
  <c r="AH163" i="25" s="1"/>
  <c r="AG163" i="25" s="1"/>
  <c r="AF163" i="25" s="1"/>
  <c r="AD163" i="25" s="1"/>
  <c r="AI147" i="25"/>
  <c r="AH147" i="25" s="1"/>
  <c r="AG147" i="25" s="1"/>
  <c r="AF147" i="25" s="1"/>
  <c r="AD147" i="25" s="1"/>
  <c r="AI131" i="25"/>
  <c r="AH131" i="25" s="1"/>
  <c r="AG131" i="25" s="1"/>
  <c r="AF131" i="25" s="1"/>
  <c r="AD131" i="25" s="1"/>
  <c r="AI115" i="25"/>
  <c r="AH115" i="25" s="1"/>
  <c r="AG115" i="25" s="1"/>
  <c r="AF115" i="25" s="1"/>
  <c r="AD115" i="25" s="1"/>
  <c r="AI99" i="25"/>
  <c r="AH99" i="25" s="1"/>
  <c r="AG99" i="25" s="1"/>
  <c r="AF99" i="25" s="1"/>
  <c r="AD99" i="25" s="1"/>
  <c r="AI83" i="25"/>
  <c r="AH83" i="25" s="1"/>
  <c r="AG83" i="25" s="1"/>
  <c r="AF83" i="25" s="1"/>
  <c r="AD83" i="25" s="1"/>
  <c r="AI67" i="25"/>
  <c r="AH67" i="25" s="1"/>
  <c r="AG67" i="25" s="1"/>
  <c r="AF67" i="25" s="1"/>
  <c r="AD67" i="25" s="1"/>
  <c r="AI51" i="25"/>
  <c r="AH51" i="25" s="1"/>
  <c r="AG51" i="25" s="1"/>
  <c r="AF51" i="25" s="1"/>
  <c r="AD51" i="25" s="1"/>
  <c r="AI35" i="25"/>
  <c r="AH35" i="25" s="1"/>
  <c r="AG35" i="25" s="1"/>
  <c r="AF35" i="25" s="1"/>
  <c r="AD35" i="25" s="1"/>
  <c r="AI24" i="25"/>
  <c r="AH24" i="25" s="1"/>
  <c r="AG24" i="25" s="1"/>
  <c r="AF24" i="25" s="1"/>
  <c r="AD24" i="25" s="1"/>
  <c r="AI44" i="25"/>
  <c r="AH44" i="25" s="1"/>
  <c r="AG44" i="25" s="1"/>
  <c r="AF44" i="25" s="1"/>
  <c r="AD44" i="25" s="1"/>
  <c r="AI76" i="25"/>
  <c r="AH76" i="25" s="1"/>
  <c r="AG76" i="25" s="1"/>
  <c r="AF76" i="25" s="1"/>
  <c r="AD76" i="25" s="1"/>
  <c r="AI30" i="25"/>
  <c r="AH30" i="25" s="1"/>
  <c r="AG30" i="25" s="1"/>
  <c r="AF30" i="25" s="1"/>
  <c r="AD30" i="25" s="1"/>
  <c r="AI46" i="25"/>
  <c r="AH46" i="25" s="1"/>
  <c r="AG46" i="25" s="1"/>
  <c r="AF46" i="25" s="1"/>
  <c r="AD46" i="25" s="1"/>
  <c r="AI62" i="25"/>
  <c r="AH62" i="25" s="1"/>
  <c r="AG62" i="25" s="1"/>
  <c r="AF62" i="25" s="1"/>
  <c r="AD62" i="25" s="1"/>
  <c r="AI78" i="25"/>
  <c r="AH78" i="25" s="1"/>
  <c r="AG78" i="25" s="1"/>
  <c r="AF78" i="25" s="1"/>
  <c r="AD78" i="25" s="1"/>
  <c r="AI94" i="25"/>
  <c r="AH94" i="25" s="1"/>
  <c r="AG94" i="25" s="1"/>
  <c r="AF94" i="25" s="1"/>
  <c r="AD94" i="25" s="1"/>
  <c r="AI102" i="25"/>
  <c r="AH102" i="25" s="1"/>
  <c r="AG102" i="25" s="1"/>
  <c r="AF102" i="25" s="1"/>
  <c r="AD102" i="25" s="1"/>
  <c r="AI110" i="25"/>
  <c r="AH110" i="25" s="1"/>
  <c r="AG110" i="25" s="1"/>
  <c r="AF110" i="25" s="1"/>
  <c r="AD110" i="25" s="1"/>
  <c r="AI118" i="25"/>
  <c r="AH118" i="25" s="1"/>
  <c r="AG118" i="25" s="1"/>
  <c r="AF118" i="25" s="1"/>
  <c r="AD118" i="25" s="1"/>
  <c r="AI126" i="25"/>
  <c r="AH126" i="25" s="1"/>
  <c r="AG126" i="25" s="1"/>
  <c r="AF126" i="25" s="1"/>
  <c r="AD126" i="25" s="1"/>
  <c r="AI134" i="25"/>
  <c r="AH134" i="25" s="1"/>
  <c r="AG134" i="25" s="1"/>
  <c r="AF134" i="25" s="1"/>
  <c r="AD134" i="25" s="1"/>
  <c r="AI142" i="25"/>
  <c r="AH142" i="25" s="1"/>
  <c r="AG142" i="25" s="1"/>
  <c r="AF142" i="25" s="1"/>
  <c r="AD142" i="25" s="1"/>
  <c r="AI150" i="25"/>
  <c r="AH150" i="25" s="1"/>
  <c r="AG150" i="25" s="1"/>
  <c r="AF150" i="25" s="1"/>
  <c r="AD150" i="25" s="1"/>
  <c r="AI158" i="25"/>
  <c r="AH158" i="25" s="1"/>
  <c r="AG158" i="25" s="1"/>
  <c r="AF158" i="25" s="1"/>
  <c r="AD158" i="25" s="1"/>
  <c r="AI166" i="25"/>
  <c r="AH166" i="25" s="1"/>
  <c r="AG166" i="25" s="1"/>
  <c r="AF166" i="25" s="1"/>
  <c r="AD166" i="25" s="1"/>
  <c r="AI174" i="25"/>
  <c r="AH174" i="25" s="1"/>
  <c r="AG174" i="25" s="1"/>
  <c r="AF174" i="25" s="1"/>
  <c r="AD174" i="25" s="1"/>
  <c r="AI182" i="25"/>
  <c r="AH182" i="25" s="1"/>
  <c r="AG182" i="25" s="1"/>
  <c r="AF182" i="25" s="1"/>
  <c r="AD182" i="25" s="1"/>
  <c r="AI187" i="25"/>
  <c r="AH187" i="25" s="1"/>
  <c r="AG187" i="25" s="1"/>
  <c r="AF187" i="25" s="1"/>
  <c r="AD187" i="25" s="1"/>
  <c r="AI191" i="25"/>
  <c r="AH191" i="25" s="1"/>
  <c r="AG191" i="25" s="1"/>
  <c r="AF191" i="25" s="1"/>
  <c r="AD191" i="25" s="1"/>
  <c r="AI195" i="25"/>
  <c r="AH195" i="25" s="1"/>
  <c r="AG195" i="25" s="1"/>
  <c r="AF195" i="25" s="1"/>
  <c r="AD195" i="25" s="1"/>
  <c r="AI199" i="25"/>
  <c r="AH199" i="25" s="1"/>
  <c r="AG199" i="25" s="1"/>
  <c r="AF199" i="25" s="1"/>
  <c r="AD199" i="25" s="1"/>
  <c r="AI203" i="25"/>
  <c r="AH203" i="25" s="1"/>
  <c r="AG203" i="25" s="1"/>
  <c r="AF203" i="25" s="1"/>
  <c r="AD203" i="25" s="1"/>
  <c r="AI207" i="25"/>
  <c r="AH207" i="25" s="1"/>
  <c r="AG207" i="25" s="1"/>
  <c r="AF207" i="25" s="1"/>
  <c r="AD207" i="25" s="1"/>
  <c r="AI211" i="25"/>
  <c r="AH211" i="25" s="1"/>
  <c r="AG211" i="25" s="1"/>
  <c r="AF211" i="25" s="1"/>
  <c r="AD211" i="25" s="1"/>
  <c r="AI215" i="25"/>
  <c r="AH215" i="25" s="1"/>
  <c r="AG215" i="25" s="1"/>
  <c r="AF215" i="25" s="1"/>
  <c r="AD215" i="25" s="1"/>
  <c r="AI219" i="25"/>
  <c r="AH219" i="25" s="1"/>
  <c r="AG219" i="25" s="1"/>
  <c r="AF219" i="25" s="1"/>
  <c r="AD219" i="25" s="1"/>
  <c r="AI223" i="25"/>
  <c r="AH223" i="25" s="1"/>
  <c r="AG223" i="25" s="1"/>
  <c r="AF223" i="25" s="1"/>
  <c r="AD223" i="25" s="1"/>
  <c r="AI227" i="25"/>
  <c r="AH227" i="25" s="1"/>
  <c r="AG227" i="25" s="1"/>
  <c r="AF227" i="25" s="1"/>
  <c r="AD227" i="25" s="1"/>
  <c r="AI231" i="25"/>
  <c r="AH231" i="25" s="1"/>
  <c r="AG231" i="25" s="1"/>
  <c r="AF231" i="25" s="1"/>
  <c r="AD231" i="25" s="1"/>
  <c r="AI235" i="25"/>
  <c r="AH235" i="25" s="1"/>
  <c r="AG235" i="25" s="1"/>
  <c r="AF235" i="25" s="1"/>
  <c r="AD235" i="25" s="1"/>
  <c r="AI239" i="25"/>
  <c r="AH239" i="25" s="1"/>
  <c r="AG239" i="25" s="1"/>
  <c r="AF239" i="25" s="1"/>
  <c r="AD239" i="25" s="1"/>
  <c r="AI243" i="25"/>
  <c r="AH243" i="25" s="1"/>
  <c r="AG243" i="25" s="1"/>
  <c r="AF243" i="25" s="1"/>
  <c r="AD243" i="25" s="1"/>
  <c r="AI247" i="25"/>
  <c r="AH247" i="25" s="1"/>
  <c r="AG247" i="25" s="1"/>
  <c r="AF247" i="25" s="1"/>
  <c r="AD247" i="25" s="1"/>
  <c r="AI251" i="25"/>
  <c r="AH251" i="25" s="1"/>
  <c r="AG251" i="25" s="1"/>
  <c r="AF251" i="25" s="1"/>
  <c r="AD251" i="25" s="1"/>
  <c r="AI255" i="25"/>
  <c r="AH255" i="25" s="1"/>
  <c r="AG255" i="25" s="1"/>
  <c r="AF255" i="25" s="1"/>
  <c r="AD255" i="25" s="1"/>
  <c r="AI259" i="25"/>
  <c r="AH259" i="25" s="1"/>
  <c r="AG259" i="25" s="1"/>
  <c r="AF259" i="25" s="1"/>
  <c r="AD259" i="25" s="1"/>
  <c r="AI263" i="25"/>
  <c r="AH263" i="25" s="1"/>
  <c r="AG263" i="25" s="1"/>
  <c r="AF263" i="25" s="1"/>
  <c r="AD263" i="25" s="1"/>
  <c r="AI267" i="25"/>
  <c r="AH267" i="25" s="1"/>
  <c r="AG267" i="25" s="1"/>
  <c r="AF267" i="25" s="1"/>
  <c r="AD267" i="25" s="1"/>
  <c r="AI271" i="25"/>
  <c r="AH271" i="25" s="1"/>
  <c r="AG271" i="25" s="1"/>
  <c r="AF271" i="25" s="1"/>
  <c r="AD271" i="25" s="1"/>
  <c r="AI275" i="25"/>
  <c r="AH275" i="25" s="1"/>
  <c r="AG275" i="25" s="1"/>
  <c r="AF275" i="25" s="1"/>
  <c r="AD275" i="25" s="1"/>
  <c r="AI279" i="25"/>
  <c r="AH279" i="25" s="1"/>
  <c r="AG279" i="25" s="1"/>
  <c r="AF279" i="25" s="1"/>
  <c r="AD279" i="25" s="1"/>
  <c r="AI283" i="25"/>
  <c r="AH283" i="25" s="1"/>
  <c r="AG283" i="25" s="1"/>
  <c r="AF283" i="25" s="1"/>
  <c r="AD283" i="25" s="1"/>
  <c r="AI287" i="25"/>
  <c r="AH287" i="25" s="1"/>
  <c r="AG287" i="25" s="1"/>
  <c r="AF287" i="25" s="1"/>
  <c r="AD287" i="25" s="1"/>
  <c r="AI34" i="25"/>
  <c r="AH34" i="25" s="1"/>
  <c r="AG34" i="25" s="1"/>
  <c r="AF34" i="25" s="1"/>
  <c r="AD34" i="25" s="1"/>
  <c r="AI66" i="25"/>
  <c r="AH66" i="25" s="1"/>
  <c r="AG66" i="25" s="1"/>
  <c r="AF66" i="25" s="1"/>
  <c r="AD66" i="25" s="1"/>
  <c r="AI96" i="25"/>
  <c r="AH96" i="25" s="1"/>
  <c r="AG96" i="25" s="1"/>
  <c r="AF96" i="25" s="1"/>
  <c r="AD96" i="25" s="1"/>
  <c r="AI112" i="25"/>
  <c r="AH112" i="25" s="1"/>
  <c r="AG112" i="25" s="1"/>
  <c r="AF112" i="25" s="1"/>
  <c r="AD112" i="25" s="1"/>
  <c r="AI128" i="25"/>
  <c r="AH128" i="25" s="1"/>
  <c r="AG128" i="25" s="1"/>
  <c r="AF128" i="25" s="1"/>
  <c r="AD128" i="25" s="1"/>
  <c r="AI144" i="25"/>
  <c r="AH144" i="25" s="1"/>
  <c r="AG144" i="25" s="1"/>
  <c r="AF144" i="25" s="1"/>
  <c r="AD144" i="25" s="1"/>
  <c r="AI160" i="25"/>
  <c r="AH160" i="25" s="1"/>
  <c r="AG160" i="25" s="1"/>
  <c r="AF160" i="25" s="1"/>
  <c r="AD160" i="25" s="1"/>
  <c r="AI176" i="25"/>
  <c r="AH176" i="25" s="1"/>
  <c r="AG176" i="25" s="1"/>
  <c r="AF176" i="25" s="1"/>
  <c r="AD176" i="25" s="1"/>
  <c r="AI188" i="25"/>
  <c r="AH188" i="25" s="1"/>
  <c r="AG188" i="25" s="1"/>
  <c r="AF188" i="25" s="1"/>
  <c r="AD188" i="25" s="1"/>
  <c r="AI196" i="25"/>
  <c r="AH196" i="25" s="1"/>
  <c r="AG196" i="25" s="1"/>
  <c r="AF196" i="25" s="1"/>
  <c r="AD196" i="25" s="1"/>
  <c r="AI204" i="25"/>
  <c r="AH204" i="25" s="1"/>
  <c r="AG204" i="25" s="1"/>
  <c r="AF204" i="25" s="1"/>
  <c r="AD204" i="25" s="1"/>
  <c r="AI212" i="25"/>
  <c r="AH212" i="25" s="1"/>
  <c r="AG212" i="25" s="1"/>
  <c r="AF212" i="25" s="1"/>
  <c r="AD212" i="25" s="1"/>
  <c r="AI220" i="25"/>
  <c r="AH220" i="25" s="1"/>
  <c r="AG220" i="25" s="1"/>
  <c r="AF220" i="25" s="1"/>
  <c r="AD220" i="25" s="1"/>
  <c r="AI228" i="25"/>
  <c r="AH228" i="25" s="1"/>
  <c r="AG228" i="25" s="1"/>
  <c r="AF228" i="25" s="1"/>
  <c r="AD228" i="25" s="1"/>
  <c r="AI236" i="25"/>
  <c r="AH236" i="25" s="1"/>
  <c r="AG236" i="25" s="1"/>
  <c r="AF236" i="25" s="1"/>
  <c r="AD236" i="25" s="1"/>
  <c r="AI244" i="25"/>
  <c r="AH244" i="25" s="1"/>
  <c r="AG244" i="25" s="1"/>
  <c r="AF244" i="25" s="1"/>
  <c r="AD244" i="25" s="1"/>
  <c r="AI252" i="25"/>
  <c r="AH252" i="25" s="1"/>
  <c r="AG252" i="25" s="1"/>
  <c r="AF252" i="25" s="1"/>
  <c r="AD252" i="25" s="1"/>
  <c r="AI260" i="25"/>
  <c r="AH260" i="25" s="1"/>
  <c r="AG260" i="25" s="1"/>
  <c r="AF260" i="25" s="1"/>
  <c r="AD260" i="25" s="1"/>
  <c r="AI268" i="25"/>
  <c r="AH268" i="25" s="1"/>
  <c r="AG268" i="25" s="1"/>
  <c r="AF268" i="25" s="1"/>
  <c r="AD268" i="25" s="1"/>
  <c r="AI276" i="25"/>
  <c r="AH276" i="25" s="1"/>
  <c r="AG276" i="25" s="1"/>
  <c r="AF276" i="25" s="1"/>
  <c r="AD276" i="25" s="1"/>
  <c r="AI284" i="25"/>
  <c r="AH284" i="25" s="1"/>
  <c r="AG284" i="25" s="1"/>
  <c r="AF284" i="25" s="1"/>
  <c r="AD284" i="25" s="1"/>
  <c r="AI290" i="25"/>
  <c r="AH290" i="25" s="1"/>
  <c r="AG290" i="25" s="1"/>
  <c r="AF290" i="25" s="1"/>
  <c r="AD290" i="25" s="1"/>
  <c r="AI294" i="25"/>
  <c r="AH294" i="25" s="1"/>
  <c r="AG294" i="25" s="1"/>
  <c r="AF294" i="25" s="1"/>
  <c r="AD294" i="25" s="1"/>
  <c r="AI298" i="25"/>
  <c r="AH298" i="25" s="1"/>
  <c r="AG298" i="25" s="1"/>
  <c r="AF298" i="25" s="1"/>
  <c r="AD298" i="25" s="1"/>
  <c r="AI302" i="25"/>
  <c r="AH302" i="25" s="1"/>
  <c r="AG302" i="25" s="1"/>
  <c r="AF302" i="25" s="1"/>
  <c r="AD302" i="25" s="1"/>
  <c r="AI306" i="25"/>
  <c r="AH306" i="25" s="1"/>
  <c r="AG306" i="25" s="1"/>
  <c r="AF306" i="25" s="1"/>
  <c r="AD306" i="25" s="1"/>
  <c r="AI310" i="25"/>
  <c r="AH310" i="25" s="1"/>
  <c r="AG310" i="25" s="1"/>
  <c r="AF310" i="25" s="1"/>
  <c r="AD310" i="25" s="1"/>
  <c r="AI314" i="25"/>
  <c r="AH314" i="25" s="1"/>
  <c r="AG314" i="25" s="1"/>
  <c r="AF314" i="25" s="1"/>
  <c r="AD314" i="25" s="1"/>
  <c r="AI318" i="25"/>
  <c r="AH318" i="25" s="1"/>
  <c r="AG318" i="25" s="1"/>
  <c r="AF318" i="25" s="1"/>
  <c r="AD318" i="25" s="1"/>
  <c r="AI322" i="25"/>
  <c r="AH322" i="25" s="1"/>
  <c r="AG322" i="25" s="1"/>
  <c r="AF322" i="25" s="1"/>
  <c r="AD322" i="25" s="1"/>
  <c r="AI326" i="25"/>
  <c r="AH326" i="25" s="1"/>
  <c r="AG326" i="25" s="1"/>
  <c r="AF326" i="25" s="1"/>
  <c r="AD326" i="25" s="1"/>
  <c r="AI330" i="25"/>
  <c r="AH330" i="25" s="1"/>
  <c r="AG330" i="25" s="1"/>
  <c r="AF330" i="25" s="1"/>
  <c r="AD330" i="25" s="1"/>
  <c r="AI334" i="25"/>
  <c r="AH334" i="25" s="1"/>
  <c r="AG334" i="25" s="1"/>
  <c r="AF334" i="25" s="1"/>
  <c r="AD334" i="25" s="1"/>
  <c r="AI338" i="25"/>
  <c r="AH338" i="25" s="1"/>
  <c r="AG338" i="25" s="1"/>
  <c r="AF338" i="25" s="1"/>
  <c r="AD338" i="25" s="1"/>
  <c r="AI342" i="25"/>
  <c r="AH342" i="25" s="1"/>
  <c r="AG342" i="25" s="1"/>
  <c r="AF342" i="25" s="1"/>
  <c r="AD342" i="25" s="1"/>
  <c r="AI346" i="25"/>
  <c r="AH346" i="25" s="1"/>
  <c r="AG346" i="25" s="1"/>
  <c r="AF346" i="25" s="1"/>
  <c r="AD346" i="25" s="1"/>
  <c r="AI350" i="25"/>
  <c r="AH350" i="25" s="1"/>
  <c r="AG350" i="25" s="1"/>
  <c r="AF350" i="25" s="1"/>
  <c r="AD350" i="25" s="1"/>
  <c r="AI354" i="25"/>
  <c r="AH354" i="25" s="1"/>
  <c r="AG354" i="25" s="1"/>
  <c r="AF354" i="25" s="1"/>
  <c r="AD354" i="25" s="1"/>
  <c r="AI358" i="25"/>
  <c r="AH358" i="25" s="1"/>
  <c r="AG358" i="25" s="1"/>
  <c r="AF358" i="25" s="1"/>
  <c r="AD358" i="25" s="1"/>
  <c r="AI362" i="25"/>
  <c r="AH362" i="25" s="1"/>
  <c r="AG362" i="25" s="1"/>
  <c r="AF362" i="25" s="1"/>
  <c r="AD362" i="25" s="1"/>
  <c r="AI366" i="25"/>
  <c r="AH366" i="25" s="1"/>
  <c r="AG366" i="25" s="1"/>
  <c r="AF366" i="25" s="1"/>
  <c r="AD366" i="25" s="1"/>
  <c r="AI370" i="25"/>
  <c r="AH370" i="25" s="1"/>
  <c r="AG370" i="25" s="1"/>
  <c r="AF370" i="25" s="1"/>
  <c r="AD370" i="25" s="1"/>
  <c r="AI19" i="25"/>
  <c r="AH19" i="25" s="1"/>
  <c r="AG19" i="25" s="1"/>
  <c r="AF19" i="25" s="1"/>
  <c r="AD19" i="25" s="1"/>
  <c r="AI58" i="25"/>
  <c r="AH58" i="25" s="1"/>
  <c r="AG58" i="25" s="1"/>
  <c r="AF58" i="25" s="1"/>
  <c r="AD58" i="25" s="1"/>
  <c r="AI90" i="25"/>
  <c r="AH90" i="25" s="1"/>
  <c r="AG90" i="25" s="1"/>
  <c r="AF90" i="25" s="1"/>
  <c r="AD90" i="25" s="1"/>
  <c r="AI108" i="25"/>
  <c r="AH108" i="25" s="1"/>
  <c r="AG108" i="25" s="1"/>
  <c r="AF108" i="25" s="1"/>
  <c r="AD108" i="25" s="1"/>
  <c r="AI124" i="25"/>
  <c r="AH124" i="25" s="1"/>
  <c r="AG124" i="25" s="1"/>
  <c r="AF124" i="25" s="1"/>
  <c r="AD124" i="25" s="1"/>
  <c r="AI140" i="25"/>
  <c r="AH140" i="25" s="1"/>
  <c r="AG140" i="25" s="1"/>
  <c r="AF140" i="25" s="1"/>
  <c r="AD140" i="25" s="1"/>
  <c r="AI156" i="25"/>
  <c r="AH156" i="25" s="1"/>
  <c r="AG156" i="25" s="1"/>
  <c r="AF156" i="25" s="1"/>
  <c r="AD156" i="25" s="1"/>
  <c r="AI172" i="25"/>
  <c r="AH172" i="25" s="1"/>
  <c r="AG172" i="25" s="1"/>
  <c r="AF172" i="25" s="1"/>
  <c r="AD172" i="25" s="1"/>
  <c r="AI186" i="25"/>
  <c r="AH186" i="25" s="1"/>
  <c r="AG186" i="25" s="1"/>
  <c r="AF186" i="25" s="1"/>
  <c r="AD186" i="25" s="1"/>
  <c r="AI194" i="25"/>
  <c r="AH194" i="25" s="1"/>
  <c r="AG194" i="25" s="1"/>
  <c r="AF194" i="25" s="1"/>
  <c r="AD194" i="25" s="1"/>
  <c r="AI202" i="25"/>
  <c r="AH202" i="25" s="1"/>
  <c r="AG202" i="25" s="1"/>
  <c r="AF202" i="25" s="1"/>
  <c r="AD202" i="25" s="1"/>
  <c r="AI210" i="25"/>
  <c r="AH210" i="25" s="1"/>
  <c r="AG210" i="25" s="1"/>
  <c r="AF210" i="25" s="1"/>
  <c r="AD210" i="25" s="1"/>
  <c r="AI218" i="25"/>
  <c r="AH218" i="25" s="1"/>
  <c r="AG218" i="25" s="1"/>
  <c r="AF218" i="25" s="1"/>
  <c r="AD218" i="25" s="1"/>
  <c r="AI226" i="25"/>
  <c r="AH226" i="25" s="1"/>
  <c r="AG226" i="25" s="1"/>
  <c r="AF226" i="25" s="1"/>
  <c r="AD226" i="25" s="1"/>
  <c r="AI234" i="25"/>
  <c r="AH234" i="25" s="1"/>
  <c r="AG234" i="25" s="1"/>
  <c r="AF234" i="25" s="1"/>
  <c r="AD234" i="25" s="1"/>
  <c r="AI242" i="25"/>
  <c r="AH242" i="25" s="1"/>
  <c r="AG242" i="25" s="1"/>
  <c r="AF242" i="25" s="1"/>
  <c r="AD242" i="25" s="1"/>
  <c r="AI250" i="25"/>
  <c r="AH250" i="25" s="1"/>
  <c r="AG250" i="25" s="1"/>
  <c r="AF250" i="25" s="1"/>
  <c r="AD250" i="25" s="1"/>
  <c r="AI258" i="25"/>
  <c r="AH258" i="25" s="1"/>
  <c r="AG258" i="25" s="1"/>
  <c r="AF258" i="25" s="1"/>
  <c r="AD258" i="25" s="1"/>
  <c r="AI266" i="25"/>
  <c r="AH266" i="25" s="1"/>
  <c r="AG266" i="25" s="1"/>
  <c r="AF266" i="25" s="1"/>
  <c r="AD266" i="25" s="1"/>
  <c r="AI274" i="25"/>
  <c r="AH274" i="25" s="1"/>
  <c r="AG274" i="25" s="1"/>
  <c r="AF274" i="25" s="1"/>
  <c r="AD274" i="25" s="1"/>
  <c r="AI282" i="25"/>
  <c r="AH282" i="25" s="1"/>
  <c r="AG282" i="25" s="1"/>
  <c r="AF282" i="25" s="1"/>
  <c r="AD282" i="25" s="1"/>
  <c r="AI289" i="25"/>
  <c r="AH289" i="25" s="1"/>
  <c r="AG289" i="25" s="1"/>
  <c r="AF289" i="25" s="1"/>
  <c r="AD289" i="25" s="1"/>
  <c r="AI293" i="25"/>
  <c r="AH293" i="25" s="1"/>
  <c r="AG293" i="25" s="1"/>
  <c r="AF293" i="25" s="1"/>
  <c r="AD293" i="25" s="1"/>
  <c r="AI297" i="25"/>
  <c r="AH297" i="25" s="1"/>
  <c r="AG297" i="25" s="1"/>
  <c r="AF297" i="25" s="1"/>
  <c r="AD297" i="25" s="1"/>
  <c r="AI301" i="25"/>
  <c r="AH301" i="25" s="1"/>
  <c r="AG301" i="25" s="1"/>
  <c r="AF301" i="25" s="1"/>
  <c r="AD301" i="25" s="1"/>
  <c r="AI305" i="25"/>
  <c r="AH305" i="25" s="1"/>
  <c r="AG305" i="25" s="1"/>
  <c r="AF305" i="25" s="1"/>
  <c r="AD305" i="25" s="1"/>
  <c r="AI309" i="25"/>
  <c r="AH309" i="25" s="1"/>
  <c r="AG309" i="25" s="1"/>
  <c r="AF309" i="25" s="1"/>
  <c r="AD309" i="25" s="1"/>
  <c r="AI313" i="25"/>
  <c r="AH313" i="25" s="1"/>
  <c r="AG313" i="25" s="1"/>
  <c r="AF313" i="25" s="1"/>
  <c r="AD313" i="25" s="1"/>
  <c r="AI317" i="25"/>
  <c r="AH317" i="25" s="1"/>
  <c r="AG317" i="25" s="1"/>
  <c r="AF317" i="25" s="1"/>
  <c r="AD317" i="25" s="1"/>
  <c r="AI321" i="25"/>
  <c r="AH321" i="25" s="1"/>
  <c r="AG321" i="25" s="1"/>
  <c r="AF321" i="25" s="1"/>
  <c r="AD321" i="25" s="1"/>
  <c r="AI325" i="25"/>
  <c r="AH325" i="25" s="1"/>
  <c r="AG325" i="25" s="1"/>
  <c r="AF325" i="25" s="1"/>
  <c r="AD325" i="25" s="1"/>
  <c r="AI329" i="25"/>
  <c r="AH329" i="25" s="1"/>
  <c r="AG329" i="25" s="1"/>
  <c r="AF329" i="25" s="1"/>
  <c r="AD329" i="25" s="1"/>
  <c r="AI333" i="25"/>
  <c r="AH333" i="25" s="1"/>
  <c r="AG333" i="25" s="1"/>
  <c r="AF333" i="25" s="1"/>
  <c r="AD333" i="25" s="1"/>
  <c r="AI337" i="25"/>
  <c r="AH337" i="25" s="1"/>
  <c r="AG337" i="25" s="1"/>
  <c r="AF337" i="25" s="1"/>
  <c r="AD337" i="25" s="1"/>
  <c r="AI341" i="25"/>
  <c r="AH341" i="25" s="1"/>
  <c r="AG341" i="25" s="1"/>
  <c r="AF341" i="25" s="1"/>
  <c r="AD341" i="25" s="1"/>
  <c r="AI345" i="25"/>
  <c r="AH345" i="25" s="1"/>
  <c r="AG345" i="25" s="1"/>
  <c r="AF345" i="25" s="1"/>
  <c r="AD345" i="25" s="1"/>
  <c r="AI349" i="25"/>
  <c r="AH349" i="25" s="1"/>
  <c r="AG349" i="25" s="1"/>
  <c r="AF349" i="25" s="1"/>
  <c r="AD349" i="25" s="1"/>
  <c r="AI353" i="25"/>
  <c r="AH353" i="25" s="1"/>
  <c r="AG353" i="25" s="1"/>
  <c r="AF353" i="25" s="1"/>
  <c r="AD353" i="25" s="1"/>
  <c r="AI357" i="25"/>
  <c r="AH357" i="25" s="1"/>
  <c r="AG357" i="25" s="1"/>
  <c r="AF357" i="25" s="1"/>
  <c r="AD357" i="25" s="1"/>
  <c r="AI361" i="25"/>
  <c r="AH361" i="25" s="1"/>
  <c r="AG361" i="25" s="1"/>
  <c r="AF361" i="25" s="1"/>
  <c r="AD361" i="25" s="1"/>
  <c r="AI365" i="25"/>
  <c r="AH365" i="25" s="1"/>
  <c r="AG365" i="25" s="1"/>
  <c r="AF365" i="25" s="1"/>
  <c r="AD365" i="25" s="1"/>
  <c r="AI369" i="25"/>
  <c r="AH369" i="25" s="1"/>
  <c r="AG369" i="25" s="1"/>
  <c r="AF369" i="25" s="1"/>
  <c r="AD369" i="25" s="1"/>
  <c r="AI373" i="25"/>
  <c r="AH373" i="25" s="1"/>
  <c r="AG373" i="25" s="1"/>
  <c r="AF373" i="25" s="1"/>
  <c r="AD373" i="25" s="1"/>
  <c r="AI377" i="25"/>
  <c r="AH377" i="25" s="1"/>
  <c r="AG377" i="25" s="1"/>
  <c r="AF377" i="25" s="1"/>
  <c r="AD377" i="25" s="1"/>
  <c r="AI374" i="25"/>
  <c r="AH374" i="25" s="1"/>
  <c r="AG374" i="25" s="1"/>
  <c r="AF374" i="25" s="1"/>
  <c r="AD374" i="25" s="1"/>
  <c r="AI376" i="25"/>
  <c r="AH376" i="25" s="1"/>
  <c r="AG376" i="25" s="1"/>
  <c r="AF376" i="25" s="1"/>
  <c r="AD376" i="25" s="1"/>
  <c r="AI181" i="25"/>
  <c r="AH181" i="25" s="1"/>
  <c r="AG181" i="25" s="1"/>
  <c r="AF181" i="25" s="1"/>
  <c r="AD181" i="25" s="1"/>
  <c r="AI173" i="25"/>
  <c r="AH173" i="25" s="1"/>
  <c r="AG173" i="25" s="1"/>
  <c r="AF173" i="25" s="1"/>
  <c r="AD173" i="25" s="1"/>
  <c r="AI165" i="25"/>
  <c r="AH165" i="25" s="1"/>
  <c r="AG165" i="25" s="1"/>
  <c r="AF165" i="25" s="1"/>
  <c r="AD165" i="25" s="1"/>
  <c r="AI157" i="25"/>
  <c r="AH157" i="25" s="1"/>
  <c r="AG157" i="25" s="1"/>
  <c r="AF157" i="25" s="1"/>
  <c r="AD157" i="25" s="1"/>
  <c r="AI149" i="25"/>
  <c r="AH149" i="25" s="1"/>
  <c r="AG149" i="25" s="1"/>
  <c r="AF149" i="25" s="1"/>
  <c r="AD149" i="25" s="1"/>
  <c r="AI141" i="25"/>
  <c r="AH141" i="25" s="1"/>
  <c r="AG141" i="25" s="1"/>
  <c r="AF141" i="25" s="1"/>
  <c r="AD141" i="25" s="1"/>
  <c r="AI133" i="25"/>
  <c r="AH133" i="25" s="1"/>
  <c r="AG133" i="25" s="1"/>
  <c r="AF133" i="25" s="1"/>
  <c r="AD133" i="25" s="1"/>
  <c r="AI125" i="25"/>
  <c r="AH125" i="25" s="1"/>
  <c r="AG125" i="25" s="1"/>
  <c r="AF125" i="25" s="1"/>
  <c r="AD125" i="25" s="1"/>
  <c r="AI117" i="25"/>
  <c r="AH117" i="25" s="1"/>
  <c r="AG117" i="25" s="1"/>
  <c r="AF117" i="25" s="1"/>
  <c r="AD117" i="25" s="1"/>
  <c r="AI109" i="25"/>
  <c r="AH109" i="25" s="1"/>
  <c r="AG109" i="25" s="1"/>
  <c r="AF109" i="25" s="1"/>
  <c r="AD109" i="25" s="1"/>
  <c r="AI101" i="25"/>
  <c r="AH101" i="25" s="1"/>
  <c r="AG101" i="25" s="1"/>
  <c r="AF101" i="25" s="1"/>
  <c r="AD101" i="25" s="1"/>
  <c r="AI93" i="25"/>
  <c r="AH93" i="25" s="1"/>
  <c r="AG93" i="25" s="1"/>
  <c r="AF93" i="25" s="1"/>
  <c r="AD93" i="25" s="1"/>
  <c r="AI85" i="25"/>
  <c r="AH85" i="25" s="1"/>
  <c r="AG85" i="25" s="1"/>
  <c r="AF85" i="25" s="1"/>
  <c r="AD85" i="25" s="1"/>
  <c r="AI77" i="25"/>
  <c r="AH77" i="25" s="1"/>
  <c r="AG77" i="25" s="1"/>
  <c r="AF77" i="25" s="1"/>
  <c r="AD77" i="25" s="1"/>
  <c r="AI69" i="25"/>
  <c r="AH69" i="25" s="1"/>
  <c r="AG69" i="25" s="1"/>
  <c r="AF69" i="25" s="1"/>
  <c r="AD69" i="25" s="1"/>
  <c r="AI61" i="25"/>
  <c r="AH61" i="25" s="1"/>
  <c r="AG61" i="25" s="1"/>
  <c r="AF61" i="25" s="1"/>
  <c r="AD61" i="25" s="1"/>
  <c r="AI53" i="25"/>
  <c r="AH53" i="25" s="1"/>
  <c r="AG53" i="25" s="1"/>
  <c r="AF53" i="25" s="1"/>
  <c r="AD53" i="25" s="1"/>
  <c r="AI45" i="25"/>
  <c r="AH45" i="25" s="1"/>
  <c r="AG45" i="25" s="1"/>
  <c r="AF45" i="25" s="1"/>
  <c r="AD45" i="25" s="1"/>
  <c r="AI37" i="25"/>
  <c r="AH37" i="25" s="1"/>
  <c r="AG37" i="25" s="1"/>
  <c r="AF37" i="25" s="1"/>
  <c r="AD37" i="25" s="1"/>
  <c r="AI29" i="25"/>
  <c r="AH29" i="25" s="1"/>
  <c r="AG29" i="25" s="1"/>
  <c r="AF29" i="25" s="1"/>
  <c r="AD29" i="25" s="1"/>
  <c r="AI23" i="25"/>
  <c r="AH23" i="25" s="1"/>
  <c r="AG23" i="25" s="1"/>
  <c r="AF23" i="25" s="1"/>
  <c r="AD23" i="25" s="1"/>
  <c r="AI26" i="25"/>
  <c r="AH26" i="25" s="1"/>
  <c r="AG26" i="25" s="1"/>
  <c r="AF26" i="25" s="1"/>
  <c r="AD26" i="25" s="1"/>
  <c r="AI40" i="25"/>
  <c r="AH40" i="25" s="1"/>
  <c r="AG40" i="25" s="1"/>
  <c r="AF40" i="25" s="1"/>
  <c r="AD40" i="25" s="1"/>
  <c r="AI56" i="25"/>
  <c r="AH56" i="25" s="1"/>
  <c r="AG56" i="25" s="1"/>
  <c r="AF56" i="25" s="1"/>
  <c r="AD56" i="25" s="1"/>
  <c r="AI72" i="25"/>
  <c r="AH72" i="25" s="1"/>
  <c r="AG72" i="25" s="1"/>
  <c r="AF72" i="25" s="1"/>
  <c r="AD72" i="25" s="1"/>
  <c r="AI88" i="25"/>
  <c r="AH88" i="25" s="1"/>
  <c r="AG88" i="25" s="1"/>
  <c r="AF88" i="25" s="1"/>
  <c r="AD88" i="25" s="1"/>
  <c r="AI135" i="25"/>
  <c r="AH135" i="25" s="1"/>
  <c r="AG135" i="25" s="1"/>
  <c r="AF135" i="25" s="1"/>
  <c r="AD135" i="25" s="1"/>
  <c r="AI71" i="25"/>
  <c r="AH71" i="25" s="1"/>
  <c r="AG71" i="25" s="1"/>
  <c r="AF71" i="25" s="1"/>
  <c r="AD71" i="25" s="1"/>
  <c r="AI68" i="25"/>
  <c r="AH68" i="25" s="1"/>
  <c r="AG68" i="25" s="1"/>
  <c r="AF68" i="25" s="1"/>
  <c r="AD68" i="25" s="1"/>
  <c r="AI159" i="25"/>
  <c r="AH159" i="25" s="1"/>
  <c r="AG159" i="25" s="1"/>
  <c r="AF159" i="25" s="1"/>
  <c r="AD159" i="25" s="1"/>
  <c r="AI127" i="25"/>
  <c r="AH127" i="25" s="1"/>
  <c r="AG127" i="25" s="1"/>
  <c r="AF127" i="25" s="1"/>
  <c r="AD127" i="25" s="1"/>
  <c r="AI95" i="25"/>
  <c r="AH95" i="25" s="1"/>
  <c r="AG95" i="25" s="1"/>
  <c r="AF95" i="25" s="1"/>
  <c r="AD95" i="25" s="1"/>
  <c r="AI63" i="25"/>
  <c r="AH63" i="25" s="1"/>
  <c r="AG63" i="25" s="1"/>
  <c r="AF63" i="25" s="1"/>
  <c r="AD63" i="25" s="1"/>
  <c r="AI31" i="25"/>
  <c r="AH31" i="25" s="1"/>
  <c r="AG31" i="25" s="1"/>
  <c r="AF31" i="25" s="1"/>
  <c r="AD31" i="25" s="1"/>
  <c r="AI25" i="25"/>
  <c r="AH25" i="25" s="1"/>
  <c r="AG25" i="25" s="1"/>
  <c r="AF25" i="25" s="1"/>
  <c r="AD25" i="25" s="1"/>
  <c r="AI84" i="25"/>
  <c r="AH84" i="25" s="1"/>
  <c r="AG84" i="25" s="1"/>
  <c r="AF84" i="25" s="1"/>
  <c r="AD84" i="25" s="1"/>
  <c r="AI171" i="25"/>
  <c r="AH171" i="25" s="1"/>
  <c r="AG171" i="25" s="1"/>
  <c r="AF171" i="25" s="1"/>
  <c r="AD171" i="25" s="1"/>
  <c r="AI155" i="25"/>
  <c r="AH155" i="25" s="1"/>
  <c r="AG155" i="25" s="1"/>
  <c r="AF155" i="25" s="1"/>
  <c r="AD155" i="25" s="1"/>
  <c r="AI139" i="25"/>
  <c r="AH139" i="25" s="1"/>
  <c r="AG139" i="25" s="1"/>
  <c r="AF139" i="25" s="1"/>
  <c r="AD139" i="25" s="1"/>
  <c r="AI123" i="25"/>
  <c r="AH123" i="25" s="1"/>
  <c r="AG123" i="25" s="1"/>
  <c r="AF123" i="25" s="1"/>
  <c r="AD123" i="25" s="1"/>
  <c r="AI107" i="25"/>
  <c r="AH107" i="25" s="1"/>
  <c r="AG107" i="25" s="1"/>
  <c r="AF107" i="25" s="1"/>
  <c r="AD107" i="25" s="1"/>
  <c r="AI91" i="25"/>
  <c r="AH91" i="25" s="1"/>
  <c r="AG91" i="25" s="1"/>
  <c r="AF91" i="25" s="1"/>
  <c r="AD91" i="25" s="1"/>
  <c r="AI75" i="25"/>
  <c r="AH75" i="25" s="1"/>
  <c r="AG75" i="25" s="1"/>
  <c r="AF75" i="25" s="1"/>
  <c r="AD75" i="25" s="1"/>
  <c r="AI59" i="25"/>
  <c r="AH59" i="25" s="1"/>
  <c r="AG59" i="25" s="1"/>
  <c r="AF59" i="25" s="1"/>
  <c r="AD59" i="25" s="1"/>
  <c r="AI43" i="25"/>
  <c r="AH43" i="25" s="1"/>
  <c r="AG43" i="25" s="1"/>
  <c r="AF43" i="25" s="1"/>
  <c r="AD43" i="25" s="1"/>
  <c r="AI20" i="25"/>
  <c r="AH20" i="25" s="1"/>
  <c r="AG20" i="25" s="1"/>
  <c r="AF20" i="25" s="1"/>
  <c r="AD20" i="25" s="1"/>
  <c r="AI28" i="25"/>
  <c r="AH28" i="25" s="1"/>
  <c r="AG28" i="25" s="1"/>
  <c r="AF28" i="25" s="1"/>
  <c r="AD28" i="25" s="1"/>
  <c r="AI60" i="25"/>
  <c r="AH60" i="25" s="1"/>
  <c r="AG60" i="25" s="1"/>
  <c r="AF60" i="25" s="1"/>
  <c r="AD60" i="25" s="1"/>
  <c r="AI15" i="25"/>
  <c r="AI38" i="25"/>
  <c r="AH38" i="25" s="1"/>
  <c r="AG38" i="25" s="1"/>
  <c r="AF38" i="25" s="1"/>
  <c r="AD38" i="25" s="1"/>
  <c r="AI54" i="25"/>
  <c r="AH54" i="25" s="1"/>
  <c r="AG54" i="25" s="1"/>
  <c r="AF54" i="25" s="1"/>
  <c r="AD54" i="25" s="1"/>
  <c r="AI70" i="25"/>
  <c r="AH70" i="25" s="1"/>
  <c r="AG70" i="25" s="1"/>
  <c r="AF70" i="25" s="1"/>
  <c r="AD70" i="25" s="1"/>
  <c r="AI86" i="25"/>
  <c r="AH86" i="25" s="1"/>
  <c r="AG86" i="25" s="1"/>
  <c r="AF86" i="25" s="1"/>
  <c r="AD86" i="25" s="1"/>
  <c r="AI98" i="25"/>
  <c r="AH98" i="25" s="1"/>
  <c r="AG98" i="25" s="1"/>
  <c r="AF98" i="25" s="1"/>
  <c r="AD98" i="25" s="1"/>
  <c r="AI106" i="25"/>
  <c r="AH106" i="25" s="1"/>
  <c r="AG106" i="25" s="1"/>
  <c r="AF106" i="25" s="1"/>
  <c r="AD106" i="25" s="1"/>
  <c r="AI114" i="25"/>
  <c r="AH114" i="25" s="1"/>
  <c r="AG114" i="25" s="1"/>
  <c r="AF114" i="25" s="1"/>
  <c r="AD114" i="25" s="1"/>
  <c r="AI122" i="25"/>
  <c r="AH122" i="25" s="1"/>
  <c r="AG122" i="25" s="1"/>
  <c r="AF122" i="25" s="1"/>
  <c r="AD122" i="25" s="1"/>
  <c r="AI130" i="25"/>
  <c r="AH130" i="25" s="1"/>
  <c r="AG130" i="25" s="1"/>
  <c r="AF130" i="25" s="1"/>
  <c r="AD130" i="25" s="1"/>
  <c r="AI138" i="25"/>
  <c r="AH138" i="25" s="1"/>
  <c r="AG138" i="25" s="1"/>
  <c r="AF138" i="25" s="1"/>
  <c r="AD138" i="25" s="1"/>
  <c r="AI146" i="25"/>
  <c r="AH146" i="25" s="1"/>
  <c r="AG146" i="25" s="1"/>
  <c r="AF146" i="25" s="1"/>
  <c r="AD146" i="25" s="1"/>
  <c r="AI154" i="25"/>
  <c r="AH154" i="25" s="1"/>
  <c r="AG154" i="25" s="1"/>
  <c r="AF154" i="25" s="1"/>
  <c r="AD154" i="25" s="1"/>
  <c r="AI162" i="25"/>
  <c r="AH162" i="25" s="1"/>
  <c r="AG162" i="25" s="1"/>
  <c r="AF162" i="25" s="1"/>
  <c r="AD162" i="25" s="1"/>
  <c r="AI170" i="25"/>
  <c r="AH170" i="25" s="1"/>
  <c r="AG170" i="25" s="1"/>
  <c r="AF170" i="25" s="1"/>
  <c r="AD170" i="25" s="1"/>
  <c r="AI178" i="25"/>
  <c r="AH178" i="25" s="1"/>
  <c r="AG178" i="25" s="1"/>
  <c r="AF178" i="25" s="1"/>
  <c r="AD178" i="25" s="1"/>
  <c r="AI185" i="25"/>
  <c r="AH185" i="25" s="1"/>
  <c r="AG185" i="25" s="1"/>
  <c r="AF185" i="25" s="1"/>
  <c r="AD185" i="25" s="1"/>
  <c r="AI189" i="25"/>
  <c r="AH189" i="25" s="1"/>
  <c r="AG189" i="25" s="1"/>
  <c r="AF189" i="25" s="1"/>
  <c r="AD189" i="25" s="1"/>
  <c r="AI193" i="25"/>
  <c r="AH193" i="25" s="1"/>
  <c r="AG193" i="25" s="1"/>
  <c r="AF193" i="25" s="1"/>
  <c r="AD193" i="25" s="1"/>
  <c r="AI197" i="25"/>
  <c r="AH197" i="25" s="1"/>
  <c r="AG197" i="25" s="1"/>
  <c r="AF197" i="25" s="1"/>
  <c r="AD197" i="25" s="1"/>
  <c r="AI201" i="25"/>
  <c r="AH201" i="25" s="1"/>
  <c r="AG201" i="25" s="1"/>
  <c r="AF201" i="25" s="1"/>
  <c r="AD201" i="25" s="1"/>
  <c r="AI205" i="25"/>
  <c r="AH205" i="25" s="1"/>
  <c r="AG205" i="25" s="1"/>
  <c r="AF205" i="25" s="1"/>
  <c r="AD205" i="25" s="1"/>
  <c r="AI209" i="25"/>
  <c r="AH209" i="25" s="1"/>
  <c r="AG209" i="25" s="1"/>
  <c r="AF209" i="25" s="1"/>
  <c r="AD209" i="25" s="1"/>
  <c r="AI213" i="25"/>
  <c r="AH213" i="25" s="1"/>
  <c r="AG213" i="25" s="1"/>
  <c r="AF213" i="25" s="1"/>
  <c r="AD213" i="25" s="1"/>
  <c r="AI217" i="25"/>
  <c r="AH217" i="25" s="1"/>
  <c r="AG217" i="25" s="1"/>
  <c r="AF217" i="25" s="1"/>
  <c r="AD217" i="25" s="1"/>
  <c r="AI221" i="25"/>
  <c r="AH221" i="25" s="1"/>
  <c r="AG221" i="25" s="1"/>
  <c r="AF221" i="25" s="1"/>
  <c r="AD221" i="25" s="1"/>
  <c r="AI225" i="25"/>
  <c r="AH225" i="25" s="1"/>
  <c r="AG225" i="25" s="1"/>
  <c r="AF225" i="25" s="1"/>
  <c r="AD225" i="25" s="1"/>
  <c r="AI229" i="25"/>
  <c r="AH229" i="25" s="1"/>
  <c r="AG229" i="25" s="1"/>
  <c r="AF229" i="25" s="1"/>
  <c r="AD229" i="25" s="1"/>
  <c r="AI233" i="25"/>
  <c r="AH233" i="25" s="1"/>
  <c r="AG233" i="25" s="1"/>
  <c r="AF233" i="25" s="1"/>
  <c r="AD233" i="25" s="1"/>
  <c r="AI237" i="25"/>
  <c r="AH237" i="25" s="1"/>
  <c r="AG237" i="25" s="1"/>
  <c r="AF237" i="25" s="1"/>
  <c r="AD237" i="25" s="1"/>
  <c r="AI241" i="25"/>
  <c r="AH241" i="25" s="1"/>
  <c r="AG241" i="25" s="1"/>
  <c r="AF241" i="25" s="1"/>
  <c r="AD241" i="25" s="1"/>
  <c r="AI245" i="25"/>
  <c r="AH245" i="25" s="1"/>
  <c r="AG245" i="25" s="1"/>
  <c r="AF245" i="25" s="1"/>
  <c r="AD245" i="25" s="1"/>
  <c r="AI249" i="25"/>
  <c r="AH249" i="25" s="1"/>
  <c r="AG249" i="25" s="1"/>
  <c r="AF249" i="25" s="1"/>
  <c r="AD249" i="25" s="1"/>
  <c r="AI253" i="25"/>
  <c r="AH253" i="25" s="1"/>
  <c r="AG253" i="25" s="1"/>
  <c r="AF253" i="25" s="1"/>
  <c r="AD253" i="25" s="1"/>
  <c r="AI257" i="25"/>
  <c r="AH257" i="25" s="1"/>
  <c r="AG257" i="25" s="1"/>
  <c r="AF257" i="25" s="1"/>
  <c r="AD257" i="25" s="1"/>
  <c r="AI261" i="25"/>
  <c r="AH261" i="25" s="1"/>
  <c r="AG261" i="25" s="1"/>
  <c r="AF261" i="25" s="1"/>
  <c r="AD261" i="25" s="1"/>
  <c r="AI265" i="25"/>
  <c r="AH265" i="25" s="1"/>
  <c r="AG265" i="25" s="1"/>
  <c r="AF265" i="25" s="1"/>
  <c r="AD265" i="25" s="1"/>
  <c r="AI269" i="25"/>
  <c r="AH269" i="25" s="1"/>
  <c r="AG269" i="25" s="1"/>
  <c r="AF269" i="25" s="1"/>
  <c r="AD269" i="25" s="1"/>
  <c r="AI273" i="25"/>
  <c r="AH273" i="25" s="1"/>
  <c r="AG273" i="25" s="1"/>
  <c r="AF273" i="25" s="1"/>
  <c r="AD273" i="25" s="1"/>
  <c r="AI277" i="25"/>
  <c r="AH277" i="25" s="1"/>
  <c r="AG277" i="25" s="1"/>
  <c r="AF277" i="25" s="1"/>
  <c r="AD277" i="25" s="1"/>
  <c r="AI281" i="25"/>
  <c r="AH281" i="25" s="1"/>
  <c r="AG281" i="25" s="1"/>
  <c r="AF281" i="25" s="1"/>
  <c r="AD281" i="25" s="1"/>
  <c r="AI285" i="25"/>
  <c r="AH285" i="25" s="1"/>
  <c r="AG285" i="25" s="1"/>
  <c r="AF285" i="25" s="1"/>
  <c r="AD285" i="25" s="1"/>
  <c r="AI21" i="25"/>
  <c r="AH21" i="25" s="1"/>
  <c r="AG21" i="25" s="1"/>
  <c r="AF21" i="25" s="1"/>
  <c r="AD21" i="25" s="1"/>
  <c r="AI50" i="25"/>
  <c r="AH50" i="25" s="1"/>
  <c r="AG50" i="25" s="1"/>
  <c r="AF50" i="25" s="1"/>
  <c r="AD50" i="25" s="1"/>
  <c r="AI82" i="25"/>
  <c r="AH82" i="25" s="1"/>
  <c r="AG82" i="25" s="1"/>
  <c r="AF82" i="25" s="1"/>
  <c r="AD82" i="25" s="1"/>
  <c r="AI104" i="25"/>
  <c r="AH104" i="25" s="1"/>
  <c r="AG104" i="25" s="1"/>
  <c r="AF104" i="25" s="1"/>
  <c r="AD104" i="25" s="1"/>
  <c r="AI120" i="25"/>
  <c r="AH120" i="25" s="1"/>
  <c r="AG120" i="25" s="1"/>
  <c r="AF120" i="25" s="1"/>
  <c r="AD120" i="25" s="1"/>
  <c r="AI136" i="25"/>
  <c r="AH136" i="25" s="1"/>
  <c r="AG136" i="25" s="1"/>
  <c r="AF136" i="25" s="1"/>
  <c r="AD136" i="25" s="1"/>
  <c r="AI152" i="25"/>
  <c r="AH152" i="25" s="1"/>
  <c r="AG152" i="25" s="1"/>
  <c r="AF152" i="25" s="1"/>
  <c r="AD152" i="25" s="1"/>
  <c r="AI168" i="25"/>
  <c r="AH168" i="25" s="1"/>
  <c r="AG168" i="25" s="1"/>
  <c r="AF168" i="25" s="1"/>
  <c r="AD168" i="25" s="1"/>
  <c r="AI184" i="25"/>
  <c r="AH184" i="25" s="1"/>
  <c r="AG184" i="25" s="1"/>
  <c r="AF184" i="25" s="1"/>
  <c r="AD184" i="25" s="1"/>
  <c r="AI192" i="25"/>
  <c r="AH192" i="25" s="1"/>
  <c r="AG192" i="25" s="1"/>
  <c r="AF192" i="25" s="1"/>
  <c r="AD192" i="25" s="1"/>
  <c r="AI200" i="25"/>
  <c r="AH200" i="25" s="1"/>
  <c r="AG200" i="25" s="1"/>
  <c r="AF200" i="25" s="1"/>
  <c r="AD200" i="25" s="1"/>
  <c r="AI208" i="25"/>
  <c r="AH208" i="25" s="1"/>
  <c r="AG208" i="25" s="1"/>
  <c r="AF208" i="25" s="1"/>
  <c r="AD208" i="25" s="1"/>
  <c r="AI216" i="25"/>
  <c r="AH216" i="25" s="1"/>
  <c r="AG216" i="25" s="1"/>
  <c r="AF216" i="25" s="1"/>
  <c r="AD216" i="25" s="1"/>
  <c r="AI224" i="25"/>
  <c r="AH224" i="25" s="1"/>
  <c r="AG224" i="25" s="1"/>
  <c r="AF224" i="25" s="1"/>
  <c r="AD224" i="25" s="1"/>
  <c r="AI232" i="25"/>
  <c r="AH232" i="25" s="1"/>
  <c r="AG232" i="25" s="1"/>
  <c r="AF232" i="25" s="1"/>
  <c r="AD232" i="25" s="1"/>
  <c r="AI240" i="25"/>
  <c r="AH240" i="25" s="1"/>
  <c r="AG240" i="25" s="1"/>
  <c r="AF240" i="25" s="1"/>
  <c r="AD240" i="25" s="1"/>
  <c r="AI248" i="25"/>
  <c r="AH248" i="25" s="1"/>
  <c r="AG248" i="25" s="1"/>
  <c r="AF248" i="25" s="1"/>
  <c r="AD248" i="25" s="1"/>
  <c r="AI256" i="25"/>
  <c r="AH256" i="25" s="1"/>
  <c r="AG256" i="25" s="1"/>
  <c r="AF256" i="25" s="1"/>
  <c r="AD256" i="25" s="1"/>
  <c r="AI264" i="25"/>
  <c r="AH264" i="25" s="1"/>
  <c r="AG264" i="25" s="1"/>
  <c r="AF264" i="25" s="1"/>
  <c r="AD264" i="25" s="1"/>
  <c r="AI272" i="25"/>
  <c r="AH272" i="25" s="1"/>
  <c r="AG272" i="25" s="1"/>
  <c r="AF272" i="25" s="1"/>
  <c r="AD272" i="25" s="1"/>
  <c r="AI280" i="25"/>
  <c r="AH280" i="25" s="1"/>
  <c r="AG280" i="25" s="1"/>
  <c r="AF280" i="25" s="1"/>
  <c r="AD280" i="25" s="1"/>
  <c r="AI288" i="25"/>
  <c r="AH288" i="25" s="1"/>
  <c r="AG288" i="25" s="1"/>
  <c r="AF288" i="25" s="1"/>
  <c r="AD288" i="25" s="1"/>
  <c r="AI292" i="25"/>
  <c r="AH292" i="25" s="1"/>
  <c r="AG292" i="25" s="1"/>
  <c r="AF292" i="25" s="1"/>
  <c r="AD292" i="25" s="1"/>
  <c r="AI296" i="25"/>
  <c r="AH296" i="25" s="1"/>
  <c r="AG296" i="25" s="1"/>
  <c r="AF296" i="25" s="1"/>
  <c r="AD296" i="25" s="1"/>
  <c r="AI300" i="25"/>
  <c r="AH300" i="25" s="1"/>
  <c r="AG300" i="25" s="1"/>
  <c r="AF300" i="25" s="1"/>
  <c r="AD300" i="25" s="1"/>
  <c r="AI304" i="25"/>
  <c r="AH304" i="25" s="1"/>
  <c r="AG304" i="25" s="1"/>
  <c r="AF304" i="25" s="1"/>
  <c r="AD304" i="25" s="1"/>
  <c r="AI308" i="25"/>
  <c r="AH308" i="25" s="1"/>
  <c r="AG308" i="25" s="1"/>
  <c r="AF308" i="25" s="1"/>
  <c r="AD308" i="25" s="1"/>
  <c r="AI312" i="25"/>
  <c r="AH312" i="25" s="1"/>
  <c r="AG312" i="25" s="1"/>
  <c r="AF312" i="25" s="1"/>
  <c r="AD312" i="25" s="1"/>
  <c r="AI316" i="25"/>
  <c r="AH316" i="25" s="1"/>
  <c r="AG316" i="25" s="1"/>
  <c r="AF316" i="25" s="1"/>
  <c r="AD316" i="25" s="1"/>
  <c r="AI320" i="25"/>
  <c r="AH320" i="25" s="1"/>
  <c r="AG320" i="25" s="1"/>
  <c r="AF320" i="25" s="1"/>
  <c r="AD320" i="25" s="1"/>
  <c r="AI324" i="25"/>
  <c r="AH324" i="25" s="1"/>
  <c r="AG324" i="25" s="1"/>
  <c r="AF324" i="25" s="1"/>
  <c r="AD324" i="25" s="1"/>
  <c r="AI328" i="25"/>
  <c r="AH328" i="25" s="1"/>
  <c r="AG328" i="25" s="1"/>
  <c r="AF328" i="25" s="1"/>
  <c r="AD328" i="25" s="1"/>
  <c r="AI332" i="25"/>
  <c r="AH332" i="25" s="1"/>
  <c r="AG332" i="25" s="1"/>
  <c r="AF332" i="25" s="1"/>
  <c r="AD332" i="25" s="1"/>
  <c r="AI336" i="25"/>
  <c r="AH336" i="25" s="1"/>
  <c r="AG336" i="25" s="1"/>
  <c r="AF336" i="25" s="1"/>
  <c r="AD336" i="25" s="1"/>
  <c r="AI340" i="25"/>
  <c r="AH340" i="25" s="1"/>
  <c r="AG340" i="25" s="1"/>
  <c r="AF340" i="25" s="1"/>
  <c r="AD340" i="25" s="1"/>
  <c r="AI344" i="25"/>
  <c r="AH344" i="25" s="1"/>
  <c r="AG344" i="25" s="1"/>
  <c r="AF344" i="25" s="1"/>
  <c r="AD344" i="25" s="1"/>
  <c r="AI348" i="25"/>
  <c r="AH348" i="25" s="1"/>
  <c r="AG348" i="25" s="1"/>
  <c r="AF348" i="25" s="1"/>
  <c r="AD348" i="25" s="1"/>
  <c r="AI352" i="25"/>
  <c r="AH352" i="25" s="1"/>
  <c r="AG352" i="25" s="1"/>
  <c r="AF352" i="25" s="1"/>
  <c r="AD352" i="25" s="1"/>
  <c r="AI356" i="25"/>
  <c r="AH356" i="25" s="1"/>
  <c r="AG356" i="25" s="1"/>
  <c r="AF356" i="25" s="1"/>
  <c r="AD356" i="25" s="1"/>
  <c r="AI360" i="25"/>
  <c r="AH360" i="25" s="1"/>
  <c r="AG360" i="25" s="1"/>
  <c r="AF360" i="25" s="1"/>
  <c r="AD360" i="25" s="1"/>
  <c r="AI364" i="25"/>
  <c r="AH364" i="25" s="1"/>
  <c r="AG364" i="25" s="1"/>
  <c r="AF364" i="25" s="1"/>
  <c r="AD364" i="25" s="1"/>
  <c r="AI368" i="25"/>
  <c r="AH368" i="25" s="1"/>
  <c r="AG368" i="25" s="1"/>
  <c r="AF368" i="25" s="1"/>
  <c r="AD368" i="25" s="1"/>
  <c r="AI372" i="25"/>
  <c r="AH372" i="25" s="1"/>
  <c r="AG372" i="25" s="1"/>
  <c r="AF372" i="25" s="1"/>
  <c r="AD372" i="25" s="1"/>
  <c r="AI42" i="25"/>
  <c r="AH42" i="25" s="1"/>
  <c r="AG42" i="25" s="1"/>
  <c r="AF42" i="25" s="1"/>
  <c r="AD42" i="25" s="1"/>
  <c r="AI74" i="25"/>
  <c r="AH74" i="25" s="1"/>
  <c r="AG74" i="25" s="1"/>
  <c r="AF74" i="25" s="1"/>
  <c r="AD74" i="25" s="1"/>
  <c r="AI100" i="25"/>
  <c r="AH100" i="25" s="1"/>
  <c r="AG100" i="25" s="1"/>
  <c r="AF100" i="25" s="1"/>
  <c r="AD100" i="25" s="1"/>
  <c r="AI116" i="25"/>
  <c r="AH116" i="25" s="1"/>
  <c r="AG116" i="25" s="1"/>
  <c r="AF116" i="25" s="1"/>
  <c r="AD116" i="25" s="1"/>
  <c r="AI132" i="25"/>
  <c r="AH132" i="25" s="1"/>
  <c r="AG132" i="25" s="1"/>
  <c r="AF132" i="25" s="1"/>
  <c r="AD132" i="25" s="1"/>
  <c r="AI148" i="25"/>
  <c r="AH148" i="25" s="1"/>
  <c r="AG148" i="25" s="1"/>
  <c r="AF148" i="25" s="1"/>
  <c r="AD148" i="25" s="1"/>
  <c r="AI164" i="25"/>
  <c r="AH164" i="25" s="1"/>
  <c r="AG164" i="25" s="1"/>
  <c r="AF164" i="25" s="1"/>
  <c r="AD164" i="25" s="1"/>
  <c r="AI180" i="25"/>
  <c r="AH180" i="25" s="1"/>
  <c r="AG180" i="25" s="1"/>
  <c r="AF180" i="25" s="1"/>
  <c r="AD180" i="25" s="1"/>
  <c r="AI190" i="25"/>
  <c r="AH190" i="25" s="1"/>
  <c r="AG190" i="25" s="1"/>
  <c r="AF190" i="25" s="1"/>
  <c r="AD190" i="25" s="1"/>
  <c r="AI198" i="25"/>
  <c r="AH198" i="25" s="1"/>
  <c r="AG198" i="25" s="1"/>
  <c r="AF198" i="25" s="1"/>
  <c r="AD198" i="25" s="1"/>
  <c r="AI206" i="25"/>
  <c r="AH206" i="25" s="1"/>
  <c r="AG206" i="25" s="1"/>
  <c r="AF206" i="25" s="1"/>
  <c r="AD206" i="25" s="1"/>
  <c r="AI214" i="25"/>
  <c r="AH214" i="25" s="1"/>
  <c r="AG214" i="25" s="1"/>
  <c r="AF214" i="25" s="1"/>
  <c r="AD214" i="25" s="1"/>
  <c r="AI222" i="25"/>
  <c r="AH222" i="25" s="1"/>
  <c r="AG222" i="25" s="1"/>
  <c r="AF222" i="25" s="1"/>
  <c r="AD222" i="25" s="1"/>
  <c r="AI230" i="25"/>
  <c r="AH230" i="25" s="1"/>
  <c r="AG230" i="25" s="1"/>
  <c r="AF230" i="25" s="1"/>
  <c r="AD230" i="25" s="1"/>
  <c r="AI238" i="25"/>
  <c r="AH238" i="25" s="1"/>
  <c r="AG238" i="25" s="1"/>
  <c r="AF238" i="25" s="1"/>
  <c r="AD238" i="25" s="1"/>
  <c r="AI246" i="25"/>
  <c r="AH246" i="25" s="1"/>
  <c r="AG246" i="25" s="1"/>
  <c r="AF246" i="25" s="1"/>
  <c r="AD246" i="25" s="1"/>
  <c r="AI254" i="25"/>
  <c r="AH254" i="25" s="1"/>
  <c r="AG254" i="25" s="1"/>
  <c r="AF254" i="25" s="1"/>
  <c r="AD254" i="25" s="1"/>
  <c r="AI262" i="25"/>
  <c r="AH262" i="25" s="1"/>
  <c r="AG262" i="25" s="1"/>
  <c r="AF262" i="25" s="1"/>
  <c r="AD262" i="25" s="1"/>
  <c r="AI270" i="25"/>
  <c r="AH270" i="25" s="1"/>
  <c r="AG270" i="25" s="1"/>
  <c r="AF270" i="25" s="1"/>
  <c r="AD270" i="25" s="1"/>
  <c r="AI278" i="25"/>
  <c r="AH278" i="25" s="1"/>
  <c r="AG278" i="25" s="1"/>
  <c r="AF278" i="25" s="1"/>
  <c r="AD278" i="25" s="1"/>
  <c r="AI286" i="25"/>
  <c r="AH286" i="25" s="1"/>
  <c r="AG286" i="25" s="1"/>
  <c r="AF286" i="25" s="1"/>
  <c r="AD286" i="25" s="1"/>
  <c r="AI291" i="25"/>
  <c r="AH291" i="25" s="1"/>
  <c r="AG291" i="25" s="1"/>
  <c r="AF291" i="25" s="1"/>
  <c r="AD291" i="25" s="1"/>
  <c r="AI295" i="25"/>
  <c r="AH295" i="25" s="1"/>
  <c r="AG295" i="25" s="1"/>
  <c r="AF295" i="25" s="1"/>
  <c r="AD295" i="25" s="1"/>
  <c r="AI299" i="25"/>
  <c r="AH299" i="25" s="1"/>
  <c r="AG299" i="25" s="1"/>
  <c r="AF299" i="25" s="1"/>
  <c r="AD299" i="25" s="1"/>
  <c r="AI303" i="25"/>
  <c r="AH303" i="25" s="1"/>
  <c r="AG303" i="25" s="1"/>
  <c r="AF303" i="25" s="1"/>
  <c r="AD303" i="25" s="1"/>
  <c r="AI307" i="25"/>
  <c r="AH307" i="25" s="1"/>
  <c r="AG307" i="25" s="1"/>
  <c r="AF307" i="25" s="1"/>
  <c r="AD307" i="25" s="1"/>
  <c r="AI311" i="25"/>
  <c r="AH311" i="25" s="1"/>
  <c r="AG311" i="25" s="1"/>
  <c r="AF311" i="25" s="1"/>
  <c r="AD311" i="25" s="1"/>
  <c r="AI315" i="25"/>
  <c r="AH315" i="25" s="1"/>
  <c r="AG315" i="25" s="1"/>
  <c r="AF315" i="25" s="1"/>
  <c r="AD315" i="25" s="1"/>
  <c r="AI319" i="25"/>
  <c r="AH319" i="25" s="1"/>
  <c r="AG319" i="25" s="1"/>
  <c r="AF319" i="25" s="1"/>
  <c r="AD319" i="25" s="1"/>
  <c r="AI323" i="25"/>
  <c r="AH323" i="25" s="1"/>
  <c r="AG323" i="25" s="1"/>
  <c r="AF323" i="25" s="1"/>
  <c r="AD323" i="25" s="1"/>
  <c r="AI327" i="25"/>
  <c r="AH327" i="25" s="1"/>
  <c r="AG327" i="25" s="1"/>
  <c r="AF327" i="25" s="1"/>
  <c r="AD327" i="25" s="1"/>
  <c r="AI331" i="25"/>
  <c r="AH331" i="25" s="1"/>
  <c r="AG331" i="25" s="1"/>
  <c r="AF331" i="25" s="1"/>
  <c r="AD331" i="25" s="1"/>
  <c r="AI335" i="25"/>
  <c r="AH335" i="25" s="1"/>
  <c r="AG335" i="25" s="1"/>
  <c r="AF335" i="25" s="1"/>
  <c r="AD335" i="25" s="1"/>
  <c r="AI339" i="25"/>
  <c r="AH339" i="25" s="1"/>
  <c r="AG339" i="25" s="1"/>
  <c r="AF339" i="25" s="1"/>
  <c r="AD339" i="25" s="1"/>
  <c r="AI343" i="25"/>
  <c r="AH343" i="25" s="1"/>
  <c r="AG343" i="25" s="1"/>
  <c r="AF343" i="25" s="1"/>
  <c r="AD343" i="25" s="1"/>
  <c r="AI347" i="25"/>
  <c r="AH347" i="25" s="1"/>
  <c r="AG347" i="25" s="1"/>
  <c r="AF347" i="25" s="1"/>
  <c r="AD347" i="25" s="1"/>
  <c r="AI351" i="25"/>
  <c r="AH351" i="25" s="1"/>
  <c r="AG351" i="25" s="1"/>
  <c r="AF351" i="25" s="1"/>
  <c r="AD351" i="25" s="1"/>
  <c r="AI355" i="25"/>
  <c r="AH355" i="25" s="1"/>
  <c r="AG355" i="25" s="1"/>
  <c r="AF355" i="25" s="1"/>
  <c r="AD355" i="25" s="1"/>
  <c r="AI359" i="25"/>
  <c r="AH359" i="25" s="1"/>
  <c r="AG359" i="25" s="1"/>
  <c r="AF359" i="25" s="1"/>
  <c r="AD359" i="25" s="1"/>
  <c r="AI363" i="25"/>
  <c r="AH363" i="25" s="1"/>
  <c r="AG363" i="25" s="1"/>
  <c r="AF363" i="25" s="1"/>
  <c r="AD363" i="25" s="1"/>
  <c r="AI367" i="25"/>
  <c r="AH367" i="25" s="1"/>
  <c r="AG367" i="25" s="1"/>
  <c r="AF367" i="25" s="1"/>
  <c r="AD367" i="25" s="1"/>
  <c r="AI371" i="25"/>
  <c r="AH371" i="25" s="1"/>
  <c r="AG371" i="25" s="1"/>
  <c r="AF371" i="25" s="1"/>
  <c r="AD371" i="25" s="1"/>
  <c r="AI375" i="25"/>
  <c r="AH375" i="25" s="1"/>
  <c r="AG375" i="25" s="1"/>
  <c r="AF375" i="25" s="1"/>
  <c r="AD375" i="25" s="1"/>
  <c r="AI379" i="25"/>
  <c r="AH379" i="25" s="1"/>
  <c r="AG379" i="25" s="1"/>
  <c r="AF379" i="25" s="1"/>
  <c r="AD379" i="25" s="1"/>
  <c r="AI378" i="25"/>
  <c r="AH378" i="25" s="1"/>
  <c r="AG378" i="25" s="1"/>
  <c r="AF378" i="25" s="1"/>
  <c r="AD378" i="25" s="1"/>
  <c r="AI380" i="25"/>
  <c r="AH380" i="25" s="1"/>
  <c r="AG380" i="25" s="1"/>
  <c r="AF380" i="25" s="1"/>
  <c r="AD380" i="25" s="1"/>
  <c r="AI177" i="25"/>
  <c r="AH177" i="25" s="1"/>
  <c r="AG177" i="25" s="1"/>
  <c r="AF177" i="25" s="1"/>
  <c r="AD177" i="25" s="1"/>
  <c r="AI169" i="25"/>
  <c r="AH169" i="25" s="1"/>
  <c r="AG169" i="25" s="1"/>
  <c r="AF169" i="25" s="1"/>
  <c r="AD169" i="25" s="1"/>
  <c r="AI161" i="25"/>
  <c r="AH161" i="25" s="1"/>
  <c r="AG161" i="25" s="1"/>
  <c r="AF161" i="25" s="1"/>
  <c r="AD161" i="25" s="1"/>
  <c r="AI153" i="25"/>
  <c r="AH153" i="25" s="1"/>
  <c r="AG153" i="25" s="1"/>
  <c r="AF153" i="25" s="1"/>
  <c r="AD153" i="25" s="1"/>
  <c r="AI145" i="25"/>
  <c r="AH145" i="25" s="1"/>
  <c r="AG145" i="25" s="1"/>
  <c r="AF145" i="25" s="1"/>
  <c r="AD145" i="25" s="1"/>
  <c r="AI137" i="25"/>
  <c r="AH137" i="25" s="1"/>
  <c r="AG137" i="25" s="1"/>
  <c r="AF137" i="25" s="1"/>
  <c r="AD137" i="25" s="1"/>
  <c r="AI129" i="25"/>
  <c r="AH129" i="25" s="1"/>
  <c r="AG129" i="25" s="1"/>
  <c r="AF129" i="25" s="1"/>
  <c r="AD129" i="25" s="1"/>
  <c r="AI121" i="25"/>
  <c r="AH121" i="25" s="1"/>
  <c r="AG121" i="25" s="1"/>
  <c r="AF121" i="25" s="1"/>
  <c r="AD121" i="25" s="1"/>
  <c r="AI113" i="25"/>
  <c r="AH113" i="25" s="1"/>
  <c r="AG113" i="25" s="1"/>
  <c r="AF113" i="25" s="1"/>
  <c r="AD113" i="25" s="1"/>
  <c r="AI105" i="25"/>
  <c r="AH105" i="25" s="1"/>
  <c r="AG105" i="25" s="1"/>
  <c r="AF105" i="25" s="1"/>
  <c r="AD105" i="25" s="1"/>
  <c r="AI97" i="25"/>
  <c r="AH97" i="25" s="1"/>
  <c r="AG97" i="25" s="1"/>
  <c r="AF97" i="25" s="1"/>
  <c r="AD97" i="25" s="1"/>
  <c r="AI89" i="25"/>
  <c r="AH89" i="25" s="1"/>
  <c r="AG89" i="25" s="1"/>
  <c r="AF89" i="25" s="1"/>
  <c r="AD89" i="25" s="1"/>
  <c r="AI81" i="25"/>
  <c r="AH81" i="25" s="1"/>
  <c r="AG81" i="25" s="1"/>
  <c r="AF81" i="25" s="1"/>
  <c r="AD81" i="25" s="1"/>
  <c r="AI73" i="25"/>
  <c r="AH73" i="25" s="1"/>
  <c r="AG73" i="25" s="1"/>
  <c r="AF73" i="25" s="1"/>
  <c r="AD73" i="25" s="1"/>
  <c r="AI65" i="25"/>
  <c r="AH65" i="25" s="1"/>
  <c r="AG65" i="25" s="1"/>
  <c r="AF65" i="25" s="1"/>
  <c r="AD65" i="25" s="1"/>
  <c r="AI57" i="25"/>
  <c r="AH57" i="25" s="1"/>
  <c r="AG57" i="25" s="1"/>
  <c r="AF57" i="25" s="1"/>
  <c r="AD57" i="25" s="1"/>
  <c r="AI49" i="25"/>
  <c r="AH49" i="25" s="1"/>
  <c r="AG49" i="25" s="1"/>
  <c r="AF49" i="25" s="1"/>
  <c r="AD49" i="25" s="1"/>
  <c r="AI41" i="25"/>
  <c r="AH41" i="25" s="1"/>
  <c r="AG41" i="25" s="1"/>
  <c r="AF41" i="25" s="1"/>
  <c r="AD41" i="25" s="1"/>
  <c r="AI33" i="25"/>
  <c r="AH33" i="25" s="1"/>
  <c r="AG33" i="25" s="1"/>
  <c r="AF33" i="25" s="1"/>
  <c r="AD33" i="25" s="1"/>
  <c r="AI22" i="25"/>
  <c r="AH22" i="25" s="1"/>
  <c r="AG22" i="25" s="1"/>
  <c r="AF22" i="25" s="1"/>
  <c r="AD22" i="25" s="1"/>
  <c r="AI27" i="25"/>
  <c r="AH27" i="25" s="1"/>
  <c r="AG27" i="25" s="1"/>
  <c r="AF27" i="25" s="1"/>
  <c r="AD27" i="25" s="1"/>
  <c r="AI32" i="25"/>
  <c r="AH32" i="25" s="1"/>
  <c r="AG32" i="25" s="1"/>
  <c r="AF32" i="25" s="1"/>
  <c r="AD32" i="25" s="1"/>
  <c r="AI48" i="25"/>
  <c r="AH48" i="25" s="1"/>
  <c r="AG48" i="25" s="1"/>
  <c r="AF48" i="25" s="1"/>
  <c r="AD48" i="25" s="1"/>
  <c r="AI64" i="25"/>
  <c r="AH64" i="25" s="1"/>
  <c r="AG64" i="25" s="1"/>
  <c r="AF64" i="25" s="1"/>
  <c r="AD64" i="25" s="1"/>
  <c r="AI80" i="25"/>
  <c r="AH80" i="25" s="1"/>
  <c r="AG80" i="25" s="1"/>
  <c r="AF80" i="25" s="1"/>
  <c r="AD80" i="25" s="1"/>
  <c r="AI18" i="25"/>
  <c r="AH18" i="25" s="1"/>
  <c r="AG18" i="25" s="1"/>
  <c r="AF18" i="25" s="1"/>
  <c r="AD18" i="25" s="1"/>
  <c r="AD377" i="24"/>
  <c r="V149" i="25" l="1"/>
  <c r="AH75" i="7"/>
  <c r="AH76" i="7"/>
  <c r="AH69" i="7"/>
  <c r="V363" i="25"/>
  <c r="V29" i="25"/>
  <c r="V210" i="25"/>
  <c r="U381" i="25"/>
  <c r="AH78" i="7"/>
  <c r="U383" i="25"/>
  <c r="H70" i="19"/>
  <c r="H58" i="19" s="1"/>
  <c r="J70" i="19"/>
  <c r="J59" i="19" s="1"/>
  <c r="K70" i="19"/>
  <c r="K59" i="19" s="1"/>
  <c r="I70" i="19"/>
  <c r="I58" i="19" s="1"/>
  <c r="C70" i="19"/>
  <c r="C58" i="19" s="1"/>
  <c r="L70" i="19"/>
  <c r="L57" i="19" s="1"/>
  <c r="C57" i="19"/>
  <c r="F70" i="19"/>
  <c r="F59" i="19" s="1"/>
  <c r="G70" i="19"/>
  <c r="G57" i="19" s="1"/>
  <c r="E70" i="19"/>
  <c r="U382" i="25"/>
  <c r="D70" i="19"/>
  <c r="D58" i="19" s="1"/>
  <c r="G58" i="19"/>
  <c r="AH15" i="25"/>
  <c r="AI382" i="25"/>
  <c r="AI381" i="25"/>
  <c r="AI383" i="25"/>
  <c r="R382" i="24"/>
  <c r="P15" i="24"/>
  <c r="R381" i="24"/>
  <c r="R383" i="24"/>
  <c r="AD382" i="23"/>
  <c r="AD381" i="23"/>
  <c r="AD383" i="23"/>
  <c r="V383" i="23"/>
  <c r="V382" i="23"/>
  <c r="V381" i="23"/>
  <c r="B68" i="19"/>
  <c r="N68" i="19" s="1"/>
  <c r="D44" i="19"/>
  <c r="D33" i="19" s="1"/>
  <c r="V379" i="25"/>
  <c r="S15" i="25"/>
  <c r="T382" i="25"/>
  <c r="T383" i="25"/>
  <c r="T381" i="25"/>
  <c r="AG383" i="24"/>
  <c r="AG381" i="24"/>
  <c r="AF15" i="24"/>
  <c r="AG382" i="24"/>
  <c r="M70" i="19" l="1"/>
  <c r="K57" i="19"/>
  <c r="H57" i="19"/>
  <c r="H59" i="19"/>
  <c r="C59" i="19"/>
  <c r="K58" i="19"/>
  <c r="G59" i="19"/>
  <c r="J57" i="19"/>
  <c r="D57" i="19"/>
  <c r="J58" i="19"/>
  <c r="L59" i="19"/>
  <c r="D59" i="19"/>
  <c r="I57" i="19"/>
  <c r="L58" i="19"/>
  <c r="F58" i="19"/>
  <c r="I59" i="19"/>
  <c r="F57" i="19"/>
  <c r="E57" i="19"/>
  <c r="E58" i="19"/>
  <c r="E59" i="19"/>
  <c r="S383" i="25"/>
  <c r="R15" i="25"/>
  <c r="S382" i="25"/>
  <c r="S381" i="25"/>
  <c r="AD15" i="24"/>
  <c r="AF383" i="24"/>
  <c r="AF381" i="24"/>
  <c r="AF382" i="24"/>
  <c r="M58" i="19"/>
  <c r="M57" i="19"/>
  <c r="M59" i="19"/>
  <c r="P382" i="24"/>
  <c r="P383" i="24"/>
  <c r="V15" i="24"/>
  <c r="P381" i="24"/>
  <c r="AG15" i="25"/>
  <c r="AH383" i="25"/>
  <c r="AH381" i="25"/>
  <c r="AH382" i="25"/>
  <c r="AG381" i="25" l="1"/>
  <c r="AG383" i="25"/>
  <c r="AG382" i="25"/>
  <c r="AF15" i="25"/>
  <c r="V383" i="24"/>
  <c r="V382" i="24"/>
  <c r="B69" i="19"/>
  <c r="N69" i="19" s="1"/>
  <c r="V381" i="24"/>
  <c r="R381" i="25"/>
  <c r="R383" i="25"/>
  <c r="R382" i="25"/>
  <c r="P15" i="25"/>
  <c r="AD383" i="24"/>
  <c r="AD381" i="24"/>
  <c r="AD382" i="24"/>
  <c r="P382" i="25" l="1"/>
  <c r="V15" i="25"/>
  <c r="P383" i="25"/>
  <c r="P381" i="25"/>
  <c r="AF382" i="25"/>
  <c r="AF381" i="25"/>
  <c r="AF383" i="25"/>
  <c r="AD15" i="25"/>
  <c r="D131" i="17"/>
  <c r="E131" i="17" s="1"/>
  <c r="F131" i="17" s="1"/>
  <c r="D27" i="17"/>
  <c r="E27" i="17" s="1"/>
  <c r="F27" i="17" s="1"/>
  <c r="D307" i="17"/>
  <c r="E307" i="17" s="1"/>
  <c r="F307" i="17" s="1"/>
  <c r="D91" i="17"/>
  <c r="E91" i="17" s="1"/>
  <c r="F91" i="17" s="1"/>
  <c r="D77" i="17"/>
  <c r="E77" i="17" s="1"/>
  <c r="F77" i="17" s="1"/>
  <c r="D330" i="17"/>
  <c r="E330" i="17" s="1"/>
  <c r="F330" i="17" s="1"/>
  <c r="AA330" i="17" s="1"/>
  <c r="Z330" i="17" s="1"/>
  <c r="Y330" i="17" s="1"/>
  <c r="D300" i="17"/>
  <c r="E300" i="17" s="1"/>
  <c r="F300" i="17" s="1"/>
  <c r="D81" i="17"/>
  <c r="E81" i="17" s="1"/>
  <c r="F81" i="17" s="1"/>
  <c r="D316" i="17"/>
  <c r="E316" i="17" s="1"/>
  <c r="F316" i="17" s="1"/>
  <c r="H316" i="17" s="1"/>
  <c r="D145" i="17"/>
  <c r="E145" i="17" s="1"/>
  <c r="F145" i="17" s="1"/>
  <c r="D43" i="17"/>
  <c r="E43" i="17" s="1"/>
  <c r="F43" i="17" s="1"/>
  <c r="H43" i="17" s="1"/>
  <c r="D59" i="17"/>
  <c r="E59" i="17" s="1"/>
  <c r="F59" i="17" s="1"/>
  <c r="D275" i="17"/>
  <c r="E275" i="17" s="1"/>
  <c r="F275" i="17" s="1"/>
  <c r="D268" i="17"/>
  <c r="E268" i="17" s="1"/>
  <c r="F268" i="17" s="1"/>
  <c r="D282" i="17"/>
  <c r="E282" i="17" s="1"/>
  <c r="F282" i="17" s="1"/>
  <c r="D176" i="17"/>
  <c r="E176" i="17" s="1"/>
  <c r="F176" i="17" s="1"/>
  <c r="D372" i="17"/>
  <c r="E372" i="17" s="1"/>
  <c r="F372" i="17" s="1"/>
  <c r="D356" i="17"/>
  <c r="E356" i="17" s="1"/>
  <c r="F356" i="17" s="1"/>
  <c r="D152" i="17"/>
  <c r="E152" i="17" s="1"/>
  <c r="F152" i="17" s="1"/>
  <c r="D56" i="17"/>
  <c r="E56" i="17" s="1"/>
  <c r="F56" i="17" s="1"/>
  <c r="D337" i="17"/>
  <c r="E337" i="17" s="1"/>
  <c r="F337" i="17" s="1"/>
  <c r="D297" i="17"/>
  <c r="E297" i="17" s="1"/>
  <c r="F297" i="17" s="1"/>
  <c r="D205" i="17"/>
  <c r="E205" i="17" s="1"/>
  <c r="F205" i="17" s="1"/>
  <c r="D185" i="17"/>
  <c r="E185" i="17" s="1"/>
  <c r="F185" i="17" s="1"/>
  <c r="D153" i="17"/>
  <c r="E153" i="17" s="1"/>
  <c r="F153" i="17" s="1"/>
  <c r="D101" i="17"/>
  <c r="E101" i="17" s="1"/>
  <c r="F101" i="17" s="1"/>
  <c r="D224" i="17"/>
  <c r="E224" i="17" s="1"/>
  <c r="F224" i="17" s="1"/>
  <c r="D227" i="17"/>
  <c r="E227" i="17" s="1"/>
  <c r="F227" i="17" s="1"/>
  <c r="D276" i="17"/>
  <c r="E276" i="17" s="1"/>
  <c r="F276" i="17" s="1"/>
  <c r="D42" i="17"/>
  <c r="E42" i="17" s="1"/>
  <c r="F42" i="17" s="1"/>
  <c r="D178" i="17"/>
  <c r="E178" i="17" s="1"/>
  <c r="F178" i="17" s="1"/>
  <c r="G178" i="17" s="1"/>
  <c r="BZ178" i="6" s="1"/>
  <c r="D197" i="17"/>
  <c r="E197" i="17" s="1"/>
  <c r="F197" i="17" s="1"/>
  <c r="D240" i="17"/>
  <c r="E240" i="17" s="1"/>
  <c r="F240" i="17" s="1"/>
  <c r="H240" i="17" s="1"/>
  <c r="J240" i="17" s="1"/>
  <c r="D312" i="17"/>
  <c r="E312" i="17" s="1"/>
  <c r="F312" i="17" s="1"/>
  <c r="AA312" i="17" s="1"/>
  <c r="Z312" i="17" s="1"/>
  <c r="Y312" i="17" s="1"/>
  <c r="D87" i="17"/>
  <c r="E87" i="17" s="1"/>
  <c r="F87" i="17" s="1"/>
  <c r="H87" i="17" s="1"/>
  <c r="J87" i="17" s="1"/>
  <c r="D203" i="17"/>
  <c r="E203" i="17" s="1"/>
  <c r="F203" i="17" s="1"/>
  <c r="D125" i="17"/>
  <c r="E125" i="17" s="1"/>
  <c r="F125" i="17" s="1"/>
  <c r="D102" i="17"/>
  <c r="E102" i="17" s="1"/>
  <c r="F102" i="17" s="1"/>
  <c r="D318" i="17"/>
  <c r="E318" i="17" s="1"/>
  <c r="F318" i="17" s="1"/>
  <c r="D16" i="17"/>
  <c r="E16" i="17" s="1"/>
  <c r="F16" i="17" s="1"/>
  <c r="D243" i="17"/>
  <c r="E243" i="17" s="1"/>
  <c r="F243" i="17" s="1"/>
  <c r="D266" i="17"/>
  <c r="E266" i="17" s="1"/>
  <c r="F266" i="17" s="1"/>
  <c r="D32" i="17"/>
  <c r="E32" i="17" s="1"/>
  <c r="F32" i="17" s="1"/>
  <c r="D280" i="17"/>
  <c r="E280" i="17" s="1"/>
  <c r="F280" i="17" s="1"/>
  <c r="D31" i="17"/>
  <c r="E31" i="17" s="1"/>
  <c r="F31" i="17" s="1"/>
  <c r="D182" i="17"/>
  <c r="E182" i="17" s="1"/>
  <c r="F182" i="17" s="1"/>
  <c r="D220" i="17"/>
  <c r="E220" i="17" s="1"/>
  <c r="F220" i="17" s="1"/>
  <c r="D118" i="17"/>
  <c r="E118" i="17" s="1"/>
  <c r="F118" i="17" s="1"/>
  <c r="D364" i="17"/>
  <c r="E364" i="17" s="1"/>
  <c r="F364" i="17" s="1"/>
  <c r="D147" i="17"/>
  <c r="E147" i="17" s="1"/>
  <c r="F147" i="17" s="1"/>
  <c r="D360" i="17"/>
  <c r="E360" i="17" s="1"/>
  <c r="F360" i="17" s="1"/>
  <c r="G360" i="17" s="1"/>
  <c r="BZ360" i="6" s="1"/>
  <c r="D164" i="17"/>
  <c r="E164" i="17" s="1"/>
  <c r="F164" i="17" s="1"/>
  <c r="AA164" i="17" s="1"/>
  <c r="Z164" i="17" s="1"/>
  <c r="Y164" i="17" s="1"/>
  <c r="D97" i="17"/>
  <c r="E97" i="17" s="1"/>
  <c r="F97" i="17" s="1"/>
  <c r="D46" i="17"/>
  <c r="E46" i="17" s="1"/>
  <c r="F46" i="17" s="1"/>
  <c r="D140" i="17"/>
  <c r="E140" i="17" s="1"/>
  <c r="F140" i="17" s="1"/>
  <c r="AA140" i="17" s="1"/>
  <c r="Z140" i="17" s="1"/>
  <c r="Y140" i="17" s="1"/>
  <c r="D232" i="17"/>
  <c r="E232" i="17" s="1"/>
  <c r="F232" i="17" s="1"/>
  <c r="D296" i="17"/>
  <c r="E296" i="17" s="1"/>
  <c r="F296" i="17" s="1"/>
  <c r="D57" i="17"/>
  <c r="E57" i="17" s="1"/>
  <c r="F57" i="17" s="1"/>
  <c r="D179" i="17"/>
  <c r="E179" i="17" s="1"/>
  <c r="F179" i="17" s="1"/>
  <c r="D29" i="17"/>
  <c r="E29" i="17" s="1"/>
  <c r="F29" i="17" s="1"/>
  <c r="D22" i="17"/>
  <c r="E22" i="17" s="1"/>
  <c r="F22" i="17" s="1"/>
  <c r="D110" i="17"/>
  <c r="E110" i="17" s="1"/>
  <c r="F110" i="17" s="1"/>
  <c r="D190" i="17"/>
  <c r="E190" i="17" s="1"/>
  <c r="F190" i="17" s="1"/>
  <c r="D378" i="17"/>
  <c r="E378" i="17" s="1"/>
  <c r="F378" i="17" s="1"/>
  <c r="D365" i="17"/>
  <c r="E365" i="17" s="1"/>
  <c r="F365" i="17" s="1"/>
  <c r="D37" i="17"/>
  <c r="E37" i="17" s="1"/>
  <c r="F37" i="17" s="1"/>
  <c r="D137" i="17"/>
  <c r="E137" i="17" s="1"/>
  <c r="F137" i="17" s="1"/>
  <c r="D210" i="17"/>
  <c r="E210" i="17" s="1"/>
  <c r="F210" i="17" s="1"/>
  <c r="D200" i="17"/>
  <c r="E200" i="17" s="1"/>
  <c r="F200" i="17" s="1"/>
  <c r="D344" i="17"/>
  <c r="E344" i="17" s="1"/>
  <c r="F344" i="17" s="1"/>
  <c r="D246" i="17"/>
  <c r="E246" i="17" s="1"/>
  <c r="F246" i="17" s="1"/>
  <c r="D93" i="17"/>
  <c r="E93" i="17" s="1"/>
  <c r="F93" i="17" s="1"/>
  <c r="H93" i="17" s="1"/>
  <c r="J93" i="17" s="1"/>
  <c r="D257" i="17"/>
  <c r="E257" i="17" s="1"/>
  <c r="F257" i="17" s="1"/>
  <c r="D204" i="17"/>
  <c r="E204" i="17" s="1"/>
  <c r="F204" i="17" s="1"/>
  <c r="H204" i="17" s="1"/>
  <c r="D368" i="17"/>
  <c r="E368" i="17" s="1"/>
  <c r="F368" i="17" s="1"/>
  <c r="D75" i="17"/>
  <c r="E75" i="17" s="1"/>
  <c r="F75" i="17" s="1"/>
  <c r="D223" i="17"/>
  <c r="E223" i="17" s="1"/>
  <c r="F223" i="17" s="1"/>
  <c r="D138" i="17"/>
  <c r="E138" i="17" s="1"/>
  <c r="F138" i="17" s="1"/>
  <c r="D305" i="17"/>
  <c r="E305" i="17" s="1"/>
  <c r="F305" i="17" s="1"/>
  <c r="D72" i="17"/>
  <c r="E72" i="17" s="1"/>
  <c r="F72" i="17" s="1"/>
  <c r="D272" i="17"/>
  <c r="E272" i="17" s="1"/>
  <c r="F272" i="17" s="1"/>
  <c r="AA272" i="17" s="1"/>
  <c r="Z272" i="17" s="1"/>
  <c r="Y272" i="17" s="1"/>
  <c r="D308" i="17"/>
  <c r="E308" i="17" s="1"/>
  <c r="F308" i="17" s="1"/>
  <c r="D119" i="17"/>
  <c r="E119" i="17" s="1"/>
  <c r="F119" i="17" s="1"/>
  <c r="AA119" i="17" s="1"/>
  <c r="Z119" i="17" s="1"/>
  <c r="Y119" i="17" s="1"/>
  <c r="D183" i="17"/>
  <c r="E183" i="17" s="1"/>
  <c r="F183" i="17" s="1"/>
  <c r="D323" i="17"/>
  <c r="E323" i="17" s="1"/>
  <c r="F323" i="17" s="1"/>
  <c r="D166" i="17"/>
  <c r="E166" i="17" s="1"/>
  <c r="F166" i="17" s="1"/>
  <c r="D333" i="17"/>
  <c r="E333" i="17" s="1"/>
  <c r="F333" i="17" s="1"/>
  <c r="D354" i="17"/>
  <c r="E354" i="17" s="1"/>
  <c r="F354" i="17" s="1"/>
  <c r="D133" i="17"/>
  <c r="E133" i="17" s="1"/>
  <c r="F133" i="17" s="1"/>
  <c r="D329" i="17"/>
  <c r="E329" i="17" s="1"/>
  <c r="F329" i="17" s="1"/>
  <c r="D373" i="17"/>
  <c r="E373" i="17" s="1"/>
  <c r="F373" i="17" s="1"/>
  <c r="D53" i="17"/>
  <c r="E53" i="17" s="1"/>
  <c r="F53" i="17" s="1"/>
  <c r="D149" i="17"/>
  <c r="E149" i="17" s="1"/>
  <c r="F149" i="17" s="1"/>
  <c r="D121" i="17"/>
  <c r="E121" i="17" s="1"/>
  <c r="F121" i="17" s="1"/>
  <c r="D108" i="17"/>
  <c r="E108" i="17" s="1"/>
  <c r="F108" i="17" s="1"/>
  <c r="D163" i="17"/>
  <c r="E163" i="17" s="1"/>
  <c r="F163" i="17" s="1"/>
  <c r="D26" i="17"/>
  <c r="E26" i="17" s="1"/>
  <c r="F26" i="17" s="1"/>
  <c r="D130" i="17"/>
  <c r="E130" i="17" s="1"/>
  <c r="F130" i="17" s="1"/>
  <c r="D177" i="17"/>
  <c r="E177" i="17" s="1"/>
  <c r="F177" i="17" s="1"/>
  <c r="D233" i="17"/>
  <c r="E233" i="17" s="1"/>
  <c r="F233" i="17" s="1"/>
  <c r="D92" i="17"/>
  <c r="E92" i="17" s="1"/>
  <c r="F92" i="17" s="1"/>
  <c r="D196" i="17"/>
  <c r="E196" i="17" s="1"/>
  <c r="F196" i="17" s="1"/>
  <c r="D256" i="17"/>
  <c r="E256" i="17" s="1"/>
  <c r="F256" i="17" s="1"/>
  <c r="D159" i="17"/>
  <c r="E159" i="17" s="1"/>
  <c r="F159" i="17" s="1"/>
  <c r="D335" i="17"/>
  <c r="E335" i="17" s="1"/>
  <c r="F335" i="17" s="1"/>
  <c r="D173" i="17"/>
  <c r="E173" i="17" s="1"/>
  <c r="F173" i="17" s="1"/>
  <c r="D277" i="17"/>
  <c r="E277" i="17" s="1"/>
  <c r="F277" i="17" s="1"/>
  <c r="D313" i="17"/>
  <c r="E313" i="17" s="1"/>
  <c r="F313" i="17" s="1"/>
  <c r="D237" i="17"/>
  <c r="E237" i="17" s="1"/>
  <c r="F237" i="17" s="1"/>
  <c r="D342" i="17"/>
  <c r="E342" i="17" s="1"/>
  <c r="F342" i="17" s="1"/>
  <c r="D286" i="17"/>
  <c r="E286" i="17" s="1"/>
  <c r="F286" i="17" s="1"/>
  <c r="D254" i="17"/>
  <c r="E254" i="17" s="1"/>
  <c r="F254" i="17" s="1"/>
  <c r="D238" i="17"/>
  <c r="E238" i="17" s="1"/>
  <c r="F238" i="17" s="1"/>
  <c r="AA238" i="17" s="1"/>
  <c r="Z238" i="17" s="1"/>
  <c r="Y238" i="17" s="1"/>
  <c r="D151" i="17"/>
  <c r="E151" i="17" s="1"/>
  <c r="F151" i="17" s="1"/>
  <c r="D99" i="17"/>
  <c r="E99" i="17" s="1"/>
  <c r="F99" i="17" s="1"/>
  <c r="AA99" i="17" s="1"/>
  <c r="Z99" i="17" s="1"/>
  <c r="Y99" i="17" s="1"/>
  <c r="D23" i="17"/>
  <c r="E23" i="17" s="1"/>
  <c r="F23" i="17" s="1"/>
  <c r="D112" i="17"/>
  <c r="E112" i="17" s="1"/>
  <c r="F112" i="17" s="1"/>
  <c r="D96" i="17"/>
  <c r="E96" i="17" s="1"/>
  <c r="F96" i="17" s="1"/>
  <c r="D343" i="17"/>
  <c r="E343" i="17" s="1"/>
  <c r="F343" i="17" s="1"/>
  <c r="D141" i="17"/>
  <c r="E141" i="17" s="1"/>
  <c r="F141" i="17" s="1"/>
  <c r="D85" i="17"/>
  <c r="E85" i="17" s="1"/>
  <c r="F85" i="17" s="1"/>
  <c r="AA85" i="17" s="1"/>
  <c r="Z85" i="17" s="1"/>
  <c r="Y85" i="17" s="1"/>
  <c r="D24" i="17"/>
  <c r="E24" i="17" s="1"/>
  <c r="F24" i="17" s="1"/>
  <c r="D181" i="17"/>
  <c r="E181" i="17" s="1"/>
  <c r="F181" i="17" s="1"/>
  <c r="D259" i="17"/>
  <c r="E259" i="17" s="1"/>
  <c r="F259" i="17" s="1"/>
  <c r="D358" i="17"/>
  <c r="E358" i="17" s="1"/>
  <c r="F358" i="17" s="1"/>
  <c r="D98" i="17"/>
  <c r="E98" i="17" s="1"/>
  <c r="F98" i="17" s="1"/>
  <c r="D50" i="17"/>
  <c r="E50" i="17" s="1"/>
  <c r="F50" i="17" s="1"/>
  <c r="D120" i="17"/>
  <c r="E120" i="17" s="1"/>
  <c r="F120" i="17" s="1"/>
  <c r="D327" i="17"/>
  <c r="E327" i="17" s="1"/>
  <c r="F327" i="17" s="1"/>
  <c r="D161" i="17"/>
  <c r="E161" i="17" s="1"/>
  <c r="F161" i="17" s="1"/>
  <c r="D264" i="17"/>
  <c r="E264" i="17" s="1"/>
  <c r="F264" i="17" s="1"/>
  <c r="H264" i="17" s="1"/>
  <c r="D169" i="17"/>
  <c r="E169" i="17" s="1"/>
  <c r="F169" i="17" s="1"/>
  <c r="D291" i="17"/>
  <c r="E291" i="17" s="1"/>
  <c r="F291" i="17" s="1"/>
  <c r="D347" i="17"/>
  <c r="E347" i="17" s="1"/>
  <c r="F347" i="17" s="1"/>
  <c r="D376" i="17"/>
  <c r="E376" i="17" s="1"/>
  <c r="F376" i="17" s="1"/>
  <c r="D114" i="17"/>
  <c r="E114" i="17" s="1"/>
  <c r="F114" i="17" s="1"/>
  <c r="D135" i="17"/>
  <c r="E135" i="17" s="1"/>
  <c r="F135" i="17" s="1"/>
  <c r="AA135" i="17" s="1"/>
  <c r="Z135" i="17" s="1"/>
  <c r="Y135" i="17" s="1"/>
  <c r="D208" i="17"/>
  <c r="E208" i="17" s="1"/>
  <c r="F208" i="17" s="1"/>
  <c r="D245" i="17"/>
  <c r="E245" i="17" s="1"/>
  <c r="F245" i="17" s="1"/>
  <c r="D350" i="17"/>
  <c r="E350" i="17" s="1"/>
  <c r="F350" i="17" s="1"/>
  <c r="D326" i="17"/>
  <c r="E326" i="17" s="1"/>
  <c r="F326" i="17" s="1"/>
  <c r="D234" i="17"/>
  <c r="E234" i="17" s="1"/>
  <c r="F234" i="17" s="1"/>
  <c r="H234" i="17" s="1"/>
  <c r="D206" i="17"/>
  <c r="E206" i="17" s="1"/>
  <c r="F206" i="17" s="1"/>
  <c r="D154" i="17"/>
  <c r="E154" i="17" s="1"/>
  <c r="F154" i="17" s="1"/>
  <c r="D126" i="17"/>
  <c r="E126" i="17" s="1"/>
  <c r="F126" i="17" s="1"/>
  <c r="D68" i="17"/>
  <c r="E68" i="17" s="1"/>
  <c r="F68" i="17" s="1"/>
  <c r="D295" i="17"/>
  <c r="E295" i="17" s="1"/>
  <c r="F295" i="17" s="1"/>
  <c r="D219" i="17"/>
  <c r="E219" i="17" s="1"/>
  <c r="F219" i="17" s="1"/>
  <c r="D191" i="17"/>
  <c r="E191" i="17" s="1"/>
  <c r="F191" i="17" s="1"/>
  <c r="D79" i="17"/>
  <c r="E79" i="17" s="1"/>
  <c r="F79" i="17" s="1"/>
  <c r="AA79" i="17" s="1"/>
  <c r="Z79" i="17" s="1"/>
  <c r="Y79" i="17" s="1"/>
  <c r="D158" i="17"/>
  <c r="E158" i="17" s="1"/>
  <c r="F158" i="17" s="1"/>
  <c r="D156" i="17"/>
  <c r="E156" i="17" s="1"/>
  <c r="F156" i="17" s="1"/>
  <c r="D341" i="17"/>
  <c r="E341" i="17" s="1"/>
  <c r="F341" i="17" s="1"/>
  <c r="D64" i="17"/>
  <c r="E64" i="17" s="1"/>
  <c r="F64" i="17" s="1"/>
  <c r="AA64" i="17" s="1"/>
  <c r="Z64" i="17" s="1"/>
  <c r="Y64" i="17" s="1"/>
  <c r="D167" i="17"/>
  <c r="E167" i="17" s="1"/>
  <c r="F167" i="17" s="1"/>
  <c r="D235" i="17"/>
  <c r="E235" i="17" s="1"/>
  <c r="F235" i="17" s="1"/>
  <c r="D198" i="17"/>
  <c r="E198" i="17" s="1"/>
  <c r="F198" i="17" s="1"/>
  <c r="D301" i="17"/>
  <c r="E301" i="17" s="1"/>
  <c r="F301" i="17" s="1"/>
  <c r="D267" i="17"/>
  <c r="E267" i="17" s="1"/>
  <c r="F267" i="17" s="1"/>
  <c r="D52" i="17"/>
  <c r="E52" i="17" s="1"/>
  <c r="F52" i="17" s="1"/>
  <c r="D128" i="17"/>
  <c r="E128" i="17" s="1"/>
  <c r="F128" i="17" s="1"/>
  <c r="D299" i="17"/>
  <c r="E299" i="17" s="1"/>
  <c r="F299" i="17" s="1"/>
  <c r="D273" i="17"/>
  <c r="E273" i="17" s="1"/>
  <c r="F273" i="17" s="1"/>
  <c r="D320" i="17"/>
  <c r="E320" i="17" s="1"/>
  <c r="F320" i="17" s="1"/>
  <c r="D111" i="17"/>
  <c r="E111" i="17" s="1"/>
  <c r="F111" i="17" s="1"/>
  <c r="D269" i="17"/>
  <c r="E269" i="17" s="1"/>
  <c r="F269" i="17" s="1"/>
  <c r="D48" i="17"/>
  <c r="E48" i="17" s="1"/>
  <c r="F48" i="17" s="1"/>
  <c r="D216" i="17"/>
  <c r="E216" i="17" s="1"/>
  <c r="F216" i="17" s="1"/>
  <c r="D284" i="17"/>
  <c r="E284" i="17" s="1"/>
  <c r="F284" i="17" s="1"/>
  <c r="AA284" i="17" s="1"/>
  <c r="Z284" i="17" s="1"/>
  <c r="Y284" i="17" s="1"/>
  <c r="D155" i="17"/>
  <c r="E155" i="17" s="1"/>
  <c r="F155" i="17" s="1"/>
  <c r="D251" i="17"/>
  <c r="E251" i="17" s="1"/>
  <c r="F251" i="17" s="1"/>
  <c r="H251" i="17" s="1"/>
  <c r="D217" i="17"/>
  <c r="E217" i="17" s="1"/>
  <c r="F217" i="17" s="1"/>
  <c r="H217" i="17" s="1"/>
  <c r="D122" i="17"/>
  <c r="E122" i="17" s="1"/>
  <c r="F122" i="17" s="1"/>
  <c r="D214" i="17"/>
  <c r="E214" i="17" s="1"/>
  <c r="F214" i="17" s="1"/>
  <c r="D289" i="17"/>
  <c r="E289" i="17" s="1"/>
  <c r="F289" i="17" s="1"/>
  <c r="D261" i="17"/>
  <c r="E261" i="17" s="1"/>
  <c r="F261" i="17" s="1"/>
  <c r="D361" i="17"/>
  <c r="E361" i="17" s="1"/>
  <c r="F361" i="17" s="1"/>
  <c r="D336" i="17"/>
  <c r="E336" i="17" s="1"/>
  <c r="F336" i="17" s="1"/>
  <c r="D228" i="17"/>
  <c r="E228" i="17" s="1"/>
  <c r="F228" i="17" s="1"/>
  <c r="D248" i="17"/>
  <c r="E248" i="17" s="1"/>
  <c r="F248" i="17" s="1"/>
  <c r="D279" i="17"/>
  <c r="E279" i="17" s="1"/>
  <c r="F279" i="17" s="1"/>
  <c r="AA279" i="17" s="1"/>
  <c r="Z279" i="17" s="1"/>
  <c r="Y279" i="17" s="1"/>
  <c r="D38" i="17"/>
  <c r="E38" i="17" s="1"/>
  <c r="F38" i="17" s="1"/>
  <c r="D213" i="17"/>
  <c r="E213" i="17" s="1"/>
  <c r="F213" i="17" s="1"/>
  <c r="D136" i="17"/>
  <c r="E136" i="17" s="1"/>
  <c r="F136" i="17" s="1"/>
  <c r="D328" i="17"/>
  <c r="E328" i="17" s="1"/>
  <c r="F328" i="17" s="1"/>
  <c r="D171" i="17"/>
  <c r="E171" i="17" s="1"/>
  <c r="F171" i="17" s="1"/>
  <c r="D221" i="17"/>
  <c r="E221" i="17" s="1"/>
  <c r="F221" i="17" s="1"/>
  <c r="D317" i="17"/>
  <c r="E317" i="17" s="1"/>
  <c r="F317" i="17" s="1"/>
  <c r="D370" i="17"/>
  <c r="E370" i="17" s="1"/>
  <c r="F370" i="17" s="1"/>
  <c r="D162" i="17"/>
  <c r="E162" i="17" s="1"/>
  <c r="F162" i="17" s="1"/>
  <c r="D375" i="17"/>
  <c r="E375" i="17" s="1"/>
  <c r="F375" i="17" s="1"/>
  <c r="D67" i="17"/>
  <c r="E67" i="17" s="1"/>
  <c r="F67" i="17" s="1"/>
  <c r="D359" i="17"/>
  <c r="E359" i="17" s="1"/>
  <c r="F359" i="17" s="1"/>
  <c r="D61" i="17"/>
  <c r="E61" i="17" s="1"/>
  <c r="F61" i="17" s="1"/>
  <c r="D331" i="17"/>
  <c r="E331" i="17" s="1"/>
  <c r="F331" i="17" s="1"/>
  <c r="G331" i="17" s="1"/>
  <c r="BZ331" i="6" s="1"/>
  <c r="D134" i="17"/>
  <c r="E134" i="17" s="1"/>
  <c r="F134" i="17" s="1"/>
  <c r="D348" i="17"/>
  <c r="E348" i="17" s="1"/>
  <c r="F348" i="17" s="1"/>
  <c r="D160" i="17"/>
  <c r="E160" i="17" s="1"/>
  <c r="F160" i="17" s="1"/>
  <c r="D84" i="17"/>
  <c r="E84" i="17" s="1"/>
  <c r="F84" i="17" s="1"/>
  <c r="D298" i="17"/>
  <c r="E298" i="17" s="1"/>
  <c r="F298" i="17" s="1"/>
  <c r="D170" i="17"/>
  <c r="E170" i="17" s="1"/>
  <c r="F170" i="17" s="1"/>
  <c r="D186" i="17"/>
  <c r="E186" i="17" s="1"/>
  <c r="F186" i="17" s="1"/>
  <c r="D103" i="17"/>
  <c r="E103" i="17" s="1"/>
  <c r="F103" i="17" s="1"/>
  <c r="D325" i="17"/>
  <c r="E325" i="17" s="1"/>
  <c r="F325" i="17" s="1"/>
  <c r="D374" i="17"/>
  <c r="E374" i="17" s="1"/>
  <c r="F374" i="17" s="1"/>
  <c r="AA374" i="17" s="1"/>
  <c r="Z374" i="17" s="1"/>
  <c r="Y374" i="17" s="1"/>
  <c r="D310" i="17"/>
  <c r="E310" i="17" s="1"/>
  <c r="F310" i="17" s="1"/>
  <c r="D242" i="17"/>
  <c r="E242" i="17" s="1"/>
  <c r="F242" i="17" s="1"/>
  <c r="D74" i="17"/>
  <c r="E74" i="17" s="1"/>
  <c r="F74" i="17" s="1"/>
  <c r="D34" i="17"/>
  <c r="E34" i="17" s="1"/>
  <c r="F34" i="17" s="1"/>
  <c r="D211" i="17"/>
  <c r="E211" i="17" s="1"/>
  <c r="F211" i="17" s="1"/>
  <c r="D63" i="17"/>
  <c r="E63" i="17" s="1"/>
  <c r="F63" i="17" s="1"/>
  <c r="D168" i="17"/>
  <c r="E168" i="17" s="1"/>
  <c r="F168" i="17" s="1"/>
  <c r="D144" i="17"/>
  <c r="E144" i="17" s="1"/>
  <c r="F144" i="17" s="1"/>
  <c r="G144" i="17" s="1"/>
  <c r="BZ144" i="6" s="1"/>
  <c r="D40" i="17"/>
  <c r="E40" i="17" s="1"/>
  <c r="F40" i="17" s="1"/>
  <c r="D69" i="17"/>
  <c r="E69" i="17" s="1"/>
  <c r="F69" i="17" s="1"/>
  <c r="D355" i="17"/>
  <c r="E355" i="17" s="1"/>
  <c r="F355" i="17" s="1"/>
  <c r="D287" i="17"/>
  <c r="E287" i="17" s="1"/>
  <c r="F287" i="17" s="1"/>
  <c r="D324" i="17"/>
  <c r="E324" i="17" s="1"/>
  <c r="F324" i="17" s="1"/>
  <c r="D288" i="17"/>
  <c r="E288" i="17" s="1"/>
  <c r="F288" i="17" s="1"/>
  <c r="D65" i="17"/>
  <c r="E65" i="17" s="1"/>
  <c r="F65" i="17" s="1"/>
  <c r="D249" i="17"/>
  <c r="E249" i="17" s="1"/>
  <c r="F249" i="17" s="1"/>
  <c r="D17" i="17"/>
  <c r="E17" i="17" s="1"/>
  <c r="F17" i="17" s="1"/>
  <c r="D283" i="17"/>
  <c r="E283" i="17" s="1"/>
  <c r="F283" i="17" s="1"/>
  <c r="D278" i="17"/>
  <c r="E278" i="17" s="1"/>
  <c r="F278" i="17" s="1"/>
  <c r="D315" i="17"/>
  <c r="E315" i="17" s="1"/>
  <c r="F315" i="17" s="1"/>
  <c r="D25" i="17"/>
  <c r="E25" i="17" s="1"/>
  <c r="F25" i="17" s="1"/>
  <c r="AA25" i="17" s="1"/>
  <c r="Z25" i="17" s="1"/>
  <c r="Y25" i="17" s="1"/>
  <c r="D132" i="17"/>
  <c r="E132" i="17" s="1"/>
  <c r="F132" i="17" s="1"/>
  <c r="D187" i="17"/>
  <c r="E187" i="17" s="1"/>
  <c r="F187" i="17" s="1"/>
  <c r="D201" i="17"/>
  <c r="E201" i="17" s="1"/>
  <c r="F201" i="17" s="1"/>
  <c r="D366" i="17"/>
  <c r="E366" i="17" s="1"/>
  <c r="F366" i="17" s="1"/>
  <c r="D174" i="17"/>
  <c r="E174" i="17" s="1"/>
  <c r="F174" i="17" s="1"/>
  <c r="D321" i="17"/>
  <c r="E321" i="17" s="1"/>
  <c r="F321" i="17" s="1"/>
  <c r="D265" i="17"/>
  <c r="E265" i="17" s="1"/>
  <c r="F265" i="17" s="1"/>
  <c r="D51" i="17"/>
  <c r="E51" i="17" s="1"/>
  <c r="F51" i="17" s="1"/>
  <c r="D346" i="17"/>
  <c r="E346" i="17" s="1"/>
  <c r="F346" i="17" s="1"/>
  <c r="D218" i="17"/>
  <c r="E218" i="17" s="1"/>
  <c r="F218" i="17" s="1"/>
  <c r="D150" i="17"/>
  <c r="E150" i="17" s="1"/>
  <c r="F150" i="17" s="1"/>
  <c r="D239" i="17"/>
  <c r="E239" i="17" s="1"/>
  <c r="F239" i="17" s="1"/>
  <c r="D95" i="17"/>
  <c r="E95" i="17" s="1"/>
  <c r="F95" i="17" s="1"/>
  <c r="D222" i="17"/>
  <c r="E222" i="17" s="1"/>
  <c r="F222" i="17" s="1"/>
  <c r="D241" i="17"/>
  <c r="E241" i="17" s="1"/>
  <c r="F241" i="17" s="1"/>
  <c r="D86" i="17"/>
  <c r="E86" i="17" s="1"/>
  <c r="F86" i="17" s="1"/>
  <c r="D332" i="17"/>
  <c r="E332" i="17" s="1"/>
  <c r="F332" i="17" s="1"/>
  <c r="D285" i="17"/>
  <c r="E285" i="17" s="1"/>
  <c r="F285" i="17" s="1"/>
  <c r="D334" i="17"/>
  <c r="E334" i="17" s="1"/>
  <c r="F334" i="17" s="1"/>
  <c r="D309" i="17"/>
  <c r="E309" i="17" s="1"/>
  <c r="F309" i="17" s="1"/>
  <c r="D202" i="17"/>
  <c r="E202" i="17" s="1"/>
  <c r="F202" i="17" s="1"/>
  <c r="D260" i="17"/>
  <c r="E260" i="17" s="1"/>
  <c r="F260" i="17" s="1"/>
  <c r="D319" i="17"/>
  <c r="E319" i="17" s="1"/>
  <c r="F319" i="17" s="1"/>
  <c r="AA319" i="17" s="1"/>
  <c r="Z319" i="17" s="1"/>
  <c r="Y319" i="17" s="1"/>
  <c r="D28" i="17"/>
  <c r="E28" i="17" s="1"/>
  <c r="F28" i="17" s="1"/>
  <c r="D55" i="17"/>
  <c r="E55" i="17" s="1"/>
  <c r="F55" i="17" s="1"/>
  <c r="D322" i="17"/>
  <c r="E322" i="17" s="1"/>
  <c r="F322" i="17" s="1"/>
  <c r="D116" i="17"/>
  <c r="E116" i="17" s="1"/>
  <c r="F116" i="17" s="1"/>
  <c r="D184" i="17"/>
  <c r="E184" i="17" s="1"/>
  <c r="F184" i="17" s="1"/>
  <c r="D252" i="17"/>
  <c r="E252" i="17" s="1"/>
  <c r="F252" i="17" s="1"/>
  <c r="D107" i="17"/>
  <c r="E107" i="17" s="1"/>
  <c r="F107" i="17" s="1"/>
  <c r="AA107" i="17" s="1"/>
  <c r="Z107" i="17" s="1"/>
  <c r="Y107" i="17" s="1"/>
  <c r="D270" i="17"/>
  <c r="E270" i="17" s="1"/>
  <c r="F270" i="17" s="1"/>
  <c r="D367" i="17"/>
  <c r="E367" i="17" s="1"/>
  <c r="F367" i="17" s="1"/>
  <c r="D30" i="17"/>
  <c r="E30" i="17" s="1"/>
  <c r="F30" i="17" s="1"/>
  <c r="D54" i="17"/>
  <c r="E54" i="17" s="1"/>
  <c r="F54" i="17" s="1"/>
  <c r="D231" i="17"/>
  <c r="E231" i="17" s="1"/>
  <c r="F231" i="17" s="1"/>
  <c r="D306" i="17"/>
  <c r="E306" i="17" s="1"/>
  <c r="F306" i="17" s="1"/>
  <c r="D71" i="17"/>
  <c r="E71" i="17" s="1"/>
  <c r="F71" i="17" s="1"/>
  <c r="AA71" i="17" s="1"/>
  <c r="Z71" i="17" s="1"/>
  <c r="Y71" i="17" s="1"/>
  <c r="D199" i="17"/>
  <c r="E199" i="17" s="1"/>
  <c r="F199" i="17" s="1"/>
  <c r="AA199" i="17" s="1"/>
  <c r="Z199" i="17" s="1"/>
  <c r="Y199" i="17" s="1"/>
  <c r="D109" i="17"/>
  <c r="E109" i="17" s="1"/>
  <c r="F109" i="17" s="1"/>
  <c r="D94" i="17"/>
  <c r="E94" i="17" s="1"/>
  <c r="F94" i="17" s="1"/>
  <c r="D20" i="17"/>
  <c r="E20" i="17" s="1"/>
  <c r="F20" i="17" s="1"/>
  <c r="D212" i="17"/>
  <c r="E212" i="17" s="1"/>
  <c r="F212" i="17" s="1"/>
  <c r="D209" i="17"/>
  <c r="E209" i="17" s="1"/>
  <c r="F209" i="17" s="1"/>
  <c r="D66" i="17"/>
  <c r="E66" i="17" s="1"/>
  <c r="F66" i="17" s="1"/>
  <c r="AA66" i="17" s="1"/>
  <c r="Z66" i="17" s="1"/>
  <c r="Y66" i="17" s="1"/>
  <c r="D82" i="17"/>
  <c r="E82" i="17" s="1"/>
  <c r="F82" i="17" s="1"/>
  <c r="D157" i="17"/>
  <c r="E157" i="17" s="1"/>
  <c r="F157" i="17" s="1"/>
  <c r="D363" i="17"/>
  <c r="E363" i="17" s="1"/>
  <c r="F363" i="17" s="1"/>
  <c r="D165" i="17"/>
  <c r="E165" i="17" s="1"/>
  <c r="F165" i="17" s="1"/>
  <c r="D236" i="17"/>
  <c r="E236" i="17" s="1"/>
  <c r="F236" i="17" s="1"/>
  <c r="D340" i="17"/>
  <c r="E340" i="17" s="1"/>
  <c r="F340" i="17" s="1"/>
  <c r="D262" i="17"/>
  <c r="E262" i="17" s="1"/>
  <c r="F262" i="17" s="1"/>
  <c r="D255" i="17"/>
  <c r="E255" i="17" s="1"/>
  <c r="F255" i="17" s="1"/>
  <c r="D338" i="17"/>
  <c r="E338" i="17" s="1"/>
  <c r="F338" i="17" s="1"/>
  <c r="D78" i="17"/>
  <c r="E78" i="17" s="1"/>
  <c r="F78" i="17" s="1"/>
  <c r="D35" i="17"/>
  <c r="E35" i="17" s="1"/>
  <c r="F35" i="17" s="1"/>
  <c r="D127" i="17"/>
  <c r="E127" i="17" s="1"/>
  <c r="F127" i="17" s="1"/>
  <c r="AA127" i="17" s="1"/>
  <c r="Z127" i="17" s="1"/>
  <c r="Y127" i="17" s="1"/>
  <c r="D274" i="17"/>
  <c r="E274" i="17" s="1"/>
  <c r="F274" i="17" s="1"/>
  <c r="D73" i="17"/>
  <c r="E73" i="17" s="1"/>
  <c r="F73" i="17" s="1"/>
  <c r="D106" i="17"/>
  <c r="E106" i="17" s="1"/>
  <c r="F106" i="17" s="1"/>
  <c r="D263" i="17"/>
  <c r="E263" i="17" s="1"/>
  <c r="F263" i="17" s="1"/>
  <c r="D377" i="17"/>
  <c r="E377" i="17" s="1"/>
  <c r="F377" i="17" s="1"/>
  <c r="D193" i="17"/>
  <c r="E193" i="17" s="1"/>
  <c r="F193" i="17" s="1"/>
  <c r="D294" i="17"/>
  <c r="E294" i="17" s="1"/>
  <c r="F294" i="17" s="1"/>
  <c r="D70" i="17"/>
  <c r="E70" i="17" s="1"/>
  <c r="F70" i="17" s="1"/>
  <c r="D371" i="17"/>
  <c r="E371" i="17" s="1"/>
  <c r="F371" i="17" s="1"/>
  <c r="D36" i="17"/>
  <c r="E36" i="17" s="1"/>
  <c r="F36" i="17" s="1"/>
  <c r="D362" i="17"/>
  <c r="E362" i="17" s="1"/>
  <c r="F362" i="17" s="1"/>
  <c r="D115" i="17"/>
  <c r="E115" i="17" s="1"/>
  <c r="F115" i="17" s="1"/>
  <c r="D80" i="17"/>
  <c r="E80" i="17" s="1"/>
  <c r="F80" i="17" s="1"/>
  <c r="D351" i="17"/>
  <c r="E351" i="17" s="1"/>
  <c r="F351" i="17" s="1"/>
  <c r="D60" i="17"/>
  <c r="E60" i="17" s="1"/>
  <c r="F60" i="17" s="1"/>
  <c r="AA60" i="17" s="1"/>
  <c r="Z60" i="17" s="1"/>
  <c r="Y60" i="17" s="1"/>
  <c r="D258" i="17"/>
  <c r="E258" i="17" s="1"/>
  <c r="F258" i="17" s="1"/>
  <c r="D229" i="17"/>
  <c r="E229" i="17" s="1"/>
  <c r="F229" i="17" s="1"/>
  <c r="D207" i="17"/>
  <c r="E207" i="17" s="1"/>
  <c r="F207" i="17" s="1"/>
  <c r="D345" i="17"/>
  <c r="E345" i="17" s="1"/>
  <c r="F345" i="17" s="1"/>
  <c r="D250" i="17"/>
  <c r="E250" i="17" s="1"/>
  <c r="F250" i="17" s="1"/>
  <c r="D100" i="17"/>
  <c r="E100" i="17" s="1"/>
  <c r="F100" i="17" s="1"/>
  <c r="D175" i="17"/>
  <c r="E175" i="17" s="1"/>
  <c r="F175" i="17" s="1"/>
  <c r="D194" i="17"/>
  <c r="E194" i="17" s="1"/>
  <c r="F194" i="17" s="1"/>
  <c r="D253" i="17"/>
  <c r="E253" i="17" s="1"/>
  <c r="F253" i="17" s="1"/>
  <c r="H253" i="17" s="1"/>
  <c r="D142" i="17"/>
  <c r="E142" i="17" s="1"/>
  <c r="F142" i="17" s="1"/>
  <c r="D195" i="17"/>
  <c r="E195" i="17" s="1"/>
  <c r="F195" i="17" s="1"/>
  <c r="H195" i="17" s="1"/>
  <c r="D83" i="17"/>
  <c r="E83" i="17" s="1"/>
  <c r="F83" i="17" s="1"/>
  <c r="D180" i="17"/>
  <c r="E180" i="17" s="1"/>
  <c r="F180" i="17" s="1"/>
  <c r="D117" i="17"/>
  <c r="E117" i="17" s="1"/>
  <c r="F117" i="17" s="1"/>
  <c r="D304" i="17"/>
  <c r="E304" i="17" s="1"/>
  <c r="F304" i="17" s="1"/>
  <c r="D369" i="17"/>
  <c r="E369" i="17" s="1"/>
  <c r="F369" i="17" s="1"/>
  <c r="D19" i="17"/>
  <c r="E19" i="17" s="1"/>
  <c r="F19" i="17" s="1"/>
  <c r="D105" i="17"/>
  <c r="D230" i="17"/>
  <c r="E230" i="17" s="1"/>
  <c r="F230" i="17" s="1"/>
  <c r="D225" i="17"/>
  <c r="E225" i="17" s="1"/>
  <c r="F225" i="17" s="1"/>
  <c r="D89" i="17"/>
  <c r="E89" i="17" s="1"/>
  <c r="F89" i="17" s="1"/>
  <c r="D226" i="17"/>
  <c r="E226" i="17" s="1"/>
  <c r="F226" i="17" s="1"/>
  <c r="D290" i="17"/>
  <c r="E290" i="17" s="1"/>
  <c r="F290" i="17" s="1"/>
  <c r="D292" i="17"/>
  <c r="E292" i="17" s="1"/>
  <c r="F292" i="17" s="1"/>
  <c r="D44" i="17"/>
  <c r="E44" i="17" s="1"/>
  <c r="F44" i="17" s="1"/>
  <c r="D244" i="17"/>
  <c r="E244" i="17" s="1"/>
  <c r="F244" i="17" s="1"/>
  <c r="D357" i="17"/>
  <c r="E357" i="17" s="1"/>
  <c r="F357" i="17" s="1"/>
  <c r="D189" i="17"/>
  <c r="E189" i="17" s="1"/>
  <c r="F189" i="17" s="1"/>
  <c r="D349" i="17"/>
  <c r="E349" i="17" s="1"/>
  <c r="F349" i="17" s="1"/>
  <c r="D47" i="17"/>
  <c r="E47" i="17" s="1"/>
  <c r="F47" i="17" s="1"/>
  <c r="D303" i="17"/>
  <c r="E303" i="17" s="1"/>
  <c r="F303" i="17" s="1"/>
  <c r="D88" i="17"/>
  <c r="E88" i="17" s="1"/>
  <c r="F88" i="17" s="1"/>
  <c r="D311" i="17"/>
  <c r="E311" i="17" s="1"/>
  <c r="F311" i="17" s="1"/>
  <c r="D281" i="17"/>
  <c r="E281" i="17" s="1"/>
  <c r="F281" i="17" s="1"/>
  <c r="D129" i="17"/>
  <c r="E129" i="17" s="1"/>
  <c r="F129" i="17" s="1"/>
  <c r="D293" i="17"/>
  <c r="E293" i="17" s="1"/>
  <c r="F293" i="17" s="1"/>
  <c r="D314" i="17"/>
  <c r="E314" i="17" s="1"/>
  <c r="F314" i="17" s="1"/>
  <c r="D148" i="17"/>
  <c r="E148" i="17" s="1"/>
  <c r="F148" i="17" s="1"/>
  <c r="D104" i="17"/>
  <c r="E104" i="17" s="1"/>
  <c r="F104" i="17" s="1"/>
  <c r="D123" i="17"/>
  <c r="E123" i="17" s="1"/>
  <c r="F123" i="17" s="1"/>
  <c r="D302" i="17"/>
  <c r="E302" i="17" s="1"/>
  <c r="F302" i="17" s="1"/>
  <c r="D192" i="17"/>
  <c r="E192" i="17" s="1"/>
  <c r="F192" i="17" s="1"/>
  <c r="D76" i="17"/>
  <c r="E76" i="17" s="1"/>
  <c r="F76" i="17" s="1"/>
  <c r="H76" i="17" s="1"/>
  <c r="D90" i="17"/>
  <c r="E90" i="17" s="1"/>
  <c r="F90" i="17" s="1"/>
  <c r="D41" i="17"/>
  <c r="E41" i="17" s="1"/>
  <c r="F41" i="17" s="1"/>
  <c r="D143" i="17"/>
  <c r="E143" i="17" s="1"/>
  <c r="F143" i="17" s="1"/>
  <c r="D188" i="17"/>
  <c r="E188" i="17" s="1"/>
  <c r="F188" i="17" s="1"/>
  <c r="D146" i="17"/>
  <c r="E146" i="17" s="1"/>
  <c r="F146" i="17" s="1"/>
  <c r="D339" i="17"/>
  <c r="E339" i="17" s="1"/>
  <c r="F339" i="17" s="1"/>
  <c r="D172" i="17"/>
  <c r="E172" i="17" s="1"/>
  <c r="F172" i="17" s="1"/>
  <c r="D215" i="17"/>
  <c r="E215" i="17" s="1"/>
  <c r="F215" i="17" s="1"/>
  <c r="D58" i="17"/>
  <c r="E58" i="17" s="1"/>
  <c r="F58" i="17" s="1"/>
  <c r="D353" i="17"/>
  <c r="E353" i="17" s="1"/>
  <c r="F353" i="17" s="1"/>
  <c r="AA353" i="17" s="1"/>
  <c r="Z353" i="17" s="1"/>
  <c r="Y353" i="17" s="1"/>
  <c r="D139" i="17"/>
  <c r="E139" i="17" s="1"/>
  <c r="F139" i="17" s="1"/>
  <c r="D271" i="17"/>
  <c r="E271" i="17" s="1"/>
  <c r="F271" i="17" s="1"/>
  <c r="D33" i="17"/>
  <c r="E33" i="17" s="1"/>
  <c r="F33" i="17" s="1"/>
  <c r="D62" i="17"/>
  <c r="E62" i="17" s="1"/>
  <c r="F62" i="17" s="1"/>
  <c r="D39" i="17"/>
  <c r="E39" i="17" s="1"/>
  <c r="F39" i="17" s="1"/>
  <c r="D45" i="17"/>
  <c r="E45" i="17" s="1"/>
  <c r="F45" i="17" s="1"/>
  <c r="D18" i="17"/>
  <c r="E18" i="17" s="1"/>
  <c r="F18" i="17" s="1"/>
  <c r="D113" i="17"/>
  <c r="E113" i="17" s="1"/>
  <c r="F113" i="17" s="1"/>
  <c r="D21" i="17"/>
  <c r="E21" i="17" s="1"/>
  <c r="F21" i="17" s="1"/>
  <c r="D49" i="17"/>
  <c r="E49" i="17" s="1"/>
  <c r="F49" i="17" s="1"/>
  <c r="D352" i="17"/>
  <c r="E352" i="17" s="1"/>
  <c r="F352" i="17" s="1"/>
  <c r="D247" i="17"/>
  <c r="E247" i="17" s="1"/>
  <c r="F247" i="17" s="1"/>
  <c r="D379" i="17"/>
  <c r="E379" i="17" s="1"/>
  <c r="F379" i="17" s="1"/>
  <c r="D124" i="17"/>
  <c r="E124" i="17" s="1"/>
  <c r="F124" i="17" s="1"/>
  <c r="W132" i="18"/>
  <c r="W38" i="18"/>
  <c r="D153" i="18"/>
  <c r="E153" i="18" s="1"/>
  <c r="F153" i="18" s="1"/>
  <c r="W251" i="18"/>
  <c r="W331" i="18"/>
  <c r="W152" i="18"/>
  <c r="W306" i="18"/>
  <c r="W299" i="18"/>
  <c r="W205" i="18"/>
  <c r="W64" i="18"/>
  <c r="W366" i="18"/>
  <c r="W358" i="18"/>
  <c r="W338" i="18"/>
  <c r="D312" i="18"/>
  <c r="E312" i="18" s="1"/>
  <c r="F312" i="18" s="1"/>
  <c r="W224" i="18"/>
  <c r="W212" i="18"/>
  <c r="W168" i="18"/>
  <c r="W68" i="18"/>
  <c r="W54" i="18"/>
  <c r="W30" i="18"/>
  <c r="W377" i="18"/>
  <c r="W351" i="18"/>
  <c r="W329" i="18"/>
  <c r="W297" i="18"/>
  <c r="W243" i="18"/>
  <c r="W237" i="18"/>
  <c r="D217" i="18"/>
  <c r="E217" i="18" s="1"/>
  <c r="F217" i="18" s="1"/>
  <c r="W129" i="18"/>
  <c r="W26" i="18"/>
  <c r="W344" i="18"/>
  <c r="W324" i="18"/>
  <c r="W262" i="18"/>
  <c r="W238" i="18"/>
  <c r="D28" i="18"/>
  <c r="E28" i="18" s="1"/>
  <c r="F28" i="18" s="1"/>
  <c r="W18" i="18"/>
  <c r="W359" i="18"/>
  <c r="D337" i="18"/>
  <c r="E337" i="18" s="1"/>
  <c r="F337" i="18" s="1"/>
  <c r="W313" i="18"/>
  <c r="W301" i="18"/>
  <c r="W269" i="18"/>
  <c r="W231" i="18"/>
  <c r="W211" i="18"/>
  <c r="W193" i="18"/>
  <c r="D179" i="18"/>
  <c r="E179" i="18" s="1"/>
  <c r="F179" i="18" s="1"/>
  <c r="W59" i="18"/>
  <c r="W348" i="18"/>
  <c r="W326" i="18"/>
  <c r="W300" i="18"/>
  <c r="W294" i="18"/>
  <c r="W228" i="18"/>
  <c r="W192" i="18"/>
  <c r="W164" i="18"/>
  <c r="W120" i="18"/>
  <c r="W108" i="18"/>
  <c r="W94" i="18"/>
  <c r="W327" i="18"/>
  <c r="W259" i="18"/>
  <c r="W131" i="18"/>
  <c r="W79" i="18"/>
  <c r="W69" i="18"/>
  <c r="W23" i="18"/>
  <c r="W258" i="18"/>
  <c r="D270" i="18"/>
  <c r="E270" i="18" s="1"/>
  <c r="F270" i="18" s="1"/>
  <c r="W170" i="18"/>
  <c r="D136" i="18"/>
  <c r="E136" i="18" s="1"/>
  <c r="F136" i="18" s="1"/>
  <c r="W92" i="18"/>
  <c r="W70" i="18"/>
  <c r="W50" i="18"/>
  <c r="W323" i="18"/>
  <c r="W255" i="18"/>
  <c r="W197" i="18"/>
  <c r="W183" i="18"/>
  <c r="D167" i="18"/>
  <c r="E167" i="18" s="1"/>
  <c r="F167" i="18" s="1"/>
  <c r="W155" i="18"/>
  <c r="W101" i="18"/>
  <c r="W97" i="18"/>
  <c r="D55" i="18"/>
  <c r="E55" i="18" s="1"/>
  <c r="F55" i="18" s="1"/>
  <c r="W19" i="18"/>
  <c r="W265" i="18"/>
  <c r="W116" i="18"/>
  <c r="W284" i="18"/>
  <c r="W367" i="18"/>
  <c r="W335" i="18"/>
  <c r="W95" i="18"/>
  <c r="W43" i="18"/>
  <c r="W216" i="18"/>
  <c r="W227" i="18"/>
  <c r="W35" i="18"/>
  <c r="W208" i="18"/>
  <c r="W16" i="18"/>
  <c r="W316" i="18"/>
  <c r="D180" i="18"/>
  <c r="E180" i="18" s="1"/>
  <c r="F180" i="18" s="1"/>
  <c r="W363" i="18"/>
  <c r="AD382" i="25" l="1"/>
  <c r="AD383" i="25"/>
  <c r="AD381" i="25"/>
  <c r="B70" i="19"/>
  <c r="V381" i="25"/>
  <c r="V382" i="25"/>
  <c r="V383" i="25"/>
  <c r="E105" i="17"/>
  <c r="F105" i="17" s="1"/>
  <c r="H105" i="17" s="1"/>
  <c r="D28" i="20"/>
  <c r="E28" i="20" s="1"/>
  <c r="F28" i="20" s="1"/>
  <c r="D108" i="20"/>
  <c r="E108" i="20" s="1"/>
  <c r="F108" i="20" s="1"/>
  <c r="W193" i="20"/>
  <c r="D237" i="20"/>
  <c r="E237" i="20" s="1"/>
  <c r="F237" i="20" s="1"/>
  <c r="D30" i="20"/>
  <c r="E30" i="20" s="1"/>
  <c r="F30" i="20" s="1"/>
  <c r="D363" i="20"/>
  <c r="E363" i="20" s="1"/>
  <c r="F363" i="20" s="1"/>
  <c r="D180" i="20"/>
  <c r="E180" i="20" s="1"/>
  <c r="F180" i="20" s="1"/>
  <c r="W300" i="20"/>
  <c r="W326" i="20"/>
  <c r="D359" i="20"/>
  <c r="E359" i="20" s="1"/>
  <c r="F359" i="20" s="1"/>
  <c r="D155" i="18"/>
  <c r="E155" i="18" s="1"/>
  <c r="F155" i="18" s="1"/>
  <c r="AA155" i="18" s="1"/>
  <c r="Z155" i="18" s="1"/>
  <c r="Y155" i="18" s="1"/>
  <c r="D251" i="18"/>
  <c r="E251" i="18" s="1"/>
  <c r="F251" i="18" s="1"/>
  <c r="AA251" i="18" s="1"/>
  <c r="Z251" i="18" s="1"/>
  <c r="Y251" i="18" s="1"/>
  <c r="D335" i="20"/>
  <c r="E335" i="20" s="1"/>
  <c r="F335" i="20" s="1"/>
  <c r="D116" i="20"/>
  <c r="E116" i="20" s="1"/>
  <c r="F116" i="20" s="1"/>
  <c r="W155" i="20"/>
  <c r="W323" i="20"/>
  <c r="D50" i="20"/>
  <c r="E50" i="20" s="1"/>
  <c r="F50" i="20" s="1"/>
  <c r="W164" i="20"/>
  <c r="D269" i="20"/>
  <c r="E269" i="20" s="1"/>
  <c r="F269" i="20" s="1"/>
  <c r="W152" i="20"/>
  <c r="D30" i="18"/>
  <c r="E30" i="18" s="1"/>
  <c r="F30" i="18" s="1"/>
  <c r="AA30" i="18" s="1"/>
  <c r="Z30" i="18" s="1"/>
  <c r="Y30" i="18" s="1"/>
  <c r="D297" i="18"/>
  <c r="E297" i="18" s="1"/>
  <c r="F297" i="18" s="1"/>
  <c r="G297" i="18" s="1"/>
  <c r="CA297" i="6" s="1"/>
  <c r="W208" i="20"/>
  <c r="W367" i="20"/>
  <c r="W97" i="20"/>
  <c r="D183" i="20"/>
  <c r="E183" i="20" s="1"/>
  <c r="F183" i="20" s="1"/>
  <c r="D92" i="20"/>
  <c r="E92" i="20" s="1"/>
  <c r="F92" i="20" s="1"/>
  <c r="W170" i="20"/>
  <c r="W258" i="20"/>
  <c r="D259" i="20"/>
  <c r="E259" i="20" s="1"/>
  <c r="F259" i="20" s="1"/>
  <c r="D228" i="20"/>
  <c r="E228" i="20" s="1"/>
  <c r="F228" i="20" s="1"/>
  <c r="D231" i="20"/>
  <c r="E231" i="20" s="1"/>
  <c r="F231" i="20" s="1"/>
  <c r="W344" i="20"/>
  <c r="W129" i="20"/>
  <c r="W297" i="20"/>
  <c r="W351" i="20"/>
  <c r="D54" i="20"/>
  <c r="E54" i="20" s="1"/>
  <c r="F54" i="20" s="1"/>
  <c r="W212" i="20"/>
  <c r="W312" i="20"/>
  <c r="D366" i="20"/>
  <c r="E366" i="20" s="1"/>
  <c r="F366" i="20" s="1"/>
  <c r="D153" i="20"/>
  <c r="E153" i="20" s="1"/>
  <c r="F153" i="20" s="1"/>
  <c r="D26" i="18"/>
  <c r="E26" i="18" s="1"/>
  <c r="F26" i="18" s="1"/>
  <c r="G26" i="18" s="1"/>
  <c r="CA26" i="6" s="1"/>
  <c r="D193" i="18"/>
  <c r="E193" i="18" s="1"/>
  <c r="F193" i="18" s="1"/>
  <c r="AA193" i="18" s="1"/>
  <c r="Z193" i="18" s="1"/>
  <c r="Y193" i="18" s="1"/>
  <c r="D344" i="18"/>
  <c r="E344" i="18" s="1"/>
  <c r="F344" i="18" s="1"/>
  <c r="AA344" i="18" s="1"/>
  <c r="Z344" i="18" s="1"/>
  <c r="Y344" i="18" s="1"/>
  <c r="D353" i="18"/>
  <c r="E353" i="18" s="1"/>
  <c r="F353" i="18" s="1"/>
  <c r="G353" i="18" s="1"/>
  <c r="CA353" i="6" s="1"/>
  <c r="W353" i="18"/>
  <c r="D224" i="18"/>
  <c r="E224" i="18" s="1"/>
  <c r="F224" i="18" s="1"/>
  <c r="AA224" i="18" s="1"/>
  <c r="Z224" i="18" s="1"/>
  <c r="Y224" i="18" s="1"/>
  <c r="D192" i="18"/>
  <c r="E192" i="18" s="1"/>
  <c r="F192" i="18" s="1"/>
  <c r="AA192" i="18" s="1"/>
  <c r="Z192" i="18" s="1"/>
  <c r="Y192" i="18" s="1"/>
  <c r="D168" i="18"/>
  <c r="E168" i="18" s="1"/>
  <c r="F168" i="18" s="1"/>
  <c r="G168" i="18" s="1"/>
  <c r="CA168" i="6" s="1"/>
  <c r="D348" i="18"/>
  <c r="E348" i="18" s="1"/>
  <c r="F348" i="18" s="1"/>
  <c r="G348" i="18" s="1"/>
  <c r="CA348" i="6" s="1"/>
  <c r="D64" i="18"/>
  <c r="E64" i="18" s="1"/>
  <c r="F64" i="18" s="1"/>
  <c r="AA64" i="18" s="1"/>
  <c r="Z64" i="18" s="1"/>
  <c r="Y64" i="18" s="1"/>
  <c r="D79" i="18"/>
  <c r="E79" i="18" s="1"/>
  <c r="F79" i="18" s="1"/>
  <c r="G79" i="18" s="1"/>
  <c r="CA79" i="6" s="1"/>
  <c r="D299" i="18"/>
  <c r="E299" i="18" s="1"/>
  <c r="F299" i="18" s="1"/>
  <c r="AA299" i="18" s="1"/>
  <c r="Z299" i="18" s="1"/>
  <c r="Y299" i="18" s="1"/>
  <c r="D284" i="18"/>
  <c r="E284" i="18" s="1"/>
  <c r="F284" i="18" s="1"/>
  <c r="AA284" i="18" s="1"/>
  <c r="Z284" i="18" s="1"/>
  <c r="Y284" i="18" s="1"/>
  <c r="D306" i="18"/>
  <c r="E306" i="18" s="1"/>
  <c r="F306" i="18" s="1"/>
  <c r="AA306" i="18" s="1"/>
  <c r="Z306" i="18" s="1"/>
  <c r="Y306" i="18" s="1"/>
  <c r="W179" i="18"/>
  <c r="G252" i="17"/>
  <c r="BZ252" i="6" s="1"/>
  <c r="H252" i="17"/>
  <c r="J252" i="17" s="1"/>
  <c r="AA252" i="17"/>
  <c r="Z252" i="17" s="1"/>
  <c r="Y252" i="17" s="1"/>
  <c r="AA267" i="17"/>
  <c r="Z267" i="17" s="1"/>
  <c r="Y267" i="17" s="1"/>
  <c r="G267" i="17"/>
  <c r="BZ267" i="6" s="1"/>
  <c r="W136" i="18"/>
  <c r="W337" i="18"/>
  <c r="W316" i="20"/>
  <c r="W35" i="20"/>
  <c r="W227" i="20"/>
  <c r="W216" i="20"/>
  <c r="D43" i="20"/>
  <c r="E43" i="20" s="1"/>
  <c r="F43" i="20" s="1"/>
  <c r="D95" i="20"/>
  <c r="E95" i="20" s="1"/>
  <c r="F95" i="20" s="1"/>
  <c r="W284" i="20"/>
  <c r="W265" i="20"/>
  <c r="W19" i="20"/>
  <c r="W55" i="20"/>
  <c r="W167" i="20"/>
  <c r="D197" i="20"/>
  <c r="E197" i="20" s="1"/>
  <c r="F197" i="20" s="1"/>
  <c r="D255" i="20"/>
  <c r="E255" i="20" s="1"/>
  <c r="F255" i="20" s="1"/>
  <c r="W70" i="20"/>
  <c r="D136" i="20"/>
  <c r="E136" i="20" s="1"/>
  <c r="F136" i="20" s="1"/>
  <c r="D270" i="20"/>
  <c r="E270" i="20" s="1"/>
  <c r="F270" i="20" s="1"/>
  <c r="W23" i="20"/>
  <c r="D79" i="20"/>
  <c r="E79" i="20" s="1"/>
  <c r="F79" i="20" s="1"/>
  <c r="W131" i="20"/>
  <c r="W327" i="20"/>
  <c r="D94" i="20"/>
  <c r="E94" i="20" s="1"/>
  <c r="F94" i="20" s="1"/>
  <c r="D192" i="20"/>
  <c r="E192" i="20" s="1"/>
  <c r="F192" i="20" s="1"/>
  <c r="W294" i="20"/>
  <c r="W348" i="20"/>
  <c r="D39" i="18"/>
  <c r="E39" i="18" s="1"/>
  <c r="F39" i="18" s="1"/>
  <c r="AA39" i="18" s="1"/>
  <c r="Z39" i="18" s="1"/>
  <c r="Y39" i="18" s="1"/>
  <c r="W39" i="18"/>
  <c r="D59" i="20"/>
  <c r="E59" i="20" s="1"/>
  <c r="F59" i="20" s="1"/>
  <c r="W179" i="20"/>
  <c r="D211" i="20"/>
  <c r="E211" i="20" s="1"/>
  <c r="F211" i="20" s="1"/>
  <c r="W301" i="20"/>
  <c r="D337" i="20"/>
  <c r="E337" i="20" s="1"/>
  <c r="F337" i="20" s="1"/>
  <c r="D18" i="20"/>
  <c r="E18" i="20" s="1"/>
  <c r="F18" i="20" s="1"/>
  <c r="W324" i="20"/>
  <c r="W243" i="20"/>
  <c r="D329" i="20"/>
  <c r="E329" i="20" s="1"/>
  <c r="F329" i="20" s="1"/>
  <c r="D377" i="20"/>
  <c r="E377" i="20" s="1"/>
  <c r="F377" i="20" s="1"/>
  <c r="D168" i="20"/>
  <c r="E168" i="20" s="1"/>
  <c r="F168" i="20" s="1"/>
  <c r="W224" i="20"/>
  <c r="W338" i="20"/>
  <c r="D358" i="20"/>
  <c r="E358" i="20" s="1"/>
  <c r="F358" i="20" s="1"/>
  <c r="W64" i="20"/>
  <c r="D205" i="20"/>
  <c r="E205" i="20" s="1"/>
  <c r="F205" i="20" s="1"/>
  <c r="D306" i="20"/>
  <c r="E306" i="20" s="1"/>
  <c r="F306" i="20" s="1"/>
  <c r="W353" i="20"/>
  <c r="D331" i="20"/>
  <c r="E331" i="20" s="1"/>
  <c r="F331" i="20" s="1"/>
  <c r="W38" i="20"/>
  <c r="D227" i="18"/>
  <c r="E227" i="18" s="1"/>
  <c r="F227" i="18" s="1"/>
  <c r="AA227" i="18" s="1"/>
  <c r="Z227" i="18" s="1"/>
  <c r="Y227" i="18" s="1"/>
  <c r="D363" i="18"/>
  <c r="E363" i="18" s="1"/>
  <c r="F363" i="18" s="1"/>
  <c r="G363" i="18" s="1"/>
  <c r="CA363" i="6" s="1"/>
  <c r="D269" i="18"/>
  <c r="E269" i="18" s="1"/>
  <c r="F269" i="18" s="1"/>
  <c r="AA269" i="18" s="1"/>
  <c r="Z269" i="18" s="1"/>
  <c r="Y269" i="18" s="1"/>
  <c r="D366" i="18"/>
  <c r="E366" i="18" s="1"/>
  <c r="F366" i="18" s="1"/>
  <c r="G366" i="18" s="1"/>
  <c r="CA366" i="6" s="1"/>
  <c r="D152" i="18"/>
  <c r="E152" i="18" s="1"/>
  <c r="F152" i="18" s="1"/>
  <c r="AA152" i="18" s="1"/>
  <c r="Z152" i="18" s="1"/>
  <c r="Y152" i="18" s="1"/>
  <c r="D228" i="18"/>
  <c r="E228" i="18" s="1"/>
  <c r="F228" i="18" s="1"/>
  <c r="G228" i="18" s="1"/>
  <c r="CA228" i="6" s="1"/>
  <c r="D237" i="18"/>
  <c r="E237" i="18" s="1"/>
  <c r="F237" i="18" s="1"/>
  <c r="G237" i="18" s="1"/>
  <c r="CA237" i="6" s="1"/>
  <c r="D205" i="18"/>
  <c r="E205" i="18" s="1"/>
  <c r="F205" i="18" s="1"/>
  <c r="AA205" i="18" s="1"/>
  <c r="Z205" i="18" s="1"/>
  <c r="Y205" i="18" s="1"/>
  <c r="D265" i="18"/>
  <c r="E265" i="18" s="1"/>
  <c r="F265" i="18" s="1"/>
  <c r="AA265" i="18" s="1"/>
  <c r="Z265" i="18" s="1"/>
  <c r="Y265" i="18" s="1"/>
  <c r="D259" i="18"/>
  <c r="E259" i="18" s="1"/>
  <c r="F259" i="18" s="1"/>
  <c r="AA259" i="18" s="1"/>
  <c r="Z259" i="18" s="1"/>
  <c r="Y259" i="18" s="1"/>
  <c r="D54" i="18"/>
  <c r="E54" i="18" s="1"/>
  <c r="F54" i="18" s="1"/>
  <c r="G54" i="18" s="1"/>
  <c r="CA54" i="6" s="1"/>
  <c r="D301" i="18"/>
  <c r="E301" i="18" s="1"/>
  <c r="F301" i="18" s="1"/>
  <c r="AA301" i="18" s="1"/>
  <c r="Z301" i="18" s="1"/>
  <c r="Y301" i="18" s="1"/>
  <c r="D23" i="18"/>
  <c r="E23" i="18" s="1"/>
  <c r="F23" i="18" s="1"/>
  <c r="G23" i="18" s="1"/>
  <c r="CA23" i="6" s="1"/>
  <c r="D170" i="18"/>
  <c r="E170" i="18" s="1"/>
  <c r="F170" i="18" s="1"/>
  <c r="G170" i="18" s="1"/>
  <c r="CA170" i="6" s="1"/>
  <c r="D243" i="18"/>
  <c r="E243" i="18" s="1"/>
  <c r="F243" i="18" s="1"/>
  <c r="G243" i="18" s="1"/>
  <c r="CA243" i="6" s="1"/>
  <c r="D164" i="18"/>
  <c r="E164" i="18" s="1"/>
  <c r="F164" i="18" s="1"/>
  <c r="AA164" i="18" s="1"/>
  <c r="Z164" i="18" s="1"/>
  <c r="Y164" i="18" s="1"/>
  <c r="D300" i="18"/>
  <c r="E300" i="18" s="1"/>
  <c r="F300" i="18" s="1"/>
  <c r="AA300" i="18" s="1"/>
  <c r="Z300" i="18" s="1"/>
  <c r="Y300" i="18" s="1"/>
  <c r="W180" i="18"/>
  <c r="D19" i="18"/>
  <c r="E19" i="18" s="1"/>
  <c r="F19" i="18" s="1"/>
  <c r="G19" i="18" s="1"/>
  <c r="CA19" i="6" s="1"/>
  <c r="W28" i="18"/>
  <c r="G156" i="17"/>
  <c r="BZ156" i="6" s="1"/>
  <c r="AA156" i="17"/>
  <c r="Z156" i="17" s="1"/>
  <c r="Y156" i="17" s="1"/>
  <c r="AA93" i="17"/>
  <c r="Z93" i="17" s="1"/>
  <c r="Y93" i="17" s="1"/>
  <c r="H267" i="17"/>
  <c r="J267" i="17" s="1"/>
  <c r="G101" i="17"/>
  <c r="BZ101" i="6" s="1"/>
  <c r="AA101" i="17"/>
  <c r="Z101" i="17" s="1"/>
  <c r="Y101" i="17" s="1"/>
  <c r="AA296" i="17"/>
  <c r="Z296" i="17" s="1"/>
  <c r="Y296" i="17" s="1"/>
  <c r="G296" i="17"/>
  <c r="BZ296" i="6" s="1"/>
  <c r="AA46" i="17"/>
  <c r="Z46" i="17" s="1"/>
  <c r="Y46" i="17" s="1"/>
  <c r="G46" i="17"/>
  <c r="BZ46" i="6" s="1"/>
  <c r="G205" i="17"/>
  <c r="BZ205" i="6" s="1"/>
  <c r="H205" i="17"/>
  <c r="I205" i="17" s="1"/>
  <c r="AA205" i="17"/>
  <c r="Z205" i="17" s="1"/>
  <c r="Y205" i="17" s="1"/>
  <c r="H296" i="17"/>
  <c r="I296" i="17" s="1"/>
  <c r="AA240" i="17"/>
  <c r="Z240" i="17" s="1"/>
  <c r="Y240" i="17" s="1"/>
  <c r="AA87" i="17"/>
  <c r="Z87" i="17" s="1"/>
  <c r="Y87" i="17" s="1"/>
  <c r="I87" i="17"/>
  <c r="W379" i="20"/>
  <c r="D379" i="20"/>
  <c r="E379" i="20" s="1"/>
  <c r="F379" i="20" s="1"/>
  <c r="W29" i="18"/>
  <c r="D29" i="18"/>
  <c r="E29" i="18" s="1"/>
  <c r="F29" i="18" s="1"/>
  <c r="W150" i="18"/>
  <c r="D150" i="18"/>
  <c r="E150" i="18" s="1"/>
  <c r="F150" i="18" s="1"/>
  <c r="W226" i="18"/>
  <c r="D226" i="18"/>
  <c r="E226" i="18" s="1"/>
  <c r="F226" i="18" s="1"/>
  <c r="W177" i="20"/>
  <c r="D177" i="20"/>
  <c r="E177" i="20" s="1"/>
  <c r="F177" i="20" s="1"/>
  <c r="W354" i="20"/>
  <c r="D354" i="20"/>
  <c r="E354" i="20" s="1"/>
  <c r="F354" i="20" s="1"/>
  <c r="W283" i="18"/>
  <c r="D283" i="18"/>
  <c r="E283" i="18" s="1"/>
  <c r="F283" i="18" s="1"/>
  <c r="W43" i="20"/>
  <c r="D135" i="18"/>
  <c r="E135" i="18" s="1"/>
  <c r="F135" i="18" s="1"/>
  <c r="W135" i="18"/>
  <c r="W114" i="18"/>
  <c r="D114" i="18"/>
  <c r="E114" i="18" s="1"/>
  <c r="F114" i="18" s="1"/>
  <c r="W210" i="18"/>
  <c r="D210" i="18"/>
  <c r="E210" i="18" s="1"/>
  <c r="F210" i="18" s="1"/>
  <c r="W161" i="18"/>
  <c r="D161" i="18"/>
  <c r="E161" i="18" s="1"/>
  <c r="F161" i="18" s="1"/>
  <c r="G55" i="18"/>
  <c r="CA55" i="6" s="1"/>
  <c r="AA55" i="18"/>
  <c r="Z55" i="18" s="1"/>
  <c r="Y55" i="18" s="1"/>
  <c r="W77" i="18"/>
  <c r="D77" i="18"/>
  <c r="E77" i="18" s="1"/>
  <c r="F77" i="18" s="1"/>
  <c r="W99" i="18"/>
  <c r="D99" i="18"/>
  <c r="E99" i="18" s="1"/>
  <c r="F99" i="18" s="1"/>
  <c r="D159" i="18"/>
  <c r="E159" i="18" s="1"/>
  <c r="F159" i="18" s="1"/>
  <c r="W159" i="18"/>
  <c r="W247" i="20"/>
  <c r="D247" i="20"/>
  <c r="E247" i="20" s="1"/>
  <c r="F247" i="20" s="1"/>
  <c r="W263" i="18"/>
  <c r="D263" i="18"/>
  <c r="E263" i="18" s="1"/>
  <c r="F263" i="18" s="1"/>
  <c r="D281" i="20"/>
  <c r="E281" i="20" s="1"/>
  <c r="F281" i="20" s="1"/>
  <c r="W281" i="20"/>
  <c r="W84" i="18"/>
  <c r="D84" i="18"/>
  <c r="E84" i="18" s="1"/>
  <c r="F84" i="18" s="1"/>
  <c r="W106" i="20"/>
  <c r="D106" i="20"/>
  <c r="E106" i="20" s="1"/>
  <c r="F106" i="20" s="1"/>
  <c r="W178" i="20"/>
  <c r="D178" i="20"/>
  <c r="E178" i="20" s="1"/>
  <c r="F178" i="20" s="1"/>
  <c r="G270" i="18"/>
  <c r="CA270" i="6" s="1"/>
  <c r="AA270" i="18"/>
  <c r="Z270" i="18" s="1"/>
  <c r="Y270" i="18" s="1"/>
  <c r="W274" i="18"/>
  <c r="D274" i="18"/>
  <c r="E274" i="18" s="1"/>
  <c r="F274" i="18" s="1"/>
  <c r="W318" i="18"/>
  <c r="D318" i="18"/>
  <c r="E318" i="18" s="1"/>
  <c r="F318" i="18" s="1"/>
  <c r="W352" i="18"/>
  <c r="D352" i="18"/>
  <c r="E352" i="18" s="1"/>
  <c r="F352" i="18" s="1"/>
  <c r="W33" i="20"/>
  <c r="D33" i="20"/>
  <c r="E33" i="20" s="1"/>
  <c r="F33" i="20" s="1"/>
  <c r="W60" i="18"/>
  <c r="D60" i="18"/>
  <c r="E60" i="18" s="1"/>
  <c r="F60" i="18" s="1"/>
  <c r="G180" i="18"/>
  <c r="CA180" i="6" s="1"/>
  <c r="AA180" i="18"/>
  <c r="Z180" i="18" s="1"/>
  <c r="Y180" i="18" s="1"/>
  <c r="D333" i="18"/>
  <c r="E333" i="18" s="1"/>
  <c r="F333" i="18" s="1"/>
  <c r="W333" i="18"/>
  <c r="W149" i="20"/>
  <c r="D149" i="20"/>
  <c r="E149" i="20" s="1"/>
  <c r="F149" i="20" s="1"/>
  <c r="W365" i="18"/>
  <c r="D365" i="18"/>
  <c r="E365" i="18" s="1"/>
  <c r="F365" i="18" s="1"/>
  <c r="W187" i="18"/>
  <c r="D187" i="18"/>
  <c r="E187" i="18" s="1"/>
  <c r="F187" i="18" s="1"/>
  <c r="D298" i="20"/>
  <c r="E298" i="20" s="1"/>
  <c r="F298" i="20" s="1"/>
  <c r="W298" i="20"/>
  <c r="W46" i="18"/>
  <c r="D46" i="18"/>
  <c r="E46" i="18" s="1"/>
  <c r="F46" i="18" s="1"/>
  <c r="W349" i="18"/>
  <c r="D349" i="18"/>
  <c r="E349" i="18" s="1"/>
  <c r="F349" i="18" s="1"/>
  <c r="W319" i="20"/>
  <c r="D319" i="20"/>
  <c r="E319" i="20" s="1"/>
  <c r="F319" i="20" s="1"/>
  <c r="W74" i="18"/>
  <c r="D74" i="18"/>
  <c r="E74" i="18" s="1"/>
  <c r="F74" i="18" s="1"/>
  <c r="D17" i="20"/>
  <c r="E17" i="20" s="1"/>
  <c r="F17" i="20" s="1"/>
  <c r="W17" i="20"/>
  <c r="W261" i="18"/>
  <c r="D261" i="18"/>
  <c r="E261" i="18" s="1"/>
  <c r="F261" i="18" s="1"/>
  <c r="W111" i="20"/>
  <c r="D111" i="20"/>
  <c r="E111" i="20" s="1"/>
  <c r="F111" i="20" s="1"/>
  <c r="W75" i="18"/>
  <c r="D75" i="18"/>
  <c r="E75" i="18" s="1"/>
  <c r="F75" i="18" s="1"/>
  <c r="W278" i="20"/>
  <c r="D278" i="20"/>
  <c r="E278" i="20" s="1"/>
  <c r="F278" i="20" s="1"/>
  <c r="W171" i="18"/>
  <c r="D171" i="18"/>
  <c r="E171" i="18" s="1"/>
  <c r="F171" i="18" s="1"/>
  <c r="W194" i="18"/>
  <c r="D194" i="18"/>
  <c r="E194" i="18" s="1"/>
  <c r="F194" i="18" s="1"/>
  <c r="W66" i="20"/>
  <c r="D66" i="20"/>
  <c r="E66" i="20" s="1"/>
  <c r="F66" i="20" s="1"/>
  <c r="W335" i="20"/>
  <c r="W376" i="18"/>
  <c r="D376" i="18"/>
  <c r="E376" i="18" s="1"/>
  <c r="F376" i="18" s="1"/>
  <c r="W347" i="18"/>
  <c r="D347" i="18"/>
  <c r="E347" i="18" s="1"/>
  <c r="F347" i="18" s="1"/>
  <c r="W302" i="20"/>
  <c r="D302" i="20"/>
  <c r="E302" i="20" s="1"/>
  <c r="F302" i="20" s="1"/>
  <c r="W369" i="18"/>
  <c r="D369" i="18"/>
  <c r="E369" i="18" s="1"/>
  <c r="F369" i="18" s="1"/>
  <c r="W253" i="18"/>
  <c r="D253" i="18"/>
  <c r="E253" i="18" s="1"/>
  <c r="F253" i="18" s="1"/>
  <c r="W175" i="20"/>
  <c r="D175" i="20"/>
  <c r="E175" i="20" s="1"/>
  <c r="F175" i="20" s="1"/>
  <c r="W130" i="20"/>
  <c r="D130" i="20"/>
  <c r="E130" i="20" s="1"/>
  <c r="F130" i="20" s="1"/>
  <c r="W287" i="18"/>
  <c r="D287" i="18"/>
  <c r="E287" i="18" s="1"/>
  <c r="F287" i="18" s="1"/>
  <c r="W61" i="18"/>
  <c r="D61" i="18"/>
  <c r="E61" i="18" s="1"/>
  <c r="F61" i="18" s="1"/>
  <c r="W83" i="20"/>
  <c r="D83" i="20"/>
  <c r="E83" i="20" s="1"/>
  <c r="F83" i="20" s="1"/>
  <c r="W89" i="18"/>
  <c r="D89" i="18"/>
  <c r="E89" i="18" s="1"/>
  <c r="F89" i="18" s="1"/>
  <c r="W127" i="18"/>
  <c r="D127" i="18"/>
  <c r="E127" i="18" s="1"/>
  <c r="F127" i="18" s="1"/>
  <c r="W173" i="18"/>
  <c r="D173" i="18"/>
  <c r="E173" i="18" s="1"/>
  <c r="F173" i="18" s="1"/>
  <c r="W219" i="18"/>
  <c r="D219" i="18"/>
  <c r="E219" i="18" s="1"/>
  <c r="F219" i="18" s="1"/>
  <c r="W271" i="20"/>
  <c r="D271" i="20"/>
  <c r="E271" i="20" s="1"/>
  <c r="F271" i="20" s="1"/>
  <c r="W273" i="18"/>
  <c r="D273" i="18"/>
  <c r="E273" i="18" s="1"/>
  <c r="F273" i="18" s="1"/>
  <c r="W361" i="18"/>
  <c r="D361" i="18"/>
  <c r="E361" i="18" s="1"/>
  <c r="F361" i="18" s="1"/>
  <c r="W50" i="20"/>
  <c r="W56" i="18"/>
  <c r="D56" i="18"/>
  <c r="E56" i="18" s="1"/>
  <c r="F56" i="18" s="1"/>
  <c r="W104" i="18"/>
  <c r="D104" i="18"/>
  <c r="E104" i="18" s="1"/>
  <c r="F104" i="18" s="1"/>
  <c r="W118" i="20"/>
  <c r="D118" i="20"/>
  <c r="E118" i="20" s="1"/>
  <c r="F118" i="20" s="1"/>
  <c r="W128" i="18"/>
  <c r="D128" i="18"/>
  <c r="E128" i="18" s="1"/>
  <c r="F128" i="18" s="1"/>
  <c r="G136" i="18"/>
  <c r="CA136" i="6" s="1"/>
  <c r="AA136" i="18"/>
  <c r="Z136" i="18" s="1"/>
  <c r="Y136" i="18" s="1"/>
  <c r="W176" i="18"/>
  <c r="D176" i="18"/>
  <c r="E176" i="18" s="1"/>
  <c r="F176" i="18" s="1"/>
  <c r="W230" i="20"/>
  <c r="D230" i="20"/>
  <c r="E230" i="20" s="1"/>
  <c r="F230" i="20" s="1"/>
  <c r="W246" i="18"/>
  <c r="D246" i="18"/>
  <c r="E246" i="18" s="1"/>
  <c r="F246" i="18" s="1"/>
  <c r="W268" i="18"/>
  <c r="D268" i="18"/>
  <c r="E268" i="18" s="1"/>
  <c r="F268" i="18" s="1"/>
  <c r="W282" i="18"/>
  <c r="D282" i="18"/>
  <c r="E282" i="18" s="1"/>
  <c r="F282" i="18" s="1"/>
  <c r="W308" i="20"/>
  <c r="D308" i="20"/>
  <c r="E308" i="20" s="1"/>
  <c r="F308" i="20" s="1"/>
  <c r="W328" i="18"/>
  <c r="D328" i="18"/>
  <c r="E328" i="18" s="1"/>
  <c r="F328" i="18" s="1"/>
  <c r="W336" i="20"/>
  <c r="D336" i="20"/>
  <c r="E336" i="20" s="1"/>
  <c r="F336" i="20" s="1"/>
  <c r="W21" i="18"/>
  <c r="D21" i="18"/>
  <c r="E21" i="18" s="1"/>
  <c r="F21" i="18" s="1"/>
  <c r="W45" i="18"/>
  <c r="D45" i="18"/>
  <c r="E45" i="18" s="1"/>
  <c r="F45" i="18" s="1"/>
  <c r="W47" i="20"/>
  <c r="D47" i="20"/>
  <c r="E47" i="20" s="1"/>
  <c r="F47" i="20" s="1"/>
  <c r="W71" i="18"/>
  <c r="D71" i="18"/>
  <c r="E71" i="18" s="1"/>
  <c r="F71" i="18" s="1"/>
  <c r="W123" i="18"/>
  <c r="D123" i="18"/>
  <c r="E123" i="18" s="1"/>
  <c r="F123" i="18" s="1"/>
  <c r="W181" i="18"/>
  <c r="D181" i="18"/>
  <c r="E181" i="18" s="1"/>
  <c r="F181" i="18" s="1"/>
  <c r="W195" i="20"/>
  <c r="D195" i="20"/>
  <c r="E195" i="20" s="1"/>
  <c r="F195" i="20" s="1"/>
  <c r="W215" i="18"/>
  <c r="D215" i="18"/>
  <c r="E215" i="18" s="1"/>
  <c r="F215" i="18" s="1"/>
  <c r="W221" i="20"/>
  <c r="D221" i="20"/>
  <c r="E221" i="20" s="1"/>
  <c r="F221" i="20" s="1"/>
  <c r="W233" i="18"/>
  <c r="D233" i="18"/>
  <c r="E233" i="18" s="1"/>
  <c r="F233" i="18" s="1"/>
  <c r="W275" i="18"/>
  <c r="D275" i="18"/>
  <c r="E275" i="18" s="1"/>
  <c r="F275" i="18" s="1"/>
  <c r="W285" i="20"/>
  <c r="D285" i="20"/>
  <c r="E285" i="20" s="1"/>
  <c r="F285" i="20" s="1"/>
  <c r="W303" i="18"/>
  <c r="D303" i="18"/>
  <c r="E303" i="18" s="1"/>
  <c r="F303" i="18" s="1"/>
  <c r="W86" i="18"/>
  <c r="D86" i="18"/>
  <c r="E86" i="18" s="1"/>
  <c r="F86" i="18" s="1"/>
  <c r="W112" i="18"/>
  <c r="D112" i="18"/>
  <c r="E112" i="18" s="1"/>
  <c r="F112" i="18" s="1"/>
  <c r="W144" i="18"/>
  <c r="D144" i="18"/>
  <c r="E144" i="18" s="1"/>
  <c r="F144" i="18" s="1"/>
  <c r="W146" i="20"/>
  <c r="D146" i="20"/>
  <c r="E146" i="20" s="1"/>
  <c r="F146" i="20" s="1"/>
  <c r="W188" i="18"/>
  <c r="D188" i="18"/>
  <c r="E188" i="18" s="1"/>
  <c r="F188" i="18" s="1"/>
  <c r="W218" i="18"/>
  <c r="D218" i="18"/>
  <c r="E218" i="18" s="1"/>
  <c r="F218" i="18" s="1"/>
  <c r="D296" i="18"/>
  <c r="E296" i="18" s="1"/>
  <c r="F296" i="18" s="1"/>
  <c r="W296" i="18"/>
  <c r="W334" i="18"/>
  <c r="D334" i="18"/>
  <c r="E334" i="18" s="1"/>
  <c r="F334" i="18" s="1"/>
  <c r="D39" i="20"/>
  <c r="E39" i="20" s="1"/>
  <c r="F39" i="20" s="1"/>
  <c r="W39" i="20"/>
  <c r="W53" i="18"/>
  <c r="D53" i="18"/>
  <c r="E53" i="18" s="1"/>
  <c r="F53" i="18" s="1"/>
  <c r="W107" i="20"/>
  <c r="D107" i="20"/>
  <c r="E107" i="20" s="1"/>
  <c r="F107" i="20" s="1"/>
  <c r="W139" i="18"/>
  <c r="D139" i="18"/>
  <c r="E139" i="18" s="1"/>
  <c r="F139" i="18" s="1"/>
  <c r="W151" i="20"/>
  <c r="D151" i="20"/>
  <c r="E151" i="20" s="1"/>
  <c r="F151" i="20" s="1"/>
  <c r="W169" i="18"/>
  <c r="D169" i="18"/>
  <c r="E169" i="18" s="1"/>
  <c r="F169" i="18" s="1"/>
  <c r="G179" i="18"/>
  <c r="CA179" i="6" s="1"/>
  <c r="AA179" i="18"/>
  <c r="Z179" i="18" s="1"/>
  <c r="Y179" i="18" s="1"/>
  <c r="W203" i="18"/>
  <c r="D203" i="18"/>
  <c r="E203" i="18" s="1"/>
  <c r="F203" i="18" s="1"/>
  <c r="W245" i="18"/>
  <c r="D245" i="18"/>
  <c r="E245" i="18" s="1"/>
  <c r="F245" i="18" s="1"/>
  <c r="W277" i="18"/>
  <c r="D277" i="18"/>
  <c r="E277" i="18" s="1"/>
  <c r="F277" i="18" s="1"/>
  <c r="W325" i="18"/>
  <c r="D325" i="18"/>
  <c r="E325" i="18" s="1"/>
  <c r="F325" i="18" s="1"/>
  <c r="G337" i="18"/>
  <c r="CA337" i="6" s="1"/>
  <c r="AA337" i="18"/>
  <c r="Z337" i="18" s="1"/>
  <c r="Y337" i="18" s="1"/>
  <c r="W375" i="20"/>
  <c r="D375" i="20"/>
  <c r="E375" i="20" s="1"/>
  <c r="F375" i="20" s="1"/>
  <c r="W288" i="18"/>
  <c r="D288" i="18"/>
  <c r="E288" i="18" s="1"/>
  <c r="F288" i="18" s="1"/>
  <c r="W27" i="18"/>
  <c r="D27" i="18"/>
  <c r="E27" i="18" s="1"/>
  <c r="F27" i="18" s="1"/>
  <c r="W124" i="18"/>
  <c r="D124" i="18"/>
  <c r="E124" i="18" s="1"/>
  <c r="F124" i="18" s="1"/>
  <c r="W138" i="20"/>
  <c r="D138" i="20"/>
  <c r="E138" i="20" s="1"/>
  <c r="F138" i="20" s="1"/>
  <c r="W184" i="18"/>
  <c r="D184" i="18"/>
  <c r="E184" i="18" s="1"/>
  <c r="F184" i="18" s="1"/>
  <c r="W202" i="20"/>
  <c r="D202" i="20"/>
  <c r="E202" i="20" s="1"/>
  <c r="F202" i="20" s="1"/>
  <c r="W256" i="18"/>
  <c r="D256" i="18"/>
  <c r="E256" i="18" s="1"/>
  <c r="F256" i="18" s="1"/>
  <c r="W292" i="18"/>
  <c r="D292" i="18"/>
  <c r="E292" i="18" s="1"/>
  <c r="F292" i="18" s="1"/>
  <c r="W304" i="20"/>
  <c r="D304" i="20"/>
  <c r="E304" i="20" s="1"/>
  <c r="F304" i="20" s="1"/>
  <c r="W330" i="18"/>
  <c r="D330" i="18"/>
  <c r="E330" i="18" s="1"/>
  <c r="F330" i="18" s="1"/>
  <c r="W364" i="18"/>
  <c r="D364" i="18"/>
  <c r="E364" i="18" s="1"/>
  <c r="F364" i="18" s="1"/>
  <c r="W370" i="20"/>
  <c r="D370" i="20"/>
  <c r="E370" i="20" s="1"/>
  <c r="F370" i="20" s="1"/>
  <c r="W25" i="18"/>
  <c r="D25" i="18"/>
  <c r="E25" i="18" s="1"/>
  <c r="F25" i="18" s="1"/>
  <c r="W41" i="20"/>
  <c r="D41" i="20"/>
  <c r="E41" i="20" s="1"/>
  <c r="F41" i="20" s="1"/>
  <c r="W51" i="18"/>
  <c r="D51" i="18"/>
  <c r="E51" i="18" s="1"/>
  <c r="F51" i="18" s="1"/>
  <c r="W91" i="20"/>
  <c r="D91" i="20"/>
  <c r="E91" i="20" s="1"/>
  <c r="F91" i="20" s="1"/>
  <c r="W109" i="18"/>
  <c r="D109" i="18"/>
  <c r="E109" i="18" s="1"/>
  <c r="F109" i="18" s="1"/>
  <c r="W117" i="20"/>
  <c r="D117" i="20"/>
  <c r="E117" i="20" s="1"/>
  <c r="F117" i="20" s="1"/>
  <c r="W121" i="18"/>
  <c r="D121" i="18"/>
  <c r="E121" i="18" s="1"/>
  <c r="F121" i="18" s="1"/>
  <c r="W165" i="18"/>
  <c r="D165" i="18"/>
  <c r="E165" i="18" s="1"/>
  <c r="F165" i="18" s="1"/>
  <c r="W199" i="20"/>
  <c r="D199" i="20"/>
  <c r="E199" i="20" s="1"/>
  <c r="F199" i="20" s="1"/>
  <c r="G217" i="18"/>
  <c r="CA217" i="6" s="1"/>
  <c r="AA217" i="18"/>
  <c r="Z217" i="18" s="1"/>
  <c r="Y217" i="18" s="1"/>
  <c r="W225" i="18"/>
  <c r="D225" i="18"/>
  <c r="E225" i="18" s="1"/>
  <c r="F225" i="18" s="1"/>
  <c r="W279" i="18"/>
  <c r="D279" i="18"/>
  <c r="E279" i="18" s="1"/>
  <c r="F279" i="18" s="1"/>
  <c r="W355" i="18"/>
  <c r="D355" i="18"/>
  <c r="E355" i="18" s="1"/>
  <c r="F355" i="18" s="1"/>
  <c r="W36" i="18"/>
  <c r="D36" i="18"/>
  <c r="E36" i="18" s="1"/>
  <c r="F36" i="18" s="1"/>
  <c r="W58" i="18"/>
  <c r="D58" i="18"/>
  <c r="E58" i="18" s="1"/>
  <c r="F58" i="18" s="1"/>
  <c r="W82" i="20"/>
  <c r="D82" i="20"/>
  <c r="E82" i="20" s="1"/>
  <c r="F82" i="20" s="1"/>
  <c r="D102" i="18"/>
  <c r="E102" i="18" s="1"/>
  <c r="F102" i="18" s="1"/>
  <c r="W102" i="18"/>
  <c r="W158" i="20"/>
  <c r="D158" i="20"/>
  <c r="E158" i="20" s="1"/>
  <c r="F158" i="20" s="1"/>
  <c r="W162" i="18"/>
  <c r="D162" i="18"/>
  <c r="E162" i="18" s="1"/>
  <c r="F162" i="18" s="1"/>
  <c r="W186" i="18"/>
  <c r="D186" i="18"/>
  <c r="E186" i="18" s="1"/>
  <c r="F186" i="18" s="1"/>
  <c r="W198" i="18"/>
  <c r="D198" i="18"/>
  <c r="E198" i="18" s="1"/>
  <c r="F198" i="18" s="1"/>
  <c r="W214" i="18"/>
  <c r="D214" i="18"/>
  <c r="E214" i="18" s="1"/>
  <c r="F214" i="18" s="1"/>
  <c r="W242" i="20"/>
  <c r="D242" i="20"/>
  <c r="E242" i="20" s="1"/>
  <c r="F242" i="20" s="1"/>
  <c r="W264" i="18"/>
  <c r="D264" i="18"/>
  <c r="E264" i="18" s="1"/>
  <c r="F264" i="18" s="1"/>
  <c r="W286" i="20"/>
  <c r="D286" i="20"/>
  <c r="E286" i="20" s="1"/>
  <c r="F286" i="20" s="1"/>
  <c r="W290" i="18"/>
  <c r="D290" i="18"/>
  <c r="E290" i="18" s="1"/>
  <c r="F290" i="18" s="1"/>
  <c r="W340" i="18"/>
  <c r="D340" i="18"/>
  <c r="E340" i="18" s="1"/>
  <c r="F340" i="18" s="1"/>
  <c r="W362" i="18"/>
  <c r="D362" i="18"/>
  <c r="E362" i="18" s="1"/>
  <c r="F362" i="18" s="1"/>
  <c r="W137" i="18"/>
  <c r="D137" i="18"/>
  <c r="E137" i="18" s="1"/>
  <c r="F137" i="18" s="1"/>
  <c r="W222" i="20"/>
  <c r="D222" i="20"/>
  <c r="E222" i="20" s="1"/>
  <c r="F222" i="20" s="1"/>
  <c r="D90" i="18"/>
  <c r="E90" i="18" s="1"/>
  <c r="F90" i="18" s="1"/>
  <c r="W90" i="18"/>
  <c r="W204" i="20"/>
  <c r="D204" i="20"/>
  <c r="E204" i="20" s="1"/>
  <c r="F204" i="20" s="1"/>
  <c r="W378" i="18"/>
  <c r="D378" i="18"/>
  <c r="E378" i="18" s="1"/>
  <c r="F378" i="18" s="1"/>
  <c r="W252" i="20"/>
  <c r="D252" i="20"/>
  <c r="E252" i="20" s="1"/>
  <c r="F252" i="20" s="1"/>
  <c r="W310" i="18"/>
  <c r="D310" i="18"/>
  <c r="E310" i="18" s="1"/>
  <c r="F310" i="18" s="1"/>
  <c r="W305" i="20"/>
  <c r="D305" i="20"/>
  <c r="E305" i="20" s="1"/>
  <c r="F305" i="20" s="1"/>
  <c r="W311" i="18"/>
  <c r="D311" i="18"/>
  <c r="E311" i="18" s="1"/>
  <c r="F311" i="18" s="1"/>
  <c r="W374" i="18"/>
  <c r="D374" i="18"/>
  <c r="E374" i="18" s="1"/>
  <c r="F374" i="18" s="1"/>
  <c r="W52" i="20"/>
  <c r="D52" i="20"/>
  <c r="E52" i="20" s="1"/>
  <c r="F52" i="20" s="1"/>
  <c r="W157" i="18"/>
  <c r="D157" i="18"/>
  <c r="E157" i="18" s="1"/>
  <c r="F157" i="18" s="1"/>
  <c r="W103" i="20"/>
  <c r="D103" i="20"/>
  <c r="E103" i="20" s="1"/>
  <c r="F103" i="20" s="1"/>
  <c r="W125" i="18"/>
  <c r="D125" i="18"/>
  <c r="E125" i="18" s="1"/>
  <c r="F125" i="18" s="1"/>
  <c r="W235" i="20"/>
  <c r="D235" i="20"/>
  <c r="E235" i="20" s="1"/>
  <c r="F235" i="20" s="1"/>
  <c r="W309" i="18"/>
  <c r="D309" i="18"/>
  <c r="E309" i="18" s="1"/>
  <c r="F309" i="18" s="1"/>
  <c r="W62" i="18"/>
  <c r="D62" i="18"/>
  <c r="E62" i="18" s="1"/>
  <c r="F62" i="18" s="1"/>
  <c r="W295" i="18"/>
  <c r="D295" i="18"/>
  <c r="E295" i="18" s="1"/>
  <c r="F295" i="18" s="1"/>
  <c r="W232" i="18"/>
  <c r="D232" i="18"/>
  <c r="E232" i="18" s="1"/>
  <c r="F232" i="18" s="1"/>
  <c r="W119" i="18"/>
  <c r="D119" i="18"/>
  <c r="E119" i="18" s="1"/>
  <c r="F119" i="18" s="1"/>
  <c r="W196" i="18"/>
  <c r="D196" i="18"/>
  <c r="E196" i="18" s="1"/>
  <c r="F196" i="18" s="1"/>
  <c r="W105" i="20"/>
  <c r="D105" i="20"/>
  <c r="E105" i="20" s="1"/>
  <c r="F105" i="20" s="1"/>
  <c r="W67" i="18"/>
  <c r="D67" i="18"/>
  <c r="E67" i="18" s="1"/>
  <c r="F67" i="18" s="1"/>
  <c r="D166" i="20"/>
  <c r="E166" i="20" s="1"/>
  <c r="F166" i="20" s="1"/>
  <c r="W166" i="20"/>
  <c r="W22" i="18"/>
  <c r="D22" i="18"/>
  <c r="E22" i="18" s="1"/>
  <c r="F22" i="18" s="1"/>
  <c r="W248" i="18"/>
  <c r="D248" i="18"/>
  <c r="E248" i="18" s="1"/>
  <c r="F248" i="18" s="1"/>
  <c r="W346" i="18"/>
  <c r="D346" i="18"/>
  <c r="E346" i="18" s="1"/>
  <c r="F346" i="18" s="1"/>
  <c r="W272" i="18"/>
  <c r="D272" i="18"/>
  <c r="E272" i="18" s="1"/>
  <c r="F272" i="18" s="1"/>
  <c r="W368" i="20"/>
  <c r="D368" i="20"/>
  <c r="E368" i="20" s="1"/>
  <c r="F368" i="20" s="1"/>
  <c r="W154" i="20"/>
  <c r="D154" i="20"/>
  <c r="E154" i="20" s="1"/>
  <c r="F154" i="20" s="1"/>
  <c r="D189" i="20"/>
  <c r="E189" i="20" s="1"/>
  <c r="F189" i="20" s="1"/>
  <c r="W189" i="20"/>
  <c r="W241" i="20"/>
  <c r="D241" i="20"/>
  <c r="E241" i="20" s="1"/>
  <c r="F241" i="20" s="1"/>
  <c r="W244" i="18"/>
  <c r="D244" i="18"/>
  <c r="E244" i="18" s="1"/>
  <c r="F244" i="18" s="1"/>
  <c r="W88" i="18"/>
  <c r="D88" i="18"/>
  <c r="E88" i="18" s="1"/>
  <c r="F88" i="18" s="1"/>
  <c r="W37" i="18"/>
  <c r="D37" i="18"/>
  <c r="E37" i="18" s="1"/>
  <c r="F37" i="18" s="1"/>
  <c r="W63" i="20"/>
  <c r="D63" i="20"/>
  <c r="E63" i="20" s="1"/>
  <c r="F63" i="20" s="1"/>
  <c r="AA167" i="18"/>
  <c r="Z167" i="18" s="1"/>
  <c r="Y167" i="18" s="1"/>
  <c r="G167" i="18"/>
  <c r="CA167" i="6" s="1"/>
  <c r="W185" i="18"/>
  <c r="D185" i="18"/>
  <c r="E185" i="18" s="1"/>
  <c r="F185" i="18" s="1"/>
  <c r="W249" i="18"/>
  <c r="D249" i="18"/>
  <c r="E249" i="18" s="1"/>
  <c r="F249" i="18" s="1"/>
  <c r="W317" i="18"/>
  <c r="D317" i="18"/>
  <c r="E317" i="18" s="1"/>
  <c r="F317" i="18" s="1"/>
  <c r="W42" i="18"/>
  <c r="D42" i="18"/>
  <c r="E42" i="18" s="1"/>
  <c r="F42" i="18" s="1"/>
  <c r="W110" i="18"/>
  <c r="D110" i="18"/>
  <c r="E110" i="18" s="1"/>
  <c r="F110" i="18" s="1"/>
  <c r="W140" i="18"/>
  <c r="D140" i="18"/>
  <c r="E140" i="18" s="1"/>
  <c r="F140" i="18" s="1"/>
  <c r="W220" i="18"/>
  <c r="D220" i="18"/>
  <c r="E220" i="18" s="1"/>
  <c r="F220" i="18" s="1"/>
  <c r="D254" i="18"/>
  <c r="E254" i="18" s="1"/>
  <c r="F254" i="18" s="1"/>
  <c r="W254" i="18"/>
  <c r="W260" i="20"/>
  <c r="D260" i="20"/>
  <c r="E260" i="20" s="1"/>
  <c r="F260" i="20" s="1"/>
  <c r="W276" i="20"/>
  <c r="D276" i="20"/>
  <c r="E276" i="20" s="1"/>
  <c r="F276" i="20" s="1"/>
  <c r="W320" i="20"/>
  <c r="D320" i="20"/>
  <c r="E320" i="20" s="1"/>
  <c r="F320" i="20" s="1"/>
  <c r="W31" i="18"/>
  <c r="D31" i="18"/>
  <c r="E31" i="18" s="1"/>
  <c r="F31" i="18" s="1"/>
  <c r="W49" i="18"/>
  <c r="D49" i="18"/>
  <c r="E49" i="18" s="1"/>
  <c r="F49" i="18" s="1"/>
  <c r="D87" i="18"/>
  <c r="E87" i="18" s="1"/>
  <c r="F87" i="18" s="1"/>
  <c r="W87" i="18"/>
  <c r="D93" i="20"/>
  <c r="E93" i="20" s="1"/>
  <c r="F93" i="20" s="1"/>
  <c r="W93" i="20"/>
  <c r="W145" i="18"/>
  <c r="D145" i="18"/>
  <c r="E145" i="18" s="1"/>
  <c r="F145" i="18" s="1"/>
  <c r="W147" i="20"/>
  <c r="D147" i="20"/>
  <c r="E147" i="20" s="1"/>
  <c r="F147" i="20" s="1"/>
  <c r="W201" i="18"/>
  <c r="D201" i="18"/>
  <c r="E201" i="18" s="1"/>
  <c r="F201" i="18" s="1"/>
  <c r="W209" i="20"/>
  <c r="D209" i="20"/>
  <c r="E209" i="20" s="1"/>
  <c r="F209" i="20" s="1"/>
  <c r="W291" i="18"/>
  <c r="D291" i="18"/>
  <c r="E291" i="18" s="1"/>
  <c r="F291" i="18" s="1"/>
  <c r="W293" i="20"/>
  <c r="D293" i="20"/>
  <c r="E293" i="20" s="1"/>
  <c r="F293" i="20" s="1"/>
  <c r="W339" i="18"/>
  <c r="D339" i="18"/>
  <c r="E339" i="18" s="1"/>
  <c r="F339" i="18" s="1"/>
  <c r="D341" i="20"/>
  <c r="E341" i="20" s="1"/>
  <c r="F341" i="20" s="1"/>
  <c r="W341" i="20"/>
  <c r="W371" i="18"/>
  <c r="D371" i="18"/>
  <c r="E371" i="18" s="1"/>
  <c r="F371" i="18" s="1"/>
  <c r="W34" i="18"/>
  <c r="D34" i="18"/>
  <c r="E34" i="18" s="1"/>
  <c r="F34" i="18" s="1"/>
  <c r="W80" i="20"/>
  <c r="D80" i="20"/>
  <c r="E80" i="20" s="1"/>
  <c r="F80" i="20" s="1"/>
  <c r="W96" i="18"/>
  <c r="D96" i="18"/>
  <c r="E96" i="18" s="1"/>
  <c r="F96" i="18" s="1"/>
  <c r="W126" i="18"/>
  <c r="D126" i="18"/>
  <c r="E126" i="18" s="1"/>
  <c r="F126" i="18" s="1"/>
  <c r="D142" i="20"/>
  <c r="E142" i="20" s="1"/>
  <c r="F142" i="20" s="1"/>
  <c r="W142" i="20"/>
  <c r="W148" i="18"/>
  <c r="D148" i="18"/>
  <c r="E148" i="18" s="1"/>
  <c r="F148" i="18" s="1"/>
  <c r="D250" i="18"/>
  <c r="E250" i="18" s="1"/>
  <c r="F250" i="18" s="1"/>
  <c r="W250" i="18"/>
  <c r="W372" i="18"/>
  <c r="D372" i="18"/>
  <c r="E372" i="18" s="1"/>
  <c r="F372" i="18" s="1"/>
  <c r="W65" i="18"/>
  <c r="D65" i="18"/>
  <c r="E65" i="18" s="1"/>
  <c r="F65" i="18" s="1"/>
  <c r="W141" i="20"/>
  <c r="D141" i="20"/>
  <c r="E141" i="20" s="1"/>
  <c r="F141" i="20" s="1"/>
  <c r="W143" i="18"/>
  <c r="D143" i="18"/>
  <c r="E143" i="18" s="1"/>
  <c r="F143" i="18" s="1"/>
  <c r="W191" i="18"/>
  <c r="D191" i="18"/>
  <c r="E191" i="18" s="1"/>
  <c r="F191" i="18" s="1"/>
  <c r="W223" i="18"/>
  <c r="D223" i="18"/>
  <c r="E223" i="18" s="1"/>
  <c r="F223" i="18" s="1"/>
  <c r="D257" i="20"/>
  <c r="E257" i="20" s="1"/>
  <c r="F257" i="20" s="1"/>
  <c r="W257" i="20"/>
  <c r="W267" i="18"/>
  <c r="D267" i="18"/>
  <c r="E267" i="18" s="1"/>
  <c r="F267" i="18" s="1"/>
  <c r="W307" i="18"/>
  <c r="D307" i="18"/>
  <c r="E307" i="18" s="1"/>
  <c r="F307" i="18" s="1"/>
  <c r="W357" i="18"/>
  <c r="D357" i="18"/>
  <c r="E357" i="18" s="1"/>
  <c r="F357" i="18" s="1"/>
  <c r="W373" i="18"/>
  <c r="D373" i="18"/>
  <c r="E373" i="18" s="1"/>
  <c r="F373" i="18" s="1"/>
  <c r="W20" i="18"/>
  <c r="D20" i="18"/>
  <c r="E20" i="18" s="1"/>
  <c r="F20" i="18" s="1"/>
  <c r="W48" i="18"/>
  <c r="D48" i="18"/>
  <c r="E48" i="18" s="1"/>
  <c r="F48" i="18" s="1"/>
  <c r="W122" i="20"/>
  <c r="D122" i="20"/>
  <c r="E122" i="20" s="1"/>
  <c r="F122" i="20" s="1"/>
  <c r="W160" i="18"/>
  <c r="D160" i="18"/>
  <c r="E160" i="18" s="1"/>
  <c r="F160" i="18" s="1"/>
  <c r="D172" i="20"/>
  <c r="E172" i="20" s="1"/>
  <c r="F172" i="20" s="1"/>
  <c r="W172" i="20"/>
  <c r="W234" i="18"/>
  <c r="D234" i="18"/>
  <c r="E234" i="18" s="1"/>
  <c r="F234" i="18" s="1"/>
  <c r="W266" i="18"/>
  <c r="D266" i="18"/>
  <c r="E266" i="18" s="1"/>
  <c r="F266" i="18" s="1"/>
  <c r="W280" i="20"/>
  <c r="D280" i="20"/>
  <c r="E280" i="20" s="1"/>
  <c r="F280" i="20" s="1"/>
  <c r="W322" i="18"/>
  <c r="D322" i="18"/>
  <c r="E322" i="18" s="1"/>
  <c r="F322" i="18" s="1"/>
  <c r="D350" i="18"/>
  <c r="E350" i="18" s="1"/>
  <c r="F350" i="18" s="1"/>
  <c r="W350" i="18"/>
  <c r="W360" i="20"/>
  <c r="D360" i="20"/>
  <c r="E360" i="20" s="1"/>
  <c r="F360" i="20" s="1"/>
  <c r="W57" i="20"/>
  <c r="D57" i="20"/>
  <c r="E57" i="20" s="1"/>
  <c r="F57" i="20" s="1"/>
  <c r="W85" i="18"/>
  <c r="D85" i="18"/>
  <c r="E85" i="18" s="1"/>
  <c r="F85" i="18" s="1"/>
  <c r="W113" i="20"/>
  <c r="D113" i="20"/>
  <c r="E113" i="20" s="1"/>
  <c r="F113" i="20" s="1"/>
  <c r="W115" i="18"/>
  <c r="D115" i="18"/>
  <c r="E115" i="18" s="1"/>
  <c r="F115" i="18" s="1"/>
  <c r="W133" i="18"/>
  <c r="D133" i="18"/>
  <c r="E133" i="18" s="1"/>
  <c r="F133" i="18" s="1"/>
  <c r="W213" i="18"/>
  <c r="D213" i="18"/>
  <c r="E213" i="18" s="1"/>
  <c r="F213" i="18" s="1"/>
  <c r="W239" i="18"/>
  <c r="D239" i="18"/>
  <c r="E239" i="18" s="1"/>
  <c r="F239" i="18" s="1"/>
  <c r="W315" i="18"/>
  <c r="D315" i="18"/>
  <c r="E315" i="18" s="1"/>
  <c r="F315" i="18" s="1"/>
  <c r="W343" i="20"/>
  <c r="D343" i="20"/>
  <c r="E343" i="20" s="1"/>
  <c r="F343" i="20" s="1"/>
  <c r="W345" i="18"/>
  <c r="D345" i="18"/>
  <c r="E345" i="18" s="1"/>
  <c r="F345" i="18" s="1"/>
  <c r="W24" i="18"/>
  <c r="D24" i="18"/>
  <c r="E24" i="18" s="1"/>
  <c r="F24" i="18" s="1"/>
  <c r="W40" i="20"/>
  <c r="D40" i="20"/>
  <c r="E40" i="20" s="1"/>
  <c r="F40" i="20" s="1"/>
  <c r="W44" i="18"/>
  <c r="D44" i="18"/>
  <c r="E44" i="18" s="1"/>
  <c r="F44" i="18" s="1"/>
  <c r="W72" i="18"/>
  <c r="D72" i="18"/>
  <c r="E72" i="18" s="1"/>
  <c r="F72" i="18" s="1"/>
  <c r="W134" i="20"/>
  <c r="D134" i="20"/>
  <c r="E134" i="20" s="1"/>
  <c r="F134" i="20" s="1"/>
  <c r="W156" i="18"/>
  <c r="D156" i="18"/>
  <c r="E156" i="18" s="1"/>
  <c r="F156" i="18" s="1"/>
  <c r="D190" i="20"/>
  <c r="E190" i="20" s="1"/>
  <c r="F190" i="20" s="1"/>
  <c r="W190" i="20"/>
  <c r="W200" i="20"/>
  <c r="D200" i="20"/>
  <c r="E200" i="20" s="1"/>
  <c r="F200" i="20" s="1"/>
  <c r="W206" i="18"/>
  <c r="D206" i="18"/>
  <c r="E206" i="18" s="1"/>
  <c r="F206" i="18" s="1"/>
  <c r="W240" i="18"/>
  <c r="D240" i="18"/>
  <c r="E240" i="18" s="1"/>
  <c r="F240" i="18" s="1"/>
  <c r="W314" i="18"/>
  <c r="D314" i="18"/>
  <c r="E314" i="18" s="1"/>
  <c r="F314" i="18" s="1"/>
  <c r="W342" i="20"/>
  <c r="D342" i="20"/>
  <c r="E342" i="20" s="1"/>
  <c r="F342" i="20" s="1"/>
  <c r="W356" i="18"/>
  <c r="D356" i="18"/>
  <c r="E356" i="18" s="1"/>
  <c r="F356" i="18" s="1"/>
  <c r="W78" i="18"/>
  <c r="D78" i="18"/>
  <c r="E78" i="18" s="1"/>
  <c r="F78" i="18" s="1"/>
  <c r="W289" i="18"/>
  <c r="D289" i="18"/>
  <c r="E289" i="18" s="1"/>
  <c r="F289" i="18" s="1"/>
  <c r="W207" i="20"/>
  <c r="D207" i="20"/>
  <c r="E207" i="20" s="1"/>
  <c r="F207" i="20" s="1"/>
  <c r="W182" i="18"/>
  <c r="D182" i="18"/>
  <c r="E182" i="18" s="1"/>
  <c r="F182" i="18" s="1"/>
  <c r="W236" i="18"/>
  <c r="D236" i="18"/>
  <c r="E236" i="18" s="1"/>
  <c r="F236" i="18" s="1"/>
  <c r="W98" i="18"/>
  <c r="D98" i="18"/>
  <c r="E98" i="18" s="1"/>
  <c r="F98" i="18" s="1"/>
  <c r="W163" i="18"/>
  <c r="D163" i="18"/>
  <c r="E163" i="18" s="1"/>
  <c r="F163" i="18" s="1"/>
  <c r="W229" i="20"/>
  <c r="D229" i="20"/>
  <c r="E229" i="20" s="1"/>
  <c r="F229" i="20" s="1"/>
  <c r="W321" i="18"/>
  <c r="D321" i="18"/>
  <c r="E321" i="18" s="1"/>
  <c r="F321" i="18" s="1"/>
  <c r="W32" i="20"/>
  <c r="D32" i="20"/>
  <c r="E32" i="20" s="1"/>
  <c r="F32" i="20" s="1"/>
  <c r="W332" i="18"/>
  <c r="D332" i="18"/>
  <c r="E332" i="18" s="1"/>
  <c r="F332" i="18" s="1"/>
  <c r="W73" i="18"/>
  <c r="D73" i="18"/>
  <c r="E73" i="18" s="1"/>
  <c r="F73" i="18" s="1"/>
  <c r="D100" i="20"/>
  <c r="E100" i="20" s="1"/>
  <c r="F100" i="20" s="1"/>
  <c r="W100" i="20"/>
  <c r="W81" i="18"/>
  <c r="D81" i="18"/>
  <c r="E81" i="18" s="1"/>
  <c r="F81" i="18" s="1"/>
  <c r="G153" i="18"/>
  <c r="CA153" i="6" s="1"/>
  <c r="AA153" i="18"/>
  <c r="Z153" i="18" s="1"/>
  <c r="Y153" i="18" s="1"/>
  <c r="W76" i="18"/>
  <c r="D76" i="18"/>
  <c r="E76" i="18" s="1"/>
  <c r="F76" i="18" s="1"/>
  <c r="W174" i="20"/>
  <c r="D174" i="20"/>
  <c r="E174" i="20" s="1"/>
  <c r="F174" i="20" s="1"/>
  <c r="AA49" i="17"/>
  <c r="Z49" i="17" s="1"/>
  <c r="Y49" i="17" s="1"/>
  <c r="H49" i="17"/>
  <c r="G49" i="17"/>
  <c r="BZ49" i="6" s="1"/>
  <c r="G21" i="17"/>
  <c r="BZ21" i="6" s="1"/>
  <c r="AA21" i="17"/>
  <c r="Z21" i="17" s="1"/>
  <c r="Y21" i="17" s="1"/>
  <c r="H21" i="17"/>
  <c r="H18" i="17"/>
  <c r="G18" i="17"/>
  <c r="BZ18" i="6" s="1"/>
  <c r="AA18" i="17"/>
  <c r="Z18" i="17" s="1"/>
  <c r="Y18" i="17" s="1"/>
  <c r="G45" i="17"/>
  <c r="BZ45" i="6" s="1"/>
  <c r="AA45" i="17"/>
  <c r="Z45" i="17" s="1"/>
  <c r="Y45" i="17" s="1"/>
  <c r="H45" i="17"/>
  <c r="G39" i="17"/>
  <c r="BZ39" i="6" s="1"/>
  <c r="AA39" i="17"/>
  <c r="Z39" i="17" s="1"/>
  <c r="Y39" i="17" s="1"/>
  <c r="H39" i="17"/>
  <c r="AA62" i="17"/>
  <c r="Z62" i="17" s="1"/>
  <c r="Y62" i="17" s="1"/>
  <c r="H62" i="17"/>
  <c r="G62" i="17"/>
  <c r="BZ62" i="6" s="1"/>
  <c r="G188" i="17"/>
  <c r="BZ188" i="6" s="1"/>
  <c r="H188" i="17"/>
  <c r="AA188" i="17"/>
  <c r="Z188" i="17" s="1"/>
  <c r="Y188" i="17" s="1"/>
  <c r="G41" i="17"/>
  <c r="BZ41" i="6" s="1"/>
  <c r="H41" i="17"/>
  <c r="AA41" i="17"/>
  <c r="Z41" i="17" s="1"/>
  <c r="Y41" i="17" s="1"/>
  <c r="G90" i="17"/>
  <c r="BZ90" i="6" s="1"/>
  <c r="AA90" i="17"/>
  <c r="Z90" i="17" s="1"/>
  <c r="Y90" i="17" s="1"/>
  <c r="H90" i="17"/>
  <c r="G244" i="17"/>
  <c r="BZ244" i="6" s="1"/>
  <c r="H244" i="17"/>
  <c r="AA244" i="17"/>
  <c r="Z244" i="17" s="1"/>
  <c r="Y244" i="17" s="1"/>
  <c r="G345" i="17"/>
  <c r="BZ345" i="6" s="1"/>
  <c r="AA345" i="17"/>
  <c r="Z345" i="17" s="1"/>
  <c r="Y345" i="17" s="1"/>
  <c r="H345" i="17"/>
  <c r="G207" i="17"/>
  <c r="BZ207" i="6" s="1"/>
  <c r="H207" i="17"/>
  <c r="AA207" i="17"/>
  <c r="Z207" i="17" s="1"/>
  <c r="Y207" i="17" s="1"/>
  <c r="H362" i="17"/>
  <c r="G362" i="17"/>
  <c r="BZ362" i="6" s="1"/>
  <c r="AA362" i="17"/>
  <c r="Z362" i="17" s="1"/>
  <c r="Y362" i="17" s="1"/>
  <c r="G36" i="17"/>
  <c r="BZ36" i="6" s="1"/>
  <c r="AA36" i="17"/>
  <c r="Z36" i="17" s="1"/>
  <c r="Y36" i="17" s="1"/>
  <c r="H36" i="17"/>
  <c r="G371" i="17"/>
  <c r="BZ371" i="6" s="1"/>
  <c r="AA371" i="17"/>
  <c r="Z371" i="17" s="1"/>
  <c r="Y371" i="17" s="1"/>
  <c r="H371" i="17"/>
  <c r="G70" i="17"/>
  <c r="BZ70" i="6" s="1"/>
  <c r="H70" i="17"/>
  <c r="AA70" i="17"/>
  <c r="Z70" i="17" s="1"/>
  <c r="Y70" i="17" s="1"/>
  <c r="G294" i="17"/>
  <c r="BZ294" i="6" s="1"/>
  <c r="AA294" i="17"/>
  <c r="Z294" i="17" s="1"/>
  <c r="Y294" i="17" s="1"/>
  <c r="H294" i="17"/>
  <c r="G193" i="17"/>
  <c r="BZ193" i="6" s="1"/>
  <c r="AA193" i="17"/>
  <c r="Z193" i="17" s="1"/>
  <c r="Y193" i="17" s="1"/>
  <c r="H193" i="17"/>
  <c r="G377" i="17"/>
  <c r="BZ377" i="6" s="1"/>
  <c r="H377" i="17"/>
  <c r="AA377" i="17"/>
  <c r="Z377" i="17" s="1"/>
  <c r="Y377" i="17" s="1"/>
  <c r="G263" i="17"/>
  <c r="BZ263" i="6" s="1"/>
  <c r="AA263" i="17"/>
  <c r="Z263" i="17" s="1"/>
  <c r="Y263" i="17" s="1"/>
  <c r="H263" i="17"/>
  <c r="G338" i="17"/>
  <c r="BZ338" i="6" s="1"/>
  <c r="H338" i="17"/>
  <c r="AA338" i="17"/>
  <c r="Z338" i="17" s="1"/>
  <c r="Y338" i="17" s="1"/>
  <c r="H255" i="17"/>
  <c r="AA255" i="17"/>
  <c r="Z255" i="17" s="1"/>
  <c r="Y255" i="17" s="1"/>
  <c r="G255" i="17"/>
  <c r="BZ255" i="6" s="1"/>
  <c r="G212" i="17"/>
  <c r="BZ212" i="6" s="1"/>
  <c r="H212" i="17"/>
  <c r="AA212" i="17"/>
  <c r="Z212" i="17" s="1"/>
  <c r="Y212" i="17" s="1"/>
  <c r="G109" i="17"/>
  <c r="BZ109" i="6" s="1"/>
  <c r="H109" i="17"/>
  <c r="AA109" i="17"/>
  <c r="Z109" i="17" s="1"/>
  <c r="Y109" i="17" s="1"/>
  <c r="G215" i="17"/>
  <c r="BZ215" i="6" s="1"/>
  <c r="H215" i="17"/>
  <c r="AA215" i="17"/>
  <c r="Z215" i="17" s="1"/>
  <c r="Y215" i="17" s="1"/>
  <c r="H241" i="17"/>
  <c r="G241" i="17"/>
  <c r="BZ241" i="6" s="1"/>
  <c r="AA241" i="17"/>
  <c r="Z241" i="17" s="1"/>
  <c r="Y241" i="17" s="1"/>
  <c r="G150" i="17"/>
  <c r="BZ150" i="6" s="1"/>
  <c r="H150" i="17"/>
  <c r="AA150" i="17"/>
  <c r="Z150" i="17" s="1"/>
  <c r="Y150" i="17" s="1"/>
  <c r="G265" i="17"/>
  <c r="BZ265" i="6" s="1"/>
  <c r="H265" i="17"/>
  <c r="AA265" i="17"/>
  <c r="Z265" i="17" s="1"/>
  <c r="Y265" i="17" s="1"/>
  <c r="G321" i="17"/>
  <c r="BZ321" i="6" s="1"/>
  <c r="H321" i="17"/>
  <c r="AA321" i="17"/>
  <c r="Z321" i="17" s="1"/>
  <c r="Y321" i="17" s="1"/>
  <c r="G312" i="18"/>
  <c r="CA312" i="6" s="1"/>
  <c r="AA312" i="18"/>
  <c r="Z312" i="18" s="1"/>
  <c r="Y312" i="18" s="1"/>
  <c r="G33" i="17"/>
  <c r="BZ33" i="6" s="1"/>
  <c r="H33" i="17"/>
  <c r="AA33" i="17"/>
  <c r="Z33" i="17" s="1"/>
  <c r="Y33" i="17" s="1"/>
  <c r="G172" i="17"/>
  <c r="BZ172" i="6" s="1"/>
  <c r="H172" i="17"/>
  <c r="AA172" i="17"/>
  <c r="Z172" i="17" s="1"/>
  <c r="Y172" i="17" s="1"/>
  <c r="G314" i="17"/>
  <c r="BZ314" i="6" s="1"/>
  <c r="AA314" i="17"/>
  <c r="Z314" i="17" s="1"/>
  <c r="Y314" i="17" s="1"/>
  <c r="H314" i="17"/>
  <c r="G311" i="17"/>
  <c r="BZ311" i="6" s="1"/>
  <c r="H311" i="17"/>
  <c r="AA311" i="17"/>
  <c r="Z311" i="17" s="1"/>
  <c r="Y311" i="17" s="1"/>
  <c r="G88" i="17"/>
  <c r="BZ88" i="6" s="1"/>
  <c r="H88" i="17"/>
  <c r="AA88" i="17"/>
  <c r="Z88" i="17" s="1"/>
  <c r="Y88" i="17" s="1"/>
  <c r="G303" i="17"/>
  <c r="BZ303" i="6" s="1"/>
  <c r="H303" i="17"/>
  <c r="AA303" i="17"/>
  <c r="Z303" i="17" s="1"/>
  <c r="Y303" i="17" s="1"/>
  <c r="H292" i="17"/>
  <c r="G292" i="17"/>
  <c r="BZ292" i="6" s="1"/>
  <c r="AA292" i="17"/>
  <c r="Z292" i="17" s="1"/>
  <c r="Y292" i="17" s="1"/>
  <c r="G290" i="17"/>
  <c r="BZ290" i="6" s="1"/>
  <c r="AA290" i="17"/>
  <c r="Z290" i="17" s="1"/>
  <c r="Y290" i="17" s="1"/>
  <c r="H290" i="17"/>
  <c r="G226" i="17"/>
  <c r="BZ226" i="6" s="1"/>
  <c r="AA226" i="17"/>
  <c r="Z226" i="17" s="1"/>
  <c r="Y226" i="17" s="1"/>
  <c r="H226" i="17"/>
  <c r="G89" i="17"/>
  <c r="BZ89" i="6" s="1"/>
  <c r="AA89" i="17"/>
  <c r="Z89" i="17" s="1"/>
  <c r="Y89" i="17" s="1"/>
  <c r="H89" i="17"/>
  <c r="G225" i="17"/>
  <c r="BZ225" i="6" s="1"/>
  <c r="H225" i="17"/>
  <c r="AA225" i="17"/>
  <c r="Z225" i="17" s="1"/>
  <c r="Y225" i="17" s="1"/>
  <c r="AA369" i="17"/>
  <c r="Z369" i="17" s="1"/>
  <c r="Y369" i="17" s="1"/>
  <c r="H369" i="17"/>
  <c r="G369" i="17"/>
  <c r="BZ369" i="6" s="1"/>
  <c r="G304" i="17"/>
  <c r="BZ304" i="6" s="1"/>
  <c r="H304" i="17"/>
  <c r="AA304" i="17"/>
  <c r="Z304" i="17" s="1"/>
  <c r="Y304" i="17" s="1"/>
  <c r="G142" i="17"/>
  <c r="BZ142" i="6" s="1"/>
  <c r="AA142" i="17"/>
  <c r="Z142" i="17" s="1"/>
  <c r="Y142" i="17" s="1"/>
  <c r="H142" i="17"/>
  <c r="G194" i="17"/>
  <c r="BZ194" i="6" s="1"/>
  <c r="H194" i="17"/>
  <c r="AA194" i="17"/>
  <c r="Z194" i="17" s="1"/>
  <c r="Y194" i="17" s="1"/>
  <c r="G258" i="17"/>
  <c r="BZ258" i="6" s="1"/>
  <c r="H258" i="17"/>
  <c r="AA258" i="17"/>
  <c r="Z258" i="17" s="1"/>
  <c r="Y258" i="17" s="1"/>
  <c r="G60" i="17"/>
  <c r="BZ60" i="6" s="1"/>
  <c r="H60" i="17"/>
  <c r="G351" i="17"/>
  <c r="BZ351" i="6" s="1"/>
  <c r="H351" i="17"/>
  <c r="AA351" i="17"/>
  <c r="Z351" i="17" s="1"/>
  <c r="Y351" i="17" s="1"/>
  <c r="G247" i="17"/>
  <c r="BZ247" i="6" s="1"/>
  <c r="H247" i="17"/>
  <c r="AA247" i="17"/>
  <c r="Z247" i="17" s="1"/>
  <c r="Y247" i="17" s="1"/>
  <c r="H340" i="17"/>
  <c r="G340" i="17"/>
  <c r="BZ340" i="6" s="1"/>
  <c r="AA340" i="17"/>
  <c r="Z340" i="17" s="1"/>
  <c r="Y340" i="17" s="1"/>
  <c r="G363" i="17"/>
  <c r="BZ363" i="6" s="1"/>
  <c r="AA363" i="17"/>
  <c r="Z363" i="17" s="1"/>
  <c r="Y363" i="17" s="1"/>
  <c r="H363" i="17"/>
  <c r="G306" i="17"/>
  <c r="BZ306" i="6" s="1"/>
  <c r="H306" i="17"/>
  <c r="AA306" i="17"/>
  <c r="Z306" i="17" s="1"/>
  <c r="Y306" i="17" s="1"/>
  <c r="G54" i="17"/>
  <c r="BZ54" i="6" s="1"/>
  <c r="H54" i="17"/>
  <c r="AA54" i="17"/>
  <c r="Z54" i="17" s="1"/>
  <c r="Y54" i="17" s="1"/>
  <c r="G367" i="17"/>
  <c r="BZ367" i="6" s="1"/>
  <c r="H367" i="17"/>
  <c r="AA367" i="17"/>
  <c r="Z367" i="17" s="1"/>
  <c r="Y367" i="17" s="1"/>
  <c r="G270" i="17"/>
  <c r="BZ270" i="6" s="1"/>
  <c r="H270" i="17"/>
  <c r="AA270" i="17"/>
  <c r="Z270" i="17" s="1"/>
  <c r="Y270" i="17" s="1"/>
  <c r="G55" i="17"/>
  <c r="BZ55" i="6" s="1"/>
  <c r="AA55" i="17"/>
  <c r="Z55" i="17" s="1"/>
  <c r="Y55" i="17" s="1"/>
  <c r="H55" i="17"/>
  <c r="H309" i="17"/>
  <c r="AA309" i="17"/>
  <c r="Z309" i="17" s="1"/>
  <c r="Y309" i="17" s="1"/>
  <c r="G309" i="17"/>
  <c r="BZ309" i="6" s="1"/>
  <c r="G86" i="17"/>
  <c r="BZ86" i="6" s="1"/>
  <c r="H86" i="17"/>
  <c r="AA86" i="17"/>
  <c r="Z86" i="17" s="1"/>
  <c r="Y86" i="17" s="1"/>
  <c r="H95" i="17"/>
  <c r="G95" i="17"/>
  <c r="BZ95" i="6" s="1"/>
  <c r="AA95" i="17"/>
  <c r="Z95" i="17" s="1"/>
  <c r="Y95" i="17" s="1"/>
  <c r="G366" i="17"/>
  <c r="BZ366" i="6" s="1"/>
  <c r="H366" i="17"/>
  <c r="AA366" i="17"/>
  <c r="Z366" i="17" s="1"/>
  <c r="Y366" i="17" s="1"/>
  <c r="H201" i="17"/>
  <c r="G201" i="17"/>
  <c r="BZ201" i="6" s="1"/>
  <c r="AA201" i="17"/>
  <c r="Z201" i="17" s="1"/>
  <c r="Y201" i="17" s="1"/>
  <c r="G288" i="17"/>
  <c r="BZ288" i="6" s="1"/>
  <c r="AA288" i="17"/>
  <c r="Z288" i="17" s="1"/>
  <c r="Y288" i="17" s="1"/>
  <c r="H288" i="17"/>
  <c r="G324" i="17"/>
  <c r="BZ324" i="6" s="1"/>
  <c r="AA324" i="17"/>
  <c r="Z324" i="17" s="1"/>
  <c r="Y324" i="17" s="1"/>
  <c r="H324" i="17"/>
  <c r="G287" i="17"/>
  <c r="BZ287" i="6" s="1"/>
  <c r="H287" i="17"/>
  <c r="AA287" i="17"/>
  <c r="Z287" i="17" s="1"/>
  <c r="Y287" i="17" s="1"/>
  <c r="G355" i="17"/>
  <c r="BZ355" i="6" s="1"/>
  <c r="AA355" i="17"/>
  <c r="Z355" i="17" s="1"/>
  <c r="Y355" i="17" s="1"/>
  <c r="H355" i="17"/>
  <c r="G69" i="17"/>
  <c r="BZ69" i="6" s="1"/>
  <c r="AA69" i="17"/>
  <c r="Z69" i="17" s="1"/>
  <c r="Y69" i="17" s="1"/>
  <c r="H69" i="17"/>
  <c r="G40" i="17"/>
  <c r="BZ40" i="6" s="1"/>
  <c r="AA40" i="17"/>
  <c r="Z40" i="17" s="1"/>
  <c r="Y40" i="17" s="1"/>
  <c r="H40" i="17"/>
  <c r="AA221" i="17"/>
  <c r="Z221" i="17" s="1"/>
  <c r="Y221" i="17" s="1"/>
  <c r="G221" i="17"/>
  <c r="BZ221" i="6" s="1"/>
  <c r="H221" i="17"/>
  <c r="G171" i="17"/>
  <c r="BZ171" i="6" s="1"/>
  <c r="AA171" i="17"/>
  <c r="Z171" i="17" s="1"/>
  <c r="Y171" i="17" s="1"/>
  <c r="H171" i="17"/>
  <c r="G328" i="17"/>
  <c r="BZ328" i="6" s="1"/>
  <c r="AA328" i="17"/>
  <c r="Z328" i="17" s="1"/>
  <c r="Y328" i="17" s="1"/>
  <c r="H328" i="17"/>
  <c r="G124" i="17"/>
  <c r="BZ124" i="6" s="1"/>
  <c r="H124" i="17"/>
  <c r="AA124" i="17"/>
  <c r="Z124" i="17" s="1"/>
  <c r="Y124" i="17" s="1"/>
  <c r="G379" i="17"/>
  <c r="BZ379" i="6" s="1"/>
  <c r="H379" i="17"/>
  <c r="AA379" i="17"/>
  <c r="Z379" i="17" s="1"/>
  <c r="Y379" i="17" s="1"/>
  <c r="G352" i="17"/>
  <c r="BZ352" i="6" s="1"/>
  <c r="H352" i="17"/>
  <c r="H271" i="17"/>
  <c r="G271" i="17"/>
  <c r="BZ271" i="6" s="1"/>
  <c r="AA271" i="17"/>
  <c r="Z271" i="17" s="1"/>
  <c r="Y271" i="17" s="1"/>
  <c r="G58" i="17"/>
  <c r="BZ58" i="6" s="1"/>
  <c r="H58" i="17"/>
  <c r="AA58" i="17"/>
  <c r="Z58" i="17" s="1"/>
  <c r="Y58" i="17" s="1"/>
  <c r="G339" i="17"/>
  <c r="BZ339" i="6" s="1"/>
  <c r="H339" i="17"/>
  <c r="AA339" i="17"/>
  <c r="Z339" i="17" s="1"/>
  <c r="Y339" i="17" s="1"/>
  <c r="G146" i="17"/>
  <c r="BZ146" i="6" s="1"/>
  <c r="H146" i="17"/>
  <c r="AA146" i="17"/>
  <c r="Z146" i="17" s="1"/>
  <c r="Y146" i="17" s="1"/>
  <c r="G143" i="17"/>
  <c r="BZ143" i="6" s="1"/>
  <c r="H143" i="17"/>
  <c r="AA143" i="17"/>
  <c r="Z143" i="17" s="1"/>
  <c r="Y143" i="17" s="1"/>
  <c r="G302" i="17"/>
  <c r="BZ302" i="6" s="1"/>
  <c r="H302" i="17"/>
  <c r="AA302" i="17"/>
  <c r="Z302" i="17" s="1"/>
  <c r="Y302" i="17" s="1"/>
  <c r="G123" i="17"/>
  <c r="BZ123" i="6" s="1"/>
  <c r="H123" i="17"/>
  <c r="AA123" i="17"/>
  <c r="Z123" i="17" s="1"/>
  <c r="Y123" i="17" s="1"/>
  <c r="G293" i="17"/>
  <c r="BZ293" i="6" s="1"/>
  <c r="H293" i="17"/>
  <c r="AA293" i="17"/>
  <c r="Z293" i="17" s="1"/>
  <c r="Y293" i="17" s="1"/>
  <c r="H129" i="17"/>
  <c r="G129" i="17"/>
  <c r="BZ129" i="6" s="1"/>
  <c r="AA129" i="17"/>
  <c r="Z129" i="17" s="1"/>
  <c r="Y129" i="17" s="1"/>
  <c r="G281" i="17"/>
  <c r="BZ281" i="6" s="1"/>
  <c r="AA281" i="17"/>
  <c r="Z281" i="17" s="1"/>
  <c r="Y281" i="17" s="1"/>
  <c r="H281" i="17"/>
  <c r="H47" i="17"/>
  <c r="G47" i="17"/>
  <c r="BZ47" i="6" s="1"/>
  <c r="AA47" i="17"/>
  <c r="Z47" i="17" s="1"/>
  <c r="Y47" i="17" s="1"/>
  <c r="G349" i="17"/>
  <c r="BZ349" i="6" s="1"/>
  <c r="AA349" i="17"/>
  <c r="Z349" i="17" s="1"/>
  <c r="Y349" i="17" s="1"/>
  <c r="H349" i="17"/>
  <c r="G189" i="17"/>
  <c r="BZ189" i="6" s="1"/>
  <c r="H189" i="17"/>
  <c r="AA189" i="17"/>
  <c r="Z189" i="17" s="1"/>
  <c r="Y189" i="17" s="1"/>
  <c r="G357" i="17"/>
  <c r="BZ357" i="6" s="1"/>
  <c r="H357" i="17"/>
  <c r="AA357" i="17"/>
  <c r="Z357" i="17" s="1"/>
  <c r="Y357" i="17" s="1"/>
  <c r="G44" i="17"/>
  <c r="BZ44" i="6" s="1"/>
  <c r="H44" i="17"/>
  <c r="AA44" i="17"/>
  <c r="Z44" i="17" s="1"/>
  <c r="Y44" i="17" s="1"/>
  <c r="AA28" i="18"/>
  <c r="Z28" i="18" s="1"/>
  <c r="Y28" i="18" s="1"/>
  <c r="G28" i="18"/>
  <c r="CA28" i="6" s="1"/>
  <c r="G83" i="17"/>
  <c r="BZ83" i="6" s="1"/>
  <c r="H83" i="17"/>
  <c r="AA83" i="17"/>
  <c r="Z83" i="17" s="1"/>
  <c r="Y83" i="17" s="1"/>
  <c r="AA352" i="17"/>
  <c r="Z352" i="17" s="1"/>
  <c r="Y352" i="17" s="1"/>
  <c r="G175" i="17"/>
  <c r="BZ175" i="6" s="1"/>
  <c r="H175" i="17"/>
  <c r="AA175" i="17"/>
  <c r="Z175" i="17" s="1"/>
  <c r="Y175" i="17" s="1"/>
  <c r="G250" i="17"/>
  <c r="BZ250" i="6" s="1"/>
  <c r="H250" i="17"/>
  <c r="G229" i="17"/>
  <c r="BZ229" i="6" s="1"/>
  <c r="H229" i="17"/>
  <c r="AA229" i="17"/>
  <c r="Z229" i="17" s="1"/>
  <c r="Y229" i="17" s="1"/>
  <c r="G80" i="17"/>
  <c r="BZ80" i="6" s="1"/>
  <c r="H80" i="17"/>
  <c r="AA80" i="17"/>
  <c r="Z80" i="17" s="1"/>
  <c r="Y80" i="17" s="1"/>
  <c r="G115" i="17"/>
  <c r="BZ115" i="6" s="1"/>
  <c r="AA115" i="17"/>
  <c r="Z115" i="17" s="1"/>
  <c r="Y115" i="17" s="1"/>
  <c r="H115" i="17"/>
  <c r="G73" i="17"/>
  <c r="BZ73" i="6" s="1"/>
  <c r="H73" i="17"/>
  <c r="AA73" i="17"/>
  <c r="Z73" i="17" s="1"/>
  <c r="Y73" i="17" s="1"/>
  <c r="G35" i="17"/>
  <c r="BZ35" i="6" s="1"/>
  <c r="H35" i="17"/>
  <c r="AA35" i="17"/>
  <c r="Z35" i="17" s="1"/>
  <c r="Y35" i="17" s="1"/>
  <c r="AA262" i="17"/>
  <c r="Z262" i="17" s="1"/>
  <c r="Y262" i="17" s="1"/>
  <c r="G262" i="17"/>
  <c r="BZ262" i="6" s="1"/>
  <c r="H262" i="17"/>
  <c r="G165" i="17"/>
  <c r="BZ165" i="6" s="1"/>
  <c r="AA165" i="17"/>
  <c r="Z165" i="17" s="1"/>
  <c r="Y165" i="17" s="1"/>
  <c r="H165" i="17"/>
  <c r="AA250" i="17"/>
  <c r="Z250" i="17" s="1"/>
  <c r="Y250" i="17" s="1"/>
  <c r="G20" i="17"/>
  <c r="BZ20" i="6" s="1"/>
  <c r="H20" i="17"/>
  <c r="AA20" i="17"/>
  <c r="Z20" i="17" s="1"/>
  <c r="Y20" i="17" s="1"/>
  <c r="H231" i="17"/>
  <c r="G231" i="17"/>
  <c r="BZ231" i="6" s="1"/>
  <c r="AA231" i="17"/>
  <c r="Z231" i="17" s="1"/>
  <c r="Y231" i="17" s="1"/>
  <c r="G30" i="17"/>
  <c r="BZ30" i="6" s="1"/>
  <c r="H30" i="17"/>
  <c r="AA30" i="17"/>
  <c r="Z30" i="17" s="1"/>
  <c r="Y30" i="17" s="1"/>
  <c r="H184" i="17"/>
  <c r="G184" i="17"/>
  <c r="BZ184" i="6" s="1"/>
  <c r="AA184" i="17"/>
  <c r="Z184" i="17" s="1"/>
  <c r="Y184" i="17" s="1"/>
  <c r="G116" i="17"/>
  <c r="BZ116" i="6" s="1"/>
  <c r="H116" i="17"/>
  <c r="AA116" i="17"/>
  <c r="Z116" i="17" s="1"/>
  <c r="Y116" i="17" s="1"/>
  <c r="G322" i="17"/>
  <c r="BZ322" i="6" s="1"/>
  <c r="AA322" i="17"/>
  <c r="Z322" i="17" s="1"/>
  <c r="Y322" i="17" s="1"/>
  <c r="H322" i="17"/>
  <c r="AA260" i="17"/>
  <c r="Z260" i="17" s="1"/>
  <c r="Y260" i="17" s="1"/>
  <c r="G260" i="17"/>
  <c r="BZ260" i="6" s="1"/>
  <c r="H260" i="17"/>
  <c r="AA202" i="17"/>
  <c r="Z202" i="17" s="1"/>
  <c r="Y202" i="17" s="1"/>
  <c r="H202" i="17"/>
  <c r="G202" i="17"/>
  <c r="BZ202" i="6" s="1"/>
  <c r="G334" i="17"/>
  <c r="BZ334" i="6" s="1"/>
  <c r="H334" i="17"/>
  <c r="AA334" i="17"/>
  <c r="Z334" i="17" s="1"/>
  <c r="Y334" i="17" s="1"/>
  <c r="G332" i="17"/>
  <c r="BZ332" i="6" s="1"/>
  <c r="H332" i="17"/>
  <c r="AA332" i="17"/>
  <c r="Z332" i="17" s="1"/>
  <c r="Y332" i="17" s="1"/>
  <c r="G222" i="17"/>
  <c r="BZ222" i="6" s="1"/>
  <c r="H222" i="17"/>
  <c r="AA222" i="17"/>
  <c r="Z222" i="17" s="1"/>
  <c r="Y222" i="17" s="1"/>
  <c r="G239" i="17"/>
  <c r="BZ239" i="6" s="1"/>
  <c r="H239" i="17"/>
  <c r="AA239" i="17"/>
  <c r="Z239" i="17" s="1"/>
  <c r="Y239" i="17" s="1"/>
  <c r="H346" i="17"/>
  <c r="G346" i="17"/>
  <c r="BZ346" i="6" s="1"/>
  <c r="AA346" i="17"/>
  <c r="Z346" i="17" s="1"/>
  <c r="Y346" i="17" s="1"/>
  <c r="G51" i="17"/>
  <c r="BZ51" i="6" s="1"/>
  <c r="H51" i="17"/>
  <c r="AA51" i="17"/>
  <c r="Z51" i="17" s="1"/>
  <c r="Y51" i="17" s="1"/>
  <c r="G174" i="17"/>
  <c r="BZ174" i="6" s="1"/>
  <c r="H174" i="17"/>
  <c r="AA174" i="17"/>
  <c r="Z174" i="17" s="1"/>
  <c r="Y174" i="17" s="1"/>
  <c r="G103" i="17"/>
  <c r="BZ103" i="6" s="1"/>
  <c r="AA103" i="17"/>
  <c r="Z103" i="17" s="1"/>
  <c r="Y103" i="17" s="1"/>
  <c r="H103" i="17"/>
  <c r="G170" i="17"/>
  <c r="BZ170" i="6" s="1"/>
  <c r="H170" i="17"/>
  <c r="AA170" i="17"/>
  <c r="Z170" i="17" s="1"/>
  <c r="Y170" i="17" s="1"/>
  <c r="G298" i="17"/>
  <c r="BZ298" i="6" s="1"/>
  <c r="H298" i="17"/>
  <c r="AA298" i="17"/>
  <c r="Z298" i="17" s="1"/>
  <c r="Y298" i="17" s="1"/>
  <c r="G84" i="17"/>
  <c r="BZ84" i="6" s="1"/>
  <c r="H84" i="17"/>
  <c r="AA84" i="17"/>
  <c r="Z84" i="17" s="1"/>
  <c r="Y84" i="17" s="1"/>
  <c r="G160" i="17"/>
  <c r="BZ160" i="6" s="1"/>
  <c r="H160" i="17"/>
  <c r="AA160" i="17"/>
  <c r="Z160" i="17" s="1"/>
  <c r="Y160" i="17" s="1"/>
  <c r="G348" i="17"/>
  <c r="BZ348" i="6" s="1"/>
  <c r="H348" i="17"/>
  <c r="AA348" i="17"/>
  <c r="Z348" i="17" s="1"/>
  <c r="Y348" i="17" s="1"/>
  <c r="G134" i="17"/>
  <c r="BZ134" i="6" s="1"/>
  <c r="H134" i="17"/>
  <c r="AA134" i="17"/>
  <c r="Z134" i="17" s="1"/>
  <c r="Y134" i="17" s="1"/>
  <c r="G214" i="17"/>
  <c r="BZ214" i="6" s="1"/>
  <c r="H214" i="17"/>
  <c r="AA214" i="17"/>
  <c r="Z214" i="17" s="1"/>
  <c r="Y214" i="17" s="1"/>
  <c r="G354" i="17"/>
  <c r="BZ354" i="6" s="1"/>
  <c r="H354" i="17"/>
  <c r="AA354" i="17"/>
  <c r="Z354" i="17" s="1"/>
  <c r="Y354" i="17" s="1"/>
  <c r="AA280" i="17"/>
  <c r="Z280" i="17" s="1"/>
  <c r="Y280" i="17" s="1"/>
  <c r="H280" i="17"/>
  <c r="G280" i="17"/>
  <c r="BZ280" i="6" s="1"/>
  <c r="G136" i="17"/>
  <c r="BZ136" i="6" s="1"/>
  <c r="AA136" i="17"/>
  <c r="Z136" i="17" s="1"/>
  <c r="Y136" i="17" s="1"/>
  <c r="H136" i="17"/>
  <c r="G213" i="17"/>
  <c r="BZ213" i="6" s="1"/>
  <c r="H213" i="17"/>
  <c r="AA213" i="17"/>
  <c r="Z213" i="17" s="1"/>
  <c r="Y213" i="17" s="1"/>
  <c r="G38" i="17"/>
  <c r="BZ38" i="6" s="1"/>
  <c r="AA38" i="17"/>
  <c r="Z38" i="17" s="1"/>
  <c r="Y38" i="17" s="1"/>
  <c r="H38" i="17"/>
  <c r="G216" i="17"/>
  <c r="BZ216" i="6" s="1"/>
  <c r="AA216" i="17"/>
  <c r="Z216" i="17" s="1"/>
  <c r="Y216" i="17" s="1"/>
  <c r="H216" i="17"/>
  <c r="G299" i="17"/>
  <c r="BZ299" i="6" s="1"/>
  <c r="H299" i="17"/>
  <c r="AA299" i="17"/>
  <c r="Z299" i="17" s="1"/>
  <c r="Y299" i="17" s="1"/>
  <c r="G167" i="17"/>
  <c r="BZ167" i="6" s="1"/>
  <c r="AA167" i="17"/>
  <c r="Z167" i="17" s="1"/>
  <c r="Y167" i="17" s="1"/>
  <c r="H167" i="17"/>
  <c r="H219" i="17"/>
  <c r="AA219" i="17"/>
  <c r="Z219" i="17" s="1"/>
  <c r="Y219" i="17" s="1"/>
  <c r="G219" i="17"/>
  <c r="BZ219" i="6" s="1"/>
  <c r="G206" i="17"/>
  <c r="BZ206" i="6" s="1"/>
  <c r="AA206" i="17"/>
  <c r="Z206" i="17" s="1"/>
  <c r="Y206" i="17" s="1"/>
  <c r="G208" i="17"/>
  <c r="BZ208" i="6" s="1"/>
  <c r="AA208" i="17"/>
  <c r="Z208" i="17" s="1"/>
  <c r="Y208" i="17" s="1"/>
  <c r="H208" i="17"/>
  <c r="J76" i="17"/>
  <c r="I76" i="17"/>
  <c r="G192" i="17"/>
  <c r="BZ192" i="6" s="1"/>
  <c r="AA192" i="17"/>
  <c r="Z192" i="17" s="1"/>
  <c r="Y192" i="17" s="1"/>
  <c r="H192" i="17"/>
  <c r="H249" i="17"/>
  <c r="G249" i="17"/>
  <c r="BZ249" i="6" s="1"/>
  <c r="AA249" i="17"/>
  <c r="Z249" i="17" s="1"/>
  <c r="Y249" i="17" s="1"/>
  <c r="I195" i="17"/>
  <c r="J195" i="17"/>
  <c r="J253" i="17"/>
  <c r="I253" i="17"/>
  <c r="G161" i="17"/>
  <c r="BZ161" i="6" s="1"/>
  <c r="AA161" i="17"/>
  <c r="Z161" i="17" s="1"/>
  <c r="Y161" i="17" s="1"/>
  <c r="H161" i="17"/>
  <c r="G327" i="17"/>
  <c r="BZ327" i="6" s="1"/>
  <c r="AA327" i="17"/>
  <c r="Z327" i="17" s="1"/>
  <c r="Y327" i="17" s="1"/>
  <c r="G120" i="17"/>
  <c r="BZ120" i="6" s="1"/>
  <c r="AA120" i="17"/>
  <c r="Z120" i="17" s="1"/>
  <c r="Y120" i="17" s="1"/>
  <c r="H120" i="17"/>
  <c r="G50" i="17"/>
  <c r="BZ50" i="6" s="1"/>
  <c r="AA50" i="17"/>
  <c r="Z50" i="17" s="1"/>
  <c r="Y50" i="17" s="1"/>
  <c r="H50" i="17"/>
  <c r="AA98" i="17"/>
  <c r="Z98" i="17" s="1"/>
  <c r="Y98" i="17" s="1"/>
  <c r="G98" i="17"/>
  <c r="BZ98" i="6" s="1"/>
  <c r="G358" i="17"/>
  <c r="BZ358" i="6" s="1"/>
  <c r="AA358" i="17"/>
  <c r="Z358" i="17" s="1"/>
  <c r="Y358" i="17" s="1"/>
  <c r="H358" i="17"/>
  <c r="G259" i="17"/>
  <c r="BZ259" i="6" s="1"/>
  <c r="AA259" i="17"/>
  <c r="Z259" i="17" s="1"/>
  <c r="Y259" i="17" s="1"/>
  <c r="H259" i="17"/>
  <c r="AA181" i="17"/>
  <c r="Z181" i="17" s="1"/>
  <c r="Y181" i="17" s="1"/>
  <c r="G181" i="17"/>
  <c r="BZ181" i="6" s="1"/>
  <c r="G335" i="17"/>
  <c r="BZ335" i="6" s="1"/>
  <c r="AA335" i="17"/>
  <c r="Z335" i="17" s="1"/>
  <c r="Y335" i="17" s="1"/>
  <c r="G159" i="17"/>
  <c r="BZ159" i="6" s="1"/>
  <c r="AA159" i="17"/>
  <c r="Z159" i="17" s="1"/>
  <c r="Y159" i="17" s="1"/>
  <c r="H159" i="17"/>
  <c r="G256" i="17"/>
  <c r="BZ256" i="6" s="1"/>
  <c r="AA256" i="17"/>
  <c r="Z256" i="17" s="1"/>
  <c r="Y256" i="17" s="1"/>
  <c r="H256" i="17"/>
  <c r="AA196" i="17"/>
  <c r="Z196" i="17" s="1"/>
  <c r="Y196" i="17" s="1"/>
  <c r="G196" i="17"/>
  <c r="BZ196" i="6" s="1"/>
  <c r="H196" i="17"/>
  <c r="AA92" i="17"/>
  <c r="Z92" i="17" s="1"/>
  <c r="Y92" i="17" s="1"/>
  <c r="G92" i="17"/>
  <c r="BZ92" i="6" s="1"/>
  <c r="H92" i="17"/>
  <c r="G233" i="17"/>
  <c r="BZ233" i="6" s="1"/>
  <c r="H233" i="17"/>
  <c r="AA233" i="17"/>
  <c r="Z233" i="17" s="1"/>
  <c r="Y233" i="17" s="1"/>
  <c r="G177" i="17"/>
  <c r="BZ177" i="6" s="1"/>
  <c r="AA177" i="17"/>
  <c r="Z177" i="17" s="1"/>
  <c r="Y177" i="17" s="1"/>
  <c r="H177" i="17"/>
  <c r="G130" i="17"/>
  <c r="BZ130" i="6" s="1"/>
  <c r="H130" i="17"/>
  <c r="AA130" i="17"/>
  <c r="Z130" i="17" s="1"/>
  <c r="Y130" i="17" s="1"/>
  <c r="H26" i="17"/>
  <c r="G26" i="17"/>
  <c r="BZ26" i="6" s="1"/>
  <c r="AA26" i="17"/>
  <c r="Z26" i="17" s="1"/>
  <c r="Y26" i="17" s="1"/>
  <c r="AA163" i="17"/>
  <c r="Z163" i="17" s="1"/>
  <c r="Y163" i="17" s="1"/>
  <c r="G163" i="17"/>
  <c r="BZ163" i="6" s="1"/>
  <c r="H163" i="17"/>
  <c r="G108" i="17"/>
  <c r="BZ108" i="6" s="1"/>
  <c r="H108" i="17"/>
  <c r="AA108" i="17"/>
  <c r="Z108" i="17" s="1"/>
  <c r="Y108" i="17" s="1"/>
  <c r="G121" i="17"/>
  <c r="BZ121" i="6" s="1"/>
  <c r="AA121" i="17"/>
  <c r="Z121" i="17" s="1"/>
  <c r="Y121" i="17" s="1"/>
  <c r="H121" i="17"/>
  <c r="G149" i="17"/>
  <c r="BZ149" i="6" s="1"/>
  <c r="AA149" i="17"/>
  <c r="Z149" i="17" s="1"/>
  <c r="Y149" i="17" s="1"/>
  <c r="G329" i="17"/>
  <c r="BZ329" i="6" s="1"/>
  <c r="AA329" i="17"/>
  <c r="Z329" i="17" s="1"/>
  <c r="Y329" i="17" s="1"/>
  <c r="H329" i="17"/>
  <c r="H166" i="17"/>
  <c r="AA166" i="17"/>
  <c r="Z166" i="17" s="1"/>
  <c r="Y166" i="17" s="1"/>
  <c r="G166" i="17"/>
  <c r="BZ166" i="6" s="1"/>
  <c r="AA183" i="17"/>
  <c r="Z183" i="17" s="1"/>
  <c r="Y183" i="17" s="1"/>
  <c r="H183" i="17"/>
  <c r="G72" i="17"/>
  <c r="BZ72" i="6" s="1"/>
  <c r="AA72" i="17"/>
  <c r="Z72" i="17" s="1"/>
  <c r="Y72" i="17" s="1"/>
  <c r="H72" i="17"/>
  <c r="H359" i="17"/>
  <c r="AA359" i="17"/>
  <c r="Z359" i="17" s="1"/>
  <c r="Y359" i="17" s="1"/>
  <c r="G359" i="17"/>
  <c r="BZ359" i="6" s="1"/>
  <c r="G137" i="17"/>
  <c r="BZ137" i="6" s="1"/>
  <c r="H137" i="17"/>
  <c r="AA137" i="17"/>
  <c r="Z137" i="17" s="1"/>
  <c r="Y137" i="17" s="1"/>
  <c r="G365" i="17"/>
  <c r="BZ365" i="6" s="1"/>
  <c r="AA365" i="17"/>
  <c r="Z365" i="17" s="1"/>
  <c r="Y365" i="17" s="1"/>
  <c r="H365" i="17"/>
  <c r="AA32" i="17"/>
  <c r="Z32" i="17" s="1"/>
  <c r="Y32" i="17" s="1"/>
  <c r="G32" i="17"/>
  <c r="BZ32" i="6" s="1"/>
  <c r="H32" i="17"/>
  <c r="G102" i="17"/>
  <c r="BZ102" i="6" s="1"/>
  <c r="H102" i="17"/>
  <c r="AA102" i="17"/>
  <c r="Z102" i="17" s="1"/>
  <c r="Y102" i="17" s="1"/>
  <c r="I264" i="17"/>
  <c r="J264" i="17"/>
  <c r="H98" i="17"/>
  <c r="H335" i="17"/>
  <c r="J217" i="17"/>
  <c r="I217" i="17"/>
  <c r="I204" i="17"/>
  <c r="J204" i="17"/>
  <c r="H337" i="17"/>
  <c r="G337" i="17"/>
  <c r="BZ337" i="6" s="1"/>
  <c r="AA337" i="17"/>
  <c r="Z337" i="17" s="1"/>
  <c r="Y337" i="17" s="1"/>
  <c r="G57" i="17"/>
  <c r="BZ57" i="6" s="1"/>
  <c r="AA57" i="17"/>
  <c r="Z57" i="17" s="1"/>
  <c r="Y57" i="17" s="1"/>
  <c r="H57" i="17"/>
  <c r="J43" i="17"/>
  <c r="I43" i="17"/>
  <c r="W379" i="18"/>
  <c r="D379" i="18"/>
  <c r="E379" i="18" s="1"/>
  <c r="F379" i="18" s="1"/>
  <c r="W149" i="18"/>
  <c r="D149" i="18"/>
  <c r="E149" i="18" s="1"/>
  <c r="F149" i="18" s="1"/>
  <c r="W105" i="18"/>
  <c r="D105" i="18"/>
  <c r="E105" i="18" s="1"/>
  <c r="F105" i="18" s="1"/>
  <c r="W298" i="18"/>
  <c r="D298" i="18"/>
  <c r="E298" i="18" s="1"/>
  <c r="F298" i="18" s="1"/>
  <c r="W177" i="18"/>
  <c r="D177" i="18"/>
  <c r="E177" i="18" s="1"/>
  <c r="F177" i="18" s="1"/>
  <c r="W166" i="18"/>
  <c r="D166" i="18"/>
  <c r="E166" i="18" s="1"/>
  <c r="F166" i="18" s="1"/>
  <c r="W319" i="18"/>
  <c r="D319" i="18"/>
  <c r="E319" i="18" s="1"/>
  <c r="F319" i="18" s="1"/>
  <c r="W354" i="18"/>
  <c r="D354" i="18"/>
  <c r="E354" i="18" s="1"/>
  <c r="F354" i="18" s="1"/>
  <c r="W17" i="18"/>
  <c r="D17" i="18"/>
  <c r="E17" i="18" s="1"/>
  <c r="F17" i="18" s="1"/>
  <c r="W111" i="18"/>
  <c r="D111" i="18"/>
  <c r="E111" i="18" s="1"/>
  <c r="F111" i="18" s="1"/>
  <c r="W278" i="18"/>
  <c r="D278" i="18"/>
  <c r="E278" i="18" s="1"/>
  <c r="F278" i="18" s="1"/>
  <c r="W368" i="18"/>
  <c r="D368" i="18"/>
  <c r="E368" i="18" s="1"/>
  <c r="F368" i="18" s="1"/>
  <c r="W66" i="18"/>
  <c r="D66" i="18"/>
  <c r="E66" i="18" s="1"/>
  <c r="F66" i="18" s="1"/>
  <c r="W154" i="18"/>
  <c r="D154" i="18"/>
  <c r="E154" i="18" s="1"/>
  <c r="F154" i="18" s="1"/>
  <c r="W189" i="18"/>
  <c r="D189" i="18"/>
  <c r="E189" i="18" s="1"/>
  <c r="F189" i="18" s="1"/>
  <c r="W302" i="18"/>
  <c r="D302" i="18"/>
  <c r="E302" i="18" s="1"/>
  <c r="F302" i="18" s="1"/>
  <c r="W241" i="18"/>
  <c r="D241" i="18"/>
  <c r="E241" i="18" s="1"/>
  <c r="F241" i="18" s="1"/>
  <c r="W175" i="18"/>
  <c r="D175" i="18"/>
  <c r="E175" i="18" s="1"/>
  <c r="F175" i="18" s="1"/>
  <c r="W130" i="18"/>
  <c r="D130" i="18"/>
  <c r="E130" i="18" s="1"/>
  <c r="F130" i="18" s="1"/>
  <c r="W63" i="18"/>
  <c r="D63" i="18"/>
  <c r="E63" i="18" s="1"/>
  <c r="F63" i="18" s="1"/>
  <c r="W83" i="18"/>
  <c r="D83" i="18"/>
  <c r="E83" i="18" s="1"/>
  <c r="F83" i="18" s="1"/>
  <c r="W247" i="18"/>
  <c r="D247" i="18"/>
  <c r="E247" i="18" s="1"/>
  <c r="F247" i="18" s="1"/>
  <c r="W271" i="18"/>
  <c r="D271" i="18"/>
  <c r="E271" i="18" s="1"/>
  <c r="F271" i="18" s="1"/>
  <c r="W281" i="18"/>
  <c r="D281" i="18"/>
  <c r="E281" i="18" s="1"/>
  <c r="F281" i="18" s="1"/>
  <c r="W106" i="18"/>
  <c r="D106" i="18"/>
  <c r="E106" i="18" s="1"/>
  <c r="F106" i="18" s="1"/>
  <c r="W118" i="18"/>
  <c r="D118" i="18"/>
  <c r="E118" i="18" s="1"/>
  <c r="F118" i="18" s="1"/>
  <c r="W178" i="18"/>
  <c r="D178" i="18"/>
  <c r="E178" i="18" s="1"/>
  <c r="F178" i="18" s="1"/>
  <c r="W230" i="18"/>
  <c r="D230" i="18"/>
  <c r="E230" i="18" s="1"/>
  <c r="F230" i="18" s="1"/>
  <c r="W260" i="18"/>
  <c r="D260" i="18"/>
  <c r="E260" i="18" s="1"/>
  <c r="F260" i="18" s="1"/>
  <c r="W276" i="18"/>
  <c r="D276" i="18"/>
  <c r="E276" i="18" s="1"/>
  <c r="F276" i="18" s="1"/>
  <c r="W308" i="18"/>
  <c r="D308" i="18"/>
  <c r="E308" i="18" s="1"/>
  <c r="F308" i="18" s="1"/>
  <c r="W320" i="18"/>
  <c r="D320" i="18"/>
  <c r="E320" i="18" s="1"/>
  <c r="F320" i="18" s="1"/>
  <c r="W336" i="18"/>
  <c r="D336" i="18"/>
  <c r="E336" i="18" s="1"/>
  <c r="F336" i="18" s="1"/>
  <c r="W33" i="18"/>
  <c r="D33" i="18"/>
  <c r="E33" i="18" s="1"/>
  <c r="F33" i="18" s="1"/>
  <c r="W47" i="18"/>
  <c r="D47" i="18"/>
  <c r="E47" i="18" s="1"/>
  <c r="F47" i="18" s="1"/>
  <c r="W93" i="18"/>
  <c r="D93" i="18"/>
  <c r="E93" i="18" s="1"/>
  <c r="F93" i="18" s="1"/>
  <c r="W147" i="18"/>
  <c r="D147" i="18"/>
  <c r="E147" i="18" s="1"/>
  <c r="F147" i="18" s="1"/>
  <c r="W195" i="18"/>
  <c r="D195" i="18"/>
  <c r="E195" i="18" s="1"/>
  <c r="F195" i="18" s="1"/>
  <c r="W209" i="18"/>
  <c r="D209" i="18"/>
  <c r="E209" i="18" s="1"/>
  <c r="F209" i="18" s="1"/>
  <c r="W221" i="18"/>
  <c r="D221" i="18"/>
  <c r="E221" i="18" s="1"/>
  <c r="F221" i="18" s="1"/>
  <c r="W285" i="18"/>
  <c r="D285" i="18"/>
  <c r="E285" i="18" s="1"/>
  <c r="F285" i="18" s="1"/>
  <c r="W293" i="18"/>
  <c r="D293" i="18"/>
  <c r="E293" i="18" s="1"/>
  <c r="F293" i="18" s="1"/>
  <c r="W341" i="18"/>
  <c r="D341" i="18"/>
  <c r="E341" i="18" s="1"/>
  <c r="F341" i="18" s="1"/>
  <c r="W80" i="18"/>
  <c r="D80" i="18"/>
  <c r="E80" i="18" s="1"/>
  <c r="F80" i="18" s="1"/>
  <c r="W142" i="18"/>
  <c r="D142" i="18"/>
  <c r="E142" i="18" s="1"/>
  <c r="F142" i="18" s="1"/>
  <c r="W146" i="18"/>
  <c r="D146" i="18"/>
  <c r="E146" i="18" s="1"/>
  <c r="F146" i="18" s="1"/>
  <c r="W107" i="18"/>
  <c r="D107" i="18"/>
  <c r="E107" i="18" s="1"/>
  <c r="F107" i="18" s="1"/>
  <c r="W141" i="18"/>
  <c r="D141" i="18"/>
  <c r="E141" i="18" s="1"/>
  <c r="F141" i="18" s="1"/>
  <c r="W151" i="18"/>
  <c r="D151" i="18"/>
  <c r="E151" i="18" s="1"/>
  <c r="F151" i="18" s="1"/>
  <c r="W257" i="18"/>
  <c r="D257" i="18"/>
  <c r="E257" i="18" s="1"/>
  <c r="F257" i="18" s="1"/>
  <c r="W375" i="18"/>
  <c r="D375" i="18"/>
  <c r="E375" i="18" s="1"/>
  <c r="F375" i="18" s="1"/>
  <c r="W122" i="18"/>
  <c r="D122" i="18"/>
  <c r="E122" i="18" s="1"/>
  <c r="F122" i="18" s="1"/>
  <c r="W138" i="18"/>
  <c r="D138" i="18"/>
  <c r="E138" i="18" s="1"/>
  <c r="F138" i="18" s="1"/>
  <c r="W172" i="18"/>
  <c r="D172" i="18"/>
  <c r="E172" i="18" s="1"/>
  <c r="F172" i="18" s="1"/>
  <c r="W202" i="18"/>
  <c r="D202" i="18"/>
  <c r="E202" i="18" s="1"/>
  <c r="F202" i="18" s="1"/>
  <c r="W280" i="18"/>
  <c r="D280" i="18"/>
  <c r="E280" i="18" s="1"/>
  <c r="F280" i="18" s="1"/>
  <c r="W304" i="18"/>
  <c r="D304" i="18"/>
  <c r="E304" i="18" s="1"/>
  <c r="F304" i="18" s="1"/>
  <c r="W360" i="18"/>
  <c r="D360" i="18"/>
  <c r="E360" i="18" s="1"/>
  <c r="F360" i="18" s="1"/>
  <c r="W370" i="18"/>
  <c r="D370" i="18"/>
  <c r="E370" i="18" s="1"/>
  <c r="F370" i="18" s="1"/>
  <c r="W41" i="18"/>
  <c r="D41" i="18"/>
  <c r="E41" i="18" s="1"/>
  <c r="F41" i="18" s="1"/>
  <c r="W57" i="18"/>
  <c r="D57" i="18"/>
  <c r="E57" i="18" s="1"/>
  <c r="F57" i="18" s="1"/>
  <c r="W91" i="18"/>
  <c r="D91" i="18"/>
  <c r="E91" i="18" s="1"/>
  <c r="F91" i="18" s="1"/>
  <c r="W113" i="18"/>
  <c r="D113" i="18"/>
  <c r="E113" i="18" s="1"/>
  <c r="F113" i="18" s="1"/>
  <c r="W117" i="18"/>
  <c r="D117" i="18"/>
  <c r="E117" i="18" s="1"/>
  <c r="F117" i="18" s="1"/>
  <c r="W199" i="18"/>
  <c r="D199" i="18"/>
  <c r="E199" i="18" s="1"/>
  <c r="F199" i="18" s="1"/>
  <c r="W343" i="18"/>
  <c r="D343" i="18"/>
  <c r="E343" i="18" s="1"/>
  <c r="F343" i="18" s="1"/>
  <c r="W40" i="18"/>
  <c r="D40" i="18"/>
  <c r="E40" i="18" s="1"/>
  <c r="F40" i="18" s="1"/>
  <c r="W82" i="18"/>
  <c r="D82" i="18"/>
  <c r="E82" i="18" s="1"/>
  <c r="F82" i="18" s="1"/>
  <c r="W134" i="18"/>
  <c r="D134" i="18"/>
  <c r="E134" i="18" s="1"/>
  <c r="F134" i="18" s="1"/>
  <c r="W158" i="18"/>
  <c r="D158" i="18"/>
  <c r="E158" i="18" s="1"/>
  <c r="F158" i="18" s="1"/>
  <c r="W190" i="18"/>
  <c r="D190" i="18"/>
  <c r="E190" i="18" s="1"/>
  <c r="F190" i="18" s="1"/>
  <c r="W200" i="18"/>
  <c r="D200" i="18"/>
  <c r="E200" i="18" s="1"/>
  <c r="F200" i="18" s="1"/>
  <c r="W242" i="18"/>
  <c r="D242" i="18"/>
  <c r="E242" i="18" s="1"/>
  <c r="F242" i="18" s="1"/>
  <c r="W286" i="18"/>
  <c r="D286" i="18"/>
  <c r="E286" i="18" s="1"/>
  <c r="F286" i="18" s="1"/>
  <c r="W342" i="18"/>
  <c r="D342" i="18"/>
  <c r="E342" i="18" s="1"/>
  <c r="F342" i="18" s="1"/>
  <c r="W222" i="18"/>
  <c r="D222" i="18"/>
  <c r="E222" i="18" s="1"/>
  <c r="F222" i="18" s="1"/>
  <c r="W204" i="18"/>
  <c r="D204" i="18"/>
  <c r="E204" i="18" s="1"/>
  <c r="F204" i="18" s="1"/>
  <c r="W207" i="18"/>
  <c r="D207" i="18"/>
  <c r="E207" i="18" s="1"/>
  <c r="F207" i="18" s="1"/>
  <c r="W252" i="18"/>
  <c r="D252" i="18"/>
  <c r="E252" i="18" s="1"/>
  <c r="F252" i="18" s="1"/>
  <c r="W305" i="18"/>
  <c r="D305" i="18"/>
  <c r="E305" i="18" s="1"/>
  <c r="F305" i="18" s="1"/>
  <c r="W52" i="18"/>
  <c r="D52" i="18"/>
  <c r="E52" i="18" s="1"/>
  <c r="F52" i="18" s="1"/>
  <c r="W229" i="18"/>
  <c r="D229" i="18"/>
  <c r="E229" i="18" s="1"/>
  <c r="F229" i="18" s="1"/>
  <c r="W103" i="18"/>
  <c r="D103" i="18"/>
  <c r="E103" i="18" s="1"/>
  <c r="F103" i="18" s="1"/>
  <c r="W32" i="18"/>
  <c r="D32" i="18"/>
  <c r="E32" i="18" s="1"/>
  <c r="F32" i="18" s="1"/>
  <c r="W235" i="18"/>
  <c r="D235" i="18"/>
  <c r="E235" i="18" s="1"/>
  <c r="F235" i="18" s="1"/>
  <c r="W100" i="18"/>
  <c r="D100" i="18"/>
  <c r="E100" i="18" s="1"/>
  <c r="F100" i="18" s="1"/>
  <c r="W174" i="18"/>
  <c r="D174" i="18"/>
  <c r="E174" i="18" s="1"/>
  <c r="F174" i="18" s="1"/>
  <c r="D258" i="18"/>
  <c r="E258" i="18" s="1"/>
  <c r="F258" i="18" s="1"/>
  <c r="D183" i="18"/>
  <c r="E183" i="18" s="1"/>
  <c r="F183" i="18" s="1"/>
  <c r="D323" i="18"/>
  <c r="E323" i="18" s="1"/>
  <c r="F323" i="18" s="1"/>
  <c r="D211" i="18"/>
  <c r="E211" i="18" s="1"/>
  <c r="F211" i="18" s="1"/>
  <c r="D43" i="18"/>
  <c r="E43" i="18" s="1"/>
  <c r="F43" i="18" s="1"/>
  <c r="D95" i="18"/>
  <c r="E95" i="18" s="1"/>
  <c r="F95" i="18" s="1"/>
  <c r="D326" i="18"/>
  <c r="E326" i="18" s="1"/>
  <c r="F326" i="18" s="1"/>
  <c r="D208" i="18"/>
  <c r="E208" i="18" s="1"/>
  <c r="F208" i="18" s="1"/>
  <c r="D132" i="18"/>
  <c r="E132" i="18" s="1"/>
  <c r="F132" i="18" s="1"/>
  <c r="D313" i="18"/>
  <c r="E313" i="18" s="1"/>
  <c r="F313" i="18" s="1"/>
  <c r="D231" i="18"/>
  <c r="E231" i="18" s="1"/>
  <c r="F231" i="18" s="1"/>
  <c r="D197" i="18"/>
  <c r="E197" i="18" s="1"/>
  <c r="F197" i="18" s="1"/>
  <c r="D294" i="18"/>
  <c r="E294" i="18" s="1"/>
  <c r="F294" i="18" s="1"/>
  <c r="D16" i="18"/>
  <c r="E16" i="18" s="1"/>
  <c r="F16" i="18" s="1"/>
  <c r="D359" i="18"/>
  <c r="E359" i="18" s="1"/>
  <c r="F359" i="18" s="1"/>
  <c r="D331" i="18"/>
  <c r="E331" i="18" s="1"/>
  <c r="F331" i="18" s="1"/>
  <c r="D129" i="18"/>
  <c r="E129" i="18" s="1"/>
  <c r="F129" i="18" s="1"/>
  <c r="D18" i="18"/>
  <c r="E18" i="18" s="1"/>
  <c r="F18" i="18" s="1"/>
  <c r="D377" i="18"/>
  <c r="E377" i="18" s="1"/>
  <c r="F377" i="18" s="1"/>
  <c r="D255" i="18"/>
  <c r="E255" i="18" s="1"/>
  <c r="F255" i="18" s="1"/>
  <c r="D262" i="18"/>
  <c r="E262" i="18" s="1"/>
  <c r="F262" i="18" s="1"/>
  <c r="D116" i="18"/>
  <c r="E116" i="18" s="1"/>
  <c r="F116" i="18" s="1"/>
  <c r="D97" i="18"/>
  <c r="E97" i="18" s="1"/>
  <c r="F97" i="18" s="1"/>
  <c r="D120" i="18"/>
  <c r="E120" i="18" s="1"/>
  <c r="F120" i="18" s="1"/>
  <c r="D70" i="18"/>
  <c r="E70" i="18" s="1"/>
  <c r="F70" i="18" s="1"/>
  <c r="D324" i="18"/>
  <c r="E324" i="18" s="1"/>
  <c r="F324" i="18" s="1"/>
  <c r="D216" i="18"/>
  <c r="E216" i="18" s="1"/>
  <c r="F216" i="18" s="1"/>
  <c r="D68" i="18"/>
  <c r="E68" i="18" s="1"/>
  <c r="F68" i="18" s="1"/>
  <c r="D238" i="18"/>
  <c r="E238" i="18" s="1"/>
  <c r="F238" i="18" s="1"/>
  <c r="D338" i="18"/>
  <c r="E338" i="18" s="1"/>
  <c r="F338" i="18" s="1"/>
  <c r="D212" i="18"/>
  <c r="E212" i="18" s="1"/>
  <c r="F212" i="18" s="1"/>
  <c r="D50" i="18"/>
  <c r="E50" i="18" s="1"/>
  <c r="F50" i="18" s="1"/>
  <c r="D351" i="18"/>
  <c r="E351" i="18" s="1"/>
  <c r="F351" i="18" s="1"/>
  <c r="D358" i="18"/>
  <c r="E358" i="18" s="1"/>
  <c r="F358" i="18" s="1"/>
  <c r="D38" i="18"/>
  <c r="E38" i="18" s="1"/>
  <c r="F38" i="18" s="1"/>
  <c r="D35" i="18"/>
  <c r="E35" i="18" s="1"/>
  <c r="F35" i="18" s="1"/>
  <c r="D92" i="18"/>
  <c r="E92" i="18" s="1"/>
  <c r="F92" i="18" s="1"/>
  <c r="D108" i="18"/>
  <c r="E108" i="18" s="1"/>
  <c r="F108" i="18" s="1"/>
  <c r="G113" i="17"/>
  <c r="BZ113" i="6" s="1"/>
  <c r="AA113" i="17"/>
  <c r="Z113" i="17" s="1"/>
  <c r="Y113" i="17" s="1"/>
  <c r="H113" i="17"/>
  <c r="D94" i="18"/>
  <c r="E94" i="18" s="1"/>
  <c r="F94" i="18" s="1"/>
  <c r="AA139" i="17"/>
  <c r="Z139" i="17" s="1"/>
  <c r="Y139" i="17" s="1"/>
  <c r="G139" i="17"/>
  <c r="BZ139" i="6" s="1"/>
  <c r="G353" i="17"/>
  <c r="BZ353" i="6" s="1"/>
  <c r="H353" i="17"/>
  <c r="D131" i="18"/>
  <c r="E131" i="18" s="1"/>
  <c r="F131" i="18" s="1"/>
  <c r="D101" i="18"/>
  <c r="E101" i="18" s="1"/>
  <c r="F101" i="18" s="1"/>
  <c r="D329" i="18"/>
  <c r="E329" i="18" s="1"/>
  <c r="F329" i="18" s="1"/>
  <c r="D367" i="18"/>
  <c r="E367" i="18" s="1"/>
  <c r="F367" i="18" s="1"/>
  <c r="D316" i="18"/>
  <c r="E316" i="18" s="1"/>
  <c r="F316" i="18" s="1"/>
  <c r="D335" i="18"/>
  <c r="E335" i="18" s="1"/>
  <c r="F335" i="18" s="1"/>
  <c r="D69" i="18"/>
  <c r="E69" i="18" s="1"/>
  <c r="F69" i="18" s="1"/>
  <c r="G76" i="17"/>
  <c r="BZ76" i="6" s="1"/>
  <c r="AA76" i="17"/>
  <c r="Z76" i="17" s="1"/>
  <c r="Y76" i="17" s="1"/>
  <c r="D327" i="18"/>
  <c r="E327" i="18" s="1"/>
  <c r="F327" i="18" s="1"/>
  <c r="G104" i="17"/>
  <c r="BZ104" i="6" s="1"/>
  <c r="AA104" i="17"/>
  <c r="Z104" i="17" s="1"/>
  <c r="Y104" i="17" s="1"/>
  <c r="H104" i="17"/>
  <c r="G148" i="17"/>
  <c r="BZ148" i="6" s="1"/>
  <c r="AA148" i="17"/>
  <c r="Z148" i="17" s="1"/>
  <c r="Y148" i="17" s="1"/>
  <c r="H148" i="17"/>
  <c r="D59" i="18"/>
  <c r="E59" i="18" s="1"/>
  <c r="F59" i="18" s="1"/>
  <c r="G230" i="17"/>
  <c r="BZ230" i="6" s="1"/>
  <c r="H230" i="17"/>
  <c r="AA230" i="17"/>
  <c r="Z230" i="17" s="1"/>
  <c r="Y230" i="17" s="1"/>
  <c r="G19" i="17"/>
  <c r="BZ19" i="6" s="1"/>
  <c r="H19" i="17"/>
  <c r="AA19" i="17"/>
  <c r="Z19" i="17" s="1"/>
  <c r="Y19" i="17" s="1"/>
  <c r="AA117" i="17"/>
  <c r="Z117" i="17" s="1"/>
  <c r="Y117" i="17" s="1"/>
  <c r="H117" i="17"/>
  <c r="G117" i="17"/>
  <c r="BZ117" i="6" s="1"/>
  <c r="G180" i="17"/>
  <c r="BZ180" i="6" s="1"/>
  <c r="AA180" i="17"/>
  <c r="Z180" i="17" s="1"/>
  <c r="Y180" i="17" s="1"/>
  <c r="H180" i="17"/>
  <c r="G195" i="17"/>
  <c r="BZ195" i="6" s="1"/>
  <c r="AA195" i="17"/>
  <c r="Z195" i="17" s="1"/>
  <c r="Y195" i="17" s="1"/>
  <c r="G253" i="17"/>
  <c r="BZ253" i="6" s="1"/>
  <c r="AA253" i="17"/>
  <c r="Z253" i="17" s="1"/>
  <c r="Y253" i="17" s="1"/>
  <c r="H100" i="17"/>
  <c r="G100" i="17"/>
  <c r="BZ100" i="6" s="1"/>
  <c r="G106" i="17"/>
  <c r="BZ106" i="6" s="1"/>
  <c r="H106" i="17"/>
  <c r="AA106" i="17"/>
  <c r="Z106" i="17" s="1"/>
  <c r="Y106" i="17" s="1"/>
  <c r="G274" i="17"/>
  <c r="BZ274" i="6" s="1"/>
  <c r="AA274" i="17"/>
  <c r="Z274" i="17" s="1"/>
  <c r="Y274" i="17" s="1"/>
  <c r="H274" i="17"/>
  <c r="H127" i="17"/>
  <c r="G127" i="17"/>
  <c r="BZ127" i="6" s="1"/>
  <c r="G78" i="17"/>
  <c r="BZ78" i="6" s="1"/>
  <c r="H78" i="17"/>
  <c r="W167" i="18"/>
  <c r="AA236" i="17"/>
  <c r="Z236" i="17" s="1"/>
  <c r="Y236" i="17" s="1"/>
  <c r="G236" i="17"/>
  <c r="BZ236" i="6" s="1"/>
  <c r="G157" i="17"/>
  <c r="BZ157" i="6" s="1"/>
  <c r="AA157" i="17"/>
  <c r="Z157" i="17" s="1"/>
  <c r="Y157" i="17" s="1"/>
  <c r="H157" i="17"/>
  <c r="G82" i="17"/>
  <c r="BZ82" i="6" s="1"/>
  <c r="H82" i="17"/>
  <c r="G66" i="17"/>
  <c r="BZ66" i="6" s="1"/>
  <c r="H66" i="17"/>
  <c r="G209" i="17"/>
  <c r="BZ209" i="6" s="1"/>
  <c r="AA209" i="17"/>
  <c r="Z209" i="17" s="1"/>
  <c r="Y209" i="17" s="1"/>
  <c r="H209" i="17"/>
  <c r="G94" i="17"/>
  <c r="BZ94" i="6" s="1"/>
  <c r="H94" i="17"/>
  <c r="G199" i="17"/>
  <c r="BZ199" i="6" s="1"/>
  <c r="H199" i="17"/>
  <c r="G71" i="17"/>
  <c r="BZ71" i="6" s="1"/>
  <c r="H71" i="17"/>
  <c r="AA82" i="17"/>
  <c r="Z82" i="17" s="1"/>
  <c r="Y82" i="17" s="1"/>
  <c r="G107" i="17"/>
  <c r="BZ107" i="6" s="1"/>
  <c r="H107" i="17"/>
  <c r="G28" i="17"/>
  <c r="BZ28" i="6" s="1"/>
  <c r="H28" i="17"/>
  <c r="AA28" i="17"/>
  <c r="Z28" i="17" s="1"/>
  <c r="Y28" i="17" s="1"/>
  <c r="G319" i="17"/>
  <c r="BZ319" i="6" s="1"/>
  <c r="H319" i="17"/>
  <c r="G285" i="17"/>
  <c r="BZ285" i="6" s="1"/>
  <c r="H285" i="17"/>
  <c r="AA285" i="17"/>
  <c r="Z285" i="17" s="1"/>
  <c r="Y285" i="17" s="1"/>
  <c r="H218" i="17"/>
  <c r="G218" i="17"/>
  <c r="BZ218" i="6" s="1"/>
  <c r="AA218" i="17"/>
  <c r="Z218" i="17" s="1"/>
  <c r="Y218" i="17" s="1"/>
  <c r="G132" i="17"/>
  <c r="BZ132" i="6" s="1"/>
  <c r="H132" i="17"/>
  <c r="AA132" i="17"/>
  <c r="Z132" i="17" s="1"/>
  <c r="Y132" i="17" s="1"/>
  <c r="G25" i="17"/>
  <c r="BZ25" i="6" s="1"/>
  <c r="H25" i="17"/>
  <c r="G315" i="17"/>
  <c r="BZ315" i="6" s="1"/>
  <c r="H315" i="17"/>
  <c r="AA315" i="17"/>
  <c r="Z315" i="17" s="1"/>
  <c r="Y315" i="17" s="1"/>
  <c r="AA278" i="17"/>
  <c r="Z278" i="17" s="1"/>
  <c r="Y278" i="17" s="1"/>
  <c r="H278" i="17"/>
  <c r="G278" i="17"/>
  <c r="BZ278" i="6" s="1"/>
  <c r="G17" i="17"/>
  <c r="BZ17" i="6" s="1"/>
  <c r="H17" i="17"/>
  <c r="G65" i="17"/>
  <c r="BZ65" i="6" s="1"/>
  <c r="AA65" i="17"/>
  <c r="Z65" i="17" s="1"/>
  <c r="Y65" i="17" s="1"/>
  <c r="H65" i="17"/>
  <c r="H144" i="17"/>
  <c r="AA144" i="17"/>
  <c r="Z144" i="17" s="1"/>
  <c r="Y144" i="17" s="1"/>
  <c r="G63" i="17"/>
  <c r="BZ63" i="6" s="1"/>
  <c r="H63" i="17"/>
  <c r="AA63" i="17"/>
  <c r="Z63" i="17" s="1"/>
  <c r="Y63" i="17" s="1"/>
  <c r="G211" i="17"/>
  <c r="BZ211" i="6" s="1"/>
  <c r="AA211" i="17"/>
  <c r="Z211" i="17" s="1"/>
  <c r="Y211" i="17" s="1"/>
  <c r="H211" i="17"/>
  <c r="G34" i="17"/>
  <c r="BZ34" i="6" s="1"/>
  <c r="H34" i="17"/>
  <c r="AA34" i="17"/>
  <c r="Z34" i="17" s="1"/>
  <c r="Y34" i="17" s="1"/>
  <c r="G74" i="17"/>
  <c r="BZ74" i="6" s="1"/>
  <c r="AA74" i="17"/>
  <c r="Z74" i="17" s="1"/>
  <c r="Y74" i="17" s="1"/>
  <c r="H74" i="17"/>
  <c r="G242" i="17"/>
  <c r="BZ242" i="6" s="1"/>
  <c r="H242" i="17"/>
  <c r="AA242" i="17"/>
  <c r="Z242" i="17" s="1"/>
  <c r="Y242" i="17" s="1"/>
  <c r="G310" i="17"/>
  <c r="BZ310" i="6" s="1"/>
  <c r="H310" i="17"/>
  <c r="G374" i="17"/>
  <c r="BZ374" i="6" s="1"/>
  <c r="H374" i="17"/>
  <c r="G325" i="17"/>
  <c r="BZ325" i="6" s="1"/>
  <c r="H325" i="17"/>
  <c r="AA325" i="17"/>
  <c r="Z325" i="17" s="1"/>
  <c r="Y325" i="17" s="1"/>
  <c r="AA186" i="17"/>
  <c r="Z186" i="17" s="1"/>
  <c r="Y186" i="17" s="1"/>
  <c r="H186" i="17"/>
  <c r="G186" i="17"/>
  <c r="BZ186" i="6" s="1"/>
  <c r="W153" i="18"/>
  <c r="H331" i="17"/>
  <c r="AA331" i="17"/>
  <c r="Z331" i="17" s="1"/>
  <c r="Y331" i="17" s="1"/>
  <c r="G61" i="17"/>
  <c r="BZ61" i="6" s="1"/>
  <c r="H61" i="17"/>
  <c r="AA61" i="17"/>
  <c r="Z61" i="17" s="1"/>
  <c r="Y61" i="17" s="1"/>
  <c r="H67" i="17"/>
  <c r="AA67" i="17"/>
  <c r="Z67" i="17" s="1"/>
  <c r="Y67" i="17" s="1"/>
  <c r="G375" i="17"/>
  <c r="BZ375" i="6" s="1"/>
  <c r="H375" i="17"/>
  <c r="AA375" i="17"/>
  <c r="Z375" i="17" s="1"/>
  <c r="Y375" i="17" s="1"/>
  <c r="G162" i="17"/>
  <c r="BZ162" i="6" s="1"/>
  <c r="H162" i="17"/>
  <c r="AA162" i="17"/>
  <c r="Z162" i="17" s="1"/>
  <c r="Y162" i="17" s="1"/>
  <c r="H370" i="17"/>
  <c r="AA370" i="17"/>
  <c r="Z370" i="17" s="1"/>
  <c r="Y370" i="17" s="1"/>
  <c r="G370" i="17"/>
  <c r="BZ370" i="6" s="1"/>
  <c r="G317" i="17"/>
  <c r="BZ317" i="6" s="1"/>
  <c r="H317" i="17"/>
  <c r="AA317" i="17"/>
  <c r="Z317" i="17" s="1"/>
  <c r="Y317" i="17" s="1"/>
  <c r="G248" i="17"/>
  <c r="BZ248" i="6" s="1"/>
  <c r="H248" i="17"/>
  <c r="AA248" i="17"/>
  <c r="Z248" i="17" s="1"/>
  <c r="Y248" i="17" s="1"/>
  <c r="AA228" i="17"/>
  <c r="Z228" i="17" s="1"/>
  <c r="Y228" i="17" s="1"/>
  <c r="H228" i="17"/>
  <c r="G228" i="17"/>
  <c r="BZ228" i="6" s="1"/>
  <c r="G217" i="17"/>
  <c r="BZ217" i="6" s="1"/>
  <c r="AA217" i="17"/>
  <c r="Z217" i="17" s="1"/>
  <c r="Y217" i="17" s="1"/>
  <c r="AA48" i="17"/>
  <c r="Z48" i="17" s="1"/>
  <c r="Y48" i="17" s="1"/>
  <c r="G48" i="17"/>
  <c r="BZ48" i="6" s="1"/>
  <c r="H48" i="17"/>
  <c r="G269" i="17"/>
  <c r="BZ269" i="6" s="1"/>
  <c r="AA269" i="17"/>
  <c r="Z269" i="17" s="1"/>
  <c r="Y269" i="17" s="1"/>
  <c r="H269" i="17"/>
  <c r="G111" i="17"/>
  <c r="BZ111" i="6" s="1"/>
  <c r="AA111" i="17"/>
  <c r="Z111" i="17" s="1"/>
  <c r="Y111" i="17" s="1"/>
  <c r="H111" i="17"/>
  <c r="G320" i="17"/>
  <c r="BZ320" i="6" s="1"/>
  <c r="AA320" i="17"/>
  <c r="Z320" i="17" s="1"/>
  <c r="Y320" i="17" s="1"/>
  <c r="H320" i="17"/>
  <c r="G52" i="17"/>
  <c r="BZ52" i="6" s="1"/>
  <c r="H52" i="17"/>
  <c r="AA52" i="17"/>
  <c r="Z52" i="17" s="1"/>
  <c r="Y52" i="17" s="1"/>
  <c r="AA17" i="17"/>
  <c r="Z17" i="17" s="1"/>
  <c r="Y17" i="17" s="1"/>
  <c r="G155" i="17"/>
  <c r="BZ155" i="6" s="1"/>
  <c r="H155" i="17"/>
  <c r="AA155" i="17"/>
  <c r="Z155" i="17" s="1"/>
  <c r="Y155" i="17" s="1"/>
  <c r="G126" i="17"/>
  <c r="BZ126" i="6" s="1"/>
  <c r="H126" i="17"/>
  <c r="AA126" i="17"/>
  <c r="Z126" i="17" s="1"/>
  <c r="Y126" i="17" s="1"/>
  <c r="G326" i="17"/>
  <c r="BZ326" i="6" s="1"/>
  <c r="AA326" i="17"/>
  <c r="Z326" i="17" s="1"/>
  <c r="Y326" i="17" s="1"/>
  <c r="G245" i="17"/>
  <c r="BZ245" i="6" s="1"/>
  <c r="H245" i="17"/>
  <c r="AA245" i="17"/>
  <c r="Z245" i="17" s="1"/>
  <c r="Y245" i="17" s="1"/>
  <c r="G291" i="17"/>
  <c r="BZ291" i="6" s="1"/>
  <c r="H291" i="17"/>
  <c r="AA291" i="17"/>
  <c r="Z291" i="17" s="1"/>
  <c r="Y291" i="17" s="1"/>
  <c r="W270" i="18"/>
  <c r="G24" i="17"/>
  <c r="BZ24" i="6" s="1"/>
  <c r="AA24" i="17"/>
  <c r="Z24" i="17" s="1"/>
  <c r="Y24" i="17" s="1"/>
  <c r="H24" i="17"/>
  <c r="G85" i="17"/>
  <c r="BZ85" i="6" s="1"/>
  <c r="H85" i="17"/>
  <c r="G141" i="17"/>
  <c r="BZ141" i="6" s="1"/>
  <c r="H141" i="17"/>
  <c r="AA141" i="17"/>
  <c r="Z141" i="17" s="1"/>
  <c r="Y141" i="17" s="1"/>
  <c r="G343" i="17"/>
  <c r="BZ343" i="6" s="1"/>
  <c r="H343" i="17"/>
  <c r="AA343" i="17"/>
  <c r="Z343" i="17" s="1"/>
  <c r="Y343" i="17" s="1"/>
  <c r="G96" i="17"/>
  <c r="BZ96" i="6" s="1"/>
  <c r="H96" i="17"/>
  <c r="AA96" i="17"/>
  <c r="Z96" i="17" s="1"/>
  <c r="Y96" i="17" s="1"/>
  <c r="G112" i="17"/>
  <c r="BZ112" i="6" s="1"/>
  <c r="H112" i="17"/>
  <c r="AA112" i="17"/>
  <c r="Z112" i="17" s="1"/>
  <c r="Y112" i="17" s="1"/>
  <c r="G23" i="17"/>
  <c r="BZ23" i="6" s="1"/>
  <c r="H23" i="17"/>
  <c r="AA23" i="17"/>
  <c r="Z23" i="17" s="1"/>
  <c r="Y23" i="17" s="1"/>
  <c r="G99" i="17"/>
  <c r="BZ99" i="6" s="1"/>
  <c r="H99" i="17"/>
  <c r="G151" i="17"/>
  <c r="BZ151" i="6" s="1"/>
  <c r="H151" i="17"/>
  <c r="AA151" i="17"/>
  <c r="Z151" i="17" s="1"/>
  <c r="Y151" i="17" s="1"/>
  <c r="H238" i="17"/>
  <c r="G238" i="17"/>
  <c r="BZ238" i="6" s="1"/>
  <c r="H254" i="17"/>
  <c r="G254" i="17"/>
  <c r="BZ254" i="6" s="1"/>
  <c r="AA254" i="17"/>
  <c r="Z254" i="17" s="1"/>
  <c r="Y254" i="17" s="1"/>
  <c r="G286" i="17"/>
  <c r="BZ286" i="6" s="1"/>
  <c r="H286" i="17"/>
  <c r="AA286" i="17"/>
  <c r="Z286" i="17" s="1"/>
  <c r="Y286" i="17" s="1"/>
  <c r="G342" i="17"/>
  <c r="BZ342" i="6" s="1"/>
  <c r="H342" i="17"/>
  <c r="AA342" i="17"/>
  <c r="Z342" i="17" s="1"/>
  <c r="Y342" i="17" s="1"/>
  <c r="G237" i="17"/>
  <c r="BZ237" i="6" s="1"/>
  <c r="H237" i="17"/>
  <c r="AA237" i="17"/>
  <c r="Z237" i="17" s="1"/>
  <c r="Y237" i="17" s="1"/>
  <c r="G313" i="17"/>
  <c r="BZ313" i="6" s="1"/>
  <c r="H313" i="17"/>
  <c r="AA313" i="17"/>
  <c r="Z313" i="17" s="1"/>
  <c r="Y313" i="17" s="1"/>
  <c r="G277" i="17"/>
  <c r="BZ277" i="6" s="1"/>
  <c r="AA277" i="17"/>
  <c r="Z277" i="17" s="1"/>
  <c r="Y277" i="17" s="1"/>
  <c r="H277" i="17"/>
  <c r="W217" i="18"/>
  <c r="AA310" i="17"/>
  <c r="Z310" i="17" s="1"/>
  <c r="Y310" i="17" s="1"/>
  <c r="AA78" i="17"/>
  <c r="Z78" i="17" s="1"/>
  <c r="Y78" i="17" s="1"/>
  <c r="G119" i="17"/>
  <c r="BZ119" i="6" s="1"/>
  <c r="H119" i="17"/>
  <c r="AA100" i="17"/>
  <c r="Z100" i="17" s="1"/>
  <c r="Y100" i="17" s="1"/>
  <c r="G257" i="17"/>
  <c r="BZ257" i="6" s="1"/>
  <c r="AA257" i="17"/>
  <c r="Z257" i="17" s="1"/>
  <c r="Y257" i="17" s="1"/>
  <c r="H257" i="17"/>
  <c r="G344" i="17"/>
  <c r="BZ344" i="6" s="1"/>
  <c r="AA344" i="17"/>
  <c r="Z344" i="17" s="1"/>
  <c r="Y344" i="17" s="1"/>
  <c r="H344" i="17"/>
  <c r="G200" i="17"/>
  <c r="BZ200" i="6" s="1"/>
  <c r="AA200" i="17"/>
  <c r="Z200" i="17" s="1"/>
  <c r="Y200" i="17" s="1"/>
  <c r="H200" i="17"/>
  <c r="G190" i="17"/>
  <c r="BZ190" i="6" s="1"/>
  <c r="AA190" i="17"/>
  <c r="Z190" i="17" s="1"/>
  <c r="Y190" i="17" s="1"/>
  <c r="H190" i="17"/>
  <c r="G147" i="17"/>
  <c r="BZ147" i="6" s="1"/>
  <c r="H147" i="17"/>
  <c r="AA147" i="17"/>
  <c r="Z147" i="17" s="1"/>
  <c r="Y147" i="17" s="1"/>
  <c r="G336" i="17"/>
  <c r="BZ336" i="6" s="1"/>
  <c r="AA336" i="17"/>
  <c r="Z336" i="17" s="1"/>
  <c r="Y336" i="17" s="1"/>
  <c r="H336" i="17"/>
  <c r="H266" i="17"/>
  <c r="AA266" i="17"/>
  <c r="Z266" i="17" s="1"/>
  <c r="Y266" i="17" s="1"/>
  <c r="G266" i="17"/>
  <c r="BZ266" i="6" s="1"/>
  <c r="H327" i="17"/>
  <c r="H181" i="17"/>
  <c r="W312" i="18"/>
  <c r="H139" i="17"/>
  <c r="W55" i="18"/>
  <c r="H236" i="17"/>
  <c r="H149" i="17"/>
  <c r="H206" i="17"/>
  <c r="I251" i="17"/>
  <c r="J251" i="17"/>
  <c r="G67" i="17"/>
  <c r="BZ67" i="6" s="1"/>
  <c r="J234" i="17"/>
  <c r="I234" i="17"/>
  <c r="AA94" i="17"/>
  <c r="Z94" i="17" s="1"/>
  <c r="Y94" i="17" s="1"/>
  <c r="G183" i="17"/>
  <c r="BZ183" i="6" s="1"/>
  <c r="H326" i="17"/>
  <c r="G187" i="17"/>
  <c r="BZ187" i="6" s="1"/>
  <c r="AA187" i="17"/>
  <c r="Z187" i="17" s="1"/>
  <c r="Y187" i="17" s="1"/>
  <c r="H187" i="17"/>
  <c r="G283" i="17"/>
  <c r="BZ283" i="6" s="1"/>
  <c r="AA283" i="17"/>
  <c r="Z283" i="17" s="1"/>
  <c r="Y283" i="17" s="1"/>
  <c r="H283" i="17"/>
  <c r="G168" i="17"/>
  <c r="BZ168" i="6" s="1"/>
  <c r="H168" i="17"/>
  <c r="AA168" i="17"/>
  <c r="Z168" i="17" s="1"/>
  <c r="Y168" i="17" s="1"/>
  <c r="G279" i="17"/>
  <c r="BZ279" i="6" s="1"/>
  <c r="H279" i="17"/>
  <c r="H361" i="17"/>
  <c r="G361" i="17"/>
  <c r="BZ361" i="6" s="1"/>
  <c r="AA361" i="17"/>
  <c r="Z361" i="17" s="1"/>
  <c r="Y361" i="17" s="1"/>
  <c r="G289" i="17"/>
  <c r="BZ289" i="6" s="1"/>
  <c r="H289" i="17"/>
  <c r="AA289" i="17"/>
  <c r="Z289" i="17" s="1"/>
  <c r="Y289" i="17" s="1"/>
  <c r="H122" i="17"/>
  <c r="G122" i="17"/>
  <c r="BZ122" i="6" s="1"/>
  <c r="AA122" i="17"/>
  <c r="Z122" i="17" s="1"/>
  <c r="Y122" i="17" s="1"/>
  <c r="G251" i="17"/>
  <c r="BZ251" i="6" s="1"/>
  <c r="AA251" i="17"/>
  <c r="Z251" i="17" s="1"/>
  <c r="Y251" i="17" s="1"/>
  <c r="G273" i="17"/>
  <c r="BZ273" i="6" s="1"/>
  <c r="H273" i="17"/>
  <c r="AA273" i="17"/>
  <c r="Z273" i="17" s="1"/>
  <c r="Y273" i="17" s="1"/>
  <c r="AA128" i="17"/>
  <c r="Z128" i="17" s="1"/>
  <c r="Y128" i="17" s="1"/>
  <c r="G128" i="17"/>
  <c r="BZ128" i="6" s="1"/>
  <c r="H128" i="17"/>
  <c r="G301" i="17"/>
  <c r="BZ301" i="6" s="1"/>
  <c r="H301" i="17"/>
  <c r="AA301" i="17"/>
  <c r="Z301" i="17" s="1"/>
  <c r="Y301" i="17" s="1"/>
  <c r="G198" i="17"/>
  <c r="BZ198" i="6" s="1"/>
  <c r="H198" i="17"/>
  <c r="G235" i="17"/>
  <c r="BZ235" i="6" s="1"/>
  <c r="H235" i="17"/>
  <c r="AA235" i="17"/>
  <c r="Z235" i="17" s="1"/>
  <c r="Y235" i="17" s="1"/>
  <c r="G341" i="17"/>
  <c r="BZ341" i="6" s="1"/>
  <c r="H341" i="17"/>
  <c r="AA341" i="17"/>
  <c r="Z341" i="17" s="1"/>
  <c r="Y341" i="17" s="1"/>
  <c r="G158" i="17"/>
  <c r="BZ158" i="6" s="1"/>
  <c r="H158" i="17"/>
  <c r="AA158" i="17"/>
  <c r="Z158" i="17" s="1"/>
  <c r="Y158" i="17" s="1"/>
  <c r="H191" i="17"/>
  <c r="G191" i="17"/>
  <c r="BZ191" i="6" s="1"/>
  <c r="AA191" i="17"/>
  <c r="Z191" i="17" s="1"/>
  <c r="Y191" i="17" s="1"/>
  <c r="G295" i="17"/>
  <c r="BZ295" i="6" s="1"/>
  <c r="H295" i="17"/>
  <c r="AA295" i="17"/>
  <c r="Z295" i="17" s="1"/>
  <c r="Y295" i="17" s="1"/>
  <c r="G68" i="17"/>
  <c r="BZ68" i="6" s="1"/>
  <c r="H68" i="17"/>
  <c r="AA68" i="17"/>
  <c r="Z68" i="17" s="1"/>
  <c r="Y68" i="17" s="1"/>
  <c r="H154" i="17"/>
  <c r="G154" i="17"/>
  <c r="BZ154" i="6" s="1"/>
  <c r="AA154" i="17"/>
  <c r="Z154" i="17" s="1"/>
  <c r="Y154" i="17" s="1"/>
  <c r="G234" i="17"/>
  <c r="BZ234" i="6" s="1"/>
  <c r="AA234" i="17"/>
  <c r="Z234" i="17" s="1"/>
  <c r="Y234" i="17" s="1"/>
  <c r="G350" i="17"/>
  <c r="BZ350" i="6" s="1"/>
  <c r="H350" i="17"/>
  <c r="AA350" i="17"/>
  <c r="Z350" i="17" s="1"/>
  <c r="Y350" i="17" s="1"/>
  <c r="G376" i="17"/>
  <c r="BZ376" i="6" s="1"/>
  <c r="H376" i="17"/>
  <c r="AA376" i="17"/>
  <c r="Z376" i="17" s="1"/>
  <c r="Y376" i="17" s="1"/>
  <c r="G347" i="17"/>
  <c r="BZ347" i="6" s="1"/>
  <c r="H347" i="17"/>
  <c r="AA347" i="17"/>
  <c r="Z347" i="17" s="1"/>
  <c r="Y347" i="17" s="1"/>
  <c r="G169" i="17"/>
  <c r="BZ169" i="6" s="1"/>
  <c r="H169" i="17"/>
  <c r="AA169" i="17"/>
  <c r="Z169" i="17" s="1"/>
  <c r="Y169" i="17" s="1"/>
  <c r="G323" i="17"/>
  <c r="BZ323" i="6" s="1"/>
  <c r="AA323" i="17"/>
  <c r="Z323" i="17" s="1"/>
  <c r="Y323" i="17" s="1"/>
  <c r="H323" i="17"/>
  <c r="G308" i="17"/>
  <c r="BZ308" i="6" s="1"/>
  <c r="H308" i="17"/>
  <c r="AA308" i="17"/>
  <c r="Z308" i="17" s="1"/>
  <c r="Y308" i="17" s="1"/>
  <c r="G138" i="17"/>
  <c r="BZ138" i="6" s="1"/>
  <c r="H138" i="17"/>
  <c r="AA138" i="17"/>
  <c r="Z138" i="17" s="1"/>
  <c r="Y138" i="17" s="1"/>
  <c r="G223" i="17"/>
  <c r="BZ223" i="6" s="1"/>
  <c r="AA223" i="17"/>
  <c r="Z223" i="17" s="1"/>
  <c r="Y223" i="17" s="1"/>
  <c r="H223" i="17"/>
  <c r="G75" i="17"/>
  <c r="BZ75" i="6" s="1"/>
  <c r="AA75" i="17"/>
  <c r="Z75" i="17" s="1"/>
  <c r="Y75" i="17" s="1"/>
  <c r="H75" i="17"/>
  <c r="AA368" i="17"/>
  <c r="Z368" i="17" s="1"/>
  <c r="Y368" i="17" s="1"/>
  <c r="G368" i="17"/>
  <c r="BZ368" i="6" s="1"/>
  <c r="H368" i="17"/>
  <c r="G204" i="17"/>
  <c r="BZ204" i="6" s="1"/>
  <c r="AA204" i="17"/>
  <c r="Z204" i="17" s="1"/>
  <c r="Y204" i="17" s="1"/>
  <c r="G246" i="17"/>
  <c r="BZ246" i="6" s="1"/>
  <c r="AA246" i="17"/>
  <c r="Z246" i="17" s="1"/>
  <c r="Y246" i="17" s="1"/>
  <c r="H246" i="17"/>
  <c r="G37" i="17"/>
  <c r="BZ37" i="6" s="1"/>
  <c r="H37" i="17"/>
  <c r="AA37" i="17"/>
  <c r="Z37" i="17" s="1"/>
  <c r="Y37" i="17" s="1"/>
  <c r="G378" i="17"/>
  <c r="BZ378" i="6" s="1"/>
  <c r="H378" i="17"/>
  <c r="AA378" i="17"/>
  <c r="Z378" i="17" s="1"/>
  <c r="Y378" i="17" s="1"/>
  <c r="G110" i="17"/>
  <c r="BZ110" i="6" s="1"/>
  <c r="AA110" i="17"/>
  <c r="Z110" i="17" s="1"/>
  <c r="Y110" i="17" s="1"/>
  <c r="H110" i="17"/>
  <c r="G22" i="17"/>
  <c r="BZ22" i="6" s="1"/>
  <c r="H22" i="17"/>
  <c r="AA22" i="17"/>
  <c r="Z22" i="17" s="1"/>
  <c r="Y22" i="17" s="1"/>
  <c r="G29" i="17"/>
  <c r="BZ29" i="6" s="1"/>
  <c r="H29" i="17"/>
  <c r="AA29" i="17"/>
  <c r="Z29" i="17" s="1"/>
  <c r="Y29" i="17" s="1"/>
  <c r="G179" i="17"/>
  <c r="BZ179" i="6" s="1"/>
  <c r="AA179" i="17"/>
  <c r="Z179" i="17" s="1"/>
  <c r="Y179" i="17" s="1"/>
  <c r="H179" i="17"/>
  <c r="G232" i="17"/>
  <c r="BZ232" i="6" s="1"/>
  <c r="AA232" i="17"/>
  <c r="Z232" i="17" s="1"/>
  <c r="Y232" i="17" s="1"/>
  <c r="H232" i="17"/>
  <c r="G140" i="17"/>
  <c r="BZ140" i="6" s="1"/>
  <c r="H140" i="17"/>
  <c r="G364" i="17"/>
  <c r="BZ364" i="6" s="1"/>
  <c r="AA364" i="17"/>
  <c r="Z364" i="17" s="1"/>
  <c r="Y364" i="17" s="1"/>
  <c r="H364" i="17"/>
  <c r="AA198" i="17"/>
  <c r="Z198" i="17" s="1"/>
  <c r="Y198" i="17" s="1"/>
  <c r="G118" i="17"/>
  <c r="BZ118" i="6" s="1"/>
  <c r="H118" i="17"/>
  <c r="AA118" i="17"/>
  <c r="Z118" i="17" s="1"/>
  <c r="Y118" i="17" s="1"/>
  <c r="H220" i="17"/>
  <c r="G220" i="17"/>
  <c r="BZ220" i="6" s="1"/>
  <c r="AA220" i="17"/>
  <c r="Z220" i="17" s="1"/>
  <c r="Y220" i="17" s="1"/>
  <c r="G16" i="17"/>
  <c r="BZ16" i="6" s="1"/>
  <c r="H16" i="17"/>
  <c r="AA16" i="17"/>
  <c r="Z16" i="17" s="1"/>
  <c r="Y16" i="17" s="1"/>
  <c r="G318" i="17"/>
  <c r="BZ318" i="6" s="1"/>
  <c r="H318" i="17"/>
  <c r="AA318" i="17"/>
  <c r="Z318" i="17" s="1"/>
  <c r="Y318" i="17" s="1"/>
  <c r="G125" i="17"/>
  <c r="BZ125" i="6" s="1"/>
  <c r="H125" i="17"/>
  <c r="AA125" i="17"/>
  <c r="Z125" i="17" s="1"/>
  <c r="Y125" i="17" s="1"/>
  <c r="H185" i="17"/>
  <c r="G185" i="17"/>
  <c r="BZ185" i="6" s="1"/>
  <c r="AA185" i="17"/>
  <c r="Z185" i="17" s="1"/>
  <c r="Y185" i="17" s="1"/>
  <c r="G56" i="17"/>
  <c r="BZ56" i="6" s="1"/>
  <c r="AA56" i="17"/>
  <c r="Z56" i="17" s="1"/>
  <c r="Y56" i="17" s="1"/>
  <c r="H56" i="17"/>
  <c r="G356" i="17"/>
  <c r="BZ356" i="6" s="1"/>
  <c r="AA356" i="17"/>
  <c r="Z356" i="17" s="1"/>
  <c r="Y356" i="17" s="1"/>
  <c r="H356" i="17"/>
  <c r="G372" i="17"/>
  <c r="BZ372" i="6" s="1"/>
  <c r="AA372" i="17"/>
  <c r="Z372" i="17" s="1"/>
  <c r="Y372" i="17" s="1"/>
  <c r="H372" i="17"/>
  <c r="G176" i="17"/>
  <c r="BZ176" i="6" s="1"/>
  <c r="H176" i="17"/>
  <c r="AA176" i="17"/>
  <c r="Z176" i="17" s="1"/>
  <c r="Y176" i="17" s="1"/>
  <c r="H81" i="17"/>
  <c r="AA81" i="17"/>
  <c r="Z81" i="17" s="1"/>
  <c r="Y81" i="17" s="1"/>
  <c r="G81" i="17"/>
  <c r="BZ81" i="6" s="1"/>
  <c r="G224" i="17"/>
  <c r="BZ224" i="6" s="1"/>
  <c r="AA224" i="17"/>
  <c r="Z224" i="17" s="1"/>
  <c r="Y224" i="17" s="1"/>
  <c r="H224" i="17"/>
  <c r="G261" i="17"/>
  <c r="BZ261" i="6" s="1"/>
  <c r="H261" i="17"/>
  <c r="G284" i="17"/>
  <c r="BZ284" i="6" s="1"/>
  <c r="H284" i="17"/>
  <c r="G64" i="17"/>
  <c r="BZ64" i="6" s="1"/>
  <c r="H64" i="17"/>
  <c r="G79" i="17"/>
  <c r="BZ79" i="6" s="1"/>
  <c r="H79" i="17"/>
  <c r="H135" i="17"/>
  <c r="G135" i="17"/>
  <c r="BZ135" i="6" s="1"/>
  <c r="G114" i="17"/>
  <c r="BZ114" i="6" s="1"/>
  <c r="H114" i="17"/>
  <c r="AA114" i="17"/>
  <c r="Z114" i="17" s="1"/>
  <c r="Y114" i="17" s="1"/>
  <c r="G264" i="17"/>
  <c r="BZ264" i="6" s="1"/>
  <c r="AA264" i="17"/>
  <c r="Z264" i="17" s="1"/>
  <c r="Y264" i="17" s="1"/>
  <c r="G173" i="17"/>
  <c r="BZ173" i="6" s="1"/>
  <c r="AA173" i="17"/>
  <c r="Z173" i="17" s="1"/>
  <c r="Y173" i="17" s="1"/>
  <c r="H173" i="17"/>
  <c r="H53" i="17"/>
  <c r="G53" i="17"/>
  <c r="BZ53" i="6" s="1"/>
  <c r="G373" i="17"/>
  <c r="BZ373" i="6" s="1"/>
  <c r="AA373" i="17"/>
  <c r="Z373" i="17" s="1"/>
  <c r="Y373" i="17" s="1"/>
  <c r="H373" i="17"/>
  <c r="G133" i="17"/>
  <c r="BZ133" i="6" s="1"/>
  <c r="H133" i="17"/>
  <c r="AA133" i="17"/>
  <c r="Z133" i="17" s="1"/>
  <c r="Y133" i="17" s="1"/>
  <c r="G333" i="17"/>
  <c r="BZ333" i="6" s="1"/>
  <c r="AA333" i="17"/>
  <c r="Z333" i="17" s="1"/>
  <c r="Y333" i="17" s="1"/>
  <c r="G272" i="17"/>
  <c r="BZ272" i="6" s="1"/>
  <c r="H272" i="17"/>
  <c r="G305" i="17"/>
  <c r="BZ305" i="6" s="1"/>
  <c r="H305" i="17"/>
  <c r="AA305" i="17"/>
  <c r="Z305" i="17" s="1"/>
  <c r="Y305" i="17" s="1"/>
  <c r="G210" i="17"/>
  <c r="BZ210" i="6" s="1"/>
  <c r="AA210" i="17"/>
  <c r="Z210" i="17" s="1"/>
  <c r="Y210" i="17" s="1"/>
  <c r="AA97" i="17"/>
  <c r="Z97" i="17" s="1"/>
  <c r="Y97" i="17" s="1"/>
  <c r="G97" i="17"/>
  <c r="BZ97" i="6" s="1"/>
  <c r="H97" i="17"/>
  <c r="H164" i="17"/>
  <c r="G164" i="17"/>
  <c r="BZ164" i="6" s="1"/>
  <c r="AA261" i="17"/>
  <c r="Z261" i="17" s="1"/>
  <c r="Y261" i="17" s="1"/>
  <c r="AA182" i="17"/>
  <c r="Z182" i="17" s="1"/>
  <c r="Y182" i="17" s="1"/>
  <c r="G182" i="17"/>
  <c r="BZ182" i="6" s="1"/>
  <c r="G31" i="17"/>
  <c r="BZ31" i="6" s="1"/>
  <c r="AA31" i="17"/>
  <c r="Z31" i="17" s="1"/>
  <c r="Y31" i="17" s="1"/>
  <c r="AA53" i="17"/>
  <c r="Z53" i="17" s="1"/>
  <c r="Y53" i="17" s="1"/>
  <c r="G243" i="17"/>
  <c r="BZ243" i="6" s="1"/>
  <c r="H243" i="17"/>
  <c r="AA360" i="17"/>
  <c r="Z360" i="17" s="1"/>
  <c r="Y360" i="17" s="1"/>
  <c r="H333" i="17"/>
  <c r="H156" i="17"/>
  <c r="G93" i="17"/>
  <c r="BZ93" i="6" s="1"/>
  <c r="H210" i="17"/>
  <c r="I93" i="17"/>
  <c r="H203" i="17"/>
  <c r="G203" i="17"/>
  <c r="BZ203" i="6" s="1"/>
  <c r="AA203" i="17"/>
  <c r="Z203" i="17" s="1"/>
  <c r="Y203" i="17" s="1"/>
  <c r="H312" i="17"/>
  <c r="G312" i="17"/>
  <c r="BZ312" i="6" s="1"/>
  <c r="G197" i="17"/>
  <c r="BZ197" i="6" s="1"/>
  <c r="AA197" i="17"/>
  <c r="Z197" i="17" s="1"/>
  <c r="Y197" i="17" s="1"/>
  <c r="AA178" i="17"/>
  <c r="Z178" i="17" s="1"/>
  <c r="Y178" i="17" s="1"/>
  <c r="H178" i="17"/>
  <c r="G227" i="17"/>
  <c r="BZ227" i="6" s="1"/>
  <c r="AA227" i="17"/>
  <c r="Z227" i="17" s="1"/>
  <c r="Y227" i="17" s="1"/>
  <c r="H227" i="17"/>
  <c r="G153" i="17"/>
  <c r="BZ153" i="6" s="1"/>
  <c r="AA153" i="17"/>
  <c r="Z153" i="17" s="1"/>
  <c r="Y153" i="17" s="1"/>
  <c r="G152" i="17"/>
  <c r="BZ152" i="6" s="1"/>
  <c r="AA152" i="17"/>
  <c r="Z152" i="17" s="1"/>
  <c r="Y152" i="17" s="1"/>
  <c r="H152" i="17"/>
  <c r="AA268" i="17"/>
  <c r="Z268" i="17" s="1"/>
  <c r="Y268" i="17" s="1"/>
  <c r="G268" i="17"/>
  <c r="BZ268" i="6" s="1"/>
  <c r="H268" i="17"/>
  <c r="G275" i="17"/>
  <c r="BZ275" i="6" s="1"/>
  <c r="AA275" i="17"/>
  <c r="Z275" i="17" s="1"/>
  <c r="Y275" i="17" s="1"/>
  <c r="H275" i="17"/>
  <c r="G59" i="17"/>
  <c r="BZ59" i="6" s="1"/>
  <c r="H59" i="17"/>
  <c r="AA59" i="17"/>
  <c r="Z59" i="17" s="1"/>
  <c r="Y59" i="17" s="1"/>
  <c r="H300" i="17"/>
  <c r="G300" i="17"/>
  <c r="BZ300" i="6" s="1"/>
  <c r="AA300" i="17"/>
  <c r="Z300" i="17" s="1"/>
  <c r="Y300" i="17" s="1"/>
  <c r="AA243" i="17"/>
  <c r="Z243" i="17" s="1"/>
  <c r="Y243" i="17" s="1"/>
  <c r="H46" i="17"/>
  <c r="H197" i="17"/>
  <c r="H360" i="17"/>
  <c r="H153" i="17"/>
  <c r="H182" i="17"/>
  <c r="H31" i="17"/>
  <c r="H91" i="17"/>
  <c r="AA91" i="17"/>
  <c r="Z91" i="17" s="1"/>
  <c r="Y91" i="17" s="1"/>
  <c r="G91" i="17"/>
  <c r="BZ91" i="6" s="1"/>
  <c r="G307" i="17"/>
  <c r="BZ307" i="6" s="1"/>
  <c r="H307" i="17"/>
  <c r="AA307" i="17"/>
  <c r="Z307" i="17" s="1"/>
  <c r="Y307" i="17" s="1"/>
  <c r="H27" i="17"/>
  <c r="G27" i="17"/>
  <c r="BZ27" i="6" s="1"/>
  <c r="AA27" i="17"/>
  <c r="Z27" i="17" s="1"/>
  <c r="Y27" i="17" s="1"/>
  <c r="G77" i="17"/>
  <c r="BZ77" i="6" s="1"/>
  <c r="H77" i="17"/>
  <c r="AA77" i="17"/>
  <c r="Z77" i="17" s="1"/>
  <c r="Y77" i="17" s="1"/>
  <c r="I316" i="17"/>
  <c r="J316" i="17"/>
  <c r="G42" i="17"/>
  <c r="BZ42" i="6" s="1"/>
  <c r="AA42" i="17"/>
  <c r="Z42" i="17" s="1"/>
  <c r="Y42" i="17" s="1"/>
  <c r="H42" i="17"/>
  <c r="G276" i="17"/>
  <c r="BZ276" i="6" s="1"/>
  <c r="H276" i="17"/>
  <c r="AA276" i="17"/>
  <c r="Z276" i="17" s="1"/>
  <c r="Y276" i="17" s="1"/>
  <c r="H297" i="17"/>
  <c r="AA297" i="17"/>
  <c r="Z297" i="17" s="1"/>
  <c r="Y297" i="17" s="1"/>
  <c r="G282" i="17"/>
  <c r="BZ282" i="6" s="1"/>
  <c r="H282" i="17"/>
  <c r="AA282" i="17"/>
  <c r="Z282" i="17" s="1"/>
  <c r="Y282" i="17" s="1"/>
  <c r="G43" i="17"/>
  <c r="BZ43" i="6" s="1"/>
  <c r="AA43" i="17"/>
  <c r="Z43" i="17" s="1"/>
  <c r="Y43" i="17" s="1"/>
  <c r="G316" i="17"/>
  <c r="BZ316" i="6" s="1"/>
  <c r="AA316" i="17"/>
  <c r="Z316" i="17" s="1"/>
  <c r="Y316" i="17" s="1"/>
  <c r="I240" i="17"/>
  <c r="G240" i="17"/>
  <c r="BZ240" i="6" s="1"/>
  <c r="G87" i="17"/>
  <c r="BZ87" i="6" s="1"/>
  <c r="H101" i="17"/>
  <c r="G297" i="17"/>
  <c r="BZ297" i="6" s="1"/>
  <c r="H145" i="17"/>
  <c r="G145" i="17"/>
  <c r="BZ145" i="6" s="1"/>
  <c r="AA145" i="17"/>
  <c r="Z145" i="17" s="1"/>
  <c r="Y145" i="17" s="1"/>
  <c r="G330" i="17"/>
  <c r="BZ330" i="6" s="1"/>
  <c r="H330" i="17"/>
  <c r="H131" i="17"/>
  <c r="G131" i="17"/>
  <c r="BZ131" i="6" s="1"/>
  <c r="AA131" i="17"/>
  <c r="Z131" i="17" s="1"/>
  <c r="Y131" i="17" s="1"/>
  <c r="N70" i="19" l="1"/>
  <c r="B59" i="19"/>
  <c r="B58" i="19"/>
  <c r="B57" i="19"/>
  <c r="H217" i="18"/>
  <c r="J217" i="18" s="1"/>
  <c r="C217" i="6" s="1"/>
  <c r="H205" i="18"/>
  <c r="I205" i="18" s="1"/>
  <c r="B205" i="6" s="1"/>
  <c r="G105" i="17"/>
  <c r="BZ105" i="6" s="1"/>
  <c r="AA105" i="17"/>
  <c r="Z105" i="17" s="1"/>
  <c r="Y105" i="17" s="1"/>
  <c r="AA19" i="18"/>
  <c r="Z19" i="18" s="1"/>
  <c r="Y19" i="18" s="1"/>
  <c r="G265" i="18"/>
  <c r="CA265" i="6" s="1"/>
  <c r="W59" i="20"/>
  <c r="D108" i="22"/>
  <c r="E108" i="22" s="1"/>
  <c r="F108" i="22" s="1"/>
  <c r="W363" i="20"/>
  <c r="W152" i="22"/>
  <c r="G227" i="18"/>
  <c r="CA227" i="6" s="1"/>
  <c r="G300" i="18"/>
  <c r="CA300" i="6" s="1"/>
  <c r="AA23" i="18"/>
  <c r="Z23" i="18" s="1"/>
  <c r="Y23" i="18" s="1"/>
  <c r="AA348" i="18"/>
  <c r="Z348" i="18" s="1"/>
  <c r="Y348" i="18" s="1"/>
  <c r="W306" i="20"/>
  <c r="D68" i="20"/>
  <c r="E68" i="20" s="1"/>
  <c r="F68" i="20" s="1"/>
  <c r="G68" i="20" s="1"/>
  <c r="CB68" i="6" s="1"/>
  <c r="W329" i="20"/>
  <c r="W337" i="20"/>
  <c r="W259" i="20"/>
  <c r="D70" i="22"/>
  <c r="E70" i="22" s="1"/>
  <c r="F70" i="22" s="1"/>
  <c r="W237" i="20"/>
  <c r="D262" i="20"/>
  <c r="E262" i="20" s="1"/>
  <c r="F262" i="20" s="1"/>
  <c r="G262" i="20" s="1"/>
  <c r="CB262" i="6" s="1"/>
  <c r="W28" i="22"/>
  <c r="W269" i="20"/>
  <c r="W231" i="20"/>
  <c r="I252" i="17"/>
  <c r="G344" i="18"/>
  <c r="CA344" i="6" s="1"/>
  <c r="G251" i="18"/>
  <c r="CA251" i="6" s="1"/>
  <c r="G192" i="18"/>
  <c r="CA192" i="6" s="1"/>
  <c r="AA26" i="18"/>
  <c r="Z26" i="18" s="1"/>
  <c r="Y26" i="18" s="1"/>
  <c r="G284" i="18"/>
  <c r="CA284" i="6" s="1"/>
  <c r="G30" i="18"/>
  <c r="CA30" i="6" s="1"/>
  <c r="W331" i="20"/>
  <c r="W205" i="20"/>
  <c r="W217" i="20"/>
  <c r="D238" i="20"/>
  <c r="E238" i="20" s="1"/>
  <c r="F238" i="20" s="1"/>
  <c r="G238" i="20" s="1"/>
  <c r="CB238" i="6" s="1"/>
  <c r="W211" i="20"/>
  <c r="W108" i="20"/>
  <c r="D97" i="20"/>
  <c r="E97" i="20" s="1"/>
  <c r="F97" i="20" s="1"/>
  <c r="AA97" i="20" s="1"/>
  <c r="Z97" i="20" s="1"/>
  <c r="Y97" i="20" s="1"/>
  <c r="W363" i="22"/>
  <c r="D152" i="20"/>
  <c r="E152" i="20" s="1"/>
  <c r="F152" i="20" s="1"/>
  <c r="G152" i="20" s="1"/>
  <c r="CB152" i="6" s="1"/>
  <c r="W212" i="22"/>
  <c r="W351" i="22"/>
  <c r="D237" i="22"/>
  <c r="E237" i="22" s="1"/>
  <c r="F237" i="22" s="1"/>
  <c r="W28" i="20"/>
  <c r="W359" i="22"/>
  <c r="D258" i="20"/>
  <c r="E258" i="20" s="1"/>
  <c r="F258" i="20" s="1"/>
  <c r="AA258" i="20" s="1"/>
  <c r="Z258" i="20" s="1"/>
  <c r="Y258" i="20" s="1"/>
  <c r="H251" i="18"/>
  <c r="I251" i="18" s="1"/>
  <c r="AA79" i="18"/>
  <c r="Z79" i="18" s="1"/>
  <c r="Y79" i="18" s="1"/>
  <c r="AA243" i="18"/>
  <c r="Z243" i="18" s="1"/>
  <c r="Y243" i="18" s="1"/>
  <c r="G152" i="18"/>
  <c r="CA152" i="6" s="1"/>
  <c r="AA237" i="18"/>
  <c r="Z237" i="18" s="1"/>
  <c r="Y237" i="18" s="1"/>
  <c r="AA54" i="18"/>
  <c r="Z54" i="18" s="1"/>
  <c r="Y54" i="18" s="1"/>
  <c r="G269" i="18"/>
  <c r="CA269" i="6" s="1"/>
  <c r="W331" i="22"/>
  <c r="D306" i="22"/>
  <c r="E306" i="22" s="1"/>
  <c r="F306" i="22" s="1"/>
  <c r="D205" i="22"/>
  <c r="E205" i="22" s="1"/>
  <c r="F205" i="22" s="1"/>
  <c r="D224" i="20"/>
  <c r="E224" i="20" s="1"/>
  <c r="F224" i="20" s="1"/>
  <c r="G224" i="20" s="1"/>
  <c r="CB224" i="6" s="1"/>
  <c r="W68" i="20"/>
  <c r="D329" i="22"/>
  <c r="E329" i="22" s="1"/>
  <c r="F329" i="22" s="1"/>
  <c r="D217" i="20"/>
  <c r="E217" i="20" s="1"/>
  <c r="F217" i="20" s="1"/>
  <c r="G217" i="20" s="1"/>
  <c r="CB217" i="6" s="1"/>
  <c r="D129" i="20"/>
  <c r="E129" i="20" s="1"/>
  <c r="F129" i="20" s="1"/>
  <c r="AA129" i="20" s="1"/>
  <c r="Z129" i="20" s="1"/>
  <c r="Y129" i="20" s="1"/>
  <c r="W238" i="20"/>
  <c r="W337" i="22"/>
  <c r="D211" i="22"/>
  <c r="E211" i="22" s="1"/>
  <c r="F211" i="22" s="1"/>
  <c r="D59" i="22"/>
  <c r="E59" i="22" s="1"/>
  <c r="F59" i="22" s="1"/>
  <c r="G39" i="18"/>
  <c r="CA39" i="6" s="1"/>
  <c r="D294" i="20"/>
  <c r="E294" i="20" s="1"/>
  <c r="F294" i="20" s="1"/>
  <c r="AA294" i="20" s="1"/>
  <c r="Z294" i="20" s="1"/>
  <c r="Y294" i="20" s="1"/>
  <c r="W259" i="22"/>
  <c r="D70" i="20"/>
  <c r="E70" i="20" s="1"/>
  <c r="F70" i="20" s="1"/>
  <c r="G70" i="20" s="1"/>
  <c r="CB70" i="6" s="1"/>
  <c r="D208" i="20"/>
  <c r="E208" i="20" s="1"/>
  <c r="F208" i="20" s="1"/>
  <c r="AA208" i="20" s="1"/>
  <c r="Z208" i="20" s="1"/>
  <c r="Y208" i="20" s="1"/>
  <c r="D358" i="22"/>
  <c r="E358" i="22" s="1"/>
  <c r="F358" i="22" s="1"/>
  <c r="W359" i="20"/>
  <c r="D300" i="20"/>
  <c r="E300" i="20" s="1"/>
  <c r="F300" i="20" s="1"/>
  <c r="G300" i="20" s="1"/>
  <c r="CB300" i="6" s="1"/>
  <c r="W120" i="20"/>
  <c r="W79" i="22"/>
  <c r="W270" i="20"/>
  <c r="W92" i="20"/>
  <c r="D50" i="22"/>
  <c r="E50" i="22" s="1"/>
  <c r="F50" i="22" s="1"/>
  <c r="W197" i="22"/>
  <c r="W335" i="22"/>
  <c r="W54" i="20"/>
  <c r="W30" i="22"/>
  <c r="W101" i="20"/>
  <c r="D19" i="22"/>
  <c r="E19" i="22" s="1"/>
  <c r="F19" i="22" s="1"/>
  <c r="D155" i="20"/>
  <c r="E155" i="20" s="1"/>
  <c r="F155" i="20" s="1"/>
  <c r="AA155" i="20" s="1"/>
  <c r="Z155" i="20" s="1"/>
  <c r="Y155" i="20" s="1"/>
  <c r="G155" i="18"/>
  <c r="CA155" i="6" s="1"/>
  <c r="D353" i="20"/>
  <c r="E353" i="20" s="1"/>
  <c r="F353" i="20" s="1"/>
  <c r="AA353" i="20" s="1"/>
  <c r="Z353" i="20" s="1"/>
  <c r="Y353" i="20" s="1"/>
  <c r="W26" i="20"/>
  <c r="D193" i="22"/>
  <c r="E193" i="22" s="1"/>
  <c r="F193" i="22" s="1"/>
  <c r="D326" i="20"/>
  <c r="E326" i="20" s="1"/>
  <c r="F326" i="20" s="1"/>
  <c r="AA326" i="20" s="1"/>
  <c r="Z326" i="20" s="1"/>
  <c r="Y326" i="20" s="1"/>
  <c r="D131" i="20"/>
  <c r="E131" i="20" s="1"/>
  <c r="F131" i="20" s="1"/>
  <c r="G131" i="20" s="1"/>
  <c r="CB131" i="6" s="1"/>
  <c r="W358" i="20"/>
  <c r="W262" i="20"/>
  <c r="D269" i="22"/>
  <c r="E269" i="22" s="1"/>
  <c r="F269" i="22" s="1"/>
  <c r="D231" i="22"/>
  <c r="E231" i="22" s="1"/>
  <c r="F231" i="22" s="1"/>
  <c r="D300" i="22"/>
  <c r="E300" i="22" s="1"/>
  <c r="F300" i="22" s="1"/>
  <c r="D120" i="20"/>
  <c r="E120" i="20" s="1"/>
  <c r="F120" i="20" s="1"/>
  <c r="G120" i="20" s="1"/>
  <c r="CB120" i="6" s="1"/>
  <c r="W327" i="22"/>
  <c r="W79" i="20"/>
  <c r="D270" i="22"/>
  <c r="E270" i="22" s="1"/>
  <c r="F270" i="22" s="1"/>
  <c r="W197" i="20"/>
  <c r="D101" i="20"/>
  <c r="E101" i="20" s="1"/>
  <c r="F101" i="20" s="1"/>
  <c r="G101" i="20" s="1"/>
  <c r="CB101" i="6" s="1"/>
  <c r="D284" i="20"/>
  <c r="E284" i="20" s="1"/>
  <c r="F284" i="20" s="1"/>
  <c r="G284" i="20" s="1"/>
  <c r="CB284" i="6" s="1"/>
  <c r="W316" i="22"/>
  <c r="D155" i="22"/>
  <c r="E155" i="22" s="1"/>
  <c r="F155" i="22" s="1"/>
  <c r="G205" i="18"/>
  <c r="CA205" i="6" s="1"/>
  <c r="AA168" i="18"/>
  <c r="Z168" i="18" s="1"/>
  <c r="Y168" i="18" s="1"/>
  <c r="D312" i="20"/>
  <c r="E312" i="20" s="1"/>
  <c r="F312" i="20" s="1"/>
  <c r="AA312" i="20" s="1"/>
  <c r="Z312" i="20" s="1"/>
  <c r="Y312" i="20" s="1"/>
  <c r="W168" i="20"/>
  <c r="W18" i="22"/>
  <c r="D164" i="20"/>
  <c r="E164" i="20" s="1"/>
  <c r="F164" i="20" s="1"/>
  <c r="AA164" i="20" s="1"/>
  <c r="Z164" i="20" s="1"/>
  <c r="Y164" i="20" s="1"/>
  <c r="W16" i="20"/>
  <c r="D132" i="20"/>
  <c r="E132" i="20" s="1"/>
  <c r="F132" i="20" s="1"/>
  <c r="G132" i="20" s="1"/>
  <c r="CB132" i="6" s="1"/>
  <c r="W153" i="20"/>
  <c r="D251" i="20"/>
  <c r="E251" i="20" s="1"/>
  <c r="F251" i="20" s="1"/>
  <c r="AA251" i="20" s="1"/>
  <c r="Z251" i="20" s="1"/>
  <c r="Y251" i="20" s="1"/>
  <c r="D297" i="20"/>
  <c r="E297" i="20" s="1"/>
  <c r="F297" i="20" s="1"/>
  <c r="AA297" i="20" s="1"/>
  <c r="Z297" i="20" s="1"/>
  <c r="Y297" i="20" s="1"/>
  <c r="D313" i="20"/>
  <c r="E313" i="20" s="1"/>
  <c r="F313" i="20" s="1"/>
  <c r="AA313" i="20" s="1"/>
  <c r="Z313" i="20" s="1"/>
  <c r="Y313" i="20" s="1"/>
  <c r="W228" i="20"/>
  <c r="D192" i="22"/>
  <c r="E192" i="22" s="1"/>
  <c r="F192" i="22" s="1"/>
  <c r="D367" i="20"/>
  <c r="E367" i="20" s="1"/>
  <c r="F367" i="20" s="1"/>
  <c r="G367" i="20" s="1"/>
  <c r="CB367" i="6" s="1"/>
  <c r="W255" i="20"/>
  <c r="W69" i="20"/>
  <c r="D23" i="20"/>
  <c r="E23" i="20" s="1"/>
  <c r="F23" i="20" s="1"/>
  <c r="AA23" i="20" s="1"/>
  <c r="Z23" i="20" s="1"/>
  <c r="Y23" i="20" s="1"/>
  <c r="W183" i="20"/>
  <c r="D116" i="22"/>
  <c r="E116" i="22" s="1"/>
  <c r="F116" i="22" s="1"/>
  <c r="G306" i="18"/>
  <c r="CA306" i="6" s="1"/>
  <c r="G299" i="18"/>
  <c r="CA299" i="6" s="1"/>
  <c r="G193" i="18"/>
  <c r="CA193" i="6" s="1"/>
  <c r="D64" i="20"/>
  <c r="E64" i="20" s="1"/>
  <c r="F64" i="20" s="1"/>
  <c r="AA64" i="20" s="1"/>
  <c r="Z64" i="20" s="1"/>
  <c r="Y64" i="20" s="1"/>
  <c r="W377" i="20"/>
  <c r="D243" i="20"/>
  <c r="E243" i="20" s="1"/>
  <c r="F243" i="20" s="1"/>
  <c r="AA243" i="20" s="1"/>
  <c r="Z243" i="20" s="1"/>
  <c r="Y243" i="20" s="1"/>
  <c r="D179" i="20"/>
  <c r="E179" i="20" s="1"/>
  <c r="F179" i="20" s="1"/>
  <c r="AA179" i="20" s="1"/>
  <c r="Z179" i="20" s="1"/>
  <c r="Y179" i="20" s="1"/>
  <c r="D348" i="20"/>
  <c r="E348" i="20" s="1"/>
  <c r="F348" i="20" s="1"/>
  <c r="G348" i="20" s="1"/>
  <c r="CB348" i="6" s="1"/>
  <c r="D216" i="20"/>
  <c r="E216" i="20" s="1"/>
  <c r="F216" i="20" s="1"/>
  <c r="G216" i="20" s="1"/>
  <c r="CB216" i="6" s="1"/>
  <c r="D16" i="20"/>
  <c r="E16" i="20" s="1"/>
  <c r="F16" i="20" s="1"/>
  <c r="AA16" i="20" s="1"/>
  <c r="Z16" i="20" s="1"/>
  <c r="Y16" i="20" s="1"/>
  <c r="W132" i="20"/>
  <c r="W153" i="22"/>
  <c r="W251" i="20"/>
  <c r="D338" i="20"/>
  <c r="E338" i="20" s="1"/>
  <c r="F338" i="20" s="1"/>
  <c r="G338" i="20" s="1"/>
  <c r="CB338" i="6" s="1"/>
  <c r="D54" i="22"/>
  <c r="E54" i="22" s="1"/>
  <c r="F54" i="22" s="1"/>
  <c r="W30" i="20"/>
  <c r="D26" i="20"/>
  <c r="E26" i="20" s="1"/>
  <c r="F26" i="20" s="1"/>
  <c r="AA26" i="20" s="1"/>
  <c r="Z26" i="20" s="1"/>
  <c r="Y26" i="20" s="1"/>
  <c r="D344" i="20"/>
  <c r="E344" i="20" s="1"/>
  <c r="F344" i="20" s="1"/>
  <c r="G344" i="20" s="1"/>
  <c r="CB344" i="6" s="1"/>
  <c r="W313" i="20"/>
  <c r="W228" i="22"/>
  <c r="D94" i="22"/>
  <c r="E94" i="22" s="1"/>
  <c r="F94" i="22" s="1"/>
  <c r="D170" i="20"/>
  <c r="E170" i="20" s="1"/>
  <c r="F170" i="20" s="1"/>
  <c r="AA170" i="20" s="1"/>
  <c r="Z170" i="20" s="1"/>
  <c r="Y170" i="20" s="1"/>
  <c r="D323" i="20"/>
  <c r="E323" i="20" s="1"/>
  <c r="F323" i="20" s="1"/>
  <c r="AA323" i="20" s="1"/>
  <c r="Z323" i="20" s="1"/>
  <c r="Y323" i="20" s="1"/>
  <c r="D55" i="20"/>
  <c r="E55" i="20" s="1"/>
  <c r="F55" i="20" s="1"/>
  <c r="AA55" i="20" s="1"/>
  <c r="Z55" i="20" s="1"/>
  <c r="Y55" i="20" s="1"/>
  <c r="D265" i="20"/>
  <c r="E265" i="20" s="1"/>
  <c r="F265" i="20" s="1"/>
  <c r="AA265" i="20" s="1"/>
  <c r="Z265" i="20" s="1"/>
  <c r="Y265" i="20" s="1"/>
  <c r="D35" i="20"/>
  <c r="E35" i="20" s="1"/>
  <c r="F35" i="20" s="1"/>
  <c r="G35" i="20" s="1"/>
  <c r="CB35" i="6" s="1"/>
  <c r="D69" i="20"/>
  <c r="E69" i="20" s="1"/>
  <c r="F69" i="20" s="1"/>
  <c r="AA69" i="20" s="1"/>
  <c r="Z69" i="20" s="1"/>
  <c r="Y69" i="20" s="1"/>
  <c r="W136" i="20"/>
  <c r="W183" i="22"/>
  <c r="W116" i="20"/>
  <c r="W95" i="22"/>
  <c r="D180" i="22"/>
  <c r="E180" i="22" s="1"/>
  <c r="F180" i="22" s="1"/>
  <c r="J296" i="17"/>
  <c r="I267" i="17"/>
  <c r="W43" i="22"/>
  <c r="D227" i="20"/>
  <c r="E227" i="20" s="1"/>
  <c r="F227" i="20" s="1"/>
  <c r="AA227" i="20" s="1"/>
  <c r="Z227" i="20" s="1"/>
  <c r="Y227" i="20" s="1"/>
  <c r="J205" i="17"/>
  <c r="AA297" i="18"/>
  <c r="Z297" i="18" s="1"/>
  <c r="Y297" i="18" s="1"/>
  <c r="AA170" i="18"/>
  <c r="Z170" i="18" s="1"/>
  <c r="Y170" i="18" s="1"/>
  <c r="AA363" i="18"/>
  <c r="Z363" i="18" s="1"/>
  <c r="Y363" i="18" s="1"/>
  <c r="G164" i="18"/>
  <c r="CA164" i="6" s="1"/>
  <c r="G259" i="18"/>
  <c r="CA259" i="6" s="1"/>
  <c r="AA366" i="18"/>
  <c r="Z366" i="18" s="1"/>
  <c r="Y366" i="18" s="1"/>
  <c r="G301" i="18"/>
  <c r="CA301" i="6" s="1"/>
  <c r="G64" i="18"/>
  <c r="CA64" i="6" s="1"/>
  <c r="AA228" i="18"/>
  <c r="Z228" i="18" s="1"/>
  <c r="Y228" i="18" s="1"/>
  <c r="D38" i="20"/>
  <c r="E38" i="20" s="1"/>
  <c r="F38" i="20" s="1"/>
  <c r="AA38" i="20" s="1"/>
  <c r="Z38" i="20" s="1"/>
  <c r="Y38" i="20" s="1"/>
  <c r="W299" i="20"/>
  <c r="W312" i="22"/>
  <c r="D168" i="22"/>
  <c r="E168" i="22" s="1"/>
  <c r="F168" i="22" s="1"/>
  <c r="D377" i="22"/>
  <c r="E377" i="22" s="1"/>
  <c r="F377" i="22" s="1"/>
  <c r="D324" i="20"/>
  <c r="E324" i="20" s="1"/>
  <c r="F324" i="20" s="1"/>
  <c r="AA324" i="20" s="1"/>
  <c r="Z324" i="20" s="1"/>
  <c r="Y324" i="20" s="1"/>
  <c r="D301" i="20"/>
  <c r="E301" i="20" s="1"/>
  <c r="F301" i="20" s="1"/>
  <c r="AA301" i="20" s="1"/>
  <c r="Z301" i="20" s="1"/>
  <c r="Y301" i="20" s="1"/>
  <c r="W164" i="22"/>
  <c r="AA353" i="18"/>
  <c r="Z353" i="18" s="1"/>
  <c r="Y353" i="18" s="1"/>
  <c r="W338" i="22"/>
  <c r="W297" i="22"/>
  <c r="D344" i="22"/>
  <c r="E344" i="22" s="1"/>
  <c r="F344" i="22" s="1"/>
  <c r="D193" i="20"/>
  <c r="E193" i="20" s="1"/>
  <c r="F193" i="20" s="1"/>
  <c r="AA193" i="20" s="1"/>
  <c r="Z193" i="20" s="1"/>
  <c r="Y193" i="20" s="1"/>
  <c r="W326" i="22"/>
  <c r="W192" i="20"/>
  <c r="W94" i="20"/>
  <c r="D170" i="22"/>
  <c r="E170" i="22" s="1"/>
  <c r="F170" i="22" s="1"/>
  <c r="D323" i="22"/>
  <c r="E323" i="22" s="1"/>
  <c r="F323" i="22" s="1"/>
  <c r="D167" i="20"/>
  <c r="E167" i="20" s="1"/>
  <c r="F167" i="20" s="1"/>
  <c r="G167" i="20" s="1"/>
  <c r="CB167" i="6" s="1"/>
  <c r="W367" i="22"/>
  <c r="W136" i="22"/>
  <c r="W95" i="20"/>
  <c r="W180" i="20"/>
  <c r="W366" i="20"/>
  <c r="B380" i="20"/>
  <c r="W366" i="22"/>
  <c r="W224" i="22"/>
  <c r="D129" i="22"/>
  <c r="E129" i="22" s="1"/>
  <c r="F129" i="22" s="1"/>
  <c r="D294" i="22"/>
  <c r="E294" i="22" s="1"/>
  <c r="F294" i="22" s="1"/>
  <c r="W97" i="22"/>
  <c r="D208" i="22"/>
  <c r="E208" i="22" s="1"/>
  <c r="F208" i="22" s="1"/>
  <c r="D212" i="20"/>
  <c r="E212" i="20" s="1"/>
  <c r="F212" i="20" s="1"/>
  <c r="G212" i="20" s="1"/>
  <c r="CB212" i="6" s="1"/>
  <c r="D351" i="20"/>
  <c r="E351" i="20" s="1"/>
  <c r="F351" i="20" s="1"/>
  <c r="AA351" i="20" s="1"/>
  <c r="Z351" i="20" s="1"/>
  <c r="Y351" i="20" s="1"/>
  <c r="D327" i="20"/>
  <c r="E327" i="20" s="1"/>
  <c r="F327" i="20" s="1"/>
  <c r="G327" i="20" s="1"/>
  <c r="CB327" i="6" s="1"/>
  <c r="D258" i="22"/>
  <c r="E258" i="22" s="1"/>
  <c r="F258" i="22" s="1"/>
  <c r="D92" i="22"/>
  <c r="E92" i="22" s="1"/>
  <c r="F92" i="22" s="1"/>
  <c r="D19" i="20"/>
  <c r="E19" i="20" s="1"/>
  <c r="F19" i="20" s="1"/>
  <c r="AA19" i="20" s="1"/>
  <c r="Z19" i="20" s="1"/>
  <c r="Y19" i="20" s="1"/>
  <c r="W284" i="22"/>
  <c r="D316" i="20"/>
  <c r="E316" i="20" s="1"/>
  <c r="F316" i="20" s="1"/>
  <c r="G316" i="20" s="1"/>
  <c r="CB316" i="6" s="1"/>
  <c r="W227" i="22"/>
  <c r="G224" i="18"/>
  <c r="CA224" i="6" s="1"/>
  <c r="W38" i="22"/>
  <c r="D353" i="22"/>
  <c r="E353" i="22" s="1"/>
  <c r="F353" i="22" s="1"/>
  <c r="D299" i="20"/>
  <c r="E299" i="20" s="1"/>
  <c r="F299" i="20" s="1"/>
  <c r="G299" i="20" s="1"/>
  <c r="CB299" i="6" s="1"/>
  <c r="D64" i="22"/>
  <c r="E64" i="22" s="1"/>
  <c r="F64" i="22" s="1"/>
  <c r="D243" i="22"/>
  <c r="E243" i="22" s="1"/>
  <c r="F243" i="22" s="1"/>
  <c r="W324" i="22"/>
  <c r="W18" i="20"/>
  <c r="D301" i="22"/>
  <c r="E301" i="22" s="1"/>
  <c r="F301" i="22" s="1"/>
  <c r="D179" i="22"/>
  <c r="E179" i="22" s="1"/>
  <c r="F179" i="22" s="1"/>
  <c r="D348" i="22"/>
  <c r="E348" i="22" s="1"/>
  <c r="F348" i="22" s="1"/>
  <c r="D216" i="22"/>
  <c r="E216" i="22" s="1"/>
  <c r="F216" i="22" s="1"/>
  <c r="D131" i="22"/>
  <c r="E131" i="22" s="1"/>
  <c r="F131" i="22" s="1"/>
  <c r="D255" i="22"/>
  <c r="E255" i="22" s="1"/>
  <c r="F255" i="22" s="1"/>
  <c r="D167" i="22"/>
  <c r="E167" i="22" s="1"/>
  <c r="F167" i="22" s="1"/>
  <c r="D55" i="22"/>
  <c r="E55" i="22" s="1"/>
  <c r="F55" i="22" s="1"/>
  <c r="W265" i="22"/>
  <c r="D35" i="22"/>
  <c r="E35" i="22" s="1"/>
  <c r="F35" i="22" s="1"/>
  <c r="D23" i="22"/>
  <c r="E23" i="22" s="1"/>
  <c r="F23" i="22" s="1"/>
  <c r="J243" i="17"/>
  <c r="I243" i="17"/>
  <c r="J97" i="17"/>
  <c r="I97" i="17"/>
  <c r="J173" i="17"/>
  <c r="I173" i="17"/>
  <c r="J64" i="17"/>
  <c r="I64" i="17"/>
  <c r="J261" i="17"/>
  <c r="I261" i="17"/>
  <c r="J140" i="17"/>
  <c r="I140" i="17"/>
  <c r="I110" i="17"/>
  <c r="J110" i="17"/>
  <c r="I206" i="17"/>
  <c r="J206" i="17"/>
  <c r="J236" i="17"/>
  <c r="I236" i="17"/>
  <c r="I139" i="17"/>
  <c r="J139" i="17"/>
  <c r="J181" i="17"/>
  <c r="I181" i="17"/>
  <c r="J266" i="17"/>
  <c r="I266" i="17"/>
  <c r="I200" i="17"/>
  <c r="J200" i="17"/>
  <c r="I257" i="17"/>
  <c r="J257" i="17"/>
  <c r="I119" i="17"/>
  <c r="J119" i="17"/>
  <c r="J237" i="17"/>
  <c r="I237" i="17"/>
  <c r="I286" i="17"/>
  <c r="J286" i="17"/>
  <c r="J254" i="17"/>
  <c r="I254" i="17"/>
  <c r="J238" i="17"/>
  <c r="I238" i="17"/>
  <c r="J151" i="17"/>
  <c r="I151" i="17"/>
  <c r="J99" i="17"/>
  <c r="I99" i="17"/>
  <c r="J112" i="17"/>
  <c r="I112" i="17"/>
  <c r="J343" i="17"/>
  <c r="I343" i="17"/>
  <c r="J291" i="17"/>
  <c r="I291" i="17"/>
  <c r="I126" i="17"/>
  <c r="J126" i="17"/>
  <c r="I111" i="17"/>
  <c r="J111" i="17"/>
  <c r="I48" i="17"/>
  <c r="J48" i="17"/>
  <c r="I228" i="17"/>
  <c r="J228" i="17"/>
  <c r="J317" i="17"/>
  <c r="I317" i="17"/>
  <c r="J370" i="17"/>
  <c r="I370" i="17"/>
  <c r="J162" i="17"/>
  <c r="I162" i="17"/>
  <c r="I67" i="17"/>
  <c r="J67" i="17"/>
  <c r="J61" i="17"/>
  <c r="I61" i="17"/>
  <c r="I186" i="17"/>
  <c r="J186" i="17"/>
  <c r="J330" i="17"/>
  <c r="I330" i="17"/>
  <c r="J145" i="17"/>
  <c r="I145" i="17"/>
  <c r="J101" i="17"/>
  <c r="I101" i="17"/>
  <c r="J297" i="17"/>
  <c r="I297" i="17"/>
  <c r="I276" i="17"/>
  <c r="J276" i="17"/>
  <c r="J42" i="17"/>
  <c r="I42" i="17"/>
  <c r="J77" i="17"/>
  <c r="I77" i="17"/>
  <c r="J27" i="17"/>
  <c r="I27" i="17"/>
  <c r="I307" i="17"/>
  <c r="J307" i="17"/>
  <c r="J91" i="17"/>
  <c r="I91" i="17"/>
  <c r="J182" i="17"/>
  <c r="I182" i="17"/>
  <c r="I360" i="17"/>
  <c r="J360" i="17"/>
  <c r="I46" i="17"/>
  <c r="J46" i="17"/>
  <c r="J300" i="17"/>
  <c r="I300" i="17"/>
  <c r="I59" i="17"/>
  <c r="J59" i="17"/>
  <c r="J275" i="17"/>
  <c r="I275" i="17"/>
  <c r="I152" i="17"/>
  <c r="J152" i="17"/>
  <c r="I178" i="17"/>
  <c r="J178" i="17"/>
  <c r="J203" i="17"/>
  <c r="I203" i="17"/>
  <c r="J210" i="17"/>
  <c r="I210" i="17"/>
  <c r="J156" i="17"/>
  <c r="I156" i="17"/>
  <c r="J164" i="17"/>
  <c r="I164" i="17"/>
  <c r="J133" i="17"/>
  <c r="I133" i="17"/>
  <c r="J373" i="17"/>
  <c r="I373" i="17"/>
  <c r="I53" i="17"/>
  <c r="J53" i="17"/>
  <c r="J135" i="17"/>
  <c r="I135" i="17"/>
  <c r="J81" i="17"/>
  <c r="I81" i="17"/>
  <c r="J176" i="17"/>
  <c r="I176" i="17"/>
  <c r="I372" i="17"/>
  <c r="J372" i="17"/>
  <c r="I56" i="17"/>
  <c r="J56" i="17"/>
  <c r="J318" i="17"/>
  <c r="I318" i="17"/>
  <c r="J364" i="17"/>
  <c r="I364" i="17"/>
  <c r="I179" i="17"/>
  <c r="J179" i="17"/>
  <c r="I29" i="17"/>
  <c r="J29" i="17"/>
  <c r="J37" i="17"/>
  <c r="I37" i="17"/>
  <c r="I246" i="17"/>
  <c r="J246" i="17"/>
  <c r="I75" i="17"/>
  <c r="J75" i="17"/>
  <c r="J308" i="17"/>
  <c r="I308" i="17"/>
  <c r="I323" i="17"/>
  <c r="J323" i="17"/>
  <c r="J169" i="17"/>
  <c r="I169" i="17"/>
  <c r="I376" i="17"/>
  <c r="J376" i="17"/>
  <c r="I295" i="17"/>
  <c r="J295" i="17"/>
  <c r="J191" i="17"/>
  <c r="I191" i="17"/>
  <c r="J158" i="17"/>
  <c r="I158" i="17"/>
  <c r="J235" i="17"/>
  <c r="I235" i="17"/>
  <c r="J198" i="17"/>
  <c r="I198" i="17"/>
  <c r="I279" i="17"/>
  <c r="J279" i="17"/>
  <c r="I187" i="17"/>
  <c r="J187" i="17"/>
  <c r="I149" i="17"/>
  <c r="J149" i="17"/>
  <c r="J327" i="17"/>
  <c r="I327" i="17"/>
  <c r="J336" i="17"/>
  <c r="I336" i="17"/>
  <c r="J147" i="17"/>
  <c r="I147" i="17"/>
  <c r="J190" i="17"/>
  <c r="I190" i="17"/>
  <c r="J344" i="17"/>
  <c r="I344" i="17"/>
  <c r="I277" i="17"/>
  <c r="J277" i="17"/>
  <c r="I313" i="17"/>
  <c r="J313" i="17"/>
  <c r="J342" i="17"/>
  <c r="I342" i="17"/>
  <c r="J23" i="17"/>
  <c r="I23" i="17"/>
  <c r="I96" i="17"/>
  <c r="J96" i="17"/>
  <c r="J141" i="17"/>
  <c r="I141" i="17"/>
  <c r="J85" i="17"/>
  <c r="I85" i="17"/>
  <c r="J24" i="17"/>
  <c r="I24" i="17"/>
  <c r="J245" i="17"/>
  <c r="I245" i="17"/>
  <c r="J155" i="17"/>
  <c r="I155" i="17"/>
  <c r="J52" i="17"/>
  <c r="I52" i="17"/>
  <c r="J320" i="17"/>
  <c r="I320" i="17"/>
  <c r="J269" i="17"/>
  <c r="I269" i="17"/>
  <c r="I248" i="17"/>
  <c r="J248" i="17"/>
  <c r="I375" i="17"/>
  <c r="J375" i="17"/>
  <c r="J331" i="17"/>
  <c r="I331" i="17"/>
  <c r="J325" i="17"/>
  <c r="I325" i="17"/>
  <c r="J374" i="17"/>
  <c r="I374" i="17"/>
  <c r="I310" i="17"/>
  <c r="J310" i="17"/>
  <c r="J144" i="17"/>
  <c r="I144" i="17"/>
  <c r="J17" i="17"/>
  <c r="I17" i="17"/>
  <c r="I315" i="17"/>
  <c r="J315" i="17"/>
  <c r="J25" i="17"/>
  <c r="I25" i="17"/>
  <c r="I28" i="17"/>
  <c r="J28" i="17"/>
  <c r="I107" i="17"/>
  <c r="J107" i="17"/>
  <c r="J66" i="17"/>
  <c r="I66" i="17"/>
  <c r="J82" i="17"/>
  <c r="I82" i="17"/>
  <c r="I157" i="17"/>
  <c r="J157" i="17"/>
  <c r="J78" i="17"/>
  <c r="I78" i="17"/>
  <c r="J274" i="17"/>
  <c r="I274" i="17"/>
  <c r="I106" i="17"/>
  <c r="J106" i="17"/>
  <c r="I180" i="17"/>
  <c r="J180" i="17"/>
  <c r="I117" i="17"/>
  <c r="J117" i="17"/>
  <c r="I230" i="17"/>
  <c r="J230" i="17"/>
  <c r="G59" i="18"/>
  <c r="CA59" i="6" s="1"/>
  <c r="AA59" i="18"/>
  <c r="Z59" i="18" s="1"/>
  <c r="Y59" i="18" s="1"/>
  <c r="I104" i="17"/>
  <c r="J104" i="17"/>
  <c r="G69" i="18"/>
  <c r="CA69" i="6" s="1"/>
  <c r="AA69" i="18"/>
  <c r="Z69" i="18" s="1"/>
  <c r="Y69" i="18" s="1"/>
  <c r="G316" i="18"/>
  <c r="CA316" i="6" s="1"/>
  <c r="H316" i="18"/>
  <c r="AA316" i="18"/>
  <c r="Z316" i="18" s="1"/>
  <c r="Y316" i="18" s="1"/>
  <c r="G329" i="18"/>
  <c r="CA329" i="6" s="1"/>
  <c r="AA329" i="18"/>
  <c r="Z329" i="18" s="1"/>
  <c r="Y329" i="18" s="1"/>
  <c r="AA131" i="18"/>
  <c r="Z131" i="18" s="1"/>
  <c r="Y131" i="18" s="1"/>
  <c r="G131" i="18"/>
  <c r="CA131" i="6" s="1"/>
  <c r="I113" i="17"/>
  <c r="J113" i="17"/>
  <c r="G92" i="18"/>
  <c r="CA92" i="6" s="1"/>
  <c r="AA92" i="18"/>
  <c r="Z92" i="18" s="1"/>
  <c r="Y92" i="18" s="1"/>
  <c r="G38" i="18"/>
  <c r="CA38" i="6" s="1"/>
  <c r="AA38" i="18"/>
  <c r="Z38" i="18" s="1"/>
  <c r="Y38" i="18" s="1"/>
  <c r="G351" i="18"/>
  <c r="CA351" i="6" s="1"/>
  <c r="AA351" i="18"/>
  <c r="Z351" i="18" s="1"/>
  <c r="Y351" i="18" s="1"/>
  <c r="AA212" i="18"/>
  <c r="Z212" i="18" s="1"/>
  <c r="Y212" i="18" s="1"/>
  <c r="G212" i="18"/>
  <c r="CA212" i="6" s="1"/>
  <c r="G238" i="18"/>
  <c r="CA238" i="6" s="1"/>
  <c r="AA238" i="18"/>
  <c r="Z238" i="18" s="1"/>
  <c r="Y238" i="18" s="1"/>
  <c r="H238" i="18"/>
  <c r="G216" i="18"/>
  <c r="CA216" i="6" s="1"/>
  <c r="AA216" i="18"/>
  <c r="Z216" i="18" s="1"/>
  <c r="Y216" i="18" s="1"/>
  <c r="G70" i="18"/>
  <c r="CA70" i="6" s="1"/>
  <c r="AA70" i="18"/>
  <c r="Z70" i="18" s="1"/>
  <c r="Y70" i="18" s="1"/>
  <c r="G97" i="18"/>
  <c r="CA97" i="6" s="1"/>
  <c r="H97" i="18"/>
  <c r="AA97" i="18"/>
  <c r="Z97" i="18" s="1"/>
  <c r="Y97" i="18" s="1"/>
  <c r="G262" i="18"/>
  <c r="CA262" i="6" s="1"/>
  <c r="AA262" i="18"/>
  <c r="Z262" i="18" s="1"/>
  <c r="Y262" i="18" s="1"/>
  <c r="G377" i="18"/>
  <c r="CA377" i="6" s="1"/>
  <c r="AA377" i="18"/>
  <c r="Z377" i="18" s="1"/>
  <c r="Y377" i="18" s="1"/>
  <c r="G129" i="18"/>
  <c r="CA129" i="6" s="1"/>
  <c r="AA129" i="18"/>
  <c r="Z129" i="18" s="1"/>
  <c r="Y129" i="18" s="1"/>
  <c r="G359" i="18"/>
  <c r="CA359" i="6" s="1"/>
  <c r="AA359" i="18"/>
  <c r="Z359" i="18" s="1"/>
  <c r="Y359" i="18" s="1"/>
  <c r="G294" i="18"/>
  <c r="CA294" i="6" s="1"/>
  <c r="AA294" i="18"/>
  <c r="Z294" i="18" s="1"/>
  <c r="Y294" i="18" s="1"/>
  <c r="G231" i="18"/>
  <c r="CA231" i="6" s="1"/>
  <c r="AA231" i="18"/>
  <c r="Z231" i="18" s="1"/>
  <c r="Y231" i="18" s="1"/>
  <c r="G132" i="18"/>
  <c r="CA132" i="6" s="1"/>
  <c r="AA132" i="18"/>
  <c r="Z132" i="18" s="1"/>
  <c r="Y132" i="18" s="1"/>
  <c r="G326" i="18"/>
  <c r="CA326" i="6" s="1"/>
  <c r="AA326" i="18"/>
  <c r="Z326" i="18" s="1"/>
  <c r="Y326" i="18" s="1"/>
  <c r="G43" i="18"/>
  <c r="CA43" i="6" s="1"/>
  <c r="AA43" i="18"/>
  <c r="Z43" i="18" s="1"/>
  <c r="Y43" i="18" s="1"/>
  <c r="H43" i="18"/>
  <c r="G323" i="18"/>
  <c r="CA323" i="6" s="1"/>
  <c r="AA323" i="18"/>
  <c r="Z323" i="18" s="1"/>
  <c r="Y323" i="18" s="1"/>
  <c r="G258" i="18"/>
  <c r="CA258" i="6" s="1"/>
  <c r="AA258" i="18"/>
  <c r="Z258" i="18" s="1"/>
  <c r="Y258" i="18" s="1"/>
  <c r="J337" i="17"/>
  <c r="I337" i="17"/>
  <c r="J98" i="17"/>
  <c r="I98" i="17"/>
  <c r="I102" i="17"/>
  <c r="J102" i="17"/>
  <c r="J32" i="17"/>
  <c r="I32" i="17"/>
  <c r="J72" i="17"/>
  <c r="I72" i="17"/>
  <c r="I329" i="17"/>
  <c r="J329" i="17"/>
  <c r="I26" i="17"/>
  <c r="J26" i="17"/>
  <c r="I130" i="17"/>
  <c r="J130" i="17"/>
  <c r="I177" i="17"/>
  <c r="J177" i="17"/>
  <c r="J233" i="17"/>
  <c r="I233" i="17"/>
  <c r="J92" i="17"/>
  <c r="I92" i="17"/>
  <c r="I256" i="17"/>
  <c r="J256" i="17"/>
  <c r="J259" i="17"/>
  <c r="I259" i="17"/>
  <c r="I50" i="17"/>
  <c r="J50" i="17"/>
  <c r="J161" i="17"/>
  <c r="I161" i="17"/>
  <c r="I192" i="17"/>
  <c r="J192" i="17"/>
  <c r="J219" i="17"/>
  <c r="I219" i="17"/>
  <c r="J38" i="17"/>
  <c r="I38" i="17"/>
  <c r="I213" i="17"/>
  <c r="J213" i="17"/>
  <c r="J136" i="17"/>
  <c r="I136" i="17"/>
  <c r="J280" i="17"/>
  <c r="I280" i="17"/>
  <c r="J214" i="17"/>
  <c r="I214" i="17"/>
  <c r="J348" i="17"/>
  <c r="I348" i="17"/>
  <c r="J84" i="17"/>
  <c r="I84" i="17"/>
  <c r="I170" i="17"/>
  <c r="J170" i="17"/>
  <c r="I103" i="17"/>
  <c r="J103" i="17"/>
  <c r="J51" i="17"/>
  <c r="I51" i="17"/>
  <c r="I346" i="17"/>
  <c r="J346" i="17"/>
  <c r="J239" i="17"/>
  <c r="I239" i="17"/>
  <c r="J332" i="17"/>
  <c r="I332" i="17"/>
  <c r="I202" i="17"/>
  <c r="J202" i="17"/>
  <c r="J260" i="17"/>
  <c r="I260" i="17"/>
  <c r="I165" i="17"/>
  <c r="J165" i="17"/>
  <c r="J73" i="17"/>
  <c r="I73" i="17"/>
  <c r="I229" i="17"/>
  <c r="J229" i="17"/>
  <c r="I250" i="17"/>
  <c r="J250" i="17"/>
  <c r="I357" i="17"/>
  <c r="J357" i="17"/>
  <c r="I47" i="17"/>
  <c r="J47" i="17"/>
  <c r="J129" i="17"/>
  <c r="I129" i="17"/>
  <c r="I293" i="17"/>
  <c r="J293" i="17"/>
  <c r="I302" i="17"/>
  <c r="J302" i="17"/>
  <c r="I146" i="17"/>
  <c r="J146" i="17"/>
  <c r="J58" i="17"/>
  <c r="I58" i="17"/>
  <c r="J271" i="17"/>
  <c r="I271" i="17"/>
  <c r="J379" i="17"/>
  <c r="I379" i="17"/>
  <c r="I171" i="17"/>
  <c r="J171" i="17"/>
  <c r="I40" i="17"/>
  <c r="J40" i="17"/>
  <c r="J355" i="17"/>
  <c r="I355" i="17"/>
  <c r="J287" i="17"/>
  <c r="I287" i="17"/>
  <c r="I324" i="17"/>
  <c r="J324" i="17"/>
  <c r="I201" i="17"/>
  <c r="J201" i="17"/>
  <c r="I366" i="17"/>
  <c r="J366" i="17"/>
  <c r="J95" i="17"/>
  <c r="I95" i="17"/>
  <c r="I86" i="17"/>
  <c r="J86" i="17"/>
  <c r="I309" i="17"/>
  <c r="J309" i="17"/>
  <c r="I367" i="17"/>
  <c r="J367" i="17"/>
  <c r="J306" i="17"/>
  <c r="I306" i="17"/>
  <c r="J363" i="17"/>
  <c r="I363" i="17"/>
  <c r="J351" i="17"/>
  <c r="I351" i="17"/>
  <c r="J60" i="17"/>
  <c r="I60" i="17"/>
  <c r="J194" i="17"/>
  <c r="I194" i="17"/>
  <c r="I142" i="17"/>
  <c r="J142" i="17"/>
  <c r="I304" i="17"/>
  <c r="J304" i="17"/>
  <c r="J105" i="17"/>
  <c r="I105" i="17"/>
  <c r="I226" i="17"/>
  <c r="J226" i="17"/>
  <c r="J88" i="17"/>
  <c r="I88" i="17"/>
  <c r="I172" i="17"/>
  <c r="J172" i="17"/>
  <c r="J321" i="17"/>
  <c r="I321" i="17"/>
  <c r="I150" i="17"/>
  <c r="J150" i="17"/>
  <c r="J241" i="17"/>
  <c r="I241" i="17"/>
  <c r="J215" i="17"/>
  <c r="I215" i="17"/>
  <c r="J212" i="17"/>
  <c r="I212" i="17"/>
  <c r="I255" i="17"/>
  <c r="J255" i="17"/>
  <c r="J338" i="17"/>
  <c r="I338" i="17"/>
  <c r="J263" i="17"/>
  <c r="I263" i="17"/>
  <c r="I377" i="17"/>
  <c r="J377" i="17"/>
  <c r="J193" i="17"/>
  <c r="I193" i="17"/>
  <c r="I36" i="17"/>
  <c r="J36" i="17"/>
  <c r="J244" i="17"/>
  <c r="I244" i="17"/>
  <c r="J90" i="17"/>
  <c r="I90" i="17"/>
  <c r="I41" i="17"/>
  <c r="J41" i="17"/>
  <c r="I62" i="17"/>
  <c r="J62" i="17"/>
  <c r="I39" i="17"/>
  <c r="J39" i="17"/>
  <c r="J18" i="17"/>
  <c r="I18" i="17"/>
  <c r="G174" i="20"/>
  <c r="CB174" i="6" s="1"/>
  <c r="AA174" i="20"/>
  <c r="Z174" i="20" s="1"/>
  <c r="Y174" i="20" s="1"/>
  <c r="W76" i="20"/>
  <c r="D76" i="20"/>
  <c r="E76" i="20" s="1"/>
  <c r="F76" i="20" s="1"/>
  <c r="G81" i="18"/>
  <c r="CA81" i="6" s="1"/>
  <c r="AA81" i="18"/>
  <c r="Z81" i="18" s="1"/>
  <c r="Y81" i="18" s="1"/>
  <c r="W100" i="22"/>
  <c r="D100" i="22"/>
  <c r="E100" i="22" s="1"/>
  <c r="F100" i="22" s="1"/>
  <c r="W73" i="20"/>
  <c r="D73" i="20"/>
  <c r="E73" i="20" s="1"/>
  <c r="F73" i="20" s="1"/>
  <c r="G332" i="18"/>
  <c r="CA332" i="6" s="1"/>
  <c r="AA332" i="18"/>
  <c r="Z332" i="18" s="1"/>
  <c r="Y332" i="18" s="1"/>
  <c r="W32" i="22"/>
  <c r="D32" i="22"/>
  <c r="E32" i="22" s="1"/>
  <c r="F32" i="22" s="1"/>
  <c r="G321" i="18"/>
  <c r="CA321" i="6" s="1"/>
  <c r="AA321" i="18"/>
  <c r="Z321" i="18" s="1"/>
  <c r="Y321" i="18" s="1"/>
  <c r="W229" i="22"/>
  <c r="D229" i="22"/>
  <c r="E229" i="22" s="1"/>
  <c r="F229" i="22" s="1"/>
  <c r="G163" i="18"/>
  <c r="CA163" i="6" s="1"/>
  <c r="AA163" i="18"/>
  <c r="Z163" i="18" s="1"/>
  <c r="Y163" i="18" s="1"/>
  <c r="G98" i="18"/>
  <c r="CA98" i="6" s="1"/>
  <c r="AA98" i="18"/>
  <c r="Z98" i="18" s="1"/>
  <c r="Y98" i="18" s="1"/>
  <c r="W236" i="20"/>
  <c r="D236" i="20"/>
  <c r="E236" i="20" s="1"/>
  <c r="F236" i="20" s="1"/>
  <c r="W299" i="22"/>
  <c r="D299" i="22"/>
  <c r="E299" i="22" s="1"/>
  <c r="F299" i="22" s="1"/>
  <c r="G182" i="18"/>
  <c r="CA182" i="6" s="1"/>
  <c r="AA182" i="18"/>
  <c r="Z182" i="18" s="1"/>
  <c r="Y182" i="18" s="1"/>
  <c r="G207" i="20"/>
  <c r="CB207" i="6" s="1"/>
  <c r="AA207" i="20"/>
  <c r="Z207" i="20" s="1"/>
  <c r="Y207" i="20" s="1"/>
  <c r="G289" i="18"/>
  <c r="CA289" i="6" s="1"/>
  <c r="AA289" i="18"/>
  <c r="Z289" i="18" s="1"/>
  <c r="Y289" i="18" s="1"/>
  <c r="G78" i="18"/>
  <c r="CA78" i="6" s="1"/>
  <c r="AA78" i="18"/>
  <c r="Z78" i="18" s="1"/>
  <c r="Y78" i="18" s="1"/>
  <c r="G366" i="20"/>
  <c r="CB366" i="6" s="1"/>
  <c r="AA366" i="20"/>
  <c r="Z366" i="20" s="1"/>
  <c r="Y366" i="20" s="1"/>
  <c r="W356" i="20"/>
  <c r="D356" i="20"/>
  <c r="E356" i="20" s="1"/>
  <c r="F356" i="20" s="1"/>
  <c r="G342" i="20"/>
  <c r="CB342" i="6" s="1"/>
  <c r="AA342" i="20"/>
  <c r="Z342" i="20" s="1"/>
  <c r="Y342" i="20" s="1"/>
  <c r="G314" i="18"/>
  <c r="CA314" i="6" s="1"/>
  <c r="AA314" i="18"/>
  <c r="Z314" i="18" s="1"/>
  <c r="Y314" i="18" s="1"/>
  <c r="G240" i="18"/>
  <c r="CA240" i="6" s="1"/>
  <c r="H240" i="18"/>
  <c r="AA240" i="18"/>
  <c r="Z240" i="18" s="1"/>
  <c r="Y240" i="18" s="1"/>
  <c r="W206" i="20"/>
  <c r="D206" i="20"/>
  <c r="E206" i="20" s="1"/>
  <c r="F206" i="20" s="1"/>
  <c r="G200" i="20"/>
  <c r="CB200" i="6" s="1"/>
  <c r="AA200" i="20"/>
  <c r="Z200" i="20" s="1"/>
  <c r="Y200" i="20" s="1"/>
  <c r="G190" i="20"/>
  <c r="CB190" i="6" s="1"/>
  <c r="AA190" i="20"/>
  <c r="Z190" i="20" s="1"/>
  <c r="Y190" i="20" s="1"/>
  <c r="G168" i="20"/>
  <c r="CB168" i="6" s="1"/>
  <c r="AA168" i="20"/>
  <c r="Z168" i="20" s="1"/>
  <c r="Y168" i="20" s="1"/>
  <c r="W156" i="20"/>
  <c r="D156" i="20"/>
  <c r="E156" i="20" s="1"/>
  <c r="F156" i="20" s="1"/>
  <c r="W134" i="22"/>
  <c r="D134" i="22"/>
  <c r="E134" i="22" s="1"/>
  <c r="F134" i="22" s="1"/>
  <c r="G72" i="18"/>
  <c r="CA72" i="6" s="1"/>
  <c r="AA72" i="18"/>
  <c r="Z72" i="18" s="1"/>
  <c r="Y72" i="18" s="1"/>
  <c r="W68" i="22"/>
  <c r="D68" i="22"/>
  <c r="E68" i="22" s="1"/>
  <c r="F68" i="22" s="1"/>
  <c r="W44" i="20"/>
  <c r="D44" i="20"/>
  <c r="E44" i="20" s="1"/>
  <c r="F44" i="20" s="1"/>
  <c r="G40" i="20"/>
  <c r="CB40" i="6" s="1"/>
  <c r="AA40" i="20"/>
  <c r="Z40" i="20" s="1"/>
  <c r="Y40" i="20" s="1"/>
  <c r="W24" i="20"/>
  <c r="D24" i="20"/>
  <c r="E24" i="20" s="1"/>
  <c r="F24" i="20" s="1"/>
  <c r="G377" i="20"/>
  <c r="CB377" i="6" s="1"/>
  <c r="AA377" i="20"/>
  <c r="Z377" i="20" s="1"/>
  <c r="Y377" i="20" s="1"/>
  <c r="W345" i="20"/>
  <c r="D345" i="20"/>
  <c r="E345" i="20" s="1"/>
  <c r="F345" i="20" s="1"/>
  <c r="G343" i="20"/>
  <c r="CB343" i="6" s="1"/>
  <c r="AA343" i="20"/>
  <c r="Z343" i="20" s="1"/>
  <c r="Y343" i="20" s="1"/>
  <c r="G315" i="18"/>
  <c r="CA315" i="6" s="1"/>
  <c r="AA315" i="18"/>
  <c r="Z315" i="18" s="1"/>
  <c r="Y315" i="18" s="1"/>
  <c r="G239" i="18"/>
  <c r="CA239" i="6" s="1"/>
  <c r="AA239" i="18"/>
  <c r="Z239" i="18" s="1"/>
  <c r="Y239" i="18" s="1"/>
  <c r="W213" i="20"/>
  <c r="D213" i="20"/>
  <c r="E213" i="20" s="1"/>
  <c r="F213" i="20" s="1"/>
  <c r="W133" i="20"/>
  <c r="D133" i="20"/>
  <c r="E133" i="20" s="1"/>
  <c r="F133" i="20" s="1"/>
  <c r="W115" i="20"/>
  <c r="D115" i="20"/>
  <c r="E115" i="20" s="1"/>
  <c r="F115" i="20" s="1"/>
  <c r="G113" i="20"/>
  <c r="CB113" i="6" s="1"/>
  <c r="AA113" i="20"/>
  <c r="Z113" i="20" s="1"/>
  <c r="Y113" i="20" s="1"/>
  <c r="G85" i="18"/>
  <c r="CA85" i="6" s="1"/>
  <c r="AA85" i="18"/>
  <c r="Z85" i="18" s="1"/>
  <c r="Y85" i="18" s="1"/>
  <c r="W57" i="22"/>
  <c r="D57" i="22"/>
  <c r="E57" i="22" s="1"/>
  <c r="F57" i="22" s="1"/>
  <c r="AA360" i="20"/>
  <c r="Z360" i="20" s="1"/>
  <c r="Y360" i="20" s="1"/>
  <c r="G360" i="20"/>
  <c r="CB360" i="6" s="1"/>
  <c r="AA322" i="18"/>
  <c r="Z322" i="18" s="1"/>
  <c r="Y322" i="18" s="1"/>
  <c r="G322" i="18"/>
  <c r="CA322" i="6" s="1"/>
  <c r="W280" i="22"/>
  <c r="D280" i="22"/>
  <c r="E280" i="22" s="1"/>
  <c r="F280" i="22" s="1"/>
  <c r="G266" i="18"/>
  <c r="CA266" i="6" s="1"/>
  <c r="AA266" i="18"/>
  <c r="Z266" i="18" s="1"/>
  <c r="Y266" i="18" s="1"/>
  <c r="W234" i="20"/>
  <c r="D234" i="20"/>
  <c r="E234" i="20" s="1"/>
  <c r="F234" i="20" s="1"/>
  <c r="W172" i="22"/>
  <c r="D172" i="22"/>
  <c r="E172" i="22" s="1"/>
  <c r="F172" i="22" s="1"/>
  <c r="G172" i="20"/>
  <c r="CB172" i="6" s="1"/>
  <c r="AA172" i="20"/>
  <c r="Z172" i="20" s="1"/>
  <c r="Y172" i="20" s="1"/>
  <c r="G160" i="18"/>
  <c r="CA160" i="6" s="1"/>
  <c r="AA160" i="18"/>
  <c r="Z160" i="18" s="1"/>
  <c r="Y160" i="18" s="1"/>
  <c r="G122" i="20"/>
  <c r="CB122" i="6" s="1"/>
  <c r="AA122" i="20"/>
  <c r="Z122" i="20" s="1"/>
  <c r="Y122" i="20" s="1"/>
  <c r="G48" i="18"/>
  <c r="CA48" i="6" s="1"/>
  <c r="AA48" i="18"/>
  <c r="Z48" i="18" s="1"/>
  <c r="Y48" i="18" s="1"/>
  <c r="G18" i="20"/>
  <c r="CB18" i="6" s="1"/>
  <c r="AA18" i="20"/>
  <c r="Z18" i="20" s="1"/>
  <c r="Y18" i="20" s="1"/>
  <c r="W20" i="20"/>
  <c r="D20" i="20"/>
  <c r="E20" i="20" s="1"/>
  <c r="F20" i="20" s="1"/>
  <c r="G373" i="18"/>
  <c r="CA373" i="6" s="1"/>
  <c r="AA373" i="18"/>
  <c r="Z373" i="18" s="1"/>
  <c r="Y373" i="18" s="1"/>
  <c r="G357" i="18"/>
  <c r="CA357" i="6" s="1"/>
  <c r="AA357" i="18"/>
  <c r="Z357" i="18" s="1"/>
  <c r="Y357" i="18" s="1"/>
  <c r="G307" i="18"/>
  <c r="CA307" i="6" s="1"/>
  <c r="AA307" i="18"/>
  <c r="Z307" i="18" s="1"/>
  <c r="Y307" i="18" s="1"/>
  <c r="W267" i="20"/>
  <c r="D267" i="20"/>
  <c r="E267" i="20" s="1"/>
  <c r="F267" i="20" s="1"/>
  <c r="W257" i="22"/>
  <c r="D257" i="22"/>
  <c r="E257" i="22" s="1"/>
  <c r="F257" i="22" s="1"/>
  <c r="G257" i="20"/>
  <c r="CB257" i="6" s="1"/>
  <c r="AA257" i="20"/>
  <c r="Z257" i="20" s="1"/>
  <c r="Y257" i="20" s="1"/>
  <c r="G223" i="18"/>
  <c r="CA223" i="6" s="1"/>
  <c r="AA223" i="18"/>
  <c r="Z223" i="18" s="1"/>
  <c r="Y223" i="18" s="1"/>
  <c r="W191" i="20"/>
  <c r="D191" i="20"/>
  <c r="E191" i="20" s="1"/>
  <c r="F191" i="20" s="1"/>
  <c r="G143" i="18"/>
  <c r="CA143" i="6" s="1"/>
  <c r="AA143" i="18"/>
  <c r="Z143" i="18" s="1"/>
  <c r="Y143" i="18" s="1"/>
  <c r="W141" i="22"/>
  <c r="D141" i="22"/>
  <c r="E141" i="22" s="1"/>
  <c r="F141" i="22" s="1"/>
  <c r="AA65" i="18"/>
  <c r="Z65" i="18" s="1"/>
  <c r="Y65" i="18" s="1"/>
  <c r="G65" i="18"/>
  <c r="CA65" i="6" s="1"/>
  <c r="G372" i="18"/>
  <c r="CA372" i="6" s="1"/>
  <c r="AA372" i="18"/>
  <c r="Z372" i="18" s="1"/>
  <c r="Y372" i="18" s="1"/>
  <c r="G148" i="18"/>
  <c r="CA148" i="6" s="1"/>
  <c r="AA148" i="18"/>
  <c r="Z148" i="18" s="1"/>
  <c r="Y148" i="18" s="1"/>
  <c r="W142" i="22"/>
  <c r="D142" i="22"/>
  <c r="E142" i="22" s="1"/>
  <c r="F142" i="22" s="1"/>
  <c r="G142" i="20"/>
  <c r="CB142" i="6" s="1"/>
  <c r="AA142" i="20"/>
  <c r="Z142" i="20" s="1"/>
  <c r="Y142" i="20" s="1"/>
  <c r="G126" i="18"/>
  <c r="CA126" i="6" s="1"/>
  <c r="AA126" i="18"/>
  <c r="Z126" i="18" s="1"/>
  <c r="Y126" i="18" s="1"/>
  <c r="AA96" i="18"/>
  <c r="Z96" i="18" s="1"/>
  <c r="Y96" i="18" s="1"/>
  <c r="G96" i="18"/>
  <c r="CA96" i="6" s="1"/>
  <c r="W80" i="22"/>
  <c r="D80" i="22"/>
  <c r="E80" i="22" s="1"/>
  <c r="F80" i="22" s="1"/>
  <c r="G34" i="18"/>
  <c r="CA34" i="6" s="1"/>
  <c r="AA34" i="18"/>
  <c r="Z34" i="18" s="1"/>
  <c r="Y34" i="18" s="1"/>
  <c r="W371" i="20"/>
  <c r="D371" i="20"/>
  <c r="E371" i="20" s="1"/>
  <c r="F371" i="20" s="1"/>
  <c r="W339" i="20"/>
  <c r="D339" i="20"/>
  <c r="E339" i="20" s="1"/>
  <c r="F339" i="20" s="1"/>
  <c r="AA293" i="20"/>
  <c r="Z293" i="20" s="1"/>
  <c r="Y293" i="20" s="1"/>
  <c r="G293" i="20"/>
  <c r="CB293" i="6" s="1"/>
  <c r="W291" i="20"/>
  <c r="D291" i="20"/>
  <c r="E291" i="20" s="1"/>
  <c r="F291" i="20" s="1"/>
  <c r="G259" i="20"/>
  <c r="CB259" i="6" s="1"/>
  <c r="AA259" i="20"/>
  <c r="Z259" i="20" s="1"/>
  <c r="Y259" i="20" s="1"/>
  <c r="W209" i="22"/>
  <c r="D209" i="22"/>
  <c r="E209" i="22" s="1"/>
  <c r="F209" i="22" s="1"/>
  <c r="G201" i="18"/>
  <c r="CA201" i="6" s="1"/>
  <c r="AA201" i="18"/>
  <c r="Z201" i="18" s="1"/>
  <c r="Y201" i="18" s="1"/>
  <c r="W147" i="22"/>
  <c r="D147" i="22"/>
  <c r="E147" i="22" s="1"/>
  <c r="F147" i="22" s="1"/>
  <c r="G145" i="18"/>
  <c r="CA145" i="6" s="1"/>
  <c r="AA145" i="18"/>
  <c r="Z145" i="18" s="1"/>
  <c r="Y145" i="18" s="1"/>
  <c r="G93" i="20"/>
  <c r="CB93" i="6" s="1"/>
  <c r="AA93" i="20"/>
  <c r="Z93" i="20" s="1"/>
  <c r="Y93" i="20" s="1"/>
  <c r="W87" i="20"/>
  <c r="D87" i="20"/>
  <c r="E87" i="20" s="1"/>
  <c r="F87" i="20" s="1"/>
  <c r="W49" i="20"/>
  <c r="D49" i="20"/>
  <c r="E49" i="20" s="1"/>
  <c r="F49" i="20" s="1"/>
  <c r="W320" i="22"/>
  <c r="D320" i="22"/>
  <c r="E320" i="22" s="1"/>
  <c r="F320" i="22" s="1"/>
  <c r="W276" i="22"/>
  <c r="D276" i="22"/>
  <c r="E276" i="22" s="1"/>
  <c r="F276" i="22" s="1"/>
  <c r="W260" i="22"/>
  <c r="D260" i="22"/>
  <c r="E260" i="22" s="1"/>
  <c r="F260" i="22" s="1"/>
  <c r="W254" i="20"/>
  <c r="D254" i="20"/>
  <c r="E254" i="20" s="1"/>
  <c r="F254" i="20" s="1"/>
  <c r="W220" i="20"/>
  <c r="D220" i="20"/>
  <c r="E220" i="20" s="1"/>
  <c r="F220" i="20" s="1"/>
  <c r="G140" i="18"/>
  <c r="CA140" i="6" s="1"/>
  <c r="AA140" i="18"/>
  <c r="Z140" i="18" s="1"/>
  <c r="Y140" i="18" s="1"/>
  <c r="G110" i="18"/>
  <c r="CA110" i="6" s="1"/>
  <c r="AA110" i="18"/>
  <c r="Z110" i="18" s="1"/>
  <c r="Y110" i="18" s="1"/>
  <c r="W42" i="20"/>
  <c r="D42" i="20"/>
  <c r="E42" i="20" s="1"/>
  <c r="F42" i="20" s="1"/>
  <c r="W317" i="20"/>
  <c r="D317" i="20"/>
  <c r="E317" i="20" s="1"/>
  <c r="F317" i="20" s="1"/>
  <c r="W249" i="20"/>
  <c r="D249" i="20"/>
  <c r="E249" i="20" s="1"/>
  <c r="F249" i="20" s="1"/>
  <c r="G185" i="18"/>
  <c r="CA185" i="6" s="1"/>
  <c r="AA185" i="18"/>
  <c r="Z185" i="18" s="1"/>
  <c r="Y185" i="18" s="1"/>
  <c r="G63" i="20"/>
  <c r="CB63" i="6" s="1"/>
  <c r="AA63" i="20"/>
  <c r="Z63" i="20" s="1"/>
  <c r="Y63" i="20" s="1"/>
  <c r="AA37" i="18"/>
  <c r="Z37" i="18" s="1"/>
  <c r="Y37" i="18" s="1"/>
  <c r="G37" i="18"/>
  <c r="CA37" i="6" s="1"/>
  <c r="W88" i="20"/>
  <c r="D88" i="20"/>
  <c r="E88" i="20" s="1"/>
  <c r="F88" i="20" s="1"/>
  <c r="AA244" i="18"/>
  <c r="Z244" i="18" s="1"/>
  <c r="Y244" i="18" s="1"/>
  <c r="G244" i="18"/>
  <c r="CA244" i="6" s="1"/>
  <c r="W241" i="22"/>
  <c r="D241" i="22"/>
  <c r="E241" i="22" s="1"/>
  <c r="F241" i="22" s="1"/>
  <c r="W189" i="22"/>
  <c r="D189" i="22"/>
  <c r="E189" i="22" s="1"/>
  <c r="F189" i="22" s="1"/>
  <c r="G154" i="20"/>
  <c r="CB154" i="6" s="1"/>
  <c r="AA154" i="20"/>
  <c r="Z154" i="20" s="1"/>
  <c r="Y154" i="20" s="1"/>
  <c r="W368" i="22"/>
  <c r="D368" i="22"/>
  <c r="E368" i="22" s="1"/>
  <c r="F368" i="22" s="1"/>
  <c r="W272" i="20"/>
  <c r="D272" i="20"/>
  <c r="E272" i="20" s="1"/>
  <c r="F272" i="20" s="1"/>
  <c r="G346" i="18"/>
  <c r="CA346" i="6" s="1"/>
  <c r="AA346" i="18"/>
  <c r="Z346" i="18" s="1"/>
  <c r="Y346" i="18" s="1"/>
  <c r="AA248" i="18"/>
  <c r="Z248" i="18" s="1"/>
  <c r="Y248" i="18" s="1"/>
  <c r="G248" i="18"/>
  <c r="CA248" i="6" s="1"/>
  <c r="D22" i="20"/>
  <c r="E22" i="20" s="1"/>
  <c r="F22" i="20" s="1"/>
  <c r="W22" i="20"/>
  <c r="W166" i="22"/>
  <c r="D166" i="22"/>
  <c r="E166" i="22" s="1"/>
  <c r="F166" i="22" s="1"/>
  <c r="W67" i="20"/>
  <c r="D67" i="20"/>
  <c r="E67" i="20" s="1"/>
  <c r="F67" i="20" s="1"/>
  <c r="W105" i="22"/>
  <c r="D105" i="22"/>
  <c r="E105" i="22" s="1"/>
  <c r="F105" i="22" s="1"/>
  <c r="W196" i="20"/>
  <c r="D196" i="20"/>
  <c r="E196" i="20" s="1"/>
  <c r="F196" i="20" s="1"/>
  <c r="G363" i="20"/>
  <c r="CB363" i="6" s="1"/>
  <c r="AA363" i="20"/>
  <c r="Z363" i="20" s="1"/>
  <c r="Y363" i="20" s="1"/>
  <c r="W119" i="20"/>
  <c r="D119" i="20"/>
  <c r="E119" i="20" s="1"/>
  <c r="F119" i="20" s="1"/>
  <c r="W232" i="20"/>
  <c r="D232" i="20"/>
  <c r="E232" i="20" s="1"/>
  <c r="F232" i="20" s="1"/>
  <c r="G295" i="18"/>
  <c r="CA295" i="6" s="1"/>
  <c r="AA295" i="18"/>
  <c r="Z295" i="18" s="1"/>
  <c r="Y295" i="18" s="1"/>
  <c r="D62" i="20"/>
  <c r="E62" i="20" s="1"/>
  <c r="F62" i="20" s="1"/>
  <c r="W62" i="20"/>
  <c r="W309" i="20"/>
  <c r="D309" i="20"/>
  <c r="E309" i="20" s="1"/>
  <c r="F309" i="20" s="1"/>
  <c r="W235" i="22"/>
  <c r="D235" i="22"/>
  <c r="E235" i="22" s="1"/>
  <c r="F235" i="22" s="1"/>
  <c r="G125" i="18"/>
  <c r="CA125" i="6" s="1"/>
  <c r="AA125" i="18"/>
  <c r="Z125" i="18" s="1"/>
  <c r="Y125" i="18" s="1"/>
  <c r="W103" i="22"/>
  <c r="D103" i="22"/>
  <c r="E103" i="22" s="1"/>
  <c r="F103" i="22" s="1"/>
  <c r="G157" i="18"/>
  <c r="CA157" i="6" s="1"/>
  <c r="AA157" i="18"/>
  <c r="Z157" i="18" s="1"/>
  <c r="Y157" i="18" s="1"/>
  <c r="W52" i="22"/>
  <c r="D52" i="22"/>
  <c r="E52" i="22" s="1"/>
  <c r="F52" i="22" s="1"/>
  <c r="W374" i="20"/>
  <c r="D374" i="20"/>
  <c r="E374" i="20" s="1"/>
  <c r="F374" i="20" s="1"/>
  <c r="W311" i="20"/>
  <c r="D311" i="20"/>
  <c r="E311" i="20" s="1"/>
  <c r="F311" i="20" s="1"/>
  <c r="G305" i="20"/>
  <c r="CB305" i="6" s="1"/>
  <c r="AA305" i="20"/>
  <c r="Z305" i="20" s="1"/>
  <c r="Y305" i="20" s="1"/>
  <c r="W310" i="20"/>
  <c r="D310" i="20"/>
  <c r="E310" i="20" s="1"/>
  <c r="F310" i="20" s="1"/>
  <c r="G252" i="20"/>
  <c r="CB252" i="6" s="1"/>
  <c r="AA252" i="20"/>
  <c r="Z252" i="20" s="1"/>
  <c r="Y252" i="20" s="1"/>
  <c r="W378" i="20"/>
  <c r="D378" i="20"/>
  <c r="E378" i="20" s="1"/>
  <c r="F378" i="20" s="1"/>
  <c r="G204" i="20"/>
  <c r="CB204" i="6" s="1"/>
  <c r="AA204" i="20"/>
  <c r="Z204" i="20" s="1"/>
  <c r="Y204" i="20" s="1"/>
  <c r="G90" i="18"/>
  <c r="CA90" i="6" s="1"/>
  <c r="AA90" i="18"/>
  <c r="Z90" i="18" s="1"/>
  <c r="Y90" i="18" s="1"/>
  <c r="G222" i="20"/>
  <c r="CB222" i="6" s="1"/>
  <c r="AA222" i="20"/>
  <c r="Z222" i="20" s="1"/>
  <c r="Y222" i="20" s="1"/>
  <c r="D137" i="20"/>
  <c r="E137" i="20" s="1"/>
  <c r="F137" i="20" s="1"/>
  <c r="W137" i="20"/>
  <c r="W362" i="20"/>
  <c r="D362" i="20"/>
  <c r="E362" i="20" s="1"/>
  <c r="F362" i="20" s="1"/>
  <c r="W290" i="20"/>
  <c r="D290" i="20"/>
  <c r="E290" i="20" s="1"/>
  <c r="F290" i="20" s="1"/>
  <c r="G286" i="20"/>
  <c r="CB286" i="6" s="1"/>
  <c r="AA286" i="20"/>
  <c r="Z286" i="20" s="1"/>
  <c r="Y286" i="20" s="1"/>
  <c r="G264" i="18"/>
  <c r="CA264" i="6" s="1"/>
  <c r="AA264" i="18"/>
  <c r="Z264" i="18" s="1"/>
  <c r="Y264" i="18" s="1"/>
  <c r="H264" i="18"/>
  <c r="W242" i="22"/>
  <c r="D242" i="22"/>
  <c r="E242" i="22" s="1"/>
  <c r="F242" i="22" s="1"/>
  <c r="G214" i="18"/>
  <c r="CA214" i="6" s="1"/>
  <c r="AA214" i="18"/>
  <c r="Z214" i="18" s="1"/>
  <c r="Y214" i="18" s="1"/>
  <c r="G198" i="18"/>
  <c r="CA198" i="6" s="1"/>
  <c r="AA198" i="18"/>
  <c r="Z198" i="18" s="1"/>
  <c r="Y198" i="18" s="1"/>
  <c r="W186" i="20"/>
  <c r="D186" i="20"/>
  <c r="E186" i="20" s="1"/>
  <c r="F186" i="20" s="1"/>
  <c r="W158" i="22"/>
  <c r="D158" i="22"/>
  <c r="E158" i="22" s="1"/>
  <c r="F158" i="22" s="1"/>
  <c r="W102" i="20"/>
  <c r="D102" i="20"/>
  <c r="E102" i="20" s="1"/>
  <c r="F102" i="20" s="1"/>
  <c r="AA82" i="20"/>
  <c r="Z82" i="20" s="1"/>
  <c r="Y82" i="20" s="1"/>
  <c r="G82" i="20"/>
  <c r="CB82" i="6" s="1"/>
  <c r="AA58" i="18"/>
  <c r="Z58" i="18" s="1"/>
  <c r="Y58" i="18" s="1"/>
  <c r="G58" i="18"/>
  <c r="CA58" i="6" s="1"/>
  <c r="G36" i="18"/>
  <c r="CA36" i="6" s="1"/>
  <c r="AA36" i="18"/>
  <c r="Z36" i="18" s="1"/>
  <c r="Y36" i="18" s="1"/>
  <c r="W355" i="20"/>
  <c r="D355" i="20"/>
  <c r="E355" i="20" s="1"/>
  <c r="F355" i="20" s="1"/>
  <c r="AA279" i="18"/>
  <c r="Z279" i="18" s="1"/>
  <c r="Y279" i="18" s="1"/>
  <c r="G279" i="18"/>
  <c r="CA279" i="6" s="1"/>
  <c r="AA237" i="20"/>
  <c r="Z237" i="20" s="1"/>
  <c r="Y237" i="20" s="1"/>
  <c r="G237" i="20"/>
  <c r="CB237" i="6" s="1"/>
  <c r="W225" i="20"/>
  <c r="D225" i="20"/>
  <c r="E225" i="20" s="1"/>
  <c r="F225" i="20" s="1"/>
  <c r="W199" i="22"/>
  <c r="D199" i="22"/>
  <c r="E199" i="22" s="1"/>
  <c r="F199" i="22" s="1"/>
  <c r="G165" i="18"/>
  <c r="CA165" i="6" s="1"/>
  <c r="AA165" i="18"/>
  <c r="Z165" i="18" s="1"/>
  <c r="Y165" i="18" s="1"/>
  <c r="W121" i="20"/>
  <c r="D121" i="20"/>
  <c r="E121" i="20" s="1"/>
  <c r="F121" i="20" s="1"/>
  <c r="G117" i="20"/>
  <c r="CB117" i="6" s="1"/>
  <c r="AA117" i="20"/>
  <c r="Z117" i="20" s="1"/>
  <c r="Y117" i="20" s="1"/>
  <c r="G109" i="18"/>
  <c r="CA109" i="6" s="1"/>
  <c r="AA109" i="18"/>
  <c r="Z109" i="18" s="1"/>
  <c r="Y109" i="18" s="1"/>
  <c r="G91" i="20"/>
  <c r="CB91" i="6" s="1"/>
  <c r="AA91" i="20"/>
  <c r="Z91" i="20" s="1"/>
  <c r="Y91" i="20" s="1"/>
  <c r="G51" i="18"/>
  <c r="CA51" i="6" s="1"/>
  <c r="AA51" i="18"/>
  <c r="Z51" i="18" s="1"/>
  <c r="Y51" i="18" s="1"/>
  <c r="G41" i="20"/>
  <c r="CB41" i="6" s="1"/>
  <c r="AA41" i="20"/>
  <c r="Z41" i="20" s="1"/>
  <c r="Y41" i="20" s="1"/>
  <c r="W25" i="20"/>
  <c r="D25" i="20"/>
  <c r="E25" i="20" s="1"/>
  <c r="F25" i="20" s="1"/>
  <c r="W26" i="22"/>
  <c r="D26" i="22"/>
  <c r="E26" i="22" s="1"/>
  <c r="F26" i="22" s="1"/>
  <c r="W370" i="22"/>
  <c r="D370" i="22"/>
  <c r="E370" i="22" s="1"/>
  <c r="F370" i="22" s="1"/>
  <c r="G364" i="18"/>
  <c r="CA364" i="6" s="1"/>
  <c r="AA364" i="18"/>
  <c r="Z364" i="18" s="1"/>
  <c r="Y364" i="18" s="1"/>
  <c r="G330" i="18"/>
  <c r="CA330" i="6" s="1"/>
  <c r="AA330" i="18"/>
  <c r="Z330" i="18" s="1"/>
  <c r="Y330" i="18" s="1"/>
  <c r="G304" i="20"/>
  <c r="CB304" i="6" s="1"/>
  <c r="AA304" i="20"/>
  <c r="Z304" i="20" s="1"/>
  <c r="Y304" i="20" s="1"/>
  <c r="W292" i="20"/>
  <c r="D292" i="20"/>
  <c r="E292" i="20" s="1"/>
  <c r="F292" i="20" s="1"/>
  <c r="G256" i="18"/>
  <c r="CA256" i="6" s="1"/>
  <c r="AA256" i="18"/>
  <c r="Z256" i="18" s="1"/>
  <c r="Y256" i="18" s="1"/>
  <c r="W202" i="22"/>
  <c r="D202" i="22"/>
  <c r="E202" i="22" s="1"/>
  <c r="F202" i="22" s="1"/>
  <c r="G184" i="18"/>
  <c r="CA184" i="6" s="1"/>
  <c r="AA184" i="18"/>
  <c r="Z184" i="18" s="1"/>
  <c r="Y184" i="18" s="1"/>
  <c r="W138" i="22"/>
  <c r="D138" i="22"/>
  <c r="E138" i="22" s="1"/>
  <c r="F138" i="22" s="1"/>
  <c r="G124" i="18"/>
  <c r="CA124" i="6" s="1"/>
  <c r="AA124" i="18"/>
  <c r="Z124" i="18" s="1"/>
  <c r="Y124" i="18" s="1"/>
  <c r="G27" i="18"/>
  <c r="CA27" i="6" s="1"/>
  <c r="AA27" i="18"/>
  <c r="Z27" i="18" s="1"/>
  <c r="Y27" i="18" s="1"/>
  <c r="D288" i="20"/>
  <c r="E288" i="20" s="1"/>
  <c r="F288" i="20" s="1"/>
  <c r="W288" i="20"/>
  <c r="W375" i="22"/>
  <c r="D375" i="22"/>
  <c r="E375" i="22" s="1"/>
  <c r="F375" i="22" s="1"/>
  <c r="D325" i="20"/>
  <c r="E325" i="20" s="1"/>
  <c r="F325" i="20" s="1"/>
  <c r="W325" i="20"/>
  <c r="W313" i="22"/>
  <c r="D313" i="22"/>
  <c r="E313" i="22" s="1"/>
  <c r="F313" i="22" s="1"/>
  <c r="W277" i="20"/>
  <c r="D277" i="20"/>
  <c r="E277" i="20" s="1"/>
  <c r="F277" i="20" s="1"/>
  <c r="W245" i="20"/>
  <c r="D245" i="20"/>
  <c r="E245" i="20" s="1"/>
  <c r="F245" i="20" s="1"/>
  <c r="G231" i="20"/>
  <c r="CB231" i="6" s="1"/>
  <c r="AA231" i="20"/>
  <c r="Z231" i="20" s="1"/>
  <c r="Y231" i="20" s="1"/>
  <c r="W203" i="20"/>
  <c r="D203" i="20"/>
  <c r="E203" i="20" s="1"/>
  <c r="F203" i="20" s="1"/>
  <c r="W169" i="20"/>
  <c r="D169" i="20"/>
  <c r="E169" i="20" s="1"/>
  <c r="F169" i="20" s="1"/>
  <c r="AA151" i="20"/>
  <c r="Z151" i="20" s="1"/>
  <c r="Y151" i="20" s="1"/>
  <c r="G151" i="20"/>
  <c r="CB151" i="6" s="1"/>
  <c r="G139" i="18"/>
  <c r="CA139" i="6" s="1"/>
  <c r="AA139" i="18"/>
  <c r="Z139" i="18" s="1"/>
  <c r="Y139" i="18" s="1"/>
  <c r="AA107" i="20"/>
  <c r="Z107" i="20" s="1"/>
  <c r="Y107" i="20" s="1"/>
  <c r="G107" i="20"/>
  <c r="CB107" i="6" s="1"/>
  <c r="G53" i="18"/>
  <c r="CA53" i="6" s="1"/>
  <c r="AA53" i="18"/>
  <c r="Z53" i="18" s="1"/>
  <c r="Y53" i="18" s="1"/>
  <c r="G39" i="20"/>
  <c r="CB39" i="6" s="1"/>
  <c r="AA39" i="20"/>
  <c r="Z39" i="20" s="1"/>
  <c r="Y39" i="20" s="1"/>
  <c r="G334" i="18"/>
  <c r="CA334" i="6" s="1"/>
  <c r="AA334" i="18"/>
  <c r="Z334" i="18" s="1"/>
  <c r="Y334" i="18" s="1"/>
  <c r="W296" i="20"/>
  <c r="D296" i="20"/>
  <c r="E296" i="20" s="1"/>
  <c r="F296" i="20" s="1"/>
  <c r="G296" i="18"/>
  <c r="CA296" i="6" s="1"/>
  <c r="AA296" i="18"/>
  <c r="Z296" i="18" s="1"/>
  <c r="Y296" i="18" s="1"/>
  <c r="H296" i="18"/>
  <c r="G228" i="20"/>
  <c r="CB228" i="6" s="1"/>
  <c r="AA228" i="20"/>
  <c r="Z228" i="20" s="1"/>
  <c r="Y228" i="20" s="1"/>
  <c r="W218" i="20"/>
  <c r="D218" i="20"/>
  <c r="E218" i="20" s="1"/>
  <c r="F218" i="20" s="1"/>
  <c r="G192" i="20"/>
  <c r="CB192" i="6" s="1"/>
  <c r="AA192" i="20"/>
  <c r="Z192" i="20" s="1"/>
  <c r="Y192" i="20" s="1"/>
  <c r="W188" i="20"/>
  <c r="D188" i="20"/>
  <c r="E188" i="20" s="1"/>
  <c r="F188" i="20" s="1"/>
  <c r="G146" i="20"/>
  <c r="CB146" i="6" s="1"/>
  <c r="AA146" i="20"/>
  <c r="Z146" i="20" s="1"/>
  <c r="Y146" i="20" s="1"/>
  <c r="W144" i="20"/>
  <c r="D144" i="20"/>
  <c r="E144" i="20" s="1"/>
  <c r="F144" i="20" s="1"/>
  <c r="W120" i="22"/>
  <c r="D120" i="22"/>
  <c r="E120" i="22" s="1"/>
  <c r="F120" i="22" s="1"/>
  <c r="W112" i="20"/>
  <c r="D112" i="20"/>
  <c r="E112" i="20" s="1"/>
  <c r="F112" i="20" s="1"/>
  <c r="G94" i="20"/>
  <c r="CB94" i="6" s="1"/>
  <c r="AA94" i="20"/>
  <c r="Z94" i="20" s="1"/>
  <c r="Y94" i="20" s="1"/>
  <c r="D86" i="20"/>
  <c r="E86" i="20" s="1"/>
  <c r="F86" i="20" s="1"/>
  <c r="W86" i="20"/>
  <c r="D303" i="20"/>
  <c r="E303" i="20" s="1"/>
  <c r="F303" i="20" s="1"/>
  <c r="W303" i="20"/>
  <c r="G285" i="20"/>
  <c r="CB285" i="6" s="1"/>
  <c r="AA285" i="20"/>
  <c r="Z285" i="20" s="1"/>
  <c r="Y285" i="20" s="1"/>
  <c r="D275" i="20"/>
  <c r="E275" i="20" s="1"/>
  <c r="F275" i="20" s="1"/>
  <c r="W275" i="20"/>
  <c r="W233" i="20"/>
  <c r="D233" i="20"/>
  <c r="E233" i="20" s="1"/>
  <c r="F233" i="20" s="1"/>
  <c r="D221" i="22"/>
  <c r="E221" i="22" s="1"/>
  <c r="F221" i="22" s="1"/>
  <c r="W221" i="22"/>
  <c r="G215" i="18"/>
  <c r="CA215" i="6" s="1"/>
  <c r="AA215" i="18"/>
  <c r="Z215" i="18" s="1"/>
  <c r="Y215" i="18" s="1"/>
  <c r="W195" i="22"/>
  <c r="D195" i="22"/>
  <c r="E195" i="22" s="1"/>
  <c r="F195" i="22" s="1"/>
  <c r="G181" i="18"/>
  <c r="CA181" i="6" s="1"/>
  <c r="AA181" i="18"/>
  <c r="Z181" i="18" s="1"/>
  <c r="Y181" i="18" s="1"/>
  <c r="W123" i="20"/>
  <c r="D123" i="20"/>
  <c r="E123" i="20" s="1"/>
  <c r="F123" i="20" s="1"/>
  <c r="G71" i="18"/>
  <c r="CA71" i="6" s="1"/>
  <c r="AA71" i="18"/>
  <c r="Z71" i="18" s="1"/>
  <c r="Y71" i="18" s="1"/>
  <c r="W47" i="22"/>
  <c r="D47" i="22"/>
  <c r="E47" i="22" s="1"/>
  <c r="F47" i="22" s="1"/>
  <c r="W45" i="20"/>
  <c r="D45" i="20"/>
  <c r="E45" i="20" s="1"/>
  <c r="F45" i="20" s="1"/>
  <c r="W21" i="20"/>
  <c r="D21" i="20"/>
  <c r="E21" i="20" s="1"/>
  <c r="F21" i="20" s="1"/>
  <c r="G336" i="20"/>
  <c r="CB336" i="6" s="1"/>
  <c r="AA336" i="20"/>
  <c r="Z336" i="20" s="1"/>
  <c r="Y336" i="20" s="1"/>
  <c r="G328" i="18"/>
  <c r="CA328" i="6" s="1"/>
  <c r="AA328" i="18"/>
  <c r="Z328" i="18" s="1"/>
  <c r="Y328" i="18" s="1"/>
  <c r="D308" i="22"/>
  <c r="E308" i="22" s="1"/>
  <c r="F308" i="22" s="1"/>
  <c r="W308" i="22"/>
  <c r="W282" i="20"/>
  <c r="D282" i="20"/>
  <c r="E282" i="20" s="1"/>
  <c r="F282" i="20" s="1"/>
  <c r="G268" i="18"/>
  <c r="CA268" i="6" s="1"/>
  <c r="AA268" i="18"/>
  <c r="Z268" i="18" s="1"/>
  <c r="Y268" i="18" s="1"/>
  <c r="G246" i="18"/>
  <c r="CA246" i="6" s="1"/>
  <c r="AA246" i="18"/>
  <c r="Z246" i="18" s="1"/>
  <c r="Y246" i="18" s="1"/>
  <c r="W230" i="22"/>
  <c r="D230" i="22"/>
  <c r="E230" i="22" s="1"/>
  <c r="F230" i="22" s="1"/>
  <c r="W176" i="20"/>
  <c r="D176" i="20"/>
  <c r="E176" i="20" s="1"/>
  <c r="F176" i="20" s="1"/>
  <c r="W128" i="20"/>
  <c r="D128" i="20"/>
  <c r="E128" i="20" s="1"/>
  <c r="F128" i="20" s="1"/>
  <c r="W118" i="22"/>
  <c r="D118" i="22"/>
  <c r="E118" i="22" s="1"/>
  <c r="F118" i="22" s="1"/>
  <c r="G104" i="18"/>
  <c r="CA104" i="6" s="1"/>
  <c r="AA104" i="18"/>
  <c r="Z104" i="18" s="1"/>
  <c r="Y104" i="18" s="1"/>
  <c r="G92" i="20"/>
  <c r="CB92" i="6" s="1"/>
  <c r="AA92" i="20"/>
  <c r="Z92" i="20" s="1"/>
  <c r="Y92" i="20" s="1"/>
  <c r="G56" i="18"/>
  <c r="CA56" i="6" s="1"/>
  <c r="AA56" i="18"/>
  <c r="Z56" i="18" s="1"/>
  <c r="Y56" i="18" s="1"/>
  <c r="G361" i="18"/>
  <c r="CA361" i="6" s="1"/>
  <c r="AA361" i="18"/>
  <c r="Z361" i="18" s="1"/>
  <c r="Y361" i="18" s="1"/>
  <c r="G273" i="18"/>
  <c r="CA273" i="6" s="1"/>
  <c r="AA273" i="18"/>
  <c r="Z273" i="18" s="1"/>
  <c r="Y273" i="18" s="1"/>
  <c r="D271" i="22"/>
  <c r="E271" i="22" s="1"/>
  <c r="F271" i="22" s="1"/>
  <c r="W271" i="22"/>
  <c r="W219" i="20"/>
  <c r="D219" i="20"/>
  <c r="E219" i="20" s="1"/>
  <c r="F219" i="20" s="1"/>
  <c r="AA197" i="20"/>
  <c r="Z197" i="20" s="1"/>
  <c r="Y197" i="20" s="1"/>
  <c r="G197" i="20"/>
  <c r="CB197" i="6" s="1"/>
  <c r="W173" i="20"/>
  <c r="D173" i="20"/>
  <c r="E173" i="20" s="1"/>
  <c r="F173" i="20" s="1"/>
  <c r="W127" i="20"/>
  <c r="D127" i="20"/>
  <c r="E127" i="20" s="1"/>
  <c r="F127" i="20" s="1"/>
  <c r="D101" i="22"/>
  <c r="E101" i="22" s="1"/>
  <c r="F101" i="22" s="1"/>
  <c r="W101" i="22"/>
  <c r="D89" i="20"/>
  <c r="E89" i="20" s="1"/>
  <c r="F89" i="20" s="1"/>
  <c r="W89" i="20"/>
  <c r="G83" i="20"/>
  <c r="CB83" i="6" s="1"/>
  <c r="AA83" i="20"/>
  <c r="Z83" i="20" s="1"/>
  <c r="Y83" i="20" s="1"/>
  <c r="D61" i="20"/>
  <c r="E61" i="20" s="1"/>
  <c r="F61" i="20" s="1"/>
  <c r="W61" i="20"/>
  <c r="G287" i="18"/>
  <c r="CA287" i="6" s="1"/>
  <c r="AA287" i="18"/>
  <c r="Z287" i="18" s="1"/>
  <c r="Y287" i="18" s="1"/>
  <c r="AA130" i="20"/>
  <c r="Z130" i="20" s="1"/>
  <c r="Y130" i="20" s="1"/>
  <c r="G130" i="20"/>
  <c r="CB130" i="6" s="1"/>
  <c r="W175" i="22"/>
  <c r="D175" i="22"/>
  <c r="E175" i="22" s="1"/>
  <c r="F175" i="22" s="1"/>
  <c r="G253" i="18"/>
  <c r="CA253" i="6" s="1"/>
  <c r="AA253" i="18"/>
  <c r="Z253" i="18" s="1"/>
  <c r="Y253" i="18" s="1"/>
  <c r="H253" i="18"/>
  <c r="AA369" i="18"/>
  <c r="Z369" i="18" s="1"/>
  <c r="Y369" i="18" s="1"/>
  <c r="G369" i="18"/>
  <c r="CA369" i="6" s="1"/>
  <c r="W302" i="22"/>
  <c r="D302" i="22"/>
  <c r="E302" i="22" s="1"/>
  <c r="F302" i="22" s="1"/>
  <c r="G347" i="18"/>
  <c r="CA347" i="6" s="1"/>
  <c r="AA347" i="18"/>
  <c r="Z347" i="18" s="1"/>
  <c r="Y347" i="18" s="1"/>
  <c r="G376" i="18"/>
  <c r="CA376" i="6" s="1"/>
  <c r="AA376" i="18"/>
  <c r="Z376" i="18" s="1"/>
  <c r="Y376" i="18" s="1"/>
  <c r="G66" i="20"/>
  <c r="CB66" i="6" s="1"/>
  <c r="AA66" i="20"/>
  <c r="Z66" i="20" s="1"/>
  <c r="Y66" i="20" s="1"/>
  <c r="W194" i="20"/>
  <c r="D194" i="20"/>
  <c r="E194" i="20" s="1"/>
  <c r="F194" i="20" s="1"/>
  <c r="W171" i="20"/>
  <c r="D171" i="20"/>
  <c r="E171" i="20" s="1"/>
  <c r="F171" i="20" s="1"/>
  <c r="AA278" i="20"/>
  <c r="Z278" i="20" s="1"/>
  <c r="Y278" i="20" s="1"/>
  <c r="G278" i="20"/>
  <c r="CB278" i="6" s="1"/>
  <c r="G75" i="18"/>
  <c r="CA75" i="6" s="1"/>
  <c r="AA75" i="18"/>
  <c r="Z75" i="18" s="1"/>
  <c r="Y75" i="18" s="1"/>
  <c r="D111" i="22"/>
  <c r="E111" i="22" s="1"/>
  <c r="F111" i="22" s="1"/>
  <c r="W111" i="22"/>
  <c r="W261" i="20"/>
  <c r="D261" i="20"/>
  <c r="E261" i="20" s="1"/>
  <c r="F261" i="20" s="1"/>
  <c r="D17" i="22"/>
  <c r="E17" i="22" s="1"/>
  <c r="F17" i="22" s="1"/>
  <c r="W17" i="22"/>
  <c r="G17" i="20"/>
  <c r="CB17" i="6" s="1"/>
  <c r="AA17" i="20"/>
  <c r="Z17" i="20" s="1"/>
  <c r="Y17" i="20" s="1"/>
  <c r="G74" i="18"/>
  <c r="CA74" i="6" s="1"/>
  <c r="AA74" i="18"/>
  <c r="Z74" i="18" s="1"/>
  <c r="Y74" i="18" s="1"/>
  <c r="W319" i="22"/>
  <c r="D319" i="22"/>
  <c r="E319" i="22" s="1"/>
  <c r="F319" i="22" s="1"/>
  <c r="D349" i="20"/>
  <c r="E349" i="20" s="1"/>
  <c r="F349" i="20" s="1"/>
  <c r="W349" i="20"/>
  <c r="W46" i="20"/>
  <c r="D46" i="20"/>
  <c r="E46" i="20" s="1"/>
  <c r="F46" i="20" s="1"/>
  <c r="W298" i="22"/>
  <c r="D298" i="22"/>
  <c r="E298" i="22" s="1"/>
  <c r="F298" i="22" s="1"/>
  <c r="G298" i="20"/>
  <c r="CB298" i="6" s="1"/>
  <c r="AA298" i="20"/>
  <c r="Z298" i="20" s="1"/>
  <c r="Y298" i="20" s="1"/>
  <c r="G187" i="18"/>
  <c r="CA187" i="6" s="1"/>
  <c r="AA187" i="18"/>
  <c r="Z187" i="18" s="1"/>
  <c r="Y187" i="18" s="1"/>
  <c r="W365" i="20"/>
  <c r="D365" i="20"/>
  <c r="E365" i="20" s="1"/>
  <c r="F365" i="20" s="1"/>
  <c r="W149" i="22"/>
  <c r="D149" i="22"/>
  <c r="E149" i="22" s="1"/>
  <c r="F149" i="22" s="1"/>
  <c r="W60" i="20"/>
  <c r="D60" i="20"/>
  <c r="E60" i="20" s="1"/>
  <c r="F60" i="20" s="1"/>
  <c r="G33" i="20"/>
  <c r="CB33" i="6" s="1"/>
  <c r="AA33" i="20"/>
  <c r="Z33" i="20" s="1"/>
  <c r="Y33" i="20" s="1"/>
  <c r="G352" i="18"/>
  <c r="CA352" i="6" s="1"/>
  <c r="AA352" i="18"/>
  <c r="Z352" i="18" s="1"/>
  <c r="Y352" i="18" s="1"/>
  <c r="G318" i="18"/>
  <c r="CA318" i="6" s="1"/>
  <c r="AA318" i="18"/>
  <c r="Z318" i="18" s="1"/>
  <c r="Y318" i="18" s="1"/>
  <c r="G274" i="18"/>
  <c r="CA274" i="6" s="1"/>
  <c r="AA274" i="18"/>
  <c r="Z274" i="18" s="1"/>
  <c r="Y274" i="18" s="1"/>
  <c r="G178" i="20"/>
  <c r="CB178" i="6" s="1"/>
  <c r="AA178" i="20"/>
  <c r="Z178" i="20" s="1"/>
  <c r="Y178" i="20" s="1"/>
  <c r="G106" i="20"/>
  <c r="CB106" i="6" s="1"/>
  <c r="AA106" i="20"/>
  <c r="Z106" i="20" s="1"/>
  <c r="Y106" i="20" s="1"/>
  <c r="G84" i="18"/>
  <c r="CA84" i="6" s="1"/>
  <c r="AA84" i="18"/>
  <c r="Z84" i="18" s="1"/>
  <c r="Y84" i="18" s="1"/>
  <c r="W281" i="22"/>
  <c r="D281" i="22"/>
  <c r="E281" i="22" s="1"/>
  <c r="F281" i="22" s="1"/>
  <c r="W263" i="20"/>
  <c r="D263" i="20"/>
  <c r="E263" i="20" s="1"/>
  <c r="F263" i="20" s="1"/>
  <c r="W247" i="22"/>
  <c r="D247" i="22"/>
  <c r="E247" i="22" s="1"/>
  <c r="F247" i="22" s="1"/>
  <c r="D159" i="20"/>
  <c r="E159" i="20" s="1"/>
  <c r="F159" i="20" s="1"/>
  <c r="W159" i="20"/>
  <c r="G99" i="18"/>
  <c r="CA99" i="6" s="1"/>
  <c r="AA99" i="18"/>
  <c r="Z99" i="18" s="1"/>
  <c r="Y99" i="18" s="1"/>
  <c r="W77" i="20"/>
  <c r="D77" i="20"/>
  <c r="E77" i="20" s="1"/>
  <c r="F77" i="20" s="1"/>
  <c r="W161" i="20"/>
  <c r="D161" i="20"/>
  <c r="E161" i="20" s="1"/>
  <c r="F161" i="20" s="1"/>
  <c r="G116" i="20"/>
  <c r="CB116" i="6" s="1"/>
  <c r="AA116" i="20"/>
  <c r="Z116" i="20" s="1"/>
  <c r="Y116" i="20" s="1"/>
  <c r="W210" i="20"/>
  <c r="D210" i="20"/>
  <c r="E210" i="20" s="1"/>
  <c r="F210" i="20" s="1"/>
  <c r="G114" i="18"/>
  <c r="CA114" i="6" s="1"/>
  <c r="AA114" i="18"/>
  <c r="Z114" i="18" s="1"/>
  <c r="Y114" i="18" s="1"/>
  <c r="W135" i="20"/>
  <c r="D135" i="20"/>
  <c r="E135" i="20" s="1"/>
  <c r="F135" i="20" s="1"/>
  <c r="G135" i="18"/>
  <c r="CA135" i="6" s="1"/>
  <c r="AA135" i="18"/>
  <c r="Z135" i="18" s="1"/>
  <c r="Y135" i="18" s="1"/>
  <c r="G95" i="20"/>
  <c r="CB95" i="6" s="1"/>
  <c r="AA95" i="20"/>
  <c r="Z95" i="20" s="1"/>
  <c r="Y95" i="20" s="1"/>
  <c r="G283" i="18"/>
  <c r="CA283" i="6" s="1"/>
  <c r="AA283" i="18"/>
  <c r="Z283" i="18" s="1"/>
  <c r="Y283" i="18" s="1"/>
  <c r="G354" i="20"/>
  <c r="CB354" i="6" s="1"/>
  <c r="AA354" i="20"/>
  <c r="Z354" i="20" s="1"/>
  <c r="Y354" i="20" s="1"/>
  <c r="W177" i="22"/>
  <c r="D177" i="22"/>
  <c r="E177" i="22" s="1"/>
  <c r="F177" i="22" s="1"/>
  <c r="G226" i="18"/>
  <c r="CA226" i="6" s="1"/>
  <c r="AA226" i="18"/>
  <c r="Z226" i="18" s="1"/>
  <c r="Y226" i="18" s="1"/>
  <c r="D150" i="20"/>
  <c r="E150" i="20" s="1"/>
  <c r="F150" i="20" s="1"/>
  <c r="W150" i="20"/>
  <c r="G180" i="20"/>
  <c r="CB180" i="6" s="1"/>
  <c r="AA180" i="20"/>
  <c r="Z180" i="20" s="1"/>
  <c r="Y180" i="20" s="1"/>
  <c r="G379" i="20"/>
  <c r="CB379" i="6" s="1"/>
  <c r="AA379" i="20"/>
  <c r="Z379" i="20" s="1"/>
  <c r="Y379" i="20" s="1"/>
  <c r="J131" i="17"/>
  <c r="I131" i="17"/>
  <c r="J282" i="17"/>
  <c r="I282" i="17"/>
  <c r="I31" i="17"/>
  <c r="J31" i="17"/>
  <c r="I153" i="17"/>
  <c r="J153" i="17"/>
  <c r="I197" i="17"/>
  <c r="J197" i="17"/>
  <c r="I268" i="17"/>
  <c r="J268" i="17"/>
  <c r="J227" i="17"/>
  <c r="I227" i="17"/>
  <c r="I312" i="17"/>
  <c r="J312" i="17"/>
  <c r="I333" i="17"/>
  <c r="J333" i="17"/>
  <c r="I305" i="17"/>
  <c r="J305" i="17"/>
  <c r="J272" i="17"/>
  <c r="I272" i="17"/>
  <c r="J114" i="17"/>
  <c r="I114" i="17"/>
  <c r="I79" i="17"/>
  <c r="J79" i="17"/>
  <c r="J284" i="17"/>
  <c r="I284" i="17"/>
  <c r="J224" i="17"/>
  <c r="I224" i="17"/>
  <c r="J356" i="17"/>
  <c r="I356" i="17"/>
  <c r="J185" i="17"/>
  <c r="I185" i="17"/>
  <c r="I125" i="17"/>
  <c r="J125" i="17"/>
  <c r="J16" i="17"/>
  <c r="I16" i="17"/>
  <c r="J220" i="17"/>
  <c r="I220" i="17"/>
  <c r="I118" i="17"/>
  <c r="J118" i="17"/>
  <c r="J232" i="17"/>
  <c r="I232" i="17"/>
  <c r="J22" i="17"/>
  <c r="I22" i="17"/>
  <c r="J378" i="17"/>
  <c r="I378" i="17"/>
  <c r="I368" i="17"/>
  <c r="J368" i="17"/>
  <c r="J223" i="17"/>
  <c r="I223" i="17"/>
  <c r="I138" i="17"/>
  <c r="J138" i="17"/>
  <c r="I347" i="17"/>
  <c r="J347" i="17"/>
  <c r="J350" i="17"/>
  <c r="I350" i="17"/>
  <c r="I154" i="17"/>
  <c r="J154" i="17"/>
  <c r="J68" i="17"/>
  <c r="I68" i="17"/>
  <c r="I341" i="17"/>
  <c r="J341" i="17"/>
  <c r="J301" i="17"/>
  <c r="I301" i="17"/>
  <c r="J128" i="17"/>
  <c r="I128" i="17"/>
  <c r="I273" i="17"/>
  <c r="J273" i="17"/>
  <c r="I122" i="17"/>
  <c r="J122" i="17"/>
  <c r="I289" i="17"/>
  <c r="J289" i="17"/>
  <c r="I361" i="17"/>
  <c r="J361" i="17"/>
  <c r="J168" i="17"/>
  <c r="I168" i="17"/>
  <c r="I283" i="17"/>
  <c r="J283" i="17"/>
  <c r="J326" i="17"/>
  <c r="I326" i="17"/>
  <c r="J242" i="17"/>
  <c r="I242" i="17"/>
  <c r="J74" i="17"/>
  <c r="I74" i="17"/>
  <c r="I34" i="17"/>
  <c r="J34" i="17"/>
  <c r="I211" i="17"/>
  <c r="J211" i="17"/>
  <c r="I63" i="17"/>
  <c r="J63" i="17"/>
  <c r="J65" i="17"/>
  <c r="I65" i="17"/>
  <c r="J278" i="17"/>
  <c r="I278" i="17"/>
  <c r="I132" i="17"/>
  <c r="J132" i="17"/>
  <c r="J218" i="17"/>
  <c r="I218" i="17"/>
  <c r="J285" i="17"/>
  <c r="I285" i="17"/>
  <c r="J319" i="17"/>
  <c r="I319" i="17"/>
  <c r="J71" i="17"/>
  <c r="I71" i="17"/>
  <c r="J199" i="17"/>
  <c r="I199" i="17"/>
  <c r="J94" i="17"/>
  <c r="I94" i="17"/>
  <c r="I209" i="17"/>
  <c r="J209" i="17"/>
  <c r="I127" i="17"/>
  <c r="J127" i="17"/>
  <c r="J100" i="17"/>
  <c r="I100" i="17"/>
  <c r="I19" i="17"/>
  <c r="J19" i="17"/>
  <c r="J148" i="17"/>
  <c r="I148" i="17"/>
  <c r="G327" i="18"/>
  <c r="CA327" i="6" s="1"/>
  <c r="AA327" i="18"/>
  <c r="Z327" i="18" s="1"/>
  <c r="Y327" i="18" s="1"/>
  <c r="G335" i="18"/>
  <c r="CA335" i="6" s="1"/>
  <c r="AA335" i="18"/>
  <c r="Z335" i="18" s="1"/>
  <c r="Y335" i="18" s="1"/>
  <c r="G367" i="18"/>
  <c r="CA367" i="6" s="1"/>
  <c r="AA367" i="18"/>
  <c r="Z367" i="18" s="1"/>
  <c r="Y367" i="18" s="1"/>
  <c r="G101" i="18"/>
  <c r="CA101" i="6" s="1"/>
  <c r="AA101" i="18"/>
  <c r="Z101" i="18" s="1"/>
  <c r="Y101" i="18" s="1"/>
  <c r="J353" i="17"/>
  <c r="I353" i="17"/>
  <c r="G94" i="18"/>
  <c r="CA94" i="6" s="1"/>
  <c r="AA94" i="18"/>
  <c r="Z94" i="18" s="1"/>
  <c r="Y94" i="18" s="1"/>
  <c r="G108" i="18"/>
  <c r="CA108" i="6" s="1"/>
  <c r="AA108" i="18"/>
  <c r="Z108" i="18" s="1"/>
  <c r="Y108" i="18" s="1"/>
  <c r="G35" i="18"/>
  <c r="CA35" i="6" s="1"/>
  <c r="AA35" i="18"/>
  <c r="Z35" i="18" s="1"/>
  <c r="Y35" i="18" s="1"/>
  <c r="AA358" i="18"/>
  <c r="Z358" i="18" s="1"/>
  <c r="Y358" i="18" s="1"/>
  <c r="G358" i="18"/>
  <c r="CA358" i="6" s="1"/>
  <c r="AA50" i="18"/>
  <c r="Z50" i="18" s="1"/>
  <c r="Y50" i="18" s="1"/>
  <c r="G50" i="18"/>
  <c r="CA50" i="6" s="1"/>
  <c r="G338" i="18"/>
  <c r="CA338" i="6" s="1"/>
  <c r="AA338" i="18"/>
  <c r="Z338" i="18" s="1"/>
  <c r="Y338" i="18" s="1"/>
  <c r="G68" i="18"/>
  <c r="CA68" i="6" s="1"/>
  <c r="AA68" i="18"/>
  <c r="Z68" i="18" s="1"/>
  <c r="Y68" i="18" s="1"/>
  <c r="G324" i="18"/>
  <c r="CA324" i="6" s="1"/>
  <c r="AA324" i="18"/>
  <c r="Z324" i="18" s="1"/>
  <c r="Y324" i="18" s="1"/>
  <c r="G120" i="18"/>
  <c r="CA120" i="6" s="1"/>
  <c r="AA120" i="18"/>
  <c r="Z120" i="18" s="1"/>
  <c r="Y120" i="18" s="1"/>
  <c r="G116" i="18"/>
  <c r="CA116" i="6" s="1"/>
  <c r="AA116" i="18"/>
  <c r="Z116" i="18" s="1"/>
  <c r="Y116" i="18" s="1"/>
  <c r="AA255" i="18"/>
  <c r="Z255" i="18" s="1"/>
  <c r="Y255" i="18" s="1"/>
  <c r="G255" i="18"/>
  <c r="CA255" i="6" s="1"/>
  <c r="G18" i="18"/>
  <c r="CA18" i="6" s="1"/>
  <c r="AA18" i="18"/>
  <c r="Z18" i="18" s="1"/>
  <c r="Y18" i="18" s="1"/>
  <c r="G331" i="18"/>
  <c r="CA331" i="6" s="1"/>
  <c r="AA331" i="18"/>
  <c r="Z331" i="18" s="1"/>
  <c r="Y331" i="18" s="1"/>
  <c r="G16" i="18"/>
  <c r="CA16" i="6" s="1"/>
  <c r="AA16" i="18"/>
  <c r="Z16" i="18" s="1"/>
  <c r="Y16" i="18" s="1"/>
  <c r="G197" i="18"/>
  <c r="CA197" i="6" s="1"/>
  <c r="AA197" i="18"/>
  <c r="Z197" i="18" s="1"/>
  <c r="Y197" i="18" s="1"/>
  <c r="H197" i="18"/>
  <c r="G313" i="18"/>
  <c r="CA313" i="6" s="1"/>
  <c r="AA313" i="18"/>
  <c r="Z313" i="18" s="1"/>
  <c r="Y313" i="18" s="1"/>
  <c r="G208" i="18"/>
  <c r="CA208" i="6" s="1"/>
  <c r="AA208" i="18"/>
  <c r="Z208" i="18" s="1"/>
  <c r="Y208" i="18" s="1"/>
  <c r="G95" i="18"/>
  <c r="CA95" i="6" s="1"/>
  <c r="AA95" i="18"/>
  <c r="Z95" i="18" s="1"/>
  <c r="Y95" i="18" s="1"/>
  <c r="G211" i="18"/>
  <c r="CA211" i="6" s="1"/>
  <c r="AA211" i="18"/>
  <c r="Z211" i="18" s="1"/>
  <c r="Y211" i="18" s="1"/>
  <c r="G183" i="18"/>
  <c r="CA183" i="6" s="1"/>
  <c r="AA183" i="18"/>
  <c r="Z183" i="18" s="1"/>
  <c r="Y183" i="18" s="1"/>
  <c r="G174" i="18"/>
  <c r="CA174" i="6" s="1"/>
  <c r="AA174" i="18"/>
  <c r="Z174" i="18" s="1"/>
  <c r="Y174" i="18" s="1"/>
  <c r="G100" i="18"/>
  <c r="CA100" i="6" s="1"/>
  <c r="AA100" i="18"/>
  <c r="Z100" i="18" s="1"/>
  <c r="Y100" i="18" s="1"/>
  <c r="G235" i="18"/>
  <c r="CA235" i="6" s="1"/>
  <c r="AA235" i="18"/>
  <c r="Z235" i="18" s="1"/>
  <c r="Y235" i="18" s="1"/>
  <c r="G32" i="18"/>
  <c r="CA32" i="6" s="1"/>
  <c r="AA32" i="18"/>
  <c r="Z32" i="18" s="1"/>
  <c r="Y32" i="18" s="1"/>
  <c r="G103" i="18"/>
  <c r="CA103" i="6" s="1"/>
  <c r="AA103" i="18"/>
  <c r="Z103" i="18" s="1"/>
  <c r="Y103" i="18" s="1"/>
  <c r="G229" i="18"/>
  <c r="CA229" i="6" s="1"/>
  <c r="AA229" i="18"/>
  <c r="Z229" i="18" s="1"/>
  <c r="Y229" i="18" s="1"/>
  <c r="G52" i="18"/>
  <c r="CA52" i="6" s="1"/>
  <c r="AA52" i="18"/>
  <c r="Z52" i="18" s="1"/>
  <c r="Y52" i="18" s="1"/>
  <c r="G305" i="18"/>
  <c r="CA305" i="6" s="1"/>
  <c r="AA305" i="18"/>
  <c r="Z305" i="18" s="1"/>
  <c r="Y305" i="18" s="1"/>
  <c r="G252" i="18"/>
  <c r="CA252" i="6" s="1"/>
  <c r="AA252" i="18"/>
  <c r="Z252" i="18" s="1"/>
  <c r="Y252" i="18" s="1"/>
  <c r="G207" i="18"/>
  <c r="CA207" i="6" s="1"/>
  <c r="AA207" i="18"/>
  <c r="Z207" i="18" s="1"/>
  <c r="Y207" i="18" s="1"/>
  <c r="G204" i="18"/>
  <c r="CA204" i="6" s="1"/>
  <c r="AA204" i="18"/>
  <c r="Z204" i="18" s="1"/>
  <c r="Y204" i="18" s="1"/>
  <c r="H204" i="18"/>
  <c r="G222" i="18"/>
  <c r="CA222" i="6" s="1"/>
  <c r="AA222" i="18"/>
  <c r="Z222" i="18" s="1"/>
  <c r="Y222" i="18" s="1"/>
  <c r="G342" i="18"/>
  <c r="CA342" i="6" s="1"/>
  <c r="AA342" i="18"/>
  <c r="Z342" i="18" s="1"/>
  <c r="Y342" i="18" s="1"/>
  <c r="G286" i="18"/>
  <c r="CA286" i="6" s="1"/>
  <c r="AA286" i="18"/>
  <c r="Z286" i="18" s="1"/>
  <c r="Y286" i="18" s="1"/>
  <c r="G242" i="18"/>
  <c r="CA242" i="6" s="1"/>
  <c r="AA242" i="18"/>
  <c r="Z242" i="18" s="1"/>
  <c r="Y242" i="18" s="1"/>
  <c r="AA200" i="18"/>
  <c r="Z200" i="18" s="1"/>
  <c r="Y200" i="18" s="1"/>
  <c r="G200" i="18"/>
  <c r="CA200" i="6" s="1"/>
  <c r="G190" i="18"/>
  <c r="CA190" i="6" s="1"/>
  <c r="AA190" i="18"/>
  <c r="Z190" i="18" s="1"/>
  <c r="Y190" i="18" s="1"/>
  <c r="G158" i="18"/>
  <c r="CA158" i="6" s="1"/>
  <c r="AA158" i="18"/>
  <c r="Z158" i="18" s="1"/>
  <c r="Y158" i="18" s="1"/>
  <c r="G134" i="18"/>
  <c r="CA134" i="6" s="1"/>
  <c r="AA134" i="18"/>
  <c r="Z134" i="18" s="1"/>
  <c r="Y134" i="18" s="1"/>
  <c r="AA82" i="18"/>
  <c r="Z82" i="18" s="1"/>
  <c r="Y82" i="18" s="1"/>
  <c r="G82" i="18"/>
  <c r="CA82" i="6" s="1"/>
  <c r="G40" i="18"/>
  <c r="CA40" i="6" s="1"/>
  <c r="AA40" i="18"/>
  <c r="Z40" i="18" s="1"/>
  <c r="Y40" i="18" s="1"/>
  <c r="AA343" i="18"/>
  <c r="Z343" i="18" s="1"/>
  <c r="Y343" i="18" s="1"/>
  <c r="G343" i="18"/>
  <c r="CA343" i="6" s="1"/>
  <c r="G199" i="18"/>
  <c r="CA199" i="6" s="1"/>
  <c r="AA199" i="18"/>
  <c r="Z199" i="18" s="1"/>
  <c r="Y199" i="18" s="1"/>
  <c r="G117" i="18"/>
  <c r="CA117" i="6" s="1"/>
  <c r="AA117" i="18"/>
  <c r="Z117" i="18" s="1"/>
  <c r="Y117" i="18" s="1"/>
  <c r="G113" i="18"/>
  <c r="CA113" i="6" s="1"/>
  <c r="AA113" i="18"/>
  <c r="Z113" i="18" s="1"/>
  <c r="Y113" i="18" s="1"/>
  <c r="G91" i="18"/>
  <c r="CA91" i="6" s="1"/>
  <c r="AA91" i="18"/>
  <c r="Z91" i="18" s="1"/>
  <c r="Y91" i="18" s="1"/>
  <c r="G57" i="18"/>
  <c r="CA57" i="6" s="1"/>
  <c r="AA57" i="18"/>
  <c r="Z57" i="18" s="1"/>
  <c r="Y57" i="18" s="1"/>
  <c r="G41" i="18"/>
  <c r="CA41" i="6" s="1"/>
  <c r="AA41" i="18"/>
  <c r="Z41" i="18" s="1"/>
  <c r="Y41" i="18" s="1"/>
  <c r="G370" i="18"/>
  <c r="CA370" i="6" s="1"/>
  <c r="AA370" i="18"/>
  <c r="Z370" i="18" s="1"/>
  <c r="Y370" i="18" s="1"/>
  <c r="G360" i="18"/>
  <c r="CA360" i="6" s="1"/>
  <c r="AA360" i="18"/>
  <c r="Z360" i="18" s="1"/>
  <c r="Y360" i="18" s="1"/>
  <c r="AA304" i="18"/>
  <c r="Z304" i="18" s="1"/>
  <c r="Y304" i="18" s="1"/>
  <c r="G304" i="18"/>
  <c r="CA304" i="6" s="1"/>
  <c r="AA280" i="18"/>
  <c r="Z280" i="18" s="1"/>
  <c r="Y280" i="18" s="1"/>
  <c r="G280" i="18"/>
  <c r="CA280" i="6" s="1"/>
  <c r="G202" i="18"/>
  <c r="CA202" i="6" s="1"/>
  <c r="AA202" i="18"/>
  <c r="Z202" i="18" s="1"/>
  <c r="Y202" i="18" s="1"/>
  <c r="G172" i="18"/>
  <c r="CA172" i="6" s="1"/>
  <c r="AA172" i="18"/>
  <c r="Z172" i="18" s="1"/>
  <c r="Y172" i="18" s="1"/>
  <c r="AA138" i="18"/>
  <c r="Z138" i="18" s="1"/>
  <c r="Y138" i="18" s="1"/>
  <c r="G138" i="18"/>
  <c r="CA138" i="6" s="1"/>
  <c r="G122" i="18"/>
  <c r="CA122" i="6" s="1"/>
  <c r="AA122" i="18"/>
  <c r="Z122" i="18" s="1"/>
  <c r="Y122" i="18" s="1"/>
  <c r="G375" i="18"/>
  <c r="CA375" i="6" s="1"/>
  <c r="AA375" i="18"/>
  <c r="Z375" i="18" s="1"/>
  <c r="Y375" i="18" s="1"/>
  <c r="G257" i="18"/>
  <c r="CA257" i="6" s="1"/>
  <c r="AA257" i="18"/>
  <c r="Z257" i="18" s="1"/>
  <c r="Y257" i="18" s="1"/>
  <c r="G151" i="18"/>
  <c r="CA151" i="6" s="1"/>
  <c r="AA151" i="18"/>
  <c r="Z151" i="18" s="1"/>
  <c r="Y151" i="18" s="1"/>
  <c r="G141" i="18"/>
  <c r="CA141" i="6" s="1"/>
  <c r="AA141" i="18"/>
  <c r="Z141" i="18" s="1"/>
  <c r="Y141" i="18" s="1"/>
  <c r="G107" i="18"/>
  <c r="CA107" i="6" s="1"/>
  <c r="AA107" i="18"/>
  <c r="Z107" i="18" s="1"/>
  <c r="Y107" i="18" s="1"/>
  <c r="G146" i="18"/>
  <c r="CA146" i="6" s="1"/>
  <c r="AA146" i="18"/>
  <c r="Z146" i="18" s="1"/>
  <c r="Y146" i="18" s="1"/>
  <c r="G142" i="18"/>
  <c r="CA142" i="6" s="1"/>
  <c r="AA142" i="18"/>
  <c r="Z142" i="18" s="1"/>
  <c r="Y142" i="18" s="1"/>
  <c r="G80" i="18"/>
  <c r="CA80" i="6" s="1"/>
  <c r="AA80" i="18"/>
  <c r="Z80" i="18" s="1"/>
  <c r="Y80" i="18" s="1"/>
  <c r="G341" i="18"/>
  <c r="CA341" i="6" s="1"/>
  <c r="AA341" i="18"/>
  <c r="Z341" i="18" s="1"/>
  <c r="Y341" i="18" s="1"/>
  <c r="AA293" i="18"/>
  <c r="Z293" i="18" s="1"/>
  <c r="Y293" i="18" s="1"/>
  <c r="G293" i="18"/>
  <c r="CA293" i="6" s="1"/>
  <c r="G285" i="18"/>
  <c r="CA285" i="6" s="1"/>
  <c r="AA285" i="18"/>
  <c r="Z285" i="18" s="1"/>
  <c r="Y285" i="18" s="1"/>
  <c r="AA221" i="18"/>
  <c r="Z221" i="18" s="1"/>
  <c r="Y221" i="18" s="1"/>
  <c r="G221" i="18"/>
  <c r="CA221" i="6" s="1"/>
  <c r="G209" i="18"/>
  <c r="CA209" i="6" s="1"/>
  <c r="AA209" i="18"/>
  <c r="Z209" i="18" s="1"/>
  <c r="Y209" i="18" s="1"/>
  <c r="G195" i="18"/>
  <c r="CA195" i="6" s="1"/>
  <c r="AA195" i="18"/>
  <c r="Z195" i="18" s="1"/>
  <c r="Y195" i="18" s="1"/>
  <c r="H195" i="18"/>
  <c r="G147" i="18"/>
  <c r="CA147" i="6" s="1"/>
  <c r="AA147" i="18"/>
  <c r="Z147" i="18" s="1"/>
  <c r="Y147" i="18" s="1"/>
  <c r="G93" i="18"/>
  <c r="CA93" i="6" s="1"/>
  <c r="AA93" i="18"/>
  <c r="Z93" i="18" s="1"/>
  <c r="Y93" i="18" s="1"/>
  <c r="H93" i="18"/>
  <c r="AA47" i="18"/>
  <c r="Z47" i="18" s="1"/>
  <c r="Y47" i="18" s="1"/>
  <c r="G47" i="18"/>
  <c r="CA47" i="6" s="1"/>
  <c r="G33" i="18"/>
  <c r="CA33" i="6" s="1"/>
  <c r="AA33" i="18"/>
  <c r="Z33" i="18" s="1"/>
  <c r="Y33" i="18" s="1"/>
  <c r="G336" i="18"/>
  <c r="CA336" i="6" s="1"/>
  <c r="AA336" i="18"/>
  <c r="Z336" i="18" s="1"/>
  <c r="Y336" i="18" s="1"/>
  <c r="AA320" i="18"/>
  <c r="Z320" i="18" s="1"/>
  <c r="Y320" i="18" s="1"/>
  <c r="G320" i="18"/>
  <c r="CA320" i="6" s="1"/>
  <c r="G308" i="18"/>
  <c r="CA308" i="6" s="1"/>
  <c r="AA308" i="18"/>
  <c r="Z308" i="18" s="1"/>
  <c r="Y308" i="18" s="1"/>
  <c r="G276" i="18"/>
  <c r="CA276" i="6" s="1"/>
  <c r="AA276" i="18"/>
  <c r="Z276" i="18" s="1"/>
  <c r="Y276" i="18" s="1"/>
  <c r="G260" i="18"/>
  <c r="CA260" i="6" s="1"/>
  <c r="AA260" i="18"/>
  <c r="Z260" i="18" s="1"/>
  <c r="Y260" i="18" s="1"/>
  <c r="AA230" i="18"/>
  <c r="Z230" i="18" s="1"/>
  <c r="Y230" i="18" s="1"/>
  <c r="G230" i="18"/>
  <c r="CA230" i="6" s="1"/>
  <c r="G178" i="18"/>
  <c r="CA178" i="6" s="1"/>
  <c r="AA178" i="18"/>
  <c r="Z178" i="18" s="1"/>
  <c r="Y178" i="18" s="1"/>
  <c r="G118" i="18"/>
  <c r="CA118" i="6" s="1"/>
  <c r="AA118" i="18"/>
  <c r="Z118" i="18" s="1"/>
  <c r="Y118" i="18" s="1"/>
  <c r="G106" i="18"/>
  <c r="CA106" i="6" s="1"/>
  <c r="AA106" i="18"/>
  <c r="Z106" i="18" s="1"/>
  <c r="Y106" i="18" s="1"/>
  <c r="G281" i="18"/>
  <c r="CA281" i="6" s="1"/>
  <c r="AA281" i="18"/>
  <c r="Z281" i="18" s="1"/>
  <c r="Y281" i="18" s="1"/>
  <c r="G271" i="18"/>
  <c r="CA271" i="6" s="1"/>
  <c r="AA271" i="18"/>
  <c r="Z271" i="18" s="1"/>
  <c r="Y271" i="18" s="1"/>
  <c r="G247" i="18"/>
  <c r="CA247" i="6" s="1"/>
  <c r="AA247" i="18"/>
  <c r="Z247" i="18" s="1"/>
  <c r="Y247" i="18" s="1"/>
  <c r="G83" i="18"/>
  <c r="CA83" i="6" s="1"/>
  <c r="AA83" i="18"/>
  <c r="Z83" i="18" s="1"/>
  <c r="Y83" i="18" s="1"/>
  <c r="G63" i="18"/>
  <c r="CA63" i="6" s="1"/>
  <c r="AA63" i="18"/>
  <c r="Z63" i="18" s="1"/>
  <c r="Y63" i="18" s="1"/>
  <c r="G130" i="18"/>
  <c r="CA130" i="6" s="1"/>
  <c r="AA130" i="18"/>
  <c r="Z130" i="18" s="1"/>
  <c r="Y130" i="18" s="1"/>
  <c r="G175" i="18"/>
  <c r="CA175" i="6" s="1"/>
  <c r="AA175" i="18"/>
  <c r="Z175" i="18" s="1"/>
  <c r="Y175" i="18" s="1"/>
  <c r="G241" i="18"/>
  <c r="CA241" i="6" s="1"/>
  <c r="AA241" i="18"/>
  <c r="Z241" i="18" s="1"/>
  <c r="Y241" i="18" s="1"/>
  <c r="G302" i="18"/>
  <c r="CA302" i="6" s="1"/>
  <c r="AA302" i="18"/>
  <c r="Z302" i="18" s="1"/>
  <c r="Y302" i="18" s="1"/>
  <c r="G189" i="18"/>
  <c r="CA189" i="6" s="1"/>
  <c r="AA189" i="18"/>
  <c r="Z189" i="18" s="1"/>
  <c r="Y189" i="18" s="1"/>
  <c r="AA154" i="18"/>
  <c r="Z154" i="18" s="1"/>
  <c r="Y154" i="18" s="1"/>
  <c r="G154" i="18"/>
  <c r="CA154" i="6" s="1"/>
  <c r="G66" i="18"/>
  <c r="CA66" i="6" s="1"/>
  <c r="AA66" i="18"/>
  <c r="Z66" i="18" s="1"/>
  <c r="Y66" i="18" s="1"/>
  <c r="AA368" i="18"/>
  <c r="Z368" i="18" s="1"/>
  <c r="Y368" i="18" s="1"/>
  <c r="G368" i="18"/>
  <c r="CA368" i="6" s="1"/>
  <c r="G278" i="18"/>
  <c r="CA278" i="6" s="1"/>
  <c r="AA278" i="18"/>
  <c r="Z278" i="18" s="1"/>
  <c r="Y278" i="18" s="1"/>
  <c r="G111" i="18"/>
  <c r="CA111" i="6" s="1"/>
  <c r="AA111" i="18"/>
  <c r="Z111" i="18" s="1"/>
  <c r="Y111" i="18" s="1"/>
  <c r="G17" i="18"/>
  <c r="CA17" i="6" s="1"/>
  <c r="AA17" i="18"/>
  <c r="Z17" i="18" s="1"/>
  <c r="Y17" i="18" s="1"/>
  <c r="G354" i="18"/>
  <c r="CA354" i="6" s="1"/>
  <c r="AA354" i="18"/>
  <c r="Z354" i="18" s="1"/>
  <c r="Y354" i="18" s="1"/>
  <c r="G319" i="18"/>
  <c r="CA319" i="6" s="1"/>
  <c r="AA319" i="18"/>
  <c r="Z319" i="18" s="1"/>
  <c r="Y319" i="18" s="1"/>
  <c r="G166" i="18"/>
  <c r="CA166" i="6" s="1"/>
  <c r="AA166" i="18"/>
  <c r="Z166" i="18" s="1"/>
  <c r="Y166" i="18" s="1"/>
  <c r="AA177" i="18"/>
  <c r="Z177" i="18" s="1"/>
  <c r="Y177" i="18" s="1"/>
  <c r="G177" i="18"/>
  <c r="CA177" i="6" s="1"/>
  <c r="G298" i="18"/>
  <c r="CA298" i="6" s="1"/>
  <c r="AA298" i="18"/>
  <c r="Z298" i="18" s="1"/>
  <c r="Y298" i="18" s="1"/>
  <c r="G105" i="18"/>
  <c r="CA105" i="6" s="1"/>
  <c r="AA105" i="18"/>
  <c r="Z105" i="18" s="1"/>
  <c r="Y105" i="18" s="1"/>
  <c r="G149" i="18"/>
  <c r="CA149" i="6" s="1"/>
  <c r="AA149" i="18"/>
  <c r="Z149" i="18" s="1"/>
  <c r="Y149" i="18" s="1"/>
  <c r="G379" i="18"/>
  <c r="CA379" i="6" s="1"/>
  <c r="AA379" i="18"/>
  <c r="Z379" i="18" s="1"/>
  <c r="Y379" i="18" s="1"/>
  <c r="J57" i="17"/>
  <c r="I57" i="17"/>
  <c r="I335" i="17"/>
  <c r="J335" i="17"/>
  <c r="J365" i="17"/>
  <c r="I365" i="17"/>
  <c r="I137" i="17"/>
  <c r="J137" i="17"/>
  <c r="I359" i="17"/>
  <c r="J359" i="17"/>
  <c r="I183" i="17"/>
  <c r="J183" i="17"/>
  <c r="J166" i="17"/>
  <c r="I166" i="17"/>
  <c r="J121" i="17"/>
  <c r="I121" i="17"/>
  <c r="J108" i="17"/>
  <c r="I108" i="17"/>
  <c r="J163" i="17"/>
  <c r="I163" i="17"/>
  <c r="J196" i="17"/>
  <c r="I196" i="17"/>
  <c r="J159" i="17"/>
  <c r="I159" i="17"/>
  <c r="I358" i="17"/>
  <c r="J358" i="17"/>
  <c r="J120" i="17"/>
  <c r="I120" i="17"/>
  <c r="J249" i="17"/>
  <c r="I249" i="17"/>
  <c r="I208" i="17"/>
  <c r="J208" i="17"/>
  <c r="J167" i="17"/>
  <c r="I167" i="17"/>
  <c r="J299" i="17"/>
  <c r="I299" i="17"/>
  <c r="J216" i="17"/>
  <c r="I216" i="17"/>
  <c r="J354" i="17"/>
  <c r="I354" i="17"/>
  <c r="I134" i="17"/>
  <c r="J134" i="17"/>
  <c r="I160" i="17"/>
  <c r="J160" i="17"/>
  <c r="J298" i="17"/>
  <c r="I298" i="17"/>
  <c r="I174" i="17"/>
  <c r="J174" i="17"/>
  <c r="J222" i="17"/>
  <c r="I222" i="17"/>
  <c r="I334" i="17"/>
  <c r="J334" i="17"/>
  <c r="J322" i="17"/>
  <c r="I322" i="17"/>
  <c r="I116" i="17"/>
  <c r="J116" i="17"/>
  <c r="J184" i="17"/>
  <c r="I184" i="17"/>
  <c r="J30" i="17"/>
  <c r="I30" i="17"/>
  <c r="I231" i="17"/>
  <c r="J231" i="17"/>
  <c r="I20" i="17"/>
  <c r="J20" i="17"/>
  <c r="J262" i="17"/>
  <c r="I262" i="17"/>
  <c r="J35" i="17"/>
  <c r="I35" i="17"/>
  <c r="I115" i="17"/>
  <c r="J115" i="17"/>
  <c r="J80" i="17"/>
  <c r="I80" i="17"/>
  <c r="I175" i="17"/>
  <c r="J175" i="17"/>
  <c r="I83" i="17"/>
  <c r="J83" i="17"/>
  <c r="J44" i="17"/>
  <c r="I44" i="17"/>
  <c r="J189" i="17"/>
  <c r="I189" i="17"/>
  <c r="I349" i="17"/>
  <c r="J349" i="17"/>
  <c r="J281" i="17"/>
  <c r="I281" i="17"/>
  <c r="I123" i="17"/>
  <c r="J123" i="17"/>
  <c r="J143" i="17"/>
  <c r="I143" i="17"/>
  <c r="J339" i="17"/>
  <c r="I339" i="17"/>
  <c r="I352" i="17"/>
  <c r="J352" i="17"/>
  <c r="J124" i="17"/>
  <c r="I124" i="17"/>
  <c r="I328" i="17"/>
  <c r="J328" i="17"/>
  <c r="I221" i="17"/>
  <c r="J221" i="17"/>
  <c r="J69" i="17"/>
  <c r="I69" i="17"/>
  <c r="J288" i="17"/>
  <c r="I288" i="17"/>
  <c r="J55" i="17"/>
  <c r="I55" i="17"/>
  <c r="I270" i="17"/>
  <c r="J270" i="17"/>
  <c r="J54" i="17"/>
  <c r="I54" i="17"/>
  <c r="I340" i="17"/>
  <c r="J340" i="17"/>
  <c r="J247" i="17"/>
  <c r="I247" i="17"/>
  <c r="I258" i="17"/>
  <c r="J258" i="17"/>
  <c r="J369" i="17"/>
  <c r="I369" i="17"/>
  <c r="J225" i="17"/>
  <c r="I225" i="17"/>
  <c r="J89" i="17"/>
  <c r="I89" i="17"/>
  <c r="I290" i="17"/>
  <c r="J290" i="17"/>
  <c r="J292" i="17"/>
  <c r="I292" i="17"/>
  <c r="J303" i="17"/>
  <c r="I303" i="17"/>
  <c r="J311" i="17"/>
  <c r="I311" i="17"/>
  <c r="I314" i="17"/>
  <c r="J314" i="17"/>
  <c r="I33" i="17"/>
  <c r="J33" i="17"/>
  <c r="J265" i="17"/>
  <c r="I265" i="17"/>
  <c r="I109" i="17"/>
  <c r="J109" i="17"/>
  <c r="J294" i="17"/>
  <c r="I294" i="17"/>
  <c r="J70" i="17"/>
  <c r="I70" i="17"/>
  <c r="I371" i="17"/>
  <c r="J371" i="17"/>
  <c r="J362" i="17"/>
  <c r="I362" i="17"/>
  <c r="I207" i="17"/>
  <c r="J207" i="17"/>
  <c r="J345" i="17"/>
  <c r="I345" i="17"/>
  <c r="I188" i="17"/>
  <c r="J188" i="17"/>
  <c r="J45" i="17"/>
  <c r="I45" i="17"/>
  <c r="I21" i="17"/>
  <c r="J21" i="17"/>
  <c r="I49" i="17"/>
  <c r="J49" i="17"/>
  <c r="W174" i="22"/>
  <c r="D174" i="22"/>
  <c r="E174" i="22" s="1"/>
  <c r="F174" i="22" s="1"/>
  <c r="G76" i="18"/>
  <c r="CA76" i="6" s="1"/>
  <c r="AA76" i="18"/>
  <c r="Z76" i="18" s="1"/>
  <c r="Y76" i="18" s="1"/>
  <c r="H76" i="18"/>
  <c r="W81" i="20"/>
  <c r="D81" i="20"/>
  <c r="E81" i="20" s="1"/>
  <c r="F81" i="20" s="1"/>
  <c r="G100" i="20"/>
  <c r="CB100" i="6" s="1"/>
  <c r="AA100" i="20"/>
  <c r="Z100" i="20" s="1"/>
  <c r="Y100" i="20" s="1"/>
  <c r="G73" i="18"/>
  <c r="CA73" i="6" s="1"/>
  <c r="AA73" i="18"/>
  <c r="Z73" i="18" s="1"/>
  <c r="Y73" i="18" s="1"/>
  <c r="G331" i="20"/>
  <c r="CB331" i="6" s="1"/>
  <c r="AA331" i="20"/>
  <c r="Z331" i="20" s="1"/>
  <c r="Y331" i="20" s="1"/>
  <c r="W332" i="20"/>
  <c r="D332" i="20"/>
  <c r="E332" i="20" s="1"/>
  <c r="F332" i="20" s="1"/>
  <c r="G32" i="20"/>
  <c r="CB32" i="6" s="1"/>
  <c r="AA32" i="20"/>
  <c r="Z32" i="20" s="1"/>
  <c r="Y32" i="20" s="1"/>
  <c r="W321" i="20"/>
  <c r="D321" i="20"/>
  <c r="E321" i="20" s="1"/>
  <c r="F321" i="20" s="1"/>
  <c r="G229" i="20"/>
  <c r="CB229" i="6" s="1"/>
  <c r="AA229" i="20"/>
  <c r="Z229" i="20" s="1"/>
  <c r="Y229" i="20" s="1"/>
  <c r="W163" i="20"/>
  <c r="D163" i="20"/>
  <c r="E163" i="20" s="1"/>
  <c r="F163" i="20" s="1"/>
  <c r="D98" i="20"/>
  <c r="E98" i="20" s="1"/>
  <c r="F98" i="20" s="1"/>
  <c r="W98" i="20"/>
  <c r="G306" i="20"/>
  <c r="CB306" i="6" s="1"/>
  <c r="AA306" i="20"/>
  <c r="Z306" i="20" s="1"/>
  <c r="Y306" i="20" s="1"/>
  <c r="G236" i="18"/>
  <c r="CA236" i="6" s="1"/>
  <c r="AA236" i="18"/>
  <c r="Z236" i="18" s="1"/>
  <c r="Y236" i="18" s="1"/>
  <c r="D182" i="20"/>
  <c r="E182" i="20" s="1"/>
  <c r="F182" i="20" s="1"/>
  <c r="W182" i="20"/>
  <c r="W207" i="22"/>
  <c r="D207" i="22"/>
  <c r="E207" i="22" s="1"/>
  <c r="F207" i="22" s="1"/>
  <c r="W289" i="20"/>
  <c r="D289" i="20"/>
  <c r="E289" i="20" s="1"/>
  <c r="F289" i="20" s="1"/>
  <c r="G205" i="20"/>
  <c r="CB205" i="6" s="1"/>
  <c r="AA205" i="20"/>
  <c r="Z205" i="20" s="1"/>
  <c r="Y205" i="20" s="1"/>
  <c r="D78" i="20"/>
  <c r="E78" i="20" s="1"/>
  <c r="F78" i="20" s="1"/>
  <c r="W78" i="20"/>
  <c r="AA356" i="18"/>
  <c r="Z356" i="18" s="1"/>
  <c r="Y356" i="18" s="1"/>
  <c r="G356" i="18"/>
  <c r="CA356" i="6" s="1"/>
  <c r="W342" i="22"/>
  <c r="D342" i="22"/>
  <c r="E342" i="22" s="1"/>
  <c r="F342" i="22" s="1"/>
  <c r="W314" i="20"/>
  <c r="D314" i="20"/>
  <c r="E314" i="20" s="1"/>
  <c r="F314" i="20" s="1"/>
  <c r="W240" i="20"/>
  <c r="D240" i="20"/>
  <c r="E240" i="20" s="1"/>
  <c r="F240" i="20" s="1"/>
  <c r="G206" i="18"/>
  <c r="CA206" i="6" s="1"/>
  <c r="AA206" i="18"/>
  <c r="Z206" i="18" s="1"/>
  <c r="Y206" i="18" s="1"/>
  <c r="W200" i="22"/>
  <c r="D200" i="22"/>
  <c r="E200" i="22" s="1"/>
  <c r="F200" i="22" s="1"/>
  <c r="D190" i="22"/>
  <c r="E190" i="22" s="1"/>
  <c r="F190" i="22" s="1"/>
  <c r="W190" i="22"/>
  <c r="G156" i="18"/>
  <c r="CA156" i="6" s="1"/>
  <c r="AA156" i="18"/>
  <c r="Z156" i="18" s="1"/>
  <c r="Y156" i="18" s="1"/>
  <c r="AA134" i="20"/>
  <c r="Z134" i="20" s="1"/>
  <c r="Y134" i="20" s="1"/>
  <c r="G134" i="20"/>
  <c r="CB134" i="6" s="1"/>
  <c r="W72" i="20"/>
  <c r="D72" i="20"/>
  <c r="E72" i="20" s="1"/>
  <c r="F72" i="20" s="1"/>
  <c r="G44" i="18"/>
  <c r="CA44" i="6" s="1"/>
  <c r="AA44" i="18"/>
  <c r="Z44" i="18" s="1"/>
  <c r="Y44" i="18" s="1"/>
  <c r="W40" i="22"/>
  <c r="D40" i="22"/>
  <c r="E40" i="22" s="1"/>
  <c r="F40" i="22" s="1"/>
  <c r="G24" i="18"/>
  <c r="CA24" i="6" s="1"/>
  <c r="AA24" i="18"/>
  <c r="Z24" i="18" s="1"/>
  <c r="Y24" i="18" s="1"/>
  <c r="AA345" i="18"/>
  <c r="Z345" i="18" s="1"/>
  <c r="Y345" i="18" s="1"/>
  <c r="G345" i="18"/>
  <c r="CA345" i="6" s="1"/>
  <c r="W343" i="22"/>
  <c r="D343" i="22"/>
  <c r="E343" i="22" s="1"/>
  <c r="F343" i="22" s="1"/>
  <c r="G329" i="20"/>
  <c r="CB329" i="6" s="1"/>
  <c r="AA329" i="20"/>
  <c r="Z329" i="20" s="1"/>
  <c r="Y329" i="20" s="1"/>
  <c r="D315" i="20"/>
  <c r="E315" i="20" s="1"/>
  <c r="F315" i="20" s="1"/>
  <c r="W315" i="20"/>
  <c r="W239" i="20"/>
  <c r="D239" i="20"/>
  <c r="E239" i="20" s="1"/>
  <c r="F239" i="20" s="1"/>
  <c r="W217" i="22"/>
  <c r="D217" i="22"/>
  <c r="E217" i="22" s="1"/>
  <c r="F217" i="22" s="1"/>
  <c r="G213" i="18"/>
  <c r="CA213" i="6" s="1"/>
  <c r="AA213" i="18"/>
  <c r="Z213" i="18" s="1"/>
  <c r="Y213" i="18" s="1"/>
  <c r="G133" i="18"/>
  <c r="CA133" i="6" s="1"/>
  <c r="AA133" i="18"/>
  <c r="Z133" i="18" s="1"/>
  <c r="Y133" i="18" s="1"/>
  <c r="G115" i="18"/>
  <c r="CA115" i="6" s="1"/>
  <c r="AA115" i="18"/>
  <c r="Z115" i="18" s="1"/>
  <c r="Y115" i="18" s="1"/>
  <c r="W113" i="22"/>
  <c r="D113" i="22"/>
  <c r="E113" i="22" s="1"/>
  <c r="F113" i="22" s="1"/>
  <c r="W85" i="20"/>
  <c r="D85" i="20"/>
  <c r="E85" i="20" s="1"/>
  <c r="F85" i="20" s="1"/>
  <c r="G57" i="20"/>
  <c r="CB57" i="6" s="1"/>
  <c r="AA57" i="20"/>
  <c r="Z57" i="20" s="1"/>
  <c r="Y57" i="20" s="1"/>
  <c r="W360" i="22"/>
  <c r="D360" i="22"/>
  <c r="E360" i="22" s="1"/>
  <c r="F360" i="22" s="1"/>
  <c r="D350" i="20"/>
  <c r="E350" i="20" s="1"/>
  <c r="F350" i="20" s="1"/>
  <c r="W350" i="20"/>
  <c r="G350" i="18"/>
  <c r="CA350" i="6" s="1"/>
  <c r="AA350" i="18"/>
  <c r="Z350" i="18" s="1"/>
  <c r="Y350" i="18" s="1"/>
  <c r="W322" i="20"/>
  <c r="D322" i="20"/>
  <c r="E322" i="20" s="1"/>
  <c r="F322" i="20" s="1"/>
  <c r="G280" i="20"/>
  <c r="CB280" i="6" s="1"/>
  <c r="AA280" i="20"/>
  <c r="Z280" i="20" s="1"/>
  <c r="Y280" i="20" s="1"/>
  <c r="W266" i="20"/>
  <c r="D266" i="20"/>
  <c r="E266" i="20" s="1"/>
  <c r="F266" i="20" s="1"/>
  <c r="W238" i="22"/>
  <c r="D238" i="22"/>
  <c r="E238" i="22" s="1"/>
  <c r="F238" i="22" s="1"/>
  <c r="G234" i="18"/>
  <c r="CA234" i="6" s="1"/>
  <c r="AA234" i="18"/>
  <c r="Z234" i="18" s="1"/>
  <c r="Y234" i="18" s="1"/>
  <c r="H234" i="18"/>
  <c r="W160" i="20"/>
  <c r="D160" i="20"/>
  <c r="E160" i="20" s="1"/>
  <c r="F160" i="20" s="1"/>
  <c r="W122" i="22"/>
  <c r="D122" i="22"/>
  <c r="E122" i="22" s="1"/>
  <c r="F122" i="22" s="1"/>
  <c r="W48" i="20"/>
  <c r="D48" i="20"/>
  <c r="E48" i="20" s="1"/>
  <c r="F48" i="20" s="1"/>
  <c r="G20" i="18"/>
  <c r="CA20" i="6" s="1"/>
  <c r="AA20" i="18"/>
  <c r="Z20" i="18" s="1"/>
  <c r="Y20" i="18" s="1"/>
  <c r="W373" i="20"/>
  <c r="D373" i="20"/>
  <c r="E373" i="20" s="1"/>
  <c r="F373" i="20" s="1"/>
  <c r="W357" i="20"/>
  <c r="D357" i="20"/>
  <c r="E357" i="20" s="1"/>
  <c r="F357" i="20" s="1"/>
  <c r="G337" i="20"/>
  <c r="CB337" i="6" s="1"/>
  <c r="AA337" i="20"/>
  <c r="Z337" i="20" s="1"/>
  <c r="Y337" i="20" s="1"/>
  <c r="W307" i="20"/>
  <c r="D307" i="20"/>
  <c r="E307" i="20" s="1"/>
  <c r="F307" i="20" s="1"/>
  <c r="G267" i="18"/>
  <c r="CA267" i="6" s="1"/>
  <c r="AA267" i="18"/>
  <c r="Z267" i="18" s="1"/>
  <c r="Y267" i="18" s="1"/>
  <c r="W223" i="20"/>
  <c r="D223" i="20"/>
  <c r="E223" i="20" s="1"/>
  <c r="F223" i="20" s="1"/>
  <c r="G211" i="20"/>
  <c r="CB211" i="6" s="1"/>
  <c r="AA211" i="20"/>
  <c r="Z211" i="20" s="1"/>
  <c r="Y211" i="20" s="1"/>
  <c r="G191" i="18"/>
  <c r="CA191" i="6" s="1"/>
  <c r="AA191" i="18"/>
  <c r="Z191" i="18" s="1"/>
  <c r="Y191" i="18" s="1"/>
  <c r="W143" i="20"/>
  <c r="D143" i="20"/>
  <c r="E143" i="20" s="1"/>
  <c r="F143" i="20" s="1"/>
  <c r="AA141" i="20"/>
  <c r="Z141" i="20" s="1"/>
  <c r="Y141" i="20" s="1"/>
  <c r="G141" i="20"/>
  <c r="CB141" i="6" s="1"/>
  <c r="D65" i="20"/>
  <c r="E65" i="20" s="1"/>
  <c r="F65" i="20" s="1"/>
  <c r="W65" i="20"/>
  <c r="G59" i="20"/>
  <c r="CB59" i="6" s="1"/>
  <c r="AA59" i="20"/>
  <c r="Z59" i="20" s="1"/>
  <c r="Y59" i="20" s="1"/>
  <c r="W372" i="20"/>
  <c r="D372" i="20"/>
  <c r="E372" i="20" s="1"/>
  <c r="F372" i="20" s="1"/>
  <c r="D250" i="20"/>
  <c r="E250" i="20" s="1"/>
  <c r="F250" i="20" s="1"/>
  <c r="W250" i="20"/>
  <c r="G250" i="18"/>
  <c r="CA250" i="6" s="1"/>
  <c r="AA250" i="18"/>
  <c r="Z250" i="18" s="1"/>
  <c r="Y250" i="18" s="1"/>
  <c r="W148" i="20"/>
  <c r="D148" i="20"/>
  <c r="E148" i="20" s="1"/>
  <c r="F148" i="20" s="1"/>
  <c r="W126" i="20"/>
  <c r="D126" i="20"/>
  <c r="E126" i="20" s="1"/>
  <c r="F126" i="20" s="1"/>
  <c r="G108" i="20"/>
  <c r="CB108" i="6" s="1"/>
  <c r="AA108" i="20"/>
  <c r="Z108" i="20" s="1"/>
  <c r="Y108" i="20" s="1"/>
  <c r="W96" i="20"/>
  <c r="D96" i="20"/>
  <c r="E96" i="20" s="1"/>
  <c r="F96" i="20" s="1"/>
  <c r="G80" i="20"/>
  <c r="CB80" i="6" s="1"/>
  <c r="AA80" i="20"/>
  <c r="Z80" i="20" s="1"/>
  <c r="Y80" i="20" s="1"/>
  <c r="W34" i="20"/>
  <c r="D34" i="20"/>
  <c r="E34" i="20" s="1"/>
  <c r="F34" i="20" s="1"/>
  <c r="G371" i="18"/>
  <c r="CA371" i="6" s="1"/>
  <c r="AA371" i="18"/>
  <c r="Z371" i="18" s="1"/>
  <c r="Y371" i="18" s="1"/>
  <c r="W341" i="22"/>
  <c r="D341" i="22"/>
  <c r="E341" i="22" s="1"/>
  <c r="F341" i="22" s="1"/>
  <c r="G341" i="20"/>
  <c r="CB341" i="6" s="1"/>
  <c r="AA341" i="20"/>
  <c r="Z341" i="20" s="1"/>
  <c r="Y341" i="20" s="1"/>
  <c r="G339" i="18"/>
  <c r="CA339" i="6" s="1"/>
  <c r="AA339" i="18"/>
  <c r="Z339" i="18" s="1"/>
  <c r="Y339" i="18" s="1"/>
  <c r="D293" i="22"/>
  <c r="E293" i="22" s="1"/>
  <c r="F293" i="22" s="1"/>
  <c r="W293" i="22"/>
  <c r="G291" i="18"/>
  <c r="CA291" i="6" s="1"/>
  <c r="AA291" i="18"/>
  <c r="Z291" i="18" s="1"/>
  <c r="Y291" i="18" s="1"/>
  <c r="G209" i="20"/>
  <c r="CB209" i="6" s="1"/>
  <c r="AA209" i="20"/>
  <c r="Z209" i="20" s="1"/>
  <c r="Y209" i="20" s="1"/>
  <c r="W201" i="20"/>
  <c r="D201" i="20"/>
  <c r="E201" i="20" s="1"/>
  <c r="F201" i="20" s="1"/>
  <c r="G147" i="20"/>
  <c r="CB147" i="6" s="1"/>
  <c r="AA147" i="20"/>
  <c r="Z147" i="20" s="1"/>
  <c r="Y147" i="20" s="1"/>
  <c r="W145" i="20"/>
  <c r="D145" i="20"/>
  <c r="E145" i="20" s="1"/>
  <c r="F145" i="20" s="1"/>
  <c r="W93" i="22"/>
  <c r="D93" i="22"/>
  <c r="E93" i="22" s="1"/>
  <c r="F93" i="22" s="1"/>
  <c r="G87" i="18"/>
  <c r="CA87" i="6" s="1"/>
  <c r="AA87" i="18"/>
  <c r="Z87" i="18" s="1"/>
  <c r="Y87" i="18" s="1"/>
  <c r="H87" i="18"/>
  <c r="G49" i="18"/>
  <c r="CA49" i="6" s="1"/>
  <c r="AA49" i="18"/>
  <c r="Z49" i="18" s="1"/>
  <c r="Y49" i="18" s="1"/>
  <c r="G31" i="18"/>
  <c r="CA31" i="6" s="1"/>
  <c r="AA31" i="18"/>
  <c r="Z31" i="18" s="1"/>
  <c r="Y31" i="18" s="1"/>
  <c r="W31" i="20"/>
  <c r="D31" i="20"/>
  <c r="E31" i="20" s="1"/>
  <c r="F31" i="20" s="1"/>
  <c r="G320" i="20"/>
  <c r="CB320" i="6" s="1"/>
  <c r="AA320" i="20"/>
  <c r="Z320" i="20" s="1"/>
  <c r="Y320" i="20" s="1"/>
  <c r="G276" i="20"/>
  <c r="CB276" i="6" s="1"/>
  <c r="AA276" i="20"/>
  <c r="Z276" i="20" s="1"/>
  <c r="Y276" i="20" s="1"/>
  <c r="G260" i="20"/>
  <c r="CB260" i="6" s="1"/>
  <c r="AA260" i="20"/>
  <c r="Z260" i="20" s="1"/>
  <c r="Y260" i="20" s="1"/>
  <c r="G254" i="18"/>
  <c r="CA254" i="6" s="1"/>
  <c r="AA254" i="18"/>
  <c r="Z254" i="18" s="1"/>
  <c r="Y254" i="18" s="1"/>
  <c r="AA220" i="18"/>
  <c r="Z220" i="18" s="1"/>
  <c r="Y220" i="18" s="1"/>
  <c r="G220" i="18"/>
  <c r="CA220" i="6" s="1"/>
  <c r="D140" i="20"/>
  <c r="E140" i="20" s="1"/>
  <c r="F140" i="20" s="1"/>
  <c r="W140" i="20"/>
  <c r="W110" i="20"/>
  <c r="D110" i="20"/>
  <c r="E110" i="20" s="1"/>
  <c r="F110" i="20" s="1"/>
  <c r="G42" i="18"/>
  <c r="CA42" i="6" s="1"/>
  <c r="AA42" i="18"/>
  <c r="Z42" i="18" s="1"/>
  <c r="Y42" i="18" s="1"/>
  <c r="G317" i="18"/>
  <c r="CA317" i="6" s="1"/>
  <c r="AA317" i="18"/>
  <c r="Z317" i="18" s="1"/>
  <c r="Y317" i="18" s="1"/>
  <c r="G249" i="18"/>
  <c r="CA249" i="6" s="1"/>
  <c r="AA249" i="18"/>
  <c r="Z249" i="18" s="1"/>
  <c r="Y249" i="18" s="1"/>
  <c r="W185" i="20"/>
  <c r="D185" i="20"/>
  <c r="E185" i="20" s="1"/>
  <c r="F185" i="20" s="1"/>
  <c r="W63" i="22"/>
  <c r="D63" i="22"/>
  <c r="E63" i="22" s="1"/>
  <c r="F63" i="22" s="1"/>
  <c r="W37" i="20"/>
  <c r="D37" i="20"/>
  <c r="E37" i="20" s="1"/>
  <c r="F37" i="20" s="1"/>
  <c r="G88" i="18"/>
  <c r="CA88" i="6" s="1"/>
  <c r="AA88" i="18"/>
  <c r="Z88" i="18" s="1"/>
  <c r="Y88" i="18" s="1"/>
  <c r="W244" i="20"/>
  <c r="D244" i="20"/>
  <c r="E244" i="20" s="1"/>
  <c r="F244" i="20" s="1"/>
  <c r="G241" i="20"/>
  <c r="CB241" i="6" s="1"/>
  <c r="AA241" i="20"/>
  <c r="Z241" i="20" s="1"/>
  <c r="Y241" i="20" s="1"/>
  <c r="G189" i="20"/>
  <c r="CB189" i="6" s="1"/>
  <c r="AA189" i="20"/>
  <c r="Z189" i="20" s="1"/>
  <c r="Y189" i="20" s="1"/>
  <c r="W154" i="22"/>
  <c r="D154" i="22"/>
  <c r="E154" i="22" s="1"/>
  <c r="F154" i="22" s="1"/>
  <c r="AA368" i="20"/>
  <c r="Z368" i="20" s="1"/>
  <c r="Y368" i="20" s="1"/>
  <c r="G368" i="20"/>
  <c r="CB368" i="6" s="1"/>
  <c r="G272" i="18"/>
  <c r="CA272" i="6" s="1"/>
  <c r="AA272" i="18"/>
  <c r="Z272" i="18" s="1"/>
  <c r="Y272" i="18" s="1"/>
  <c r="W346" i="20"/>
  <c r="D346" i="20"/>
  <c r="E346" i="20" s="1"/>
  <c r="F346" i="20" s="1"/>
  <c r="D248" i="20"/>
  <c r="E248" i="20" s="1"/>
  <c r="F248" i="20" s="1"/>
  <c r="W248" i="20"/>
  <c r="G22" i="18"/>
  <c r="CA22" i="6" s="1"/>
  <c r="AA22" i="18"/>
  <c r="Z22" i="18" s="1"/>
  <c r="Y22" i="18" s="1"/>
  <c r="G166" i="20"/>
  <c r="CB166" i="6" s="1"/>
  <c r="AA166" i="20"/>
  <c r="Z166" i="20" s="1"/>
  <c r="Y166" i="20" s="1"/>
  <c r="G67" i="18"/>
  <c r="CA67" i="6" s="1"/>
  <c r="AA67" i="18"/>
  <c r="Z67" i="18" s="1"/>
  <c r="Y67" i="18" s="1"/>
  <c r="W16" i="22"/>
  <c r="D16" i="22"/>
  <c r="E16" i="22" s="1"/>
  <c r="F16" i="22" s="1"/>
  <c r="G105" i="20"/>
  <c r="CB105" i="6" s="1"/>
  <c r="AA105" i="20"/>
  <c r="Z105" i="20" s="1"/>
  <c r="Y105" i="20" s="1"/>
  <c r="G196" i="18"/>
  <c r="CA196" i="6" s="1"/>
  <c r="AA196" i="18"/>
  <c r="Z196" i="18" s="1"/>
  <c r="Y196" i="18" s="1"/>
  <c r="G119" i="18"/>
  <c r="CA119" i="6" s="1"/>
  <c r="AA119" i="18"/>
  <c r="Z119" i="18" s="1"/>
  <c r="Y119" i="18" s="1"/>
  <c r="G232" i="18"/>
  <c r="CA232" i="6" s="1"/>
  <c r="AA232" i="18"/>
  <c r="Z232" i="18" s="1"/>
  <c r="Y232" i="18" s="1"/>
  <c r="W132" i="22"/>
  <c r="D132" i="22"/>
  <c r="E132" i="22" s="1"/>
  <c r="F132" i="22" s="1"/>
  <c r="D295" i="20"/>
  <c r="E295" i="20" s="1"/>
  <c r="F295" i="20" s="1"/>
  <c r="W295" i="20"/>
  <c r="G153" i="20"/>
  <c r="CB153" i="6" s="1"/>
  <c r="AA153" i="20"/>
  <c r="Z153" i="20" s="1"/>
  <c r="Y153" i="20" s="1"/>
  <c r="G62" i="18"/>
  <c r="CA62" i="6" s="1"/>
  <c r="AA62" i="18"/>
  <c r="Z62" i="18" s="1"/>
  <c r="Y62" i="18" s="1"/>
  <c r="W251" i="22"/>
  <c r="D251" i="22"/>
  <c r="E251" i="22" s="1"/>
  <c r="F251" i="22" s="1"/>
  <c r="G309" i="18"/>
  <c r="CA309" i="6" s="1"/>
  <c r="AA309" i="18"/>
  <c r="Z309" i="18" s="1"/>
  <c r="Y309" i="18" s="1"/>
  <c r="AA235" i="20"/>
  <c r="Z235" i="20" s="1"/>
  <c r="Y235" i="20" s="1"/>
  <c r="G235" i="20"/>
  <c r="CB235" i="6" s="1"/>
  <c r="W125" i="20"/>
  <c r="D125" i="20"/>
  <c r="E125" i="20" s="1"/>
  <c r="F125" i="20" s="1"/>
  <c r="G103" i="20"/>
  <c r="CB103" i="6" s="1"/>
  <c r="AA103" i="20"/>
  <c r="Z103" i="20" s="1"/>
  <c r="Y103" i="20" s="1"/>
  <c r="W157" i="20"/>
  <c r="D157" i="20"/>
  <c r="E157" i="20" s="1"/>
  <c r="F157" i="20" s="1"/>
  <c r="G52" i="20"/>
  <c r="CB52" i="6" s="1"/>
  <c r="AA52" i="20"/>
  <c r="Z52" i="20" s="1"/>
  <c r="Y52" i="20" s="1"/>
  <c r="G374" i="18"/>
  <c r="CA374" i="6" s="1"/>
  <c r="AA374" i="18"/>
  <c r="Z374" i="18" s="1"/>
  <c r="Y374" i="18" s="1"/>
  <c r="G311" i="18"/>
  <c r="CA311" i="6" s="1"/>
  <c r="AA311" i="18"/>
  <c r="Z311" i="18" s="1"/>
  <c r="Y311" i="18" s="1"/>
  <c r="W305" i="22"/>
  <c r="D305" i="22"/>
  <c r="E305" i="22" s="1"/>
  <c r="F305" i="22" s="1"/>
  <c r="G310" i="18"/>
  <c r="CA310" i="6" s="1"/>
  <c r="AA310" i="18"/>
  <c r="Z310" i="18" s="1"/>
  <c r="Y310" i="18" s="1"/>
  <c r="W252" i="22"/>
  <c r="D252" i="22"/>
  <c r="E252" i="22" s="1"/>
  <c r="F252" i="22" s="1"/>
  <c r="G378" i="18"/>
  <c r="CA378" i="6" s="1"/>
  <c r="AA378" i="18"/>
  <c r="Z378" i="18" s="1"/>
  <c r="Y378" i="18" s="1"/>
  <c r="W204" i="22"/>
  <c r="D204" i="22"/>
  <c r="E204" i="22" s="1"/>
  <c r="F204" i="22" s="1"/>
  <c r="W90" i="20"/>
  <c r="D90" i="20"/>
  <c r="E90" i="20" s="1"/>
  <c r="F90" i="20" s="1"/>
  <c r="W222" i="22"/>
  <c r="D222" i="22"/>
  <c r="E222" i="22" s="1"/>
  <c r="F222" i="22" s="1"/>
  <c r="G137" i="18"/>
  <c r="CA137" i="6" s="1"/>
  <c r="AA137" i="18"/>
  <c r="Z137" i="18" s="1"/>
  <c r="Y137" i="18" s="1"/>
  <c r="G362" i="18"/>
  <c r="CA362" i="6" s="1"/>
  <c r="AA362" i="18"/>
  <c r="Z362" i="18" s="1"/>
  <c r="Y362" i="18" s="1"/>
  <c r="G358" i="20"/>
  <c r="CB358" i="6" s="1"/>
  <c r="AA358" i="20"/>
  <c r="Z358" i="20" s="1"/>
  <c r="Y358" i="20" s="1"/>
  <c r="G340" i="18"/>
  <c r="CA340" i="6" s="1"/>
  <c r="AA340" i="18"/>
  <c r="Z340" i="18" s="1"/>
  <c r="Y340" i="18" s="1"/>
  <c r="W340" i="20"/>
  <c r="D340" i="20"/>
  <c r="E340" i="20" s="1"/>
  <c r="F340" i="20" s="1"/>
  <c r="G290" i="18"/>
  <c r="CA290" i="6" s="1"/>
  <c r="AA290" i="18"/>
  <c r="Z290" i="18" s="1"/>
  <c r="Y290" i="18" s="1"/>
  <c r="W286" i="22"/>
  <c r="D286" i="22"/>
  <c r="E286" i="22" s="1"/>
  <c r="F286" i="22" s="1"/>
  <c r="W264" i="20"/>
  <c r="D264" i="20"/>
  <c r="E264" i="20" s="1"/>
  <c r="F264" i="20" s="1"/>
  <c r="G242" i="20"/>
  <c r="CB242" i="6" s="1"/>
  <c r="AA242" i="20"/>
  <c r="Z242" i="20" s="1"/>
  <c r="Y242" i="20" s="1"/>
  <c r="D214" i="20"/>
  <c r="E214" i="20" s="1"/>
  <c r="F214" i="20" s="1"/>
  <c r="W214" i="20"/>
  <c r="D198" i="20"/>
  <c r="E198" i="20" s="1"/>
  <c r="F198" i="20" s="1"/>
  <c r="W198" i="20"/>
  <c r="G186" i="18"/>
  <c r="CA186" i="6" s="1"/>
  <c r="AA186" i="18"/>
  <c r="Z186" i="18" s="1"/>
  <c r="Y186" i="18" s="1"/>
  <c r="G162" i="18"/>
  <c r="CA162" i="6" s="1"/>
  <c r="AA162" i="18"/>
  <c r="Z162" i="18" s="1"/>
  <c r="Y162" i="18" s="1"/>
  <c r="W162" i="20"/>
  <c r="D162" i="20"/>
  <c r="E162" i="20" s="1"/>
  <c r="F162" i="20" s="1"/>
  <c r="G158" i="20"/>
  <c r="CB158" i="6" s="1"/>
  <c r="AA158" i="20"/>
  <c r="Z158" i="20" s="1"/>
  <c r="Y158" i="20" s="1"/>
  <c r="G102" i="18"/>
  <c r="CA102" i="6" s="1"/>
  <c r="AA102" i="18"/>
  <c r="Z102" i="18" s="1"/>
  <c r="Y102" i="18" s="1"/>
  <c r="W82" i="22"/>
  <c r="D82" i="22"/>
  <c r="E82" i="22" s="1"/>
  <c r="F82" i="22" s="1"/>
  <c r="D58" i="20"/>
  <c r="E58" i="20" s="1"/>
  <c r="F58" i="20" s="1"/>
  <c r="W58" i="20"/>
  <c r="AA54" i="20"/>
  <c r="Z54" i="20" s="1"/>
  <c r="Y54" i="20" s="1"/>
  <c r="G54" i="20"/>
  <c r="CB54" i="6" s="1"/>
  <c r="W36" i="20"/>
  <c r="D36" i="20"/>
  <c r="E36" i="20" s="1"/>
  <c r="F36" i="20" s="1"/>
  <c r="G30" i="20"/>
  <c r="CB30" i="6" s="1"/>
  <c r="AA30" i="20"/>
  <c r="Z30" i="20" s="1"/>
  <c r="Y30" i="20" s="1"/>
  <c r="AA355" i="18"/>
  <c r="Z355" i="18" s="1"/>
  <c r="Y355" i="18" s="1"/>
  <c r="G355" i="18"/>
  <c r="CA355" i="6" s="1"/>
  <c r="W279" i="20"/>
  <c r="D279" i="20"/>
  <c r="E279" i="20" s="1"/>
  <c r="F279" i="20" s="1"/>
  <c r="G225" i="18"/>
  <c r="CA225" i="6" s="1"/>
  <c r="AA225" i="18"/>
  <c r="Z225" i="18" s="1"/>
  <c r="Y225" i="18" s="1"/>
  <c r="G199" i="20"/>
  <c r="CB199" i="6" s="1"/>
  <c r="AA199" i="20"/>
  <c r="Z199" i="20" s="1"/>
  <c r="Y199" i="20" s="1"/>
  <c r="W165" i="20"/>
  <c r="D165" i="20"/>
  <c r="E165" i="20" s="1"/>
  <c r="F165" i="20" s="1"/>
  <c r="G121" i="18"/>
  <c r="CA121" i="6" s="1"/>
  <c r="AA121" i="18"/>
  <c r="Z121" i="18" s="1"/>
  <c r="Y121" i="18" s="1"/>
  <c r="W117" i="22"/>
  <c r="D117" i="22"/>
  <c r="E117" i="22" s="1"/>
  <c r="F117" i="22" s="1"/>
  <c r="W109" i="20"/>
  <c r="D109" i="20"/>
  <c r="E109" i="20" s="1"/>
  <c r="F109" i="20" s="1"/>
  <c r="W91" i="22"/>
  <c r="D91" i="22"/>
  <c r="E91" i="22" s="1"/>
  <c r="F91" i="22" s="1"/>
  <c r="W51" i="20"/>
  <c r="D51" i="20"/>
  <c r="E51" i="20" s="1"/>
  <c r="F51" i="20" s="1"/>
  <c r="D41" i="22"/>
  <c r="E41" i="22" s="1"/>
  <c r="F41" i="22" s="1"/>
  <c r="W41" i="22"/>
  <c r="G25" i="18"/>
  <c r="CA25" i="6" s="1"/>
  <c r="AA25" i="18"/>
  <c r="Z25" i="18" s="1"/>
  <c r="Y25" i="18" s="1"/>
  <c r="G370" i="20"/>
  <c r="CB370" i="6" s="1"/>
  <c r="AA370" i="20"/>
  <c r="Z370" i="20" s="1"/>
  <c r="Y370" i="20" s="1"/>
  <c r="W364" i="20"/>
  <c r="D364" i="20"/>
  <c r="E364" i="20" s="1"/>
  <c r="F364" i="20" s="1"/>
  <c r="W330" i="20"/>
  <c r="D330" i="20"/>
  <c r="E330" i="20" s="1"/>
  <c r="F330" i="20" s="1"/>
  <c r="W304" i="22"/>
  <c r="D304" i="22"/>
  <c r="E304" i="22" s="1"/>
  <c r="F304" i="22" s="1"/>
  <c r="G292" i="18"/>
  <c r="CA292" i="6" s="1"/>
  <c r="AA292" i="18"/>
  <c r="Z292" i="18" s="1"/>
  <c r="Y292" i="18" s="1"/>
  <c r="W262" i="22"/>
  <c r="D262" i="22"/>
  <c r="E262" i="22" s="1"/>
  <c r="F262" i="22" s="1"/>
  <c r="W256" i="20"/>
  <c r="D256" i="20"/>
  <c r="E256" i="20" s="1"/>
  <c r="F256" i="20" s="1"/>
  <c r="G202" i="20"/>
  <c r="CB202" i="6" s="1"/>
  <c r="AA202" i="20"/>
  <c r="Z202" i="20" s="1"/>
  <c r="Y202" i="20" s="1"/>
  <c r="W184" i="20"/>
  <c r="D184" i="20"/>
  <c r="E184" i="20" s="1"/>
  <c r="F184" i="20" s="1"/>
  <c r="G138" i="20"/>
  <c r="CB138" i="6" s="1"/>
  <c r="AA138" i="20"/>
  <c r="Z138" i="20" s="1"/>
  <c r="Y138" i="20" s="1"/>
  <c r="W124" i="20"/>
  <c r="D124" i="20"/>
  <c r="E124" i="20" s="1"/>
  <c r="F124" i="20" s="1"/>
  <c r="G28" i="20"/>
  <c r="CB28" i="6" s="1"/>
  <c r="AA28" i="20"/>
  <c r="Z28" i="20" s="1"/>
  <c r="Y28" i="20" s="1"/>
  <c r="W27" i="20"/>
  <c r="D27" i="20"/>
  <c r="E27" i="20" s="1"/>
  <c r="F27" i="20" s="1"/>
  <c r="G288" i="18"/>
  <c r="CA288" i="6" s="1"/>
  <c r="AA288" i="18"/>
  <c r="Z288" i="18" s="1"/>
  <c r="Y288" i="18" s="1"/>
  <c r="G375" i="20"/>
  <c r="CB375" i="6" s="1"/>
  <c r="AA375" i="20"/>
  <c r="Z375" i="20" s="1"/>
  <c r="Y375" i="20" s="1"/>
  <c r="G359" i="20"/>
  <c r="CB359" i="6" s="1"/>
  <c r="AA359" i="20"/>
  <c r="Z359" i="20" s="1"/>
  <c r="Y359" i="20" s="1"/>
  <c r="G325" i="18"/>
  <c r="CA325" i="6" s="1"/>
  <c r="AA325" i="18"/>
  <c r="Z325" i="18" s="1"/>
  <c r="Y325" i="18" s="1"/>
  <c r="G277" i="18"/>
  <c r="CA277" i="6" s="1"/>
  <c r="AA277" i="18"/>
  <c r="Z277" i="18" s="1"/>
  <c r="Y277" i="18" s="1"/>
  <c r="G269" i="20"/>
  <c r="CB269" i="6" s="1"/>
  <c r="AA269" i="20"/>
  <c r="Z269" i="20" s="1"/>
  <c r="Y269" i="20" s="1"/>
  <c r="G245" i="18"/>
  <c r="CA245" i="6" s="1"/>
  <c r="AA245" i="18"/>
  <c r="Z245" i="18" s="1"/>
  <c r="Y245" i="18" s="1"/>
  <c r="G203" i="18"/>
  <c r="CA203" i="6" s="1"/>
  <c r="AA203" i="18"/>
  <c r="Z203" i="18" s="1"/>
  <c r="Y203" i="18" s="1"/>
  <c r="AA169" i="18"/>
  <c r="Z169" i="18" s="1"/>
  <c r="Y169" i="18" s="1"/>
  <c r="G169" i="18"/>
  <c r="CA169" i="6" s="1"/>
  <c r="W151" i="22"/>
  <c r="D151" i="22"/>
  <c r="E151" i="22" s="1"/>
  <c r="F151" i="22" s="1"/>
  <c r="D139" i="20"/>
  <c r="E139" i="20" s="1"/>
  <c r="F139" i="20" s="1"/>
  <c r="W139" i="20"/>
  <c r="W107" i="22"/>
  <c r="D107" i="22"/>
  <c r="E107" i="22" s="1"/>
  <c r="F107" i="22" s="1"/>
  <c r="W53" i="20"/>
  <c r="D53" i="20"/>
  <c r="E53" i="20" s="1"/>
  <c r="F53" i="20" s="1"/>
  <c r="W39" i="22"/>
  <c r="D39" i="22"/>
  <c r="E39" i="22" s="1"/>
  <c r="F39" i="22" s="1"/>
  <c r="D334" i="20"/>
  <c r="E334" i="20" s="1"/>
  <c r="F334" i="20" s="1"/>
  <c r="W334" i="20"/>
  <c r="AA218" i="18"/>
  <c r="Z218" i="18" s="1"/>
  <c r="Y218" i="18" s="1"/>
  <c r="G218" i="18"/>
  <c r="CA218" i="6" s="1"/>
  <c r="G188" i="18"/>
  <c r="CA188" i="6" s="1"/>
  <c r="AA188" i="18"/>
  <c r="Z188" i="18" s="1"/>
  <c r="Y188" i="18" s="1"/>
  <c r="W146" i="22"/>
  <c r="D146" i="22"/>
  <c r="E146" i="22" s="1"/>
  <c r="F146" i="22" s="1"/>
  <c r="AA144" i="18"/>
  <c r="Z144" i="18" s="1"/>
  <c r="Y144" i="18" s="1"/>
  <c r="G144" i="18"/>
  <c r="CA144" i="6" s="1"/>
  <c r="G112" i="18"/>
  <c r="CA112" i="6" s="1"/>
  <c r="AA112" i="18"/>
  <c r="Z112" i="18" s="1"/>
  <c r="Y112" i="18" s="1"/>
  <c r="G86" i="18"/>
  <c r="CA86" i="6" s="1"/>
  <c r="AA86" i="18"/>
  <c r="Z86" i="18" s="1"/>
  <c r="Y86" i="18" s="1"/>
  <c r="G303" i="18"/>
  <c r="CA303" i="6" s="1"/>
  <c r="AA303" i="18"/>
  <c r="Z303" i="18" s="1"/>
  <c r="Y303" i="18" s="1"/>
  <c r="D285" i="22"/>
  <c r="E285" i="22" s="1"/>
  <c r="F285" i="22" s="1"/>
  <c r="W285" i="22"/>
  <c r="G275" i="18"/>
  <c r="CA275" i="6" s="1"/>
  <c r="AA275" i="18"/>
  <c r="Z275" i="18" s="1"/>
  <c r="Y275" i="18" s="1"/>
  <c r="AA233" i="18"/>
  <c r="Z233" i="18" s="1"/>
  <c r="Y233" i="18" s="1"/>
  <c r="G233" i="18"/>
  <c r="CA233" i="6" s="1"/>
  <c r="G221" i="20"/>
  <c r="CB221" i="6" s="1"/>
  <c r="AA221" i="20"/>
  <c r="Z221" i="20" s="1"/>
  <c r="Y221" i="20" s="1"/>
  <c r="W215" i="20"/>
  <c r="D215" i="20"/>
  <c r="E215" i="20" s="1"/>
  <c r="F215" i="20" s="1"/>
  <c r="G195" i="20"/>
  <c r="CB195" i="6" s="1"/>
  <c r="AA195" i="20"/>
  <c r="Z195" i="20" s="1"/>
  <c r="Y195" i="20" s="1"/>
  <c r="W181" i="20"/>
  <c r="D181" i="20"/>
  <c r="E181" i="20" s="1"/>
  <c r="F181" i="20" s="1"/>
  <c r="G123" i="18"/>
  <c r="CA123" i="6" s="1"/>
  <c r="AA123" i="18"/>
  <c r="Z123" i="18" s="1"/>
  <c r="Y123" i="18" s="1"/>
  <c r="G79" i="20"/>
  <c r="CB79" i="6" s="1"/>
  <c r="AA79" i="20"/>
  <c r="Z79" i="20" s="1"/>
  <c r="Y79" i="20" s="1"/>
  <c r="D71" i="20"/>
  <c r="E71" i="20" s="1"/>
  <c r="F71" i="20" s="1"/>
  <c r="W71" i="20"/>
  <c r="G47" i="20"/>
  <c r="CB47" i="6" s="1"/>
  <c r="AA47" i="20"/>
  <c r="Z47" i="20" s="1"/>
  <c r="Y47" i="20" s="1"/>
  <c r="G45" i="18"/>
  <c r="CA45" i="6" s="1"/>
  <c r="AA45" i="18"/>
  <c r="Z45" i="18" s="1"/>
  <c r="Y45" i="18" s="1"/>
  <c r="G21" i="18"/>
  <c r="CA21" i="6" s="1"/>
  <c r="AA21" i="18"/>
  <c r="Z21" i="18" s="1"/>
  <c r="Y21" i="18" s="1"/>
  <c r="W336" i="22"/>
  <c r="D336" i="22"/>
  <c r="E336" i="22" s="1"/>
  <c r="F336" i="22" s="1"/>
  <c r="W328" i="20"/>
  <c r="D328" i="20"/>
  <c r="E328" i="20" s="1"/>
  <c r="F328" i="20" s="1"/>
  <c r="G308" i="20"/>
  <c r="CB308" i="6" s="1"/>
  <c r="AA308" i="20"/>
  <c r="Z308" i="20" s="1"/>
  <c r="Y308" i="20" s="1"/>
  <c r="G282" i="18"/>
  <c r="CA282" i="6" s="1"/>
  <c r="AA282" i="18"/>
  <c r="Z282" i="18" s="1"/>
  <c r="Y282" i="18" s="1"/>
  <c r="G270" i="20"/>
  <c r="CB270" i="6" s="1"/>
  <c r="AA270" i="20"/>
  <c r="Z270" i="20" s="1"/>
  <c r="Y270" i="20" s="1"/>
  <c r="W268" i="20"/>
  <c r="D268" i="20"/>
  <c r="E268" i="20" s="1"/>
  <c r="F268" i="20" s="1"/>
  <c r="W246" i="20"/>
  <c r="D246" i="20"/>
  <c r="E246" i="20" s="1"/>
  <c r="F246" i="20" s="1"/>
  <c r="G230" i="20"/>
  <c r="CB230" i="6" s="1"/>
  <c r="AA230" i="20"/>
  <c r="Z230" i="20" s="1"/>
  <c r="Y230" i="20" s="1"/>
  <c r="G176" i="18"/>
  <c r="CA176" i="6" s="1"/>
  <c r="AA176" i="18"/>
  <c r="Z176" i="18" s="1"/>
  <c r="Y176" i="18" s="1"/>
  <c r="G128" i="18"/>
  <c r="CA128" i="6" s="1"/>
  <c r="AA128" i="18"/>
  <c r="Z128" i="18" s="1"/>
  <c r="Y128" i="18" s="1"/>
  <c r="AA118" i="20"/>
  <c r="Z118" i="20" s="1"/>
  <c r="Y118" i="20" s="1"/>
  <c r="G118" i="20"/>
  <c r="CB118" i="6" s="1"/>
  <c r="W104" i="20"/>
  <c r="D104" i="20"/>
  <c r="E104" i="20" s="1"/>
  <c r="F104" i="20" s="1"/>
  <c r="W56" i="20"/>
  <c r="D56" i="20"/>
  <c r="E56" i="20" s="1"/>
  <c r="F56" i="20" s="1"/>
  <c r="G50" i="20"/>
  <c r="CB50" i="6" s="1"/>
  <c r="AA50" i="20"/>
  <c r="Z50" i="20" s="1"/>
  <c r="Y50" i="20" s="1"/>
  <c r="W361" i="20"/>
  <c r="D361" i="20"/>
  <c r="E361" i="20" s="1"/>
  <c r="F361" i="20" s="1"/>
  <c r="W273" i="20"/>
  <c r="D273" i="20"/>
  <c r="E273" i="20" s="1"/>
  <c r="F273" i="20" s="1"/>
  <c r="G271" i="20"/>
  <c r="CB271" i="6" s="1"/>
  <c r="AA271" i="20"/>
  <c r="Z271" i="20" s="1"/>
  <c r="Y271" i="20" s="1"/>
  <c r="G255" i="20"/>
  <c r="CB255" i="6" s="1"/>
  <c r="AA255" i="20"/>
  <c r="Z255" i="20" s="1"/>
  <c r="Y255" i="20" s="1"/>
  <c r="G219" i="18"/>
  <c r="CA219" i="6" s="1"/>
  <c r="AA219" i="18"/>
  <c r="Z219" i="18" s="1"/>
  <c r="Y219" i="18" s="1"/>
  <c r="G173" i="18"/>
  <c r="CA173" i="6" s="1"/>
  <c r="AA173" i="18"/>
  <c r="Z173" i="18" s="1"/>
  <c r="Y173" i="18" s="1"/>
  <c r="G127" i="18"/>
  <c r="CA127" i="6" s="1"/>
  <c r="AA127" i="18"/>
  <c r="Z127" i="18" s="1"/>
  <c r="Y127" i="18" s="1"/>
  <c r="G89" i="18"/>
  <c r="CA89" i="6" s="1"/>
  <c r="AA89" i="18"/>
  <c r="Z89" i="18" s="1"/>
  <c r="Y89" i="18" s="1"/>
  <c r="W83" i="22"/>
  <c r="D83" i="22"/>
  <c r="E83" i="22" s="1"/>
  <c r="F83" i="22" s="1"/>
  <c r="G61" i="18"/>
  <c r="CA61" i="6" s="1"/>
  <c r="AA61" i="18"/>
  <c r="Z61" i="18" s="1"/>
  <c r="Y61" i="18" s="1"/>
  <c r="W287" i="20"/>
  <c r="D287" i="20"/>
  <c r="E287" i="20" s="1"/>
  <c r="F287" i="20" s="1"/>
  <c r="W130" i="22"/>
  <c r="D130" i="22"/>
  <c r="E130" i="22" s="1"/>
  <c r="F130" i="22" s="1"/>
  <c r="G175" i="20"/>
  <c r="CB175" i="6" s="1"/>
  <c r="AA175" i="20"/>
  <c r="Z175" i="20" s="1"/>
  <c r="Y175" i="20" s="1"/>
  <c r="W253" i="20"/>
  <c r="D253" i="20"/>
  <c r="E253" i="20" s="1"/>
  <c r="F253" i="20" s="1"/>
  <c r="W369" i="20"/>
  <c r="D369" i="20"/>
  <c r="E369" i="20" s="1"/>
  <c r="F369" i="20" s="1"/>
  <c r="G302" i="20"/>
  <c r="CB302" i="6" s="1"/>
  <c r="AA302" i="20"/>
  <c r="Z302" i="20" s="1"/>
  <c r="Y302" i="20" s="1"/>
  <c r="W347" i="20"/>
  <c r="D347" i="20"/>
  <c r="E347" i="20" s="1"/>
  <c r="F347" i="20" s="1"/>
  <c r="W376" i="20"/>
  <c r="D376" i="20"/>
  <c r="E376" i="20" s="1"/>
  <c r="F376" i="20" s="1"/>
  <c r="G335" i="20"/>
  <c r="CB335" i="6" s="1"/>
  <c r="AA335" i="20"/>
  <c r="Z335" i="20" s="1"/>
  <c r="Y335" i="20" s="1"/>
  <c r="W66" i="22"/>
  <c r="D66" i="22"/>
  <c r="E66" i="22" s="1"/>
  <c r="F66" i="22" s="1"/>
  <c r="G194" i="18"/>
  <c r="CA194" i="6" s="1"/>
  <c r="AA194" i="18"/>
  <c r="Z194" i="18" s="1"/>
  <c r="Y194" i="18" s="1"/>
  <c r="G171" i="18"/>
  <c r="CA171" i="6" s="1"/>
  <c r="AA171" i="18"/>
  <c r="Z171" i="18" s="1"/>
  <c r="Y171" i="18" s="1"/>
  <c r="W278" i="22"/>
  <c r="D278" i="22"/>
  <c r="E278" i="22" s="1"/>
  <c r="F278" i="22" s="1"/>
  <c r="W75" i="20"/>
  <c r="D75" i="20"/>
  <c r="E75" i="20" s="1"/>
  <c r="F75" i="20" s="1"/>
  <c r="G111" i="20"/>
  <c r="CB111" i="6" s="1"/>
  <c r="AA111" i="20"/>
  <c r="Z111" i="20" s="1"/>
  <c r="Y111" i="20" s="1"/>
  <c r="G261" i="18"/>
  <c r="CA261" i="6" s="1"/>
  <c r="AA261" i="18"/>
  <c r="Z261" i="18" s="1"/>
  <c r="Y261" i="18" s="1"/>
  <c r="W74" i="20"/>
  <c r="D74" i="20"/>
  <c r="E74" i="20" s="1"/>
  <c r="F74" i="20" s="1"/>
  <c r="G319" i="20"/>
  <c r="CB319" i="6" s="1"/>
  <c r="AA319" i="20"/>
  <c r="Z319" i="20" s="1"/>
  <c r="Y319" i="20" s="1"/>
  <c r="G349" i="18"/>
  <c r="CA349" i="6" s="1"/>
  <c r="AA349" i="18"/>
  <c r="Z349" i="18" s="1"/>
  <c r="Y349" i="18" s="1"/>
  <c r="G46" i="18"/>
  <c r="CA46" i="6" s="1"/>
  <c r="AA46" i="18"/>
  <c r="Z46" i="18" s="1"/>
  <c r="Y46" i="18" s="1"/>
  <c r="W187" i="20"/>
  <c r="D187" i="20"/>
  <c r="E187" i="20" s="1"/>
  <c r="F187" i="20" s="1"/>
  <c r="G365" i="18"/>
  <c r="CA365" i="6" s="1"/>
  <c r="AA365" i="18"/>
  <c r="Z365" i="18" s="1"/>
  <c r="Y365" i="18" s="1"/>
  <c r="G149" i="20"/>
  <c r="CB149" i="6" s="1"/>
  <c r="AA149" i="20"/>
  <c r="Z149" i="20" s="1"/>
  <c r="Y149" i="20" s="1"/>
  <c r="W333" i="20"/>
  <c r="D333" i="20"/>
  <c r="E333" i="20" s="1"/>
  <c r="F333" i="20" s="1"/>
  <c r="G333" i="18"/>
  <c r="CA333" i="6" s="1"/>
  <c r="AA333" i="18"/>
  <c r="Z333" i="18" s="1"/>
  <c r="Y333" i="18" s="1"/>
  <c r="AA60" i="18"/>
  <c r="Z60" i="18" s="1"/>
  <c r="Y60" i="18" s="1"/>
  <c r="G60" i="18"/>
  <c r="CA60" i="6" s="1"/>
  <c r="D69" i="22"/>
  <c r="E69" i="22" s="1"/>
  <c r="F69" i="22" s="1"/>
  <c r="W69" i="22"/>
  <c r="W33" i="22"/>
  <c r="D33" i="22"/>
  <c r="E33" i="22" s="1"/>
  <c r="F33" i="22" s="1"/>
  <c r="W352" i="20"/>
  <c r="D352" i="20"/>
  <c r="E352" i="20" s="1"/>
  <c r="F352" i="20" s="1"/>
  <c r="W318" i="20"/>
  <c r="D318" i="20"/>
  <c r="E318" i="20" s="1"/>
  <c r="F318" i="20" s="1"/>
  <c r="W274" i="20"/>
  <c r="D274" i="20"/>
  <c r="E274" i="20" s="1"/>
  <c r="F274" i="20" s="1"/>
  <c r="W178" i="22"/>
  <c r="D178" i="22"/>
  <c r="E178" i="22" s="1"/>
  <c r="F178" i="22" s="1"/>
  <c r="G136" i="20"/>
  <c r="CB136" i="6" s="1"/>
  <c r="AA136" i="20"/>
  <c r="Z136" i="20" s="1"/>
  <c r="Y136" i="20" s="1"/>
  <c r="W106" i="22"/>
  <c r="D106" i="22"/>
  <c r="E106" i="22" s="1"/>
  <c r="F106" i="22" s="1"/>
  <c r="W84" i="20"/>
  <c r="D84" i="20"/>
  <c r="E84" i="20" s="1"/>
  <c r="F84" i="20" s="1"/>
  <c r="G281" i="20"/>
  <c r="CB281" i="6" s="1"/>
  <c r="AA281" i="20"/>
  <c r="Z281" i="20" s="1"/>
  <c r="Y281" i="20" s="1"/>
  <c r="AA263" i="18"/>
  <c r="Z263" i="18" s="1"/>
  <c r="Y263" i="18" s="1"/>
  <c r="G263" i="18"/>
  <c r="CA263" i="6" s="1"/>
  <c r="G247" i="20"/>
  <c r="CB247" i="6" s="1"/>
  <c r="AA247" i="20"/>
  <c r="Z247" i="20" s="1"/>
  <c r="Y247" i="20" s="1"/>
  <c r="G183" i="20"/>
  <c r="CB183" i="6" s="1"/>
  <c r="AA183" i="20"/>
  <c r="Z183" i="20" s="1"/>
  <c r="Y183" i="20" s="1"/>
  <c r="G159" i="18"/>
  <c r="CA159" i="6" s="1"/>
  <c r="AA159" i="18"/>
  <c r="Z159" i="18" s="1"/>
  <c r="Y159" i="18" s="1"/>
  <c r="D99" i="20"/>
  <c r="E99" i="20" s="1"/>
  <c r="F99" i="20" s="1"/>
  <c r="W99" i="20"/>
  <c r="G77" i="18"/>
  <c r="CA77" i="6" s="1"/>
  <c r="AA77" i="18"/>
  <c r="Z77" i="18" s="1"/>
  <c r="Y77" i="18" s="1"/>
  <c r="AA161" i="18"/>
  <c r="Z161" i="18" s="1"/>
  <c r="Y161" i="18" s="1"/>
  <c r="G161" i="18"/>
  <c r="CA161" i="6" s="1"/>
  <c r="G210" i="18"/>
  <c r="CA210" i="6" s="1"/>
  <c r="AA210" i="18"/>
  <c r="Z210" i="18" s="1"/>
  <c r="Y210" i="18" s="1"/>
  <c r="W114" i="20"/>
  <c r="D114" i="20"/>
  <c r="E114" i="20" s="1"/>
  <c r="F114" i="20" s="1"/>
  <c r="G43" i="20"/>
  <c r="CB43" i="6" s="1"/>
  <c r="AA43" i="20"/>
  <c r="Z43" i="20" s="1"/>
  <c r="Y43" i="20" s="1"/>
  <c r="W283" i="20"/>
  <c r="D283" i="20"/>
  <c r="E283" i="20" s="1"/>
  <c r="F283" i="20" s="1"/>
  <c r="W354" i="22"/>
  <c r="D354" i="22"/>
  <c r="E354" i="22" s="1"/>
  <c r="F354" i="22" s="1"/>
  <c r="G177" i="20"/>
  <c r="CB177" i="6" s="1"/>
  <c r="AA177" i="20"/>
  <c r="Z177" i="20" s="1"/>
  <c r="Y177" i="20" s="1"/>
  <c r="W226" i="20"/>
  <c r="D226" i="20"/>
  <c r="E226" i="20" s="1"/>
  <c r="F226" i="20" s="1"/>
  <c r="G150" i="18"/>
  <c r="CA150" i="6" s="1"/>
  <c r="AA150" i="18"/>
  <c r="Z150" i="18" s="1"/>
  <c r="Y150" i="18" s="1"/>
  <c r="G29" i="18"/>
  <c r="CA29" i="6" s="1"/>
  <c r="AA29" i="18"/>
  <c r="Z29" i="18" s="1"/>
  <c r="Y29" i="18" s="1"/>
  <c r="W29" i="20"/>
  <c r="D29" i="20"/>
  <c r="E29" i="20" s="1"/>
  <c r="F29" i="20" s="1"/>
  <c r="W379" i="22"/>
  <c r="D379" i="22"/>
  <c r="E379" i="22" s="1"/>
  <c r="F379" i="22" s="1"/>
  <c r="B251" i="6" l="1"/>
  <c r="BA251" i="6" s="1"/>
  <c r="D251" i="6" s="1"/>
  <c r="N57" i="19"/>
  <c r="N59" i="19"/>
  <c r="N58" i="19"/>
  <c r="D359" i="22"/>
  <c r="E359" i="22" s="1"/>
  <c r="F359" i="22" s="1"/>
  <c r="G359" i="22" s="1"/>
  <c r="CC359" i="6" s="1"/>
  <c r="W108" i="22"/>
  <c r="I217" i="18"/>
  <c r="B217" i="6" s="1"/>
  <c r="AA238" i="20"/>
  <c r="Z238" i="20" s="1"/>
  <c r="Y238" i="20" s="1"/>
  <c r="J251" i="18"/>
  <c r="C251" i="6" s="1"/>
  <c r="D337" i="22"/>
  <c r="E337" i="22" s="1"/>
  <c r="F337" i="22" s="1"/>
  <c r="AA337" i="22" s="1"/>
  <c r="Z337" i="22" s="1"/>
  <c r="Y337" i="22" s="1"/>
  <c r="J205" i="18"/>
  <c r="C205" i="6" s="1"/>
  <c r="BA205" i="6"/>
  <c r="D205" i="6" s="1"/>
  <c r="BA217" i="6"/>
  <c r="D217" i="6" s="1"/>
  <c r="H49" i="18"/>
  <c r="J49" i="18" s="1"/>
  <c r="C49" i="6" s="1"/>
  <c r="H21" i="18"/>
  <c r="J21" i="18" s="1"/>
  <c r="C21" i="6" s="1"/>
  <c r="H188" i="18"/>
  <c r="H207" i="18"/>
  <c r="H371" i="18"/>
  <c r="I371" i="18" s="1"/>
  <c r="B371" i="6" s="1"/>
  <c r="H109" i="18"/>
  <c r="J109" i="18" s="1"/>
  <c r="C109" i="6" s="1"/>
  <c r="H33" i="18"/>
  <c r="J33" i="18" s="1"/>
  <c r="C33" i="6" s="1"/>
  <c r="H314" i="18"/>
  <c r="H290" i="18"/>
  <c r="H258" i="18"/>
  <c r="H340" i="18"/>
  <c r="J340" i="18" s="1"/>
  <c r="C340" i="6" s="1"/>
  <c r="H270" i="18"/>
  <c r="I270" i="18" s="1"/>
  <c r="B270" i="6" s="1"/>
  <c r="H221" i="18"/>
  <c r="I221" i="18" s="1"/>
  <c r="B221" i="6" s="1"/>
  <c r="H328" i="18"/>
  <c r="I328" i="18" s="1"/>
  <c r="B328" i="6" s="1"/>
  <c r="H352" i="18"/>
  <c r="H123" i="18"/>
  <c r="H349" i="18"/>
  <c r="H83" i="18"/>
  <c r="H175" i="18"/>
  <c r="H115" i="18"/>
  <c r="J115" i="18" s="1"/>
  <c r="C115" i="6" s="1"/>
  <c r="H20" i="18"/>
  <c r="I20" i="18" s="1"/>
  <c r="B20" i="6" s="1"/>
  <c r="H231" i="18"/>
  <c r="J231" i="18" s="1"/>
  <c r="C231" i="6" s="1"/>
  <c r="H116" i="18"/>
  <c r="H334" i="18"/>
  <c r="I334" i="18" s="1"/>
  <c r="B334" i="6" s="1"/>
  <c r="H174" i="18"/>
  <c r="H160" i="18"/>
  <c r="I160" i="18" s="1"/>
  <c r="B160" i="6" s="1"/>
  <c r="H134" i="18"/>
  <c r="H208" i="18"/>
  <c r="I208" i="18" s="1"/>
  <c r="B208" i="6" s="1"/>
  <c r="H358" i="18"/>
  <c r="H183" i="18"/>
  <c r="H359" i="18"/>
  <c r="H137" i="18"/>
  <c r="J137" i="18" s="1"/>
  <c r="C137" i="6" s="1"/>
  <c r="H335" i="18"/>
  <c r="I335" i="18" s="1"/>
  <c r="B335" i="6" s="1"/>
  <c r="H19" i="18"/>
  <c r="I19" i="18" s="1"/>
  <c r="B19" i="6" s="1"/>
  <c r="H127" i="18"/>
  <c r="H209" i="18"/>
  <c r="J209" i="18" s="1"/>
  <c r="C209" i="6" s="1"/>
  <c r="H132" i="18"/>
  <c r="I132" i="18" s="1"/>
  <c r="B132" i="6" s="1"/>
  <c r="H63" i="18"/>
  <c r="H211" i="18"/>
  <c r="J211" i="18" s="1"/>
  <c r="C211" i="6" s="1"/>
  <c r="H34" i="18"/>
  <c r="H283" i="18"/>
  <c r="H361" i="18"/>
  <c r="H289" i="18"/>
  <c r="I289" i="18" s="1"/>
  <c r="B289" i="6" s="1"/>
  <c r="H122" i="18"/>
  <c r="J122" i="18" s="1"/>
  <c r="C122" i="6" s="1"/>
  <c r="H273" i="18"/>
  <c r="H341" i="18"/>
  <c r="J341" i="18" s="1"/>
  <c r="C341" i="6" s="1"/>
  <c r="H154" i="18"/>
  <c r="I154" i="18" s="1"/>
  <c r="B154" i="6" s="1"/>
  <c r="H347" i="18"/>
  <c r="I347" i="18" s="1"/>
  <c r="B347" i="6" s="1"/>
  <c r="H138" i="18"/>
  <c r="H368" i="18"/>
  <c r="I368" i="18" s="1"/>
  <c r="B368" i="6" s="1"/>
  <c r="H118" i="18"/>
  <c r="I118" i="18" s="1"/>
  <c r="B118" i="6" s="1"/>
  <c r="H125" i="18"/>
  <c r="H79" i="18"/>
  <c r="J79" i="18" s="1"/>
  <c r="C79" i="6" s="1"/>
  <c r="H305" i="18"/>
  <c r="I305" i="18" s="1"/>
  <c r="B305" i="6" s="1"/>
  <c r="H333" i="18"/>
  <c r="J333" i="18" s="1"/>
  <c r="C333" i="6" s="1"/>
  <c r="H312" i="18"/>
  <c r="I312" i="18" s="1"/>
  <c r="B312" i="6" s="1"/>
  <c r="H268" i="18"/>
  <c r="J268" i="18" s="1"/>
  <c r="C268" i="6" s="1"/>
  <c r="H153" i="18"/>
  <c r="J153" i="18" s="1"/>
  <c r="C153" i="6" s="1"/>
  <c r="H31" i="18"/>
  <c r="J31" i="18" s="1"/>
  <c r="C31" i="6" s="1"/>
  <c r="H18" i="18"/>
  <c r="J18" i="18" s="1"/>
  <c r="C18" i="6" s="1"/>
  <c r="H90" i="18"/>
  <c r="H244" i="18"/>
  <c r="J244" i="18" s="1"/>
  <c r="C244" i="6" s="1"/>
  <c r="H193" i="18"/>
  <c r="H263" i="18"/>
  <c r="H338" i="18"/>
  <c r="I338" i="18" s="1"/>
  <c r="B338" i="6" s="1"/>
  <c r="H212" i="18"/>
  <c r="J212" i="18" s="1"/>
  <c r="C212" i="6" s="1"/>
  <c r="H215" i="18"/>
  <c r="I215" i="18" s="1"/>
  <c r="B215" i="6" s="1"/>
  <c r="H241" i="18"/>
  <c r="H321" i="18"/>
  <c r="I321" i="18" s="1"/>
  <c r="B321" i="6" s="1"/>
  <c r="H88" i="18"/>
  <c r="I88" i="18" s="1"/>
  <c r="B88" i="6" s="1"/>
  <c r="H105" i="18"/>
  <c r="I105" i="18" s="1"/>
  <c r="B105" i="6" s="1"/>
  <c r="H194" i="18"/>
  <c r="H60" i="18"/>
  <c r="H351" i="18"/>
  <c r="H363" i="18"/>
  <c r="J363" i="18" s="1"/>
  <c r="C363" i="6" s="1"/>
  <c r="H306" i="18"/>
  <c r="I306" i="18" s="1"/>
  <c r="B306" i="6" s="1"/>
  <c r="H95" i="18"/>
  <c r="I95" i="18" s="1"/>
  <c r="B95" i="6" s="1"/>
  <c r="H287" i="18"/>
  <c r="I287" i="18" s="1"/>
  <c r="B287" i="6" s="1"/>
  <c r="H355" i="18"/>
  <c r="H379" i="18"/>
  <c r="H271" i="18"/>
  <c r="H58" i="18"/>
  <c r="J58" i="18" s="1"/>
  <c r="C58" i="6" s="1"/>
  <c r="H129" i="18"/>
  <c r="I129" i="18" s="1"/>
  <c r="B129" i="6" s="1"/>
  <c r="H73" i="18"/>
  <c r="H260" i="18"/>
  <c r="I260" i="18" s="1"/>
  <c r="B260" i="6" s="1"/>
  <c r="H332" i="18"/>
  <c r="I332" i="18" s="1"/>
  <c r="B332" i="6" s="1"/>
  <c r="H239" i="18"/>
  <c r="I239" i="18" s="1"/>
  <c r="B239" i="6" s="1"/>
  <c r="H51" i="18"/>
  <c r="I51" i="18" s="1"/>
  <c r="B51" i="6" s="1"/>
  <c r="H84" i="18"/>
  <c r="I84" i="18" s="1"/>
  <c r="B84" i="6" s="1"/>
  <c r="H348" i="18"/>
  <c r="I348" i="18" s="1"/>
  <c r="B348" i="6" s="1"/>
  <c r="H214" i="18"/>
  <c r="I214" i="18" s="1"/>
  <c r="B214" i="6" s="1"/>
  <c r="H280" i="18"/>
  <c r="H136" i="18"/>
  <c r="H38" i="18"/>
  <c r="H219" i="18"/>
  <c r="J219" i="18" s="1"/>
  <c r="C219" i="6" s="1"/>
  <c r="H161" i="18"/>
  <c r="H259" i="18"/>
  <c r="I259" i="18" s="1"/>
  <c r="B259" i="6" s="1"/>
  <c r="H92" i="18"/>
  <c r="H233" i="18"/>
  <c r="H72" i="18"/>
  <c r="I72" i="18" s="1"/>
  <c r="B72" i="6" s="1"/>
  <c r="H32" i="18"/>
  <c r="I32" i="18" s="1"/>
  <c r="B32" i="6" s="1"/>
  <c r="H98" i="18"/>
  <c r="J98" i="18" s="1"/>
  <c r="C98" i="6" s="1"/>
  <c r="H337" i="18"/>
  <c r="I337" i="18" s="1"/>
  <c r="B337" i="6" s="1"/>
  <c r="H113" i="18"/>
  <c r="J113" i="18" s="1"/>
  <c r="C113" i="6" s="1"/>
  <c r="H274" i="18"/>
  <c r="J274" i="18" s="1"/>
  <c r="C274" i="6" s="1"/>
  <c r="H78" i="18"/>
  <c r="J78" i="18" s="1"/>
  <c r="C78" i="6" s="1"/>
  <c r="H82" i="18"/>
  <c r="I82" i="18" s="1"/>
  <c r="B82" i="6" s="1"/>
  <c r="H66" i="18"/>
  <c r="J66" i="18" s="1"/>
  <c r="C66" i="6" s="1"/>
  <c r="H25" i="18"/>
  <c r="I25" i="18" s="1"/>
  <c r="B25" i="6" s="1"/>
  <c r="H17" i="18"/>
  <c r="H144" i="18"/>
  <c r="J144" i="18" s="1"/>
  <c r="C144" i="6" s="1"/>
  <c r="H374" i="18"/>
  <c r="J374" i="18" s="1"/>
  <c r="C374" i="6" s="1"/>
  <c r="H325" i="18"/>
  <c r="J325" i="18" s="1"/>
  <c r="C325" i="6" s="1"/>
  <c r="H331" i="18"/>
  <c r="J331" i="18" s="1"/>
  <c r="C331" i="6" s="1"/>
  <c r="H269" i="18"/>
  <c r="H320" i="18"/>
  <c r="H52" i="18"/>
  <c r="I52" i="18" s="1"/>
  <c r="B52" i="6" s="1"/>
  <c r="H155" i="18"/>
  <c r="I155" i="18" s="1"/>
  <c r="B155" i="6" s="1"/>
  <c r="H245" i="18"/>
  <c r="I245" i="18" s="1"/>
  <c r="B245" i="6" s="1"/>
  <c r="H24" i="18"/>
  <c r="J24" i="18" s="1"/>
  <c r="C24" i="6" s="1"/>
  <c r="H85" i="18"/>
  <c r="I85" i="18" s="1"/>
  <c r="B85" i="6" s="1"/>
  <c r="H141" i="18"/>
  <c r="H23" i="18"/>
  <c r="I23" i="18" s="1"/>
  <c r="B23" i="6" s="1"/>
  <c r="H342" i="18"/>
  <c r="I342" i="18" s="1"/>
  <c r="B342" i="6" s="1"/>
  <c r="H344" i="18"/>
  <c r="I344" i="18" s="1"/>
  <c r="B344" i="6" s="1"/>
  <c r="H190" i="18"/>
  <c r="I190" i="18" s="1"/>
  <c r="B190" i="6" s="1"/>
  <c r="H147" i="18"/>
  <c r="I147" i="18" s="1"/>
  <c r="B147" i="6" s="1"/>
  <c r="H336" i="18"/>
  <c r="J336" i="18" s="1"/>
  <c r="C336" i="6" s="1"/>
  <c r="H327" i="18"/>
  <c r="J327" i="18" s="1"/>
  <c r="C327" i="6" s="1"/>
  <c r="H198" i="18"/>
  <c r="J198" i="18" s="1"/>
  <c r="C198" i="6" s="1"/>
  <c r="H235" i="18"/>
  <c r="J235" i="18" s="1"/>
  <c r="C235" i="6" s="1"/>
  <c r="H158" i="18"/>
  <c r="I158" i="18" s="1"/>
  <c r="B158" i="6" s="1"/>
  <c r="H191" i="18"/>
  <c r="I191" i="18" s="1"/>
  <c r="B191" i="6" s="1"/>
  <c r="H169" i="18"/>
  <c r="I169" i="18" s="1"/>
  <c r="B169" i="6" s="1"/>
  <c r="H308" i="18"/>
  <c r="H37" i="18"/>
  <c r="J37" i="18" s="1"/>
  <c r="C37" i="6" s="1"/>
  <c r="H364" i="18"/>
  <c r="I364" i="18" s="1"/>
  <c r="B364" i="6" s="1"/>
  <c r="H318" i="18"/>
  <c r="J318" i="18" s="1"/>
  <c r="C318" i="6" s="1"/>
  <c r="H176" i="18"/>
  <c r="H81" i="18"/>
  <c r="I81" i="18" s="1"/>
  <c r="B81" i="6" s="1"/>
  <c r="H135" i="18"/>
  <c r="H373" i="18"/>
  <c r="J373" i="18" s="1"/>
  <c r="C373" i="6" s="1"/>
  <c r="H133" i="18"/>
  <c r="H164" i="18"/>
  <c r="H156" i="18"/>
  <c r="J156" i="18" s="1"/>
  <c r="C156" i="6" s="1"/>
  <c r="H210" i="18"/>
  <c r="J210" i="18" s="1"/>
  <c r="C210" i="6" s="1"/>
  <c r="H203" i="18"/>
  <c r="H275" i="18"/>
  <c r="I275" i="18" s="1"/>
  <c r="B275" i="6" s="1"/>
  <c r="H300" i="18"/>
  <c r="I300" i="18" s="1"/>
  <c r="B300" i="6" s="1"/>
  <c r="H182" i="18"/>
  <c r="J182" i="18" s="1"/>
  <c r="C182" i="6" s="1"/>
  <c r="H91" i="18"/>
  <c r="J91" i="18" s="1"/>
  <c r="C91" i="6" s="1"/>
  <c r="H27" i="18"/>
  <c r="J27" i="18" s="1"/>
  <c r="C27" i="6" s="1"/>
  <c r="H77" i="18"/>
  <c r="H42" i="18"/>
  <c r="I42" i="18" s="1"/>
  <c r="B42" i="6" s="1"/>
  <c r="H297" i="18"/>
  <c r="I297" i="18" s="1"/>
  <c r="B297" i="6" s="1"/>
  <c r="H101" i="18"/>
  <c r="I101" i="18" s="1"/>
  <c r="B101" i="6" s="1"/>
  <c r="H145" i="18"/>
  <c r="J145" i="18" s="1"/>
  <c r="C145" i="6" s="1"/>
  <c r="H330" i="18"/>
  <c r="J330" i="18" s="1"/>
  <c r="C330" i="6" s="1"/>
  <c r="H61" i="18"/>
  <c r="H162" i="18"/>
  <c r="H370" i="18"/>
  <c r="I370" i="18" s="1"/>
  <c r="B370" i="6" s="1"/>
  <c r="H317" i="18"/>
  <c r="H291" i="18"/>
  <c r="H343" i="18"/>
  <c r="H112" i="18"/>
  <c r="I112" i="18" s="1"/>
  <c r="B112" i="6" s="1"/>
  <c r="H99" i="18"/>
  <c r="I99" i="18" s="1"/>
  <c r="B99" i="6" s="1"/>
  <c r="H151" i="18"/>
  <c r="H254" i="18"/>
  <c r="J254" i="18" s="1"/>
  <c r="C254" i="6" s="1"/>
  <c r="H237" i="18"/>
  <c r="J237" i="18" s="1"/>
  <c r="C237" i="6" s="1"/>
  <c r="H266" i="18"/>
  <c r="I266" i="18" s="1"/>
  <c r="B266" i="6" s="1"/>
  <c r="H181" i="18"/>
  <c r="I181" i="18" s="1"/>
  <c r="B181" i="6" s="1"/>
  <c r="H236" i="18"/>
  <c r="J236" i="18" s="1"/>
  <c r="C236" i="6" s="1"/>
  <c r="H140" i="18"/>
  <c r="J140" i="18" s="1"/>
  <c r="C140" i="6" s="1"/>
  <c r="H261" i="18"/>
  <c r="J261" i="18" s="1"/>
  <c r="C261" i="6" s="1"/>
  <c r="H64" i="18"/>
  <c r="H173" i="18"/>
  <c r="H243" i="18"/>
  <c r="J243" i="18" s="1"/>
  <c r="C243" i="6" s="1"/>
  <c r="H267" i="18"/>
  <c r="H252" i="18"/>
  <c r="J252" i="18" s="1"/>
  <c r="C252" i="6" s="1"/>
  <c r="H45" i="18"/>
  <c r="H345" i="18"/>
  <c r="H362" i="18"/>
  <c r="H70" i="18"/>
  <c r="H294" i="18"/>
  <c r="H265" i="18"/>
  <c r="H311" i="18"/>
  <c r="J311" i="18" s="1"/>
  <c r="C311" i="6" s="1"/>
  <c r="H303" i="18"/>
  <c r="H292" i="18"/>
  <c r="H89" i="18"/>
  <c r="I89" i="18" s="1"/>
  <c r="B89" i="6" s="1"/>
  <c r="H225" i="18"/>
  <c r="H369" i="18"/>
  <c r="H247" i="18"/>
  <c r="I247" i="18" s="1"/>
  <c r="B247" i="6" s="1"/>
  <c r="H54" i="18"/>
  <c r="J54" i="18" s="1"/>
  <c r="C54" i="6" s="1"/>
  <c r="H55" i="18"/>
  <c r="H288" i="18"/>
  <c r="H69" i="18"/>
  <c r="H124" i="18"/>
  <c r="J124" i="18" s="1"/>
  <c r="C124" i="6" s="1"/>
  <c r="H339" i="18"/>
  <c r="H143" i="18"/>
  <c r="H281" i="18"/>
  <c r="I281" i="18" s="1"/>
  <c r="B281" i="6" s="1"/>
  <c r="H189" i="18"/>
  <c r="H44" i="18"/>
  <c r="I44" i="18" s="1"/>
  <c r="B44" i="6" s="1"/>
  <c r="H80" i="18"/>
  <c r="H35" i="18"/>
  <c r="H262" i="18"/>
  <c r="J262" i="18" s="1"/>
  <c r="C262" i="6" s="1"/>
  <c r="H30" i="18"/>
  <c r="J30" i="18" s="1"/>
  <c r="C30" i="6" s="1"/>
  <c r="H184" i="18"/>
  <c r="H322" i="18"/>
  <c r="J322" i="18" s="1"/>
  <c r="C322" i="6" s="1"/>
  <c r="H222" i="18"/>
  <c r="H298" i="18"/>
  <c r="J298" i="18" s="1"/>
  <c r="C298" i="6" s="1"/>
  <c r="H354" i="18"/>
  <c r="H216" i="18"/>
  <c r="H299" i="18"/>
  <c r="H167" i="18"/>
  <c r="I167" i="18" s="1"/>
  <c r="B167" i="6" s="1"/>
  <c r="H249" i="18"/>
  <c r="J249" i="18" s="1"/>
  <c r="C249" i="6" s="1"/>
  <c r="H120" i="18"/>
  <c r="H159" i="18"/>
  <c r="H196" i="18"/>
  <c r="H163" i="18"/>
  <c r="I163" i="18" s="1"/>
  <c r="B163" i="6" s="1"/>
  <c r="H108" i="18"/>
  <c r="H121" i="18"/>
  <c r="H166" i="18"/>
  <c r="J166" i="18" s="1"/>
  <c r="C166" i="6" s="1"/>
  <c r="H365" i="18"/>
  <c r="H57" i="18"/>
  <c r="H353" i="18"/>
  <c r="J353" i="18" s="1"/>
  <c r="C353" i="6" s="1"/>
  <c r="H148" i="18"/>
  <c r="H100" i="18"/>
  <c r="H94" i="18"/>
  <c r="H199" i="18"/>
  <c r="J199" i="18" s="1"/>
  <c r="C199" i="6" s="1"/>
  <c r="H71" i="18"/>
  <c r="I71" i="18" s="1"/>
  <c r="B71" i="6" s="1"/>
  <c r="H319" i="18"/>
  <c r="I319" i="18" s="1"/>
  <c r="B319" i="6" s="1"/>
  <c r="H285" i="18"/>
  <c r="H218" i="18"/>
  <c r="I218" i="18" s="1"/>
  <c r="B218" i="6" s="1"/>
  <c r="H278" i="18"/>
  <c r="H65" i="18"/>
  <c r="H74" i="18"/>
  <c r="J74" i="18" s="1"/>
  <c r="C74" i="6" s="1"/>
  <c r="H242" i="18"/>
  <c r="H326" i="18"/>
  <c r="H168" i="18"/>
  <c r="I168" i="18" s="1"/>
  <c r="B168" i="6" s="1"/>
  <c r="H128" i="18"/>
  <c r="H301" i="18"/>
  <c r="H68" i="18"/>
  <c r="I68" i="18" s="1"/>
  <c r="B68" i="6" s="1"/>
  <c r="H350" i="18"/>
  <c r="J350" i="18" s="1"/>
  <c r="C350" i="6" s="1"/>
  <c r="H223" i="18"/>
  <c r="H378" i="18"/>
  <c r="J378" i="18" s="1"/>
  <c r="C378" i="6" s="1"/>
  <c r="H22" i="18"/>
  <c r="J22" i="18" s="1"/>
  <c r="C22" i="6" s="1"/>
  <c r="H232" i="18"/>
  <c r="H220" i="18"/>
  <c r="J220" i="18" s="1"/>
  <c r="C220" i="6" s="1"/>
  <c r="H16" i="18"/>
  <c r="I16" i="18" s="1"/>
  <c r="B16" i="6" s="1"/>
  <c r="H185" i="18"/>
  <c r="H356" i="18"/>
  <c r="J356" i="18" s="1"/>
  <c r="C356" i="6" s="1"/>
  <c r="H224" i="18"/>
  <c r="J224" i="18" s="1"/>
  <c r="C224" i="6" s="1"/>
  <c r="H284" i="18"/>
  <c r="I284" i="18" s="1"/>
  <c r="B284" i="6" s="1"/>
  <c r="H114" i="18"/>
  <c r="I114" i="18" s="1"/>
  <c r="B114" i="6" s="1"/>
  <c r="H272" i="18"/>
  <c r="J272" i="18" s="1"/>
  <c r="C272" i="6" s="1"/>
  <c r="H227" i="18"/>
  <c r="J227" i="18" s="1"/>
  <c r="C227" i="6" s="1"/>
  <c r="H282" i="18"/>
  <c r="H131" i="18"/>
  <c r="H39" i="18"/>
  <c r="I39" i="18" s="1"/>
  <c r="B39" i="6" s="1"/>
  <c r="H62" i="18"/>
  <c r="J62" i="18" s="1"/>
  <c r="C62" i="6" s="1"/>
  <c r="H41" i="18"/>
  <c r="I41" i="18" s="1"/>
  <c r="B41" i="6" s="1"/>
  <c r="H36" i="18"/>
  <c r="J36" i="18" s="1"/>
  <c r="C36" i="6" s="1"/>
  <c r="H377" i="18"/>
  <c r="H255" i="18"/>
  <c r="I255" i="18" s="1"/>
  <c r="B255" i="6" s="1"/>
  <c r="H150" i="18"/>
  <c r="H172" i="18"/>
  <c r="J172" i="18" s="1"/>
  <c r="C172" i="6" s="1"/>
  <c r="H226" i="18"/>
  <c r="J226" i="18" s="1"/>
  <c r="C226" i="6" s="1"/>
  <c r="H304" i="18"/>
  <c r="I304" i="18" s="1"/>
  <c r="B304" i="6" s="1"/>
  <c r="H142" i="18"/>
  <c r="H367" i="18"/>
  <c r="J367" i="18" s="1"/>
  <c r="C367" i="6" s="1"/>
  <c r="H309" i="18"/>
  <c r="J309" i="18" s="1"/>
  <c r="C309" i="6" s="1"/>
  <c r="H86" i="18"/>
  <c r="H366" i="18"/>
  <c r="I366" i="18" s="1"/>
  <c r="B366" i="6" s="1"/>
  <c r="H201" i="18"/>
  <c r="H324" i="18"/>
  <c r="H40" i="18"/>
  <c r="J40" i="18" s="1"/>
  <c r="C40" i="6" s="1"/>
  <c r="H171" i="18"/>
  <c r="H146" i="18"/>
  <c r="J146" i="18" s="1"/>
  <c r="C146" i="6" s="1"/>
  <c r="H302" i="18"/>
  <c r="I302" i="18" s="1"/>
  <c r="B302" i="6" s="1"/>
  <c r="H293" i="18"/>
  <c r="I293" i="18" s="1"/>
  <c r="B293" i="6" s="1"/>
  <c r="H47" i="18"/>
  <c r="H357" i="18"/>
  <c r="J357" i="18" s="1"/>
  <c r="C357" i="6" s="1"/>
  <c r="H250" i="18"/>
  <c r="I250" i="18" s="1"/>
  <c r="B250" i="6" s="1"/>
  <c r="H229" i="18"/>
  <c r="I229" i="18" s="1"/>
  <c r="B229" i="6" s="1"/>
  <c r="H165" i="18"/>
  <c r="J165" i="18" s="1"/>
  <c r="C165" i="6" s="1"/>
  <c r="H202" i="18"/>
  <c r="I202" i="18" s="1"/>
  <c r="B202" i="6" s="1"/>
  <c r="H346" i="18"/>
  <c r="J346" i="18" s="1"/>
  <c r="C346" i="6" s="1"/>
  <c r="H103" i="18"/>
  <c r="J103" i="18" s="1"/>
  <c r="C103" i="6" s="1"/>
  <c r="H170" i="18"/>
  <c r="I170" i="18" s="1"/>
  <c r="B170" i="6" s="1"/>
  <c r="H213" i="18"/>
  <c r="H192" i="18"/>
  <c r="J192" i="18" s="1"/>
  <c r="C192" i="6" s="1"/>
  <c r="H50" i="18"/>
  <c r="I50" i="18" s="1"/>
  <c r="B50" i="6" s="1"/>
  <c r="H256" i="18"/>
  <c r="J256" i="18" s="1"/>
  <c r="C256" i="6" s="1"/>
  <c r="H177" i="18"/>
  <c r="H130" i="18"/>
  <c r="J130" i="18" s="1"/>
  <c r="C130" i="6" s="1"/>
  <c r="H26" i="18"/>
  <c r="I26" i="18" s="1"/>
  <c r="B26" i="6" s="1"/>
  <c r="H329" i="18"/>
  <c r="H102" i="18"/>
  <c r="H104" i="18"/>
  <c r="J104" i="18" s="1"/>
  <c r="C104" i="6" s="1"/>
  <c r="H230" i="18"/>
  <c r="J230" i="18" s="1"/>
  <c r="C230" i="6" s="1"/>
  <c r="H117" i="18"/>
  <c r="I117" i="18" s="1"/>
  <c r="B117" i="6" s="1"/>
  <c r="H180" i="18"/>
  <c r="I180" i="18" s="1"/>
  <c r="B180" i="6" s="1"/>
  <c r="H106" i="18"/>
  <c r="J106" i="18" s="1"/>
  <c r="C106" i="6" s="1"/>
  <c r="H157" i="18"/>
  <c r="I157" i="18" s="1"/>
  <c r="B157" i="6" s="1"/>
  <c r="H107" i="18"/>
  <c r="I107" i="18" s="1"/>
  <c r="B107" i="6" s="1"/>
  <c r="H28" i="18"/>
  <c r="I28" i="18" s="1"/>
  <c r="B28" i="6" s="1"/>
  <c r="H315" i="18"/>
  <c r="I315" i="18" s="1"/>
  <c r="B315" i="6" s="1"/>
  <c r="H310" i="18"/>
  <c r="H375" i="18"/>
  <c r="J375" i="18" s="1"/>
  <c r="C375" i="6" s="1"/>
  <c r="H248" i="18"/>
  <c r="J248" i="18" s="1"/>
  <c r="C248" i="6" s="1"/>
  <c r="H96" i="18"/>
  <c r="I96" i="18" s="1"/>
  <c r="B96" i="6" s="1"/>
  <c r="H313" i="18"/>
  <c r="I313" i="18" s="1"/>
  <c r="B313" i="6" s="1"/>
  <c r="H277" i="18"/>
  <c r="H149" i="18"/>
  <c r="H187" i="18"/>
  <c r="I187" i="18" s="1"/>
  <c r="B187" i="6" s="1"/>
  <c r="H279" i="18"/>
  <c r="I279" i="18" s="1"/>
  <c r="B279" i="6" s="1"/>
  <c r="H295" i="18"/>
  <c r="I295" i="18" s="1"/>
  <c r="B295" i="6" s="1"/>
  <c r="H376" i="18"/>
  <c r="J376" i="18" s="1"/>
  <c r="C376" i="6" s="1"/>
  <c r="H323" i="18"/>
  <c r="I323" i="18" s="1"/>
  <c r="B323" i="6" s="1"/>
  <c r="H75" i="18"/>
  <c r="H246" i="18"/>
  <c r="I246" i="18" s="1"/>
  <c r="B246" i="6" s="1"/>
  <c r="H29" i="18"/>
  <c r="J29" i="18" s="1"/>
  <c r="C29" i="6" s="1"/>
  <c r="H179" i="18"/>
  <c r="I179" i="18" s="1"/>
  <c r="B179" i="6" s="1"/>
  <c r="H56" i="18"/>
  <c r="I56" i="18" s="1"/>
  <c r="B56" i="6" s="1"/>
  <c r="H372" i="18"/>
  <c r="I372" i="18" s="1"/>
  <c r="B372" i="6" s="1"/>
  <c r="H53" i="18"/>
  <c r="H178" i="18"/>
  <c r="H152" i="18"/>
  <c r="I152" i="18" s="1"/>
  <c r="B152" i="6" s="1"/>
  <c r="H59" i="18"/>
  <c r="J59" i="18" s="1"/>
  <c r="C59" i="6" s="1"/>
  <c r="H46" i="18"/>
  <c r="J46" i="18" s="1"/>
  <c r="C46" i="6" s="1"/>
  <c r="H360" i="18"/>
  <c r="H307" i="18"/>
  <c r="I307" i="18" s="1"/>
  <c r="B307" i="6" s="1"/>
  <c r="H276" i="18"/>
  <c r="J276" i="18" s="1"/>
  <c r="C276" i="6" s="1"/>
  <c r="H186" i="18"/>
  <c r="H67" i="18"/>
  <c r="H228" i="18"/>
  <c r="I228" i="18" s="1"/>
  <c r="B228" i="6" s="1"/>
  <c r="H48" i="18"/>
  <c r="J48" i="18" s="1"/>
  <c r="C48" i="6" s="1"/>
  <c r="H111" i="18"/>
  <c r="J111" i="18" s="1"/>
  <c r="C111" i="6" s="1"/>
  <c r="H126" i="18"/>
  <c r="J126" i="18" s="1"/>
  <c r="C126" i="6" s="1"/>
  <c r="H286" i="18"/>
  <c r="J286" i="18" s="1"/>
  <c r="C286" i="6" s="1"/>
  <c r="H119" i="18"/>
  <c r="I119" i="18" s="1"/>
  <c r="B119" i="6" s="1"/>
  <c r="H257" i="18"/>
  <c r="I257" i="18" s="1"/>
  <c r="B257" i="6" s="1"/>
  <c r="H200" i="18"/>
  <c r="J200" i="18" s="1"/>
  <c r="C200" i="6" s="1"/>
  <c r="H139" i="18"/>
  <c r="J139" i="18" s="1"/>
  <c r="C139" i="6" s="1"/>
  <c r="H206" i="18"/>
  <c r="I206" i="18" s="1"/>
  <c r="B206" i="6" s="1"/>
  <c r="H110" i="18"/>
  <c r="I110" i="18" s="1"/>
  <c r="B110" i="6" s="1"/>
  <c r="D152" i="22"/>
  <c r="E152" i="22" s="1"/>
  <c r="F152" i="22" s="1"/>
  <c r="W152" i="23"/>
  <c r="AA262" i="20"/>
  <c r="Z262" i="20" s="1"/>
  <c r="Y262" i="20" s="1"/>
  <c r="W108" i="23"/>
  <c r="D59" i="23"/>
  <c r="E59" i="23" s="1"/>
  <c r="F59" i="23" s="1"/>
  <c r="W270" i="22"/>
  <c r="W269" i="22"/>
  <c r="D351" i="22"/>
  <c r="E351" i="22" s="1"/>
  <c r="F351" i="22" s="1"/>
  <c r="AA351" i="22" s="1"/>
  <c r="Z351" i="22" s="1"/>
  <c r="Y351" i="22" s="1"/>
  <c r="W377" i="22"/>
  <c r="D312" i="22"/>
  <c r="E312" i="22" s="1"/>
  <c r="F312" i="22" s="1"/>
  <c r="AA312" i="22" s="1"/>
  <c r="Z312" i="22" s="1"/>
  <c r="Y312" i="22" s="1"/>
  <c r="D43" i="22"/>
  <c r="E43" i="22" s="1"/>
  <c r="F43" i="22" s="1"/>
  <c r="AA43" i="22" s="1"/>
  <c r="Z43" i="22" s="1"/>
  <c r="Y43" i="22" s="1"/>
  <c r="D183" i="22"/>
  <c r="E183" i="22" s="1"/>
  <c r="F183" i="22" s="1"/>
  <c r="G183" i="22" s="1"/>
  <c r="CC183" i="6" s="1"/>
  <c r="D136" i="22"/>
  <c r="E136" i="22" s="1"/>
  <c r="F136" i="22" s="1"/>
  <c r="AA136" i="22" s="1"/>
  <c r="Z136" i="22" s="1"/>
  <c r="Y136" i="22" s="1"/>
  <c r="D28" i="22"/>
  <c r="E28" i="22" s="1"/>
  <c r="F28" i="22" s="1"/>
  <c r="G28" i="22" s="1"/>
  <c r="CC28" i="6" s="1"/>
  <c r="W170" i="22"/>
  <c r="G326" i="20"/>
  <c r="CB326" i="6" s="1"/>
  <c r="D335" i="22"/>
  <c r="E335" i="22" s="1"/>
  <c r="F335" i="22" s="1"/>
  <c r="AA335" i="22" s="1"/>
  <c r="Z335" i="22" s="1"/>
  <c r="Y335" i="22" s="1"/>
  <c r="AA167" i="20"/>
  <c r="Z167" i="20" s="1"/>
  <c r="Y167" i="20" s="1"/>
  <c r="W50" i="23"/>
  <c r="D28" i="23"/>
  <c r="E28" i="23" s="1"/>
  <c r="F28" i="23" s="1"/>
  <c r="W54" i="22"/>
  <c r="G97" i="20"/>
  <c r="CB97" i="6" s="1"/>
  <c r="W211" i="23"/>
  <c r="W205" i="23"/>
  <c r="W331" i="23"/>
  <c r="D70" i="23"/>
  <c r="E70" i="23" s="1"/>
  <c r="F70" i="23" s="1"/>
  <c r="AA68" i="20"/>
  <c r="Z68" i="20" s="1"/>
  <c r="Y68" i="20" s="1"/>
  <c r="W237" i="22"/>
  <c r="D212" i="22"/>
  <c r="E212" i="22" s="1"/>
  <c r="F212" i="22" s="1"/>
  <c r="AA212" i="22" s="1"/>
  <c r="Z212" i="22" s="1"/>
  <c r="Y212" i="22" s="1"/>
  <c r="D363" i="22"/>
  <c r="E363" i="22" s="1"/>
  <c r="F363" i="22" s="1"/>
  <c r="G363" i="22" s="1"/>
  <c r="CC363" i="6" s="1"/>
  <c r="W70" i="22"/>
  <c r="G294" i="20"/>
  <c r="CB294" i="6" s="1"/>
  <c r="D359" i="23"/>
  <c r="E359" i="23" s="1"/>
  <c r="F359" i="23" s="1"/>
  <c r="D237" i="23"/>
  <c r="E237" i="23" s="1"/>
  <c r="F237" i="23" s="1"/>
  <c r="D212" i="23"/>
  <c r="E212" i="23" s="1"/>
  <c r="F212" i="23" s="1"/>
  <c r="AA300" i="20"/>
  <c r="Z300" i="20" s="1"/>
  <c r="Y300" i="20" s="1"/>
  <c r="W358" i="22"/>
  <c r="W329" i="23"/>
  <c r="AA299" i="20"/>
  <c r="Z299" i="20" s="1"/>
  <c r="Y299" i="20" s="1"/>
  <c r="W306" i="23"/>
  <c r="D95" i="22"/>
  <c r="E95" i="22" s="1"/>
  <c r="F95" i="22" s="1"/>
  <c r="AA95" i="22" s="1"/>
  <c r="Z95" i="22" s="1"/>
  <c r="Y95" i="22" s="1"/>
  <c r="D316" i="22"/>
  <c r="E316" i="22" s="1"/>
  <c r="F316" i="22" s="1"/>
  <c r="W19" i="22"/>
  <c r="AA101" i="20"/>
  <c r="Z101" i="20" s="1"/>
  <c r="Y101" i="20" s="1"/>
  <c r="W94" i="22"/>
  <c r="W300" i="23"/>
  <c r="D297" i="22"/>
  <c r="E297" i="22" s="1"/>
  <c r="F297" i="22" s="1"/>
  <c r="AA297" i="22" s="1"/>
  <c r="Z297" i="22" s="1"/>
  <c r="Y297" i="22" s="1"/>
  <c r="AA152" i="20"/>
  <c r="Z152" i="20" s="1"/>
  <c r="Y152" i="20" s="1"/>
  <c r="D259" i="22"/>
  <c r="E259" i="22" s="1"/>
  <c r="F259" i="22" s="1"/>
  <c r="G259" i="22" s="1"/>
  <c r="CC259" i="6" s="1"/>
  <c r="G69" i="20"/>
  <c r="CB69" i="6" s="1"/>
  <c r="W50" i="22"/>
  <c r="G258" i="20"/>
  <c r="CB258" i="6" s="1"/>
  <c r="G297" i="20"/>
  <c r="CB297" i="6" s="1"/>
  <c r="D30" i="22"/>
  <c r="E30" i="22" s="1"/>
  <c r="F30" i="22" s="1"/>
  <c r="G30" i="22" s="1"/>
  <c r="CC30" i="6" s="1"/>
  <c r="G208" i="20"/>
  <c r="CB208" i="6" s="1"/>
  <c r="W211" i="22"/>
  <c r="AA217" i="20"/>
  <c r="Z217" i="20" s="1"/>
  <c r="Y217" i="20" s="1"/>
  <c r="W205" i="22"/>
  <c r="D331" i="22"/>
  <c r="E331" i="22" s="1"/>
  <c r="F331" i="22" s="1"/>
  <c r="G331" i="22" s="1"/>
  <c r="CC331" i="6" s="1"/>
  <c r="AA367" i="20"/>
  <c r="Z367" i="20" s="1"/>
  <c r="Y367" i="20" s="1"/>
  <c r="D19" i="23"/>
  <c r="E19" i="23" s="1"/>
  <c r="F19" i="23" s="1"/>
  <c r="G323" i="20"/>
  <c r="CB323" i="6" s="1"/>
  <c r="W300" i="22"/>
  <c r="G193" i="20"/>
  <c r="CB193" i="6" s="1"/>
  <c r="W269" i="23"/>
  <c r="G26" i="20"/>
  <c r="CB26" i="6" s="1"/>
  <c r="W208" i="22"/>
  <c r="AA216" i="20"/>
  <c r="Z216" i="20" s="1"/>
  <c r="Y216" i="20" s="1"/>
  <c r="D348" i="23"/>
  <c r="E348" i="23" s="1"/>
  <c r="F348" i="23" s="1"/>
  <c r="G179" i="20"/>
  <c r="CB179" i="6" s="1"/>
  <c r="G301" i="20"/>
  <c r="CB301" i="6" s="1"/>
  <c r="D18" i="22"/>
  <c r="E18" i="22" s="1"/>
  <c r="F18" i="22" s="1"/>
  <c r="G18" i="22" s="1"/>
  <c r="CC18" i="6" s="1"/>
  <c r="D377" i="23"/>
  <c r="E377" i="23" s="1"/>
  <c r="F377" i="23" s="1"/>
  <c r="D23" i="23"/>
  <c r="E23" i="23" s="1"/>
  <c r="F23" i="23" s="1"/>
  <c r="D335" i="23"/>
  <c r="E335" i="23" s="1"/>
  <c r="F335" i="23" s="1"/>
  <c r="G265" i="20"/>
  <c r="CB265" i="6" s="1"/>
  <c r="W270" i="23"/>
  <c r="D327" i="22"/>
  <c r="E327" i="22" s="1"/>
  <c r="F327" i="22" s="1"/>
  <c r="AA327" i="22" s="1"/>
  <c r="Z327" i="22" s="1"/>
  <c r="Y327" i="22" s="1"/>
  <c r="W54" i="23"/>
  <c r="G312" i="20"/>
  <c r="CB312" i="6" s="1"/>
  <c r="W64" i="22"/>
  <c r="D353" i="23"/>
  <c r="E353" i="23" s="1"/>
  <c r="F353" i="23" s="1"/>
  <c r="G38" i="20"/>
  <c r="CB38" i="6" s="1"/>
  <c r="G155" i="20"/>
  <c r="CB155" i="6" s="1"/>
  <c r="D197" i="22"/>
  <c r="E197" i="22" s="1"/>
  <c r="F197" i="22" s="1"/>
  <c r="G197" i="22" s="1"/>
  <c r="CC197" i="6" s="1"/>
  <c r="AA70" i="20"/>
  <c r="Z70" i="20" s="1"/>
  <c r="Y70" i="20" s="1"/>
  <c r="D79" i="22"/>
  <c r="E79" i="22" s="1"/>
  <c r="F79" i="22" s="1"/>
  <c r="AA79" i="22" s="1"/>
  <c r="Z79" i="22" s="1"/>
  <c r="Y79" i="22" s="1"/>
  <c r="W358" i="23"/>
  <c r="W59" i="22"/>
  <c r="D179" i="23"/>
  <c r="E179" i="23" s="1"/>
  <c r="F179" i="23" s="1"/>
  <c r="G129" i="20"/>
  <c r="CB129" i="6" s="1"/>
  <c r="W329" i="22"/>
  <c r="AA224" i="20"/>
  <c r="Z224" i="20" s="1"/>
  <c r="Y224" i="20" s="1"/>
  <c r="W306" i="22"/>
  <c r="W116" i="22"/>
  <c r="AA120" i="20"/>
  <c r="Z120" i="20" s="1"/>
  <c r="Y120" i="20" s="1"/>
  <c r="W192" i="22"/>
  <c r="D129" i="23"/>
  <c r="E129" i="23" s="1"/>
  <c r="F129" i="23" s="1"/>
  <c r="G353" i="20"/>
  <c r="CB353" i="6" s="1"/>
  <c r="W294" i="22"/>
  <c r="W301" i="23"/>
  <c r="D95" i="23"/>
  <c r="E95" i="23" s="1"/>
  <c r="F95" i="23" s="1"/>
  <c r="D316" i="23"/>
  <c r="E316" i="23" s="1"/>
  <c r="F316" i="23" s="1"/>
  <c r="D265" i="22"/>
  <c r="E265" i="22" s="1"/>
  <c r="F265" i="22" s="1"/>
  <c r="AA265" i="22" s="1"/>
  <c r="Z265" i="22" s="1"/>
  <c r="Y265" i="22" s="1"/>
  <c r="W167" i="22"/>
  <c r="W258" i="22"/>
  <c r="W297" i="23"/>
  <c r="W348" i="22"/>
  <c r="D224" i="22"/>
  <c r="E224" i="22" s="1"/>
  <c r="F224" i="22" s="1"/>
  <c r="G224" i="22" s="1"/>
  <c r="CC224" i="6" s="1"/>
  <c r="W43" i="23"/>
  <c r="D136" i="23"/>
  <c r="E136" i="23" s="1"/>
  <c r="F136" i="23" s="1"/>
  <c r="W23" i="22"/>
  <c r="AA316" i="20"/>
  <c r="Z316" i="20" s="1"/>
  <c r="Y316" i="20" s="1"/>
  <c r="G19" i="20"/>
  <c r="CB19" i="6" s="1"/>
  <c r="W131" i="22"/>
  <c r="D327" i="23"/>
  <c r="E327" i="23" s="1"/>
  <c r="F327" i="23" s="1"/>
  <c r="G351" i="20"/>
  <c r="CB351" i="6" s="1"/>
  <c r="D30" i="23"/>
  <c r="E30" i="23" s="1"/>
  <c r="F30" i="23" s="1"/>
  <c r="W294" i="23"/>
  <c r="D326" i="22"/>
  <c r="E326" i="22" s="1"/>
  <c r="F326" i="22" s="1"/>
  <c r="G326" i="22" s="1"/>
  <c r="CC326" i="6" s="1"/>
  <c r="W301" i="22"/>
  <c r="D324" i="22"/>
  <c r="E324" i="22" s="1"/>
  <c r="F324" i="22" s="1"/>
  <c r="AA324" i="22" s="1"/>
  <c r="Z324" i="22" s="1"/>
  <c r="Y324" i="22" s="1"/>
  <c r="W180" i="22"/>
  <c r="AA284" i="20"/>
  <c r="Z284" i="20" s="1"/>
  <c r="Y284" i="20" s="1"/>
  <c r="AA131" i="20"/>
  <c r="Z131" i="20" s="1"/>
  <c r="Y131" i="20" s="1"/>
  <c r="W231" i="22"/>
  <c r="G313" i="20"/>
  <c r="CB313" i="6" s="1"/>
  <c r="AA344" i="20"/>
  <c r="Z344" i="20" s="1"/>
  <c r="Y344" i="20" s="1"/>
  <c r="D97" i="22"/>
  <c r="E97" i="22" s="1"/>
  <c r="F97" i="22" s="1"/>
  <c r="AA97" i="22" s="1"/>
  <c r="Z97" i="22" s="1"/>
  <c r="Y97" i="22" s="1"/>
  <c r="W155" i="22"/>
  <c r="W193" i="22"/>
  <c r="W116" i="23"/>
  <c r="G23" i="20"/>
  <c r="CB23" i="6" s="1"/>
  <c r="W192" i="23"/>
  <c r="G164" i="20"/>
  <c r="CB164" i="6" s="1"/>
  <c r="G243" i="20"/>
  <c r="CB243" i="6" s="1"/>
  <c r="D366" i="22"/>
  <c r="E366" i="22" s="1"/>
  <c r="F366" i="22" s="1"/>
  <c r="AA366" i="22" s="1"/>
  <c r="Z366" i="22" s="1"/>
  <c r="Y366" i="22" s="1"/>
  <c r="W155" i="23"/>
  <c r="AA132" i="20"/>
  <c r="Z132" i="20" s="1"/>
  <c r="Y132" i="20" s="1"/>
  <c r="G227" i="20"/>
  <c r="CB227" i="6" s="1"/>
  <c r="AA35" i="20"/>
  <c r="Z35" i="20" s="1"/>
  <c r="Y35" i="20" s="1"/>
  <c r="D367" i="22"/>
  <c r="E367" i="22" s="1"/>
  <c r="F367" i="22" s="1"/>
  <c r="AA367" i="22" s="1"/>
  <c r="Z367" i="22" s="1"/>
  <c r="Y367" i="22" s="1"/>
  <c r="D284" i="22"/>
  <c r="E284" i="22" s="1"/>
  <c r="F284" i="22" s="1"/>
  <c r="G284" i="22" s="1"/>
  <c r="CC284" i="6" s="1"/>
  <c r="G55" i="20"/>
  <c r="CB55" i="6" s="1"/>
  <c r="D323" i="23"/>
  <c r="E323" i="23" s="1"/>
  <c r="F323" i="23" s="1"/>
  <c r="W92" i="22"/>
  <c r="W344" i="22"/>
  <c r="AA212" i="20"/>
  <c r="Z212" i="20" s="1"/>
  <c r="Y212" i="20" s="1"/>
  <c r="AA338" i="20"/>
  <c r="Z338" i="20" s="1"/>
  <c r="Y338" i="20" s="1"/>
  <c r="G251" i="20"/>
  <c r="CB251" i="6" s="1"/>
  <c r="D153" i="23"/>
  <c r="E153" i="23" s="1"/>
  <c r="F153" i="23" s="1"/>
  <c r="G16" i="20"/>
  <c r="CB16" i="6" s="1"/>
  <c r="W216" i="23"/>
  <c r="D164" i="22"/>
  <c r="E164" i="22" s="1"/>
  <c r="F164" i="22" s="1"/>
  <c r="G164" i="22" s="1"/>
  <c r="CC164" i="6" s="1"/>
  <c r="W180" i="23"/>
  <c r="D227" i="22"/>
  <c r="E227" i="22" s="1"/>
  <c r="F227" i="22" s="1"/>
  <c r="G227" i="22" s="1"/>
  <c r="CC227" i="6" s="1"/>
  <c r="AA327" i="20"/>
  <c r="Z327" i="20" s="1"/>
  <c r="Y327" i="20" s="1"/>
  <c r="D228" i="22"/>
  <c r="E228" i="22" s="1"/>
  <c r="F228" i="22" s="1"/>
  <c r="G228" i="22" s="1"/>
  <c r="CC228" i="6" s="1"/>
  <c r="G324" i="20"/>
  <c r="CB324" i="6" s="1"/>
  <c r="W129" i="22"/>
  <c r="W168" i="22"/>
  <c r="G64" i="20"/>
  <c r="CB64" i="6" s="1"/>
  <c r="D38" i="22"/>
  <c r="E38" i="22" s="1"/>
  <c r="F38" i="22" s="1"/>
  <c r="AA38" i="22" s="1"/>
  <c r="Z38" i="22" s="1"/>
  <c r="Y38" i="22" s="1"/>
  <c r="W323" i="22"/>
  <c r="G170" i="20"/>
  <c r="CB170" i="6" s="1"/>
  <c r="W344" i="23"/>
  <c r="D338" i="22"/>
  <c r="E338" i="22" s="1"/>
  <c r="F338" i="22" s="1"/>
  <c r="G338" i="22" s="1"/>
  <c r="CC338" i="6" s="1"/>
  <c r="D153" i="22"/>
  <c r="E153" i="22" s="1"/>
  <c r="F153" i="22" s="1"/>
  <c r="G153" i="22" s="1"/>
  <c r="CC153" i="6" s="1"/>
  <c r="AA348" i="20"/>
  <c r="Z348" i="20" s="1"/>
  <c r="Y348" i="20" s="1"/>
  <c r="W64" i="23"/>
  <c r="W353" i="22"/>
  <c r="W243" i="23"/>
  <c r="W35" i="22"/>
  <c r="W55" i="22"/>
  <c r="W255" i="22"/>
  <c r="W97" i="23"/>
  <c r="W367" i="23"/>
  <c r="D284" i="23"/>
  <c r="E284" i="23" s="1"/>
  <c r="F284" i="23" s="1"/>
  <c r="D326" i="23"/>
  <c r="E326" i="23" s="1"/>
  <c r="F326" i="23" s="1"/>
  <c r="W338" i="23"/>
  <c r="W216" i="22"/>
  <c r="W164" i="23"/>
  <c r="W179" i="22"/>
  <c r="W243" i="22"/>
  <c r="H205" i="20"/>
  <c r="I205" i="20" s="1"/>
  <c r="H205" i="22" s="1"/>
  <c r="W224" i="23"/>
  <c r="W324" i="23"/>
  <c r="D380" i="20"/>
  <c r="E380" i="20" s="1"/>
  <c r="F380" i="20" s="1"/>
  <c r="W380" i="20"/>
  <c r="H251" i="20"/>
  <c r="H217" i="20"/>
  <c r="J217" i="20" s="1"/>
  <c r="I109" i="18"/>
  <c r="B109" i="6" s="1"/>
  <c r="W379" i="23"/>
  <c r="D379" i="23"/>
  <c r="E379" i="23" s="1"/>
  <c r="F379" i="23" s="1"/>
  <c r="G180" i="22"/>
  <c r="CC180" i="6" s="1"/>
  <c r="AA180" i="22"/>
  <c r="Z180" i="22" s="1"/>
  <c r="Y180" i="22" s="1"/>
  <c r="W29" i="22"/>
  <c r="D29" i="22"/>
  <c r="E29" i="22" s="1"/>
  <c r="F29" i="22" s="1"/>
  <c r="G226" i="20"/>
  <c r="CB226" i="6" s="1"/>
  <c r="AA226" i="20"/>
  <c r="Z226" i="20" s="1"/>
  <c r="Y226" i="20" s="1"/>
  <c r="W354" i="23"/>
  <c r="D354" i="23"/>
  <c r="E354" i="23" s="1"/>
  <c r="F354" i="23" s="1"/>
  <c r="G283" i="20"/>
  <c r="CB283" i="6" s="1"/>
  <c r="AA283" i="20"/>
  <c r="Z283" i="20" s="1"/>
  <c r="Y283" i="20" s="1"/>
  <c r="D114" i="22"/>
  <c r="E114" i="22" s="1"/>
  <c r="F114" i="22" s="1"/>
  <c r="W114" i="22"/>
  <c r="W84" i="22"/>
  <c r="D84" i="22"/>
  <c r="E84" i="22" s="1"/>
  <c r="F84" i="22" s="1"/>
  <c r="G106" i="22"/>
  <c r="CC106" i="6" s="1"/>
  <c r="AA106" i="22"/>
  <c r="Z106" i="22" s="1"/>
  <c r="Y106" i="22" s="1"/>
  <c r="G178" i="22"/>
  <c r="CC178" i="6" s="1"/>
  <c r="AA178" i="22"/>
  <c r="Z178" i="22" s="1"/>
  <c r="Y178" i="22" s="1"/>
  <c r="W274" i="22"/>
  <c r="D274" i="22"/>
  <c r="E274" i="22" s="1"/>
  <c r="F274" i="22" s="1"/>
  <c r="G318" i="20"/>
  <c r="CB318" i="6" s="1"/>
  <c r="AA318" i="20"/>
  <c r="Z318" i="20" s="1"/>
  <c r="Y318" i="20" s="1"/>
  <c r="W352" i="22"/>
  <c r="D352" i="22"/>
  <c r="E352" i="22" s="1"/>
  <c r="F352" i="22" s="1"/>
  <c r="D33" i="23"/>
  <c r="E33" i="23" s="1"/>
  <c r="F33" i="23" s="1"/>
  <c r="W33" i="23"/>
  <c r="W333" i="22"/>
  <c r="D333" i="22"/>
  <c r="E333" i="22" s="1"/>
  <c r="F333" i="22" s="1"/>
  <c r="W187" i="22"/>
  <c r="D187" i="22"/>
  <c r="E187" i="22" s="1"/>
  <c r="F187" i="22" s="1"/>
  <c r="G35" i="22"/>
  <c r="CC35" i="6" s="1"/>
  <c r="AA35" i="22"/>
  <c r="Z35" i="22" s="1"/>
  <c r="Y35" i="22" s="1"/>
  <c r="G74" i="20"/>
  <c r="CB74" i="6" s="1"/>
  <c r="AA74" i="20"/>
  <c r="Z74" i="20" s="1"/>
  <c r="Y74" i="20" s="1"/>
  <c r="W75" i="22"/>
  <c r="D75" i="22"/>
  <c r="E75" i="22" s="1"/>
  <c r="F75" i="22" s="1"/>
  <c r="G278" i="22"/>
  <c r="CC278" i="6" s="1"/>
  <c r="AA278" i="22"/>
  <c r="Z278" i="22" s="1"/>
  <c r="Y278" i="22" s="1"/>
  <c r="D66" i="23"/>
  <c r="E66" i="23" s="1"/>
  <c r="F66" i="23" s="1"/>
  <c r="W66" i="23"/>
  <c r="W376" i="22"/>
  <c r="D376" i="22"/>
  <c r="E376" i="22" s="1"/>
  <c r="F376" i="22" s="1"/>
  <c r="W347" i="22"/>
  <c r="D347" i="22"/>
  <c r="E347" i="22" s="1"/>
  <c r="F347" i="22" s="1"/>
  <c r="W369" i="22"/>
  <c r="D369" i="22"/>
  <c r="E369" i="22" s="1"/>
  <c r="F369" i="22" s="1"/>
  <c r="W253" i="22"/>
  <c r="D253" i="22"/>
  <c r="E253" i="22" s="1"/>
  <c r="F253" i="22" s="1"/>
  <c r="D130" i="23"/>
  <c r="E130" i="23" s="1"/>
  <c r="F130" i="23" s="1"/>
  <c r="W130" i="23"/>
  <c r="G287" i="20"/>
  <c r="CB287" i="6" s="1"/>
  <c r="AA287" i="20"/>
  <c r="Z287" i="20" s="1"/>
  <c r="Y287" i="20" s="1"/>
  <c r="G19" i="22"/>
  <c r="CC19" i="6" s="1"/>
  <c r="AA19" i="22"/>
  <c r="Z19" i="22" s="1"/>
  <c r="Y19" i="22" s="1"/>
  <c r="W83" i="23"/>
  <c r="D83" i="23"/>
  <c r="E83" i="23" s="1"/>
  <c r="F83" i="23" s="1"/>
  <c r="G273" i="20"/>
  <c r="CB273" i="6" s="1"/>
  <c r="AA273" i="20"/>
  <c r="Z273" i="20" s="1"/>
  <c r="Y273" i="20" s="1"/>
  <c r="G361" i="20"/>
  <c r="CB361" i="6" s="1"/>
  <c r="AA361" i="20"/>
  <c r="Z361" i="20" s="1"/>
  <c r="Y361" i="20" s="1"/>
  <c r="G56" i="20"/>
  <c r="CB56" i="6" s="1"/>
  <c r="AA56" i="20"/>
  <c r="Z56" i="20" s="1"/>
  <c r="Y56" i="20" s="1"/>
  <c r="W104" i="22"/>
  <c r="D104" i="22"/>
  <c r="E104" i="22" s="1"/>
  <c r="F104" i="22" s="1"/>
  <c r="AA170" i="22"/>
  <c r="Z170" i="22" s="1"/>
  <c r="Y170" i="22" s="1"/>
  <c r="G170" i="22"/>
  <c r="CC170" i="6" s="1"/>
  <c r="W246" i="22"/>
  <c r="D246" i="22"/>
  <c r="E246" i="22" s="1"/>
  <c r="F246" i="22" s="1"/>
  <c r="G268" i="20"/>
  <c r="CB268" i="6" s="1"/>
  <c r="AA268" i="20"/>
  <c r="Z268" i="20" s="1"/>
  <c r="Y268" i="20" s="1"/>
  <c r="G328" i="20"/>
  <c r="CB328" i="6" s="1"/>
  <c r="AA328" i="20"/>
  <c r="Z328" i="20" s="1"/>
  <c r="Y328" i="20" s="1"/>
  <c r="W336" i="23"/>
  <c r="D336" i="23"/>
  <c r="E336" i="23" s="1"/>
  <c r="F336" i="23" s="1"/>
  <c r="G181" i="20"/>
  <c r="CB181" i="6" s="1"/>
  <c r="AA181" i="20"/>
  <c r="Z181" i="20" s="1"/>
  <c r="Y181" i="20" s="1"/>
  <c r="G215" i="20"/>
  <c r="CB215" i="6" s="1"/>
  <c r="AA215" i="20"/>
  <c r="Z215" i="20" s="1"/>
  <c r="Y215" i="20" s="1"/>
  <c r="G94" i="22"/>
  <c r="CC94" i="6" s="1"/>
  <c r="AA94" i="22"/>
  <c r="Z94" i="22" s="1"/>
  <c r="Y94" i="22" s="1"/>
  <c r="G146" i="22"/>
  <c r="CC146" i="6" s="1"/>
  <c r="AA146" i="22"/>
  <c r="Z146" i="22" s="1"/>
  <c r="Y146" i="22" s="1"/>
  <c r="G192" i="22"/>
  <c r="CC192" i="6" s="1"/>
  <c r="AA192" i="22"/>
  <c r="Z192" i="22" s="1"/>
  <c r="Y192" i="22" s="1"/>
  <c r="W334" i="22"/>
  <c r="D334" i="22"/>
  <c r="E334" i="22" s="1"/>
  <c r="F334" i="22" s="1"/>
  <c r="G334" i="20"/>
  <c r="CB334" i="6" s="1"/>
  <c r="AA334" i="20"/>
  <c r="Z334" i="20" s="1"/>
  <c r="Y334" i="20" s="1"/>
  <c r="G39" i="22"/>
  <c r="CC39" i="6" s="1"/>
  <c r="AA39" i="22"/>
  <c r="Z39" i="22" s="1"/>
  <c r="Y39" i="22" s="1"/>
  <c r="W53" i="22"/>
  <c r="D53" i="22"/>
  <c r="E53" i="22" s="1"/>
  <c r="F53" i="22" s="1"/>
  <c r="AA107" i="22"/>
  <c r="Z107" i="22" s="1"/>
  <c r="Y107" i="22" s="1"/>
  <c r="G107" i="22"/>
  <c r="CC107" i="6" s="1"/>
  <c r="W139" i="22"/>
  <c r="D139" i="22"/>
  <c r="E139" i="22" s="1"/>
  <c r="F139" i="22" s="1"/>
  <c r="G139" i="20"/>
  <c r="CB139" i="6" s="1"/>
  <c r="AA139" i="20"/>
  <c r="Z139" i="20" s="1"/>
  <c r="Y139" i="20" s="1"/>
  <c r="G151" i="22"/>
  <c r="CC151" i="6" s="1"/>
  <c r="AA151" i="22"/>
  <c r="Z151" i="22" s="1"/>
  <c r="Y151" i="22" s="1"/>
  <c r="G231" i="22"/>
  <c r="CC231" i="6" s="1"/>
  <c r="AA231" i="22"/>
  <c r="Z231" i="22" s="1"/>
  <c r="Y231" i="22" s="1"/>
  <c r="G27" i="20"/>
  <c r="CB27" i="6" s="1"/>
  <c r="AA27" i="20"/>
  <c r="Z27" i="20" s="1"/>
  <c r="Y27" i="20" s="1"/>
  <c r="G124" i="20"/>
  <c r="CB124" i="6" s="1"/>
  <c r="AA124" i="20"/>
  <c r="Z124" i="20" s="1"/>
  <c r="Y124" i="20" s="1"/>
  <c r="G184" i="20"/>
  <c r="CB184" i="6" s="1"/>
  <c r="AA184" i="20"/>
  <c r="Z184" i="20" s="1"/>
  <c r="Y184" i="20" s="1"/>
  <c r="G256" i="20"/>
  <c r="CB256" i="6" s="1"/>
  <c r="AA256" i="20"/>
  <c r="Z256" i="20" s="1"/>
  <c r="Y256" i="20" s="1"/>
  <c r="W262" i="23"/>
  <c r="D262" i="23"/>
  <c r="E262" i="23" s="1"/>
  <c r="F262" i="23" s="1"/>
  <c r="D304" i="23"/>
  <c r="E304" i="23" s="1"/>
  <c r="F304" i="23" s="1"/>
  <c r="W304" i="23"/>
  <c r="G330" i="20"/>
  <c r="CB330" i="6" s="1"/>
  <c r="AA330" i="20"/>
  <c r="Z330" i="20" s="1"/>
  <c r="Y330" i="20" s="1"/>
  <c r="G364" i="20"/>
  <c r="CB364" i="6" s="1"/>
  <c r="AA364" i="20"/>
  <c r="Z364" i="20" s="1"/>
  <c r="Y364" i="20" s="1"/>
  <c r="W51" i="22"/>
  <c r="D51" i="22"/>
  <c r="E51" i="22" s="1"/>
  <c r="F51" i="22" s="1"/>
  <c r="G91" i="22"/>
  <c r="CC91" i="6" s="1"/>
  <c r="AA91" i="22"/>
  <c r="Z91" i="22" s="1"/>
  <c r="Y91" i="22" s="1"/>
  <c r="W109" i="22"/>
  <c r="D109" i="22"/>
  <c r="E109" i="22" s="1"/>
  <c r="F109" i="22" s="1"/>
  <c r="G117" i="22"/>
  <c r="CC117" i="6" s="1"/>
  <c r="AA117" i="22"/>
  <c r="Z117" i="22" s="1"/>
  <c r="Y117" i="22" s="1"/>
  <c r="G165" i="20"/>
  <c r="CB165" i="6" s="1"/>
  <c r="AA165" i="20"/>
  <c r="Z165" i="20" s="1"/>
  <c r="Y165" i="20" s="1"/>
  <c r="G237" i="22"/>
  <c r="CC237" i="6" s="1"/>
  <c r="AA237" i="22"/>
  <c r="Z237" i="22" s="1"/>
  <c r="Y237" i="22" s="1"/>
  <c r="G279" i="20"/>
  <c r="CB279" i="6" s="1"/>
  <c r="AA279" i="20"/>
  <c r="Z279" i="20" s="1"/>
  <c r="Y279" i="20" s="1"/>
  <c r="W36" i="22"/>
  <c r="D36" i="22"/>
  <c r="E36" i="22" s="1"/>
  <c r="F36" i="22" s="1"/>
  <c r="W58" i="22"/>
  <c r="D58" i="22"/>
  <c r="E58" i="22" s="1"/>
  <c r="F58" i="22" s="1"/>
  <c r="G58" i="20"/>
  <c r="CB58" i="6" s="1"/>
  <c r="AA58" i="20"/>
  <c r="Z58" i="20" s="1"/>
  <c r="Y58" i="20" s="1"/>
  <c r="G82" i="22"/>
  <c r="CC82" i="6" s="1"/>
  <c r="AA82" i="22"/>
  <c r="Z82" i="22" s="1"/>
  <c r="Y82" i="22" s="1"/>
  <c r="W162" i="22"/>
  <c r="D162" i="22"/>
  <c r="E162" i="22" s="1"/>
  <c r="F162" i="22" s="1"/>
  <c r="G264" i="20"/>
  <c r="CB264" i="6" s="1"/>
  <c r="AA264" i="20"/>
  <c r="Z264" i="20" s="1"/>
  <c r="Y264" i="20" s="1"/>
  <c r="W286" i="23"/>
  <c r="D286" i="23"/>
  <c r="E286" i="23" s="1"/>
  <c r="F286" i="23" s="1"/>
  <c r="W340" i="22"/>
  <c r="D340" i="22"/>
  <c r="E340" i="22" s="1"/>
  <c r="F340" i="22" s="1"/>
  <c r="G222" i="22"/>
  <c r="CC222" i="6" s="1"/>
  <c r="AA222" i="22"/>
  <c r="Z222" i="22" s="1"/>
  <c r="Y222" i="22" s="1"/>
  <c r="W90" i="22"/>
  <c r="D90" i="22"/>
  <c r="E90" i="22" s="1"/>
  <c r="F90" i="22" s="1"/>
  <c r="G204" i="22"/>
  <c r="CC204" i="6" s="1"/>
  <c r="AA204" i="22"/>
  <c r="Z204" i="22" s="1"/>
  <c r="Y204" i="22" s="1"/>
  <c r="G252" i="22"/>
  <c r="CC252" i="6" s="1"/>
  <c r="AA252" i="22"/>
  <c r="Z252" i="22" s="1"/>
  <c r="Y252" i="22" s="1"/>
  <c r="G305" i="22"/>
  <c r="CC305" i="6" s="1"/>
  <c r="AA305" i="22"/>
  <c r="Z305" i="22" s="1"/>
  <c r="Y305" i="22" s="1"/>
  <c r="G157" i="20"/>
  <c r="CB157" i="6" s="1"/>
  <c r="AA157" i="20"/>
  <c r="Z157" i="20" s="1"/>
  <c r="Y157" i="20" s="1"/>
  <c r="G125" i="20"/>
  <c r="CB125" i="6" s="1"/>
  <c r="AA125" i="20"/>
  <c r="Z125" i="20" s="1"/>
  <c r="Y125" i="20" s="1"/>
  <c r="D251" i="23"/>
  <c r="E251" i="23" s="1"/>
  <c r="F251" i="23" s="1"/>
  <c r="W251" i="23"/>
  <c r="W132" i="23"/>
  <c r="D132" i="23"/>
  <c r="E132" i="23" s="1"/>
  <c r="F132" i="23" s="1"/>
  <c r="D16" i="23"/>
  <c r="E16" i="23" s="1"/>
  <c r="F16" i="23" s="1"/>
  <c r="W16" i="23"/>
  <c r="G208" i="22"/>
  <c r="CC208" i="6" s="1"/>
  <c r="AA208" i="22"/>
  <c r="Z208" i="22" s="1"/>
  <c r="Y208" i="22" s="1"/>
  <c r="G346" i="20"/>
  <c r="CB346" i="6" s="1"/>
  <c r="AA346" i="20"/>
  <c r="Z346" i="20" s="1"/>
  <c r="Y346" i="20" s="1"/>
  <c r="W154" i="23"/>
  <c r="D154" i="23"/>
  <c r="E154" i="23" s="1"/>
  <c r="F154" i="23" s="1"/>
  <c r="AA244" i="20"/>
  <c r="Z244" i="20" s="1"/>
  <c r="Y244" i="20" s="1"/>
  <c r="G244" i="20"/>
  <c r="CB244" i="6" s="1"/>
  <c r="G37" i="20"/>
  <c r="CB37" i="6" s="1"/>
  <c r="AA37" i="20"/>
  <c r="Z37" i="20" s="1"/>
  <c r="Y37" i="20" s="1"/>
  <c r="W63" i="23"/>
  <c r="D63" i="23"/>
  <c r="E63" i="23" s="1"/>
  <c r="F63" i="23" s="1"/>
  <c r="D185" i="22"/>
  <c r="E185" i="22" s="1"/>
  <c r="F185" i="22" s="1"/>
  <c r="W185" i="22"/>
  <c r="G70" i="22"/>
  <c r="CC70" i="6" s="1"/>
  <c r="AA70" i="22"/>
  <c r="Z70" i="22" s="1"/>
  <c r="Y70" i="22" s="1"/>
  <c r="W110" i="22"/>
  <c r="D110" i="22"/>
  <c r="E110" i="22" s="1"/>
  <c r="F110" i="22" s="1"/>
  <c r="AA31" i="20"/>
  <c r="Z31" i="20" s="1"/>
  <c r="Y31" i="20" s="1"/>
  <c r="G31" i="20"/>
  <c r="CB31" i="6" s="1"/>
  <c r="J87" i="18"/>
  <c r="C87" i="6" s="1"/>
  <c r="I87" i="18"/>
  <c r="G93" i="22"/>
  <c r="CC93" i="6" s="1"/>
  <c r="AA93" i="22"/>
  <c r="Z93" i="22" s="1"/>
  <c r="Y93" i="22" s="1"/>
  <c r="W145" i="22"/>
  <c r="D145" i="22"/>
  <c r="E145" i="22" s="1"/>
  <c r="F145" i="22" s="1"/>
  <c r="W201" i="22"/>
  <c r="D201" i="22"/>
  <c r="E201" i="22" s="1"/>
  <c r="F201" i="22" s="1"/>
  <c r="W293" i="23"/>
  <c r="D293" i="23"/>
  <c r="E293" i="23" s="1"/>
  <c r="F293" i="23" s="1"/>
  <c r="AA293" i="22"/>
  <c r="Z293" i="22" s="1"/>
  <c r="Y293" i="22" s="1"/>
  <c r="G293" i="22"/>
  <c r="CC293" i="6" s="1"/>
  <c r="G341" i="22"/>
  <c r="CC341" i="6" s="1"/>
  <c r="AA341" i="22"/>
  <c r="Z341" i="22" s="1"/>
  <c r="Y341" i="22" s="1"/>
  <c r="G34" i="20"/>
  <c r="CB34" i="6" s="1"/>
  <c r="AA34" i="20"/>
  <c r="Z34" i="20" s="1"/>
  <c r="Y34" i="20" s="1"/>
  <c r="G96" i="20"/>
  <c r="CB96" i="6" s="1"/>
  <c r="AA96" i="20"/>
  <c r="Z96" i="20" s="1"/>
  <c r="Y96" i="20" s="1"/>
  <c r="G126" i="20"/>
  <c r="CB126" i="6" s="1"/>
  <c r="AA126" i="20"/>
  <c r="Z126" i="20" s="1"/>
  <c r="Y126" i="20" s="1"/>
  <c r="W148" i="22"/>
  <c r="D148" i="22"/>
  <c r="E148" i="22" s="1"/>
  <c r="F148" i="22" s="1"/>
  <c r="G348" i="22"/>
  <c r="CC348" i="6" s="1"/>
  <c r="AA348" i="22"/>
  <c r="Z348" i="22" s="1"/>
  <c r="Y348" i="22" s="1"/>
  <c r="W372" i="22"/>
  <c r="D372" i="22"/>
  <c r="E372" i="22" s="1"/>
  <c r="F372" i="22" s="1"/>
  <c r="W65" i="22"/>
  <c r="D65" i="22"/>
  <c r="E65" i="22" s="1"/>
  <c r="F65" i="22" s="1"/>
  <c r="G65" i="20"/>
  <c r="CB65" i="6" s="1"/>
  <c r="AA65" i="20"/>
  <c r="Z65" i="20" s="1"/>
  <c r="Y65" i="20" s="1"/>
  <c r="W143" i="22"/>
  <c r="D143" i="22"/>
  <c r="E143" i="22" s="1"/>
  <c r="F143" i="22" s="1"/>
  <c r="W223" i="22"/>
  <c r="D223" i="22"/>
  <c r="E223" i="22" s="1"/>
  <c r="F223" i="22" s="1"/>
  <c r="G307" i="20"/>
  <c r="CB307" i="6" s="1"/>
  <c r="AA307" i="20"/>
  <c r="Z307" i="20" s="1"/>
  <c r="Y307" i="20" s="1"/>
  <c r="G357" i="20"/>
  <c r="CB357" i="6" s="1"/>
  <c r="AA357" i="20"/>
  <c r="Z357" i="20" s="1"/>
  <c r="Y357" i="20" s="1"/>
  <c r="W373" i="22"/>
  <c r="D373" i="22"/>
  <c r="E373" i="22" s="1"/>
  <c r="F373" i="22" s="1"/>
  <c r="G48" i="20"/>
  <c r="CB48" i="6" s="1"/>
  <c r="AA48" i="20"/>
  <c r="Z48" i="20" s="1"/>
  <c r="Y48" i="20" s="1"/>
  <c r="W122" i="23"/>
  <c r="D122" i="23"/>
  <c r="E122" i="23" s="1"/>
  <c r="F122" i="23" s="1"/>
  <c r="G160" i="20"/>
  <c r="CB160" i="6" s="1"/>
  <c r="AA160" i="20"/>
  <c r="Z160" i="20" s="1"/>
  <c r="Y160" i="20" s="1"/>
  <c r="I234" i="18"/>
  <c r="J234" i="18"/>
  <c r="C234" i="6" s="1"/>
  <c r="G238" i="22"/>
  <c r="CC238" i="6" s="1"/>
  <c r="AA238" i="22"/>
  <c r="Z238" i="22" s="1"/>
  <c r="Y238" i="22" s="1"/>
  <c r="W266" i="22"/>
  <c r="D266" i="22"/>
  <c r="E266" i="22" s="1"/>
  <c r="F266" i="22" s="1"/>
  <c r="D322" i="22"/>
  <c r="E322" i="22" s="1"/>
  <c r="F322" i="22" s="1"/>
  <c r="W322" i="22"/>
  <c r="W360" i="23"/>
  <c r="D360" i="23"/>
  <c r="E360" i="23" s="1"/>
  <c r="F360" i="23" s="1"/>
  <c r="W85" i="22"/>
  <c r="D85" i="22"/>
  <c r="E85" i="22" s="1"/>
  <c r="F85" i="22" s="1"/>
  <c r="AA113" i="22"/>
  <c r="Z113" i="22" s="1"/>
  <c r="Y113" i="22" s="1"/>
  <c r="G113" i="22"/>
  <c r="CC113" i="6" s="1"/>
  <c r="G129" i="22"/>
  <c r="CC129" i="6" s="1"/>
  <c r="AA129" i="22"/>
  <c r="Z129" i="22" s="1"/>
  <c r="Y129" i="22" s="1"/>
  <c r="D217" i="23"/>
  <c r="E217" i="23" s="1"/>
  <c r="F217" i="23" s="1"/>
  <c r="W217" i="23"/>
  <c r="G239" i="20"/>
  <c r="CB239" i="6" s="1"/>
  <c r="AA239" i="20"/>
  <c r="Z239" i="20" s="1"/>
  <c r="Y239" i="20" s="1"/>
  <c r="G343" i="22"/>
  <c r="CC343" i="6" s="1"/>
  <c r="AA343" i="22"/>
  <c r="Z343" i="22" s="1"/>
  <c r="Y343" i="22" s="1"/>
  <c r="G377" i="22"/>
  <c r="CC377" i="6" s="1"/>
  <c r="AA377" i="22"/>
  <c r="Z377" i="22" s="1"/>
  <c r="Y377" i="22" s="1"/>
  <c r="G40" i="22"/>
  <c r="CC40" i="6" s="1"/>
  <c r="AA40" i="22"/>
  <c r="Z40" i="22" s="1"/>
  <c r="Y40" i="22" s="1"/>
  <c r="W72" i="22"/>
  <c r="D72" i="22"/>
  <c r="E72" i="22" s="1"/>
  <c r="F72" i="22" s="1"/>
  <c r="G168" i="22"/>
  <c r="CC168" i="6" s="1"/>
  <c r="AA168" i="22"/>
  <c r="Z168" i="22" s="1"/>
  <c r="Y168" i="22" s="1"/>
  <c r="W190" i="23"/>
  <c r="D190" i="23"/>
  <c r="E190" i="23" s="1"/>
  <c r="F190" i="23" s="1"/>
  <c r="G190" i="22"/>
  <c r="CC190" i="6" s="1"/>
  <c r="AA190" i="22"/>
  <c r="Z190" i="22" s="1"/>
  <c r="Y190" i="22" s="1"/>
  <c r="G200" i="22"/>
  <c r="CC200" i="6" s="1"/>
  <c r="AA200" i="22"/>
  <c r="Z200" i="22" s="1"/>
  <c r="Y200" i="22" s="1"/>
  <c r="W240" i="22"/>
  <c r="D240" i="22"/>
  <c r="E240" i="22" s="1"/>
  <c r="F240" i="22" s="1"/>
  <c r="W314" i="22"/>
  <c r="D314" i="22"/>
  <c r="E314" i="22" s="1"/>
  <c r="F314" i="22" s="1"/>
  <c r="G342" i="22"/>
  <c r="CC342" i="6" s="1"/>
  <c r="AA342" i="22"/>
  <c r="Z342" i="22" s="1"/>
  <c r="Y342" i="22" s="1"/>
  <c r="W78" i="22"/>
  <c r="D78" i="22"/>
  <c r="E78" i="22" s="1"/>
  <c r="F78" i="22" s="1"/>
  <c r="G78" i="20"/>
  <c r="CB78" i="6" s="1"/>
  <c r="AA78" i="20"/>
  <c r="Z78" i="20" s="1"/>
  <c r="Y78" i="20" s="1"/>
  <c r="W289" i="22"/>
  <c r="D289" i="22"/>
  <c r="E289" i="22" s="1"/>
  <c r="F289" i="22" s="1"/>
  <c r="G207" i="22"/>
  <c r="CC207" i="6" s="1"/>
  <c r="AA207" i="22"/>
  <c r="Z207" i="22" s="1"/>
  <c r="Y207" i="22" s="1"/>
  <c r="W182" i="22"/>
  <c r="D182" i="22"/>
  <c r="E182" i="22" s="1"/>
  <c r="F182" i="22" s="1"/>
  <c r="G182" i="20"/>
  <c r="CB182" i="6" s="1"/>
  <c r="AA182" i="20"/>
  <c r="Z182" i="20" s="1"/>
  <c r="Y182" i="20" s="1"/>
  <c r="G163" i="20"/>
  <c r="CB163" i="6" s="1"/>
  <c r="AA163" i="20"/>
  <c r="Z163" i="20" s="1"/>
  <c r="Y163" i="20" s="1"/>
  <c r="G321" i="20"/>
  <c r="CB321" i="6" s="1"/>
  <c r="AA321" i="20"/>
  <c r="Z321" i="20" s="1"/>
  <c r="Y321" i="20" s="1"/>
  <c r="G332" i="20"/>
  <c r="CB332" i="6" s="1"/>
  <c r="AA332" i="20"/>
  <c r="Z332" i="20" s="1"/>
  <c r="Y332" i="20" s="1"/>
  <c r="AA81" i="20"/>
  <c r="Z81" i="20" s="1"/>
  <c r="Y81" i="20" s="1"/>
  <c r="G81" i="20"/>
  <c r="CB81" i="6" s="1"/>
  <c r="W174" i="23"/>
  <c r="D174" i="23"/>
  <c r="E174" i="23" s="1"/>
  <c r="F174" i="23" s="1"/>
  <c r="J93" i="18"/>
  <c r="C93" i="6" s="1"/>
  <c r="I93" i="18"/>
  <c r="B93" i="6" s="1"/>
  <c r="I195" i="18"/>
  <c r="B195" i="6" s="1"/>
  <c r="J195" i="18"/>
  <c r="C195" i="6" s="1"/>
  <c r="W150" i="22"/>
  <c r="D150" i="22"/>
  <c r="E150" i="22" s="1"/>
  <c r="F150" i="22" s="1"/>
  <c r="G150" i="20"/>
  <c r="CB150" i="6" s="1"/>
  <c r="AA150" i="20"/>
  <c r="Z150" i="20" s="1"/>
  <c r="Y150" i="20" s="1"/>
  <c r="W177" i="23"/>
  <c r="D177" i="23"/>
  <c r="E177" i="23" s="1"/>
  <c r="F177" i="23" s="1"/>
  <c r="AA135" i="20"/>
  <c r="Z135" i="20" s="1"/>
  <c r="Y135" i="20" s="1"/>
  <c r="G135" i="20"/>
  <c r="CB135" i="6" s="1"/>
  <c r="G210" i="20"/>
  <c r="CB210" i="6" s="1"/>
  <c r="AA210" i="20"/>
  <c r="Z210" i="20" s="1"/>
  <c r="Y210" i="20" s="1"/>
  <c r="G161" i="20"/>
  <c r="CB161" i="6" s="1"/>
  <c r="AA161" i="20"/>
  <c r="Z161" i="20" s="1"/>
  <c r="Y161" i="20" s="1"/>
  <c r="W77" i="22"/>
  <c r="D77" i="22"/>
  <c r="E77" i="22" s="1"/>
  <c r="F77" i="22" s="1"/>
  <c r="G155" i="22"/>
  <c r="CC155" i="6" s="1"/>
  <c r="AA155" i="22"/>
  <c r="Z155" i="22" s="1"/>
  <c r="Y155" i="22" s="1"/>
  <c r="G247" i="22"/>
  <c r="CC247" i="6" s="1"/>
  <c r="AA247" i="22"/>
  <c r="Z247" i="22" s="1"/>
  <c r="Y247" i="22" s="1"/>
  <c r="W263" i="22"/>
  <c r="D263" i="22"/>
  <c r="E263" i="22" s="1"/>
  <c r="F263" i="22" s="1"/>
  <c r="AA281" i="22"/>
  <c r="Z281" i="22" s="1"/>
  <c r="Y281" i="22" s="1"/>
  <c r="G281" i="22"/>
  <c r="CC281" i="6" s="1"/>
  <c r="G23" i="22"/>
  <c r="CC23" i="6" s="1"/>
  <c r="AA23" i="22"/>
  <c r="Z23" i="22" s="1"/>
  <c r="Y23" i="22" s="1"/>
  <c r="W60" i="22"/>
  <c r="D60" i="22"/>
  <c r="E60" i="22" s="1"/>
  <c r="F60" i="22" s="1"/>
  <c r="G149" i="22"/>
  <c r="CC149" i="6" s="1"/>
  <c r="AA149" i="22"/>
  <c r="Z149" i="22" s="1"/>
  <c r="Y149" i="22" s="1"/>
  <c r="W365" i="22"/>
  <c r="D365" i="22"/>
  <c r="E365" i="22" s="1"/>
  <c r="F365" i="22" s="1"/>
  <c r="W298" i="23"/>
  <c r="D298" i="23"/>
  <c r="E298" i="23" s="1"/>
  <c r="F298" i="23" s="1"/>
  <c r="W46" i="22"/>
  <c r="D46" i="22"/>
  <c r="E46" i="22" s="1"/>
  <c r="F46" i="22" s="1"/>
  <c r="W319" i="23"/>
  <c r="D319" i="23"/>
  <c r="E319" i="23" s="1"/>
  <c r="F319" i="23" s="1"/>
  <c r="D261" i="22"/>
  <c r="E261" i="22" s="1"/>
  <c r="F261" i="22" s="1"/>
  <c r="W261" i="22"/>
  <c r="W171" i="22"/>
  <c r="D171" i="22"/>
  <c r="E171" i="22" s="1"/>
  <c r="F171" i="22" s="1"/>
  <c r="G194" i="20"/>
  <c r="CB194" i="6" s="1"/>
  <c r="AA194" i="20"/>
  <c r="Z194" i="20" s="1"/>
  <c r="Y194" i="20" s="1"/>
  <c r="G302" i="22"/>
  <c r="CC302" i="6" s="1"/>
  <c r="AA302" i="22"/>
  <c r="Z302" i="22" s="1"/>
  <c r="Y302" i="22" s="1"/>
  <c r="J253" i="18"/>
  <c r="C253" i="6" s="1"/>
  <c r="I253" i="18"/>
  <c r="G175" i="22"/>
  <c r="CC175" i="6" s="1"/>
  <c r="AA175" i="22"/>
  <c r="Z175" i="22" s="1"/>
  <c r="Y175" i="22" s="1"/>
  <c r="W101" i="23"/>
  <c r="D101" i="23"/>
  <c r="E101" i="23" s="1"/>
  <c r="F101" i="23" s="1"/>
  <c r="G101" i="22"/>
  <c r="CC101" i="6" s="1"/>
  <c r="AA101" i="22"/>
  <c r="Z101" i="22" s="1"/>
  <c r="Y101" i="22" s="1"/>
  <c r="G127" i="20"/>
  <c r="CB127" i="6" s="1"/>
  <c r="AA127" i="20"/>
  <c r="Z127" i="20" s="1"/>
  <c r="Y127" i="20" s="1"/>
  <c r="G173" i="20"/>
  <c r="CB173" i="6" s="1"/>
  <c r="AA173" i="20"/>
  <c r="Z173" i="20" s="1"/>
  <c r="Y173" i="20" s="1"/>
  <c r="G219" i="20"/>
  <c r="CB219" i="6" s="1"/>
  <c r="AA219" i="20"/>
  <c r="Z219" i="20" s="1"/>
  <c r="Y219" i="20" s="1"/>
  <c r="W271" i="23"/>
  <c r="D271" i="23"/>
  <c r="E271" i="23" s="1"/>
  <c r="F271" i="23" s="1"/>
  <c r="G271" i="22"/>
  <c r="CC271" i="6" s="1"/>
  <c r="AA271" i="22"/>
  <c r="Z271" i="22" s="1"/>
  <c r="Y271" i="22" s="1"/>
  <c r="G92" i="22"/>
  <c r="CC92" i="6" s="1"/>
  <c r="AA92" i="22"/>
  <c r="Z92" i="22" s="1"/>
  <c r="Y92" i="22" s="1"/>
  <c r="G118" i="22"/>
  <c r="CC118" i="6" s="1"/>
  <c r="AA118" i="22"/>
  <c r="Z118" i="22" s="1"/>
  <c r="Y118" i="22" s="1"/>
  <c r="W128" i="22"/>
  <c r="D128" i="22"/>
  <c r="E128" i="22" s="1"/>
  <c r="F128" i="22" s="1"/>
  <c r="D176" i="22"/>
  <c r="E176" i="22" s="1"/>
  <c r="F176" i="22" s="1"/>
  <c r="W176" i="22"/>
  <c r="AA230" i="22"/>
  <c r="Z230" i="22" s="1"/>
  <c r="Y230" i="22" s="1"/>
  <c r="G230" i="22"/>
  <c r="CC230" i="6" s="1"/>
  <c r="G282" i="20"/>
  <c r="CB282" i="6" s="1"/>
  <c r="AA282" i="20"/>
  <c r="Z282" i="20" s="1"/>
  <c r="Y282" i="20" s="1"/>
  <c r="W308" i="23"/>
  <c r="D308" i="23"/>
  <c r="E308" i="23" s="1"/>
  <c r="F308" i="23" s="1"/>
  <c r="G308" i="22"/>
  <c r="CC308" i="6" s="1"/>
  <c r="AA308" i="22"/>
  <c r="Z308" i="22" s="1"/>
  <c r="Y308" i="22" s="1"/>
  <c r="D21" i="22"/>
  <c r="E21" i="22" s="1"/>
  <c r="F21" i="22" s="1"/>
  <c r="W21" i="22"/>
  <c r="G45" i="20"/>
  <c r="CB45" i="6" s="1"/>
  <c r="AA45" i="20"/>
  <c r="Z45" i="20" s="1"/>
  <c r="Y45" i="20" s="1"/>
  <c r="D47" i="23"/>
  <c r="E47" i="23" s="1"/>
  <c r="F47" i="23" s="1"/>
  <c r="W47" i="23"/>
  <c r="G123" i="20"/>
  <c r="CB123" i="6" s="1"/>
  <c r="AA123" i="20"/>
  <c r="Z123" i="20" s="1"/>
  <c r="Y123" i="20" s="1"/>
  <c r="D195" i="23"/>
  <c r="E195" i="23" s="1"/>
  <c r="F195" i="23" s="1"/>
  <c r="W195" i="23"/>
  <c r="W221" i="23"/>
  <c r="D221" i="23"/>
  <c r="E221" i="23" s="1"/>
  <c r="F221" i="23" s="1"/>
  <c r="G221" i="22"/>
  <c r="CC221" i="6" s="1"/>
  <c r="AA221" i="22"/>
  <c r="Z221" i="22" s="1"/>
  <c r="Y221" i="22" s="1"/>
  <c r="G233" i="20"/>
  <c r="CB233" i="6" s="1"/>
  <c r="AA233" i="20"/>
  <c r="Z233" i="20" s="1"/>
  <c r="Y233" i="20" s="1"/>
  <c r="W275" i="22"/>
  <c r="D275" i="22"/>
  <c r="E275" i="22" s="1"/>
  <c r="F275" i="22" s="1"/>
  <c r="G275" i="20"/>
  <c r="CB275" i="6" s="1"/>
  <c r="AA275" i="20"/>
  <c r="Z275" i="20" s="1"/>
  <c r="Y275" i="20" s="1"/>
  <c r="W303" i="22"/>
  <c r="D303" i="22"/>
  <c r="E303" i="22" s="1"/>
  <c r="F303" i="22" s="1"/>
  <c r="G303" i="20"/>
  <c r="CB303" i="6" s="1"/>
  <c r="AA303" i="20"/>
  <c r="Z303" i="20" s="1"/>
  <c r="Y303" i="20" s="1"/>
  <c r="W86" i="22"/>
  <c r="D86" i="22"/>
  <c r="E86" i="22" s="1"/>
  <c r="F86" i="22" s="1"/>
  <c r="G86" i="20"/>
  <c r="CB86" i="6" s="1"/>
  <c r="AA86" i="20"/>
  <c r="Z86" i="20" s="1"/>
  <c r="Y86" i="20" s="1"/>
  <c r="W112" i="22"/>
  <c r="D112" i="22"/>
  <c r="E112" i="22" s="1"/>
  <c r="F112" i="22" s="1"/>
  <c r="G120" i="22"/>
  <c r="CC120" i="6" s="1"/>
  <c r="AA120" i="22"/>
  <c r="Z120" i="22" s="1"/>
  <c r="Y120" i="22" s="1"/>
  <c r="W144" i="22"/>
  <c r="D144" i="22"/>
  <c r="E144" i="22" s="1"/>
  <c r="F144" i="22" s="1"/>
  <c r="D188" i="22"/>
  <c r="E188" i="22" s="1"/>
  <c r="F188" i="22" s="1"/>
  <c r="W188" i="22"/>
  <c r="D218" i="22"/>
  <c r="E218" i="22" s="1"/>
  <c r="F218" i="22" s="1"/>
  <c r="W218" i="22"/>
  <c r="J296" i="18"/>
  <c r="C296" i="6" s="1"/>
  <c r="I296" i="18"/>
  <c r="G296" i="20"/>
  <c r="CB296" i="6" s="1"/>
  <c r="AA296" i="20"/>
  <c r="Z296" i="20" s="1"/>
  <c r="Y296" i="20" s="1"/>
  <c r="W169" i="22"/>
  <c r="D169" i="22"/>
  <c r="E169" i="22" s="1"/>
  <c r="F169" i="22" s="1"/>
  <c r="G193" i="22"/>
  <c r="CC193" i="6" s="1"/>
  <c r="AA193" i="22"/>
  <c r="Z193" i="22" s="1"/>
  <c r="Y193" i="22" s="1"/>
  <c r="W203" i="22"/>
  <c r="D203" i="22"/>
  <c r="E203" i="22" s="1"/>
  <c r="F203" i="22" s="1"/>
  <c r="W245" i="22"/>
  <c r="D245" i="22"/>
  <c r="E245" i="22" s="1"/>
  <c r="F245" i="22" s="1"/>
  <c r="G277" i="20"/>
  <c r="CB277" i="6" s="1"/>
  <c r="AA277" i="20"/>
  <c r="Z277" i="20" s="1"/>
  <c r="Y277" i="20" s="1"/>
  <c r="W313" i="23"/>
  <c r="D313" i="23"/>
  <c r="E313" i="23" s="1"/>
  <c r="F313" i="23" s="1"/>
  <c r="AA375" i="22"/>
  <c r="Z375" i="22" s="1"/>
  <c r="Y375" i="22" s="1"/>
  <c r="G375" i="22"/>
  <c r="CC375" i="6" s="1"/>
  <c r="W288" i="22"/>
  <c r="D288" i="22"/>
  <c r="E288" i="22" s="1"/>
  <c r="F288" i="22" s="1"/>
  <c r="AA288" i="20"/>
  <c r="Z288" i="20" s="1"/>
  <c r="Y288" i="20" s="1"/>
  <c r="G288" i="20"/>
  <c r="CB288" i="6" s="1"/>
  <c r="D138" i="23"/>
  <c r="E138" i="23" s="1"/>
  <c r="F138" i="23" s="1"/>
  <c r="W138" i="23"/>
  <c r="D202" i="23"/>
  <c r="E202" i="23" s="1"/>
  <c r="F202" i="23" s="1"/>
  <c r="W202" i="23"/>
  <c r="G292" i="20"/>
  <c r="CB292" i="6" s="1"/>
  <c r="AA292" i="20"/>
  <c r="Z292" i="20" s="1"/>
  <c r="Y292" i="20" s="1"/>
  <c r="W370" i="23"/>
  <c r="D370" i="23"/>
  <c r="E370" i="23" s="1"/>
  <c r="F370" i="23" s="1"/>
  <c r="G26" i="22"/>
  <c r="CC26" i="6" s="1"/>
  <c r="AA26" i="22"/>
  <c r="Z26" i="22" s="1"/>
  <c r="Y26" i="22" s="1"/>
  <c r="D25" i="22"/>
  <c r="E25" i="22" s="1"/>
  <c r="F25" i="22" s="1"/>
  <c r="W25" i="22"/>
  <c r="W121" i="22"/>
  <c r="D121" i="22"/>
  <c r="E121" i="22" s="1"/>
  <c r="F121" i="22" s="1"/>
  <c r="W199" i="23"/>
  <c r="D199" i="23"/>
  <c r="E199" i="23" s="1"/>
  <c r="F199" i="23" s="1"/>
  <c r="G225" i="20"/>
  <c r="CB225" i="6" s="1"/>
  <c r="AA225" i="20"/>
  <c r="Z225" i="20" s="1"/>
  <c r="Y225" i="20" s="1"/>
  <c r="W355" i="22"/>
  <c r="D355" i="22"/>
  <c r="E355" i="22" s="1"/>
  <c r="F355" i="22" s="1"/>
  <c r="G54" i="22"/>
  <c r="CC54" i="6" s="1"/>
  <c r="AA54" i="22"/>
  <c r="Z54" i="22" s="1"/>
  <c r="Y54" i="22" s="1"/>
  <c r="W102" i="22"/>
  <c r="D102" i="22"/>
  <c r="E102" i="22" s="1"/>
  <c r="F102" i="22" s="1"/>
  <c r="AA158" i="22"/>
  <c r="Z158" i="22" s="1"/>
  <c r="Y158" i="22" s="1"/>
  <c r="G158" i="22"/>
  <c r="CC158" i="6" s="1"/>
  <c r="W186" i="22"/>
  <c r="D186" i="22"/>
  <c r="E186" i="22" s="1"/>
  <c r="F186" i="22" s="1"/>
  <c r="D242" i="23"/>
  <c r="E242" i="23" s="1"/>
  <c r="F242" i="23" s="1"/>
  <c r="W242" i="23"/>
  <c r="G290" i="20"/>
  <c r="CB290" i="6" s="1"/>
  <c r="AA290" i="20"/>
  <c r="Z290" i="20" s="1"/>
  <c r="Y290" i="20" s="1"/>
  <c r="G362" i="20"/>
  <c r="CB362" i="6" s="1"/>
  <c r="AA362" i="20"/>
  <c r="Z362" i="20" s="1"/>
  <c r="Y362" i="20" s="1"/>
  <c r="D137" i="22"/>
  <c r="E137" i="22" s="1"/>
  <c r="F137" i="22" s="1"/>
  <c r="W137" i="22"/>
  <c r="G137" i="20"/>
  <c r="CB137" i="6" s="1"/>
  <c r="AA137" i="20"/>
  <c r="Z137" i="20" s="1"/>
  <c r="Y137" i="20" s="1"/>
  <c r="W378" i="22"/>
  <c r="D378" i="22"/>
  <c r="E378" i="22" s="1"/>
  <c r="F378" i="22" s="1"/>
  <c r="W310" i="22"/>
  <c r="D310" i="22"/>
  <c r="E310" i="22" s="1"/>
  <c r="F310" i="22" s="1"/>
  <c r="W311" i="22"/>
  <c r="D311" i="22"/>
  <c r="E311" i="22" s="1"/>
  <c r="F311" i="22" s="1"/>
  <c r="G374" i="20"/>
  <c r="CB374" i="6" s="1"/>
  <c r="AA374" i="20"/>
  <c r="Z374" i="20" s="1"/>
  <c r="Y374" i="20" s="1"/>
  <c r="W52" i="23"/>
  <c r="D52" i="23"/>
  <c r="E52" i="23" s="1"/>
  <c r="F52" i="23" s="1"/>
  <c r="D103" i="23"/>
  <c r="E103" i="23" s="1"/>
  <c r="F103" i="23" s="1"/>
  <c r="W103" i="23"/>
  <c r="W235" i="23"/>
  <c r="D235" i="23"/>
  <c r="E235" i="23" s="1"/>
  <c r="F235" i="23" s="1"/>
  <c r="G309" i="20"/>
  <c r="CB309" i="6" s="1"/>
  <c r="AA309" i="20"/>
  <c r="Z309" i="20" s="1"/>
  <c r="Y309" i="20" s="1"/>
  <c r="G232" i="20"/>
  <c r="CB232" i="6" s="1"/>
  <c r="AA232" i="20"/>
  <c r="Z232" i="20" s="1"/>
  <c r="Y232" i="20" s="1"/>
  <c r="D119" i="22"/>
  <c r="E119" i="22" s="1"/>
  <c r="F119" i="22" s="1"/>
  <c r="W119" i="22"/>
  <c r="W196" i="22"/>
  <c r="D196" i="22"/>
  <c r="E196" i="22" s="1"/>
  <c r="F196" i="22" s="1"/>
  <c r="G105" i="22"/>
  <c r="CC105" i="6" s="1"/>
  <c r="AA105" i="22"/>
  <c r="Z105" i="22" s="1"/>
  <c r="Y105" i="22" s="1"/>
  <c r="W67" i="22"/>
  <c r="D67" i="22"/>
  <c r="E67" i="22" s="1"/>
  <c r="F67" i="22" s="1"/>
  <c r="G166" i="22"/>
  <c r="CC166" i="6" s="1"/>
  <c r="AA166" i="22"/>
  <c r="Z166" i="22" s="1"/>
  <c r="Y166" i="22" s="1"/>
  <c r="D22" i="22"/>
  <c r="E22" i="22" s="1"/>
  <c r="F22" i="22" s="1"/>
  <c r="W22" i="22"/>
  <c r="G22" i="20"/>
  <c r="CB22" i="6" s="1"/>
  <c r="AA22" i="20"/>
  <c r="Z22" i="20" s="1"/>
  <c r="Y22" i="20" s="1"/>
  <c r="W272" i="22"/>
  <c r="D272" i="22"/>
  <c r="E272" i="22" s="1"/>
  <c r="F272" i="22" s="1"/>
  <c r="G368" i="22"/>
  <c r="CC368" i="6" s="1"/>
  <c r="AA368" i="22"/>
  <c r="Z368" i="22" s="1"/>
  <c r="Y368" i="22" s="1"/>
  <c r="G189" i="22"/>
  <c r="CC189" i="6" s="1"/>
  <c r="AA189" i="22"/>
  <c r="Z189" i="22" s="1"/>
  <c r="Y189" i="22" s="1"/>
  <c r="D241" i="23"/>
  <c r="E241" i="23" s="1"/>
  <c r="F241" i="23" s="1"/>
  <c r="W241" i="23"/>
  <c r="W88" i="22"/>
  <c r="D88" i="22"/>
  <c r="E88" i="22" s="1"/>
  <c r="F88" i="22" s="1"/>
  <c r="AA249" i="20"/>
  <c r="Z249" i="20" s="1"/>
  <c r="Y249" i="20" s="1"/>
  <c r="G249" i="20"/>
  <c r="CB249" i="6" s="1"/>
  <c r="W317" i="22"/>
  <c r="D317" i="22"/>
  <c r="E317" i="22" s="1"/>
  <c r="F317" i="22" s="1"/>
  <c r="G42" i="20"/>
  <c r="CB42" i="6" s="1"/>
  <c r="AA42" i="20"/>
  <c r="Z42" i="20" s="1"/>
  <c r="Y42" i="20" s="1"/>
  <c r="W220" i="22"/>
  <c r="D220" i="22"/>
  <c r="E220" i="22" s="1"/>
  <c r="F220" i="22" s="1"/>
  <c r="G254" i="20"/>
  <c r="CB254" i="6" s="1"/>
  <c r="AA254" i="20"/>
  <c r="Z254" i="20" s="1"/>
  <c r="Y254" i="20" s="1"/>
  <c r="W260" i="23"/>
  <c r="D260" i="23"/>
  <c r="E260" i="23" s="1"/>
  <c r="F260" i="23" s="1"/>
  <c r="AA276" i="22"/>
  <c r="Z276" i="22" s="1"/>
  <c r="Y276" i="22" s="1"/>
  <c r="G276" i="22"/>
  <c r="CC276" i="6" s="1"/>
  <c r="W320" i="23"/>
  <c r="D320" i="23"/>
  <c r="E320" i="23" s="1"/>
  <c r="F320" i="23" s="1"/>
  <c r="G49" i="20"/>
  <c r="CB49" i="6" s="1"/>
  <c r="AA49" i="20"/>
  <c r="Z49" i="20" s="1"/>
  <c r="Y49" i="20" s="1"/>
  <c r="W87" i="22"/>
  <c r="D87" i="22"/>
  <c r="E87" i="22" s="1"/>
  <c r="F87" i="22" s="1"/>
  <c r="G147" i="22"/>
  <c r="CC147" i="6" s="1"/>
  <c r="AA147" i="22"/>
  <c r="Z147" i="22" s="1"/>
  <c r="Y147" i="22" s="1"/>
  <c r="G209" i="22"/>
  <c r="CC209" i="6" s="1"/>
  <c r="AA209" i="22"/>
  <c r="Z209" i="22" s="1"/>
  <c r="Y209" i="22" s="1"/>
  <c r="AA291" i="20"/>
  <c r="Z291" i="20" s="1"/>
  <c r="Y291" i="20" s="1"/>
  <c r="G291" i="20"/>
  <c r="CB291" i="6" s="1"/>
  <c r="G339" i="20"/>
  <c r="CB339" i="6" s="1"/>
  <c r="AA339" i="20"/>
  <c r="Z339" i="20" s="1"/>
  <c r="Y339" i="20" s="1"/>
  <c r="W371" i="22"/>
  <c r="D371" i="22"/>
  <c r="E371" i="22" s="1"/>
  <c r="F371" i="22" s="1"/>
  <c r="W80" i="23"/>
  <c r="D80" i="23"/>
  <c r="E80" i="23" s="1"/>
  <c r="F80" i="23" s="1"/>
  <c r="G108" i="22"/>
  <c r="CC108" i="6" s="1"/>
  <c r="AA108" i="22"/>
  <c r="Z108" i="22" s="1"/>
  <c r="Y108" i="22" s="1"/>
  <c r="G142" i="22"/>
  <c r="CC142" i="6" s="1"/>
  <c r="AA142" i="22"/>
  <c r="Z142" i="22" s="1"/>
  <c r="Y142" i="22" s="1"/>
  <c r="G59" i="22"/>
  <c r="CC59" i="6" s="1"/>
  <c r="AA59" i="22"/>
  <c r="Z59" i="22" s="1"/>
  <c r="Y59" i="22" s="1"/>
  <c r="G141" i="22"/>
  <c r="CC141" i="6" s="1"/>
  <c r="AA141" i="22"/>
  <c r="Z141" i="22" s="1"/>
  <c r="Y141" i="22" s="1"/>
  <c r="AA179" i="22"/>
  <c r="Z179" i="22" s="1"/>
  <c r="Y179" i="22" s="1"/>
  <c r="G179" i="22"/>
  <c r="CC179" i="6" s="1"/>
  <c r="W191" i="22"/>
  <c r="D191" i="22"/>
  <c r="E191" i="22" s="1"/>
  <c r="F191" i="22" s="1"/>
  <c r="AA211" i="22"/>
  <c r="Z211" i="22" s="1"/>
  <c r="Y211" i="22" s="1"/>
  <c r="G211" i="22"/>
  <c r="CC211" i="6" s="1"/>
  <c r="W257" i="23"/>
  <c r="D257" i="23"/>
  <c r="E257" i="23" s="1"/>
  <c r="F257" i="23" s="1"/>
  <c r="G267" i="20"/>
  <c r="CB267" i="6" s="1"/>
  <c r="AA267" i="20"/>
  <c r="Z267" i="20" s="1"/>
  <c r="Y267" i="20" s="1"/>
  <c r="G20" i="20"/>
  <c r="CB20" i="6" s="1"/>
  <c r="AA20" i="20"/>
  <c r="Z20" i="20" s="1"/>
  <c r="Y20" i="20" s="1"/>
  <c r="G172" i="22"/>
  <c r="CC172" i="6" s="1"/>
  <c r="AA172" i="22"/>
  <c r="Z172" i="22" s="1"/>
  <c r="Y172" i="22" s="1"/>
  <c r="W234" i="22"/>
  <c r="D234" i="22"/>
  <c r="E234" i="22" s="1"/>
  <c r="F234" i="22" s="1"/>
  <c r="G280" i="22"/>
  <c r="CC280" i="6" s="1"/>
  <c r="AA280" i="22"/>
  <c r="Z280" i="22" s="1"/>
  <c r="Y280" i="22" s="1"/>
  <c r="G57" i="22"/>
  <c r="CC57" i="6" s="1"/>
  <c r="AA57" i="22"/>
  <c r="Z57" i="22" s="1"/>
  <c r="Y57" i="22" s="1"/>
  <c r="W115" i="22"/>
  <c r="D115" i="22"/>
  <c r="E115" i="22" s="1"/>
  <c r="F115" i="22" s="1"/>
  <c r="W133" i="22"/>
  <c r="D133" i="22"/>
  <c r="E133" i="22" s="1"/>
  <c r="F133" i="22" s="1"/>
  <c r="G213" i="20"/>
  <c r="CB213" i="6" s="1"/>
  <c r="AA213" i="20"/>
  <c r="Z213" i="20" s="1"/>
  <c r="Y213" i="20" s="1"/>
  <c r="W345" i="22"/>
  <c r="D345" i="22"/>
  <c r="E345" i="22" s="1"/>
  <c r="F345" i="22" s="1"/>
  <c r="D24" i="22"/>
  <c r="E24" i="22" s="1"/>
  <c r="F24" i="22" s="1"/>
  <c r="W24" i="22"/>
  <c r="W44" i="22"/>
  <c r="D44" i="22"/>
  <c r="E44" i="22" s="1"/>
  <c r="F44" i="22" s="1"/>
  <c r="G68" i="22"/>
  <c r="CC68" i="6" s="1"/>
  <c r="AA68" i="22"/>
  <c r="Z68" i="22" s="1"/>
  <c r="Y68" i="22" s="1"/>
  <c r="AA134" i="22"/>
  <c r="Z134" i="22" s="1"/>
  <c r="Y134" i="22" s="1"/>
  <c r="G134" i="22"/>
  <c r="CC134" i="6" s="1"/>
  <c r="W156" i="22"/>
  <c r="D156" i="22"/>
  <c r="E156" i="22" s="1"/>
  <c r="F156" i="22" s="1"/>
  <c r="W206" i="22"/>
  <c r="D206" i="22"/>
  <c r="E206" i="22" s="1"/>
  <c r="F206" i="22" s="1"/>
  <c r="W356" i="22"/>
  <c r="D356" i="22"/>
  <c r="E356" i="22" s="1"/>
  <c r="F356" i="22" s="1"/>
  <c r="W299" i="23"/>
  <c r="D299" i="23"/>
  <c r="E299" i="23" s="1"/>
  <c r="F299" i="23" s="1"/>
  <c r="W236" i="22"/>
  <c r="D236" i="22"/>
  <c r="E236" i="22" s="1"/>
  <c r="F236" i="22" s="1"/>
  <c r="G306" i="22"/>
  <c r="CC306" i="6" s="1"/>
  <c r="AA306" i="22"/>
  <c r="Z306" i="22" s="1"/>
  <c r="Y306" i="22" s="1"/>
  <c r="G353" i="22"/>
  <c r="CC353" i="6" s="1"/>
  <c r="AA353" i="22"/>
  <c r="Z353" i="22" s="1"/>
  <c r="Y353" i="22" s="1"/>
  <c r="G229" i="22"/>
  <c r="CC229" i="6" s="1"/>
  <c r="AA229" i="22"/>
  <c r="Z229" i="22" s="1"/>
  <c r="Y229" i="22" s="1"/>
  <c r="G32" i="22"/>
  <c r="CC32" i="6" s="1"/>
  <c r="AA32" i="22"/>
  <c r="Z32" i="22" s="1"/>
  <c r="Y32" i="22" s="1"/>
  <c r="W73" i="22"/>
  <c r="D73" i="22"/>
  <c r="E73" i="22" s="1"/>
  <c r="F73" i="22" s="1"/>
  <c r="AA100" i="22"/>
  <c r="Z100" i="22" s="1"/>
  <c r="Y100" i="22" s="1"/>
  <c r="G100" i="22"/>
  <c r="CC100" i="6" s="1"/>
  <c r="W76" i="22"/>
  <c r="D76" i="22"/>
  <c r="E76" i="22" s="1"/>
  <c r="F76" i="22" s="1"/>
  <c r="J43" i="18"/>
  <c r="C43" i="6" s="1"/>
  <c r="I43" i="18"/>
  <c r="B43" i="6" s="1"/>
  <c r="J97" i="18"/>
  <c r="C97" i="6" s="1"/>
  <c r="I97" i="18"/>
  <c r="B97" i="6" s="1"/>
  <c r="J238" i="18"/>
  <c r="C238" i="6" s="1"/>
  <c r="I238" i="18"/>
  <c r="B238" i="6" s="1"/>
  <c r="I316" i="18"/>
  <c r="B316" i="6" s="1"/>
  <c r="J316" i="18"/>
  <c r="C316" i="6" s="1"/>
  <c r="G379" i="22"/>
  <c r="CC379" i="6" s="1"/>
  <c r="AA379" i="22"/>
  <c r="Z379" i="22" s="1"/>
  <c r="Y379" i="22" s="1"/>
  <c r="G29" i="20"/>
  <c r="CB29" i="6" s="1"/>
  <c r="AA29" i="20"/>
  <c r="Z29" i="20" s="1"/>
  <c r="Y29" i="20" s="1"/>
  <c r="W226" i="22"/>
  <c r="D226" i="22"/>
  <c r="E226" i="22" s="1"/>
  <c r="F226" i="22" s="1"/>
  <c r="AA354" i="22"/>
  <c r="Z354" i="22" s="1"/>
  <c r="Y354" i="22" s="1"/>
  <c r="G354" i="22"/>
  <c r="CC354" i="6" s="1"/>
  <c r="W283" i="22"/>
  <c r="D283" i="22"/>
  <c r="E283" i="22" s="1"/>
  <c r="F283" i="22" s="1"/>
  <c r="G114" i="20"/>
  <c r="CB114" i="6" s="1"/>
  <c r="AA114" i="20"/>
  <c r="Z114" i="20" s="1"/>
  <c r="Y114" i="20" s="1"/>
  <c r="G116" i="22"/>
  <c r="CC116" i="6" s="1"/>
  <c r="AA116" i="22"/>
  <c r="Z116" i="22" s="1"/>
  <c r="Y116" i="22" s="1"/>
  <c r="D99" i="22"/>
  <c r="E99" i="22" s="1"/>
  <c r="F99" i="22" s="1"/>
  <c r="W99" i="22"/>
  <c r="G99" i="20"/>
  <c r="CB99" i="6" s="1"/>
  <c r="AA99" i="20"/>
  <c r="Z99" i="20" s="1"/>
  <c r="Y99" i="20" s="1"/>
  <c r="G84" i="20"/>
  <c r="CB84" i="6" s="1"/>
  <c r="AA84" i="20"/>
  <c r="Z84" i="20" s="1"/>
  <c r="Y84" i="20" s="1"/>
  <c r="W106" i="23"/>
  <c r="D106" i="23"/>
  <c r="E106" i="23" s="1"/>
  <c r="F106" i="23" s="1"/>
  <c r="W178" i="23"/>
  <c r="D178" i="23"/>
  <c r="E178" i="23" s="1"/>
  <c r="F178" i="23" s="1"/>
  <c r="G274" i="20"/>
  <c r="CB274" i="6" s="1"/>
  <c r="AA274" i="20"/>
  <c r="Z274" i="20" s="1"/>
  <c r="Y274" i="20" s="1"/>
  <c r="W318" i="22"/>
  <c r="D318" i="22"/>
  <c r="E318" i="22" s="1"/>
  <c r="F318" i="22" s="1"/>
  <c r="G352" i="20"/>
  <c r="CB352" i="6" s="1"/>
  <c r="AA352" i="20"/>
  <c r="Z352" i="20" s="1"/>
  <c r="Y352" i="20" s="1"/>
  <c r="G33" i="22"/>
  <c r="CC33" i="6" s="1"/>
  <c r="AA33" i="22"/>
  <c r="Z33" i="22" s="1"/>
  <c r="Y33" i="22" s="1"/>
  <c r="W69" i="23"/>
  <c r="D69" i="23"/>
  <c r="E69" i="23" s="1"/>
  <c r="F69" i="23" s="1"/>
  <c r="G69" i="22"/>
  <c r="CC69" i="6" s="1"/>
  <c r="AA69" i="22"/>
  <c r="Z69" i="22" s="1"/>
  <c r="Y69" i="22" s="1"/>
  <c r="G333" i="20"/>
  <c r="CB333" i="6" s="1"/>
  <c r="AA333" i="20"/>
  <c r="Z333" i="20" s="1"/>
  <c r="Y333" i="20" s="1"/>
  <c r="G187" i="20"/>
  <c r="CB187" i="6" s="1"/>
  <c r="AA187" i="20"/>
  <c r="Z187" i="20" s="1"/>
  <c r="Y187" i="20" s="1"/>
  <c r="D74" i="22"/>
  <c r="E74" i="22" s="1"/>
  <c r="F74" i="22" s="1"/>
  <c r="W74" i="22"/>
  <c r="G75" i="20"/>
  <c r="CB75" i="6" s="1"/>
  <c r="AA75" i="20"/>
  <c r="Z75" i="20" s="1"/>
  <c r="Y75" i="20" s="1"/>
  <c r="W278" i="23"/>
  <c r="D278" i="23"/>
  <c r="E278" i="23" s="1"/>
  <c r="F278" i="23" s="1"/>
  <c r="AA66" i="22"/>
  <c r="Z66" i="22" s="1"/>
  <c r="Y66" i="22" s="1"/>
  <c r="G66" i="22"/>
  <c r="CC66" i="6" s="1"/>
  <c r="G376" i="20"/>
  <c r="CB376" i="6" s="1"/>
  <c r="AA376" i="20"/>
  <c r="Z376" i="20" s="1"/>
  <c r="Y376" i="20" s="1"/>
  <c r="G347" i="20"/>
  <c r="CB347" i="6" s="1"/>
  <c r="AA347" i="20"/>
  <c r="Z347" i="20" s="1"/>
  <c r="Y347" i="20" s="1"/>
  <c r="G369" i="20"/>
  <c r="CB369" i="6" s="1"/>
  <c r="AA369" i="20"/>
  <c r="Z369" i="20" s="1"/>
  <c r="Y369" i="20" s="1"/>
  <c r="G253" i="20"/>
  <c r="CB253" i="6" s="1"/>
  <c r="AA253" i="20"/>
  <c r="Z253" i="20" s="1"/>
  <c r="Y253" i="20" s="1"/>
  <c r="G130" i="22"/>
  <c r="CC130" i="6" s="1"/>
  <c r="AA130" i="22"/>
  <c r="Z130" i="22" s="1"/>
  <c r="Y130" i="22" s="1"/>
  <c r="W287" i="22"/>
  <c r="D287" i="22"/>
  <c r="E287" i="22" s="1"/>
  <c r="F287" i="22" s="1"/>
  <c r="G55" i="22"/>
  <c r="CC55" i="6" s="1"/>
  <c r="AA55" i="22"/>
  <c r="Z55" i="22" s="1"/>
  <c r="Y55" i="22" s="1"/>
  <c r="G83" i="22"/>
  <c r="CC83" i="6" s="1"/>
  <c r="AA83" i="22"/>
  <c r="Z83" i="22" s="1"/>
  <c r="Y83" i="22" s="1"/>
  <c r="G167" i="22"/>
  <c r="CC167" i="6" s="1"/>
  <c r="AA167" i="22"/>
  <c r="Z167" i="22" s="1"/>
  <c r="Y167" i="22" s="1"/>
  <c r="G255" i="22"/>
  <c r="CC255" i="6" s="1"/>
  <c r="AA255" i="22"/>
  <c r="Z255" i="22" s="1"/>
  <c r="Y255" i="22" s="1"/>
  <c r="W273" i="22"/>
  <c r="D273" i="22"/>
  <c r="E273" i="22" s="1"/>
  <c r="F273" i="22" s="1"/>
  <c r="W361" i="22"/>
  <c r="D361" i="22"/>
  <c r="E361" i="22" s="1"/>
  <c r="F361" i="22" s="1"/>
  <c r="W56" i="22"/>
  <c r="D56" i="22"/>
  <c r="E56" i="22" s="1"/>
  <c r="F56" i="22" s="1"/>
  <c r="G104" i="20"/>
  <c r="CB104" i="6" s="1"/>
  <c r="AA104" i="20"/>
  <c r="Z104" i="20" s="1"/>
  <c r="Y104" i="20" s="1"/>
  <c r="G246" i="20"/>
  <c r="CB246" i="6" s="1"/>
  <c r="AA246" i="20"/>
  <c r="Z246" i="20" s="1"/>
  <c r="Y246" i="20" s="1"/>
  <c r="W268" i="22"/>
  <c r="D268" i="22"/>
  <c r="E268" i="22" s="1"/>
  <c r="F268" i="22" s="1"/>
  <c r="W328" i="22"/>
  <c r="D328" i="22"/>
  <c r="E328" i="22" s="1"/>
  <c r="F328" i="22" s="1"/>
  <c r="AA336" i="22"/>
  <c r="Z336" i="22" s="1"/>
  <c r="Y336" i="22" s="1"/>
  <c r="G336" i="22"/>
  <c r="CC336" i="6" s="1"/>
  <c r="G258" i="22"/>
  <c r="CC258" i="6" s="1"/>
  <c r="AA258" i="22"/>
  <c r="Z258" i="22" s="1"/>
  <c r="Y258" i="22" s="1"/>
  <c r="D71" i="22"/>
  <c r="E71" i="22" s="1"/>
  <c r="F71" i="22" s="1"/>
  <c r="W71" i="22"/>
  <c r="G71" i="20"/>
  <c r="CB71" i="6" s="1"/>
  <c r="AA71" i="20"/>
  <c r="Z71" i="20" s="1"/>
  <c r="Y71" i="20" s="1"/>
  <c r="W181" i="22"/>
  <c r="D181" i="22"/>
  <c r="E181" i="22" s="1"/>
  <c r="F181" i="22" s="1"/>
  <c r="W215" i="22"/>
  <c r="D215" i="22"/>
  <c r="E215" i="22" s="1"/>
  <c r="F215" i="22" s="1"/>
  <c r="D285" i="23"/>
  <c r="E285" i="23" s="1"/>
  <c r="F285" i="23" s="1"/>
  <c r="W285" i="23"/>
  <c r="G285" i="22"/>
  <c r="CC285" i="6" s="1"/>
  <c r="AA285" i="22"/>
  <c r="Z285" i="22" s="1"/>
  <c r="Y285" i="22" s="1"/>
  <c r="W146" i="23"/>
  <c r="D146" i="23"/>
  <c r="E146" i="23" s="1"/>
  <c r="F146" i="23" s="1"/>
  <c r="G300" i="22"/>
  <c r="CC300" i="6" s="1"/>
  <c r="AA300" i="22"/>
  <c r="Z300" i="22" s="1"/>
  <c r="Y300" i="22" s="1"/>
  <c r="W39" i="23"/>
  <c r="D39" i="23"/>
  <c r="E39" i="23" s="1"/>
  <c r="F39" i="23" s="1"/>
  <c r="G53" i="20"/>
  <c r="CB53" i="6" s="1"/>
  <c r="AA53" i="20"/>
  <c r="Z53" i="20" s="1"/>
  <c r="Y53" i="20" s="1"/>
  <c r="W107" i="23"/>
  <c r="D107" i="23"/>
  <c r="E107" i="23" s="1"/>
  <c r="F107" i="23" s="1"/>
  <c r="W151" i="23"/>
  <c r="D151" i="23"/>
  <c r="E151" i="23" s="1"/>
  <c r="F151" i="23" s="1"/>
  <c r="G269" i="22"/>
  <c r="CC269" i="6" s="1"/>
  <c r="AA269" i="22"/>
  <c r="Z269" i="22" s="1"/>
  <c r="Y269" i="22" s="1"/>
  <c r="W27" i="22"/>
  <c r="D27" i="22"/>
  <c r="E27" i="22" s="1"/>
  <c r="F27" i="22" s="1"/>
  <c r="W124" i="22"/>
  <c r="D124" i="22"/>
  <c r="E124" i="22" s="1"/>
  <c r="F124" i="22" s="1"/>
  <c r="W184" i="22"/>
  <c r="D184" i="22"/>
  <c r="E184" i="22" s="1"/>
  <c r="F184" i="22" s="1"/>
  <c r="W256" i="22"/>
  <c r="D256" i="22"/>
  <c r="E256" i="22" s="1"/>
  <c r="F256" i="22" s="1"/>
  <c r="G262" i="22"/>
  <c r="CC262" i="6" s="1"/>
  <c r="AA262" i="22"/>
  <c r="Z262" i="22" s="1"/>
  <c r="Y262" i="22" s="1"/>
  <c r="AA304" i="22"/>
  <c r="Z304" i="22" s="1"/>
  <c r="Y304" i="22" s="1"/>
  <c r="G304" i="22"/>
  <c r="CC304" i="6" s="1"/>
  <c r="W330" i="22"/>
  <c r="D330" i="22"/>
  <c r="E330" i="22" s="1"/>
  <c r="F330" i="22" s="1"/>
  <c r="W364" i="22"/>
  <c r="D364" i="22"/>
  <c r="E364" i="22" s="1"/>
  <c r="F364" i="22" s="1"/>
  <c r="W41" i="23"/>
  <c r="D41" i="23"/>
  <c r="E41" i="23" s="1"/>
  <c r="F41" i="23" s="1"/>
  <c r="AA41" i="22"/>
  <c r="Z41" i="22" s="1"/>
  <c r="Y41" i="22" s="1"/>
  <c r="G41" i="22"/>
  <c r="CC41" i="6" s="1"/>
  <c r="G51" i="20"/>
  <c r="CB51" i="6" s="1"/>
  <c r="AA51" i="20"/>
  <c r="Z51" i="20" s="1"/>
  <c r="Y51" i="20" s="1"/>
  <c r="W91" i="23"/>
  <c r="D91" i="23"/>
  <c r="E91" i="23" s="1"/>
  <c r="F91" i="23" s="1"/>
  <c r="G109" i="20"/>
  <c r="CB109" i="6" s="1"/>
  <c r="AA109" i="20"/>
  <c r="Z109" i="20" s="1"/>
  <c r="Y109" i="20" s="1"/>
  <c r="W117" i="23"/>
  <c r="D117" i="23"/>
  <c r="E117" i="23" s="1"/>
  <c r="F117" i="23" s="1"/>
  <c r="W165" i="22"/>
  <c r="D165" i="22"/>
  <c r="E165" i="22" s="1"/>
  <c r="F165" i="22" s="1"/>
  <c r="W279" i="22"/>
  <c r="D279" i="22"/>
  <c r="E279" i="22" s="1"/>
  <c r="F279" i="22" s="1"/>
  <c r="G36" i="20"/>
  <c r="CB36" i="6" s="1"/>
  <c r="AA36" i="20"/>
  <c r="Z36" i="20" s="1"/>
  <c r="Y36" i="20" s="1"/>
  <c r="D82" i="23"/>
  <c r="E82" i="23" s="1"/>
  <c r="F82" i="23" s="1"/>
  <c r="W82" i="23"/>
  <c r="G162" i="20"/>
  <c r="CB162" i="6" s="1"/>
  <c r="AA162" i="20"/>
  <c r="Z162" i="20" s="1"/>
  <c r="Y162" i="20" s="1"/>
  <c r="W198" i="22"/>
  <c r="D198" i="22"/>
  <c r="E198" i="22" s="1"/>
  <c r="F198" i="22" s="1"/>
  <c r="G198" i="20"/>
  <c r="CB198" i="6" s="1"/>
  <c r="AA198" i="20"/>
  <c r="Z198" i="20" s="1"/>
  <c r="Y198" i="20" s="1"/>
  <c r="W214" i="22"/>
  <c r="D214" i="22"/>
  <c r="E214" i="22" s="1"/>
  <c r="F214" i="22" s="1"/>
  <c r="G214" i="20"/>
  <c r="CB214" i="6" s="1"/>
  <c r="AA214" i="20"/>
  <c r="Z214" i="20" s="1"/>
  <c r="Y214" i="20" s="1"/>
  <c r="W264" i="22"/>
  <c r="D264" i="22"/>
  <c r="E264" i="22" s="1"/>
  <c r="F264" i="22" s="1"/>
  <c r="G286" i="22"/>
  <c r="CC286" i="6" s="1"/>
  <c r="AA286" i="22"/>
  <c r="Z286" i="22" s="1"/>
  <c r="Y286" i="22" s="1"/>
  <c r="G340" i="20"/>
  <c r="CB340" i="6" s="1"/>
  <c r="AA340" i="20"/>
  <c r="Z340" i="20" s="1"/>
  <c r="Y340" i="20" s="1"/>
  <c r="W222" i="23"/>
  <c r="D222" i="23"/>
  <c r="E222" i="23" s="1"/>
  <c r="F222" i="23" s="1"/>
  <c r="G90" i="20"/>
  <c r="CB90" i="6" s="1"/>
  <c r="AA90" i="20"/>
  <c r="Z90" i="20" s="1"/>
  <c r="Y90" i="20" s="1"/>
  <c r="W204" i="23"/>
  <c r="D204" i="23"/>
  <c r="E204" i="23" s="1"/>
  <c r="F204" i="23" s="1"/>
  <c r="W252" i="23"/>
  <c r="D252" i="23"/>
  <c r="E252" i="23" s="1"/>
  <c r="F252" i="23" s="1"/>
  <c r="D305" i="23"/>
  <c r="E305" i="23" s="1"/>
  <c r="F305" i="23" s="1"/>
  <c r="W305" i="23"/>
  <c r="W157" i="22"/>
  <c r="D157" i="22"/>
  <c r="E157" i="22" s="1"/>
  <c r="F157" i="22" s="1"/>
  <c r="W125" i="22"/>
  <c r="D125" i="22"/>
  <c r="E125" i="22" s="1"/>
  <c r="F125" i="22" s="1"/>
  <c r="G251" i="22"/>
  <c r="CC251" i="6" s="1"/>
  <c r="AA251" i="22"/>
  <c r="Z251" i="22" s="1"/>
  <c r="Y251" i="22" s="1"/>
  <c r="W295" i="22"/>
  <c r="D295" i="22"/>
  <c r="E295" i="22" s="1"/>
  <c r="F295" i="22" s="1"/>
  <c r="AA295" i="20"/>
  <c r="Z295" i="20" s="1"/>
  <c r="Y295" i="20" s="1"/>
  <c r="G295" i="20"/>
  <c r="CB295" i="6" s="1"/>
  <c r="G132" i="22"/>
  <c r="CC132" i="6" s="1"/>
  <c r="AA132" i="22"/>
  <c r="Z132" i="22" s="1"/>
  <c r="Y132" i="22" s="1"/>
  <c r="G16" i="22"/>
  <c r="CC16" i="6" s="1"/>
  <c r="AA16" i="22"/>
  <c r="Z16" i="22" s="1"/>
  <c r="Y16" i="22" s="1"/>
  <c r="W248" i="22"/>
  <c r="D248" i="22"/>
  <c r="E248" i="22" s="1"/>
  <c r="F248" i="22" s="1"/>
  <c r="G248" i="20"/>
  <c r="CB248" i="6" s="1"/>
  <c r="AA248" i="20"/>
  <c r="Z248" i="20" s="1"/>
  <c r="Y248" i="20" s="1"/>
  <c r="W346" i="22"/>
  <c r="D346" i="22"/>
  <c r="E346" i="22" s="1"/>
  <c r="F346" i="22" s="1"/>
  <c r="G154" i="22"/>
  <c r="CC154" i="6" s="1"/>
  <c r="AA154" i="22"/>
  <c r="Z154" i="22" s="1"/>
  <c r="Y154" i="22" s="1"/>
  <c r="D244" i="22"/>
  <c r="E244" i="22" s="1"/>
  <c r="F244" i="22" s="1"/>
  <c r="W244" i="22"/>
  <c r="W37" i="22"/>
  <c r="D37" i="22"/>
  <c r="E37" i="22" s="1"/>
  <c r="F37" i="22" s="1"/>
  <c r="AA63" i="22"/>
  <c r="Z63" i="22" s="1"/>
  <c r="Y63" i="22" s="1"/>
  <c r="G63" i="22"/>
  <c r="CC63" i="6" s="1"/>
  <c r="G185" i="20"/>
  <c r="CB185" i="6" s="1"/>
  <c r="AA185" i="20"/>
  <c r="Z185" i="20" s="1"/>
  <c r="Y185" i="20" s="1"/>
  <c r="G110" i="20"/>
  <c r="CB110" i="6" s="1"/>
  <c r="AA110" i="20"/>
  <c r="Z110" i="20" s="1"/>
  <c r="Y110" i="20" s="1"/>
  <c r="W140" i="22"/>
  <c r="D140" i="22"/>
  <c r="E140" i="22" s="1"/>
  <c r="F140" i="22" s="1"/>
  <c r="G140" i="20"/>
  <c r="CB140" i="6" s="1"/>
  <c r="AA140" i="20"/>
  <c r="Z140" i="20" s="1"/>
  <c r="Y140" i="20" s="1"/>
  <c r="W31" i="22"/>
  <c r="D31" i="22"/>
  <c r="E31" i="22" s="1"/>
  <c r="F31" i="22" s="1"/>
  <c r="D93" i="23"/>
  <c r="E93" i="23" s="1"/>
  <c r="F93" i="23" s="1"/>
  <c r="W93" i="23"/>
  <c r="G145" i="20"/>
  <c r="CB145" i="6" s="1"/>
  <c r="AA145" i="20"/>
  <c r="Z145" i="20" s="1"/>
  <c r="Y145" i="20" s="1"/>
  <c r="G201" i="20"/>
  <c r="CB201" i="6" s="1"/>
  <c r="AA201" i="20"/>
  <c r="Z201" i="20" s="1"/>
  <c r="Y201" i="20" s="1"/>
  <c r="W341" i="23"/>
  <c r="D341" i="23"/>
  <c r="E341" i="23" s="1"/>
  <c r="F341" i="23" s="1"/>
  <c r="W34" i="22"/>
  <c r="D34" i="22"/>
  <c r="E34" i="22" s="1"/>
  <c r="F34" i="22" s="1"/>
  <c r="W96" i="22"/>
  <c r="D96" i="22"/>
  <c r="E96" i="22" s="1"/>
  <c r="F96" i="22" s="1"/>
  <c r="W126" i="22"/>
  <c r="D126" i="22"/>
  <c r="E126" i="22" s="1"/>
  <c r="F126" i="22" s="1"/>
  <c r="G148" i="20"/>
  <c r="CB148" i="6" s="1"/>
  <c r="AA148" i="20"/>
  <c r="Z148" i="20" s="1"/>
  <c r="Y148" i="20" s="1"/>
  <c r="D250" i="22"/>
  <c r="E250" i="22" s="1"/>
  <c r="F250" i="22" s="1"/>
  <c r="W250" i="22"/>
  <c r="G250" i="20"/>
  <c r="CB250" i="6" s="1"/>
  <c r="AA250" i="20"/>
  <c r="Z250" i="20" s="1"/>
  <c r="Y250" i="20" s="1"/>
  <c r="AA372" i="20"/>
  <c r="Z372" i="20" s="1"/>
  <c r="Y372" i="20" s="1"/>
  <c r="G372" i="20"/>
  <c r="CB372" i="6" s="1"/>
  <c r="G143" i="20"/>
  <c r="CB143" i="6" s="1"/>
  <c r="AA143" i="20"/>
  <c r="Z143" i="20" s="1"/>
  <c r="Y143" i="20" s="1"/>
  <c r="AA223" i="20"/>
  <c r="Z223" i="20" s="1"/>
  <c r="Y223" i="20" s="1"/>
  <c r="G223" i="20"/>
  <c r="CB223" i="6" s="1"/>
  <c r="W307" i="22"/>
  <c r="D307" i="22"/>
  <c r="E307" i="22" s="1"/>
  <c r="F307" i="22" s="1"/>
  <c r="W357" i="22"/>
  <c r="D357" i="22"/>
  <c r="E357" i="22" s="1"/>
  <c r="F357" i="22" s="1"/>
  <c r="G373" i="20"/>
  <c r="CB373" i="6" s="1"/>
  <c r="AA373" i="20"/>
  <c r="Z373" i="20" s="1"/>
  <c r="Y373" i="20" s="1"/>
  <c r="W48" i="22"/>
  <c r="D48" i="22"/>
  <c r="E48" i="22" s="1"/>
  <c r="F48" i="22" s="1"/>
  <c r="G122" i="22"/>
  <c r="CC122" i="6" s="1"/>
  <c r="AA122" i="22"/>
  <c r="Z122" i="22" s="1"/>
  <c r="Y122" i="22" s="1"/>
  <c r="W160" i="22"/>
  <c r="D160" i="22"/>
  <c r="E160" i="22" s="1"/>
  <c r="F160" i="22" s="1"/>
  <c r="W238" i="23"/>
  <c r="D238" i="23"/>
  <c r="E238" i="23" s="1"/>
  <c r="F238" i="23" s="1"/>
  <c r="G266" i="20"/>
  <c r="CB266" i="6" s="1"/>
  <c r="AA266" i="20"/>
  <c r="Z266" i="20" s="1"/>
  <c r="Y266" i="20" s="1"/>
  <c r="G322" i="20"/>
  <c r="CB322" i="6" s="1"/>
  <c r="AA322" i="20"/>
  <c r="Z322" i="20" s="1"/>
  <c r="Y322" i="20" s="1"/>
  <c r="W350" i="22"/>
  <c r="D350" i="22"/>
  <c r="E350" i="22" s="1"/>
  <c r="F350" i="22" s="1"/>
  <c r="G350" i="20"/>
  <c r="CB350" i="6" s="1"/>
  <c r="AA350" i="20"/>
  <c r="Z350" i="20" s="1"/>
  <c r="Y350" i="20" s="1"/>
  <c r="G360" i="22"/>
  <c r="CC360" i="6" s="1"/>
  <c r="AA360" i="22"/>
  <c r="Z360" i="22" s="1"/>
  <c r="Y360" i="22" s="1"/>
  <c r="G85" i="20"/>
  <c r="CB85" i="6" s="1"/>
  <c r="AA85" i="20"/>
  <c r="Z85" i="20" s="1"/>
  <c r="Y85" i="20" s="1"/>
  <c r="W113" i="23"/>
  <c r="D113" i="23"/>
  <c r="E113" i="23" s="1"/>
  <c r="F113" i="23" s="1"/>
  <c r="G217" i="22"/>
  <c r="CC217" i="6" s="1"/>
  <c r="AA217" i="22"/>
  <c r="Z217" i="22" s="1"/>
  <c r="Y217" i="22" s="1"/>
  <c r="W239" i="22"/>
  <c r="D239" i="22"/>
  <c r="E239" i="22" s="1"/>
  <c r="F239" i="22" s="1"/>
  <c r="D315" i="22"/>
  <c r="E315" i="22" s="1"/>
  <c r="F315" i="22" s="1"/>
  <c r="W315" i="22"/>
  <c r="G315" i="20"/>
  <c r="CB315" i="6" s="1"/>
  <c r="AA315" i="20"/>
  <c r="Z315" i="20" s="1"/>
  <c r="Y315" i="20" s="1"/>
  <c r="D343" i="23"/>
  <c r="E343" i="23" s="1"/>
  <c r="F343" i="23" s="1"/>
  <c r="W343" i="23"/>
  <c r="W40" i="23"/>
  <c r="D40" i="23"/>
  <c r="E40" i="23" s="1"/>
  <c r="F40" i="23" s="1"/>
  <c r="G72" i="20"/>
  <c r="CB72" i="6" s="1"/>
  <c r="AA72" i="20"/>
  <c r="Z72" i="20" s="1"/>
  <c r="Y72" i="20" s="1"/>
  <c r="W200" i="23"/>
  <c r="D200" i="23"/>
  <c r="E200" i="23" s="1"/>
  <c r="F200" i="23" s="1"/>
  <c r="G240" i="20"/>
  <c r="CB240" i="6" s="1"/>
  <c r="AA240" i="20"/>
  <c r="Z240" i="20" s="1"/>
  <c r="Y240" i="20" s="1"/>
  <c r="AA314" i="20"/>
  <c r="Z314" i="20" s="1"/>
  <c r="Y314" i="20" s="1"/>
  <c r="G314" i="20"/>
  <c r="CB314" i="6" s="1"/>
  <c r="W342" i="23"/>
  <c r="D342" i="23"/>
  <c r="E342" i="23" s="1"/>
  <c r="F342" i="23" s="1"/>
  <c r="G289" i="20"/>
  <c r="CB289" i="6" s="1"/>
  <c r="AA289" i="20"/>
  <c r="Z289" i="20" s="1"/>
  <c r="Y289" i="20" s="1"/>
  <c r="W207" i="23"/>
  <c r="D207" i="23"/>
  <c r="E207" i="23" s="1"/>
  <c r="F207" i="23" s="1"/>
  <c r="W98" i="22"/>
  <c r="D98" i="22"/>
  <c r="E98" i="22" s="1"/>
  <c r="F98" i="22" s="1"/>
  <c r="G98" i="20"/>
  <c r="CB98" i="6" s="1"/>
  <c r="AA98" i="20"/>
  <c r="Z98" i="20" s="1"/>
  <c r="Y98" i="20" s="1"/>
  <c r="W163" i="22"/>
  <c r="D163" i="22"/>
  <c r="E163" i="22" s="1"/>
  <c r="F163" i="22" s="1"/>
  <c r="W321" i="22"/>
  <c r="D321" i="22"/>
  <c r="E321" i="22" s="1"/>
  <c r="F321" i="22" s="1"/>
  <c r="W332" i="22"/>
  <c r="D332" i="22"/>
  <c r="E332" i="22" s="1"/>
  <c r="F332" i="22" s="1"/>
  <c r="W81" i="22"/>
  <c r="D81" i="22"/>
  <c r="E81" i="22" s="1"/>
  <c r="F81" i="22" s="1"/>
  <c r="J76" i="18"/>
  <c r="C76" i="6" s="1"/>
  <c r="I76" i="18"/>
  <c r="G174" i="22"/>
  <c r="CC174" i="6" s="1"/>
  <c r="AA174" i="22"/>
  <c r="Z174" i="22" s="1"/>
  <c r="Y174" i="22" s="1"/>
  <c r="J204" i="18"/>
  <c r="C204" i="6" s="1"/>
  <c r="I204" i="18"/>
  <c r="B204" i="6" s="1"/>
  <c r="I197" i="18"/>
  <c r="B197" i="6" s="1"/>
  <c r="J197" i="18"/>
  <c r="C197" i="6" s="1"/>
  <c r="G177" i="22"/>
  <c r="CC177" i="6" s="1"/>
  <c r="AA177" i="22"/>
  <c r="Z177" i="22" s="1"/>
  <c r="Y177" i="22" s="1"/>
  <c r="W135" i="22"/>
  <c r="D135" i="22"/>
  <c r="E135" i="22" s="1"/>
  <c r="F135" i="22" s="1"/>
  <c r="W210" i="22"/>
  <c r="D210" i="22"/>
  <c r="E210" i="22" s="1"/>
  <c r="F210" i="22" s="1"/>
  <c r="W161" i="22"/>
  <c r="D161" i="22"/>
  <c r="E161" i="22" s="1"/>
  <c r="F161" i="22" s="1"/>
  <c r="G77" i="20"/>
  <c r="CB77" i="6" s="1"/>
  <c r="AA77" i="20"/>
  <c r="Z77" i="20" s="1"/>
  <c r="Y77" i="20" s="1"/>
  <c r="W159" i="22"/>
  <c r="D159" i="22"/>
  <c r="E159" i="22" s="1"/>
  <c r="F159" i="22" s="1"/>
  <c r="G159" i="20"/>
  <c r="CB159" i="6" s="1"/>
  <c r="AA159" i="20"/>
  <c r="Z159" i="20" s="1"/>
  <c r="Y159" i="20" s="1"/>
  <c r="D247" i="23"/>
  <c r="E247" i="23" s="1"/>
  <c r="F247" i="23" s="1"/>
  <c r="W247" i="23"/>
  <c r="AA263" i="20"/>
  <c r="Z263" i="20" s="1"/>
  <c r="Y263" i="20" s="1"/>
  <c r="G263" i="20"/>
  <c r="CB263" i="6" s="1"/>
  <c r="W281" i="23"/>
  <c r="D281" i="23"/>
  <c r="E281" i="23" s="1"/>
  <c r="F281" i="23" s="1"/>
  <c r="G60" i="20"/>
  <c r="CB60" i="6" s="1"/>
  <c r="AA60" i="20"/>
  <c r="Z60" i="20" s="1"/>
  <c r="Y60" i="20" s="1"/>
  <c r="W149" i="23"/>
  <c r="D149" i="23"/>
  <c r="E149" i="23" s="1"/>
  <c r="F149" i="23" s="1"/>
  <c r="G365" i="20"/>
  <c r="CB365" i="6" s="1"/>
  <c r="AA365" i="20"/>
  <c r="Z365" i="20" s="1"/>
  <c r="Y365" i="20" s="1"/>
  <c r="G298" i="22"/>
  <c r="CC298" i="6" s="1"/>
  <c r="AA298" i="22"/>
  <c r="Z298" i="22" s="1"/>
  <c r="Y298" i="22" s="1"/>
  <c r="G46" i="20"/>
  <c r="CB46" i="6" s="1"/>
  <c r="AA46" i="20"/>
  <c r="Z46" i="20" s="1"/>
  <c r="Y46" i="20" s="1"/>
  <c r="W349" i="22"/>
  <c r="D349" i="22"/>
  <c r="E349" i="22" s="1"/>
  <c r="F349" i="22" s="1"/>
  <c r="G349" i="20"/>
  <c r="CB349" i="6" s="1"/>
  <c r="AA349" i="20"/>
  <c r="Z349" i="20" s="1"/>
  <c r="Y349" i="20" s="1"/>
  <c r="G319" i="22"/>
  <c r="CC319" i="6" s="1"/>
  <c r="AA319" i="22"/>
  <c r="Z319" i="22" s="1"/>
  <c r="Y319" i="22" s="1"/>
  <c r="W17" i="23"/>
  <c r="D17" i="23"/>
  <c r="E17" i="23" s="1"/>
  <c r="F17" i="23" s="1"/>
  <c r="G17" i="22"/>
  <c r="CC17" i="6" s="1"/>
  <c r="AA17" i="22"/>
  <c r="Z17" i="22" s="1"/>
  <c r="Y17" i="22" s="1"/>
  <c r="G261" i="20"/>
  <c r="CB261" i="6" s="1"/>
  <c r="AA261" i="20"/>
  <c r="Z261" i="20" s="1"/>
  <c r="Y261" i="20" s="1"/>
  <c r="D111" i="23"/>
  <c r="E111" i="23" s="1"/>
  <c r="F111" i="23" s="1"/>
  <c r="W111" i="23"/>
  <c r="G111" i="22"/>
  <c r="CC111" i="6" s="1"/>
  <c r="AA111" i="22"/>
  <c r="Z111" i="22" s="1"/>
  <c r="Y111" i="22" s="1"/>
  <c r="G171" i="20"/>
  <c r="CB171" i="6" s="1"/>
  <c r="AA171" i="20"/>
  <c r="Z171" i="20" s="1"/>
  <c r="Y171" i="20" s="1"/>
  <c r="W194" i="22"/>
  <c r="D194" i="22"/>
  <c r="E194" i="22" s="1"/>
  <c r="F194" i="22" s="1"/>
  <c r="W302" i="23"/>
  <c r="D302" i="23"/>
  <c r="E302" i="23" s="1"/>
  <c r="F302" i="23" s="1"/>
  <c r="D175" i="23"/>
  <c r="E175" i="23" s="1"/>
  <c r="F175" i="23" s="1"/>
  <c r="W175" i="23"/>
  <c r="W61" i="22"/>
  <c r="D61" i="22"/>
  <c r="E61" i="22" s="1"/>
  <c r="F61" i="22" s="1"/>
  <c r="G61" i="20"/>
  <c r="CB61" i="6" s="1"/>
  <c r="AA61" i="20"/>
  <c r="Z61" i="20" s="1"/>
  <c r="Y61" i="20" s="1"/>
  <c r="W89" i="22"/>
  <c r="D89" i="22"/>
  <c r="E89" i="22" s="1"/>
  <c r="F89" i="22" s="1"/>
  <c r="G89" i="20"/>
  <c r="CB89" i="6" s="1"/>
  <c r="AA89" i="20"/>
  <c r="Z89" i="20" s="1"/>
  <c r="Y89" i="20" s="1"/>
  <c r="W127" i="22"/>
  <c r="D127" i="22"/>
  <c r="E127" i="22" s="1"/>
  <c r="F127" i="22" s="1"/>
  <c r="W173" i="22"/>
  <c r="D173" i="22"/>
  <c r="E173" i="22" s="1"/>
  <c r="F173" i="22" s="1"/>
  <c r="W219" i="22"/>
  <c r="D219" i="22"/>
  <c r="E219" i="22" s="1"/>
  <c r="F219" i="22" s="1"/>
  <c r="G323" i="22"/>
  <c r="CC323" i="6" s="1"/>
  <c r="AA323" i="22"/>
  <c r="Z323" i="22" s="1"/>
  <c r="Y323" i="22" s="1"/>
  <c r="G50" i="22"/>
  <c r="CC50" i="6" s="1"/>
  <c r="AA50" i="22"/>
  <c r="Z50" i="22" s="1"/>
  <c r="Y50" i="22" s="1"/>
  <c r="W118" i="23"/>
  <c r="D118" i="23"/>
  <c r="E118" i="23" s="1"/>
  <c r="F118" i="23" s="1"/>
  <c r="G128" i="20"/>
  <c r="CB128" i="6" s="1"/>
  <c r="AA128" i="20"/>
  <c r="Z128" i="20" s="1"/>
  <c r="Y128" i="20" s="1"/>
  <c r="G176" i="20"/>
  <c r="CB176" i="6" s="1"/>
  <c r="AA176" i="20"/>
  <c r="Z176" i="20" s="1"/>
  <c r="Y176" i="20" s="1"/>
  <c r="W230" i="23"/>
  <c r="D230" i="23"/>
  <c r="E230" i="23" s="1"/>
  <c r="F230" i="23" s="1"/>
  <c r="G270" i="22"/>
  <c r="CC270" i="6" s="1"/>
  <c r="AA270" i="22"/>
  <c r="Z270" i="22" s="1"/>
  <c r="Y270" i="22" s="1"/>
  <c r="W282" i="22"/>
  <c r="D282" i="22"/>
  <c r="E282" i="22" s="1"/>
  <c r="F282" i="22" s="1"/>
  <c r="G21" i="20"/>
  <c r="CB21" i="6" s="1"/>
  <c r="AA21" i="20"/>
  <c r="Z21" i="20" s="1"/>
  <c r="Y21" i="20" s="1"/>
  <c r="W45" i="22"/>
  <c r="D45" i="22"/>
  <c r="E45" i="22" s="1"/>
  <c r="F45" i="22" s="1"/>
  <c r="AA47" i="22"/>
  <c r="Z47" i="22" s="1"/>
  <c r="Y47" i="22" s="1"/>
  <c r="G47" i="22"/>
  <c r="CC47" i="6" s="1"/>
  <c r="W123" i="22"/>
  <c r="D123" i="22"/>
  <c r="E123" i="22" s="1"/>
  <c r="F123" i="22" s="1"/>
  <c r="G131" i="22"/>
  <c r="CC131" i="6" s="1"/>
  <c r="AA131" i="22"/>
  <c r="Z131" i="22" s="1"/>
  <c r="Y131" i="22" s="1"/>
  <c r="G195" i="22"/>
  <c r="CC195" i="6" s="1"/>
  <c r="AA195" i="22"/>
  <c r="Z195" i="22" s="1"/>
  <c r="Y195" i="22" s="1"/>
  <c r="W233" i="22"/>
  <c r="D233" i="22"/>
  <c r="E233" i="22" s="1"/>
  <c r="F233" i="22" s="1"/>
  <c r="G112" i="20"/>
  <c r="CB112" i="6" s="1"/>
  <c r="AA112" i="20"/>
  <c r="Z112" i="20" s="1"/>
  <c r="Y112" i="20" s="1"/>
  <c r="W120" i="23"/>
  <c r="D120" i="23"/>
  <c r="E120" i="23" s="1"/>
  <c r="F120" i="23" s="1"/>
  <c r="G144" i="20"/>
  <c r="CB144" i="6" s="1"/>
  <c r="AA144" i="20"/>
  <c r="Z144" i="20" s="1"/>
  <c r="Y144" i="20" s="1"/>
  <c r="G188" i="20"/>
  <c r="CB188" i="6" s="1"/>
  <c r="AA188" i="20"/>
  <c r="Z188" i="20" s="1"/>
  <c r="Y188" i="20" s="1"/>
  <c r="G218" i="20"/>
  <c r="CB218" i="6" s="1"/>
  <c r="AA218" i="20"/>
  <c r="Z218" i="20" s="1"/>
  <c r="Y218" i="20" s="1"/>
  <c r="W296" i="22"/>
  <c r="D296" i="22"/>
  <c r="E296" i="22" s="1"/>
  <c r="F296" i="22" s="1"/>
  <c r="G169" i="20"/>
  <c r="CB169" i="6" s="1"/>
  <c r="AA169" i="20"/>
  <c r="Z169" i="20" s="1"/>
  <c r="Y169" i="20" s="1"/>
  <c r="AA203" i="20"/>
  <c r="Z203" i="20" s="1"/>
  <c r="Y203" i="20" s="1"/>
  <c r="G203" i="20"/>
  <c r="CB203" i="6" s="1"/>
  <c r="G245" i="20"/>
  <c r="CB245" i="6" s="1"/>
  <c r="AA245" i="20"/>
  <c r="Z245" i="20" s="1"/>
  <c r="Y245" i="20" s="1"/>
  <c r="D277" i="22"/>
  <c r="E277" i="22" s="1"/>
  <c r="F277" i="22" s="1"/>
  <c r="W277" i="22"/>
  <c r="G313" i="22"/>
  <c r="CC313" i="6" s="1"/>
  <c r="AA313" i="22"/>
  <c r="Z313" i="22" s="1"/>
  <c r="Y313" i="22" s="1"/>
  <c r="D325" i="22"/>
  <c r="E325" i="22" s="1"/>
  <c r="F325" i="22" s="1"/>
  <c r="W325" i="22"/>
  <c r="G325" i="20"/>
  <c r="CB325" i="6" s="1"/>
  <c r="AA325" i="20"/>
  <c r="Z325" i="20" s="1"/>
  <c r="Y325" i="20" s="1"/>
  <c r="W375" i="23"/>
  <c r="D375" i="23"/>
  <c r="E375" i="23" s="1"/>
  <c r="F375" i="23" s="1"/>
  <c r="G138" i="22"/>
  <c r="CC138" i="6" s="1"/>
  <c r="AA138" i="22"/>
  <c r="Z138" i="22" s="1"/>
  <c r="Y138" i="22" s="1"/>
  <c r="G202" i="22"/>
  <c r="CC202" i="6" s="1"/>
  <c r="AA202" i="22"/>
  <c r="Z202" i="22" s="1"/>
  <c r="Y202" i="22" s="1"/>
  <c r="W292" i="22"/>
  <c r="D292" i="22"/>
  <c r="E292" i="22" s="1"/>
  <c r="F292" i="22" s="1"/>
  <c r="G344" i="22"/>
  <c r="CC344" i="6" s="1"/>
  <c r="AA344" i="22"/>
  <c r="Z344" i="22" s="1"/>
  <c r="Y344" i="22" s="1"/>
  <c r="G370" i="22"/>
  <c r="CC370" i="6" s="1"/>
  <c r="AA370" i="22"/>
  <c r="Z370" i="22" s="1"/>
  <c r="Y370" i="22" s="1"/>
  <c r="W26" i="23"/>
  <c r="D26" i="23"/>
  <c r="E26" i="23" s="1"/>
  <c r="F26" i="23" s="1"/>
  <c r="G25" i="20"/>
  <c r="CB25" i="6" s="1"/>
  <c r="AA25" i="20"/>
  <c r="Z25" i="20" s="1"/>
  <c r="Y25" i="20" s="1"/>
  <c r="G121" i="20"/>
  <c r="CB121" i="6" s="1"/>
  <c r="AA121" i="20"/>
  <c r="Z121" i="20" s="1"/>
  <c r="Y121" i="20" s="1"/>
  <c r="G199" i="22"/>
  <c r="CC199" i="6" s="1"/>
  <c r="AA199" i="22"/>
  <c r="Z199" i="22" s="1"/>
  <c r="Y199" i="22" s="1"/>
  <c r="W225" i="22"/>
  <c r="D225" i="22"/>
  <c r="E225" i="22" s="1"/>
  <c r="F225" i="22" s="1"/>
  <c r="G355" i="20"/>
  <c r="CB355" i="6" s="1"/>
  <c r="AA355" i="20"/>
  <c r="Z355" i="20" s="1"/>
  <c r="Y355" i="20" s="1"/>
  <c r="AA102" i="20"/>
  <c r="Z102" i="20" s="1"/>
  <c r="Y102" i="20" s="1"/>
  <c r="G102" i="20"/>
  <c r="CB102" i="6" s="1"/>
  <c r="W158" i="23"/>
  <c r="D158" i="23"/>
  <c r="E158" i="23" s="1"/>
  <c r="F158" i="23" s="1"/>
  <c r="AA186" i="20"/>
  <c r="Z186" i="20" s="1"/>
  <c r="Y186" i="20" s="1"/>
  <c r="G186" i="20"/>
  <c r="CB186" i="6" s="1"/>
  <c r="G242" i="22"/>
  <c r="CC242" i="6" s="1"/>
  <c r="AA242" i="22"/>
  <c r="Z242" i="22" s="1"/>
  <c r="Y242" i="22" s="1"/>
  <c r="J264" i="18"/>
  <c r="C264" i="6" s="1"/>
  <c r="I264" i="18"/>
  <c r="W290" i="22"/>
  <c r="D290" i="22"/>
  <c r="E290" i="22" s="1"/>
  <c r="F290" i="22" s="1"/>
  <c r="G358" i="22"/>
  <c r="CC358" i="6" s="1"/>
  <c r="AA358" i="22"/>
  <c r="Z358" i="22" s="1"/>
  <c r="Y358" i="22" s="1"/>
  <c r="W362" i="22"/>
  <c r="D362" i="22"/>
  <c r="E362" i="22" s="1"/>
  <c r="F362" i="22" s="1"/>
  <c r="G378" i="20"/>
  <c r="CB378" i="6" s="1"/>
  <c r="AA378" i="20"/>
  <c r="Z378" i="20" s="1"/>
  <c r="Y378" i="20" s="1"/>
  <c r="G310" i="20"/>
  <c r="CB310" i="6" s="1"/>
  <c r="AA310" i="20"/>
  <c r="Z310" i="20" s="1"/>
  <c r="Y310" i="20" s="1"/>
  <c r="G311" i="20"/>
  <c r="CB311" i="6" s="1"/>
  <c r="AA311" i="20"/>
  <c r="Z311" i="20" s="1"/>
  <c r="Y311" i="20" s="1"/>
  <c r="W374" i="22"/>
  <c r="D374" i="22"/>
  <c r="E374" i="22" s="1"/>
  <c r="F374" i="22" s="1"/>
  <c r="G52" i="22"/>
  <c r="CC52" i="6" s="1"/>
  <c r="AA52" i="22"/>
  <c r="Z52" i="22" s="1"/>
  <c r="Y52" i="22" s="1"/>
  <c r="G103" i="22"/>
  <c r="CC103" i="6" s="1"/>
  <c r="AA103" i="22"/>
  <c r="Z103" i="22" s="1"/>
  <c r="Y103" i="22" s="1"/>
  <c r="G235" i="22"/>
  <c r="CC235" i="6" s="1"/>
  <c r="AA235" i="22"/>
  <c r="Z235" i="22" s="1"/>
  <c r="Y235" i="22" s="1"/>
  <c r="W309" i="22"/>
  <c r="D309" i="22"/>
  <c r="E309" i="22" s="1"/>
  <c r="F309" i="22" s="1"/>
  <c r="W62" i="22"/>
  <c r="D62" i="22"/>
  <c r="E62" i="22" s="1"/>
  <c r="F62" i="22" s="1"/>
  <c r="G62" i="20"/>
  <c r="CB62" i="6" s="1"/>
  <c r="AA62" i="20"/>
  <c r="Z62" i="20" s="1"/>
  <c r="Y62" i="20" s="1"/>
  <c r="W232" i="22"/>
  <c r="D232" i="22"/>
  <c r="E232" i="22" s="1"/>
  <c r="F232" i="22" s="1"/>
  <c r="G119" i="20"/>
  <c r="CB119" i="6" s="1"/>
  <c r="AA119" i="20"/>
  <c r="Z119" i="20" s="1"/>
  <c r="Y119" i="20" s="1"/>
  <c r="G196" i="20"/>
  <c r="CB196" i="6" s="1"/>
  <c r="AA196" i="20"/>
  <c r="Z196" i="20" s="1"/>
  <c r="Y196" i="20" s="1"/>
  <c r="W105" i="23"/>
  <c r="D105" i="23"/>
  <c r="E105" i="23" s="1"/>
  <c r="F105" i="23" s="1"/>
  <c r="G67" i="20"/>
  <c r="CB67" i="6" s="1"/>
  <c r="AA67" i="20"/>
  <c r="Z67" i="20" s="1"/>
  <c r="Y67" i="20" s="1"/>
  <c r="W166" i="23"/>
  <c r="D166" i="23"/>
  <c r="E166" i="23" s="1"/>
  <c r="F166" i="23" s="1"/>
  <c r="G216" i="22"/>
  <c r="CC216" i="6" s="1"/>
  <c r="AA216" i="22"/>
  <c r="Z216" i="22" s="1"/>
  <c r="Y216" i="22" s="1"/>
  <c r="AA272" i="20"/>
  <c r="Z272" i="20" s="1"/>
  <c r="Y272" i="20" s="1"/>
  <c r="G272" i="20"/>
  <c r="CB272" i="6" s="1"/>
  <c r="W368" i="23"/>
  <c r="D368" i="23"/>
  <c r="E368" i="23" s="1"/>
  <c r="F368" i="23" s="1"/>
  <c r="W189" i="23"/>
  <c r="D189" i="23"/>
  <c r="E189" i="23" s="1"/>
  <c r="F189" i="23" s="1"/>
  <c r="G241" i="22"/>
  <c r="CC241" i="6" s="1"/>
  <c r="AA241" i="22"/>
  <c r="Z241" i="22" s="1"/>
  <c r="Y241" i="22" s="1"/>
  <c r="G88" i="20"/>
  <c r="CB88" i="6" s="1"/>
  <c r="AA88" i="20"/>
  <c r="Z88" i="20" s="1"/>
  <c r="Y88" i="20" s="1"/>
  <c r="W249" i="22"/>
  <c r="D249" i="22"/>
  <c r="E249" i="22" s="1"/>
  <c r="F249" i="22" s="1"/>
  <c r="G317" i="20"/>
  <c r="CB317" i="6" s="1"/>
  <c r="AA317" i="20"/>
  <c r="Z317" i="20" s="1"/>
  <c r="Y317" i="20" s="1"/>
  <c r="W42" i="22"/>
  <c r="D42" i="22"/>
  <c r="E42" i="22" s="1"/>
  <c r="F42" i="22" s="1"/>
  <c r="G220" i="20"/>
  <c r="CB220" i="6" s="1"/>
  <c r="AA220" i="20"/>
  <c r="Z220" i="20" s="1"/>
  <c r="Y220" i="20" s="1"/>
  <c r="D254" i="22"/>
  <c r="E254" i="22" s="1"/>
  <c r="F254" i="22" s="1"/>
  <c r="W254" i="22"/>
  <c r="G260" i="22"/>
  <c r="CC260" i="6" s="1"/>
  <c r="AA260" i="22"/>
  <c r="Z260" i="22" s="1"/>
  <c r="Y260" i="22" s="1"/>
  <c r="W276" i="23"/>
  <c r="D276" i="23"/>
  <c r="E276" i="23" s="1"/>
  <c r="F276" i="23" s="1"/>
  <c r="G320" i="22"/>
  <c r="CC320" i="6" s="1"/>
  <c r="AA320" i="22"/>
  <c r="Z320" i="22" s="1"/>
  <c r="Y320" i="22" s="1"/>
  <c r="W49" i="22"/>
  <c r="D49" i="22"/>
  <c r="E49" i="22" s="1"/>
  <c r="F49" i="22" s="1"/>
  <c r="AA87" i="20"/>
  <c r="Z87" i="20" s="1"/>
  <c r="Y87" i="20" s="1"/>
  <c r="G87" i="20"/>
  <c r="CB87" i="6" s="1"/>
  <c r="W147" i="23"/>
  <c r="D147" i="23"/>
  <c r="E147" i="23" s="1"/>
  <c r="F147" i="23" s="1"/>
  <c r="W209" i="23"/>
  <c r="D209" i="23"/>
  <c r="E209" i="23" s="1"/>
  <c r="F209" i="23" s="1"/>
  <c r="W291" i="22"/>
  <c r="D291" i="22"/>
  <c r="E291" i="22" s="1"/>
  <c r="F291" i="22" s="1"/>
  <c r="W339" i="22"/>
  <c r="D339" i="22"/>
  <c r="E339" i="22" s="1"/>
  <c r="F339" i="22" s="1"/>
  <c r="AA371" i="20"/>
  <c r="Z371" i="20" s="1"/>
  <c r="Y371" i="20" s="1"/>
  <c r="G371" i="20"/>
  <c r="CB371" i="6" s="1"/>
  <c r="G80" i="22"/>
  <c r="CC80" i="6" s="1"/>
  <c r="AA80" i="22"/>
  <c r="Z80" i="22" s="1"/>
  <c r="Y80" i="22" s="1"/>
  <c r="W142" i="23"/>
  <c r="D142" i="23"/>
  <c r="E142" i="23" s="1"/>
  <c r="F142" i="23" s="1"/>
  <c r="G294" i="22"/>
  <c r="CC294" i="6" s="1"/>
  <c r="AA294" i="22"/>
  <c r="Z294" i="22" s="1"/>
  <c r="Y294" i="22" s="1"/>
  <c r="W141" i="23"/>
  <c r="D141" i="23"/>
  <c r="E141" i="23" s="1"/>
  <c r="F141" i="23" s="1"/>
  <c r="G191" i="20"/>
  <c r="CB191" i="6" s="1"/>
  <c r="AA191" i="20"/>
  <c r="Z191" i="20" s="1"/>
  <c r="Y191" i="20" s="1"/>
  <c r="AA257" i="22"/>
  <c r="Z257" i="22" s="1"/>
  <c r="Y257" i="22" s="1"/>
  <c r="G257" i="22"/>
  <c r="CC257" i="6" s="1"/>
  <c r="W267" i="22"/>
  <c r="D267" i="22"/>
  <c r="E267" i="22" s="1"/>
  <c r="F267" i="22" s="1"/>
  <c r="G301" i="22"/>
  <c r="CC301" i="6" s="1"/>
  <c r="AA301" i="22"/>
  <c r="Z301" i="22" s="1"/>
  <c r="Y301" i="22" s="1"/>
  <c r="W20" i="22"/>
  <c r="D20" i="22"/>
  <c r="E20" i="22" s="1"/>
  <c r="F20" i="22" s="1"/>
  <c r="D172" i="23"/>
  <c r="E172" i="23" s="1"/>
  <c r="F172" i="23" s="1"/>
  <c r="W172" i="23"/>
  <c r="G234" i="20"/>
  <c r="CB234" i="6" s="1"/>
  <c r="AA234" i="20"/>
  <c r="Z234" i="20" s="1"/>
  <c r="Y234" i="20" s="1"/>
  <c r="W280" i="23"/>
  <c r="D280" i="23"/>
  <c r="E280" i="23" s="1"/>
  <c r="F280" i="23" s="1"/>
  <c r="W57" i="23"/>
  <c r="D57" i="23"/>
  <c r="E57" i="23" s="1"/>
  <c r="F57" i="23" s="1"/>
  <c r="G115" i="20"/>
  <c r="CB115" i="6" s="1"/>
  <c r="AA115" i="20"/>
  <c r="Z115" i="20" s="1"/>
  <c r="Y115" i="20" s="1"/>
  <c r="G133" i="20"/>
  <c r="CB133" i="6" s="1"/>
  <c r="AA133" i="20"/>
  <c r="Z133" i="20" s="1"/>
  <c r="Y133" i="20" s="1"/>
  <c r="W213" i="22"/>
  <c r="D213" i="22"/>
  <c r="E213" i="22" s="1"/>
  <c r="F213" i="22" s="1"/>
  <c r="G243" i="22"/>
  <c r="CC243" i="6" s="1"/>
  <c r="AA243" i="22"/>
  <c r="Z243" i="22" s="1"/>
  <c r="Y243" i="22" s="1"/>
  <c r="G329" i="22"/>
  <c r="CC329" i="6" s="1"/>
  <c r="AA329" i="22"/>
  <c r="Z329" i="22" s="1"/>
  <c r="Y329" i="22" s="1"/>
  <c r="G345" i="20"/>
  <c r="CB345" i="6" s="1"/>
  <c r="AA345" i="20"/>
  <c r="Z345" i="20" s="1"/>
  <c r="Y345" i="20" s="1"/>
  <c r="G24" i="20"/>
  <c r="CB24" i="6" s="1"/>
  <c r="AA24" i="20"/>
  <c r="Z24" i="20" s="1"/>
  <c r="Y24" i="20" s="1"/>
  <c r="G44" i="20"/>
  <c r="CB44" i="6" s="1"/>
  <c r="AA44" i="20"/>
  <c r="Z44" i="20" s="1"/>
  <c r="Y44" i="20" s="1"/>
  <c r="W68" i="23"/>
  <c r="D68" i="23"/>
  <c r="E68" i="23" s="1"/>
  <c r="F68" i="23" s="1"/>
  <c r="W134" i="23"/>
  <c r="D134" i="23"/>
  <c r="E134" i="23" s="1"/>
  <c r="F134" i="23" s="1"/>
  <c r="AA156" i="20"/>
  <c r="Z156" i="20" s="1"/>
  <c r="Y156" i="20" s="1"/>
  <c r="G156" i="20"/>
  <c r="CB156" i="6" s="1"/>
  <c r="G206" i="20"/>
  <c r="CB206" i="6" s="1"/>
  <c r="AA206" i="20"/>
  <c r="Z206" i="20" s="1"/>
  <c r="Y206" i="20" s="1"/>
  <c r="J240" i="18"/>
  <c r="C240" i="6" s="1"/>
  <c r="I240" i="18"/>
  <c r="AA356" i="20"/>
  <c r="Z356" i="20" s="1"/>
  <c r="Y356" i="20" s="1"/>
  <c r="G356" i="20"/>
  <c r="CB356" i="6" s="1"/>
  <c r="G64" i="22"/>
  <c r="CC64" i="6" s="1"/>
  <c r="AA64" i="22"/>
  <c r="Z64" i="22" s="1"/>
  <c r="Y64" i="22" s="1"/>
  <c r="G205" i="22"/>
  <c r="CC205" i="6" s="1"/>
  <c r="AA205" i="22"/>
  <c r="Z205" i="22" s="1"/>
  <c r="Y205" i="22" s="1"/>
  <c r="G299" i="22"/>
  <c r="CC299" i="6" s="1"/>
  <c r="AA299" i="22"/>
  <c r="Z299" i="22" s="1"/>
  <c r="Y299" i="22" s="1"/>
  <c r="G236" i="20"/>
  <c r="CB236" i="6" s="1"/>
  <c r="AA236" i="20"/>
  <c r="Z236" i="20" s="1"/>
  <c r="Y236" i="20" s="1"/>
  <c r="W229" i="23"/>
  <c r="D229" i="23"/>
  <c r="E229" i="23" s="1"/>
  <c r="F229" i="23" s="1"/>
  <c r="W32" i="23"/>
  <c r="D32" i="23"/>
  <c r="E32" i="23" s="1"/>
  <c r="F32" i="23" s="1"/>
  <c r="AA73" i="20"/>
  <c r="Z73" i="20" s="1"/>
  <c r="Y73" i="20" s="1"/>
  <c r="G73" i="20"/>
  <c r="CB73" i="6" s="1"/>
  <c r="W100" i="23"/>
  <c r="D100" i="23"/>
  <c r="E100" i="23" s="1"/>
  <c r="F100" i="23" s="1"/>
  <c r="G76" i="20"/>
  <c r="CB76" i="6" s="1"/>
  <c r="AA76" i="20"/>
  <c r="Z76" i="20" s="1"/>
  <c r="Y76" i="20" s="1"/>
  <c r="B264" i="6" l="1"/>
  <c r="BA264" i="6" s="1"/>
  <c r="D264" i="6" s="1"/>
  <c r="B296" i="6"/>
  <c r="BA296" i="6" s="1"/>
  <c r="D296" i="6" s="1"/>
  <c r="B253" i="6"/>
  <c r="BA253" i="6" s="1"/>
  <c r="B87" i="6"/>
  <c r="BA87" i="6" s="1"/>
  <c r="D87" i="6" s="1"/>
  <c r="B240" i="6"/>
  <c r="BA240" i="6" s="1"/>
  <c r="D240" i="6" s="1"/>
  <c r="B76" i="6"/>
  <c r="BA76" i="6" s="1"/>
  <c r="D76" i="6" s="1"/>
  <c r="B234" i="6"/>
  <c r="BA234" i="6" s="1"/>
  <c r="D234" i="6" s="1"/>
  <c r="AA359" i="22"/>
  <c r="Z359" i="22" s="1"/>
  <c r="Y359" i="22" s="1"/>
  <c r="J366" i="18"/>
  <c r="C366" i="6" s="1"/>
  <c r="I209" i="18"/>
  <c r="G337" i="22"/>
  <c r="CC337" i="6" s="1"/>
  <c r="I235" i="18"/>
  <c r="J16" i="18"/>
  <c r="C16" i="6" s="1"/>
  <c r="J152" i="18"/>
  <c r="C152" i="6" s="1"/>
  <c r="I346" i="18"/>
  <c r="I79" i="18"/>
  <c r="I199" i="18"/>
  <c r="J105" i="18"/>
  <c r="C105" i="6" s="1"/>
  <c r="J245" i="18"/>
  <c r="C245" i="6" s="1"/>
  <c r="J89" i="18"/>
  <c r="C89" i="6" s="1"/>
  <c r="J206" i="18"/>
  <c r="C206" i="6" s="1"/>
  <c r="I156" i="18"/>
  <c r="J44" i="18"/>
  <c r="C44" i="6" s="1"/>
  <c r="I220" i="18"/>
  <c r="J88" i="18"/>
  <c r="C88" i="6" s="1"/>
  <c r="I272" i="18"/>
  <c r="B272" i="6" s="1"/>
  <c r="I374" i="18"/>
  <c r="J251" i="20"/>
  <c r="J323" i="18"/>
  <c r="C323" i="6" s="1"/>
  <c r="I140" i="18"/>
  <c r="J181" i="18"/>
  <c r="C181" i="6" s="1"/>
  <c r="J246" i="18"/>
  <c r="C246" i="6" s="1"/>
  <c r="I18" i="18"/>
  <c r="I252" i="18"/>
  <c r="J202" i="18"/>
  <c r="C202" i="6" s="1"/>
  <c r="I130" i="18"/>
  <c r="I115" i="18"/>
  <c r="J20" i="18"/>
  <c r="C20" i="6" s="1"/>
  <c r="J337" i="18"/>
  <c r="C337" i="6" s="1"/>
  <c r="I58" i="18"/>
  <c r="J279" i="18"/>
  <c r="C279" i="6" s="1"/>
  <c r="I165" i="18"/>
  <c r="I318" i="18"/>
  <c r="I122" i="18"/>
  <c r="I322" i="18"/>
  <c r="J28" i="18"/>
  <c r="C28" i="6" s="1"/>
  <c r="I192" i="18"/>
  <c r="J81" i="18"/>
  <c r="C81" i="6" s="1"/>
  <c r="I78" i="18"/>
  <c r="J72" i="18"/>
  <c r="C72" i="6" s="1"/>
  <c r="J315" i="18"/>
  <c r="C315" i="6" s="1"/>
  <c r="J307" i="18"/>
  <c r="C307" i="6" s="1"/>
  <c r="I37" i="18"/>
  <c r="J214" i="18"/>
  <c r="C214" i="6" s="1"/>
  <c r="I36" i="18"/>
  <c r="J51" i="18"/>
  <c r="C51" i="6" s="1"/>
  <c r="J364" i="18"/>
  <c r="C364" i="6" s="1"/>
  <c r="I27" i="18"/>
  <c r="J56" i="18"/>
  <c r="C56" i="6" s="1"/>
  <c r="J287" i="18"/>
  <c r="C287" i="6" s="1"/>
  <c r="I153" i="18"/>
  <c r="I327" i="18"/>
  <c r="J313" i="18"/>
  <c r="C313" i="6" s="1"/>
  <c r="I103" i="18"/>
  <c r="J190" i="18"/>
  <c r="C190" i="6" s="1"/>
  <c r="J370" i="18"/>
  <c r="C370" i="6" s="1"/>
  <c r="J107" i="18"/>
  <c r="C107" i="6" s="1"/>
  <c r="J260" i="18"/>
  <c r="C260" i="6" s="1"/>
  <c r="I111" i="18"/>
  <c r="I30" i="18"/>
  <c r="I249" i="18"/>
  <c r="I340" i="18"/>
  <c r="J25" i="18"/>
  <c r="C25" i="6" s="1"/>
  <c r="J297" i="18"/>
  <c r="C297" i="6" s="1"/>
  <c r="I98" i="18"/>
  <c r="I126" i="18"/>
  <c r="J101" i="18"/>
  <c r="C101" i="6" s="1"/>
  <c r="J158" i="18"/>
  <c r="C158" i="6" s="1"/>
  <c r="I230" i="18"/>
  <c r="J347" i="18"/>
  <c r="C347" i="6" s="1"/>
  <c r="J328" i="18"/>
  <c r="C328" i="6" s="1"/>
  <c r="BA272" i="6"/>
  <c r="D272" i="6" s="1"/>
  <c r="J71" i="18"/>
  <c r="C71" i="6" s="1"/>
  <c r="G351" i="22"/>
  <c r="CC351" i="6" s="1"/>
  <c r="G95" i="22"/>
  <c r="CC95" i="6" s="1"/>
  <c r="BA114" i="6"/>
  <c r="D114" i="6" s="1"/>
  <c r="BA71" i="6"/>
  <c r="D71" i="6" s="1"/>
  <c r="BA163" i="6"/>
  <c r="D163" i="6" s="1"/>
  <c r="BA112" i="6"/>
  <c r="D112" i="6" s="1"/>
  <c r="BA275" i="6"/>
  <c r="D275" i="6" s="1"/>
  <c r="BA347" i="6"/>
  <c r="D347" i="6" s="1"/>
  <c r="BA289" i="6"/>
  <c r="D289" i="6" s="1"/>
  <c r="BA160" i="6"/>
  <c r="D160" i="6" s="1"/>
  <c r="BA334" i="6"/>
  <c r="D334" i="6" s="1"/>
  <c r="BA328" i="6"/>
  <c r="D328" i="6" s="1"/>
  <c r="G316" i="22"/>
  <c r="CC316" i="6" s="1"/>
  <c r="AA316" i="22"/>
  <c r="Z316" i="22" s="1"/>
  <c r="Y316" i="22" s="1"/>
  <c r="I67" i="18"/>
  <c r="J67" i="18"/>
  <c r="C67" i="6" s="1"/>
  <c r="I186" i="18"/>
  <c r="J186" i="18"/>
  <c r="C186" i="6" s="1"/>
  <c r="I360" i="18"/>
  <c r="J360" i="18"/>
  <c r="C360" i="6" s="1"/>
  <c r="J178" i="18"/>
  <c r="C178" i="6" s="1"/>
  <c r="I178" i="18"/>
  <c r="I53" i="18"/>
  <c r="J53" i="18"/>
  <c r="C53" i="6" s="1"/>
  <c r="J75" i="18"/>
  <c r="C75" i="6" s="1"/>
  <c r="I75" i="18"/>
  <c r="J149" i="18"/>
  <c r="C149" i="6" s="1"/>
  <c r="I149" i="18"/>
  <c r="I277" i="18"/>
  <c r="J277" i="18"/>
  <c r="C277" i="6" s="1"/>
  <c r="J310" i="18"/>
  <c r="C310" i="6" s="1"/>
  <c r="I310" i="18"/>
  <c r="J102" i="18"/>
  <c r="C102" i="6" s="1"/>
  <c r="I102" i="18"/>
  <c r="I329" i="18"/>
  <c r="J329" i="18"/>
  <c r="C329" i="6" s="1"/>
  <c r="J177" i="18"/>
  <c r="C177" i="6" s="1"/>
  <c r="I177" i="18"/>
  <c r="J213" i="18"/>
  <c r="C213" i="6" s="1"/>
  <c r="I213" i="18"/>
  <c r="J47" i="18"/>
  <c r="C47" i="6" s="1"/>
  <c r="I47" i="18"/>
  <c r="J171" i="18"/>
  <c r="C171" i="6" s="1"/>
  <c r="I171" i="18"/>
  <c r="I324" i="18"/>
  <c r="J324" i="18"/>
  <c r="C324" i="6" s="1"/>
  <c r="J201" i="18"/>
  <c r="C201" i="6" s="1"/>
  <c r="I201" i="18"/>
  <c r="I142" i="18"/>
  <c r="J142" i="18"/>
  <c r="C142" i="6" s="1"/>
  <c r="I232" i="18"/>
  <c r="J232" i="18"/>
  <c r="C232" i="6" s="1"/>
  <c r="I223" i="18"/>
  <c r="J223" i="18"/>
  <c r="C223" i="6" s="1"/>
  <c r="I301" i="18"/>
  <c r="J301" i="18"/>
  <c r="C301" i="6" s="1"/>
  <c r="I128" i="18"/>
  <c r="J128" i="18"/>
  <c r="C128" i="6" s="1"/>
  <c r="J242" i="18"/>
  <c r="C242" i="6" s="1"/>
  <c r="I242" i="18"/>
  <c r="I278" i="18"/>
  <c r="J278" i="18"/>
  <c r="C278" i="6" s="1"/>
  <c r="J285" i="18"/>
  <c r="C285" i="6" s="1"/>
  <c r="I285" i="18"/>
  <c r="J94" i="18"/>
  <c r="C94" i="6" s="1"/>
  <c r="I94" i="18"/>
  <c r="I100" i="18"/>
  <c r="J100" i="18"/>
  <c r="C100" i="6" s="1"/>
  <c r="I121" i="18"/>
  <c r="J121" i="18"/>
  <c r="C121" i="6" s="1"/>
  <c r="J196" i="18"/>
  <c r="C196" i="6" s="1"/>
  <c r="I196" i="18"/>
  <c r="J159" i="18"/>
  <c r="C159" i="6" s="1"/>
  <c r="I159" i="18"/>
  <c r="I299" i="18"/>
  <c r="J299" i="18"/>
  <c r="C299" i="6" s="1"/>
  <c r="J216" i="18"/>
  <c r="C216" i="6" s="1"/>
  <c r="I216" i="18"/>
  <c r="J80" i="18"/>
  <c r="C80" i="6" s="1"/>
  <c r="I80" i="18"/>
  <c r="J339" i="18"/>
  <c r="C339" i="6" s="1"/>
  <c r="I339" i="18"/>
  <c r="I288" i="18"/>
  <c r="J288" i="18"/>
  <c r="C288" i="6" s="1"/>
  <c r="I55" i="18"/>
  <c r="J55" i="18"/>
  <c r="C55" i="6" s="1"/>
  <c r="J225" i="18"/>
  <c r="C225" i="6" s="1"/>
  <c r="I225" i="18"/>
  <c r="J292" i="18"/>
  <c r="C292" i="6" s="1"/>
  <c r="I292" i="18"/>
  <c r="J303" i="18"/>
  <c r="C303" i="6" s="1"/>
  <c r="I303" i="18"/>
  <c r="I265" i="18"/>
  <c r="J265" i="18"/>
  <c r="C265" i="6" s="1"/>
  <c r="I294" i="18"/>
  <c r="J294" i="18"/>
  <c r="C294" i="6" s="1"/>
  <c r="J362" i="18"/>
  <c r="C362" i="6" s="1"/>
  <c r="I362" i="18"/>
  <c r="I345" i="18"/>
  <c r="J345" i="18"/>
  <c r="C345" i="6" s="1"/>
  <c r="J45" i="18"/>
  <c r="C45" i="6" s="1"/>
  <c r="I45" i="18"/>
  <c r="I267" i="18"/>
  <c r="J267" i="18"/>
  <c r="C267" i="6" s="1"/>
  <c r="J173" i="18"/>
  <c r="C173" i="6" s="1"/>
  <c r="I173" i="18"/>
  <c r="I64" i="18"/>
  <c r="J64" i="18"/>
  <c r="C64" i="6" s="1"/>
  <c r="I151" i="18"/>
  <c r="J151" i="18"/>
  <c r="C151" i="6" s="1"/>
  <c r="I343" i="18"/>
  <c r="J343" i="18"/>
  <c r="C343" i="6" s="1"/>
  <c r="I291" i="18"/>
  <c r="J291" i="18"/>
  <c r="C291" i="6" s="1"/>
  <c r="J317" i="18"/>
  <c r="C317" i="6" s="1"/>
  <c r="I317" i="18"/>
  <c r="I162" i="18"/>
  <c r="J162" i="18"/>
  <c r="C162" i="6" s="1"/>
  <c r="I61" i="18"/>
  <c r="J61" i="18"/>
  <c r="C61" i="6" s="1"/>
  <c r="I203" i="18"/>
  <c r="J203" i="18"/>
  <c r="C203" i="6" s="1"/>
  <c r="I164" i="18"/>
  <c r="J164" i="18"/>
  <c r="C164" i="6" s="1"/>
  <c r="J133" i="18"/>
  <c r="C133" i="6" s="1"/>
  <c r="I133" i="18"/>
  <c r="I135" i="18"/>
  <c r="J135" i="18"/>
  <c r="C135" i="6" s="1"/>
  <c r="J308" i="18"/>
  <c r="C308" i="6" s="1"/>
  <c r="I308" i="18"/>
  <c r="I141" i="18"/>
  <c r="J141" i="18"/>
  <c r="C141" i="6" s="1"/>
  <c r="J320" i="18"/>
  <c r="C320" i="6" s="1"/>
  <c r="I320" i="18"/>
  <c r="J269" i="18"/>
  <c r="C269" i="6" s="1"/>
  <c r="I269" i="18"/>
  <c r="J17" i="18"/>
  <c r="C17" i="6" s="1"/>
  <c r="I17" i="18"/>
  <c r="J92" i="18"/>
  <c r="C92" i="6" s="1"/>
  <c r="I92" i="18"/>
  <c r="I161" i="18"/>
  <c r="J161" i="18"/>
  <c r="C161" i="6" s="1"/>
  <c r="I136" i="18"/>
  <c r="J136" i="18"/>
  <c r="C136" i="6" s="1"/>
  <c r="J280" i="18"/>
  <c r="C280" i="6" s="1"/>
  <c r="I280" i="18"/>
  <c r="I73" i="18"/>
  <c r="J73" i="18"/>
  <c r="C73" i="6" s="1"/>
  <c r="J271" i="18"/>
  <c r="C271" i="6" s="1"/>
  <c r="I271" i="18"/>
  <c r="I379" i="18"/>
  <c r="J379" i="18"/>
  <c r="C379" i="6" s="1"/>
  <c r="J355" i="18"/>
  <c r="C355" i="6" s="1"/>
  <c r="I355" i="18"/>
  <c r="I241" i="18"/>
  <c r="J241" i="18"/>
  <c r="C241" i="6" s="1"/>
  <c r="I263" i="18"/>
  <c r="J263" i="18"/>
  <c r="C263" i="6" s="1"/>
  <c r="I193" i="18"/>
  <c r="J193" i="18"/>
  <c r="C193" i="6" s="1"/>
  <c r="I90" i="18"/>
  <c r="B90" i="6" s="1"/>
  <c r="J90" i="18"/>
  <c r="C90" i="6" s="1"/>
  <c r="I138" i="18"/>
  <c r="J138" i="18"/>
  <c r="C138" i="6" s="1"/>
  <c r="J283" i="18"/>
  <c r="C283" i="6" s="1"/>
  <c r="I283" i="18"/>
  <c r="I63" i="18"/>
  <c r="J63" i="18"/>
  <c r="C63" i="6" s="1"/>
  <c r="J127" i="18"/>
  <c r="C127" i="6" s="1"/>
  <c r="I127" i="18"/>
  <c r="I183" i="18"/>
  <c r="J183" i="18"/>
  <c r="C183" i="6" s="1"/>
  <c r="I175" i="18"/>
  <c r="J175" i="18"/>
  <c r="C175" i="6" s="1"/>
  <c r="I349" i="18"/>
  <c r="J349" i="18"/>
  <c r="C349" i="6" s="1"/>
  <c r="J123" i="18"/>
  <c r="C123" i="6" s="1"/>
  <c r="I123" i="18"/>
  <c r="I290" i="18"/>
  <c r="J290" i="18"/>
  <c r="C290" i="6" s="1"/>
  <c r="J188" i="18"/>
  <c r="C188" i="6" s="1"/>
  <c r="I188" i="18"/>
  <c r="J228" i="18"/>
  <c r="C228" i="6" s="1"/>
  <c r="J179" i="18"/>
  <c r="C179" i="6" s="1"/>
  <c r="J180" i="18"/>
  <c r="C180" i="6" s="1"/>
  <c r="J26" i="18"/>
  <c r="C26" i="6" s="1"/>
  <c r="J170" i="18"/>
  <c r="C170" i="6" s="1"/>
  <c r="J39" i="18"/>
  <c r="C39" i="6" s="1"/>
  <c r="J321" i="18"/>
  <c r="C321" i="6" s="1"/>
  <c r="I182" i="18"/>
  <c r="J239" i="18"/>
  <c r="C239" i="6" s="1"/>
  <c r="J266" i="18"/>
  <c r="C266" i="6" s="1"/>
  <c r="I48" i="18"/>
  <c r="I357" i="18"/>
  <c r="J372" i="18"/>
  <c r="C372" i="6" s="1"/>
  <c r="J110" i="18"/>
  <c r="C110" i="6" s="1"/>
  <c r="I244" i="18"/>
  <c r="I248" i="18"/>
  <c r="I330" i="18"/>
  <c r="I256" i="18"/>
  <c r="J215" i="18"/>
  <c r="C215" i="6" s="1"/>
  <c r="I104" i="18"/>
  <c r="I376" i="18"/>
  <c r="J84" i="18"/>
  <c r="C84" i="6" s="1"/>
  <c r="J99" i="18"/>
  <c r="C99" i="6" s="1"/>
  <c r="I226" i="18"/>
  <c r="J312" i="18"/>
  <c r="C312" i="6" s="1"/>
  <c r="J19" i="18"/>
  <c r="C19" i="6" s="1"/>
  <c r="I367" i="18"/>
  <c r="I331" i="18"/>
  <c r="I211" i="18"/>
  <c r="J32" i="18"/>
  <c r="C32" i="6" s="1"/>
  <c r="J52" i="18"/>
  <c r="C52" i="6" s="1"/>
  <c r="J342" i="18"/>
  <c r="C342" i="6" s="1"/>
  <c r="I40" i="18"/>
  <c r="I113" i="18"/>
  <c r="J304" i="18"/>
  <c r="C304" i="6" s="1"/>
  <c r="I375" i="18"/>
  <c r="I341" i="18"/>
  <c r="I336" i="18"/>
  <c r="I106" i="18"/>
  <c r="I66" i="18"/>
  <c r="J319" i="18"/>
  <c r="C319" i="6" s="1"/>
  <c r="J167" i="18"/>
  <c r="C167" i="6" s="1"/>
  <c r="I54" i="18"/>
  <c r="I49" i="18"/>
  <c r="I254" i="18"/>
  <c r="J42" i="18"/>
  <c r="C42" i="6" s="1"/>
  <c r="I325" i="18"/>
  <c r="I21" i="18"/>
  <c r="I219" i="18"/>
  <c r="I261" i="18"/>
  <c r="I46" i="18"/>
  <c r="I333" i="18"/>
  <c r="B333" i="6" s="1"/>
  <c r="I29" i="18"/>
  <c r="J23" i="18"/>
  <c r="C23" i="6" s="1"/>
  <c r="J306" i="18"/>
  <c r="C306" i="6" s="1"/>
  <c r="J295" i="18"/>
  <c r="C295" i="6" s="1"/>
  <c r="J284" i="18"/>
  <c r="C284" i="6" s="1"/>
  <c r="J338" i="18"/>
  <c r="C338" i="6" s="1"/>
  <c r="J305" i="18"/>
  <c r="C305" i="6" s="1"/>
  <c r="I91" i="18"/>
  <c r="J293" i="18"/>
  <c r="C293" i="6" s="1"/>
  <c r="J154" i="18"/>
  <c r="C154" i="6" s="1"/>
  <c r="J112" i="18"/>
  <c r="C112" i="6" s="1"/>
  <c r="I166" i="18"/>
  <c r="I124" i="18"/>
  <c r="I212" i="18"/>
  <c r="J160" i="18"/>
  <c r="C160" i="6" s="1"/>
  <c r="W167" i="24"/>
  <c r="W167" i="23"/>
  <c r="AA152" i="22"/>
  <c r="Z152" i="22" s="1"/>
  <c r="Y152" i="22" s="1"/>
  <c r="G152" i="22"/>
  <c r="CC152" i="6" s="1"/>
  <c r="J86" i="18"/>
  <c r="C86" i="6" s="1"/>
  <c r="I86" i="18"/>
  <c r="J150" i="18"/>
  <c r="C150" i="6" s="1"/>
  <c r="I150" i="18"/>
  <c r="J377" i="18"/>
  <c r="C377" i="6" s="1"/>
  <c r="I377" i="18"/>
  <c r="I131" i="18"/>
  <c r="J131" i="18"/>
  <c r="C131" i="6" s="1"/>
  <c r="J282" i="18"/>
  <c r="C282" i="6" s="1"/>
  <c r="I282" i="18"/>
  <c r="B282" i="6" s="1"/>
  <c r="J185" i="18"/>
  <c r="C185" i="6" s="1"/>
  <c r="I185" i="18"/>
  <c r="I326" i="18"/>
  <c r="J326" i="18"/>
  <c r="C326" i="6" s="1"/>
  <c r="I65" i="18"/>
  <c r="J65" i="18"/>
  <c r="C65" i="6" s="1"/>
  <c r="I148" i="18"/>
  <c r="J148" i="18"/>
  <c r="C148" i="6" s="1"/>
  <c r="J57" i="18"/>
  <c r="C57" i="6" s="1"/>
  <c r="I57" i="18"/>
  <c r="I365" i="18"/>
  <c r="J365" i="18"/>
  <c r="C365" i="6" s="1"/>
  <c r="I108" i="18"/>
  <c r="J108" i="18"/>
  <c r="C108" i="6" s="1"/>
  <c r="I120" i="18"/>
  <c r="J120" i="18"/>
  <c r="C120" i="6" s="1"/>
  <c r="I354" i="18"/>
  <c r="J354" i="18"/>
  <c r="C354" i="6" s="1"/>
  <c r="J222" i="18"/>
  <c r="C222" i="6" s="1"/>
  <c r="I222" i="18"/>
  <c r="I184" i="18"/>
  <c r="J184" i="18"/>
  <c r="C184" i="6" s="1"/>
  <c r="I35" i="18"/>
  <c r="J35" i="18"/>
  <c r="C35" i="6" s="1"/>
  <c r="J189" i="18"/>
  <c r="C189" i="6" s="1"/>
  <c r="I189" i="18"/>
  <c r="J143" i="18"/>
  <c r="C143" i="6" s="1"/>
  <c r="I143" i="18"/>
  <c r="J69" i="18"/>
  <c r="C69" i="6" s="1"/>
  <c r="I69" i="18"/>
  <c r="J369" i="18"/>
  <c r="C369" i="6" s="1"/>
  <c r="I369" i="18"/>
  <c r="I70" i="18"/>
  <c r="J70" i="18"/>
  <c r="C70" i="6" s="1"/>
  <c r="I77" i="18"/>
  <c r="J77" i="18"/>
  <c r="C77" i="6" s="1"/>
  <c r="J176" i="18"/>
  <c r="C176" i="6" s="1"/>
  <c r="I176" i="18"/>
  <c r="I233" i="18"/>
  <c r="J233" i="18"/>
  <c r="C233" i="6" s="1"/>
  <c r="I38" i="18"/>
  <c r="J38" i="18"/>
  <c r="C38" i="6" s="1"/>
  <c r="I351" i="18"/>
  <c r="J351" i="18"/>
  <c r="C351" i="6" s="1"/>
  <c r="J60" i="18"/>
  <c r="C60" i="6" s="1"/>
  <c r="I60" i="18"/>
  <c r="B60" i="6" s="1"/>
  <c r="J194" i="18"/>
  <c r="C194" i="6" s="1"/>
  <c r="I194" i="18"/>
  <c r="I125" i="18"/>
  <c r="J125" i="18"/>
  <c r="C125" i="6" s="1"/>
  <c r="I273" i="18"/>
  <c r="J273" i="18"/>
  <c r="C273" i="6" s="1"/>
  <c r="J361" i="18"/>
  <c r="C361" i="6" s="1"/>
  <c r="I361" i="18"/>
  <c r="I34" i="18"/>
  <c r="J34" i="18"/>
  <c r="C34" i="6" s="1"/>
  <c r="J359" i="18"/>
  <c r="C359" i="6" s="1"/>
  <c r="I359" i="18"/>
  <c r="J358" i="18"/>
  <c r="C358" i="6" s="1"/>
  <c r="I358" i="18"/>
  <c r="I134" i="18"/>
  <c r="J134" i="18"/>
  <c r="C134" i="6" s="1"/>
  <c r="J174" i="18"/>
  <c r="C174" i="6" s="1"/>
  <c r="I174" i="18"/>
  <c r="I116" i="18"/>
  <c r="J116" i="18"/>
  <c r="C116" i="6" s="1"/>
  <c r="J83" i="18"/>
  <c r="C83" i="6" s="1"/>
  <c r="I83" i="18"/>
  <c r="I352" i="18"/>
  <c r="J352" i="18"/>
  <c r="C352" i="6" s="1"/>
  <c r="J258" i="18"/>
  <c r="C258" i="6" s="1"/>
  <c r="I258" i="18"/>
  <c r="J314" i="18"/>
  <c r="C314" i="6" s="1"/>
  <c r="I314" i="18"/>
  <c r="J207" i="18"/>
  <c r="C207" i="6" s="1"/>
  <c r="I207" i="18"/>
  <c r="I210" i="18"/>
  <c r="I243" i="18"/>
  <c r="I237" i="18"/>
  <c r="J300" i="18"/>
  <c r="C300" i="6" s="1"/>
  <c r="J344" i="18"/>
  <c r="C344" i="6" s="1"/>
  <c r="J155" i="18"/>
  <c r="C155" i="6" s="1"/>
  <c r="I59" i="18"/>
  <c r="J259" i="18"/>
  <c r="C259" i="6" s="1"/>
  <c r="J348" i="18"/>
  <c r="C348" i="6" s="1"/>
  <c r="I363" i="18"/>
  <c r="J332" i="18"/>
  <c r="C332" i="6" s="1"/>
  <c r="J85" i="18"/>
  <c r="C85" i="6" s="1"/>
  <c r="I373" i="18"/>
  <c r="J96" i="18"/>
  <c r="C96" i="6" s="1"/>
  <c r="I145" i="18"/>
  <c r="J157" i="18"/>
  <c r="C157" i="6" s="1"/>
  <c r="I198" i="18"/>
  <c r="I139" i="18"/>
  <c r="J187" i="18"/>
  <c r="C187" i="6" s="1"/>
  <c r="I274" i="18"/>
  <c r="I227" i="18"/>
  <c r="I224" i="18"/>
  <c r="J168" i="18"/>
  <c r="C168" i="6" s="1"/>
  <c r="I353" i="18"/>
  <c r="J50" i="18"/>
  <c r="C50" i="6" s="1"/>
  <c r="J68" i="18"/>
  <c r="C68" i="6" s="1"/>
  <c r="J255" i="18"/>
  <c r="C255" i="6" s="1"/>
  <c r="J95" i="18"/>
  <c r="C95" i="6" s="1"/>
  <c r="J229" i="18"/>
  <c r="C229" i="6" s="1"/>
  <c r="I286" i="18"/>
  <c r="I200" i="18"/>
  <c r="J82" i="18"/>
  <c r="C82" i="6" s="1"/>
  <c r="J117" i="18"/>
  <c r="C117" i="6" s="1"/>
  <c r="J41" i="18"/>
  <c r="C41" i="6" s="1"/>
  <c r="I172" i="18"/>
  <c r="J257" i="18"/>
  <c r="C257" i="6" s="1"/>
  <c r="I146" i="18"/>
  <c r="J147" i="18"/>
  <c r="C147" i="6" s="1"/>
  <c r="I276" i="18"/>
  <c r="J118" i="18"/>
  <c r="C118" i="6" s="1"/>
  <c r="J302" i="18"/>
  <c r="C302" i="6" s="1"/>
  <c r="J368" i="18"/>
  <c r="C368" i="6" s="1"/>
  <c r="J270" i="18"/>
  <c r="C270" i="6" s="1"/>
  <c r="I236" i="18"/>
  <c r="I356" i="18"/>
  <c r="I24" i="18"/>
  <c r="I350" i="18"/>
  <c r="J191" i="18"/>
  <c r="C191" i="6" s="1"/>
  <c r="J250" i="18"/>
  <c r="C250" i="6" s="1"/>
  <c r="J371" i="18"/>
  <c r="C371" i="6" s="1"/>
  <c r="I31" i="18"/>
  <c r="I22" i="18"/>
  <c r="J119" i="18"/>
  <c r="C119" i="6" s="1"/>
  <c r="I62" i="18"/>
  <c r="I309" i="18"/>
  <c r="I311" i="18"/>
  <c r="I378" i="18"/>
  <c r="I137" i="18"/>
  <c r="J169" i="18"/>
  <c r="C169" i="6" s="1"/>
  <c r="J218" i="18"/>
  <c r="C218" i="6" s="1"/>
  <c r="I144" i="18"/>
  <c r="J275" i="18"/>
  <c r="C275" i="6" s="1"/>
  <c r="I268" i="18"/>
  <c r="J289" i="18"/>
  <c r="C289" i="6" s="1"/>
  <c r="J132" i="18"/>
  <c r="C132" i="6" s="1"/>
  <c r="J163" i="18"/>
  <c r="C163" i="6" s="1"/>
  <c r="I298" i="18"/>
  <c r="I262" i="18"/>
  <c r="J281" i="18"/>
  <c r="C281" i="6" s="1"/>
  <c r="J247" i="18"/>
  <c r="C247" i="6" s="1"/>
  <c r="I231" i="18"/>
  <c r="I33" i="18"/>
  <c r="J129" i="18"/>
  <c r="C129" i="6" s="1"/>
  <c r="J114" i="18"/>
  <c r="C114" i="6" s="1"/>
  <c r="I74" i="18"/>
  <c r="J335" i="18"/>
  <c r="C335" i="6" s="1"/>
  <c r="J208" i="18"/>
  <c r="C208" i="6" s="1"/>
  <c r="J334" i="18"/>
  <c r="C334" i="6" s="1"/>
  <c r="J221" i="18"/>
  <c r="C221" i="6" s="1"/>
  <c r="BA81" i="6"/>
  <c r="D81" i="6" s="1"/>
  <c r="BA321" i="6"/>
  <c r="D321" i="6" s="1"/>
  <c r="BA72" i="6"/>
  <c r="D72" i="6" s="1"/>
  <c r="BA315" i="6"/>
  <c r="D315" i="6" s="1"/>
  <c r="BA239" i="6"/>
  <c r="D239" i="6" s="1"/>
  <c r="BA266" i="6"/>
  <c r="D266" i="6" s="1"/>
  <c r="BA307" i="6"/>
  <c r="D307" i="6" s="1"/>
  <c r="BA372" i="6"/>
  <c r="D372" i="6" s="1"/>
  <c r="BA110" i="6"/>
  <c r="D110" i="6" s="1"/>
  <c r="BA214" i="6"/>
  <c r="D214" i="6" s="1"/>
  <c r="BA51" i="6"/>
  <c r="D51" i="6" s="1"/>
  <c r="BA364" i="6"/>
  <c r="D364" i="6" s="1"/>
  <c r="BA215" i="6"/>
  <c r="D215" i="6" s="1"/>
  <c r="BA181" i="6"/>
  <c r="D181" i="6" s="1"/>
  <c r="BA246" i="6"/>
  <c r="D246" i="6" s="1"/>
  <c r="BA56" i="6"/>
  <c r="D56" i="6" s="1"/>
  <c r="BA287" i="6"/>
  <c r="D287" i="6" s="1"/>
  <c r="BA84" i="6"/>
  <c r="D84" i="6" s="1"/>
  <c r="BA99" i="6"/>
  <c r="D99" i="6" s="1"/>
  <c r="BA20" i="6"/>
  <c r="D20" i="6" s="1"/>
  <c r="BA42" i="6"/>
  <c r="D42" i="6" s="1"/>
  <c r="BA25" i="6"/>
  <c r="D25" i="6" s="1"/>
  <c r="BA245" i="6"/>
  <c r="D245" i="6" s="1"/>
  <c r="BA89" i="6"/>
  <c r="D89" i="6" s="1"/>
  <c r="BA332" i="6"/>
  <c r="D332" i="6" s="1"/>
  <c r="BA85" i="6"/>
  <c r="D85" i="6" s="1"/>
  <c r="BA96" i="6"/>
  <c r="D96" i="6" s="1"/>
  <c r="BA295" i="6"/>
  <c r="D295" i="6" s="1"/>
  <c r="BA157" i="6"/>
  <c r="D157" i="6" s="1"/>
  <c r="BA90" i="6"/>
  <c r="D90" i="6" s="1"/>
  <c r="BA279" i="6"/>
  <c r="D279" i="6" s="1"/>
  <c r="BA187" i="6"/>
  <c r="D187" i="6" s="1"/>
  <c r="BA206" i="6"/>
  <c r="D206" i="6" s="1"/>
  <c r="BA44" i="6"/>
  <c r="D44" i="6" s="1"/>
  <c r="BA191" i="6"/>
  <c r="D191" i="6" s="1"/>
  <c r="BA250" i="6"/>
  <c r="D250" i="6" s="1"/>
  <c r="BA371" i="6"/>
  <c r="D371" i="6" s="1"/>
  <c r="BA88" i="6"/>
  <c r="D88" i="6" s="1"/>
  <c r="BA119" i="6"/>
  <c r="D119" i="6" s="1"/>
  <c r="BA169" i="6"/>
  <c r="D169" i="6" s="1"/>
  <c r="BA218" i="6"/>
  <c r="D218" i="6" s="1"/>
  <c r="BA282" i="6"/>
  <c r="D282" i="6" s="1"/>
  <c r="BA60" i="6"/>
  <c r="D60" i="6" s="1"/>
  <c r="BA109" i="6"/>
  <c r="D109" i="6" s="1"/>
  <c r="D152" i="24"/>
  <c r="E152" i="24" s="1"/>
  <c r="F152" i="24" s="1"/>
  <c r="W211" i="24"/>
  <c r="W59" i="24"/>
  <c r="D108" i="23"/>
  <c r="E108" i="23" s="1"/>
  <c r="F108" i="23" s="1"/>
  <c r="AA108" i="23" s="1"/>
  <c r="Z108" i="23" s="1"/>
  <c r="Y108" i="23" s="1"/>
  <c r="G335" i="22"/>
  <c r="CC335" i="6" s="1"/>
  <c r="W59" i="23"/>
  <c r="AA183" i="22"/>
  <c r="Z183" i="22" s="1"/>
  <c r="Y183" i="22" s="1"/>
  <c r="W331" i="24"/>
  <c r="G136" i="22"/>
  <c r="CC136" i="6" s="1"/>
  <c r="G43" i="22"/>
  <c r="CC43" i="6" s="1"/>
  <c r="D363" i="23"/>
  <c r="E363" i="23" s="1"/>
  <c r="F363" i="23" s="1"/>
  <c r="AA363" i="23" s="1"/>
  <c r="Z363" i="23" s="1"/>
  <c r="Y363" i="23" s="1"/>
  <c r="D152" i="23"/>
  <c r="E152" i="23" s="1"/>
  <c r="F152" i="23" s="1"/>
  <c r="AA152" i="23" s="1"/>
  <c r="Z152" i="23" s="1"/>
  <c r="Y152" i="23" s="1"/>
  <c r="D50" i="24"/>
  <c r="E50" i="24" s="1"/>
  <c r="F50" i="24" s="1"/>
  <c r="W306" i="24"/>
  <c r="AA28" i="22"/>
  <c r="Z28" i="22" s="1"/>
  <c r="Y28" i="22" s="1"/>
  <c r="D205" i="23"/>
  <c r="E205" i="23" s="1"/>
  <c r="F205" i="23" s="1"/>
  <c r="G205" i="23" s="1"/>
  <c r="CD205" i="6" s="1"/>
  <c r="W323" i="24"/>
  <c r="D259" i="23"/>
  <c r="E259" i="23" s="1"/>
  <c r="F259" i="23" s="1"/>
  <c r="G259" i="23" s="1"/>
  <c r="CD259" i="6" s="1"/>
  <c r="AA363" i="22"/>
  <c r="Z363" i="22" s="1"/>
  <c r="Y363" i="22" s="1"/>
  <c r="D212" i="24"/>
  <c r="E212" i="24" s="1"/>
  <c r="F212" i="24" s="1"/>
  <c r="D331" i="23"/>
  <c r="E331" i="23" s="1"/>
  <c r="F331" i="23" s="1"/>
  <c r="G331" i="23" s="1"/>
  <c r="CD331" i="6" s="1"/>
  <c r="D211" i="23"/>
  <c r="E211" i="23" s="1"/>
  <c r="F211" i="23" s="1"/>
  <c r="G211" i="23" s="1"/>
  <c r="CD211" i="6" s="1"/>
  <c r="D50" i="23"/>
  <c r="E50" i="23" s="1"/>
  <c r="F50" i="23" s="1"/>
  <c r="G50" i="23" s="1"/>
  <c r="CD50" i="6" s="1"/>
  <c r="G312" i="22"/>
  <c r="CC312" i="6" s="1"/>
  <c r="W18" i="23"/>
  <c r="W259" i="23"/>
  <c r="W327" i="23"/>
  <c r="W70" i="23"/>
  <c r="W351" i="23"/>
  <c r="D231" i="23"/>
  <c r="E231" i="23" s="1"/>
  <c r="F231" i="23" s="1"/>
  <c r="G231" i="23" s="1"/>
  <c r="CD231" i="6" s="1"/>
  <c r="AA30" i="22"/>
  <c r="Z30" i="22" s="1"/>
  <c r="Y30" i="22" s="1"/>
  <c r="W28" i="24"/>
  <c r="W205" i="24"/>
  <c r="W28" i="23"/>
  <c r="W54" i="24"/>
  <c r="W23" i="24"/>
  <c r="W70" i="24"/>
  <c r="W231" i="23"/>
  <c r="D192" i="23"/>
  <c r="E192" i="23" s="1"/>
  <c r="F192" i="23" s="1"/>
  <c r="AA192" i="23" s="1"/>
  <c r="Z192" i="23" s="1"/>
  <c r="Y192" i="23" s="1"/>
  <c r="W170" i="23"/>
  <c r="W329" i="24"/>
  <c r="W131" i="23"/>
  <c r="D306" i="23"/>
  <c r="E306" i="23" s="1"/>
  <c r="F306" i="23" s="1"/>
  <c r="G306" i="23" s="1"/>
  <c r="CD306" i="6" s="1"/>
  <c r="D30" i="24"/>
  <c r="E30" i="24" s="1"/>
  <c r="F30" i="24" s="1"/>
  <c r="G79" i="22"/>
  <c r="CC79" i="6" s="1"/>
  <c r="G38" i="22"/>
  <c r="CC38" i="6" s="1"/>
  <c r="W312" i="23"/>
  <c r="W129" i="24"/>
  <c r="AA18" i="22"/>
  <c r="Z18" i="22" s="1"/>
  <c r="Y18" i="22" s="1"/>
  <c r="D208" i="23"/>
  <c r="E208" i="23" s="1"/>
  <c r="F208" i="23" s="1"/>
  <c r="G208" i="23" s="1"/>
  <c r="CD208" i="6" s="1"/>
  <c r="D351" i="23"/>
  <c r="E351" i="23" s="1"/>
  <c r="F351" i="23" s="1"/>
  <c r="G351" i="23" s="1"/>
  <c r="CD351" i="6" s="1"/>
  <c r="D170" i="23"/>
  <c r="E170" i="23" s="1"/>
  <c r="F170" i="23" s="1"/>
  <c r="AA170" i="23" s="1"/>
  <c r="Z170" i="23" s="1"/>
  <c r="Y170" i="23" s="1"/>
  <c r="AA197" i="22"/>
  <c r="Z197" i="22" s="1"/>
  <c r="Y197" i="22" s="1"/>
  <c r="W95" i="24"/>
  <c r="D329" i="23"/>
  <c r="E329" i="23" s="1"/>
  <c r="F329" i="23" s="1"/>
  <c r="G329" i="23" s="1"/>
  <c r="CD329" i="6" s="1"/>
  <c r="D131" i="23"/>
  <c r="E131" i="23" s="1"/>
  <c r="F131" i="23" s="1"/>
  <c r="G131" i="23" s="1"/>
  <c r="CD131" i="6" s="1"/>
  <c r="W79" i="23"/>
  <c r="W212" i="23"/>
  <c r="W269" i="24"/>
  <c r="D300" i="23"/>
  <c r="E300" i="23" s="1"/>
  <c r="F300" i="23" s="1"/>
  <c r="AA300" i="23" s="1"/>
  <c r="Z300" i="23" s="1"/>
  <c r="Y300" i="23" s="1"/>
  <c r="D167" i="23"/>
  <c r="E167" i="23" s="1"/>
  <c r="F167" i="23" s="1"/>
  <c r="G167" i="23" s="1"/>
  <c r="CD167" i="6" s="1"/>
  <c r="G212" i="22"/>
  <c r="CC212" i="6" s="1"/>
  <c r="W19" i="24"/>
  <c r="W35" i="23"/>
  <c r="AA331" i="22"/>
  <c r="Z331" i="22" s="1"/>
  <c r="Y331" i="22" s="1"/>
  <c r="W353" i="23"/>
  <c r="W193" i="23"/>
  <c r="W335" i="24"/>
  <c r="W377" i="23"/>
  <c r="W363" i="23"/>
  <c r="G297" i="22"/>
  <c r="CC297" i="6" s="1"/>
  <c r="W94" i="23"/>
  <c r="D294" i="23"/>
  <c r="E294" i="23" s="1"/>
  <c r="F294" i="23" s="1"/>
  <c r="G294" i="23" s="1"/>
  <c r="CD294" i="6" s="1"/>
  <c r="D359" i="24"/>
  <c r="E359" i="24" s="1"/>
  <c r="F359" i="24" s="1"/>
  <c r="D270" i="23"/>
  <c r="E270" i="23" s="1"/>
  <c r="F270" i="23" s="1"/>
  <c r="G270" i="23" s="1"/>
  <c r="CD270" i="6" s="1"/>
  <c r="AA259" i="22"/>
  <c r="Z259" i="22" s="1"/>
  <c r="Y259" i="22" s="1"/>
  <c r="W237" i="24"/>
  <c r="D353" i="24"/>
  <c r="E353" i="24" s="1"/>
  <c r="F353" i="24" s="1"/>
  <c r="W335" i="23"/>
  <c r="D377" i="24"/>
  <c r="E377" i="24" s="1"/>
  <c r="F377" i="24" s="1"/>
  <c r="W348" i="24"/>
  <c r="D94" i="23"/>
  <c r="E94" i="23" s="1"/>
  <c r="F94" i="23" s="1"/>
  <c r="AA94" i="23" s="1"/>
  <c r="Z94" i="23" s="1"/>
  <c r="Y94" i="23" s="1"/>
  <c r="W337" i="23"/>
  <c r="AA338" i="22"/>
  <c r="Z338" i="22" s="1"/>
  <c r="Y338" i="22" s="1"/>
  <c r="W359" i="23"/>
  <c r="G327" i="22"/>
  <c r="CC327" i="6" s="1"/>
  <c r="G367" i="22"/>
  <c r="CC367" i="6" s="1"/>
  <c r="W136" i="24"/>
  <c r="W197" i="23"/>
  <c r="W237" i="23"/>
  <c r="D54" i="23"/>
  <c r="E54" i="23" s="1"/>
  <c r="F54" i="23" s="1"/>
  <c r="AA54" i="23" s="1"/>
  <c r="Z54" i="23" s="1"/>
  <c r="Y54" i="23" s="1"/>
  <c r="W30" i="23"/>
  <c r="W327" i="24"/>
  <c r="W23" i="23"/>
  <c r="W129" i="23"/>
  <c r="W208" i="23"/>
  <c r="G265" i="22"/>
  <c r="CC265" i="6" s="1"/>
  <c r="D79" i="23"/>
  <c r="E79" i="23" s="1"/>
  <c r="F79" i="23" s="1"/>
  <c r="G79" i="23" s="1"/>
  <c r="CD79" i="6" s="1"/>
  <c r="D183" i="23"/>
  <c r="E183" i="23" s="1"/>
  <c r="F183" i="23" s="1"/>
  <c r="G183" i="23" s="1"/>
  <c r="CD183" i="6" s="1"/>
  <c r="G366" i="22"/>
  <c r="CC366" i="6" s="1"/>
  <c r="G97" i="22"/>
  <c r="CC97" i="6" s="1"/>
  <c r="D269" i="23"/>
  <c r="E269" i="23" s="1"/>
  <c r="F269" i="23" s="1"/>
  <c r="G269" i="23" s="1"/>
  <c r="CD269" i="6" s="1"/>
  <c r="D300" i="24"/>
  <c r="E300" i="24" s="1"/>
  <c r="F300" i="24" s="1"/>
  <c r="W179" i="24"/>
  <c r="W348" i="23"/>
  <c r="W19" i="23"/>
  <c r="D337" i="23"/>
  <c r="E337" i="23" s="1"/>
  <c r="F337" i="23" s="1"/>
  <c r="AA337" i="23" s="1"/>
  <c r="Z337" i="23" s="1"/>
  <c r="Y337" i="23" s="1"/>
  <c r="D301" i="24"/>
  <c r="E301" i="24" s="1"/>
  <c r="F301" i="24" s="1"/>
  <c r="D358" i="23"/>
  <c r="E358" i="23" s="1"/>
  <c r="F358" i="23" s="1"/>
  <c r="AA358" i="23" s="1"/>
  <c r="Z358" i="23" s="1"/>
  <c r="Y358" i="23" s="1"/>
  <c r="W270" i="24"/>
  <c r="D297" i="23"/>
  <c r="E297" i="23" s="1"/>
  <c r="F297" i="23" s="1"/>
  <c r="AA297" i="23" s="1"/>
  <c r="Z297" i="23" s="1"/>
  <c r="Y297" i="23" s="1"/>
  <c r="D197" i="23"/>
  <c r="E197" i="23" s="1"/>
  <c r="F197" i="23" s="1"/>
  <c r="G197" i="23" s="1"/>
  <c r="CD197" i="6" s="1"/>
  <c r="W179" i="23"/>
  <c r="W316" i="24"/>
  <c r="D301" i="23"/>
  <c r="E301" i="23" s="1"/>
  <c r="F301" i="23" s="1"/>
  <c r="AA301" i="23" s="1"/>
  <c r="Z301" i="23" s="1"/>
  <c r="Y301" i="23" s="1"/>
  <c r="W358" i="24"/>
  <c r="W136" i="23"/>
  <c r="W43" i="24"/>
  <c r="AA224" i="22"/>
  <c r="Z224" i="22" s="1"/>
  <c r="Y224" i="22" s="1"/>
  <c r="W164" i="24"/>
  <c r="W92" i="23"/>
  <c r="W366" i="23"/>
  <c r="D312" i="23"/>
  <c r="E312" i="23" s="1"/>
  <c r="F312" i="23" s="1"/>
  <c r="AA312" i="23" s="1"/>
  <c r="Z312" i="23" s="1"/>
  <c r="Y312" i="23" s="1"/>
  <c r="W95" i="23"/>
  <c r="W153" i="23"/>
  <c r="D344" i="23"/>
  <c r="E344" i="23" s="1"/>
  <c r="F344" i="23" s="1"/>
  <c r="G344" i="23" s="1"/>
  <c r="CD344" i="6" s="1"/>
  <c r="AA326" i="22"/>
  <c r="Z326" i="22" s="1"/>
  <c r="Y326" i="22" s="1"/>
  <c r="W183" i="23"/>
  <c r="D18" i="23"/>
  <c r="E18" i="23" s="1"/>
  <c r="F18" i="23" s="1"/>
  <c r="G18" i="23" s="1"/>
  <c r="CD18" i="6" s="1"/>
  <c r="W192" i="24"/>
  <c r="D193" i="23"/>
  <c r="E193" i="23" s="1"/>
  <c r="F193" i="23" s="1"/>
  <c r="G193" i="23" s="1"/>
  <c r="CD193" i="6" s="1"/>
  <c r="D168" i="23"/>
  <c r="E168" i="23" s="1"/>
  <c r="F168" i="23" s="1"/>
  <c r="AA168" i="23" s="1"/>
  <c r="Z168" i="23" s="1"/>
  <c r="Y168" i="23" s="1"/>
  <c r="W316" i="23"/>
  <c r="G324" i="22"/>
  <c r="CC324" i="6" s="1"/>
  <c r="W294" i="24"/>
  <c r="W155" i="24"/>
  <c r="D43" i="23"/>
  <c r="E43" i="23" s="1"/>
  <c r="F43" i="23" s="1"/>
  <c r="G43" i="23" s="1"/>
  <c r="CD43" i="6" s="1"/>
  <c r="D297" i="24"/>
  <c r="E297" i="24" s="1"/>
  <c r="F297" i="24" s="1"/>
  <c r="D116" i="23"/>
  <c r="E116" i="23" s="1"/>
  <c r="F116" i="23" s="1"/>
  <c r="G116" i="23" s="1"/>
  <c r="CD116" i="6" s="1"/>
  <c r="H272" i="20"/>
  <c r="J272" i="20" s="1"/>
  <c r="H60" i="20"/>
  <c r="I60" i="20" s="1"/>
  <c r="H60" i="22" s="1"/>
  <c r="W168" i="23"/>
  <c r="AA164" i="22"/>
  <c r="Z164" i="22" s="1"/>
  <c r="Y164" i="22" s="1"/>
  <c r="D155" i="23"/>
  <c r="E155" i="23" s="1"/>
  <c r="F155" i="23" s="1"/>
  <c r="G155" i="23" s="1"/>
  <c r="CD155" i="6" s="1"/>
  <c r="D116" i="24"/>
  <c r="E116" i="24" s="1"/>
  <c r="F116" i="24" s="1"/>
  <c r="H296" i="20"/>
  <c r="J296" i="20" s="1"/>
  <c r="J205" i="20"/>
  <c r="J205" i="22" s="1"/>
  <c r="D35" i="23"/>
  <c r="E35" i="23" s="1"/>
  <c r="F35" i="23" s="1"/>
  <c r="AA35" i="23" s="1"/>
  <c r="Z35" i="23" s="1"/>
  <c r="Y35" i="23" s="1"/>
  <c r="H282" i="20"/>
  <c r="AA227" i="22"/>
  <c r="Z227" i="22" s="1"/>
  <c r="Y227" i="22" s="1"/>
  <c r="D92" i="23"/>
  <c r="E92" i="23" s="1"/>
  <c r="F92" i="23" s="1"/>
  <c r="AA92" i="23" s="1"/>
  <c r="Z92" i="23" s="1"/>
  <c r="Y92" i="23" s="1"/>
  <c r="D366" i="23"/>
  <c r="E366" i="23" s="1"/>
  <c r="F366" i="23" s="1"/>
  <c r="AA366" i="23" s="1"/>
  <c r="Z366" i="23" s="1"/>
  <c r="Y366" i="23" s="1"/>
  <c r="D164" i="23"/>
  <c r="E164" i="23" s="1"/>
  <c r="F164" i="23" s="1"/>
  <c r="G164" i="23" s="1"/>
  <c r="CD164" i="6" s="1"/>
  <c r="D338" i="24"/>
  <c r="E338" i="24" s="1"/>
  <c r="F338" i="24" s="1"/>
  <c r="D284" i="24"/>
  <c r="E284" i="24" s="1"/>
  <c r="F284" i="24" s="1"/>
  <c r="W224" i="24"/>
  <c r="D97" i="24"/>
  <c r="E97" i="24" s="1"/>
  <c r="F97" i="24" s="1"/>
  <c r="D255" i="23"/>
  <c r="E255" i="23" s="1"/>
  <c r="F255" i="23" s="1"/>
  <c r="G255" i="23" s="1"/>
  <c r="CD255" i="6" s="1"/>
  <c r="D180" i="23"/>
  <c r="E180" i="23" s="1"/>
  <c r="F180" i="23" s="1"/>
  <c r="AA180" i="23" s="1"/>
  <c r="Z180" i="23" s="1"/>
  <c r="Y180" i="23" s="1"/>
  <c r="D64" i="23"/>
  <c r="E64" i="23" s="1"/>
  <c r="F64" i="23" s="1"/>
  <c r="G64" i="23" s="1"/>
  <c r="CD64" i="6" s="1"/>
  <c r="D243" i="23"/>
  <c r="E243" i="23" s="1"/>
  <c r="F243" i="23" s="1"/>
  <c r="G243" i="23" s="1"/>
  <c r="CD243" i="6" s="1"/>
  <c r="AA153" i="22"/>
  <c r="Z153" i="22" s="1"/>
  <c r="Y153" i="22" s="1"/>
  <c r="D216" i="23"/>
  <c r="E216" i="23" s="1"/>
  <c r="F216" i="23" s="1"/>
  <c r="AA216" i="23" s="1"/>
  <c r="Z216" i="23" s="1"/>
  <c r="Y216" i="23" s="1"/>
  <c r="W153" i="24"/>
  <c r="AA284" i="22"/>
  <c r="Z284" i="22" s="1"/>
  <c r="Y284" i="22" s="1"/>
  <c r="D55" i="23"/>
  <c r="E55" i="23" s="1"/>
  <c r="F55" i="23" s="1"/>
  <c r="G55" i="23" s="1"/>
  <c r="CD55" i="6" s="1"/>
  <c r="W180" i="24"/>
  <c r="W64" i="24"/>
  <c r="W243" i="24"/>
  <c r="W216" i="24"/>
  <c r="I251" i="20"/>
  <c r="H251" i="22" s="1"/>
  <c r="W344" i="24"/>
  <c r="W323" i="23"/>
  <c r="AA228" i="22"/>
  <c r="Z228" i="22" s="1"/>
  <c r="Y228" i="22" s="1"/>
  <c r="W55" i="23"/>
  <c r="W265" i="23"/>
  <c r="W326" i="23"/>
  <c r="W228" i="23"/>
  <c r="W258" i="23"/>
  <c r="D227" i="23"/>
  <c r="E227" i="23" s="1"/>
  <c r="F227" i="23" s="1"/>
  <c r="AA227" i="23" s="1"/>
  <c r="Z227" i="23" s="1"/>
  <c r="Y227" i="23" s="1"/>
  <c r="D265" i="23"/>
  <c r="E265" i="23" s="1"/>
  <c r="F265" i="23" s="1"/>
  <c r="G265" i="23" s="1"/>
  <c r="CD265" i="6" s="1"/>
  <c r="H191" i="20"/>
  <c r="I191" i="20" s="1"/>
  <c r="H191" i="22" s="1"/>
  <c r="D326" i="24"/>
  <c r="E326" i="24" s="1"/>
  <c r="F326" i="24" s="1"/>
  <c r="D367" i="23"/>
  <c r="E367" i="23" s="1"/>
  <c r="F367" i="23" s="1"/>
  <c r="G367" i="23" s="1"/>
  <c r="CD367" i="6" s="1"/>
  <c r="D228" i="23"/>
  <c r="E228" i="23" s="1"/>
  <c r="F228" i="23" s="1"/>
  <c r="AA228" i="23" s="1"/>
  <c r="Z228" i="23" s="1"/>
  <c r="Y228" i="23" s="1"/>
  <c r="W227" i="23"/>
  <c r="W38" i="23"/>
  <c r="I217" i="20"/>
  <c r="H217" i="22" s="1"/>
  <c r="J217" i="22" s="1"/>
  <c r="D367" i="24"/>
  <c r="E367" i="24" s="1"/>
  <c r="F367" i="24" s="1"/>
  <c r="D338" i="23"/>
  <c r="E338" i="23" s="1"/>
  <c r="F338" i="23" s="1"/>
  <c r="G338" i="23" s="1"/>
  <c r="CD338" i="6" s="1"/>
  <c r="W284" i="23"/>
  <c r="D224" i="23"/>
  <c r="E224" i="23" s="1"/>
  <c r="F224" i="23" s="1"/>
  <c r="G224" i="23" s="1"/>
  <c r="CD224" i="6" s="1"/>
  <c r="D97" i="23"/>
  <c r="E97" i="23" s="1"/>
  <c r="F97" i="23" s="1"/>
  <c r="G97" i="23" s="1"/>
  <c r="CD97" i="6" s="1"/>
  <c r="W255" i="23"/>
  <c r="H90" i="20"/>
  <c r="I90" i="20" s="1"/>
  <c r="H90" i="22" s="1"/>
  <c r="H109" i="20"/>
  <c r="I109" i="20" s="1"/>
  <c r="H109" i="22" s="1"/>
  <c r="H236" i="20"/>
  <c r="J236" i="20" s="1"/>
  <c r="H371" i="20"/>
  <c r="H87" i="20"/>
  <c r="J87" i="20" s="1"/>
  <c r="H76" i="20"/>
  <c r="J76" i="20" s="1"/>
  <c r="H347" i="20"/>
  <c r="H206" i="20"/>
  <c r="I206" i="20" s="1"/>
  <c r="H206" i="22" s="1"/>
  <c r="H44" i="20"/>
  <c r="J44" i="20" s="1"/>
  <c r="D324" i="23"/>
  <c r="E324" i="23" s="1"/>
  <c r="F324" i="23" s="1"/>
  <c r="G324" i="23" s="1"/>
  <c r="CD324" i="6" s="1"/>
  <c r="H234" i="20"/>
  <c r="J234" i="20" s="1"/>
  <c r="H25" i="20"/>
  <c r="H112" i="20"/>
  <c r="I112" i="20" s="1"/>
  <c r="H112" i="22" s="1"/>
  <c r="D258" i="23"/>
  <c r="E258" i="23" s="1"/>
  <c r="F258" i="23" s="1"/>
  <c r="G258" i="23" s="1"/>
  <c r="CD258" i="6" s="1"/>
  <c r="H275" i="20"/>
  <c r="I275" i="20" s="1"/>
  <c r="H275" i="22" s="1"/>
  <c r="D38" i="23"/>
  <c r="E38" i="23" s="1"/>
  <c r="F38" i="23" s="1"/>
  <c r="G38" i="23" s="1"/>
  <c r="CD38" i="6" s="1"/>
  <c r="D324" i="24"/>
  <c r="E324" i="24" s="1"/>
  <c r="F324" i="24" s="1"/>
  <c r="H88" i="20"/>
  <c r="H119" i="20"/>
  <c r="I119" i="20" s="1"/>
  <c r="H119" i="22" s="1"/>
  <c r="H245" i="20"/>
  <c r="I245" i="20" s="1"/>
  <c r="H245" i="22" s="1"/>
  <c r="H289" i="20"/>
  <c r="J289" i="20" s="1"/>
  <c r="H71" i="20"/>
  <c r="I71" i="20" s="1"/>
  <c r="H71" i="22" s="1"/>
  <c r="H114" i="20"/>
  <c r="J114" i="20" s="1"/>
  <c r="H163" i="20"/>
  <c r="J163" i="20" s="1"/>
  <c r="H160" i="20"/>
  <c r="I160" i="20" s="1"/>
  <c r="H160" i="22" s="1"/>
  <c r="H334" i="20"/>
  <c r="I334" i="20" s="1"/>
  <c r="H334" i="22" s="1"/>
  <c r="H328" i="20"/>
  <c r="G380" i="20"/>
  <c r="CB380" i="6" s="1"/>
  <c r="AA380" i="20"/>
  <c r="Z380" i="20" s="1"/>
  <c r="Y380" i="20" s="1"/>
  <c r="H253" i="20"/>
  <c r="I253" i="20" s="1"/>
  <c r="H253" i="22" s="1"/>
  <c r="H187" i="20"/>
  <c r="H85" i="20"/>
  <c r="H169" i="20"/>
  <c r="H218" i="20"/>
  <c r="I218" i="20" s="1"/>
  <c r="H218" i="22" s="1"/>
  <c r="H89" i="20"/>
  <c r="H250" i="20"/>
  <c r="H295" i="20"/>
  <c r="I295" i="20" s="1"/>
  <c r="H295" i="22" s="1"/>
  <c r="W100" i="24"/>
  <c r="D100" i="24"/>
  <c r="E100" i="24" s="1"/>
  <c r="F100" i="24" s="1"/>
  <c r="G32" i="23"/>
  <c r="CD32" i="6" s="1"/>
  <c r="AA32" i="23"/>
  <c r="Z32" i="23" s="1"/>
  <c r="Y32" i="23" s="1"/>
  <c r="G229" i="23"/>
  <c r="CD229" i="6" s="1"/>
  <c r="AA229" i="23"/>
  <c r="Z229" i="23" s="1"/>
  <c r="Y229" i="23" s="1"/>
  <c r="I205" i="22"/>
  <c r="W134" i="24"/>
  <c r="D134" i="24"/>
  <c r="E134" i="24" s="1"/>
  <c r="F134" i="24" s="1"/>
  <c r="AA68" i="23"/>
  <c r="Z68" i="23" s="1"/>
  <c r="Y68" i="23" s="1"/>
  <c r="G68" i="23"/>
  <c r="CD68" i="6" s="1"/>
  <c r="G213" i="22"/>
  <c r="CC213" i="6" s="1"/>
  <c r="AA213" i="22"/>
  <c r="Z213" i="22" s="1"/>
  <c r="Y213" i="22" s="1"/>
  <c r="W280" i="24"/>
  <c r="D280" i="24"/>
  <c r="E280" i="24" s="1"/>
  <c r="F280" i="24" s="1"/>
  <c r="W172" i="24"/>
  <c r="D172" i="24"/>
  <c r="E172" i="24" s="1"/>
  <c r="F172" i="24" s="1"/>
  <c r="AA20" i="22"/>
  <c r="Z20" i="22" s="1"/>
  <c r="Y20" i="22" s="1"/>
  <c r="G20" i="22"/>
  <c r="CC20" i="6" s="1"/>
  <c r="G267" i="22"/>
  <c r="CC267" i="6" s="1"/>
  <c r="AA267" i="22"/>
  <c r="Z267" i="22" s="1"/>
  <c r="Y267" i="22" s="1"/>
  <c r="G141" i="23"/>
  <c r="CD141" i="6" s="1"/>
  <c r="AA141" i="23"/>
  <c r="Z141" i="23" s="1"/>
  <c r="Y141" i="23" s="1"/>
  <c r="W141" i="24"/>
  <c r="D141" i="24"/>
  <c r="E141" i="24" s="1"/>
  <c r="F141" i="24" s="1"/>
  <c r="G59" i="23"/>
  <c r="CD59" i="6" s="1"/>
  <c r="AA59" i="23"/>
  <c r="Z59" i="23" s="1"/>
  <c r="Y59" i="23" s="1"/>
  <c r="AA142" i="23"/>
  <c r="Z142" i="23" s="1"/>
  <c r="Y142" i="23" s="1"/>
  <c r="G142" i="23"/>
  <c r="CD142" i="6" s="1"/>
  <c r="W339" i="23"/>
  <c r="D339" i="23"/>
  <c r="E339" i="23" s="1"/>
  <c r="F339" i="23" s="1"/>
  <c r="G291" i="22"/>
  <c r="CC291" i="6" s="1"/>
  <c r="AA291" i="22"/>
  <c r="Z291" i="22" s="1"/>
  <c r="Y291" i="22" s="1"/>
  <c r="W291" i="23"/>
  <c r="D291" i="23"/>
  <c r="E291" i="23" s="1"/>
  <c r="F291" i="23" s="1"/>
  <c r="G209" i="23"/>
  <c r="CD209" i="6" s="1"/>
  <c r="AA209" i="23"/>
  <c r="Z209" i="23" s="1"/>
  <c r="Y209" i="23" s="1"/>
  <c r="G147" i="23"/>
  <c r="CD147" i="6" s="1"/>
  <c r="AA147" i="23"/>
  <c r="Z147" i="23" s="1"/>
  <c r="Y147" i="23" s="1"/>
  <c r="W49" i="23"/>
  <c r="D49" i="23"/>
  <c r="E49" i="23" s="1"/>
  <c r="F49" i="23" s="1"/>
  <c r="D276" i="24"/>
  <c r="E276" i="24" s="1"/>
  <c r="F276" i="24" s="1"/>
  <c r="W276" i="24"/>
  <c r="G254" i="22"/>
  <c r="CC254" i="6" s="1"/>
  <c r="AA254" i="22"/>
  <c r="Z254" i="22" s="1"/>
  <c r="Y254" i="22" s="1"/>
  <c r="G42" i="22"/>
  <c r="CC42" i="6" s="1"/>
  <c r="AA42" i="22"/>
  <c r="Z42" i="22" s="1"/>
  <c r="Y42" i="22" s="1"/>
  <c r="AA249" i="22"/>
  <c r="Z249" i="22" s="1"/>
  <c r="Y249" i="22" s="1"/>
  <c r="G249" i="22"/>
  <c r="CC249" i="6" s="1"/>
  <c r="G189" i="23"/>
  <c r="CD189" i="6" s="1"/>
  <c r="AA189" i="23"/>
  <c r="Z189" i="23" s="1"/>
  <c r="Y189" i="23" s="1"/>
  <c r="W368" i="24"/>
  <c r="D368" i="24"/>
  <c r="E368" i="24" s="1"/>
  <c r="F368" i="24" s="1"/>
  <c r="W232" i="23"/>
  <c r="D232" i="23"/>
  <c r="E232" i="23" s="1"/>
  <c r="F232" i="23" s="1"/>
  <c r="W62" i="23"/>
  <c r="D62" i="23"/>
  <c r="E62" i="23" s="1"/>
  <c r="F62" i="23" s="1"/>
  <c r="W309" i="23"/>
  <c r="D309" i="23"/>
  <c r="E309" i="23" s="1"/>
  <c r="F309" i="23" s="1"/>
  <c r="G374" i="22"/>
  <c r="CC374" i="6" s="1"/>
  <c r="AA374" i="22"/>
  <c r="Z374" i="22" s="1"/>
  <c r="Y374" i="22" s="1"/>
  <c r="G362" i="22"/>
  <c r="CC362" i="6" s="1"/>
  <c r="AA362" i="22"/>
  <c r="Z362" i="22" s="1"/>
  <c r="Y362" i="22" s="1"/>
  <c r="G290" i="22"/>
  <c r="CC290" i="6" s="1"/>
  <c r="AA290" i="22"/>
  <c r="Z290" i="22" s="1"/>
  <c r="Y290" i="22" s="1"/>
  <c r="D158" i="24"/>
  <c r="E158" i="24" s="1"/>
  <c r="F158" i="24" s="1"/>
  <c r="W158" i="24"/>
  <c r="G225" i="22"/>
  <c r="CC225" i="6" s="1"/>
  <c r="AA225" i="22"/>
  <c r="Z225" i="22" s="1"/>
  <c r="Y225" i="22" s="1"/>
  <c r="G26" i="23"/>
  <c r="CD26" i="6" s="1"/>
  <c r="AA26" i="23"/>
  <c r="Z26" i="23" s="1"/>
  <c r="Y26" i="23" s="1"/>
  <c r="W26" i="24"/>
  <c r="D26" i="24"/>
  <c r="E26" i="24" s="1"/>
  <c r="F26" i="24" s="1"/>
  <c r="W325" i="23"/>
  <c r="D325" i="23"/>
  <c r="E325" i="23" s="1"/>
  <c r="F325" i="23" s="1"/>
  <c r="W277" i="23"/>
  <c r="D277" i="23"/>
  <c r="E277" i="23" s="1"/>
  <c r="F277" i="23" s="1"/>
  <c r="D193" i="24"/>
  <c r="E193" i="24" s="1"/>
  <c r="F193" i="24" s="1"/>
  <c r="W193" i="24"/>
  <c r="G120" i="23"/>
  <c r="CD120" i="6" s="1"/>
  <c r="AA120" i="23"/>
  <c r="Z120" i="23" s="1"/>
  <c r="Y120" i="23" s="1"/>
  <c r="G327" i="23"/>
  <c r="CD327" i="6" s="1"/>
  <c r="AA327" i="23"/>
  <c r="Z327" i="23" s="1"/>
  <c r="Y327" i="23" s="1"/>
  <c r="W233" i="23"/>
  <c r="D233" i="23"/>
  <c r="E233" i="23" s="1"/>
  <c r="F233" i="23" s="1"/>
  <c r="W123" i="23"/>
  <c r="D123" i="23"/>
  <c r="E123" i="23" s="1"/>
  <c r="F123" i="23" s="1"/>
  <c r="D45" i="23"/>
  <c r="E45" i="23" s="1"/>
  <c r="F45" i="23" s="1"/>
  <c r="W45" i="23"/>
  <c r="G282" i="22"/>
  <c r="CC282" i="6" s="1"/>
  <c r="AA282" i="22"/>
  <c r="Z282" i="22" s="1"/>
  <c r="Y282" i="22" s="1"/>
  <c r="W230" i="24"/>
  <c r="D230" i="24"/>
  <c r="E230" i="24" s="1"/>
  <c r="F230" i="24" s="1"/>
  <c r="G118" i="23"/>
  <c r="CD118" i="6" s="1"/>
  <c r="AA118" i="23"/>
  <c r="Z118" i="23" s="1"/>
  <c r="Y118" i="23" s="1"/>
  <c r="G219" i="22"/>
  <c r="CC219" i="6" s="1"/>
  <c r="AA219" i="22"/>
  <c r="Z219" i="22" s="1"/>
  <c r="Y219" i="22" s="1"/>
  <c r="G173" i="22"/>
  <c r="CC173" i="6" s="1"/>
  <c r="AA173" i="22"/>
  <c r="Z173" i="22" s="1"/>
  <c r="Y173" i="22" s="1"/>
  <c r="W89" i="23"/>
  <c r="D89" i="23"/>
  <c r="E89" i="23" s="1"/>
  <c r="F89" i="23" s="1"/>
  <c r="W61" i="23"/>
  <c r="D61" i="23"/>
  <c r="E61" i="23" s="1"/>
  <c r="F61" i="23" s="1"/>
  <c r="G175" i="23"/>
  <c r="CD175" i="6" s="1"/>
  <c r="AA175" i="23"/>
  <c r="Z175" i="23" s="1"/>
  <c r="Y175" i="23" s="1"/>
  <c r="G302" i="23"/>
  <c r="CD302" i="6" s="1"/>
  <c r="AA302" i="23"/>
  <c r="Z302" i="23" s="1"/>
  <c r="Y302" i="23" s="1"/>
  <c r="D194" i="23"/>
  <c r="E194" i="23" s="1"/>
  <c r="F194" i="23" s="1"/>
  <c r="W194" i="23"/>
  <c r="AA111" i="23"/>
  <c r="Z111" i="23" s="1"/>
  <c r="Y111" i="23" s="1"/>
  <c r="G111" i="23"/>
  <c r="CD111" i="6" s="1"/>
  <c r="G17" i="23"/>
  <c r="CD17" i="6" s="1"/>
  <c r="AA17" i="23"/>
  <c r="Z17" i="23" s="1"/>
  <c r="Y17" i="23" s="1"/>
  <c r="G349" i="22"/>
  <c r="CC349" i="6" s="1"/>
  <c r="AA349" i="22"/>
  <c r="Z349" i="22" s="1"/>
  <c r="Y349" i="22" s="1"/>
  <c r="W149" i="24"/>
  <c r="D149" i="24"/>
  <c r="E149" i="24" s="1"/>
  <c r="F149" i="24" s="1"/>
  <c r="G23" i="23"/>
  <c r="CD23" i="6" s="1"/>
  <c r="AA23" i="23"/>
  <c r="Z23" i="23" s="1"/>
  <c r="Y23" i="23" s="1"/>
  <c r="G281" i="23"/>
  <c r="CD281" i="6" s="1"/>
  <c r="AA281" i="23"/>
  <c r="Z281" i="23" s="1"/>
  <c r="Y281" i="23" s="1"/>
  <c r="G247" i="23"/>
  <c r="CD247" i="6" s="1"/>
  <c r="AA247" i="23"/>
  <c r="Z247" i="23" s="1"/>
  <c r="Y247" i="23" s="1"/>
  <c r="G159" i="22"/>
  <c r="CC159" i="6" s="1"/>
  <c r="AA159" i="22"/>
  <c r="Z159" i="22" s="1"/>
  <c r="Y159" i="22" s="1"/>
  <c r="W210" i="23"/>
  <c r="D210" i="23"/>
  <c r="E210" i="23" s="1"/>
  <c r="F210" i="23" s="1"/>
  <c r="G135" i="22"/>
  <c r="CC135" i="6" s="1"/>
  <c r="AA135" i="22"/>
  <c r="Z135" i="22" s="1"/>
  <c r="Y135" i="22" s="1"/>
  <c r="BA204" i="6"/>
  <c r="D204" i="6" s="1"/>
  <c r="H204" i="20"/>
  <c r="G81" i="22"/>
  <c r="CC81" i="6" s="1"/>
  <c r="AA81" i="22"/>
  <c r="Z81" i="22" s="1"/>
  <c r="Y81" i="22" s="1"/>
  <c r="G332" i="22"/>
  <c r="CC332" i="6" s="1"/>
  <c r="AA332" i="22"/>
  <c r="Z332" i="22" s="1"/>
  <c r="Y332" i="22" s="1"/>
  <c r="G321" i="22"/>
  <c r="CC321" i="6" s="1"/>
  <c r="AA321" i="22"/>
  <c r="Z321" i="22" s="1"/>
  <c r="Y321" i="22" s="1"/>
  <c r="W163" i="23"/>
  <c r="D163" i="23"/>
  <c r="E163" i="23" s="1"/>
  <c r="F163" i="23" s="1"/>
  <c r="W98" i="23"/>
  <c r="D98" i="23"/>
  <c r="E98" i="23" s="1"/>
  <c r="F98" i="23" s="1"/>
  <c r="G207" i="23"/>
  <c r="CD207" i="6" s="1"/>
  <c r="AA207" i="23"/>
  <c r="Z207" i="23" s="1"/>
  <c r="Y207" i="23" s="1"/>
  <c r="G342" i="23"/>
  <c r="CD342" i="6" s="1"/>
  <c r="AA342" i="23"/>
  <c r="Z342" i="23" s="1"/>
  <c r="Y342" i="23" s="1"/>
  <c r="D200" i="24"/>
  <c r="E200" i="24" s="1"/>
  <c r="F200" i="24" s="1"/>
  <c r="W200" i="24"/>
  <c r="W168" i="24"/>
  <c r="D168" i="24"/>
  <c r="E168" i="24" s="1"/>
  <c r="F168" i="24" s="1"/>
  <c r="H72" i="20"/>
  <c r="G40" i="23"/>
  <c r="CD40" i="6" s="1"/>
  <c r="AA40" i="23"/>
  <c r="Z40" i="23" s="1"/>
  <c r="Y40" i="23" s="1"/>
  <c r="D343" i="24"/>
  <c r="E343" i="24" s="1"/>
  <c r="F343" i="24" s="1"/>
  <c r="W343" i="24"/>
  <c r="H315" i="20"/>
  <c r="D315" i="23"/>
  <c r="E315" i="23" s="1"/>
  <c r="F315" i="23" s="1"/>
  <c r="W315" i="23"/>
  <c r="G239" i="22"/>
  <c r="CC239" i="6" s="1"/>
  <c r="AA239" i="22"/>
  <c r="Z239" i="22" s="1"/>
  <c r="Y239" i="22" s="1"/>
  <c r="W239" i="23"/>
  <c r="D239" i="23"/>
  <c r="E239" i="23" s="1"/>
  <c r="F239" i="23" s="1"/>
  <c r="W113" i="24"/>
  <c r="D113" i="24"/>
  <c r="E113" i="24" s="1"/>
  <c r="F113" i="24" s="1"/>
  <c r="G350" i="22"/>
  <c r="CC350" i="6" s="1"/>
  <c r="AA350" i="22"/>
  <c r="Z350" i="22" s="1"/>
  <c r="Y350" i="22" s="1"/>
  <c r="H266" i="20"/>
  <c r="W238" i="24"/>
  <c r="D238" i="24"/>
  <c r="E238" i="24" s="1"/>
  <c r="F238" i="24" s="1"/>
  <c r="G160" i="22"/>
  <c r="CC160" i="6" s="1"/>
  <c r="AA160" i="22"/>
  <c r="Z160" i="22" s="1"/>
  <c r="Y160" i="22" s="1"/>
  <c r="G48" i="22"/>
  <c r="CC48" i="6" s="1"/>
  <c r="AA48" i="22"/>
  <c r="Z48" i="22" s="1"/>
  <c r="Y48" i="22" s="1"/>
  <c r="G357" i="22"/>
  <c r="CC357" i="6" s="1"/>
  <c r="AA357" i="22"/>
  <c r="Z357" i="22" s="1"/>
  <c r="Y357" i="22" s="1"/>
  <c r="W357" i="23"/>
  <c r="D357" i="23"/>
  <c r="E357" i="23" s="1"/>
  <c r="F357" i="23" s="1"/>
  <c r="G307" i="22"/>
  <c r="CC307" i="6" s="1"/>
  <c r="AA307" i="22"/>
  <c r="Z307" i="22" s="1"/>
  <c r="Y307" i="22" s="1"/>
  <c r="H372" i="20"/>
  <c r="W250" i="23"/>
  <c r="D250" i="23"/>
  <c r="E250" i="23" s="1"/>
  <c r="F250" i="23" s="1"/>
  <c r="W126" i="23"/>
  <c r="D126" i="23"/>
  <c r="E126" i="23" s="1"/>
  <c r="F126" i="23" s="1"/>
  <c r="G96" i="22"/>
  <c r="CC96" i="6" s="1"/>
  <c r="AA96" i="22"/>
  <c r="Z96" i="22" s="1"/>
  <c r="Y96" i="22" s="1"/>
  <c r="W34" i="23"/>
  <c r="D34" i="23"/>
  <c r="E34" i="23" s="1"/>
  <c r="F34" i="23" s="1"/>
  <c r="W341" i="24"/>
  <c r="D341" i="24"/>
  <c r="E341" i="24" s="1"/>
  <c r="F341" i="24" s="1"/>
  <c r="W93" i="24"/>
  <c r="D93" i="24"/>
  <c r="E93" i="24" s="1"/>
  <c r="F93" i="24" s="1"/>
  <c r="G31" i="22"/>
  <c r="CC31" i="6" s="1"/>
  <c r="AA31" i="22"/>
  <c r="Z31" i="22" s="1"/>
  <c r="Y31" i="22" s="1"/>
  <c r="G140" i="22"/>
  <c r="CC140" i="6" s="1"/>
  <c r="AA140" i="22"/>
  <c r="Z140" i="22" s="1"/>
  <c r="Y140" i="22" s="1"/>
  <c r="W140" i="23"/>
  <c r="D140" i="23"/>
  <c r="E140" i="23" s="1"/>
  <c r="F140" i="23" s="1"/>
  <c r="H110" i="20"/>
  <c r="G37" i="22"/>
  <c r="CC37" i="6" s="1"/>
  <c r="AA37" i="22"/>
  <c r="Z37" i="22" s="1"/>
  <c r="Y37" i="22" s="1"/>
  <c r="D244" i="23"/>
  <c r="E244" i="23" s="1"/>
  <c r="F244" i="23" s="1"/>
  <c r="W244" i="23"/>
  <c r="W248" i="23"/>
  <c r="D248" i="23"/>
  <c r="E248" i="23" s="1"/>
  <c r="F248" i="23" s="1"/>
  <c r="W295" i="23"/>
  <c r="D295" i="23"/>
  <c r="E295" i="23" s="1"/>
  <c r="F295" i="23" s="1"/>
  <c r="G125" i="22"/>
  <c r="CC125" i="6" s="1"/>
  <c r="AA125" i="22"/>
  <c r="Z125" i="22" s="1"/>
  <c r="Y125" i="22" s="1"/>
  <c r="W157" i="23"/>
  <c r="D157" i="23"/>
  <c r="E157" i="23" s="1"/>
  <c r="F157" i="23" s="1"/>
  <c r="G305" i="23"/>
  <c r="CD305" i="6" s="1"/>
  <c r="AA305" i="23"/>
  <c r="Z305" i="23" s="1"/>
  <c r="Y305" i="23" s="1"/>
  <c r="W252" i="24"/>
  <c r="D252" i="24"/>
  <c r="E252" i="24" s="1"/>
  <c r="F252" i="24" s="1"/>
  <c r="G204" i="23"/>
  <c r="CD204" i="6" s="1"/>
  <c r="AA204" i="23"/>
  <c r="Z204" i="23" s="1"/>
  <c r="Y204" i="23" s="1"/>
  <c r="W204" i="24"/>
  <c r="D204" i="24"/>
  <c r="E204" i="24" s="1"/>
  <c r="F204" i="24" s="1"/>
  <c r="G222" i="23"/>
  <c r="CD222" i="6" s="1"/>
  <c r="AA222" i="23"/>
  <c r="Z222" i="23" s="1"/>
  <c r="Y222" i="23" s="1"/>
  <c r="W264" i="23"/>
  <c r="D264" i="23"/>
  <c r="E264" i="23" s="1"/>
  <c r="F264" i="23" s="1"/>
  <c r="G198" i="22"/>
  <c r="CC198" i="6" s="1"/>
  <c r="AA198" i="22"/>
  <c r="Z198" i="22" s="1"/>
  <c r="Y198" i="22" s="1"/>
  <c r="G82" i="23"/>
  <c r="CD82" i="6" s="1"/>
  <c r="AA82" i="23"/>
  <c r="Z82" i="23" s="1"/>
  <c r="Y82" i="23" s="1"/>
  <c r="G279" i="22"/>
  <c r="CC279" i="6" s="1"/>
  <c r="AA279" i="22"/>
  <c r="Z279" i="22" s="1"/>
  <c r="Y279" i="22" s="1"/>
  <c r="W165" i="23"/>
  <c r="D165" i="23"/>
  <c r="E165" i="23" s="1"/>
  <c r="F165" i="23" s="1"/>
  <c r="D117" i="24"/>
  <c r="E117" i="24" s="1"/>
  <c r="F117" i="24" s="1"/>
  <c r="W117" i="24"/>
  <c r="W91" i="24"/>
  <c r="D91" i="24"/>
  <c r="E91" i="24" s="1"/>
  <c r="F91" i="24" s="1"/>
  <c r="W41" i="24"/>
  <c r="D41" i="24"/>
  <c r="E41" i="24" s="1"/>
  <c r="F41" i="24" s="1"/>
  <c r="D364" i="23"/>
  <c r="E364" i="23" s="1"/>
  <c r="F364" i="23" s="1"/>
  <c r="W364" i="23"/>
  <c r="W330" i="23"/>
  <c r="D330" i="23"/>
  <c r="E330" i="23" s="1"/>
  <c r="F330" i="23" s="1"/>
  <c r="W256" i="23"/>
  <c r="D256" i="23"/>
  <c r="E256" i="23" s="1"/>
  <c r="F256" i="23" s="1"/>
  <c r="G184" i="22"/>
  <c r="CC184" i="6" s="1"/>
  <c r="AA184" i="22"/>
  <c r="Z184" i="22" s="1"/>
  <c r="Y184" i="22" s="1"/>
  <c r="G124" i="22"/>
  <c r="CC124" i="6" s="1"/>
  <c r="AA124" i="22"/>
  <c r="Z124" i="22" s="1"/>
  <c r="Y124" i="22" s="1"/>
  <c r="W27" i="23"/>
  <c r="D27" i="23"/>
  <c r="E27" i="23" s="1"/>
  <c r="F27" i="23" s="1"/>
  <c r="W231" i="24"/>
  <c r="D231" i="24"/>
  <c r="E231" i="24" s="1"/>
  <c r="F231" i="24" s="1"/>
  <c r="W151" i="24"/>
  <c r="D151" i="24"/>
  <c r="E151" i="24" s="1"/>
  <c r="F151" i="24" s="1"/>
  <c r="G107" i="23"/>
  <c r="CD107" i="6" s="1"/>
  <c r="AA107" i="23"/>
  <c r="Z107" i="23" s="1"/>
  <c r="Y107" i="23" s="1"/>
  <c r="G39" i="23"/>
  <c r="CD39" i="6" s="1"/>
  <c r="AA39" i="23"/>
  <c r="Z39" i="23" s="1"/>
  <c r="Y39" i="23" s="1"/>
  <c r="D228" i="24"/>
  <c r="E228" i="24" s="1"/>
  <c r="F228" i="24" s="1"/>
  <c r="W228" i="24"/>
  <c r="G146" i="23"/>
  <c r="CD146" i="6" s="1"/>
  <c r="AA146" i="23"/>
  <c r="Z146" i="23" s="1"/>
  <c r="Y146" i="23" s="1"/>
  <c r="G285" i="23"/>
  <c r="CD285" i="6" s="1"/>
  <c r="AA285" i="23"/>
  <c r="Z285" i="23" s="1"/>
  <c r="Y285" i="23" s="1"/>
  <c r="AA215" i="22"/>
  <c r="Z215" i="22" s="1"/>
  <c r="Y215" i="22" s="1"/>
  <c r="G215" i="22"/>
  <c r="CC215" i="6" s="1"/>
  <c r="G181" i="22"/>
  <c r="CC181" i="6" s="1"/>
  <c r="AA181" i="22"/>
  <c r="Z181" i="22" s="1"/>
  <c r="Y181" i="22" s="1"/>
  <c r="G71" i="22"/>
  <c r="CC71" i="6" s="1"/>
  <c r="AA71" i="22"/>
  <c r="Z71" i="22" s="1"/>
  <c r="Y71" i="22" s="1"/>
  <c r="W328" i="23"/>
  <c r="D328" i="23"/>
  <c r="E328" i="23" s="1"/>
  <c r="F328" i="23" s="1"/>
  <c r="G268" i="22"/>
  <c r="CC268" i="6" s="1"/>
  <c r="AA268" i="22"/>
  <c r="Z268" i="22" s="1"/>
  <c r="Y268" i="22" s="1"/>
  <c r="W170" i="24"/>
  <c r="D170" i="24"/>
  <c r="E170" i="24" s="1"/>
  <c r="F170" i="24" s="1"/>
  <c r="W56" i="23"/>
  <c r="D56" i="23"/>
  <c r="E56" i="23" s="1"/>
  <c r="F56" i="23" s="1"/>
  <c r="G361" i="22"/>
  <c r="CC361" i="6" s="1"/>
  <c r="AA361" i="22"/>
  <c r="Z361" i="22" s="1"/>
  <c r="Y361" i="22" s="1"/>
  <c r="W273" i="23"/>
  <c r="D273" i="23"/>
  <c r="E273" i="23" s="1"/>
  <c r="F273" i="23" s="1"/>
  <c r="W255" i="24"/>
  <c r="D255" i="24"/>
  <c r="E255" i="24" s="1"/>
  <c r="F255" i="24" s="1"/>
  <c r="G19" i="23"/>
  <c r="CD19" i="6" s="1"/>
  <c r="AA19" i="23"/>
  <c r="Z19" i="23" s="1"/>
  <c r="Y19" i="23" s="1"/>
  <c r="W287" i="23"/>
  <c r="D287" i="23"/>
  <c r="E287" i="23" s="1"/>
  <c r="F287" i="23" s="1"/>
  <c r="AA278" i="23"/>
  <c r="Z278" i="23" s="1"/>
  <c r="Y278" i="23" s="1"/>
  <c r="G278" i="23"/>
  <c r="CD278" i="6" s="1"/>
  <c r="W74" i="23"/>
  <c r="D74" i="23"/>
  <c r="E74" i="23" s="1"/>
  <c r="F74" i="23" s="1"/>
  <c r="W35" i="24"/>
  <c r="D35" i="24"/>
  <c r="E35" i="24" s="1"/>
  <c r="F35" i="24" s="1"/>
  <c r="G316" i="23"/>
  <c r="CD316" i="6" s="1"/>
  <c r="AA316" i="23"/>
  <c r="Z316" i="23" s="1"/>
  <c r="Y316" i="23" s="1"/>
  <c r="W318" i="23"/>
  <c r="D318" i="23"/>
  <c r="E318" i="23" s="1"/>
  <c r="F318" i="23" s="1"/>
  <c r="G178" i="23"/>
  <c r="CD178" i="6" s="1"/>
  <c r="AA178" i="23"/>
  <c r="Z178" i="23" s="1"/>
  <c r="Y178" i="23" s="1"/>
  <c r="D178" i="24"/>
  <c r="E178" i="24" s="1"/>
  <c r="F178" i="24" s="1"/>
  <c r="W178" i="24"/>
  <c r="G106" i="23"/>
  <c r="CD106" i="6" s="1"/>
  <c r="AA106" i="23"/>
  <c r="Z106" i="23" s="1"/>
  <c r="Y106" i="23" s="1"/>
  <c r="H84" i="20"/>
  <c r="H99" i="20"/>
  <c r="G99" i="22"/>
  <c r="CC99" i="6" s="1"/>
  <c r="AA99" i="22"/>
  <c r="Z99" i="22" s="1"/>
  <c r="Y99" i="22" s="1"/>
  <c r="G95" i="23"/>
  <c r="CD95" i="6" s="1"/>
  <c r="AA95" i="23"/>
  <c r="Z95" i="23" s="1"/>
  <c r="Y95" i="23" s="1"/>
  <c r="W283" i="23"/>
  <c r="D283" i="23"/>
  <c r="E283" i="23" s="1"/>
  <c r="F283" i="23" s="1"/>
  <c r="G226" i="22"/>
  <c r="CC226" i="6" s="1"/>
  <c r="AA226" i="22"/>
  <c r="Z226" i="22" s="1"/>
  <c r="Y226" i="22" s="1"/>
  <c r="BA316" i="6"/>
  <c r="D316" i="6" s="1"/>
  <c r="H316" i="20"/>
  <c r="W76" i="23"/>
  <c r="D76" i="23"/>
  <c r="E76" i="23" s="1"/>
  <c r="F76" i="23" s="1"/>
  <c r="D73" i="23"/>
  <c r="E73" i="23" s="1"/>
  <c r="F73" i="23" s="1"/>
  <c r="W73" i="23"/>
  <c r="G236" i="22"/>
  <c r="CC236" i="6" s="1"/>
  <c r="AA236" i="22"/>
  <c r="Z236" i="22" s="1"/>
  <c r="Y236" i="22" s="1"/>
  <c r="G299" i="23"/>
  <c r="CD299" i="6" s="1"/>
  <c r="AA299" i="23"/>
  <c r="Z299" i="23" s="1"/>
  <c r="Y299" i="23" s="1"/>
  <c r="G356" i="22"/>
  <c r="CC356" i="6" s="1"/>
  <c r="AA356" i="22"/>
  <c r="Z356" i="22" s="1"/>
  <c r="Y356" i="22" s="1"/>
  <c r="G206" i="22"/>
  <c r="CC206" i="6" s="1"/>
  <c r="AA206" i="22"/>
  <c r="Z206" i="22" s="1"/>
  <c r="Y206" i="22" s="1"/>
  <c r="G156" i="22"/>
  <c r="CC156" i="6" s="1"/>
  <c r="AA156" i="22"/>
  <c r="Z156" i="22" s="1"/>
  <c r="Y156" i="22" s="1"/>
  <c r="W156" i="23"/>
  <c r="D156" i="23"/>
  <c r="E156" i="23" s="1"/>
  <c r="F156" i="23" s="1"/>
  <c r="W44" i="23"/>
  <c r="D44" i="23"/>
  <c r="E44" i="23" s="1"/>
  <c r="F44" i="23" s="1"/>
  <c r="G24" i="22"/>
  <c r="CC24" i="6" s="1"/>
  <c r="AA24" i="22"/>
  <c r="Z24" i="22" s="1"/>
  <c r="Y24" i="22" s="1"/>
  <c r="W345" i="23"/>
  <c r="D345" i="23"/>
  <c r="E345" i="23" s="1"/>
  <c r="F345" i="23" s="1"/>
  <c r="G133" i="22"/>
  <c r="CC133" i="6" s="1"/>
  <c r="AA133" i="22"/>
  <c r="Z133" i="22" s="1"/>
  <c r="Y133" i="22" s="1"/>
  <c r="W115" i="23"/>
  <c r="D115" i="23"/>
  <c r="E115" i="23" s="1"/>
  <c r="F115" i="23" s="1"/>
  <c r="G234" i="22"/>
  <c r="CC234" i="6" s="1"/>
  <c r="AA234" i="22"/>
  <c r="Z234" i="22" s="1"/>
  <c r="Y234" i="22" s="1"/>
  <c r="W337" i="24"/>
  <c r="D337" i="24"/>
  <c r="E337" i="24" s="1"/>
  <c r="F337" i="24" s="1"/>
  <c r="G257" i="23"/>
  <c r="CD257" i="6" s="1"/>
  <c r="AA257" i="23"/>
  <c r="Z257" i="23" s="1"/>
  <c r="Y257" i="23" s="1"/>
  <c r="D191" i="23"/>
  <c r="E191" i="23" s="1"/>
  <c r="F191" i="23" s="1"/>
  <c r="W191" i="23"/>
  <c r="W371" i="23"/>
  <c r="D371" i="23"/>
  <c r="E371" i="23" s="1"/>
  <c r="F371" i="23" s="1"/>
  <c r="W87" i="23"/>
  <c r="D87" i="23"/>
  <c r="E87" i="23" s="1"/>
  <c r="F87" i="23" s="1"/>
  <c r="G320" i="23"/>
  <c r="CD320" i="6" s="1"/>
  <c r="AA320" i="23"/>
  <c r="Z320" i="23" s="1"/>
  <c r="Y320" i="23" s="1"/>
  <c r="AA260" i="23"/>
  <c r="Z260" i="23" s="1"/>
  <c r="Y260" i="23" s="1"/>
  <c r="G260" i="23"/>
  <c r="CD260" i="6" s="1"/>
  <c r="W220" i="23"/>
  <c r="D220" i="23"/>
  <c r="E220" i="23" s="1"/>
  <c r="F220" i="23" s="1"/>
  <c r="H42" i="20"/>
  <c r="W317" i="23"/>
  <c r="D317" i="23"/>
  <c r="E317" i="23" s="1"/>
  <c r="F317" i="23" s="1"/>
  <c r="G88" i="22"/>
  <c r="CC88" i="6" s="1"/>
  <c r="AA88" i="22"/>
  <c r="Z88" i="22" s="1"/>
  <c r="Y88" i="22" s="1"/>
  <c r="G241" i="23"/>
  <c r="CD241" i="6" s="1"/>
  <c r="AA241" i="23"/>
  <c r="Z241" i="23" s="1"/>
  <c r="Y241" i="23" s="1"/>
  <c r="G22" i="22"/>
  <c r="CC22" i="6" s="1"/>
  <c r="AA22" i="22"/>
  <c r="Z22" i="22" s="1"/>
  <c r="Y22" i="22" s="1"/>
  <c r="W67" i="23"/>
  <c r="D67" i="23"/>
  <c r="E67" i="23" s="1"/>
  <c r="F67" i="23" s="1"/>
  <c r="W196" i="23"/>
  <c r="D196" i="23"/>
  <c r="E196" i="23" s="1"/>
  <c r="F196" i="23" s="1"/>
  <c r="W119" i="23"/>
  <c r="D119" i="23"/>
  <c r="E119" i="23" s="1"/>
  <c r="F119" i="23" s="1"/>
  <c r="W235" i="24"/>
  <c r="D235" i="24"/>
  <c r="E235" i="24" s="1"/>
  <c r="F235" i="24" s="1"/>
  <c r="W103" i="24"/>
  <c r="D103" i="24"/>
  <c r="E103" i="24" s="1"/>
  <c r="F103" i="24" s="1"/>
  <c r="G52" i="23"/>
  <c r="CD52" i="6" s="1"/>
  <c r="AA52" i="23"/>
  <c r="Z52" i="23" s="1"/>
  <c r="Y52" i="23" s="1"/>
  <c r="W52" i="24"/>
  <c r="D52" i="24"/>
  <c r="E52" i="24" s="1"/>
  <c r="F52" i="24" s="1"/>
  <c r="W311" i="23"/>
  <c r="D311" i="23"/>
  <c r="E311" i="23" s="1"/>
  <c r="F311" i="23" s="1"/>
  <c r="W310" i="23"/>
  <c r="D310" i="23"/>
  <c r="E310" i="23" s="1"/>
  <c r="F310" i="23" s="1"/>
  <c r="G378" i="22"/>
  <c r="CC378" i="6" s="1"/>
  <c r="AA378" i="22"/>
  <c r="Z378" i="22" s="1"/>
  <c r="Y378" i="22" s="1"/>
  <c r="AA137" i="22"/>
  <c r="Z137" i="22" s="1"/>
  <c r="Y137" i="22" s="1"/>
  <c r="G137" i="22"/>
  <c r="CC137" i="6" s="1"/>
  <c r="W242" i="24"/>
  <c r="D242" i="24"/>
  <c r="E242" i="24" s="1"/>
  <c r="F242" i="24" s="1"/>
  <c r="D186" i="23"/>
  <c r="E186" i="23" s="1"/>
  <c r="F186" i="23" s="1"/>
  <c r="W186" i="23"/>
  <c r="G102" i="22"/>
  <c r="CC102" i="6" s="1"/>
  <c r="AA102" i="22"/>
  <c r="Z102" i="22" s="1"/>
  <c r="Y102" i="22" s="1"/>
  <c r="G355" i="22"/>
  <c r="CC355" i="6" s="1"/>
  <c r="AA355" i="22"/>
  <c r="Z355" i="22" s="1"/>
  <c r="Y355" i="22" s="1"/>
  <c r="G199" i="23"/>
  <c r="CD199" i="6" s="1"/>
  <c r="AA199" i="23"/>
  <c r="Z199" i="23" s="1"/>
  <c r="Y199" i="23" s="1"/>
  <c r="G121" i="22"/>
  <c r="CC121" i="6" s="1"/>
  <c r="AA121" i="22"/>
  <c r="Z121" i="22" s="1"/>
  <c r="Y121" i="22" s="1"/>
  <c r="W121" i="23"/>
  <c r="D121" i="23"/>
  <c r="E121" i="23" s="1"/>
  <c r="F121" i="23" s="1"/>
  <c r="G370" i="23"/>
  <c r="CD370" i="6" s="1"/>
  <c r="AA370" i="23"/>
  <c r="Z370" i="23" s="1"/>
  <c r="Y370" i="23" s="1"/>
  <c r="AA202" i="23"/>
  <c r="Z202" i="23" s="1"/>
  <c r="Y202" i="23" s="1"/>
  <c r="G202" i="23"/>
  <c r="CD202" i="6" s="1"/>
  <c r="D138" i="24"/>
  <c r="E138" i="24" s="1"/>
  <c r="F138" i="24" s="1"/>
  <c r="W138" i="24"/>
  <c r="AA288" i="22"/>
  <c r="Z288" i="22" s="1"/>
  <c r="Y288" i="22" s="1"/>
  <c r="G288" i="22"/>
  <c r="CC288" i="6" s="1"/>
  <c r="G313" i="23"/>
  <c r="CD313" i="6" s="1"/>
  <c r="AA313" i="23"/>
  <c r="Z313" i="23" s="1"/>
  <c r="Y313" i="23" s="1"/>
  <c r="AA245" i="22"/>
  <c r="Z245" i="22" s="1"/>
  <c r="Y245" i="22" s="1"/>
  <c r="G245" i="22"/>
  <c r="CC245" i="6" s="1"/>
  <c r="D203" i="23"/>
  <c r="E203" i="23" s="1"/>
  <c r="F203" i="23" s="1"/>
  <c r="W203" i="23"/>
  <c r="G169" i="22"/>
  <c r="CC169" i="6" s="1"/>
  <c r="AA169" i="22"/>
  <c r="Z169" i="22" s="1"/>
  <c r="Y169" i="22" s="1"/>
  <c r="G218" i="22"/>
  <c r="CC218" i="6" s="1"/>
  <c r="AA218" i="22"/>
  <c r="Z218" i="22" s="1"/>
  <c r="Y218" i="22" s="1"/>
  <c r="G188" i="22"/>
  <c r="CC188" i="6" s="1"/>
  <c r="AA188" i="22"/>
  <c r="Z188" i="22" s="1"/>
  <c r="Y188" i="22" s="1"/>
  <c r="W144" i="23"/>
  <c r="D144" i="23"/>
  <c r="E144" i="23" s="1"/>
  <c r="F144" i="23" s="1"/>
  <c r="W112" i="23"/>
  <c r="D112" i="23"/>
  <c r="E112" i="23" s="1"/>
  <c r="F112" i="23" s="1"/>
  <c r="G86" i="22"/>
  <c r="CC86" i="6" s="1"/>
  <c r="AA86" i="22"/>
  <c r="Z86" i="22" s="1"/>
  <c r="Y86" i="22" s="1"/>
  <c r="G303" i="22"/>
  <c r="CC303" i="6" s="1"/>
  <c r="AA303" i="22"/>
  <c r="Z303" i="22" s="1"/>
  <c r="Y303" i="22" s="1"/>
  <c r="G275" i="22"/>
  <c r="CC275" i="6" s="1"/>
  <c r="AA275" i="22"/>
  <c r="Z275" i="22" s="1"/>
  <c r="Y275" i="22" s="1"/>
  <c r="G221" i="23"/>
  <c r="CD221" i="6" s="1"/>
  <c r="AA221" i="23"/>
  <c r="Z221" i="23" s="1"/>
  <c r="Y221" i="23" s="1"/>
  <c r="W221" i="24"/>
  <c r="D221" i="24"/>
  <c r="E221" i="24" s="1"/>
  <c r="F221" i="24" s="1"/>
  <c r="W195" i="24"/>
  <c r="D195" i="24"/>
  <c r="E195" i="24" s="1"/>
  <c r="F195" i="24" s="1"/>
  <c r="W47" i="24"/>
  <c r="D47" i="24"/>
  <c r="E47" i="24" s="1"/>
  <c r="F47" i="24" s="1"/>
  <c r="G21" i="22"/>
  <c r="CC21" i="6" s="1"/>
  <c r="AA21" i="22"/>
  <c r="Z21" i="22" s="1"/>
  <c r="Y21" i="22" s="1"/>
  <c r="W308" i="24"/>
  <c r="D308" i="24"/>
  <c r="E308" i="24" s="1"/>
  <c r="F308" i="24" s="1"/>
  <c r="W176" i="23"/>
  <c r="D176" i="23"/>
  <c r="E176" i="23" s="1"/>
  <c r="F176" i="23" s="1"/>
  <c r="W128" i="23"/>
  <c r="D128" i="23"/>
  <c r="E128" i="23" s="1"/>
  <c r="F128" i="23" s="1"/>
  <c r="G323" i="23"/>
  <c r="CD323" i="6" s="1"/>
  <c r="AA323" i="23"/>
  <c r="Z323" i="23" s="1"/>
  <c r="Y323" i="23" s="1"/>
  <c r="G271" i="23"/>
  <c r="CD271" i="6" s="1"/>
  <c r="AA271" i="23"/>
  <c r="Z271" i="23" s="1"/>
  <c r="Y271" i="23" s="1"/>
  <c r="W271" i="24"/>
  <c r="D271" i="24"/>
  <c r="E271" i="24" s="1"/>
  <c r="F271" i="24" s="1"/>
  <c r="W101" i="24"/>
  <c r="D101" i="24"/>
  <c r="E101" i="24" s="1"/>
  <c r="F101" i="24" s="1"/>
  <c r="G171" i="22"/>
  <c r="CC171" i="6" s="1"/>
  <c r="AA171" i="22"/>
  <c r="Z171" i="22" s="1"/>
  <c r="Y171" i="22" s="1"/>
  <c r="D261" i="23"/>
  <c r="E261" i="23" s="1"/>
  <c r="F261" i="23" s="1"/>
  <c r="W261" i="23"/>
  <c r="W319" i="24"/>
  <c r="D319" i="24"/>
  <c r="E319" i="24" s="1"/>
  <c r="F319" i="24" s="1"/>
  <c r="W46" i="23"/>
  <c r="D46" i="23"/>
  <c r="E46" i="23" s="1"/>
  <c r="F46" i="23" s="1"/>
  <c r="G298" i="23"/>
  <c r="CD298" i="6" s="1"/>
  <c r="AA298" i="23"/>
  <c r="Z298" i="23" s="1"/>
  <c r="Y298" i="23" s="1"/>
  <c r="G365" i="22"/>
  <c r="CC365" i="6" s="1"/>
  <c r="AA365" i="22"/>
  <c r="Z365" i="22" s="1"/>
  <c r="Y365" i="22" s="1"/>
  <c r="W60" i="23"/>
  <c r="D60" i="23"/>
  <c r="E60" i="23" s="1"/>
  <c r="F60" i="23" s="1"/>
  <c r="AA136" i="23"/>
  <c r="Z136" i="23" s="1"/>
  <c r="Y136" i="23" s="1"/>
  <c r="G136" i="23"/>
  <c r="CD136" i="6" s="1"/>
  <c r="AA263" i="22"/>
  <c r="Z263" i="22" s="1"/>
  <c r="Y263" i="22" s="1"/>
  <c r="G263" i="22"/>
  <c r="CC263" i="6" s="1"/>
  <c r="D183" i="24"/>
  <c r="E183" i="24" s="1"/>
  <c r="F183" i="24" s="1"/>
  <c r="W183" i="24"/>
  <c r="D77" i="23"/>
  <c r="E77" i="23" s="1"/>
  <c r="F77" i="23" s="1"/>
  <c r="W77" i="23"/>
  <c r="G177" i="23"/>
  <c r="CD177" i="6" s="1"/>
  <c r="AA177" i="23"/>
  <c r="Z177" i="23" s="1"/>
  <c r="Y177" i="23" s="1"/>
  <c r="AA150" i="22"/>
  <c r="Z150" i="22" s="1"/>
  <c r="Y150" i="22" s="1"/>
  <c r="G150" i="22"/>
  <c r="CC150" i="6" s="1"/>
  <c r="BA284" i="6"/>
  <c r="D284" i="6" s="1"/>
  <c r="H284" i="20"/>
  <c r="BA168" i="6"/>
  <c r="D168" i="6" s="1"/>
  <c r="H168" i="20"/>
  <c r="BA101" i="6"/>
  <c r="D101" i="6" s="1"/>
  <c r="H101" i="20"/>
  <c r="BA50" i="6"/>
  <c r="D50" i="6" s="1"/>
  <c r="H50" i="20"/>
  <c r="BA338" i="6"/>
  <c r="D338" i="6" s="1"/>
  <c r="H338" i="20"/>
  <c r="BA68" i="6"/>
  <c r="D68" i="6" s="1"/>
  <c r="H68" i="20"/>
  <c r="BA255" i="6"/>
  <c r="D255" i="6" s="1"/>
  <c r="H255" i="20"/>
  <c r="BA16" i="6"/>
  <c r="D16" i="6" s="1"/>
  <c r="H16" i="20"/>
  <c r="BA95" i="6"/>
  <c r="D95" i="6" s="1"/>
  <c r="H95" i="20"/>
  <c r="BA229" i="6"/>
  <c r="D229" i="6" s="1"/>
  <c r="H229" i="20"/>
  <c r="BA305" i="6"/>
  <c r="D305" i="6" s="1"/>
  <c r="H305" i="20"/>
  <c r="BA158" i="6"/>
  <c r="D158" i="6" s="1"/>
  <c r="H158" i="20"/>
  <c r="BA82" i="6"/>
  <c r="D82" i="6" s="1"/>
  <c r="H82" i="20"/>
  <c r="BA117" i="6"/>
  <c r="D117" i="6" s="1"/>
  <c r="H117" i="20"/>
  <c r="BA41" i="6"/>
  <c r="D41" i="6" s="1"/>
  <c r="H41" i="20"/>
  <c r="BA257" i="6"/>
  <c r="D257" i="6" s="1"/>
  <c r="H257" i="20"/>
  <c r="BA293" i="6"/>
  <c r="D293" i="6" s="1"/>
  <c r="H293" i="20"/>
  <c r="BA147" i="6"/>
  <c r="D147" i="6" s="1"/>
  <c r="H147" i="20"/>
  <c r="BA93" i="6"/>
  <c r="D93" i="6" s="1"/>
  <c r="H93" i="20"/>
  <c r="BA118" i="6"/>
  <c r="D118" i="6" s="1"/>
  <c r="H118" i="20"/>
  <c r="BA302" i="6"/>
  <c r="D302" i="6" s="1"/>
  <c r="H302" i="20"/>
  <c r="BA154" i="6"/>
  <c r="D154" i="6" s="1"/>
  <c r="H154" i="20"/>
  <c r="BA368" i="6"/>
  <c r="D368" i="6" s="1"/>
  <c r="H368" i="20"/>
  <c r="BA270" i="6"/>
  <c r="D270" i="6" s="1"/>
  <c r="H270" i="20"/>
  <c r="G174" i="23"/>
  <c r="CD174" i="6" s="1"/>
  <c r="AA174" i="23"/>
  <c r="Z174" i="23" s="1"/>
  <c r="Y174" i="23" s="1"/>
  <c r="D174" i="24"/>
  <c r="E174" i="24" s="1"/>
  <c r="F174" i="24" s="1"/>
  <c r="W174" i="24"/>
  <c r="W38" i="24"/>
  <c r="D38" i="24"/>
  <c r="E38" i="24" s="1"/>
  <c r="F38" i="24" s="1"/>
  <c r="H332" i="20"/>
  <c r="H321" i="20"/>
  <c r="W182" i="23"/>
  <c r="D182" i="23"/>
  <c r="E182" i="23" s="1"/>
  <c r="F182" i="23" s="1"/>
  <c r="G289" i="22"/>
  <c r="CC289" i="6" s="1"/>
  <c r="AA289" i="22"/>
  <c r="Z289" i="22" s="1"/>
  <c r="Y289" i="22" s="1"/>
  <c r="W78" i="23"/>
  <c r="D78" i="23"/>
  <c r="E78" i="23" s="1"/>
  <c r="F78" i="23" s="1"/>
  <c r="W314" i="23"/>
  <c r="D314" i="23"/>
  <c r="E314" i="23" s="1"/>
  <c r="F314" i="23" s="1"/>
  <c r="G240" i="22"/>
  <c r="CC240" i="6" s="1"/>
  <c r="AA240" i="22"/>
  <c r="Z240" i="22" s="1"/>
  <c r="Y240" i="22" s="1"/>
  <c r="G190" i="23"/>
  <c r="CD190" i="6" s="1"/>
  <c r="AA190" i="23"/>
  <c r="Z190" i="23" s="1"/>
  <c r="Y190" i="23" s="1"/>
  <c r="W72" i="23"/>
  <c r="D72" i="23"/>
  <c r="E72" i="23" s="1"/>
  <c r="F72" i="23" s="1"/>
  <c r="H239" i="20"/>
  <c r="G217" i="23"/>
  <c r="CD217" i="6" s="1"/>
  <c r="AA217" i="23"/>
  <c r="Z217" i="23" s="1"/>
  <c r="Y217" i="23" s="1"/>
  <c r="G85" i="22"/>
  <c r="CC85" i="6" s="1"/>
  <c r="AA85" i="22"/>
  <c r="Z85" i="22" s="1"/>
  <c r="Y85" i="22" s="1"/>
  <c r="W360" i="24"/>
  <c r="D360" i="24"/>
  <c r="E360" i="24" s="1"/>
  <c r="F360" i="24" s="1"/>
  <c r="G266" i="22"/>
  <c r="CC266" i="6" s="1"/>
  <c r="AA266" i="22"/>
  <c r="Z266" i="22" s="1"/>
  <c r="Y266" i="22" s="1"/>
  <c r="W266" i="23"/>
  <c r="D266" i="23"/>
  <c r="E266" i="23" s="1"/>
  <c r="F266" i="23" s="1"/>
  <c r="D18" i="24"/>
  <c r="E18" i="24" s="1"/>
  <c r="F18" i="24" s="1"/>
  <c r="W18" i="24"/>
  <c r="D373" i="23"/>
  <c r="E373" i="23" s="1"/>
  <c r="F373" i="23" s="1"/>
  <c r="W373" i="23"/>
  <c r="H307" i="20"/>
  <c r="D223" i="23"/>
  <c r="E223" i="23" s="1"/>
  <c r="F223" i="23" s="1"/>
  <c r="W223" i="23"/>
  <c r="AA143" i="22"/>
  <c r="Z143" i="22" s="1"/>
  <c r="Y143" i="22" s="1"/>
  <c r="G143" i="22"/>
  <c r="CC143" i="6" s="1"/>
  <c r="G65" i="22"/>
  <c r="CC65" i="6" s="1"/>
  <c r="AA65" i="22"/>
  <c r="Z65" i="22" s="1"/>
  <c r="Y65" i="22" s="1"/>
  <c r="G372" i="22"/>
  <c r="CC372" i="6" s="1"/>
  <c r="AA372" i="22"/>
  <c r="Z372" i="22" s="1"/>
  <c r="Y372" i="22" s="1"/>
  <c r="G148" i="22"/>
  <c r="CC148" i="6" s="1"/>
  <c r="AA148" i="22"/>
  <c r="Z148" i="22" s="1"/>
  <c r="Y148" i="22" s="1"/>
  <c r="H96" i="20"/>
  <c r="W259" i="24"/>
  <c r="D259" i="24"/>
  <c r="E259" i="24" s="1"/>
  <c r="F259" i="24" s="1"/>
  <c r="G201" i="22"/>
  <c r="CC201" i="6" s="1"/>
  <c r="AA201" i="22"/>
  <c r="Z201" i="22" s="1"/>
  <c r="Y201" i="22" s="1"/>
  <c r="W145" i="23"/>
  <c r="D145" i="23"/>
  <c r="E145" i="23" s="1"/>
  <c r="F145" i="23" s="1"/>
  <c r="G110" i="22"/>
  <c r="CC110" i="6" s="1"/>
  <c r="AA110" i="22"/>
  <c r="Z110" i="22" s="1"/>
  <c r="Y110" i="22" s="1"/>
  <c r="G185" i="22"/>
  <c r="CC185" i="6" s="1"/>
  <c r="AA185" i="22"/>
  <c r="Z185" i="22" s="1"/>
  <c r="Y185" i="22" s="1"/>
  <c r="G63" i="23"/>
  <c r="CD63" i="6" s="1"/>
  <c r="AA63" i="23"/>
  <c r="Z63" i="23" s="1"/>
  <c r="Y63" i="23" s="1"/>
  <c r="W154" i="24"/>
  <c r="D154" i="24"/>
  <c r="E154" i="24" s="1"/>
  <c r="F154" i="24" s="1"/>
  <c r="G16" i="23"/>
  <c r="CD16" i="6" s="1"/>
  <c r="AA16" i="23"/>
  <c r="Z16" i="23" s="1"/>
  <c r="Y16" i="23" s="1"/>
  <c r="W132" i="24"/>
  <c r="D132" i="24"/>
  <c r="E132" i="24" s="1"/>
  <c r="F132" i="24" s="1"/>
  <c r="W251" i="24"/>
  <c r="D251" i="24"/>
  <c r="E251" i="24" s="1"/>
  <c r="F251" i="24" s="1"/>
  <c r="H157" i="20"/>
  <c r="G90" i="22"/>
  <c r="CC90" i="6" s="1"/>
  <c r="AA90" i="22"/>
  <c r="Z90" i="22" s="1"/>
  <c r="Y90" i="22" s="1"/>
  <c r="D340" i="23"/>
  <c r="E340" i="23" s="1"/>
  <c r="F340" i="23" s="1"/>
  <c r="W340" i="23"/>
  <c r="G286" i="23"/>
  <c r="CD286" i="6" s="1"/>
  <c r="AA286" i="23"/>
  <c r="Z286" i="23" s="1"/>
  <c r="Y286" i="23" s="1"/>
  <c r="W162" i="23"/>
  <c r="D162" i="23"/>
  <c r="E162" i="23" s="1"/>
  <c r="F162" i="23" s="1"/>
  <c r="G58" i="22"/>
  <c r="CC58" i="6" s="1"/>
  <c r="AA58" i="22"/>
  <c r="Z58" i="22" s="1"/>
  <c r="Y58" i="22" s="1"/>
  <c r="W36" i="23"/>
  <c r="D36" i="23"/>
  <c r="E36" i="23" s="1"/>
  <c r="F36" i="23" s="1"/>
  <c r="H279" i="20"/>
  <c r="G109" i="22"/>
  <c r="CC109" i="6" s="1"/>
  <c r="AA109" i="22"/>
  <c r="Z109" i="22" s="1"/>
  <c r="Y109" i="22" s="1"/>
  <c r="W51" i="23"/>
  <c r="D51" i="23"/>
  <c r="E51" i="23" s="1"/>
  <c r="F51" i="23" s="1"/>
  <c r="D304" i="24"/>
  <c r="E304" i="24" s="1"/>
  <c r="F304" i="24" s="1"/>
  <c r="W304" i="24"/>
  <c r="G262" i="23"/>
  <c r="CD262" i="6" s="1"/>
  <c r="AA262" i="23"/>
  <c r="Z262" i="23" s="1"/>
  <c r="Y262" i="23" s="1"/>
  <c r="D139" i="23"/>
  <c r="E139" i="23" s="1"/>
  <c r="F139" i="23" s="1"/>
  <c r="W139" i="23"/>
  <c r="G53" i="22"/>
  <c r="CC53" i="6" s="1"/>
  <c r="AA53" i="22"/>
  <c r="Z53" i="22" s="1"/>
  <c r="Y53" i="22" s="1"/>
  <c r="D334" i="23"/>
  <c r="E334" i="23" s="1"/>
  <c r="F334" i="23" s="1"/>
  <c r="W334" i="23"/>
  <c r="H215" i="20"/>
  <c r="H181" i="20"/>
  <c r="G336" i="23"/>
  <c r="CD336" i="6" s="1"/>
  <c r="AA336" i="23"/>
  <c r="Z336" i="23" s="1"/>
  <c r="Y336" i="23" s="1"/>
  <c r="W246" i="23"/>
  <c r="D246" i="23"/>
  <c r="E246" i="23" s="1"/>
  <c r="F246" i="23" s="1"/>
  <c r="W104" i="23"/>
  <c r="D104" i="23"/>
  <c r="E104" i="23" s="1"/>
  <c r="F104" i="23" s="1"/>
  <c r="D197" i="24"/>
  <c r="E197" i="24" s="1"/>
  <c r="F197" i="24" s="1"/>
  <c r="W197" i="24"/>
  <c r="G83" i="23"/>
  <c r="CD83" i="6" s="1"/>
  <c r="AA83" i="23"/>
  <c r="Z83" i="23" s="1"/>
  <c r="Y83" i="23" s="1"/>
  <c r="H287" i="20"/>
  <c r="AA130" i="23"/>
  <c r="Z130" i="23" s="1"/>
  <c r="Y130" i="23" s="1"/>
  <c r="G130" i="23"/>
  <c r="CD130" i="6" s="1"/>
  <c r="G253" i="22"/>
  <c r="CC253" i="6" s="1"/>
  <c r="AA253" i="22"/>
  <c r="Z253" i="22" s="1"/>
  <c r="Y253" i="22" s="1"/>
  <c r="G369" i="22"/>
  <c r="CC369" i="6" s="1"/>
  <c r="AA369" i="22"/>
  <c r="Z369" i="22" s="1"/>
  <c r="Y369" i="22" s="1"/>
  <c r="D347" i="23"/>
  <c r="E347" i="23" s="1"/>
  <c r="F347" i="23" s="1"/>
  <c r="W347" i="23"/>
  <c r="G376" i="22"/>
  <c r="CC376" i="6" s="1"/>
  <c r="AA376" i="22"/>
  <c r="Z376" i="22" s="1"/>
  <c r="Y376" i="22" s="1"/>
  <c r="W66" i="24"/>
  <c r="D66" i="24"/>
  <c r="E66" i="24" s="1"/>
  <c r="F66" i="24" s="1"/>
  <c r="W75" i="23"/>
  <c r="D75" i="23"/>
  <c r="E75" i="23" s="1"/>
  <c r="F75" i="23" s="1"/>
  <c r="W187" i="23"/>
  <c r="D187" i="23"/>
  <c r="E187" i="23" s="1"/>
  <c r="F187" i="23" s="1"/>
  <c r="G333" i="22"/>
  <c r="CC333" i="6" s="1"/>
  <c r="AA333" i="22"/>
  <c r="Z333" i="22" s="1"/>
  <c r="Y333" i="22" s="1"/>
  <c r="W33" i="24"/>
  <c r="D33" i="24"/>
  <c r="E33" i="24" s="1"/>
  <c r="F33" i="24" s="1"/>
  <c r="G352" i="22"/>
  <c r="CC352" i="6" s="1"/>
  <c r="AA352" i="22"/>
  <c r="Z352" i="22" s="1"/>
  <c r="Y352" i="22" s="1"/>
  <c r="D274" i="23"/>
  <c r="E274" i="23" s="1"/>
  <c r="F274" i="23" s="1"/>
  <c r="W274" i="23"/>
  <c r="W84" i="23"/>
  <c r="D84" i="23"/>
  <c r="E84" i="23" s="1"/>
  <c r="F84" i="23" s="1"/>
  <c r="W114" i="23"/>
  <c r="D114" i="23"/>
  <c r="E114" i="23" s="1"/>
  <c r="F114" i="23" s="1"/>
  <c r="W354" i="24"/>
  <c r="D354" i="24"/>
  <c r="E354" i="24" s="1"/>
  <c r="F354" i="24" s="1"/>
  <c r="G29" i="22"/>
  <c r="CC29" i="6" s="1"/>
  <c r="AA29" i="22"/>
  <c r="Z29" i="22" s="1"/>
  <c r="Y29" i="22" s="1"/>
  <c r="AA379" i="23"/>
  <c r="Z379" i="23" s="1"/>
  <c r="Y379" i="23" s="1"/>
  <c r="G379" i="23"/>
  <c r="CD379" i="6" s="1"/>
  <c r="BA132" i="6"/>
  <c r="D132" i="6" s="1"/>
  <c r="H132" i="20"/>
  <c r="BA281" i="6"/>
  <c r="H281" i="20"/>
  <c r="BA247" i="6"/>
  <c r="D247" i="6" s="1"/>
  <c r="H247" i="20"/>
  <c r="BA129" i="6"/>
  <c r="D129" i="6" s="1"/>
  <c r="H129" i="20"/>
  <c r="BA335" i="6"/>
  <c r="D335" i="6" s="1"/>
  <c r="H335" i="20"/>
  <c r="BA208" i="6"/>
  <c r="D208" i="6" s="1"/>
  <c r="H208" i="20"/>
  <c r="BA221" i="6"/>
  <c r="D221" i="6" s="1"/>
  <c r="H221" i="20"/>
  <c r="BA228" i="6"/>
  <c r="D228" i="6" s="1"/>
  <c r="H228" i="20"/>
  <c r="BA152" i="6"/>
  <c r="D152" i="6" s="1"/>
  <c r="H152" i="20"/>
  <c r="BA179" i="6"/>
  <c r="D179" i="6" s="1"/>
  <c r="H179" i="20"/>
  <c r="BA28" i="6"/>
  <c r="D28" i="6" s="1"/>
  <c r="H28" i="20"/>
  <c r="BA180" i="6"/>
  <c r="D180" i="6" s="1"/>
  <c r="H180" i="20"/>
  <c r="BA323" i="6"/>
  <c r="H323" i="20"/>
  <c r="BA26" i="6"/>
  <c r="D26" i="6" s="1"/>
  <c r="H26" i="20"/>
  <c r="BA170" i="6"/>
  <c r="D170" i="6" s="1"/>
  <c r="H170" i="20"/>
  <c r="BA366" i="6"/>
  <c r="D366" i="6" s="1"/>
  <c r="H366" i="20"/>
  <c r="BA39" i="6"/>
  <c r="D39" i="6" s="1"/>
  <c r="H39" i="20"/>
  <c r="G100" i="23"/>
  <c r="CD100" i="6" s="1"/>
  <c r="AA100" i="23"/>
  <c r="Z100" i="23" s="1"/>
  <c r="Y100" i="23" s="1"/>
  <c r="W32" i="24"/>
  <c r="D32" i="24"/>
  <c r="E32" i="24" s="1"/>
  <c r="F32" i="24" s="1"/>
  <c r="W229" i="24"/>
  <c r="D229" i="24"/>
  <c r="E229" i="24" s="1"/>
  <c r="F229" i="24" s="1"/>
  <c r="G353" i="23"/>
  <c r="CD353" i="6" s="1"/>
  <c r="AA353" i="23"/>
  <c r="Z353" i="23" s="1"/>
  <c r="Y353" i="23" s="1"/>
  <c r="G134" i="23"/>
  <c r="CD134" i="6" s="1"/>
  <c r="AA134" i="23"/>
  <c r="Z134" i="23" s="1"/>
  <c r="Y134" i="23" s="1"/>
  <c r="D68" i="24"/>
  <c r="E68" i="24" s="1"/>
  <c r="F68" i="24" s="1"/>
  <c r="W68" i="24"/>
  <c r="D213" i="23"/>
  <c r="E213" i="23" s="1"/>
  <c r="F213" i="23" s="1"/>
  <c r="W213" i="23"/>
  <c r="G57" i="23"/>
  <c r="CD57" i="6" s="1"/>
  <c r="AA57" i="23"/>
  <c r="Z57" i="23" s="1"/>
  <c r="Y57" i="23" s="1"/>
  <c r="D57" i="24"/>
  <c r="E57" i="24" s="1"/>
  <c r="F57" i="24" s="1"/>
  <c r="W57" i="24"/>
  <c r="G280" i="23"/>
  <c r="CD280" i="6" s="1"/>
  <c r="AA280" i="23"/>
  <c r="Z280" i="23" s="1"/>
  <c r="Y280" i="23" s="1"/>
  <c r="G172" i="23"/>
  <c r="CD172" i="6" s="1"/>
  <c r="AA172" i="23"/>
  <c r="Z172" i="23" s="1"/>
  <c r="Y172" i="23" s="1"/>
  <c r="W20" i="23"/>
  <c r="D20" i="23"/>
  <c r="E20" i="23" s="1"/>
  <c r="F20" i="23" s="1"/>
  <c r="W267" i="23"/>
  <c r="D267" i="23"/>
  <c r="E267" i="23" s="1"/>
  <c r="F267" i="23" s="1"/>
  <c r="G179" i="23"/>
  <c r="CD179" i="6" s="1"/>
  <c r="AA179" i="23"/>
  <c r="Z179" i="23" s="1"/>
  <c r="Y179" i="23" s="1"/>
  <c r="W142" i="24"/>
  <c r="D142" i="24"/>
  <c r="E142" i="24" s="1"/>
  <c r="F142" i="24" s="1"/>
  <c r="G339" i="22"/>
  <c r="CC339" i="6" s="1"/>
  <c r="AA339" i="22"/>
  <c r="Z339" i="22" s="1"/>
  <c r="Y339" i="22" s="1"/>
  <c r="W209" i="24"/>
  <c r="D209" i="24"/>
  <c r="E209" i="24" s="1"/>
  <c r="F209" i="24" s="1"/>
  <c r="W147" i="24"/>
  <c r="D147" i="24"/>
  <c r="E147" i="24" s="1"/>
  <c r="F147" i="24" s="1"/>
  <c r="G49" i="22"/>
  <c r="CC49" i="6" s="1"/>
  <c r="AA49" i="22"/>
  <c r="Z49" i="22" s="1"/>
  <c r="Y49" i="22" s="1"/>
  <c r="G276" i="23"/>
  <c r="CD276" i="6" s="1"/>
  <c r="AA276" i="23"/>
  <c r="Z276" i="23" s="1"/>
  <c r="Y276" i="23" s="1"/>
  <c r="W254" i="23"/>
  <c r="D254" i="23"/>
  <c r="E254" i="23" s="1"/>
  <c r="F254" i="23" s="1"/>
  <c r="D42" i="23"/>
  <c r="E42" i="23" s="1"/>
  <c r="F42" i="23" s="1"/>
  <c r="W42" i="23"/>
  <c r="D249" i="23"/>
  <c r="E249" i="23" s="1"/>
  <c r="F249" i="23" s="1"/>
  <c r="W249" i="23"/>
  <c r="D189" i="24"/>
  <c r="E189" i="24" s="1"/>
  <c r="F189" i="24" s="1"/>
  <c r="W189" i="24"/>
  <c r="G368" i="23"/>
  <c r="CD368" i="6" s="1"/>
  <c r="AA368" i="23"/>
  <c r="Z368" i="23" s="1"/>
  <c r="Y368" i="23" s="1"/>
  <c r="G166" i="23"/>
  <c r="CD166" i="6" s="1"/>
  <c r="AA166" i="23"/>
  <c r="Z166" i="23" s="1"/>
  <c r="Y166" i="23" s="1"/>
  <c r="D166" i="24"/>
  <c r="E166" i="24" s="1"/>
  <c r="F166" i="24" s="1"/>
  <c r="W166" i="24"/>
  <c r="G105" i="23"/>
  <c r="CD105" i="6" s="1"/>
  <c r="AA105" i="23"/>
  <c r="Z105" i="23" s="1"/>
  <c r="Y105" i="23" s="1"/>
  <c r="W105" i="24"/>
  <c r="D105" i="24"/>
  <c r="E105" i="24" s="1"/>
  <c r="F105" i="24" s="1"/>
  <c r="G232" i="22"/>
  <c r="CC232" i="6" s="1"/>
  <c r="AA232" i="22"/>
  <c r="Z232" i="22" s="1"/>
  <c r="Y232" i="22" s="1"/>
  <c r="G62" i="22"/>
  <c r="CC62" i="6" s="1"/>
  <c r="AA62" i="22"/>
  <c r="Z62" i="22" s="1"/>
  <c r="Y62" i="22" s="1"/>
  <c r="AA309" i="22"/>
  <c r="Z309" i="22" s="1"/>
  <c r="Y309" i="22" s="1"/>
  <c r="G309" i="22"/>
  <c r="CC309" i="6" s="1"/>
  <c r="W374" i="23"/>
  <c r="D374" i="23"/>
  <c r="E374" i="23" s="1"/>
  <c r="F374" i="23" s="1"/>
  <c r="W362" i="23"/>
  <c r="D362" i="23"/>
  <c r="E362" i="23" s="1"/>
  <c r="F362" i="23" s="1"/>
  <c r="W290" i="23"/>
  <c r="D290" i="23"/>
  <c r="E290" i="23" s="1"/>
  <c r="F290" i="23" s="1"/>
  <c r="G158" i="23"/>
  <c r="CD158" i="6" s="1"/>
  <c r="AA158" i="23"/>
  <c r="Z158" i="23" s="1"/>
  <c r="Y158" i="23" s="1"/>
  <c r="AA30" i="23"/>
  <c r="Z30" i="23" s="1"/>
  <c r="Y30" i="23" s="1"/>
  <c r="G30" i="23"/>
  <c r="CD30" i="6" s="1"/>
  <c r="W225" i="23"/>
  <c r="D225" i="23"/>
  <c r="E225" i="23" s="1"/>
  <c r="F225" i="23" s="1"/>
  <c r="G292" i="22"/>
  <c r="CC292" i="6" s="1"/>
  <c r="AA292" i="22"/>
  <c r="Z292" i="22" s="1"/>
  <c r="Y292" i="22" s="1"/>
  <c r="W292" i="23"/>
  <c r="D292" i="23"/>
  <c r="E292" i="23" s="1"/>
  <c r="F292" i="23" s="1"/>
  <c r="G375" i="23"/>
  <c r="CD375" i="6" s="1"/>
  <c r="AA375" i="23"/>
  <c r="Z375" i="23" s="1"/>
  <c r="Y375" i="23" s="1"/>
  <c r="W375" i="24"/>
  <c r="D375" i="24"/>
  <c r="E375" i="24" s="1"/>
  <c r="F375" i="24" s="1"/>
  <c r="G325" i="22"/>
  <c r="CC325" i="6" s="1"/>
  <c r="AA325" i="22"/>
  <c r="Z325" i="22" s="1"/>
  <c r="Y325" i="22" s="1"/>
  <c r="G277" i="22"/>
  <c r="CC277" i="6" s="1"/>
  <c r="AA277" i="22"/>
  <c r="Z277" i="22" s="1"/>
  <c r="Y277" i="22" s="1"/>
  <c r="G326" i="23"/>
  <c r="CD326" i="6" s="1"/>
  <c r="AA326" i="23"/>
  <c r="Z326" i="23" s="1"/>
  <c r="Y326" i="23" s="1"/>
  <c r="G296" i="22"/>
  <c r="CC296" i="6" s="1"/>
  <c r="AA296" i="22"/>
  <c r="Z296" i="22" s="1"/>
  <c r="Y296" i="22" s="1"/>
  <c r="D296" i="23"/>
  <c r="E296" i="23" s="1"/>
  <c r="F296" i="23" s="1"/>
  <c r="W296" i="23"/>
  <c r="W120" i="24"/>
  <c r="D120" i="24"/>
  <c r="E120" i="24" s="1"/>
  <c r="F120" i="24" s="1"/>
  <c r="G233" i="22"/>
  <c r="CC233" i="6" s="1"/>
  <c r="AA233" i="22"/>
  <c r="Z233" i="22" s="1"/>
  <c r="Y233" i="22" s="1"/>
  <c r="G123" i="22"/>
  <c r="CC123" i="6" s="1"/>
  <c r="AA123" i="22"/>
  <c r="Z123" i="22" s="1"/>
  <c r="Y123" i="22" s="1"/>
  <c r="G45" i="22"/>
  <c r="CC45" i="6" s="1"/>
  <c r="AA45" i="22"/>
  <c r="Z45" i="22" s="1"/>
  <c r="Y45" i="22" s="1"/>
  <c r="W282" i="23"/>
  <c r="D282" i="23"/>
  <c r="E282" i="23" s="1"/>
  <c r="F282" i="23" s="1"/>
  <c r="G230" i="23"/>
  <c r="CD230" i="6" s="1"/>
  <c r="AA230" i="23"/>
  <c r="Z230" i="23" s="1"/>
  <c r="Y230" i="23" s="1"/>
  <c r="D118" i="24"/>
  <c r="E118" i="24" s="1"/>
  <c r="F118" i="24" s="1"/>
  <c r="W118" i="24"/>
  <c r="W92" i="24"/>
  <c r="D92" i="24"/>
  <c r="E92" i="24" s="1"/>
  <c r="F92" i="24" s="1"/>
  <c r="W219" i="23"/>
  <c r="D219" i="23"/>
  <c r="E219" i="23" s="1"/>
  <c r="F219" i="23" s="1"/>
  <c r="W173" i="23"/>
  <c r="D173" i="23"/>
  <c r="E173" i="23" s="1"/>
  <c r="F173" i="23" s="1"/>
  <c r="G127" i="22"/>
  <c r="CC127" i="6" s="1"/>
  <c r="AA127" i="22"/>
  <c r="Z127" i="22" s="1"/>
  <c r="Y127" i="22" s="1"/>
  <c r="W127" i="23"/>
  <c r="D127" i="23"/>
  <c r="E127" i="23" s="1"/>
  <c r="F127" i="23" s="1"/>
  <c r="G89" i="22"/>
  <c r="CC89" i="6" s="1"/>
  <c r="AA89" i="22"/>
  <c r="Z89" i="22" s="1"/>
  <c r="Y89" i="22" s="1"/>
  <c r="G61" i="22"/>
  <c r="CC61" i="6" s="1"/>
  <c r="AA61" i="22"/>
  <c r="Z61" i="22" s="1"/>
  <c r="Y61" i="22" s="1"/>
  <c r="D175" i="24"/>
  <c r="E175" i="24" s="1"/>
  <c r="F175" i="24" s="1"/>
  <c r="W175" i="24"/>
  <c r="G284" i="23"/>
  <c r="CD284" i="6" s="1"/>
  <c r="AA284" i="23"/>
  <c r="Z284" i="23" s="1"/>
  <c r="Y284" i="23" s="1"/>
  <c r="D302" i="24"/>
  <c r="E302" i="24" s="1"/>
  <c r="F302" i="24" s="1"/>
  <c r="W302" i="24"/>
  <c r="G335" i="23"/>
  <c r="CD335" i="6" s="1"/>
  <c r="AA335" i="23"/>
  <c r="Z335" i="23" s="1"/>
  <c r="Y335" i="23" s="1"/>
  <c r="G194" i="22"/>
  <c r="CC194" i="6" s="1"/>
  <c r="AA194" i="22"/>
  <c r="Z194" i="22" s="1"/>
  <c r="Y194" i="22" s="1"/>
  <c r="W111" i="24"/>
  <c r="D111" i="24"/>
  <c r="E111" i="24" s="1"/>
  <c r="F111" i="24" s="1"/>
  <c r="W17" i="24"/>
  <c r="D17" i="24"/>
  <c r="E17" i="24" s="1"/>
  <c r="F17" i="24" s="1"/>
  <c r="D349" i="23"/>
  <c r="E349" i="23" s="1"/>
  <c r="F349" i="23" s="1"/>
  <c r="W349" i="23"/>
  <c r="G149" i="23"/>
  <c r="CD149" i="6" s="1"/>
  <c r="AA149" i="23"/>
  <c r="Z149" i="23" s="1"/>
  <c r="Y149" i="23" s="1"/>
  <c r="W281" i="24"/>
  <c r="D281" i="24"/>
  <c r="E281" i="24" s="1"/>
  <c r="F281" i="24" s="1"/>
  <c r="W247" i="24"/>
  <c r="D247" i="24"/>
  <c r="E247" i="24" s="1"/>
  <c r="F247" i="24" s="1"/>
  <c r="W159" i="23"/>
  <c r="D159" i="23"/>
  <c r="E159" i="23" s="1"/>
  <c r="F159" i="23" s="1"/>
  <c r="G161" i="22"/>
  <c r="CC161" i="6" s="1"/>
  <c r="AA161" i="22"/>
  <c r="Z161" i="22" s="1"/>
  <c r="Y161" i="22" s="1"/>
  <c r="W161" i="23"/>
  <c r="D161" i="23"/>
  <c r="E161" i="23" s="1"/>
  <c r="F161" i="23" s="1"/>
  <c r="G210" i="22"/>
  <c r="CC210" i="6" s="1"/>
  <c r="AA210" i="22"/>
  <c r="Z210" i="22" s="1"/>
  <c r="Y210" i="22" s="1"/>
  <c r="W135" i="23"/>
  <c r="D135" i="23"/>
  <c r="E135" i="23" s="1"/>
  <c r="F135" i="23" s="1"/>
  <c r="BA312" i="6"/>
  <c r="D312" i="6" s="1"/>
  <c r="H312" i="20"/>
  <c r="BA19" i="6"/>
  <c r="D19" i="6" s="1"/>
  <c r="H19" i="20"/>
  <c r="BA197" i="6"/>
  <c r="H197" i="20"/>
  <c r="BA313" i="6"/>
  <c r="D313" i="6" s="1"/>
  <c r="H313" i="20"/>
  <c r="BA32" i="6"/>
  <c r="D32" i="6" s="1"/>
  <c r="H32" i="20"/>
  <c r="BA52" i="6"/>
  <c r="D52" i="6" s="1"/>
  <c r="H52" i="20"/>
  <c r="BA342" i="6"/>
  <c r="D342" i="6" s="1"/>
  <c r="H342" i="20"/>
  <c r="BA190" i="6"/>
  <c r="D190" i="6" s="1"/>
  <c r="H190" i="20"/>
  <c r="BA370" i="6"/>
  <c r="D370" i="6" s="1"/>
  <c r="H370" i="20"/>
  <c r="BA304" i="6"/>
  <c r="D304" i="6" s="1"/>
  <c r="H304" i="20"/>
  <c r="BA202" i="6"/>
  <c r="D202" i="6" s="1"/>
  <c r="H202" i="20"/>
  <c r="BA107" i="6"/>
  <c r="D107" i="6" s="1"/>
  <c r="H107" i="20"/>
  <c r="BA260" i="6"/>
  <c r="D260" i="6" s="1"/>
  <c r="H260" i="20"/>
  <c r="BA319" i="6"/>
  <c r="D319" i="6" s="1"/>
  <c r="H319" i="20"/>
  <c r="BA105" i="6"/>
  <c r="D105" i="6" s="1"/>
  <c r="H105" i="20"/>
  <c r="BA167" i="6"/>
  <c r="D167" i="6" s="1"/>
  <c r="H167" i="20"/>
  <c r="W81" i="23"/>
  <c r="D81" i="23"/>
  <c r="E81" i="23" s="1"/>
  <c r="F81" i="23" s="1"/>
  <c r="W332" i="23"/>
  <c r="D332" i="23"/>
  <c r="E332" i="23" s="1"/>
  <c r="F332" i="23" s="1"/>
  <c r="D321" i="23"/>
  <c r="E321" i="23" s="1"/>
  <c r="F321" i="23" s="1"/>
  <c r="W321" i="23"/>
  <c r="G163" i="22"/>
  <c r="CC163" i="6" s="1"/>
  <c r="AA163" i="22"/>
  <c r="Z163" i="22" s="1"/>
  <c r="Y163" i="22" s="1"/>
  <c r="G98" i="22"/>
  <c r="CC98" i="6" s="1"/>
  <c r="AA98" i="22"/>
  <c r="Z98" i="22" s="1"/>
  <c r="Y98" i="22" s="1"/>
  <c r="W207" i="24"/>
  <c r="D207" i="24"/>
  <c r="E207" i="24" s="1"/>
  <c r="F207" i="24" s="1"/>
  <c r="D366" i="24"/>
  <c r="E366" i="24" s="1"/>
  <c r="F366" i="24" s="1"/>
  <c r="W366" i="24"/>
  <c r="D342" i="24"/>
  <c r="E342" i="24" s="1"/>
  <c r="F342" i="24" s="1"/>
  <c r="W342" i="24"/>
  <c r="W312" i="24"/>
  <c r="D312" i="24"/>
  <c r="E312" i="24" s="1"/>
  <c r="F312" i="24" s="1"/>
  <c r="H240" i="20"/>
  <c r="G200" i="23"/>
  <c r="CD200" i="6" s="1"/>
  <c r="AA200" i="23"/>
  <c r="Z200" i="23" s="1"/>
  <c r="Y200" i="23" s="1"/>
  <c r="W40" i="24"/>
  <c r="D40" i="24"/>
  <c r="E40" i="24" s="1"/>
  <c r="F40" i="24" s="1"/>
  <c r="G377" i="23"/>
  <c r="CD377" i="6" s="1"/>
  <c r="AA377" i="23"/>
  <c r="Z377" i="23" s="1"/>
  <c r="Y377" i="23" s="1"/>
  <c r="G343" i="23"/>
  <c r="CD343" i="6" s="1"/>
  <c r="AA343" i="23"/>
  <c r="Z343" i="23" s="1"/>
  <c r="Y343" i="23" s="1"/>
  <c r="G315" i="22"/>
  <c r="CC315" i="6" s="1"/>
  <c r="AA315" i="22"/>
  <c r="Z315" i="22" s="1"/>
  <c r="Y315" i="22" s="1"/>
  <c r="G129" i="23"/>
  <c r="CD129" i="6" s="1"/>
  <c r="AA129" i="23"/>
  <c r="Z129" i="23" s="1"/>
  <c r="Y129" i="23" s="1"/>
  <c r="G113" i="23"/>
  <c r="CD113" i="6" s="1"/>
  <c r="AA113" i="23"/>
  <c r="Z113" i="23" s="1"/>
  <c r="Y113" i="23" s="1"/>
  <c r="W350" i="23"/>
  <c r="D350" i="23"/>
  <c r="E350" i="23" s="1"/>
  <c r="F350" i="23" s="1"/>
  <c r="G238" i="23"/>
  <c r="CD238" i="6" s="1"/>
  <c r="AA238" i="23"/>
  <c r="Z238" i="23" s="1"/>
  <c r="Y238" i="23" s="1"/>
  <c r="W160" i="23"/>
  <c r="D160" i="23"/>
  <c r="E160" i="23" s="1"/>
  <c r="F160" i="23" s="1"/>
  <c r="D48" i="23"/>
  <c r="E48" i="23" s="1"/>
  <c r="F48" i="23" s="1"/>
  <c r="W48" i="23"/>
  <c r="W307" i="23"/>
  <c r="D307" i="23"/>
  <c r="E307" i="23" s="1"/>
  <c r="F307" i="23" s="1"/>
  <c r="G348" i="23"/>
  <c r="CD348" i="6" s="1"/>
  <c r="AA348" i="23"/>
  <c r="Z348" i="23" s="1"/>
  <c r="Y348" i="23" s="1"/>
  <c r="G250" i="22"/>
  <c r="CC250" i="6" s="1"/>
  <c r="AA250" i="22"/>
  <c r="Z250" i="22" s="1"/>
  <c r="Y250" i="22" s="1"/>
  <c r="G126" i="22"/>
  <c r="CC126" i="6" s="1"/>
  <c r="AA126" i="22"/>
  <c r="Z126" i="22" s="1"/>
  <c r="Y126" i="22" s="1"/>
  <c r="W96" i="23"/>
  <c r="D96" i="23"/>
  <c r="E96" i="23" s="1"/>
  <c r="F96" i="23" s="1"/>
  <c r="G34" i="22"/>
  <c r="CC34" i="6" s="1"/>
  <c r="AA34" i="22"/>
  <c r="Z34" i="22" s="1"/>
  <c r="Y34" i="22" s="1"/>
  <c r="G341" i="23"/>
  <c r="CD341" i="6" s="1"/>
  <c r="AA341" i="23"/>
  <c r="Z341" i="23" s="1"/>
  <c r="Y341" i="23" s="1"/>
  <c r="G93" i="23"/>
  <c r="CD93" i="6" s="1"/>
  <c r="AA93" i="23"/>
  <c r="Z93" i="23" s="1"/>
  <c r="Y93" i="23" s="1"/>
  <c r="W31" i="23"/>
  <c r="D31" i="23"/>
  <c r="E31" i="23" s="1"/>
  <c r="F31" i="23" s="1"/>
  <c r="G70" i="23"/>
  <c r="CD70" i="6" s="1"/>
  <c r="AA70" i="23"/>
  <c r="Z70" i="23" s="1"/>
  <c r="Y70" i="23" s="1"/>
  <c r="W37" i="23"/>
  <c r="D37" i="23"/>
  <c r="E37" i="23" s="1"/>
  <c r="F37" i="23" s="1"/>
  <c r="G244" i="22"/>
  <c r="CC244" i="6" s="1"/>
  <c r="AA244" i="22"/>
  <c r="Z244" i="22" s="1"/>
  <c r="Y244" i="22" s="1"/>
  <c r="G346" i="22"/>
  <c r="CC346" i="6" s="1"/>
  <c r="AA346" i="22"/>
  <c r="Z346" i="22" s="1"/>
  <c r="Y346" i="22" s="1"/>
  <c r="W346" i="23"/>
  <c r="D346" i="23"/>
  <c r="E346" i="23" s="1"/>
  <c r="F346" i="23" s="1"/>
  <c r="G248" i="22"/>
  <c r="CC248" i="6" s="1"/>
  <c r="AA248" i="22"/>
  <c r="Z248" i="22" s="1"/>
  <c r="Y248" i="22" s="1"/>
  <c r="W208" i="24"/>
  <c r="D208" i="24"/>
  <c r="E208" i="24" s="1"/>
  <c r="F208" i="24" s="1"/>
  <c r="W363" i="24"/>
  <c r="D363" i="24"/>
  <c r="E363" i="24" s="1"/>
  <c r="F363" i="24" s="1"/>
  <c r="G295" i="22"/>
  <c r="CC295" i="6" s="1"/>
  <c r="AA295" i="22"/>
  <c r="Z295" i="22" s="1"/>
  <c r="Y295" i="22" s="1"/>
  <c r="W125" i="23"/>
  <c r="D125" i="23"/>
  <c r="E125" i="23" s="1"/>
  <c r="F125" i="23" s="1"/>
  <c r="G157" i="22"/>
  <c r="CC157" i="6" s="1"/>
  <c r="AA157" i="22"/>
  <c r="Z157" i="22" s="1"/>
  <c r="Y157" i="22" s="1"/>
  <c r="W305" i="24"/>
  <c r="D305" i="24"/>
  <c r="E305" i="24" s="1"/>
  <c r="F305" i="24" s="1"/>
  <c r="G252" i="23"/>
  <c r="CD252" i="6" s="1"/>
  <c r="AA252" i="23"/>
  <c r="Z252" i="23" s="1"/>
  <c r="Y252" i="23" s="1"/>
  <c r="D222" i="24"/>
  <c r="E222" i="24" s="1"/>
  <c r="F222" i="24" s="1"/>
  <c r="W222" i="24"/>
  <c r="G264" i="22"/>
  <c r="CC264" i="6" s="1"/>
  <c r="AA264" i="22"/>
  <c r="Z264" i="22" s="1"/>
  <c r="Y264" i="22" s="1"/>
  <c r="H214" i="20"/>
  <c r="G214" i="22"/>
  <c r="CC214" i="6" s="1"/>
  <c r="AA214" i="22"/>
  <c r="Z214" i="22" s="1"/>
  <c r="Y214" i="22" s="1"/>
  <c r="W214" i="23"/>
  <c r="D214" i="23"/>
  <c r="E214" i="23" s="1"/>
  <c r="F214" i="23" s="1"/>
  <c r="W198" i="23"/>
  <c r="D198" i="23"/>
  <c r="E198" i="23" s="1"/>
  <c r="F198" i="23" s="1"/>
  <c r="W82" i="24"/>
  <c r="D82" i="24"/>
  <c r="E82" i="24" s="1"/>
  <c r="F82" i="24" s="1"/>
  <c r="W351" i="24"/>
  <c r="D351" i="24"/>
  <c r="E351" i="24" s="1"/>
  <c r="F351" i="24" s="1"/>
  <c r="W279" i="23"/>
  <c r="D279" i="23"/>
  <c r="E279" i="23" s="1"/>
  <c r="F279" i="23" s="1"/>
  <c r="G165" i="22"/>
  <c r="CC165" i="6" s="1"/>
  <c r="AA165" i="22"/>
  <c r="Z165" i="22" s="1"/>
  <c r="Y165" i="22" s="1"/>
  <c r="G117" i="23"/>
  <c r="CD117" i="6" s="1"/>
  <c r="AA117" i="23"/>
  <c r="Z117" i="23" s="1"/>
  <c r="Y117" i="23" s="1"/>
  <c r="G91" i="23"/>
  <c r="CD91" i="6" s="1"/>
  <c r="AA91" i="23"/>
  <c r="Z91" i="23" s="1"/>
  <c r="Y91" i="23" s="1"/>
  <c r="H51" i="20"/>
  <c r="G41" i="23"/>
  <c r="CD41" i="6" s="1"/>
  <c r="AA41" i="23"/>
  <c r="Z41" i="23" s="1"/>
  <c r="Y41" i="23" s="1"/>
  <c r="G364" i="22"/>
  <c r="CC364" i="6" s="1"/>
  <c r="AA364" i="22"/>
  <c r="Z364" i="22" s="1"/>
  <c r="Y364" i="22" s="1"/>
  <c r="AA330" i="22"/>
  <c r="Z330" i="22" s="1"/>
  <c r="Y330" i="22" s="1"/>
  <c r="G330" i="22"/>
  <c r="CC330" i="6" s="1"/>
  <c r="AA256" i="22"/>
  <c r="Z256" i="22" s="1"/>
  <c r="Y256" i="22" s="1"/>
  <c r="G256" i="22"/>
  <c r="CC256" i="6" s="1"/>
  <c r="D184" i="23"/>
  <c r="E184" i="23" s="1"/>
  <c r="F184" i="23" s="1"/>
  <c r="W184" i="23"/>
  <c r="W124" i="23"/>
  <c r="D124" i="23"/>
  <c r="E124" i="23" s="1"/>
  <c r="F124" i="23" s="1"/>
  <c r="G27" i="22"/>
  <c r="CC27" i="6" s="1"/>
  <c r="AA27" i="22"/>
  <c r="Z27" i="22" s="1"/>
  <c r="Y27" i="22" s="1"/>
  <c r="G151" i="23"/>
  <c r="CD151" i="6" s="1"/>
  <c r="AA151" i="23"/>
  <c r="Z151" i="23" s="1"/>
  <c r="Y151" i="23" s="1"/>
  <c r="W107" i="24"/>
  <c r="D107" i="24"/>
  <c r="E107" i="24" s="1"/>
  <c r="F107" i="24" s="1"/>
  <c r="W39" i="24"/>
  <c r="D39" i="24"/>
  <c r="E39" i="24" s="1"/>
  <c r="F39" i="24" s="1"/>
  <c r="W146" i="24"/>
  <c r="D146" i="24"/>
  <c r="E146" i="24" s="1"/>
  <c r="F146" i="24" s="1"/>
  <c r="W94" i="24"/>
  <c r="D94" i="24"/>
  <c r="E94" i="24" s="1"/>
  <c r="F94" i="24" s="1"/>
  <c r="W285" i="24"/>
  <c r="D285" i="24"/>
  <c r="E285" i="24" s="1"/>
  <c r="F285" i="24" s="1"/>
  <c r="W215" i="23"/>
  <c r="D215" i="23"/>
  <c r="E215" i="23" s="1"/>
  <c r="F215" i="23" s="1"/>
  <c r="W181" i="23"/>
  <c r="D181" i="23"/>
  <c r="E181" i="23" s="1"/>
  <c r="F181" i="23" s="1"/>
  <c r="D71" i="23"/>
  <c r="E71" i="23" s="1"/>
  <c r="F71" i="23" s="1"/>
  <c r="W71" i="23"/>
  <c r="D258" i="24"/>
  <c r="E258" i="24" s="1"/>
  <c r="F258" i="24" s="1"/>
  <c r="W258" i="24"/>
  <c r="G328" i="22"/>
  <c r="CC328" i="6" s="1"/>
  <c r="AA328" i="22"/>
  <c r="Z328" i="22" s="1"/>
  <c r="Y328" i="22" s="1"/>
  <c r="W268" i="23"/>
  <c r="D268" i="23"/>
  <c r="E268" i="23" s="1"/>
  <c r="F268" i="23" s="1"/>
  <c r="H246" i="20"/>
  <c r="G56" i="22"/>
  <c r="CC56" i="6" s="1"/>
  <c r="AA56" i="22"/>
  <c r="Z56" i="22" s="1"/>
  <c r="Y56" i="22" s="1"/>
  <c r="W361" i="23"/>
  <c r="D361" i="23"/>
  <c r="E361" i="23" s="1"/>
  <c r="F361" i="23" s="1"/>
  <c r="AA273" i="22"/>
  <c r="Z273" i="22" s="1"/>
  <c r="Y273" i="22" s="1"/>
  <c r="G273" i="22"/>
  <c r="CC273" i="6" s="1"/>
  <c r="G287" i="22"/>
  <c r="CC287" i="6" s="1"/>
  <c r="AA287" i="22"/>
  <c r="Z287" i="22" s="1"/>
  <c r="Y287" i="22" s="1"/>
  <c r="D278" i="24"/>
  <c r="E278" i="24" s="1"/>
  <c r="F278" i="24" s="1"/>
  <c r="W278" i="24"/>
  <c r="G74" i="22"/>
  <c r="CC74" i="6" s="1"/>
  <c r="AA74" i="22"/>
  <c r="Z74" i="22" s="1"/>
  <c r="Y74" i="22" s="1"/>
  <c r="G69" i="23"/>
  <c r="CD69" i="6" s="1"/>
  <c r="AA69" i="23"/>
  <c r="Z69" i="23" s="1"/>
  <c r="Y69" i="23" s="1"/>
  <c r="D69" i="24"/>
  <c r="E69" i="24" s="1"/>
  <c r="F69" i="24" s="1"/>
  <c r="W69" i="24"/>
  <c r="G318" i="22"/>
  <c r="CC318" i="6" s="1"/>
  <c r="AA318" i="22"/>
  <c r="Z318" i="22" s="1"/>
  <c r="Y318" i="22" s="1"/>
  <c r="D106" i="24"/>
  <c r="E106" i="24" s="1"/>
  <c r="F106" i="24" s="1"/>
  <c r="W106" i="24"/>
  <c r="W99" i="23"/>
  <c r="D99" i="23"/>
  <c r="E99" i="23" s="1"/>
  <c r="F99" i="23" s="1"/>
  <c r="G283" i="22"/>
  <c r="CC283" i="6" s="1"/>
  <c r="AA283" i="22"/>
  <c r="Z283" i="22" s="1"/>
  <c r="Y283" i="22" s="1"/>
  <c r="W227" i="24"/>
  <c r="D227" i="24"/>
  <c r="E227" i="24" s="1"/>
  <c r="F227" i="24" s="1"/>
  <c r="W226" i="23"/>
  <c r="D226" i="23"/>
  <c r="E226" i="23" s="1"/>
  <c r="F226" i="23" s="1"/>
  <c r="BA297" i="6"/>
  <c r="D297" i="6" s="1"/>
  <c r="H297" i="20"/>
  <c r="BA300" i="6"/>
  <c r="D300" i="6" s="1"/>
  <c r="H300" i="20"/>
  <c r="BA344" i="6"/>
  <c r="D344" i="6" s="1"/>
  <c r="H344" i="20"/>
  <c r="BA23" i="6"/>
  <c r="D23" i="6" s="1"/>
  <c r="H23" i="20"/>
  <c r="BA155" i="6"/>
  <c r="H155" i="20"/>
  <c r="BA238" i="6"/>
  <c r="D238" i="6" s="1"/>
  <c r="H238" i="20"/>
  <c r="BA97" i="6"/>
  <c r="D97" i="6" s="1"/>
  <c r="H97" i="20"/>
  <c r="BA43" i="6"/>
  <c r="H43" i="20"/>
  <c r="BA337" i="6"/>
  <c r="H337" i="20"/>
  <c r="BA259" i="6"/>
  <c r="D259" i="6" s="1"/>
  <c r="H259" i="20"/>
  <c r="BA348" i="6"/>
  <c r="D348" i="6" s="1"/>
  <c r="H348" i="20"/>
  <c r="BA306" i="6"/>
  <c r="D306" i="6" s="1"/>
  <c r="H306" i="20"/>
  <c r="AA76" i="22"/>
  <c r="Z76" i="22" s="1"/>
  <c r="Y76" i="22" s="1"/>
  <c r="G76" i="22"/>
  <c r="CC76" i="6" s="1"/>
  <c r="G73" i="22"/>
  <c r="CC73" i="6" s="1"/>
  <c r="AA73" i="22"/>
  <c r="Z73" i="22" s="1"/>
  <c r="Y73" i="22" s="1"/>
  <c r="W236" i="23"/>
  <c r="D236" i="23"/>
  <c r="E236" i="23" s="1"/>
  <c r="F236" i="23" s="1"/>
  <c r="W299" i="24"/>
  <c r="D299" i="24"/>
  <c r="E299" i="24" s="1"/>
  <c r="F299" i="24" s="1"/>
  <c r="W356" i="23"/>
  <c r="D356" i="23"/>
  <c r="E356" i="23" s="1"/>
  <c r="F356" i="23" s="1"/>
  <c r="W206" i="23"/>
  <c r="D206" i="23"/>
  <c r="E206" i="23" s="1"/>
  <c r="F206" i="23" s="1"/>
  <c r="G44" i="22"/>
  <c r="CC44" i="6" s="1"/>
  <c r="AA44" i="22"/>
  <c r="Z44" i="22" s="1"/>
  <c r="Y44" i="22" s="1"/>
  <c r="W24" i="23"/>
  <c r="D24" i="23"/>
  <c r="E24" i="23" s="1"/>
  <c r="F24" i="23" s="1"/>
  <c r="G345" i="22"/>
  <c r="CC345" i="6" s="1"/>
  <c r="AA345" i="22"/>
  <c r="Z345" i="22" s="1"/>
  <c r="Y345" i="22" s="1"/>
  <c r="W133" i="23"/>
  <c r="D133" i="23"/>
  <c r="E133" i="23" s="1"/>
  <c r="F133" i="23" s="1"/>
  <c r="G115" i="22"/>
  <c r="CC115" i="6" s="1"/>
  <c r="AA115" i="22"/>
  <c r="Z115" i="22" s="1"/>
  <c r="Y115" i="22" s="1"/>
  <c r="W234" i="23"/>
  <c r="D234" i="23"/>
  <c r="E234" i="23" s="1"/>
  <c r="F234" i="23" s="1"/>
  <c r="H20" i="20"/>
  <c r="D257" i="24"/>
  <c r="E257" i="24" s="1"/>
  <c r="F257" i="24" s="1"/>
  <c r="W257" i="24"/>
  <c r="G191" i="22"/>
  <c r="CC191" i="6" s="1"/>
  <c r="AA191" i="22"/>
  <c r="Z191" i="22" s="1"/>
  <c r="Y191" i="22" s="1"/>
  <c r="G80" i="23"/>
  <c r="CD80" i="6" s="1"/>
  <c r="AA80" i="23"/>
  <c r="Z80" i="23" s="1"/>
  <c r="Y80" i="23" s="1"/>
  <c r="W80" i="24"/>
  <c r="D80" i="24"/>
  <c r="E80" i="24" s="1"/>
  <c r="F80" i="24" s="1"/>
  <c r="G371" i="22"/>
  <c r="CC371" i="6" s="1"/>
  <c r="AA371" i="22"/>
  <c r="Z371" i="22" s="1"/>
  <c r="Y371" i="22" s="1"/>
  <c r="G87" i="22"/>
  <c r="CC87" i="6" s="1"/>
  <c r="AA87" i="22"/>
  <c r="Z87" i="22" s="1"/>
  <c r="Y87" i="22" s="1"/>
  <c r="W320" i="24"/>
  <c r="D320" i="24"/>
  <c r="E320" i="24" s="1"/>
  <c r="F320" i="24" s="1"/>
  <c r="W260" i="24"/>
  <c r="D260" i="24"/>
  <c r="E260" i="24" s="1"/>
  <c r="F260" i="24" s="1"/>
  <c r="G220" i="22"/>
  <c r="CC220" i="6" s="1"/>
  <c r="AA220" i="22"/>
  <c r="Z220" i="22" s="1"/>
  <c r="Y220" i="22" s="1"/>
  <c r="AA317" i="22"/>
  <c r="Z317" i="22" s="1"/>
  <c r="Y317" i="22" s="1"/>
  <c r="G317" i="22"/>
  <c r="CC317" i="6" s="1"/>
  <c r="W88" i="23"/>
  <c r="D88" i="23"/>
  <c r="E88" i="23" s="1"/>
  <c r="F88" i="23" s="1"/>
  <c r="W241" i="24"/>
  <c r="D241" i="24"/>
  <c r="E241" i="24" s="1"/>
  <c r="F241" i="24" s="1"/>
  <c r="AA272" i="22"/>
  <c r="Z272" i="22" s="1"/>
  <c r="Y272" i="22" s="1"/>
  <c r="G272" i="22"/>
  <c r="CC272" i="6" s="1"/>
  <c r="W272" i="23"/>
  <c r="D272" i="23"/>
  <c r="E272" i="23" s="1"/>
  <c r="F272" i="23" s="1"/>
  <c r="W22" i="23"/>
  <c r="D22" i="23"/>
  <c r="E22" i="23" s="1"/>
  <c r="F22" i="23" s="1"/>
  <c r="G67" i="22"/>
  <c r="CC67" i="6" s="1"/>
  <c r="AA67" i="22"/>
  <c r="Z67" i="22" s="1"/>
  <c r="Y67" i="22" s="1"/>
  <c r="G196" i="22"/>
  <c r="CC196" i="6" s="1"/>
  <c r="AA196" i="22"/>
  <c r="Z196" i="22" s="1"/>
  <c r="Y196" i="22" s="1"/>
  <c r="G119" i="22"/>
  <c r="CC119" i="6" s="1"/>
  <c r="AA119" i="22"/>
  <c r="Z119" i="22" s="1"/>
  <c r="Y119" i="22" s="1"/>
  <c r="G153" i="23"/>
  <c r="CD153" i="6" s="1"/>
  <c r="AA153" i="23"/>
  <c r="Z153" i="23" s="1"/>
  <c r="Y153" i="23" s="1"/>
  <c r="G235" i="23"/>
  <c r="CD235" i="6" s="1"/>
  <c r="AA235" i="23"/>
  <c r="Z235" i="23" s="1"/>
  <c r="Y235" i="23" s="1"/>
  <c r="G103" i="23"/>
  <c r="CD103" i="6" s="1"/>
  <c r="AA103" i="23"/>
  <c r="Z103" i="23" s="1"/>
  <c r="Y103" i="23" s="1"/>
  <c r="G311" i="22"/>
  <c r="CC311" i="6" s="1"/>
  <c r="AA311" i="22"/>
  <c r="Z311" i="22" s="1"/>
  <c r="Y311" i="22" s="1"/>
  <c r="G310" i="22"/>
  <c r="CC310" i="6" s="1"/>
  <c r="AA310" i="22"/>
  <c r="Z310" i="22" s="1"/>
  <c r="Y310" i="22" s="1"/>
  <c r="W378" i="23"/>
  <c r="D378" i="23"/>
  <c r="E378" i="23" s="1"/>
  <c r="F378" i="23" s="1"/>
  <c r="W137" i="23"/>
  <c r="D137" i="23"/>
  <c r="E137" i="23" s="1"/>
  <c r="F137" i="23" s="1"/>
  <c r="G242" i="23"/>
  <c r="CD242" i="6" s="1"/>
  <c r="AA242" i="23"/>
  <c r="Z242" i="23" s="1"/>
  <c r="Y242" i="23" s="1"/>
  <c r="G186" i="22"/>
  <c r="CC186" i="6" s="1"/>
  <c r="AA186" i="22"/>
  <c r="Z186" i="22" s="1"/>
  <c r="Y186" i="22" s="1"/>
  <c r="W102" i="23"/>
  <c r="D102" i="23"/>
  <c r="E102" i="23" s="1"/>
  <c r="F102" i="23" s="1"/>
  <c r="W355" i="23"/>
  <c r="D355" i="23"/>
  <c r="E355" i="23" s="1"/>
  <c r="F355" i="23" s="1"/>
  <c r="W199" i="24"/>
  <c r="D199" i="24"/>
  <c r="E199" i="24" s="1"/>
  <c r="F199" i="24" s="1"/>
  <c r="W25" i="23"/>
  <c r="D25" i="23"/>
  <c r="E25" i="23" s="1"/>
  <c r="F25" i="23" s="1"/>
  <c r="G25" i="22"/>
  <c r="CC25" i="6" s="1"/>
  <c r="AA25" i="22"/>
  <c r="Z25" i="22" s="1"/>
  <c r="Y25" i="22" s="1"/>
  <c r="W370" i="24"/>
  <c r="D370" i="24"/>
  <c r="E370" i="24" s="1"/>
  <c r="F370" i="24" s="1"/>
  <c r="W202" i="24"/>
  <c r="D202" i="24"/>
  <c r="E202" i="24" s="1"/>
  <c r="F202" i="24" s="1"/>
  <c r="G138" i="23"/>
  <c r="CD138" i="6" s="1"/>
  <c r="AA138" i="23"/>
  <c r="Z138" i="23" s="1"/>
  <c r="Y138" i="23" s="1"/>
  <c r="AA28" i="23"/>
  <c r="Z28" i="23" s="1"/>
  <c r="Y28" i="23" s="1"/>
  <c r="G28" i="23"/>
  <c r="CD28" i="6" s="1"/>
  <c r="W288" i="23"/>
  <c r="D288" i="23"/>
  <c r="E288" i="23" s="1"/>
  <c r="F288" i="23" s="1"/>
  <c r="G359" i="23"/>
  <c r="CD359" i="6" s="1"/>
  <c r="AA359" i="23"/>
  <c r="Z359" i="23" s="1"/>
  <c r="Y359" i="23" s="1"/>
  <c r="W313" i="24"/>
  <c r="D313" i="24"/>
  <c r="E313" i="24" s="1"/>
  <c r="F313" i="24" s="1"/>
  <c r="W245" i="23"/>
  <c r="D245" i="23"/>
  <c r="E245" i="23" s="1"/>
  <c r="F245" i="23" s="1"/>
  <c r="G203" i="22"/>
  <c r="CC203" i="6" s="1"/>
  <c r="AA203" i="22"/>
  <c r="Z203" i="22" s="1"/>
  <c r="Y203" i="22" s="1"/>
  <c r="W169" i="23"/>
  <c r="D169" i="23"/>
  <c r="E169" i="23" s="1"/>
  <c r="F169" i="23" s="1"/>
  <c r="W218" i="23"/>
  <c r="D218" i="23"/>
  <c r="E218" i="23" s="1"/>
  <c r="F218" i="23" s="1"/>
  <c r="W188" i="23"/>
  <c r="D188" i="23"/>
  <c r="E188" i="23" s="1"/>
  <c r="F188" i="23" s="1"/>
  <c r="G144" i="22"/>
  <c r="CC144" i="6" s="1"/>
  <c r="AA144" i="22"/>
  <c r="Z144" i="22" s="1"/>
  <c r="Y144" i="22" s="1"/>
  <c r="AA112" i="22"/>
  <c r="Z112" i="22" s="1"/>
  <c r="Y112" i="22" s="1"/>
  <c r="G112" i="22"/>
  <c r="CC112" i="6" s="1"/>
  <c r="W86" i="23"/>
  <c r="D86" i="23"/>
  <c r="E86" i="23" s="1"/>
  <c r="F86" i="23" s="1"/>
  <c r="W303" i="23"/>
  <c r="D303" i="23"/>
  <c r="E303" i="23" s="1"/>
  <c r="F303" i="23" s="1"/>
  <c r="W275" i="23"/>
  <c r="D275" i="23"/>
  <c r="E275" i="23" s="1"/>
  <c r="F275" i="23" s="1"/>
  <c r="G195" i="23"/>
  <c r="CD195" i="6" s="1"/>
  <c r="AA195" i="23"/>
  <c r="Z195" i="23" s="1"/>
  <c r="Y195" i="23" s="1"/>
  <c r="W131" i="24"/>
  <c r="D131" i="24"/>
  <c r="E131" i="24" s="1"/>
  <c r="F131" i="24" s="1"/>
  <c r="W79" i="24"/>
  <c r="D79" i="24"/>
  <c r="E79" i="24" s="1"/>
  <c r="F79" i="24" s="1"/>
  <c r="AA47" i="23"/>
  <c r="Z47" i="23" s="1"/>
  <c r="Y47" i="23" s="1"/>
  <c r="G47" i="23"/>
  <c r="CD47" i="6" s="1"/>
  <c r="W21" i="23"/>
  <c r="D21" i="23"/>
  <c r="E21" i="23" s="1"/>
  <c r="F21" i="23" s="1"/>
  <c r="G308" i="23"/>
  <c r="CD308" i="6" s="1"/>
  <c r="AA308" i="23"/>
  <c r="Z308" i="23" s="1"/>
  <c r="Y308" i="23" s="1"/>
  <c r="G176" i="22"/>
  <c r="CC176" i="6" s="1"/>
  <c r="AA176" i="22"/>
  <c r="Z176" i="22" s="1"/>
  <c r="Y176" i="22" s="1"/>
  <c r="G128" i="22"/>
  <c r="CC128" i="6" s="1"/>
  <c r="AA128" i="22"/>
  <c r="Z128" i="22" s="1"/>
  <c r="Y128" i="22" s="1"/>
  <c r="G101" i="23"/>
  <c r="CD101" i="6" s="1"/>
  <c r="AA101" i="23"/>
  <c r="Z101" i="23" s="1"/>
  <c r="Y101" i="23" s="1"/>
  <c r="D253" i="6"/>
  <c r="W171" i="23"/>
  <c r="D171" i="23"/>
  <c r="E171" i="23" s="1"/>
  <c r="F171" i="23" s="1"/>
  <c r="G261" i="22"/>
  <c r="CC261" i="6" s="1"/>
  <c r="AA261" i="22"/>
  <c r="Z261" i="22" s="1"/>
  <c r="Y261" i="22" s="1"/>
  <c r="AA319" i="23"/>
  <c r="Z319" i="23" s="1"/>
  <c r="Y319" i="23" s="1"/>
  <c r="G319" i="23"/>
  <c r="CD319" i="6" s="1"/>
  <c r="AA46" i="22"/>
  <c r="Z46" i="22" s="1"/>
  <c r="Y46" i="22" s="1"/>
  <c r="G46" i="22"/>
  <c r="CC46" i="6" s="1"/>
  <c r="D298" i="24"/>
  <c r="E298" i="24" s="1"/>
  <c r="F298" i="24" s="1"/>
  <c r="W298" i="24"/>
  <c r="W365" i="23"/>
  <c r="D365" i="23"/>
  <c r="E365" i="23" s="1"/>
  <c r="F365" i="23" s="1"/>
  <c r="G60" i="22"/>
  <c r="CC60" i="6" s="1"/>
  <c r="AA60" i="22"/>
  <c r="Z60" i="22" s="1"/>
  <c r="Y60" i="22" s="1"/>
  <c r="W263" i="23"/>
  <c r="D263" i="23"/>
  <c r="E263" i="23" s="1"/>
  <c r="F263" i="23" s="1"/>
  <c r="G77" i="22"/>
  <c r="CC77" i="6" s="1"/>
  <c r="AA77" i="22"/>
  <c r="Z77" i="22" s="1"/>
  <c r="Y77" i="22" s="1"/>
  <c r="W177" i="24"/>
  <c r="D177" i="24"/>
  <c r="E177" i="24" s="1"/>
  <c r="F177" i="24" s="1"/>
  <c r="W150" i="23"/>
  <c r="D150" i="23"/>
  <c r="E150" i="23" s="1"/>
  <c r="F150" i="23" s="1"/>
  <c r="BA195" i="6"/>
  <c r="D195" i="6" s="1"/>
  <c r="H195" i="20"/>
  <c r="H81" i="20"/>
  <c r="G182" i="22"/>
  <c r="CC182" i="6" s="1"/>
  <c r="AA182" i="22"/>
  <c r="Z182" i="22" s="1"/>
  <c r="Y182" i="22" s="1"/>
  <c r="W289" i="23"/>
  <c r="D289" i="23"/>
  <c r="E289" i="23" s="1"/>
  <c r="F289" i="23" s="1"/>
  <c r="G78" i="22"/>
  <c r="CC78" i="6" s="1"/>
  <c r="AA78" i="22"/>
  <c r="Z78" i="22" s="1"/>
  <c r="Y78" i="22" s="1"/>
  <c r="G314" i="22"/>
  <c r="CC314" i="6" s="1"/>
  <c r="AA314" i="22"/>
  <c r="Z314" i="22" s="1"/>
  <c r="Y314" i="22" s="1"/>
  <c r="W240" i="23"/>
  <c r="D240" i="23"/>
  <c r="E240" i="23" s="1"/>
  <c r="F240" i="23" s="1"/>
  <c r="D190" i="24"/>
  <c r="E190" i="24" s="1"/>
  <c r="F190" i="24" s="1"/>
  <c r="W190" i="24"/>
  <c r="G72" i="22"/>
  <c r="CC72" i="6" s="1"/>
  <c r="AA72" i="22"/>
  <c r="Z72" i="22" s="1"/>
  <c r="Y72" i="22" s="1"/>
  <c r="D217" i="24"/>
  <c r="E217" i="24" s="1"/>
  <c r="F217" i="24" s="1"/>
  <c r="W217" i="24"/>
  <c r="D85" i="23"/>
  <c r="E85" i="23" s="1"/>
  <c r="F85" i="23" s="1"/>
  <c r="W85" i="23"/>
  <c r="AA360" i="23"/>
  <c r="Z360" i="23" s="1"/>
  <c r="Y360" i="23" s="1"/>
  <c r="G360" i="23"/>
  <c r="CD360" i="6" s="1"/>
  <c r="W322" i="23"/>
  <c r="D322" i="23"/>
  <c r="E322" i="23" s="1"/>
  <c r="F322" i="23" s="1"/>
  <c r="G322" i="22"/>
  <c r="CC322" i="6" s="1"/>
  <c r="AA322" i="22"/>
  <c r="Z322" i="22" s="1"/>
  <c r="Y322" i="22" s="1"/>
  <c r="G122" i="23"/>
  <c r="CD122" i="6" s="1"/>
  <c r="AA122" i="23"/>
  <c r="Z122" i="23" s="1"/>
  <c r="Y122" i="23" s="1"/>
  <c r="W122" i="24"/>
  <c r="D122" i="24"/>
  <c r="E122" i="24" s="1"/>
  <c r="F122" i="24" s="1"/>
  <c r="G373" i="22"/>
  <c r="CC373" i="6" s="1"/>
  <c r="AA373" i="22"/>
  <c r="Z373" i="22" s="1"/>
  <c r="Y373" i="22" s="1"/>
  <c r="G223" i="22"/>
  <c r="CC223" i="6" s="1"/>
  <c r="AA223" i="22"/>
  <c r="Z223" i="22" s="1"/>
  <c r="Y223" i="22" s="1"/>
  <c r="W143" i="23"/>
  <c r="D143" i="23"/>
  <c r="E143" i="23" s="1"/>
  <c r="F143" i="23" s="1"/>
  <c r="D65" i="23"/>
  <c r="E65" i="23" s="1"/>
  <c r="F65" i="23" s="1"/>
  <c r="W65" i="23"/>
  <c r="W372" i="23"/>
  <c r="D372" i="23"/>
  <c r="E372" i="23" s="1"/>
  <c r="F372" i="23" s="1"/>
  <c r="W148" i="23"/>
  <c r="D148" i="23"/>
  <c r="E148" i="23" s="1"/>
  <c r="F148" i="23" s="1"/>
  <c r="AA293" i="23"/>
  <c r="Z293" i="23" s="1"/>
  <c r="Y293" i="23" s="1"/>
  <c r="G293" i="23"/>
  <c r="CD293" i="6" s="1"/>
  <c r="W293" i="24"/>
  <c r="D293" i="24"/>
  <c r="E293" i="24" s="1"/>
  <c r="F293" i="24" s="1"/>
  <c r="D201" i="23"/>
  <c r="E201" i="23" s="1"/>
  <c r="F201" i="23" s="1"/>
  <c r="W201" i="23"/>
  <c r="G145" i="22"/>
  <c r="CC145" i="6" s="1"/>
  <c r="AA145" i="22"/>
  <c r="Z145" i="22" s="1"/>
  <c r="Y145" i="22" s="1"/>
  <c r="D110" i="23"/>
  <c r="E110" i="23" s="1"/>
  <c r="F110" i="23" s="1"/>
  <c r="W110" i="23"/>
  <c r="W185" i="23"/>
  <c r="D185" i="23"/>
  <c r="E185" i="23" s="1"/>
  <c r="F185" i="23" s="1"/>
  <c r="D63" i="24"/>
  <c r="E63" i="24" s="1"/>
  <c r="F63" i="24" s="1"/>
  <c r="W63" i="24"/>
  <c r="G154" i="23"/>
  <c r="CD154" i="6" s="1"/>
  <c r="AA154" i="23"/>
  <c r="Z154" i="23" s="1"/>
  <c r="Y154" i="23" s="1"/>
  <c r="W16" i="24"/>
  <c r="D16" i="24"/>
  <c r="E16" i="24" s="1"/>
  <c r="F16" i="24" s="1"/>
  <c r="G132" i="23"/>
  <c r="CD132" i="6" s="1"/>
  <c r="AA132" i="23"/>
  <c r="Z132" i="23" s="1"/>
  <c r="Y132" i="23" s="1"/>
  <c r="G251" i="23"/>
  <c r="CD251" i="6" s="1"/>
  <c r="AA251" i="23"/>
  <c r="Z251" i="23" s="1"/>
  <c r="Y251" i="23" s="1"/>
  <c r="W90" i="23"/>
  <c r="D90" i="23"/>
  <c r="E90" i="23" s="1"/>
  <c r="F90" i="23" s="1"/>
  <c r="G340" i="22"/>
  <c r="CC340" i="6" s="1"/>
  <c r="AA340" i="22"/>
  <c r="Z340" i="22" s="1"/>
  <c r="Y340" i="22" s="1"/>
  <c r="W286" i="24"/>
  <c r="D286" i="24"/>
  <c r="E286" i="24" s="1"/>
  <c r="F286" i="24" s="1"/>
  <c r="H264" i="20"/>
  <c r="AA212" i="23"/>
  <c r="Z212" i="23" s="1"/>
  <c r="Y212" i="23" s="1"/>
  <c r="G212" i="23"/>
  <c r="CD212" i="6" s="1"/>
  <c r="G162" i="22"/>
  <c r="CC162" i="6" s="1"/>
  <c r="AA162" i="22"/>
  <c r="Z162" i="22" s="1"/>
  <c r="Y162" i="22" s="1"/>
  <c r="W58" i="23"/>
  <c r="D58" i="23"/>
  <c r="E58" i="23" s="1"/>
  <c r="F58" i="23" s="1"/>
  <c r="G36" i="22"/>
  <c r="CC36" i="6" s="1"/>
  <c r="AA36" i="22"/>
  <c r="Z36" i="22" s="1"/>
  <c r="Y36" i="22" s="1"/>
  <c r="G237" i="23"/>
  <c r="CD237" i="6" s="1"/>
  <c r="AA237" i="23"/>
  <c r="Z237" i="23" s="1"/>
  <c r="Y237" i="23" s="1"/>
  <c r="W109" i="23"/>
  <c r="D109" i="23"/>
  <c r="E109" i="23" s="1"/>
  <c r="F109" i="23" s="1"/>
  <c r="G51" i="22"/>
  <c r="CC51" i="6" s="1"/>
  <c r="AA51" i="22"/>
  <c r="Z51" i="22" s="1"/>
  <c r="Y51" i="22" s="1"/>
  <c r="H364" i="20"/>
  <c r="G304" i="23"/>
  <c r="CD304" i="6" s="1"/>
  <c r="AA304" i="23"/>
  <c r="Z304" i="23" s="1"/>
  <c r="Y304" i="23" s="1"/>
  <c r="D262" i="24"/>
  <c r="E262" i="24" s="1"/>
  <c r="F262" i="24" s="1"/>
  <c r="W262" i="24"/>
  <c r="G139" i="22"/>
  <c r="CC139" i="6" s="1"/>
  <c r="AA139" i="22"/>
  <c r="Z139" i="22" s="1"/>
  <c r="Y139" i="22" s="1"/>
  <c r="W53" i="23"/>
  <c r="D53" i="23"/>
  <c r="E53" i="23" s="1"/>
  <c r="F53" i="23" s="1"/>
  <c r="G334" i="22"/>
  <c r="CC334" i="6" s="1"/>
  <c r="AA334" i="22"/>
  <c r="Z334" i="22" s="1"/>
  <c r="Y334" i="22" s="1"/>
  <c r="W336" i="24"/>
  <c r="D336" i="24"/>
  <c r="E336" i="24" s="1"/>
  <c r="F336" i="24" s="1"/>
  <c r="G246" i="22"/>
  <c r="CC246" i="6" s="1"/>
  <c r="AA246" i="22"/>
  <c r="Z246" i="22" s="1"/>
  <c r="Y246" i="22" s="1"/>
  <c r="G104" i="22"/>
  <c r="CC104" i="6" s="1"/>
  <c r="AA104" i="22"/>
  <c r="Z104" i="22" s="1"/>
  <c r="Y104" i="22" s="1"/>
  <c r="H56" i="20"/>
  <c r="W83" i="24"/>
  <c r="D83" i="24"/>
  <c r="E83" i="24" s="1"/>
  <c r="F83" i="24" s="1"/>
  <c r="W55" i="24"/>
  <c r="D55" i="24"/>
  <c r="E55" i="24" s="1"/>
  <c r="F55" i="24" s="1"/>
  <c r="W265" i="24"/>
  <c r="D265" i="24"/>
  <c r="E265" i="24" s="1"/>
  <c r="F265" i="24" s="1"/>
  <c r="W130" i="24"/>
  <c r="D130" i="24"/>
  <c r="E130" i="24" s="1"/>
  <c r="F130" i="24" s="1"/>
  <c r="W253" i="23"/>
  <c r="D253" i="23"/>
  <c r="E253" i="23" s="1"/>
  <c r="F253" i="23" s="1"/>
  <c r="W369" i="23"/>
  <c r="D369" i="23"/>
  <c r="E369" i="23" s="1"/>
  <c r="F369" i="23" s="1"/>
  <c r="G347" i="22"/>
  <c r="CC347" i="6" s="1"/>
  <c r="AA347" i="22"/>
  <c r="Z347" i="22" s="1"/>
  <c r="Y347" i="22" s="1"/>
  <c r="W376" i="23"/>
  <c r="D376" i="23"/>
  <c r="E376" i="23" s="1"/>
  <c r="F376" i="23" s="1"/>
  <c r="G66" i="23"/>
  <c r="CD66" i="6" s="1"/>
  <c r="AA66" i="23"/>
  <c r="Z66" i="23" s="1"/>
  <c r="Y66" i="23" s="1"/>
  <c r="G75" i="22"/>
  <c r="CC75" i="6" s="1"/>
  <c r="AA75" i="22"/>
  <c r="Z75" i="22" s="1"/>
  <c r="Y75" i="22" s="1"/>
  <c r="G187" i="22"/>
  <c r="CC187" i="6" s="1"/>
  <c r="AA187" i="22"/>
  <c r="Z187" i="22" s="1"/>
  <c r="Y187" i="22" s="1"/>
  <c r="W333" i="23"/>
  <c r="D333" i="23"/>
  <c r="E333" i="23" s="1"/>
  <c r="F333" i="23" s="1"/>
  <c r="G33" i="23"/>
  <c r="CD33" i="6" s="1"/>
  <c r="AA33" i="23"/>
  <c r="Z33" i="23" s="1"/>
  <c r="Y33" i="23" s="1"/>
  <c r="W352" i="23"/>
  <c r="D352" i="23"/>
  <c r="E352" i="23" s="1"/>
  <c r="F352" i="23" s="1"/>
  <c r="G274" i="22"/>
  <c r="CC274" i="6" s="1"/>
  <c r="AA274" i="22"/>
  <c r="Z274" i="22" s="1"/>
  <c r="Y274" i="22" s="1"/>
  <c r="G84" i="22"/>
  <c r="CC84" i="6" s="1"/>
  <c r="AA84" i="22"/>
  <c r="Z84" i="22" s="1"/>
  <c r="Y84" i="22" s="1"/>
  <c r="G114" i="22"/>
  <c r="CC114" i="6" s="1"/>
  <c r="AA114" i="22"/>
  <c r="Z114" i="22" s="1"/>
  <c r="Y114" i="22" s="1"/>
  <c r="G354" i="23"/>
  <c r="CD354" i="6" s="1"/>
  <c r="AA354" i="23"/>
  <c r="Z354" i="23" s="1"/>
  <c r="Y354" i="23" s="1"/>
  <c r="W29" i="23"/>
  <c r="D29" i="23"/>
  <c r="E29" i="23" s="1"/>
  <c r="F29" i="23" s="1"/>
  <c r="W379" i="24"/>
  <c r="D379" i="24"/>
  <c r="E379" i="24" s="1"/>
  <c r="F379" i="24" s="1"/>
  <c r="H33" i="20" l="1"/>
  <c r="J33" i="20" s="1"/>
  <c r="B33" i="6"/>
  <c r="BA33" i="6" s="1"/>
  <c r="D33" i="6" s="1"/>
  <c r="H262" i="20"/>
  <c r="J262" i="20" s="1"/>
  <c r="B262" i="6"/>
  <c r="BA262" i="6" s="1"/>
  <c r="D262" i="6" s="1"/>
  <c r="B137" i="6"/>
  <c r="BA137" i="6" s="1"/>
  <c r="D137" i="6" s="1"/>
  <c r="B311" i="6"/>
  <c r="BA311" i="6" s="1"/>
  <c r="D311" i="6" s="1"/>
  <c r="B62" i="6"/>
  <c r="BA62" i="6" s="1"/>
  <c r="B22" i="6"/>
  <c r="BA22" i="6" s="1"/>
  <c r="D22" i="6" s="1"/>
  <c r="B24" i="6"/>
  <c r="BA24" i="6" s="1"/>
  <c r="D24" i="6" s="1"/>
  <c r="B236" i="6"/>
  <c r="BA236" i="6" s="1"/>
  <c r="D236" i="6" s="1"/>
  <c r="H286" i="20"/>
  <c r="J286" i="20" s="1"/>
  <c r="B286" i="6"/>
  <c r="BA286" i="6" s="1"/>
  <c r="D286" i="6" s="1"/>
  <c r="H353" i="20"/>
  <c r="I353" i="20" s="1"/>
  <c r="H353" i="22" s="1"/>
  <c r="B353" i="6"/>
  <c r="BA353" i="6" s="1"/>
  <c r="D353" i="6" s="1"/>
  <c r="H224" i="20"/>
  <c r="J224" i="20" s="1"/>
  <c r="B224" i="6"/>
  <c r="BA224" i="6" s="1"/>
  <c r="D224" i="6" s="1"/>
  <c r="B274" i="6"/>
  <c r="BA274" i="6" s="1"/>
  <c r="D274" i="6" s="1"/>
  <c r="B139" i="6"/>
  <c r="BA139" i="6" s="1"/>
  <c r="D139" i="6" s="1"/>
  <c r="H363" i="20"/>
  <c r="I363" i="20" s="1"/>
  <c r="H363" i="22" s="1"/>
  <c r="B363" i="6"/>
  <c r="BA363" i="6" s="1"/>
  <c r="D363" i="6" s="1"/>
  <c r="H243" i="20"/>
  <c r="I243" i="20" s="1"/>
  <c r="H243" i="22" s="1"/>
  <c r="B243" i="6"/>
  <c r="BA243" i="6" s="1"/>
  <c r="D243" i="6" s="1"/>
  <c r="H207" i="20"/>
  <c r="J207" i="20" s="1"/>
  <c r="B207" i="6"/>
  <c r="BA207" i="6" s="1"/>
  <c r="D207" i="6" s="1"/>
  <c r="H314" i="20"/>
  <c r="J314" i="20" s="1"/>
  <c r="B314" i="6"/>
  <c r="BA314" i="6" s="1"/>
  <c r="D314" i="6" s="1"/>
  <c r="H258" i="20"/>
  <c r="J258" i="20" s="1"/>
  <c r="B258" i="6"/>
  <c r="BA258" i="6" s="1"/>
  <c r="D258" i="6" s="1"/>
  <c r="H83" i="20"/>
  <c r="J83" i="20" s="1"/>
  <c r="B83" i="6"/>
  <c r="BA83" i="6" s="1"/>
  <c r="D83" i="6" s="1"/>
  <c r="H174" i="20"/>
  <c r="J174" i="20" s="1"/>
  <c r="B174" i="6"/>
  <c r="BA174" i="6" s="1"/>
  <c r="D174" i="6" s="1"/>
  <c r="H358" i="20"/>
  <c r="J358" i="20" s="1"/>
  <c r="B358" i="6"/>
  <c r="BA358" i="6" s="1"/>
  <c r="D358" i="6" s="1"/>
  <c r="H359" i="20"/>
  <c r="J359" i="20" s="1"/>
  <c r="B359" i="6"/>
  <c r="BA359" i="6" s="1"/>
  <c r="D359" i="6" s="1"/>
  <c r="H361" i="20"/>
  <c r="B361" i="6"/>
  <c r="BA361" i="6" s="1"/>
  <c r="D361" i="6" s="1"/>
  <c r="H194" i="20"/>
  <c r="I194" i="20" s="1"/>
  <c r="H194" i="22" s="1"/>
  <c r="I194" i="22" s="1"/>
  <c r="H194" i="23" s="1"/>
  <c r="B194" i="6"/>
  <c r="BA194" i="6" s="1"/>
  <c r="D194" i="6" s="1"/>
  <c r="H176" i="20"/>
  <c r="J176" i="20" s="1"/>
  <c r="B176" i="6"/>
  <c r="BA176" i="6" s="1"/>
  <c r="D176" i="6" s="1"/>
  <c r="H369" i="20"/>
  <c r="I369" i="20" s="1"/>
  <c r="H369" i="22" s="1"/>
  <c r="I369" i="22" s="1"/>
  <c r="H369" i="23" s="1"/>
  <c r="B369" i="6"/>
  <c r="BA369" i="6" s="1"/>
  <c r="D369" i="6" s="1"/>
  <c r="H69" i="20"/>
  <c r="J69" i="20" s="1"/>
  <c r="B69" i="6"/>
  <c r="BA69" i="6" s="1"/>
  <c r="D69" i="6" s="1"/>
  <c r="H143" i="20"/>
  <c r="J143" i="20" s="1"/>
  <c r="B143" i="6"/>
  <c r="BA143" i="6" s="1"/>
  <c r="D143" i="6" s="1"/>
  <c r="H189" i="20"/>
  <c r="I189" i="20" s="1"/>
  <c r="H189" i="22" s="1"/>
  <c r="B189" i="6"/>
  <c r="BA189" i="6" s="1"/>
  <c r="D189" i="6" s="1"/>
  <c r="H222" i="20"/>
  <c r="I222" i="20" s="1"/>
  <c r="H222" i="22" s="1"/>
  <c r="B222" i="6"/>
  <c r="BA222" i="6" s="1"/>
  <c r="D222" i="6" s="1"/>
  <c r="H57" i="20"/>
  <c r="I57" i="20" s="1"/>
  <c r="H57" i="22" s="1"/>
  <c r="B57" i="6"/>
  <c r="BA57" i="6" s="1"/>
  <c r="D57" i="6" s="1"/>
  <c r="H185" i="20"/>
  <c r="B185" i="6"/>
  <c r="BA185" i="6" s="1"/>
  <c r="D185" i="6" s="1"/>
  <c r="H377" i="20"/>
  <c r="I377" i="20" s="1"/>
  <c r="H377" i="22" s="1"/>
  <c r="B377" i="6"/>
  <c r="BA377" i="6" s="1"/>
  <c r="D377" i="6" s="1"/>
  <c r="H150" i="20"/>
  <c r="I150" i="20" s="1"/>
  <c r="H150" i="22" s="1"/>
  <c r="B150" i="6"/>
  <c r="BA150" i="6" s="1"/>
  <c r="D150" i="6" s="1"/>
  <c r="H86" i="20"/>
  <c r="I86" i="20" s="1"/>
  <c r="H86" i="22" s="1"/>
  <c r="I86" i="22" s="1"/>
  <c r="H86" i="23" s="1"/>
  <c r="B86" i="6"/>
  <c r="BA86" i="6" s="1"/>
  <c r="D86" i="6" s="1"/>
  <c r="H124" i="20"/>
  <c r="J124" i="20" s="1"/>
  <c r="B124" i="6"/>
  <c r="BA124" i="6" s="1"/>
  <c r="D124" i="6" s="1"/>
  <c r="B29" i="6"/>
  <c r="BA29" i="6" s="1"/>
  <c r="B46" i="6"/>
  <c r="BA46" i="6" s="1"/>
  <c r="D46" i="6" s="1"/>
  <c r="B219" i="6"/>
  <c r="BA219" i="6" s="1"/>
  <c r="D219" i="6" s="1"/>
  <c r="B325" i="6"/>
  <c r="BA325" i="6" s="1"/>
  <c r="D325" i="6" s="1"/>
  <c r="B254" i="6"/>
  <c r="BA254" i="6" s="1"/>
  <c r="H54" i="20"/>
  <c r="I54" i="20" s="1"/>
  <c r="H54" i="22" s="1"/>
  <c r="B54" i="6"/>
  <c r="BA54" i="6" s="1"/>
  <c r="D54" i="6" s="1"/>
  <c r="H106" i="20"/>
  <c r="I106" i="20" s="1"/>
  <c r="H106" i="22" s="1"/>
  <c r="B106" i="6"/>
  <c r="BA106" i="6" s="1"/>
  <c r="D106" i="6" s="1"/>
  <c r="H341" i="20"/>
  <c r="J341" i="20" s="1"/>
  <c r="B341" i="6"/>
  <c r="BA341" i="6" s="1"/>
  <c r="D341" i="6" s="1"/>
  <c r="H40" i="20"/>
  <c r="I40" i="20" s="1"/>
  <c r="H40" i="22" s="1"/>
  <c r="B40" i="6"/>
  <c r="BA40" i="6" s="1"/>
  <c r="D40" i="6" s="1"/>
  <c r="H211" i="20"/>
  <c r="J211" i="20" s="1"/>
  <c r="B211" i="6"/>
  <c r="BA211" i="6" s="1"/>
  <c r="H367" i="20"/>
  <c r="J367" i="20" s="1"/>
  <c r="B367" i="6"/>
  <c r="BA367" i="6" s="1"/>
  <c r="D367" i="6" s="1"/>
  <c r="B376" i="6"/>
  <c r="BA376" i="6" s="1"/>
  <c r="D376" i="6" s="1"/>
  <c r="B330" i="6"/>
  <c r="BA330" i="6" s="1"/>
  <c r="D330" i="6" s="1"/>
  <c r="B244" i="6"/>
  <c r="BA244" i="6" s="1"/>
  <c r="B48" i="6"/>
  <c r="BA48" i="6" s="1"/>
  <c r="D48" i="6" s="1"/>
  <c r="H290" i="20"/>
  <c r="I290" i="20" s="1"/>
  <c r="H290" i="22" s="1"/>
  <c r="B290" i="6"/>
  <c r="BA290" i="6" s="1"/>
  <c r="D290" i="6" s="1"/>
  <c r="B349" i="6"/>
  <c r="BA349" i="6" s="1"/>
  <c r="D349" i="6" s="1"/>
  <c r="H175" i="20"/>
  <c r="J175" i="20" s="1"/>
  <c r="B175" i="6"/>
  <c r="BA175" i="6" s="1"/>
  <c r="D175" i="6" s="1"/>
  <c r="H183" i="20"/>
  <c r="J183" i="20" s="1"/>
  <c r="B183" i="6"/>
  <c r="BA183" i="6" s="1"/>
  <c r="D183" i="6" s="1"/>
  <c r="H63" i="20"/>
  <c r="I63" i="20" s="1"/>
  <c r="H63" i="22" s="1"/>
  <c r="B63" i="6"/>
  <c r="BA63" i="6" s="1"/>
  <c r="D63" i="6" s="1"/>
  <c r="H138" i="20"/>
  <c r="J138" i="20" s="1"/>
  <c r="B138" i="6"/>
  <c r="BA138" i="6" s="1"/>
  <c r="D138" i="6" s="1"/>
  <c r="H193" i="20"/>
  <c r="J193" i="20" s="1"/>
  <c r="B193" i="6"/>
  <c r="BA193" i="6" s="1"/>
  <c r="D193" i="6" s="1"/>
  <c r="H263" i="20"/>
  <c r="B263" i="6"/>
  <c r="BA263" i="6" s="1"/>
  <c r="D263" i="6" s="1"/>
  <c r="H241" i="20"/>
  <c r="J241" i="20" s="1"/>
  <c r="B241" i="6"/>
  <c r="BA241" i="6" s="1"/>
  <c r="D241" i="6" s="1"/>
  <c r="H379" i="20"/>
  <c r="J379" i="20" s="1"/>
  <c r="B379" i="6"/>
  <c r="BA379" i="6" s="1"/>
  <c r="D379" i="6" s="1"/>
  <c r="H73" i="20"/>
  <c r="I73" i="20" s="1"/>
  <c r="H73" i="22" s="1"/>
  <c r="I73" i="22" s="1"/>
  <c r="H73" i="23" s="1"/>
  <c r="B73" i="6"/>
  <c r="BA73" i="6" s="1"/>
  <c r="D73" i="6" s="1"/>
  <c r="H136" i="20"/>
  <c r="I136" i="20" s="1"/>
  <c r="H136" i="22" s="1"/>
  <c r="B136" i="6"/>
  <c r="BA136" i="6" s="1"/>
  <c r="D136" i="6" s="1"/>
  <c r="H161" i="20"/>
  <c r="I161" i="20" s="1"/>
  <c r="H161" i="22" s="1"/>
  <c r="B161" i="6"/>
  <c r="BA161" i="6" s="1"/>
  <c r="D161" i="6" s="1"/>
  <c r="H141" i="20"/>
  <c r="I141" i="20" s="1"/>
  <c r="H141" i="22" s="1"/>
  <c r="B141" i="6"/>
  <c r="BA141" i="6" s="1"/>
  <c r="H135" i="20"/>
  <c r="I135" i="20" s="1"/>
  <c r="H135" i="22" s="1"/>
  <c r="B135" i="6"/>
  <c r="BA135" i="6" s="1"/>
  <c r="D135" i="6" s="1"/>
  <c r="H164" i="20"/>
  <c r="J164" i="20" s="1"/>
  <c r="B164" i="6"/>
  <c r="BA164" i="6" s="1"/>
  <c r="D164" i="6" s="1"/>
  <c r="H203" i="20"/>
  <c r="B203" i="6"/>
  <c r="BA203" i="6" s="1"/>
  <c r="D203" i="6" s="1"/>
  <c r="H61" i="20"/>
  <c r="I61" i="20" s="1"/>
  <c r="H61" i="22" s="1"/>
  <c r="I61" i="22" s="1"/>
  <c r="H61" i="23" s="1"/>
  <c r="B61" i="6"/>
  <c r="BA61" i="6" s="1"/>
  <c r="D61" i="6" s="1"/>
  <c r="H162" i="20"/>
  <c r="I162" i="20" s="1"/>
  <c r="H162" i="22" s="1"/>
  <c r="I162" i="22" s="1"/>
  <c r="H162" i="23" s="1"/>
  <c r="B162" i="6"/>
  <c r="BA162" i="6" s="1"/>
  <c r="D162" i="6" s="1"/>
  <c r="H291" i="20"/>
  <c r="B291" i="6"/>
  <c r="BA291" i="6" s="1"/>
  <c r="D291" i="6" s="1"/>
  <c r="H343" i="20"/>
  <c r="J343" i="20" s="1"/>
  <c r="B343" i="6"/>
  <c r="BA343" i="6" s="1"/>
  <c r="D343" i="6" s="1"/>
  <c r="H151" i="20"/>
  <c r="I151" i="20" s="1"/>
  <c r="H151" i="22" s="1"/>
  <c r="B151" i="6"/>
  <c r="BA151" i="6" s="1"/>
  <c r="D151" i="6" s="1"/>
  <c r="H64" i="20"/>
  <c r="I64" i="20" s="1"/>
  <c r="H64" i="22" s="1"/>
  <c r="B64" i="6"/>
  <c r="BA64" i="6" s="1"/>
  <c r="D64" i="6" s="1"/>
  <c r="H267" i="20"/>
  <c r="J267" i="20" s="1"/>
  <c r="B267" i="6"/>
  <c r="BA267" i="6" s="1"/>
  <c r="D267" i="6" s="1"/>
  <c r="H345" i="20"/>
  <c r="B345" i="6"/>
  <c r="BA345" i="6" s="1"/>
  <c r="D345" i="6" s="1"/>
  <c r="H294" i="20"/>
  <c r="I294" i="20" s="1"/>
  <c r="H294" i="22" s="1"/>
  <c r="B294" i="6"/>
  <c r="BA294" i="6" s="1"/>
  <c r="D294" i="6" s="1"/>
  <c r="H265" i="20"/>
  <c r="I265" i="20" s="1"/>
  <c r="H265" i="22" s="1"/>
  <c r="B265" i="6"/>
  <c r="BA265" i="6" s="1"/>
  <c r="D265" i="6" s="1"/>
  <c r="H55" i="20"/>
  <c r="I55" i="20" s="1"/>
  <c r="H55" i="22" s="1"/>
  <c r="B55" i="6"/>
  <c r="BA55" i="6" s="1"/>
  <c r="D55" i="6" s="1"/>
  <c r="H288" i="20"/>
  <c r="J288" i="20" s="1"/>
  <c r="B288" i="6"/>
  <c r="BA288" i="6" s="1"/>
  <c r="D288" i="6" s="1"/>
  <c r="H299" i="20"/>
  <c r="J299" i="20" s="1"/>
  <c r="B299" i="6"/>
  <c r="BA299" i="6" s="1"/>
  <c r="D299" i="6" s="1"/>
  <c r="H121" i="20"/>
  <c r="I121" i="20" s="1"/>
  <c r="H121" i="22" s="1"/>
  <c r="J121" i="22" s="1"/>
  <c r="B121" i="6"/>
  <c r="BA121" i="6" s="1"/>
  <c r="D121" i="6" s="1"/>
  <c r="H100" i="20"/>
  <c r="J100" i="20" s="1"/>
  <c r="B100" i="6"/>
  <c r="BA100" i="6" s="1"/>
  <c r="D100" i="6" s="1"/>
  <c r="H278" i="20"/>
  <c r="J278" i="20" s="1"/>
  <c r="B278" i="6"/>
  <c r="BA278" i="6" s="1"/>
  <c r="D278" i="6" s="1"/>
  <c r="B128" i="6"/>
  <c r="BA128" i="6" s="1"/>
  <c r="D128" i="6" s="1"/>
  <c r="H301" i="20"/>
  <c r="J301" i="20" s="1"/>
  <c r="B301" i="6"/>
  <c r="BA301" i="6" s="1"/>
  <c r="D301" i="6" s="1"/>
  <c r="B223" i="6"/>
  <c r="BA223" i="6" s="1"/>
  <c r="D223" i="6" s="1"/>
  <c r="H232" i="20"/>
  <c r="I232" i="20" s="1"/>
  <c r="H232" i="22" s="1"/>
  <c r="B232" i="6"/>
  <c r="BA232" i="6" s="1"/>
  <c r="D232" i="6" s="1"/>
  <c r="H142" i="20"/>
  <c r="J142" i="20" s="1"/>
  <c r="B142" i="6"/>
  <c r="BA142" i="6" s="1"/>
  <c r="D142" i="6" s="1"/>
  <c r="H324" i="20"/>
  <c r="I324" i="20" s="1"/>
  <c r="H324" i="22" s="1"/>
  <c r="B324" i="6"/>
  <c r="BA324" i="6" s="1"/>
  <c r="D324" i="6" s="1"/>
  <c r="H329" i="20"/>
  <c r="I329" i="20" s="1"/>
  <c r="H329" i="22" s="1"/>
  <c r="B329" i="6"/>
  <c r="BA329" i="6" s="1"/>
  <c r="D329" i="6" s="1"/>
  <c r="H277" i="20"/>
  <c r="J277" i="20" s="1"/>
  <c r="B277" i="6"/>
  <c r="BA277" i="6" s="1"/>
  <c r="D277" i="6" s="1"/>
  <c r="H53" i="20"/>
  <c r="I53" i="20" s="1"/>
  <c r="H53" i="22" s="1"/>
  <c r="B53" i="6"/>
  <c r="BA53" i="6" s="1"/>
  <c r="D53" i="6" s="1"/>
  <c r="H360" i="20"/>
  <c r="I360" i="20" s="1"/>
  <c r="H360" i="22" s="1"/>
  <c r="B360" i="6"/>
  <c r="BA360" i="6" s="1"/>
  <c r="D360" i="6" s="1"/>
  <c r="H186" i="20"/>
  <c r="J186" i="20" s="1"/>
  <c r="B186" i="6"/>
  <c r="BA186" i="6" s="1"/>
  <c r="D186" i="6" s="1"/>
  <c r="H67" i="20"/>
  <c r="J67" i="20" s="1"/>
  <c r="B67" i="6"/>
  <c r="BA67" i="6" s="1"/>
  <c r="D67" i="6" s="1"/>
  <c r="H230" i="20"/>
  <c r="J230" i="20" s="1"/>
  <c r="B230" i="6"/>
  <c r="BA230" i="6" s="1"/>
  <c r="D230" i="6" s="1"/>
  <c r="H98" i="20"/>
  <c r="B98" i="6"/>
  <c r="BA98" i="6" s="1"/>
  <c r="D98" i="6" s="1"/>
  <c r="H249" i="20"/>
  <c r="I249" i="20" s="1"/>
  <c r="H249" i="22" s="1"/>
  <c r="B249" i="6"/>
  <c r="BA249" i="6" s="1"/>
  <c r="D249" i="6" s="1"/>
  <c r="H111" i="20"/>
  <c r="J111" i="20" s="1"/>
  <c r="B111" i="6"/>
  <c r="BA111" i="6" s="1"/>
  <c r="D111" i="6" s="1"/>
  <c r="H153" i="20"/>
  <c r="J153" i="20" s="1"/>
  <c r="B153" i="6"/>
  <c r="BA153" i="6" s="1"/>
  <c r="D153" i="6" s="1"/>
  <c r="H36" i="20"/>
  <c r="J36" i="20" s="1"/>
  <c r="B36" i="6"/>
  <c r="BA36" i="6" s="1"/>
  <c r="D36" i="6" s="1"/>
  <c r="H37" i="20"/>
  <c r="J37" i="20" s="1"/>
  <c r="B37" i="6"/>
  <c r="BA37" i="6" s="1"/>
  <c r="D37" i="6" s="1"/>
  <c r="H78" i="20"/>
  <c r="J78" i="20" s="1"/>
  <c r="B78" i="6"/>
  <c r="BA78" i="6" s="1"/>
  <c r="D78" i="6" s="1"/>
  <c r="H192" i="20"/>
  <c r="J192" i="20" s="1"/>
  <c r="B192" i="6"/>
  <c r="BA192" i="6" s="1"/>
  <c r="D192" i="6" s="1"/>
  <c r="H322" i="20"/>
  <c r="I322" i="20" s="1"/>
  <c r="H322" i="22" s="1"/>
  <c r="I322" i="22" s="1"/>
  <c r="H322" i="23" s="1"/>
  <c r="B322" i="6"/>
  <c r="BA322" i="6" s="1"/>
  <c r="D322" i="6" s="1"/>
  <c r="H318" i="20"/>
  <c r="I318" i="20" s="1"/>
  <c r="H318" i="22" s="1"/>
  <c r="B318" i="6"/>
  <c r="BA318" i="6" s="1"/>
  <c r="D318" i="6" s="1"/>
  <c r="H115" i="20"/>
  <c r="I115" i="20" s="1"/>
  <c r="H115" i="22" s="1"/>
  <c r="B115" i="6"/>
  <c r="BA115" i="6" s="1"/>
  <c r="D115" i="6" s="1"/>
  <c r="H18" i="20"/>
  <c r="I18" i="20" s="1"/>
  <c r="H18" i="22" s="1"/>
  <c r="B18" i="6"/>
  <c r="BA18" i="6" s="1"/>
  <c r="D18" i="6" s="1"/>
  <c r="H374" i="20"/>
  <c r="I374" i="20" s="1"/>
  <c r="H374" i="22" s="1"/>
  <c r="I374" i="22" s="1"/>
  <c r="H374" i="23" s="1"/>
  <c r="B374" i="6"/>
  <c r="BA374" i="6" s="1"/>
  <c r="D374" i="6" s="1"/>
  <c r="H199" i="20"/>
  <c r="I199" i="20" s="1"/>
  <c r="H199" i="22" s="1"/>
  <c r="B199" i="6"/>
  <c r="BA199" i="6" s="1"/>
  <c r="D199" i="6" s="1"/>
  <c r="H346" i="20"/>
  <c r="J346" i="20" s="1"/>
  <c r="B346" i="6"/>
  <c r="BA346" i="6" s="1"/>
  <c r="D346" i="6" s="1"/>
  <c r="H74" i="20"/>
  <c r="I74" i="20" s="1"/>
  <c r="H74" i="22" s="1"/>
  <c r="B74" i="6"/>
  <c r="BA74" i="6" s="1"/>
  <c r="D74" i="6" s="1"/>
  <c r="H231" i="20"/>
  <c r="J231" i="20" s="1"/>
  <c r="B231" i="6"/>
  <c r="BA231" i="6" s="1"/>
  <c r="D231" i="6" s="1"/>
  <c r="H298" i="20"/>
  <c r="J298" i="20" s="1"/>
  <c r="B298" i="6"/>
  <c r="BA298" i="6" s="1"/>
  <c r="D298" i="6" s="1"/>
  <c r="H268" i="20"/>
  <c r="B268" i="6"/>
  <c r="BA268" i="6" s="1"/>
  <c r="D268" i="6" s="1"/>
  <c r="B144" i="6"/>
  <c r="BA144" i="6" s="1"/>
  <c r="B378" i="6"/>
  <c r="BA378" i="6" s="1"/>
  <c r="D378" i="6" s="1"/>
  <c r="B309" i="6"/>
  <c r="BA309" i="6" s="1"/>
  <c r="B31" i="6"/>
  <c r="BA31" i="6" s="1"/>
  <c r="D31" i="6" s="1"/>
  <c r="B350" i="6"/>
  <c r="BA350" i="6" s="1"/>
  <c r="D350" i="6" s="1"/>
  <c r="B356" i="6"/>
  <c r="BA356" i="6" s="1"/>
  <c r="D356" i="6" s="1"/>
  <c r="H276" i="20"/>
  <c r="J276" i="20" s="1"/>
  <c r="B276" i="6"/>
  <c r="BA276" i="6" s="1"/>
  <c r="D276" i="6" s="1"/>
  <c r="H146" i="20"/>
  <c r="I146" i="20" s="1"/>
  <c r="H146" i="22" s="1"/>
  <c r="B146" i="6"/>
  <c r="BA146" i="6" s="1"/>
  <c r="D146" i="6" s="1"/>
  <c r="H172" i="20"/>
  <c r="J172" i="20" s="1"/>
  <c r="B172" i="6"/>
  <c r="BA172" i="6" s="1"/>
  <c r="D172" i="6" s="1"/>
  <c r="H200" i="20"/>
  <c r="J200" i="20" s="1"/>
  <c r="B200" i="6"/>
  <c r="BA200" i="6" s="1"/>
  <c r="D200" i="6" s="1"/>
  <c r="H227" i="20"/>
  <c r="J227" i="20" s="1"/>
  <c r="B227" i="6"/>
  <c r="BA227" i="6" s="1"/>
  <c r="D227" i="6" s="1"/>
  <c r="B198" i="6"/>
  <c r="BA198" i="6" s="1"/>
  <c r="B145" i="6"/>
  <c r="BA145" i="6" s="1"/>
  <c r="D145" i="6" s="1"/>
  <c r="B373" i="6"/>
  <c r="BA373" i="6" s="1"/>
  <c r="D373" i="6" s="1"/>
  <c r="H59" i="20"/>
  <c r="I59" i="20" s="1"/>
  <c r="H59" i="22" s="1"/>
  <c r="B59" i="6"/>
  <c r="BA59" i="6" s="1"/>
  <c r="D59" i="6" s="1"/>
  <c r="H237" i="20"/>
  <c r="I237" i="20" s="1"/>
  <c r="H237" i="22" s="1"/>
  <c r="B237" i="6"/>
  <c r="BA237" i="6" s="1"/>
  <c r="D237" i="6" s="1"/>
  <c r="B210" i="6"/>
  <c r="BA210" i="6" s="1"/>
  <c r="D210" i="6" s="1"/>
  <c r="B352" i="6"/>
  <c r="BA352" i="6" s="1"/>
  <c r="H116" i="20"/>
  <c r="J116" i="20" s="1"/>
  <c r="B116" i="6"/>
  <c r="BA116" i="6" s="1"/>
  <c r="D116" i="6" s="1"/>
  <c r="H134" i="20"/>
  <c r="J134" i="20" s="1"/>
  <c r="B134" i="6"/>
  <c r="BA134" i="6" s="1"/>
  <c r="D134" i="6" s="1"/>
  <c r="B34" i="6"/>
  <c r="BA34" i="6" s="1"/>
  <c r="D34" i="6" s="1"/>
  <c r="B273" i="6"/>
  <c r="BA273" i="6" s="1"/>
  <c r="B125" i="6"/>
  <c r="BA125" i="6" s="1"/>
  <c r="D125" i="6" s="1"/>
  <c r="H351" i="20"/>
  <c r="I351" i="20" s="1"/>
  <c r="H351" i="22" s="1"/>
  <c r="B351" i="6"/>
  <c r="BA351" i="6" s="1"/>
  <c r="H38" i="20"/>
  <c r="I38" i="20" s="1"/>
  <c r="H38" i="22" s="1"/>
  <c r="B38" i="6"/>
  <c r="BA38" i="6" s="1"/>
  <c r="D38" i="6" s="1"/>
  <c r="B233" i="6"/>
  <c r="BA233" i="6" s="1"/>
  <c r="D233" i="6" s="1"/>
  <c r="B77" i="6"/>
  <c r="BA77" i="6" s="1"/>
  <c r="D77" i="6" s="1"/>
  <c r="H70" i="20"/>
  <c r="I70" i="20" s="1"/>
  <c r="H70" i="22" s="1"/>
  <c r="B70" i="6"/>
  <c r="BA70" i="6" s="1"/>
  <c r="D70" i="6" s="1"/>
  <c r="H35" i="20"/>
  <c r="I35" i="20" s="1"/>
  <c r="H35" i="22" s="1"/>
  <c r="B35" i="6"/>
  <c r="BA35" i="6" s="1"/>
  <c r="D35" i="6" s="1"/>
  <c r="B184" i="6"/>
  <c r="BA184" i="6" s="1"/>
  <c r="H354" i="20"/>
  <c r="I354" i="20" s="1"/>
  <c r="H354" i="22" s="1"/>
  <c r="B354" i="6"/>
  <c r="BA354" i="6" s="1"/>
  <c r="D354" i="6" s="1"/>
  <c r="H120" i="20"/>
  <c r="I120" i="20" s="1"/>
  <c r="H120" i="22" s="1"/>
  <c r="B120" i="6"/>
  <c r="BA120" i="6" s="1"/>
  <c r="D120" i="6" s="1"/>
  <c r="H108" i="20"/>
  <c r="I108" i="20" s="1"/>
  <c r="H108" i="22" s="1"/>
  <c r="B108" i="6"/>
  <c r="BA108" i="6" s="1"/>
  <c r="D108" i="6" s="1"/>
  <c r="B365" i="6"/>
  <c r="BA365" i="6" s="1"/>
  <c r="D365" i="6" s="1"/>
  <c r="B148" i="6"/>
  <c r="BA148" i="6" s="1"/>
  <c r="D148" i="6" s="1"/>
  <c r="B65" i="6"/>
  <c r="BA65" i="6" s="1"/>
  <c r="D65" i="6" s="1"/>
  <c r="H326" i="20"/>
  <c r="I326" i="20" s="1"/>
  <c r="H326" i="22" s="1"/>
  <c r="B326" i="6"/>
  <c r="BA326" i="6" s="1"/>
  <c r="D326" i="6" s="1"/>
  <c r="H131" i="20"/>
  <c r="I131" i="20" s="1"/>
  <c r="H131" i="22" s="1"/>
  <c r="B131" i="6"/>
  <c r="BA131" i="6" s="1"/>
  <c r="D131" i="6" s="1"/>
  <c r="H212" i="20"/>
  <c r="J212" i="20" s="1"/>
  <c r="B212" i="6"/>
  <c r="BA212" i="6" s="1"/>
  <c r="D212" i="6" s="1"/>
  <c r="H166" i="20"/>
  <c r="J166" i="20" s="1"/>
  <c r="B166" i="6"/>
  <c r="BA166" i="6" s="1"/>
  <c r="D166" i="6" s="1"/>
  <c r="H91" i="20"/>
  <c r="I91" i="20" s="1"/>
  <c r="H91" i="22" s="1"/>
  <c r="B91" i="6"/>
  <c r="BA91" i="6" s="1"/>
  <c r="D91" i="6" s="1"/>
  <c r="B261" i="6"/>
  <c r="BA261" i="6" s="1"/>
  <c r="D261" i="6" s="1"/>
  <c r="B21" i="6"/>
  <c r="BA21" i="6" s="1"/>
  <c r="D21" i="6" s="1"/>
  <c r="B49" i="6"/>
  <c r="BA49" i="6" s="1"/>
  <c r="D49" i="6" s="1"/>
  <c r="H66" i="20"/>
  <c r="I66" i="20" s="1"/>
  <c r="H66" i="22" s="1"/>
  <c r="B66" i="6"/>
  <c r="BA66" i="6" s="1"/>
  <c r="D66" i="6" s="1"/>
  <c r="H336" i="20"/>
  <c r="J336" i="20" s="1"/>
  <c r="B336" i="6"/>
  <c r="BA336" i="6" s="1"/>
  <c r="D336" i="6" s="1"/>
  <c r="H375" i="20"/>
  <c r="I375" i="20" s="1"/>
  <c r="H375" i="22" s="1"/>
  <c r="B375" i="6"/>
  <c r="BA375" i="6" s="1"/>
  <c r="D375" i="6" s="1"/>
  <c r="H113" i="20"/>
  <c r="I113" i="20" s="1"/>
  <c r="H113" i="22" s="1"/>
  <c r="B113" i="6"/>
  <c r="BA113" i="6" s="1"/>
  <c r="H331" i="20"/>
  <c r="I331" i="20" s="1"/>
  <c r="H331" i="22" s="1"/>
  <c r="B331" i="6"/>
  <c r="BA331" i="6" s="1"/>
  <c r="D331" i="6" s="1"/>
  <c r="B226" i="6"/>
  <c r="BA226" i="6" s="1"/>
  <c r="D226" i="6" s="1"/>
  <c r="B104" i="6"/>
  <c r="BA104" i="6" s="1"/>
  <c r="D104" i="6" s="1"/>
  <c r="B256" i="6"/>
  <c r="BA256" i="6" s="1"/>
  <c r="D256" i="6" s="1"/>
  <c r="B248" i="6"/>
  <c r="BA248" i="6" s="1"/>
  <c r="D248" i="6" s="1"/>
  <c r="B357" i="6"/>
  <c r="BA357" i="6" s="1"/>
  <c r="D357" i="6" s="1"/>
  <c r="B182" i="6"/>
  <c r="BA182" i="6" s="1"/>
  <c r="B188" i="6"/>
  <c r="BA188" i="6" s="1"/>
  <c r="D188" i="6" s="1"/>
  <c r="B123" i="6"/>
  <c r="BA123" i="6" s="1"/>
  <c r="B127" i="6"/>
  <c r="BA127" i="6" s="1"/>
  <c r="H283" i="20"/>
  <c r="J283" i="20" s="1"/>
  <c r="B283" i="6"/>
  <c r="BA283" i="6" s="1"/>
  <c r="D283" i="6" s="1"/>
  <c r="B355" i="6"/>
  <c r="BA355" i="6" s="1"/>
  <c r="D355" i="6" s="1"/>
  <c r="H271" i="20"/>
  <c r="I271" i="20" s="1"/>
  <c r="H271" i="22" s="1"/>
  <c r="B271" i="6"/>
  <c r="BA271" i="6" s="1"/>
  <c r="D271" i="6" s="1"/>
  <c r="H280" i="20"/>
  <c r="J280" i="20" s="1"/>
  <c r="B280" i="6"/>
  <c r="BA280" i="6" s="1"/>
  <c r="D280" i="6" s="1"/>
  <c r="H92" i="20"/>
  <c r="J92" i="20" s="1"/>
  <c r="B92" i="6"/>
  <c r="BA92" i="6" s="1"/>
  <c r="D92" i="6" s="1"/>
  <c r="H17" i="20"/>
  <c r="J17" i="20" s="1"/>
  <c r="B17" i="6"/>
  <c r="BA17" i="6" s="1"/>
  <c r="D17" i="6" s="1"/>
  <c r="H269" i="20"/>
  <c r="I269" i="20" s="1"/>
  <c r="H269" i="22" s="1"/>
  <c r="B269" i="6"/>
  <c r="BA269" i="6" s="1"/>
  <c r="D269" i="6" s="1"/>
  <c r="H320" i="20"/>
  <c r="I320" i="20" s="1"/>
  <c r="H320" i="22" s="1"/>
  <c r="B320" i="6"/>
  <c r="BA320" i="6" s="1"/>
  <c r="D320" i="6" s="1"/>
  <c r="H308" i="20"/>
  <c r="J308" i="20" s="1"/>
  <c r="B308" i="6"/>
  <c r="BA308" i="6" s="1"/>
  <c r="D308" i="6" s="1"/>
  <c r="B133" i="6"/>
  <c r="BA133" i="6" s="1"/>
  <c r="D133" i="6" s="1"/>
  <c r="B317" i="6"/>
  <c r="BA317" i="6" s="1"/>
  <c r="D317" i="6" s="1"/>
  <c r="H173" i="20"/>
  <c r="I173" i="20" s="1"/>
  <c r="H173" i="22" s="1"/>
  <c r="I173" i="22" s="1"/>
  <c r="H173" i="23" s="1"/>
  <c r="B173" i="6"/>
  <c r="BA173" i="6" s="1"/>
  <c r="D173" i="6" s="1"/>
  <c r="B45" i="6"/>
  <c r="BA45" i="6" s="1"/>
  <c r="B362" i="6"/>
  <c r="BA362" i="6" s="1"/>
  <c r="D362" i="6" s="1"/>
  <c r="B303" i="6"/>
  <c r="BA303" i="6" s="1"/>
  <c r="B292" i="6"/>
  <c r="BA292" i="6" s="1"/>
  <c r="B225" i="6"/>
  <c r="BA225" i="6" s="1"/>
  <c r="B339" i="6"/>
  <c r="BA339" i="6" s="1"/>
  <c r="H80" i="20"/>
  <c r="I80" i="20" s="1"/>
  <c r="H80" i="22" s="1"/>
  <c r="B80" i="6"/>
  <c r="BA80" i="6" s="1"/>
  <c r="D80" i="6" s="1"/>
  <c r="H216" i="20"/>
  <c r="I216" i="20" s="1"/>
  <c r="H216" i="22" s="1"/>
  <c r="B216" i="6"/>
  <c r="BA216" i="6" s="1"/>
  <c r="D216" i="6" s="1"/>
  <c r="H159" i="20"/>
  <c r="J159" i="20" s="1"/>
  <c r="B159" i="6"/>
  <c r="BA159" i="6" s="1"/>
  <c r="D159" i="6" s="1"/>
  <c r="B196" i="6"/>
  <c r="BA196" i="6" s="1"/>
  <c r="D196" i="6" s="1"/>
  <c r="H94" i="20"/>
  <c r="I94" i="20" s="1"/>
  <c r="H94" i="22" s="1"/>
  <c r="B94" i="6"/>
  <c r="BA94" i="6" s="1"/>
  <c r="D94" i="6" s="1"/>
  <c r="H285" i="20"/>
  <c r="J285" i="20" s="1"/>
  <c r="B285" i="6"/>
  <c r="BA285" i="6" s="1"/>
  <c r="D285" i="6" s="1"/>
  <c r="H242" i="20"/>
  <c r="I242" i="20" s="1"/>
  <c r="H242" i="22" s="1"/>
  <c r="B242" i="6"/>
  <c r="BA242" i="6" s="1"/>
  <c r="D242" i="6" s="1"/>
  <c r="B201" i="6"/>
  <c r="BA201" i="6" s="1"/>
  <c r="D201" i="6" s="1"/>
  <c r="H171" i="20"/>
  <c r="I171" i="20" s="1"/>
  <c r="H171" i="22" s="1"/>
  <c r="I171" i="22" s="1"/>
  <c r="H171" i="23" s="1"/>
  <c r="B171" i="6"/>
  <c r="BA171" i="6" s="1"/>
  <c r="D171" i="6" s="1"/>
  <c r="H47" i="20"/>
  <c r="J47" i="20" s="1"/>
  <c r="B47" i="6"/>
  <c r="BA47" i="6" s="1"/>
  <c r="D47" i="6" s="1"/>
  <c r="B213" i="6"/>
  <c r="BA213" i="6" s="1"/>
  <c r="H177" i="20"/>
  <c r="J177" i="20" s="1"/>
  <c r="B177" i="6"/>
  <c r="BA177" i="6" s="1"/>
  <c r="D177" i="6" s="1"/>
  <c r="B102" i="6"/>
  <c r="BA102" i="6" s="1"/>
  <c r="B310" i="6"/>
  <c r="BA310" i="6" s="1"/>
  <c r="D310" i="6" s="1"/>
  <c r="H149" i="20"/>
  <c r="J149" i="20" s="1"/>
  <c r="B149" i="6"/>
  <c r="BA149" i="6" s="1"/>
  <c r="D149" i="6" s="1"/>
  <c r="B75" i="6"/>
  <c r="BA75" i="6" s="1"/>
  <c r="H178" i="20"/>
  <c r="J178" i="20" s="1"/>
  <c r="B178" i="6"/>
  <c r="BA178" i="6" s="1"/>
  <c r="D178" i="6" s="1"/>
  <c r="H126" i="20"/>
  <c r="I126" i="20" s="1"/>
  <c r="H126" i="22" s="1"/>
  <c r="B126" i="6"/>
  <c r="BA126" i="6" s="1"/>
  <c r="D126" i="6" s="1"/>
  <c r="H340" i="20"/>
  <c r="I340" i="20" s="1"/>
  <c r="H340" i="22" s="1"/>
  <c r="B340" i="6"/>
  <c r="BA340" i="6" s="1"/>
  <c r="D340" i="6" s="1"/>
  <c r="H30" i="20"/>
  <c r="I30" i="20" s="1"/>
  <c r="H30" i="22" s="1"/>
  <c r="B30" i="6"/>
  <c r="BA30" i="6" s="1"/>
  <c r="D30" i="6" s="1"/>
  <c r="H103" i="20"/>
  <c r="I103" i="20" s="1"/>
  <c r="H103" i="22" s="1"/>
  <c r="B103" i="6"/>
  <c r="BA103" i="6" s="1"/>
  <c r="D103" i="6" s="1"/>
  <c r="H327" i="20"/>
  <c r="J327" i="20" s="1"/>
  <c r="B327" i="6"/>
  <c r="BA327" i="6" s="1"/>
  <c r="D327" i="6" s="1"/>
  <c r="H27" i="20"/>
  <c r="J27" i="20" s="1"/>
  <c r="B27" i="6"/>
  <c r="BA27" i="6" s="1"/>
  <c r="D27" i="6" s="1"/>
  <c r="H122" i="20"/>
  <c r="J122" i="20" s="1"/>
  <c r="B122" i="6"/>
  <c r="BA122" i="6" s="1"/>
  <c r="D122" i="6" s="1"/>
  <c r="H165" i="20"/>
  <c r="I165" i="20" s="1"/>
  <c r="H165" i="22" s="1"/>
  <c r="B165" i="6"/>
  <c r="BA165" i="6" s="1"/>
  <c r="D165" i="6" s="1"/>
  <c r="H58" i="20"/>
  <c r="I58" i="20" s="1"/>
  <c r="H58" i="22" s="1"/>
  <c r="B58" i="6"/>
  <c r="BA58" i="6" s="1"/>
  <c r="D58" i="6" s="1"/>
  <c r="H130" i="20"/>
  <c r="I130" i="20" s="1"/>
  <c r="H130" i="22" s="1"/>
  <c r="B130" i="6"/>
  <c r="BA130" i="6" s="1"/>
  <c r="D130" i="6" s="1"/>
  <c r="H252" i="20"/>
  <c r="I252" i="20" s="1"/>
  <c r="H252" i="22" s="1"/>
  <c r="B252" i="6"/>
  <c r="BA252" i="6" s="1"/>
  <c r="D252" i="6" s="1"/>
  <c r="H140" i="20"/>
  <c r="I140" i="20" s="1"/>
  <c r="H140" i="22" s="1"/>
  <c r="B140" i="6"/>
  <c r="BA140" i="6" s="1"/>
  <c r="D140" i="6" s="1"/>
  <c r="H220" i="20"/>
  <c r="I220" i="20" s="1"/>
  <c r="H220" i="22" s="1"/>
  <c r="I220" i="22" s="1"/>
  <c r="H220" i="23" s="1"/>
  <c r="B220" i="6"/>
  <c r="BA220" i="6" s="1"/>
  <c r="D220" i="6" s="1"/>
  <c r="H156" i="20"/>
  <c r="J156" i="20" s="1"/>
  <c r="B156" i="6"/>
  <c r="BA156" i="6" s="1"/>
  <c r="D156" i="6" s="1"/>
  <c r="H79" i="20"/>
  <c r="J79" i="20" s="1"/>
  <c r="B79" i="6"/>
  <c r="BA79" i="6" s="1"/>
  <c r="D79" i="6" s="1"/>
  <c r="H235" i="20"/>
  <c r="I235" i="20" s="1"/>
  <c r="H235" i="22" s="1"/>
  <c r="B235" i="6"/>
  <c r="BA235" i="6" s="1"/>
  <c r="D235" i="6" s="1"/>
  <c r="H209" i="20"/>
  <c r="J209" i="20" s="1"/>
  <c r="B209" i="6"/>
  <c r="BA209" i="6" s="1"/>
  <c r="D209" i="6" s="1"/>
  <c r="J282" i="20"/>
  <c r="J121" i="20"/>
  <c r="H303" i="20"/>
  <c r="I303" i="20" s="1"/>
  <c r="H303" i="22" s="1"/>
  <c r="J89" i="20"/>
  <c r="J88" i="20"/>
  <c r="H29" i="20"/>
  <c r="J29" i="20" s="1"/>
  <c r="H244" i="20"/>
  <c r="I244" i="20" s="1"/>
  <c r="H244" i="22" s="1"/>
  <c r="H219" i="20"/>
  <c r="I219" i="20" s="1"/>
  <c r="H219" i="22" s="1"/>
  <c r="J328" i="20"/>
  <c r="J347" i="20"/>
  <c r="J251" i="22"/>
  <c r="H330" i="20"/>
  <c r="J330" i="20" s="1"/>
  <c r="H48" i="20"/>
  <c r="I48" i="20" s="1"/>
  <c r="H48" i="22" s="1"/>
  <c r="H254" i="20"/>
  <c r="I254" i="20" s="1"/>
  <c r="H254" i="22" s="1"/>
  <c r="H376" i="20"/>
  <c r="J376" i="20" s="1"/>
  <c r="H46" i="20"/>
  <c r="I46" i="20" s="1"/>
  <c r="H46" i="22" s="1"/>
  <c r="I46" i="22" s="1"/>
  <c r="H46" i="23" s="1"/>
  <c r="H24" i="20"/>
  <c r="J25" i="20"/>
  <c r="J85" i="20"/>
  <c r="H325" i="20"/>
  <c r="I325" i="20" s="1"/>
  <c r="H325" i="22" s="1"/>
  <c r="I325" i="22" s="1"/>
  <c r="H325" i="23" s="1"/>
  <c r="H223" i="20"/>
  <c r="J223" i="20" s="1"/>
  <c r="H349" i="20"/>
  <c r="J349" i="20" s="1"/>
  <c r="H128" i="20"/>
  <c r="J128" i="20" s="1"/>
  <c r="H123" i="20"/>
  <c r="J123" i="20" s="1"/>
  <c r="H362" i="20"/>
  <c r="I362" i="20" s="1"/>
  <c r="H362" i="22" s="1"/>
  <c r="D167" i="24"/>
  <c r="E167" i="24" s="1"/>
  <c r="F167" i="24" s="1"/>
  <c r="AA167" i="24" s="1"/>
  <c r="Z167" i="24" s="1"/>
  <c r="Y167" i="24" s="1"/>
  <c r="H213" i="20"/>
  <c r="I213" i="20" s="1"/>
  <c r="H213" i="22" s="1"/>
  <c r="H256" i="20"/>
  <c r="I256" i="20" s="1"/>
  <c r="H256" i="22" s="1"/>
  <c r="J150" i="20"/>
  <c r="H198" i="20"/>
  <c r="I198" i="20" s="1"/>
  <c r="H198" i="22" s="1"/>
  <c r="I198" i="22" s="1"/>
  <c r="H198" i="23" s="1"/>
  <c r="J250" i="20"/>
  <c r="H350" i="20"/>
  <c r="I350" i="20" s="1"/>
  <c r="H350" i="22" s="1"/>
  <c r="I350" i="22" s="1"/>
  <c r="H350" i="23" s="1"/>
  <c r="H77" i="20"/>
  <c r="I77" i="20" s="1"/>
  <c r="H77" i="22" s="1"/>
  <c r="I77" i="22" s="1"/>
  <c r="H77" i="23" s="1"/>
  <c r="H261" i="20"/>
  <c r="I261" i="20" s="1"/>
  <c r="H261" i="22" s="1"/>
  <c r="I261" i="22" s="1"/>
  <c r="H261" i="23" s="1"/>
  <c r="H21" i="20"/>
  <c r="I21" i="20" s="1"/>
  <c r="H21" i="22" s="1"/>
  <c r="I21" i="22" s="1"/>
  <c r="H21" i="23" s="1"/>
  <c r="J169" i="20"/>
  <c r="H355" i="20"/>
  <c r="J355" i="20" s="1"/>
  <c r="H378" i="20"/>
  <c r="J378" i="20" s="1"/>
  <c r="H65" i="20"/>
  <c r="I65" i="20" s="1"/>
  <c r="H65" i="22" s="1"/>
  <c r="I65" i="22" s="1"/>
  <c r="H65" i="23" s="1"/>
  <c r="H339" i="20"/>
  <c r="I339" i="20" s="1"/>
  <c r="H339" i="22" s="1"/>
  <c r="I339" i="22" s="1"/>
  <c r="H339" i="23" s="1"/>
  <c r="H75" i="20"/>
  <c r="H210" i="20"/>
  <c r="I210" i="20" s="1"/>
  <c r="H210" i="22" s="1"/>
  <c r="H49" i="20"/>
  <c r="J49" i="20" s="1"/>
  <c r="H182" i="20"/>
  <c r="I182" i="20" s="1"/>
  <c r="H182" i="22" s="1"/>
  <c r="H196" i="20"/>
  <c r="I196" i="20" s="1"/>
  <c r="H196" i="22" s="1"/>
  <c r="I196" i="22" s="1"/>
  <c r="H196" i="23" s="1"/>
  <c r="H125" i="20"/>
  <c r="I125" i="20" s="1"/>
  <c r="H125" i="22" s="1"/>
  <c r="I125" i="22" s="1"/>
  <c r="H125" i="23" s="1"/>
  <c r="H148" i="20"/>
  <c r="I148" i="20" s="1"/>
  <c r="H148" i="22" s="1"/>
  <c r="I148" i="22" s="1"/>
  <c r="H148" i="23" s="1"/>
  <c r="H133" i="20"/>
  <c r="J133" i="20" s="1"/>
  <c r="H188" i="20"/>
  <c r="J188" i="20" s="1"/>
  <c r="H309" i="20"/>
  <c r="I309" i="20" s="1"/>
  <c r="H309" i="22" s="1"/>
  <c r="I309" i="22" s="1"/>
  <c r="H309" i="23" s="1"/>
  <c r="H145" i="20"/>
  <c r="I145" i="20" s="1"/>
  <c r="H145" i="22" s="1"/>
  <c r="I145" i="22" s="1"/>
  <c r="H145" i="23" s="1"/>
  <c r="BA333" i="6"/>
  <c r="D333" i="6" s="1"/>
  <c r="H333" i="20"/>
  <c r="W167" i="25"/>
  <c r="W155" i="25"/>
  <c r="D270" i="24"/>
  <c r="E270" i="24" s="1"/>
  <c r="F270" i="24" s="1"/>
  <c r="AA270" i="24" s="1"/>
  <c r="Z270" i="24" s="1"/>
  <c r="Y270" i="24" s="1"/>
  <c r="H45" i="20"/>
  <c r="I45" i="20" s="1"/>
  <c r="H45" i="22" s="1"/>
  <c r="H225" i="20"/>
  <c r="I225" i="20" s="1"/>
  <c r="H225" i="22" s="1"/>
  <c r="W301" i="24"/>
  <c r="H104" i="20"/>
  <c r="J104" i="20" s="1"/>
  <c r="H248" i="20"/>
  <c r="I248" i="20" s="1"/>
  <c r="H248" i="22" s="1"/>
  <c r="AA211" i="23"/>
  <c r="Z211" i="23" s="1"/>
  <c r="Y211" i="23" s="1"/>
  <c r="H226" i="20"/>
  <c r="I226" i="20" s="1"/>
  <c r="H226" i="22" s="1"/>
  <c r="H357" i="20"/>
  <c r="I357" i="20" s="1"/>
  <c r="H357" i="22" s="1"/>
  <c r="H127" i="20"/>
  <c r="J127" i="20" s="1"/>
  <c r="J203" i="20"/>
  <c r="H310" i="20"/>
  <c r="J310" i="20" s="1"/>
  <c r="H317" i="20"/>
  <c r="I317" i="20" s="1"/>
  <c r="H317" i="22" s="1"/>
  <c r="I317" i="22" s="1"/>
  <c r="H317" i="23" s="1"/>
  <c r="H356" i="20"/>
  <c r="J356" i="20" s="1"/>
  <c r="H31" i="20"/>
  <c r="J31" i="20" s="1"/>
  <c r="J187" i="20"/>
  <c r="H184" i="20"/>
  <c r="I184" i="20" s="1"/>
  <c r="H184" i="22" s="1"/>
  <c r="I184" i="22" s="1"/>
  <c r="H184" i="23" s="1"/>
  <c r="H34" i="20"/>
  <c r="I34" i="20" s="1"/>
  <c r="H34" i="22" s="1"/>
  <c r="I34" i="22" s="1"/>
  <c r="H34" i="23" s="1"/>
  <c r="H201" i="20"/>
  <c r="I201" i="20" s="1"/>
  <c r="H201" i="22" s="1"/>
  <c r="I201" i="22" s="1"/>
  <c r="H201" i="23" s="1"/>
  <c r="H233" i="20"/>
  <c r="J233" i="20" s="1"/>
  <c r="H292" i="20"/>
  <c r="J292" i="20" s="1"/>
  <c r="H365" i="20"/>
  <c r="J365" i="20" s="1"/>
  <c r="H144" i="20"/>
  <c r="J144" i="20" s="1"/>
  <c r="H352" i="20"/>
  <c r="I352" i="20" s="1"/>
  <c r="H352" i="22" s="1"/>
  <c r="I352" i="22" s="1"/>
  <c r="H352" i="23" s="1"/>
  <c r="H373" i="20"/>
  <c r="I373" i="20" s="1"/>
  <c r="H373" i="22" s="1"/>
  <c r="I373" i="22" s="1"/>
  <c r="H373" i="23" s="1"/>
  <c r="H273" i="20"/>
  <c r="J273" i="20" s="1"/>
  <c r="H102" i="20"/>
  <c r="J102" i="20" s="1"/>
  <c r="H139" i="20"/>
  <c r="I139" i="20" s="1"/>
  <c r="H139" i="22" s="1"/>
  <c r="H311" i="20"/>
  <c r="J311" i="20" s="1"/>
  <c r="H274" i="20"/>
  <c r="I274" i="20" s="1"/>
  <c r="H274" i="22" s="1"/>
  <c r="I274" i="22" s="1"/>
  <c r="H274" i="23" s="1"/>
  <c r="H137" i="20"/>
  <c r="J137" i="20" s="1"/>
  <c r="H22" i="20"/>
  <c r="I22" i="20" s="1"/>
  <c r="H22" i="22" s="1"/>
  <c r="I22" i="22" s="1"/>
  <c r="H22" i="23" s="1"/>
  <c r="H62" i="20"/>
  <c r="I62" i="20" s="1"/>
  <c r="H62" i="22" s="1"/>
  <c r="I62" i="22" s="1"/>
  <c r="H62" i="23" s="1"/>
  <c r="J371" i="20"/>
  <c r="G108" i="23"/>
  <c r="CD108" i="6" s="1"/>
  <c r="AA205" i="23"/>
  <c r="Z205" i="23" s="1"/>
  <c r="Y205" i="23" s="1"/>
  <c r="G170" i="23"/>
  <c r="CD170" i="6" s="1"/>
  <c r="AA231" i="23"/>
  <c r="Z231" i="23" s="1"/>
  <c r="Y231" i="23" s="1"/>
  <c r="G152" i="23"/>
  <c r="CD152" i="6" s="1"/>
  <c r="D23" i="25"/>
  <c r="E23" i="25" s="1"/>
  <c r="F23" i="25" s="1"/>
  <c r="W212" i="24"/>
  <c r="D28" i="24"/>
  <c r="E28" i="24" s="1"/>
  <c r="F28" i="24" s="1"/>
  <c r="AA28" i="24" s="1"/>
  <c r="Z28" i="24" s="1"/>
  <c r="Y28" i="24" s="1"/>
  <c r="D108" i="24"/>
  <c r="E108" i="24" s="1"/>
  <c r="F108" i="24" s="1"/>
  <c r="AA108" i="24" s="1"/>
  <c r="Z108" i="24" s="1"/>
  <c r="Y108" i="24" s="1"/>
  <c r="W152" i="24"/>
  <c r="AA259" i="23"/>
  <c r="Z259" i="23" s="1"/>
  <c r="Y259" i="23" s="1"/>
  <c r="D95" i="24"/>
  <c r="E95" i="24" s="1"/>
  <c r="F95" i="24" s="1"/>
  <c r="G95" i="24" s="1"/>
  <c r="CE95" i="6" s="1"/>
  <c r="D23" i="24"/>
  <c r="E23" i="24" s="1"/>
  <c r="F23" i="24" s="1"/>
  <c r="AA23" i="24" s="1"/>
  <c r="Z23" i="24" s="1"/>
  <c r="Y23" i="24" s="1"/>
  <c r="W212" i="25"/>
  <c r="W108" i="24"/>
  <c r="D152" i="25"/>
  <c r="E152" i="25" s="1"/>
  <c r="F152" i="25" s="1"/>
  <c r="AA208" i="23"/>
  <c r="Z208" i="23" s="1"/>
  <c r="Y208" i="23" s="1"/>
  <c r="D129" i="24"/>
  <c r="E129" i="24" s="1"/>
  <c r="F129" i="24" s="1"/>
  <c r="G129" i="24" s="1"/>
  <c r="CE129" i="6" s="1"/>
  <c r="W30" i="24"/>
  <c r="H205" i="23"/>
  <c r="J205" i="23" s="1"/>
  <c r="W59" i="25"/>
  <c r="AA306" i="23"/>
  <c r="Z306" i="23" s="1"/>
  <c r="Y306" i="23" s="1"/>
  <c r="G363" i="23"/>
  <c r="CD363" i="6" s="1"/>
  <c r="W353" i="24"/>
  <c r="D306" i="24"/>
  <c r="E306" i="24" s="1"/>
  <c r="F306" i="24" s="1"/>
  <c r="G306" i="24" s="1"/>
  <c r="CE306" i="6" s="1"/>
  <c r="D331" i="24"/>
  <c r="E331" i="24" s="1"/>
  <c r="F331" i="24" s="1"/>
  <c r="AA331" i="24" s="1"/>
  <c r="Z331" i="24" s="1"/>
  <c r="Y331" i="24" s="1"/>
  <c r="AA197" i="23"/>
  <c r="Z197" i="23" s="1"/>
  <c r="Y197" i="23" s="1"/>
  <c r="AA269" i="23"/>
  <c r="Z269" i="23" s="1"/>
  <c r="Y269" i="23" s="1"/>
  <c r="AA155" i="23"/>
  <c r="Z155" i="23" s="1"/>
  <c r="Y155" i="23" s="1"/>
  <c r="D136" i="24"/>
  <c r="E136" i="24" s="1"/>
  <c r="F136" i="24" s="1"/>
  <c r="AA136" i="24" s="1"/>
  <c r="Z136" i="24" s="1"/>
  <c r="Y136" i="24" s="1"/>
  <c r="W95" i="25"/>
  <c r="D316" i="24"/>
  <c r="E316" i="24" s="1"/>
  <c r="F316" i="24" s="1"/>
  <c r="AA316" i="24" s="1"/>
  <c r="Z316" i="24" s="1"/>
  <c r="Y316" i="24" s="1"/>
  <c r="G300" i="23"/>
  <c r="CD300" i="6" s="1"/>
  <c r="W306" i="25"/>
  <c r="W331" i="25"/>
  <c r="D54" i="24"/>
  <c r="E54" i="24" s="1"/>
  <c r="F54" i="24" s="1"/>
  <c r="AA54" i="24" s="1"/>
  <c r="Z54" i="24" s="1"/>
  <c r="Y54" i="24" s="1"/>
  <c r="D300" i="25"/>
  <c r="E300" i="25" s="1"/>
  <c r="F300" i="25" s="1"/>
  <c r="D59" i="24"/>
  <c r="E59" i="24" s="1"/>
  <c r="F59" i="24" s="1"/>
  <c r="G59" i="24" s="1"/>
  <c r="CE59" i="6" s="1"/>
  <c r="W50" i="24"/>
  <c r="D211" i="24"/>
  <c r="E211" i="24" s="1"/>
  <c r="F211" i="24" s="1"/>
  <c r="G211" i="24" s="1"/>
  <c r="CE211" i="6" s="1"/>
  <c r="W297" i="25"/>
  <c r="D359" i="25"/>
  <c r="E359" i="25" s="1"/>
  <c r="F359" i="25" s="1"/>
  <c r="D211" i="25"/>
  <c r="E211" i="25" s="1"/>
  <c r="F211" i="25" s="1"/>
  <c r="D323" i="24"/>
  <c r="E323" i="24" s="1"/>
  <c r="F323" i="24" s="1"/>
  <c r="AA323" i="24" s="1"/>
  <c r="Z323" i="24" s="1"/>
  <c r="Y323" i="24" s="1"/>
  <c r="AA116" i="23"/>
  <c r="Z116" i="23" s="1"/>
  <c r="Y116" i="23" s="1"/>
  <c r="AA167" i="23"/>
  <c r="Z167" i="23" s="1"/>
  <c r="Y167" i="23" s="1"/>
  <c r="D269" i="24"/>
  <c r="E269" i="24" s="1"/>
  <c r="F269" i="24" s="1"/>
  <c r="AA269" i="24" s="1"/>
  <c r="Z269" i="24" s="1"/>
  <c r="Y269" i="24" s="1"/>
  <c r="D237" i="24"/>
  <c r="E237" i="24" s="1"/>
  <c r="F237" i="24" s="1"/>
  <c r="G237" i="24" s="1"/>
  <c r="CE237" i="6" s="1"/>
  <c r="W50" i="25"/>
  <c r="AA183" i="23"/>
  <c r="Z183" i="23" s="1"/>
  <c r="Y183" i="23" s="1"/>
  <c r="AA50" i="23"/>
  <c r="Z50" i="23" s="1"/>
  <c r="Y50" i="23" s="1"/>
  <c r="AA294" i="23"/>
  <c r="Z294" i="23" s="1"/>
  <c r="Y294" i="23" s="1"/>
  <c r="D329" i="24"/>
  <c r="E329" i="24" s="1"/>
  <c r="F329" i="24" s="1"/>
  <c r="AA329" i="24" s="1"/>
  <c r="Z329" i="24" s="1"/>
  <c r="Y329" i="24" s="1"/>
  <c r="D19" i="24"/>
  <c r="E19" i="24" s="1"/>
  <c r="F19" i="24" s="1"/>
  <c r="AA19" i="24" s="1"/>
  <c r="Z19" i="24" s="1"/>
  <c r="Y19" i="24" s="1"/>
  <c r="G192" i="23"/>
  <c r="CD192" i="6" s="1"/>
  <c r="AA224" i="23"/>
  <c r="Z224" i="23" s="1"/>
  <c r="Y224" i="23" s="1"/>
  <c r="D327" i="25"/>
  <c r="E327" i="25" s="1"/>
  <c r="F327" i="25" s="1"/>
  <c r="AA331" i="23"/>
  <c r="Z331" i="23" s="1"/>
  <c r="Y331" i="23" s="1"/>
  <c r="AA270" i="23"/>
  <c r="Z270" i="23" s="1"/>
  <c r="Y270" i="23" s="1"/>
  <c r="AA329" i="23"/>
  <c r="Z329" i="23" s="1"/>
  <c r="Y329" i="23" s="1"/>
  <c r="D205" i="24"/>
  <c r="E205" i="24" s="1"/>
  <c r="F205" i="24" s="1"/>
  <c r="G205" i="24" s="1"/>
  <c r="CE205" i="6" s="1"/>
  <c r="W300" i="24"/>
  <c r="W323" i="25"/>
  <c r="G358" i="23"/>
  <c r="CD358" i="6" s="1"/>
  <c r="D329" i="25"/>
  <c r="E329" i="25" s="1"/>
  <c r="F329" i="25" s="1"/>
  <c r="D19" i="25"/>
  <c r="E19" i="25" s="1"/>
  <c r="F19" i="25" s="1"/>
  <c r="D327" i="24"/>
  <c r="E327" i="24" s="1"/>
  <c r="F327" i="24" s="1"/>
  <c r="G327" i="24" s="1"/>
  <c r="CE327" i="6" s="1"/>
  <c r="W269" i="25"/>
  <c r="W237" i="25"/>
  <c r="G301" i="23"/>
  <c r="CD301" i="6" s="1"/>
  <c r="W205" i="25"/>
  <c r="AA351" i="23"/>
  <c r="Z351" i="23" s="1"/>
  <c r="Y351" i="23" s="1"/>
  <c r="D70" i="24"/>
  <c r="E70" i="24" s="1"/>
  <c r="F70" i="24" s="1"/>
  <c r="G70" i="24" s="1"/>
  <c r="CE70" i="6" s="1"/>
  <c r="D348" i="24"/>
  <c r="E348" i="24" s="1"/>
  <c r="F348" i="24" s="1"/>
  <c r="AA348" i="24" s="1"/>
  <c r="Z348" i="24" s="1"/>
  <c r="Y348" i="24" s="1"/>
  <c r="W54" i="25"/>
  <c r="W70" i="25"/>
  <c r="D348" i="25"/>
  <c r="E348" i="25" s="1"/>
  <c r="F348" i="25" s="1"/>
  <c r="AA193" i="23"/>
  <c r="Z193" i="23" s="1"/>
  <c r="Y193" i="23" s="1"/>
  <c r="AA79" i="23"/>
  <c r="Z79" i="23" s="1"/>
  <c r="Y79" i="23" s="1"/>
  <c r="AA131" i="23"/>
  <c r="Z131" i="23" s="1"/>
  <c r="Y131" i="23" s="1"/>
  <c r="W28" i="25"/>
  <c r="W377" i="25"/>
  <c r="D335" i="24"/>
  <c r="E335" i="24" s="1"/>
  <c r="F335" i="24" s="1"/>
  <c r="G335" i="24" s="1"/>
  <c r="CE335" i="6" s="1"/>
  <c r="W30" i="25"/>
  <c r="W359" i="24"/>
  <c r="G94" i="23"/>
  <c r="CD94" i="6" s="1"/>
  <c r="W129" i="25"/>
  <c r="W377" i="24"/>
  <c r="D224" i="24"/>
  <c r="E224" i="24" s="1"/>
  <c r="F224" i="24" s="1"/>
  <c r="G224" i="24" s="1"/>
  <c r="CE224" i="6" s="1"/>
  <c r="D353" i="25"/>
  <c r="E353" i="25" s="1"/>
  <c r="F353" i="25" s="1"/>
  <c r="D43" i="24"/>
  <c r="E43" i="24" s="1"/>
  <c r="F43" i="24" s="1"/>
  <c r="AA43" i="24" s="1"/>
  <c r="Z43" i="24" s="1"/>
  <c r="Y43" i="24" s="1"/>
  <c r="D155" i="24"/>
  <c r="E155" i="24" s="1"/>
  <c r="F155" i="24" s="1"/>
  <c r="G155" i="24" s="1"/>
  <c r="CE155" i="6" s="1"/>
  <c r="D136" i="25"/>
  <c r="E136" i="25" s="1"/>
  <c r="F136" i="25" s="1"/>
  <c r="D270" i="25"/>
  <c r="E270" i="25" s="1"/>
  <c r="F270" i="25" s="1"/>
  <c r="AA344" i="23"/>
  <c r="Z344" i="23" s="1"/>
  <c r="Y344" i="23" s="1"/>
  <c r="G168" i="23"/>
  <c r="CD168" i="6" s="1"/>
  <c r="D164" i="24"/>
  <c r="E164" i="24" s="1"/>
  <c r="F164" i="24" s="1"/>
  <c r="AA164" i="24" s="1"/>
  <c r="Z164" i="24" s="1"/>
  <c r="Y164" i="24" s="1"/>
  <c r="W297" i="24"/>
  <c r="D358" i="24"/>
  <c r="E358" i="24" s="1"/>
  <c r="F358" i="24" s="1"/>
  <c r="G358" i="24" s="1"/>
  <c r="CE358" i="6" s="1"/>
  <c r="D192" i="24"/>
  <c r="E192" i="24" s="1"/>
  <c r="F192" i="24" s="1"/>
  <c r="G192" i="24" s="1"/>
  <c r="CE192" i="6" s="1"/>
  <c r="W335" i="25"/>
  <c r="D179" i="24"/>
  <c r="E179" i="24" s="1"/>
  <c r="F179" i="24" s="1"/>
  <c r="G179" i="24" s="1"/>
  <c r="CE179" i="6" s="1"/>
  <c r="G54" i="23"/>
  <c r="CD54" i="6" s="1"/>
  <c r="G297" i="23"/>
  <c r="CD297" i="6" s="1"/>
  <c r="G337" i="23"/>
  <c r="CD337" i="6" s="1"/>
  <c r="D243" i="24"/>
  <c r="E243" i="24" s="1"/>
  <c r="F243" i="24" s="1"/>
  <c r="AA243" i="24" s="1"/>
  <c r="Z243" i="24" s="1"/>
  <c r="Y243" i="24" s="1"/>
  <c r="AA43" i="23"/>
  <c r="Z43" i="23" s="1"/>
  <c r="Y43" i="23" s="1"/>
  <c r="D294" i="24"/>
  <c r="E294" i="24" s="1"/>
  <c r="F294" i="24" s="1"/>
  <c r="G294" i="24" s="1"/>
  <c r="CE294" i="6" s="1"/>
  <c r="D43" i="25"/>
  <c r="E43" i="25" s="1"/>
  <c r="F43" i="25" s="1"/>
  <c r="W301" i="25"/>
  <c r="W316" i="25"/>
  <c r="I347" i="20"/>
  <c r="H347" i="22" s="1"/>
  <c r="I347" i="22" s="1"/>
  <c r="H347" i="23" s="1"/>
  <c r="AA255" i="23"/>
  <c r="Z255" i="23" s="1"/>
  <c r="Y255" i="23" s="1"/>
  <c r="I272" i="20"/>
  <c r="H272" i="22" s="1"/>
  <c r="I272" i="22" s="1"/>
  <c r="H272" i="23" s="1"/>
  <c r="D164" i="25"/>
  <c r="E164" i="25" s="1"/>
  <c r="F164" i="25" s="1"/>
  <c r="I296" i="20"/>
  <c r="H296" i="22" s="1"/>
  <c r="I296" i="22" s="1"/>
  <c r="H296" i="23" s="1"/>
  <c r="D358" i="25"/>
  <c r="E358" i="25" s="1"/>
  <c r="F358" i="25" s="1"/>
  <c r="G35" i="23"/>
  <c r="CD35" i="6" s="1"/>
  <c r="W192" i="25"/>
  <c r="D179" i="25"/>
  <c r="E179" i="25" s="1"/>
  <c r="F179" i="25" s="1"/>
  <c r="AA18" i="23"/>
  <c r="Z18" i="23" s="1"/>
  <c r="Y18" i="23" s="1"/>
  <c r="D180" i="24"/>
  <c r="E180" i="24" s="1"/>
  <c r="F180" i="24" s="1"/>
  <c r="AA180" i="24" s="1"/>
  <c r="Z180" i="24" s="1"/>
  <c r="Y180" i="24" s="1"/>
  <c r="J90" i="20"/>
  <c r="J90" i="22" s="1"/>
  <c r="D97" i="25"/>
  <c r="E97" i="25" s="1"/>
  <c r="F97" i="25" s="1"/>
  <c r="G312" i="23"/>
  <c r="CD312" i="6" s="1"/>
  <c r="J60" i="20"/>
  <c r="J60" i="22" s="1"/>
  <c r="W116" i="25"/>
  <c r="AA243" i="23"/>
  <c r="Z243" i="23" s="1"/>
  <c r="Y243" i="23" s="1"/>
  <c r="I282" i="20"/>
  <c r="H282" i="22" s="1"/>
  <c r="I282" i="22" s="1"/>
  <c r="H282" i="23" s="1"/>
  <c r="G216" i="23"/>
  <c r="CD216" i="6" s="1"/>
  <c r="W180" i="25"/>
  <c r="W97" i="24"/>
  <c r="AA338" i="23"/>
  <c r="Z338" i="23" s="1"/>
  <c r="Y338" i="23" s="1"/>
  <c r="AA164" i="23"/>
  <c r="Z164" i="23" s="1"/>
  <c r="Y164" i="23" s="1"/>
  <c r="W116" i="24"/>
  <c r="AA265" i="23"/>
  <c r="Z265" i="23" s="1"/>
  <c r="Y265" i="23" s="1"/>
  <c r="J334" i="20"/>
  <c r="J334" i="22" s="1"/>
  <c r="D294" i="25"/>
  <c r="E294" i="25" s="1"/>
  <c r="F294" i="25" s="1"/>
  <c r="G180" i="23"/>
  <c r="CD180" i="6" s="1"/>
  <c r="W284" i="24"/>
  <c r="D243" i="25"/>
  <c r="E243" i="25" s="1"/>
  <c r="F243" i="25" s="1"/>
  <c r="I251" i="22"/>
  <c r="H251" i="23" s="1"/>
  <c r="D284" i="25"/>
  <c r="E284" i="25" s="1"/>
  <c r="F284" i="25" s="1"/>
  <c r="G92" i="23"/>
  <c r="CD92" i="6" s="1"/>
  <c r="W367" i="24"/>
  <c r="I88" i="20"/>
  <c r="H88" i="22" s="1"/>
  <c r="J191" i="20"/>
  <c r="J191" i="22" s="1"/>
  <c r="J206" i="20"/>
  <c r="J206" i="22" s="1"/>
  <c r="AA55" i="23"/>
  <c r="Z55" i="23" s="1"/>
  <c r="Y55" i="23" s="1"/>
  <c r="G366" i="23"/>
  <c r="CD366" i="6" s="1"/>
  <c r="W338" i="24"/>
  <c r="J369" i="20"/>
  <c r="J369" i="22" s="1"/>
  <c r="AA258" i="23"/>
  <c r="Z258" i="23" s="1"/>
  <c r="Y258" i="23" s="1"/>
  <c r="I67" i="20"/>
  <c r="H67" i="22" s="1"/>
  <c r="I67" i="22" s="1"/>
  <c r="H67" i="23" s="1"/>
  <c r="I87" i="20"/>
  <c r="H87" i="22" s="1"/>
  <c r="J87" i="22" s="1"/>
  <c r="D324" i="25"/>
  <c r="E324" i="25" s="1"/>
  <c r="F324" i="25" s="1"/>
  <c r="D344" i="24"/>
  <c r="E344" i="24" s="1"/>
  <c r="F344" i="24" s="1"/>
  <c r="G344" i="24" s="1"/>
  <c r="CE344" i="6" s="1"/>
  <c r="D153" i="24"/>
  <c r="E153" i="24" s="1"/>
  <c r="F153" i="24" s="1"/>
  <c r="G153" i="24" s="1"/>
  <c r="CE153" i="6" s="1"/>
  <c r="D216" i="24"/>
  <c r="E216" i="24" s="1"/>
  <c r="F216" i="24" s="1"/>
  <c r="G216" i="24" s="1"/>
  <c r="CE216" i="6" s="1"/>
  <c r="AA64" i="23"/>
  <c r="Z64" i="23" s="1"/>
  <c r="Y64" i="23" s="1"/>
  <c r="AA97" i="23"/>
  <c r="Z97" i="23" s="1"/>
  <c r="Y97" i="23" s="1"/>
  <c r="D338" i="25"/>
  <c r="E338" i="25" s="1"/>
  <c r="F338" i="25" s="1"/>
  <c r="J160" i="20"/>
  <c r="J160" i="22" s="1"/>
  <c r="AA38" i="23"/>
  <c r="Z38" i="23" s="1"/>
  <c r="Y38" i="23" s="1"/>
  <c r="D64" i="24"/>
  <c r="E64" i="24" s="1"/>
  <c r="F64" i="24" s="1"/>
  <c r="AA64" i="24" s="1"/>
  <c r="Z64" i="24" s="1"/>
  <c r="Y64" i="24" s="1"/>
  <c r="G228" i="23"/>
  <c r="CD228" i="6" s="1"/>
  <c r="W367" i="25"/>
  <c r="I328" i="20"/>
  <c r="H328" i="22" s="1"/>
  <c r="I328" i="22" s="1"/>
  <c r="H328" i="23" s="1"/>
  <c r="G227" i="23"/>
  <c r="CD227" i="6" s="1"/>
  <c r="W224" i="25"/>
  <c r="D64" i="25"/>
  <c r="E64" i="25" s="1"/>
  <c r="F64" i="25" s="1"/>
  <c r="J109" i="20"/>
  <c r="J109" i="22" s="1"/>
  <c r="J61" i="20"/>
  <c r="J61" i="22" s="1"/>
  <c r="W344" i="25"/>
  <c r="D153" i="25"/>
  <c r="E153" i="25" s="1"/>
  <c r="F153" i="25" s="1"/>
  <c r="D216" i="25"/>
  <c r="E216" i="25" s="1"/>
  <c r="F216" i="25" s="1"/>
  <c r="W326" i="25"/>
  <c r="AA367" i="23"/>
  <c r="Z367" i="23" s="1"/>
  <c r="Y367" i="23" s="1"/>
  <c r="I217" i="22"/>
  <c r="H217" i="23" s="1"/>
  <c r="J217" i="23" s="1"/>
  <c r="AA324" i="23"/>
  <c r="Z324" i="23" s="1"/>
  <c r="Y324" i="23" s="1"/>
  <c r="J245" i="20"/>
  <c r="J245" i="22" s="1"/>
  <c r="W324" i="24"/>
  <c r="W326" i="24"/>
  <c r="I25" i="20"/>
  <c r="H25" i="22" s="1"/>
  <c r="J74" i="20"/>
  <c r="J74" i="22" s="1"/>
  <c r="J275" i="20"/>
  <c r="J275" i="22" s="1"/>
  <c r="J86" i="20"/>
  <c r="J86" i="22" s="1"/>
  <c r="I371" i="20"/>
  <c r="H371" i="22" s="1"/>
  <c r="I234" i="20"/>
  <c r="H234" i="22" s="1"/>
  <c r="J234" i="22" s="1"/>
  <c r="I163" i="20"/>
  <c r="H163" i="22" s="1"/>
  <c r="J163" i="22" s="1"/>
  <c r="J173" i="20"/>
  <c r="J173" i="22" s="1"/>
  <c r="J171" i="20"/>
  <c r="J171" i="22" s="1"/>
  <c r="I236" i="20"/>
  <c r="H236" i="22" s="1"/>
  <c r="J236" i="22" s="1"/>
  <c r="J295" i="20"/>
  <c r="J295" i="22" s="1"/>
  <c r="I289" i="20"/>
  <c r="H289" i="22" s="1"/>
  <c r="J289" i="22" s="1"/>
  <c r="I44" i="20"/>
  <c r="H44" i="22" s="1"/>
  <c r="J44" i="22" s="1"/>
  <c r="I76" i="20"/>
  <c r="H76" i="22" s="1"/>
  <c r="I76" i="22" s="1"/>
  <c r="H76" i="23" s="1"/>
  <c r="J374" i="20"/>
  <c r="J374" i="22" s="1"/>
  <c r="J253" i="20"/>
  <c r="J253" i="22" s="1"/>
  <c r="J322" i="20"/>
  <c r="J322" i="22" s="1"/>
  <c r="I85" i="20"/>
  <c r="H85" i="22" s="1"/>
  <c r="J112" i="20"/>
  <c r="J112" i="22" s="1"/>
  <c r="I114" i="20"/>
  <c r="H114" i="22" s="1"/>
  <c r="J114" i="22" s="1"/>
  <c r="J71" i="20"/>
  <c r="J71" i="22" s="1"/>
  <c r="I89" i="20"/>
  <c r="H89" i="22" s="1"/>
  <c r="I89" i="22" s="1"/>
  <c r="H89" i="23" s="1"/>
  <c r="J119" i="20"/>
  <c r="J119" i="22" s="1"/>
  <c r="I250" i="20"/>
  <c r="H250" i="22" s="1"/>
  <c r="I250" i="22" s="1"/>
  <c r="H250" i="23" s="1"/>
  <c r="I169" i="20"/>
  <c r="H169" i="22" s="1"/>
  <c r="I124" i="20"/>
  <c r="H124" i="22" s="1"/>
  <c r="I124" i="22" s="1"/>
  <c r="H124" i="23" s="1"/>
  <c r="I187" i="20"/>
  <c r="H187" i="22" s="1"/>
  <c r="I187" i="22" s="1"/>
  <c r="H187" i="23" s="1"/>
  <c r="I283" i="20"/>
  <c r="H283" i="22" s="1"/>
  <c r="I283" i="22" s="1"/>
  <c r="H283" i="23" s="1"/>
  <c r="J218" i="20"/>
  <c r="J218" i="22" s="1"/>
  <c r="I203" i="20"/>
  <c r="H203" i="22" s="1"/>
  <c r="I53" i="22"/>
  <c r="H53" i="23" s="1"/>
  <c r="I109" i="22"/>
  <c r="H109" i="23" s="1"/>
  <c r="I160" i="22"/>
  <c r="H160" i="23" s="1"/>
  <c r="I275" i="22"/>
  <c r="H275" i="23" s="1"/>
  <c r="I74" i="22"/>
  <c r="H74" i="23" s="1"/>
  <c r="I253" i="22"/>
  <c r="H253" i="23" s="1"/>
  <c r="I90" i="22"/>
  <c r="H90" i="23" s="1"/>
  <c r="I218" i="22"/>
  <c r="H218" i="23" s="1"/>
  <c r="I206" i="22"/>
  <c r="H206" i="23" s="1"/>
  <c r="AA379" i="24"/>
  <c r="Z379" i="24" s="1"/>
  <c r="Y379" i="24" s="1"/>
  <c r="G379" i="24"/>
  <c r="CE379" i="6" s="1"/>
  <c r="W29" i="24"/>
  <c r="D29" i="24"/>
  <c r="E29" i="24" s="1"/>
  <c r="F29" i="24" s="1"/>
  <c r="W352" i="24"/>
  <c r="D352" i="24"/>
  <c r="E352" i="24" s="1"/>
  <c r="F352" i="24" s="1"/>
  <c r="D333" i="24"/>
  <c r="E333" i="24" s="1"/>
  <c r="F333" i="24" s="1"/>
  <c r="W333" i="24"/>
  <c r="W376" i="24"/>
  <c r="D376" i="24"/>
  <c r="E376" i="24" s="1"/>
  <c r="F376" i="24" s="1"/>
  <c r="D369" i="24"/>
  <c r="E369" i="24" s="1"/>
  <c r="F369" i="24" s="1"/>
  <c r="W369" i="24"/>
  <c r="G253" i="23"/>
  <c r="CD253" i="6" s="1"/>
  <c r="AA253" i="23"/>
  <c r="Z253" i="23" s="1"/>
  <c r="Y253" i="23" s="1"/>
  <c r="W130" i="25"/>
  <c r="D130" i="25"/>
  <c r="E130" i="25" s="1"/>
  <c r="F130" i="25" s="1"/>
  <c r="G265" i="24"/>
  <c r="CE265" i="6" s="1"/>
  <c r="AA265" i="24"/>
  <c r="Z265" i="24" s="1"/>
  <c r="Y265" i="24" s="1"/>
  <c r="D55" i="25"/>
  <c r="E55" i="25" s="1"/>
  <c r="F55" i="25" s="1"/>
  <c r="W55" i="25"/>
  <c r="G83" i="24"/>
  <c r="CE83" i="6" s="1"/>
  <c r="AA83" i="24"/>
  <c r="Z83" i="24" s="1"/>
  <c r="Y83" i="24" s="1"/>
  <c r="I56" i="20"/>
  <c r="H56" i="22" s="1"/>
  <c r="J56" i="20"/>
  <c r="AA336" i="24"/>
  <c r="Z336" i="24" s="1"/>
  <c r="Y336" i="24" s="1"/>
  <c r="G336" i="24"/>
  <c r="CE336" i="6" s="1"/>
  <c r="I334" i="22"/>
  <c r="H334" i="23" s="1"/>
  <c r="D53" i="24"/>
  <c r="E53" i="24" s="1"/>
  <c r="F53" i="24" s="1"/>
  <c r="W53" i="24"/>
  <c r="I27" i="20"/>
  <c r="H27" i="22" s="1"/>
  <c r="J364" i="20"/>
  <c r="I364" i="20"/>
  <c r="H364" i="22" s="1"/>
  <c r="W109" i="24"/>
  <c r="D109" i="24"/>
  <c r="E109" i="24" s="1"/>
  <c r="F109" i="24" s="1"/>
  <c r="G58" i="23"/>
  <c r="CD58" i="6" s="1"/>
  <c r="AA58" i="23"/>
  <c r="Z58" i="23" s="1"/>
  <c r="Y58" i="23" s="1"/>
  <c r="J58" i="20"/>
  <c r="W286" i="25"/>
  <c r="D286" i="25"/>
  <c r="E286" i="25" s="1"/>
  <c r="F286" i="25" s="1"/>
  <c r="W90" i="24"/>
  <c r="D90" i="24"/>
  <c r="E90" i="24" s="1"/>
  <c r="F90" i="24" s="1"/>
  <c r="G16" i="24"/>
  <c r="CE16" i="6" s="1"/>
  <c r="AA16" i="24"/>
  <c r="Z16" i="24" s="1"/>
  <c r="Y16" i="24" s="1"/>
  <c r="D63" i="25"/>
  <c r="E63" i="25" s="1"/>
  <c r="F63" i="25" s="1"/>
  <c r="W63" i="25"/>
  <c r="G63" i="24"/>
  <c r="CE63" i="6" s="1"/>
  <c r="AA63" i="24"/>
  <c r="Z63" i="24" s="1"/>
  <c r="Y63" i="24" s="1"/>
  <c r="G185" i="23"/>
  <c r="CD185" i="6" s="1"/>
  <c r="AA185" i="23"/>
  <c r="Z185" i="23" s="1"/>
  <c r="Y185" i="23" s="1"/>
  <c r="W110" i="24"/>
  <c r="D110" i="24"/>
  <c r="E110" i="24" s="1"/>
  <c r="F110" i="24" s="1"/>
  <c r="AA110" i="23"/>
  <c r="Z110" i="23" s="1"/>
  <c r="Y110" i="23" s="1"/>
  <c r="G110" i="23"/>
  <c r="CD110" i="6" s="1"/>
  <c r="W201" i="24"/>
  <c r="D201" i="24"/>
  <c r="E201" i="24" s="1"/>
  <c r="F201" i="24" s="1"/>
  <c r="G201" i="23"/>
  <c r="CD201" i="6" s="1"/>
  <c r="AA201" i="23"/>
  <c r="Z201" i="23" s="1"/>
  <c r="Y201" i="23" s="1"/>
  <c r="W293" i="25"/>
  <c r="D293" i="25"/>
  <c r="E293" i="25" s="1"/>
  <c r="F293" i="25" s="1"/>
  <c r="D148" i="24"/>
  <c r="E148" i="24" s="1"/>
  <c r="F148" i="24" s="1"/>
  <c r="W148" i="24"/>
  <c r="G372" i="23"/>
  <c r="CD372" i="6" s="1"/>
  <c r="AA372" i="23"/>
  <c r="Z372" i="23" s="1"/>
  <c r="Y372" i="23" s="1"/>
  <c r="W65" i="24"/>
  <c r="D65" i="24"/>
  <c r="E65" i="24" s="1"/>
  <c r="F65" i="24" s="1"/>
  <c r="G65" i="23"/>
  <c r="CD65" i="6" s="1"/>
  <c r="AA65" i="23"/>
  <c r="Z65" i="23" s="1"/>
  <c r="Y65" i="23" s="1"/>
  <c r="G143" i="23"/>
  <c r="CD143" i="6" s="1"/>
  <c r="AA143" i="23"/>
  <c r="Z143" i="23" s="1"/>
  <c r="Y143" i="23" s="1"/>
  <c r="W122" i="25"/>
  <c r="D122" i="25"/>
  <c r="E122" i="25" s="1"/>
  <c r="F122" i="25" s="1"/>
  <c r="G322" i="23"/>
  <c r="CD322" i="6" s="1"/>
  <c r="AA322" i="23"/>
  <c r="Z322" i="23" s="1"/>
  <c r="Y322" i="23" s="1"/>
  <c r="D217" i="25"/>
  <c r="E217" i="25" s="1"/>
  <c r="F217" i="25" s="1"/>
  <c r="W217" i="25"/>
  <c r="G217" i="24"/>
  <c r="CE217" i="6" s="1"/>
  <c r="AA217" i="24"/>
  <c r="Z217" i="24" s="1"/>
  <c r="Y217" i="24" s="1"/>
  <c r="W190" i="25"/>
  <c r="D190" i="25"/>
  <c r="E190" i="25" s="1"/>
  <c r="F190" i="25" s="1"/>
  <c r="G190" i="24"/>
  <c r="CE190" i="6" s="1"/>
  <c r="AA190" i="24"/>
  <c r="Z190" i="24" s="1"/>
  <c r="Y190" i="24" s="1"/>
  <c r="G240" i="23"/>
  <c r="CD240" i="6" s="1"/>
  <c r="AA240" i="23"/>
  <c r="Z240" i="23" s="1"/>
  <c r="Y240" i="23" s="1"/>
  <c r="D289" i="24"/>
  <c r="E289" i="24" s="1"/>
  <c r="F289" i="24" s="1"/>
  <c r="W289" i="24"/>
  <c r="J81" i="20"/>
  <c r="I81" i="20"/>
  <c r="H81" i="22" s="1"/>
  <c r="I149" i="20"/>
  <c r="H149" i="22" s="1"/>
  <c r="I276" i="20"/>
  <c r="H276" i="22" s="1"/>
  <c r="J320" i="20"/>
  <c r="J195" i="20"/>
  <c r="I195" i="20"/>
  <c r="H195" i="22" s="1"/>
  <c r="J146" i="20"/>
  <c r="J91" i="20"/>
  <c r="J242" i="20"/>
  <c r="J94" i="20"/>
  <c r="I224" i="20"/>
  <c r="H224" i="22" s="1"/>
  <c r="D150" i="24"/>
  <c r="E150" i="24" s="1"/>
  <c r="F150" i="24" s="1"/>
  <c r="W150" i="24"/>
  <c r="AA177" i="24"/>
  <c r="Z177" i="24" s="1"/>
  <c r="Y177" i="24" s="1"/>
  <c r="G177" i="24"/>
  <c r="CE177" i="6" s="1"/>
  <c r="AA263" i="23"/>
  <c r="Z263" i="23" s="1"/>
  <c r="Y263" i="23" s="1"/>
  <c r="G263" i="23"/>
  <c r="CD263" i="6" s="1"/>
  <c r="W365" i="24"/>
  <c r="D365" i="24"/>
  <c r="E365" i="24" s="1"/>
  <c r="F365" i="24" s="1"/>
  <c r="G171" i="23"/>
  <c r="CD171" i="6" s="1"/>
  <c r="AA171" i="23"/>
  <c r="Z171" i="23" s="1"/>
  <c r="Y171" i="23" s="1"/>
  <c r="AA21" i="23"/>
  <c r="Z21" i="23" s="1"/>
  <c r="Y21" i="23" s="1"/>
  <c r="G21" i="23"/>
  <c r="CD21" i="6" s="1"/>
  <c r="W79" i="25"/>
  <c r="D79" i="25"/>
  <c r="E79" i="25" s="1"/>
  <c r="F79" i="25" s="1"/>
  <c r="G131" i="24"/>
  <c r="CE131" i="6" s="1"/>
  <c r="AA131" i="24"/>
  <c r="Z131" i="24" s="1"/>
  <c r="Y131" i="24" s="1"/>
  <c r="G275" i="23"/>
  <c r="CD275" i="6" s="1"/>
  <c r="AA275" i="23"/>
  <c r="Z275" i="23" s="1"/>
  <c r="Y275" i="23" s="1"/>
  <c r="W303" i="24"/>
  <c r="D303" i="24"/>
  <c r="E303" i="24" s="1"/>
  <c r="F303" i="24" s="1"/>
  <c r="W86" i="24"/>
  <c r="D86" i="24"/>
  <c r="E86" i="24" s="1"/>
  <c r="F86" i="24" s="1"/>
  <c r="G188" i="23"/>
  <c r="CD188" i="6" s="1"/>
  <c r="AA188" i="23"/>
  <c r="Z188" i="23" s="1"/>
  <c r="Y188" i="23" s="1"/>
  <c r="W218" i="24"/>
  <c r="D218" i="24"/>
  <c r="E218" i="24" s="1"/>
  <c r="F218" i="24" s="1"/>
  <c r="G169" i="23"/>
  <c r="CD169" i="6" s="1"/>
  <c r="AA169" i="23"/>
  <c r="Z169" i="23" s="1"/>
  <c r="Y169" i="23" s="1"/>
  <c r="G245" i="23"/>
  <c r="CD245" i="6" s="1"/>
  <c r="AA245" i="23"/>
  <c r="Z245" i="23" s="1"/>
  <c r="Y245" i="23" s="1"/>
  <c r="D313" i="25"/>
  <c r="E313" i="25" s="1"/>
  <c r="F313" i="25" s="1"/>
  <c r="W313" i="25"/>
  <c r="W288" i="24"/>
  <c r="D288" i="24"/>
  <c r="E288" i="24" s="1"/>
  <c r="F288" i="24" s="1"/>
  <c r="W202" i="25"/>
  <c r="D202" i="25"/>
  <c r="E202" i="25" s="1"/>
  <c r="F202" i="25" s="1"/>
  <c r="W370" i="25"/>
  <c r="D370" i="25"/>
  <c r="E370" i="25" s="1"/>
  <c r="F370" i="25" s="1"/>
  <c r="W25" i="24"/>
  <c r="D25" i="24"/>
  <c r="E25" i="24" s="1"/>
  <c r="F25" i="24" s="1"/>
  <c r="G199" i="24"/>
  <c r="CE199" i="6" s="1"/>
  <c r="AA199" i="24"/>
  <c r="Z199" i="24" s="1"/>
  <c r="Y199" i="24" s="1"/>
  <c r="G355" i="23"/>
  <c r="CD355" i="6" s="1"/>
  <c r="AA355" i="23"/>
  <c r="Z355" i="23" s="1"/>
  <c r="Y355" i="23" s="1"/>
  <c r="W102" i="24"/>
  <c r="D102" i="24"/>
  <c r="E102" i="24" s="1"/>
  <c r="F102" i="24" s="1"/>
  <c r="W137" i="24"/>
  <c r="D137" i="24"/>
  <c r="E137" i="24" s="1"/>
  <c r="F137" i="24" s="1"/>
  <c r="G378" i="23"/>
  <c r="CD378" i="6" s="1"/>
  <c r="AA378" i="23"/>
  <c r="Z378" i="23" s="1"/>
  <c r="Y378" i="23" s="1"/>
  <c r="I119" i="22"/>
  <c r="H119" i="23" s="1"/>
  <c r="W22" i="24"/>
  <c r="D22" i="24"/>
  <c r="E22" i="24" s="1"/>
  <c r="F22" i="24" s="1"/>
  <c r="D272" i="24"/>
  <c r="E272" i="24" s="1"/>
  <c r="F272" i="24" s="1"/>
  <c r="W272" i="24"/>
  <c r="D241" i="25"/>
  <c r="E241" i="25" s="1"/>
  <c r="F241" i="25" s="1"/>
  <c r="W241" i="25"/>
  <c r="G88" i="23"/>
  <c r="CD88" i="6" s="1"/>
  <c r="AA88" i="23"/>
  <c r="Z88" i="23" s="1"/>
  <c r="Y88" i="23" s="1"/>
  <c r="D260" i="25"/>
  <c r="E260" i="25" s="1"/>
  <c r="F260" i="25" s="1"/>
  <c r="W260" i="25"/>
  <c r="AA320" i="24"/>
  <c r="Z320" i="24" s="1"/>
  <c r="Y320" i="24" s="1"/>
  <c r="G320" i="24"/>
  <c r="CE320" i="6" s="1"/>
  <c r="AA80" i="24"/>
  <c r="Z80" i="24" s="1"/>
  <c r="Y80" i="24" s="1"/>
  <c r="G80" i="24"/>
  <c r="CE80" i="6" s="1"/>
  <c r="AA301" i="24"/>
  <c r="Z301" i="24" s="1"/>
  <c r="Y301" i="24" s="1"/>
  <c r="G301" i="24"/>
  <c r="CE301" i="6" s="1"/>
  <c r="I20" i="20"/>
  <c r="H20" i="22" s="1"/>
  <c r="J20" i="20"/>
  <c r="AA234" i="23"/>
  <c r="Z234" i="23" s="1"/>
  <c r="Y234" i="23" s="1"/>
  <c r="G234" i="23"/>
  <c r="CD234" i="6" s="1"/>
  <c r="S4" i="6"/>
  <c r="I115" i="22"/>
  <c r="H115" i="23" s="1"/>
  <c r="G133" i="23"/>
  <c r="CD133" i="6" s="1"/>
  <c r="AA133" i="23"/>
  <c r="Z133" i="23" s="1"/>
  <c r="Y133" i="23" s="1"/>
  <c r="W24" i="24"/>
  <c r="D24" i="24"/>
  <c r="E24" i="24" s="1"/>
  <c r="F24" i="24" s="1"/>
  <c r="W206" i="24"/>
  <c r="D206" i="24"/>
  <c r="E206" i="24" s="1"/>
  <c r="F206" i="24" s="1"/>
  <c r="AA356" i="23"/>
  <c r="Z356" i="23" s="1"/>
  <c r="Y356" i="23" s="1"/>
  <c r="G356" i="23"/>
  <c r="CD356" i="6" s="1"/>
  <c r="G299" i="24"/>
  <c r="CE299" i="6" s="1"/>
  <c r="AA299" i="24"/>
  <c r="Z299" i="24" s="1"/>
  <c r="Y299" i="24" s="1"/>
  <c r="W236" i="24"/>
  <c r="D236" i="24"/>
  <c r="E236" i="24" s="1"/>
  <c r="F236" i="24" s="1"/>
  <c r="D337" i="6"/>
  <c r="D43" i="6"/>
  <c r="D155" i="6"/>
  <c r="G226" i="23"/>
  <c r="CD226" i="6" s="1"/>
  <c r="AA226" i="23"/>
  <c r="Z226" i="23" s="1"/>
  <c r="Y226" i="23" s="1"/>
  <c r="W227" i="25"/>
  <c r="D227" i="25"/>
  <c r="E227" i="25" s="1"/>
  <c r="F227" i="25" s="1"/>
  <c r="G99" i="23"/>
  <c r="CD99" i="6" s="1"/>
  <c r="AA99" i="23"/>
  <c r="Z99" i="23" s="1"/>
  <c r="Y99" i="23" s="1"/>
  <c r="W106" i="25"/>
  <c r="D106" i="25"/>
  <c r="E106" i="25" s="1"/>
  <c r="F106" i="25" s="1"/>
  <c r="G106" i="24"/>
  <c r="CE106" i="6" s="1"/>
  <c r="AA106" i="24"/>
  <c r="Z106" i="24" s="1"/>
  <c r="Y106" i="24" s="1"/>
  <c r="W69" i="25"/>
  <c r="D69" i="25"/>
  <c r="E69" i="25" s="1"/>
  <c r="F69" i="25" s="1"/>
  <c r="G69" i="24"/>
  <c r="CE69" i="6" s="1"/>
  <c r="AA69" i="24"/>
  <c r="Z69" i="24" s="1"/>
  <c r="Y69" i="24" s="1"/>
  <c r="W278" i="25"/>
  <c r="D278" i="25"/>
  <c r="E278" i="25" s="1"/>
  <c r="F278" i="25" s="1"/>
  <c r="G278" i="24"/>
  <c r="CE278" i="6" s="1"/>
  <c r="AA278" i="24"/>
  <c r="Z278" i="24" s="1"/>
  <c r="Y278" i="24" s="1"/>
  <c r="G361" i="23"/>
  <c r="CD361" i="6" s="1"/>
  <c r="AA361" i="23"/>
  <c r="Z361" i="23" s="1"/>
  <c r="Y361" i="23" s="1"/>
  <c r="W268" i="24"/>
  <c r="D268" i="24"/>
  <c r="E268" i="24" s="1"/>
  <c r="F268" i="24" s="1"/>
  <c r="D258" i="25"/>
  <c r="E258" i="25" s="1"/>
  <c r="F258" i="25" s="1"/>
  <c r="W258" i="25"/>
  <c r="AA258" i="24"/>
  <c r="Z258" i="24" s="1"/>
  <c r="Y258" i="24" s="1"/>
  <c r="G258" i="24"/>
  <c r="CE258" i="6" s="1"/>
  <c r="W181" i="24"/>
  <c r="D181" i="24"/>
  <c r="E181" i="24" s="1"/>
  <c r="F181" i="24" s="1"/>
  <c r="G215" i="23"/>
  <c r="CD215" i="6" s="1"/>
  <c r="AA215" i="23"/>
  <c r="Z215" i="23" s="1"/>
  <c r="Y215" i="23" s="1"/>
  <c r="D285" i="25"/>
  <c r="E285" i="25" s="1"/>
  <c r="F285" i="25" s="1"/>
  <c r="W285" i="25"/>
  <c r="AA94" i="24"/>
  <c r="Z94" i="24" s="1"/>
  <c r="Y94" i="24" s="1"/>
  <c r="G94" i="24"/>
  <c r="CE94" i="6" s="1"/>
  <c r="D146" i="25"/>
  <c r="E146" i="25" s="1"/>
  <c r="F146" i="25" s="1"/>
  <c r="W146" i="25"/>
  <c r="G39" i="24"/>
  <c r="CE39" i="6" s="1"/>
  <c r="AA39" i="24"/>
  <c r="Z39" i="24" s="1"/>
  <c r="Y39" i="24" s="1"/>
  <c r="W107" i="25"/>
  <c r="D107" i="25"/>
  <c r="E107" i="25" s="1"/>
  <c r="F107" i="25" s="1"/>
  <c r="D124" i="24"/>
  <c r="E124" i="24" s="1"/>
  <c r="F124" i="24" s="1"/>
  <c r="W124" i="24"/>
  <c r="J51" i="20"/>
  <c r="I51" i="20"/>
  <c r="H51" i="22" s="1"/>
  <c r="W279" i="24"/>
  <c r="D279" i="24"/>
  <c r="E279" i="24" s="1"/>
  <c r="F279" i="24" s="1"/>
  <c r="AA351" i="24"/>
  <c r="Z351" i="24" s="1"/>
  <c r="Y351" i="24" s="1"/>
  <c r="G351" i="24"/>
  <c r="CE351" i="6" s="1"/>
  <c r="I36" i="20"/>
  <c r="H36" i="22" s="1"/>
  <c r="G82" i="24"/>
  <c r="CE82" i="6" s="1"/>
  <c r="AA82" i="24"/>
  <c r="Z82" i="24" s="1"/>
  <c r="Y82" i="24" s="1"/>
  <c r="W198" i="24"/>
  <c r="D198" i="24"/>
  <c r="E198" i="24" s="1"/>
  <c r="F198" i="24" s="1"/>
  <c r="G214" i="23"/>
  <c r="CD214" i="6" s="1"/>
  <c r="AA214" i="23"/>
  <c r="Z214" i="23" s="1"/>
  <c r="Y214" i="23" s="1"/>
  <c r="D222" i="25"/>
  <c r="E222" i="25" s="1"/>
  <c r="F222" i="25" s="1"/>
  <c r="W222" i="25"/>
  <c r="G222" i="24"/>
  <c r="CE222" i="6" s="1"/>
  <c r="AA222" i="24"/>
  <c r="Z222" i="24" s="1"/>
  <c r="Y222" i="24" s="1"/>
  <c r="D305" i="25"/>
  <c r="E305" i="25" s="1"/>
  <c r="F305" i="25" s="1"/>
  <c r="W305" i="25"/>
  <c r="G125" i="23"/>
  <c r="CD125" i="6" s="1"/>
  <c r="AA125" i="23"/>
  <c r="Z125" i="23" s="1"/>
  <c r="Y125" i="23" s="1"/>
  <c r="I295" i="22"/>
  <c r="H295" i="23" s="1"/>
  <c r="G363" i="24"/>
  <c r="CE363" i="6" s="1"/>
  <c r="AA363" i="24"/>
  <c r="Z363" i="24" s="1"/>
  <c r="Y363" i="24" s="1"/>
  <c r="D208" i="25"/>
  <c r="E208" i="25" s="1"/>
  <c r="F208" i="25" s="1"/>
  <c r="W208" i="25"/>
  <c r="G346" i="23"/>
  <c r="CD346" i="6" s="1"/>
  <c r="AA346" i="23"/>
  <c r="Z346" i="23" s="1"/>
  <c r="Y346" i="23" s="1"/>
  <c r="D37" i="24"/>
  <c r="E37" i="24" s="1"/>
  <c r="F37" i="24" s="1"/>
  <c r="W37" i="24"/>
  <c r="G97" i="24"/>
  <c r="CE97" i="6" s="1"/>
  <c r="AA97" i="24"/>
  <c r="Z97" i="24" s="1"/>
  <c r="Y97" i="24" s="1"/>
  <c r="W31" i="24"/>
  <c r="D31" i="24"/>
  <c r="E31" i="24" s="1"/>
  <c r="F31" i="24" s="1"/>
  <c r="W96" i="24"/>
  <c r="D96" i="24"/>
  <c r="E96" i="24" s="1"/>
  <c r="F96" i="24" s="1"/>
  <c r="W307" i="24"/>
  <c r="D307" i="24"/>
  <c r="E307" i="24" s="1"/>
  <c r="F307" i="24" s="1"/>
  <c r="W160" i="24"/>
  <c r="D160" i="24"/>
  <c r="E160" i="24" s="1"/>
  <c r="F160" i="24" s="1"/>
  <c r="D350" i="24"/>
  <c r="E350" i="24" s="1"/>
  <c r="F350" i="24" s="1"/>
  <c r="W350" i="24"/>
  <c r="G40" i="24"/>
  <c r="CE40" i="6" s="1"/>
  <c r="AA40" i="24"/>
  <c r="Z40" i="24" s="1"/>
  <c r="Y40" i="24" s="1"/>
  <c r="J240" i="20"/>
  <c r="I240" i="20"/>
  <c r="H240" i="22" s="1"/>
  <c r="G312" i="24"/>
  <c r="CE312" i="6" s="1"/>
  <c r="AA312" i="24"/>
  <c r="Z312" i="24" s="1"/>
  <c r="Y312" i="24" s="1"/>
  <c r="D366" i="25"/>
  <c r="E366" i="25" s="1"/>
  <c r="F366" i="25" s="1"/>
  <c r="W366" i="25"/>
  <c r="AA366" i="24"/>
  <c r="Z366" i="24" s="1"/>
  <c r="Y366" i="24" s="1"/>
  <c r="G366" i="24"/>
  <c r="CE366" i="6" s="1"/>
  <c r="G207" i="24"/>
  <c r="CE207" i="6" s="1"/>
  <c r="AA207" i="24"/>
  <c r="Z207" i="24" s="1"/>
  <c r="Y207" i="24" s="1"/>
  <c r="W321" i="24"/>
  <c r="D321" i="24"/>
  <c r="E321" i="24" s="1"/>
  <c r="F321" i="24" s="1"/>
  <c r="G321" i="23"/>
  <c r="CD321" i="6" s="1"/>
  <c r="AA321" i="23"/>
  <c r="Z321" i="23" s="1"/>
  <c r="Y321" i="23" s="1"/>
  <c r="G332" i="23"/>
  <c r="CD332" i="6" s="1"/>
  <c r="AA332" i="23"/>
  <c r="Z332" i="23" s="1"/>
  <c r="Y332" i="23" s="1"/>
  <c r="W81" i="24"/>
  <c r="D81" i="24"/>
  <c r="E81" i="24" s="1"/>
  <c r="F81" i="24" s="1"/>
  <c r="D197" i="6"/>
  <c r="G135" i="23"/>
  <c r="CD135" i="6" s="1"/>
  <c r="AA135" i="23"/>
  <c r="Z135" i="23" s="1"/>
  <c r="Y135" i="23" s="1"/>
  <c r="G161" i="23"/>
  <c r="CD161" i="6" s="1"/>
  <c r="AA161" i="23"/>
  <c r="Z161" i="23" s="1"/>
  <c r="Y161" i="23" s="1"/>
  <c r="G159" i="23"/>
  <c r="CD159" i="6" s="1"/>
  <c r="AA159" i="23"/>
  <c r="Z159" i="23" s="1"/>
  <c r="Y159" i="23" s="1"/>
  <c r="D247" i="25"/>
  <c r="E247" i="25" s="1"/>
  <c r="F247" i="25" s="1"/>
  <c r="W247" i="25"/>
  <c r="G281" i="24"/>
  <c r="CE281" i="6" s="1"/>
  <c r="AA281" i="24"/>
  <c r="Z281" i="24" s="1"/>
  <c r="Y281" i="24" s="1"/>
  <c r="W349" i="24"/>
  <c r="D349" i="24"/>
  <c r="E349" i="24" s="1"/>
  <c r="F349" i="24" s="1"/>
  <c r="G349" i="23"/>
  <c r="CD349" i="6" s="1"/>
  <c r="AA349" i="23"/>
  <c r="Z349" i="23" s="1"/>
  <c r="Y349" i="23" s="1"/>
  <c r="AA17" i="24"/>
  <c r="Z17" i="24" s="1"/>
  <c r="Y17" i="24" s="1"/>
  <c r="G17" i="24"/>
  <c r="CE17" i="6" s="1"/>
  <c r="D111" i="25"/>
  <c r="E111" i="25" s="1"/>
  <c r="F111" i="25" s="1"/>
  <c r="W111" i="25"/>
  <c r="G367" i="24"/>
  <c r="CE367" i="6" s="1"/>
  <c r="AA367" i="24"/>
  <c r="Z367" i="24" s="1"/>
  <c r="Y367" i="24" s="1"/>
  <c r="D302" i="25"/>
  <c r="E302" i="25" s="1"/>
  <c r="F302" i="25" s="1"/>
  <c r="W302" i="25"/>
  <c r="AA302" i="24"/>
  <c r="Z302" i="24" s="1"/>
  <c r="Y302" i="24" s="1"/>
  <c r="G302" i="24"/>
  <c r="CE302" i="6" s="1"/>
  <c r="W175" i="25"/>
  <c r="D175" i="25"/>
  <c r="E175" i="25" s="1"/>
  <c r="F175" i="25" s="1"/>
  <c r="G175" i="24"/>
  <c r="CE175" i="6" s="1"/>
  <c r="AA175" i="24"/>
  <c r="Z175" i="24" s="1"/>
  <c r="Y175" i="24" s="1"/>
  <c r="G127" i="23"/>
  <c r="CD127" i="6" s="1"/>
  <c r="AA127" i="23"/>
  <c r="Z127" i="23" s="1"/>
  <c r="Y127" i="23" s="1"/>
  <c r="G173" i="23"/>
  <c r="CD173" i="6" s="1"/>
  <c r="AA173" i="23"/>
  <c r="Z173" i="23" s="1"/>
  <c r="Y173" i="23" s="1"/>
  <c r="D219" i="24"/>
  <c r="E219" i="24" s="1"/>
  <c r="F219" i="24" s="1"/>
  <c r="W219" i="24"/>
  <c r="AA92" i="24"/>
  <c r="Z92" i="24" s="1"/>
  <c r="Y92" i="24" s="1"/>
  <c r="G92" i="24"/>
  <c r="CE92" i="6" s="1"/>
  <c r="W118" i="25"/>
  <c r="D118" i="25"/>
  <c r="E118" i="25" s="1"/>
  <c r="F118" i="25" s="1"/>
  <c r="G118" i="24"/>
  <c r="CE118" i="6" s="1"/>
  <c r="AA118" i="24"/>
  <c r="Z118" i="24" s="1"/>
  <c r="Y118" i="24" s="1"/>
  <c r="W282" i="24"/>
  <c r="D282" i="24"/>
  <c r="E282" i="24" s="1"/>
  <c r="F282" i="24" s="1"/>
  <c r="G120" i="24"/>
  <c r="CE120" i="6" s="1"/>
  <c r="AA120" i="24"/>
  <c r="Z120" i="24" s="1"/>
  <c r="Y120" i="24" s="1"/>
  <c r="D296" i="24"/>
  <c r="E296" i="24" s="1"/>
  <c r="F296" i="24" s="1"/>
  <c r="W296" i="24"/>
  <c r="G296" i="23"/>
  <c r="CD296" i="6" s="1"/>
  <c r="AA296" i="23"/>
  <c r="Z296" i="23" s="1"/>
  <c r="Y296" i="23" s="1"/>
  <c r="AA375" i="24"/>
  <c r="Z375" i="24" s="1"/>
  <c r="Y375" i="24" s="1"/>
  <c r="G375" i="24"/>
  <c r="CE375" i="6" s="1"/>
  <c r="G292" i="23"/>
  <c r="CD292" i="6" s="1"/>
  <c r="AA292" i="23"/>
  <c r="Z292" i="23" s="1"/>
  <c r="Y292" i="23" s="1"/>
  <c r="G225" i="23"/>
  <c r="CD225" i="6" s="1"/>
  <c r="AA225" i="23"/>
  <c r="Z225" i="23" s="1"/>
  <c r="Y225" i="23" s="1"/>
  <c r="G290" i="23"/>
  <c r="CD290" i="6" s="1"/>
  <c r="AA290" i="23"/>
  <c r="Z290" i="23" s="1"/>
  <c r="Y290" i="23" s="1"/>
  <c r="AA362" i="23"/>
  <c r="Z362" i="23" s="1"/>
  <c r="Y362" i="23" s="1"/>
  <c r="G362" i="23"/>
  <c r="CD362" i="6" s="1"/>
  <c r="D374" i="24"/>
  <c r="E374" i="24" s="1"/>
  <c r="F374" i="24" s="1"/>
  <c r="W374" i="24"/>
  <c r="W105" i="25"/>
  <c r="D105" i="25"/>
  <c r="E105" i="25" s="1"/>
  <c r="F105" i="25" s="1"/>
  <c r="W166" i="25"/>
  <c r="D166" i="25"/>
  <c r="E166" i="25" s="1"/>
  <c r="F166" i="25" s="1"/>
  <c r="G166" i="24"/>
  <c r="CE166" i="6" s="1"/>
  <c r="AA166" i="24"/>
  <c r="Z166" i="24" s="1"/>
  <c r="Y166" i="24" s="1"/>
  <c r="D249" i="24"/>
  <c r="E249" i="24" s="1"/>
  <c r="F249" i="24" s="1"/>
  <c r="W249" i="24"/>
  <c r="G249" i="23"/>
  <c r="CD249" i="6" s="1"/>
  <c r="AA249" i="23"/>
  <c r="Z249" i="23" s="1"/>
  <c r="Y249" i="23" s="1"/>
  <c r="W254" i="24"/>
  <c r="D254" i="24"/>
  <c r="E254" i="24" s="1"/>
  <c r="F254" i="24" s="1"/>
  <c r="AA147" i="24"/>
  <c r="Z147" i="24" s="1"/>
  <c r="Y147" i="24" s="1"/>
  <c r="G147" i="24"/>
  <c r="CE147" i="6" s="1"/>
  <c r="W209" i="25"/>
  <c r="D209" i="25"/>
  <c r="E209" i="25" s="1"/>
  <c r="F209" i="25" s="1"/>
  <c r="W142" i="25"/>
  <c r="D142" i="25"/>
  <c r="E142" i="25" s="1"/>
  <c r="F142" i="25" s="1"/>
  <c r="D267" i="24"/>
  <c r="E267" i="24" s="1"/>
  <c r="F267" i="24" s="1"/>
  <c r="W267" i="24"/>
  <c r="G20" i="23"/>
  <c r="CD20" i="6" s="1"/>
  <c r="AA20" i="23"/>
  <c r="Z20" i="23" s="1"/>
  <c r="Y20" i="23" s="1"/>
  <c r="W68" i="25"/>
  <c r="D68" i="25"/>
  <c r="E68" i="25" s="1"/>
  <c r="F68" i="25" s="1"/>
  <c r="AA68" i="24"/>
  <c r="Z68" i="24" s="1"/>
  <c r="Y68" i="24" s="1"/>
  <c r="G68" i="24"/>
  <c r="CE68" i="6" s="1"/>
  <c r="D229" i="25"/>
  <c r="E229" i="25" s="1"/>
  <c r="F229" i="25" s="1"/>
  <c r="W229" i="25"/>
  <c r="G32" i="24"/>
  <c r="CE32" i="6" s="1"/>
  <c r="AA32" i="24"/>
  <c r="Z32" i="24" s="1"/>
  <c r="Y32" i="24" s="1"/>
  <c r="J39" i="20"/>
  <c r="I39" i="20"/>
  <c r="H39" i="22" s="1"/>
  <c r="I366" i="20"/>
  <c r="H366" i="22" s="1"/>
  <c r="J366" i="20"/>
  <c r="I170" i="20"/>
  <c r="H170" i="22" s="1"/>
  <c r="J170" i="20"/>
  <c r="J26" i="20"/>
  <c r="I26" i="20"/>
  <c r="H26" i="22" s="1"/>
  <c r="J323" i="20"/>
  <c r="I323" i="20"/>
  <c r="H323" i="22" s="1"/>
  <c r="I180" i="20"/>
  <c r="H180" i="22" s="1"/>
  <c r="J180" i="20"/>
  <c r="J28" i="20"/>
  <c r="I28" i="20"/>
  <c r="H28" i="22" s="1"/>
  <c r="J179" i="20"/>
  <c r="I179" i="20"/>
  <c r="H179" i="22" s="1"/>
  <c r="J152" i="20"/>
  <c r="I152" i="20"/>
  <c r="H152" i="22" s="1"/>
  <c r="J228" i="20"/>
  <c r="I228" i="20"/>
  <c r="H228" i="22" s="1"/>
  <c r="J221" i="20"/>
  <c r="I221" i="20"/>
  <c r="H221" i="22" s="1"/>
  <c r="I175" i="20"/>
  <c r="H175" i="22" s="1"/>
  <c r="I134" i="20"/>
  <c r="H134" i="22" s="1"/>
  <c r="I208" i="20"/>
  <c r="H208" i="22" s="1"/>
  <c r="J208" i="20"/>
  <c r="I183" i="20"/>
  <c r="H183" i="22" s="1"/>
  <c r="J335" i="20"/>
  <c r="I335" i="20"/>
  <c r="H335" i="22" s="1"/>
  <c r="J131" i="20"/>
  <c r="I129" i="20"/>
  <c r="H129" i="22" s="1"/>
  <c r="J129" i="20"/>
  <c r="J38" i="20"/>
  <c r="J294" i="20"/>
  <c r="I247" i="20"/>
  <c r="H247" i="22" s="1"/>
  <c r="J247" i="20"/>
  <c r="I281" i="20"/>
  <c r="H281" i="22" s="1"/>
  <c r="J281" i="20"/>
  <c r="J120" i="20"/>
  <c r="J132" i="20"/>
  <c r="I132" i="20"/>
  <c r="H132" i="22" s="1"/>
  <c r="D354" i="25"/>
  <c r="E354" i="25" s="1"/>
  <c r="F354" i="25" s="1"/>
  <c r="W354" i="25"/>
  <c r="W114" i="24"/>
  <c r="D114" i="24"/>
  <c r="E114" i="24" s="1"/>
  <c r="F114" i="24" s="1"/>
  <c r="G116" i="24"/>
  <c r="CE116" i="6" s="1"/>
  <c r="AA116" i="24"/>
  <c r="Z116" i="24" s="1"/>
  <c r="Y116" i="24" s="1"/>
  <c r="G84" i="23"/>
  <c r="CD84" i="6" s="1"/>
  <c r="AA84" i="23"/>
  <c r="Z84" i="23" s="1"/>
  <c r="Y84" i="23" s="1"/>
  <c r="W274" i="24"/>
  <c r="D274" i="24"/>
  <c r="E274" i="24" s="1"/>
  <c r="F274" i="24" s="1"/>
  <c r="G274" i="23"/>
  <c r="CD274" i="6" s="1"/>
  <c r="AA274" i="23"/>
  <c r="Z274" i="23" s="1"/>
  <c r="Y274" i="23" s="1"/>
  <c r="W33" i="25"/>
  <c r="D33" i="25"/>
  <c r="E33" i="25" s="1"/>
  <c r="F33" i="25" s="1"/>
  <c r="W187" i="24"/>
  <c r="D187" i="24"/>
  <c r="E187" i="24" s="1"/>
  <c r="F187" i="24" s="1"/>
  <c r="G75" i="23"/>
  <c r="CD75" i="6" s="1"/>
  <c r="AA75" i="23"/>
  <c r="Z75" i="23" s="1"/>
  <c r="Y75" i="23" s="1"/>
  <c r="D66" i="25"/>
  <c r="E66" i="25" s="1"/>
  <c r="F66" i="25" s="1"/>
  <c r="W66" i="25"/>
  <c r="D347" i="24"/>
  <c r="E347" i="24" s="1"/>
  <c r="F347" i="24" s="1"/>
  <c r="W347" i="24"/>
  <c r="G347" i="23"/>
  <c r="CD347" i="6" s="1"/>
  <c r="AA347" i="23"/>
  <c r="Z347" i="23" s="1"/>
  <c r="Y347" i="23" s="1"/>
  <c r="J287" i="20"/>
  <c r="I287" i="20"/>
  <c r="H287" i="22" s="1"/>
  <c r="W104" i="24"/>
  <c r="D104" i="24"/>
  <c r="E104" i="24" s="1"/>
  <c r="F104" i="24" s="1"/>
  <c r="AA246" i="23"/>
  <c r="Z246" i="23" s="1"/>
  <c r="Y246" i="23" s="1"/>
  <c r="G246" i="23"/>
  <c r="CD246" i="6" s="1"/>
  <c r="J215" i="20"/>
  <c r="I215" i="20"/>
  <c r="H215" i="22" s="1"/>
  <c r="W334" i="24"/>
  <c r="D334" i="24"/>
  <c r="E334" i="24" s="1"/>
  <c r="F334" i="24" s="1"/>
  <c r="G334" i="23"/>
  <c r="CD334" i="6" s="1"/>
  <c r="AA334" i="23"/>
  <c r="Z334" i="23" s="1"/>
  <c r="Y334" i="23" s="1"/>
  <c r="D139" i="24"/>
  <c r="E139" i="24" s="1"/>
  <c r="F139" i="24" s="1"/>
  <c r="W139" i="24"/>
  <c r="AA139" i="23"/>
  <c r="Z139" i="23" s="1"/>
  <c r="Y139" i="23" s="1"/>
  <c r="G139" i="23"/>
  <c r="CD139" i="6" s="1"/>
  <c r="D304" i="25"/>
  <c r="E304" i="25" s="1"/>
  <c r="F304" i="25" s="1"/>
  <c r="W304" i="25"/>
  <c r="G304" i="24"/>
  <c r="CE304" i="6" s="1"/>
  <c r="AA304" i="24"/>
  <c r="Z304" i="24" s="1"/>
  <c r="Y304" i="24" s="1"/>
  <c r="G51" i="23"/>
  <c r="CD51" i="6" s="1"/>
  <c r="AA51" i="23"/>
  <c r="Z51" i="23" s="1"/>
  <c r="Y51" i="23" s="1"/>
  <c r="J279" i="20"/>
  <c r="I279" i="20"/>
  <c r="H279" i="22" s="1"/>
  <c r="G297" i="24"/>
  <c r="CE297" i="6" s="1"/>
  <c r="AA297" i="24"/>
  <c r="Z297" i="24" s="1"/>
  <c r="Y297" i="24" s="1"/>
  <c r="W36" i="24"/>
  <c r="D36" i="24"/>
  <c r="E36" i="24" s="1"/>
  <c r="F36" i="24" s="1"/>
  <c r="W162" i="24"/>
  <c r="D162" i="24"/>
  <c r="E162" i="24" s="1"/>
  <c r="F162" i="24" s="1"/>
  <c r="G212" i="24"/>
  <c r="CE212" i="6" s="1"/>
  <c r="AA212" i="24"/>
  <c r="Z212" i="24" s="1"/>
  <c r="Y212" i="24" s="1"/>
  <c r="W251" i="25"/>
  <c r="D251" i="25"/>
  <c r="E251" i="25" s="1"/>
  <c r="F251" i="25" s="1"/>
  <c r="G132" i="24"/>
  <c r="CE132" i="6" s="1"/>
  <c r="AA132" i="24"/>
  <c r="Z132" i="24" s="1"/>
  <c r="Y132" i="24" s="1"/>
  <c r="G154" i="24"/>
  <c r="CE154" i="6" s="1"/>
  <c r="AA154" i="24"/>
  <c r="Z154" i="24" s="1"/>
  <c r="Y154" i="24" s="1"/>
  <c r="J244" i="20"/>
  <c r="G145" i="23"/>
  <c r="CD145" i="6" s="1"/>
  <c r="AA145" i="23"/>
  <c r="Z145" i="23" s="1"/>
  <c r="Y145" i="23" s="1"/>
  <c r="AA259" i="24"/>
  <c r="Z259" i="24" s="1"/>
  <c r="Y259" i="24" s="1"/>
  <c r="G259" i="24"/>
  <c r="CE259" i="6" s="1"/>
  <c r="I96" i="20"/>
  <c r="H96" i="22" s="1"/>
  <c r="J96" i="20"/>
  <c r="W223" i="24"/>
  <c r="D223" i="24"/>
  <c r="E223" i="24" s="1"/>
  <c r="F223" i="24" s="1"/>
  <c r="G223" i="23"/>
  <c r="CD223" i="6" s="1"/>
  <c r="AA223" i="23"/>
  <c r="Z223" i="23" s="1"/>
  <c r="Y223" i="23" s="1"/>
  <c r="W18" i="25"/>
  <c r="D18" i="25"/>
  <c r="E18" i="25" s="1"/>
  <c r="F18" i="25" s="1"/>
  <c r="G18" i="24"/>
  <c r="CE18" i="6" s="1"/>
  <c r="AA18" i="24"/>
  <c r="Z18" i="24" s="1"/>
  <c r="Y18" i="24" s="1"/>
  <c r="G266" i="23"/>
  <c r="CD266" i="6" s="1"/>
  <c r="AA266" i="23"/>
  <c r="Z266" i="23" s="1"/>
  <c r="Y266" i="23" s="1"/>
  <c r="G360" i="24"/>
  <c r="CE360" i="6" s="1"/>
  <c r="AA360" i="24"/>
  <c r="Z360" i="24" s="1"/>
  <c r="Y360" i="24" s="1"/>
  <c r="I239" i="20"/>
  <c r="H239" i="22" s="1"/>
  <c r="J239" i="20"/>
  <c r="AA72" i="23"/>
  <c r="Z72" i="23" s="1"/>
  <c r="Y72" i="23" s="1"/>
  <c r="G72" i="23"/>
  <c r="CD72" i="6" s="1"/>
  <c r="W314" i="24"/>
  <c r="D314" i="24"/>
  <c r="E314" i="24" s="1"/>
  <c r="F314" i="24" s="1"/>
  <c r="AA78" i="23"/>
  <c r="Z78" i="23" s="1"/>
  <c r="Y78" i="23" s="1"/>
  <c r="G78" i="23"/>
  <c r="CD78" i="6" s="1"/>
  <c r="W182" i="24"/>
  <c r="D182" i="24"/>
  <c r="E182" i="24" s="1"/>
  <c r="F182" i="24" s="1"/>
  <c r="I321" i="20"/>
  <c r="H321" i="22" s="1"/>
  <c r="J321" i="20"/>
  <c r="G38" i="24"/>
  <c r="CE38" i="6" s="1"/>
  <c r="AA38" i="24"/>
  <c r="Z38" i="24" s="1"/>
  <c r="Y38" i="24" s="1"/>
  <c r="D141" i="6"/>
  <c r="D183" i="25"/>
  <c r="E183" i="25" s="1"/>
  <c r="F183" i="25" s="1"/>
  <c r="W183" i="25"/>
  <c r="G183" i="24"/>
  <c r="CE183" i="6" s="1"/>
  <c r="AA183" i="24"/>
  <c r="Z183" i="24" s="1"/>
  <c r="Y183" i="24" s="1"/>
  <c r="G60" i="23"/>
  <c r="CD60" i="6" s="1"/>
  <c r="AA60" i="23"/>
  <c r="Z60" i="23" s="1"/>
  <c r="Y60" i="23" s="1"/>
  <c r="W46" i="24"/>
  <c r="D46" i="24"/>
  <c r="E46" i="24" s="1"/>
  <c r="F46" i="24" s="1"/>
  <c r="AA319" i="24"/>
  <c r="Z319" i="24" s="1"/>
  <c r="Y319" i="24" s="1"/>
  <c r="G319" i="24"/>
  <c r="CE319" i="6" s="1"/>
  <c r="W261" i="24"/>
  <c r="D261" i="24"/>
  <c r="E261" i="24" s="1"/>
  <c r="F261" i="24" s="1"/>
  <c r="G261" i="23"/>
  <c r="CD261" i="6" s="1"/>
  <c r="AA261" i="23"/>
  <c r="Z261" i="23" s="1"/>
  <c r="Y261" i="23" s="1"/>
  <c r="D101" i="25"/>
  <c r="E101" i="25" s="1"/>
  <c r="F101" i="25" s="1"/>
  <c r="W101" i="25"/>
  <c r="G271" i="24"/>
  <c r="CE271" i="6" s="1"/>
  <c r="AA271" i="24"/>
  <c r="Z271" i="24" s="1"/>
  <c r="Y271" i="24" s="1"/>
  <c r="AA128" i="23"/>
  <c r="Z128" i="23" s="1"/>
  <c r="Y128" i="23" s="1"/>
  <c r="G128" i="23"/>
  <c r="CD128" i="6" s="1"/>
  <c r="D176" i="24"/>
  <c r="E176" i="24" s="1"/>
  <c r="F176" i="24" s="1"/>
  <c r="W176" i="24"/>
  <c r="W308" i="25"/>
  <c r="D308" i="25"/>
  <c r="E308" i="25" s="1"/>
  <c r="F308" i="25" s="1"/>
  <c r="D47" i="25"/>
  <c r="E47" i="25" s="1"/>
  <c r="F47" i="25" s="1"/>
  <c r="W47" i="25"/>
  <c r="D195" i="25"/>
  <c r="E195" i="25" s="1"/>
  <c r="F195" i="25" s="1"/>
  <c r="W195" i="25"/>
  <c r="G221" i="24"/>
  <c r="CE221" i="6" s="1"/>
  <c r="AA221" i="24"/>
  <c r="Z221" i="24" s="1"/>
  <c r="Y221" i="24" s="1"/>
  <c r="W112" i="24"/>
  <c r="D112" i="24"/>
  <c r="E112" i="24" s="1"/>
  <c r="F112" i="24" s="1"/>
  <c r="G144" i="23"/>
  <c r="CD144" i="6" s="1"/>
  <c r="AA144" i="23"/>
  <c r="Z144" i="23" s="1"/>
  <c r="Y144" i="23" s="1"/>
  <c r="I245" i="22"/>
  <c r="H245" i="23" s="1"/>
  <c r="G359" i="24"/>
  <c r="CE359" i="6" s="1"/>
  <c r="AA359" i="24"/>
  <c r="Z359" i="24" s="1"/>
  <c r="Y359" i="24" s="1"/>
  <c r="D138" i="25"/>
  <c r="E138" i="25" s="1"/>
  <c r="F138" i="25" s="1"/>
  <c r="W138" i="25"/>
  <c r="G138" i="24"/>
  <c r="CE138" i="6" s="1"/>
  <c r="AA138" i="24"/>
  <c r="Z138" i="24" s="1"/>
  <c r="Y138" i="24" s="1"/>
  <c r="D121" i="24"/>
  <c r="E121" i="24" s="1"/>
  <c r="F121" i="24" s="1"/>
  <c r="W121" i="24"/>
  <c r="W242" i="25"/>
  <c r="D242" i="25"/>
  <c r="E242" i="25" s="1"/>
  <c r="F242" i="25" s="1"/>
  <c r="W310" i="24"/>
  <c r="D310" i="24"/>
  <c r="E310" i="24" s="1"/>
  <c r="F310" i="24" s="1"/>
  <c r="G311" i="23"/>
  <c r="CD311" i="6" s="1"/>
  <c r="AA311" i="23"/>
  <c r="Z311" i="23" s="1"/>
  <c r="Y311" i="23" s="1"/>
  <c r="D52" i="25"/>
  <c r="E52" i="25" s="1"/>
  <c r="F52" i="25" s="1"/>
  <c r="W52" i="25"/>
  <c r="W103" i="25"/>
  <c r="D103" i="25"/>
  <c r="E103" i="25" s="1"/>
  <c r="F103" i="25" s="1"/>
  <c r="G235" i="24"/>
  <c r="CE235" i="6" s="1"/>
  <c r="AA235" i="24"/>
  <c r="Z235" i="24" s="1"/>
  <c r="Y235" i="24" s="1"/>
  <c r="D119" i="24"/>
  <c r="E119" i="24" s="1"/>
  <c r="F119" i="24" s="1"/>
  <c r="W119" i="24"/>
  <c r="G196" i="23"/>
  <c r="CD196" i="6" s="1"/>
  <c r="AA196" i="23"/>
  <c r="Z196" i="23" s="1"/>
  <c r="Y196" i="23" s="1"/>
  <c r="W67" i="24"/>
  <c r="D67" i="24"/>
  <c r="E67" i="24" s="1"/>
  <c r="F67" i="24" s="1"/>
  <c r="D317" i="24"/>
  <c r="E317" i="24" s="1"/>
  <c r="F317" i="24" s="1"/>
  <c r="W317" i="24"/>
  <c r="W220" i="24"/>
  <c r="D220" i="24"/>
  <c r="E220" i="24" s="1"/>
  <c r="F220" i="24" s="1"/>
  <c r="D87" i="24"/>
  <c r="E87" i="24" s="1"/>
  <c r="F87" i="24" s="1"/>
  <c r="W87" i="24"/>
  <c r="G371" i="23"/>
  <c r="CD371" i="6" s="1"/>
  <c r="AA371" i="23"/>
  <c r="Z371" i="23" s="1"/>
  <c r="Y371" i="23" s="1"/>
  <c r="AA337" i="24"/>
  <c r="Z337" i="24" s="1"/>
  <c r="Y337" i="24" s="1"/>
  <c r="G337" i="24"/>
  <c r="CE337" i="6" s="1"/>
  <c r="G115" i="23"/>
  <c r="CD115" i="6" s="1"/>
  <c r="AA115" i="23"/>
  <c r="Z115" i="23" s="1"/>
  <c r="Y115" i="23" s="1"/>
  <c r="G345" i="23"/>
  <c r="CD345" i="6" s="1"/>
  <c r="AA345" i="23"/>
  <c r="Z345" i="23" s="1"/>
  <c r="Y345" i="23" s="1"/>
  <c r="W44" i="24"/>
  <c r="D44" i="24"/>
  <c r="E44" i="24" s="1"/>
  <c r="F44" i="24" s="1"/>
  <c r="W156" i="24"/>
  <c r="D156" i="24"/>
  <c r="E156" i="24" s="1"/>
  <c r="F156" i="24" s="1"/>
  <c r="W76" i="24"/>
  <c r="D76" i="24"/>
  <c r="E76" i="24" s="1"/>
  <c r="F76" i="24" s="1"/>
  <c r="D283" i="24"/>
  <c r="E283" i="24" s="1"/>
  <c r="F283" i="24" s="1"/>
  <c r="W283" i="24"/>
  <c r="I84" i="20"/>
  <c r="H84" i="22" s="1"/>
  <c r="J84" i="20"/>
  <c r="W178" i="25"/>
  <c r="D178" i="25"/>
  <c r="E178" i="25" s="1"/>
  <c r="F178" i="25" s="1"/>
  <c r="AA178" i="24"/>
  <c r="Z178" i="24" s="1"/>
  <c r="Y178" i="24" s="1"/>
  <c r="G178" i="24"/>
  <c r="CE178" i="6" s="1"/>
  <c r="D318" i="24"/>
  <c r="E318" i="24" s="1"/>
  <c r="F318" i="24" s="1"/>
  <c r="W318" i="24"/>
  <c r="D35" i="25"/>
  <c r="E35" i="25" s="1"/>
  <c r="F35" i="25" s="1"/>
  <c r="W35" i="25"/>
  <c r="W74" i="24"/>
  <c r="D74" i="24"/>
  <c r="E74" i="24" s="1"/>
  <c r="F74" i="24" s="1"/>
  <c r="G287" i="23"/>
  <c r="CD287" i="6" s="1"/>
  <c r="AA287" i="23"/>
  <c r="Z287" i="23" s="1"/>
  <c r="Y287" i="23" s="1"/>
  <c r="G255" i="24"/>
  <c r="CE255" i="6" s="1"/>
  <c r="AA255" i="24"/>
  <c r="Z255" i="24" s="1"/>
  <c r="Y255" i="24" s="1"/>
  <c r="W273" i="24"/>
  <c r="D273" i="24"/>
  <c r="E273" i="24" s="1"/>
  <c r="F273" i="24" s="1"/>
  <c r="W56" i="24"/>
  <c r="D56" i="24"/>
  <c r="E56" i="24" s="1"/>
  <c r="F56" i="24" s="1"/>
  <c r="AA170" i="24"/>
  <c r="Z170" i="24" s="1"/>
  <c r="Y170" i="24" s="1"/>
  <c r="G170" i="24"/>
  <c r="CE170" i="6" s="1"/>
  <c r="G328" i="23"/>
  <c r="CD328" i="6" s="1"/>
  <c r="AA328" i="23"/>
  <c r="Z328" i="23" s="1"/>
  <c r="Y328" i="23" s="1"/>
  <c r="I71" i="22"/>
  <c r="H71" i="23" s="1"/>
  <c r="D228" i="25"/>
  <c r="E228" i="25" s="1"/>
  <c r="F228" i="25" s="1"/>
  <c r="W228" i="25"/>
  <c r="G228" i="24"/>
  <c r="CE228" i="6" s="1"/>
  <c r="AA228" i="24"/>
  <c r="Z228" i="24" s="1"/>
  <c r="Y228" i="24" s="1"/>
  <c r="AA151" i="24"/>
  <c r="Z151" i="24" s="1"/>
  <c r="Y151" i="24" s="1"/>
  <c r="G151" i="24"/>
  <c r="CE151" i="6" s="1"/>
  <c r="D231" i="25"/>
  <c r="E231" i="25" s="1"/>
  <c r="F231" i="25" s="1"/>
  <c r="W231" i="25"/>
  <c r="G27" i="23"/>
  <c r="CD27" i="6" s="1"/>
  <c r="AA27" i="23"/>
  <c r="Z27" i="23" s="1"/>
  <c r="Y27" i="23" s="1"/>
  <c r="W256" i="24"/>
  <c r="D256" i="24"/>
  <c r="E256" i="24" s="1"/>
  <c r="F256" i="24" s="1"/>
  <c r="G330" i="23"/>
  <c r="CD330" i="6" s="1"/>
  <c r="AA330" i="23"/>
  <c r="Z330" i="23" s="1"/>
  <c r="Y330" i="23" s="1"/>
  <c r="W364" i="24"/>
  <c r="D364" i="24"/>
  <c r="E364" i="24" s="1"/>
  <c r="F364" i="24" s="1"/>
  <c r="G364" i="23"/>
  <c r="CD364" i="6" s="1"/>
  <c r="AA364" i="23"/>
  <c r="Z364" i="23" s="1"/>
  <c r="Y364" i="23" s="1"/>
  <c r="G41" i="24"/>
  <c r="CE41" i="6" s="1"/>
  <c r="AA41" i="24"/>
  <c r="Z41" i="24" s="1"/>
  <c r="Y41" i="24" s="1"/>
  <c r="D91" i="25"/>
  <c r="E91" i="25" s="1"/>
  <c r="F91" i="25" s="1"/>
  <c r="W91" i="25"/>
  <c r="D165" i="24"/>
  <c r="E165" i="24" s="1"/>
  <c r="F165" i="24" s="1"/>
  <c r="W165" i="24"/>
  <c r="G264" i="23"/>
  <c r="CD264" i="6" s="1"/>
  <c r="AA264" i="23"/>
  <c r="Z264" i="23" s="1"/>
  <c r="Y264" i="23" s="1"/>
  <c r="AA204" i="24"/>
  <c r="Z204" i="24" s="1"/>
  <c r="Y204" i="24" s="1"/>
  <c r="G204" i="24"/>
  <c r="CE204" i="6" s="1"/>
  <c r="AA252" i="24"/>
  <c r="Z252" i="24" s="1"/>
  <c r="Y252" i="24" s="1"/>
  <c r="G252" i="24"/>
  <c r="CE252" i="6" s="1"/>
  <c r="G152" i="24"/>
  <c r="CE152" i="6" s="1"/>
  <c r="AA152" i="24"/>
  <c r="Z152" i="24" s="1"/>
  <c r="Y152" i="24" s="1"/>
  <c r="W157" i="24"/>
  <c r="D157" i="24"/>
  <c r="E157" i="24" s="1"/>
  <c r="F157" i="24" s="1"/>
  <c r="W295" i="24"/>
  <c r="D295" i="24"/>
  <c r="E295" i="24" s="1"/>
  <c r="F295" i="24" s="1"/>
  <c r="G248" i="23"/>
  <c r="CD248" i="6" s="1"/>
  <c r="AA248" i="23"/>
  <c r="Z248" i="23" s="1"/>
  <c r="Y248" i="23" s="1"/>
  <c r="W244" i="24"/>
  <c r="D244" i="24"/>
  <c r="E244" i="24" s="1"/>
  <c r="F244" i="24" s="1"/>
  <c r="G244" i="23"/>
  <c r="CD244" i="6" s="1"/>
  <c r="AA244" i="23"/>
  <c r="Z244" i="23" s="1"/>
  <c r="Y244" i="23" s="1"/>
  <c r="I110" i="20"/>
  <c r="H110" i="22" s="1"/>
  <c r="J110" i="20"/>
  <c r="G140" i="23"/>
  <c r="CD140" i="6" s="1"/>
  <c r="AA140" i="23"/>
  <c r="Z140" i="23" s="1"/>
  <c r="Y140" i="23" s="1"/>
  <c r="W93" i="25"/>
  <c r="D93" i="25"/>
  <c r="E93" i="25" s="1"/>
  <c r="F93" i="25" s="1"/>
  <c r="W341" i="25"/>
  <c r="D341" i="25"/>
  <c r="E341" i="25" s="1"/>
  <c r="F341" i="25" s="1"/>
  <c r="D34" i="24"/>
  <c r="E34" i="24" s="1"/>
  <c r="F34" i="24" s="1"/>
  <c r="W34" i="24"/>
  <c r="W126" i="24"/>
  <c r="D126" i="24"/>
  <c r="E126" i="24" s="1"/>
  <c r="F126" i="24" s="1"/>
  <c r="G250" i="23"/>
  <c r="CD250" i="6" s="1"/>
  <c r="AA250" i="23"/>
  <c r="Z250" i="23" s="1"/>
  <c r="Y250" i="23" s="1"/>
  <c r="G357" i="23"/>
  <c r="CD357" i="6" s="1"/>
  <c r="AA357" i="23"/>
  <c r="Z357" i="23" s="1"/>
  <c r="Y357" i="23" s="1"/>
  <c r="AA238" i="24"/>
  <c r="Z238" i="24" s="1"/>
  <c r="Y238" i="24" s="1"/>
  <c r="G238" i="24"/>
  <c r="CE238" i="6" s="1"/>
  <c r="I266" i="20"/>
  <c r="H266" i="22" s="1"/>
  <c r="J266" i="20"/>
  <c r="D113" i="25"/>
  <c r="E113" i="25" s="1"/>
  <c r="F113" i="25" s="1"/>
  <c r="W113" i="25"/>
  <c r="W239" i="24"/>
  <c r="D239" i="24"/>
  <c r="E239" i="24" s="1"/>
  <c r="F239" i="24" s="1"/>
  <c r="W315" i="24"/>
  <c r="D315" i="24"/>
  <c r="E315" i="24" s="1"/>
  <c r="F315" i="24" s="1"/>
  <c r="AA315" i="23"/>
  <c r="Z315" i="23" s="1"/>
  <c r="Y315" i="23" s="1"/>
  <c r="G315" i="23"/>
  <c r="CD315" i="6" s="1"/>
  <c r="D343" i="25"/>
  <c r="E343" i="25" s="1"/>
  <c r="F343" i="25" s="1"/>
  <c r="W343" i="25"/>
  <c r="G343" i="24"/>
  <c r="CE343" i="6" s="1"/>
  <c r="AA343" i="24"/>
  <c r="Z343" i="24" s="1"/>
  <c r="Y343" i="24" s="1"/>
  <c r="G377" i="24"/>
  <c r="CE377" i="6" s="1"/>
  <c r="AA377" i="24"/>
  <c r="Z377" i="24" s="1"/>
  <c r="Y377" i="24" s="1"/>
  <c r="G168" i="24"/>
  <c r="CE168" i="6" s="1"/>
  <c r="AA168" i="24"/>
  <c r="Z168" i="24" s="1"/>
  <c r="Y168" i="24" s="1"/>
  <c r="W98" i="24"/>
  <c r="D98" i="24"/>
  <c r="E98" i="24" s="1"/>
  <c r="F98" i="24" s="1"/>
  <c r="G163" i="23"/>
  <c r="CD163" i="6" s="1"/>
  <c r="AA163" i="23"/>
  <c r="Z163" i="23" s="1"/>
  <c r="Y163" i="23" s="1"/>
  <c r="D113" i="6"/>
  <c r="D211" i="6"/>
  <c r="G210" i="23"/>
  <c r="CD210" i="6" s="1"/>
  <c r="AA210" i="23"/>
  <c r="Z210" i="23" s="1"/>
  <c r="Y210" i="23" s="1"/>
  <c r="G149" i="24"/>
  <c r="CE149" i="6" s="1"/>
  <c r="AA149" i="24"/>
  <c r="Z149" i="24" s="1"/>
  <c r="Y149" i="24" s="1"/>
  <c r="G284" i="24"/>
  <c r="CE284" i="6" s="1"/>
  <c r="AA284" i="24"/>
  <c r="Z284" i="24" s="1"/>
  <c r="Y284" i="24" s="1"/>
  <c r="G61" i="23"/>
  <c r="CD61" i="6" s="1"/>
  <c r="AA61" i="23"/>
  <c r="Z61" i="23" s="1"/>
  <c r="Y61" i="23" s="1"/>
  <c r="D89" i="24"/>
  <c r="E89" i="24" s="1"/>
  <c r="F89" i="24" s="1"/>
  <c r="W89" i="24"/>
  <c r="G230" i="24"/>
  <c r="CE230" i="6" s="1"/>
  <c r="AA230" i="24"/>
  <c r="Z230" i="24" s="1"/>
  <c r="Y230" i="24" s="1"/>
  <c r="W123" i="24"/>
  <c r="D123" i="24"/>
  <c r="E123" i="24" s="1"/>
  <c r="F123" i="24" s="1"/>
  <c r="G233" i="23"/>
  <c r="CD233" i="6" s="1"/>
  <c r="AA233" i="23"/>
  <c r="Z233" i="23" s="1"/>
  <c r="Y233" i="23" s="1"/>
  <c r="AA277" i="23"/>
  <c r="Z277" i="23" s="1"/>
  <c r="Y277" i="23" s="1"/>
  <c r="G277" i="23"/>
  <c r="CD277" i="6" s="1"/>
  <c r="W325" i="24"/>
  <c r="D325" i="24"/>
  <c r="E325" i="24" s="1"/>
  <c r="F325" i="24" s="1"/>
  <c r="G26" i="24"/>
  <c r="CE26" i="6" s="1"/>
  <c r="AA26" i="24"/>
  <c r="Z26" i="24" s="1"/>
  <c r="Y26" i="24" s="1"/>
  <c r="D158" i="25"/>
  <c r="E158" i="25" s="1"/>
  <c r="F158" i="25" s="1"/>
  <c r="W158" i="25"/>
  <c r="AA158" i="24"/>
  <c r="Z158" i="24" s="1"/>
  <c r="Y158" i="24" s="1"/>
  <c r="G158" i="24"/>
  <c r="CE158" i="6" s="1"/>
  <c r="G309" i="23"/>
  <c r="CD309" i="6" s="1"/>
  <c r="AA309" i="23"/>
  <c r="Z309" i="23" s="1"/>
  <c r="Y309" i="23" s="1"/>
  <c r="W62" i="24"/>
  <c r="D62" i="24"/>
  <c r="E62" i="24" s="1"/>
  <c r="F62" i="24" s="1"/>
  <c r="G232" i="23"/>
  <c r="CD232" i="6" s="1"/>
  <c r="AA232" i="23"/>
  <c r="Z232" i="23" s="1"/>
  <c r="Y232" i="23" s="1"/>
  <c r="D368" i="25"/>
  <c r="E368" i="25" s="1"/>
  <c r="F368" i="25" s="1"/>
  <c r="W368" i="25"/>
  <c r="W49" i="24"/>
  <c r="D49" i="24"/>
  <c r="E49" i="24" s="1"/>
  <c r="F49" i="24" s="1"/>
  <c r="G291" i="23"/>
  <c r="CD291" i="6" s="1"/>
  <c r="AA291" i="23"/>
  <c r="Z291" i="23" s="1"/>
  <c r="Y291" i="23" s="1"/>
  <c r="G339" i="23"/>
  <c r="CD339" i="6" s="1"/>
  <c r="AA339" i="23"/>
  <c r="Z339" i="23" s="1"/>
  <c r="Y339" i="23" s="1"/>
  <c r="D141" i="25"/>
  <c r="E141" i="25" s="1"/>
  <c r="F141" i="25" s="1"/>
  <c r="W141" i="25"/>
  <c r="W172" i="25"/>
  <c r="D172" i="25"/>
  <c r="E172" i="25" s="1"/>
  <c r="F172" i="25" s="1"/>
  <c r="G280" i="24"/>
  <c r="CE280" i="6" s="1"/>
  <c r="AA280" i="24"/>
  <c r="Z280" i="24" s="1"/>
  <c r="Y280" i="24" s="1"/>
  <c r="AA134" i="24"/>
  <c r="Z134" i="24" s="1"/>
  <c r="Y134" i="24" s="1"/>
  <c r="G134" i="24"/>
  <c r="CE134" i="6" s="1"/>
  <c r="AA353" i="24"/>
  <c r="Z353" i="24" s="1"/>
  <c r="Y353" i="24" s="1"/>
  <c r="G353" i="24"/>
  <c r="CE353" i="6" s="1"/>
  <c r="AA100" i="24"/>
  <c r="Z100" i="24" s="1"/>
  <c r="Y100" i="24" s="1"/>
  <c r="G100" i="24"/>
  <c r="CE100" i="6" s="1"/>
  <c r="I192" i="20"/>
  <c r="H192" i="22" s="1"/>
  <c r="I358" i="20"/>
  <c r="H358" i="22" s="1"/>
  <c r="I212" i="20"/>
  <c r="H212" i="22" s="1"/>
  <c r="I33" i="20"/>
  <c r="H33" i="22" s="1"/>
  <c r="I83" i="20"/>
  <c r="H83" i="22" s="1"/>
  <c r="I69" i="20"/>
  <c r="H69" i="22" s="1"/>
  <c r="J80" i="20"/>
  <c r="J222" i="20"/>
  <c r="I166" i="20"/>
  <c r="H166" i="22" s="1"/>
  <c r="J377" i="20"/>
  <c r="D379" i="25"/>
  <c r="E379" i="25" s="1"/>
  <c r="F379" i="25" s="1"/>
  <c r="W379" i="25"/>
  <c r="G29" i="23"/>
  <c r="CD29" i="6" s="1"/>
  <c r="AA29" i="23"/>
  <c r="Z29" i="23" s="1"/>
  <c r="Y29" i="23" s="1"/>
  <c r="AA352" i="23"/>
  <c r="Z352" i="23" s="1"/>
  <c r="Y352" i="23" s="1"/>
  <c r="G352" i="23"/>
  <c r="CD352" i="6" s="1"/>
  <c r="AA333" i="23"/>
  <c r="Z333" i="23" s="1"/>
  <c r="Y333" i="23" s="1"/>
  <c r="G333" i="23"/>
  <c r="CD333" i="6" s="1"/>
  <c r="G376" i="23"/>
  <c r="CD376" i="6" s="1"/>
  <c r="AA376" i="23"/>
  <c r="Z376" i="23" s="1"/>
  <c r="Y376" i="23" s="1"/>
  <c r="G369" i="23"/>
  <c r="CD369" i="6" s="1"/>
  <c r="AA369" i="23"/>
  <c r="Z369" i="23" s="1"/>
  <c r="Y369" i="23" s="1"/>
  <c r="W253" i="24"/>
  <c r="D253" i="24"/>
  <c r="E253" i="24" s="1"/>
  <c r="F253" i="24" s="1"/>
  <c r="G130" i="24"/>
  <c r="CE130" i="6" s="1"/>
  <c r="AA130" i="24"/>
  <c r="Z130" i="24" s="1"/>
  <c r="Y130" i="24" s="1"/>
  <c r="W265" i="25"/>
  <c r="D265" i="25"/>
  <c r="E265" i="25" s="1"/>
  <c r="F265" i="25" s="1"/>
  <c r="G55" i="24"/>
  <c r="CE55" i="6" s="1"/>
  <c r="AA55" i="24"/>
  <c r="Z55" i="24" s="1"/>
  <c r="Y55" i="24" s="1"/>
  <c r="D83" i="25"/>
  <c r="E83" i="25" s="1"/>
  <c r="F83" i="25" s="1"/>
  <c r="W83" i="25"/>
  <c r="D336" i="25"/>
  <c r="E336" i="25" s="1"/>
  <c r="F336" i="25" s="1"/>
  <c r="W336" i="25"/>
  <c r="G300" i="24"/>
  <c r="CE300" i="6" s="1"/>
  <c r="AA300" i="24"/>
  <c r="Z300" i="24" s="1"/>
  <c r="Y300" i="24" s="1"/>
  <c r="G53" i="23"/>
  <c r="CD53" i="6" s="1"/>
  <c r="AA53" i="23"/>
  <c r="Z53" i="23" s="1"/>
  <c r="Y53" i="23" s="1"/>
  <c r="W262" i="25"/>
  <c r="D262" i="25"/>
  <c r="E262" i="25" s="1"/>
  <c r="F262" i="25" s="1"/>
  <c r="G262" i="24"/>
  <c r="CE262" i="6" s="1"/>
  <c r="AA262" i="24"/>
  <c r="Z262" i="24" s="1"/>
  <c r="Y262" i="24" s="1"/>
  <c r="G109" i="23"/>
  <c r="CD109" i="6" s="1"/>
  <c r="AA109" i="23"/>
  <c r="Z109" i="23" s="1"/>
  <c r="Y109" i="23" s="1"/>
  <c r="W58" i="24"/>
  <c r="D58" i="24"/>
  <c r="E58" i="24" s="1"/>
  <c r="F58" i="24" s="1"/>
  <c r="I264" i="20"/>
  <c r="H264" i="22" s="1"/>
  <c r="J264" i="20"/>
  <c r="G286" i="24"/>
  <c r="CE286" i="6" s="1"/>
  <c r="AA286" i="24"/>
  <c r="Z286" i="24" s="1"/>
  <c r="Y286" i="24" s="1"/>
  <c r="G90" i="23"/>
  <c r="CD90" i="6" s="1"/>
  <c r="AA90" i="23"/>
  <c r="Z90" i="23" s="1"/>
  <c r="Y90" i="23" s="1"/>
  <c r="W16" i="25"/>
  <c r="D16" i="25"/>
  <c r="E16" i="25" s="1"/>
  <c r="F16" i="25" s="1"/>
  <c r="W185" i="24"/>
  <c r="D185" i="24"/>
  <c r="E185" i="24" s="1"/>
  <c r="F185" i="24" s="1"/>
  <c r="G293" i="24"/>
  <c r="CE293" i="6" s="1"/>
  <c r="AA293" i="24"/>
  <c r="Z293" i="24" s="1"/>
  <c r="Y293" i="24" s="1"/>
  <c r="AA148" i="23"/>
  <c r="Z148" i="23" s="1"/>
  <c r="Y148" i="23" s="1"/>
  <c r="G148" i="23"/>
  <c r="CD148" i="6" s="1"/>
  <c r="D372" i="24"/>
  <c r="E372" i="24" s="1"/>
  <c r="F372" i="24" s="1"/>
  <c r="W372" i="24"/>
  <c r="W143" i="24"/>
  <c r="D143" i="24"/>
  <c r="E143" i="24" s="1"/>
  <c r="F143" i="24" s="1"/>
  <c r="AA122" i="24"/>
  <c r="Z122" i="24" s="1"/>
  <c r="Y122" i="24" s="1"/>
  <c r="G122" i="24"/>
  <c r="CE122" i="6" s="1"/>
  <c r="D322" i="24"/>
  <c r="E322" i="24" s="1"/>
  <c r="F322" i="24" s="1"/>
  <c r="W322" i="24"/>
  <c r="W85" i="24"/>
  <c r="D85" i="24"/>
  <c r="E85" i="24" s="1"/>
  <c r="F85" i="24" s="1"/>
  <c r="G85" i="23"/>
  <c r="CD85" i="6" s="1"/>
  <c r="AA85" i="23"/>
  <c r="Z85" i="23" s="1"/>
  <c r="Y85" i="23" s="1"/>
  <c r="W240" i="24"/>
  <c r="D240" i="24"/>
  <c r="E240" i="24" s="1"/>
  <c r="F240" i="24" s="1"/>
  <c r="G289" i="23"/>
  <c r="CD289" i="6" s="1"/>
  <c r="AA289" i="23"/>
  <c r="Z289" i="23" s="1"/>
  <c r="Y289" i="23" s="1"/>
  <c r="G150" i="23"/>
  <c r="CD150" i="6" s="1"/>
  <c r="AA150" i="23"/>
  <c r="Z150" i="23" s="1"/>
  <c r="Y150" i="23" s="1"/>
  <c r="D177" i="25"/>
  <c r="E177" i="25" s="1"/>
  <c r="F177" i="25" s="1"/>
  <c r="W177" i="25"/>
  <c r="J135" i="20"/>
  <c r="W263" i="24"/>
  <c r="D263" i="24"/>
  <c r="E263" i="24" s="1"/>
  <c r="F263" i="24" s="1"/>
  <c r="I60" i="22"/>
  <c r="H60" i="23" s="1"/>
  <c r="G365" i="23"/>
  <c r="CD365" i="6" s="1"/>
  <c r="AA365" i="23"/>
  <c r="Z365" i="23" s="1"/>
  <c r="Y365" i="23" s="1"/>
  <c r="D298" i="25"/>
  <c r="E298" i="25" s="1"/>
  <c r="F298" i="25" s="1"/>
  <c r="W298" i="25"/>
  <c r="AA298" i="24"/>
  <c r="Z298" i="24" s="1"/>
  <c r="Y298" i="24" s="1"/>
  <c r="G298" i="24"/>
  <c r="CE298" i="6" s="1"/>
  <c r="W171" i="24"/>
  <c r="D171" i="24"/>
  <c r="E171" i="24" s="1"/>
  <c r="F171" i="24" s="1"/>
  <c r="D21" i="24"/>
  <c r="E21" i="24" s="1"/>
  <c r="F21" i="24" s="1"/>
  <c r="W21" i="24"/>
  <c r="G79" i="24"/>
  <c r="CE79" i="6" s="1"/>
  <c r="AA79" i="24"/>
  <c r="Z79" i="24" s="1"/>
  <c r="Y79" i="24" s="1"/>
  <c r="D131" i="25"/>
  <c r="E131" i="25" s="1"/>
  <c r="F131" i="25" s="1"/>
  <c r="W131" i="25"/>
  <c r="D275" i="24"/>
  <c r="E275" i="24" s="1"/>
  <c r="F275" i="24" s="1"/>
  <c r="W275" i="24"/>
  <c r="G303" i="23"/>
  <c r="CD303" i="6" s="1"/>
  <c r="AA303" i="23"/>
  <c r="Z303" i="23" s="1"/>
  <c r="Y303" i="23" s="1"/>
  <c r="G86" i="23"/>
  <c r="CD86" i="6" s="1"/>
  <c r="AA86" i="23"/>
  <c r="Z86" i="23" s="1"/>
  <c r="Y86" i="23" s="1"/>
  <c r="I112" i="22"/>
  <c r="H112" i="23" s="1"/>
  <c r="W188" i="24"/>
  <c r="D188" i="24"/>
  <c r="E188" i="24" s="1"/>
  <c r="F188" i="24" s="1"/>
  <c r="G218" i="23"/>
  <c r="CD218" i="6" s="1"/>
  <c r="AA218" i="23"/>
  <c r="Z218" i="23" s="1"/>
  <c r="Y218" i="23" s="1"/>
  <c r="W169" i="24"/>
  <c r="D169" i="24"/>
  <c r="E169" i="24" s="1"/>
  <c r="F169" i="24" s="1"/>
  <c r="W245" i="24"/>
  <c r="D245" i="24"/>
  <c r="E245" i="24" s="1"/>
  <c r="F245" i="24" s="1"/>
  <c r="G313" i="24"/>
  <c r="CE313" i="6" s="1"/>
  <c r="AA313" i="24"/>
  <c r="Z313" i="24" s="1"/>
  <c r="Y313" i="24" s="1"/>
  <c r="G288" i="23"/>
  <c r="CD288" i="6" s="1"/>
  <c r="AA288" i="23"/>
  <c r="Z288" i="23" s="1"/>
  <c r="Y288" i="23" s="1"/>
  <c r="G202" i="24"/>
  <c r="CE202" i="6" s="1"/>
  <c r="AA202" i="24"/>
  <c r="Z202" i="24" s="1"/>
  <c r="Y202" i="24" s="1"/>
  <c r="AA370" i="24"/>
  <c r="Z370" i="24" s="1"/>
  <c r="Y370" i="24" s="1"/>
  <c r="G370" i="24"/>
  <c r="CE370" i="6" s="1"/>
  <c r="G25" i="23"/>
  <c r="CD25" i="6" s="1"/>
  <c r="AA25" i="23"/>
  <c r="Z25" i="23" s="1"/>
  <c r="Y25" i="23" s="1"/>
  <c r="W199" i="25"/>
  <c r="D199" i="25"/>
  <c r="E199" i="25" s="1"/>
  <c r="F199" i="25" s="1"/>
  <c r="W355" i="24"/>
  <c r="D355" i="24"/>
  <c r="E355" i="24" s="1"/>
  <c r="F355" i="24" s="1"/>
  <c r="G102" i="23"/>
  <c r="CD102" i="6" s="1"/>
  <c r="AA102" i="23"/>
  <c r="Z102" i="23" s="1"/>
  <c r="Y102" i="23" s="1"/>
  <c r="G137" i="23"/>
  <c r="CD137" i="6" s="1"/>
  <c r="AA137" i="23"/>
  <c r="Z137" i="23" s="1"/>
  <c r="Y137" i="23" s="1"/>
  <c r="W378" i="24"/>
  <c r="D378" i="24"/>
  <c r="E378" i="24" s="1"/>
  <c r="F378" i="24" s="1"/>
  <c r="G22" i="23"/>
  <c r="CD22" i="6" s="1"/>
  <c r="AA22" i="23"/>
  <c r="Z22" i="23" s="1"/>
  <c r="Y22" i="23" s="1"/>
  <c r="AA272" i="23"/>
  <c r="Z272" i="23" s="1"/>
  <c r="Y272" i="23" s="1"/>
  <c r="G272" i="23"/>
  <c r="CD272" i="6" s="1"/>
  <c r="G241" i="24"/>
  <c r="CE241" i="6" s="1"/>
  <c r="AA241" i="24"/>
  <c r="Z241" i="24" s="1"/>
  <c r="Y241" i="24" s="1"/>
  <c r="W88" i="24"/>
  <c r="D88" i="24"/>
  <c r="E88" i="24" s="1"/>
  <c r="F88" i="24" s="1"/>
  <c r="G260" i="24"/>
  <c r="CE260" i="6" s="1"/>
  <c r="AA260" i="24"/>
  <c r="Z260" i="24" s="1"/>
  <c r="Y260" i="24" s="1"/>
  <c r="W320" i="25"/>
  <c r="D320" i="25"/>
  <c r="E320" i="25" s="1"/>
  <c r="F320" i="25" s="1"/>
  <c r="D80" i="25"/>
  <c r="E80" i="25" s="1"/>
  <c r="F80" i="25" s="1"/>
  <c r="W80" i="25"/>
  <c r="I191" i="22"/>
  <c r="H191" i="23" s="1"/>
  <c r="D257" i="25"/>
  <c r="E257" i="25" s="1"/>
  <c r="F257" i="25" s="1"/>
  <c r="W257" i="25"/>
  <c r="G257" i="24"/>
  <c r="CE257" i="6" s="1"/>
  <c r="AA257" i="24"/>
  <c r="Z257" i="24" s="1"/>
  <c r="Y257" i="24" s="1"/>
  <c r="W234" i="24"/>
  <c r="D234" i="24"/>
  <c r="E234" i="24" s="1"/>
  <c r="F234" i="24" s="1"/>
  <c r="W133" i="24"/>
  <c r="D133" i="24"/>
  <c r="E133" i="24" s="1"/>
  <c r="F133" i="24" s="1"/>
  <c r="G24" i="23"/>
  <c r="CD24" i="6" s="1"/>
  <c r="AA24" i="23"/>
  <c r="Z24" i="23" s="1"/>
  <c r="Y24" i="23" s="1"/>
  <c r="AA206" i="23"/>
  <c r="Z206" i="23" s="1"/>
  <c r="Y206" i="23" s="1"/>
  <c r="G206" i="23"/>
  <c r="CD206" i="6" s="1"/>
  <c r="W356" i="24"/>
  <c r="D356" i="24"/>
  <c r="E356" i="24" s="1"/>
  <c r="F356" i="24" s="1"/>
  <c r="D299" i="25"/>
  <c r="E299" i="25" s="1"/>
  <c r="F299" i="25" s="1"/>
  <c r="W299" i="25"/>
  <c r="G236" i="23"/>
  <c r="CD236" i="6" s="1"/>
  <c r="AA236" i="23"/>
  <c r="Z236" i="23" s="1"/>
  <c r="Y236" i="23" s="1"/>
  <c r="I306" i="20"/>
  <c r="H306" i="22" s="1"/>
  <c r="J306" i="20"/>
  <c r="I348" i="20"/>
  <c r="H348" i="22" s="1"/>
  <c r="J348" i="20"/>
  <c r="J136" i="20"/>
  <c r="J259" i="20"/>
  <c r="I259" i="20"/>
  <c r="H259" i="22" s="1"/>
  <c r="J337" i="20"/>
  <c r="I337" i="20"/>
  <c r="H337" i="22" s="1"/>
  <c r="I43" i="20"/>
  <c r="H43" i="22" s="1"/>
  <c r="J43" i="20"/>
  <c r="J97" i="20"/>
  <c r="I97" i="20"/>
  <c r="H97" i="22" s="1"/>
  <c r="I238" i="20"/>
  <c r="H238" i="22" s="1"/>
  <c r="J238" i="20"/>
  <c r="I155" i="20"/>
  <c r="H155" i="22" s="1"/>
  <c r="J155" i="20"/>
  <c r="J23" i="20"/>
  <c r="I23" i="20"/>
  <c r="H23" i="22" s="1"/>
  <c r="J344" i="20"/>
  <c r="I344" i="20"/>
  <c r="H344" i="22" s="1"/>
  <c r="J300" i="20"/>
  <c r="I300" i="20"/>
  <c r="H300" i="22" s="1"/>
  <c r="I297" i="20"/>
  <c r="H297" i="22" s="1"/>
  <c r="J297" i="20"/>
  <c r="J64" i="20"/>
  <c r="D226" i="24"/>
  <c r="E226" i="24" s="1"/>
  <c r="F226" i="24" s="1"/>
  <c r="W226" i="24"/>
  <c r="G227" i="24"/>
  <c r="CE227" i="6" s="1"/>
  <c r="AA227" i="24"/>
  <c r="Z227" i="24" s="1"/>
  <c r="Y227" i="24" s="1"/>
  <c r="D99" i="24"/>
  <c r="E99" i="24" s="1"/>
  <c r="F99" i="24" s="1"/>
  <c r="W99" i="24"/>
  <c r="W361" i="24"/>
  <c r="D361" i="24"/>
  <c r="E361" i="24" s="1"/>
  <c r="F361" i="24" s="1"/>
  <c r="I246" i="20"/>
  <c r="H246" i="22" s="1"/>
  <c r="J246" i="20"/>
  <c r="G268" i="23"/>
  <c r="CD268" i="6" s="1"/>
  <c r="AA268" i="23"/>
  <c r="Z268" i="23" s="1"/>
  <c r="Y268" i="23" s="1"/>
  <c r="W71" i="24"/>
  <c r="D71" i="24"/>
  <c r="E71" i="24" s="1"/>
  <c r="F71" i="24" s="1"/>
  <c r="G71" i="23"/>
  <c r="CD71" i="6" s="1"/>
  <c r="AA71" i="23"/>
  <c r="Z71" i="23" s="1"/>
  <c r="Y71" i="23" s="1"/>
  <c r="G181" i="23"/>
  <c r="CD181" i="6" s="1"/>
  <c r="AA181" i="23"/>
  <c r="Z181" i="23" s="1"/>
  <c r="Y181" i="23" s="1"/>
  <c r="W215" i="24"/>
  <c r="D215" i="24"/>
  <c r="E215" i="24" s="1"/>
  <c r="F215" i="24" s="1"/>
  <c r="AA285" i="24"/>
  <c r="Z285" i="24" s="1"/>
  <c r="Y285" i="24" s="1"/>
  <c r="G285" i="24"/>
  <c r="CE285" i="6" s="1"/>
  <c r="W94" i="25"/>
  <c r="D94" i="25"/>
  <c r="E94" i="25" s="1"/>
  <c r="F94" i="25" s="1"/>
  <c r="AA146" i="24"/>
  <c r="Z146" i="24" s="1"/>
  <c r="Y146" i="24" s="1"/>
  <c r="G146" i="24"/>
  <c r="CE146" i="6" s="1"/>
  <c r="D39" i="25"/>
  <c r="E39" i="25" s="1"/>
  <c r="F39" i="25" s="1"/>
  <c r="W39" i="25"/>
  <c r="G107" i="24"/>
  <c r="CE107" i="6" s="1"/>
  <c r="AA107" i="24"/>
  <c r="Z107" i="24" s="1"/>
  <c r="Y107" i="24" s="1"/>
  <c r="G124" i="23"/>
  <c r="CD124" i="6" s="1"/>
  <c r="AA124" i="23"/>
  <c r="Z124" i="23" s="1"/>
  <c r="Y124" i="23" s="1"/>
  <c r="W184" i="24"/>
  <c r="D184" i="24"/>
  <c r="E184" i="24" s="1"/>
  <c r="F184" i="24" s="1"/>
  <c r="G184" i="23"/>
  <c r="CD184" i="6" s="1"/>
  <c r="AA184" i="23"/>
  <c r="Z184" i="23" s="1"/>
  <c r="Y184" i="23" s="1"/>
  <c r="G279" i="23"/>
  <c r="CD279" i="6" s="1"/>
  <c r="AA279" i="23"/>
  <c r="Z279" i="23" s="1"/>
  <c r="Y279" i="23" s="1"/>
  <c r="D351" i="25"/>
  <c r="E351" i="25" s="1"/>
  <c r="F351" i="25" s="1"/>
  <c r="W351" i="25"/>
  <c r="D82" i="25"/>
  <c r="E82" i="25" s="1"/>
  <c r="F82" i="25" s="1"/>
  <c r="W82" i="25"/>
  <c r="G198" i="23"/>
  <c r="CD198" i="6" s="1"/>
  <c r="AA198" i="23"/>
  <c r="Z198" i="23" s="1"/>
  <c r="Y198" i="23" s="1"/>
  <c r="D214" i="24"/>
  <c r="E214" i="24" s="1"/>
  <c r="F214" i="24" s="1"/>
  <c r="W214" i="24"/>
  <c r="J214" i="20"/>
  <c r="I214" i="20"/>
  <c r="H214" i="22" s="1"/>
  <c r="G305" i="24"/>
  <c r="CE305" i="6" s="1"/>
  <c r="AA305" i="24"/>
  <c r="Z305" i="24" s="1"/>
  <c r="Y305" i="24" s="1"/>
  <c r="W125" i="24"/>
  <c r="D125" i="24"/>
  <c r="E125" i="24" s="1"/>
  <c r="F125" i="24" s="1"/>
  <c r="D363" i="25"/>
  <c r="E363" i="25" s="1"/>
  <c r="F363" i="25" s="1"/>
  <c r="W363" i="25"/>
  <c r="AA208" i="24"/>
  <c r="Z208" i="24" s="1"/>
  <c r="Y208" i="24" s="1"/>
  <c r="G208" i="24"/>
  <c r="CE208" i="6" s="1"/>
  <c r="W346" i="24"/>
  <c r="D346" i="24"/>
  <c r="E346" i="24" s="1"/>
  <c r="F346" i="24" s="1"/>
  <c r="G37" i="23"/>
  <c r="CD37" i="6" s="1"/>
  <c r="AA37" i="23"/>
  <c r="Z37" i="23" s="1"/>
  <c r="Y37" i="23" s="1"/>
  <c r="J140" i="20"/>
  <c r="G31" i="23"/>
  <c r="CD31" i="6" s="1"/>
  <c r="AA31" i="23"/>
  <c r="Z31" i="23" s="1"/>
  <c r="Y31" i="23" s="1"/>
  <c r="G96" i="23"/>
  <c r="CD96" i="6" s="1"/>
  <c r="AA96" i="23"/>
  <c r="Z96" i="23" s="1"/>
  <c r="Y96" i="23" s="1"/>
  <c r="G307" i="23"/>
  <c r="CD307" i="6" s="1"/>
  <c r="AA307" i="23"/>
  <c r="Z307" i="23" s="1"/>
  <c r="Y307" i="23" s="1"/>
  <c r="W48" i="24"/>
  <c r="D48" i="24"/>
  <c r="E48" i="24" s="1"/>
  <c r="F48" i="24" s="1"/>
  <c r="AA48" i="23"/>
  <c r="Z48" i="23" s="1"/>
  <c r="Y48" i="23" s="1"/>
  <c r="G48" i="23"/>
  <c r="CD48" i="6" s="1"/>
  <c r="AA160" i="23"/>
  <c r="Z160" i="23" s="1"/>
  <c r="Y160" i="23" s="1"/>
  <c r="G160" i="23"/>
  <c r="CD160" i="6" s="1"/>
  <c r="G350" i="23"/>
  <c r="CD350" i="6" s="1"/>
  <c r="AA350" i="23"/>
  <c r="Z350" i="23" s="1"/>
  <c r="Y350" i="23" s="1"/>
  <c r="W40" i="25"/>
  <c r="D40" i="25"/>
  <c r="E40" i="25" s="1"/>
  <c r="F40" i="25" s="1"/>
  <c r="D312" i="25"/>
  <c r="E312" i="25" s="1"/>
  <c r="F312" i="25" s="1"/>
  <c r="W312" i="25"/>
  <c r="W342" i="25"/>
  <c r="D342" i="25"/>
  <c r="E342" i="25" s="1"/>
  <c r="F342" i="25" s="1"/>
  <c r="G342" i="24"/>
  <c r="CE342" i="6" s="1"/>
  <c r="AA342" i="24"/>
  <c r="Z342" i="24" s="1"/>
  <c r="Y342" i="24" s="1"/>
  <c r="W207" i="25"/>
  <c r="D207" i="25"/>
  <c r="E207" i="25" s="1"/>
  <c r="F207" i="25" s="1"/>
  <c r="W332" i="24"/>
  <c r="D332" i="24"/>
  <c r="E332" i="24" s="1"/>
  <c r="F332" i="24" s="1"/>
  <c r="G81" i="23"/>
  <c r="CD81" i="6" s="1"/>
  <c r="AA81" i="23"/>
  <c r="Z81" i="23" s="1"/>
  <c r="Y81" i="23" s="1"/>
  <c r="J265" i="20"/>
  <c r="I299" i="20"/>
  <c r="H299" i="22" s="1"/>
  <c r="J167" i="20"/>
  <c r="I167" i="20"/>
  <c r="H167" i="22" s="1"/>
  <c r="I379" i="20"/>
  <c r="H379" i="22" s="1"/>
  <c r="J105" i="20"/>
  <c r="I105" i="20"/>
  <c r="H105" i="22" s="1"/>
  <c r="J319" i="20"/>
  <c r="I319" i="20"/>
  <c r="H319" i="22" s="1"/>
  <c r="I278" i="20"/>
  <c r="H278" i="22" s="1"/>
  <c r="I241" i="20"/>
  <c r="H241" i="22" s="1"/>
  <c r="I260" i="20"/>
  <c r="H260" i="22" s="1"/>
  <c r="J260" i="20"/>
  <c r="I142" i="20"/>
  <c r="H142" i="22" s="1"/>
  <c r="I107" i="20"/>
  <c r="H107" i="22" s="1"/>
  <c r="J107" i="20"/>
  <c r="J151" i="20"/>
  <c r="I138" i="20"/>
  <c r="H138" i="22" s="1"/>
  <c r="J202" i="20"/>
  <c r="I202" i="20"/>
  <c r="H202" i="22" s="1"/>
  <c r="I304" i="20"/>
  <c r="H304" i="22" s="1"/>
  <c r="J304" i="20"/>
  <c r="J370" i="20"/>
  <c r="I370" i="20"/>
  <c r="H370" i="22" s="1"/>
  <c r="I190" i="20"/>
  <c r="H190" i="22" s="1"/>
  <c r="J190" i="20"/>
  <c r="I342" i="20"/>
  <c r="H342" i="22" s="1"/>
  <c r="J342" i="20"/>
  <c r="J52" i="20"/>
  <c r="I52" i="20"/>
  <c r="H52" i="22" s="1"/>
  <c r="I32" i="20"/>
  <c r="H32" i="22" s="1"/>
  <c r="J32" i="20"/>
  <c r="I313" i="20"/>
  <c r="H313" i="22" s="1"/>
  <c r="J313" i="20"/>
  <c r="I197" i="20"/>
  <c r="H197" i="22" s="1"/>
  <c r="J197" i="20"/>
  <c r="I19" i="20"/>
  <c r="H19" i="22" s="1"/>
  <c r="J19" i="20"/>
  <c r="I312" i="20"/>
  <c r="H312" i="22" s="1"/>
  <c r="J312" i="20"/>
  <c r="W135" i="24"/>
  <c r="D135" i="24"/>
  <c r="E135" i="24" s="1"/>
  <c r="F135" i="24" s="1"/>
  <c r="W161" i="24"/>
  <c r="D161" i="24"/>
  <c r="E161" i="24" s="1"/>
  <c r="F161" i="24" s="1"/>
  <c r="W159" i="24"/>
  <c r="D159" i="24"/>
  <c r="E159" i="24" s="1"/>
  <c r="F159" i="24" s="1"/>
  <c r="G247" i="24"/>
  <c r="CE247" i="6" s="1"/>
  <c r="AA247" i="24"/>
  <c r="Z247" i="24" s="1"/>
  <c r="Y247" i="24" s="1"/>
  <c r="W281" i="25"/>
  <c r="D281" i="25"/>
  <c r="E281" i="25" s="1"/>
  <c r="F281" i="25" s="1"/>
  <c r="D17" i="25"/>
  <c r="E17" i="25" s="1"/>
  <c r="F17" i="25" s="1"/>
  <c r="W17" i="25"/>
  <c r="G111" i="24"/>
  <c r="CE111" i="6" s="1"/>
  <c r="AA111" i="24"/>
  <c r="Z111" i="24" s="1"/>
  <c r="Y111" i="24" s="1"/>
  <c r="W127" i="24"/>
  <c r="D127" i="24"/>
  <c r="E127" i="24" s="1"/>
  <c r="F127" i="24" s="1"/>
  <c r="D173" i="24"/>
  <c r="E173" i="24" s="1"/>
  <c r="F173" i="24" s="1"/>
  <c r="W173" i="24"/>
  <c r="AA219" i="23"/>
  <c r="Z219" i="23" s="1"/>
  <c r="Y219" i="23" s="1"/>
  <c r="G219" i="23"/>
  <c r="CD219" i="6" s="1"/>
  <c r="D92" i="25"/>
  <c r="E92" i="25" s="1"/>
  <c r="F92" i="25" s="1"/>
  <c r="W92" i="25"/>
  <c r="G282" i="23"/>
  <c r="CD282" i="6" s="1"/>
  <c r="AA282" i="23"/>
  <c r="Z282" i="23" s="1"/>
  <c r="Y282" i="23" s="1"/>
  <c r="D120" i="25"/>
  <c r="E120" i="25" s="1"/>
  <c r="F120" i="25" s="1"/>
  <c r="W120" i="25"/>
  <c r="W375" i="25"/>
  <c r="D375" i="25"/>
  <c r="E375" i="25" s="1"/>
  <c r="F375" i="25" s="1"/>
  <c r="W292" i="24"/>
  <c r="D292" i="24"/>
  <c r="E292" i="24" s="1"/>
  <c r="F292" i="24" s="1"/>
  <c r="W225" i="24"/>
  <c r="D225" i="24"/>
  <c r="E225" i="24" s="1"/>
  <c r="F225" i="24" s="1"/>
  <c r="W290" i="24"/>
  <c r="D290" i="24"/>
  <c r="E290" i="24" s="1"/>
  <c r="F290" i="24" s="1"/>
  <c r="W362" i="24"/>
  <c r="D362" i="24"/>
  <c r="E362" i="24" s="1"/>
  <c r="F362" i="24" s="1"/>
  <c r="G374" i="23"/>
  <c r="CD374" i="6" s="1"/>
  <c r="AA374" i="23"/>
  <c r="Z374" i="23" s="1"/>
  <c r="Y374" i="23" s="1"/>
  <c r="G105" i="24"/>
  <c r="CE105" i="6" s="1"/>
  <c r="AA105" i="24"/>
  <c r="Z105" i="24" s="1"/>
  <c r="Y105" i="24" s="1"/>
  <c r="W189" i="25"/>
  <c r="D189" i="25"/>
  <c r="E189" i="25" s="1"/>
  <c r="F189" i="25" s="1"/>
  <c r="G189" i="24"/>
  <c r="CE189" i="6" s="1"/>
  <c r="AA189" i="24"/>
  <c r="Z189" i="24" s="1"/>
  <c r="Y189" i="24" s="1"/>
  <c r="W42" i="24"/>
  <c r="D42" i="24"/>
  <c r="E42" i="24" s="1"/>
  <c r="F42" i="24" s="1"/>
  <c r="G42" i="23"/>
  <c r="CD42" i="6" s="1"/>
  <c r="AA42" i="23"/>
  <c r="Z42" i="23" s="1"/>
  <c r="Y42" i="23" s="1"/>
  <c r="G254" i="23"/>
  <c r="CD254" i="6" s="1"/>
  <c r="AA254" i="23"/>
  <c r="Z254" i="23" s="1"/>
  <c r="Y254" i="23" s="1"/>
  <c r="D147" i="25"/>
  <c r="E147" i="25" s="1"/>
  <c r="F147" i="25" s="1"/>
  <c r="W147" i="25"/>
  <c r="G209" i="24"/>
  <c r="CE209" i="6" s="1"/>
  <c r="AA209" i="24"/>
  <c r="Z209" i="24" s="1"/>
  <c r="Y209" i="24" s="1"/>
  <c r="G142" i="24"/>
  <c r="CE142" i="6" s="1"/>
  <c r="AA142" i="24"/>
  <c r="Z142" i="24" s="1"/>
  <c r="Y142" i="24" s="1"/>
  <c r="G267" i="23"/>
  <c r="CD267" i="6" s="1"/>
  <c r="AA267" i="23"/>
  <c r="Z267" i="23" s="1"/>
  <c r="Y267" i="23" s="1"/>
  <c r="W20" i="24"/>
  <c r="D20" i="24"/>
  <c r="E20" i="24" s="1"/>
  <c r="F20" i="24" s="1"/>
  <c r="W57" i="25"/>
  <c r="D57" i="25"/>
  <c r="E57" i="25" s="1"/>
  <c r="F57" i="25" s="1"/>
  <c r="G57" i="24"/>
  <c r="CE57" i="6" s="1"/>
  <c r="AA57" i="24"/>
  <c r="Z57" i="24" s="1"/>
  <c r="Y57" i="24" s="1"/>
  <c r="D213" i="24"/>
  <c r="E213" i="24" s="1"/>
  <c r="F213" i="24" s="1"/>
  <c r="W213" i="24"/>
  <c r="G213" i="23"/>
  <c r="CD213" i="6" s="1"/>
  <c r="AA213" i="23"/>
  <c r="Z213" i="23" s="1"/>
  <c r="Y213" i="23" s="1"/>
  <c r="G229" i="24"/>
  <c r="CE229" i="6" s="1"/>
  <c r="AA229" i="24"/>
  <c r="Z229" i="24" s="1"/>
  <c r="Y229" i="24" s="1"/>
  <c r="W32" i="25"/>
  <c r="D32" i="25"/>
  <c r="E32" i="25" s="1"/>
  <c r="F32" i="25" s="1"/>
  <c r="D323" i="6"/>
  <c r="D351" i="6"/>
  <c r="D281" i="6"/>
  <c r="G354" i="24"/>
  <c r="CE354" i="6" s="1"/>
  <c r="AA354" i="24"/>
  <c r="Z354" i="24" s="1"/>
  <c r="Y354" i="24" s="1"/>
  <c r="AA114" i="23"/>
  <c r="Z114" i="23" s="1"/>
  <c r="Y114" i="23" s="1"/>
  <c r="G114" i="23"/>
  <c r="CD114" i="6" s="1"/>
  <c r="W84" i="24"/>
  <c r="D84" i="24"/>
  <c r="E84" i="24" s="1"/>
  <c r="F84" i="24" s="1"/>
  <c r="G33" i="24"/>
  <c r="CE33" i="6" s="1"/>
  <c r="AA33" i="24"/>
  <c r="Z33" i="24" s="1"/>
  <c r="Y33" i="24" s="1"/>
  <c r="G187" i="23"/>
  <c r="CD187" i="6" s="1"/>
  <c r="AA187" i="23"/>
  <c r="Z187" i="23" s="1"/>
  <c r="Y187" i="23" s="1"/>
  <c r="W75" i="24"/>
  <c r="D75" i="24"/>
  <c r="E75" i="24" s="1"/>
  <c r="F75" i="24" s="1"/>
  <c r="G66" i="24"/>
  <c r="CE66" i="6" s="1"/>
  <c r="AA66" i="24"/>
  <c r="Z66" i="24" s="1"/>
  <c r="Y66" i="24" s="1"/>
  <c r="W197" i="25"/>
  <c r="D197" i="25"/>
  <c r="E197" i="25" s="1"/>
  <c r="F197" i="25" s="1"/>
  <c r="G197" i="24"/>
  <c r="CE197" i="6" s="1"/>
  <c r="AA197" i="24"/>
  <c r="Z197" i="24" s="1"/>
  <c r="Y197" i="24" s="1"/>
  <c r="G104" i="23"/>
  <c r="CD104" i="6" s="1"/>
  <c r="AA104" i="23"/>
  <c r="Z104" i="23" s="1"/>
  <c r="Y104" i="23" s="1"/>
  <c r="W246" i="24"/>
  <c r="D246" i="24"/>
  <c r="E246" i="24" s="1"/>
  <c r="F246" i="24" s="1"/>
  <c r="J181" i="20"/>
  <c r="I181" i="20"/>
  <c r="H181" i="22" s="1"/>
  <c r="W51" i="24"/>
  <c r="D51" i="24"/>
  <c r="E51" i="24" s="1"/>
  <c r="F51" i="24" s="1"/>
  <c r="G36" i="23"/>
  <c r="CD36" i="6" s="1"/>
  <c r="AA36" i="23"/>
  <c r="Z36" i="23" s="1"/>
  <c r="Y36" i="23" s="1"/>
  <c r="G162" i="23"/>
  <c r="CD162" i="6" s="1"/>
  <c r="AA162" i="23"/>
  <c r="Z162" i="23" s="1"/>
  <c r="Y162" i="23" s="1"/>
  <c r="W340" i="24"/>
  <c r="D340" i="24"/>
  <c r="E340" i="24" s="1"/>
  <c r="F340" i="24" s="1"/>
  <c r="G340" i="23"/>
  <c r="CD340" i="6" s="1"/>
  <c r="AA340" i="23"/>
  <c r="Z340" i="23" s="1"/>
  <c r="Y340" i="23" s="1"/>
  <c r="J157" i="20"/>
  <c r="I157" i="20"/>
  <c r="H157" i="22" s="1"/>
  <c r="AA251" i="24"/>
  <c r="Z251" i="24" s="1"/>
  <c r="Y251" i="24" s="1"/>
  <c r="G251" i="24"/>
  <c r="CE251" i="6" s="1"/>
  <c r="D132" i="25"/>
  <c r="E132" i="25" s="1"/>
  <c r="F132" i="25" s="1"/>
  <c r="W132" i="25"/>
  <c r="D154" i="25"/>
  <c r="E154" i="25" s="1"/>
  <c r="F154" i="25" s="1"/>
  <c r="W154" i="25"/>
  <c r="I37" i="20"/>
  <c r="H37" i="22" s="1"/>
  <c r="D145" i="24"/>
  <c r="E145" i="24" s="1"/>
  <c r="F145" i="24" s="1"/>
  <c r="W145" i="24"/>
  <c r="D259" i="25"/>
  <c r="E259" i="25" s="1"/>
  <c r="F259" i="25" s="1"/>
  <c r="W259" i="25"/>
  <c r="J126" i="20"/>
  <c r="I307" i="20"/>
  <c r="H307" i="22" s="1"/>
  <c r="J307" i="20"/>
  <c r="W373" i="24"/>
  <c r="D373" i="24"/>
  <c r="E373" i="24" s="1"/>
  <c r="F373" i="24" s="1"/>
  <c r="G373" i="23"/>
  <c r="CD373" i="6" s="1"/>
  <c r="AA373" i="23"/>
  <c r="Z373" i="23" s="1"/>
  <c r="Y373" i="23" s="1"/>
  <c r="W266" i="24"/>
  <c r="D266" i="24"/>
  <c r="E266" i="24" s="1"/>
  <c r="F266" i="24" s="1"/>
  <c r="D360" i="25"/>
  <c r="E360" i="25" s="1"/>
  <c r="F360" i="25" s="1"/>
  <c r="W360" i="25"/>
  <c r="W72" i="24"/>
  <c r="D72" i="24"/>
  <c r="E72" i="24" s="1"/>
  <c r="F72" i="24" s="1"/>
  <c r="G314" i="23"/>
  <c r="CD314" i="6" s="1"/>
  <c r="AA314" i="23"/>
  <c r="Z314" i="23" s="1"/>
  <c r="Y314" i="23" s="1"/>
  <c r="W78" i="24"/>
  <c r="D78" i="24"/>
  <c r="E78" i="24" s="1"/>
  <c r="F78" i="24" s="1"/>
  <c r="G182" i="23"/>
  <c r="CD182" i="6" s="1"/>
  <c r="AA182" i="23"/>
  <c r="Z182" i="23" s="1"/>
  <c r="Y182" i="23" s="1"/>
  <c r="J332" i="20"/>
  <c r="I332" i="20"/>
  <c r="H332" i="22" s="1"/>
  <c r="W38" i="25"/>
  <c r="D38" i="25"/>
  <c r="E38" i="25" s="1"/>
  <c r="F38" i="25" s="1"/>
  <c r="D174" i="25"/>
  <c r="E174" i="25" s="1"/>
  <c r="F174" i="25" s="1"/>
  <c r="W174" i="25"/>
  <c r="G174" i="24"/>
  <c r="CE174" i="6" s="1"/>
  <c r="AA174" i="24"/>
  <c r="Z174" i="24" s="1"/>
  <c r="Y174" i="24" s="1"/>
  <c r="J270" i="20"/>
  <c r="I270" i="20"/>
  <c r="H270" i="22" s="1"/>
  <c r="I368" i="20"/>
  <c r="H368" i="22" s="1"/>
  <c r="J368" i="20"/>
  <c r="J154" i="20"/>
  <c r="I154" i="20"/>
  <c r="H154" i="22" s="1"/>
  <c r="I302" i="20"/>
  <c r="H302" i="22" s="1"/>
  <c r="J302" i="20"/>
  <c r="J63" i="20"/>
  <c r="I118" i="20"/>
  <c r="H118" i="22" s="1"/>
  <c r="J118" i="20"/>
  <c r="I93" i="20"/>
  <c r="H93" i="22" s="1"/>
  <c r="J93" i="20"/>
  <c r="I147" i="20"/>
  <c r="H147" i="22" s="1"/>
  <c r="J147" i="20"/>
  <c r="J293" i="20"/>
  <c r="I293" i="20"/>
  <c r="H293" i="22" s="1"/>
  <c r="J141" i="20"/>
  <c r="J257" i="20"/>
  <c r="I257" i="20"/>
  <c r="H257" i="22" s="1"/>
  <c r="J360" i="20"/>
  <c r="J41" i="20"/>
  <c r="I41" i="20"/>
  <c r="H41" i="22" s="1"/>
  <c r="J117" i="20"/>
  <c r="I117" i="20"/>
  <c r="H117" i="22" s="1"/>
  <c r="I343" i="20"/>
  <c r="H343" i="22" s="1"/>
  <c r="J82" i="20"/>
  <c r="I82" i="20"/>
  <c r="H82" i="22" s="1"/>
  <c r="I158" i="20"/>
  <c r="H158" i="22" s="1"/>
  <c r="J158" i="20"/>
  <c r="J305" i="20"/>
  <c r="I305" i="20"/>
  <c r="H305" i="22" s="1"/>
  <c r="I229" i="20"/>
  <c r="H229" i="22" s="1"/>
  <c r="J229" i="20"/>
  <c r="I100" i="20"/>
  <c r="H100" i="22" s="1"/>
  <c r="J95" i="20"/>
  <c r="I95" i="20"/>
  <c r="H95" i="22" s="1"/>
  <c r="J16" i="20"/>
  <c r="I16" i="20"/>
  <c r="H16" i="22" s="1"/>
  <c r="I255" i="20"/>
  <c r="H255" i="22" s="1"/>
  <c r="J255" i="20"/>
  <c r="J324" i="20"/>
  <c r="I68" i="20"/>
  <c r="H68" i="22" s="1"/>
  <c r="J68" i="20"/>
  <c r="I338" i="20"/>
  <c r="H338" i="22" s="1"/>
  <c r="J338" i="20"/>
  <c r="I50" i="20"/>
  <c r="H50" i="22" s="1"/>
  <c r="J50" i="20"/>
  <c r="I101" i="20"/>
  <c r="H101" i="22" s="1"/>
  <c r="J101" i="20"/>
  <c r="J168" i="20"/>
  <c r="I168" i="20"/>
  <c r="H168" i="22" s="1"/>
  <c r="J284" i="20"/>
  <c r="I284" i="20"/>
  <c r="H284" i="22" s="1"/>
  <c r="D77" i="24"/>
  <c r="E77" i="24" s="1"/>
  <c r="F77" i="24" s="1"/>
  <c r="W77" i="24"/>
  <c r="G77" i="23"/>
  <c r="CD77" i="6" s="1"/>
  <c r="AA77" i="23"/>
  <c r="Z77" i="23" s="1"/>
  <c r="Y77" i="23" s="1"/>
  <c r="D60" i="24"/>
  <c r="E60" i="24" s="1"/>
  <c r="F60" i="24" s="1"/>
  <c r="W60" i="24"/>
  <c r="G46" i="23"/>
  <c r="CD46" i="6" s="1"/>
  <c r="AA46" i="23"/>
  <c r="Z46" i="23" s="1"/>
  <c r="Y46" i="23" s="1"/>
  <c r="W319" i="25"/>
  <c r="D319" i="25"/>
  <c r="E319" i="25" s="1"/>
  <c r="F319" i="25" s="1"/>
  <c r="G101" i="24"/>
  <c r="CE101" i="6" s="1"/>
  <c r="AA101" i="24"/>
  <c r="Z101" i="24" s="1"/>
  <c r="Y101" i="24" s="1"/>
  <c r="D271" i="25"/>
  <c r="E271" i="25" s="1"/>
  <c r="F271" i="25" s="1"/>
  <c r="W271" i="25"/>
  <c r="G50" i="24"/>
  <c r="CE50" i="6" s="1"/>
  <c r="AA50" i="24"/>
  <c r="Z50" i="24" s="1"/>
  <c r="Y50" i="24" s="1"/>
  <c r="W128" i="24"/>
  <c r="D128" i="24"/>
  <c r="E128" i="24" s="1"/>
  <c r="F128" i="24" s="1"/>
  <c r="G176" i="23"/>
  <c r="CD176" i="6" s="1"/>
  <c r="AA176" i="23"/>
  <c r="Z176" i="23" s="1"/>
  <c r="Y176" i="23" s="1"/>
  <c r="AA308" i="24"/>
  <c r="Z308" i="24" s="1"/>
  <c r="Y308" i="24" s="1"/>
  <c r="G308" i="24"/>
  <c r="CE308" i="6" s="1"/>
  <c r="G47" i="24"/>
  <c r="CE47" i="6" s="1"/>
  <c r="AA47" i="24"/>
  <c r="Z47" i="24" s="1"/>
  <c r="Y47" i="24" s="1"/>
  <c r="G195" i="24"/>
  <c r="CE195" i="6" s="1"/>
  <c r="AA195" i="24"/>
  <c r="Z195" i="24" s="1"/>
  <c r="Y195" i="24" s="1"/>
  <c r="W221" i="25"/>
  <c r="D221" i="25"/>
  <c r="E221" i="25" s="1"/>
  <c r="F221" i="25" s="1"/>
  <c r="G112" i="23"/>
  <c r="CD112" i="6" s="1"/>
  <c r="AA112" i="23"/>
  <c r="Z112" i="23" s="1"/>
  <c r="Y112" i="23" s="1"/>
  <c r="D144" i="24"/>
  <c r="E144" i="24" s="1"/>
  <c r="F144" i="24" s="1"/>
  <c r="W144" i="24"/>
  <c r="D203" i="24"/>
  <c r="E203" i="24" s="1"/>
  <c r="F203" i="24" s="1"/>
  <c r="W203" i="24"/>
  <c r="G203" i="23"/>
  <c r="CD203" i="6" s="1"/>
  <c r="AA203" i="23"/>
  <c r="Z203" i="23" s="1"/>
  <c r="Y203" i="23" s="1"/>
  <c r="I277" i="20"/>
  <c r="H277" i="22" s="1"/>
  <c r="AA121" i="23"/>
  <c r="Z121" i="23" s="1"/>
  <c r="Y121" i="23" s="1"/>
  <c r="G121" i="23"/>
  <c r="CD121" i="6" s="1"/>
  <c r="W186" i="24"/>
  <c r="D186" i="24"/>
  <c r="E186" i="24" s="1"/>
  <c r="F186" i="24" s="1"/>
  <c r="G186" i="23"/>
  <c r="CD186" i="6" s="1"/>
  <c r="AA186" i="23"/>
  <c r="Z186" i="23" s="1"/>
  <c r="Y186" i="23" s="1"/>
  <c r="G242" i="24"/>
  <c r="CE242" i="6" s="1"/>
  <c r="AA242" i="24"/>
  <c r="Z242" i="24" s="1"/>
  <c r="Y242" i="24" s="1"/>
  <c r="J290" i="20"/>
  <c r="AA310" i="23"/>
  <c r="Z310" i="23" s="1"/>
  <c r="Y310" i="23" s="1"/>
  <c r="G310" i="23"/>
  <c r="CD310" i="6" s="1"/>
  <c r="D311" i="24"/>
  <c r="E311" i="24" s="1"/>
  <c r="F311" i="24" s="1"/>
  <c r="W311" i="24"/>
  <c r="G52" i="24"/>
  <c r="CE52" i="6" s="1"/>
  <c r="AA52" i="24"/>
  <c r="Z52" i="24" s="1"/>
  <c r="Y52" i="24" s="1"/>
  <c r="AA103" i="24"/>
  <c r="Z103" i="24" s="1"/>
  <c r="Y103" i="24" s="1"/>
  <c r="G103" i="24"/>
  <c r="CE103" i="6" s="1"/>
  <c r="W235" i="25"/>
  <c r="D235" i="25"/>
  <c r="E235" i="25" s="1"/>
  <c r="F235" i="25" s="1"/>
  <c r="J232" i="20"/>
  <c r="G119" i="23"/>
  <c r="CD119" i="6" s="1"/>
  <c r="AA119" i="23"/>
  <c r="Z119" i="23" s="1"/>
  <c r="Y119" i="23" s="1"/>
  <c r="W196" i="24"/>
  <c r="D196" i="24"/>
  <c r="E196" i="24" s="1"/>
  <c r="F196" i="24" s="1"/>
  <c r="G67" i="23"/>
  <c r="CD67" i="6" s="1"/>
  <c r="AA67" i="23"/>
  <c r="Z67" i="23" s="1"/>
  <c r="Y67" i="23" s="1"/>
  <c r="J249" i="20"/>
  <c r="G317" i="23"/>
  <c r="CD317" i="6" s="1"/>
  <c r="AA317" i="23"/>
  <c r="Z317" i="23" s="1"/>
  <c r="Y317" i="23" s="1"/>
  <c r="J42" i="20"/>
  <c r="I42" i="20"/>
  <c r="H42" i="22" s="1"/>
  <c r="G220" i="23"/>
  <c r="CD220" i="6" s="1"/>
  <c r="AA220" i="23"/>
  <c r="Z220" i="23" s="1"/>
  <c r="Y220" i="23" s="1"/>
  <c r="AA87" i="23"/>
  <c r="Z87" i="23" s="1"/>
  <c r="Y87" i="23" s="1"/>
  <c r="G87" i="23"/>
  <c r="CD87" i="6" s="1"/>
  <c r="D371" i="24"/>
  <c r="E371" i="24" s="1"/>
  <c r="F371" i="24" s="1"/>
  <c r="W371" i="24"/>
  <c r="D108" i="25"/>
  <c r="E108" i="25" s="1"/>
  <c r="F108" i="25" s="1"/>
  <c r="W108" i="25"/>
  <c r="W191" i="24"/>
  <c r="D191" i="24"/>
  <c r="E191" i="24" s="1"/>
  <c r="F191" i="24" s="1"/>
  <c r="G191" i="23"/>
  <c r="CD191" i="6" s="1"/>
  <c r="AA191" i="23"/>
  <c r="Z191" i="23" s="1"/>
  <c r="Y191" i="23" s="1"/>
  <c r="I267" i="20"/>
  <c r="H267" i="22" s="1"/>
  <c r="D337" i="25"/>
  <c r="E337" i="25" s="1"/>
  <c r="F337" i="25" s="1"/>
  <c r="W337" i="25"/>
  <c r="D115" i="24"/>
  <c r="E115" i="24" s="1"/>
  <c r="F115" i="24" s="1"/>
  <c r="W115" i="24"/>
  <c r="D345" i="24"/>
  <c r="E345" i="24" s="1"/>
  <c r="F345" i="24" s="1"/>
  <c r="W345" i="24"/>
  <c r="G44" i="23"/>
  <c r="CD44" i="6" s="1"/>
  <c r="AA44" i="23"/>
  <c r="Z44" i="23" s="1"/>
  <c r="Y44" i="23" s="1"/>
  <c r="G156" i="23"/>
  <c r="CD156" i="6" s="1"/>
  <c r="AA156" i="23"/>
  <c r="Z156" i="23" s="1"/>
  <c r="Y156" i="23" s="1"/>
  <c r="W73" i="24"/>
  <c r="D73" i="24"/>
  <c r="E73" i="24" s="1"/>
  <c r="F73" i="24" s="1"/>
  <c r="AA73" i="23"/>
  <c r="Z73" i="23" s="1"/>
  <c r="Y73" i="23" s="1"/>
  <c r="G73" i="23"/>
  <c r="CD73" i="6" s="1"/>
  <c r="G76" i="23"/>
  <c r="CD76" i="6" s="1"/>
  <c r="AA76" i="23"/>
  <c r="Z76" i="23" s="1"/>
  <c r="Y76" i="23" s="1"/>
  <c r="J363" i="20"/>
  <c r="I316" i="20"/>
  <c r="H316" i="22" s="1"/>
  <c r="J316" i="20"/>
  <c r="J59" i="20"/>
  <c r="J237" i="20"/>
  <c r="J243" i="20"/>
  <c r="AA283" i="23"/>
  <c r="Z283" i="23" s="1"/>
  <c r="Y283" i="23" s="1"/>
  <c r="G283" i="23"/>
  <c r="CD283" i="6" s="1"/>
  <c r="J99" i="20"/>
  <c r="I99" i="20"/>
  <c r="H99" i="22" s="1"/>
  <c r="G318" i="23"/>
  <c r="CD318" i="6" s="1"/>
  <c r="AA318" i="23"/>
  <c r="Z318" i="23" s="1"/>
  <c r="Y318" i="23" s="1"/>
  <c r="G35" i="24"/>
  <c r="CE35" i="6" s="1"/>
  <c r="AA35" i="24"/>
  <c r="Z35" i="24" s="1"/>
  <c r="Y35" i="24" s="1"/>
  <c r="G74" i="23"/>
  <c r="CD74" i="6" s="1"/>
  <c r="AA74" i="23"/>
  <c r="Z74" i="23" s="1"/>
  <c r="Y74" i="23" s="1"/>
  <c r="W287" i="24"/>
  <c r="D287" i="24"/>
  <c r="E287" i="24" s="1"/>
  <c r="F287" i="24" s="1"/>
  <c r="D255" i="25"/>
  <c r="E255" i="25" s="1"/>
  <c r="F255" i="25" s="1"/>
  <c r="W255" i="25"/>
  <c r="G273" i="23"/>
  <c r="CD273" i="6" s="1"/>
  <c r="AA273" i="23"/>
  <c r="Z273" i="23" s="1"/>
  <c r="Y273" i="23" s="1"/>
  <c r="AA56" i="23"/>
  <c r="Z56" i="23" s="1"/>
  <c r="Y56" i="23" s="1"/>
  <c r="G56" i="23"/>
  <c r="CD56" i="6" s="1"/>
  <c r="W170" i="25"/>
  <c r="D170" i="25"/>
  <c r="E170" i="25" s="1"/>
  <c r="F170" i="25" s="1"/>
  <c r="W328" i="24"/>
  <c r="D328" i="24"/>
  <c r="E328" i="24" s="1"/>
  <c r="F328" i="24" s="1"/>
  <c r="D151" i="25"/>
  <c r="E151" i="25" s="1"/>
  <c r="F151" i="25" s="1"/>
  <c r="W151" i="25"/>
  <c r="G231" i="24"/>
  <c r="CE231" i="6" s="1"/>
  <c r="AA231" i="24"/>
  <c r="Z231" i="24" s="1"/>
  <c r="Y231" i="24" s="1"/>
  <c r="W27" i="24"/>
  <c r="D27" i="24"/>
  <c r="E27" i="24" s="1"/>
  <c r="F27" i="24" s="1"/>
  <c r="G256" i="23"/>
  <c r="CD256" i="6" s="1"/>
  <c r="AA256" i="23"/>
  <c r="Z256" i="23" s="1"/>
  <c r="Y256" i="23" s="1"/>
  <c r="W330" i="24"/>
  <c r="D330" i="24"/>
  <c r="E330" i="24" s="1"/>
  <c r="F330" i="24" s="1"/>
  <c r="W41" i="25"/>
  <c r="D41" i="25"/>
  <c r="E41" i="25" s="1"/>
  <c r="F41" i="25" s="1"/>
  <c r="G91" i="24"/>
  <c r="CE91" i="6" s="1"/>
  <c r="AA91" i="24"/>
  <c r="Z91" i="24" s="1"/>
  <c r="Y91" i="24" s="1"/>
  <c r="W117" i="25"/>
  <c r="D117" i="25"/>
  <c r="E117" i="25" s="1"/>
  <c r="F117" i="25" s="1"/>
  <c r="G117" i="24"/>
  <c r="CE117" i="6" s="1"/>
  <c r="AA117" i="24"/>
  <c r="Z117" i="24" s="1"/>
  <c r="Y117" i="24" s="1"/>
  <c r="G165" i="23"/>
  <c r="CD165" i="6" s="1"/>
  <c r="AA165" i="23"/>
  <c r="Z165" i="23" s="1"/>
  <c r="Y165" i="23" s="1"/>
  <c r="D264" i="24"/>
  <c r="E264" i="24" s="1"/>
  <c r="F264" i="24" s="1"/>
  <c r="W264" i="24"/>
  <c r="D204" i="25"/>
  <c r="E204" i="25" s="1"/>
  <c r="F204" i="25" s="1"/>
  <c r="W204" i="25"/>
  <c r="W252" i="25"/>
  <c r="D252" i="25"/>
  <c r="E252" i="25" s="1"/>
  <c r="F252" i="25" s="1"/>
  <c r="AA157" i="23"/>
  <c r="Z157" i="23" s="1"/>
  <c r="Y157" i="23" s="1"/>
  <c r="G157" i="23"/>
  <c r="CD157" i="6" s="1"/>
  <c r="G295" i="23"/>
  <c r="CD295" i="6" s="1"/>
  <c r="AA295" i="23"/>
  <c r="Z295" i="23" s="1"/>
  <c r="Y295" i="23" s="1"/>
  <c r="W248" i="24"/>
  <c r="D248" i="24"/>
  <c r="E248" i="24" s="1"/>
  <c r="F248" i="24" s="1"/>
  <c r="W140" i="24"/>
  <c r="D140" i="24"/>
  <c r="E140" i="24" s="1"/>
  <c r="F140" i="24" s="1"/>
  <c r="AA93" i="24"/>
  <c r="Z93" i="24" s="1"/>
  <c r="Y93" i="24" s="1"/>
  <c r="G93" i="24"/>
  <c r="CE93" i="6" s="1"/>
  <c r="AA341" i="24"/>
  <c r="Z341" i="24" s="1"/>
  <c r="Y341" i="24" s="1"/>
  <c r="G341" i="24"/>
  <c r="CE341" i="6" s="1"/>
  <c r="G34" i="23"/>
  <c r="CD34" i="6" s="1"/>
  <c r="AA34" i="23"/>
  <c r="Z34" i="23" s="1"/>
  <c r="Y34" i="23" s="1"/>
  <c r="AA126" i="23"/>
  <c r="Z126" i="23" s="1"/>
  <c r="Y126" i="23" s="1"/>
  <c r="G126" i="23"/>
  <c r="CD126" i="6" s="1"/>
  <c r="W250" i="24"/>
  <c r="D250" i="24"/>
  <c r="E250" i="24" s="1"/>
  <c r="F250" i="24" s="1"/>
  <c r="J372" i="20"/>
  <c r="I372" i="20"/>
  <c r="H372" i="22" s="1"/>
  <c r="D357" i="24"/>
  <c r="E357" i="24" s="1"/>
  <c r="F357" i="24" s="1"/>
  <c r="W357" i="24"/>
  <c r="D238" i="25"/>
  <c r="E238" i="25" s="1"/>
  <c r="F238" i="25" s="1"/>
  <c r="W238" i="25"/>
  <c r="G113" i="24"/>
  <c r="CE113" i="6" s="1"/>
  <c r="AA113" i="24"/>
  <c r="Z113" i="24" s="1"/>
  <c r="Y113" i="24" s="1"/>
  <c r="AA239" i="23"/>
  <c r="Z239" i="23" s="1"/>
  <c r="Y239" i="23" s="1"/>
  <c r="G239" i="23"/>
  <c r="CD239" i="6" s="1"/>
  <c r="I315" i="20"/>
  <c r="H315" i="22" s="1"/>
  <c r="J315" i="20"/>
  <c r="I72" i="20"/>
  <c r="H72" i="22" s="1"/>
  <c r="J72" i="20"/>
  <c r="D168" i="25"/>
  <c r="E168" i="25" s="1"/>
  <c r="F168" i="25" s="1"/>
  <c r="W168" i="25"/>
  <c r="D200" i="25"/>
  <c r="E200" i="25" s="1"/>
  <c r="F200" i="25" s="1"/>
  <c r="W200" i="25"/>
  <c r="G200" i="24"/>
  <c r="CE200" i="6" s="1"/>
  <c r="AA200" i="24"/>
  <c r="Z200" i="24" s="1"/>
  <c r="Y200" i="24" s="1"/>
  <c r="G98" i="23"/>
  <c r="CD98" i="6" s="1"/>
  <c r="AA98" i="23"/>
  <c r="Z98" i="23" s="1"/>
  <c r="Y98" i="23" s="1"/>
  <c r="D163" i="24"/>
  <c r="E163" i="24" s="1"/>
  <c r="F163" i="24" s="1"/>
  <c r="W163" i="24"/>
  <c r="J30" i="20"/>
  <c r="I177" i="20"/>
  <c r="H177" i="22" s="1"/>
  <c r="I111" i="20"/>
  <c r="H111" i="22" s="1"/>
  <c r="J66" i="20"/>
  <c r="J271" i="20"/>
  <c r="I178" i="20"/>
  <c r="H178" i="22" s="1"/>
  <c r="I336" i="20"/>
  <c r="H336" i="22" s="1"/>
  <c r="I209" i="20"/>
  <c r="H209" i="22" s="1"/>
  <c r="I285" i="20"/>
  <c r="H285" i="22" s="1"/>
  <c r="J375" i="20"/>
  <c r="J113" i="20"/>
  <c r="J199" i="20"/>
  <c r="J204" i="20"/>
  <c r="I204" i="20"/>
  <c r="H204" i="22" s="1"/>
  <c r="J252" i="20"/>
  <c r="J331" i="20"/>
  <c r="J18" i="20"/>
  <c r="I327" i="20"/>
  <c r="H327" i="22" s="1"/>
  <c r="I153" i="20"/>
  <c r="H153" i="22" s="1"/>
  <c r="W210" i="24"/>
  <c r="D210" i="24"/>
  <c r="E210" i="24" s="1"/>
  <c r="F210" i="24" s="1"/>
  <c r="W149" i="25"/>
  <c r="D149" i="25"/>
  <c r="E149" i="25" s="1"/>
  <c r="F149" i="25" s="1"/>
  <c r="W194" i="24"/>
  <c r="D194" i="24"/>
  <c r="E194" i="24" s="1"/>
  <c r="F194" i="24" s="1"/>
  <c r="G194" i="23"/>
  <c r="CD194" i="6" s="1"/>
  <c r="AA194" i="23"/>
  <c r="Z194" i="23" s="1"/>
  <c r="Y194" i="23" s="1"/>
  <c r="W61" i="24"/>
  <c r="D61" i="24"/>
  <c r="E61" i="24" s="1"/>
  <c r="F61" i="24" s="1"/>
  <c r="G89" i="23"/>
  <c r="CD89" i="6" s="1"/>
  <c r="AA89" i="23"/>
  <c r="Z89" i="23" s="1"/>
  <c r="Y89" i="23" s="1"/>
  <c r="D230" i="25"/>
  <c r="E230" i="25" s="1"/>
  <c r="F230" i="25" s="1"/>
  <c r="W230" i="25"/>
  <c r="W45" i="24"/>
  <c r="D45" i="24"/>
  <c r="E45" i="24" s="1"/>
  <c r="F45" i="24" s="1"/>
  <c r="G45" i="23"/>
  <c r="CD45" i="6" s="1"/>
  <c r="AA45" i="23"/>
  <c r="Z45" i="23" s="1"/>
  <c r="Y45" i="23" s="1"/>
  <c r="G123" i="23"/>
  <c r="CD123" i="6" s="1"/>
  <c r="AA123" i="23"/>
  <c r="Z123" i="23" s="1"/>
  <c r="Y123" i="23" s="1"/>
  <c r="D233" i="24"/>
  <c r="E233" i="24" s="1"/>
  <c r="F233" i="24" s="1"/>
  <c r="W233" i="24"/>
  <c r="G326" i="24"/>
  <c r="CE326" i="6" s="1"/>
  <c r="AA326" i="24"/>
  <c r="Z326" i="24" s="1"/>
  <c r="Y326" i="24" s="1"/>
  <c r="W193" i="25"/>
  <c r="D193" i="25"/>
  <c r="E193" i="25" s="1"/>
  <c r="F193" i="25" s="1"/>
  <c r="AA193" i="24"/>
  <c r="Z193" i="24" s="1"/>
  <c r="Y193" i="24" s="1"/>
  <c r="G193" i="24"/>
  <c r="CE193" i="6" s="1"/>
  <c r="W277" i="24"/>
  <c r="D277" i="24"/>
  <c r="E277" i="24" s="1"/>
  <c r="F277" i="24" s="1"/>
  <c r="AA325" i="23"/>
  <c r="Z325" i="23" s="1"/>
  <c r="Y325" i="23" s="1"/>
  <c r="G325" i="23"/>
  <c r="CD325" i="6" s="1"/>
  <c r="D26" i="25"/>
  <c r="E26" i="25" s="1"/>
  <c r="F26" i="25" s="1"/>
  <c r="W26" i="25"/>
  <c r="G30" i="24"/>
  <c r="CE30" i="6" s="1"/>
  <c r="AA30" i="24"/>
  <c r="Z30" i="24" s="1"/>
  <c r="Y30" i="24" s="1"/>
  <c r="G338" i="24"/>
  <c r="CE338" i="6" s="1"/>
  <c r="AA338" i="24"/>
  <c r="Z338" i="24" s="1"/>
  <c r="Y338" i="24" s="1"/>
  <c r="W309" i="24"/>
  <c r="D309" i="24"/>
  <c r="E309" i="24" s="1"/>
  <c r="F309" i="24" s="1"/>
  <c r="G62" i="23"/>
  <c r="CD62" i="6" s="1"/>
  <c r="AA62" i="23"/>
  <c r="Z62" i="23" s="1"/>
  <c r="Y62" i="23" s="1"/>
  <c r="W232" i="24"/>
  <c r="D232" i="24"/>
  <c r="E232" i="24" s="1"/>
  <c r="F232" i="24" s="1"/>
  <c r="G368" i="24"/>
  <c r="CE368" i="6" s="1"/>
  <c r="AA368" i="24"/>
  <c r="Z368" i="24" s="1"/>
  <c r="Y368" i="24" s="1"/>
  <c r="W276" i="25"/>
  <c r="D276" i="25"/>
  <c r="E276" i="25" s="1"/>
  <c r="F276" i="25" s="1"/>
  <c r="AA276" i="24"/>
  <c r="Z276" i="24" s="1"/>
  <c r="Y276" i="24" s="1"/>
  <c r="G276" i="24"/>
  <c r="CE276" i="6" s="1"/>
  <c r="G49" i="23"/>
  <c r="CD49" i="6" s="1"/>
  <c r="AA49" i="23"/>
  <c r="Z49" i="23" s="1"/>
  <c r="Y49" i="23" s="1"/>
  <c r="W291" i="24"/>
  <c r="D291" i="24"/>
  <c r="E291" i="24" s="1"/>
  <c r="F291" i="24" s="1"/>
  <c r="W339" i="24"/>
  <c r="D339" i="24"/>
  <c r="E339" i="24" s="1"/>
  <c r="F339" i="24" s="1"/>
  <c r="G141" i="24"/>
  <c r="CE141" i="6" s="1"/>
  <c r="AA141" i="24"/>
  <c r="Z141" i="24" s="1"/>
  <c r="Y141" i="24" s="1"/>
  <c r="AA172" i="24"/>
  <c r="Z172" i="24" s="1"/>
  <c r="Y172" i="24" s="1"/>
  <c r="G172" i="24"/>
  <c r="CE172" i="6" s="1"/>
  <c r="D280" i="25"/>
  <c r="E280" i="25" s="1"/>
  <c r="F280" i="25" s="1"/>
  <c r="W280" i="25"/>
  <c r="G324" i="24"/>
  <c r="CE324" i="6" s="1"/>
  <c r="AA324" i="24"/>
  <c r="Z324" i="24" s="1"/>
  <c r="Y324" i="24" s="1"/>
  <c r="W134" i="25"/>
  <c r="D134" i="25"/>
  <c r="E134" i="25" s="1"/>
  <c r="F134" i="25" s="1"/>
  <c r="D100" i="25"/>
  <c r="E100" i="25" s="1"/>
  <c r="F100" i="25" s="1"/>
  <c r="W100" i="25"/>
  <c r="J75" i="20" l="1"/>
  <c r="I75" i="20"/>
  <c r="H75" i="22" s="1"/>
  <c r="I75" i="22" s="1"/>
  <c r="H75" i="23" s="1"/>
  <c r="I24" i="20"/>
  <c r="H24" i="22" s="1"/>
  <c r="I24" i="22" s="1"/>
  <c r="H24" i="23" s="1"/>
  <c r="J24" i="20"/>
  <c r="J268" i="20"/>
  <c r="I268" i="20"/>
  <c r="H268" i="22" s="1"/>
  <c r="J268" i="22" s="1"/>
  <c r="J98" i="20"/>
  <c r="I98" i="20"/>
  <c r="H98" i="22" s="1"/>
  <c r="J345" i="20"/>
  <c r="I345" i="20"/>
  <c r="H345" i="22" s="1"/>
  <c r="I291" i="20"/>
  <c r="H291" i="22" s="1"/>
  <c r="I291" i="22" s="1"/>
  <c r="H291" i="23" s="1"/>
  <c r="I291" i="23" s="1"/>
  <c r="H291" i="24" s="1"/>
  <c r="J291" i="20"/>
  <c r="I263" i="20"/>
  <c r="H263" i="22" s="1"/>
  <c r="I263" i="22" s="1"/>
  <c r="H263" i="23" s="1"/>
  <c r="I263" i="23" s="1"/>
  <c r="H263" i="24" s="1"/>
  <c r="J263" i="20"/>
  <c r="I185" i="20"/>
  <c r="H185" i="22" s="1"/>
  <c r="I185" i="22" s="1"/>
  <c r="H185" i="23" s="1"/>
  <c r="J185" i="20"/>
  <c r="I361" i="20"/>
  <c r="H361" i="22" s="1"/>
  <c r="I361" i="22" s="1"/>
  <c r="H361" i="23" s="1"/>
  <c r="I361" i="23" s="1"/>
  <c r="H361" i="24" s="1"/>
  <c r="J361" i="20"/>
  <c r="J55" i="20"/>
  <c r="I164" i="20"/>
  <c r="H164" i="22" s="1"/>
  <c r="I193" i="20"/>
  <c r="H193" i="22" s="1"/>
  <c r="J193" i="22" s="1"/>
  <c r="I288" i="20"/>
  <c r="H288" i="22" s="1"/>
  <c r="J318" i="20"/>
  <c r="J318" i="22" s="1"/>
  <c r="J57" i="20"/>
  <c r="I298" i="20"/>
  <c r="H298" i="22" s="1"/>
  <c r="J298" i="22" s="1"/>
  <c r="I262" i="20"/>
  <c r="H262" i="22" s="1"/>
  <c r="J189" i="20"/>
  <c r="J189" i="22" s="1"/>
  <c r="I231" i="20"/>
  <c r="H231" i="22" s="1"/>
  <c r="I258" i="20"/>
  <c r="H258" i="22" s="1"/>
  <c r="I258" i="22" s="1"/>
  <c r="H258" i="23" s="1"/>
  <c r="I207" i="20"/>
  <c r="H207" i="22" s="1"/>
  <c r="I359" i="20"/>
  <c r="H359" i="22" s="1"/>
  <c r="J359" i="22" s="1"/>
  <c r="I174" i="20"/>
  <c r="H174" i="22" s="1"/>
  <c r="J161" i="20"/>
  <c r="I78" i="20"/>
  <c r="H78" i="22" s="1"/>
  <c r="J329" i="20"/>
  <c r="J35" i="20"/>
  <c r="J70" i="20"/>
  <c r="J70" i="22" s="1"/>
  <c r="J351" i="20"/>
  <c r="J326" i="20"/>
  <c r="I227" i="20"/>
  <c r="H227" i="22" s="1"/>
  <c r="J353" i="20"/>
  <c r="I286" i="20"/>
  <c r="H286" i="22" s="1"/>
  <c r="I200" i="20"/>
  <c r="H200" i="22" s="1"/>
  <c r="J200" i="22" s="1"/>
  <c r="I172" i="20"/>
  <c r="H172" i="22" s="1"/>
  <c r="I230" i="20"/>
  <c r="H230" i="22" s="1"/>
  <c r="I230" i="22" s="1"/>
  <c r="H230" i="23" s="1"/>
  <c r="I346" i="20"/>
  <c r="H346" i="22" s="1"/>
  <c r="J115" i="20"/>
  <c r="J115" i="22" s="1"/>
  <c r="J115" i="23" s="1"/>
  <c r="J194" i="20"/>
  <c r="J194" i="22" s="1"/>
  <c r="I186" i="20"/>
  <c r="H186" i="22" s="1"/>
  <c r="I186" i="22" s="1"/>
  <c r="H186" i="23" s="1"/>
  <c r="I186" i="23" s="1"/>
  <c r="H186" i="24" s="1"/>
  <c r="I314" i="20"/>
  <c r="H314" i="22" s="1"/>
  <c r="I143" i="20"/>
  <c r="H143" i="22" s="1"/>
  <c r="I143" i="22" s="1"/>
  <c r="H143" i="23" s="1"/>
  <c r="J53" i="20"/>
  <c r="J53" i="22" s="1"/>
  <c r="I176" i="20"/>
  <c r="H176" i="22" s="1"/>
  <c r="I176" i="22" s="1"/>
  <c r="H176" i="23" s="1"/>
  <c r="I273" i="20"/>
  <c r="H273" i="22" s="1"/>
  <c r="I273" i="22" s="1"/>
  <c r="H273" i="23" s="1"/>
  <c r="J162" i="20"/>
  <c r="J162" i="22" s="1"/>
  <c r="J162" i="23" s="1"/>
  <c r="J73" i="20"/>
  <c r="J85" i="22"/>
  <c r="J88" i="22"/>
  <c r="J235" i="20"/>
  <c r="J235" i="22" s="1"/>
  <c r="I79" i="20"/>
  <c r="H79" i="22" s="1"/>
  <c r="I79" i="22" s="1"/>
  <c r="H79" i="23" s="1"/>
  <c r="I367" i="20"/>
  <c r="H367" i="22" s="1"/>
  <c r="J367" i="22" s="1"/>
  <c r="I211" i="20"/>
  <c r="H211" i="22" s="1"/>
  <c r="I211" i="22" s="1"/>
  <c r="H211" i="23" s="1"/>
  <c r="J103" i="20"/>
  <c r="J103" i="22" s="1"/>
  <c r="J40" i="20"/>
  <c r="I280" i="20"/>
  <c r="H280" i="22" s="1"/>
  <c r="I280" i="22" s="1"/>
  <c r="H280" i="23" s="1"/>
  <c r="I341" i="20"/>
  <c r="H341" i="22" s="1"/>
  <c r="J341" i="22" s="1"/>
  <c r="I47" i="20"/>
  <c r="H47" i="22" s="1"/>
  <c r="J47" i="22" s="1"/>
  <c r="I308" i="20"/>
  <c r="H308" i="22" s="1"/>
  <c r="J308" i="22" s="1"/>
  <c r="J106" i="20"/>
  <c r="J130" i="20"/>
  <c r="J130" i="22" s="1"/>
  <c r="I17" i="20"/>
  <c r="H17" i="22" s="1"/>
  <c r="J17" i="22" s="1"/>
  <c r="J54" i="20"/>
  <c r="J269" i="20"/>
  <c r="I301" i="20"/>
  <c r="H301" i="22" s="1"/>
  <c r="J301" i="22" s="1"/>
  <c r="J340" i="20"/>
  <c r="J340" i="22" s="1"/>
  <c r="J165" i="20"/>
  <c r="J216" i="20"/>
  <c r="I92" i="20"/>
  <c r="H92" i="22" s="1"/>
  <c r="I92" i="22" s="1"/>
  <c r="H92" i="23" s="1"/>
  <c r="J108" i="20"/>
  <c r="J108" i="22" s="1"/>
  <c r="J354" i="20"/>
  <c r="I116" i="20"/>
  <c r="H116" i="22" s="1"/>
  <c r="J116" i="22" s="1"/>
  <c r="I122" i="20"/>
  <c r="H122" i="22" s="1"/>
  <c r="J122" i="22" s="1"/>
  <c r="J314" i="22"/>
  <c r="X4" i="6"/>
  <c r="J220" i="20"/>
  <c r="J220" i="22" s="1"/>
  <c r="J220" i="23" s="1"/>
  <c r="I156" i="20"/>
  <c r="H156" i="22" s="1"/>
  <c r="I156" i="22" s="1"/>
  <c r="H156" i="23" s="1"/>
  <c r="I156" i="23" s="1"/>
  <c r="H156" i="24" s="1"/>
  <c r="I159" i="20"/>
  <c r="H159" i="22" s="1"/>
  <c r="J159" i="22" s="1"/>
  <c r="D213" i="6"/>
  <c r="AB4" i="6"/>
  <c r="D225" i="6"/>
  <c r="AC4" i="6"/>
  <c r="D303" i="6"/>
  <c r="AH4" i="6"/>
  <c r="D45" i="6"/>
  <c r="P4" i="6"/>
  <c r="D127" i="6"/>
  <c r="V4" i="6"/>
  <c r="D244" i="6"/>
  <c r="AD4" i="6"/>
  <c r="D75" i="6"/>
  <c r="R4" i="6"/>
  <c r="D102" i="6"/>
  <c r="T4" i="6"/>
  <c r="D339" i="6"/>
  <c r="AK4" i="6"/>
  <c r="D292" i="6"/>
  <c r="AG4" i="6"/>
  <c r="D123" i="6"/>
  <c r="U4" i="6"/>
  <c r="D182" i="6"/>
  <c r="Y4" i="6"/>
  <c r="D184" i="6"/>
  <c r="Z4" i="6"/>
  <c r="D273" i="6"/>
  <c r="AF4" i="6"/>
  <c r="D352" i="6"/>
  <c r="AL4" i="6"/>
  <c r="D198" i="6"/>
  <c r="AA4" i="6"/>
  <c r="D309" i="6"/>
  <c r="AI4" i="6"/>
  <c r="D144" i="6"/>
  <c r="W4" i="6"/>
  <c r="D254" i="6"/>
  <c r="AE4" i="6"/>
  <c r="D29" i="6"/>
  <c r="O4" i="6"/>
  <c r="D62" i="6"/>
  <c r="Q4" i="6"/>
  <c r="J303" i="20"/>
  <c r="J303" i="22" s="1"/>
  <c r="I376" i="20"/>
  <c r="H376" i="22" s="1"/>
  <c r="J376" i="22" s="1"/>
  <c r="I223" i="20"/>
  <c r="H223" i="22" s="1"/>
  <c r="I223" i="22" s="1"/>
  <c r="H223" i="23" s="1"/>
  <c r="I133" i="20"/>
  <c r="H133" i="22" s="1"/>
  <c r="I133" i="22" s="1"/>
  <c r="H133" i="23" s="1"/>
  <c r="I133" i="23" s="1"/>
  <c r="H133" i="24" s="1"/>
  <c r="J182" i="20"/>
  <c r="J182" i="22" s="1"/>
  <c r="J148" i="20"/>
  <c r="J148" i="22" s="1"/>
  <c r="J325" i="20"/>
  <c r="J325" i="22" s="1"/>
  <c r="J325" i="23" s="1"/>
  <c r="I349" i="20"/>
  <c r="H349" i="22" s="1"/>
  <c r="I349" i="22" s="1"/>
  <c r="H349" i="23" s="1"/>
  <c r="I349" i="23" s="1"/>
  <c r="H349" i="24" s="1"/>
  <c r="I378" i="20"/>
  <c r="H378" i="22" s="1"/>
  <c r="J378" i="22" s="1"/>
  <c r="J261" i="20"/>
  <c r="J261" i="22" s="1"/>
  <c r="J261" i="23" s="1"/>
  <c r="J25" i="22"/>
  <c r="J22" i="20"/>
  <c r="J362" i="20"/>
  <c r="J362" i="22" s="1"/>
  <c r="J48" i="20"/>
  <c r="J48" i="22" s="1"/>
  <c r="I98" i="22"/>
  <c r="H98" i="23" s="1"/>
  <c r="I98" i="23" s="1"/>
  <c r="H98" i="24" s="1"/>
  <c r="I365" i="20"/>
  <c r="H365" i="22" s="1"/>
  <c r="J365" i="22" s="1"/>
  <c r="J254" i="20"/>
  <c r="J254" i="22" s="1"/>
  <c r="J256" i="20"/>
  <c r="J256" i="22" s="1"/>
  <c r="I104" i="20"/>
  <c r="H104" i="22" s="1"/>
  <c r="I104" i="22" s="1"/>
  <c r="H104" i="23" s="1"/>
  <c r="I330" i="20"/>
  <c r="H330" i="22" s="1"/>
  <c r="I330" i="22" s="1"/>
  <c r="H330" i="23" s="1"/>
  <c r="J219" i="20"/>
  <c r="J219" i="22" s="1"/>
  <c r="I29" i="20"/>
  <c r="H29" i="22" s="1"/>
  <c r="I29" i="22" s="1"/>
  <c r="H29" i="23" s="1"/>
  <c r="J210" i="20"/>
  <c r="J210" i="22" s="1"/>
  <c r="J203" i="22"/>
  <c r="AJ4" i="6"/>
  <c r="G270" i="24"/>
  <c r="CE270" i="6" s="1"/>
  <c r="G167" i="24"/>
  <c r="CE167" i="6" s="1"/>
  <c r="I123" i="20"/>
  <c r="H123" i="22" s="1"/>
  <c r="J123" i="22" s="1"/>
  <c r="J357" i="20"/>
  <c r="J357" i="22" s="1"/>
  <c r="J225" i="20"/>
  <c r="J225" i="22" s="1"/>
  <c r="D167" i="25"/>
  <c r="E167" i="25" s="1"/>
  <c r="F167" i="25" s="1"/>
  <c r="AA167" i="25" s="1"/>
  <c r="Z167" i="25" s="1"/>
  <c r="Y167" i="25" s="1"/>
  <c r="J46" i="20"/>
  <c r="J46" i="22" s="1"/>
  <c r="J46" i="23" s="1"/>
  <c r="J169" i="22"/>
  <c r="J184" i="20"/>
  <c r="J184" i="22" s="1"/>
  <c r="J184" i="23" s="1"/>
  <c r="J62" i="20"/>
  <c r="J62" i="22" s="1"/>
  <c r="J62" i="23" s="1"/>
  <c r="I128" i="20"/>
  <c r="H128" i="22" s="1"/>
  <c r="I128" i="22" s="1"/>
  <c r="H128" i="23" s="1"/>
  <c r="I128" i="23" s="1"/>
  <c r="H128" i="24" s="1"/>
  <c r="J251" i="23"/>
  <c r="J139" i="20"/>
  <c r="J139" i="22" s="1"/>
  <c r="I310" i="20"/>
  <c r="H310" i="22" s="1"/>
  <c r="I310" i="22" s="1"/>
  <c r="H310" i="23" s="1"/>
  <c r="I310" i="23" s="1"/>
  <c r="H310" i="24" s="1"/>
  <c r="J339" i="20"/>
  <c r="J339" i="22" s="1"/>
  <c r="J339" i="23" s="1"/>
  <c r="J350" i="20"/>
  <c r="J350" i="22" s="1"/>
  <c r="J350" i="23" s="1"/>
  <c r="J198" i="20"/>
  <c r="J198" i="22" s="1"/>
  <c r="D54" i="25"/>
  <c r="E54" i="25" s="1"/>
  <c r="F54" i="25" s="1"/>
  <c r="AA54" i="25" s="1"/>
  <c r="Z54" i="25" s="1"/>
  <c r="Y54" i="25" s="1"/>
  <c r="I127" i="20"/>
  <c r="H127" i="22" s="1"/>
  <c r="J127" i="22" s="1"/>
  <c r="J248" i="20"/>
  <c r="J248" i="22" s="1"/>
  <c r="J213" i="20"/>
  <c r="I49" i="20"/>
  <c r="H49" i="22" s="1"/>
  <c r="I49" i="22" s="1"/>
  <c r="H49" i="23" s="1"/>
  <c r="J77" i="20"/>
  <c r="J77" i="22" s="1"/>
  <c r="J77" i="23" s="1"/>
  <c r="J196" i="20"/>
  <c r="J196" i="22" s="1"/>
  <c r="J196" i="23" s="1"/>
  <c r="J65" i="20"/>
  <c r="J65" i="22" s="1"/>
  <c r="J65" i="23" s="1"/>
  <c r="J150" i="22"/>
  <c r="J45" i="20"/>
  <c r="J45" i="22" s="1"/>
  <c r="I355" i="20"/>
  <c r="H355" i="22" s="1"/>
  <c r="I355" i="22" s="1"/>
  <c r="H355" i="23" s="1"/>
  <c r="I355" i="23" s="1"/>
  <c r="H355" i="24" s="1"/>
  <c r="J21" i="20"/>
  <c r="J21" i="22" s="1"/>
  <c r="J21" i="23" s="1"/>
  <c r="J373" i="20"/>
  <c r="J373" i="22" s="1"/>
  <c r="J373" i="23" s="1"/>
  <c r="J22" i="22"/>
  <c r="J22" i="23" s="1"/>
  <c r="J274" i="20"/>
  <c r="J274" i="22" s="1"/>
  <c r="J34" i="20"/>
  <c r="J34" i="22" s="1"/>
  <c r="J34" i="23" s="1"/>
  <c r="I292" i="20"/>
  <c r="H292" i="22" s="1"/>
  <c r="I292" i="22" s="1"/>
  <c r="H292" i="23" s="1"/>
  <c r="I292" i="23" s="1"/>
  <c r="H292" i="24" s="1"/>
  <c r="I188" i="20"/>
  <c r="H188" i="22" s="1"/>
  <c r="I188" i="22" s="1"/>
  <c r="H188" i="23" s="1"/>
  <c r="I188" i="23" s="1"/>
  <c r="H188" i="24" s="1"/>
  <c r="J371" i="22"/>
  <c r="J345" i="22"/>
  <c r="J223" i="22"/>
  <c r="I356" i="20"/>
  <c r="H356" i="22" s="1"/>
  <c r="J356" i="22" s="1"/>
  <c r="J309" i="20"/>
  <c r="J309" i="22" s="1"/>
  <c r="J309" i="23" s="1"/>
  <c r="J226" i="20"/>
  <c r="J226" i="22" s="1"/>
  <c r="D155" i="25"/>
  <c r="E155" i="25" s="1"/>
  <c r="F155" i="25" s="1"/>
  <c r="AA155" i="25" s="1"/>
  <c r="Z155" i="25" s="1"/>
  <c r="Y155" i="25" s="1"/>
  <c r="I233" i="20"/>
  <c r="H233" i="22" s="1"/>
  <c r="J233" i="22" s="1"/>
  <c r="J125" i="20"/>
  <c r="J125" i="22" s="1"/>
  <c r="J125" i="23" s="1"/>
  <c r="J145" i="20"/>
  <c r="J145" i="22" s="1"/>
  <c r="J145" i="23" s="1"/>
  <c r="I102" i="20"/>
  <c r="H102" i="22" s="1"/>
  <c r="J102" i="22" s="1"/>
  <c r="I333" i="20"/>
  <c r="H333" i="22" s="1"/>
  <c r="J333" i="20"/>
  <c r="I311" i="20"/>
  <c r="H311" i="22" s="1"/>
  <c r="J311" i="22" s="1"/>
  <c r="I31" i="20"/>
  <c r="H31" i="22" s="1"/>
  <c r="J31" i="22" s="1"/>
  <c r="J186" i="22"/>
  <c r="J201" i="20"/>
  <c r="J201" i="22" s="1"/>
  <c r="J201" i="23" s="1"/>
  <c r="I144" i="20"/>
  <c r="H144" i="22" s="1"/>
  <c r="J144" i="22" s="1"/>
  <c r="I137" i="20"/>
  <c r="H137" i="22" s="1"/>
  <c r="J137" i="22" s="1"/>
  <c r="J352" i="20"/>
  <c r="J352" i="22" s="1"/>
  <c r="J352" i="23" s="1"/>
  <c r="J317" i="20"/>
  <c r="J317" i="22" s="1"/>
  <c r="J317" i="23" s="1"/>
  <c r="D192" i="25"/>
  <c r="E192" i="25" s="1"/>
  <c r="F192" i="25" s="1"/>
  <c r="G192" i="25" s="1"/>
  <c r="CF192" i="6" s="1"/>
  <c r="D297" i="25"/>
  <c r="E297" i="25" s="1"/>
  <c r="F297" i="25" s="1"/>
  <c r="G297" i="25" s="1"/>
  <c r="CF297" i="6" s="1"/>
  <c r="D59" i="25"/>
  <c r="E59" i="25" s="1"/>
  <c r="F59" i="25" s="1"/>
  <c r="AA59" i="25" s="1"/>
  <c r="Z59" i="25" s="1"/>
  <c r="Y59" i="25" s="1"/>
  <c r="G23" i="24"/>
  <c r="CE23" i="6" s="1"/>
  <c r="W152" i="25"/>
  <c r="I205" i="23"/>
  <c r="H205" i="24" s="1"/>
  <c r="D212" i="25"/>
  <c r="E212" i="25" s="1"/>
  <c r="F212" i="25" s="1"/>
  <c r="G212" i="25" s="1"/>
  <c r="CF212" i="6" s="1"/>
  <c r="G28" i="24"/>
  <c r="CE28" i="6" s="1"/>
  <c r="AA306" i="24"/>
  <c r="Z306" i="24" s="1"/>
  <c r="Y306" i="24" s="1"/>
  <c r="G108" i="24"/>
  <c r="CE108" i="6" s="1"/>
  <c r="D95" i="25"/>
  <c r="E95" i="25" s="1"/>
  <c r="F95" i="25" s="1"/>
  <c r="G95" i="25" s="1"/>
  <c r="CF95" i="6" s="1"/>
  <c r="D306" i="25"/>
  <c r="E306" i="25" s="1"/>
  <c r="F306" i="25" s="1"/>
  <c r="G306" i="25" s="1"/>
  <c r="CF306" i="6" s="1"/>
  <c r="AA129" i="24"/>
  <c r="Z129" i="24" s="1"/>
  <c r="Y129" i="24" s="1"/>
  <c r="W23" i="25"/>
  <c r="AA95" i="24"/>
  <c r="Z95" i="24" s="1"/>
  <c r="Y95" i="24" s="1"/>
  <c r="W211" i="25"/>
  <c r="D331" i="25"/>
  <c r="E331" i="25" s="1"/>
  <c r="F331" i="25" s="1"/>
  <c r="AA331" i="25" s="1"/>
  <c r="Z331" i="25" s="1"/>
  <c r="Y331" i="25" s="1"/>
  <c r="W327" i="25"/>
  <c r="W136" i="25"/>
  <c r="W43" i="25"/>
  <c r="W300" i="25"/>
  <c r="G331" i="24"/>
  <c r="CE331" i="6" s="1"/>
  <c r="G348" i="24"/>
  <c r="CE348" i="6" s="1"/>
  <c r="G54" i="24"/>
  <c r="CE54" i="6" s="1"/>
  <c r="G316" i="24"/>
  <c r="CE316" i="6" s="1"/>
  <c r="W353" i="25"/>
  <c r="D377" i="25"/>
  <c r="E377" i="25" s="1"/>
  <c r="F377" i="25" s="1"/>
  <c r="AA377" i="25" s="1"/>
  <c r="Z377" i="25" s="1"/>
  <c r="Y377" i="25" s="1"/>
  <c r="W359" i="25"/>
  <c r="AA59" i="24"/>
  <c r="Z59" i="24" s="1"/>
  <c r="Y59" i="24" s="1"/>
  <c r="J296" i="22"/>
  <c r="J296" i="23" s="1"/>
  <c r="G136" i="24"/>
  <c r="CE136" i="6" s="1"/>
  <c r="D30" i="25"/>
  <c r="E30" i="25" s="1"/>
  <c r="F30" i="25" s="1"/>
  <c r="G30" i="25" s="1"/>
  <c r="CF30" i="6" s="1"/>
  <c r="AA237" i="24"/>
  <c r="Z237" i="24" s="1"/>
  <c r="Y237" i="24" s="1"/>
  <c r="W19" i="25"/>
  <c r="G323" i="24"/>
  <c r="CE323" i="6" s="1"/>
  <c r="D129" i="25"/>
  <c r="E129" i="25" s="1"/>
  <c r="F129" i="25" s="1"/>
  <c r="AA129" i="25" s="1"/>
  <c r="Z129" i="25" s="1"/>
  <c r="Y129" i="25" s="1"/>
  <c r="W329" i="25"/>
  <c r="D70" i="25"/>
  <c r="E70" i="25" s="1"/>
  <c r="F70" i="25" s="1"/>
  <c r="G70" i="25" s="1"/>
  <c r="CF70" i="6" s="1"/>
  <c r="D269" i="25"/>
  <c r="E269" i="25" s="1"/>
  <c r="F269" i="25" s="1"/>
  <c r="AA269" i="25" s="1"/>
  <c r="Z269" i="25" s="1"/>
  <c r="Y269" i="25" s="1"/>
  <c r="G19" i="24"/>
  <c r="CE19" i="6" s="1"/>
  <c r="AA211" i="24"/>
  <c r="Z211" i="24" s="1"/>
  <c r="Y211" i="24" s="1"/>
  <c r="D50" i="25"/>
  <c r="E50" i="25" s="1"/>
  <c r="F50" i="25" s="1"/>
  <c r="AA50" i="25" s="1"/>
  <c r="Z50" i="25" s="1"/>
  <c r="Y50" i="25" s="1"/>
  <c r="AA205" i="24"/>
  <c r="Z205" i="24" s="1"/>
  <c r="Y205" i="24" s="1"/>
  <c r="G269" i="24"/>
  <c r="CE269" i="6" s="1"/>
  <c r="G329" i="24"/>
  <c r="CE329" i="6" s="1"/>
  <c r="AA327" i="24"/>
  <c r="Z327" i="24" s="1"/>
  <c r="Y327" i="24" s="1"/>
  <c r="W348" i="25"/>
  <c r="AA335" i="24"/>
  <c r="Z335" i="24" s="1"/>
  <c r="Y335" i="24" s="1"/>
  <c r="AA224" i="24"/>
  <c r="Z224" i="24" s="1"/>
  <c r="Y224" i="24" s="1"/>
  <c r="D205" i="25"/>
  <c r="E205" i="25" s="1"/>
  <c r="F205" i="25" s="1"/>
  <c r="G205" i="25" s="1"/>
  <c r="CF205" i="6" s="1"/>
  <c r="AA358" i="24"/>
  <c r="Z358" i="24" s="1"/>
  <c r="Y358" i="24" s="1"/>
  <c r="D28" i="25"/>
  <c r="E28" i="25" s="1"/>
  <c r="F28" i="25" s="1"/>
  <c r="G28" i="25" s="1"/>
  <c r="CF28" i="6" s="1"/>
  <c r="D237" i="25"/>
  <c r="E237" i="25" s="1"/>
  <c r="F237" i="25" s="1"/>
  <c r="G237" i="25" s="1"/>
  <c r="CF237" i="6" s="1"/>
  <c r="W164" i="25"/>
  <c r="W97" i="25"/>
  <c r="D323" i="25"/>
  <c r="E323" i="25" s="1"/>
  <c r="F323" i="25" s="1"/>
  <c r="G323" i="25" s="1"/>
  <c r="CF323" i="6" s="1"/>
  <c r="AA70" i="24"/>
  <c r="Z70" i="24" s="1"/>
  <c r="Y70" i="24" s="1"/>
  <c r="D335" i="25"/>
  <c r="E335" i="25" s="1"/>
  <c r="F335" i="25" s="1"/>
  <c r="AA335" i="25" s="1"/>
  <c r="Z335" i="25" s="1"/>
  <c r="Y335" i="25" s="1"/>
  <c r="AA179" i="24"/>
  <c r="Z179" i="24" s="1"/>
  <c r="Y179" i="24" s="1"/>
  <c r="G43" i="24"/>
  <c r="CE43" i="6" s="1"/>
  <c r="J75" i="22"/>
  <c r="J75" i="23" s="1"/>
  <c r="W358" i="25"/>
  <c r="G164" i="24"/>
  <c r="CE164" i="6" s="1"/>
  <c r="D316" i="25"/>
  <c r="E316" i="25" s="1"/>
  <c r="F316" i="25" s="1"/>
  <c r="AA316" i="25" s="1"/>
  <c r="Z316" i="25" s="1"/>
  <c r="Y316" i="25" s="1"/>
  <c r="AA294" i="24"/>
  <c r="Z294" i="24" s="1"/>
  <c r="Y294" i="24" s="1"/>
  <c r="D180" i="25"/>
  <c r="E180" i="25" s="1"/>
  <c r="F180" i="25" s="1"/>
  <c r="G180" i="25" s="1"/>
  <c r="CF180" i="6" s="1"/>
  <c r="W270" i="25"/>
  <c r="AA155" i="24"/>
  <c r="Z155" i="24" s="1"/>
  <c r="Y155" i="24" s="1"/>
  <c r="AA153" i="24"/>
  <c r="Z153" i="24" s="1"/>
  <c r="Y153" i="24" s="1"/>
  <c r="W64" i="25"/>
  <c r="J347" i="22"/>
  <c r="J347" i="23" s="1"/>
  <c r="W179" i="25"/>
  <c r="D224" i="25"/>
  <c r="E224" i="25" s="1"/>
  <c r="F224" i="25" s="1"/>
  <c r="AA224" i="25" s="1"/>
  <c r="Z224" i="25" s="1"/>
  <c r="Y224" i="25" s="1"/>
  <c r="AA192" i="24"/>
  <c r="Z192" i="24" s="1"/>
  <c r="Y192" i="24" s="1"/>
  <c r="D301" i="25"/>
  <c r="E301" i="25" s="1"/>
  <c r="F301" i="25" s="1"/>
  <c r="AA301" i="25" s="1"/>
  <c r="Z301" i="25" s="1"/>
  <c r="Y301" i="25" s="1"/>
  <c r="J272" i="22"/>
  <c r="J272" i="23" s="1"/>
  <c r="G243" i="24"/>
  <c r="CE243" i="6" s="1"/>
  <c r="J273" i="22"/>
  <c r="J273" i="23" s="1"/>
  <c r="D116" i="25"/>
  <c r="E116" i="25" s="1"/>
  <c r="F116" i="25" s="1"/>
  <c r="G116" i="25" s="1"/>
  <c r="CF116" i="6" s="1"/>
  <c r="G180" i="24"/>
  <c r="CE180" i="6" s="1"/>
  <c r="W294" i="25"/>
  <c r="J282" i="22"/>
  <c r="J282" i="23" s="1"/>
  <c r="W243" i="25"/>
  <c r="I251" i="23"/>
  <c r="H251" i="24" s="1"/>
  <c r="I251" i="24" s="1"/>
  <c r="H251" i="25" s="1"/>
  <c r="W284" i="25"/>
  <c r="I102" i="22"/>
  <c r="H102" i="23" s="1"/>
  <c r="I102" i="23" s="1"/>
  <c r="H102" i="24" s="1"/>
  <c r="I217" i="23"/>
  <c r="H217" i="24" s="1"/>
  <c r="J217" i="24" s="1"/>
  <c r="W338" i="25"/>
  <c r="D344" i="25"/>
  <c r="E344" i="25" s="1"/>
  <c r="F344" i="25" s="1"/>
  <c r="AA344" i="25" s="1"/>
  <c r="Z344" i="25" s="1"/>
  <c r="Y344" i="25" s="1"/>
  <c r="I289" i="22"/>
  <c r="H289" i="23" s="1"/>
  <c r="J289" i="23" s="1"/>
  <c r="I87" i="22"/>
  <c r="H87" i="23" s="1"/>
  <c r="I87" i="23" s="1"/>
  <c r="H87" i="24" s="1"/>
  <c r="I88" i="22"/>
  <c r="H88" i="23" s="1"/>
  <c r="J88" i="23" s="1"/>
  <c r="I159" i="22"/>
  <c r="H159" i="23" s="1"/>
  <c r="I159" i="23" s="1"/>
  <c r="H159" i="24" s="1"/>
  <c r="AA344" i="24"/>
  <c r="Z344" i="24" s="1"/>
  <c r="Y344" i="24" s="1"/>
  <c r="J328" i="22"/>
  <c r="J328" i="23" s="1"/>
  <c r="W324" i="25"/>
  <c r="J67" i="22"/>
  <c r="J67" i="23" s="1"/>
  <c r="AA216" i="24"/>
  <c r="Z216" i="24" s="1"/>
  <c r="Y216" i="24" s="1"/>
  <c r="G64" i="24"/>
  <c r="CE64" i="6" s="1"/>
  <c r="I25" i="22"/>
  <c r="H25" i="23" s="1"/>
  <c r="I25" i="23" s="1"/>
  <c r="H25" i="24" s="1"/>
  <c r="D367" i="25"/>
  <c r="E367" i="25" s="1"/>
  <c r="F367" i="25" s="1"/>
  <c r="G367" i="25" s="1"/>
  <c r="CF367" i="6" s="1"/>
  <c r="I114" i="22"/>
  <c r="H114" i="23" s="1"/>
  <c r="I114" i="23" s="1"/>
  <c r="H114" i="24" s="1"/>
  <c r="D326" i="25"/>
  <c r="E326" i="25" s="1"/>
  <c r="F326" i="25" s="1"/>
  <c r="G326" i="25" s="1"/>
  <c r="CF326" i="6" s="1"/>
  <c r="J156" i="22"/>
  <c r="J156" i="23" s="1"/>
  <c r="W216" i="25"/>
  <c r="I268" i="22"/>
  <c r="H268" i="23" s="1"/>
  <c r="I268" i="23" s="1"/>
  <c r="H268" i="24" s="1"/>
  <c r="W153" i="25"/>
  <c r="I378" i="22"/>
  <c r="H378" i="23" s="1"/>
  <c r="J378" i="23" s="1"/>
  <c r="I234" i="22"/>
  <c r="H234" i="23" s="1"/>
  <c r="I234" i="23" s="1"/>
  <c r="H234" i="24" s="1"/>
  <c r="I44" i="22"/>
  <c r="H44" i="23" s="1"/>
  <c r="J44" i="23" s="1"/>
  <c r="J89" i="22"/>
  <c r="J89" i="23" s="1"/>
  <c r="I371" i="22"/>
  <c r="H371" i="23" s="1"/>
  <c r="I345" i="22"/>
  <c r="H345" i="23" s="1"/>
  <c r="I163" i="22"/>
  <c r="H163" i="23" s="1"/>
  <c r="J163" i="23" s="1"/>
  <c r="I169" i="22"/>
  <c r="H169" i="23" s="1"/>
  <c r="I236" i="22"/>
  <c r="H236" i="23" s="1"/>
  <c r="J236" i="23" s="1"/>
  <c r="J143" i="22"/>
  <c r="J143" i="23" s="1"/>
  <c r="J250" i="22"/>
  <c r="J250" i="23" s="1"/>
  <c r="I85" i="22"/>
  <c r="H85" i="23" s="1"/>
  <c r="I85" i="23" s="1"/>
  <c r="H85" i="24" s="1"/>
  <c r="I150" i="22"/>
  <c r="H150" i="23" s="1"/>
  <c r="I203" i="22"/>
  <c r="H203" i="23" s="1"/>
  <c r="I314" i="22"/>
  <c r="H314" i="23" s="1"/>
  <c r="J76" i="22"/>
  <c r="J76" i="23" s="1"/>
  <c r="I311" i="22"/>
  <c r="H311" i="23" s="1"/>
  <c r="I311" i="23" s="1"/>
  <c r="H311" i="24" s="1"/>
  <c r="J187" i="22"/>
  <c r="J187" i="23" s="1"/>
  <c r="I121" i="22"/>
  <c r="H121" i="23" s="1"/>
  <c r="J121" i="23" s="1"/>
  <c r="J124" i="22"/>
  <c r="J124" i="23" s="1"/>
  <c r="J283" i="22"/>
  <c r="J283" i="23" s="1"/>
  <c r="J73" i="22"/>
  <c r="J73" i="23" s="1"/>
  <c r="B380" i="25"/>
  <c r="D380" i="25" s="1"/>
  <c r="E380" i="25" s="1"/>
  <c r="F380" i="25" s="1"/>
  <c r="I148" i="23"/>
  <c r="H148" i="24" s="1"/>
  <c r="J148" i="23"/>
  <c r="I201" i="23"/>
  <c r="H201" i="24" s="1"/>
  <c r="I339" i="23"/>
  <c r="H339" i="24" s="1"/>
  <c r="I328" i="23"/>
  <c r="H328" i="24" s="1"/>
  <c r="I196" i="23"/>
  <c r="H196" i="24" s="1"/>
  <c r="I60" i="23"/>
  <c r="H60" i="24" s="1"/>
  <c r="J60" i="23"/>
  <c r="J322" i="23"/>
  <c r="I322" i="23"/>
  <c r="H322" i="24" s="1"/>
  <c r="I198" i="23"/>
  <c r="H198" i="24" s="1"/>
  <c r="J198" i="23"/>
  <c r="I296" i="23"/>
  <c r="H296" i="24" s="1"/>
  <c r="I145" i="23"/>
  <c r="H145" i="24" s="1"/>
  <c r="I347" i="23"/>
  <c r="H347" i="24" s="1"/>
  <c r="I75" i="23"/>
  <c r="H75" i="24" s="1"/>
  <c r="J274" i="23"/>
  <c r="I274" i="23"/>
  <c r="H274" i="24" s="1"/>
  <c r="J245" i="23"/>
  <c r="I245" i="23"/>
  <c r="H245" i="24" s="1"/>
  <c r="I185" i="23"/>
  <c r="H185" i="24" s="1"/>
  <c r="G291" i="24"/>
  <c r="CE291" i="6" s="1"/>
  <c r="AA291" i="24"/>
  <c r="Z291" i="24" s="1"/>
  <c r="Y291" i="24" s="1"/>
  <c r="G276" i="25"/>
  <c r="CF276" i="6" s="1"/>
  <c r="AA276" i="25"/>
  <c r="Z276" i="25" s="1"/>
  <c r="Y276" i="25" s="1"/>
  <c r="I62" i="23"/>
  <c r="H62" i="24" s="1"/>
  <c r="G26" i="25"/>
  <c r="CF26" i="6" s="1"/>
  <c r="AA26" i="25"/>
  <c r="Z26" i="25" s="1"/>
  <c r="Y26" i="25" s="1"/>
  <c r="W277" i="25"/>
  <c r="D277" i="25"/>
  <c r="E277" i="25" s="1"/>
  <c r="F277" i="25" s="1"/>
  <c r="AA193" i="25"/>
  <c r="Z193" i="25" s="1"/>
  <c r="Y193" i="25" s="1"/>
  <c r="G193" i="25"/>
  <c r="CF193" i="6" s="1"/>
  <c r="W233" i="25"/>
  <c r="D233" i="25"/>
  <c r="E233" i="25" s="1"/>
  <c r="F233" i="25" s="1"/>
  <c r="AA210" i="24"/>
  <c r="Z210" i="24" s="1"/>
  <c r="Y210" i="24" s="1"/>
  <c r="G210" i="24"/>
  <c r="CE210" i="6" s="1"/>
  <c r="W210" i="25"/>
  <c r="D210" i="25"/>
  <c r="E210" i="25" s="1"/>
  <c r="F210" i="25" s="1"/>
  <c r="J331" i="22"/>
  <c r="I331" i="22"/>
  <c r="H331" i="23" s="1"/>
  <c r="I235" i="22"/>
  <c r="H235" i="23" s="1"/>
  <c r="I103" i="22"/>
  <c r="H103" i="23" s="1"/>
  <c r="I252" i="22"/>
  <c r="H252" i="23" s="1"/>
  <c r="J252" i="22"/>
  <c r="I40" i="22"/>
  <c r="H40" i="23" s="1"/>
  <c r="J40" i="22"/>
  <c r="I113" i="22"/>
  <c r="H113" i="23" s="1"/>
  <c r="J113" i="22"/>
  <c r="J375" i="22"/>
  <c r="I375" i="22"/>
  <c r="H375" i="23" s="1"/>
  <c r="J285" i="22"/>
  <c r="I285" i="22"/>
  <c r="H285" i="23" s="1"/>
  <c r="J106" i="22"/>
  <c r="I106" i="22"/>
  <c r="H106" i="23" s="1"/>
  <c r="J271" i="22"/>
  <c r="I271" i="22"/>
  <c r="H271" i="23" s="1"/>
  <c r="I130" i="22"/>
  <c r="H130" i="23" s="1"/>
  <c r="I66" i="22"/>
  <c r="H66" i="23" s="1"/>
  <c r="J66" i="22"/>
  <c r="G100" i="25"/>
  <c r="CF100" i="6" s="1"/>
  <c r="AA100" i="25"/>
  <c r="Z100" i="25" s="1"/>
  <c r="Y100" i="25" s="1"/>
  <c r="AA353" i="25"/>
  <c r="Z353" i="25" s="1"/>
  <c r="Y353" i="25" s="1"/>
  <c r="G353" i="25"/>
  <c r="CF353" i="6" s="1"/>
  <c r="AA211" i="25"/>
  <c r="Z211" i="25" s="1"/>
  <c r="Y211" i="25" s="1"/>
  <c r="G211" i="25"/>
  <c r="CF211" i="6" s="1"/>
  <c r="W339" i="25"/>
  <c r="D339" i="25"/>
  <c r="E339" i="25" s="1"/>
  <c r="F339" i="25" s="1"/>
  <c r="W291" i="25"/>
  <c r="D291" i="25"/>
  <c r="E291" i="25" s="1"/>
  <c r="F291" i="25" s="1"/>
  <c r="G232" i="24"/>
  <c r="CE232" i="6" s="1"/>
  <c r="AA232" i="24"/>
  <c r="Z232" i="24" s="1"/>
  <c r="Y232" i="24" s="1"/>
  <c r="W232" i="25"/>
  <c r="D232" i="25"/>
  <c r="E232" i="25" s="1"/>
  <c r="F232" i="25" s="1"/>
  <c r="AA309" i="24"/>
  <c r="Z309" i="24" s="1"/>
  <c r="Y309" i="24" s="1"/>
  <c r="G309" i="24"/>
  <c r="CE309" i="6" s="1"/>
  <c r="I325" i="23"/>
  <c r="H325" i="24" s="1"/>
  <c r="G277" i="24"/>
  <c r="CE277" i="6" s="1"/>
  <c r="AA277" i="24"/>
  <c r="Z277" i="24" s="1"/>
  <c r="Y277" i="24" s="1"/>
  <c r="G233" i="24"/>
  <c r="CE233" i="6" s="1"/>
  <c r="AA233" i="24"/>
  <c r="Z233" i="24" s="1"/>
  <c r="Y233" i="24" s="1"/>
  <c r="I89" i="23"/>
  <c r="H89" i="24" s="1"/>
  <c r="AA61" i="24"/>
  <c r="Z61" i="24" s="1"/>
  <c r="Y61" i="24" s="1"/>
  <c r="G61" i="24"/>
  <c r="CE61" i="6" s="1"/>
  <c r="AA284" i="25"/>
  <c r="Z284" i="25" s="1"/>
  <c r="Y284" i="25" s="1"/>
  <c r="G284" i="25"/>
  <c r="CF284" i="6" s="1"/>
  <c r="W194" i="25"/>
  <c r="D194" i="25"/>
  <c r="E194" i="25" s="1"/>
  <c r="F194" i="25" s="1"/>
  <c r="J153" i="22"/>
  <c r="I153" i="22"/>
  <c r="H153" i="23" s="1"/>
  <c r="J79" i="22"/>
  <c r="I327" i="22"/>
  <c r="H327" i="23" s="1"/>
  <c r="J327" i="22"/>
  <c r="I367" i="22"/>
  <c r="H367" i="23" s="1"/>
  <c r="J18" i="22"/>
  <c r="I18" i="22"/>
  <c r="H18" i="23" s="1"/>
  <c r="I204" i="22"/>
  <c r="H204" i="23" s="1"/>
  <c r="J204" i="22"/>
  <c r="J199" i="22"/>
  <c r="I199" i="22"/>
  <c r="H199" i="23" s="1"/>
  <c r="J280" i="22"/>
  <c r="I341" i="22"/>
  <c r="H341" i="23" s="1"/>
  <c r="J209" i="22"/>
  <c r="I209" i="22"/>
  <c r="H209" i="23" s="1"/>
  <c r="I47" i="22"/>
  <c r="H47" i="23" s="1"/>
  <c r="I336" i="22"/>
  <c r="H336" i="23" s="1"/>
  <c r="J336" i="22"/>
  <c r="I178" i="22"/>
  <c r="H178" i="23" s="1"/>
  <c r="J178" i="22"/>
  <c r="I111" i="22"/>
  <c r="H111" i="23" s="1"/>
  <c r="J111" i="22"/>
  <c r="I17" i="22"/>
  <c r="H17" i="23" s="1"/>
  <c r="I177" i="22"/>
  <c r="H177" i="23" s="1"/>
  <c r="J177" i="22"/>
  <c r="G163" i="24"/>
  <c r="CE163" i="6" s="1"/>
  <c r="AA163" i="24"/>
  <c r="Z163" i="24" s="1"/>
  <c r="Y163" i="24" s="1"/>
  <c r="G357" i="24"/>
  <c r="CE357" i="6" s="1"/>
  <c r="AA357" i="24"/>
  <c r="Z357" i="24" s="1"/>
  <c r="Y357" i="24" s="1"/>
  <c r="J372" i="22"/>
  <c r="I372" i="22"/>
  <c r="H372" i="23" s="1"/>
  <c r="W250" i="25"/>
  <c r="D250" i="25"/>
  <c r="E250" i="25" s="1"/>
  <c r="F250" i="25" s="1"/>
  <c r="AA140" i="24"/>
  <c r="Z140" i="24" s="1"/>
  <c r="Y140" i="24" s="1"/>
  <c r="G140" i="24"/>
  <c r="CE140" i="6" s="1"/>
  <c r="G152" i="25"/>
  <c r="CF152" i="6" s="1"/>
  <c r="AA152" i="25"/>
  <c r="Z152" i="25" s="1"/>
  <c r="Y152" i="25" s="1"/>
  <c r="AA252" i="25"/>
  <c r="Z252" i="25" s="1"/>
  <c r="Y252" i="25" s="1"/>
  <c r="G252" i="25"/>
  <c r="CF252" i="6" s="1"/>
  <c r="AA264" i="24"/>
  <c r="Z264" i="24" s="1"/>
  <c r="Y264" i="24" s="1"/>
  <c r="G264" i="24"/>
  <c r="CE264" i="6" s="1"/>
  <c r="G41" i="25"/>
  <c r="CF41" i="6" s="1"/>
  <c r="AA41" i="25"/>
  <c r="Z41" i="25" s="1"/>
  <c r="Y41" i="25" s="1"/>
  <c r="W330" i="25"/>
  <c r="D330" i="25"/>
  <c r="E330" i="25" s="1"/>
  <c r="F330" i="25" s="1"/>
  <c r="W27" i="25"/>
  <c r="D27" i="25"/>
  <c r="E27" i="25" s="1"/>
  <c r="F27" i="25" s="1"/>
  <c r="G328" i="24"/>
  <c r="CE328" i="6" s="1"/>
  <c r="AA328" i="24"/>
  <c r="Z328" i="24" s="1"/>
  <c r="Y328" i="24" s="1"/>
  <c r="W328" i="25"/>
  <c r="D328" i="25"/>
  <c r="E328" i="25" s="1"/>
  <c r="F328" i="25" s="1"/>
  <c r="I273" i="23"/>
  <c r="H273" i="24" s="1"/>
  <c r="AA255" i="25"/>
  <c r="Z255" i="25" s="1"/>
  <c r="Y255" i="25" s="1"/>
  <c r="G255" i="25"/>
  <c r="CF255" i="6" s="1"/>
  <c r="G287" i="24"/>
  <c r="CE287" i="6" s="1"/>
  <c r="AA287" i="24"/>
  <c r="Z287" i="24" s="1"/>
  <c r="Y287" i="24" s="1"/>
  <c r="W287" i="25"/>
  <c r="D287" i="25"/>
  <c r="E287" i="25" s="1"/>
  <c r="F287" i="25" s="1"/>
  <c r="I99" i="22"/>
  <c r="H99" i="23" s="1"/>
  <c r="J99" i="22"/>
  <c r="J237" i="22"/>
  <c r="I237" i="22"/>
  <c r="H237" i="23" s="1"/>
  <c r="J269" i="22"/>
  <c r="I269" i="22"/>
  <c r="H269" i="23" s="1"/>
  <c r="J59" i="22"/>
  <c r="I59" i="22"/>
  <c r="H59" i="23" s="1"/>
  <c r="J316" i="22"/>
  <c r="I316" i="22"/>
  <c r="H316" i="23" s="1"/>
  <c r="I73" i="23"/>
  <c r="H73" i="24" s="1"/>
  <c r="W73" i="25"/>
  <c r="D73" i="25"/>
  <c r="E73" i="25" s="1"/>
  <c r="F73" i="25" s="1"/>
  <c r="AA345" i="24"/>
  <c r="Z345" i="24" s="1"/>
  <c r="Y345" i="24" s="1"/>
  <c r="G345" i="24"/>
  <c r="CE345" i="6" s="1"/>
  <c r="W115" i="25"/>
  <c r="D115" i="25"/>
  <c r="E115" i="25" s="1"/>
  <c r="F115" i="25" s="1"/>
  <c r="G191" i="24"/>
  <c r="CE191" i="6" s="1"/>
  <c r="AA191" i="24"/>
  <c r="Z191" i="24" s="1"/>
  <c r="Y191" i="24" s="1"/>
  <c r="AA108" i="25"/>
  <c r="Z108" i="25" s="1"/>
  <c r="Y108" i="25" s="1"/>
  <c r="G108" i="25"/>
  <c r="CF108" i="6" s="1"/>
  <c r="W371" i="25"/>
  <c r="D371" i="25"/>
  <c r="E371" i="25" s="1"/>
  <c r="F371" i="25" s="1"/>
  <c r="I254" i="22"/>
  <c r="H254" i="23" s="1"/>
  <c r="I220" i="23"/>
  <c r="H220" i="24" s="1"/>
  <c r="I42" i="22"/>
  <c r="H42" i="23" s="1"/>
  <c r="J42" i="22"/>
  <c r="I317" i="23"/>
  <c r="H317" i="24" s="1"/>
  <c r="I67" i="23"/>
  <c r="H67" i="24" s="1"/>
  <c r="W196" i="25"/>
  <c r="D196" i="25"/>
  <c r="E196" i="25" s="1"/>
  <c r="F196" i="25" s="1"/>
  <c r="I119" i="23"/>
  <c r="H119" i="24" s="1"/>
  <c r="J119" i="23"/>
  <c r="G311" i="24"/>
  <c r="CE311" i="6" s="1"/>
  <c r="AA311" i="24"/>
  <c r="Z311" i="24" s="1"/>
  <c r="Y311" i="24" s="1"/>
  <c r="I290" i="22"/>
  <c r="H290" i="23" s="1"/>
  <c r="J290" i="22"/>
  <c r="AA186" i="24"/>
  <c r="Z186" i="24" s="1"/>
  <c r="Y186" i="24" s="1"/>
  <c r="G186" i="24"/>
  <c r="CE186" i="6" s="1"/>
  <c r="W203" i="25"/>
  <c r="D203" i="25"/>
  <c r="E203" i="25" s="1"/>
  <c r="F203" i="25" s="1"/>
  <c r="G144" i="24"/>
  <c r="CE144" i="6" s="1"/>
  <c r="AA144" i="24"/>
  <c r="Z144" i="24" s="1"/>
  <c r="Y144" i="24" s="1"/>
  <c r="I112" i="23"/>
  <c r="H112" i="24" s="1"/>
  <c r="J112" i="23"/>
  <c r="I176" i="23"/>
  <c r="H176" i="24" s="1"/>
  <c r="W128" i="25"/>
  <c r="D128" i="25"/>
  <c r="E128" i="25" s="1"/>
  <c r="F128" i="25" s="1"/>
  <c r="AA271" i="25"/>
  <c r="Z271" i="25" s="1"/>
  <c r="Y271" i="25" s="1"/>
  <c r="G271" i="25"/>
  <c r="CF271" i="6" s="1"/>
  <c r="G319" i="25"/>
  <c r="CF319" i="6" s="1"/>
  <c r="AA319" i="25"/>
  <c r="Z319" i="25" s="1"/>
  <c r="Y319" i="25" s="1"/>
  <c r="W60" i="25"/>
  <c r="D60" i="25"/>
  <c r="E60" i="25" s="1"/>
  <c r="F60" i="25" s="1"/>
  <c r="I77" i="23"/>
  <c r="H77" i="24" s="1"/>
  <c r="W77" i="25"/>
  <c r="D77" i="25"/>
  <c r="E77" i="25" s="1"/>
  <c r="F77" i="25" s="1"/>
  <c r="I284" i="22"/>
  <c r="H284" i="23" s="1"/>
  <c r="J284" i="22"/>
  <c r="J168" i="22"/>
  <c r="I168" i="22"/>
  <c r="H168" i="23" s="1"/>
  <c r="I16" i="22"/>
  <c r="H16" i="23" s="1"/>
  <c r="J16" i="22"/>
  <c r="I95" i="22"/>
  <c r="H95" i="23" s="1"/>
  <c r="J95" i="22"/>
  <c r="J100" i="22"/>
  <c r="I100" i="22"/>
  <c r="H100" i="23" s="1"/>
  <c r="I305" i="22"/>
  <c r="H305" i="23" s="1"/>
  <c r="J305" i="22"/>
  <c r="I82" i="22"/>
  <c r="H82" i="23" s="1"/>
  <c r="J82" i="22"/>
  <c r="I343" i="22"/>
  <c r="H343" i="23" s="1"/>
  <c r="J343" i="22"/>
  <c r="J117" i="22"/>
  <c r="I117" i="22"/>
  <c r="H117" i="23" s="1"/>
  <c r="I41" i="22"/>
  <c r="H41" i="23" s="1"/>
  <c r="J41" i="22"/>
  <c r="J257" i="22"/>
  <c r="I257" i="22"/>
  <c r="H257" i="23" s="1"/>
  <c r="I293" i="22"/>
  <c r="H293" i="23" s="1"/>
  <c r="J293" i="22"/>
  <c r="J154" i="22"/>
  <c r="I154" i="22"/>
  <c r="H154" i="23" s="1"/>
  <c r="I270" i="22"/>
  <c r="H270" i="23" s="1"/>
  <c r="J270" i="22"/>
  <c r="AA174" i="25"/>
  <c r="Z174" i="25" s="1"/>
  <c r="Y174" i="25" s="1"/>
  <c r="G174" i="25"/>
  <c r="CF174" i="6" s="1"/>
  <c r="W78" i="25"/>
  <c r="D78" i="25"/>
  <c r="E78" i="25" s="1"/>
  <c r="F78" i="25" s="1"/>
  <c r="W72" i="25"/>
  <c r="D72" i="25"/>
  <c r="E72" i="25" s="1"/>
  <c r="F72" i="25" s="1"/>
  <c r="G360" i="25"/>
  <c r="CF360" i="6" s="1"/>
  <c r="AA360" i="25"/>
  <c r="Z360" i="25" s="1"/>
  <c r="Y360" i="25" s="1"/>
  <c r="G266" i="24"/>
  <c r="CE266" i="6" s="1"/>
  <c r="AA266" i="24"/>
  <c r="Z266" i="24" s="1"/>
  <c r="Y266" i="24" s="1"/>
  <c r="I373" i="23"/>
  <c r="H373" i="24" s="1"/>
  <c r="I126" i="22"/>
  <c r="H126" i="23" s="1"/>
  <c r="J126" i="22"/>
  <c r="G145" i="24"/>
  <c r="CE145" i="6" s="1"/>
  <c r="AA145" i="24"/>
  <c r="Z145" i="24" s="1"/>
  <c r="Y145" i="24" s="1"/>
  <c r="J37" i="22"/>
  <c r="I37" i="22"/>
  <c r="H37" i="23" s="1"/>
  <c r="G154" i="25"/>
  <c r="CF154" i="6" s="1"/>
  <c r="AA154" i="25"/>
  <c r="Z154" i="25" s="1"/>
  <c r="Y154" i="25" s="1"/>
  <c r="G132" i="25"/>
  <c r="CF132" i="6" s="1"/>
  <c r="AA132" i="25"/>
  <c r="Z132" i="25" s="1"/>
  <c r="Y132" i="25" s="1"/>
  <c r="J157" i="22"/>
  <c r="I157" i="22"/>
  <c r="H157" i="23" s="1"/>
  <c r="I162" i="23"/>
  <c r="H162" i="24" s="1"/>
  <c r="W51" i="25"/>
  <c r="D51" i="25"/>
  <c r="E51" i="25" s="1"/>
  <c r="F51" i="25" s="1"/>
  <c r="G197" i="25"/>
  <c r="CF197" i="6" s="1"/>
  <c r="AA197" i="25"/>
  <c r="Z197" i="25" s="1"/>
  <c r="Y197" i="25" s="1"/>
  <c r="W75" i="25"/>
  <c r="D75" i="25"/>
  <c r="E75" i="25" s="1"/>
  <c r="F75" i="25" s="1"/>
  <c r="I187" i="23"/>
  <c r="H187" i="24" s="1"/>
  <c r="AA84" i="24"/>
  <c r="Z84" i="24" s="1"/>
  <c r="Y84" i="24" s="1"/>
  <c r="G84" i="24"/>
  <c r="CE84" i="6" s="1"/>
  <c r="W84" i="25"/>
  <c r="D84" i="25"/>
  <c r="E84" i="25" s="1"/>
  <c r="F84" i="25" s="1"/>
  <c r="G213" i="24"/>
  <c r="CE213" i="6" s="1"/>
  <c r="AA213" i="24"/>
  <c r="Z213" i="24" s="1"/>
  <c r="Y213" i="24" s="1"/>
  <c r="AA57" i="25"/>
  <c r="Z57" i="25" s="1"/>
  <c r="Y57" i="25" s="1"/>
  <c r="G57" i="25"/>
  <c r="CF57" i="6" s="1"/>
  <c r="G20" i="24"/>
  <c r="CE20" i="6" s="1"/>
  <c r="AA20" i="24"/>
  <c r="Z20" i="24" s="1"/>
  <c r="Y20" i="24" s="1"/>
  <c r="G164" i="25"/>
  <c r="CF164" i="6" s="1"/>
  <c r="AA164" i="25"/>
  <c r="Z164" i="25" s="1"/>
  <c r="Y164" i="25" s="1"/>
  <c r="AA147" i="25"/>
  <c r="Z147" i="25" s="1"/>
  <c r="Y147" i="25" s="1"/>
  <c r="G147" i="25"/>
  <c r="CF147" i="6" s="1"/>
  <c r="AA42" i="24"/>
  <c r="Z42" i="24" s="1"/>
  <c r="Y42" i="24" s="1"/>
  <c r="G42" i="24"/>
  <c r="CE42" i="6" s="1"/>
  <c r="W362" i="25"/>
  <c r="D362" i="25"/>
  <c r="E362" i="25" s="1"/>
  <c r="F362" i="25" s="1"/>
  <c r="G290" i="24"/>
  <c r="CE290" i="6" s="1"/>
  <c r="AA290" i="24"/>
  <c r="Z290" i="24" s="1"/>
  <c r="Y290" i="24" s="1"/>
  <c r="W290" i="25"/>
  <c r="D290" i="25"/>
  <c r="E290" i="25" s="1"/>
  <c r="F290" i="25" s="1"/>
  <c r="W225" i="25"/>
  <c r="D225" i="25"/>
  <c r="E225" i="25" s="1"/>
  <c r="F225" i="25" s="1"/>
  <c r="W292" i="25"/>
  <c r="D292" i="25"/>
  <c r="E292" i="25" s="1"/>
  <c r="F292" i="25" s="1"/>
  <c r="G120" i="25"/>
  <c r="CF120" i="6" s="1"/>
  <c r="AA120" i="25"/>
  <c r="Z120" i="25" s="1"/>
  <c r="Y120" i="25" s="1"/>
  <c r="W173" i="25"/>
  <c r="D173" i="25"/>
  <c r="E173" i="25" s="1"/>
  <c r="F173" i="25" s="1"/>
  <c r="G127" i="24"/>
  <c r="CE127" i="6" s="1"/>
  <c r="AA127" i="24"/>
  <c r="Z127" i="24" s="1"/>
  <c r="Y127" i="24" s="1"/>
  <c r="W127" i="25"/>
  <c r="D127" i="25"/>
  <c r="E127" i="25" s="1"/>
  <c r="F127" i="25" s="1"/>
  <c r="AA281" i="25"/>
  <c r="Z281" i="25" s="1"/>
  <c r="Y281" i="25" s="1"/>
  <c r="G281" i="25"/>
  <c r="CF281" i="6" s="1"/>
  <c r="G159" i="24"/>
  <c r="CE159" i="6" s="1"/>
  <c r="AA159" i="24"/>
  <c r="Z159" i="24" s="1"/>
  <c r="Y159" i="24" s="1"/>
  <c r="W161" i="25"/>
  <c r="D161" i="25"/>
  <c r="E161" i="25" s="1"/>
  <c r="F161" i="25" s="1"/>
  <c r="W135" i="25"/>
  <c r="D135" i="25"/>
  <c r="E135" i="25" s="1"/>
  <c r="F135" i="25" s="1"/>
  <c r="I52" i="22"/>
  <c r="H52" i="23" s="1"/>
  <c r="J52" i="22"/>
  <c r="J370" i="22"/>
  <c r="I370" i="22"/>
  <c r="H370" i="23" s="1"/>
  <c r="I202" i="22"/>
  <c r="H202" i="23" s="1"/>
  <c r="J202" i="22"/>
  <c r="I138" i="22"/>
  <c r="H138" i="23" s="1"/>
  <c r="J138" i="22"/>
  <c r="I142" i="22"/>
  <c r="H142" i="23" s="1"/>
  <c r="J142" i="22"/>
  <c r="J241" i="22"/>
  <c r="I241" i="22"/>
  <c r="H241" i="23" s="1"/>
  <c r="I278" i="22"/>
  <c r="H278" i="23" s="1"/>
  <c r="J278" i="22"/>
  <c r="I319" i="22"/>
  <c r="H319" i="23" s="1"/>
  <c r="J319" i="22"/>
  <c r="I105" i="22"/>
  <c r="H105" i="23" s="1"/>
  <c r="J105" i="22"/>
  <c r="J379" i="22"/>
  <c r="I379" i="22"/>
  <c r="H379" i="23" s="1"/>
  <c r="I167" i="22"/>
  <c r="H167" i="23" s="1"/>
  <c r="J167" i="22"/>
  <c r="I55" i="22"/>
  <c r="H55" i="23" s="1"/>
  <c r="J55" i="22"/>
  <c r="J265" i="22"/>
  <c r="I265" i="22"/>
  <c r="H265" i="23" s="1"/>
  <c r="G207" i="25"/>
  <c r="CF207" i="6" s="1"/>
  <c r="AA207" i="25"/>
  <c r="Z207" i="25" s="1"/>
  <c r="Y207" i="25" s="1"/>
  <c r="G312" i="25"/>
  <c r="CF312" i="6" s="1"/>
  <c r="AA312" i="25"/>
  <c r="Z312" i="25" s="1"/>
  <c r="Y312" i="25" s="1"/>
  <c r="J160" i="23"/>
  <c r="I160" i="23"/>
  <c r="H160" i="24" s="1"/>
  <c r="G48" i="24"/>
  <c r="CE48" i="6" s="1"/>
  <c r="AA48" i="24"/>
  <c r="Z48" i="24" s="1"/>
  <c r="Y48" i="24" s="1"/>
  <c r="W48" i="25"/>
  <c r="D48" i="25"/>
  <c r="E48" i="25" s="1"/>
  <c r="F48" i="25" s="1"/>
  <c r="J140" i="22"/>
  <c r="I140" i="22"/>
  <c r="H140" i="23" s="1"/>
  <c r="G97" i="25"/>
  <c r="CF97" i="6" s="1"/>
  <c r="AA97" i="25"/>
  <c r="Z97" i="25" s="1"/>
  <c r="Y97" i="25" s="1"/>
  <c r="W346" i="25"/>
  <c r="D346" i="25"/>
  <c r="E346" i="25" s="1"/>
  <c r="F346" i="25" s="1"/>
  <c r="G363" i="25"/>
  <c r="CF363" i="6" s="1"/>
  <c r="AA363" i="25"/>
  <c r="Z363" i="25" s="1"/>
  <c r="Y363" i="25" s="1"/>
  <c r="W214" i="25"/>
  <c r="D214" i="25"/>
  <c r="E214" i="25" s="1"/>
  <c r="F214" i="25" s="1"/>
  <c r="G82" i="25"/>
  <c r="CF82" i="6" s="1"/>
  <c r="AA82" i="25"/>
  <c r="Z82" i="25" s="1"/>
  <c r="Y82" i="25" s="1"/>
  <c r="G351" i="25"/>
  <c r="CF351" i="6" s="1"/>
  <c r="AA351" i="25"/>
  <c r="Z351" i="25" s="1"/>
  <c r="Y351" i="25" s="1"/>
  <c r="I184" i="23"/>
  <c r="H184" i="24" s="1"/>
  <c r="W184" i="25"/>
  <c r="D184" i="25"/>
  <c r="E184" i="25" s="1"/>
  <c r="F184" i="25" s="1"/>
  <c r="I124" i="23"/>
  <c r="H124" i="24" s="1"/>
  <c r="G215" i="24"/>
  <c r="CE215" i="6" s="1"/>
  <c r="AA215" i="24"/>
  <c r="Z215" i="24" s="1"/>
  <c r="Y215" i="24" s="1"/>
  <c r="J71" i="23"/>
  <c r="I71" i="23"/>
  <c r="H71" i="24" s="1"/>
  <c r="AA71" i="24"/>
  <c r="Z71" i="24" s="1"/>
  <c r="Y71" i="24" s="1"/>
  <c r="G71" i="24"/>
  <c r="CE71" i="6" s="1"/>
  <c r="I246" i="22"/>
  <c r="H246" i="23" s="1"/>
  <c r="J246" i="22"/>
  <c r="AA361" i="24"/>
  <c r="Z361" i="24" s="1"/>
  <c r="Y361" i="24" s="1"/>
  <c r="G361" i="24"/>
  <c r="CE361" i="6" s="1"/>
  <c r="W99" i="25"/>
  <c r="D99" i="25"/>
  <c r="E99" i="25" s="1"/>
  <c r="F99" i="25" s="1"/>
  <c r="W226" i="25"/>
  <c r="D226" i="25"/>
  <c r="E226" i="25" s="1"/>
  <c r="F226" i="25" s="1"/>
  <c r="I300" i="22"/>
  <c r="H300" i="23" s="1"/>
  <c r="J300" i="22"/>
  <c r="J164" i="22"/>
  <c r="I164" i="22"/>
  <c r="H164" i="23" s="1"/>
  <c r="I344" i="22"/>
  <c r="H344" i="23" s="1"/>
  <c r="J344" i="22"/>
  <c r="I23" i="22"/>
  <c r="H23" i="23" s="1"/>
  <c r="J23" i="22"/>
  <c r="J97" i="22"/>
  <c r="I97" i="22"/>
  <c r="H97" i="23" s="1"/>
  <c r="J337" i="22"/>
  <c r="I337" i="22"/>
  <c r="H337" i="23" s="1"/>
  <c r="I259" i="22"/>
  <c r="H259" i="23" s="1"/>
  <c r="J259" i="22"/>
  <c r="I193" i="22"/>
  <c r="H193" i="23" s="1"/>
  <c r="G299" i="25"/>
  <c r="CF299" i="6" s="1"/>
  <c r="AA299" i="25"/>
  <c r="Z299" i="25" s="1"/>
  <c r="Y299" i="25" s="1"/>
  <c r="W356" i="25"/>
  <c r="D356" i="25"/>
  <c r="E356" i="25" s="1"/>
  <c r="F356" i="25" s="1"/>
  <c r="I206" i="23"/>
  <c r="H206" i="24" s="1"/>
  <c r="J206" i="23"/>
  <c r="I24" i="23"/>
  <c r="H24" i="24" s="1"/>
  <c r="G243" i="25"/>
  <c r="CF243" i="6" s="1"/>
  <c r="AA243" i="25"/>
  <c r="Z243" i="25" s="1"/>
  <c r="Y243" i="25" s="1"/>
  <c r="W133" i="25"/>
  <c r="D133" i="25"/>
  <c r="E133" i="25" s="1"/>
  <c r="F133" i="25" s="1"/>
  <c r="G234" i="24"/>
  <c r="CE234" i="6" s="1"/>
  <c r="AA234" i="24"/>
  <c r="Z234" i="24" s="1"/>
  <c r="Y234" i="24" s="1"/>
  <c r="AA257" i="25"/>
  <c r="Z257" i="25" s="1"/>
  <c r="Y257" i="25" s="1"/>
  <c r="G257" i="25"/>
  <c r="CF257" i="6" s="1"/>
  <c r="G80" i="25"/>
  <c r="CF80" i="6" s="1"/>
  <c r="AA80" i="25"/>
  <c r="Z80" i="25" s="1"/>
  <c r="Y80" i="25" s="1"/>
  <c r="W88" i="25"/>
  <c r="D88" i="25"/>
  <c r="E88" i="25" s="1"/>
  <c r="F88" i="25" s="1"/>
  <c r="I272" i="23"/>
  <c r="H272" i="24" s="1"/>
  <c r="AA378" i="24"/>
  <c r="Z378" i="24" s="1"/>
  <c r="Y378" i="24" s="1"/>
  <c r="G378" i="24"/>
  <c r="CE378" i="6" s="1"/>
  <c r="G355" i="24"/>
  <c r="CE355" i="6" s="1"/>
  <c r="AA355" i="24"/>
  <c r="Z355" i="24" s="1"/>
  <c r="Y355" i="24" s="1"/>
  <c r="G199" i="25"/>
  <c r="CF199" i="6" s="1"/>
  <c r="AA199" i="25"/>
  <c r="Z199" i="25" s="1"/>
  <c r="Y199" i="25" s="1"/>
  <c r="J288" i="22"/>
  <c r="I288" i="22"/>
  <c r="H288" i="23" s="1"/>
  <c r="W245" i="25"/>
  <c r="D245" i="25"/>
  <c r="E245" i="25" s="1"/>
  <c r="F245" i="25" s="1"/>
  <c r="W169" i="25"/>
  <c r="D169" i="25"/>
  <c r="E169" i="25" s="1"/>
  <c r="F169" i="25" s="1"/>
  <c r="I218" i="23"/>
  <c r="H218" i="24" s="1"/>
  <c r="J218" i="23"/>
  <c r="G188" i="24"/>
  <c r="CE188" i="6" s="1"/>
  <c r="AA188" i="24"/>
  <c r="Z188" i="24" s="1"/>
  <c r="Y188" i="24" s="1"/>
  <c r="I86" i="23"/>
  <c r="H86" i="24" s="1"/>
  <c r="J86" i="23"/>
  <c r="I303" i="22"/>
  <c r="H303" i="23" s="1"/>
  <c r="AA275" i="24"/>
  <c r="Z275" i="24" s="1"/>
  <c r="Y275" i="24" s="1"/>
  <c r="G275" i="24"/>
  <c r="CE275" i="6" s="1"/>
  <c r="W21" i="25"/>
  <c r="D21" i="25"/>
  <c r="E21" i="25" s="1"/>
  <c r="F21" i="25" s="1"/>
  <c r="G270" i="25"/>
  <c r="CF270" i="6" s="1"/>
  <c r="AA270" i="25"/>
  <c r="Z270" i="25" s="1"/>
  <c r="Y270" i="25" s="1"/>
  <c r="AA171" i="24"/>
  <c r="Z171" i="24" s="1"/>
  <c r="Y171" i="24" s="1"/>
  <c r="G171" i="24"/>
  <c r="CE171" i="6" s="1"/>
  <c r="G298" i="25"/>
  <c r="CF298" i="6" s="1"/>
  <c r="AA298" i="25"/>
  <c r="Z298" i="25" s="1"/>
  <c r="Y298" i="25" s="1"/>
  <c r="W263" i="25"/>
  <c r="D263" i="25"/>
  <c r="E263" i="25" s="1"/>
  <c r="F263" i="25" s="1"/>
  <c r="J135" i="22"/>
  <c r="I135" i="22"/>
  <c r="H135" i="23" s="1"/>
  <c r="AA177" i="25"/>
  <c r="Z177" i="25" s="1"/>
  <c r="Y177" i="25" s="1"/>
  <c r="G177" i="25"/>
  <c r="CF177" i="6" s="1"/>
  <c r="G240" i="24"/>
  <c r="CE240" i="6" s="1"/>
  <c r="AA240" i="24"/>
  <c r="Z240" i="24" s="1"/>
  <c r="Y240" i="24" s="1"/>
  <c r="W240" i="25"/>
  <c r="D240" i="25"/>
  <c r="E240" i="25" s="1"/>
  <c r="F240" i="25" s="1"/>
  <c r="W85" i="25"/>
  <c r="D85" i="25"/>
  <c r="E85" i="25" s="1"/>
  <c r="F85" i="25" s="1"/>
  <c r="W322" i="25"/>
  <c r="D322" i="25"/>
  <c r="E322" i="25" s="1"/>
  <c r="F322" i="25" s="1"/>
  <c r="W143" i="25"/>
  <c r="D143" i="25"/>
  <c r="E143" i="25" s="1"/>
  <c r="F143" i="25" s="1"/>
  <c r="G372" i="24"/>
  <c r="CE372" i="6" s="1"/>
  <c r="AA372" i="24"/>
  <c r="Z372" i="24" s="1"/>
  <c r="Y372" i="24" s="1"/>
  <c r="AA185" i="24"/>
  <c r="Z185" i="24" s="1"/>
  <c r="Y185" i="24" s="1"/>
  <c r="G185" i="24"/>
  <c r="CE185" i="6" s="1"/>
  <c r="G16" i="25"/>
  <c r="CF16" i="6" s="1"/>
  <c r="AA16" i="25"/>
  <c r="Z16" i="25" s="1"/>
  <c r="Y16" i="25" s="1"/>
  <c r="G58" i="24"/>
  <c r="CE58" i="6" s="1"/>
  <c r="AA58" i="24"/>
  <c r="Z58" i="24" s="1"/>
  <c r="Y58" i="24" s="1"/>
  <c r="I165" i="22"/>
  <c r="H165" i="23" s="1"/>
  <c r="J165" i="22"/>
  <c r="I109" i="23"/>
  <c r="H109" i="24" s="1"/>
  <c r="J109" i="23"/>
  <c r="I53" i="23"/>
  <c r="H53" i="24" s="1"/>
  <c r="J53" i="23"/>
  <c r="G336" i="25"/>
  <c r="CF336" i="6" s="1"/>
  <c r="AA336" i="25"/>
  <c r="Z336" i="25" s="1"/>
  <c r="Y336" i="25" s="1"/>
  <c r="W253" i="25"/>
  <c r="D253" i="25"/>
  <c r="E253" i="25" s="1"/>
  <c r="F253" i="25" s="1"/>
  <c r="I352" i="23"/>
  <c r="H352" i="24" s="1"/>
  <c r="I377" i="22"/>
  <c r="H377" i="23" s="1"/>
  <c r="J377" i="22"/>
  <c r="J57" i="22"/>
  <c r="I57" i="22"/>
  <c r="H57" i="23" s="1"/>
  <c r="I216" i="22"/>
  <c r="H216" i="23" s="1"/>
  <c r="J216" i="22"/>
  <c r="I222" i="22"/>
  <c r="H222" i="23" s="1"/>
  <c r="J222" i="22"/>
  <c r="J80" i="22"/>
  <c r="I80" i="22"/>
  <c r="H80" i="23" s="1"/>
  <c r="J69" i="22"/>
  <c r="I69" i="22"/>
  <c r="H69" i="23" s="1"/>
  <c r="I231" i="22"/>
  <c r="H231" i="23" s="1"/>
  <c r="J231" i="22"/>
  <c r="J83" i="22"/>
  <c r="I83" i="22"/>
  <c r="H83" i="23" s="1"/>
  <c r="J258" i="22"/>
  <c r="I33" i="22"/>
  <c r="H33" i="23" s="1"/>
  <c r="J33" i="22"/>
  <c r="I207" i="22"/>
  <c r="H207" i="23" s="1"/>
  <c r="J207" i="22"/>
  <c r="J212" i="22"/>
  <c r="I212" i="22"/>
  <c r="H212" i="23" s="1"/>
  <c r="I359" i="22"/>
  <c r="H359" i="23" s="1"/>
  <c r="I358" i="22"/>
  <c r="H358" i="23" s="1"/>
  <c r="J358" i="22"/>
  <c r="J174" i="22"/>
  <c r="I174" i="22"/>
  <c r="H174" i="23" s="1"/>
  <c r="I192" i="22"/>
  <c r="H192" i="23" s="1"/>
  <c r="J192" i="22"/>
  <c r="G324" i="25"/>
  <c r="CF324" i="6" s="1"/>
  <c r="AA324" i="25"/>
  <c r="Z324" i="25" s="1"/>
  <c r="Y324" i="25" s="1"/>
  <c r="G172" i="25"/>
  <c r="CF172" i="6" s="1"/>
  <c r="AA172" i="25"/>
  <c r="Z172" i="25" s="1"/>
  <c r="Y172" i="25" s="1"/>
  <c r="G141" i="25"/>
  <c r="CF141" i="6" s="1"/>
  <c r="AA141" i="25"/>
  <c r="Z141" i="25" s="1"/>
  <c r="Y141" i="25" s="1"/>
  <c r="J291" i="23"/>
  <c r="AA49" i="24"/>
  <c r="Z49" i="24" s="1"/>
  <c r="Y49" i="24" s="1"/>
  <c r="G49" i="24"/>
  <c r="CE49" i="6" s="1"/>
  <c r="W62" i="25"/>
  <c r="D62" i="25"/>
  <c r="E62" i="25" s="1"/>
  <c r="F62" i="25" s="1"/>
  <c r="I309" i="23"/>
  <c r="H309" i="24" s="1"/>
  <c r="G338" i="25"/>
  <c r="CF338" i="6" s="1"/>
  <c r="AA338" i="25"/>
  <c r="Z338" i="25" s="1"/>
  <c r="Y338" i="25" s="1"/>
  <c r="G325" i="24"/>
  <c r="CE325" i="6" s="1"/>
  <c r="AA325" i="24"/>
  <c r="Z325" i="24" s="1"/>
  <c r="Y325" i="24" s="1"/>
  <c r="G123" i="24"/>
  <c r="CE123" i="6" s="1"/>
  <c r="AA123" i="24"/>
  <c r="Z123" i="24" s="1"/>
  <c r="Y123" i="24" s="1"/>
  <c r="G89" i="24"/>
  <c r="CE89" i="6" s="1"/>
  <c r="AA89" i="24"/>
  <c r="Z89" i="24" s="1"/>
  <c r="Y89" i="24" s="1"/>
  <c r="W98" i="25"/>
  <c r="D98" i="25"/>
  <c r="E98" i="25" s="1"/>
  <c r="F98" i="25" s="1"/>
  <c r="G343" i="25"/>
  <c r="CF343" i="6" s="1"/>
  <c r="AA343" i="25"/>
  <c r="Z343" i="25" s="1"/>
  <c r="Y343" i="25" s="1"/>
  <c r="G315" i="24"/>
  <c r="CE315" i="6" s="1"/>
  <c r="AA315" i="24"/>
  <c r="Z315" i="24" s="1"/>
  <c r="Y315" i="24" s="1"/>
  <c r="W315" i="25"/>
  <c r="D315" i="25"/>
  <c r="E315" i="25" s="1"/>
  <c r="F315" i="25" s="1"/>
  <c r="W239" i="25"/>
  <c r="D239" i="25"/>
  <c r="E239" i="25" s="1"/>
  <c r="F239" i="25" s="1"/>
  <c r="G113" i="25"/>
  <c r="CF113" i="6" s="1"/>
  <c r="AA113" i="25"/>
  <c r="Z113" i="25" s="1"/>
  <c r="Y113" i="25" s="1"/>
  <c r="I266" i="22"/>
  <c r="H266" i="23" s="1"/>
  <c r="J266" i="22"/>
  <c r="G348" i="25"/>
  <c r="CF348" i="6" s="1"/>
  <c r="AA348" i="25"/>
  <c r="Z348" i="25" s="1"/>
  <c r="Y348" i="25" s="1"/>
  <c r="AA126" i="24"/>
  <c r="Z126" i="24" s="1"/>
  <c r="Y126" i="24" s="1"/>
  <c r="G126" i="24"/>
  <c r="CE126" i="6" s="1"/>
  <c r="W126" i="25"/>
  <c r="D126" i="25"/>
  <c r="E126" i="25" s="1"/>
  <c r="F126" i="25" s="1"/>
  <c r="G34" i="24"/>
  <c r="CE34" i="6" s="1"/>
  <c r="AA34" i="24"/>
  <c r="Z34" i="24" s="1"/>
  <c r="Y34" i="24" s="1"/>
  <c r="G341" i="25"/>
  <c r="CF341" i="6" s="1"/>
  <c r="AA341" i="25"/>
  <c r="Z341" i="25" s="1"/>
  <c r="Y341" i="25" s="1"/>
  <c r="G93" i="25"/>
  <c r="CF93" i="6" s="1"/>
  <c r="AA93" i="25"/>
  <c r="Z93" i="25" s="1"/>
  <c r="Y93" i="25" s="1"/>
  <c r="J110" i="22"/>
  <c r="I110" i="22"/>
  <c r="H110" i="23" s="1"/>
  <c r="G244" i="24"/>
  <c r="CE244" i="6" s="1"/>
  <c r="AA244" i="24"/>
  <c r="Z244" i="24" s="1"/>
  <c r="Y244" i="24" s="1"/>
  <c r="W157" i="25"/>
  <c r="D157" i="25"/>
  <c r="E157" i="25" s="1"/>
  <c r="F157" i="25" s="1"/>
  <c r="AA165" i="24"/>
  <c r="Z165" i="24" s="1"/>
  <c r="Y165" i="24" s="1"/>
  <c r="G165" i="24"/>
  <c r="CE165" i="6" s="1"/>
  <c r="G91" i="25"/>
  <c r="CF91" i="6" s="1"/>
  <c r="AA91" i="25"/>
  <c r="Z91" i="25" s="1"/>
  <c r="Y91" i="25" s="1"/>
  <c r="G256" i="24"/>
  <c r="CE256" i="6" s="1"/>
  <c r="AA256" i="24"/>
  <c r="Z256" i="24" s="1"/>
  <c r="Y256" i="24" s="1"/>
  <c r="G231" i="25"/>
  <c r="CF231" i="6" s="1"/>
  <c r="AA231" i="25"/>
  <c r="Z231" i="25" s="1"/>
  <c r="Y231" i="25" s="1"/>
  <c r="G228" i="25"/>
  <c r="CF228" i="6" s="1"/>
  <c r="AA228" i="25"/>
  <c r="Z228" i="25" s="1"/>
  <c r="Y228" i="25" s="1"/>
  <c r="G56" i="24"/>
  <c r="CE56" i="6" s="1"/>
  <c r="AA56" i="24"/>
  <c r="Z56" i="24" s="1"/>
  <c r="Y56" i="24" s="1"/>
  <c r="G273" i="24"/>
  <c r="CE273" i="6" s="1"/>
  <c r="AA273" i="24"/>
  <c r="Z273" i="24" s="1"/>
  <c r="Y273" i="24" s="1"/>
  <c r="AA74" i="24"/>
  <c r="Z74" i="24" s="1"/>
  <c r="Y74" i="24" s="1"/>
  <c r="G74" i="24"/>
  <c r="CE74" i="6" s="1"/>
  <c r="G35" i="25"/>
  <c r="CF35" i="6" s="1"/>
  <c r="AA35" i="25"/>
  <c r="Z35" i="25" s="1"/>
  <c r="Y35" i="25" s="1"/>
  <c r="W318" i="25"/>
  <c r="D318" i="25"/>
  <c r="E318" i="25" s="1"/>
  <c r="F318" i="25" s="1"/>
  <c r="I84" i="22"/>
  <c r="H84" i="23" s="1"/>
  <c r="J84" i="22"/>
  <c r="W283" i="25"/>
  <c r="D283" i="25"/>
  <c r="E283" i="25" s="1"/>
  <c r="F283" i="25" s="1"/>
  <c r="W76" i="25"/>
  <c r="D76" i="25"/>
  <c r="E76" i="25" s="1"/>
  <c r="F76" i="25" s="1"/>
  <c r="G156" i="24"/>
  <c r="CE156" i="6" s="1"/>
  <c r="AA156" i="24"/>
  <c r="Z156" i="24" s="1"/>
  <c r="Y156" i="24" s="1"/>
  <c r="G44" i="24"/>
  <c r="CE44" i="6" s="1"/>
  <c r="AA44" i="24"/>
  <c r="Z44" i="24" s="1"/>
  <c r="Y44" i="24" s="1"/>
  <c r="W87" i="25"/>
  <c r="D87" i="25"/>
  <c r="E87" i="25" s="1"/>
  <c r="F87" i="25" s="1"/>
  <c r="W220" i="25"/>
  <c r="D220" i="25"/>
  <c r="E220" i="25" s="1"/>
  <c r="F220" i="25" s="1"/>
  <c r="W317" i="25"/>
  <c r="D317" i="25"/>
  <c r="E317" i="25" s="1"/>
  <c r="F317" i="25" s="1"/>
  <c r="AA67" i="24"/>
  <c r="Z67" i="24" s="1"/>
  <c r="Y67" i="24" s="1"/>
  <c r="G67" i="24"/>
  <c r="CE67" i="6" s="1"/>
  <c r="W119" i="25"/>
  <c r="D119" i="25"/>
  <c r="E119" i="25" s="1"/>
  <c r="F119" i="25" s="1"/>
  <c r="G103" i="25"/>
  <c r="CF103" i="6" s="1"/>
  <c r="AA103" i="25"/>
  <c r="Z103" i="25" s="1"/>
  <c r="Y103" i="25" s="1"/>
  <c r="W310" i="25"/>
  <c r="D310" i="25"/>
  <c r="E310" i="25" s="1"/>
  <c r="F310" i="25" s="1"/>
  <c r="G242" i="25"/>
  <c r="CF242" i="6" s="1"/>
  <c r="AA242" i="25"/>
  <c r="Z242" i="25" s="1"/>
  <c r="Y242" i="25" s="1"/>
  <c r="G121" i="24"/>
  <c r="CE121" i="6" s="1"/>
  <c r="AA121" i="24"/>
  <c r="Z121" i="24" s="1"/>
  <c r="Y121" i="24" s="1"/>
  <c r="W112" i="25"/>
  <c r="D112" i="25"/>
  <c r="E112" i="25" s="1"/>
  <c r="F112" i="25" s="1"/>
  <c r="G195" i="25"/>
  <c r="CF195" i="6" s="1"/>
  <c r="AA195" i="25"/>
  <c r="Z195" i="25" s="1"/>
  <c r="Y195" i="25" s="1"/>
  <c r="G47" i="25"/>
  <c r="CF47" i="6" s="1"/>
  <c r="AA47" i="25"/>
  <c r="Z47" i="25" s="1"/>
  <c r="Y47" i="25" s="1"/>
  <c r="W176" i="25"/>
  <c r="D176" i="25"/>
  <c r="E176" i="25" s="1"/>
  <c r="F176" i="25" s="1"/>
  <c r="I219" i="22"/>
  <c r="H219" i="23" s="1"/>
  <c r="I261" i="23"/>
  <c r="H261" i="24" s="1"/>
  <c r="G261" i="24"/>
  <c r="CE261" i="6" s="1"/>
  <c r="AA261" i="24"/>
  <c r="Z261" i="24" s="1"/>
  <c r="Y261" i="24" s="1"/>
  <c r="G46" i="24"/>
  <c r="CE46" i="6" s="1"/>
  <c r="AA46" i="24"/>
  <c r="Z46" i="24" s="1"/>
  <c r="Y46" i="24" s="1"/>
  <c r="I321" i="22"/>
  <c r="H321" i="23" s="1"/>
  <c r="J321" i="22"/>
  <c r="W182" i="25"/>
  <c r="D182" i="25"/>
  <c r="E182" i="25" s="1"/>
  <c r="F182" i="25" s="1"/>
  <c r="I239" i="22"/>
  <c r="H239" i="23" s="1"/>
  <c r="J239" i="22"/>
  <c r="G18" i="25"/>
  <c r="CF18" i="6" s="1"/>
  <c r="AA18" i="25"/>
  <c r="Z18" i="25" s="1"/>
  <c r="Y18" i="25" s="1"/>
  <c r="AA223" i="24"/>
  <c r="Z223" i="24" s="1"/>
  <c r="Y223" i="24" s="1"/>
  <c r="G223" i="24"/>
  <c r="CE223" i="6" s="1"/>
  <c r="J244" i="22"/>
  <c r="I244" i="22"/>
  <c r="H244" i="23" s="1"/>
  <c r="AA251" i="25"/>
  <c r="Z251" i="25" s="1"/>
  <c r="Y251" i="25" s="1"/>
  <c r="G251" i="25"/>
  <c r="CF251" i="6" s="1"/>
  <c r="G162" i="24"/>
  <c r="CE162" i="6" s="1"/>
  <c r="AA162" i="24"/>
  <c r="Z162" i="24" s="1"/>
  <c r="Y162" i="24" s="1"/>
  <c r="G36" i="24"/>
  <c r="CE36" i="6" s="1"/>
  <c r="AA36" i="24"/>
  <c r="Z36" i="24" s="1"/>
  <c r="Y36" i="24" s="1"/>
  <c r="I279" i="22"/>
  <c r="H279" i="23" s="1"/>
  <c r="J279" i="22"/>
  <c r="AA304" i="25"/>
  <c r="Z304" i="25" s="1"/>
  <c r="Y304" i="25" s="1"/>
  <c r="G304" i="25"/>
  <c r="CF304" i="6" s="1"/>
  <c r="I256" i="22"/>
  <c r="H256" i="23" s="1"/>
  <c r="W139" i="25"/>
  <c r="D139" i="25"/>
  <c r="E139" i="25" s="1"/>
  <c r="F139" i="25" s="1"/>
  <c r="J334" i="23"/>
  <c r="I334" i="23"/>
  <c r="H334" i="24" s="1"/>
  <c r="W334" i="25"/>
  <c r="D334" i="25"/>
  <c r="E334" i="25" s="1"/>
  <c r="F334" i="25" s="1"/>
  <c r="J215" i="22"/>
  <c r="I215" i="22"/>
  <c r="H215" i="23" s="1"/>
  <c r="G104" i="24"/>
  <c r="CE104" i="6" s="1"/>
  <c r="AA104" i="24"/>
  <c r="Z104" i="24" s="1"/>
  <c r="Y104" i="24" s="1"/>
  <c r="I287" i="22"/>
  <c r="H287" i="23" s="1"/>
  <c r="J287" i="22"/>
  <c r="W347" i="25"/>
  <c r="D347" i="25"/>
  <c r="E347" i="25" s="1"/>
  <c r="F347" i="25" s="1"/>
  <c r="AA187" i="24"/>
  <c r="Z187" i="24" s="1"/>
  <c r="Y187" i="24" s="1"/>
  <c r="G187" i="24"/>
  <c r="CE187" i="6" s="1"/>
  <c r="AA274" i="24"/>
  <c r="Z274" i="24" s="1"/>
  <c r="Y274" i="24" s="1"/>
  <c r="G274" i="24"/>
  <c r="CE274" i="6" s="1"/>
  <c r="W274" i="25"/>
  <c r="D274" i="25"/>
  <c r="E274" i="25" s="1"/>
  <c r="F274" i="25" s="1"/>
  <c r="W114" i="25"/>
  <c r="D114" i="25"/>
  <c r="E114" i="25" s="1"/>
  <c r="F114" i="25" s="1"/>
  <c r="I226" i="22"/>
  <c r="H226" i="23" s="1"/>
  <c r="J132" i="22"/>
  <c r="I132" i="22"/>
  <c r="H132" i="23" s="1"/>
  <c r="J35" i="22"/>
  <c r="I35" i="22"/>
  <c r="H35" i="23" s="1"/>
  <c r="J294" i="22"/>
  <c r="I294" i="22"/>
  <c r="H294" i="23" s="1"/>
  <c r="I70" i="22"/>
  <c r="H70" i="23" s="1"/>
  <c r="J38" i="22"/>
  <c r="I38" i="22"/>
  <c r="H38" i="23" s="1"/>
  <c r="I351" i="22"/>
  <c r="H351" i="23" s="1"/>
  <c r="J351" i="22"/>
  <c r="I131" i="22"/>
  <c r="H131" i="23" s="1"/>
  <c r="J131" i="22"/>
  <c r="I326" i="22"/>
  <c r="H326" i="23" s="1"/>
  <c r="J326" i="22"/>
  <c r="I183" i="22"/>
  <c r="H183" i="23" s="1"/>
  <c r="J183" i="22"/>
  <c r="J208" i="22"/>
  <c r="I208" i="22"/>
  <c r="H208" i="23" s="1"/>
  <c r="I180" i="22"/>
  <c r="H180" i="23" s="1"/>
  <c r="J180" i="22"/>
  <c r="I170" i="22"/>
  <c r="H170" i="23" s="1"/>
  <c r="J170" i="22"/>
  <c r="I366" i="22"/>
  <c r="H366" i="23" s="1"/>
  <c r="J366" i="22"/>
  <c r="AA267" i="24"/>
  <c r="Z267" i="24" s="1"/>
  <c r="Y267" i="24" s="1"/>
  <c r="G267" i="24"/>
  <c r="CE267" i="6" s="1"/>
  <c r="G142" i="25"/>
  <c r="CF142" i="6" s="1"/>
  <c r="AA142" i="25"/>
  <c r="Z142" i="25" s="1"/>
  <c r="Y142" i="25" s="1"/>
  <c r="AA209" i="25"/>
  <c r="Z209" i="25" s="1"/>
  <c r="Y209" i="25" s="1"/>
  <c r="G209" i="25"/>
  <c r="CF209" i="6" s="1"/>
  <c r="W254" i="25"/>
  <c r="D254" i="25"/>
  <c r="E254" i="25" s="1"/>
  <c r="F254" i="25" s="1"/>
  <c r="W249" i="25"/>
  <c r="D249" i="25"/>
  <c r="E249" i="25" s="1"/>
  <c r="F249" i="25" s="1"/>
  <c r="W374" i="25"/>
  <c r="D374" i="25"/>
  <c r="E374" i="25" s="1"/>
  <c r="F374" i="25" s="1"/>
  <c r="G296" i="24"/>
  <c r="CE296" i="6" s="1"/>
  <c r="AA296" i="24"/>
  <c r="Z296" i="24" s="1"/>
  <c r="Y296" i="24" s="1"/>
  <c r="G282" i="24"/>
  <c r="CE282" i="6" s="1"/>
  <c r="AA282" i="24"/>
  <c r="Z282" i="24" s="1"/>
  <c r="Y282" i="24" s="1"/>
  <c r="AA219" i="24"/>
  <c r="Z219" i="24" s="1"/>
  <c r="Y219" i="24" s="1"/>
  <c r="G219" i="24"/>
  <c r="CE219" i="6" s="1"/>
  <c r="G175" i="25"/>
  <c r="CF175" i="6" s="1"/>
  <c r="AA175" i="25"/>
  <c r="Z175" i="25" s="1"/>
  <c r="Y175" i="25" s="1"/>
  <c r="G302" i="25"/>
  <c r="CF302" i="6" s="1"/>
  <c r="AA302" i="25"/>
  <c r="Z302" i="25" s="1"/>
  <c r="Y302" i="25" s="1"/>
  <c r="W349" i="25"/>
  <c r="D349" i="25"/>
  <c r="E349" i="25" s="1"/>
  <c r="F349" i="25" s="1"/>
  <c r="AA247" i="25"/>
  <c r="Z247" i="25" s="1"/>
  <c r="Y247" i="25" s="1"/>
  <c r="G247" i="25"/>
  <c r="CF247" i="6" s="1"/>
  <c r="G81" i="24"/>
  <c r="CE81" i="6" s="1"/>
  <c r="AA81" i="24"/>
  <c r="Z81" i="24" s="1"/>
  <c r="Y81" i="24" s="1"/>
  <c r="W81" i="25"/>
  <c r="D81" i="25"/>
  <c r="E81" i="25" s="1"/>
  <c r="F81" i="25" s="1"/>
  <c r="W321" i="25"/>
  <c r="D321" i="25"/>
  <c r="E321" i="25" s="1"/>
  <c r="F321" i="25" s="1"/>
  <c r="G350" i="24"/>
  <c r="CE350" i="6" s="1"/>
  <c r="AA350" i="24"/>
  <c r="Z350" i="24" s="1"/>
  <c r="Y350" i="24" s="1"/>
  <c r="W160" i="25"/>
  <c r="D160" i="25"/>
  <c r="E160" i="25" s="1"/>
  <c r="F160" i="25" s="1"/>
  <c r="W307" i="25"/>
  <c r="D307" i="25"/>
  <c r="E307" i="25" s="1"/>
  <c r="F307" i="25" s="1"/>
  <c r="AA31" i="24"/>
  <c r="Z31" i="24" s="1"/>
  <c r="Y31" i="24" s="1"/>
  <c r="G31" i="24"/>
  <c r="CE31" i="6" s="1"/>
  <c r="G37" i="24"/>
  <c r="CE37" i="6" s="1"/>
  <c r="AA37" i="24"/>
  <c r="Z37" i="24" s="1"/>
  <c r="Y37" i="24" s="1"/>
  <c r="G222" i="25"/>
  <c r="CF222" i="6" s="1"/>
  <c r="AA222" i="25"/>
  <c r="Z222" i="25" s="1"/>
  <c r="Y222" i="25" s="1"/>
  <c r="G198" i="24"/>
  <c r="CE198" i="6" s="1"/>
  <c r="AA198" i="24"/>
  <c r="Z198" i="24" s="1"/>
  <c r="Y198" i="24" s="1"/>
  <c r="W198" i="25"/>
  <c r="D198" i="25"/>
  <c r="E198" i="25" s="1"/>
  <c r="F198" i="25" s="1"/>
  <c r="AA279" i="24"/>
  <c r="Z279" i="24" s="1"/>
  <c r="Y279" i="24" s="1"/>
  <c r="G279" i="24"/>
  <c r="CE279" i="6" s="1"/>
  <c r="J51" i="22"/>
  <c r="I51" i="22"/>
  <c r="H51" i="23" s="1"/>
  <c r="G124" i="24"/>
  <c r="CE124" i="6" s="1"/>
  <c r="AA124" i="24"/>
  <c r="Z124" i="24" s="1"/>
  <c r="Y124" i="24" s="1"/>
  <c r="G285" i="25"/>
  <c r="CF285" i="6" s="1"/>
  <c r="AA285" i="25"/>
  <c r="Z285" i="25" s="1"/>
  <c r="Y285" i="25" s="1"/>
  <c r="G181" i="24"/>
  <c r="CE181" i="6" s="1"/>
  <c r="AA181" i="24"/>
  <c r="Z181" i="24" s="1"/>
  <c r="Y181" i="24" s="1"/>
  <c r="W268" i="25"/>
  <c r="D268" i="25"/>
  <c r="E268" i="25" s="1"/>
  <c r="F268" i="25" s="1"/>
  <c r="G69" i="25"/>
  <c r="CF69" i="6" s="1"/>
  <c r="AA69" i="25"/>
  <c r="Z69" i="25" s="1"/>
  <c r="Y69" i="25" s="1"/>
  <c r="G227" i="25"/>
  <c r="CF227" i="6" s="1"/>
  <c r="AA227" i="25"/>
  <c r="Z227" i="25" s="1"/>
  <c r="Y227" i="25" s="1"/>
  <c r="G206" i="24"/>
  <c r="CE206" i="6" s="1"/>
  <c r="AA206" i="24"/>
  <c r="Z206" i="24" s="1"/>
  <c r="Y206" i="24" s="1"/>
  <c r="G24" i="24"/>
  <c r="CE24" i="6" s="1"/>
  <c r="AA24" i="24"/>
  <c r="Z24" i="24" s="1"/>
  <c r="Y24" i="24" s="1"/>
  <c r="G329" i="25"/>
  <c r="CF329" i="6" s="1"/>
  <c r="AA329" i="25"/>
  <c r="Z329" i="25" s="1"/>
  <c r="Y329" i="25" s="1"/>
  <c r="I213" i="22"/>
  <c r="H213" i="23" s="1"/>
  <c r="J213" i="22"/>
  <c r="AA260" i="25"/>
  <c r="Z260" i="25" s="1"/>
  <c r="Y260" i="25" s="1"/>
  <c r="G260" i="25"/>
  <c r="CF260" i="6" s="1"/>
  <c r="W272" i="25"/>
  <c r="D272" i="25"/>
  <c r="E272" i="25" s="1"/>
  <c r="F272" i="25" s="1"/>
  <c r="W22" i="25"/>
  <c r="D22" i="25"/>
  <c r="E22" i="25" s="1"/>
  <c r="F22" i="25" s="1"/>
  <c r="W137" i="25"/>
  <c r="D137" i="25"/>
  <c r="E137" i="25" s="1"/>
  <c r="F137" i="25" s="1"/>
  <c r="W102" i="25"/>
  <c r="D102" i="25"/>
  <c r="E102" i="25" s="1"/>
  <c r="F102" i="25" s="1"/>
  <c r="W25" i="25"/>
  <c r="D25" i="25"/>
  <c r="E25" i="25" s="1"/>
  <c r="F25" i="25" s="1"/>
  <c r="AA370" i="25"/>
  <c r="Z370" i="25" s="1"/>
  <c r="Y370" i="25" s="1"/>
  <c r="G370" i="25"/>
  <c r="CF370" i="6" s="1"/>
  <c r="G202" i="25"/>
  <c r="CF202" i="6" s="1"/>
  <c r="AA202" i="25"/>
  <c r="Z202" i="25" s="1"/>
  <c r="Y202" i="25" s="1"/>
  <c r="W288" i="25"/>
  <c r="D288" i="25"/>
  <c r="E288" i="25" s="1"/>
  <c r="F288" i="25" s="1"/>
  <c r="G313" i="25"/>
  <c r="CF313" i="6" s="1"/>
  <c r="AA313" i="25"/>
  <c r="Z313" i="25" s="1"/>
  <c r="Y313" i="25" s="1"/>
  <c r="W218" i="25"/>
  <c r="D218" i="25"/>
  <c r="E218" i="25" s="1"/>
  <c r="F218" i="25" s="1"/>
  <c r="W86" i="25"/>
  <c r="D86" i="25"/>
  <c r="E86" i="25" s="1"/>
  <c r="F86" i="25" s="1"/>
  <c r="W303" i="25"/>
  <c r="D303" i="25"/>
  <c r="E303" i="25" s="1"/>
  <c r="F303" i="25" s="1"/>
  <c r="I275" i="23"/>
  <c r="H275" i="24" s="1"/>
  <c r="J275" i="23"/>
  <c r="I45" i="22"/>
  <c r="H45" i="23" s="1"/>
  <c r="I171" i="23"/>
  <c r="H171" i="24" s="1"/>
  <c r="J171" i="23"/>
  <c r="G365" i="24"/>
  <c r="CE365" i="6" s="1"/>
  <c r="AA365" i="24"/>
  <c r="Z365" i="24" s="1"/>
  <c r="Y365" i="24" s="1"/>
  <c r="G136" i="25"/>
  <c r="CF136" i="6" s="1"/>
  <c r="AA136" i="25"/>
  <c r="Z136" i="25" s="1"/>
  <c r="Y136" i="25" s="1"/>
  <c r="G43" i="25"/>
  <c r="CF43" i="6" s="1"/>
  <c r="AA43" i="25"/>
  <c r="Z43" i="25" s="1"/>
  <c r="Y43" i="25" s="1"/>
  <c r="W150" i="25"/>
  <c r="D150" i="25"/>
  <c r="E150" i="25" s="1"/>
  <c r="F150" i="25" s="1"/>
  <c r="J227" i="22"/>
  <c r="I227" i="22"/>
  <c r="H227" i="23" s="1"/>
  <c r="I224" i="22"/>
  <c r="H224" i="23" s="1"/>
  <c r="J224" i="22"/>
  <c r="J286" i="22"/>
  <c r="I286" i="22"/>
  <c r="H286" i="23" s="1"/>
  <c r="I200" i="22"/>
  <c r="H200" i="23" s="1"/>
  <c r="J172" i="22"/>
  <c r="I172" i="22"/>
  <c r="H172" i="23" s="1"/>
  <c r="I195" i="22"/>
  <c r="H195" i="23" s="1"/>
  <c r="J195" i="22"/>
  <c r="J81" i="22"/>
  <c r="I81" i="22"/>
  <c r="H81" i="23" s="1"/>
  <c r="G289" i="24"/>
  <c r="CE289" i="6" s="1"/>
  <c r="AA289" i="24"/>
  <c r="Z289" i="24" s="1"/>
  <c r="Y289" i="24" s="1"/>
  <c r="I143" i="23"/>
  <c r="H143" i="24" s="1"/>
  <c r="I65" i="23"/>
  <c r="H65" i="24" s="1"/>
  <c r="W148" i="25"/>
  <c r="D148" i="25"/>
  <c r="E148" i="25" s="1"/>
  <c r="F148" i="25" s="1"/>
  <c r="AA293" i="25"/>
  <c r="Z293" i="25" s="1"/>
  <c r="Y293" i="25" s="1"/>
  <c r="G293" i="25"/>
  <c r="CF293" i="6" s="1"/>
  <c r="W201" i="25"/>
  <c r="D201" i="25"/>
  <c r="E201" i="25" s="1"/>
  <c r="F201" i="25" s="1"/>
  <c r="W110" i="25"/>
  <c r="D110" i="25"/>
  <c r="E110" i="25" s="1"/>
  <c r="F110" i="25" s="1"/>
  <c r="I346" i="22"/>
  <c r="H346" i="23" s="1"/>
  <c r="J346" i="22"/>
  <c r="W90" i="25"/>
  <c r="D90" i="25"/>
  <c r="E90" i="25" s="1"/>
  <c r="F90" i="25" s="1"/>
  <c r="G286" i="25"/>
  <c r="CF286" i="6" s="1"/>
  <c r="AA286" i="25"/>
  <c r="Z286" i="25" s="1"/>
  <c r="Y286" i="25" s="1"/>
  <c r="I58" i="22"/>
  <c r="H58" i="23" s="1"/>
  <c r="J58" i="22"/>
  <c r="G109" i="24"/>
  <c r="CE109" i="6" s="1"/>
  <c r="AA109" i="24"/>
  <c r="Z109" i="24" s="1"/>
  <c r="Y109" i="24" s="1"/>
  <c r="I364" i="22"/>
  <c r="H364" i="23" s="1"/>
  <c r="J364" i="22"/>
  <c r="J27" i="22"/>
  <c r="I27" i="22"/>
  <c r="H27" i="23" s="1"/>
  <c r="AA53" i="24"/>
  <c r="Z53" i="24" s="1"/>
  <c r="Y53" i="24" s="1"/>
  <c r="G53" i="24"/>
  <c r="CE53" i="6" s="1"/>
  <c r="J56" i="22"/>
  <c r="I56" i="22"/>
  <c r="H56" i="23" s="1"/>
  <c r="AA369" i="24"/>
  <c r="Z369" i="24" s="1"/>
  <c r="Y369" i="24" s="1"/>
  <c r="G369" i="24"/>
  <c r="CE369" i="6" s="1"/>
  <c r="G333" i="24"/>
  <c r="CE333" i="6" s="1"/>
  <c r="AA333" i="24"/>
  <c r="Z333" i="24" s="1"/>
  <c r="Y333" i="24" s="1"/>
  <c r="G29" i="24"/>
  <c r="CE29" i="6" s="1"/>
  <c r="AA29" i="24"/>
  <c r="Z29" i="24" s="1"/>
  <c r="Y29" i="24" s="1"/>
  <c r="G134" i="25"/>
  <c r="CF134" i="6" s="1"/>
  <c r="AA134" i="25"/>
  <c r="Z134" i="25" s="1"/>
  <c r="Y134" i="25" s="1"/>
  <c r="AA280" i="25"/>
  <c r="Z280" i="25" s="1"/>
  <c r="Y280" i="25" s="1"/>
  <c r="G280" i="25"/>
  <c r="CF280" i="6" s="1"/>
  <c r="G339" i="24"/>
  <c r="CE339" i="6" s="1"/>
  <c r="AA339" i="24"/>
  <c r="Z339" i="24" s="1"/>
  <c r="Y339" i="24" s="1"/>
  <c r="W309" i="25"/>
  <c r="D309" i="25"/>
  <c r="E309" i="25" s="1"/>
  <c r="F309" i="25" s="1"/>
  <c r="G45" i="24"/>
  <c r="CE45" i="6" s="1"/>
  <c r="AA45" i="24"/>
  <c r="Z45" i="24" s="1"/>
  <c r="Y45" i="24" s="1"/>
  <c r="W45" i="25"/>
  <c r="D45" i="25"/>
  <c r="E45" i="25" s="1"/>
  <c r="F45" i="25" s="1"/>
  <c r="G230" i="25"/>
  <c r="CF230" i="6" s="1"/>
  <c r="AA230" i="25"/>
  <c r="Z230" i="25" s="1"/>
  <c r="Y230" i="25" s="1"/>
  <c r="W61" i="25"/>
  <c r="D61" i="25"/>
  <c r="E61" i="25" s="1"/>
  <c r="F61" i="25" s="1"/>
  <c r="J194" i="23"/>
  <c r="I194" i="23"/>
  <c r="H194" i="24" s="1"/>
  <c r="AA194" i="24"/>
  <c r="Z194" i="24" s="1"/>
  <c r="Y194" i="24" s="1"/>
  <c r="G194" i="24"/>
  <c r="CE194" i="6" s="1"/>
  <c r="G149" i="25"/>
  <c r="CF149" i="6" s="1"/>
  <c r="AA149" i="25"/>
  <c r="Z149" i="25" s="1"/>
  <c r="Y149" i="25" s="1"/>
  <c r="J30" i="22"/>
  <c r="I30" i="22"/>
  <c r="H30" i="23" s="1"/>
  <c r="J54" i="22"/>
  <c r="I54" i="22"/>
  <c r="H54" i="23" s="1"/>
  <c r="W163" i="25"/>
  <c r="D163" i="25"/>
  <c r="E163" i="25" s="1"/>
  <c r="F163" i="25" s="1"/>
  <c r="G200" i="25"/>
  <c r="CF200" i="6" s="1"/>
  <c r="AA200" i="25"/>
  <c r="Z200" i="25" s="1"/>
  <c r="Y200" i="25" s="1"/>
  <c r="AA168" i="25"/>
  <c r="Z168" i="25" s="1"/>
  <c r="Y168" i="25" s="1"/>
  <c r="G168" i="25"/>
  <c r="CF168" i="6" s="1"/>
  <c r="J72" i="22"/>
  <c r="I72" i="22"/>
  <c r="H72" i="23" s="1"/>
  <c r="J315" i="22"/>
  <c r="I315" i="22"/>
  <c r="H315" i="23" s="1"/>
  <c r="AA238" i="25"/>
  <c r="Z238" i="25" s="1"/>
  <c r="Y238" i="25" s="1"/>
  <c r="G238" i="25"/>
  <c r="CF238" i="6" s="1"/>
  <c r="W357" i="25"/>
  <c r="D357" i="25"/>
  <c r="E357" i="25" s="1"/>
  <c r="F357" i="25" s="1"/>
  <c r="AA250" i="24"/>
  <c r="Z250" i="24" s="1"/>
  <c r="Y250" i="24" s="1"/>
  <c r="G250" i="24"/>
  <c r="CE250" i="6" s="1"/>
  <c r="I34" i="23"/>
  <c r="H34" i="24" s="1"/>
  <c r="W140" i="25"/>
  <c r="D140" i="25"/>
  <c r="E140" i="25" s="1"/>
  <c r="F140" i="25" s="1"/>
  <c r="G248" i="24"/>
  <c r="CE248" i="6" s="1"/>
  <c r="AA248" i="24"/>
  <c r="Z248" i="24" s="1"/>
  <c r="Y248" i="24" s="1"/>
  <c r="W248" i="25"/>
  <c r="D248" i="25"/>
  <c r="E248" i="25" s="1"/>
  <c r="F248" i="25" s="1"/>
  <c r="J295" i="23"/>
  <c r="I295" i="23"/>
  <c r="H295" i="24" s="1"/>
  <c r="G204" i="25"/>
  <c r="CF204" i="6" s="1"/>
  <c r="AA204" i="25"/>
  <c r="Z204" i="25" s="1"/>
  <c r="Y204" i="25" s="1"/>
  <c r="W264" i="25"/>
  <c r="D264" i="25"/>
  <c r="E264" i="25" s="1"/>
  <c r="F264" i="25" s="1"/>
  <c r="G117" i="25"/>
  <c r="CF117" i="6" s="1"/>
  <c r="AA117" i="25"/>
  <c r="Z117" i="25" s="1"/>
  <c r="Y117" i="25" s="1"/>
  <c r="AA330" i="24"/>
  <c r="Z330" i="24" s="1"/>
  <c r="Y330" i="24" s="1"/>
  <c r="G330" i="24"/>
  <c r="CE330" i="6" s="1"/>
  <c r="AA27" i="24"/>
  <c r="Z27" i="24" s="1"/>
  <c r="Y27" i="24" s="1"/>
  <c r="G27" i="24"/>
  <c r="CE27" i="6" s="1"/>
  <c r="AA151" i="25"/>
  <c r="Z151" i="25" s="1"/>
  <c r="Y151" i="25" s="1"/>
  <c r="G151" i="25"/>
  <c r="CF151" i="6" s="1"/>
  <c r="G170" i="25"/>
  <c r="CF170" i="6" s="1"/>
  <c r="AA170" i="25"/>
  <c r="Z170" i="25" s="1"/>
  <c r="Y170" i="25" s="1"/>
  <c r="J74" i="23"/>
  <c r="I74" i="23"/>
  <c r="H74" i="24" s="1"/>
  <c r="I283" i="23"/>
  <c r="H283" i="24" s="1"/>
  <c r="I243" i="22"/>
  <c r="H243" i="23" s="1"/>
  <c r="J243" i="22"/>
  <c r="I363" i="22"/>
  <c r="H363" i="23" s="1"/>
  <c r="J363" i="22"/>
  <c r="I76" i="23"/>
  <c r="H76" i="24" s="1"/>
  <c r="G73" i="24"/>
  <c r="CE73" i="6" s="1"/>
  <c r="AA73" i="24"/>
  <c r="Z73" i="24" s="1"/>
  <c r="Y73" i="24" s="1"/>
  <c r="W345" i="25"/>
  <c r="D345" i="25"/>
  <c r="E345" i="25" s="1"/>
  <c r="F345" i="25" s="1"/>
  <c r="G115" i="24"/>
  <c r="CE115" i="6" s="1"/>
  <c r="AA115" i="24"/>
  <c r="Z115" i="24" s="1"/>
  <c r="Y115" i="24" s="1"/>
  <c r="G337" i="25"/>
  <c r="CF337" i="6" s="1"/>
  <c r="AA337" i="25"/>
  <c r="Z337" i="25" s="1"/>
  <c r="Y337" i="25" s="1"/>
  <c r="J267" i="22"/>
  <c r="I267" i="22"/>
  <c r="H267" i="23" s="1"/>
  <c r="J191" i="23"/>
  <c r="I191" i="23"/>
  <c r="H191" i="24" s="1"/>
  <c r="W191" i="25"/>
  <c r="D191" i="25"/>
  <c r="E191" i="25" s="1"/>
  <c r="F191" i="25" s="1"/>
  <c r="G371" i="24"/>
  <c r="CE371" i="6" s="1"/>
  <c r="AA371" i="24"/>
  <c r="Z371" i="24" s="1"/>
  <c r="Y371" i="24" s="1"/>
  <c r="J249" i="22"/>
  <c r="I249" i="22"/>
  <c r="H249" i="23" s="1"/>
  <c r="G196" i="24"/>
  <c r="CE196" i="6" s="1"/>
  <c r="AA196" i="24"/>
  <c r="Z196" i="24" s="1"/>
  <c r="Y196" i="24" s="1"/>
  <c r="J232" i="22"/>
  <c r="I232" i="22"/>
  <c r="H232" i="23" s="1"/>
  <c r="G235" i="25"/>
  <c r="CF235" i="6" s="1"/>
  <c r="AA235" i="25"/>
  <c r="Z235" i="25" s="1"/>
  <c r="Y235" i="25" s="1"/>
  <c r="W311" i="25"/>
  <c r="D311" i="25"/>
  <c r="E311" i="25" s="1"/>
  <c r="F311" i="25" s="1"/>
  <c r="I362" i="22"/>
  <c r="H362" i="23" s="1"/>
  <c r="W186" i="25"/>
  <c r="D186" i="25"/>
  <c r="E186" i="25" s="1"/>
  <c r="F186" i="25" s="1"/>
  <c r="G359" i="25"/>
  <c r="CF359" i="6" s="1"/>
  <c r="AA359" i="25"/>
  <c r="Z359" i="25" s="1"/>
  <c r="Y359" i="25" s="1"/>
  <c r="I277" i="22"/>
  <c r="H277" i="23" s="1"/>
  <c r="J277" i="22"/>
  <c r="G203" i="24"/>
  <c r="CE203" i="6" s="1"/>
  <c r="AA203" i="24"/>
  <c r="Z203" i="24" s="1"/>
  <c r="Y203" i="24" s="1"/>
  <c r="W144" i="25"/>
  <c r="D144" i="25"/>
  <c r="E144" i="25" s="1"/>
  <c r="F144" i="25" s="1"/>
  <c r="AA221" i="25"/>
  <c r="Z221" i="25" s="1"/>
  <c r="Y221" i="25" s="1"/>
  <c r="G221" i="25"/>
  <c r="CF221" i="6" s="1"/>
  <c r="G128" i="24"/>
  <c r="CE128" i="6" s="1"/>
  <c r="AA128" i="24"/>
  <c r="Z128" i="24" s="1"/>
  <c r="Y128" i="24" s="1"/>
  <c r="I46" i="23"/>
  <c r="H46" i="24" s="1"/>
  <c r="G60" i="24"/>
  <c r="CE60" i="6" s="1"/>
  <c r="AA60" i="24"/>
  <c r="Z60" i="24" s="1"/>
  <c r="Y60" i="24" s="1"/>
  <c r="G77" i="24"/>
  <c r="CE77" i="6" s="1"/>
  <c r="AA77" i="24"/>
  <c r="Z77" i="24" s="1"/>
  <c r="Y77" i="24" s="1"/>
  <c r="J101" i="22"/>
  <c r="I101" i="22"/>
  <c r="H101" i="23" s="1"/>
  <c r="J50" i="22"/>
  <c r="I50" i="22"/>
  <c r="H50" i="23" s="1"/>
  <c r="J338" i="22"/>
  <c r="I338" i="22"/>
  <c r="H338" i="23" s="1"/>
  <c r="I68" i="22"/>
  <c r="H68" i="23" s="1"/>
  <c r="J68" i="22"/>
  <c r="J324" i="22"/>
  <c r="I324" i="22"/>
  <c r="H324" i="23" s="1"/>
  <c r="I255" i="22"/>
  <c r="H255" i="23" s="1"/>
  <c r="J255" i="22"/>
  <c r="I229" i="22"/>
  <c r="H229" i="23" s="1"/>
  <c r="J229" i="22"/>
  <c r="J158" i="22"/>
  <c r="I158" i="22"/>
  <c r="H158" i="23" s="1"/>
  <c r="J360" i="22"/>
  <c r="I360" i="22"/>
  <c r="H360" i="23" s="1"/>
  <c r="I141" i="22"/>
  <c r="H141" i="23" s="1"/>
  <c r="J141" i="22"/>
  <c r="I147" i="22"/>
  <c r="H147" i="23" s="1"/>
  <c r="J147" i="22"/>
  <c r="I93" i="22"/>
  <c r="H93" i="23" s="1"/>
  <c r="J93" i="22"/>
  <c r="J118" i="22"/>
  <c r="I118" i="22"/>
  <c r="H118" i="23" s="1"/>
  <c r="J63" i="22"/>
  <c r="I63" i="22"/>
  <c r="H63" i="23" s="1"/>
  <c r="J302" i="22"/>
  <c r="I302" i="22"/>
  <c r="H302" i="23" s="1"/>
  <c r="I368" i="22"/>
  <c r="H368" i="23" s="1"/>
  <c r="J368" i="22"/>
  <c r="G38" i="25"/>
  <c r="CF38" i="6" s="1"/>
  <c r="AA38" i="25"/>
  <c r="Z38" i="25" s="1"/>
  <c r="Y38" i="25" s="1"/>
  <c r="I332" i="22"/>
  <c r="H332" i="23" s="1"/>
  <c r="J332" i="22"/>
  <c r="I182" i="22"/>
  <c r="H182" i="23" s="1"/>
  <c r="AA78" i="24"/>
  <c r="Z78" i="24" s="1"/>
  <c r="Y78" i="24" s="1"/>
  <c r="G78" i="24"/>
  <c r="CE78" i="6" s="1"/>
  <c r="G72" i="24"/>
  <c r="CE72" i="6" s="1"/>
  <c r="AA72" i="24"/>
  <c r="Z72" i="24" s="1"/>
  <c r="Y72" i="24" s="1"/>
  <c r="W266" i="25"/>
  <c r="D266" i="25"/>
  <c r="E266" i="25" s="1"/>
  <c r="F266" i="25" s="1"/>
  <c r="G373" i="24"/>
  <c r="CE373" i="6" s="1"/>
  <c r="AA373" i="24"/>
  <c r="Z373" i="24" s="1"/>
  <c r="Y373" i="24" s="1"/>
  <c r="W373" i="25"/>
  <c r="D373" i="25"/>
  <c r="E373" i="25" s="1"/>
  <c r="F373" i="25" s="1"/>
  <c r="I307" i="22"/>
  <c r="H307" i="23" s="1"/>
  <c r="J307" i="22"/>
  <c r="G259" i="25"/>
  <c r="CF259" i="6" s="1"/>
  <c r="AA259" i="25"/>
  <c r="Z259" i="25" s="1"/>
  <c r="Y259" i="25" s="1"/>
  <c r="W145" i="25"/>
  <c r="D145" i="25"/>
  <c r="E145" i="25" s="1"/>
  <c r="F145" i="25" s="1"/>
  <c r="G340" i="24"/>
  <c r="CE340" i="6" s="1"/>
  <c r="AA340" i="24"/>
  <c r="Z340" i="24" s="1"/>
  <c r="Y340" i="24" s="1"/>
  <c r="W340" i="25"/>
  <c r="D340" i="25"/>
  <c r="E340" i="25" s="1"/>
  <c r="F340" i="25" s="1"/>
  <c r="G51" i="24"/>
  <c r="CE51" i="6" s="1"/>
  <c r="AA51" i="24"/>
  <c r="Z51" i="24" s="1"/>
  <c r="Y51" i="24" s="1"/>
  <c r="I181" i="22"/>
  <c r="H181" i="23" s="1"/>
  <c r="J181" i="22"/>
  <c r="G246" i="24"/>
  <c r="CE246" i="6" s="1"/>
  <c r="AA246" i="24"/>
  <c r="Z246" i="24" s="1"/>
  <c r="Y246" i="24" s="1"/>
  <c r="W246" i="25"/>
  <c r="D246" i="25"/>
  <c r="E246" i="25" s="1"/>
  <c r="F246" i="25" s="1"/>
  <c r="G75" i="24"/>
  <c r="CE75" i="6" s="1"/>
  <c r="AA75" i="24"/>
  <c r="Z75" i="24" s="1"/>
  <c r="Y75" i="24" s="1"/>
  <c r="G32" i="25"/>
  <c r="CF32" i="6" s="1"/>
  <c r="AA32" i="25"/>
  <c r="Z32" i="25" s="1"/>
  <c r="Y32" i="25" s="1"/>
  <c r="W213" i="25"/>
  <c r="D213" i="25"/>
  <c r="E213" i="25" s="1"/>
  <c r="F213" i="25" s="1"/>
  <c r="W20" i="25"/>
  <c r="D20" i="25"/>
  <c r="E20" i="25" s="1"/>
  <c r="F20" i="25" s="1"/>
  <c r="W42" i="25"/>
  <c r="D42" i="25"/>
  <c r="E42" i="25" s="1"/>
  <c r="F42" i="25" s="1"/>
  <c r="G189" i="25"/>
  <c r="CF189" i="6" s="1"/>
  <c r="AA189" i="25"/>
  <c r="Z189" i="25" s="1"/>
  <c r="Y189" i="25" s="1"/>
  <c r="J374" i="23"/>
  <c r="I374" i="23"/>
  <c r="H374" i="24" s="1"/>
  <c r="G362" i="24"/>
  <c r="CE362" i="6" s="1"/>
  <c r="AA362" i="24"/>
  <c r="Z362" i="24" s="1"/>
  <c r="Y362" i="24" s="1"/>
  <c r="G225" i="24"/>
  <c r="CE225" i="6" s="1"/>
  <c r="AA225" i="24"/>
  <c r="Z225" i="24" s="1"/>
  <c r="Y225" i="24" s="1"/>
  <c r="G292" i="24"/>
  <c r="CE292" i="6" s="1"/>
  <c r="AA292" i="24"/>
  <c r="Z292" i="24" s="1"/>
  <c r="Y292" i="24" s="1"/>
  <c r="AA375" i="25"/>
  <c r="Z375" i="25" s="1"/>
  <c r="Y375" i="25" s="1"/>
  <c r="G375" i="25"/>
  <c r="CF375" i="6" s="1"/>
  <c r="I282" i="23"/>
  <c r="H282" i="24" s="1"/>
  <c r="G92" i="25"/>
  <c r="CF92" i="6" s="1"/>
  <c r="AA92" i="25"/>
  <c r="Z92" i="25" s="1"/>
  <c r="Y92" i="25" s="1"/>
  <c r="G173" i="24"/>
  <c r="CE173" i="6" s="1"/>
  <c r="AA173" i="24"/>
  <c r="Z173" i="24" s="1"/>
  <c r="Y173" i="24" s="1"/>
  <c r="G17" i="25"/>
  <c r="CF17" i="6" s="1"/>
  <c r="AA17" i="25"/>
  <c r="Z17" i="25" s="1"/>
  <c r="Y17" i="25" s="1"/>
  <c r="W159" i="25"/>
  <c r="D159" i="25"/>
  <c r="E159" i="25" s="1"/>
  <c r="F159" i="25" s="1"/>
  <c r="G161" i="24"/>
  <c r="CE161" i="6" s="1"/>
  <c r="AA161" i="24"/>
  <c r="Z161" i="24" s="1"/>
  <c r="Y161" i="24" s="1"/>
  <c r="AA135" i="24"/>
  <c r="Z135" i="24" s="1"/>
  <c r="Y135" i="24" s="1"/>
  <c r="G135" i="24"/>
  <c r="CE135" i="6" s="1"/>
  <c r="I312" i="22"/>
  <c r="H312" i="23" s="1"/>
  <c r="J312" i="22"/>
  <c r="J19" i="22"/>
  <c r="I19" i="22"/>
  <c r="H19" i="23" s="1"/>
  <c r="I197" i="22"/>
  <c r="H197" i="23" s="1"/>
  <c r="J197" i="22"/>
  <c r="I313" i="22"/>
  <c r="H313" i="23" s="1"/>
  <c r="J313" i="22"/>
  <c r="J32" i="22"/>
  <c r="I32" i="22"/>
  <c r="H32" i="23" s="1"/>
  <c r="I342" i="22"/>
  <c r="H342" i="23" s="1"/>
  <c r="J342" i="22"/>
  <c r="J190" i="22"/>
  <c r="I190" i="22"/>
  <c r="H190" i="23" s="1"/>
  <c r="J304" i="22"/>
  <c r="I304" i="22"/>
  <c r="H304" i="23" s="1"/>
  <c r="J151" i="22"/>
  <c r="I151" i="22"/>
  <c r="H151" i="23" s="1"/>
  <c r="I107" i="22"/>
  <c r="H107" i="23" s="1"/>
  <c r="J107" i="22"/>
  <c r="J260" i="22"/>
  <c r="I260" i="22"/>
  <c r="H260" i="23" s="1"/>
  <c r="I299" i="22"/>
  <c r="H299" i="23" s="1"/>
  <c r="J299" i="22"/>
  <c r="G332" i="24"/>
  <c r="CE332" i="6" s="1"/>
  <c r="AA332" i="24"/>
  <c r="Z332" i="24" s="1"/>
  <c r="Y332" i="24" s="1"/>
  <c r="W332" i="25"/>
  <c r="D332" i="25"/>
  <c r="E332" i="25" s="1"/>
  <c r="F332" i="25" s="1"/>
  <c r="G342" i="25"/>
  <c r="CF342" i="6" s="1"/>
  <c r="AA342" i="25"/>
  <c r="Z342" i="25" s="1"/>
  <c r="Y342" i="25" s="1"/>
  <c r="AA40" i="25"/>
  <c r="Z40" i="25" s="1"/>
  <c r="Y40" i="25" s="1"/>
  <c r="G40" i="25"/>
  <c r="CF40" i="6" s="1"/>
  <c r="I350" i="23"/>
  <c r="H350" i="24" s="1"/>
  <c r="G346" i="24"/>
  <c r="CE346" i="6" s="1"/>
  <c r="AA346" i="24"/>
  <c r="Z346" i="24" s="1"/>
  <c r="Y346" i="24" s="1"/>
  <c r="AA125" i="24"/>
  <c r="Z125" i="24" s="1"/>
  <c r="Y125" i="24" s="1"/>
  <c r="G125" i="24"/>
  <c r="CE125" i="6" s="1"/>
  <c r="D125" i="25"/>
  <c r="E125" i="25" s="1"/>
  <c r="F125" i="25" s="1"/>
  <c r="W125" i="25"/>
  <c r="I340" i="22"/>
  <c r="H340" i="23" s="1"/>
  <c r="J214" i="22"/>
  <c r="I214" i="22"/>
  <c r="H214" i="23" s="1"/>
  <c r="AA214" i="24"/>
  <c r="Z214" i="24" s="1"/>
  <c r="Y214" i="24" s="1"/>
  <c r="G214" i="24"/>
  <c r="CE214" i="6" s="1"/>
  <c r="G184" i="24"/>
  <c r="CE184" i="6" s="1"/>
  <c r="AA184" i="24"/>
  <c r="Z184" i="24" s="1"/>
  <c r="Y184" i="24" s="1"/>
  <c r="G39" i="25"/>
  <c r="CF39" i="6" s="1"/>
  <c r="AA39" i="25"/>
  <c r="Z39" i="25" s="1"/>
  <c r="Y39" i="25" s="1"/>
  <c r="AA94" i="25"/>
  <c r="Z94" i="25" s="1"/>
  <c r="Y94" i="25" s="1"/>
  <c r="G94" i="25"/>
  <c r="CF94" i="6" s="1"/>
  <c r="W215" i="25"/>
  <c r="D215" i="25"/>
  <c r="E215" i="25" s="1"/>
  <c r="F215" i="25" s="1"/>
  <c r="W71" i="25"/>
  <c r="D71" i="25"/>
  <c r="E71" i="25" s="1"/>
  <c r="F71" i="25" s="1"/>
  <c r="W361" i="25"/>
  <c r="D361" i="25"/>
  <c r="E361" i="25" s="1"/>
  <c r="F361" i="25" s="1"/>
  <c r="G99" i="24"/>
  <c r="CE99" i="6" s="1"/>
  <c r="AA99" i="24"/>
  <c r="Z99" i="24" s="1"/>
  <c r="Y99" i="24" s="1"/>
  <c r="AA226" i="24"/>
  <c r="Z226" i="24" s="1"/>
  <c r="Y226" i="24" s="1"/>
  <c r="G226" i="24"/>
  <c r="CE226" i="6" s="1"/>
  <c r="I64" i="22"/>
  <c r="H64" i="23" s="1"/>
  <c r="J64" i="22"/>
  <c r="J297" i="22"/>
  <c r="I297" i="22"/>
  <c r="H297" i="23" s="1"/>
  <c r="J155" i="22"/>
  <c r="I155" i="22"/>
  <c r="H155" i="23" s="1"/>
  <c r="I238" i="22"/>
  <c r="H238" i="23" s="1"/>
  <c r="J238" i="22"/>
  <c r="J43" i="22"/>
  <c r="I43" i="22"/>
  <c r="H43" i="23" s="1"/>
  <c r="I136" i="22"/>
  <c r="H136" i="23" s="1"/>
  <c r="J136" i="22"/>
  <c r="I348" i="22"/>
  <c r="H348" i="23" s="1"/>
  <c r="J348" i="22"/>
  <c r="I306" i="22"/>
  <c r="H306" i="23" s="1"/>
  <c r="J306" i="22"/>
  <c r="G356" i="24"/>
  <c r="CE356" i="6" s="1"/>
  <c r="AA356" i="24"/>
  <c r="Z356" i="24" s="1"/>
  <c r="Y356" i="24" s="1"/>
  <c r="AA133" i="24"/>
  <c r="Z133" i="24" s="1"/>
  <c r="Y133" i="24" s="1"/>
  <c r="G133" i="24"/>
  <c r="CE133" i="6" s="1"/>
  <c r="W234" i="25"/>
  <c r="D234" i="25"/>
  <c r="E234" i="25" s="1"/>
  <c r="F234" i="25" s="1"/>
  <c r="G320" i="25"/>
  <c r="CF320" i="6" s="1"/>
  <c r="AA320" i="25"/>
  <c r="Z320" i="25" s="1"/>
  <c r="Y320" i="25" s="1"/>
  <c r="G88" i="24"/>
  <c r="CE88" i="6" s="1"/>
  <c r="AA88" i="24"/>
  <c r="Z88" i="24" s="1"/>
  <c r="Y88" i="24" s="1"/>
  <c r="I22" i="23"/>
  <c r="H22" i="24" s="1"/>
  <c r="W378" i="25"/>
  <c r="D378" i="25"/>
  <c r="E378" i="25" s="1"/>
  <c r="F378" i="25" s="1"/>
  <c r="W355" i="25"/>
  <c r="D355" i="25"/>
  <c r="E355" i="25" s="1"/>
  <c r="F355" i="25" s="1"/>
  <c r="AA245" i="24"/>
  <c r="Z245" i="24" s="1"/>
  <c r="Y245" i="24" s="1"/>
  <c r="G245" i="24"/>
  <c r="CE245" i="6" s="1"/>
  <c r="G169" i="24"/>
  <c r="CE169" i="6" s="1"/>
  <c r="AA169" i="24"/>
  <c r="Z169" i="24" s="1"/>
  <c r="Y169" i="24" s="1"/>
  <c r="W188" i="25"/>
  <c r="D188" i="25"/>
  <c r="E188" i="25" s="1"/>
  <c r="F188" i="25" s="1"/>
  <c r="W275" i="25"/>
  <c r="D275" i="25"/>
  <c r="E275" i="25" s="1"/>
  <c r="F275" i="25" s="1"/>
  <c r="AA131" i="25"/>
  <c r="Z131" i="25" s="1"/>
  <c r="Y131" i="25" s="1"/>
  <c r="G131" i="25"/>
  <c r="CF131" i="6" s="1"/>
  <c r="G21" i="24"/>
  <c r="CE21" i="6" s="1"/>
  <c r="AA21" i="24"/>
  <c r="Z21" i="24" s="1"/>
  <c r="Y21" i="24" s="1"/>
  <c r="W171" i="25"/>
  <c r="D171" i="25"/>
  <c r="E171" i="25" s="1"/>
  <c r="F171" i="25" s="1"/>
  <c r="G263" i="24"/>
  <c r="CE263" i="6" s="1"/>
  <c r="AA263" i="24"/>
  <c r="Z263" i="24" s="1"/>
  <c r="Y263" i="24" s="1"/>
  <c r="G85" i="24"/>
  <c r="CE85" i="6" s="1"/>
  <c r="AA85" i="24"/>
  <c r="Z85" i="24" s="1"/>
  <c r="Y85" i="24" s="1"/>
  <c r="G322" i="24"/>
  <c r="CE322" i="6" s="1"/>
  <c r="AA322" i="24"/>
  <c r="Z322" i="24" s="1"/>
  <c r="Y322" i="24" s="1"/>
  <c r="I48" i="22"/>
  <c r="H48" i="23" s="1"/>
  <c r="AA143" i="24"/>
  <c r="Z143" i="24" s="1"/>
  <c r="Y143" i="24" s="1"/>
  <c r="G143" i="24"/>
  <c r="CE143" i="6" s="1"/>
  <c r="W372" i="25"/>
  <c r="D372" i="25"/>
  <c r="E372" i="25" s="1"/>
  <c r="F372" i="25" s="1"/>
  <c r="W185" i="25"/>
  <c r="D185" i="25"/>
  <c r="E185" i="25" s="1"/>
  <c r="F185" i="25" s="1"/>
  <c r="J90" i="23"/>
  <c r="I90" i="23"/>
  <c r="H90" i="24" s="1"/>
  <c r="I264" i="22"/>
  <c r="H264" i="23" s="1"/>
  <c r="J264" i="22"/>
  <c r="D58" i="25"/>
  <c r="E58" i="25" s="1"/>
  <c r="F58" i="25" s="1"/>
  <c r="W58" i="25"/>
  <c r="G262" i="25"/>
  <c r="CF262" i="6" s="1"/>
  <c r="AA262" i="25"/>
  <c r="Z262" i="25" s="1"/>
  <c r="Y262" i="25" s="1"/>
  <c r="G83" i="25"/>
  <c r="CF83" i="6" s="1"/>
  <c r="AA83" i="25"/>
  <c r="Z83" i="25" s="1"/>
  <c r="Y83" i="25" s="1"/>
  <c r="AA265" i="25"/>
  <c r="Z265" i="25" s="1"/>
  <c r="Y265" i="25" s="1"/>
  <c r="G265" i="25"/>
  <c r="CF265" i="6" s="1"/>
  <c r="G253" i="24"/>
  <c r="CE253" i="6" s="1"/>
  <c r="AA253" i="24"/>
  <c r="Z253" i="24" s="1"/>
  <c r="Y253" i="24" s="1"/>
  <c r="J369" i="23"/>
  <c r="I369" i="23"/>
  <c r="H369" i="24" s="1"/>
  <c r="I318" i="22"/>
  <c r="H318" i="23" s="1"/>
  <c r="G379" i="25"/>
  <c r="CF379" i="6" s="1"/>
  <c r="AA379" i="25"/>
  <c r="Z379" i="25" s="1"/>
  <c r="Y379" i="25" s="1"/>
  <c r="J166" i="22"/>
  <c r="I166" i="22"/>
  <c r="H166" i="23" s="1"/>
  <c r="I298" i="22"/>
  <c r="H298" i="23" s="1"/>
  <c r="J262" i="22"/>
  <c r="I262" i="22"/>
  <c r="H262" i="23" s="1"/>
  <c r="I189" i="22"/>
  <c r="H189" i="23" s="1"/>
  <c r="G179" i="25"/>
  <c r="CF179" i="6" s="1"/>
  <c r="AA179" i="25"/>
  <c r="Z179" i="25" s="1"/>
  <c r="Y179" i="25" s="1"/>
  <c r="W49" i="25"/>
  <c r="D49" i="25"/>
  <c r="E49" i="25" s="1"/>
  <c r="F49" i="25" s="1"/>
  <c r="AA368" i="25"/>
  <c r="Z368" i="25" s="1"/>
  <c r="Y368" i="25" s="1"/>
  <c r="G368" i="25"/>
  <c r="CF368" i="6" s="1"/>
  <c r="G62" i="24"/>
  <c r="CE62" i="6" s="1"/>
  <c r="AA62" i="24"/>
  <c r="Z62" i="24" s="1"/>
  <c r="Y62" i="24" s="1"/>
  <c r="G158" i="25"/>
  <c r="CF158" i="6" s="1"/>
  <c r="AA158" i="25"/>
  <c r="Z158" i="25" s="1"/>
  <c r="Y158" i="25" s="1"/>
  <c r="W325" i="25"/>
  <c r="D325" i="25"/>
  <c r="E325" i="25" s="1"/>
  <c r="F325" i="25" s="1"/>
  <c r="W123" i="25"/>
  <c r="D123" i="25"/>
  <c r="E123" i="25" s="1"/>
  <c r="F123" i="25" s="1"/>
  <c r="W89" i="25"/>
  <c r="D89" i="25"/>
  <c r="E89" i="25" s="1"/>
  <c r="F89" i="25" s="1"/>
  <c r="I61" i="23"/>
  <c r="H61" i="24" s="1"/>
  <c r="J61" i="23"/>
  <c r="G98" i="24"/>
  <c r="CE98" i="6" s="1"/>
  <c r="AA98" i="24"/>
  <c r="Z98" i="24" s="1"/>
  <c r="Y98" i="24" s="1"/>
  <c r="AA239" i="24"/>
  <c r="Z239" i="24" s="1"/>
  <c r="Y239" i="24" s="1"/>
  <c r="G239" i="24"/>
  <c r="CE239" i="6" s="1"/>
  <c r="I250" i="23"/>
  <c r="H250" i="24" s="1"/>
  <c r="W34" i="25"/>
  <c r="D34" i="25"/>
  <c r="E34" i="25" s="1"/>
  <c r="F34" i="25" s="1"/>
  <c r="W244" i="25"/>
  <c r="D244" i="25"/>
  <c r="E244" i="25" s="1"/>
  <c r="F244" i="25" s="1"/>
  <c r="G295" i="24"/>
  <c r="CE295" i="6" s="1"/>
  <c r="AA295" i="24"/>
  <c r="Z295" i="24" s="1"/>
  <c r="Y295" i="24" s="1"/>
  <c r="W295" i="25"/>
  <c r="D295" i="25"/>
  <c r="E295" i="25" s="1"/>
  <c r="F295" i="25" s="1"/>
  <c r="AA157" i="24"/>
  <c r="Z157" i="24" s="1"/>
  <c r="Y157" i="24" s="1"/>
  <c r="G157" i="24"/>
  <c r="CE157" i="6" s="1"/>
  <c r="W165" i="25"/>
  <c r="D165" i="25"/>
  <c r="E165" i="25" s="1"/>
  <c r="F165" i="25" s="1"/>
  <c r="G364" i="24"/>
  <c r="CE364" i="6" s="1"/>
  <c r="AA364" i="24"/>
  <c r="Z364" i="24" s="1"/>
  <c r="Y364" i="24" s="1"/>
  <c r="W364" i="25"/>
  <c r="D364" i="25"/>
  <c r="E364" i="25" s="1"/>
  <c r="F364" i="25" s="1"/>
  <c r="W256" i="25"/>
  <c r="D256" i="25"/>
  <c r="E256" i="25" s="1"/>
  <c r="F256" i="25" s="1"/>
  <c r="W56" i="25"/>
  <c r="D56" i="25"/>
  <c r="E56" i="25" s="1"/>
  <c r="F56" i="25" s="1"/>
  <c r="W273" i="25"/>
  <c r="D273" i="25"/>
  <c r="E273" i="25" s="1"/>
  <c r="F273" i="25" s="1"/>
  <c r="D74" i="25"/>
  <c r="E74" i="25" s="1"/>
  <c r="F74" i="25" s="1"/>
  <c r="W74" i="25"/>
  <c r="G318" i="24"/>
  <c r="CE318" i="6" s="1"/>
  <c r="AA318" i="24"/>
  <c r="Z318" i="24" s="1"/>
  <c r="Y318" i="24" s="1"/>
  <c r="G178" i="25"/>
  <c r="CF178" i="6" s="1"/>
  <c r="AA178" i="25"/>
  <c r="Z178" i="25" s="1"/>
  <c r="Y178" i="25" s="1"/>
  <c r="G283" i="24"/>
  <c r="CE283" i="6" s="1"/>
  <c r="AA283" i="24"/>
  <c r="Z283" i="24" s="1"/>
  <c r="Y283" i="24" s="1"/>
  <c r="AA76" i="24"/>
  <c r="Z76" i="24" s="1"/>
  <c r="Y76" i="24" s="1"/>
  <c r="G76" i="24"/>
  <c r="CE76" i="6" s="1"/>
  <c r="W156" i="25"/>
  <c r="D156" i="25"/>
  <c r="E156" i="25" s="1"/>
  <c r="F156" i="25" s="1"/>
  <c r="W44" i="25"/>
  <c r="D44" i="25"/>
  <c r="E44" i="25" s="1"/>
  <c r="F44" i="25" s="1"/>
  <c r="I115" i="23"/>
  <c r="H115" i="24" s="1"/>
  <c r="G294" i="25"/>
  <c r="CF294" i="6" s="1"/>
  <c r="AA294" i="25"/>
  <c r="Z294" i="25" s="1"/>
  <c r="Y294" i="25" s="1"/>
  <c r="G87" i="24"/>
  <c r="CE87" i="6" s="1"/>
  <c r="AA87" i="24"/>
  <c r="Z87" i="24" s="1"/>
  <c r="Y87" i="24" s="1"/>
  <c r="AA220" i="24"/>
  <c r="Z220" i="24" s="1"/>
  <c r="Y220" i="24" s="1"/>
  <c r="G220" i="24"/>
  <c r="CE220" i="6" s="1"/>
  <c r="G317" i="24"/>
  <c r="CE317" i="6" s="1"/>
  <c r="AA317" i="24"/>
  <c r="Z317" i="24" s="1"/>
  <c r="Y317" i="24" s="1"/>
  <c r="G216" i="25"/>
  <c r="CF216" i="6" s="1"/>
  <c r="AA216" i="25"/>
  <c r="Z216" i="25" s="1"/>
  <c r="Y216" i="25" s="1"/>
  <c r="W67" i="25"/>
  <c r="D67" i="25"/>
  <c r="E67" i="25" s="1"/>
  <c r="F67" i="25" s="1"/>
  <c r="G119" i="24"/>
  <c r="CE119" i="6" s="1"/>
  <c r="AA119" i="24"/>
  <c r="Z119" i="24" s="1"/>
  <c r="Y119" i="24" s="1"/>
  <c r="AA153" i="25"/>
  <c r="Z153" i="25" s="1"/>
  <c r="Y153" i="25" s="1"/>
  <c r="G153" i="25"/>
  <c r="CF153" i="6" s="1"/>
  <c r="AA52" i="25"/>
  <c r="Z52" i="25" s="1"/>
  <c r="Y52" i="25" s="1"/>
  <c r="G52" i="25"/>
  <c r="CF52" i="6" s="1"/>
  <c r="G310" i="24"/>
  <c r="CE310" i="6" s="1"/>
  <c r="AA310" i="24"/>
  <c r="Z310" i="24" s="1"/>
  <c r="Y310" i="24" s="1"/>
  <c r="AA358" i="25"/>
  <c r="Z358" i="25" s="1"/>
  <c r="Y358" i="25" s="1"/>
  <c r="G358" i="25"/>
  <c r="CF358" i="6" s="1"/>
  <c r="W121" i="25"/>
  <c r="D121" i="25"/>
  <c r="E121" i="25" s="1"/>
  <c r="F121" i="25" s="1"/>
  <c r="AA138" i="25"/>
  <c r="Z138" i="25" s="1"/>
  <c r="Y138" i="25" s="1"/>
  <c r="G138" i="25"/>
  <c r="CF138" i="6" s="1"/>
  <c r="AA112" i="24"/>
  <c r="Z112" i="24" s="1"/>
  <c r="Y112" i="24" s="1"/>
  <c r="G112" i="24"/>
  <c r="CE112" i="6" s="1"/>
  <c r="G308" i="25"/>
  <c r="CF308" i="6" s="1"/>
  <c r="AA308" i="25"/>
  <c r="Z308" i="25" s="1"/>
  <c r="Y308" i="25" s="1"/>
  <c r="G176" i="24"/>
  <c r="CE176" i="6" s="1"/>
  <c r="AA176" i="24"/>
  <c r="Z176" i="24" s="1"/>
  <c r="Y176" i="24" s="1"/>
  <c r="G101" i="25"/>
  <c r="CF101" i="6" s="1"/>
  <c r="AA101" i="25"/>
  <c r="Z101" i="25" s="1"/>
  <c r="Y101" i="25" s="1"/>
  <c r="W261" i="25"/>
  <c r="D261" i="25"/>
  <c r="E261" i="25" s="1"/>
  <c r="F261" i="25" s="1"/>
  <c r="W46" i="25"/>
  <c r="D46" i="25"/>
  <c r="E46" i="25" s="1"/>
  <c r="F46" i="25" s="1"/>
  <c r="G183" i="25"/>
  <c r="CF183" i="6" s="1"/>
  <c r="AA183" i="25"/>
  <c r="Z183" i="25" s="1"/>
  <c r="Y183" i="25" s="1"/>
  <c r="I161" i="22"/>
  <c r="H161" i="23" s="1"/>
  <c r="J161" i="22"/>
  <c r="G182" i="24"/>
  <c r="CE182" i="6" s="1"/>
  <c r="AA182" i="24"/>
  <c r="Z182" i="24" s="1"/>
  <c r="Y182" i="24" s="1"/>
  <c r="I78" i="22"/>
  <c r="H78" i="23" s="1"/>
  <c r="J78" i="22"/>
  <c r="G314" i="24"/>
  <c r="CE314" i="6" s="1"/>
  <c r="AA314" i="24"/>
  <c r="Z314" i="24" s="1"/>
  <c r="Y314" i="24" s="1"/>
  <c r="W314" i="25"/>
  <c r="D314" i="25"/>
  <c r="E314" i="25" s="1"/>
  <c r="F314" i="25" s="1"/>
  <c r="I357" i="22"/>
  <c r="H357" i="23" s="1"/>
  <c r="W223" i="25"/>
  <c r="D223" i="25"/>
  <c r="E223" i="25" s="1"/>
  <c r="F223" i="25" s="1"/>
  <c r="J96" i="22"/>
  <c r="I96" i="22"/>
  <c r="H96" i="23" s="1"/>
  <c r="W162" i="25"/>
  <c r="D162" i="25"/>
  <c r="E162" i="25" s="1"/>
  <c r="F162" i="25" s="1"/>
  <c r="W36" i="25"/>
  <c r="D36" i="25"/>
  <c r="E36" i="25" s="1"/>
  <c r="F36" i="25" s="1"/>
  <c r="G139" i="24"/>
  <c r="CE139" i="6" s="1"/>
  <c r="AA139" i="24"/>
  <c r="Z139" i="24" s="1"/>
  <c r="Y139" i="24" s="1"/>
  <c r="G334" i="24"/>
  <c r="CE334" i="6" s="1"/>
  <c r="AA334" i="24"/>
  <c r="Z334" i="24" s="1"/>
  <c r="Y334" i="24" s="1"/>
  <c r="W104" i="25"/>
  <c r="D104" i="25"/>
  <c r="E104" i="25" s="1"/>
  <c r="F104" i="25" s="1"/>
  <c r="G347" i="24"/>
  <c r="CE347" i="6" s="1"/>
  <c r="AA347" i="24"/>
  <c r="Z347" i="24" s="1"/>
  <c r="Y347" i="24" s="1"/>
  <c r="G66" i="25"/>
  <c r="CF66" i="6" s="1"/>
  <c r="AA66" i="25"/>
  <c r="Z66" i="25" s="1"/>
  <c r="Y66" i="25" s="1"/>
  <c r="W187" i="25"/>
  <c r="D187" i="25"/>
  <c r="E187" i="25" s="1"/>
  <c r="F187" i="25" s="1"/>
  <c r="AA33" i="25"/>
  <c r="Z33" i="25" s="1"/>
  <c r="Y33" i="25" s="1"/>
  <c r="G33" i="25"/>
  <c r="CF33" i="6" s="1"/>
  <c r="AA114" i="24"/>
  <c r="Z114" i="24" s="1"/>
  <c r="Y114" i="24" s="1"/>
  <c r="G114" i="24"/>
  <c r="CE114" i="6" s="1"/>
  <c r="G354" i="25"/>
  <c r="CF354" i="6" s="1"/>
  <c r="AA354" i="25"/>
  <c r="Z354" i="25" s="1"/>
  <c r="Y354" i="25" s="1"/>
  <c r="I329" i="22"/>
  <c r="H329" i="23" s="1"/>
  <c r="J329" i="22"/>
  <c r="I108" i="22"/>
  <c r="H108" i="23" s="1"/>
  <c r="J120" i="22"/>
  <c r="I120" i="22"/>
  <c r="H120" i="23" s="1"/>
  <c r="I354" i="22"/>
  <c r="H354" i="23" s="1"/>
  <c r="J354" i="22"/>
  <c r="I281" i="22"/>
  <c r="H281" i="23" s="1"/>
  <c r="J281" i="22"/>
  <c r="J247" i="22"/>
  <c r="I247" i="22"/>
  <c r="H247" i="23" s="1"/>
  <c r="J129" i="22"/>
  <c r="I129" i="22"/>
  <c r="H129" i="23" s="1"/>
  <c r="J335" i="22"/>
  <c r="I335" i="22"/>
  <c r="H335" i="23" s="1"/>
  <c r="I134" i="22"/>
  <c r="H134" i="23" s="1"/>
  <c r="J134" i="22"/>
  <c r="I116" i="22"/>
  <c r="H116" i="23" s="1"/>
  <c r="J175" i="22"/>
  <c r="I175" i="22"/>
  <c r="H175" i="23" s="1"/>
  <c r="J221" i="22"/>
  <c r="I221" i="22"/>
  <c r="H221" i="23" s="1"/>
  <c r="I228" i="22"/>
  <c r="H228" i="23" s="1"/>
  <c r="J228" i="22"/>
  <c r="I152" i="22"/>
  <c r="H152" i="23" s="1"/>
  <c r="J152" i="22"/>
  <c r="J179" i="22"/>
  <c r="I179" i="22"/>
  <c r="H179" i="23" s="1"/>
  <c r="J28" i="22"/>
  <c r="I28" i="22"/>
  <c r="H28" i="23" s="1"/>
  <c r="I323" i="22"/>
  <c r="H323" i="23" s="1"/>
  <c r="J323" i="22"/>
  <c r="I26" i="22"/>
  <c r="H26" i="23" s="1"/>
  <c r="J26" i="22"/>
  <c r="J39" i="22"/>
  <c r="I39" i="22"/>
  <c r="H39" i="23" s="1"/>
  <c r="G229" i="25"/>
  <c r="CF229" i="6" s="1"/>
  <c r="AA229" i="25"/>
  <c r="Z229" i="25" s="1"/>
  <c r="Y229" i="25" s="1"/>
  <c r="G68" i="25"/>
  <c r="CF68" i="6" s="1"/>
  <c r="AA68" i="25"/>
  <c r="Z68" i="25" s="1"/>
  <c r="Y68" i="25" s="1"/>
  <c r="W267" i="25"/>
  <c r="D267" i="25"/>
  <c r="E267" i="25" s="1"/>
  <c r="F267" i="25" s="1"/>
  <c r="G254" i="24"/>
  <c r="CE254" i="6" s="1"/>
  <c r="AA254" i="24"/>
  <c r="Z254" i="24" s="1"/>
  <c r="Y254" i="24" s="1"/>
  <c r="G249" i="24"/>
  <c r="CE249" i="6" s="1"/>
  <c r="AA249" i="24"/>
  <c r="Z249" i="24" s="1"/>
  <c r="Y249" i="24" s="1"/>
  <c r="AA166" i="25"/>
  <c r="Z166" i="25" s="1"/>
  <c r="Y166" i="25" s="1"/>
  <c r="G166" i="25"/>
  <c r="CF166" i="6" s="1"/>
  <c r="G105" i="25"/>
  <c r="CF105" i="6" s="1"/>
  <c r="AA105" i="25"/>
  <c r="Z105" i="25" s="1"/>
  <c r="Y105" i="25" s="1"/>
  <c r="AA374" i="24"/>
  <c r="Z374" i="24" s="1"/>
  <c r="Y374" i="24" s="1"/>
  <c r="G374" i="24"/>
  <c r="CE374" i="6" s="1"/>
  <c r="W296" i="25"/>
  <c r="D296" i="25"/>
  <c r="E296" i="25" s="1"/>
  <c r="F296" i="25" s="1"/>
  <c r="AA327" i="25"/>
  <c r="Z327" i="25" s="1"/>
  <c r="Y327" i="25" s="1"/>
  <c r="G327" i="25"/>
  <c r="CF327" i="6" s="1"/>
  <c r="W282" i="25"/>
  <c r="D282" i="25"/>
  <c r="E282" i="25" s="1"/>
  <c r="F282" i="25" s="1"/>
  <c r="G118" i="25"/>
  <c r="CF118" i="6" s="1"/>
  <c r="AA118" i="25"/>
  <c r="Z118" i="25" s="1"/>
  <c r="Y118" i="25" s="1"/>
  <c r="W219" i="25"/>
  <c r="D219" i="25"/>
  <c r="E219" i="25" s="1"/>
  <c r="F219" i="25" s="1"/>
  <c r="I173" i="23"/>
  <c r="H173" i="24" s="1"/>
  <c r="J173" i="23"/>
  <c r="G111" i="25"/>
  <c r="CF111" i="6" s="1"/>
  <c r="AA111" i="25"/>
  <c r="Z111" i="25" s="1"/>
  <c r="Y111" i="25" s="1"/>
  <c r="G349" i="24"/>
  <c r="CE349" i="6" s="1"/>
  <c r="AA349" i="24"/>
  <c r="Z349" i="24" s="1"/>
  <c r="Y349" i="24" s="1"/>
  <c r="G23" i="25"/>
  <c r="CF23" i="6" s="1"/>
  <c r="AA23" i="25"/>
  <c r="Z23" i="25" s="1"/>
  <c r="Y23" i="25" s="1"/>
  <c r="G321" i="24"/>
  <c r="CE321" i="6" s="1"/>
  <c r="AA321" i="24"/>
  <c r="Z321" i="24" s="1"/>
  <c r="Y321" i="24" s="1"/>
  <c r="G366" i="25"/>
  <c r="CF366" i="6" s="1"/>
  <c r="AA366" i="25"/>
  <c r="Z366" i="25" s="1"/>
  <c r="Y366" i="25" s="1"/>
  <c r="J240" i="22"/>
  <c r="I240" i="22"/>
  <c r="H240" i="23" s="1"/>
  <c r="W350" i="25"/>
  <c r="D350" i="25"/>
  <c r="E350" i="25" s="1"/>
  <c r="F350" i="25" s="1"/>
  <c r="G160" i="24"/>
  <c r="CE160" i="6" s="1"/>
  <c r="AA160" i="24"/>
  <c r="Z160" i="24" s="1"/>
  <c r="Y160" i="24" s="1"/>
  <c r="G307" i="24"/>
  <c r="CE307" i="6" s="1"/>
  <c r="AA307" i="24"/>
  <c r="Z307" i="24" s="1"/>
  <c r="Y307" i="24" s="1"/>
  <c r="AA96" i="24"/>
  <c r="Z96" i="24" s="1"/>
  <c r="Y96" i="24" s="1"/>
  <c r="G96" i="24"/>
  <c r="CE96" i="6" s="1"/>
  <c r="W96" i="25"/>
  <c r="D96" i="25"/>
  <c r="E96" i="25" s="1"/>
  <c r="F96" i="25" s="1"/>
  <c r="W31" i="25"/>
  <c r="D31" i="25"/>
  <c r="E31" i="25" s="1"/>
  <c r="F31" i="25" s="1"/>
  <c r="W37" i="25"/>
  <c r="D37" i="25"/>
  <c r="E37" i="25" s="1"/>
  <c r="F37" i="25" s="1"/>
  <c r="I248" i="22"/>
  <c r="H248" i="23" s="1"/>
  <c r="AA208" i="25"/>
  <c r="Z208" i="25" s="1"/>
  <c r="Y208" i="25" s="1"/>
  <c r="G208" i="25"/>
  <c r="CF208" i="6" s="1"/>
  <c r="I125" i="23"/>
  <c r="H125" i="24" s="1"/>
  <c r="G305" i="25"/>
  <c r="CF305" i="6" s="1"/>
  <c r="AA305" i="25"/>
  <c r="Z305" i="25" s="1"/>
  <c r="Y305" i="25" s="1"/>
  <c r="I36" i="22"/>
  <c r="H36" i="23" s="1"/>
  <c r="J36" i="22"/>
  <c r="W279" i="25"/>
  <c r="D279" i="25"/>
  <c r="E279" i="25" s="1"/>
  <c r="F279" i="25" s="1"/>
  <c r="W124" i="25"/>
  <c r="D124" i="25"/>
  <c r="E124" i="25" s="1"/>
  <c r="F124" i="25" s="1"/>
  <c r="G107" i="25"/>
  <c r="CF107" i="6" s="1"/>
  <c r="AA107" i="25"/>
  <c r="Z107" i="25" s="1"/>
  <c r="Y107" i="25" s="1"/>
  <c r="G146" i="25"/>
  <c r="CF146" i="6" s="1"/>
  <c r="AA146" i="25"/>
  <c r="Z146" i="25" s="1"/>
  <c r="Y146" i="25" s="1"/>
  <c r="W181" i="25"/>
  <c r="D181" i="25"/>
  <c r="E181" i="25" s="1"/>
  <c r="F181" i="25" s="1"/>
  <c r="G258" i="25"/>
  <c r="CF258" i="6" s="1"/>
  <c r="AA258" i="25"/>
  <c r="Z258" i="25" s="1"/>
  <c r="Y258" i="25" s="1"/>
  <c r="AA268" i="24"/>
  <c r="Z268" i="24" s="1"/>
  <c r="Y268" i="24" s="1"/>
  <c r="G268" i="24"/>
  <c r="CE268" i="6" s="1"/>
  <c r="G19" i="25"/>
  <c r="CF19" i="6" s="1"/>
  <c r="AA19" i="25"/>
  <c r="Z19" i="25" s="1"/>
  <c r="Y19" i="25" s="1"/>
  <c r="G278" i="25"/>
  <c r="CF278" i="6" s="1"/>
  <c r="AA278" i="25"/>
  <c r="Z278" i="25" s="1"/>
  <c r="Y278" i="25" s="1"/>
  <c r="AA106" i="25"/>
  <c r="Z106" i="25" s="1"/>
  <c r="Y106" i="25" s="1"/>
  <c r="G106" i="25"/>
  <c r="CF106" i="6" s="1"/>
  <c r="G236" i="24"/>
  <c r="CE236" i="6" s="1"/>
  <c r="AA236" i="24"/>
  <c r="Z236" i="24" s="1"/>
  <c r="Y236" i="24" s="1"/>
  <c r="W236" i="25"/>
  <c r="D236" i="25"/>
  <c r="E236" i="25" s="1"/>
  <c r="F236" i="25" s="1"/>
  <c r="AA64" i="25"/>
  <c r="Z64" i="25" s="1"/>
  <c r="Y64" i="25" s="1"/>
  <c r="G64" i="25"/>
  <c r="CF64" i="6" s="1"/>
  <c r="W206" i="25"/>
  <c r="D206" i="25"/>
  <c r="E206" i="25" s="1"/>
  <c r="F206" i="25" s="1"/>
  <c r="W24" i="25"/>
  <c r="D24" i="25"/>
  <c r="E24" i="25" s="1"/>
  <c r="F24" i="25" s="1"/>
  <c r="I20" i="22"/>
  <c r="H20" i="23" s="1"/>
  <c r="J20" i="22"/>
  <c r="G241" i="25"/>
  <c r="CF241" i="6" s="1"/>
  <c r="AA241" i="25"/>
  <c r="Z241" i="25" s="1"/>
  <c r="Y241" i="25" s="1"/>
  <c r="AA272" i="24"/>
  <c r="Z272" i="24" s="1"/>
  <c r="Y272" i="24" s="1"/>
  <c r="G272" i="24"/>
  <c r="CE272" i="6" s="1"/>
  <c r="G22" i="24"/>
  <c r="CE22" i="6" s="1"/>
  <c r="AA22" i="24"/>
  <c r="Z22" i="24" s="1"/>
  <c r="Y22" i="24" s="1"/>
  <c r="G137" i="24"/>
  <c r="CE137" i="6" s="1"/>
  <c r="AA137" i="24"/>
  <c r="Z137" i="24" s="1"/>
  <c r="Y137" i="24" s="1"/>
  <c r="AA102" i="24"/>
  <c r="Z102" i="24" s="1"/>
  <c r="Y102" i="24" s="1"/>
  <c r="G102" i="24"/>
  <c r="CE102" i="6" s="1"/>
  <c r="I225" i="22"/>
  <c r="H225" i="23" s="1"/>
  <c r="AA25" i="24"/>
  <c r="Z25" i="24" s="1"/>
  <c r="Y25" i="24" s="1"/>
  <c r="G25" i="24"/>
  <c r="CE25" i="6" s="1"/>
  <c r="AA288" i="24"/>
  <c r="Z288" i="24" s="1"/>
  <c r="Y288" i="24" s="1"/>
  <c r="G288" i="24"/>
  <c r="CE288" i="6" s="1"/>
  <c r="AA218" i="24"/>
  <c r="Z218" i="24" s="1"/>
  <c r="Y218" i="24" s="1"/>
  <c r="G218" i="24"/>
  <c r="CE218" i="6" s="1"/>
  <c r="AA86" i="24"/>
  <c r="Z86" i="24" s="1"/>
  <c r="Y86" i="24" s="1"/>
  <c r="G86" i="24"/>
  <c r="CE86" i="6" s="1"/>
  <c r="G303" i="24"/>
  <c r="CE303" i="6" s="1"/>
  <c r="AA303" i="24"/>
  <c r="Z303" i="24" s="1"/>
  <c r="Y303" i="24" s="1"/>
  <c r="G79" i="25"/>
  <c r="CF79" i="6" s="1"/>
  <c r="AA79" i="25"/>
  <c r="Z79" i="25" s="1"/>
  <c r="Y79" i="25" s="1"/>
  <c r="I21" i="23"/>
  <c r="H21" i="24" s="1"/>
  <c r="W365" i="25"/>
  <c r="D365" i="25"/>
  <c r="E365" i="25" s="1"/>
  <c r="F365" i="25" s="1"/>
  <c r="I210" i="22"/>
  <c r="H210" i="23" s="1"/>
  <c r="G150" i="24"/>
  <c r="CE150" i="6" s="1"/>
  <c r="AA150" i="24"/>
  <c r="Z150" i="24" s="1"/>
  <c r="Y150" i="24" s="1"/>
  <c r="I353" i="22"/>
  <c r="H353" i="23" s="1"/>
  <c r="J353" i="22"/>
  <c r="I94" i="22"/>
  <c r="H94" i="23" s="1"/>
  <c r="J94" i="22"/>
  <c r="I242" i="22"/>
  <c r="H242" i="23" s="1"/>
  <c r="J242" i="22"/>
  <c r="J91" i="22"/>
  <c r="I91" i="22"/>
  <c r="H91" i="23" s="1"/>
  <c r="I146" i="22"/>
  <c r="H146" i="23" s="1"/>
  <c r="J146" i="22"/>
  <c r="J320" i="22"/>
  <c r="I320" i="22"/>
  <c r="H320" i="23" s="1"/>
  <c r="J276" i="22"/>
  <c r="I276" i="22"/>
  <c r="H276" i="23" s="1"/>
  <c r="J230" i="22"/>
  <c r="I149" i="22"/>
  <c r="H149" i="23" s="1"/>
  <c r="J149" i="22"/>
  <c r="W289" i="25"/>
  <c r="D289" i="25"/>
  <c r="E289" i="25" s="1"/>
  <c r="F289" i="25" s="1"/>
  <c r="G190" i="25"/>
  <c r="CF190" i="6" s="1"/>
  <c r="AA190" i="25"/>
  <c r="Z190" i="25" s="1"/>
  <c r="Y190" i="25" s="1"/>
  <c r="G217" i="25"/>
  <c r="CF217" i="6" s="1"/>
  <c r="AA217" i="25"/>
  <c r="Z217" i="25" s="1"/>
  <c r="Y217" i="25" s="1"/>
  <c r="G122" i="25"/>
  <c r="CF122" i="6" s="1"/>
  <c r="AA122" i="25"/>
  <c r="Z122" i="25" s="1"/>
  <c r="Y122" i="25" s="1"/>
  <c r="AA65" i="24"/>
  <c r="Z65" i="24" s="1"/>
  <c r="Y65" i="24" s="1"/>
  <c r="G65" i="24"/>
  <c r="CE65" i="6" s="1"/>
  <c r="W65" i="25"/>
  <c r="D65" i="25"/>
  <c r="E65" i="25" s="1"/>
  <c r="F65" i="25" s="1"/>
  <c r="G148" i="24"/>
  <c r="CE148" i="6" s="1"/>
  <c r="AA148" i="24"/>
  <c r="Z148" i="24" s="1"/>
  <c r="Y148" i="24" s="1"/>
  <c r="G201" i="24"/>
  <c r="CE201" i="6" s="1"/>
  <c r="AA201" i="24"/>
  <c r="Z201" i="24" s="1"/>
  <c r="Y201" i="24" s="1"/>
  <c r="G110" i="24"/>
  <c r="CE110" i="6" s="1"/>
  <c r="AA110" i="24"/>
  <c r="Z110" i="24" s="1"/>
  <c r="Y110" i="24" s="1"/>
  <c r="AA63" i="25"/>
  <c r="Z63" i="25" s="1"/>
  <c r="Y63" i="25" s="1"/>
  <c r="G63" i="25"/>
  <c r="CF63" i="6" s="1"/>
  <c r="G90" i="24"/>
  <c r="CE90" i="6" s="1"/>
  <c r="AA90" i="24"/>
  <c r="Z90" i="24" s="1"/>
  <c r="Y90" i="24" s="1"/>
  <c r="W109" i="25"/>
  <c r="D109" i="25"/>
  <c r="E109" i="25" s="1"/>
  <c r="F109" i="25" s="1"/>
  <c r="I139" i="22"/>
  <c r="H139" i="23" s="1"/>
  <c r="W53" i="25"/>
  <c r="D53" i="25"/>
  <c r="E53" i="25" s="1"/>
  <c r="F53" i="25" s="1"/>
  <c r="G300" i="25"/>
  <c r="CF300" i="6" s="1"/>
  <c r="AA300" i="25"/>
  <c r="Z300" i="25" s="1"/>
  <c r="Y300" i="25" s="1"/>
  <c r="G55" i="25"/>
  <c r="CF55" i="6" s="1"/>
  <c r="AA55" i="25"/>
  <c r="Z55" i="25" s="1"/>
  <c r="Y55" i="25" s="1"/>
  <c r="AA130" i="25"/>
  <c r="Z130" i="25" s="1"/>
  <c r="Y130" i="25" s="1"/>
  <c r="G130" i="25"/>
  <c r="CF130" i="6" s="1"/>
  <c r="J253" i="23"/>
  <c r="I253" i="23"/>
  <c r="H253" i="24" s="1"/>
  <c r="W369" i="25"/>
  <c r="D369" i="25"/>
  <c r="E369" i="25" s="1"/>
  <c r="F369" i="25" s="1"/>
  <c r="G376" i="24"/>
  <c r="CE376" i="6" s="1"/>
  <c r="AA376" i="24"/>
  <c r="Z376" i="24" s="1"/>
  <c r="Y376" i="24" s="1"/>
  <c r="W376" i="25"/>
  <c r="D376" i="25"/>
  <c r="E376" i="25" s="1"/>
  <c r="F376" i="25" s="1"/>
  <c r="W333" i="25"/>
  <c r="D333" i="25"/>
  <c r="E333" i="25" s="1"/>
  <c r="F333" i="25" s="1"/>
  <c r="G352" i="24"/>
  <c r="CE352" i="6" s="1"/>
  <c r="AA352" i="24"/>
  <c r="Z352" i="24" s="1"/>
  <c r="Y352" i="24" s="1"/>
  <c r="W352" i="25"/>
  <c r="D352" i="25"/>
  <c r="E352" i="25" s="1"/>
  <c r="F352" i="25" s="1"/>
  <c r="W29" i="25"/>
  <c r="D29" i="25"/>
  <c r="E29" i="25" s="1"/>
  <c r="F29" i="25" s="1"/>
  <c r="J314" i="23" l="1"/>
  <c r="J176" i="22"/>
  <c r="J176" i="23" s="1"/>
  <c r="J361" i="22"/>
  <c r="J361" i="23" s="1"/>
  <c r="J361" i="24" s="1"/>
  <c r="J185" i="22"/>
  <c r="J185" i="23" s="1"/>
  <c r="J185" i="24" s="1"/>
  <c r="J263" i="22"/>
  <c r="J263" i="23" s="1"/>
  <c r="J263" i="24" s="1"/>
  <c r="J291" i="22"/>
  <c r="J98" i="22"/>
  <c r="J98" i="23" s="1"/>
  <c r="J98" i="24" s="1"/>
  <c r="J24" i="22"/>
  <c r="J24" i="23" s="1"/>
  <c r="J24" i="24" s="1"/>
  <c r="J92" i="22"/>
  <c r="J92" i="23" s="1"/>
  <c r="I301" i="22"/>
  <c r="H301" i="23" s="1"/>
  <c r="I122" i="22"/>
  <c r="H122" i="23" s="1"/>
  <c r="I122" i="23" s="1"/>
  <c r="H122" i="24" s="1"/>
  <c r="I308" i="22"/>
  <c r="H308" i="23" s="1"/>
  <c r="J211" i="22"/>
  <c r="I376" i="22"/>
  <c r="H376" i="23" s="1"/>
  <c r="J376" i="23" s="1"/>
  <c r="I123" i="22"/>
  <c r="H123" i="23" s="1"/>
  <c r="J123" i="23" s="1"/>
  <c r="J349" i="22"/>
  <c r="J349" i="23" s="1"/>
  <c r="J349" i="24" s="1"/>
  <c r="J133" i="22"/>
  <c r="J133" i="23" s="1"/>
  <c r="J133" i="24" s="1"/>
  <c r="G167" i="25"/>
  <c r="CF167" i="6" s="1"/>
  <c r="J104" i="22"/>
  <c r="J104" i="23" s="1"/>
  <c r="J169" i="23"/>
  <c r="J330" i="22"/>
  <c r="J330" i="23" s="1"/>
  <c r="J29" i="22"/>
  <c r="J29" i="23" s="1"/>
  <c r="I365" i="22"/>
  <c r="H365" i="23" s="1"/>
  <c r="J365" i="23" s="1"/>
  <c r="I127" i="22"/>
  <c r="H127" i="23" s="1"/>
  <c r="I127" i="23" s="1"/>
  <c r="H127" i="24" s="1"/>
  <c r="AA95" i="25"/>
  <c r="Z95" i="25" s="1"/>
  <c r="Y95" i="25" s="1"/>
  <c r="J203" i="23"/>
  <c r="G54" i="25"/>
  <c r="CF54" i="6" s="1"/>
  <c r="J292" i="22"/>
  <c r="J292" i="23" s="1"/>
  <c r="J292" i="24" s="1"/>
  <c r="J150" i="23"/>
  <c r="AA237" i="25"/>
  <c r="Z237" i="25" s="1"/>
  <c r="Y237" i="25" s="1"/>
  <c r="J128" i="22"/>
  <c r="J128" i="23" s="1"/>
  <c r="J128" i="24" s="1"/>
  <c r="J49" i="22"/>
  <c r="J49" i="23" s="1"/>
  <c r="I233" i="22"/>
  <c r="H233" i="23" s="1"/>
  <c r="J233" i="23" s="1"/>
  <c r="J345" i="23"/>
  <c r="I144" i="22"/>
  <c r="H144" i="23" s="1"/>
  <c r="I144" i="23" s="1"/>
  <c r="H144" i="24" s="1"/>
  <c r="I144" i="24" s="1"/>
  <c r="H144" i="25" s="1"/>
  <c r="G155" i="25"/>
  <c r="CF155" i="6" s="1"/>
  <c r="I31" i="22"/>
  <c r="H31" i="23" s="1"/>
  <c r="J31" i="23" s="1"/>
  <c r="I137" i="22"/>
  <c r="H137" i="23" s="1"/>
  <c r="J137" i="23" s="1"/>
  <c r="J310" i="22"/>
  <c r="J310" i="23" s="1"/>
  <c r="J310" i="24" s="1"/>
  <c r="AA212" i="25"/>
  <c r="Z212" i="25" s="1"/>
  <c r="Y212" i="25" s="1"/>
  <c r="J188" i="22"/>
  <c r="J188" i="23" s="1"/>
  <c r="J188" i="24" s="1"/>
  <c r="I356" i="22"/>
  <c r="H356" i="23" s="1"/>
  <c r="I356" i="23" s="1"/>
  <c r="H356" i="24" s="1"/>
  <c r="I356" i="24" s="1"/>
  <c r="H356" i="25" s="1"/>
  <c r="J355" i="22"/>
  <c r="J355" i="23" s="1"/>
  <c r="J355" i="24" s="1"/>
  <c r="J371" i="23"/>
  <c r="J223" i="23"/>
  <c r="AA297" i="25"/>
  <c r="Z297" i="25" s="1"/>
  <c r="Y297" i="25" s="1"/>
  <c r="J333" i="22"/>
  <c r="I333" i="22"/>
  <c r="H333" i="23" s="1"/>
  <c r="G59" i="25"/>
  <c r="CF59" i="6" s="1"/>
  <c r="AA306" i="25"/>
  <c r="Z306" i="25" s="1"/>
  <c r="Y306" i="25" s="1"/>
  <c r="AA192" i="25"/>
  <c r="Z192" i="25" s="1"/>
  <c r="Y192" i="25" s="1"/>
  <c r="J159" i="23"/>
  <c r="J159" i="24" s="1"/>
  <c r="G377" i="25"/>
  <c r="CF377" i="6" s="1"/>
  <c r="G129" i="25"/>
  <c r="CF129" i="6" s="1"/>
  <c r="I217" i="24"/>
  <c r="H217" i="25" s="1"/>
  <c r="J217" i="25" s="1"/>
  <c r="I205" i="24"/>
  <c r="J205" i="24"/>
  <c r="G331" i="25"/>
  <c r="CF331" i="6" s="1"/>
  <c r="G50" i="25"/>
  <c r="CF50" i="6" s="1"/>
  <c r="AA30" i="25"/>
  <c r="Z30" i="25" s="1"/>
  <c r="Y30" i="25" s="1"/>
  <c r="AA70" i="25"/>
  <c r="Z70" i="25" s="1"/>
  <c r="Y70" i="25" s="1"/>
  <c r="G269" i="25"/>
  <c r="CF269" i="6" s="1"/>
  <c r="G335" i="25"/>
  <c r="CF335" i="6" s="1"/>
  <c r="AA28" i="25"/>
  <c r="Z28" i="25" s="1"/>
  <c r="Y28" i="25" s="1"/>
  <c r="G316" i="25"/>
  <c r="CF316" i="6" s="1"/>
  <c r="AA323" i="25"/>
  <c r="Z323" i="25" s="1"/>
  <c r="Y323" i="25" s="1"/>
  <c r="AA205" i="25"/>
  <c r="Z205" i="25" s="1"/>
  <c r="Y205" i="25" s="1"/>
  <c r="I378" i="23"/>
  <c r="H378" i="24" s="1"/>
  <c r="J378" i="24" s="1"/>
  <c r="AA326" i="25"/>
  <c r="Z326" i="25" s="1"/>
  <c r="Y326" i="25" s="1"/>
  <c r="H205" i="25"/>
  <c r="I205" i="25" s="1"/>
  <c r="G344" i="25"/>
  <c r="CF344" i="6" s="1"/>
  <c r="G301" i="25"/>
  <c r="CF301" i="6" s="1"/>
  <c r="G224" i="25"/>
  <c r="CF224" i="6" s="1"/>
  <c r="J87" i="23"/>
  <c r="J87" i="24" s="1"/>
  <c r="AA116" i="25"/>
  <c r="Z116" i="25" s="1"/>
  <c r="Y116" i="25" s="1"/>
  <c r="AA180" i="25"/>
  <c r="Z180" i="25" s="1"/>
  <c r="Y180" i="25" s="1"/>
  <c r="I289" i="23"/>
  <c r="H289" i="24" s="1"/>
  <c r="I289" i="24" s="1"/>
  <c r="H289" i="25" s="1"/>
  <c r="J251" i="24"/>
  <c r="J251" i="25" s="1"/>
  <c r="I163" i="23"/>
  <c r="H163" i="24" s="1"/>
  <c r="J163" i="24" s="1"/>
  <c r="J85" i="23"/>
  <c r="J85" i="24" s="1"/>
  <c r="I371" i="23"/>
  <c r="H371" i="24" s="1"/>
  <c r="I371" i="24" s="1"/>
  <c r="H371" i="25" s="1"/>
  <c r="I236" i="23"/>
  <c r="H236" i="24" s="1"/>
  <c r="J236" i="24" s="1"/>
  <c r="AA367" i="25"/>
  <c r="Z367" i="25" s="1"/>
  <c r="Y367" i="25" s="1"/>
  <c r="I223" i="23"/>
  <c r="H223" i="24" s="1"/>
  <c r="I223" i="24" s="1"/>
  <c r="H223" i="25" s="1"/>
  <c r="I88" i="23"/>
  <c r="H88" i="24" s="1"/>
  <c r="J88" i="24" s="1"/>
  <c r="J114" i="23"/>
  <c r="J114" i="24" s="1"/>
  <c r="I365" i="23"/>
  <c r="H365" i="24" s="1"/>
  <c r="J365" i="24" s="1"/>
  <c r="J268" i="23"/>
  <c r="J268" i="24" s="1"/>
  <c r="J25" i="23"/>
  <c r="J25" i="24" s="1"/>
  <c r="J102" i="23"/>
  <c r="J102" i="24" s="1"/>
  <c r="J311" i="23"/>
  <c r="J311" i="24" s="1"/>
  <c r="I345" i="23"/>
  <c r="H345" i="24" s="1"/>
  <c r="I169" i="23"/>
  <c r="H169" i="24" s="1"/>
  <c r="I169" i="24" s="1"/>
  <c r="H169" i="25" s="1"/>
  <c r="I150" i="23"/>
  <c r="H150" i="24" s="1"/>
  <c r="I150" i="24" s="1"/>
  <c r="H150" i="25" s="1"/>
  <c r="I44" i="23"/>
  <c r="H44" i="24" s="1"/>
  <c r="J44" i="24" s="1"/>
  <c r="J234" i="23"/>
  <c r="J234" i="24" s="1"/>
  <c r="I121" i="23"/>
  <c r="H121" i="24" s="1"/>
  <c r="I121" i="24" s="1"/>
  <c r="H121" i="25" s="1"/>
  <c r="I203" i="23"/>
  <c r="H203" i="24" s="1"/>
  <c r="J203" i="24" s="1"/>
  <c r="I314" i="23"/>
  <c r="H314" i="24" s="1"/>
  <c r="I314" i="24" s="1"/>
  <c r="H314" i="25" s="1"/>
  <c r="J186" i="23"/>
  <c r="J186" i="24" s="1"/>
  <c r="W380" i="25"/>
  <c r="G380" i="25"/>
  <c r="CF380" i="6" s="1"/>
  <c r="AA380" i="25"/>
  <c r="Z380" i="25" s="1"/>
  <c r="Y380" i="25" s="1"/>
  <c r="J253" i="24"/>
  <c r="I253" i="24"/>
  <c r="H253" i="25" s="1"/>
  <c r="I125" i="24"/>
  <c r="H125" i="25" s="1"/>
  <c r="J125" i="24"/>
  <c r="J173" i="24"/>
  <c r="I173" i="24"/>
  <c r="H173" i="25" s="1"/>
  <c r="J61" i="24"/>
  <c r="I61" i="24"/>
  <c r="H61" i="25" s="1"/>
  <c r="I369" i="24"/>
  <c r="H369" i="25" s="1"/>
  <c r="J369" i="24"/>
  <c r="I282" i="24"/>
  <c r="H282" i="25" s="1"/>
  <c r="J282" i="24"/>
  <c r="I46" i="24"/>
  <c r="H46" i="25" s="1"/>
  <c r="J46" i="24"/>
  <c r="J191" i="24"/>
  <c r="I191" i="24"/>
  <c r="H191" i="25" s="1"/>
  <c r="I156" i="24"/>
  <c r="H156" i="25" s="1"/>
  <c r="J156" i="24"/>
  <c r="I74" i="24"/>
  <c r="H74" i="25" s="1"/>
  <c r="J74" i="24"/>
  <c r="J34" i="24"/>
  <c r="I34" i="24"/>
  <c r="H34" i="25" s="1"/>
  <c r="J171" i="24"/>
  <c r="I171" i="24"/>
  <c r="H171" i="25" s="1"/>
  <c r="I275" i="24"/>
  <c r="H275" i="25" s="1"/>
  <c r="J275" i="24"/>
  <c r="I361" i="24"/>
  <c r="H361" i="25" s="1"/>
  <c r="I159" i="24"/>
  <c r="H159" i="25" s="1"/>
  <c r="J21" i="24"/>
  <c r="I21" i="24"/>
  <c r="H21" i="25" s="1"/>
  <c r="I188" i="24"/>
  <c r="H188" i="25" s="1"/>
  <c r="I133" i="24"/>
  <c r="H133" i="25" s="1"/>
  <c r="J115" i="24"/>
  <c r="I115" i="24"/>
  <c r="H115" i="25" s="1"/>
  <c r="J250" i="24"/>
  <c r="I250" i="24"/>
  <c r="H250" i="25" s="1"/>
  <c r="I350" i="24"/>
  <c r="H350" i="25" s="1"/>
  <c r="J350" i="24"/>
  <c r="I251" i="25"/>
  <c r="I311" i="24"/>
  <c r="H311" i="25" s="1"/>
  <c r="I309" i="24"/>
  <c r="H309" i="25" s="1"/>
  <c r="J309" i="24"/>
  <c r="I291" i="24"/>
  <c r="H291" i="25" s="1"/>
  <c r="J291" i="24"/>
  <c r="AA29" i="25"/>
  <c r="Z29" i="25" s="1"/>
  <c r="Y29" i="25" s="1"/>
  <c r="G29" i="25"/>
  <c r="CF29" i="6" s="1"/>
  <c r="G352" i="25"/>
  <c r="CF352" i="6" s="1"/>
  <c r="AA352" i="25"/>
  <c r="Z352" i="25" s="1"/>
  <c r="Y352" i="25" s="1"/>
  <c r="I352" i="24"/>
  <c r="H352" i="25" s="1"/>
  <c r="J352" i="24"/>
  <c r="G369" i="25"/>
  <c r="CF369" i="6" s="1"/>
  <c r="AA369" i="25"/>
  <c r="Z369" i="25" s="1"/>
  <c r="Y369" i="25" s="1"/>
  <c r="J90" i="24"/>
  <c r="I90" i="24"/>
  <c r="H90" i="25" s="1"/>
  <c r="I201" i="24"/>
  <c r="H201" i="25" s="1"/>
  <c r="J201" i="24"/>
  <c r="I148" i="24"/>
  <c r="H148" i="25" s="1"/>
  <c r="J148" i="24"/>
  <c r="AA65" i="25"/>
  <c r="Z65" i="25" s="1"/>
  <c r="Y65" i="25" s="1"/>
  <c r="G65" i="25"/>
  <c r="CF65" i="6" s="1"/>
  <c r="J65" i="24"/>
  <c r="I65" i="24"/>
  <c r="H65" i="25" s="1"/>
  <c r="G289" i="25"/>
  <c r="CF289" i="6" s="1"/>
  <c r="AA289" i="25"/>
  <c r="Z289" i="25" s="1"/>
  <c r="Y289" i="25" s="1"/>
  <c r="J276" i="23"/>
  <c r="I276" i="23"/>
  <c r="H276" i="24" s="1"/>
  <c r="I320" i="23"/>
  <c r="H320" i="24" s="1"/>
  <c r="J320" i="23"/>
  <c r="J91" i="23"/>
  <c r="I91" i="23"/>
  <c r="H91" i="24" s="1"/>
  <c r="J218" i="24"/>
  <c r="I218" i="24"/>
  <c r="H218" i="25" s="1"/>
  <c r="I25" i="24"/>
  <c r="H25" i="25" s="1"/>
  <c r="I272" i="24"/>
  <c r="H272" i="25" s="1"/>
  <c r="J272" i="24"/>
  <c r="G24" i="25"/>
  <c r="CF24" i="6" s="1"/>
  <c r="AA24" i="25"/>
  <c r="Z24" i="25" s="1"/>
  <c r="Y24" i="25" s="1"/>
  <c r="G206" i="25"/>
  <c r="CF206" i="6" s="1"/>
  <c r="AA206" i="25"/>
  <c r="Z206" i="25" s="1"/>
  <c r="Y206" i="25" s="1"/>
  <c r="I268" i="24"/>
  <c r="H268" i="25" s="1"/>
  <c r="AA181" i="25"/>
  <c r="Z181" i="25" s="1"/>
  <c r="Y181" i="25" s="1"/>
  <c r="G181" i="25"/>
  <c r="CF181" i="6" s="1"/>
  <c r="G124" i="25"/>
  <c r="CF124" i="6" s="1"/>
  <c r="AA124" i="25"/>
  <c r="Z124" i="25" s="1"/>
  <c r="Y124" i="25" s="1"/>
  <c r="G279" i="25"/>
  <c r="CF279" i="6" s="1"/>
  <c r="AA279" i="25"/>
  <c r="Z279" i="25" s="1"/>
  <c r="Y279" i="25" s="1"/>
  <c r="J248" i="23"/>
  <c r="I248" i="23"/>
  <c r="H248" i="24" s="1"/>
  <c r="AA37" i="25"/>
  <c r="Z37" i="25" s="1"/>
  <c r="Y37" i="25" s="1"/>
  <c r="G37" i="25"/>
  <c r="CF37" i="6" s="1"/>
  <c r="G31" i="25"/>
  <c r="CF31" i="6" s="1"/>
  <c r="AA31" i="25"/>
  <c r="Z31" i="25" s="1"/>
  <c r="Y31" i="25" s="1"/>
  <c r="G96" i="25"/>
  <c r="CF96" i="6" s="1"/>
  <c r="AA96" i="25"/>
  <c r="Z96" i="25" s="1"/>
  <c r="Y96" i="25" s="1"/>
  <c r="AA219" i="25"/>
  <c r="Z219" i="25" s="1"/>
  <c r="Y219" i="25" s="1"/>
  <c r="G219" i="25"/>
  <c r="CF219" i="6" s="1"/>
  <c r="G296" i="25"/>
  <c r="CF296" i="6" s="1"/>
  <c r="AA296" i="25"/>
  <c r="Z296" i="25" s="1"/>
  <c r="Y296" i="25" s="1"/>
  <c r="I374" i="24"/>
  <c r="H374" i="25" s="1"/>
  <c r="J374" i="24"/>
  <c r="G267" i="25"/>
  <c r="CF267" i="6" s="1"/>
  <c r="AA267" i="25"/>
  <c r="Z267" i="25" s="1"/>
  <c r="Y267" i="25" s="1"/>
  <c r="I39" i="23"/>
  <c r="H39" i="24" s="1"/>
  <c r="J39" i="23"/>
  <c r="I28" i="23"/>
  <c r="H28" i="24" s="1"/>
  <c r="J28" i="23"/>
  <c r="I179" i="23"/>
  <c r="H179" i="24" s="1"/>
  <c r="J179" i="23"/>
  <c r="I221" i="23"/>
  <c r="H221" i="24" s="1"/>
  <c r="J221" i="23"/>
  <c r="I175" i="23"/>
  <c r="H175" i="24" s="1"/>
  <c r="J175" i="23"/>
  <c r="J335" i="23"/>
  <c r="I335" i="23"/>
  <c r="H335" i="24" s="1"/>
  <c r="I129" i="23"/>
  <c r="H129" i="24" s="1"/>
  <c r="J129" i="23"/>
  <c r="I247" i="23"/>
  <c r="H247" i="24" s="1"/>
  <c r="J247" i="23"/>
  <c r="I120" i="23"/>
  <c r="H120" i="24" s="1"/>
  <c r="J120" i="23"/>
  <c r="J334" i="24"/>
  <c r="I334" i="24"/>
  <c r="H334" i="25" s="1"/>
  <c r="J161" i="23"/>
  <c r="I161" i="23"/>
  <c r="H161" i="24" s="1"/>
  <c r="G46" i="25"/>
  <c r="CF46" i="6" s="1"/>
  <c r="AA46" i="25"/>
  <c r="Z46" i="25" s="1"/>
  <c r="Y46" i="25" s="1"/>
  <c r="AA261" i="25"/>
  <c r="Z261" i="25" s="1"/>
  <c r="Y261" i="25" s="1"/>
  <c r="G261" i="25"/>
  <c r="CF261" i="6" s="1"/>
  <c r="J112" i="24"/>
  <c r="I112" i="24"/>
  <c r="H112" i="25" s="1"/>
  <c r="I310" i="24"/>
  <c r="H310" i="25" s="1"/>
  <c r="I119" i="24"/>
  <c r="H119" i="25" s="1"/>
  <c r="J119" i="24"/>
  <c r="G67" i="25"/>
  <c r="CF67" i="6" s="1"/>
  <c r="AA67" i="25"/>
  <c r="Z67" i="25" s="1"/>
  <c r="Y67" i="25" s="1"/>
  <c r="I220" i="24"/>
  <c r="H220" i="25" s="1"/>
  <c r="J220" i="24"/>
  <c r="G74" i="25"/>
  <c r="CF74" i="6" s="1"/>
  <c r="AA74" i="25"/>
  <c r="Z74" i="25" s="1"/>
  <c r="Y74" i="25" s="1"/>
  <c r="G165" i="25"/>
  <c r="CF165" i="6" s="1"/>
  <c r="AA165" i="25"/>
  <c r="Z165" i="25" s="1"/>
  <c r="Y165" i="25" s="1"/>
  <c r="I295" i="24"/>
  <c r="H295" i="25" s="1"/>
  <c r="J295" i="24"/>
  <c r="AA244" i="25"/>
  <c r="Z244" i="25" s="1"/>
  <c r="Y244" i="25" s="1"/>
  <c r="G244" i="25"/>
  <c r="CF244" i="6" s="1"/>
  <c r="G34" i="25"/>
  <c r="CF34" i="6" s="1"/>
  <c r="AA34" i="25"/>
  <c r="Z34" i="25" s="1"/>
  <c r="Y34" i="25" s="1"/>
  <c r="I98" i="24"/>
  <c r="H98" i="25" s="1"/>
  <c r="G325" i="25"/>
  <c r="CF325" i="6" s="1"/>
  <c r="AA325" i="25"/>
  <c r="Z325" i="25" s="1"/>
  <c r="Y325" i="25" s="1"/>
  <c r="J62" i="24"/>
  <c r="I62" i="24"/>
  <c r="H62" i="25" s="1"/>
  <c r="I262" i="23"/>
  <c r="H262" i="24" s="1"/>
  <c r="J262" i="23"/>
  <c r="I166" i="23"/>
  <c r="H166" i="24" s="1"/>
  <c r="J166" i="23"/>
  <c r="I318" i="23"/>
  <c r="H318" i="24" s="1"/>
  <c r="J318" i="23"/>
  <c r="I330" i="23"/>
  <c r="H330" i="24" s="1"/>
  <c r="G58" i="25"/>
  <c r="CF58" i="6" s="1"/>
  <c r="AA58" i="25"/>
  <c r="Z58" i="25" s="1"/>
  <c r="Y58" i="25" s="1"/>
  <c r="J264" i="23"/>
  <c r="I264" i="23"/>
  <c r="H264" i="24" s="1"/>
  <c r="I48" i="23"/>
  <c r="H48" i="24" s="1"/>
  <c r="J48" i="23"/>
  <c r="I85" i="24"/>
  <c r="H85" i="25" s="1"/>
  <c r="G275" i="25"/>
  <c r="CF275" i="6" s="1"/>
  <c r="AA275" i="25"/>
  <c r="Z275" i="25" s="1"/>
  <c r="Y275" i="25" s="1"/>
  <c r="G188" i="25"/>
  <c r="CF188" i="6" s="1"/>
  <c r="AA188" i="25"/>
  <c r="Z188" i="25" s="1"/>
  <c r="Y188" i="25" s="1"/>
  <c r="AA355" i="25"/>
  <c r="Z355" i="25" s="1"/>
  <c r="Y355" i="25" s="1"/>
  <c r="G355" i="25"/>
  <c r="CF355" i="6" s="1"/>
  <c r="G378" i="25"/>
  <c r="CF378" i="6" s="1"/>
  <c r="AA378" i="25"/>
  <c r="Z378" i="25" s="1"/>
  <c r="Y378" i="25" s="1"/>
  <c r="G234" i="25"/>
  <c r="CF234" i="6" s="1"/>
  <c r="AA234" i="25"/>
  <c r="Z234" i="25" s="1"/>
  <c r="Y234" i="25" s="1"/>
  <c r="J43" i="23"/>
  <c r="I43" i="23"/>
  <c r="H43" i="24" s="1"/>
  <c r="I155" i="23"/>
  <c r="H155" i="24" s="1"/>
  <c r="J155" i="23"/>
  <c r="J297" i="23"/>
  <c r="I297" i="23"/>
  <c r="H297" i="24" s="1"/>
  <c r="AA361" i="25"/>
  <c r="Z361" i="25" s="1"/>
  <c r="Y361" i="25" s="1"/>
  <c r="G361" i="25"/>
  <c r="CF361" i="6" s="1"/>
  <c r="G71" i="25"/>
  <c r="CF71" i="6" s="1"/>
  <c r="AA71" i="25"/>
  <c r="Z71" i="25" s="1"/>
  <c r="Y71" i="25" s="1"/>
  <c r="G215" i="25"/>
  <c r="CF215" i="6" s="1"/>
  <c r="AA215" i="25"/>
  <c r="Z215" i="25" s="1"/>
  <c r="Y215" i="25" s="1"/>
  <c r="J214" i="23"/>
  <c r="I214" i="23"/>
  <c r="H214" i="24" s="1"/>
  <c r="G332" i="25"/>
  <c r="CF332" i="6" s="1"/>
  <c r="AA332" i="25"/>
  <c r="Z332" i="25" s="1"/>
  <c r="Y332" i="25" s="1"/>
  <c r="I299" i="23"/>
  <c r="H299" i="24" s="1"/>
  <c r="J299" i="23"/>
  <c r="I107" i="23"/>
  <c r="H107" i="24" s="1"/>
  <c r="J107" i="23"/>
  <c r="I342" i="23"/>
  <c r="H342" i="24" s="1"/>
  <c r="J342" i="23"/>
  <c r="J313" i="23"/>
  <c r="I313" i="23"/>
  <c r="H313" i="24" s="1"/>
  <c r="J197" i="23"/>
  <c r="I197" i="23"/>
  <c r="H197" i="24" s="1"/>
  <c r="J312" i="23"/>
  <c r="I312" i="23"/>
  <c r="H312" i="24" s="1"/>
  <c r="I292" i="24"/>
  <c r="H292" i="25" s="1"/>
  <c r="G340" i="25"/>
  <c r="CF340" i="6" s="1"/>
  <c r="AA340" i="25"/>
  <c r="Z340" i="25" s="1"/>
  <c r="Y340" i="25" s="1"/>
  <c r="AA373" i="25"/>
  <c r="Z373" i="25" s="1"/>
  <c r="Y373" i="25" s="1"/>
  <c r="G373" i="25"/>
  <c r="CF373" i="6" s="1"/>
  <c r="J373" i="24"/>
  <c r="I373" i="24"/>
  <c r="H373" i="25" s="1"/>
  <c r="J182" i="23"/>
  <c r="I182" i="23"/>
  <c r="H182" i="24" s="1"/>
  <c r="J332" i="23"/>
  <c r="I332" i="23"/>
  <c r="H332" i="24" s="1"/>
  <c r="I302" i="23"/>
  <c r="H302" i="24" s="1"/>
  <c r="J302" i="23"/>
  <c r="J63" i="23"/>
  <c r="I63" i="23"/>
  <c r="H63" i="24" s="1"/>
  <c r="I118" i="23"/>
  <c r="H118" i="24" s="1"/>
  <c r="J118" i="23"/>
  <c r="I360" i="23"/>
  <c r="H360" i="24" s="1"/>
  <c r="J360" i="23"/>
  <c r="J158" i="23"/>
  <c r="I158" i="23"/>
  <c r="H158" i="24" s="1"/>
  <c r="J324" i="23"/>
  <c r="I324" i="23"/>
  <c r="H324" i="24" s="1"/>
  <c r="I338" i="23"/>
  <c r="H338" i="24" s="1"/>
  <c r="J338" i="23"/>
  <c r="I50" i="23"/>
  <c r="H50" i="24" s="1"/>
  <c r="J50" i="23"/>
  <c r="I101" i="23"/>
  <c r="H101" i="24" s="1"/>
  <c r="J101" i="23"/>
  <c r="J60" i="24"/>
  <c r="I60" i="24"/>
  <c r="H60" i="25" s="1"/>
  <c r="I128" i="24"/>
  <c r="H128" i="25" s="1"/>
  <c r="G144" i="25"/>
  <c r="CF144" i="6" s="1"/>
  <c r="AA144" i="25"/>
  <c r="Z144" i="25" s="1"/>
  <c r="Y144" i="25" s="1"/>
  <c r="I277" i="23"/>
  <c r="H277" i="24" s="1"/>
  <c r="J277" i="23"/>
  <c r="I362" i="23"/>
  <c r="H362" i="24" s="1"/>
  <c r="J362" i="23"/>
  <c r="J232" i="23"/>
  <c r="I232" i="23"/>
  <c r="H232" i="24" s="1"/>
  <c r="G191" i="25"/>
  <c r="CF191" i="6" s="1"/>
  <c r="AA191" i="25"/>
  <c r="Z191" i="25" s="1"/>
  <c r="Y191" i="25" s="1"/>
  <c r="I267" i="23"/>
  <c r="H267" i="24" s="1"/>
  <c r="J267" i="23"/>
  <c r="G345" i="25"/>
  <c r="CF345" i="6" s="1"/>
  <c r="AA345" i="25"/>
  <c r="Z345" i="25" s="1"/>
  <c r="Y345" i="25" s="1"/>
  <c r="I73" i="24"/>
  <c r="H73" i="25" s="1"/>
  <c r="J73" i="24"/>
  <c r="G248" i="25"/>
  <c r="CF248" i="6" s="1"/>
  <c r="AA248" i="25"/>
  <c r="Z248" i="25" s="1"/>
  <c r="Y248" i="25" s="1"/>
  <c r="AA357" i="25"/>
  <c r="Z357" i="25" s="1"/>
  <c r="Y357" i="25" s="1"/>
  <c r="G357" i="25"/>
  <c r="CF357" i="6" s="1"/>
  <c r="I194" i="24"/>
  <c r="H194" i="25" s="1"/>
  <c r="J194" i="24"/>
  <c r="AA45" i="25"/>
  <c r="Z45" i="25" s="1"/>
  <c r="Y45" i="25" s="1"/>
  <c r="G45" i="25"/>
  <c r="CF45" i="6" s="1"/>
  <c r="J339" i="24"/>
  <c r="I339" i="24"/>
  <c r="H339" i="25" s="1"/>
  <c r="J56" i="23"/>
  <c r="I56" i="23"/>
  <c r="H56" i="24" s="1"/>
  <c r="J53" i="24"/>
  <c r="I53" i="24"/>
  <c r="H53" i="25" s="1"/>
  <c r="I364" i="23"/>
  <c r="H364" i="24" s="1"/>
  <c r="J364" i="23"/>
  <c r="I109" i="24"/>
  <c r="H109" i="25" s="1"/>
  <c r="J109" i="24"/>
  <c r="J346" i="23"/>
  <c r="I346" i="23"/>
  <c r="H346" i="24" s="1"/>
  <c r="AA148" i="25"/>
  <c r="Z148" i="25" s="1"/>
  <c r="Y148" i="25" s="1"/>
  <c r="G148" i="25"/>
  <c r="CF148" i="6" s="1"/>
  <c r="I195" i="23"/>
  <c r="H195" i="24" s="1"/>
  <c r="J195" i="23"/>
  <c r="J122" i="23"/>
  <c r="I200" i="23"/>
  <c r="H200" i="24" s="1"/>
  <c r="J200" i="23"/>
  <c r="I224" i="23"/>
  <c r="H224" i="24" s="1"/>
  <c r="J224" i="23"/>
  <c r="AA288" i="25"/>
  <c r="Z288" i="25" s="1"/>
  <c r="Y288" i="25" s="1"/>
  <c r="G288" i="25"/>
  <c r="CF288" i="6" s="1"/>
  <c r="G25" i="25"/>
  <c r="CF25" i="6" s="1"/>
  <c r="AA25" i="25"/>
  <c r="Z25" i="25" s="1"/>
  <c r="Y25" i="25" s="1"/>
  <c r="G102" i="25"/>
  <c r="CF102" i="6" s="1"/>
  <c r="AA102" i="25"/>
  <c r="Z102" i="25" s="1"/>
  <c r="Y102" i="25" s="1"/>
  <c r="G137" i="25"/>
  <c r="CF137" i="6" s="1"/>
  <c r="AA137" i="25"/>
  <c r="Z137" i="25" s="1"/>
  <c r="Y137" i="25" s="1"/>
  <c r="G22" i="25"/>
  <c r="CF22" i="6" s="1"/>
  <c r="AA22" i="25"/>
  <c r="Z22" i="25" s="1"/>
  <c r="Y22" i="25" s="1"/>
  <c r="G272" i="25"/>
  <c r="CF272" i="6" s="1"/>
  <c r="AA272" i="25"/>
  <c r="Z272" i="25" s="1"/>
  <c r="Y272" i="25" s="1"/>
  <c r="I24" i="24"/>
  <c r="H24" i="25" s="1"/>
  <c r="I206" i="24"/>
  <c r="H206" i="25" s="1"/>
  <c r="J206" i="24"/>
  <c r="G268" i="25"/>
  <c r="CF268" i="6" s="1"/>
  <c r="AA268" i="25"/>
  <c r="Z268" i="25" s="1"/>
  <c r="Y268" i="25" s="1"/>
  <c r="G198" i="25"/>
  <c r="CF198" i="6" s="1"/>
  <c r="AA198" i="25"/>
  <c r="Z198" i="25" s="1"/>
  <c r="Y198" i="25" s="1"/>
  <c r="I198" i="24"/>
  <c r="H198" i="25" s="1"/>
  <c r="J198" i="24"/>
  <c r="G307" i="25"/>
  <c r="CF307" i="6" s="1"/>
  <c r="AA307" i="25"/>
  <c r="Z307" i="25" s="1"/>
  <c r="Y307" i="25" s="1"/>
  <c r="G160" i="25"/>
  <c r="CF160" i="6" s="1"/>
  <c r="AA160" i="25"/>
  <c r="Z160" i="25" s="1"/>
  <c r="Y160" i="25" s="1"/>
  <c r="G374" i="25"/>
  <c r="CF374" i="6" s="1"/>
  <c r="AA374" i="25"/>
  <c r="Z374" i="25" s="1"/>
  <c r="Y374" i="25" s="1"/>
  <c r="G249" i="25"/>
  <c r="CF249" i="6" s="1"/>
  <c r="AA249" i="25"/>
  <c r="Z249" i="25" s="1"/>
  <c r="Y249" i="25" s="1"/>
  <c r="G254" i="25"/>
  <c r="CF254" i="6" s="1"/>
  <c r="AA254" i="25"/>
  <c r="Z254" i="25" s="1"/>
  <c r="Y254" i="25" s="1"/>
  <c r="J366" i="23"/>
  <c r="I366" i="23"/>
  <c r="H366" i="24" s="1"/>
  <c r="I170" i="23"/>
  <c r="H170" i="24" s="1"/>
  <c r="J170" i="23"/>
  <c r="J180" i="23"/>
  <c r="I180" i="23"/>
  <c r="H180" i="24" s="1"/>
  <c r="J183" i="23"/>
  <c r="I183" i="23"/>
  <c r="H183" i="24" s="1"/>
  <c r="J326" i="23"/>
  <c r="I326" i="23"/>
  <c r="H326" i="24" s="1"/>
  <c r="I131" i="23"/>
  <c r="H131" i="24" s="1"/>
  <c r="J131" i="23"/>
  <c r="J351" i="23"/>
  <c r="I351" i="23"/>
  <c r="H351" i="24" s="1"/>
  <c r="J187" i="24"/>
  <c r="I187" i="24"/>
  <c r="H187" i="25" s="1"/>
  <c r="I287" i="23"/>
  <c r="H287" i="24" s="1"/>
  <c r="J287" i="23"/>
  <c r="I215" i="23"/>
  <c r="H215" i="24" s="1"/>
  <c r="J215" i="23"/>
  <c r="G334" i="25"/>
  <c r="CF334" i="6" s="1"/>
  <c r="AA334" i="25"/>
  <c r="Z334" i="25" s="1"/>
  <c r="Y334" i="25" s="1"/>
  <c r="G139" i="25"/>
  <c r="CF139" i="6" s="1"/>
  <c r="AA139" i="25"/>
  <c r="Z139" i="25" s="1"/>
  <c r="Y139" i="25" s="1"/>
  <c r="I256" i="23"/>
  <c r="H256" i="24" s="1"/>
  <c r="J256" i="23"/>
  <c r="J279" i="23"/>
  <c r="I279" i="23"/>
  <c r="H279" i="24" s="1"/>
  <c r="I162" i="24"/>
  <c r="H162" i="25" s="1"/>
  <c r="J162" i="24"/>
  <c r="J244" i="23"/>
  <c r="I244" i="23"/>
  <c r="H244" i="24" s="1"/>
  <c r="AA182" i="25"/>
  <c r="Z182" i="25" s="1"/>
  <c r="Y182" i="25" s="1"/>
  <c r="G182" i="25"/>
  <c r="CF182" i="6" s="1"/>
  <c r="J261" i="24"/>
  <c r="I261" i="24"/>
  <c r="H261" i="25" s="1"/>
  <c r="I219" i="23"/>
  <c r="H219" i="24" s="1"/>
  <c r="J219" i="23"/>
  <c r="G310" i="25"/>
  <c r="CF310" i="6" s="1"/>
  <c r="AA310" i="25"/>
  <c r="Z310" i="25" s="1"/>
  <c r="Y310" i="25" s="1"/>
  <c r="G317" i="25"/>
  <c r="CF317" i="6" s="1"/>
  <c r="AA317" i="25"/>
  <c r="Z317" i="25" s="1"/>
  <c r="Y317" i="25" s="1"/>
  <c r="G220" i="25"/>
  <c r="CF220" i="6" s="1"/>
  <c r="AA220" i="25"/>
  <c r="Z220" i="25" s="1"/>
  <c r="Y220" i="25" s="1"/>
  <c r="AA87" i="25"/>
  <c r="Z87" i="25" s="1"/>
  <c r="Y87" i="25" s="1"/>
  <c r="G87" i="25"/>
  <c r="CF87" i="6" s="1"/>
  <c r="AA76" i="25"/>
  <c r="Z76" i="25" s="1"/>
  <c r="Y76" i="25" s="1"/>
  <c r="G76" i="25"/>
  <c r="CF76" i="6" s="1"/>
  <c r="G283" i="25"/>
  <c r="CF283" i="6" s="1"/>
  <c r="AA283" i="25"/>
  <c r="Z283" i="25" s="1"/>
  <c r="Y283" i="25" s="1"/>
  <c r="G318" i="25"/>
  <c r="CF318" i="6" s="1"/>
  <c r="AA318" i="25"/>
  <c r="Z318" i="25" s="1"/>
  <c r="Y318" i="25" s="1"/>
  <c r="I273" i="24"/>
  <c r="H273" i="25" s="1"/>
  <c r="J273" i="24"/>
  <c r="J110" i="23"/>
  <c r="I110" i="23"/>
  <c r="H110" i="24" s="1"/>
  <c r="I266" i="23"/>
  <c r="H266" i="24" s="1"/>
  <c r="J266" i="23"/>
  <c r="G239" i="25"/>
  <c r="CF239" i="6" s="1"/>
  <c r="AA239" i="25"/>
  <c r="Z239" i="25" s="1"/>
  <c r="Y239" i="25" s="1"/>
  <c r="G315" i="25"/>
  <c r="CF315" i="6" s="1"/>
  <c r="AA315" i="25"/>
  <c r="Z315" i="25" s="1"/>
  <c r="Y315" i="25" s="1"/>
  <c r="I89" i="24"/>
  <c r="H89" i="25" s="1"/>
  <c r="J89" i="24"/>
  <c r="G62" i="25"/>
  <c r="CF62" i="6" s="1"/>
  <c r="AA62" i="25"/>
  <c r="Z62" i="25" s="1"/>
  <c r="Y62" i="25" s="1"/>
  <c r="I174" i="23"/>
  <c r="H174" i="24" s="1"/>
  <c r="J174" i="23"/>
  <c r="J212" i="23"/>
  <c r="I212" i="23"/>
  <c r="H212" i="24" s="1"/>
  <c r="I258" i="23"/>
  <c r="H258" i="24" s="1"/>
  <c r="J258" i="23"/>
  <c r="J83" i="23"/>
  <c r="I83" i="23"/>
  <c r="H83" i="24" s="1"/>
  <c r="I69" i="23"/>
  <c r="H69" i="24" s="1"/>
  <c r="J69" i="23"/>
  <c r="J80" i="23"/>
  <c r="I80" i="23"/>
  <c r="H80" i="24" s="1"/>
  <c r="J57" i="23"/>
  <c r="I57" i="23"/>
  <c r="H57" i="24" s="1"/>
  <c r="G253" i="25"/>
  <c r="CF253" i="6" s="1"/>
  <c r="AA253" i="25"/>
  <c r="Z253" i="25" s="1"/>
  <c r="Y253" i="25" s="1"/>
  <c r="I165" i="23"/>
  <c r="H165" i="24" s="1"/>
  <c r="J165" i="23"/>
  <c r="G21" i="25"/>
  <c r="CF21" i="6" s="1"/>
  <c r="AA21" i="25"/>
  <c r="Z21" i="25" s="1"/>
  <c r="Y21" i="25" s="1"/>
  <c r="J303" i="23"/>
  <c r="I303" i="23"/>
  <c r="H303" i="24" s="1"/>
  <c r="G169" i="25"/>
  <c r="CF169" i="6" s="1"/>
  <c r="AA169" i="25"/>
  <c r="Z169" i="25" s="1"/>
  <c r="Y169" i="25" s="1"/>
  <c r="AA245" i="25"/>
  <c r="Z245" i="25" s="1"/>
  <c r="Y245" i="25" s="1"/>
  <c r="G245" i="25"/>
  <c r="CF245" i="6" s="1"/>
  <c r="I288" i="23"/>
  <c r="H288" i="24" s="1"/>
  <c r="J288" i="23"/>
  <c r="G133" i="25"/>
  <c r="CF133" i="6" s="1"/>
  <c r="AA133" i="25"/>
  <c r="Z133" i="25" s="1"/>
  <c r="Y133" i="25" s="1"/>
  <c r="I193" i="23"/>
  <c r="H193" i="24" s="1"/>
  <c r="J193" i="23"/>
  <c r="I337" i="23"/>
  <c r="H337" i="24" s="1"/>
  <c r="J337" i="23"/>
  <c r="I97" i="23"/>
  <c r="H97" i="24" s="1"/>
  <c r="J97" i="23"/>
  <c r="J164" i="23"/>
  <c r="I164" i="23"/>
  <c r="H164" i="24" s="1"/>
  <c r="J71" i="24"/>
  <c r="I71" i="24"/>
  <c r="H71" i="25" s="1"/>
  <c r="G184" i="25"/>
  <c r="CF184" i="6" s="1"/>
  <c r="AA184" i="25"/>
  <c r="Z184" i="25" s="1"/>
  <c r="Y184" i="25" s="1"/>
  <c r="G214" i="25"/>
  <c r="CF214" i="6" s="1"/>
  <c r="AA214" i="25"/>
  <c r="Z214" i="25" s="1"/>
  <c r="Y214" i="25" s="1"/>
  <c r="J140" i="23"/>
  <c r="I140" i="23"/>
  <c r="H140" i="24" s="1"/>
  <c r="G48" i="25"/>
  <c r="CF48" i="6" s="1"/>
  <c r="AA48" i="25"/>
  <c r="Z48" i="25" s="1"/>
  <c r="Y48" i="25" s="1"/>
  <c r="I55" i="23"/>
  <c r="H55" i="24" s="1"/>
  <c r="J55" i="23"/>
  <c r="I167" i="23"/>
  <c r="H167" i="24" s="1"/>
  <c r="J167" i="23"/>
  <c r="I105" i="23"/>
  <c r="H105" i="24" s="1"/>
  <c r="J105" i="23"/>
  <c r="I319" i="23"/>
  <c r="H319" i="24" s="1"/>
  <c r="J319" i="23"/>
  <c r="I278" i="23"/>
  <c r="H278" i="24" s="1"/>
  <c r="J278" i="23"/>
  <c r="J142" i="23"/>
  <c r="I142" i="23"/>
  <c r="H142" i="24" s="1"/>
  <c r="J138" i="23"/>
  <c r="I138" i="23"/>
  <c r="H138" i="24" s="1"/>
  <c r="J202" i="23"/>
  <c r="I202" i="23"/>
  <c r="H202" i="24" s="1"/>
  <c r="J52" i="23"/>
  <c r="I52" i="23"/>
  <c r="H52" i="24" s="1"/>
  <c r="G127" i="25"/>
  <c r="CF127" i="6" s="1"/>
  <c r="AA127" i="25"/>
  <c r="Z127" i="25" s="1"/>
  <c r="Y127" i="25" s="1"/>
  <c r="G292" i="25"/>
  <c r="CF292" i="6" s="1"/>
  <c r="AA292" i="25"/>
  <c r="Z292" i="25" s="1"/>
  <c r="Y292" i="25" s="1"/>
  <c r="G225" i="25"/>
  <c r="CF225" i="6" s="1"/>
  <c r="AA225" i="25"/>
  <c r="Z225" i="25" s="1"/>
  <c r="Y225" i="25" s="1"/>
  <c r="AA290" i="25"/>
  <c r="Z290" i="25" s="1"/>
  <c r="Y290" i="25" s="1"/>
  <c r="G290" i="25"/>
  <c r="CF290" i="6" s="1"/>
  <c r="AA84" i="25"/>
  <c r="Z84" i="25" s="1"/>
  <c r="Y84" i="25" s="1"/>
  <c r="G84" i="25"/>
  <c r="CF84" i="6" s="1"/>
  <c r="AA72" i="25"/>
  <c r="Z72" i="25" s="1"/>
  <c r="Y72" i="25" s="1"/>
  <c r="G72" i="25"/>
  <c r="CF72" i="6" s="1"/>
  <c r="G78" i="25"/>
  <c r="CF78" i="6" s="1"/>
  <c r="AA78" i="25"/>
  <c r="Z78" i="25" s="1"/>
  <c r="Y78" i="25" s="1"/>
  <c r="J270" i="23"/>
  <c r="I270" i="23"/>
  <c r="H270" i="24" s="1"/>
  <c r="I293" i="23"/>
  <c r="H293" i="24" s="1"/>
  <c r="J293" i="23"/>
  <c r="J41" i="23"/>
  <c r="I41" i="23"/>
  <c r="H41" i="24" s="1"/>
  <c r="J343" i="23"/>
  <c r="I343" i="23"/>
  <c r="H343" i="24" s="1"/>
  <c r="I82" i="23"/>
  <c r="H82" i="24" s="1"/>
  <c r="J82" i="23"/>
  <c r="I305" i="23"/>
  <c r="H305" i="24" s="1"/>
  <c r="J305" i="23"/>
  <c r="I95" i="23"/>
  <c r="H95" i="24" s="1"/>
  <c r="J95" i="23"/>
  <c r="I16" i="23"/>
  <c r="H16" i="24" s="1"/>
  <c r="J16" i="23"/>
  <c r="I284" i="23"/>
  <c r="H284" i="24" s="1"/>
  <c r="J284" i="23"/>
  <c r="G203" i="25"/>
  <c r="CF203" i="6" s="1"/>
  <c r="AA203" i="25"/>
  <c r="Z203" i="25" s="1"/>
  <c r="Y203" i="25" s="1"/>
  <c r="I186" i="24"/>
  <c r="H186" i="25" s="1"/>
  <c r="I290" i="23"/>
  <c r="H290" i="24" s="1"/>
  <c r="J290" i="23"/>
  <c r="AA196" i="25"/>
  <c r="Z196" i="25" s="1"/>
  <c r="Y196" i="25" s="1"/>
  <c r="G196" i="25"/>
  <c r="CF196" i="6" s="1"/>
  <c r="I254" i="23"/>
  <c r="H254" i="24" s="1"/>
  <c r="J254" i="23"/>
  <c r="G371" i="25"/>
  <c r="CF371" i="6" s="1"/>
  <c r="AA371" i="25"/>
  <c r="Z371" i="25" s="1"/>
  <c r="Y371" i="25" s="1"/>
  <c r="G115" i="25"/>
  <c r="CF115" i="6" s="1"/>
  <c r="AA115" i="25"/>
  <c r="Z115" i="25" s="1"/>
  <c r="Y115" i="25" s="1"/>
  <c r="J99" i="23"/>
  <c r="I99" i="23"/>
  <c r="H99" i="24" s="1"/>
  <c r="J328" i="24"/>
  <c r="I328" i="24"/>
  <c r="H328" i="25" s="1"/>
  <c r="J177" i="23"/>
  <c r="I177" i="23"/>
  <c r="H177" i="24" s="1"/>
  <c r="J111" i="23"/>
  <c r="I111" i="23"/>
  <c r="H111" i="24" s="1"/>
  <c r="I178" i="23"/>
  <c r="H178" i="24" s="1"/>
  <c r="J178" i="23"/>
  <c r="I336" i="23"/>
  <c r="H336" i="24" s="1"/>
  <c r="J336" i="23"/>
  <c r="J204" i="23"/>
  <c r="I204" i="23"/>
  <c r="H204" i="24" s="1"/>
  <c r="I211" i="23"/>
  <c r="H211" i="24" s="1"/>
  <c r="J211" i="23"/>
  <c r="J367" i="23"/>
  <c r="I367" i="23"/>
  <c r="H367" i="24" s="1"/>
  <c r="I327" i="23"/>
  <c r="H327" i="24" s="1"/>
  <c r="J327" i="23"/>
  <c r="J79" i="23"/>
  <c r="I79" i="23"/>
  <c r="H79" i="24" s="1"/>
  <c r="AA232" i="25"/>
  <c r="Z232" i="25" s="1"/>
  <c r="Y232" i="25" s="1"/>
  <c r="G232" i="25"/>
  <c r="CF232" i="6" s="1"/>
  <c r="J130" i="23"/>
  <c r="I130" i="23"/>
  <c r="H130" i="24" s="1"/>
  <c r="J271" i="23"/>
  <c r="I271" i="23"/>
  <c r="H271" i="24" s="1"/>
  <c r="J106" i="23"/>
  <c r="I106" i="23"/>
  <c r="H106" i="24" s="1"/>
  <c r="J285" i="23"/>
  <c r="I285" i="23"/>
  <c r="H285" i="24" s="1"/>
  <c r="I375" i="23"/>
  <c r="H375" i="24" s="1"/>
  <c r="J375" i="23"/>
  <c r="I331" i="23"/>
  <c r="H331" i="24" s="1"/>
  <c r="J331" i="23"/>
  <c r="G210" i="25"/>
  <c r="CF210" i="6" s="1"/>
  <c r="AA210" i="25"/>
  <c r="Z210" i="25" s="1"/>
  <c r="Y210" i="25" s="1"/>
  <c r="AA277" i="25"/>
  <c r="Z277" i="25" s="1"/>
  <c r="Y277" i="25" s="1"/>
  <c r="G277" i="25"/>
  <c r="CF277" i="6" s="1"/>
  <c r="G333" i="25"/>
  <c r="CF333" i="6" s="1"/>
  <c r="AA333" i="25"/>
  <c r="Z333" i="25" s="1"/>
  <c r="Y333" i="25" s="1"/>
  <c r="AA376" i="25"/>
  <c r="Z376" i="25" s="1"/>
  <c r="Y376" i="25" s="1"/>
  <c r="G376" i="25"/>
  <c r="CF376" i="6" s="1"/>
  <c r="G53" i="25"/>
  <c r="CF53" i="6" s="1"/>
  <c r="AA53" i="25"/>
  <c r="Z53" i="25" s="1"/>
  <c r="Y53" i="25" s="1"/>
  <c r="J139" i="23"/>
  <c r="I139" i="23"/>
  <c r="H139" i="24" s="1"/>
  <c r="AA109" i="25"/>
  <c r="Z109" i="25" s="1"/>
  <c r="Y109" i="25" s="1"/>
  <c r="G109" i="25"/>
  <c r="CF109" i="6" s="1"/>
  <c r="I149" i="23"/>
  <c r="H149" i="24" s="1"/>
  <c r="J149" i="23"/>
  <c r="J230" i="23"/>
  <c r="I230" i="23"/>
  <c r="H230" i="24" s="1"/>
  <c r="J146" i="23"/>
  <c r="I146" i="23"/>
  <c r="H146" i="24" s="1"/>
  <c r="J242" i="23"/>
  <c r="I242" i="23"/>
  <c r="H242" i="24" s="1"/>
  <c r="J94" i="23"/>
  <c r="I94" i="23"/>
  <c r="H94" i="24" s="1"/>
  <c r="I353" i="23"/>
  <c r="H353" i="24" s="1"/>
  <c r="J353" i="23"/>
  <c r="I210" i="23"/>
  <c r="H210" i="24" s="1"/>
  <c r="J210" i="23"/>
  <c r="G365" i="25"/>
  <c r="CF365" i="6" s="1"/>
  <c r="AA365" i="25"/>
  <c r="Z365" i="25" s="1"/>
  <c r="Y365" i="25" s="1"/>
  <c r="I86" i="24"/>
  <c r="H86" i="25" s="1"/>
  <c r="J86" i="24"/>
  <c r="J225" i="23"/>
  <c r="I225" i="23"/>
  <c r="H225" i="24" s="1"/>
  <c r="I102" i="24"/>
  <c r="H102" i="25" s="1"/>
  <c r="I22" i="24"/>
  <c r="H22" i="25" s="1"/>
  <c r="J22" i="24"/>
  <c r="I20" i="23"/>
  <c r="H20" i="24" s="1"/>
  <c r="J20" i="23"/>
  <c r="G236" i="25"/>
  <c r="CF236" i="6" s="1"/>
  <c r="AA236" i="25"/>
  <c r="Z236" i="25" s="1"/>
  <c r="Y236" i="25" s="1"/>
  <c r="I36" i="23"/>
  <c r="H36" i="24" s="1"/>
  <c r="J36" i="23"/>
  <c r="I160" i="24"/>
  <c r="H160" i="25" s="1"/>
  <c r="J160" i="24"/>
  <c r="G350" i="25"/>
  <c r="CF350" i="6" s="1"/>
  <c r="AA350" i="25"/>
  <c r="Z350" i="25" s="1"/>
  <c r="Y350" i="25" s="1"/>
  <c r="I240" i="23"/>
  <c r="H240" i="24" s="1"/>
  <c r="J240" i="23"/>
  <c r="I349" i="24"/>
  <c r="H349" i="25" s="1"/>
  <c r="G282" i="25"/>
  <c r="CF282" i="6" s="1"/>
  <c r="AA282" i="25"/>
  <c r="Z282" i="25" s="1"/>
  <c r="Y282" i="25" s="1"/>
  <c r="I26" i="23"/>
  <c r="H26" i="24" s="1"/>
  <c r="J26" i="23"/>
  <c r="I323" i="23"/>
  <c r="H323" i="24" s="1"/>
  <c r="J323" i="23"/>
  <c r="I152" i="23"/>
  <c r="H152" i="24" s="1"/>
  <c r="J152" i="23"/>
  <c r="J228" i="23"/>
  <c r="I228" i="23"/>
  <c r="H228" i="24" s="1"/>
  <c r="J116" i="23"/>
  <c r="I116" i="23"/>
  <c r="H116" i="24" s="1"/>
  <c r="I134" i="23"/>
  <c r="H134" i="24" s="1"/>
  <c r="J134" i="23"/>
  <c r="J281" i="23"/>
  <c r="I281" i="23"/>
  <c r="H281" i="24" s="1"/>
  <c r="I354" i="23"/>
  <c r="H354" i="24" s="1"/>
  <c r="J354" i="23"/>
  <c r="I108" i="23"/>
  <c r="H108" i="24" s="1"/>
  <c r="J108" i="23"/>
  <c r="J329" i="23"/>
  <c r="I329" i="23"/>
  <c r="H329" i="24" s="1"/>
  <c r="I114" i="24"/>
  <c r="H114" i="25" s="1"/>
  <c r="G187" i="25"/>
  <c r="CF187" i="6" s="1"/>
  <c r="AA187" i="25"/>
  <c r="Z187" i="25" s="1"/>
  <c r="Y187" i="25" s="1"/>
  <c r="I347" i="24"/>
  <c r="H347" i="25" s="1"/>
  <c r="J347" i="24"/>
  <c r="AA104" i="25"/>
  <c r="Z104" i="25" s="1"/>
  <c r="Y104" i="25" s="1"/>
  <c r="G104" i="25"/>
  <c r="CF104" i="6" s="1"/>
  <c r="G36" i="25"/>
  <c r="CF36" i="6" s="1"/>
  <c r="AA36" i="25"/>
  <c r="Z36" i="25" s="1"/>
  <c r="Y36" i="25" s="1"/>
  <c r="AA162" i="25"/>
  <c r="Z162" i="25" s="1"/>
  <c r="Y162" i="25" s="1"/>
  <c r="G162" i="25"/>
  <c r="CF162" i="6" s="1"/>
  <c r="J96" i="23"/>
  <c r="I96" i="23"/>
  <c r="H96" i="24" s="1"/>
  <c r="G223" i="25"/>
  <c r="CF223" i="6" s="1"/>
  <c r="AA223" i="25"/>
  <c r="Z223" i="25" s="1"/>
  <c r="Y223" i="25" s="1"/>
  <c r="I357" i="23"/>
  <c r="H357" i="24" s="1"/>
  <c r="J357" i="23"/>
  <c r="AA314" i="25"/>
  <c r="Z314" i="25" s="1"/>
  <c r="Y314" i="25" s="1"/>
  <c r="G314" i="25"/>
  <c r="CF314" i="6" s="1"/>
  <c r="J78" i="23"/>
  <c r="I78" i="23"/>
  <c r="H78" i="24" s="1"/>
  <c r="J176" i="24"/>
  <c r="I176" i="24"/>
  <c r="H176" i="25" s="1"/>
  <c r="G121" i="25"/>
  <c r="CF121" i="6" s="1"/>
  <c r="AA121" i="25"/>
  <c r="Z121" i="25" s="1"/>
  <c r="Y121" i="25" s="1"/>
  <c r="J317" i="24"/>
  <c r="I317" i="24"/>
  <c r="H317" i="25" s="1"/>
  <c r="I87" i="24"/>
  <c r="H87" i="25" s="1"/>
  <c r="G44" i="25"/>
  <c r="CF44" i="6" s="1"/>
  <c r="AA44" i="25"/>
  <c r="Z44" i="25" s="1"/>
  <c r="Y44" i="25" s="1"/>
  <c r="AA156" i="25"/>
  <c r="Z156" i="25" s="1"/>
  <c r="Y156" i="25" s="1"/>
  <c r="G156" i="25"/>
  <c r="CF156" i="6" s="1"/>
  <c r="J76" i="24"/>
  <c r="I76" i="24"/>
  <c r="H76" i="25" s="1"/>
  <c r="I283" i="24"/>
  <c r="H283" i="25" s="1"/>
  <c r="J283" i="24"/>
  <c r="AA273" i="25"/>
  <c r="Z273" i="25" s="1"/>
  <c r="Y273" i="25" s="1"/>
  <c r="G273" i="25"/>
  <c r="CF273" i="6" s="1"/>
  <c r="G56" i="25"/>
  <c r="CF56" i="6" s="1"/>
  <c r="AA56" i="25"/>
  <c r="Z56" i="25" s="1"/>
  <c r="Y56" i="25" s="1"/>
  <c r="G256" i="25"/>
  <c r="CF256" i="6" s="1"/>
  <c r="AA256" i="25"/>
  <c r="Z256" i="25" s="1"/>
  <c r="Y256" i="25" s="1"/>
  <c r="G364" i="25"/>
  <c r="CF364" i="6" s="1"/>
  <c r="AA364" i="25"/>
  <c r="Z364" i="25" s="1"/>
  <c r="Y364" i="25" s="1"/>
  <c r="AA295" i="25"/>
  <c r="Z295" i="25" s="1"/>
  <c r="Y295" i="25" s="1"/>
  <c r="G295" i="25"/>
  <c r="CF295" i="6" s="1"/>
  <c r="G89" i="25"/>
  <c r="CF89" i="6" s="1"/>
  <c r="AA89" i="25"/>
  <c r="Z89" i="25" s="1"/>
  <c r="Y89" i="25" s="1"/>
  <c r="G123" i="25"/>
  <c r="CF123" i="6" s="1"/>
  <c r="AA123" i="25"/>
  <c r="Z123" i="25" s="1"/>
  <c r="Y123" i="25" s="1"/>
  <c r="G49" i="25"/>
  <c r="CF49" i="6" s="1"/>
  <c r="AA49" i="25"/>
  <c r="Z49" i="25" s="1"/>
  <c r="Y49" i="25" s="1"/>
  <c r="I92" i="23"/>
  <c r="H92" i="24" s="1"/>
  <c r="J189" i="23"/>
  <c r="I189" i="23"/>
  <c r="H189" i="24" s="1"/>
  <c r="J298" i="23"/>
  <c r="I298" i="23"/>
  <c r="H298" i="24" s="1"/>
  <c r="AA185" i="25"/>
  <c r="Z185" i="25" s="1"/>
  <c r="Y185" i="25" s="1"/>
  <c r="G185" i="25"/>
  <c r="CF185" i="6" s="1"/>
  <c r="G372" i="25"/>
  <c r="CF372" i="6" s="1"/>
  <c r="AA372" i="25"/>
  <c r="Z372" i="25" s="1"/>
  <c r="Y372" i="25" s="1"/>
  <c r="I143" i="24"/>
  <c r="H143" i="25" s="1"/>
  <c r="J143" i="24"/>
  <c r="J322" i="24"/>
  <c r="I322" i="24"/>
  <c r="H322" i="25" s="1"/>
  <c r="I263" i="24"/>
  <c r="H263" i="25" s="1"/>
  <c r="G171" i="25"/>
  <c r="CF171" i="6" s="1"/>
  <c r="AA171" i="25"/>
  <c r="Z171" i="25" s="1"/>
  <c r="Y171" i="25" s="1"/>
  <c r="J245" i="24"/>
  <c r="I245" i="24"/>
  <c r="H245" i="25" s="1"/>
  <c r="J306" i="23"/>
  <c r="I306" i="23"/>
  <c r="H306" i="24" s="1"/>
  <c r="I348" i="23"/>
  <c r="H348" i="24" s="1"/>
  <c r="J348" i="23"/>
  <c r="J136" i="23"/>
  <c r="I136" i="23"/>
  <c r="H136" i="24" s="1"/>
  <c r="J238" i="23"/>
  <c r="I238" i="23"/>
  <c r="H238" i="24" s="1"/>
  <c r="I64" i="23"/>
  <c r="H64" i="24" s="1"/>
  <c r="J64" i="23"/>
  <c r="I184" i="24"/>
  <c r="H184" i="25" s="1"/>
  <c r="J184" i="24"/>
  <c r="J340" i="23"/>
  <c r="I340" i="23"/>
  <c r="H340" i="24" s="1"/>
  <c r="G125" i="25"/>
  <c r="CF125" i="6" s="1"/>
  <c r="AA125" i="25"/>
  <c r="Z125" i="25" s="1"/>
  <c r="Y125" i="25" s="1"/>
  <c r="J260" i="23"/>
  <c r="I260" i="23"/>
  <c r="H260" i="24" s="1"/>
  <c r="J151" i="23"/>
  <c r="I151" i="23"/>
  <c r="H151" i="24" s="1"/>
  <c r="I304" i="23"/>
  <c r="H304" i="24" s="1"/>
  <c r="J304" i="23"/>
  <c r="J190" i="23"/>
  <c r="I190" i="23"/>
  <c r="H190" i="24" s="1"/>
  <c r="J32" i="23"/>
  <c r="I32" i="23"/>
  <c r="H32" i="24" s="1"/>
  <c r="I19" i="23"/>
  <c r="H19" i="24" s="1"/>
  <c r="J19" i="23"/>
  <c r="G159" i="25"/>
  <c r="CF159" i="6" s="1"/>
  <c r="AA159" i="25"/>
  <c r="Z159" i="25" s="1"/>
  <c r="Y159" i="25" s="1"/>
  <c r="AA42" i="25"/>
  <c r="Z42" i="25" s="1"/>
  <c r="Y42" i="25" s="1"/>
  <c r="G42" i="25"/>
  <c r="CF42" i="6" s="1"/>
  <c r="G20" i="25"/>
  <c r="CF20" i="6" s="1"/>
  <c r="AA20" i="25"/>
  <c r="Z20" i="25" s="1"/>
  <c r="Y20" i="25" s="1"/>
  <c r="AA213" i="25"/>
  <c r="Z213" i="25" s="1"/>
  <c r="Y213" i="25" s="1"/>
  <c r="G213" i="25"/>
  <c r="CF213" i="6" s="1"/>
  <c r="I75" i="24"/>
  <c r="H75" i="25" s="1"/>
  <c r="J75" i="24"/>
  <c r="AA246" i="25"/>
  <c r="Z246" i="25" s="1"/>
  <c r="Y246" i="25" s="1"/>
  <c r="G246" i="25"/>
  <c r="CF246" i="6" s="1"/>
  <c r="J181" i="23"/>
  <c r="I181" i="23"/>
  <c r="H181" i="24" s="1"/>
  <c r="G145" i="25"/>
  <c r="CF145" i="6" s="1"/>
  <c r="AA145" i="25"/>
  <c r="Z145" i="25" s="1"/>
  <c r="Y145" i="25" s="1"/>
  <c r="I307" i="23"/>
  <c r="H307" i="24" s="1"/>
  <c r="J307" i="23"/>
  <c r="G266" i="25"/>
  <c r="CF266" i="6" s="1"/>
  <c r="AA266" i="25"/>
  <c r="Z266" i="25" s="1"/>
  <c r="Y266" i="25" s="1"/>
  <c r="J368" i="23"/>
  <c r="I368" i="23"/>
  <c r="H368" i="24" s="1"/>
  <c r="J93" i="23"/>
  <c r="I93" i="23"/>
  <c r="H93" i="24" s="1"/>
  <c r="I147" i="23"/>
  <c r="H147" i="24" s="1"/>
  <c r="J147" i="23"/>
  <c r="I141" i="23"/>
  <c r="H141" i="24" s="1"/>
  <c r="J141" i="23"/>
  <c r="I229" i="23"/>
  <c r="H229" i="24" s="1"/>
  <c r="J229" i="23"/>
  <c r="I255" i="23"/>
  <c r="H255" i="24" s="1"/>
  <c r="J255" i="23"/>
  <c r="J68" i="23"/>
  <c r="I68" i="23"/>
  <c r="H68" i="24" s="1"/>
  <c r="J301" i="23"/>
  <c r="I301" i="23"/>
  <c r="H301" i="24" s="1"/>
  <c r="J77" i="24"/>
  <c r="I77" i="24"/>
  <c r="H77" i="25" s="1"/>
  <c r="G186" i="25"/>
  <c r="CF186" i="6" s="1"/>
  <c r="AA186" i="25"/>
  <c r="Z186" i="25" s="1"/>
  <c r="Y186" i="25" s="1"/>
  <c r="G311" i="25"/>
  <c r="CF311" i="6" s="1"/>
  <c r="AA311" i="25"/>
  <c r="Z311" i="25" s="1"/>
  <c r="Y311" i="25" s="1"/>
  <c r="I196" i="24"/>
  <c r="H196" i="25" s="1"/>
  <c r="J196" i="24"/>
  <c r="J249" i="23"/>
  <c r="I249" i="23"/>
  <c r="H249" i="24" s="1"/>
  <c r="J363" i="23"/>
  <c r="I363" i="23"/>
  <c r="H363" i="24" s="1"/>
  <c r="I243" i="23"/>
  <c r="H243" i="24" s="1"/>
  <c r="J243" i="23"/>
  <c r="G264" i="25"/>
  <c r="CF264" i="6" s="1"/>
  <c r="AA264" i="25"/>
  <c r="Z264" i="25" s="1"/>
  <c r="Y264" i="25" s="1"/>
  <c r="G140" i="25"/>
  <c r="CF140" i="6" s="1"/>
  <c r="AA140" i="25"/>
  <c r="Z140" i="25" s="1"/>
  <c r="Y140" i="25" s="1"/>
  <c r="I315" i="23"/>
  <c r="H315" i="24" s="1"/>
  <c r="J315" i="23"/>
  <c r="I72" i="23"/>
  <c r="H72" i="24" s="1"/>
  <c r="J72" i="23"/>
  <c r="AA163" i="25"/>
  <c r="Z163" i="25" s="1"/>
  <c r="Y163" i="25" s="1"/>
  <c r="G163" i="25"/>
  <c r="CF163" i="6" s="1"/>
  <c r="J54" i="23"/>
  <c r="I54" i="23"/>
  <c r="H54" i="24" s="1"/>
  <c r="I30" i="23"/>
  <c r="H30" i="24" s="1"/>
  <c r="J30" i="23"/>
  <c r="AA61" i="25"/>
  <c r="Z61" i="25" s="1"/>
  <c r="Y61" i="25" s="1"/>
  <c r="G61" i="25"/>
  <c r="CF61" i="6" s="1"/>
  <c r="G309" i="25"/>
  <c r="CF309" i="6" s="1"/>
  <c r="AA309" i="25"/>
  <c r="Z309" i="25" s="1"/>
  <c r="Y309" i="25" s="1"/>
  <c r="J27" i="23"/>
  <c r="I27" i="23"/>
  <c r="H27" i="24" s="1"/>
  <c r="I58" i="23"/>
  <c r="H58" i="24" s="1"/>
  <c r="J58" i="23"/>
  <c r="G90" i="25"/>
  <c r="CF90" i="6" s="1"/>
  <c r="AA90" i="25"/>
  <c r="Z90" i="25" s="1"/>
  <c r="Y90" i="25" s="1"/>
  <c r="AA110" i="25"/>
  <c r="Z110" i="25" s="1"/>
  <c r="Y110" i="25" s="1"/>
  <c r="G110" i="25"/>
  <c r="CF110" i="6" s="1"/>
  <c r="G201" i="25"/>
  <c r="CF201" i="6" s="1"/>
  <c r="AA201" i="25"/>
  <c r="Z201" i="25" s="1"/>
  <c r="Y201" i="25" s="1"/>
  <c r="J81" i="23"/>
  <c r="I81" i="23"/>
  <c r="H81" i="24" s="1"/>
  <c r="J172" i="23"/>
  <c r="I172" i="23"/>
  <c r="H172" i="24" s="1"/>
  <c r="I286" i="23"/>
  <c r="H286" i="24" s="1"/>
  <c r="J286" i="23"/>
  <c r="J227" i="23"/>
  <c r="I227" i="23"/>
  <c r="H227" i="24" s="1"/>
  <c r="G150" i="25"/>
  <c r="CF150" i="6" s="1"/>
  <c r="AA150" i="25"/>
  <c r="Z150" i="25" s="1"/>
  <c r="Y150" i="25" s="1"/>
  <c r="I45" i="23"/>
  <c r="H45" i="24" s="1"/>
  <c r="J45" i="23"/>
  <c r="G303" i="25"/>
  <c r="CF303" i="6" s="1"/>
  <c r="AA303" i="25"/>
  <c r="Z303" i="25" s="1"/>
  <c r="Y303" i="25" s="1"/>
  <c r="G86" i="25"/>
  <c r="CF86" i="6" s="1"/>
  <c r="AA86" i="25"/>
  <c r="Z86" i="25" s="1"/>
  <c r="Y86" i="25" s="1"/>
  <c r="G218" i="25"/>
  <c r="CF218" i="6" s="1"/>
  <c r="AA218" i="25"/>
  <c r="Z218" i="25" s="1"/>
  <c r="Y218" i="25" s="1"/>
  <c r="I49" i="23"/>
  <c r="H49" i="24" s="1"/>
  <c r="J213" i="23"/>
  <c r="I213" i="23"/>
  <c r="H213" i="24" s="1"/>
  <c r="I29" i="23"/>
  <c r="H29" i="24" s="1"/>
  <c r="I124" i="24"/>
  <c r="H124" i="25" s="1"/>
  <c r="J124" i="24"/>
  <c r="J51" i="23"/>
  <c r="I51" i="23"/>
  <c r="H51" i="24" s="1"/>
  <c r="G321" i="25"/>
  <c r="CF321" i="6" s="1"/>
  <c r="AA321" i="25"/>
  <c r="Z321" i="25" s="1"/>
  <c r="Y321" i="25" s="1"/>
  <c r="AA81" i="25"/>
  <c r="Z81" i="25" s="1"/>
  <c r="Y81" i="25" s="1"/>
  <c r="G81" i="25"/>
  <c r="CF81" i="6" s="1"/>
  <c r="G349" i="25"/>
  <c r="CF349" i="6" s="1"/>
  <c r="AA349" i="25"/>
  <c r="Z349" i="25" s="1"/>
  <c r="Y349" i="25" s="1"/>
  <c r="J296" i="24"/>
  <c r="I296" i="24"/>
  <c r="H296" i="25" s="1"/>
  <c r="J208" i="23"/>
  <c r="I208" i="23"/>
  <c r="H208" i="24" s="1"/>
  <c r="I38" i="23"/>
  <c r="H38" i="24" s="1"/>
  <c r="J38" i="23"/>
  <c r="I70" i="23"/>
  <c r="H70" i="24" s="1"/>
  <c r="J70" i="23"/>
  <c r="J294" i="23"/>
  <c r="I294" i="23"/>
  <c r="H294" i="24" s="1"/>
  <c r="J35" i="23"/>
  <c r="I35" i="23"/>
  <c r="H35" i="24" s="1"/>
  <c r="I132" i="23"/>
  <c r="H132" i="24" s="1"/>
  <c r="J132" i="23"/>
  <c r="J226" i="23"/>
  <c r="I226" i="23"/>
  <c r="H226" i="24" s="1"/>
  <c r="G114" i="25"/>
  <c r="CF114" i="6" s="1"/>
  <c r="AA114" i="25"/>
  <c r="Z114" i="25" s="1"/>
  <c r="Y114" i="25" s="1"/>
  <c r="AA274" i="25"/>
  <c r="Z274" i="25" s="1"/>
  <c r="Y274" i="25" s="1"/>
  <c r="G274" i="25"/>
  <c r="CF274" i="6" s="1"/>
  <c r="I274" i="24"/>
  <c r="H274" i="25" s="1"/>
  <c r="J274" i="24"/>
  <c r="G347" i="25"/>
  <c r="CF347" i="6" s="1"/>
  <c r="AA347" i="25"/>
  <c r="Z347" i="25" s="1"/>
  <c r="Y347" i="25" s="1"/>
  <c r="I239" i="23"/>
  <c r="H239" i="24" s="1"/>
  <c r="J239" i="23"/>
  <c r="I321" i="23"/>
  <c r="H321" i="24" s="1"/>
  <c r="J321" i="23"/>
  <c r="G176" i="25"/>
  <c r="CF176" i="6" s="1"/>
  <c r="AA176" i="25"/>
  <c r="Z176" i="25" s="1"/>
  <c r="Y176" i="25" s="1"/>
  <c r="G112" i="25"/>
  <c r="CF112" i="6" s="1"/>
  <c r="AA112" i="25"/>
  <c r="Z112" i="25" s="1"/>
  <c r="Y112" i="25" s="1"/>
  <c r="G119" i="25"/>
  <c r="CF119" i="6" s="1"/>
  <c r="AA119" i="25"/>
  <c r="Z119" i="25" s="1"/>
  <c r="Y119" i="25" s="1"/>
  <c r="I67" i="24"/>
  <c r="H67" i="25" s="1"/>
  <c r="J67" i="24"/>
  <c r="I84" i="23"/>
  <c r="H84" i="24" s="1"/>
  <c r="J84" i="23"/>
  <c r="G157" i="25"/>
  <c r="CF157" i="6" s="1"/>
  <c r="AA157" i="25"/>
  <c r="Z157" i="25" s="1"/>
  <c r="Y157" i="25" s="1"/>
  <c r="AA126" i="25"/>
  <c r="Z126" i="25" s="1"/>
  <c r="Y126" i="25" s="1"/>
  <c r="G126" i="25"/>
  <c r="CF126" i="6" s="1"/>
  <c r="AA98" i="25"/>
  <c r="Z98" i="25" s="1"/>
  <c r="Y98" i="25" s="1"/>
  <c r="G98" i="25"/>
  <c r="CF98" i="6" s="1"/>
  <c r="I325" i="24"/>
  <c r="H325" i="25" s="1"/>
  <c r="J325" i="24"/>
  <c r="J192" i="23"/>
  <c r="I192" i="23"/>
  <c r="H192" i="24" s="1"/>
  <c r="J358" i="23"/>
  <c r="I358" i="23"/>
  <c r="H358" i="24" s="1"/>
  <c r="J359" i="23"/>
  <c r="I359" i="23"/>
  <c r="H359" i="24" s="1"/>
  <c r="I207" i="23"/>
  <c r="H207" i="24" s="1"/>
  <c r="J207" i="23"/>
  <c r="J33" i="23"/>
  <c r="I33" i="23"/>
  <c r="H33" i="24" s="1"/>
  <c r="J231" i="23"/>
  <c r="I231" i="23"/>
  <c r="H231" i="24" s="1"/>
  <c r="J222" i="23"/>
  <c r="I222" i="23"/>
  <c r="H222" i="24" s="1"/>
  <c r="J216" i="23"/>
  <c r="I216" i="23"/>
  <c r="H216" i="24" s="1"/>
  <c r="J377" i="23"/>
  <c r="I377" i="23"/>
  <c r="H377" i="24" s="1"/>
  <c r="I185" i="24"/>
  <c r="H185" i="25" s="1"/>
  <c r="G143" i="25"/>
  <c r="CF143" i="6" s="1"/>
  <c r="AA143" i="25"/>
  <c r="Z143" i="25" s="1"/>
  <c r="Y143" i="25" s="1"/>
  <c r="G322" i="25"/>
  <c r="CF322" i="6" s="1"/>
  <c r="AA322" i="25"/>
  <c r="Z322" i="25" s="1"/>
  <c r="Y322" i="25" s="1"/>
  <c r="G85" i="25"/>
  <c r="CF85" i="6" s="1"/>
  <c r="AA85" i="25"/>
  <c r="Z85" i="25" s="1"/>
  <c r="Y85" i="25" s="1"/>
  <c r="G240" i="25"/>
  <c r="CF240" i="6" s="1"/>
  <c r="AA240" i="25"/>
  <c r="Z240" i="25" s="1"/>
  <c r="Y240" i="25" s="1"/>
  <c r="J135" i="23"/>
  <c r="I135" i="23"/>
  <c r="H135" i="24" s="1"/>
  <c r="G263" i="25"/>
  <c r="CF263" i="6" s="1"/>
  <c r="AA263" i="25"/>
  <c r="Z263" i="25" s="1"/>
  <c r="Y263" i="25" s="1"/>
  <c r="I355" i="24"/>
  <c r="H355" i="25" s="1"/>
  <c r="G88" i="25"/>
  <c r="CF88" i="6" s="1"/>
  <c r="AA88" i="25"/>
  <c r="Z88" i="25" s="1"/>
  <c r="Y88" i="25" s="1"/>
  <c r="I234" i="24"/>
  <c r="H234" i="25" s="1"/>
  <c r="G356" i="25"/>
  <c r="CF356" i="6" s="1"/>
  <c r="AA356" i="25"/>
  <c r="Z356" i="25" s="1"/>
  <c r="Y356" i="25" s="1"/>
  <c r="I259" i="23"/>
  <c r="H259" i="24" s="1"/>
  <c r="J259" i="23"/>
  <c r="J23" i="23"/>
  <c r="I23" i="23"/>
  <c r="H23" i="24" s="1"/>
  <c r="J344" i="23"/>
  <c r="I344" i="23"/>
  <c r="H344" i="24" s="1"/>
  <c r="I300" i="23"/>
  <c r="H300" i="24" s="1"/>
  <c r="J300" i="23"/>
  <c r="G226" i="25"/>
  <c r="CF226" i="6" s="1"/>
  <c r="AA226" i="25"/>
  <c r="Z226" i="25" s="1"/>
  <c r="Y226" i="25" s="1"/>
  <c r="G99" i="25"/>
  <c r="CF99" i="6" s="1"/>
  <c r="AA99" i="25"/>
  <c r="Z99" i="25" s="1"/>
  <c r="Y99" i="25" s="1"/>
  <c r="I104" i="23"/>
  <c r="H104" i="24" s="1"/>
  <c r="J246" i="23"/>
  <c r="I246" i="23"/>
  <c r="H246" i="24" s="1"/>
  <c r="G346" i="25"/>
  <c r="CF346" i="6" s="1"/>
  <c r="AA346" i="25"/>
  <c r="Z346" i="25" s="1"/>
  <c r="Y346" i="25" s="1"/>
  <c r="I265" i="23"/>
  <c r="H265" i="24" s="1"/>
  <c r="J265" i="23"/>
  <c r="J379" i="23"/>
  <c r="I379" i="23"/>
  <c r="H379" i="24" s="1"/>
  <c r="I241" i="23"/>
  <c r="H241" i="24" s="1"/>
  <c r="J241" i="23"/>
  <c r="I370" i="23"/>
  <c r="H370" i="24" s="1"/>
  <c r="J370" i="23"/>
  <c r="G135" i="25"/>
  <c r="CF135" i="6" s="1"/>
  <c r="AA135" i="25"/>
  <c r="Z135" i="25" s="1"/>
  <c r="Y135" i="25" s="1"/>
  <c r="G161" i="25"/>
  <c r="CF161" i="6" s="1"/>
  <c r="AA161" i="25"/>
  <c r="Z161" i="25" s="1"/>
  <c r="Y161" i="25" s="1"/>
  <c r="G173" i="25"/>
  <c r="CF173" i="6" s="1"/>
  <c r="AA173" i="25"/>
  <c r="Z173" i="25" s="1"/>
  <c r="Y173" i="25" s="1"/>
  <c r="G362" i="25"/>
  <c r="CF362" i="6" s="1"/>
  <c r="AA362" i="25"/>
  <c r="Z362" i="25" s="1"/>
  <c r="Y362" i="25" s="1"/>
  <c r="G75" i="25"/>
  <c r="CF75" i="6" s="1"/>
  <c r="AA75" i="25"/>
  <c r="Z75" i="25" s="1"/>
  <c r="Y75" i="25" s="1"/>
  <c r="G51" i="25"/>
  <c r="CF51" i="6" s="1"/>
  <c r="AA51" i="25"/>
  <c r="Z51" i="25" s="1"/>
  <c r="Y51" i="25" s="1"/>
  <c r="I157" i="23"/>
  <c r="H157" i="24" s="1"/>
  <c r="J157" i="23"/>
  <c r="I37" i="23"/>
  <c r="H37" i="24" s="1"/>
  <c r="J37" i="23"/>
  <c r="J145" i="24"/>
  <c r="I145" i="24"/>
  <c r="H145" i="25" s="1"/>
  <c r="J126" i="23"/>
  <c r="I126" i="23"/>
  <c r="H126" i="24" s="1"/>
  <c r="I154" i="23"/>
  <c r="H154" i="24" s="1"/>
  <c r="J154" i="23"/>
  <c r="J257" i="23"/>
  <c r="I257" i="23"/>
  <c r="H257" i="24" s="1"/>
  <c r="J117" i="23"/>
  <c r="I117" i="23"/>
  <c r="H117" i="24" s="1"/>
  <c r="J100" i="23"/>
  <c r="I100" i="23"/>
  <c r="H100" i="24" s="1"/>
  <c r="I168" i="23"/>
  <c r="H168" i="24" s="1"/>
  <c r="J168" i="23"/>
  <c r="AA77" i="25"/>
  <c r="Z77" i="25" s="1"/>
  <c r="Y77" i="25" s="1"/>
  <c r="G77" i="25"/>
  <c r="CF77" i="6" s="1"/>
  <c r="AA60" i="25"/>
  <c r="Z60" i="25" s="1"/>
  <c r="Y60" i="25" s="1"/>
  <c r="G60" i="25"/>
  <c r="CF60" i="6" s="1"/>
  <c r="G128" i="25"/>
  <c r="CF128" i="6" s="1"/>
  <c r="AA128" i="25"/>
  <c r="Z128" i="25" s="1"/>
  <c r="Y128" i="25" s="1"/>
  <c r="I42" i="23"/>
  <c r="H42" i="24" s="1"/>
  <c r="J42" i="23"/>
  <c r="G73" i="25"/>
  <c r="CF73" i="6" s="1"/>
  <c r="AA73" i="25"/>
  <c r="Z73" i="25" s="1"/>
  <c r="Y73" i="25" s="1"/>
  <c r="J316" i="23"/>
  <c r="I316" i="23"/>
  <c r="H316" i="24" s="1"/>
  <c r="I59" i="23"/>
  <c r="H59" i="24" s="1"/>
  <c r="J59" i="23"/>
  <c r="I269" i="23"/>
  <c r="H269" i="24" s="1"/>
  <c r="J269" i="23"/>
  <c r="J237" i="23"/>
  <c r="I237" i="23"/>
  <c r="H237" i="24" s="1"/>
  <c r="AA287" i="25"/>
  <c r="Z287" i="25" s="1"/>
  <c r="Y287" i="25" s="1"/>
  <c r="G287" i="25"/>
  <c r="CF287" i="6" s="1"/>
  <c r="G328" i="25"/>
  <c r="CF328" i="6" s="1"/>
  <c r="AA328" i="25"/>
  <c r="Z328" i="25" s="1"/>
  <c r="Y328" i="25" s="1"/>
  <c r="G27" i="25"/>
  <c r="CF27" i="6" s="1"/>
  <c r="AA27" i="25"/>
  <c r="Z27" i="25" s="1"/>
  <c r="Y27" i="25" s="1"/>
  <c r="G330" i="25"/>
  <c r="CF330" i="6" s="1"/>
  <c r="AA330" i="25"/>
  <c r="Z330" i="25" s="1"/>
  <c r="Y330" i="25" s="1"/>
  <c r="AA250" i="25"/>
  <c r="Z250" i="25" s="1"/>
  <c r="Y250" i="25" s="1"/>
  <c r="G250" i="25"/>
  <c r="CF250" i="6" s="1"/>
  <c r="I372" i="23"/>
  <c r="H372" i="24" s="1"/>
  <c r="J372" i="23"/>
  <c r="I17" i="23"/>
  <c r="H17" i="24" s="1"/>
  <c r="J17" i="23"/>
  <c r="I308" i="23"/>
  <c r="H308" i="24" s="1"/>
  <c r="J308" i="23"/>
  <c r="J47" i="23"/>
  <c r="I47" i="23"/>
  <c r="H47" i="24" s="1"/>
  <c r="J209" i="23"/>
  <c r="I209" i="23"/>
  <c r="H209" i="24" s="1"/>
  <c r="I341" i="23"/>
  <c r="H341" i="24" s="1"/>
  <c r="J341" i="23"/>
  <c r="J280" i="23"/>
  <c r="I280" i="23"/>
  <c r="H280" i="24" s="1"/>
  <c r="J199" i="23"/>
  <c r="I199" i="23"/>
  <c r="H199" i="24" s="1"/>
  <c r="J18" i="23"/>
  <c r="I18" i="23"/>
  <c r="H18" i="24" s="1"/>
  <c r="I153" i="23"/>
  <c r="H153" i="24" s="1"/>
  <c r="J153" i="23"/>
  <c r="G194" i="25"/>
  <c r="CF194" i="6" s="1"/>
  <c r="AA194" i="25"/>
  <c r="Z194" i="25" s="1"/>
  <c r="Y194" i="25" s="1"/>
  <c r="G291" i="25"/>
  <c r="CF291" i="6" s="1"/>
  <c r="AA291" i="25"/>
  <c r="Z291" i="25" s="1"/>
  <c r="Y291" i="25" s="1"/>
  <c r="G339" i="25"/>
  <c r="CF339" i="6" s="1"/>
  <c r="AA339" i="25"/>
  <c r="Z339" i="25" s="1"/>
  <c r="Y339" i="25" s="1"/>
  <c r="J66" i="23"/>
  <c r="I66" i="23"/>
  <c r="H66" i="24" s="1"/>
  <c r="J113" i="23"/>
  <c r="I113" i="23"/>
  <c r="H113" i="24" s="1"/>
  <c r="J40" i="23"/>
  <c r="I40" i="23"/>
  <c r="H40" i="24" s="1"/>
  <c r="J252" i="23"/>
  <c r="I252" i="23"/>
  <c r="H252" i="24" s="1"/>
  <c r="J103" i="23"/>
  <c r="I103" i="23"/>
  <c r="H103" i="24" s="1"/>
  <c r="J235" i="23"/>
  <c r="I235" i="23"/>
  <c r="H235" i="24" s="1"/>
  <c r="AA233" i="25"/>
  <c r="Z233" i="25" s="1"/>
  <c r="Y233" i="25" s="1"/>
  <c r="G233" i="25"/>
  <c r="CF233" i="6" s="1"/>
  <c r="I376" i="23" l="1"/>
  <c r="H376" i="24" s="1"/>
  <c r="I376" i="24" s="1"/>
  <c r="H376" i="25" s="1"/>
  <c r="I123" i="23"/>
  <c r="H123" i="24" s="1"/>
  <c r="I123" i="24" s="1"/>
  <c r="H123" i="25" s="1"/>
  <c r="J127" i="23"/>
  <c r="J127" i="24" s="1"/>
  <c r="I233" i="23"/>
  <c r="H233" i="24" s="1"/>
  <c r="J233" i="24" s="1"/>
  <c r="J356" i="23"/>
  <c r="J356" i="24" s="1"/>
  <c r="J356" i="25" s="1"/>
  <c r="I163" i="24"/>
  <c r="H163" i="25" s="1"/>
  <c r="J163" i="25" s="1"/>
  <c r="I31" i="23"/>
  <c r="H31" i="24" s="1"/>
  <c r="I31" i="24" s="1"/>
  <c r="H31" i="25" s="1"/>
  <c r="I31" i="25" s="1"/>
  <c r="J144" i="23"/>
  <c r="J144" i="24" s="1"/>
  <c r="I137" i="23"/>
  <c r="H137" i="24" s="1"/>
  <c r="J137" i="24" s="1"/>
  <c r="J345" i="24"/>
  <c r="I217" i="25"/>
  <c r="J333" i="23"/>
  <c r="I333" i="23"/>
  <c r="H333" i="24" s="1"/>
  <c r="I378" i="24"/>
  <c r="H378" i="25" s="1"/>
  <c r="I378" i="25" s="1"/>
  <c r="I88" i="24"/>
  <c r="H88" i="25" s="1"/>
  <c r="I88" i="25" s="1"/>
  <c r="J205" i="25"/>
  <c r="J289" i="24"/>
  <c r="J289" i="25" s="1"/>
  <c r="J371" i="24"/>
  <c r="J371" i="25" s="1"/>
  <c r="J223" i="24"/>
  <c r="J223" i="25" s="1"/>
  <c r="I233" i="24"/>
  <c r="H233" i="25" s="1"/>
  <c r="J233" i="25" s="1"/>
  <c r="I236" i="24"/>
  <c r="H236" i="25" s="1"/>
  <c r="I236" i="25" s="1"/>
  <c r="I365" i="24"/>
  <c r="H365" i="25" s="1"/>
  <c r="I365" i="25" s="1"/>
  <c r="I345" i="24"/>
  <c r="H345" i="25" s="1"/>
  <c r="I44" i="24"/>
  <c r="H44" i="25" s="1"/>
  <c r="I44" i="25" s="1"/>
  <c r="J150" i="24"/>
  <c r="J150" i="25" s="1"/>
  <c r="J169" i="24"/>
  <c r="J169" i="25" s="1"/>
  <c r="I203" i="24"/>
  <c r="H203" i="25" s="1"/>
  <c r="J203" i="25" s="1"/>
  <c r="J121" i="24"/>
  <c r="J121" i="25" s="1"/>
  <c r="J314" i="24"/>
  <c r="J314" i="25" s="1"/>
  <c r="J234" i="25"/>
  <c r="I234" i="25"/>
  <c r="J355" i="25"/>
  <c r="I355" i="25"/>
  <c r="I325" i="25"/>
  <c r="J325" i="25"/>
  <c r="I296" i="25"/>
  <c r="J296" i="25"/>
  <c r="J124" i="25"/>
  <c r="I124" i="25"/>
  <c r="I371" i="25"/>
  <c r="J196" i="25"/>
  <c r="I196" i="25"/>
  <c r="I184" i="25"/>
  <c r="J184" i="25"/>
  <c r="J283" i="25"/>
  <c r="I283" i="25"/>
  <c r="J87" i="25"/>
  <c r="I87" i="25"/>
  <c r="J22" i="25"/>
  <c r="I22" i="25"/>
  <c r="J102" i="25"/>
  <c r="I102" i="25"/>
  <c r="I144" i="25"/>
  <c r="J144" i="25"/>
  <c r="J261" i="25"/>
  <c r="I261" i="25"/>
  <c r="J206" i="25"/>
  <c r="I206" i="25"/>
  <c r="J65" i="25"/>
  <c r="I65" i="25"/>
  <c r="J145" i="25"/>
  <c r="I145" i="25"/>
  <c r="I185" i="25"/>
  <c r="J185" i="25"/>
  <c r="I67" i="25"/>
  <c r="J67" i="25"/>
  <c r="I289" i="25"/>
  <c r="J245" i="25"/>
  <c r="I245" i="25"/>
  <c r="I76" i="25"/>
  <c r="J76" i="25"/>
  <c r="J317" i="25"/>
  <c r="I317" i="25"/>
  <c r="I160" i="25"/>
  <c r="J160" i="25"/>
  <c r="I71" i="25"/>
  <c r="J71" i="25"/>
  <c r="J378" i="25"/>
  <c r="I198" i="25"/>
  <c r="J198" i="25"/>
  <c r="J24" i="25"/>
  <c r="I24" i="25"/>
  <c r="I373" i="25"/>
  <c r="J373" i="25"/>
  <c r="I199" i="24"/>
  <c r="H199" i="25" s="1"/>
  <c r="J199" i="24"/>
  <c r="J209" i="24"/>
  <c r="I209" i="24"/>
  <c r="H209" i="25" s="1"/>
  <c r="J250" i="25"/>
  <c r="I250" i="25"/>
  <c r="J77" i="25"/>
  <c r="I77" i="25"/>
  <c r="J168" i="24"/>
  <c r="I168" i="24"/>
  <c r="H168" i="25" s="1"/>
  <c r="J154" i="24"/>
  <c r="I154" i="24"/>
  <c r="H154" i="25" s="1"/>
  <c r="J37" i="24"/>
  <c r="I37" i="24"/>
  <c r="H37" i="25" s="1"/>
  <c r="I157" i="24"/>
  <c r="H157" i="25" s="1"/>
  <c r="J157" i="24"/>
  <c r="I370" i="24"/>
  <c r="H370" i="25" s="1"/>
  <c r="J370" i="24"/>
  <c r="I104" i="24"/>
  <c r="H104" i="25" s="1"/>
  <c r="J104" i="24"/>
  <c r="J23" i="24"/>
  <c r="I23" i="24"/>
  <c r="H23" i="25" s="1"/>
  <c r="I356" i="25"/>
  <c r="J322" i="25"/>
  <c r="I322" i="25"/>
  <c r="J143" i="25"/>
  <c r="I143" i="25"/>
  <c r="I207" i="24"/>
  <c r="H207" i="25" s="1"/>
  <c r="J207" i="24"/>
  <c r="I119" i="25"/>
  <c r="J119" i="25"/>
  <c r="J112" i="25"/>
  <c r="I112" i="25"/>
  <c r="J123" i="24"/>
  <c r="I176" i="25"/>
  <c r="J176" i="25"/>
  <c r="I321" i="24"/>
  <c r="H321" i="25" s="1"/>
  <c r="J321" i="24"/>
  <c r="I239" i="24"/>
  <c r="H239" i="25" s="1"/>
  <c r="J239" i="24"/>
  <c r="J274" i="25"/>
  <c r="I274" i="25"/>
  <c r="I226" i="24"/>
  <c r="H226" i="25" s="1"/>
  <c r="J226" i="24"/>
  <c r="I35" i="24"/>
  <c r="H35" i="25" s="1"/>
  <c r="J35" i="24"/>
  <c r="J294" i="24"/>
  <c r="I294" i="24"/>
  <c r="H294" i="25" s="1"/>
  <c r="J208" i="24"/>
  <c r="I208" i="24"/>
  <c r="H208" i="25" s="1"/>
  <c r="J349" i="25"/>
  <c r="I349" i="25"/>
  <c r="J29" i="24"/>
  <c r="I29" i="24"/>
  <c r="H29" i="25" s="1"/>
  <c r="J218" i="25"/>
  <c r="I218" i="25"/>
  <c r="I150" i="25"/>
  <c r="J286" i="24"/>
  <c r="I286" i="24"/>
  <c r="H286" i="25" s="1"/>
  <c r="I27" i="24"/>
  <c r="H27" i="25" s="1"/>
  <c r="J27" i="24"/>
  <c r="I54" i="24"/>
  <c r="H54" i="25" s="1"/>
  <c r="J54" i="24"/>
  <c r="I72" i="24"/>
  <c r="H72" i="25" s="1"/>
  <c r="J72" i="24"/>
  <c r="I315" i="24"/>
  <c r="H315" i="25" s="1"/>
  <c r="J315" i="24"/>
  <c r="J243" i="24"/>
  <c r="I243" i="24"/>
  <c r="H243" i="25" s="1"/>
  <c r="J311" i="25"/>
  <c r="I311" i="25"/>
  <c r="I186" i="25"/>
  <c r="J186" i="25"/>
  <c r="J255" i="24"/>
  <c r="I255" i="24"/>
  <c r="H255" i="25" s="1"/>
  <c r="J229" i="24"/>
  <c r="I229" i="24"/>
  <c r="H229" i="25" s="1"/>
  <c r="J141" i="24"/>
  <c r="I141" i="24"/>
  <c r="H141" i="25" s="1"/>
  <c r="I147" i="24"/>
  <c r="H147" i="25" s="1"/>
  <c r="J147" i="24"/>
  <c r="J32" i="24"/>
  <c r="I32" i="24"/>
  <c r="H32" i="25" s="1"/>
  <c r="J190" i="24"/>
  <c r="I190" i="24"/>
  <c r="H190" i="25" s="1"/>
  <c r="J151" i="24"/>
  <c r="I151" i="24"/>
  <c r="H151" i="25" s="1"/>
  <c r="I260" i="24"/>
  <c r="H260" i="25" s="1"/>
  <c r="J260" i="24"/>
  <c r="J125" i="25"/>
  <c r="I125" i="25"/>
  <c r="J64" i="24"/>
  <c r="I64" i="24"/>
  <c r="H64" i="25" s="1"/>
  <c r="I348" i="24"/>
  <c r="H348" i="25" s="1"/>
  <c r="J348" i="24"/>
  <c r="J298" i="24"/>
  <c r="I298" i="24"/>
  <c r="H298" i="25" s="1"/>
  <c r="J189" i="24"/>
  <c r="I189" i="24"/>
  <c r="H189" i="25" s="1"/>
  <c r="I92" i="24"/>
  <c r="H92" i="25" s="1"/>
  <c r="J92" i="24"/>
  <c r="I89" i="25"/>
  <c r="J89" i="25"/>
  <c r="J156" i="25"/>
  <c r="I156" i="25"/>
  <c r="I121" i="25"/>
  <c r="I223" i="25"/>
  <c r="I187" i="25"/>
  <c r="J187" i="25"/>
  <c r="I108" i="24"/>
  <c r="H108" i="25" s="1"/>
  <c r="J108" i="24"/>
  <c r="J354" i="24"/>
  <c r="I354" i="24"/>
  <c r="H354" i="25" s="1"/>
  <c r="J134" i="24"/>
  <c r="I134" i="24"/>
  <c r="H134" i="25" s="1"/>
  <c r="J152" i="24"/>
  <c r="I152" i="24"/>
  <c r="H152" i="25" s="1"/>
  <c r="J323" i="24"/>
  <c r="I323" i="24"/>
  <c r="H323" i="25" s="1"/>
  <c r="I26" i="24"/>
  <c r="H26" i="25" s="1"/>
  <c r="J26" i="24"/>
  <c r="I36" i="24"/>
  <c r="H36" i="25" s="1"/>
  <c r="J36" i="24"/>
  <c r="I225" i="24"/>
  <c r="H225" i="25" s="1"/>
  <c r="J225" i="24"/>
  <c r="J210" i="24"/>
  <c r="I210" i="24"/>
  <c r="H210" i="25" s="1"/>
  <c r="J353" i="24"/>
  <c r="I353" i="24"/>
  <c r="H353" i="25" s="1"/>
  <c r="I149" i="24"/>
  <c r="H149" i="25" s="1"/>
  <c r="J149" i="24"/>
  <c r="I139" i="24"/>
  <c r="H139" i="25" s="1"/>
  <c r="J139" i="24"/>
  <c r="J331" i="24"/>
  <c r="I331" i="24"/>
  <c r="H331" i="25" s="1"/>
  <c r="J375" i="24"/>
  <c r="I375" i="24"/>
  <c r="H375" i="25" s="1"/>
  <c r="I79" i="24"/>
  <c r="H79" i="25" s="1"/>
  <c r="J79" i="24"/>
  <c r="I367" i="24"/>
  <c r="H367" i="25" s="1"/>
  <c r="J367" i="24"/>
  <c r="I204" i="24"/>
  <c r="H204" i="25" s="1"/>
  <c r="J204" i="24"/>
  <c r="I111" i="24"/>
  <c r="H111" i="25" s="1"/>
  <c r="J111" i="24"/>
  <c r="J177" i="24"/>
  <c r="I177" i="24"/>
  <c r="H177" i="25" s="1"/>
  <c r="J99" i="24"/>
  <c r="I99" i="24"/>
  <c r="H99" i="25" s="1"/>
  <c r="J115" i="25"/>
  <c r="I115" i="25"/>
  <c r="I290" i="24"/>
  <c r="H290" i="25" s="1"/>
  <c r="J290" i="24"/>
  <c r="I343" i="24"/>
  <c r="H343" i="25" s="1"/>
  <c r="J343" i="24"/>
  <c r="I41" i="24"/>
  <c r="H41" i="25" s="1"/>
  <c r="J41" i="24"/>
  <c r="J270" i="24"/>
  <c r="I270" i="24"/>
  <c r="H270" i="25" s="1"/>
  <c r="J278" i="24"/>
  <c r="I278" i="24"/>
  <c r="H278" i="25" s="1"/>
  <c r="I319" i="24"/>
  <c r="H319" i="25" s="1"/>
  <c r="J319" i="24"/>
  <c r="J105" i="24"/>
  <c r="I105" i="24"/>
  <c r="H105" i="25" s="1"/>
  <c r="I167" i="24"/>
  <c r="H167" i="25" s="1"/>
  <c r="J167" i="24"/>
  <c r="J55" i="24"/>
  <c r="I55" i="24"/>
  <c r="H55" i="25" s="1"/>
  <c r="I140" i="24"/>
  <c r="H140" i="25" s="1"/>
  <c r="J140" i="24"/>
  <c r="J164" i="24"/>
  <c r="I164" i="24"/>
  <c r="H164" i="25" s="1"/>
  <c r="J133" i="25"/>
  <c r="I133" i="25"/>
  <c r="I288" i="24"/>
  <c r="H288" i="25" s="1"/>
  <c r="J288" i="24"/>
  <c r="I169" i="25"/>
  <c r="J21" i="25"/>
  <c r="I21" i="25"/>
  <c r="J69" i="24"/>
  <c r="I69" i="24"/>
  <c r="H69" i="25" s="1"/>
  <c r="I258" i="24"/>
  <c r="H258" i="25" s="1"/>
  <c r="J258" i="24"/>
  <c r="I174" i="24"/>
  <c r="H174" i="25" s="1"/>
  <c r="J174" i="24"/>
  <c r="I110" i="24"/>
  <c r="H110" i="25" s="1"/>
  <c r="J110" i="24"/>
  <c r="I220" i="25"/>
  <c r="J220" i="25"/>
  <c r="J310" i="25"/>
  <c r="I310" i="25"/>
  <c r="J219" i="24"/>
  <c r="I219" i="24"/>
  <c r="H219" i="25" s="1"/>
  <c r="I244" i="24"/>
  <c r="H244" i="25" s="1"/>
  <c r="J244" i="24"/>
  <c r="J279" i="24"/>
  <c r="I279" i="24"/>
  <c r="H279" i="25" s="1"/>
  <c r="J334" i="25"/>
  <c r="I334" i="25"/>
  <c r="I351" i="24"/>
  <c r="H351" i="25" s="1"/>
  <c r="J351" i="24"/>
  <c r="I326" i="24"/>
  <c r="H326" i="25" s="1"/>
  <c r="J326" i="24"/>
  <c r="J183" i="24"/>
  <c r="I183" i="24"/>
  <c r="H183" i="25" s="1"/>
  <c r="J180" i="24"/>
  <c r="I180" i="24"/>
  <c r="H180" i="25" s="1"/>
  <c r="I366" i="24"/>
  <c r="H366" i="25" s="1"/>
  <c r="J366" i="24"/>
  <c r="J374" i="25"/>
  <c r="I374" i="25"/>
  <c r="I224" i="24"/>
  <c r="H224" i="25" s="1"/>
  <c r="J224" i="24"/>
  <c r="J200" i="24"/>
  <c r="I200" i="24"/>
  <c r="H200" i="25" s="1"/>
  <c r="I195" i="24"/>
  <c r="H195" i="25" s="1"/>
  <c r="J195" i="24"/>
  <c r="J346" i="24"/>
  <c r="I346" i="24"/>
  <c r="H346" i="25" s="1"/>
  <c r="J56" i="24"/>
  <c r="I56" i="24"/>
  <c r="H56" i="25" s="1"/>
  <c r="J191" i="25"/>
  <c r="I191" i="25"/>
  <c r="J362" i="24"/>
  <c r="I362" i="24"/>
  <c r="H362" i="25" s="1"/>
  <c r="J277" i="24"/>
  <c r="I277" i="24"/>
  <c r="H277" i="25" s="1"/>
  <c r="I127" i="24"/>
  <c r="H127" i="25" s="1"/>
  <c r="I324" i="24"/>
  <c r="H324" i="25" s="1"/>
  <c r="J324" i="24"/>
  <c r="I158" i="24"/>
  <c r="H158" i="25" s="1"/>
  <c r="J158" i="24"/>
  <c r="I63" i="24"/>
  <c r="H63" i="25" s="1"/>
  <c r="J63" i="24"/>
  <c r="J332" i="24"/>
  <c r="I332" i="24"/>
  <c r="H332" i="25" s="1"/>
  <c r="J182" i="24"/>
  <c r="I182" i="24"/>
  <c r="H182" i="25" s="1"/>
  <c r="J312" i="24"/>
  <c r="I312" i="24"/>
  <c r="H312" i="25" s="1"/>
  <c r="I197" i="24"/>
  <c r="H197" i="25" s="1"/>
  <c r="J197" i="24"/>
  <c r="I313" i="24"/>
  <c r="H313" i="25" s="1"/>
  <c r="J313" i="24"/>
  <c r="J297" i="24"/>
  <c r="I297" i="24"/>
  <c r="H297" i="25" s="1"/>
  <c r="J43" i="24"/>
  <c r="I43" i="24"/>
  <c r="H43" i="25" s="1"/>
  <c r="I275" i="25"/>
  <c r="J275" i="25"/>
  <c r="J48" i="24"/>
  <c r="I48" i="24"/>
  <c r="H48" i="25" s="1"/>
  <c r="J330" i="24"/>
  <c r="I330" i="24"/>
  <c r="H330" i="25" s="1"/>
  <c r="I161" i="24"/>
  <c r="H161" i="25" s="1"/>
  <c r="J161" i="24"/>
  <c r="I335" i="24"/>
  <c r="H335" i="25" s="1"/>
  <c r="J335" i="24"/>
  <c r="I248" i="24"/>
  <c r="H248" i="25" s="1"/>
  <c r="J248" i="24"/>
  <c r="I320" i="24"/>
  <c r="H320" i="25" s="1"/>
  <c r="J320" i="24"/>
  <c r="J352" i="25"/>
  <c r="I352" i="25"/>
  <c r="I18" i="24"/>
  <c r="H18" i="25" s="1"/>
  <c r="J18" i="24"/>
  <c r="J280" i="24"/>
  <c r="I280" i="24"/>
  <c r="H280" i="25" s="1"/>
  <c r="J47" i="24"/>
  <c r="I47" i="24"/>
  <c r="H47" i="25" s="1"/>
  <c r="I269" i="24"/>
  <c r="H269" i="25" s="1"/>
  <c r="J269" i="24"/>
  <c r="I59" i="24"/>
  <c r="H59" i="25" s="1"/>
  <c r="J59" i="24"/>
  <c r="I128" i="25"/>
  <c r="J128" i="25"/>
  <c r="I173" i="25"/>
  <c r="J173" i="25"/>
  <c r="J241" i="24"/>
  <c r="I241" i="24"/>
  <c r="H241" i="25" s="1"/>
  <c r="I265" i="24"/>
  <c r="H265" i="25" s="1"/>
  <c r="J265" i="24"/>
  <c r="J246" i="24"/>
  <c r="I246" i="24"/>
  <c r="H246" i="25" s="1"/>
  <c r="I344" i="24"/>
  <c r="H344" i="25" s="1"/>
  <c r="J344" i="24"/>
  <c r="I263" i="25"/>
  <c r="J263" i="25"/>
  <c r="J85" i="25"/>
  <c r="I85" i="25"/>
  <c r="J235" i="24"/>
  <c r="I235" i="24"/>
  <c r="H235" i="25" s="1"/>
  <c r="J103" i="24"/>
  <c r="I103" i="24"/>
  <c r="H103" i="25" s="1"/>
  <c r="J252" i="24"/>
  <c r="I252" i="24"/>
  <c r="H252" i="25" s="1"/>
  <c r="J40" i="24"/>
  <c r="I40" i="24"/>
  <c r="H40" i="25" s="1"/>
  <c r="J113" i="24"/>
  <c r="I113" i="24"/>
  <c r="H113" i="25" s="1"/>
  <c r="J66" i="24"/>
  <c r="I66" i="24"/>
  <c r="H66" i="25" s="1"/>
  <c r="J339" i="25"/>
  <c r="I339" i="25"/>
  <c r="J291" i="25"/>
  <c r="I291" i="25"/>
  <c r="I194" i="25"/>
  <c r="J194" i="25"/>
  <c r="I153" i="24"/>
  <c r="H153" i="25" s="1"/>
  <c r="J153" i="24"/>
  <c r="J341" i="24"/>
  <c r="I341" i="24"/>
  <c r="H341" i="25" s="1"/>
  <c r="J308" i="24"/>
  <c r="I308" i="24"/>
  <c r="H308" i="25" s="1"/>
  <c r="I17" i="24"/>
  <c r="H17" i="25" s="1"/>
  <c r="J17" i="24"/>
  <c r="J372" i="24"/>
  <c r="I372" i="24"/>
  <c r="H372" i="25" s="1"/>
  <c r="I328" i="25"/>
  <c r="J328" i="25"/>
  <c r="J237" i="24"/>
  <c r="I237" i="24"/>
  <c r="H237" i="25" s="1"/>
  <c r="I316" i="24"/>
  <c r="H316" i="25" s="1"/>
  <c r="J316" i="24"/>
  <c r="J73" i="25"/>
  <c r="I73" i="25"/>
  <c r="J42" i="24"/>
  <c r="I42" i="24"/>
  <c r="H42" i="25" s="1"/>
  <c r="I60" i="25"/>
  <c r="J60" i="25"/>
  <c r="J100" i="24"/>
  <c r="I100" i="24"/>
  <c r="H100" i="25" s="1"/>
  <c r="I117" i="24"/>
  <c r="H117" i="25" s="1"/>
  <c r="J117" i="24"/>
  <c r="I257" i="24"/>
  <c r="H257" i="25" s="1"/>
  <c r="J257" i="24"/>
  <c r="I126" i="24"/>
  <c r="H126" i="25" s="1"/>
  <c r="J126" i="24"/>
  <c r="I75" i="25"/>
  <c r="J75" i="25"/>
  <c r="J379" i="24"/>
  <c r="I379" i="24"/>
  <c r="H379" i="25" s="1"/>
  <c r="I300" i="24"/>
  <c r="H300" i="25" s="1"/>
  <c r="J300" i="24"/>
  <c r="I259" i="24"/>
  <c r="H259" i="25" s="1"/>
  <c r="J259" i="24"/>
  <c r="I135" i="24"/>
  <c r="H135" i="25" s="1"/>
  <c r="J135" i="24"/>
  <c r="J377" i="24"/>
  <c r="I377" i="24"/>
  <c r="H377" i="25" s="1"/>
  <c r="J216" i="24"/>
  <c r="I216" i="24"/>
  <c r="H216" i="25" s="1"/>
  <c r="J222" i="24"/>
  <c r="I222" i="24"/>
  <c r="H222" i="25" s="1"/>
  <c r="I231" i="24"/>
  <c r="H231" i="25" s="1"/>
  <c r="J231" i="24"/>
  <c r="J33" i="24"/>
  <c r="I33" i="24"/>
  <c r="H33" i="25" s="1"/>
  <c r="I359" i="24"/>
  <c r="H359" i="25" s="1"/>
  <c r="J359" i="24"/>
  <c r="J358" i="24"/>
  <c r="I358" i="24"/>
  <c r="H358" i="25" s="1"/>
  <c r="J192" i="24"/>
  <c r="I192" i="24"/>
  <c r="H192" i="25" s="1"/>
  <c r="I98" i="25"/>
  <c r="J98" i="25"/>
  <c r="J84" i="24"/>
  <c r="I84" i="24"/>
  <c r="H84" i="25" s="1"/>
  <c r="I347" i="25"/>
  <c r="J347" i="25"/>
  <c r="J114" i="25"/>
  <c r="I114" i="25"/>
  <c r="J132" i="24"/>
  <c r="I132" i="24"/>
  <c r="H132" i="25" s="1"/>
  <c r="J70" i="24"/>
  <c r="I70" i="24"/>
  <c r="H70" i="25" s="1"/>
  <c r="J38" i="24"/>
  <c r="I38" i="24"/>
  <c r="H38" i="25" s="1"/>
  <c r="I51" i="24"/>
  <c r="H51" i="25" s="1"/>
  <c r="J51" i="24"/>
  <c r="J213" i="24"/>
  <c r="I213" i="24"/>
  <c r="H213" i="25" s="1"/>
  <c r="J49" i="24"/>
  <c r="I49" i="24"/>
  <c r="H49" i="25" s="1"/>
  <c r="J86" i="25"/>
  <c r="I86" i="25"/>
  <c r="J45" i="24"/>
  <c r="I45" i="24"/>
  <c r="H45" i="25" s="1"/>
  <c r="J227" i="24"/>
  <c r="I227" i="24"/>
  <c r="H227" i="25" s="1"/>
  <c r="J172" i="24"/>
  <c r="I172" i="24"/>
  <c r="H172" i="25" s="1"/>
  <c r="J81" i="24"/>
  <c r="I81" i="24"/>
  <c r="H81" i="25" s="1"/>
  <c r="I201" i="25"/>
  <c r="J201" i="25"/>
  <c r="J90" i="25"/>
  <c r="I90" i="25"/>
  <c r="J58" i="24"/>
  <c r="I58" i="24"/>
  <c r="H58" i="25" s="1"/>
  <c r="J309" i="25"/>
  <c r="I309" i="25"/>
  <c r="J61" i="25"/>
  <c r="I61" i="25"/>
  <c r="J30" i="24"/>
  <c r="I30" i="24"/>
  <c r="H30" i="25" s="1"/>
  <c r="J363" i="24"/>
  <c r="I363" i="24"/>
  <c r="H363" i="25" s="1"/>
  <c r="J249" i="24"/>
  <c r="I249" i="24"/>
  <c r="H249" i="25" s="1"/>
  <c r="I301" i="24"/>
  <c r="H301" i="25" s="1"/>
  <c r="J301" i="24"/>
  <c r="I68" i="24"/>
  <c r="H68" i="25" s="1"/>
  <c r="J68" i="24"/>
  <c r="J93" i="24"/>
  <c r="I93" i="24"/>
  <c r="H93" i="25" s="1"/>
  <c r="I368" i="24"/>
  <c r="H368" i="25" s="1"/>
  <c r="J368" i="24"/>
  <c r="I307" i="24"/>
  <c r="H307" i="25" s="1"/>
  <c r="J307" i="24"/>
  <c r="J181" i="24"/>
  <c r="I181" i="24"/>
  <c r="H181" i="25" s="1"/>
  <c r="J159" i="25"/>
  <c r="I159" i="25"/>
  <c r="I19" i="24"/>
  <c r="H19" i="25" s="1"/>
  <c r="J19" i="24"/>
  <c r="I304" i="24"/>
  <c r="H304" i="25" s="1"/>
  <c r="J304" i="24"/>
  <c r="I340" i="24"/>
  <c r="H340" i="25" s="1"/>
  <c r="J340" i="24"/>
  <c r="I238" i="24"/>
  <c r="H238" i="25" s="1"/>
  <c r="J238" i="24"/>
  <c r="J136" i="24"/>
  <c r="I136" i="24"/>
  <c r="H136" i="25" s="1"/>
  <c r="I306" i="24"/>
  <c r="H306" i="25" s="1"/>
  <c r="J306" i="24"/>
  <c r="J171" i="25"/>
  <c r="I171" i="25"/>
  <c r="J295" i="25"/>
  <c r="I295" i="25"/>
  <c r="J273" i="25"/>
  <c r="I273" i="25"/>
  <c r="J78" i="24"/>
  <c r="I78" i="24"/>
  <c r="H78" i="25" s="1"/>
  <c r="I314" i="25"/>
  <c r="J357" i="24"/>
  <c r="I357" i="24"/>
  <c r="H357" i="25" s="1"/>
  <c r="I96" i="24"/>
  <c r="H96" i="25" s="1"/>
  <c r="J96" i="24"/>
  <c r="J162" i="25"/>
  <c r="I162" i="25"/>
  <c r="I329" i="24"/>
  <c r="H329" i="25" s="1"/>
  <c r="J329" i="24"/>
  <c r="I281" i="24"/>
  <c r="H281" i="25" s="1"/>
  <c r="J281" i="24"/>
  <c r="J116" i="24"/>
  <c r="I116" i="24"/>
  <c r="H116" i="25" s="1"/>
  <c r="J228" i="24"/>
  <c r="I228" i="24"/>
  <c r="H228" i="25" s="1"/>
  <c r="J282" i="25"/>
  <c r="I282" i="25"/>
  <c r="J240" i="24"/>
  <c r="I240" i="24"/>
  <c r="H240" i="25" s="1"/>
  <c r="J350" i="25"/>
  <c r="I350" i="25"/>
  <c r="I20" i="24"/>
  <c r="H20" i="25" s="1"/>
  <c r="J20" i="24"/>
  <c r="J94" i="24"/>
  <c r="I94" i="24"/>
  <c r="H94" i="25" s="1"/>
  <c r="I242" i="24"/>
  <c r="H242" i="25" s="1"/>
  <c r="J242" i="24"/>
  <c r="I146" i="24"/>
  <c r="H146" i="25" s="1"/>
  <c r="J146" i="24"/>
  <c r="J230" i="24"/>
  <c r="I230" i="24"/>
  <c r="H230" i="25" s="1"/>
  <c r="I109" i="25"/>
  <c r="J109" i="25"/>
  <c r="J53" i="25"/>
  <c r="I53" i="25"/>
  <c r="J285" i="24"/>
  <c r="I285" i="24"/>
  <c r="H285" i="25" s="1"/>
  <c r="J106" i="24"/>
  <c r="I106" i="24"/>
  <c r="H106" i="25" s="1"/>
  <c r="J271" i="24"/>
  <c r="I271" i="24"/>
  <c r="H271" i="25" s="1"/>
  <c r="J130" i="24"/>
  <c r="I130" i="24"/>
  <c r="H130" i="25" s="1"/>
  <c r="J327" i="24"/>
  <c r="I327" i="24"/>
  <c r="H327" i="25" s="1"/>
  <c r="J211" i="24"/>
  <c r="I211" i="24"/>
  <c r="H211" i="25" s="1"/>
  <c r="I336" i="24"/>
  <c r="H336" i="25" s="1"/>
  <c r="J336" i="24"/>
  <c r="J178" i="24"/>
  <c r="I178" i="24"/>
  <c r="H178" i="25" s="1"/>
  <c r="J254" i="24"/>
  <c r="I254" i="24"/>
  <c r="H254" i="25" s="1"/>
  <c r="J284" i="24"/>
  <c r="I284" i="24"/>
  <c r="H284" i="25" s="1"/>
  <c r="I16" i="24"/>
  <c r="H16" i="25" s="1"/>
  <c r="J16" i="24"/>
  <c r="I95" i="24"/>
  <c r="H95" i="25" s="1"/>
  <c r="J95" i="24"/>
  <c r="I305" i="24"/>
  <c r="H305" i="25" s="1"/>
  <c r="J305" i="24"/>
  <c r="J82" i="24"/>
  <c r="I82" i="24"/>
  <c r="H82" i="25" s="1"/>
  <c r="J293" i="24"/>
  <c r="I293" i="24"/>
  <c r="H293" i="25" s="1"/>
  <c r="J292" i="25"/>
  <c r="I292" i="25"/>
  <c r="J52" i="24"/>
  <c r="I52" i="24"/>
  <c r="H52" i="25" s="1"/>
  <c r="I202" i="24"/>
  <c r="H202" i="25" s="1"/>
  <c r="J202" i="24"/>
  <c r="I138" i="24"/>
  <c r="H138" i="25" s="1"/>
  <c r="J138" i="24"/>
  <c r="I142" i="24"/>
  <c r="H142" i="25" s="1"/>
  <c r="J142" i="24"/>
  <c r="I97" i="24"/>
  <c r="H97" i="25" s="1"/>
  <c r="J97" i="24"/>
  <c r="J337" i="24"/>
  <c r="I337" i="24"/>
  <c r="H337" i="25" s="1"/>
  <c r="I193" i="24"/>
  <c r="H193" i="25" s="1"/>
  <c r="J193" i="24"/>
  <c r="J303" i="24"/>
  <c r="I303" i="24"/>
  <c r="H303" i="25" s="1"/>
  <c r="J165" i="24"/>
  <c r="I165" i="24"/>
  <c r="H165" i="25" s="1"/>
  <c r="I253" i="25"/>
  <c r="J253" i="25"/>
  <c r="I57" i="24"/>
  <c r="H57" i="25" s="1"/>
  <c r="J57" i="24"/>
  <c r="I80" i="24"/>
  <c r="H80" i="25" s="1"/>
  <c r="J80" i="24"/>
  <c r="I83" i="24"/>
  <c r="H83" i="25" s="1"/>
  <c r="J83" i="24"/>
  <c r="J212" i="24"/>
  <c r="I212" i="24"/>
  <c r="H212" i="25" s="1"/>
  <c r="I62" i="25"/>
  <c r="J62" i="25"/>
  <c r="I266" i="24"/>
  <c r="H266" i="25" s="1"/>
  <c r="J266" i="24"/>
  <c r="I256" i="24"/>
  <c r="H256" i="25" s="1"/>
  <c r="J256" i="24"/>
  <c r="I215" i="24"/>
  <c r="H215" i="25" s="1"/>
  <c r="J215" i="24"/>
  <c r="J287" i="24"/>
  <c r="I287" i="24"/>
  <c r="H287" i="25" s="1"/>
  <c r="J131" i="24"/>
  <c r="I131" i="24"/>
  <c r="H131" i="25" s="1"/>
  <c r="J170" i="24"/>
  <c r="I170" i="24"/>
  <c r="H170" i="25" s="1"/>
  <c r="J268" i="25"/>
  <c r="I268" i="25"/>
  <c r="J272" i="25"/>
  <c r="I272" i="25"/>
  <c r="J25" i="25"/>
  <c r="I25" i="25"/>
  <c r="J122" i="24"/>
  <c r="I122" i="24"/>
  <c r="H122" i="25" s="1"/>
  <c r="I148" i="25"/>
  <c r="J148" i="25"/>
  <c r="I364" i="24"/>
  <c r="H364" i="25" s="1"/>
  <c r="J364" i="24"/>
  <c r="I267" i="24"/>
  <c r="H267" i="25" s="1"/>
  <c r="J267" i="24"/>
  <c r="J232" i="24"/>
  <c r="I232" i="24"/>
  <c r="H232" i="25" s="1"/>
  <c r="I101" i="24"/>
  <c r="H101" i="25" s="1"/>
  <c r="J101" i="24"/>
  <c r="I50" i="24"/>
  <c r="H50" i="25" s="1"/>
  <c r="J50" i="24"/>
  <c r="J338" i="24"/>
  <c r="I338" i="24"/>
  <c r="H338" i="25" s="1"/>
  <c r="I360" i="24"/>
  <c r="H360" i="25" s="1"/>
  <c r="J360" i="24"/>
  <c r="I118" i="24"/>
  <c r="H118" i="25" s="1"/>
  <c r="J118" i="24"/>
  <c r="I302" i="24"/>
  <c r="H302" i="25" s="1"/>
  <c r="J302" i="24"/>
  <c r="J342" i="24"/>
  <c r="I342" i="24"/>
  <c r="H342" i="25" s="1"/>
  <c r="I107" i="24"/>
  <c r="H107" i="25" s="1"/>
  <c r="J107" i="24"/>
  <c r="I299" i="24"/>
  <c r="H299" i="25" s="1"/>
  <c r="J299" i="24"/>
  <c r="J214" i="24"/>
  <c r="I214" i="24"/>
  <c r="H214" i="25" s="1"/>
  <c r="J361" i="25"/>
  <c r="I361" i="25"/>
  <c r="J155" i="24"/>
  <c r="I155" i="24"/>
  <c r="H155" i="25" s="1"/>
  <c r="J188" i="25"/>
  <c r="I188" i="25"/>
  <c r="I264" i="24"/>
  <c r="H264" i="25" s="1"/>
  <c r="J264" i="24"/>
  <c r="I318" i="24"/>
  <c r="H318" i="25" s="1"/>
  <c r="J318" i="24"/>
  <c r="J166" i="24"/>
  <c r="I166" i="24"/>
  <c r="H166" i="25" s="1"/>
  <c r="J262" i="24"/>
  <c r="I262" i="24"/>
  <c r="H262" i="25" s="1"/>
  <c r="I34" i="25"/>
  <c r="J34" i="25"/>
  <c r="J376" i="24"/>
  <c r="I74" i="25"/>
  <c r="J74" i="25"/>
  <c r="I46" i="25"/>
  <c r="J46" i="25"/>
  <c r="J120" i="24"/>
  <c r="I120" i="24"/>
  <c r="H120" i="25" s="1"/>
  <c r="J247" i="24"/>
  <c r="I247" i="24"/>
  <c r="H247" i="25" s="1"/>
  <c r="I129" i="24"/>
  <c r="H129" i="25" s="1"/>
  <c r="J129" i="24"/>
  <c r="J175" i="24"/>
  <c r="I175" i="24"/>
  <c r="H175" i="25" s="1"/>
  <c r="I221" i="24"/>
  <c r="H221" i="25" s="1"/>
  <c r="J221" i="24"/>
  <c r="J179" i="24"/>
  <c r="I179" i="24"/>
  <c r="H179" i="25" s="1"/>
  <c r="I28" i="24"/>
  <c r="H28" i="25" s="1"/>
  <c r="J28" i="24"/>
  <c r="J39" i="24"/>
  <c r="I39" i="24"/>
  <c r="H39" i="25" s="1"/>
  <c r="J91" i="24"/>
  <c r="I91" i="24"/>
  <c r="H91" i="25" s="1"/>
  <c r="I276" i="24"/>
  <c r="H276" i="25" s="1"/>
  <c r="J276" i="24"/>
  <c r="J369" i="25"/>
  <c r="I369" i="25"/>
  <c r="I163" i="25" l="1"/>
  <c r="J88" i="25"/>
  <c r="I137" i="24"/>
  <c r="H137" i="25" s="1"/>
  <c r="J137" i="25" s="1"/>
  <c r="J31" i="24"/>
  <c r="J31" i="25" s="1"/>
  <c r="J345" i="25"/>
  <c r="J333" i="24"/>
  <c r="I333" i="24"/>
  <c r="H333" i="25" s="1"/>
  <c r="I203" i="25"/>
  <c r="J236" i="25"/>
  <c r="J365" i="25"/>
  <c r="I233" i="25"/>
  <c r="I345" i="25"/>
  <c r="J44" i="25"/>
  <c r="I91" i="25"/>
  <c r="J91" i="25"/>
  <c r="J179" i="25"/>
  <c r="I179" i="25"/>
  <c r="J247" i="25"/>
  <c r="I247" i="25"/>
  <c r="I120" i="25"/>
  <c r="J120" i="25"/>
  <c r="I376" i="25"/>
  <c r="J376" i="25"/>
  <c r="J262" i="25"/>
  <c r="I262" i="25"/>
  <c r="I166" i="25"/>
  <c r="J166" i="25"/>
  <c r="I155" i="25"/>
  <c r="J155" i="25"/>
  <c r="I214" i="25"/>
  <c r="J214" i="25"/>
  <c r="I342" i="25"/>
  <c r="J342" i="25"/>
  <c r="J338" i="25"/>
  <c r="I338" i="25"/>
  <c r="I232" i="25"/>
  <c r="J232" i="25"/>
  <c r="I122" i="25"/>
  <c r="J122" i="25"/>
  <c r="J170" i="25"/>
  <c r="I170" i="25"/>
  <c r="I131" i="25"/>
  <c r="J131" i="25"/>
  <c r="I287" i="25"/>
  <c r="J287" i="25"/>
  <c r="J212" i="25"/>
  <c r="I212" i="25"/>
  <c r="J165" i="25"/>
  <c r="I165" i="25"/>
  <c r="J303" i="25"/>
  <c r="I303" i="25"/>
  <c r="J337" i="25"/>
  <c r="I337" i="25"/>
  <c r="J52" i="25"/>
  <c r="I52" i="25"/>
  <c r="I293" i="25"/>
  <c r="J293" i="25"/>
  <c r="J82" i="25"/>
  <c r="I82" i="25"/>
  <c r="I284" i="25"/>
  <c r="J284" i="25"/>
  <c r="J254" i="25"/>
  <c r="I254" i="25"/>
  <c r="I178" i="25"/>
  <c r="J178" i="25"/>
  <c r="J211" i="25"/>
  <c r="I211" i="25"/>
  <c r="J327" i="25"/>
  <c r="I327" i="25"/>
  <c r="J130" i="25"/>
  <c r="I130" i="25"/>
  <c r="I271" i="25"/>
  <c r="J271" i="25"/>
  <c r="J106" i="25"/>
  <c r="I106" i="25"/>
  <c r="J285" i="25"/>
  <c r="I285" i="25"/>
  <c r="J230" i="25"/>
  <c r="I230" i="25"/>
  <c r="J94" i="25"/>
  <c r="I94" i="25"/>
  <c r="I240" i="25"/>
  <c r="J240" i="25"/>
  <c r="J228" i="25"/>
  <c r="I228" i="25"/>
  <c r="I116" i="25"/>
  <c r="J116" i="25"/>
  <c r="J357" i="25"/>
  <c r="I357" i="25"/>
  <c r="J78" i="25"/>
  <c r="I78" i="25"/>
  <c r="I136" i="25"/>
  <c r="J136" i="25"/>
  <c r="I181" i="25"/>
  <c r="J181" i="25"/>
  <c r="J93" i="25"/>
  <c r="I93" i="25"/>
  <c r="I249" i="25"/>
  <c r="J249" i="25"/>
  <c r="I363" i="25"/>
  <c r="J363" i="25"/>
  <c r="J30" i="25"/>
  <c r="I30" i="25"/>
  <c r="J58" i="25"/>
  <c r="I58" i="25"/>
  <c r="I81" i="25"/>
  <c r="J81" i="25"/>
  <c r="J172" i="25"/>
  <c r="I172" i="25"/>
  <c r="J227" i="25"/>
  <c r="I227" i="25"/>
  <c r="I45" i="25"/>
  <c r="J45" i="25"/>
  <c r="I49" i="25"/>
  <c r="J49" i="25"/>
  <c r="J213" i="25"/>
  <c r="I213" i="25"/>
  <c r="I38" i="25"/>
  <c r="J38" i="25"/>
  <c r="I70" i="25"/>
  <c r="J70" i="25"/>
  <c r="I132" i="25"/>
  <c r="J132" i="25"/>
  <c r="J84" i="25"/>
  <c r="I84" i="25"/>
  <c r="I192" i="25"/>
  <c r="J192" i="25"/>
  <c r="J358" i="25"/>
  <c r="I358" i="25"/>
  <c r="J33" i="25"/>
  <c r="I33" i="25"/>
  <c r="J222" i="25"/>
  <c r="I222" i="25"/>
  <c r="I216" i="25"/>
  <c r="J216" i="25"/>
  <c r="I377" i="25"/>
  <c r="J377" i="25"/>
  <c r="I379" i="25"/>
  <c r="J379" i="25"/>
  <c r="I100" i="25"/>
  <c r="J100" i="25"/>
  <c r="I42" i="25"/>
  <c r="J42" i="25"/>
  <c r="J237" i="25"/>
  <c r="I237" i="25"/>
  <c r="J372" i="25"/>
  <c r="I372" i="25"/>
  <c r="J308" i="25"/>
  <c r="I308" i="25"/>
  <c r="I341" i="25"/>
  <c r="J341" i="25"/>
  <c r="J66" i="25"/>
  <c r="I66" i="25"/>
  <c r="I113" i="25"/>
  <c r="J113" i="25"/>
  <c r="I40" i="25"/>
  <c r="J40" i="25"/>
  <c r="J252" i="25"/>
  <c r="I252" i="25"/>
  <c r="I103" i="25"/>
  <c r="J103" i="25"/>
  <c r="J235" i="25"/>
  <c r="I235" i="25"/>
  <c r="J246" i="25"/>
  <c r="I246" i="25"/>
  <c r="I241" i="25"/>
  <c r="J241" i="25"/>
  <c r="I47" i="25"/>
  <c r="J47" i="25"/>
  <c r="I280" i="25"/>
  <c r="J280" i="25"/>
  <c r="J330" i="25"/>
  <c r="I330" i="25"/>
  <c r="I48" i="25"/>
  <c r="J48" i="25"/>
  <c r="J43" i="25"/>
  <c r="I43" i="25"/>
  <c r="I297" i="25"/>
  <c r="J297" i="25"/>
  <c r="J312" i="25"/>
  <c r="I312" i="25"/>
  <c r="I182" i="25"/>
  <c r="J182" i="25"/>
  <c r="J332" i="25"/>
  <c r="I332" i="25"/>
  <c r="I277" i="25"/>
  <c r="J277" i="25"/>
  <c r="J362" i="25"/>
  <c r="I362" i="25"/>
  <c r="J56" i="25"/>
  <c r="I56" i="25"/>
  <c r="J346" i="25"/>
  <c r="I346" i="25"/>
  <c r="I200" i="25"/>
  <c r="J200" i="25"/>
  <c r="J180" i="25"/>
  <c r="I180" i="25"/>
  <c r="I183" i="25"/>
  <c r="J183" i="25"/>
  <c r="J279" i="25"/>
  <c r="I279" i="25"/>
  <c r="J219" i="25"/>
  <c r="I219" i="25"/>
  <c r="J69" i="25"/>
  <c r="I69" i="25"/>
  <c r="J164" i="25"/>
  <c r="I164" i="25"/>
  <c r="I55" i="25"/>
  <c r="J55" i="25"/>
  <c r="I105" i="25"/>
  <c r="J105" i="25"/>
  <c r="J278" i="25"/>
  <c r="I278" i="25"/>
  <c r="J270" i="25"/>
  <c r="I270" i="25"/>
  <c r="J99" i="25"/>
  <c r="I99" i="25"/>
  <c r="I177" i="25"/>
  <c r="J177" i="25"/>
  <c r="I375" i="25"/>
  <c r="J375" i="25"/>
  <c r="J331" i="25"/>
  <c r="I331" i="25"/>
  <c r="J353" i="25"/>
  <c r="I353" i="25"/>
  <c r="J210" i="25"/>
  <c r="I210" i="25"/>
  <c r="J323" i="25"/>
  <c r="I323" i="25"/>
  <c r="I152" i="25"/>
  <c r="J152" i="25"/>
  <c r="I134" i="25"/>
  <c r="J134" i="25"/>
  <c r="I354" i="25"/>
  <c r="J354" i="25"/>
  <c r="I189" i="25"/>
  <c r="J189" i="25"/>
  <c r="J298" i="25"/>
  <c r="I298" i="25"/>
  <c r="I64" i="25"/>
  <c r="J64" i="25"/>
  <c r="J151" i="25"/>
  <c r="I151" i="25"/>
  <c r="J190" i="25"/>
  <c r="I190" i="25"/>
  <c r="I32" i="25"/>
  <c r="J32" i="25"/>
  <c r="J141" i="25"/>
  <c r="I141" i="25"/>
  <c r="I229" i="25"/>
  <c r="J229" i="25"/>
  <c r="I255" i="25"/>
  <c r="J255" i="25"/>
  <c r="I243" i="25"/>
  <c r="J243" i="25"/>
  <c r="J286" i="25"/>
  <c r="I286" i="25"/>
  <c r="I29" i="25"/>
  <c r="J29" i="25"/>
  <c r="J208" i="25"/>
  <c r="I208" i="25"/>
  <c r="J294" i="25"/>
  <c r="I294" i="25"/>
  <c r="I123" i="25"/>
  <c r="J123" i="25"/>
  <c r="I23" i="25"/>
  <c r="J23" i="25"/>
  <c r="J37" i="25"/>
  <c r="I37" i="25"/>
  <c r="J154" i="25"/>
  <c r="I154" i="25"/>
  <c r="I168" i="25"/>
  <c r="J168" i="25"/>
  <c r="I209" i="25"/>
  <c r="J209" i="25"/>
  <c r="I39" i="25"/>
  <c r="J39" i="25"/>
  <c r="I175" i="25"/>
  <c r="J175" i="25"/>
  <c r="I276" i="25"/>
  <c r="J276" i="25"/>
  <c r="I28" i="25"/>
  <c r="J28" i="25"/>
  <c r="J221" i="25"/>
  <c r="I221" i="25"/>
  <c r="I129" i="25"/>
  <c r="J129" i="25"/>
  <c r="I318" i="25"/>
  <c r="J318" i="25"/>
  <c r="I264" i="25"/>
  <c r="J264" i="25"/>
  <c r="J299" i="25"/>
  <c r="I299" i="25"/>
  <c r="J107" i="25"/>
  <c r="I107" i="25"/>
  <c r="I302" i="25"/>
  <c r="J302" i="25"/>
  <c r="I118" i="25"/>
  <c r="J118" i="25"/>
  <c r="J360" i="25"/>
  <c r="I360" i="25"/>
  <c r="J50" i="25"/>
  <c r="I50" i="25"/>
  <c r="I101" i="25"/>
  <c r="J101" i="25"/>
  <c r="I267" i="25"/>
  <c r="J267" i="25"/>
  <c r="J364" i="25"/>
  <c r="I364" i="25"/>
  <c r="I215" i="25"/>
  <c r="J215" i="25"/>
  <c r="I256" i="25"/>
  <c r="J256" i="25"/>
  <c r="I266" i="25"/>
  <c r="J266" i="25"/>
  <c r="J83" i="25"/>
  <c r="I83" i="25"/>
  <c r="J80" i="25"/>
  <c r="I80" i="25"/>
  <c r="I57" i="25"/>
  <c r="J57" i="25"/>
  <c r="I193" i="25"/>
  <c r="J193" i="25"/>
  <c r="J97" i="25"/>
  <c r="I97" i="25"/>
  <c r="J142" i="25"/>
  <c r="I142" i="25"/>
  <c r="J138" i="25"/>
  <c r="I138" i="25"/>
  <c r="J202" i="25"/>
  <c r="I202" i="25"/>
  <c r="I305" i="25"/>
  <c r="J305" i="25"/>
  <c r="I95" i="25"/>
  <c r="J95" i="25"/>
  <c r="J16" i="25"/>
  <c r="I16" i="25"/>
  <c r="J336" i="25"/>
  <c r="I336" i="25"/>
  <c r="I146" i="25"/>
  <c r="J146" i="25"/>
  <c r="J242" i="25"/>
  <c r="I242" i="25"/>
  <c r="I20" i="25"/>
  <c r="J20" i="25"/>
  <c r="J281" i="25"/>
  <c r="I281" i="25"/>
  <c r="J329" i="25"/>
  <c r="I329" i="25"/>
  <c r="I96" i="25"/>
  <c r="J96" i="25"/>
  <c r="J306" i="25"/>
  <c r="I306" i="25"/>
  <c r="I238" i="25"/>
  <c r="J238" i="25"/>
  <c r="I340" i="25"/>
  <c r="J340" i="25"/>
  <c r="J304" i="25"/>
  <c r="I304" i="25"/>
  <c r="I19" i="25"/>
  <c r="J19" i="25"/>
  <c r="I307" i="25"/>
  <c r="J307" i="25"/>
  <c r="J368" i="25"/>
  <c r="I368" i="25"/>
  <c r="J68" i="25"/>
  <c r="I68" i="25"/>
  <c r="I301" i="25"/>
  <c r="J301" i="25"/>
  <c r="J51" i="25"/>
  <c r="I51" i="25"/>
  <c r="I359" i="25"/>
  <c r="J359" i="25"/>
  <c r="I231" i="25"/>
  <c r="J231" i="25"/>
  <c r="J135" i="25"/>
  <c r="I135" i="25"/>
  <c r="J259" i="25"/>
  <c r="I259" i="25"/>
  <c r="J300" i="25"/>
  <c r="I300" i="25"/>
  <c r="I126" i="25"/>
  <c r="J126" i="25"/>
  <c r="J257" i="25"/>
  <c r="I257" i="25"/>
  <c r="I117" i="25"/>
  <c r="J117" i="25"/>
  <c r="J316" i="25"/>
  <c r="I316" i="25"/>
  <c r="I17" i="25"/>
  <c r="J17" i="25"/>
  <c r="J153" i="25"/>
  <c r="I153" i="25"/>
  <c r="I344" i="25"/>
  <c r="J344" i="25"/>
  <c r="J265" i="25"/>
  <c r="I265" i="25"/>
  <c r="J59" i="25"/>
  <c r="I59" i="25"/>
  <c r="J269" i="25"/>
  <c r="I269" i="25"/>
  <c r="I18" i="25"/>
  <c r="J18" i="25"/>
  <c r="J320" i="25"/>
  <c r="I320" i="25"/>
  <c r="I248" i="25"/>
  <c r="J248" i="25"/>
  <c r="J335" i="25"/>
  <c r="I335" i="25"/>
  <c r="I161" i="25"/>
  <c r="J161" i="25"/>
  <c r="I313" i="25"/>
  <c r="J313" i="25"/>
  <c r="I197" i="25"/>
  <c r="J197" i="25"/>
  <c r="I63" i="25"/>
  <c r="J63" i="25"/>
  <c r="J158" i="25"/>
  <c r="I158" i="25"/>
  <c r="J324" i="25"/>
  <c r="I324" i="25"/>
  <c r="I127" i="25"/>
  <c r="J127" i="25"/>
  <c r="I195" i="25"/>
  <c r="J195" i="25"/>
  <c r="J224" i="25"/>
  <c r="I224" i="25"/>
  <c r="I366" i="25"/>
  <c r="J366" i="25"/>
  <c r="I326" i="25"/>
  <c r="J326" i="25"/>
  <c r="J351" i="25"/>
  <c r="I351" i="25"/>
  <c r="I244" i="25"/>
  <c r="J244" i="25"/>
  <c r="J110" i="25"/>
  <c r="I110" i="25"/>
  <c r="J174" i="25"/>
  <c r="I174" i="25"/>
  <c r="I258" i="25"/>
  <c r="J258" i="25"/>
  <c r="I288" i="25"/>
  <c r="J288" i="25"/>
  <c r="I140" i="25"/>
  <c r="J140" i="25"/>
  <c r="J167" i="25"/>
  <c r="I167" i="25"/>
  <c r="J319" i="25"/>
  <c r="I319" i="25"/>
  <c r="J41" i="25"/>
  <c r="I41" i="25"/>
  <c r="J343" i="25"/>
  <c r="I343" i="25"/>
  <c r="J290" i="25"/>
  <c r="I290" i="25"/>
  <c r="J111" i="25"/>
  <c r="I111" i="25"/>
  <c r="J204" i="25"/>
  <c r="I204" i="25"/>
  <c r="J367" i="25"/>
  <c r="I367" i="25"/>
  <c r="I79" i="25"/>
  <c r="J79" i="25"/>
  <c r="J139" i="25"/>
  <c r="I139" i="25"/>
  <c r="I149" i="25"/>
  <c r="J149" i="25"/>
  <c r="J225" i="25"/>
  <c r="I225" i="25"/>
  <c r="J36" i="25"/>
  <c r="I36" i="25"/>
  <c r="I26" i="25"/>
  <c r="J26" i="25"/>
  <c r="J108" i="25"/>
  <c r="I108" i="25"/>
  <c r="J92" i="25"/>
  <c r="I92" i="25"/>
  <c r="I348" i="25"/>
  <c r="J348" i="25"/>
  <c r="I260" i="25"/>
  <c r="J260" i="25"/>
  <c r="J147" i="25"/>
  <c r="I147" i="25"/>
  <c r="J315" i="25"/>
  <c r="I315" i="25"/>
  <c r="J72" i="25"/>
  <c r="I72" i="25"/>
  <c r="J54" i="25"/>
  <c r="I54" i="25"/>
  <c r="I27" i="25"/>
  <c r="J27" i="25"/>
  <c r="I35" i="25"/>
  <c r="J35" i="25"/>
  <c r="I226" i="25"/>
  <c r="J226" i="25"/>
  <c r="I239" i="25"/>
  <c r="J239" i="25"/>
  <c r="J321" i="25"/>
  <c r="I321" i="25"/>
  <c r="J207" i="25"/>
  <c r="I207" i="25"/>
  <c r="I104" i="25"/>
  <c r="J104" i="25"/>
  <c r="I370" i="25"/>
  <c r="J370" i="25"/>
  <c r="I157" i="25"/>
  <c r="J157" i="25"/>
  <c r="I199" i="25"/>
  <c r="J199" i="25"/>
  <c r="B381" i="17"/>
  <c r="B382" i="17"/>
  <c r="AJ6" i="17"/>
  <c r="B383" i="17"/>
  <c r="AK6" i="17"/>
  <c r="H9" i="17"/>
  <c r="B14" i="19" s="1"/>
  <c r="D15" i="17"/>
  <c r="AJ5" i="18"/>
  <c r="I137" i="25" l="1"/>
  <c r="I333" i="25"/>
  <c r="J333" i="25"/>
  <c r="E15" i="17"/>
  <c r="AJ9" i="17" s="1"/>
  <c r="AJ7" i="17"/>
  <c r="B382" i="18"/>
  <c r="B381" i="18"/>
  <c r="W15" i="18"/>
  <c r="AJ6" i="18"/>
  <c r="AK6" i="18"/>
  <c r="B383" i="18"/>
  <c r="H9" i="18"/>
  <c r="B15" i="19" s="1"/>
  <c r="D15" i="18"/>
  <c r="AJ7" i="18" s="1"/>
  <c r="AJ10" i="17"/>
  <c r="E9" i="17"/>
  <c r="D382" i="17"/>
  <c r="D383" i="17"/>
  <c r="AJ8" i="17"/>
  <c r="D381" i="17"/>
  <c r="D9" i="17"/>
  <c r="D11" i="17" s="1"/>
  <c r="E38" i="19" s="1"/>
  <c r="B31" i="19" l="1"/>
  <c r="AJ5" i="20"/>
  <c r="AK5" i="20"/>
  <c r="E381" i="17"/>
  <c r="E382" i="17"/>
  <c r="F15" i="17"/>
  <c r="AK10" i="17" s="1"/>
  <c r="AK8" i="17"/>
  <c r="E383" i="17"/>
  <c r="AJ11" i="17"/>
  <c r="AJ12" i="17"/>
  <c r="D383" i="18"/>
  <c r="D9" i="18"/>
  <c r="D11" i="18" s="1"/>
  <c r="D382" i="18"/>
  <c r="D381" i="18"/>
  <c r="AJ8" i="18"/>
  <c r="E15" i="18"/>
  <c r="AJ9" i="18" s="1"/>
  <c r="AJ11" i="18" s="1"/>
  <c r="E11" i="17"/>
  <c r="AK6" i="20"/>
  <c r="AJ6" i="20"/>
  <c r="W15" i="20"/>
  <c r="B382" i="20"/>
  <c r="B383" i="20"/>
  <c r="B381" i="20"/>
  <c r="H9" i="20"/>
  <c r="B16" i="19" s="1"/>
  <c r="D15" i="20"/>
  <c r="AJ7" i="20" s="1"/>
  <c r="AJ5" i="22"/>
  <c r="E39" i="19" l="1"/>
  <c r="C14" i="19"/>
  <c r="F38" i="19"/>
  <c r="F9" i="17"/>
  <c r="F11" i="17" s="1"/>
  <c r="F383" i="17"/>
  <c r="F382" i="17"/>
  <c r="F381" i="17"/>
  <c r="AK12" i="17"/>
  <c r="AK13" i="17" s="1"/>
  <c r="AA15" i="17"/>
  <c r="AL9" i="17" s="1"/>
  <c r="G15" i="17"/>
  <c r="AM10" i="17"/>
  <c r="H15" i="17"/>
  <c r="I15" i="17" s="1"/>
  <c r="AJ13" i="17"/>
  <c r="AL10" i="17"/>
  <c r="AA381" i="17"/>
  <c r="G381" i="17"/>
  <c r="AK6" i="22"/>
  <c r="B382" i="22"/>
  <c r="B381" i="22"/>
  <c r="AJ6" i="22"/>
  <c r="W15" i="22"/>
  <c r="B383" i="22"/>
  <c r="H9" i="22"/>
  <c r="B17" i="19" s="1"/>
  <c r="D15" i="22"/>
  <c r="AJ7" i="22" s="1"/>
  <c r="D382" i="20"/>
  <c r="D383" i="20"/>
  <c r="D381" i="20"/>
  <c r="D9" i="20"/>
  <c r="D11" i="20" s="1"/>
  <c r="AJ8" i="20"/>
  <c r="E15" i="20"/>
  <c r="G14" i="19"/>
  <c r="AJ10" i="18"/>
  <c r="AJ12" i="18" s="1"/>
  <c r="AJ13" i="18" s="1"/>
  <c r="E382" i="18"/>
  <c r="AK8" i="18"/>
  <c r="E381" i="18"/>
  <c r="E383" i="18"/>
  <c r="F15" i="18"/>
  <c r="E9" i="18"/>
  <c r="E11" i="18" s="1"/>
  <c r="E40" i="19" l="1"/>
  <c r="J38" i="19"/>
  <c r="AJ5" i="23"/>
  <c r="AK5" i="23"/>
  <c r="G382" i="17"/>
  <c r="BZ15" i="6"/>
  <c r="D14" i="19"/>
  <c r="G38" i="19"/>
  <c r="C15" i="19"/>
  <c r="C31" i="19" s="1"/>
  <c r="F39" i="19"/>
  <c r="AJ9" i="20"/>
  <c r="AJ11" i="20" s="1"/>
  <c r="AK7" i="20"/>
  <c r="AB9" i="17"/>
  <c r="J15" i="17"/>
  <c r="G383" i="17"/>
  <c r="G12" i="17" s="1"/>
  <c r="W7" i="7" s="1"/>
  <c r="Z15" i="17"/>
  <c r="AL7" i="17" s="1"/>
  <c r="AA9" i="17"/>
  <c r="AM8" i="17"/>
  <c r="AA382" i="17"/>
  <c r="AA383" i="17"/>
  <c r="D381" i="22"/>
  <c r="D383" i="22"/>
  <c r="D382" i="22"/>
  <c r="AJ8" i="22"/>
  <c r="D9" i="22"/>
  <c r="D11" i="22" s="1"/>
  <c r="E15" i="22"/>
  <c r="AJ9" i="22" s="1"/>
  <c r="AJ11" i="22" s="1"/>
  <c r="E14" i="19"/>
  <c r="AM10" i="18"/>
  <c r="AK10" i="18"/>
  <c r="AK12" i="18" s="1"/>
  <c r="AK13" i="18" s="1"/>
  <c r="F382" i="18"/>
  <c r="F381" i="18"/>
  <c r="F383" i="18"/>
  <c r="H15" i="18"/>
  <c r="F9" i="18"/>
  <c r="AA15" i="18"/>
  <c r="AL9" i="18" s="1"/>
  <c r="G15" i="18"/>
  <c r="CA15" i="6" s="1"/>
  <c r="E383" i="20"/>
  <c r="E382" i="20"/>
  <c r="AK8" i="20"/>
  <c r="E381" i="20"/>
  <c r="AJ10" i="20"/>
  <c r="AJ12" i="20" s="1"/>
  <c r="AJ13" i="20" s="1"/>
  <c r="E9" i="20"/>
  <c r="E11" i="20" s="1"/>
  <c r="F15" i="20"/>
  <c r="B382" i="23"/>
  <c r="AJ6" i="23"/>
  <c r="W15" i="23"/>
  <c r="B381" i="23"/>
  <c r="B383" i="23"/>
  <c r="AK6" i="23"/>
  <c r="H9" i="23"/>
  <c r="B18" i="19" s="1"/>
  <c r="D15" i="23"/>
  <c r="AJ7" i="23" s="1"/>
  <c r="AL8" i="17"/>
  <c r="E41" i="19" l="1"/>
  <c r="AK5" i="24"/>
  <c r="AJ5" i="24"/>
  <c r="C16" i="19"/>
  <c r="F40" i="19"/>
  <c r="AM9" i="20"/>
  <c r="AK9" i="20"/>
  <c r="AK11" i="20" s="1"/>
  <c r="Y15" i="17"/>
  <c r="AL5" i="17" s="1"/>
  <c r="AL11" i="17" s="1"/>
  <c r="AJ3" i="17" s="1"/>
  <c r="O14" i="19" s="1"/>
  <c r="M14" i="19" s="1"/>
  <c r="Z381" i="17"/>
  <c r="D7" i="6"/>
  <c r="Z383" i="17"/>
  <c r="Z9" i="17"/>
  <c r="Z382" i="17"/>
  <c r="D382" i="23"/>
  <c r="D381" i="23"/>
  <c r="D383" i="23"/>
  <c r="D9" i="23"/>
  <c r="D11" i="23" s="1"/>
  <c r="AJ8" i="23"/>
  <c r="E15" i="23"/>
  <c r="Y381" i="17"/>
  <c r="AL6" i="17"/>
  <c r="AL12" i="17" s="1"/>
  <c r="B383" i="24"/>
  <c r="B382" i="24"/>
  <c r="AJ6" i="24"/>
  <c r="W15" i="24"/>
  <c r="B381" i="24"/>
  <c r="AK6" i="24"/>
  <c r="H9" i="24"/>
  <c r="B19" i="19" s="1"/>
  <c r="D15" i="24"/>
  <c r="AJ7" i="24" s="1"/>
  <c r="AJ5" i="25"/>
  <c r="G382" i="18"/>
  <c r="G381" i="18"/>
  <c r="G383" i="18"/>
  <c r="G12" i="18" s="1"/>
  <c r="F11" i="18"/>
  <c r="G15" i="19"/>
  <c r="AB9" i="18"/>
  <c r="F14" i="19"/>
  <c r="E383" i="22"/>
  <c r="AJ10" i="22"/>
  <c r="AJ12" i="22" s="1"/>
  <c r="AJ13" i="22" s="1"/>
  <c r="E382" i="22"/>
  <c r="E381" i="22"/>
  <c r="E9" i="22"/>
  <c r="E11" i="22" s="1"/>
  <c r="F15" i="22"/>
  <c r="AK8" i="22"/>
  <c r="AK10" i="20"/>
  <c r="AK12" i="20" s="1"/>
  <c r="F383" i="20"/>
  <c r="F382" i="20"/>
  <c r="F381" i="20"/>
  <c r="AM10" i="20"/>
  <c r="G15" i="20"/>
  <c r="CB15" i="6" s="1"/>
  <c r="F9" i="20"/>
  <c r="AA15" i="20"/>
  <c r="AA383" i="18"/>
  <c r="AA382" i="18"/>
  <c r="AA381" i="18"/>
  <c r="AL10" i="18"/>
  <c r="AA9" i="18"/>
  <c r="AM8" i="18"/>
  <c r="Z15" i="18"/>
  <c r="AL7" i="18" s="1"/>
  <c r="J15" i="18"/>
  <c r="C15" i="6" s="1"/>
  <c r="I15" i="18"/>
  <c r="H15" i="20" l="1"/>
  <c r="I15" i="20" s="1"/>
  <c r="H15" i="22" s="1"/>
  <c r="B15" i="6"/>
  <c r="J39" i="19"/>
  <c r="G31" i="19"/>
  <c r="E42" i="19"/>
  <c r="AJ9" i="23"/>
  <c r="AJ11" i="23" s="1"/>
  <c r="AK7" i="23"/>
  <c r="C17" i="19"/>
  <c r="F41" i="19"/>
  <c r="D15" i="19"/>
  <c r="D31" i="19" s="1"/>
  <c r="G39" i="19"/>
  <c r="Y383" i="17"/>
  <c r="AK13" i="20"/>
  <c r="AL9" i="20"/>
  <c r="AM7" i="20"/>
  <c r="X9" i="17"/>
  <c r="Y11" i="17" s="1"/>
  <c r="AM6" i="17"/>
  <c r="AM12" i="17" s="1"/>
  <c r="AM13" i="17" s="1"/>
  <c r="Y382" i="17"/>
  <c r="J15" i="20"/>
  <c r="AL13" i="17"/>
  <c r="AJ4" i="17"/>
  <c r="P14" i="19" s="1"/>
  <c r="G16" i="19"/>
  <c r="J40" i="19" s="1"/>
  <c r="F11" i="20"/>
  <c r="AB9" i="20"/>
  <c r="E15" i="19"/>
  <c r="E31" i="19" s="1"/>
  <c r="D382" i="24"/>
  <c r="D383" i="24"/>
  <c r="AJ8" i="24"/>
  <c r="D381" i="24"/>
  <c r="D9" i="24"/>
  <c r="D11" i="24" s="1"/>
  <c r="E15" i="24"/>
  <c r="E381" i="23"/>
  <c r="AJ10" i="23"/>
  <c r="AJ12" i="23" s="1"/>
  <c r="E383" i="23"/>
  <c r="E382" i="23"/>
  <c r="E9" i="23"/>
  <c r="E11" i="23" s="1"/>
  <c r="AK8" i="23"/>
  <c r="F15" i="23"/>
  <c r="Z382" i="18"/>
  <c r="Z381" i="18"/>
  <c r="Z9" i="18"/>
  <c r="Z383" i="18"/>
  <c r="AL8" i="18"/>
  <c r="Y15" i="18"/>
  <c r="AL5" i="18" s="1"/>
  <c r="AL11" i="18" s="1"/>
  <c r="AJ3" i="18" s="1"/>
  <c r="O15" i="19" s="1"/>
  <c r="AA381" i="20"/>
  <c r="AA383" i="20"/>
  <c r="AA382" i="20"/>
  <c r="AL10" i="20"/>
  <c r="AM8" i="20"/>
  <c r="AA9" i="20"/>
  <c r="Z15" i="20"/>
  <c r="AL7" i="20" s="1"/>
  <c r="G381" i="20"/>
  <c r="G382" i="20"/>
  <c r="G383" i="20"/>
  <c r="G12" i="20" s="1"/>
  <c r="F383" i="22"/>
  <c r="F382" i="22"/>
  <c r="F381" i="22"/>
  <c r="AK10" i="22"/>
  <c r="AK12" i="22" s="1"/>
  <c r="AK13" i="22" s="1"/>
  <c r="AM10" i="22"/>
  <c r="G15" i="22"/>
  <c r="CC15" i="6" s="1"/>
  <c r="F9" i="22"/>
  <c r="AA15" i="22"/>
  <c r="AL9" i="22" s="1"/>
  <c r="E7" i="6"/>
  <c r="AC7" i="7"/>
  <c r="AJ6" i="25"/>
  <c r="B383" i="25"/>
  <c r="W15" i="25"/>
  <c r="AK6" i="25"/>
  <c r="B381" i="25"/>
  <c r="B382" i="25"/>
  <c r="H9" i="25"/>
  <c r="B20" i="19" s="1"/>
  <c r="D15" i="25"/>
  <c r="AJ7" i="25" s="1"/>
  <c r="AJ13" i="23" l="1"/>
  <c r="E43" i="19"/>
  <c r="AK7" i="24"/>
  <c r="AJ9" i="24"/>
  <c r="AJ11" i="24" s="1"/>
  <c r="M15" i="19"/>
  <c r="AM9" i="23"/>
  <c r="AK9" i="23"/>
  <c r="AK11" i="23" s="1"/>
  <c r="Z11" i="17"/>
  <c r="Z5" i="17" s="1"/>
  <c r="H14" i="19" s="1"/>
  <c r="J14" i="19"/>
  <c r="AK4" i="17"/>
  <c r="R14" i="19" s="1"/>
  <c r="N15" i="19" s="1"/>
  <c r="C18" i="19"/>
  <c r="F42" i="19"/>
  <c r="D16" i="19"/>
  <c r="G40" i="19"/>
  <c r="AA11" i="17"/>
  <c r="AA5" i="17" s="1"/>
  <c r="I14" i="19" s="1"/>
  <c r="D381" i="25"/>
  <c r="D383" i="25"/>
  <c r="D382" i="25"/>
  <c r="D9" i="25"/>
  <c r="D11" i="25" s="1"/>
  <c r="E44" i="19" s="1"/>
  <c r="AJ8" i="25"/>
  <c r="E15" i="25"/>
  <c r="AJ9" i="25" s="1"/>
  <c r="AJ11" i="25" s="1"/>
  <c r="AA383" i="22"/>
  <c r="AL10" i="22"/>
  <c r="AA381" i="22"/>
  <c r="AA382" i="22"/>
  <c r="AA9" i="22"/>
  <c r="AM8" i="22"/>
  <c r="Z15" i="22"/>
  <c r="AL7" i="22" s="1"/>
  <c r="G382" i="22"/>
  <c r="G381" i="22"/>
  <c r="G383" i="22"/>
  <c r="G12" i="22" s="1"/>
  <c r="Z382" i="20"/>
  <c r="Z383" i="20"/>
  <c r="Z381" i="20"/>
  <c r="Z9" i="20"/>
  <c r="Y15" i="20"/>
  <c r="AL8" i="20"/>
  <c r="AM6" i="18"/>
  <c r="AM12" i="18" s="1"/>
  <c r="Y381" i="18"/>
  <c r="Y382" i="18"/>
  <c r="Y383" i="18"/>
  <c r="AL6" i="18"/>
  <c r="AL12" i="18" s="1"/>
  <c r="X9" i="18"/>
  <c r="Y11" i="18" s="1"/>
  <c r="B13" i="6"/>
  <c r="B12" i="6"/>
  <c r="BA15" i="6"/>
  <c r="C12" i="6"/>
  <c r="C13" i="6"/>
  <c r="F382" i="23"/>
  <c r="AK10" i="23"/>
  <c r="AK12" i="23" s="1"/>
  <c r="AM10" i="23"/>
  <c r="F383" i="23"/>
  <c r="F381" i="23"/>
  <c r="G15" i="23"/>
  <c r="CD15" i="6" s="1"/>
  <c r="AA15" i="23"/>
  <c r="F9" i="23"/>
  <c r="B9" i="19"/>
  <c r="G17" i="19"/>
  <c r="J41" i="19" s="1"/>
  <c r="F11" i="22"/>
  <c r="AB9" i="22"/>
  <c r="I15" i="22"/>
  <c r="J15" i="22"/>
  <c r="F7" i="6"/>
  <c r="AI7" i="7"/>
  <c r="E381" i="24"/>
  <c r="E383" i="24"/>
  <c r="AJ10" i="24"/>
  <c r="AJ12" i="24" s="1"/>
  <c r="E382" i="24"/>
  <c r="E9" i="24"/>
  <c r="E11" i="24" s="1"/>
  <c r="F15" i="24"/>
  <c r="AK8" i="24"/>
  <c r="F15" i="19"/>
  <c r="F31" i="19" s="1"/>
  <c r="AJ13" i="24" l="1"/>
  <c r="E33" i="19"/>
  <c r="E16" i="19"/>
  <c r="F16" i="19" s="1"/>
  <c r="H38" i="19"/>
  <c r="I38" i="19"/>
  <c r="AK13" i="23"/>
  <c r="AL9" i="23"/>
  <c r="AM7" i="23"/>
  <c r="C19" i="19"/>
  <c r="F43" i="19"/>
  <c r="D17" i="19"/>
  <c r="G41" i="19"/>
  <c r="AL5" i="20"/>
  <c r="AL11" i="20" s="1"/>
  <c r="AJ3" i="20" s="1"/>
  <c r="O16" i="19" s="1"/>
  <c r="AM5" i="20"/>
  <c r="AM11" i="20" s="1"/>
  <c r="AK3" i="20" s="1"/>
  <c r="Q16" i="19" s="1"/>
  <c r="AK9" i="24"/>
  <c r="AK11" i="24" s="1"/>
  <c r="AM9" i="24"/>
  <c r="E17" i="19"/>
  <c r="AA383" i="23"/>
  <c r="AA382" i="23"/>
  <c r="AL10" i="23"/>
  <c r="AA381" i="23"/>
  <c r="AA9" i="23"/>
  <c r="AM8" i="23"/>
  <c r="Z15" i="23"/>
  <c r="AL7" i="23" s="1"/>
  <c r="G381" i="23"/>
  <c r="G383" i="23"/>
  <c r="G12" i="23" s="1"/>
  <c r="G382" i="23"/>
  <c r="N4" i="6"/>
  <c r="D15" i="6"/>
  <c r="AM13" i="18"/>
  <c r="AK4" i="18"/>
  <c r="R15" i="19" s="1"/>
  <c r="AO7" i="7"/>
  <c r="G7" i="6"/>
  <c r="AJ10" i="25"/>
  <c r="AJ12" i="25" s="1"/>
  <c r="AJ13" i="25" s="1"/>
  <c r="E382" i="25"/>
  <c r="E383" i="25"/>
  <c r="E381" i="25"/>
  <c r="AK8" i="25"/>
  <c r="E9" i="25"/>
  <c r="E11" i="25" s="1"/>
  <c r="F15" i="25"/>
  <c r="F381" i="24"/>
  <c r="F382" i="24"/>
  <c r="F383" i="24"/>
  <c r="AK10" i="24"/>
  <c r="AK12" i="24" s="1"/>
  <c r="AM10" i="24"/>
  <c r="G15" i="24"/>
  <c r="CE15" i="6" s="1"/>
  <c r="AA15" i="24"/>
  <c r="F9" i="24"/>
  <c r="AL13" i="18"/>
  <c r="AJ4" i="18"/>
  <c r="P15" i="19" s="1"/>
  <c r="G18" i="19"/>
  <c r="J42" i="19" s="1"/>
  <c r="F11" i="23"/>
  <c r="AB9" i="23"/>
  <c r="H15" i="23"/>
  <c r="J15" i="19"/>
  <c r="J31" i="19" s="1"/>
  <c r="AA11" i="18"/>
  <c r="AA5" i="18" s="1"/>
  <c r="I15" i="19" s="1"/>
  <c r="I31" i="19" s="1"/>
  <c r="Z11" i="18"/>
  <c r="Z5" i="18" s="1"/>
  <c r="H15" i="19" s="1"/>
  <c r="H31" i="19" s="1"/>
  <c r="AL6" i="20"/>
  <c r="AL12" i="20" s="1"/>
  <c r="AM6" i="20"/>
  <c r="AM12" i="20" s="1"/>
  <c r="Y383" i="20"/>
  <c r="Y382" i="20"/>
  <c r="Y381" i="20"/>
  <c r="X9" i="20"/>
  <c r="Z382" i="22"/>
  <c r="Z381" i="22"/>
  <c r="Z383" i="22"/>
  <c r="Z9" i="22"/>
  <c r="AL8" i="22"/>
  <c r="Y15" i="22"/>
  <c r="AL5" i="22" s="1"/>
  <c r="AL11" i="22" s="1"/>
  <c r="AJ3" i="22" s="1"/>
  <c r="O17" i="19" s="1"/>
  <c r="H39" i="19" l="1"/>
  <c r="I39" i="19"/>
  <c r="AM7" i="24"/>
  <c r="AL9" i="24"/>
  <c r="N16" i="19"/>
  <c r="C20" i="19"/>
  <c r="C9" i="19" s="1"/>
  <c r="F44" i="19"/>
  <c r="F33" i="19" s="1"/>
  <c r="M16" i="19"/>
  <c r="D18" i="19"/>
  <c r="G42" i="19"/>
  <c r="AK13" i="24"/>
  <c r="AL13" i="20"/>
  <c r="AJ4" i="20"/>
  <c r="P16" i="19" s="1"/>
  <c r="Y382" i="22"/>
  <c r="AM6" i="22"/>
  <c r="AM12" i="22" s="1"/>
  <c r="Y383" i="22"/>
  <c r="AL6" i="22"/>
  <c r="AL12" i="22" s="1"/>
  <c r="Y381" i="22"/>
  <c r="X9" i="22"/>
  <c r="J16" i="19"/>
  <c r="AA11" i="20"/>
  <c r="AA5" i="20" s="1"/>
  <c r="I16" i="19" s="1"/>
  <c r="Z11" i="20"/>
  <c r="Z5" i="20" s="1"/>
  <c r="H16" i="19" s="1"/>
  <c r="B32" i="19" s="1"/>
  <c r="AM13" i="20"/>
  <c r="AK4" i="20"/>
  <c r="R16" i="19" s="1"/>
  <c r="G19" i="19"/>
  <c r="J43" i="19" s="1"/>
  <c r="F11" i="24"/>
  <c r="AB9" i="24"/>
  <c r="G381" i="24"/>
  <c r="G382" i="24"/>
  <c r="G383" i="24"/>
  <c r="G12" i="24" s="1"/>
  <c r="I15" i="23"/>
  <c r="J15" i="23"/>
  <c r="AL10" i="24"/>
  <c r="AA383" i="24"/>
  <c r="AA381" i="24"/>
  <c r="AA382" i="24"/>
  <c r="AA9" i="24"/>
  <c r="Z15" i="24"/>
  <c r="AL7" i="24" s="1"/>
  <c r="AM8" i="24"/>
  <c r="F383" i="25"/>
  <c r="F381" i="25"/>
  <c r="AM10" i="25"/>
  <c r="F382" i="25"/>
  <c r="AK10" i="25"/>
  <c r="AK12" i="25" s="1"/>
  <c r="AK13" i="25" s="1"/>
  <c r="G15" i="25"/>
  <c r="CF15" i="6" s="1"/>
  <c r="J2" i="6" s="1"/>
  <c r="AA15" i="25"/>
  <c r="AL9" i="25" s="1"/>
  <c r="F9" i="25"/>
  <c r="Y11" i="20"/>
  <c r="D13" i="6"/>
  <c r="D12" i="6"/>
  <c r="F17" i="19"/>
  <c r="H7" i="6"/>
  <c r="AU7" i="7"/>
  <c r="Z382" i="23"/>
  <c r="Z383" i="23"/>
  <c r="Z381" i="23"/>
  <c r="Z9" i="23"/>
  <c r="Y15" i="23"/>
  <c r="AL8" i="23"/>
  <c r="H40" i="19" l="1"/>
  <c r="I40" i="19"/>
  <c r="E18" i="19"/>
  <c r="F18" i="19" s="1"/>
  <c r="AL5" i="23"/>
  <c r="AL11" i="23" s="1"/>
  <c r="AJ3" i="23" s="1"/>
  <c r="O18" i="19" s="1"/>
  <c r="AM5" i="23"/>
  <c r="AM11" i="23" s="1"/>
  <c r="AK3" i="23" s="1"/>
  <c r="Q18" i="19" s="1"/>
  <c r="N17" i="19"/>
  <c r="M17" i="19"/>
  <c r="D19" i="19"/>
  <c r="G43" i="19"/>
  <c r="Y383" i="23"/>
  <c r="Y382" i="23"/>
  <c r="Y381" i="23"/>
  <c r="AL6" i="23"/>
  <c r="AL12" i="23" s="1"/>
  <c r="AM6" i="23"/>
  <c r="AM12" i="23" s="1"/>
  <c r="X9" i="23"/>
  <c r="Y11" i="23" s="1"/>
  <c r="AA382" i="25"/>
  <c r="AA383" i="25"/>
  <c r="AL10" i="25"/>
  <c r="AA381" i="25"/>
  <c r="Z15" i="25"/>
  <c r="AL7" i="25" s="1"/>
  <c r="AM8" i="25"/>
  <c r="AA9" i="25"/>
  <c r="G381" i="25"/>
  <c r="G382" i="25"/>
  <c r="G383" i="25"/>
  <c r="G12" i="25" s="1"/>
  <c r="AL13" i="22"/>
  <c r="AJ4" i="22"/>
  <c r="P17" i="19" s="1"/>
  <c r="BA7" i="7"/>
  <c r="I7" i="6"/>
  <c r="J17" i="19"/>
  <c r="AA11" i="22"/>
  <c r="AA5" i="22" s="1"/>
  <c r="I17" i="19" s="1"/>
  <c r="AM13" i="22"/>
  <c r="AK4" i="22"/>
  <c r="R17" i="19" s="1"/>
  <c r="G20" i="19"/>
  <c r="F11" i="25"/>
  <c r="AB9" i="25"/>
  <c r="Z383" i="24"/>
  <c r="Z382" i="24"/>
  <c r="Z381" i="24"/>
  <c r="Z9" i="24"/>
  <c r="Y15" i="24"/>
  <c r="AL8" i="24"/>
  <c r="H15" i="24"/>
  <c r="Z11" i="22"/>
  <c r="Z5" i="22" s="1"/>
  <c r="H17" i="19" s="1"/>
  <c r="Y11" i="22"/>
  <c r="H41" i="19" l="1"/>
  <c r="I41" i="19"/>
  <c r="E19" i="19"/>
  <c r="F19" i="19" s="1"/>
  <c r="AM5" i="24"/>
  <c r="AM11" i="24" s="1"/>
  <c r="AK3" i="24" s="1"/>
  <c r="Q19" i="19" s="1"/>
  <c r="AL5" i="24"/>
  <c r="AL11" i="24" s="1"/>
  <c r="AJ3" i="24" s="1"/>
  <c r="O19" i="19" s="1"/>
  <c r="M18" i="19"/>
  <c r="N18" i="19"/>
  <c r="D20" i="19"/>
  <c r="D9" i="19" s="1"/>
  <c r="G44" i="19"/>
  <c r="G33" i="19" s="1"/>
  <c r="J44" i="19"/>
  <c r="J33" i="19" s="1"/>
  <c r="J18" i="19"/>
  <c r="AA11" i="23"/>
  <c r="AA5" i="23" s="1"/>
  <c r="I18" i="19" s="1"/>
  <c r="Z11" i="23"/>
  <c r="Z5" i="23" s="1"/>
  <c r="H18" i="19" s="1"/>
  <c r="J15" i="24"/>
  <c r="I15" i="24"/>
  <c r="G9" i="19"/>
  <c r="J7" i="6"/>
  <c r="BG7" i="7"/>
  <c r="Y382" i="24"/>
  <c r="AM6" i="24"/>
  <c r="AM12" i="24" s="1"/>
  <c r="Y383" i="24"/>
  <c r="AL6" i="24"/>
  <c r="AL12" i="24" s="1"/>
  <c r="Y381" i="24"/>
  <c r="X9" i="24"/>
  <c r="Z11" i="24" s="1"/>
  <c r="Z5" i="24" s="1"/>
  <c r="H19" i="19" s="1"/>
  <c r="AJ4" i="23"/>
  <c r="P18" i="19" s="1"/>
  <c r="AL13" i="23"/>
  <c r="Z381" i="25"/>
  <c r="Z383" i="25"/>
  <c r="Z382" i="25"/>
  <c r="AL8" i="25"/>
  <c r="Z9" i="25"/>
  <c r="Y15" i="25"/>
  <c r="AL5" i="25" s="1"/>
  <c r="AL11" i="25" s="1"/>
  <c r="AJ3" i="25" s="1"/>
  <c r="O20" i="19" s="1"/>
  <c r="AM13" i="23"/>
  <c r="AK4" i="23"/>
  <c r="R18" i="19" s="1"/>
  <c r="H42" i="19" l="1"/>
  <c r="H43" i="19"/>
  <c r="I42" i="19"/>
  <c r="M19" i="19"/>
  <c r="N19" i="19"/>
  <c r="E20" i="19"/>
  <c r="F20" i="19" s="1"/>
  <c r="AM6" i="25"/>
  <c r="AM12" i="25" s="1"/>
  <c r="Y382" i="25"/>
  <c r="Y383" i="25"/>
  <c r="Y381" i="25"/>
  <c r="AL6" i="25"/>
  <c r="AL12" i="25" s="1"/>
  <c r="X9" i="25"/>
  <c r="Y11" i="25" s="1"/>
  <c r="AL13" i="24"/>
  <c r="AJ4" i="24"/>
  <c r="P19" i="19" s="1"/>
  <c r="M20" i="19" s="1"/>
  <c r="J19" i="19"/>
  <c r="AA11" i="24"/>
  <c r="AA5" i="24" s="1"/>
  <c r="I19" i="19" s="1"/>
  <c r="AK4" i="24"/>
  <c r="R19" i="19" s="1"/>
  <c r="N20" i="19" s="1"/>
  <c r="AM13" i="24"/>
  <c r="Y11" i="24"/>
  <c r="H15" i="25"/>
  <c r="I43" i="19" l="1"/>
  <c r="E9" i="19"/>
  <c r="AL13" i="25"/>
  <c r="AJ4" i="25"/>
  <c r="P20" i="19" s="1"/>
  <c r="F9" i="19"/>
  <c r="J20" i="19"/>
  <c r="J9" i="19" s="1"/>
  <c r="AA11" i="25"/>
  <c r="AA5" i="25" s="1"/>
  <c r="I20" i="19" s="1"/>
  <c r="I44" i="19" s="1"/>
  <c r="Z11" i="25"/>
  <c r="Z5" i="25" s="1"/>
  <c r="H20" i="19" s="1"/>
  <c r="I15" i="25"/>
  <c r="J15" i="25"/>
  <c r="AM13" i="25"/>
  <c r="AK4" i="25"/>
  <c r="R20" i="19" s="1"/>
  <c r="O34" i="19" l="1"/>
  <c r="O36" i="19"/>
  <c r="N36" i="19" s="1"/>
  <c r="O33" i="19"/>
  <c r="N33" i="19" s="1"/>
  <c r="O35" i="19"/>
  <c r="N35" i="19" s="1"/>
  <c r="H44" i="19"/>
  <c r="H33" i="19" s="1"/>
  <c r="I33" i="19"/>
  <c r="H9" i="19"/>
  <c r="I9" i="19"/>
  <c r="J380" i="15"/>
  <c r="J381" i="15" s="1"/>
  <c r="I380" i="15"/>
  <c r="I382" i="15" s="1"/>
  <c r="O32" i="19" l="1"/>
  <c r="N34" i="19"/>
  <c r="N32" i="19" s="1"/>
  <c r="J382" i="15"/>
  <c r="J383" i="15"/>
  <c r="I383" i="15"/>
  <c r="H380" i="16"/>
  <c r="I381" i="15"/>
  <c r="J380" i="16" l="1"/>
  <c r="I380" i="16"/>
  <c r="I383" i="16" l="1"/>
  <c r="H380" i="17"/>
  <c r="I381" i="16"/>
  <c r="I382" i="16"/>
  <c r="J381" i="16"/>
  <c r="J383" i="16"/>
  <c r="J382" i="16"/>
  <c r="J380" i="17" l="1"/>
  <c r="I380" i="17"/>
  <c r="J382" i="17" l="1"/>
  <c r="J381" i="17"/>
  <c r="J383" i="17"/>
  <c r="I382" i="17"/>
  <c r="I383" i="17"/>
  <c r="H380" i="18"/>
  <c r="I381" i="17"/>
  <c r="J380" i="18" l="1"/>
  <c r="C380" i="6" s="1"/>
  <c r="I380" i="18"/>
  <c r="B380" i="6" s="1"/>
  <c r="I382" i="18" l="1"/>
  <c r="I381" i="18"/>
  <c r="BA380" i="6"/>
  <c r="I383" i="18"/>
  <c r="H380" i="20"/>
  <c r="J382" i="18"/>
  <c r="J383" i="18"/>
  <c r="J381" i="18"/>
  <c r="I380" i="20" l="1"/>
  <c r="J380" i="20"/>
  <c r="D380" i="6"/>
  <c r="AM4" i="6"/>
  <c r="J383" i="20" l="1"/>
  <c r="J382" i="20"/>
  <c r="J381" i="20"/>
  <c r="I382" i="20"/>
  <c r="I383" i="20"/>
  <c r="I381" i="20"/>
  <c r="H380" i="22"/>
  <c r="I380" i="22" l="1"/>
  <c r="J380" i="22"/>
  <c r="J382" i="22" l="1"/>
  <c r="J381" i="22"/>
  <c r="J383" i="22"/>
  <c r="I383" i="22"/>
  <c r="I381" i="22"/>
  <c r="I382" i="22"/>
  <c r="H380" i="23"/>
  <c r="I380" i="23" l="1"/>
  <c r="J380" i="23"/>
  <c r="J382" i="23" l="1"/>
  <c r="J383" i="23"/>
  <c r="J381" i="23"/>
  <c r="I381" i="23"/>
  <c r="I382" i="23"/>
  <c r="I383" i="23"/>
  <c r="H380" i="24"/>
  <c r="I380" i="24" l="1"/>
  <c r="J380" i="24"/>
  <c r="J383" i="24" l="1"/>
  <c r="J382" i="24"/>
  <c r="J381" i="24"/>
  <c r="I382" i="24"/>
  <c r="I383" i="24"/>
  <c r="I381" i="24"/>
  <c r="H380" i="25"/>
  <c r="J380" i="25" l="1"/>
  <c r="I380" i="25"/>
  <c r="I382" i="25" l="1"/>
  <c r="I381" i="25"/>
  <c r="I383" i="25"/>
  <c r="J383" i="25"/>
  <c r="J382" i="25"/>
  <c r="J381" i="25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  <author>Eric 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45" authorId="1" shapeId="0">
      <text>
        <r>
          <rPr>
            <sz val="9"/>
            <color indexed="81"/>
            <rFont val="Tahoma"/>
            <family val="2"/>
          </rPr>
          <t>Pose PV terminée</t>
        </r>
      </text>
    </comment>
    <comment ref="A84" authorId="0" shapeId="0">
      <text>
        <r>
          <rPr>
            <sz val="9"/>
            <color indexed="81"/>
            <rFont val="Tahoma"/>
            <family val="2"/>
          </rPr>
          <t>Date de Mise en service ENEDIS et de programmation onduleur et début affichage sur le site SE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sharedStrings.xml><?xml version="1.0" encoding="utf-8"?>
<sst xmlns="http://schemas.openxmlformats.org/spreadsheetml/2006/main" count="2108" uniqueCount="366">
  <si>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</si>
  <si>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</si>
  <si>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</si>
  <si>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</si>
  <si>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</si>
  <si>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</si>
  <si>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</si>
  <si>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</si>
  <si>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</si>
  <si>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</si>
  <si>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</si>
  <si>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</si>
  <si>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</si>
  <si>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</si>
  <si>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</si>
  <si>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</si>
  <si>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</si>
  <si>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</si>
  <si>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</si>
  <si>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</si>
  <si>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</si>
  <si>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</si>
  <si>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</si>
  <si>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</si>
  <si>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</si>
  <si>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</si>
  <si>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</si>
  <si>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</si>
  <si>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</si>
  <si>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</si>
  <si>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</si>
  <si>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</si>
  <si>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</si>
  <si>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</si>
  <si>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</si>
  <si>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</si>
  <si>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</si>
  <si>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</si>
  <si>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</si>
  <si>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</si>
  <si>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</si>
  <si>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</si>
  <si>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</si>
  <si>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</si>
  <si>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</si>
  <si>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</si>
  <si>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</si>
  <si>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</si>
  <si>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</si>
  <si>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</si>
  <si>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</si>
  <si>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</si>
  <si>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</si>
  <si>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</si>
  <si>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</si>
  <si>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</si>
  <si>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</si>
  <si>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</si>
  <si>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</si>
  <si>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</si>
  <si>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</si>
  <si>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</si>
  <si>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</si>
  <si>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</si>
  <si>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</si>
  <si>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</si>
  <si>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</si>
  <si>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</si>
  <si>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</si>
  <si>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</si>
  <si>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</si>
  <si>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</si>
  <si>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</si>
  <si>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</si>
  <si>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</si>
  <si>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</si>
  <si>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</si>
  <si>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</si>
  <si>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</si>
  <si>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</si>
  <si>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</si>
  <si>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</si>
  <si>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</si>
  <si>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</si>
  <si>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</si>
  <si>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</si>
  <si>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</si>
  <si>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</si>
  <si>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</si>
  <si>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</si>
  <si>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</si>
  <si>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</si>
  <si>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</si>
  <si>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</si>
  <si>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</si>
  <si>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</si>
  <si>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</si>
  <si>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</si>
  <si>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</si>
  <si>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</si>
  <si>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</si>
  <si>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</si>
  <si>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</si>
  <si>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</si>
  <si>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</si>
  <si>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</si>
  <si>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</si>
  <si>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</si>
  <si>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</si>
  <si>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</si>
  <si>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</si>
  <si>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</si>
  <si>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</si>
  <si>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</si>
  <si>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</si>
  <si>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</si>
  <si>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</si>
  <si>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</si>
  <si>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</si>
  <si>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</si>
  <si>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</si>
  <si>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</si>
  <si>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</si>
  <si>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</si>
  <si>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</si>
  <si>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</si>
  <si>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</si>
  <si>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</si>
  <si>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</si>
  <si>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</si>
  <si>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</si>
  <si>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</si>
  <si>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</si>
  <si>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</si>
  <si>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</si>
  <si>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</si>
  <si>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</si>
  <si>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</si>
  <si>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</si>
  <si>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</si>
  <si>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</si>
  <si>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</si>
  <si>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</si>
  <si>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</si>
  <si>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</si>
  <si>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</si>
  <si>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</si>
  <si>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</si>
  <si>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</si>
  <si>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</si>
  <si>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</si>
  <si>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</si>
  <si>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</si>
  <si>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</si>
  <si>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</si>
  <si>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</si>
  <si>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2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</si>
  <si>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</si>
  <si>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</si>
  <si>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</si>
  <si>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</si>
  <si>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</si>
  <si>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</si>
  <si>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</si>
  <si>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</si>
  <si>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</si>
  <si>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</si>
  <si>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</si>
  <si>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</si>
  <si>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</si>
  <si>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</si>
  <si>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</si>
  <si>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</si>
  <si>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</si>
  <si>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</si>
  <si>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</si>
  <si>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</si>
  <si>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</si>
  <si>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</si>
  <si>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</si>
  <si>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</si>
  <si>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</si>
  <si>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</si>
  <si>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</si>
  <si>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</si>
  <si>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</si>
  <si>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</si>
  <si>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</si>
  <si>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</si>
  <si>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</si>
  <si>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</si>
  <si>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</si>
  <si>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</si>
  <si>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</si>
  <si>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</si>
  <si>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</si>
  <si>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</si>
  <si>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</si>
  <si>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</si>
  <si>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</si>
  <si>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</si>
  <si>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</si>
  <si>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</si>
  <si>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</si>
  <si>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</si>
  <si>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</si>
  <si>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</si>
  <si>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</si>
  <si>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</si>
  <si>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</si>
  <si>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</si>
  <si>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</si>
  <si>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</si>
  <si>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</si>
  <si>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</si>
  <si>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</si>
  <si>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</si>
  <si>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</si>
  <si>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</si>
  <si>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</si>
  <si>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</si>
  <si>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</si>
  <si>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</si>
  <si>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</si>
  <si>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</si>
  <si>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</si>
  <si>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</si>
  <si>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</si>
  <si>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</si>
  <si>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</si>
  <si>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</si>
  <si>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</si>
  <si>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</si>
  <si>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</si>
  <si>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</si>
  <si>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</si>
  <si>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</si>
  <si>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</si>
  <si>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</si>
  <si>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</si>
  <si>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</si>
  <si>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</si>
  <si>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</si>
  <si>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</si>
  <si>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</si>
  <si>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</si>
  <si>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</si>
  <si>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</si>
  <si>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</si>
  <si>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</si>
  <si>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</si>
  <si>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</si>
  <si>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</si>
  <si>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</si>
  <si>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</si>
  <si>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</si>
  <si>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</si>
  <si>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</si>
  <si>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</si>
  <si>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</si>
  <si>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</si>
  <si>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</si>
  <si>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</si>
  <si>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</si>
  <si>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</si>
  <si>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</si>
  <si>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</si>
  <si>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</si>
  <si>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</si>
  <si>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</si>
  <si>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</si>
  <si>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</si>
  <si>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</si>
  <si>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</si>
  <si>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</si>
  <si>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</si>
  <si>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</si>
  <si>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</si>
  <si>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</si>
  <si>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</si>
  <si>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</si>
  <si>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</si>
  <si>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n° zone:</t>
  </si>
  <si>
    <t>Shift G/D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</si>
  <si>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</si>
  <si>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</si>
  <si>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</si>
  <si>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</si>
  <si>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</si>
  <si>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</si>
  <si>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</si>
  <si>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</si>
  <si>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</si>
  <si>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</si>
  <si>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Centre du champ PV G.:</t>
  </si>
  <si>
    <t>Centre du champ PV D.:</t>
  </si>
  <si>
    <t>/ Pousse en hauteur initiale</t>
  </si>
  <si>
    <t>Référence pousse en hauteur:</t>
  </si>
  <si>
    <t>Gauche/Centre/ Droit:</t>
  </si>
  <si>
    <t>Azimut(s) G &amp; D:</t>
  </si>
  <si>
    <t>Calibration rapports d'angle/H photos</t>
  </si>
  <si>
    <t>Coord. UTM 31 Géoportail</t>
  </si>
  <si>
    <t>Hauteur champ PV sélectionnée: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</si>
  <si>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</si>
  <si>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</si>
  <si>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</si>
  <si>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</si>
  <si>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</si>
  <si>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</si>
  <si>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</si>
  <si>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</si>
  <si>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</si>
  <si>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</si>
  <si>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</si>
  <si>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</si>
  <si>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Actif</t>
  </si>
  <si>
    <t>Zone1</t>
  </si>
  <si>
    <t>Zone 2</t>
  </si>
  <si>
    <t>Zone 3</t>
  </si>
  <si>
    <t>Zone 4</t>
  </si>
  <si>
    <t>Formule de division linéaire de la mesure (angles &lt;10°)</t>
  </si>
  <si>
    <t>Date de relevés hauteurs (ref. 0m):</t>
  </si>
  <si>
    <t>Arbre 7</t>
  </si>
  <si>
    <t>Arbre 8</t>
  </si>
  <si>
    <t>Esp. Berjean Escalquens</t>
  </si>
  <si>
    <t>Arbre 3</t>
  </si>
  <si>
    <t>Arbre 1</t>
  </si>
  <si>
    <t>Arbre 9</t>
  </si>
  <si>
    <t>Arbre 10</t>
  </si>
  <si>
    <t>Arbre 11</t>
  </si>
  <si>
    <t>Arbre 12</t>
  </si>
  <si>
    <t>Arbre 13</t>
  </si>
  <si>
    <t>Toit G</t>
  </si>
  <si>
    <t>Toit D</t>
  </si>
  <si>
    <t>2022-01 Escalq Berjean Face.jpg</t>
  </si>
  <si>
    <t>2022-01 Escalq Berjean</t>
  </si>
  <si>
    <t>Hauteur 0 = Sol Berjean</t>
  </si>
  <si>
    <t>Panneau  Face Berjean</t>
  </si>
  <si>
    <t>Parking Face  Berjean</t>
  </si>
  <si>
    <t>Entrée Berjean porte ouest</t>
  </si>
  <si>
    <t>G</t>
  </si>
  <si>
    <t>I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</si>
  <si>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</si>
  <si>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</si>
  <si>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</si>
  <si>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</si>
  <si>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</si>
  <si>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</si>
  <si>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</si>
  <si>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</si>
  <si>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</si>
  <si>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</si>
  <si>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</si>
  <si>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Compilation Ratios /MaxiM</t>
  </si>
  <si>
    <t>Moyenne ratios forte prod. &gt;0,97 :</t>
  </si>
  <si>
    <t>periode net</t>
  </si>
  <si>
    <t>gain par an</t>
  </si>
  <si>
    <t>moyennes annuelles</t>
  </si>
  <si>
    <t>Gains depuis le "début" ou depuis dernière "action":</t>
  </si>
  <si>
    <t>action</t>
  </si>
  <si>
    <t>Cumul 23</t>
  </si>
  <si>
    <t>24 hors net</t>
  </si>
  <si>
    <t>A la nouvelle année changer la référence de feuille annuelle (+1) dans colonnes 'B' et 'C'</t>
  </si>
  <si>
    <t>Figer en fin d'année les données production</t>
  </si>
  <si>
    <r>
      <t xml:space="preserve">kW /jour </t>
    </r>
    <r>
      <rPr>
        <sz val="10"/>
        <rFont val="Calibri"/>
        <family val="2"/>
        <scheme val="minor"/>
      </rPr>
      <t>produit</t>
    </r>
  </si>
  <si>
    <t>kW /jour projeté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</si>
</sst>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8"/>
      <color theme="9" tint="-0.499984740745262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290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5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5" fillId="0" borderId="26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0" fontId="110" fillId="0" borderId="0" xfId="0" applyFont="1" applyProtection="1"/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1" fillId="0" borderId="28" xfId="0" applyNumberFormat="1" applyFont="1" applyFill="1" applyBorder="1" applyProtection="1">
      <protection locked="0"/>
    </xf>
    <xf numFmtId="0" fontId="111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9" fontId="66" fillId="0" borderId="19" xfId="33" applyFont="1" applyBorder="1" applyAlignment="1" applyProtection="1">
      <alignment horizontal="center" vertical="center"/>
      <protection locked="0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6" xfId="33" applyNumberFormat="1" applyFont="1" applyBorder="1" applyAlignment="1" applyProtection="1">
      <alignment horizontal="center"/>
      <protection locked="0"/>
    </xf>
    <xf numFmtId="167" fontId="104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2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1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3" fillId="0" borderId="13" xfId="0" applyNumberFormat="1" applyFont="1" applyBorder="1" applyAlignment="1" applyProtection="1">
      <alignment horizontal="center"/>
    </xf>
    <xf numFmtId="1" fontId="113" fillId="0" borderId="11" xfId="0" applyNumberFormat="1" applyFont="1" applyBorder="1" applyAlignment="1" applyProtection="1">
      <alignment horizontal="center"/>
    </xf>
    <xf numFmtId="1" fontId="113" fillId="0" borderId="2" xfId="0" applyNumberFormat="1" applyFont="1" applyBorder="1" applyAlignment="1" applyProtection="1">
      <alignment horizontal="center"/>
    </xf>
    <xf numFmtId="1" fontId="113" fillId="0" borderId="10" xfId="0" applyNumberFormat="1" applyFont="1" applyBorder="1" applyAlignment="1" applyProtection="1">
      <alignment horizontal="center"/>
    </xf>
    <xf numFmtId="1" fontId="113" fillId="0" borderId="17" xfId="0" applyNumberFormat="1" applyFont="1" applyBorder="1" applyAlignment="1" applyProtection="1">
      <alignment horizontal="center"/>
    </xf>
    <xf numFmtId="1" fontId="113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4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5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15" fontId="117" fillId="0" borderId="0" xfId="0" applyNumberFormat="1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7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95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2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179" fontId="95" fillId="0" borderId="37" xfId="0" applyNumberFormat="1" applyFont="1" applyBorder="1" applyAlignment="1" applyProtection="1">
      <alignment horizontal="center"/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95" fillId="0" borderId="41" xfId="0" applyFont="1" applyBorder="1" applyAlignment="1" applyProtection="1">
      <alignment horizontal="center"/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179" fontId="95" fillId="0" borderId="0" xfId="0" applyNumberFormat="1" applyFont="1" applyBorder="1" applyAlignment="1" applyProtection="1">
      <alignment horizontal="center"/>
      <protection locked="0"/>
    </xf>
    <xf numFmtId="0" fontId="114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4" fillId="0" borderId="42" xfId="0" applyFont="1" applyBorder="1" applyAlignment="1" applyProtection="1">
      <alignment horizontal="right"/>
      <protection locked="0"/>
    </xf>
    <xf numFmtId="0" fontId="95" fillId="0" borderId="43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95" fillId="0" borderId="1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95" fillId="0" borderId="47" xfId="0" applyNumberFormat="1" applyFont="1" applyBorder="1" applyAlignment="1" applyProtection="1">
      <alignment horizontal="right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8" fillId="33" borderId="7" xfId="0" applyNumberFormat="1" applyFont="1" applyFill="1" applyBorder="1" applyAlignment="1" applyProtection="1">
      <alignment horizontal="center"/>
      <protection locked="0"/>
    </xf>
    <xf numFmtId="179" fontId="38" fillId="33" borderId="8" xfId="0" applyNumberFormat="1" applyFont="1" applyFill="1" applyBorder="1" applyAlignment="1" applyProtection="1">
      <alignment horizontal="center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79" fontId="37" fillId="33" borderId="6" xfId="0" applyNumberFormat="1" applyFont="1" applyFill="1" applyBorder="1" applyAlignment="1" applyProtection="1">
      <alignment horizontal="center"/>
      <protection locked="0"/>
    </xf>
    <xf numFmtId="1" fontId="95" fillId="0" borderId="49" xfId="0" applyNumberFormat="1" applyFont="1" applyBorder="1" applyAlignment="1" applyProtection="1">
      <alignment horizontal="right"/>
      <protection locked="0"/>
    </xf>
    <xf numFmtId="179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13" xfId="0" applyNumberFormat="1" applyFont="1" applyBorder="1" applyProtection="1">
      <protection locked="0"/>
    </xf>
    <xf numFmtId="179" fontId="63" fillId="33" borderId="5" xfId="0" applyNumberFormat="1" applyFont="1" applyFill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179" fontId="63" fillId="33" borderId="0" xfId="0" applyNumberFormat="1" applyFont="1" applyFill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2" fontId="86" fillId="0" borderId="1" xfId="0" applyNumberFormat="1" applyFont="1" applyBorder="1" applyAlignment="1" applyProtection="1">
      <alignment horizontal="center"/>
      <protection locked="0"/>
    </xf>
    <xf numFmtId="179" fontId="63" fillId="33" borderId="1" xfId="0" applyNumberFormat="1" applyFont="1" applyFill="1" applyBorder="1" applyProtection="1"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4" fillId="0" borderId="48" xfId="0" applyFont="1" applyBorder="1" applyAlignment="1" applyProtection="1">
      <alignment horizontal="right"/>
      <protection locked="0"/>
    </xf>
    <xf numFmtId="0" fontId="95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95" fillId="0" borderId="5" xfId="0" applyNumberFormat="1" applyFont="1" applyBorder="1" applyAlignment="1" applyProtection="1">
      <alignment horizontal="center"/>
      <protection locked="0"/>
    </xf>
    <xf numFmtId="1" fontId="95" fillId="0" borderId="50" xfId="0" applyNumberFormat="1" applyFont="1" applyBorder="1" applyAlignment="1" applyProtection="1">
      <alignment horizontal="right"/>
      <protection locked="0"/>
    </xf>
    <xf numFmtId="0" fontId="26" fillId="0" borderId="0" xfId="0" applyFont="1"/>
    <xf numFmtId="0" fontId="36" fillId="0" borderId="0" xfId="0" applyFont="1"/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5" xfId="0" applyFont="1" applyFill="1" applyBorder="1" applyAlignment="1" applyProtection="1"/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9" fontId="95" fillId="0" borderId="20" xfId="33" applyFont="1" applyBorder="1" applyAlignment="1" applyProtection="1">
      <alignment horizontal="center"/>
      <protection locked="0"/>
    </xf>
    <xf numFmtId="9" fontId="95" fillId="0" borderId="21" xfId="33" applyFont="1" applyBorder="1" applyAlignment="1" applyProtection="1">
      <alignment horizontal="center"/>
      <protection locked="0"/>
    </xf>
    <xf numFmtId="9" fontId="95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2" fontId="55" fillId="0" borderId="19" xfId="0" applyNumberFormat="1" applyFont="1" applyBorder="1" applyAlignment="1" applyProtection="1">
      <alignment horizontal="center" vertic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26" fillId="0" borderId="0" xfId="0" applyFont="1" applyProtection="1">
      <protection locked="0"/>
    </xf>
    <xf numFmtId="183" fontId="52" fillId="0" borderId="3" xfId="0" applyNumberFormat="1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83" fontId="86" fillId="0" borderId="0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83" fillId="0" borderId="0" xfId="0" applyFont="1" applyBorder="1" applyAlignment="1" applyProtection="1">
      <alignment horizontal="right"/>
      <protection locked="0"/>
    </xf>
    <xf numFmtId="179" fontId="33" fillId="0" borderId="0" xfId="0" applyNumberFormat="1" applyFont="1" applyBorder="1" applyAlignment="1" applyProtection="1">
      <alignment horizontal="center"/>
      <protection locked="0"/>
    </xf>
    <xf numFmtId="179" fontId="83" fillId="0" borderId="0" xfId="0" applyNumberFormat="1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left"/>
      <protection locked="0"/>
    </xf>
    <xf numFmtId="0" fontId="36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left"/>
      <protection locked="0"/>
    </xf>
    <xf numFmtId="173" fontId="34" fillId="0" borderId="0" xfId="0" applyNumberFormat="1" applyFont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left"/>
      <protection locked="0"/>
    </xf>
    <xf numFmtId="186" fontId="42" fillId="0" borderId="3" xfId="0" applyNumberFormat="1" applyFont="1" applyBorder="1" applyAlignment="1" applyProtection="1">
      <alignment horizontal="center"/>
    </xf>
    <xf numFmtId="171" fontId="31" fillId="34" borderId="2" xfId="0" applyNumberFormat="1" applyFont="1" applyFill="1" applyBorder="1" applyProtection="1"/>
    <xf numFmtId="2" fontId="32" fillId="34" borderId="0" xfId="0" applyNumberFormat="1" applyFont="1" applyFill="1" applyBorder="1" applyAlignment="1" applyProtection="1">
      <alignment horizontal="right"/>
    </xf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9" fontId="44" fillId="34" borderId="1" xfId="33" applyNumberFormat="1" applyFont="1" applyFill="1" applyBorder="1" applyAlignment="1" applyProtection="1">
      <alignment horizontal="center"/>
    </xf>
    <xf numFmtId="166" fontId="34" fillId="34" borderId="1" xfId="33" applyNumberFormat="1" applyFont="1" applyFill="1" applyBorder="1" applyAlignment="1" applyProtection="1">
      <alignment horizontal="center"/>
    </xf>
    <xf numFmtId="179" fontId="34" fillId="34" borderId="1" xfId="33" applyNumberFormat="1" applyFont="1" applyFill="1" applyBorder="1" applyAlignment="1" applyProtection="1">
      <alignment horizontal="center"/>
    </xf>
    <xf numFmtId="1" fontId="34" fillId="34" borderId="1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2" fontId="32" fillId="34" borderId="1" xfId="0" applyNumberFormat="1" applyFont="1" applyFill="1" applyBorder="1" applyAlignment="1" applyProtection="1">
      <alignment horizontal="right"/>
    </xf>
    <xf numFmtId="2" fontId="32" fillId="34" borderId="9" xfId="0" applyNumberFormat="1" applyFont="1" applyFill="1" applyBorder="1" applyAlignment="1" applyProtection="1">
      <alignment horizontal="right"/>
    </xf>
    <xf numFmtId="165" fontId="34" fillId="34" borderId="1" xfId="0" applyNumberFormat="1" applyFont="1" applyFill="1" applyBorder="1" applyProtection="1"/>
    <xf numFmtId="10" fontId="39" fillId="34" borderId="4" xfId="33" applyNumberFormat="1" applyFont="1" applyFill="1" applyBorder="1" applyAlignment="1" applyProtection="1">
      <alignment horizontal="center"/>
    </xf>
    <xf numFmtId="10" fontId="44" fillId="34" borderId="4" xfId="33" applyNumberFormat="1" applyFont="1" applyFill="1" applyBorder="1" applyAlignment="1" applyProtection="1">
      <alignment horizontal="center"/>
    </xf>
    <xf numFmtId="2" fontId="44" fillId="34" borderId="9" xfId="33" applyNumberFormat="1" applyFont="1" applyFill="1" applyBorder="1" applyAlignment="1" applyProtection="1">
      <alignment horizontal="center"/>
    </xf>
    <xf numFmtId="2" fontId="95" fillId="0" borderId="0" xfId="0" applyNumberFormat="1" applyFont="1" applyBorder="1" applyProtection="1">
      <protection locked="0"/>
    </xf>
    <xf numFmtId="2" fontId="95" fillId="0" borderId="5" xfId="0" applyNumberFormat="1" applyFont="1" applyBorder="1" applyProtection="1">
      <protection locked="0"/>
    </xf>
    <xf numFmtId="0" fontId="32" fillId="0" borderId="0" xfId="0" applyFont="1" applyAlignment="1" applyProtection="1">
      <alignment horizontal="right"/>
      <protection locked="0"/>
    </xf>
    <xf numFmtId="179" fontId="32" fillId="0" borderId="0" xfId="0" applyNumberFormat="1" applyFont="1" applyAlignment="1" applyProtection="1">
      <alignment horizontal="right"/>
      <protection locked="0"/>
    </xf>
    <xf numFmtId="2" fontId="32" fillId="0" borderId="0" xfId="0" applyNumberFormat="1" applyFont="1" applyAlignment="1" applyProtection="1">
      <alignment horizontal="right"/>
      <protection locked="0"/>
    </xf>
    <xf numFmtId="179" fontId="31" fillId="0" borderId="0" xfId="0" applyNumberFormat="1" applyFont="1" applyAlignment="1" applyProtection="1">
      <alignment horizontal="right"/>
      <protection locked="0"/>
    </xf>
    <xf numFmtId="9" fontId="117" fillId="0" borderId="19" xfId="33" applyFont="1" applyFill="1" applyBorder="1" applyAlignment="1" applyProtection="1">
      <alignment horizontal="center" vertical="center"/>
      <protection locked="0"/>
    </xf>
    <xf numFmtId="0" fontId="124" fillId="0" borderId="25" xfId="0" applyFont="1" applyBorder="1" applyAlignment="1" applyProtection="1">
      <alignment horizontal="right"/>
      <protection locked="0"/>
    </xf>
    <xf numFmtId="0" fontId="42" fillId="0" borderId="0" xfId="0" applyFont="1" applyProtection="1">
      <protection locked="0"/>
    </xf>
    <xf numFmtId="0" fontId="42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/>
      <protection locked="0"/>
    </xf>
    <xf numFmtId="0" fontId="49" fillId="0" borderId="0" xfId="0" applyFont="1" applyAlignment="1" applyProtection="1">
      <alignment horizontal="center"/>
      <protection locked="0"/>
    </xf>
    <xf numFmtId="179" fontId="109" fillId="0" borderId="35" xfId="0" applyNumberFormat="1" applyFont="1" applyBorder="1" applyAlignment="1" applyProtection="1">
      <alignment horizontal="center"/>
      <protection locked="0"/>
    </xf>
    <xf numFmtId="9" fontId="66" fillId="37" borderId="15" xfId="33" applyNumberFormat="1" applyFont="1" applyFill="1" applyBorder="1" applyAlignment="1" applyProtection="1">
      <alignment horizontal="center"/>
      <protection locked="0"/>
    </xf>
    <xf numFmtId="174" fontId="66" fillId="37" borderId="15" xfId="33" applyNumberFormat="1" applyFont="1" applyFill="1" applyBorder="1" applyAlignment="1" applyProtection="1">
      <alignment horizontal="center"/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6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0" fontId="113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3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0" fontId="0" fillId="33" borderId="3" xfId="0" applyFill="1" applyBorder="1" applyAlignment="1" applyProtection="1">
      <alignment horizontal="center" vertical="center"/>
    </xf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166" fontId="31" fillId="0" borderId="4" xfId="0" applyNumberFormat="1" applyFont="1" applyBorder="1" applyProtection="1"/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10" fontId="66" fillId="0" borderId="3" xfId="33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0" fontId="34" fillId="0" borderId="6" xfId="33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0" fontId="85" fillId="0" borderId="0" xfId="0" applyFont="1" applyAlignment="1" applyProtection="1">
      <alignment horizontal="left"/>
    </xf>
    <xf numFmtId="0" fontId="37" fillId="33" borderId="6" xfId="0" applyFont="1" applyFill="1" applyBorder="1" applyAlignment="1" applyProtection="1">
      <alignment horizontal="center" vertical="top" wrapText="1"/>
    </xf>
    <xf numFmtId="2" fontId="77" fillId="34" borderId="22" xfId="0" applyNumberFormat="1" applyFont="1" applyFill="1" applyBorder="1" applyProtection="1"/>
    <xf numFmtId="0" fontId="76" fillId="33" borderId="6" xfId="0" applyFont="1" applyFill="1" applyBorder="1" applyAlignment="1" applyProtection="1">
      <alignment horizontal="center" vertical="top" wrapText="1"/>
      <protection locked="0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117" fillId="0" borderId="31" xfId="0" applyNumberFormat="1" applyFont="1" applyBorder="1" applyAlignment="1" applyProtection="1">
      <alignment horizontal="center" vertical="center"/>
      <protection locked="0"/>
    </xf>
    <xf numFmtId="15" fontId="117" fillId="0" borderId="33" xfId="0" applyNumberFormat="1" applyFont="1" applyBorder="1" applyAlignment="1" applyProtection="1">
      <alignment horizontal="center" vertical="center"/>
      <protection locked="0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28" fillId="0" borderId="13" xfId="0" applyFont="1" applyBorder="1" applyAlignment="1" applyProtection="1">
      <alignment horizontal="left" vertical="center"/>
    </xf>
    <xf numFmtId="0" fontId="28" fillId="0" borderId="5" xfId="0" applyFont="1" applyBorder="1" applyAlignment="1" applyProtection="1">
      <alignment horizontal="left" vertical="center"/>
    </xf>
    <xf numFmtId="0" fontId="28" fillId="0" borderId="11" xfId="0" applyFont="1" applyBorder="1" applyAlignment="1" applyProtection="1">
      <alignment horizontal="left" vertical="center"/>
    </xf>
    <xf numFmtId="0" fontId="28" fillId="0" borderId="4" xfId="0" applyFont="1" applyBorder="1" applyAlignment="1" applyProtection="1">
      <alignment horizontal="left" vertical="center"/>
    </xf>
    <xf numFmtId="0" fontId="28" fillId="0" borderId="1" xfId="0" applyFont="1" applyBorder="1" applyAlignment="1" applyProtection="1">
      <alignment horizontal="left" vertical="center"/>
    </xf>
    <xf numFmtId="0" fontId="28" fillId="0" borderId="9" xfId="0" applyFont="1" applyBorder="1" applyAlignment="1" applyProtection="1">
      <alignment horizontal="left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82" fontId="90" fillId="0" borderId="15" xfId="33" applyNumberFormat="1" applyFont="1" applyFill="1" applyBorder="1" applyAlignment="1" applyProtection="1">
      <alignment horizont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0" fontId="52" fillId="0" borderId="1" xfId="0" applyFont="1" applyBorder="1" applyAlignment="1" applyProtection="1">
      <alignment horizontal="center" vertical="center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0" fontId="122" fillId="0" borderId="0" xfId="0" applyFont="1" applyBorder="1" applyAlignment="1" applyProtection="1">
      <alignment horizontal="center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52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colors>
    <mruColors>
      <color rgb="FF9999FF"/>
      <color rgb="FF66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6.8214095666167216</c:v>
                </c:pt>
                <c:pt idx="6">
                  <c:v>6.535762587378958</c:v>
                </c:pt>
                <c:pt idx="7">
                  <c:v>6.1211763519909805</c:v>
                </c:pt>
                <c:pt idx="8">
                  <c:v>5.5495218254218619</c:v>
                </c:pt>
                <c:pt idx="9">
                  <c:v>4.6172298083790642</c:v>
                </c:pt>
                <c:pt idx="10">
                  <c:v>3.5559315949875443</c:v>
                </c:pt>
                <c:pt idx="11">
                  <c:v>3.0097158874840186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3.4393534676244095</c:v>
                </c:pt>
                <c:pt idx="1">
                  <c:v>4.5155630601281125</c:v>
                </c:pt>
                <c:pt idx="2">
                  <c:v>5.6179110691763965</c:v>
                </c:pt>
                <c:pt idx="3">
                  <c:v>6.4166725734590591</c:v>
                </c:pt>
                <c:pt idx="4">
                  <c:v>6.6540579799225315</c:v>
                </c:pt>
                <c:pt idx="5">
                  <c:v>6.5789233259309601</c:v>
                </c:pt>
                <c:pt idx="6">
                  <c:v>6.3102335509772685</c:v>
                </c:pt>
                <c:pt idx="7">
                  <c:v>5.9177512628486557</c:v>
                </c:pt>
                <c:pt idx="8">
                  <c:v>5.372382675315448</c:v>
                </c:pt>
                <c:pt idx="9">
                  <c:v>4.4765761764614282</c:v>
                </c:pt>
                <c:pt idx="10">
                  <c:v>3.4531882776855909</c:v>
                </c:pt>
                <c:pt idx="11">
                  <c:v>2.9265294303424598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3.347425411413079</c:v>
                </c:pt>
                <c:pt idx="1">
                  <c:v>4.4044117655585797</c:v>
                </c:pt>
                <c:pt idx="2">
                  <c:v>5.4631409735227612</c:v>
                </c:pt>
                <c:pt idx="3">
                  <c:v>6.1882538374492242</c:v>
                </c:pt>
                <c:pt idx="4">
                  <c:v>6.3725709125120877</c:v>
                </c:pt>
                <c:pt idx="5">
                  <c:v>6.263383580747746</c:v>
                </c:pt>
                <c:pt idx="6">
                  <c:v>5.9783482620441006</c:v>
                </c:pt>
                <c:pt idx="7">
                  <c:v>5.5827565179534373</c:v>
                </c:pt>
                <c:pt idx="8">
                  <c:v>5.044032203172133</c:v>
                </c:pt>
                <c:pt idx="9">
                  <c:v>4.1792421915253399</c:v>
                </c:pt>
                <c:pt idx="10">
                  <c:v>3.2174583082206123</c:v>
                </c:pt>
                <c:pt idx="11">
                  <c:v>2.740631876022543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3.1333648515371775</c:v>
                </c:pt>
                <c:pt idx="1">
                  <c:v>4.1088723030338477</c:v>
                </c:pt>
                <c:pt idx="2">
                  <c:v>5.1055896791408335</c:v>
                </c:pt>
                <c:pt idx="3">
                  <c:v>5.8227171520785639</c:v>
                </c:pt>
                <c:pt idx="4">
                  <c:v>6.7432068473219617</c:v>
                </c:pt>
                <c:pt idx="5">
                  <c:v>6.6890884954373337</c:v>
                </c:pt>
                <c:pt idx="6">
                  <c:v>6.4125796311835455</c:v>
                </c:pt>
                <c:pt idx="7">
                  <c:v>6.0090884086791121</c:v>
                </c:pt>
                <c:pt idx="8">
                  <c:v>5.450636750979803</c:v>
                </c:pt>
                <c:pt idx="9">
                  <c:v>4.5369654163612063</c:v>
                </c:pt>
                <c:pt idx="10">
                  <c:v>3.495067341341811</c:v>
                </c:pt>
                <c:pt idx="11">
                  <c:v>2.9581037863221691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3.3821082234297886</c:v>
                </c:pt>
                <c:pt idx="1">
                  <c:v>4.4411326818160948</c:v>
                </c:pt>
                <c:pt idx="2">
                  <c:v>5.5248273615253005</c:v>
                </c:pt>
                <c:pt idx="3">
                  <c:v>6.3156784732175923</c:v>
                </c:pt>
                <c:pt idx="4">
                  <c:v>6.7140956215336569</c:v>
                </c:pt>
                <c:pt idx="5">
                  <c:v>6.6288804612357071</c:v>
                </c:pt>
                <c:pt idx="6">
                  <c:v>6.3473174705565079</c:v>
                </c:pt>
                <c:pt idx="7">
                  <c:v>5.9411551048186189</c:v>
                </c:pt>
                <c:pt idx="8">
                  <c:v>5.3833358970113165</c:v>
                </c:pt>
                <c:pt idx="9">
                  <c:v>4.4767043921608209</c:v>
                </c:pt>
                <c:pt idx="10">
                  <c:v>3.4455566505242787</c:v>
                </c:pt>
                <c:pt idx="11">
                  <c:v>2.9132109126976573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3.3283569621026885</c:v>
                </c:pt>
                <c:pt idx="1">
                  <c:v>4.367717042782215</c:v>
                </c:pt>
                <c:pt idx="2">
                  <c:v>5.4294511872659585</c:v>
                </c:pt>
                <c:pt idx="3">
                  <c:v>6.1960644195909591</c:v>
                </c:pt>
                <c:pt idx="4">
                  <c:v>6.6681243405285775</c:v>
                </c:pt>
                <c:pt idx="5">
                  <c:v>6.5834830241717697</c:v>
                </c:pt>
                <c:pt idx="6">
                  <c:v>6.3038309843719214</c:v>
                </c:pt>
                <c:pt idx="7">
                  <c:v>5.9004282082641764</c:v>
                </c:pt>
                <c:pt idx="8">
                  <c:v>5.3463895468661553</c:v>
                </c:pt>
                <c:pt idx="9">
                  <c:v>4.4459035796335504</c:v>
                </c:pt>
                <c:pt idx="10">
                  <c:v>3.4214130289116529</c:v>
                </c:pt>
                <c:pt idx="11">
                  <c:v>2.8921062945670721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3.3043860937891725</c:v>
                </c:pt>
                <c:pt idx="1">
                  <c:v>4.3371016059165308</c:v>
                </c:pt>
                <c:pt idx="2">
                  <c:v>5.3914786715206118</c:v>
                </c:pt>
                <c:pt idx="3">
                  <c:v>6.1609512660559282</c:v>
                </c:pt>
                <c:pt idx="4">
                  <c:v>6.6206897614240434</c:v>
                </c:pt>
                <c:pt idx="5">
                  <c:v>6.5366601063364236</c:v>
                </c:pt>
                <c:pt idx="6">
                  <c:v>6.259014193220894</c:v>
                </c:pt>
                <c:pt idx="7">
                  <c:v>5.8585002602429217</c:v>
                </c:pt>
                <c:pt idx="8">
                  <c:v>5.308397897728744</c:v>
                </c:pt>
                <c:pt idx="9">
                  <c:v>4.4142762296152744</c:v>
                </c:pt>
                <c:pt idx="10">
                  <c:v>3.3966759533062847</c:v>
                </c:pt>
                <c:pt idx="11">
                  <c:v>2.870535208346225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3.2806503440882775</c:v>
                </c:pt>
                <c:pt idx="1">
                  <c:v>4.306783090424978</c:v>
                </c:pt>
                <c:pt idx="2">
                  <c:v>5.3538765665689372</c:v>
                </c:pt>
                <c:pt idx="3">
                  <c:v>6.1180229264239721</c:v>
                </c:pt>
                <c:pt idx="4">
                  <c:v>6.5745382622797477</c:v>
                </c:pt>
                <c:pt idx="5">
                  <c:v>6.4910943610477858</c:v>
                </c:pt>
                <c:pt idx="6">
                  <c:v>6.2153838618518469</c:v>
                </c:pt>
                <c:pt idx="7">
                  <c:v>5.817667740437809</c:v>
                </c:pt>
                <c:pt idx="8">
                  <c:v>5.2715269753081317</c:v>
                </c:pt>
                <c:pt idx="9">
                  <c:v>4.3838707502629308</c:v>
                </c:pt>
                <c:pt idx="10">
                  <c:v>3.374844751238085</c:v>
                </c:pt>
                <c:pt idx="11">
                  <c:v>2.8553321387568955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3.2606511179193158</c:v>
                </c:pt>
                <c:pt idx="1">
                  <c:v>4.2771159585682419</c:v>
                </c:pt>
                <c:pt idx="2">
                  <c:v>5.3166786264371702</c:v>
                </c:pt>
                <c:pt idx="3">
                  <c:v>6.0753731139341962</c:v>
                </c:pt>
                <c:pt idx="4">
                  <c:v>6.5287084759705154</c:v>
                </c:pt>
                <c:pt idx="5">
                  <c:v>6.4458462454216852</c:v>
                </c:pt>
                <c:pt idx="6">
                  <c:v>6.1720576687634638</c:v>
                </c:pt>
                <c:pt idx="7">
                  <c:v>5.7771130337734817</c:v>
                </c:pt>
                <c:pt idx="8">
                  <c:v>5.2347595742384847</c:v>
                </c:pt>
                <c:pt idx="9">
                  <c:v>4.3532636380013336</c:v>
                </c:pt>
                <c:pt idx="10">
                  <c:v>3.3511671102035487</c:v>
                </c:pt>
                <c:pt idx="11">
                  <c:v>2.8349308595360543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3.237669923548566</c:v>
                </c:pt>
                <c:pt idx="1">
                  <c:v>4.247265067027322</c:v>
                </c:pt>
                <c:pt idx="2">
                  <c:v>5.2795975219009765</c:v>
                </c:pt>
                <c:pt idx="3">
                  <c:v>6.0249904798696754</c:v>
                </c:pt>
                <c:pt idx="4">
                  <c:v>6.484006537114225</c:v>
                </c:pt>
                <c:pt idx="5">
                  <c:v>6.401702305738123</c:v>
                </c:pt>
                <c:pt idx="6">
                  <c:v>6.1297719154845094</c:v>
                </c:pt>
                <c:pt idx="7">
                  <c:v>5.7375107347098995</c:v>
                </c:pt>
                <c:pt idx="8">
                  <c:v>5.1988343588185577</c:v>
                </c:pt>
                <c:pt idx="9">
                  <c:v>4.3233364055246426</c:v>
                </c:pt>
                <c:pt idx="10">
                  <c:v>3.3279922095299552</c:v>
                </c:pt>
                <c:pt idx="11">
                  <c:v>2.8149407066429006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812688"/>
        <c:axId val="184139432"/>
      </c:lineChart>
      <c:dateAx>
        <c:axId val="182812688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4139432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184139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281268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3.4093817907339008E-2</c:v>
                </c:pt>
                <c:pt idx="1">
                  <c:v>3.4667505491863926E-2</c:v>
                </c:pt>
                <c:pt idx="2">
                  <c:v>3.5185382048967151E-2</c:v>
                </c:pt>
                <c:pt idx="3">
                  <c:v>3.5758421312974686E-2</c:v>
                </c:pt>
                <c:pt idx="4">
                  <c:v>3.6312651379479366E-2</c:v>
                </c:pt>
                <c:pt idx="5">
                  <c:v>3.688502111633063E-2</c:v>
                </c:pt>
                <c:pt idx="6">
                  <c:v>3.743860363195417E-2</c:v>
                </c:pt>
                <c:pt idx="7">
                  <c:v>3.8010304623910751E-2</c:v>
                </c:pt>
                <c:pt idx="8">
                  <c:v>3.8581666061397901E-2</c:v>
                </c:pt>
                <c:pt idx="9">
                  <c:v>3.913427337364761E-2</c:v>
                </c:pt>
                <c:pt idx="10">
                  <c:v>3.9704967244316158E-2</c:v>
                </c:pt>
                <c:pt idx="11">
                  <c:v>4.025692890167698E-2</c:v>
                </c:pt>
                <c:pt idx="12">
                  <c:v>4.0845338318064028E-2</c:v>
                </c:pt>
                <c:pt idx="13">
                  <c:v>4.1415015923661258E-2</c:v>
                </c:pt>
                <c:pt idx="14">
                  <c:v>4.1929272611453849E-2</c:v>
                </c:pt>
                <c:pt idx="15">
                  <c:v>4.2498306428184085E-2</c:v>
                </c:pt>
                <c:pt idx="16">
                  <c:v>4.3048662520512426E-2</c:v>
                </c:pt>
                <c:pt idx="17">
                  <c:v>4.3617031489967761E-2</c:v>
                </c:pt>
                <c:pt idx="18">
                  <c:v>4.4166744557685766E-2</c:v>
                </c:pt>
                <c:pt idx="19">
                  <c:v>4.4734449456659831E-2</c:v>
                </c:pt>
                <c:pt idx="20">
                  <c:v>4.5301817174592696E-2</c:v>
                </c:pt>
                <c:pt idx="21">
                  <c:v>4.5850561855443006E-2</c:v>
                </c:pt>
                <c:pt idx="22">
                  <c:v>4.6417266672736046E-2</c:v>
                </c:pt>
                <c:pt idx="23">
                  <c:v>4.6965370211715762E-2</c:v>
                </c:pt>
                <c:pt idx="24">
                  <c:v>4.7531412902888204E-2</c:v>
                </c:pt>
                <c:pt idx="25">
                  <c:v>4.8097119400266508E-2</c:v>
                </c:pt>
                <c:pt idx="26">
                  <c:v>4.860779130793158E-2</c:v>
                </c:pt>
                <c:pt idx="27">
                  <c:v>4.9172858504165862E-2</c:v>
                </c:pt>
                <c:pt idx="28">
                  <c:v>4.9719378174665096E-2</c:v>
                </c:pt>
                <c:pt idx="29">
                  <c:v>5.0283785158141248E-2</c:v>
                </c:pt>
                <c:pt idx="30">
                  <c:v>5.0829666286425601E-2</c:v>
                </c:pt>
                <c:pt idx="31">
                  <c:v>5.1393413828522472E-2</c:v>
                </c:pt>
                <c:pt idx="32">
                  <c:v>5.1956826539999446E-2</c:v>
                </c:pt>
                <c:pt idx="33">
                  <c:v>5.2501746031846652E-2</c:v>
                </c:pt>
                <c:pt idx="34">
                  <c:v>5.3064500463631092E-2</c:v>
                </c:pt>
                <c:pt idx="35">
                  <c:v>5.360878328287888E-2</c:v>
                </c:pt>
                <c:pt idx="36">
                  <c:v>5.4170880204090999E-2</c:v>
                </c:pt>
                <c:pt idx="37">
                  <c:v>5.4732643275048454E-2</c:v>
                </c:pt>
                <c:pt idx="38">
                  <c:v>5.5239755391368717E-2</c:v>
                </c:pt>
                <c:pt idx="39">
                  <c:v>5.5800883617621921E-2</c:v>
                </c:pt>
                <c:pt idx="40">
                  <c:v>5.6343593609218479E-2</c:v>
                </c:pt>
                <c:pt idx="41">
                  <c:v>5.6904066224924277E-2</c:v>
                </c:pt>
                <c:pt idx="42">
                  <c:v>5.7446142125455624E-2</c:v>
                </c:pt>
                <c:pt idx="43">
                  <c:v>5.80059598966155E-2</c:v>
                </c:pt>
                <c:pt idx="44">
                  <c:v>5.8565445171192665E-2</c:v>
                </c:pt>
                <c:pt idx="45">
                  <c:v>5.9106566138661276E-2</c:v>
                </c:pt>
                <c:pt idx="46">
                  <c:v>5.966539772228141E-2</c:v>
                </c:pt>
                <c:pt idx="47">
                  <c:v>6.0205886455267477E-2</c:v>
                </c:pt>
                <c:pt idx="48">
                  <c:v>6.0764065111689525E-2</c:v>
                </c:pt>
                <c:pt idx="49">
                  <c:v>6.1321912245060006E-2</c:v>
                </c:pt>
                <c:pt idx="50">
                  <c:v>6.1825489384626175E-2</c:v>
                </c:pt>
                <c:pt idx="51">
                  <c:v>6.2382706098667473E-2</c:v>
                </c:pt>
                <c:pt idx="52">
                  <c:v>6.2921632967868124E-2</c:v>
                </c:pt>
                <c:pt idx="53">
                  <c:v>6.347819864149129E-2</c:v>
                </c:pt>
                <c:pt idx="54">
                  <c:v>6.4016495839748222E-2</c:v>
                </c:pt>
                <c:pt idx="55">
                  <c:v>6.4572411233615568E-2</c:v>
                </c:pt>
                <c:pt idx="56">
                  <c:v>6.5127996448666958E-2</c:v>
                </c:pt>
                <c:pt idx="57">
                  <c:v>6.5665345370507833E-2</c:v>
                </c:pt>
                <c:pt idx="58">
                  <c:v>6.6220281451350727E-2</c:v>
                </c:pt>
                <c:pt idx="59">
                  <c:v>6.6757002545888677E-2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3.6655731272327727E-2</c:v>
                </c:pt>
                <c:pt idx="1">
                  <c:v>3.9438502361930243E-2</c:v>
                </c:pt>
                <c:pt idx="2">
                  <c:v>4.1887646629386481E-2</c:v>
                </c:pt>
                <c:pt idx="3">
                  <c:v>4.468279966646814E-2</c:v>
                </c:pt>
                <c:pt idx="4">
                  <c:v>1.0922536744346628E-2</c:v>
                </c:pt>
                <c:pt idx="5">
                  <c:v>1.4979925440036254E-2</c:v>
                </c:pt>
                <c:pt idx="6">
                  <c:v>1.8717822159789236E-2</c:v>
                </c:pt>
                <c:pt idx="7">
                  <c:v>2.2324097910395156E-2</c:v>
                </c:pt>
                <c:pt idx="8">
                  <c:v>2.5719824266455346E-2</c:v>
                </c:pt>
                <c:pt idx="9">
                  <c:v>2.8644650333139045E-2</c:v>
                </c:pt>
                <c:pt idx="10">
                  <c:v>3.1193800601627852E-2</c:v>
                </c:pt>
                <c:pt idx="11">
                  <c:v>3.3739197101447925E-2</c:v>
                </c:pt>
                <c:pt idx="12">
                  <c:v>3.6655731272327727E-2</c:v>
                </c:pt>
                <c:pt idx="13">
                  <c:v>3.9438502361930243E-2</c:v>
                </c:pt>
                <c:pt idx="14">
                  <c:v>4.1887646629386481E-2</c:v>
                </c:pt>
                <c:pt idx="15">
                  <c:v>4.468279966646814E-2</c:v>
                </c:pt>
                <c:pt idx="16">
                  <c:v>1.1045859519857619E-2</c:v>
                </c:pt>
                <c:pt idx="17">
                  <c:v>1.5101385463141168E-2</c:v>
                </c:pt>
                <c:pt idx="18">
                  <c:v>1.8836165020990135E-2</c:v>
                </c:pt>
                <c:pt idx="19">
                  <c:v>2.2438324760809945E-2</c:v>
                </c:pt>
                <c:pt idx="20">
                  <c:v>2.5829714780681468E-2</c:v>
                </c:pt>
                <c:pt idx="21">
                  <c:v>2.8749675507846708E-2</c:v>
                </c:pt>
                <c:pt idx="22">
                  <c:v>3.1293100129629006E-2</c:v>
                </c:pt>
                <c:pt idx="23">
                  <c:v>3.3834071398117657E-2</c:v>
                </c:pt>
                <c:pt idx="24">
                  <c:v>3.6655731272327727E-2</c:v>
                </c:pt>
                <c:pt idx="25">
                  <c:v>3.9438502361930243E-2</c:v>
                </c:pt>
                <c:pt idx="26">
                  <c:v>4.1887646629386481E-2</c:v>
                </c:pt>
                <c:pt idx="27">
                  <c:v>4.468279966646814E-2</c:v>
                </c:pt>
                <c:pt idx="28">
                  <c:v>1.1045859519857619E-2</c:v>
                </c:pt>
                <c:pt idx="29">
                  <c:v>1.5101385463141168E-2</c:v>
                </c:pt>
                <c:pt idx="30">
                  <c:v>1.8836165020990135E-2</c:v>
                </c:pt>
                <c:pt idx="31">
                  <c:v>2.2438324760809945E-2</c:v>
                </c:pt>
                <c:pt idx="32">
                  <c:v>2.5829714780681468E-2</c:v>
                </c:pt>
                <c:pt idx="33">
                  <c:v>2.8749675507846708E-2</c:v>
                </c:pt>
                <c:pt idx="34">
                  <c:v>3.1293100129629006E-2</c:v>
                </c:pt>
                <c:pt idx="35">
                  <c:v>3.3834071398117657E-2</c:v>
                </c:pt>
                <c:pt idx="36">
                  <c:v>3.6655731272327727E-2</c:v>
                </c:pt>
                <c:pt idx="37">
                  <c:v>3.9438502361930243E-2</c:v>
                </c:pt>
                <c:pt idx="38">
                  <c:v>4.1887646629386481E-2</c:v>
                </c:pt>
                <c:pt idx="39">
                  <c:v>4.468279966646814E-2</c:v>
                </c:pt>
                <c:pt idx="40">
                  <c:v>1.1045859519857619E-2</c:v>
                </c:pt>
                <c:pt idx="41">
                  <c:v>1.5101385463141168E-2</c:v>
                </c:pt>
                <c:pt idx="42">
                  <c:v>1.8836165020990135E-2</c:v>
                </c:pt>
                <c:pt idx="43">
                  <c:v>2.2438324760809945E-2</c:v>
                </c:pt>
                <c:pt idx="44">
                  <c:v>2.5829714780681468E-2</c:v>
                </c:pt>
                <c:pt idx="45">
                  <c:v>2.8749675507846708E-2</c:v>
                </c:pt>
                <c:pt idx="46">
                  <c:v>3.1293100129629006E-2</c:v>
                </c:pt>
                <c:pt idx="47">
                  <c:v>3.3834071398117657E-2</c:v>
                </c:pt>
                <c:pt idx="48">
                  <c:v>3.6655731272327727E-2</c:v>
                </c:pt>
                <c:pt idx="49">
                  <c:v>3.9438502361930243E-2</c:v>
                </c:pt>
                <c:pt idx="50">
                  <c:v>4.1887646629386481E-2</c:v>
                </c:pt>
                <c:pt idx="51">
                  <c:v>4.468279966646814E-2</c:v>
                </c:pt>
                <c:pt idx="52">
                  <c:v>1.0922536744346628E-2</c:v>
                </c:pt>
                <c:pt idx="53">
                  <c:v>1.4979925440036254E-2</c:v>
                </c:pt>
                <c:pt idx="54">
                  <c:v>1.8717822159789236E-2</c:v>
                </c:pt>
                <c:pt idx="55">
                  <c:v>2.2324097910395156E-2</c:v>
                </c:pt>
                <c:pt idx="56">
                  <c:v>2.5719824266455346E-2</c:v>
                </c:pt>
                <c:pt idx="57">
                  <c:v>2.8644650333139045E-2</c:v>
                </c:pt>
                <c:pt idx="58">
                  <c:v>3.1193800601627852E-2</c:v>
                </c:pt>
                <c:pt idx="59">
                  <c:v>3.3739197101447925E-2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5.2659436345274904E-4</c:v>
                </c:pt>
                <c:pt idx="1">
                  <c:v>4.5019533024604127E-5</c:v>
                </c:pt>
                <c:pt idx="2">
                  <c:v>1.9496155582905586E-5</c:v>
                </c:pt>
                <c:pt idx="3">
                  <c:v>1.780349992452856E-6</c:v>
                </c:pt>
                <c:pt idx="4">
                  <c:v>0</c:v>
                </c:pt>
                <c:pt idx="5">
                  <c:v>-1.7016021344672509E-20</c:v>
                </c:pt>
                <c:pt idx="6">
                  <c:v>0</c:v>
                </c:pt>
                <c:pt idx="7">
                  <c:v>5.4704164144607394E-8</c:v>
                </c:pt>
                <c:pt idx="8">
                  <c:v>2.2206361744179761E-5</c:v>
                </c:pt>
                <c:pt idx="9">
                  <c:v>7.0943398132098349E-5</c:v>
                </c:pt>
                <c:pt idx="10">
                  <c:v>3.378318895211208E-4</c:v>
                </c:pt>
                <c:pt idx="11">
                  <c:v>1.4936830197192618E-3</c:v>
                </c:pt>
                <c:pt idx="12">
                  <c:v>7.6727331361551719E-4</c:v>
                </c:pt>
                <c:pt idx="13">
                  <c:v>6.1254547727458041E-5</c:v>
                </c:pt>
                <c:pt idx="14">
                  <c:v>2.3468528893192554E-5</c:v>
                </c:pt>
                <c:pt idx="15">
                  <c:v>2.1732020651888146E-6</c:v>
                </c:pt>
                <c:pt idx="16">
                  <c:v>0</c:v>
                </c:pt>
                <c:pt idx="17">
                  <c:v>1.7016021344672509E-20</c:v>
                </c:pt>
                <c:pt idx="18">
                  <c:v>0</c:v>
                </c:pt>
                <c:pt idx="19">
                  <c:v>6.476091163333322E-8</c:v>
                </c:pt>
                <c:pt idx="20">
                  <c:v>2.6388445124655517E-5</c:v>
                </c:pt>
                <c:pt idx="21">
                  <c:v>8.6363237296868515E-5</c:v>
                </c:pt>
                <c:pt idx="22">
                  <c:v>4.5607411955327678E-4</c:v>
                </c:pt>
                <c:pt idx="23">
                  <c:v>1.8772036578779858E-3</c:v>
                </c:pt>
                <c:pt idx="24">
                  <c:v>1.0080078520920733E-3</c:v>
                </c:pt>
                <c:pt idx="25">
                  <c:v>7.7538660529007862E-5</c:v>
                </c:pt>
                <c:pt idx="26">
                  <c:v>2.7439088886866837E-5</c:v>
                </c:pt>
                <c:pt idx="27">
                  <c:v>1.0933176510095261E-8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6.3792391029167047E-9</c:v>
                </c:pt>
                <c:pt idx="32">
                  <c:v>2.58369755498436E-6</c:v>
                </c:pt>
                <c:pt idx="33">
                  <c:v>7.5037538214585075E-6</c:v>
                </c:pt>
                <c:pt idx="34">
                  <c:v>1.3543657835044811E-5</c:v>
                </c:pt>
                <c:pt idx="35">
                  <c:v>1.1366391748446359E-4</c:v>
                </c:pt>
                <c:pt idx="36">
                  <c:v>3.2854871052040264E-5</c:v>
                </c:pt>
                <c:pt idx="37">
                  <c:v>5.3921761065361415E-6</c:v>
                </c:pt>
                <c:pt idx="38">
                  <c:v>2.9537219616173406E-6</c:v>
                </c:pt>
                <c:pt idx="39">
                  <c:v>2.8887504893591737E-7</c:v>
                </c:pt>
                <c:pt idx="40">
                  <c:v>0</c:v>
                </c:pt>
                <c:pt idx="41">
                  <c:v>0</c:v>
                </c:pt>
                <c:pt idx="42">
                  <c:v>-1.9357241086780245E-20</c:v>
                </c:pt>
                <c:pt idx="43">
                  <c:v>1.5482805297239522E-8</c:v>
                </c:pt>
                <c:pt idx="44">
                  <c:v>6.220661763167903E-6</c:v>
                </c:pt>
                <c:pt idx="45">
                  <c:v>1.8354536533682718E-5</c:v>
                </c:pt>
                <c:pt idx="46">
                  <c:v>4.7803815764217268E-5</c:v>
                </c:pt>
                <c:pt idx="47">
                  <c:v>3.046170529489513E-4</c:v>
                </c:pt>
                <c:pt idx="48">
                  <c:v>1.1599819418190428E-4</c:v>
                </c:pt>
                <c:pt idx="49">
                  <c:v>1.3618238546684634E-5</c:v>
                </c:pt>
                <c:pt idx="50">
                  <c:v>6.9539858997616737E-6</c:v>
                </c:pt>
                <c:pt idx="51">
                  <c:v>6.4838329416954494E-7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2.4832833535777864E-8</c:v>
                </c:pt>
                <c:pt idx="56">
                  <c:v>9.9224174008602768E-6</c:v>
                </c:pt>
                <c:pt idx="57">
                  <c:v>2.9380599403423858E-5</c:v>
                </c:pt>
                <c:pt idx="58">
                  <c:v>8.3181059067069339E-5</c:v>
                </c:pt>
                <c:pt idx="59">
                  <c:v>4.9946996963569411E-4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00136"/>
        <c:axId val="198500528"/>
      </c:lineChart>
      <c:dateAx>
        <c:axId val="198500136"/>
        <c:scaling>
          <c:orientation val="minMax"/>
          <c:max val="47088"/>
          <c:min val="45292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8500528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19850052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8500136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2.8743301586220404E-4</c:v>
                </c:pt>
                <c:pt idx="2">
                  <c:v>8.2375361547726289E-4</c:v>
                </c:pt>
                <c:pt idx="3">
                  <c:v>1.4172015278419714E-3</c:v>
                </c:pt>
                <c:pt idx="4">
                  <c:v>1.9911703578952E-3</c:v>
                </c:pt>
                <c:pt idx="5">
                  <c:v>2.5839248980633611E-3</c:v>
                </c:pt>
                <c:pt idx="6">
                  <c:v>3.1572231148747631E-3</c:v>
                </c:pt>
                <c:pt idx="7">
                  <c:v>3.7492850929681243E-3</c:v>
                </c:pt>
                <c:pt idx="8">
                  <c:v>4.3409954234455705E-3</c:v>
                </c:pt>
                <c:pt idx="9">
                  <c:v>4.9132837052617839E-3</c:v>
                </c:pt>
                <c:pt idx="10">
                  <c:v>5.5043026936972828E-3</c:v>
                </c:pt>
                <c:pt idx="11">
                  <c:v>6.0759223257891293E-3</c:v>
                </c:pt>
                <c:pt idx="12">
                  <c:v>6.6662507799323256E-3</c:v>
                </c:pt>
                <c:pt idx="13">
                  <c:v>7.2562286160638978E-3</c:v>
                </c:pt>
                <c:pt idx="14">
                  <c:v>7.788810632451848E-3</c:v>
                </c:pt>
                <c:pt idx="15">
                  <c:v>8.3781217385612283E-3</c:v>
                </c:pt>
                <c:pt idx="16">
                  <c:v>8.9480895471312216E-3</c:v>
                </c:pt>
                <c:pt idx="17">
                  <c:v>9.5367121144025457E-3</c:v>
                </c:pt>
                <c:pt idx="18">
                  <c:v>1.0106013984440887E-2</c:v>
                </c:pt>
                <c:pt idx="19">
                  <c:v>1.0693948817348531E-2</c:v>
                </c:pt>
                <c:pt idx="20">
                  <c:v>1.1281534453905118E-2</c:v>
                </c:pt>
                <c:pt idx="21">
                  <c:v>1.1849833429002476E-2</c:v>
                </c:pt>
                <c:pt idx="22">
                  <c:v>1.2436732542723705E-2</c:v>
                </c:pt>
                <c:pt idx="23">
                  <c:v>1.3004367529119709E-2</c:v>
                </c:pt>
                <c:pt idx="24">
                  <c:v>1.3609485233605056E-2</c:v>
                </c:pt>
                <c:pt idx="25">
                  <c:v>1.4195339224712833E-2</c:v>
                </c:pt>
                <c:pt idx="26">
                  <c:v>1.472419858312346E-2</c:v>
                </c:pt>
                <c:pt idx="27">
                  <c:v>1.5309390504538833E-2</c:v>
                </c:pt>
                <c:pt idx="28">
                  <c:v>1.5875374334784365E-2</c:v>
                </c:pt>
                <c:pt idx="29">
                  <c:v>1.6459882530131198E-2</c:v>
                </c:pt>
                <c:pt idx="30">
                  <c:v>1.7025205076642513E-2</c:v>
                </c:pt>
                <c:pt idx="31">
                  <c:v>1.7609030344772347E-2</c:v>
                </c:pt>
                <c:pt idx="32">
                  <c:v>1.8192508857374445E-2</c:v>
                </c:pt>
                <c:pt idx="33">
                  <c:v>1.8756835519010195E-2</c:v>
                </c:pt>
                <c:pt idx="34">
                  <c:v>1.9339632307455168E-2</c:v>
                </c:pt>
                <c:pt idx="35">
                  <c:v>1.9903299621558013E-2</c:v>
                </c:pt>
                <c:pt idx="36">
                  <c:v>2.0485415482358049E-2</c:v>
                </c:pt>
                <c:pt idx="37">
                  <c:v>2.1067185602910987E-2</c:v>
                </c:pt>
                <c:pt idx="38">
                  <c:v>2.159235838890905E-2</c:v>
                </c:pt>
                <c:pt idx="39">
                  <c:v>2.217347105492451E-2</c:v>
                </c:pt>
                <c:pt idx="40">
                  <c:v>2.2735509525517283E-2</c:v>
                </c:pt>
                <c:pt idx="41">
                  <c:v>2.3315943231581482E-2</c:v>
                </c:pt>
                <c:pt idx="42">
                  <c:v>2.3877325028116236E-2</c:v>
                </c:pt>
                <c:pt idx="43">
                  <c:v>2.4457080567511835E-2</c:v>
                </c:pt>
                <c:pt idx="44">
                  <c:v>2.5036491768542946E-2</c:v>
                </c:pt>
                <c:pt idx="45">
                  <c:v>2.5596884622315685E-2</c:v>
                </c:pt>
                <c:pt idx="46">
                  <c:v>2.6175618851351889E-2</c:v>
                </c:pt>
                <c:pt idx="47">
                  <c:v>2.673535695377105E-2</c:v>
                </c:pt>
                <c:pt idx="48">
                  <c:v>2.7313415001772201E-2</c:v>
                </c:pt>
                <c:pt idx="49">
                  <c:v>2.7891129719612051E-2</c:v>
                </c:pt>
                <c:pt idx="50">
                  <c:v>2.8412641631553659E-2</c:v>
                </c:pt>
                <c:pt idx="51">
                  <c:v>2.8989703477839579E-2</c:v>
                </c:pt>
                <c:pt idx="52">
                  <c:v>2.9547824091089914E-2</c:v>
                </c:pt>
                <c:pt idx="53">
                  <c:v>3.0124211710318094E-2</c:v>
                </c:pt>
                <c:pt idx="54">
                  <c:v>3.068168022705331E-2</c:v>
                </c:pt>
                <c:pt idx="55">
                  <c:v>3.1257394406976613E-2</c:v>
                </c:pt>
                <c:pt idx="56">
                  <c:v>3.1832766648849042E-2</c:v>
                </c:pt>
                <c:pt idx="57">
                  <c:v>3.2389253116543726E-2</c:v>
                </c:pt>
                <c:pt idx="58">
                  <c:v>3.2963953105457078E-2</c:v>
                </c:pt>
                <c:pt idx="59">
                  <c:v>3.3519789385938359E-2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1.6328964377414236E-3</c:v>
                </c:pt>
                <c:pt idx="2">
                  <c:v>4.6238712519325476E-3</c:v>
                </c:pt>
                <c:pt idx="3">
                  <c:v>7.8804754373574364E-3</c:v>
                </c:pt>
                <c:pt idx="4">
                  <c:v>1.10916058416398E-2</c:v>
                </c:pt>
                <c:pt idx="5">
                  <c:v>1.4488320372581085E-2</c:v>
                </c:pt>
                <c:pt idx="6">
                  <c:v>1.7617187066151788E-2</c:v>
                </c:pt>
                <c:pt idx="7">
                  <c:v>2.0640725966566974E-2</c:v>
                </c:pt>
                <c:pt idx="8">
                  <c:v>2.3502055931086736E-2</c:v>
                </c:pt>
                <c:pt idx="9">
                  <c:v>2.5971028201663054E-2</c:v>
                </c:pt>
                <c:pt idx="10">
                  <c:v>2.8124079409858227E-2</c:v>
                </c:pt>
                <c:pt idx="11">
                  <c:v>3.0304855190903486E-2</c:v>
                </c:pt>
                <c:pt idx="12">
                  <c:v>3.2501738697605337E-2</c:v>
                </c:pt>
                <c:pt idx="13">
                  <c:v>3.4386472659588746E-2</c:v>
                </c:pt>
                <c:pt idx="14">
                  <c:v>3.605984469366675E-2</c:v>
                </c:pt>
                <c:pt idx="15">
                  <c:v>3.8010229002636585E-2</c:v>
                </c:pt>
                <c:pt idx="16">
                  <c:v>4.0298384148881441E-2</c:v>
                </c:pt>
                <c:pt idx="17">
                  <c:v>4.2877143933593695E-2</c:v>
                </c:pt>
                <c:pt idx="18">
                  <c:v>4.4900261785119404E-2</c:v>
                </c:pt>
                <c:pt idx="19">
                  <c:v>4.65760135986358E-2</c:v>
                </c:pt>
                <c:pt idx="20">
                  <c:v>4.8046016366752695E-2</c:v>
                </c:pt>
                <c:pt idx="21">
                  <c:v>4.9030347011608029E-2</c:v>
                </c:pt>
                <c:pt idx="22">
                  <c:v>4.951538044431858E-2</c:v>
                </c:pt>
                <c:pt idx="23">
                  <c:v>5.0341758876238006E-2</c:v>
                </c:pt>
                <c:pt idx="24">
                  <c:v>5.1684062921977997E-2</c:v>
                </c:pt>
                <c:pt idx="25">
                  <c:v>5.5499065406242568E-2</c:v>
                </c:pt>
                <c:pt idx="26">
                  <c:v>6.1380682616723851E-2</c:v>
                </c:pt>
                <c:pt idx="27">
                  <c:v>6.7734367882386501E-2</c:v>
                </c:pt>
                <c:pt idx="28">
                  <c:v>7.433535089710902E-2</c:v>
                </c:pt>
                <c:pt idx="29">
                  <c:v>8.133575974378103E-2</c:v>
                </c:pt>
                <c:pt idx="30">
                  <c:v>8.7002183868162886E-2</c:v>
                </c:pt>
                <c:pt idx="31">
                  <c:v>9.1813419880292971E-2</c:v>
                </c:pt>
                <c:pt idx="32">
                  <c:v>9.5978265752401842E-2</c:v>
                </c:pt>
                <c:pt idx="33">
                  <c:v>9.8913915974735644E-2</c:v>
                </c:pt>
                <c:pt idx="34">
                  <c:v>0.10065654269836391</c:v>
                </c:pt>
                <c:pt idx="35">
                  <c:v>0.10288265857900811</c:v>
                </c:pt>
                <c:pt idx="36">
                  <c:v>0.10593058496653392</c:v>
                </c:pt>
                <c:pt idx="37">
                  <c:v>0.10894402303856182</c:v>
                </c:pt>
                <c:pt idx="38">
                  <c:v>0.11153884637335194</c:v>
                </c:pt>
                <c:pt idx="39">
                  <c:v>0.11466756353724213</c:v>
                </c:pt>
                <c:pt idx="40">
                  <c:v>1.0276748899326265E-2</c:v>
                </c:pt>
                <c:pt idx="41">
                  <c:v>1.309896145887322E-2</c:v>
                </c:pt>
                <c:pt idx="42">
                  <c:v>1.5686901671286984E-2</c:v>
                </c:pt>
                <c:pt idx="43">
                  <c:v>1.8178427624370073E-2</c:v>
                </c:pt>
                <c:pt idx="44">
                  <c:v>2.0532430228211117E-2</c:v>
                </c:pt>
                <c:pt idx="45">
                  <c:v>2.2554185176091656E-2</c:v>
                </c:pt>
                <c:pt idx="46">
                  <c:v>2.4304815825168209E-2</c:v>
                </c:pt>
                <c:pt idx="47">
                  <c:v>2.6089143616502875E-2</c:v>
                </c:pt>
                <c:pt idx="48">
                  <c:v>2.8106869478341959E-2</c:v>
                </c:pt>
                <c:pt idx="49">
                  <c:v>3.0114257950617826E-2</c:v>
                </c:pt>
                <c:pt idx="50">
                  <c:v>3.1893589833026141E-2</c:v>
                </c:pt>
                <c:pt idx="51">
                  <c:v>3.3942734517135698E-2</c:v>
                </c:pt>
                <c:pt idx="52">
                  <c:v>1.1045859519857619E-2</c:v>
                </c:pt>
                <c:pt idx="53">
                  <c:v>1.5101385463141168E-2</c:v>
                </c:pt>
                <c:pt idx="54">
                  <c:v>1.8836165020990135E-2</c:v>
                </c:pt>
                <c:pt idx="55">
                  <c:v>2.2438324760809945E-2</c:v>
                </c:pt>
                <c:pt idx="56">
                  <c:v>2.5829714780681468E-2</c:v>
                </c:pt>
                <c:pt idx="57">
                  <c:v>2.8749675507846708E-2</c:v>
                </c:pt>
                <c:pt idx="58">
                  <c:v>3.1293100129629006E-2</c:v>
                </c:pt>
                <c:pt idx="59">
                  <c:v>3.3834071398117657E-2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3.7462356919169214E-8</c:v>
                </c:pt>
                <c:pt idx="1">
                  <c:v>4.1712922169250748E-8</c:v>
                </c:pt>
                <c:pt idx="2">
                  <c:v>7.838115383392926E-8</c:v>
                </c:pt>
                <c:pt idx="3">
                  <c:v>2.4662540913233035E-8</c:v>
                </c:pt>
                <c:pt idx="4">
                  <c:v>0</c:v>
                </c:pt>
                <c:pt idx="5">
                  <c:v>1.7016021344672509E-20</c:v>
                </c:pt>
                <c:pt idx="6">
                  <c:v>-1.9357241086780245E-20</c:v>
                </c:pt>
                <c:pt idx="7">
                  <c:v>6.7382604907311641E-9</c:v>
                </c:pt>
                <c:pt idx="8">
                  <c:v>2.7222280693491381E-6</c:v>
                </c:pt>
                <c:pt idx="9">
                  <c:v>7.9006045066196718E-6</c:v>
                </c:pt>
                <c:pt idx="10">
                  <c:v>1.4257013259139723E-5</c:v>
                </c:pt>
                <c:pt idx="11">
                  <c:v>1.196439297517959E-4</c:v>
                </c:pt>
                <c:pt idx="12">
                  <c:v>3.4581238622597586E-5</c:v>
                </c:pt>
                <c:pt idx="13">
                  <c:v>5.6889250774062676E-6</c:v>
                </c:pt>
                <c:pt idx="14">
                  <c:v>3.1290903945623531E-6</c:v>
                </c:pt>
                <c:pt idx="15">
                  <c:v>3.0684191425908951E-7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1.5950084421843349E-8</c:v>
                </c:pt>
                <c:pt idx="20">
                  <c:v>6.4056615396222675E-6</c:v>
                </c:pt>
                <c:pt idx="21">
                  <c:v>1.8905577543873612E-5</c:v>
                </c:pt>
                <c:pt idx="22">
                  <c:v>4.957183687181231E-5</c:v>
                </c:pt>
                <c:pt idx="23">
                  <c:v>3.143550663557463E-4</c:v>
                </c:pt>
                <c:pt idx="24">
                  <c:v>1.202830122322232E-4</c:v>
                </c:pt>
                <c:pt idx="25">
                  <c:v>1.4035361963018871E-5</c:v>
                </c:pt>
                <c:pt idx="26">
                  <c:v>7.1551954352948193E-6</c:v>
                </c:pt>
                <c:pt idx="27">
                  <c:v>6.6635015949272799E-7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2.5300112660422838E-8</c:v>
                </c:pt>
                <c:pt idx="32">
                  <c:v>1.0107417177314618E-5</c:v>
                </c:pt>
                <c:pt idx="33">
                  <c:v>2.9931640413614746E-5</c:v>
                </c:pt>
                <c:pt idx="34">
                  <c:v>8.4949080174664382E-5</c:v>
                </c:pt>
                <c:pt idx="35">
                  <c:v>5.0920798304248901E-4</c:v>
                </c:pt>
                <c:pt idx="36">
                  <c:v>2.0602013947771083E-4</c:v>
                </c:pt>
                <c:pt idx="37">
                  <c:v>2.2398411897751317E-5</c:v>
                </c:pt>
                <c:pt idx="38">
                  <c:v>1.1184483875798519E-5</c:v>
                </c:pt>
                <c:pt idx="39">
                  <c:v>1.0272901821825979E-6</c:v>
                </c:pt>
                <c:pt idx="40">
                  <c:v>0</c:v>
                </c:pt>
                <c:pt idx="41">
                  <c:v>0</c:v>
                </c:pt>
                <c:pt idx="42">
                  <c:v>-1.9357241086780245E-20</c:v>
                </c:pt>
                <c:pt idx="43">
                  <c:v>3.497422351260562E-8</c:v>
                </c:pt>
                <c:pt idx="44">
                  <c:v>1.4065429194557851E-5</c:v>
                </c:pt>
                <c:pt idx="45">
                  <c:v>4.2730416327231274E-5</c:v>
                </c:pt>
                <c:pt idx="46">
                  <c:v>1.522970860553057E-4</c:v>
                </c:pt>
                <c:pt idx="47">
                  <c:v>8.0966356829874277E-4</c:v>
                </c:pt>
                <c:pt idx="48">
                  <c:v>3.662814892535013E-4</c:v>
                </c:pt>
                <c:pt idx="49">
                  <c:v>3.3695068980495661E-5</c:v>
                </c:pt>
                <c:pt idx="50">
                  <c:v>1.5342559460126934E-5</c:v>
                </c:pt>
                <c:pt idx="51">
                  <c:v>1.4030688725332639E-6</c:v>
                </c:pt>
                <c:pt idx="52">
                  <c:v>0</c:v>
                </c:pt>
                <c:pt idx="53">
                  <c:v>-1.7016021344672509E-20</c:v>
                </c:pt>
                <c:pt idx="54">
                  <c:v>0</c:v>
                </c:pt>
                <c:pt idx="55">
                  <c:v>4.4670420300958817E-8</c:v>
                </c:pt>
                <c:pt idx="56">
                  <c:v>1.8028592304451102E-5</c:v>
                </c:pt>
                <c:pt idx="57">
                  <c:v>5.5541393836240938E-5</c:v>
                </c:pt>
                <c:pt idx="58">
                  <c:v>2.1973994587748169E-4</c:v>
                </c:pt>
                <c:pt idx="59">
                  <c:v>1.1103186742104068E-3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01312"/>
        <c:axId val="198501704"/>
      </c:lineChart>
      <c:dateAx>
        <c:axId val="198501312"/>
        <c:scaling>
          <c:orientation val="minMax"/>
          <c:max val="45261"/>
          <c:min val="43466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8501704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19850170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850131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28.589092868360403</c:v>
                </c:pt>
                <c:pt idx="1">
                  <c:v>28.739310876994786</c:v>
                </c:pt>
                <c:pt idx="2">
                  <c:v>28.899640914475054</c:v>
                </c:pt>
                <c:pt idx="3">
                  <c:v>29.06986948568828</c:v>
                </c:pt>
                <c:pt idx="4">
                  <c:v>29.249783091263794</c:v>
                </c:pt>
                <c:pt idx="5">
                  <c:v>29.439168235320718</c:v>
                </c:pt>
                <c:pt idx="6">
                  <c:v>29.637811418811118</c:v>
                </c:pt>
                <c:pt idx="7">
                  <c:v>29.845499145976127</c:v>
                </c:pt>
                <c:pt idx="8">
                  <c:v>30.064616386055995</c:v>
                </c:pt>
                <c:pt idx="9">
                  <c:v>30.297066098406528</c:v>
                </c:pt>
                <c:pt idx="10">
                  <c:v>30.54191174334516</c:v>
                </c:pt>
                <c:pt idx="11">
                  <c:v>30.798216804521633</c:v>
                </c:pt>
                <c:pt idx="12">
                  <c:v>31.065044744569523</c:v>
                </c:pt>
                <c:pt idx="13">
                  <c:v>31.341459043844672</c:v>
                </c:pt>
                <c:pt idx="14">
                  <c:v>31.626523168595732</c:v>
                </c:pt>
                <c:pt idx="15">
                  <c:v>31.919300592454359</c:v>
                </c:pt>
                <c:pt idx="16">
                  <c:v>32.218854785404567</c:v>
                </c:pt>
                <c:pt idx="17">
                  <c:v>32.524249226118222</c:v>
                </c:pt>
                <c:pt idx="18">
                  <c:v>32.83454738026645</c:v>
                </c:pt>
                <c:pt idx="19">
                  <c:v>33.148812724721864</c:v>
                </c:pt>
                <c:pt idx="20">
                  <c:v>33.466108728504544</c:v>
                </c:pt>
                <c:pt idx="21">
                  <c:v>33.785498863853412</c:v>
                </c:pt>
                <c:pt idx="22">
                  <c:v>34.110254540746773</c:v>
                </c:pt>
                <c:pt idx="23">
                  <c:v>34.443697168088732</c:v>
                </c:pt>
                <c:pt idx="24">
                  <c:v>34.784965233909126</c:v>
                </c:pt>
                <c:pt idx="25">
                  <c:v>35.133197219773507</c:v>
                </c:pt>
                <c:pt idx="26">
                  <c:v>35.4875316083466</c:v>
                </c:pt>
                <c:pt idx="27">
                  <c:v>35.847106883569026</c:v>
                </c:pt>
                <c:pt idx="28">
                  <c:v>36.211061526602542</c:v>
                </c:pt>
                <c:pt idx="29">
                  <c:v>36.578534017721431</c:v>
                </c:pt>
                <c:pt idx="30">
                  <c:v>36.948662846609061</c:v>
                </c:pt>
                <c:pt idx="31">
                  <c:v>37.31578325154117</c:v>
                </c:pt>
                <c:pt idx="32">
                  <c:v>37.683744888272962</c:v>
                </c:pt>
                <c:pt idx="33">
                  <c:v>38.051686306552718</c:v>
                </c:pt>
                <c:pt idx="34">
                  <c:v>38.418746498300862</c:v>
                </c:pt>
                <c:pt idx="35">
                  <c:v>38.784064899604012</c:v>
                </c:pt>
                <c:pt idx="36">
                  <c:v>39.150332402013845</c:v>
                </c:pt>
                <c:pt idx="37">
                  <c:v>39.520381977908514</c:v>
                </c:pt>
                <c:pt idx="38">
                  <c:v>39.893566771856221</c:v>
                </c:pt>
                <c:pt idx="39">
                  <c:v>40.269240253562444</c:v>
                </c:pt>
                <c:pt idx="40">
                  <c:v>40.646756227187758</c:v>
                </c:pt>
                <c:pt idx="41">
                  <c:v>41.025468829921621</c:v>
                </c:pt>
                <c:pt idx="42">
                  <c:v>41.404732531318615</c:v>
                </c:pt>
                <c:pt idx="43">
                  <c:v>41.783902134128716</c:v>
                </c:pt>
                <c:pt idx="44">
                  <c:v>42.16233277649355</c:v>
                </c:pt>
                <c:pt idx="45">
                  <c:v>42.539379922901624</c:v>
                </c:pt>
                <c:pt idx="46">
                  <c:v>42.914399367877735</c:v>
                </c:pt>
                <c:pt idx="47">
                  <c:v>43.286747236211887</c:v>
                </c:pt>
                <c:pt idx="48">
                  <c:v>43.655779979202656</c:v>
                </c:pt>
                <c:pt idx="49">
                  <c:v>44.020854377323836</c:v>
                </c:pt>
                <c:pt idx="50">
                  <c:v>44.382706021126459</c:v>
                </c:pt>
                <c:pt idx="51">
                  <c:v>44.742571325026091</c:v>
                </c:pt>
                <c:pt idx="52">
                  <c:v>45.100558508804205</c:v>
                </c:pt>
                <c:pt idx="53">
                  <c:v>45.456775740983808</c:v>
                </c:pt>
                <c:pt idx="54">
                  <c:v>45.811331131960777</c:v>
                </c:pt>
                <c:pt idx="55">
                  <c:v>46.164332736142455</c:v>
                </c:pt>
                <c:pt idx="56">
                  <c:v>46.515888549383583</c:v>
                </c:pt>
                <c:pt idx="57">
                  <c:v>46.866106515387763</c:v>
                </c:pt>
                <c:pt idx="58">
                  <c:v>47.215094510909061</c:v>
                </c:pt>
                <c:pt idx="59">
                  <c:v>47.56296035735938</c:v>
                </c:pt>
                <c:pt idx="60">
                  <c:v>47.909811814726403</c:v>
                </c:pt>
                <c:pt idx="61">
                  <c:v>48.255756583088363</c:v>
                </c:pt>
                <c:pt idx="62">
                  <c:v>48.600902301221367</c:v>
                </c:pt>
                <c:pt idx="63">
                  <c:v>48.945356546480582</c:v>
                </c:pt>
                <c:pt idx="64">
                  <c:v>49.290120369652655</c:v>
                </c:pt>
                <c:pt idx="65">
                  <c:v>49.63576547393113</c:v>
                </c:pt>
                <c:pt idx="66">
                  <c:v>49.981755560048235</c:v>
                </c:pt>
                <c:pt idx="67">
                  <c:v>50.327554583544703</c:v>
                </c:pt>
                <c:pt idx="68">
                  <c:v>50.672626757679943</c:v>
                </c:pt>
                <c:pt idx="69">
                  <c:v>51.016436554705038</c:v>
                </c:pt>
                <c:pt idx="70">
                  <c:v>51.358448703759343</c:v>
                </c:pt>
                <c:pt idx="71">
                  <c:v>51.698128183298707</c:v>
                </c:pt>
                <c:pt idx="72">
                  <c:v>52.034940223447855</c:v>
                </c:pt>
                <c:pt idx="73">
                  <c:v>52.368350317409032</c:v>
                </c:pt>
                <c:pt idx="74">
                  <c:v>52.697824210770975</c:v>
                </c:pt>
                <c:pt idx="75">
                  <c:v>53.022827904231256</c:v>
                </c:pt>
                <c:pt idx="76">
                  <c:v>53.342827648348667</c:v>
                </c:pt>
                <c:pt idx="77">
                  <c:v>53.657289947093261</c:v>
                </c:pt>
                <c:pt idx="78">
                  <c:v>53.968642891931331</c:v>
                </c:pt>
                <c:pt idx="79">
                  <c:v>54.279170646188895</c:v>
                </c:pt>
                <c:pt idx="80">
                  <c:v>54.588124268820238</c:v>
                </c:pt>
                <c:pt idx="81">
                  <c:v>54.894755189855609</c:v>
                </c:pt>
                <c:pt idx="82">
                  <c:v>55.198315199107036</c:v>
                </c:pt>
                <c:pt idx="83">
                  <c:v>55.498056445344361</c:v>
                </c:pt>
                <c:pt idx="84">
                  <c:v>55.793231435370046</c:v>
                </c:pt>
                <c:pt idx="85">
                  <c:v>56.083093038896408</c:v>
                </c:pt>
                <c:pt idx="86">
                  <c:v>56.36689449403773</c:v>
                </c:pt>
                <c:pt idx="87">
                  <c:v>56.643889386470086</c:v>
                </c:pt>
                <c:pt idx="88">
                  <c:v>56.913331661564634</c:v>
                </c:pt>
                <c:pt idx="89">
                  <c:v>57.174475623441253</c:v>
                </c:pt>
                <c:pt idx="90">
                  <c:v>57.426575940267682</c:v>
                </c:pt>
                <c:pt idx="91">
                  <c:v>57.668887638795368</c:v>
                </c:pt>
                <c:pt idx="92">
                  <c:v>57.902304465962757</c:v>
                </c:pt>
                <c:pt idx="93">
                  <c:v>58.128289506080456</c:v>
                </c:pt>
                <c:pt idx="94">
                  <c:v>58.346952025515662</c:v>
                </c:pt>
                <c:pt idx="95">
                  <c:v>58.558401223691178</c:v>
                </c:pt>
                <c:pt idx="96">
                  <c:v>58.762746237809772</c:v>
                </c:pt>
                <c:pt idx="97">
                  <c:v>58.960096148232225</c:v>
                </c:pt>
                <c:pt idx="98">
                  <c:v>59.150559974060151</c:v>
                </c:pt>
                <c:pt idx="99">
                  <c:v>59.33424666527808</c:v>
                </c:pt>
                <c:pt idx="100">
                  <c:v>59.511265117943189</c:v>
                </c:pt>
                <c:pt idx="101">
                  <c:v>59.681724180929152</c:v>
                </c:pt>
                <c:pt idx="102">
                  <c:v>59.845732643876275</c:v>
                </c:pt>
                <c:pt idx="103">
                  <c:v>60.003399247915695</c:v>
                </c:pt>
                <c:pt idx="104">
                  <c:v>60.15483267627269</c:v>
                </c:pt>
                <c:pt idx="105">
                  <c:v>60.300141565361486</c:v>
                </c:pt>
                <c:pt idx="106">
                  <c:v>60.438012328908592</c:v>
                </c:pt>
                <c:pt idx="107">
                  <c:v>60.567416435845765</c:v>
                </c:pt>
                <c:pt idx="108">
                  <c:v>60.68888988931262</c:v>
                </c:pt>
                <c:pt idx="109">
                  <c:v>60.802968425228926</c:v>
                </c:pt>
                <c:pt idx="110">
                  <c:v>60.910187518456333</c:v>
                </c:pt>
                <c:pt idx="111">
                  <c:v>61.011082388852181</c:v>
                </c:pt>
                <c:pt idx="112">
                  <c:v>61.106187999191292</c:v>
                </c:pt>
                <c:pt idx="113">
                  <c:v>61.196039054231782</c:v>
                </c:pt>
                <c:pt idx="114">
                  <c:v>61.281170026665215</c:v>
                </c:pt>
                <c:pt idx="115">
                  <c:v>61.362115117761107</c:v>
                </c:pt>
                <c:pt idx="116">
                  <c:v>61.439408273362012</c:v>
                </c:pt>
                <c:pt idx="117">
                  <c:v>61.513583188648155</c:v>
                </c:pt>
                <c:pt idx="118">
                  <c:v>61.585173307408901</c:v>
                </c:pt>
                <c:pt idx="119">
                  <c:v>61.654711826875243</c:v>
                </c:pt>
                <c:pt idx="120">
                  <c:v>61.720939370570655</c:v>
                </c:pt>
                <c:pt idx="121">
                  <c:v>61.782384313443139</c:v>
                </c:pt>
                <c:pt idx="122">
                  <c:v>61.839261232425976</c:v>
                </c:pt>
                <c:pt idx="123">
                  <c:v>61.891784606988587</c:v>
                </c:pt>
                <c:pt idx="124">
                  <c:v>61.940168841341958</c:v>
                </c:pt>
                <c:pt idx="125">
                  <c:v>61.984628261801809</c:v>
                </c:pt>
                <c:pt idx="126">
                  <c:v>62.025377114404925</c:v>
                </c:pt>
                <c:pt idx="127">
                  <c:v>62.062629574228865</c:v>
                </c:pt>
                <c:pt idx="128">
                  <c:v>62.096599738955675</c:v>
                </c:pt>
                <c:pt idx="129">
                  <c:v>62.127501631122151</c:v>
                </c:pt>
                <c:pt idx="130">
                  <c:v>62.155549203625981</c:v>
                </c:pt>
                <c:pt idx="131">
                  <c:v>62.180956334445433</c:v>
                </c:pt>
                <c:pt idx="132">
                  <c:v>62.203936830667423</c:v>
                </c:pt>
                <c:pt idx="133">
                  <c:v>62.22470442801766</c:v>
                </c:pt>
                <c:pt idx="134">
                  <c:v>62.242711095302511</c:v>
                </c:pt>
                <c:pt idx="135">
                  <c:v>62.257338279030726</c:v>
                </c:pt>
                <c:pt idx="136">
                  <c:v>62.268693866490871</c:v>
                </c:pt>
                <c:pt idx="137">
                  <c:v>62.276885728821298</c:v>
                </c:pt>
                <c:pt idx="138">
                  <c:v>62.282021723087141</c:v>
                </c:pt>
                <c:pt idx="139">
                  <c:v>62.284209687223104</c:v>
                </c:pt>
                <c:pt idx="140">
                  <c:v>62.283557445111022</c:v>
                </c:pt>
                <c:pt idx="141">
                  <c:v>62.280172800736338</c:v>
                </c:pt>
                <c:pt idx="142">
                  <c:v>62.274163540688726</c:v>
                </c:pt>
                <c:pt idx="143">
                  <c:v>62.26563742926048</c:v>
                </c:pt>
                <c:pt idx="144">
                  <c:v>62.254702208111318</c:v>
                </c:pt>
                <c:pt idx="145">
                  <c:v>62.241465596932812</c:v>
                </c:pt>
                <c:pt idx="146">
                  <c:v>62.226035287382004</c:v>
                </c:pt>
                <c:pt idx="147">
                  <c:v>62.208518942226902</c:v>
                </c:pt>
                <c:pt idx="148">
                  <c:v>62.188529111452347</c:v>
                </c:pt>
                <c:pt idx="149">
                  <c:v>62.165678567669303</c:v>
                </c:pt>
                <c:pt idx="150">
                  <c:v>62.140075262930623</c:v>
                </c:pt>
                <c:pt idx="151">
                  <c:v>62.111827108209667</c:v>
                </c:pt>
                <c:pt idx="152">
                  <c:v>62.081041972053747</c:v>
                </c:pt>
                <c:pt idx="153">
                  <c:v>62.047827678967259</c:v>
                </c:pt>
                <c:pt idx="154">
                  <c:v>62.012292002410625</c:v>
                </c:pt>
                <c:pt idx="155">
                  <c:v>61.974542664593329</c:v>
                </c:pt>
                <c:pt idx="156">
                  <c:v>61.934687330350677</c:v>
                </c:pt>
                <c:pt idx="157">
                  <c:v>61.892833605815355</c:v>
                </c:pt>
                <c:pt idx="158">
                  <c:v>61.849089034599373</c:v>
                </c:pt>
                <c:pt idx="159">
                  <c:v>61.803561093633022</c:v>
                </c:pt>
                <c:pt idx="160">
                  <c:v>61.756357187612636</c:v>
                </c:pt>
                <c:pt idx="161">
                  <c:v>61.707584651425869</c:v>
                </c:pt>
                <c:pt idx="162">
                  <c:v>61.657086000709548</c:v>
                </c:pt>
                <c:pt idx="163">
                  <c:v>61.604633221684367</c:v>
                </c:pt>
                <c:pt idx="164">
                  <c:v>61.55022777130241</c:v>
                </c:pt>
                <c:pt idx="165">
                  <c:v>61.493871076809953</c:v>
                </c:pt>
                <c:pt idx="166">
                  <c:v>61.435564529642306</c:v>
                </c:pt>
                <c:pt idx="167">
                  <c:v>61.375309484950883</c:v>
                </c:pt>
                <c:pt idx="168">
                  <c:v>61.313107256345631</c:v>
                </c:pt>
                <c:pt idx="169">
                  <c:v>61.248959116830861</c:v>
                </c:pt>
                <c:pt idx="170">
                  <c:v>61.182866294602114</c:v>
                </c:pt>
                <c:pt idx="171">
                  <c:v>61.114829972506641</c:v>
                </c:pt>
                <c:pt idx="172">
                  <c:v>61.044851283782286</c:v>
                </c:pt>
                <c:pt idx="173">
                  <c:v>60.972931315351616</c:v>
                </c:pt>
                <c:pt idx="174">
                  <c:v>60.899071102920168</c:v>
                </c:pt>
                <c:pt idx="175">
                  <c:v>60.823271633069872</c:v>
                </c:pt>
                <c:pt idx="176">
                  <c:v>60.745075778757808</c:v>
                </c:pt>
                <c:pt idx="177">
                  <c:v>60.664167519363147</c:v>
                </c:pt>
                <c:pt idx="178">
                  <c:v>60.580759340640505</c:v>
                </c:pt>
                <c:pt idx="179">
                  <c:v>60.495063571938971</c:v>
                </c:pt>
                <c:pt idx="180">
                  <c:v>60.40729238563425</c:v>
                </c:pt>
                <c:pt idx="181">
                  <c:v>60.317657800699131</c:v>
                </c:pt>
                <c:pt idx="182">
                  <c:v>60.226371684546017</c:v>
                </c:pt>
                <c:pt idx="183">
                  <c:v>60.133645755576836</c:v>
                </c:pt>
                <c:pt idx="184">
                  <c:v>60.039691584592553</c:v>
                </c:pt>
                <c:pt idx="185">
                  <c:v>59.944720598353861</c:v>
                </c:pt>
                <c:pt idx="186">
                  <c:v>59.848944083089059</c:v>
                </c:pt>
                <c:pt idx="187">
                  <c:v>59.752573187414853</c:v>
                </c:pt>
                <c:pt idx="188">
                  <c:v>59.655818925035526</c:v>
                </c:pt>
                <c:pt idx="189">
                  <c:v>59.558892179749009</c:v>
                </c:pt>
                <c:pt idx="190">
                  <c:v>59.461476094150349</c:v>
                </c:pt>
                <c:pt idx="191">
                  <c:v>59.363113266197523</c:v>
                </c:pt>
                <c:pt idx="192">
                  <c:v>59.263803651638803</c:v>
                </c:pt>
                <c:pt idx="193">
                  <c:v>59.16354719114991</c:v>
                </c:pt>
                <c:pt idx="194">
                  <c:v>59.062343812846912</c:v>
                </c:pt>
                <c:pt idx="195">
                  <c:v>58.960193435694109</c:v>
                </c:pt>
                <c:pt idx="196">
                  <c:v>58.857095973416392</c:v>
                </c:pt>
                <c:pt idx="197">
                  <c:v>58.753051335791106</c:v>
                </c:pt>
                <c:pt idx="198">
                  <c:v>58.648059433224773</c:v>
                </c:pt>
                <c:pt idx="199">
                  <c:v>58.542120178742586</c:v>
                </c:pt>
                <c:pt idx="200">
                  <c:v>58.43523349108353</c:v>
                </c:pt>
                <c:pt idx="201">
                  <c:v>58.327399296889311</c:v>
                </c:pt>
                <c:pt idx="202">
                  <c:v>58.218617534158206</c:v>
                </c:pt>
                <c:pt idx="203">
                  <c:v>58.108888152938214</c:v>
                </c:pt>
                <c:pt idx="204">
                  <c:v>57.998439363752865</c:v>
                </c:pt>
                <c:pt idx="205">
                  <c:v>57.887429063916279</c:v>
                </c:pt>
                <c:pt idx="206">
                  <c:v>57.775751796458508</c:v>
                </c:pt>
                <c:pt idx="207">
                  <c:v>57.66330217415981</c:v>
                </c:pt>
                <c:pt idx="208">
                  <c:v>57.549974881089994</c:v>
                </c:pt>
                <c:pt idx="209">
                  <c:v>57.435664673284428</c:v>
                </c:pt>
                <c:pt idx="210">
                  <c:v>57.320266379104154</c:v>
                </c:pt>
                <c:pt idx="211">
                  <c:v>57.203674899984463</c:v>
                </c:pt>
                <c:pt idx="212">
                  <c:v>57.085785210016461</c:v>
                </c:pt>
                <c:pt idx="213">
                  <c:v>56.966492355538939</c:v>
                </c:pt>
                <c:pt idx="214">
                  <c:v>56.845691456842495</c:v>
                </c:pt>
                <c:pt idx="215">
                  <c:v>56.723277705040694</c:v>
                </c:pt>
                <c:pt idx="216">
                  <c:v>56.599146363079321</c:v>
                </c:pt>
                <c:pt idx="217">
                  <c:v>56.473192765163532</c:v>
                </c:pt>
                <c:pt idx="218">
                  <c:v>56.345347371419017</c:v>
                </c:pt>
                <c:pt idx="219">
                  <c:v>56.215680904252203</c:v>
                </c:pt>
                <c:pt idx="220">
                  <c:v>56.084299120086392</c:v>
                </c:pt>
                <c:pt idx="221">
                  <c:v>55.951307743428913</c:v>
                </c:pt>
                <c:pt idx="222">
                  <c:v>55.816812465741222</c:v>
                </c:pt>
                <c:pt idx="223">
                  <c:v>55.680918945282436</c:v>
                </c:pt>
                <c:pt idx="224">
                  <c:v>55.543732805582486</c:v>
                </c:pt>
                <c:pt idx="225">
                  <c:v>55.405359509983711</c:v>
                </c:pt>
                <c:pt idx="226">
                  <c:v>55.265904608667626</c:v>
                </c:pt>
                <c:pt idx="227">
                  <c:v>55.125473614287763</c:v>
                </c:pt>
                <c:pt idx="228">
                  <c:v>54.984172000871098</c:v>
                </c:pt>
                <c:pt idx="229">
                  <c:v>54.84210520351899</c:v>
                </c:pt>
                <c:pt idx="230">
                  <c:v>54.699378616222099</c:v>
                </c:pt>
                <c:pt idx="231">
                  <c:v>54.556097593615362</c:v>
                </c:pt>
                <c:pt idx="232">
                  <c:v>54.413014937637008</c:v>
                </c:pt>
                <c:pt idx="233">
                  <c:v>54.270532894343205</c:v>
                </c:pt>
                <c:pt idx="234">
                  <c:v>54.128231496588882</c:v>
                </c:pt>
                <c:pt idx="235">
                  <c:v>53.985690976790522</c:v>
                </c:pt>
                <c:pt idx="236">
                  <c:v>53.842491767459776</c:v>
                </c:pt>
                <c:pt idx="237">
                  <c:v>53.698214501030442</c:v>
                </c:pt>
                <c:pt idx="238">
                  <c:v>53.552440006409654</c:v>
                </c:pt>
                <c:pt idx="239">
                  <c:v>53.404749182070319</c:v>
                </c:pt>
                <c:pt idx="240">
                  <c:v>53.254723376178283</c:v>
                </c:pt>
                <c:pt idx="241">
                  <c:v>53.101944010205571</c:v>
                </c:pt>
                <c:pt idx="242">
                  <c:v>52.945992698129494</c:v>
                </c:pt>
                <c:pt idx="243">
                  <c:v>52.786451251742932</c:v>
                </c:pt>
                <c:pt idx="244">
                  <c:v>52.622901673886616</c:v>
                </c:pt>
                <c:pt idx="245">
                  <c:v>52.454926165342663</c:v>
                </c:pt>
                <c:pt idx="246">
                  <c:v>52.28383681766087</c:v>
                </c:pt>
                <c:pt idx="247">
                  <c:v>52.111015163582628</c:v>
                </c:pt>
                <c:pt idx="248">
                  <c:v>51.936147858293467</c:v>
                </c:pt>
                <c:pt idx="249">
                  <c:v>51.758921444813758</c:v>
                </c:pt>
                <c:pt idx="250">
                  <c:v>51.579022613384375</c:v>
                </c:pt>
                <c:pt idx="251">
                  <c:v>51.396138202927659</c:v>
                </c:pt>
                <c:pt idx="252">
                  <c:v>51.209955198464058</c:v>
                </c:pt>
                <c:pt idx="253">
                  <c:v>51.020160501272876</c:v>
                </c:pt>
                <c:pt idx="254">
                  <c:v>50.826441518100907</c:v>
                </c:pt>
                <c:pt idx="255">
                  <c:v>50.628485667076937</c:v>
                </c:pt>
                <c:pt idx="256">
                  <c:v>50.425980510733723</c:v>
                </c:pt>
                <c:pt idx="257">
                  <c:v>50.218613749411851</c:v>
                </c:pt>
                <c:pt idx="258">
                  <c:v>50.006073222204947</c:v>
                </c:pt>
                <c:pt idx="259">
                  <c:v>49.788046902392928</c:v>
                </c:pt>
                <c:pt idx="260">
                  <c:v>49.564781123867796</c:v>
                </c:pt>
                <c:pt idx="261">
                  <c:v>49.336800690256325</c:v>
                </c:pt>
                <c:pt idx="262">
                  <c:v>49.104211950912742</c:v>
                </c:pt>
                <c:pt idx="263">
                  <c:v>48.867121341573025</c:v>
                </c:pt>
                <c:pt idx="264">
                  <c:v>48.625635242339733</c:v>
                </c:pt>
                <c:pt idx="265">
                  <c:v>48.379859971717877</c:v>
                </c:pt>
                <c:pt idx="266">
                  <c:v>48.129901786512747</c:v>
                </c:pt>
                <c:pt idx="267">
                  <c:v>47.875867553977571</c:v>
                </c:pt>
                <c:pt idx="268">
                  <c:v>47.617863616115883</c:v>
                </c:pt>
                <c:pt idx="269">
                  <c:v>47.355996023566505</c:v>
                </c:pt>
                <c:pt idx="270">
                  <c:v>47.090370749511997</c:v>
                </c:pt>
                <c:pt idx="271">
                  <c:v>46.821093690210276</c:v>
                </c:pt>
                <c:pt idx="272">
                  <c:v>46.548270662046939</c:v>
                </c:pt>
                <c:pt idx="273">
                  <c:v>46.27200740056707</c:v>
                </c:pt>
                <c:pt idx="274">
                  <c:v>45.991695384519389</c:v>
                </c:pt>
                <c:pt idx="275">
                  <c:v>45.706796583552759</c:v>
                </c:pt>
                <c:pt idx="276">
                  <c:v>45.417521841901724</c:v>
                </c:pt>
                <c:pt idx="277">
                  <c:v>45.124081381171706</c:v>
                </c:pt>
                <c:pt idx="278">
                  <c:v>44.826685272657237</c:v>
                </c:pt>
                <c:pt idx="279">
                  <c:v>44.525543444461924</c:v>
                </c:pt>
                <c:pt idx="280">
                  <c:v>44.220865676516574</c:v>
                </c:pt>
                <c:pt idx="281">
                  <c:v>43.912860865978814</c:v>
                </c:pt>
                <c:pt idx="282">
                  <c:v>43.601737869964794</c:v>
                </c:pt>
                <c:pt idx="283">
                  <c:v>43.287706043426518</c:v>
                </c:pt>
                <c:pt idx="284">
                  <c:v>42.970974593891334</c:v>
                </c:pt>
                <c:pt idx="285">
                  <c:v>42.651752579655067</c:v>
                </c:pt>
                <c:pt idx="286">
                  <c:v>42.330248912180579</c:v>
                </c:pt>
                <c:pt idx="287">
                  <c:v>42.006672357471658</c:v>
                </c:pt>
                <c:pt idx="288">
                  <c:v>41.678222278226244</c:v>
                </c:pt>
                <c:pt idx="289">
                  <c:v>41.342725389476421</c:v>
                </c:pt>
                <c:pt idx="290">
                  <c:v>41.0013301100226</c:v>
                </c:pt>
                <c:pt idx="291">
                  <c:v>40.655184936288393</c:v>
                </c:pt>
                <c:pt idx="292">
                  <c:v>40.305437865769292</c:v>
                </c:pt>
                <c:pt idx="293">
                  <c:v>39.953236405151074</c:v>
                </c:pt>
                <c:pt idx="294">
                  <c:v>39.599727582945988</c:v>
                </c:pt>
                <c:pt idx="295">
                  <c:v>39.246058701771865</c:v>
                </c:pt>
                <c:pt idx="296">
                  <c:v>38.89337650008985</c:v>
                </c:pt>
                <c:pt idx="297">
                  <c:v>38.542826583013877</c:v>
                </c:pt>
                <c:pt idx="298">
                  <c:v>38.195554110563513</c:v>
                </c:pt>
                <c:pt idx="299">
                  <c:v>37.852703811719962</c:v>
                </c:pt>
                <c:pt idx="300">
                  <c:v>37.515419985054564</c:v>
                </c:pt>
                <c:pt idx="301">
                  <c:v>37.184846511498428</c:v>
                </c:pt>
                <c:pt idx="302">
                  <c:v>36.858808791010389</c:v>
                </c:pt>
                <c:pt idx="303">
                  <c:v>36.534506767239549</c:v>
                </c:pt>
                <c:pt idx="304">
                  <c:v>36.212146971145664</c:v>
                </c:pt>
                <c:pt idx="305">
                  <c:v>35.891936053720066</c:v>
                </c:pt>
                <c:pt idx="306">
                  <c:v>35.574080602819699</c:v>
                </c:pt>
                <c:pt idx="307">
                  <c:v>35.258787153535046</c:v>
                </c:pt>
                <c:pt idx="308">
                  <c:v>34.946262188272861</c:v>
                </c:pt>
                <c:pt idx="309">
                  <c:v>34.636709519193481</c:v>
                </c:pt>
                <c:pt idx="310">
                  <c:v>34.330334969327673</c:v>
                </c:pt>
                <c:pt idx="311">
                  <c:v>34.027344994553665</c:v>
                </c:pt>
                <c:pt idx="312">
                  <c:v>33.72794601456539</c:v>
                </c:pt>
                <c:pt idx="313">
                  <c:v>33.432344419254534</c:v>
                </c:pt>
                <c:pt idx="314">
                  <c:v>33.140746569121347</c:v>
                </c:pt>
                <c:pt idx="315">
                  <c:v>32.853358798347173</c:v>
                </c:pt>
                <c:pt idx="316">
                  <c:v>32.567836889432222</c:v>
                </c:pt>
                <c:pt idx="317">
                  <c:v>32.282320445474269</c:v>
                </c:pt>
                <c:pt idx="318">
                  <c:v>31.997746420635142</c:v>
                </c:pt>
                <c:pt idx="319">
                  <c:v>31.715050687648517</c:v>
                </c:pt>
                <c:pt idx="320">
                  <c:v>31.435168846619664</c:v>
                </c:pt>
                <c:pt idx="321">
                  <c:v>31.159036212280078</c:v>
                </c:pt>
                <c:pt idx="322">
                  <c:v>30.887587824942983</c:v>
                </c:pt>
                <c:pt idx="323">
                  <c:v>30.6217560921779</c:v>
                </c:pt>
                <c:pt idx="324">
                  <c:v>30.362477824354446</c:v>
                </c:pt>
                <c:pt idx="325">
                  <c:v>30.110687198788597</c:v>
                </c:pt>
                <c:pt idx="326">
                  <c:v>29.867318108421959</c:v>
                </c:pt>
                <c:pt idx="327">
                  <c:v>29.633304145228685</c:v>
                </c:pt>
                <c:pt idx="328">
                  <c:v>29.409578597102126</c:v>
                </c:pt>
                <c:pt idx="329">
                  <c:v>29.197074432253178</c:v>
                </c:pt>
                <c:pt idx="330">
                  <c:v>28.993709140584563</c:v>
                </c:pt>
                <c:pt idx="331">
                  <c:v>28.796982166778648</c:v>
                </c:pt>
                <c:pt idx="332">
                  <c:v>28.607206171026114</c:v>
                </c:pt>
                <c:pt idx="333">
                  <c:v>28.424691189031346</c:v>
                </c:pt>
                <c:pt idx="334">
                  <c:v>28.249747156845679</c:v>
                </c:pt>
                <c:pt idx="335">
                  <c:v>28.082683928971029</c:v>
                </c:pt>
                <c:pt idx="336">
                  <c:v>27.923811260590433</c:v>
                </c:pt>
                <c:pt idx="337">
                  <c:v>27.77343918883119</c:v>
                </c:pt>
                <c:pt idx="338">
                  <c:v>27.63187936848696</c:v>
                </c:pt>
                <c:pt idx="339">
                  <c:v>27.499441207192021</c:v>
                </c:pt>
                <c:pt idx="340">
                  <c:v>27.376434013944746</c:v>
                </c:pt>
                <c:pt idx="341">
                  <c:v>27.263166982918371</c:v>
                </c:pt>
                <c:pt idx="342">
                  <c:v>27.15994920467649</c:v>
                </c:pt>
                <c:pt idx="343">
                  <c:v>27.067089645880788</c:v>
                </c:pt>
                <c:pt idx="344">
                  <c:v>26.983483852182435</c:v>
                </c:pt>
                <c:pt idx="345">
                  <c:v>26.908015383248593</c:v>
                </c:pt>
                <c:pt idx="346">
                  <c:v>26.840986923568398</c:v>
                </c:pt>
                <c:pt idx="347">
                  <c:v>26.782689083688823</c:v>
                </c:pt>
                <c:pt idx="348">
                  <c:v>26.733412371687759</c:v>
                </c:pt>
                <c:pt idx="349">
                  <c:v>26.693447201202467</c:v>
                </c:pt>
                <c:pt idx="350">
                  <c:v>26.663083872311127</c:v>
                </c:pt>
                <c:pt idx="351">
                  <c:v>26.642621527668005</c:v>
                </c:pt>
                <c:pt idx="352">
                  <c:v>26.632349825560755</c:v>
                </c:pt>
                <c:pt idx="353">
                  <c:v>26.632558683143291</c:v>
                </c:pt>
                <c:pt idx="354">
                  <c:v>26.643537906710311</c:v>
                </c:pt>
                <c:pt idx="355">
                  <c:v>26.6655771844989</c:v>
                </c:pt>
                <c:pt idx="356">
                  <c:v>26.698966129404145</c:v>
                </c:pt>
                <c:pt idx="357">
                  <c:v>26.743994159597147</c:v>
                </c:pt>
                <c:pt idx="358">
                  <c:v>26.800699082472388</c:v>
                </c:pt>
                <c:pt idx="359">
                  <c:v>26.868786703584249</c:v>
                </c:pt>
                <c:pt idx="360">
                  <c:v>26.94804879100791</c:v>
                </c:pt>
                <c:pt idx="361">
                  <c:v>27.038267983082573</c:v>
                </c:pt>
                <c:pt idx="362">
                  <c:v>27.139235844888489</c:v>
                </c:pt>
                <c:pt idx="363">
                  <c:v>27.25074400299421</c:v>
                </c:pt>
                <c:pt idx="364">
                  <c:v>27.372584137201571</c:v>
                </c:pt>
                <c:pt idx="365">
                  <c:v>28.589092873434225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69">
                  <c:v>8.4489999999999998</c:v>
                </c:pt>
                <c:pt idx="70">
                  <c:v>45.325000000000003</c:v>
                </c:pt>
                <c:pt idx="71">
                  <c:v>27.33</c:v>
                </c:pt>
                <c:pt idx="72">
                  <c:v>25.468</c:v>
                </c:pt>
                <c:pt idx="73">
                  <c:v>12.98</c:v>
                </c:pt>
                <c:pt idx="74">
                  <c:v>50.070999999999998</c:v>
                </c:pt>
                <c:pt idx="75">
                  <c:v>15.760999999999999</c:v>
                </c:pt>
                <c:pt idx="76">
                  <c:v>35.951000000000001</c:v>
                </c:pt>
                <c:pt idx="77">
                  <c:v>12.385999999999999</c:v>
                </c:pt>
                <c:pt idx="78">
                  <c:v>52.890999999999998</c:v>
                </c:pt>
                <c:pt idx="79">
                  <c:v>52.713000000000001</c:v>
                </c:pt>
                <c:pt idx="80">
                  <c:v>51.292999999999999</c:v>
                </c:pt>
                <c:pt idx="81">
                  <c:v>48.139000000000003</c:v>
                </c:pt>
                <c:pt idx="82">
                  <c:v>52.584000000000003</c:v>
                </c:pt>
                <c:pt idx="83">
                  <c:v>45.759</c:v>
                </c:pt>
                <c:pt idx="84">
                  <c:v>56.151000000000003</c:v>
                </c:pt>
                <c:pt idx="85">
                  <c:v>55.44</c:v>
                </c:pt>
                <c:pt idx="86">
                  <c:v>53.976999999999997</c:v>
                </c:pt>
                <c:pt idx="87">
                  <c:v>55.264000000000003</c:v>
                </c:pt>
                <c:pt idx="88">
                  <c:v>56.331000000000003</c:v>
                </c:pt>
                <c:pt idx="89">
                  <c:v>49.469000000000001</c:v>
                </c:pt>
                <c:pt idx="90">
                  <c:v>40.826000000000001</c:v>
                </c:pt>
                <c:pt idx="91">
                  <c:v>15.173</c:v>
                </c:pt>
                <c:pt idx="92">
                  <c:v>15.244999999999999</c:v>
                </c:pt>
                <c:pt idx="93">
                  <c:v>37.435000000000002</c:v>
                </c:pt>
                <c:pt idx="94">
                  <c:v>53.64</c:v>
                </c:pt>
                <c:pt idx="95">
                  <c:v>17.911999999999999</c:v>
                </c:pt>
                <c:pt idx="96">
                  <c:v>31.536999999999999</c:v>
                </c:pt>
                <c:pt idx="97">
                  <c:v>36.951999999999998</c:v>
                </c:pt>
                <c:pt idx="98">
                  <c:v>38.774999999999999</c:v>
                </c:pt>
                <c:pt idx="99">
                  <c:v>35.704999999999998</c:v>
                </c:pt>
                <c:pt idx="100">
                  <c:v>9.2609999999999992</c:v>
                </c:pt>
                <c:pt idx="101">
                  <c:v>58.402000000000001</c:v>
                </c:pt>
                <c:pt idx="102">
                  <c:v>58.991999999999997</c:v>
                </c:pt>
                <c:pt idx="103">
                  <c:v>29.927</c:v>
                </c:pt>
                <c:pt idx="104">
                  <c:v>42.234999999999999</c:v>
                </c:pt>
                <c:pt idx="105">
                  <c:v>33.524999999999999</c:v>
                </c:pt>
                <c:pt idx="106">
                  <c:v>39.500999999999998</c:v>
                </c:pt>
                <c:pt idx="107">
                  <c:v>29.824000000000002</c:v>
                </c:pt>
                <c:pt idx="108">
                  <c:v>50.438000000000002</c:v>
                </c:pt>
                <c:pt idx="109">
                  <c:v>56.607999999999997</c:v>
                </c:pt>
                <c:pt idx="110">
                  <c:v>19.233000000000001</c:v>
                </c:pt>
                <c:pt idx="111">
                  <c:v>33.637999999999998</c:v>
                </c:pt>
                <c:pt idx="112">
                  <c:v>38.488</c:v>
                </c:pt>
                <c:pt idx="113">
                  <c:v>52.552</c:v>
                </c:pt>
                <c:pt idx="114">
                  <c:v>35.408999999999999</c:v>
                </c:pt>
                <c:pt idx="115">
                  <c:v>28.692</c:v>
                </c:pt>
                <c:pt idx="116">
                  <c:v>28.135000000000002</c:v>
                </c:pt>
                <c:pt idx="117">
                  <c:v>47.908000000000001</c:v>
                </c:pt>
                <c:pt idx="118">
                  <c:v>48.518999999999998</c:v>
                </c:pt>
                <c:pt idx="119">
                  <c:v>61.607999999999997</c:v>
                </c:pt>
                <c:pt idx="120">
                  <c:v>58.05</c:v>
                </c:pt>
                <c:pt idx="121">
                  <c:v>31.545999999999999</c:v>
                </c:pt>
                <c:pt idx="122">
                  <c:v>19.904</c:v>
                </c:pt>
                <c:pt idx="123">
                  <c:v>34.51</c:v>
                </c:pt>
                <c:pt idx="124">
                  <c:v>50.89</c:v>
                </c:pt>
                <c:pt idx="125">
                  <c:v>63.454000000000001</c:v>
                </c:pt>
                <c:pt idx="126">
                  <c:v>49.737000000000002</c:v>
                </c:pt>
                <c:pt idx="127">
                  <c:v>33.871000000000002</c:v>
                </c:pt>
                <c:pt idx="128">
                  <c:v>49.418999999999997</c:v>
                </c:pt>
                <c:pt idx="129">
                  <c:v>39.689</c:v>
                </c:pt>
                <c:pt idx="130">
                  <c:v>37.107999999999997</c:v>
                </c:pt>
                <c:pt idx="131">
                  <c:v>53.503999999999998</c:v>
                </c:pt>
                <c:pt idx="132">
                  <c:v>64.227000000000004</c:v>
                </c:pt>
                <c:pt idx="133">
                  <c:v>62.598999999999997</c:v>
                </c:pt>
                <c:pt idx="134">
                  <c:v>62.887999999999998</c:v>
                </c:pt>
                <c:pt idx="135">
                  <c:v>56.374000000000002</c:v>
                </c:pt>
                <c:pt idx="136">
                  <c:v>6.367</c:v>
                </c:pt>
                <c:pt idx="137">
                  <c:v>37.018000000000001</c:v>
                </c:pt>
                <c:pt idx="138">
                  <c:v>26.152000000000001</c:v>
                </c:pt>
                <c:pt idx="139">
                  <c:v>49.313000000000002</c:v>
                </c:pt>
                <c:pt idx="140">
                  <c:v>48.503</c:v>
                </c:pt>
                <c:pt idx="141">
                  <c:v>59.338000000000001</c:v>
                </c:pt>
                <c:pt idx="142">
                  <c:v>55.389000000000003</c:v>
                </c:pt>
                <c:pt idx="143">
                  <c:v>12.382999999999999</c:v>
                </c:pt>
                <c:pt idx="144">
                  <c:v>23.859000000000002</c:v>
                </c:pt>
                <c:pt idx="145">
                  <c:v>23.213999999999999</c:v>
                </c:pt>
                <c:pt idx="146">
                  <c:v>29.463000000000001</c:v>
                </c:pt>
                <c:pt idx="147">
                  <c:v>27.335999999999999</c:v>
                </c:pt>
                <c:pt idx="148">
                  <c:v>37.53</c:v>
                </c:pt>
                <c:pt idx="149">
                  <c:v>56.936999999999998</c:v>
                </c:pt>
                <c:pt idx="150">
                  <c:v>60.933</c:v>
                </c:pt>
                <c:pt idx="151">
                  <c:v>62.558999999999997</c:v>
                </c:pt>
                <c:pt idx="152">
                  <c:v>62.045000000000002</c:v>
                </c:pt>
                <c:pt idx="153">
                  <c:v>45.119</c:v>
                </c:pt>
                <c:pt idx="154">
                  <c:v>58.308999999999997</c:v>
                </c:pt>
                <c:pt idx="155">
                  <c:v>9.9120000000000008</c:v>
                </c:pt>
                <c:pt idx="156">
                  <c:v>53.546999999999997</c:v>
                </c:pt>
                <c:pt idx="157">
                  <c:v>22.8</c:v>
                </c:pt>
                <c:pt idx="158">
                  <c:v>62.753999999999998</c:v>
                </c:pt>
                <c:pt idx="159">
                  <c:v>49.792000000000002</c:v>
                </c:pt>
                <c:pt idx="160">
                  <c:v>20.658999999999999</c:v>
                </c:pt>
                <c:pt idx="161">
                  <c:v>31.116</c:v>
                </c:pt>
                <c:pt idx="162">
                  <c:v>57.652999999999999</c:v>
                </c:pt>
                <c:pt idx="163">
                  <c:v>64.453999999999994</c:v>
                </c:pt>
                <c:pt idx="164">
                  <c:v>24.619</c:v>
                </c:pt>
                <c:pt idx="165">
                  <c:v>24.768000000000001</c:v>
                </c:pt>
                <c:pt idx="166">
                  <c:v>61.817</c:v>
                </c:pt>
                <c:pt idx="167">
                  <c:v>60.656999999999996</c:v>
                </c:pt>
                <c:pt idx="168">
                  <c:v>56.37</c:v>
                </c:pt>
                <c:pt idx="169">
                  <c:v>51.712000000000003</c:v>
                </c:pt>
                <c:pt idx="170">
                  <c:v>31.143999999999998</c:v>
                </c:pt>
                <c:pt idx="171">
                  <c:v>11.185</c:v>
                </c:pt>
                <c:pt idx="172">
                  <c:v>50.573</c:v>
                </c:pt>
                <c:pt idx="173">
                  <c:v>53.264000000000003</c:v>
                </c:pt>
                <c:pt idx="174">
                  <c:v>40.957999999999998</c:v>
                </c:pt>
                <c:pt idx="175">
                  <c:v>52.332000000000001</c:v>
                </c:pt>
                <c:pt idx="176">
                  <c:v>59.453000000000003</c:v>
                </c:pt>
                <c:pt idx="177">
                  <c:v>58.95</c:v>
                </c:pt>
                <c:pt idx="178">
                  <c:v>54.209000000000003</c:v>
                </c:pt>
                <c:pt idx="179">
                  <c:v>56.189</c:v>
                </c:pt>
                <c:pt idx="180">
                  <c:v>47.649000000000001</c:v>
                </c:pt>
                <c:pt idx="181">
                  <c:v>17.196000000000002</c:v>
                </c:pt>
                <c:pt idx="182">
                  <c:v>29.408999999999999</c:v>
                </c:pt>
                <c:pt idx="183">
                  <c:v>48.621000000000002</c:v>
                </c:pt>
                <c:pt idx="184">
                  <c:v>56.912999999999997</c:v>
                </c:pt>
                <c:pt idx="185">
                  <c:v>56.351999999999997</c:v>
                </c:pt>
                <c:pt idx="186">
                  <c:v>54.265999999999998</c:v>
                </c:pt>
                <c:pt idx="187">
                  <c:v>50.030999999999999</c:v>
                </c:pt>
                <c:pt idx="188">
                  <c:v>37.902999999999999</c:v>
                </c:pt>
                <c:pt idx="189">
                  <c:v>20.221</c:v>
                </c:pt>
                <c:pt idx="190">
                  <c:v>55.942999999999998</c:v>
                </c:pt>
                <c:pt idx="191">
                  <c:v>58.843000000000004</c:v>
                </c:pt>
                <c:pt idx="192">
                  <c:v>58.817999999999998</c:v>
                </c:pt>
                <c:pt idx="193">
                  <c:v>52.302999999999997</c:v>
                </c:pt>
                <c:pt idx="194">
                  <c:v>59.167999999999999</c:v>
                </c:pt>
                <c:pt idx="195">
                  <c:v>60.744</c:v>
                </c:pt>
                <c:pt idx="196">
                  <c:v>59.186999999999998</c:v>
                </c:pt>
                <c:pt idx="197">
                  <c:v>52.719000000000001</c:v>
                </c:pt>
                <c:pt idx="198">
                  <c:v>35.462000000000003</c:v>
                </c:pt>
                <c:pt idx="199">
                  <c:v>57.488</c:v>
                </c:pt>
                <c:pt idx="200">
                  <c:v>27.146999999999998</c:v>
                </c:pt>
                <c:pt idx="201">
                  <c:v>44.904000000000003</c:v>
                </c:pt>
                <c:pt idx="202">
                  <c:v>50.21</c:v>
                </c:pt>
                <c:pt idx="203">
                  <c:v>55.784999999999997</c:v>
                </c:pt>
                <c:pt idx="204">
                  <c:v>55.886000000000003</c:v>
                </c:pt>
                <c:pt idx="205">
                  <c:v>56.768999999999998</c:v>
                </c:pt>
                <c:pt idx="206">
                  <c:v>21.748999999999999</c:v>
                </c:pt>
                <c:pt idx="207">
                  <c:v>12.912000000000001</c:v>
                </c:pt>
                <c:pt idx="208">
                  <c:v>50.048000000000002</c:v>
                </c:pt>
                <c:pt idx="209">
                  <c:v>57.822000000000003</c:v>
                </c:pt>
                <c:pt idx="210">
                  <c:v>27.553000000000001</c:v>
                </c:pt>
                <c:pt idx="211">
                  <c:v>56.622</c:v>
                </c:pt>
                <c:pt idx="212">
                  <c:v>46.658999999999999</c:v>
                </c:pt>
                <c:pt idx="213">
                  <c:v>54.787999999999997</c:v>
                </c:pt>
                <c:pt idx="214">
                  <c:v>55.877000000000002</c:v>
                </c:pt>
                <c:pt idx="215">
                  <c:v>54.026000000000003</c:v>
                </c:pt>
                <c:pt idx="216">
                  <c:v>53.033000000000001</c:v>
                </c:pt>
                <c:pt idx="217">
                  <c:v>40.154000000000003</c:v>
                </c:pt>
                <c:pt idx="218">
                  <c:v>41.682000000000002</c:v>
                </c:pt>
                <c:pt idx="219">
                  <c:v>53.189</c:v>
                </c:pt>
                <c:pt idx="220">
                  <c:v>52.875</c:v>
                </c:pt>
                <c:pt idx="221">
                  <c:v>39.710999999999999</c:v>
                </c:pt>
                <c:pt idx="222">
                  <c:v>26.128</c:v>
                </c:pt>
                <c:pt idx="223">
                  <c:v>27.725999999999999</c:v>
                </c:pt>
                <c:pt idx="224">
                  <c:v>48.948999999999998</c:v>
                </c:pt>
                <c:pt idx="225">
                  <c:v>55.862000000000002</c:v>
                </c:pt>
                <c:pt idx="226">
                  <c:v>27.617000000000001</c:v>
                </c:pt>
                <c:pt idx="227">
                  <c:v>55.478999999999999</c:v>
                </c:pt>
                <c:pt idx="228">
                  <c:v>53.531999999999996</c:v>
                </c:pt>
                <c:pt idx="229">
                  <c:v>42.374000000000002</c:v>
                </c:pt>
                <c:pt idx="230">
                  <c:v>34.935000000000002</c:v>
                </c:pt>
                <c:pt idx="231">
                  <c:v>27.585999999999999</c:v>
                </c:pt>
                <c:pt idx="232">
                  <c:v>49.116</c:v>
                </c:pt>
                <c:pt idx="233">
                  <c:v>55.503</c:v>
                </c:pt>
                <c:pt idx="234">
                  <c:v>52.966999999999999</c:v>
                </c:pt>
                <c:pt idx="235">
                  <c:v>53.360999999999997</c:v>
                </c:pt>
                <c:pt idx="236">
                  <c:v>43.246000000000002</c:v>
                </c:pt>
                <c:pt idx="237">
                  <c:v>46.661999999999999</c:v>
                </c:pt>
                <c:pt idx="238">
                  <c:v>32.753</c:v>
                </c:pt>
                <c:pt idx="239">
                  <c:v>35.570999999999998</c:v>
                </c:pt>
                <c:pt idx="240">
                  <c:v>50.331000000000003</c:v>
                </c:pt>
                <c:pt idx="241">
                  <c:v>49.780999999999999</c:v>
                </c:pt>
                <c:pt idx="242">
                  <c:v>48.637</c:v>
                </c:pt>
                <c:pt idx="243">
                  <c:v>17.131</c:v>
                </c:pt>
                <c:pt idx="244">
                  <c:v>51.436999999999998</c:v>
                </c:pt>
                <c:pt idx="245">
                  <c:v>53.28</c:v>
                </c:pt>
                <c:pt idx="246">
                  <c:v>53.073</c:v>
                </c:pt>
                <c:pt idx="247">
                  <c:v>36.085000000000001</c:v>
                </c:pt>
                <c:pt idx="248">
                  <c:v>54.024999999999999</c:v>
                </c:pt>
                <c:pt idx="249">
                  <c:v>50.771000000000001</c:v>
                </c:pt>
                <c:pt idx="250">
                  <c:v>48.252000000000002</c:v>
                </c:pt>
                <c:pt idx="251">
                  <c:v>44.064999999999998</c:v>
                </c:pt>
                <c:pt idx="252">
                  <c:v>13.851000000000001</c:v>
                </c:pt>
                <c:pt idx="253">
                  <c:v>43.511000000000003</c:v>
                </c:pt>
                <c:pt idx="254">
                  <c:v>50.386000000000003</c:v>
                </c:pt>
                <c:pt idx="255">
                  <c:v>42.933</c:v>
                </c:pt>
                <c:pt idx="256">
                  <c:v>39.718000000000004</c:v>
                </c:pt>
                <c:pt idx="257">
                  <c:v>41.152000000000001</c:v>
                </c:pt>
                <c:pt idx="258">
                  <c:v>43.776000000000003</c:v>
                </c:pt>
                <c:pt idx="259">
                  <c:v>42.847999999999999</c:v>
                </c:pt>
                <c:pt idx="260">
                  <c:v>26.808</c:v>
                </c:pt>
                <c:pt idx="261">
                  <c:v>40.213000000000001</c:v>
                </c:pt>
                <c:pt idx="262">
                  <c:v>46.963999999999999</c:v>
                </c:pt>
                <c:pt idx="263">
                  <c:v>32.792000000000002</c:v>
                </c:pt>
                <c:pt idx="264">
                  <c:v>8.7140000000000004</c:v>
                </c:pt>
                <c:pt idx="265">
                  <c:v>41.372</c:v>
                </c:pt>
                <c:pt idx="266">
                  <c:v>29.449000000000002</c:v>
                </c:pt>
                <c:pt idx="267">
                  <c:v>29.288</c:v>
                </c:pt>
                <c:pt idx="268">
                  <c:v>38.57</c:v>
                </c:pt>
                <c:pt idx="269">
                  <c:v>40.167000000000002</c:v>
                </c:pt>
                <c:pt idx="270">
                  <c:v>35.764000000000003</c:v>
                </c:pt>
                <c:pt idx="271">
                  <c:v>44.707000000000001</c:v>
                </c:pt>
                <c:pt idx="272">
                  <c:v>24.039000000000001</c:v>
                </c:pt>
                <c:pt idx="273">
                  <c:v>36.771000000000001</c:v>
                </c:pt>
                <c:pt idx="274">
                  <c:v>23.105</c:v>
                </c:pt>
                <c:pt idx="275">
                  <c:v>32.573999999999998</c:v>
                </c:pt>
                <c:pt idx="276">
                  <c:v>10.16</c:v>
                </c:pt>
                <c:pt idx="277">
                  <c:v>39.451000000000001</c:v>
                </c:pt>
                <c:pt idx="278">
                  <c:v>18.7</c:v>
                </c:pt>
                <c:pt idx="279">
                  <c:v>33.090000000000003</c:v>
                </c:pt>
                <c:pt idx="280">
                  <c:v>40.558</c:v>
                </c:pt>
                <c:pt idx="281">
                  <c:v>9.4600000000000009</c:v>
                </c:pt>
                <c:pt idx="282">
                  <c:v>31.108000000000001</c:v>
                </c:pt>
                <c:pt idx="283">
                  <c:v>42.018999999999998</c:v>
                </c:pt>
                <c:pt idx="284">
                  <c:v>19.968</c:v>
                </c:pt>
                <c:pt idx="285">
                  <c:v>39.911999999999999</c:v>
                </c:pt>
                <c:pt idx="286">
                  <c:v>14.933</c:v>
                </c:pt>
                <c:pt idx="287">
                  <c:v>32.125999999999998</c:v>
                </c:pt>
                <c:pt idx="288">
                  <c:v>35.909999999999997</c:v>
                </c:pt>
                <c:pt idx="289">
                  <c:v>18.937000000000001</c:v>
                </c:pt>
                <c:pt idx="290">
                  <c:v>15.42</c:v>
                </c:pt>
                <c:pt idx="291">
                  <c:v>28.997</c:v>
                </c:pt>
                <c:pt idx="292">
                  <c:v>13.148</c:v>
                </c:pt>
                <c:pt idx="293">
                  <c:v>22.486000000000001</c:v>
                </c:pt>
                <c:pt idx="294">
                  <c:v>4.7720000000000002</c:v>
                </c:pt>
                <c:pt idx="295">
                  <c:v>15.917999999999999</c:v>
                </c:pt>
                <c:pt idx="296">
                  <c:v>17.864000000000001</c:v>
                </c:pt>
                <c:pt idx="297">
                  <c:v>28.667999999999999</c:v>
                </c:pt>
                <c:pt idx="298">
                  <c:v>37.265999999999998</c:v>
                </c:pt>
                <c:pt idx="299">
                  <c:v>27.699000000000002</c:v>
                </c:pt>
                <c:pt idx="300">
                  <c:v>9.6440000000000001</c:v>
                </c:pt>
                <c:pt idx="301">
                  <c:v>28.593</c:v>
                </c:pt>
                <c:pt idx="302">
                  <c:v>21.777999999999999</c:v>
                </c:pt>
                <c:pt idx="303">
                  <c:v>16.25</c:v>
                </c:pt>
                <c:pt idx="304">
                  <c:v>6.93</c:v>
                </c:pt>
                <c:pt idx="305">
                  <c:v>5.4580000000000002</c:v>
                </c:pt>
                <c:pt idx="306">
                  <c:v>13.66</c:v>
                </c:pt>
                <c:pt idx="307">
                  <c:v>15.422000000000001</c:v>
                </c:pt>
                <c:pt idx="308">
                  <c:v>13.895</c:v>
                </c:pt>
                <c:pt idx="309">
                  <c:v>13.816000000000001</c:v>
                </c:pt>
                <c:pt idx="310">
                  <c:v>4.2300000000000004</c:v>
                </c:pt>
                <c:pt idx="311">
                  <c:v>13.87</c:v>
                </c:pt>
                <c:pt idx="312">
                  <c:v>22.15</c:v>
                </c:pt>
                <c:pt idx="313">
                  <c:v>20.835000000000001</c:v>
                </c:pt>
                <c:pt idx="314">
                  <c:v>25.088000000000001</c:v>
                </c:pt>
                <c:pt idx="315">
                  <c:v>19.268999999999998</c:v>
                </c:pt>
                <c:pt idx="316">
                  <c:v>18.449000000000002</c:v>
                </c:pt>
                <c:pt idx="317">
                  <c:v>5.742</c:v>
                </c:pt>
                <c:pt idx="318">
                  <c:v>13.689</c:v>
                </c:pt>
                <c:pt idx="319">
                  <c:v>15.875</c:v>
                </c:pt>
                <c:pt idx="320">
                  <c:v>12.417</c:v>
                </c:pt>
                <c:pt idx="321">
                  <c:v>12.037000000000001</c:v>
                </c:pt>
                <c:pt idx="322">
                  <c:v>17.385999999999999</c:v>
                </c:pt>
                <c:pt idx="323">
                  <c:v>31.45</c:v>
                </c:pt>
                <c:pt idx="324">
                  <c:v>28.9</c:v>
                </c:pt>
                <c:pt idx="325">
                  <c:v>15.21</c:v>
                </c:pt>
                <c:pt idx="326">
                  <c:v>8.3539999999999992</c:v>
                </c:pt>
                <c:pt idx="327">
                  <c:v>14.837</c:v>
                </c:pt>
                <c:pt idx="328">
                  <c:v>12.491</c:v>
                </c:pt>
                <c:pt idx="329">
                  <c:v>21.224</c:v>
                </c:pt>
                <c:pt idx="330">
                  <c:v>22.312000000000001</c:v>
                </c:pt>
                <c:pt idx="331">
                  <c:v>12.401999999999999</c:v>
                </c:pt>
                <c:pt idx="332">
                  <c:v>16.177</c:v>
                </c:pt>
                <c:pt idx="333">
                  <c:v>11.789</c:v>
                </c:pt>
                <c:pt idx="334">
                  <c:v>7.9210000000000003</c:v>
                </c:pt>
                <c:pt idx="335">
                  <c:v>4.1559999999999997</c:v>
                </c:pt>
                <c:pt idx="336">
                  <c:v>4.5679999999999996</c:v>
                </c:pt>
                <c:pt idx="337">
                  <c:v>6.39</c:v>
                </c:pt>
                <c:pt idx="338">
                  <c:v>10.077</c:v>
                </c:pt>
                <c:pt idx="339">
                  <c:v>8.8859999999999992</c:v>
                </c:pt>
                <c:pt idx="340">
                  <c:v>14.702999999999999</c:v>
                </c:pt>
                <c:pt idx="341">
                  <c:v>17.361000000000001</c:v>
                </c:pt>
                <c:pt idx="342">
                  <c:v>12.063000000000001</c:v>
                </c:pt>
                <c:pt idx="343">
                  <c:v>23.37</c:v>
                </c:pt>
                <c:pt idx="344">
                  <c:v>1.885</c:v>
                </c:pt>
                <c:pt idx="345">
                  <c:v>4.665</c:v>
                </c:pt>
                <c:pt idx="346">
                  <c:v>2.4140000000000001</c:v>
                </c:pt>
                <c:pt idx="347">
                  <c:v>19.283000000000001</c:v>
                </c:pt>
                <c:pt idx="348">
                  <c:v>27.667999999999999</c:v>
                </c:pt>
                <c:pt idx="349">
                  <c:v>14.94</c:v>
                </c:pt>
                <c:pt idx="350">
                  <c:v>13.631</c:v>
                </c:pt>
                <c:pt idx="351">
                  <c:v>19.283999999999999</c:v>
                </c:pt>
                <c:pt idx="352">
                  <c:v>11.722</c:v>
                </c:pt>
                <c:pt idx="353">
                  <c:v>8.4930000000000003</c:v>
                </c:pt>
                <c:pt idx="354">
                  <c:v>22.446000000000002</c:v>
                </c:pt>
                <c:pt idx="355">
                  <c:v>8.3010000000000002</c:v>
                </c:pt>
                <c:pt idx="356">
                  <c:v>7.5380000000000003</c:v>
                </c:pt>
                <c:pt idx="357">
                  <c:v>13.565</c:v>
                </c:pt>
                <c:pt idx="358">
                  <c:v>11.129</c:v>
                </c:pt>
                <c:pt idx="359">
                  <c:v>8.9480000000000004</c:v>
                </c:pt>
                <c:pt idx="360">
                  <c:v>23.042999999999999</c:v>
                </c:pt>
                <c:pt idx="361">
                  <c:v>4.2880000000000003</c:v>
                </c:pt>
                <c:pt idx="362">
                  <c:v>25.422999999999998</c:v>
                </c:pt>
                <c:pt idx="363">
                  <c:v>27.923999999999999</c:v>
                </c:pt>
                <c:pt idx="364">
                  <c:v>21.074000000000002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502488"/>
        <c:axId val="202481024"/>
      </c:lineChart>
      <c:dateAx>
        <c:axId val="198502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2481024"/>
        <c:crosses val="autoZero"/>
        <c:auto val="1"/>
        <c:lblOffset val="100"/>
        <c:baseTimeUnit val="days"/>
        <c:majorUnit val="1"/>
        <c:majorTimeUnit val="months"/>
      </c:dateAx>
      <c:valAx>
        <c:axId val="20248102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850248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1.9164771863366958E-5</c:v>
                </c:pt>
                <c:pt idx="32">
                  <c:v>3.8329176438200996E-5</c:v>
                </c:pt>
                <c:pt idx="33">
                  <c:v>5.749321373160754E-5</c:v>
                </c:pt>
                <c:pt idx="34">
                  <c:v>7.6656883750580995E-5</c:v>
                </c:pt>
                <c:pt idx="35">
                  <c:v>9.582018650222679E-5</c:v>
                </c:pt>
                <c:pt idx="36">
                  <c:v>1.1498312199365035E-4</c:v>
                </c:pt>
                <c:pt idx="37">
                  <c:v>1.3414569023162404E-4</c:v>
                </c:pt>
                <c:pt idx="38">
                  <c:v>1.5330789122347532E-4</c:v>
                </c:pt>
                <c:pt idx="39">
                  <c:v>1.7246972497597657E-4</c:v>
                </c:pt>
                <c:pt idx="40">
                  <c:v>1.9163119149645524E-4</c:v>
                </c:pt>
                <c:pt idx="41">
                  <c:v>2.1079229079168371E-4</c:v>
                </c:pt>
                <c:pt idx="42">
                  <c:v>2.2995302286887842E-4</c:v>
                </c:pt>
                <c:pt idx="43">
                  <c:v>2.4911338773492275E-4</c:v>
                </c:pt>
                <c:pt idx="44">
                  <c:v>2.6827338539703316E-4</c:v>
                </c:pt>
                <c:pt idx="45">
                  <c:v>2.8743301586220404E-4</c:v>
                </c:pt>
                <c:pt idx="46">
                  <c:v>3.0659227913731879E-4</c:v>
                </c:pt>
                <c:pt idx="47">
                  <c:v>3.2575117522959385E-4</c:v>
                </c:pt>
                <c:pt idx="48">
                  <c:v>3.4490970414602362E-4</c:v>
                </c:pt>
                <c:pt idx="49">
                  <c:v>3.6406786589349149E-4</c:v>
                </c:pt>
                <c:pt idx="50">
                  <c:v>3.8322566047921391E-4</c:v>
                </c:pt>
                <c:pt idx="51">
                  <c:v>4.0238308791029631E-4</c:v>
                </c:pt>
                <c:pt idx="52">
                  <c:v>4.2154014819351104E-4</c:v>
                </c:pt>
                <c:pt idx="53">
                  <c:v>4.4069684133607456E-4</c:v>
                </c:pt>
                <c:pt idx="54">
                  <c:v>4.5985316734498127E-4</c:v>
                </c:pt>
                <c:pt idx="55">
                  <c:v>4.7900912622722558E-4</c:v>
                </c:pt>
                <c:pt idx="56">
                  <c:v>4.9816471799002393E-4</c:v>
                </c:pt>
                <c:pt idx="57">
                  <c:v>5.1731994264014869E-4</c:v>
                </c:pt>
                <c:pt idx="58">
                  <c:v>5.364748001848163E-4</c:v>
                </c:pt>
                <c:pt idx="59">
                  <c:v>5.5562929063102118E-4</c:v>
                </c:pt>
                <c:pt idx="60">
                  <c:v>5.7478341398575772E-4</c:v>
                </c:pt>
                <c:pt idx="61">
                  <c:v>5.9393717025602033E-4</c:v>
                </c:pt>
                <c:pt idx="62">
                  <c:v>6.1309055944902546E-4</c:v>
                </c:pt>
                <c:pt idx="63">
                  <c:v>6.322435815716565E-4</c:v>
                </c:pt>
                <c:pt idx="64">
                  <c:v>6.5139623663101887E-4</c:v>
                </c:pt>
                <c:pt idx="65">
                  <c:v>6.7054852463410697E-4</c:v>
                </c:pt>
                <c:pt idx="66">
                  <c:v>6.8970044558791521E-4</c:v>
                </c:pt>
                <c:pt idx="67">
                  <c:v>7.0885199949954902E-4</c:v>
                </c:pt>
                <c:pt idx="68">
                  <c:v>7.2800318637600281E-4</c:v>
                </c:pt>
                <c:pt idx="69">
                  <c:v>7.4715400622438199E-4</c:v>
                </c:pt>
                <c:pt idx="70">
                  <c:v>7.6630445905168099E-4</c:v>
                </c:pt>
                <c:pt idx="71">
                  <c:v>7.8545454486489419E-4</c:v>
                </c:pt>
                <c:pt idx="72">
                  <c:v>8.0460426367101601E-4</c:v>
                </c:pt>
                <c:pt idx="73">
                  <c:v>8.2375361547726289E-4</c:v>
                </c:pt>
                <c:pt idx="74">
                  <c:v>8.429026002904072E-4</c:v>
                </c:pt>
                <c:pt idx="75">
                  <c:v>8.6205121811777641E-4</c:v>
                </c:pt>
                <c:pt idx="76">
                  <c:v>8.8119946896614287E-4</c:v>
                </c:pt>
                <c:pt idx="77">
                  <c:v>9.0034735284272305E-4</c:v>
                </c:pt>
                <c:pt idx="78">
                  <c:v>9.1949486975440031E-4</c:v>
                </c:pt>
                <c:pt idx="79">
                  <c:v>9.3864201970839112E-4</c:v>
                </c:pt>
                <c:pt idx="80">
                  <c:v>9.5778880271157885E-4</c:v>
                </c:pt>
                <c:pt idx="81">
                  <c:v>9.769352187709579E-4</c:v>
                </c:pt>
                <c:pt idx="82">
                  <c:v>9.9608126789374474E-4</c:v>
                </c:pt>
                <c:pt idx="83">
                  <c:v>1.0152269500868227E-3</c:v>
                </c:pt>
                <c:pt idx="84">
                  <c:v>1.0343722653572973E-3</c:v>
                </c:pt>
                <c:pt idx="85">
                  <c:v>1.0535172137120519E-3</c:v>
                </c:pt>
                <c:pt idx="86">
                  <c:v>1.0726617951584139E-3</c:v>
                </c:pt>
                <c:pt idx="87">
                  <c:v>1.0918060097031557E-3</c:v>
                </c:pt>
                <c:pt idx="88">
                  <c:v>1.1109498573533827E-3</c:v>
                </c:pt>
                <c:pt idx="89">
                  <c:v>1.1300933381162004E-3</c:v>
                </c:pt>
                <c:pt idx="90">
                  <c:v>1.1492364519984921E-3</c:v>
                </c:pt>
                <c:pt idx="91">
                  <c:v>1.1683791990073633E-3</c:v>
                </c:pt>
                <c:pt idx="92">
                  <c:v>1.1875215791499194E-3</c:v>
                </c:pt>
                <c:pt idx="93">
                  <c:v>1.2066635924331548E-3</c:v>
                </c:pt>
                <c:pt idx="94">
                  <c:v>1.2258052388639529E-3</c:v>
                </c:pt>
                <c:pt idx="95">
                  <c:v>1.2449465184496411E-3</c:v>
                </c:pt>
                <c:pt idx="96">
                  <c:v>1.2640874311968808E-3</c:v>
                </c:pt>
                <c:pt idx="97">
                  <c:v>1.2832279771129995E-3</c:v>
                </c:pt>
                <c:pt idx="98">
                  <c:v>1.3023681562048806E-3</c:v>
                </c:pt>
                <c:pt idx="99">
                  <c:v>1.3215079684796294E-3</c:v>
                </c:pt>
                <c:pt idx="100">
                  <c:v>1.3406474139442404E-3</c:v>
                </c:pt>
                <c:pt idx="101">
                  <c:v>1.359786492605819E-3</c:v>
                </c:pt>
                <c:pt idx="102">
                  <c:v>1.3789252044712486E-3</c:v>
                </c:pt>
                <c:pt idx="103">
                  <c:v>1.3980635495475235E-3</c:v>
                </c:pt>
                <c:pt idx="104">
                  <c:v>1.4172015278419714E-3</c:v>
                </c:pt>
                <c:pt idx="105">
                  <c:v>1.4363391393613645E-3</c:v>
                </c:pt>
                <c:pt idx="106">
                  <c:v>1.4554763841126972E-3</c:v>
                </c:pt>
                <c:pt idx="107">
                  <c:v>1.474613262103186E-3</c:v>
                </c:pt>
                <c:pt idx="108">
                  <c:v>1.4937497733398253E-3</c:v>
                </c:pt>
                <c:pt idx="109">
                  <c:v>1.5128859178294984E-3</c:v>
                </c:pt>
                <c:pt idx="110">
                  <c:v>1.5320216955794219E-3</c:v>
                </c:pt>
                <c:pt idx="111">
                  <c:v>1.5511571065964791E-3</c:v>
                </c:pt>
                <c:pt idx="112">
                  <c:v>1.5702921508876644E-3</c:v>
                </c:pt>
                <c:pt idx="113">
                  <c:v>1.5894268284601942E-3</c:v>
                </c:pt>
                <c:pt idx="114">
                  <c:v>1.608561139320952E-3</c:v>
                </c:pt>
                <c:pt idx="115">
                  <c:v>1.6276950834770432E-3</c:v>
                </c:pt>
                <c:pt idx="116">
                  <c:v>1.6468286609354621E-3</c:v>
                </c:pt>
                <c:pt idx="117">
                  <c:v>1.6659618717032032E-3</c:v>
                </c:pt>
                <c:pt idx="118">
                  <c:v>1.6850947157873719E-3</c:v>
                </c:pt>
                <c:pt idx="119">
                  <c:v>1.7042271931948516E-3</c:v>
                </c:pt>
                <c:pt idx="120">
                  <c:v>1.7233593039328587E-3</c:v>
                </c:pt>
                <c:pt idx="121">
                  <c:v>1.7424910480082767E-3</c:v>
                </c:pt>
                <c:pt idx="122">
                  <c:v>1.7616224254282109E-3</c:v>
                </c:pt>
                <c:pt idx="123">
                  <c:v>1.7807534361996558E-3</c:v>
                </c:pt>
                <c:pt idx="124">
                  <c:v>1.7998840803296057E-3</c:v>
                </c:pt>
                <c:pt idx="125">
                  <c:v>1.8190143578251661E-3</c:v>
                </c:pt>
                <c:pt idx="126">
                  <c:v>1.8381442686933314E-3</c:v>
                </c:pt>
                <c:pt idx="127">
                  <c:v>1.8572738129410959E-3</c:v>
                </c:pt>
                <c:pt idx="128">
                  <c:v>1.8764029905755653E-3</c:v>
                </c:pt>
                <c:pt idx="129">
                  <c:v>1.8955318016036227E-3</c:v>
                </c:pt>
                <c:pt idx="130">
                  <c:v>1.9146602460324846E-3</c:v>
                </c:pt>
                <c:pt idx="131">
                  <c:v>1.9337883238690345E-3</c:v>
                </c:pt>
                <c:pt idx="132">
                  <c:v>1.9529160351202668E-3</c:v>
                </c:pt>
                <c:pt idx="133">
                  <c:v>1.9720433797932868E-3</c:v>
                </c:pt>
                <c:pt idx="134">
                  <c:v>1.9911703578952E-3</c:v>
                </c:pt>
                <c:pt idx="135">
                  <c:v>2.0102969694328898E-3</c:v>
                </c:pt>
                <c:pt idx="136">
                  <c:v>2.0294232144134616E-3</c:v>
                </c:pt>
                <c:pt idx="137">
                  <c:v>2.0485490928437988E-3</c:v>
                </c:pt>
                <c:pt idx="138">
                  <c:v>2.0676746047311179E-3</c:v>
                </c:pt>
                <c:pt idx="139">
                  <c:v>2.0867997500824131E-3</c:v>
                </c:pt>
                <c:pt idx="140">
                  <c:v>2.105924528904568E-3</c:v>
                </c:pt>
                <c:pt idx="141">
                  <c:v>2.125048941204799E-3</c:v>
                </c:pt>
                <c:pt idx="142">
                  <c:v>2.1441729869899895E-3</c:v>
                </c:pt>
                <c:pt idx="143">
                  <c:v>2.1632966662672448E-3</c:v>
                </c:pt>
                <c:pt idx="144">
                  <c:v>2.1824199790434484E-3</c:v>
                </c:pt>
                <c:pt idx="145">
                  <c:v>2.2015429253258167E-3</c:v>
                </c:pt>
                <c:pt idx="146">
                  <c:v>2.2206655051212332E-3</c:v>
                </c:pt>
                <c:pt idx="147">
                  <c:v>2.2397877184368031E-3</c:v>
                </c:pt>
                <c:pt idx="148">
                  <c:v>2.25890956527941E-3</c:v>
                </c:pt>
                <c:pt idx="149">
                  <c:v>2.2780310456562702E-3</c:v>
                </c:pt>
                <c:pt idx="150">
                  <c:v>2.2971521595743782E-3</c:v>
                </c:pt>
                <c:pt idx="151">
                  <c:v>2.3162729070406174E-3</c:v>
                </c:pt>
                <c:pt idx="152">
                  <c:v>2.3353932880620931E-3</c:v>
                </c:pt>
                <c:pt idx="153">
                  <c:v>2.3545133026459109E-3</c:v>
                </c:pt>
                <c:pt idx="154">
                  <c:v>2.373632950798954E-3</c:v>
                </c:pt>
                <c:pt idx="155">
                  <c:v>2.3927522325282169E-3</c:v>
                </c:pt>
                <c:pt idx="156">
                  <c:v>2.4118711478409161E-3</c:v>
                </c:pt>
                <c:pt idx="157">
                  <c:v>2.4309896967439348E-3</c:v>
                </c:pt>
                <c:pt idx="158">
                  <c:v>2.4501078792443787E-3</c:v>
                </c:pt>
                <c:pt idx="159">
                  <c:v>2.4692256953491309E-3</c:v>
                </c:pt>
                <c:pt idx="160">
                  <c:v>2.4883431450654081E-3</c:v>
                </c:pt>
                <c:pt idx="161">
                  <c:v>2.5074602283999825E-3</c:v>
                </c:pt>
                <c:pt idx="162">
                  <c:v>2.5265769453600706E-3</c:v>
                </c:pt>
                <c:pt idx="163">
                  <c:v>2.5456932959526668E-3</c:v>
                </c:pt>
                <c:pt idx="164">
                  <c:v>2.5648092801847655E-3</c:v>
                </c:pt>
                <c:pt idx="165">
                  <c:v>2.5839248980633611E-3</c:v>
                </c:pt>
                <c:pt idx="166">
                  <c:v>2.6030401495955591E-3</c:v>
                </c:pt>
                <c:pt idx="167">
                  <c:v>2.6221550347882427E-3</c:v>
                </c:pt>
                <c:pt idx="168">
                  <c:v>2.6412695536486286E-3</c:v>
                </c:pt>
                <c:pt idx="169">
                  <c:v>2.660383706183489E-3</c:v>
                </c:pt>
                <c:pt idx="170">
                  <c:v>2.6794974924000403E-3</c:v>
                </c:pt>
                <c:pt idx="171">
                  <c:v>2.6986109123052771E-3</c:v>
                </c:pt>
                <c:pt idx="172">
                  <c:v>2.7177239659060826E-3</c:v>
                </c:pt>
                <c:pt idx="173">
                  <c:v>2.7368366532096733E-3</c:v>
                </c:pt>
                <c:pt idx="174">
                  <c:v>2.7559489742228216E-3</c:v>
                </c:pt>
                <c:pt idx="175">
                  <c:v>2.7750609289528549E-3</c:v>
                </c:pt>
                <c:pt idx="176">
                  <c:v>2.7941725174065457E-3</c:v>
                </c:pt>
                <c:pt idx="177">
                  <c:v>2.8132837395911103E-3</c:v>
                </c:pt>
                <c:pt idx="178">
                  <c:v>2.8323945955133212E-3</c:v>
                </c:pt>
                <c:pt idx="179">
                  <c:v>2.8515050851803947E-3</c:v>
                </c:pt>
                <c:pt idx="180">
                  <c:v>2.8706152085993253E-3</c:v>
                </c:pt>
                <c:pt idx="181">
                  <c:v>2.8897249657771074E-3</c:v>
                </c:pt>
                <c:pt idx="182">
                  <c:v>2.9088343567207353E-3</c:v>
                </c:pt>
                <c:pt idx="183">
                  <c:v>2.9279433814372036E-3</c:v>
                </c:pt>
                <c:pt idx="184">
                  <c:v>2.9470520399336175E-3</c:v>
                </c:pt>
                <c:pt idx="185">
                  <c:v>2.9661603322169716E-3</c:v>
                </c:pt>
                <c:pt idx="186">
                  <c:v>2.9852682582942602E-3</c:v>
                </c:pt>
                <c:pt idx="187">
                  <c:v>3.0043758181724778E-3</c:v>
                </c:pt>
                <c:pt idx="188">
                  <c:v>3.0234830118586187E-3</c:v>
                </c:pt>
                <c:pt idx="189">
                  <c:v>3.0425898393597883E-3</c:v>
                </c:pt>
                <c:pt idx="190">
                  <c:v>3.0616963006829812E-3</c:v>
                </c:pt>
                <c:pt idx="191">
                  <c:v>3.0808023958351916E-3</c:v>
                </c:pt>
                <c:pt idx="192">
                  <c:v>3.099908124823525E-3</c:v>
                </c:pt>
                <c:pt idx="193">
                  <c:v>3.1190134876548647E-3</c:v>
                </c:pt>
                <c:pt idx="194">
                  <c:v>3.1381184843362053E-3</c:v>
                </c:pt>
                <c:pt idx="195">
                  <c:v>3.1572231148747631E-3</c:v>
                </c:pt>
                <c:pt idx="196">
                  <c:v>3.1763273792774216E-3</c:v>
                </c:pt>
                <c:pt idx="197">
                  <c:v>3.195431277551064E-3</c:v>
                </c:pt>
                <c:pt idx="198">
                  <c:v>3.214534809703018E-3</c:v>
                </c:pt>
                <c:pt idx="199">
                  <c:v>3.2336379757400557E-3</c:v>
                </c:pt>
                <c:pt idx="200">
                  <c:v>3.2527407756692828E-3</c:v>
                </c:pt>
                <c:pt idx="201">
                  <c:v>3.2718432094978045E-3</c:v>
                </c:pt>
                <c:pt idx="202">
                  <c:v>3.2909452772323933E-3</c:v>
                </c:pt>
                <c:pt idx="203">
                  <c:v>3.3100469788802656E-3</c:v>
                </c:pt>
                <c:pt idx="204">
                  <c:v>3.3291483144484157E-3</c:v>
                </c:pt>
                <c:pt idx="205">
                  <c:v>3.3482492839438383E-3</c:v>
                </c:pt>
                <c:pt idx="206">
                  <c:v>3.3673498873735275E-3</c:v>
                </c:pt>
                <c:pt idx="207">
                  <c:v>3.3864501247444778E-3</c:v>
                </c:pt>
                <c:pt idx="208">
                  <c:v>3.4055499960636837E-3</c:v>
                </c:pt>
                <c:pt idx="209">
                  <c:v>3.4246495013383615E-3</c:v>
                </c:pt>
                <c:pt idx="210">
                  <c:v>3.4437486405752837E-3</c:v>
                </c:pt>
                <c:pt idx="211">
                  <c:v>3.4628474137815557E-3</c:v>
                </c:pt>
                <c:pt idx="212">
                  <c:v>3.4819458209641718E-3</c:v>
                </c:pt>
                <c:pt idx="213">
                  <c:v>3.5010438621302375E-3</c:v>
                </c:pt>
                <c:pt idx="214">
                  <c:v>3.5201415372866363E-3</c:v>
                </c:pt>
                <c:pt idx="215">
                  <c:v>3.5392388464404734E-3</c:v>
                </c:pt>
                <c:pt idx="216">
                  <c:v>3.5583357895988543E-3</c:v>
                </c:pt>
                <c:pt idx="217">
                  <c:v>3.5774323667685515E-3</c:v>
                </c:pt>
                <c:pt idx="218">
                  <c:v>3.5965285779566702E-3</c:v>
                </c:pt>
                <c:pt idx="219">
                  <c:v>3.6156244231703161E-3</c:v>
                </c:pt>
                <c:pt idx="220">
                  <c:v>3.6347199024164834E-3</c:v>
                </c:pt>
                <c:pt idx="221">
                  <c:v>3.6538150157020555E-3</c:v>
                </c:pt>
                <c:pt idx="222">
                  <c:v>3.6729097630342489E-3</c:v>
                </c:pt>
                <c:pt idx="223">
                  <c:v>3.6920041444198359E-3</c:v>
                </c:pt>
                <c:pt idx="224">
                  <c:v>3.7110981598660331E-3</c:v>
                </c:pt>
                <c:pt idx="225">
                  <c:v>3.7301918093798347E-3</c:v>
                </c:pt>
                <c:pt idx="226">
                  <c:v>3.7492850929681243E-3</c:v>
                </c:pt>
                <c:pt idx="227">
                  <c:v>3.7683780106380071E-3</c:v>
                </c:pt>
                <c:pt idx="228">
                  <c:v>3.7874705623964777E-3</c:v>
                </c:pt>
                <c:pt idx="229">
                  <c:v>3.8065627482505304E-3</c:v>
                </c:pt>
                <c:pt idx="230">
                  <c:v>3.8256545682071597E-3</c:v>
                </c:pt>
                <c:pt idx="231">
                  <c:v>3.8447460222734708E-3</c:v>
                </c:pt>
                <c:pt idx="232">
                  <c:v>3.8638371104564584E-3</c:v>
                </c:pt>
                <c:pt idx="233">
                  <c:v>3.8829278327631167E-3</c:v>
                </c:pt>
                <c:pt idx="234">
                  <c:v>3.9020181892003292E-3</c:v>
                </c:pt>
                <c:pt idx="235">
                  <c:v>3.9211081797753122E-3</c:v>
                </c:pt>
                <c:pt idx="236">
                  <c:v>3.9401978044948383E-3</c:v>
                </c:pt>
                <c:pt idx="237">
                  <c:v>3.9592870633662347E-3</c:v>
                </c:pt>
                <c:pt idx="238">
                  <c:v>3.9783759563962739E-3</c:v>
                </c:pt>
                <c:pt idx="239">
                  <c:v>3.9974644835919504E-3</c:v>
                </c:pt>
                <c:pt idx="240">
                  <c:v>4.0165526449604805E-3</c:v>
                </c:pt>
                <c:pt idx="241">
                  <c:v>4.0356404405086366E-3</c:v>
                </c:pt>
                <c:pt idx="242">
                  <c:v>4.0547278702436351E-3</c:v>
                </c:pt>
                <c:pt idx="243">
                  <c:v>4.0738149341723595E-3</c:v>
                </c:pt>
                <c:pt idx="244">
                  <c:v>4.0929016323019152E-3</c:v>
                </c:pt>
                <c:pt idx="245">
                  <c:v>4.1119879646391855E-3</c:v>
                </c:pt>
                <c:pt idx="246">
                  <c:v>4.1310739311912759E-3</c:v>
                </c:pt>
                <c:pt idx="247">
                  <c:v>4.1501595319651807E-3</c:v>
                </c:pt>
                <c:pt idx="248">
                  <c:v>4.1692447669678945E-3</c:v>
                </c:pt>
                <c:pt idx="249">
                  <c:v>4.1883296362064115E-3</c:v>
                </c:pt>
                <c:pt idx="250">
                  <c:v>4.2074141396878373E-3</c:v>
                </c:pt>
                <c:pt idx="251">
                  <c:v>4.2264982774190551E-3</c:v>
                </c:pt>
                <c:pt idx="252">
                  <c:v>4.2455820494070595E-3</c:v>
                </c:pt>
                <c:pt idx="253">
                  <c:v>4.2646654556590669E-3</c:v>
                </c:pt>
                <c:pt idx="254">
                  <c:v>4.2837484961818495E-3</c:v>
                </c:pt>
                <c:pt idx="255">
                  <c:v>4.3028311709825129E-3</c:v>
                </c:pt>
                <c:pt idx="256">
                  <c:v>4.3219134800680514E-3</c:v>
                </c:pt>
                <c:pt idx="257">
                  <c:v>4.3409954234455705E-3</c:v>
                </c:pt>
                <c:pt idx="258">
                  <c:v>4.3600770011219536E-3</c:v>
                </c:pt>
                <c:pt idx="259">
                  <c:v>4.3791582131043061E-3</c:v>
                </c:pt>
                <c:pt idx="260">
                  <c:v>4.3982390593995113E-3</c:v>
                </c:pt>
                <c:pt idx="261">
                  <c:v>4.4173195400146748E-3</c:v>
                </c:pt>
                <c:pt idx="262">
                  <c:v>4.4363996549567908E-3</c:v>
                </c:pt>
                <c:pt idx="263">
                  <c:v>4.4554794042328538E-3</c:v>
                </c:pt>
                <c:pt idx="264">
                  <c:v>4.4745587878498583E-3</c:v>
                </c:pt>
                <c:pt idx="265">
                  <c:v>4.4936378058147985E-3</c:v>
                </c:pt>
                <c:pt idx="266">
                  <c:v>4.5127164581347801E-3</c:v>
                </c:pt>
                <c:pt idx="267">
                  <c:v>4.5317947448166862E-3</c:v>
                </c:pt>
                <c:pt idx="268">
                  <c:v>4.5508726658676224E-3</c:v>
                </c:pt>
                <c:pt idx="269">
                  <c:v>4.5699502212945831E-3</c:v>
                </c:pt>
                <c:pt idx="270">
                  <c:v>4.5890274111044516E-3</c:v>
                </c:pt>
                <c:pt idx="271">
                  <c:v>4.6081042353044444E-3</c:v>
                </c:pt>
                <c:pt idx="272">
                  <c:v>4.6271806939013338E-3</c:v>
                </c:pt>
                <c:pt idx="273">
                  <c:v>4.6462567869023363E-3</c:v>
                </c:pt>
                <c:pt idx="274">
                  <c:v>4.6653325143143354E-3</c:v>
                </c:pt>
                <c:pt idx="275">
                  <c:v>4.6844078761443253E-3</c:v>
                </c:pt>
                <c:pt idx="276">
                  <c:v>4.7034828723994115E-3</c:v>
                </c:pt>
                <c:pt idx="277">
                  <c:v>4.7225575030865885E-3</c:v>
                </c:pt>
                <c:pt idx="278">
                  <c:v>4.7416317682127396E-3</c:v>
                </c:pt>
                <c:pt idx="279">
                  <c:v>4.7607056677849702E-3</c:v>
                </c:pt>
                <c:pt idx="280">
                  <c:v>4.7797792018102747E-3</c:v>
                </c:pt>
                <c:pt idx="281">
                  <c:v>4.7988523702956476E-3</c:v>
                </c:pt>
                <c:pt idx="282">
                  <c:v>4.8179251732480832E-3</c:v>
                </c:pt>
                <c:pt idx="283">
                  <c:v>4.836997610674687E-3</c:v>
                </c:pt>
                <c:pt idx="284">
                  <c:v>4.8560696825822314E-3</c:v>
                </c:pt>
                <c:pt idx="285">
                  <c:v>4.8751413889780437E-3</c:v>
                </c:pt>
                <c:pt idx="286">
                  <c:v>4.8942127298687854E-3</c:v>
                </c:pt>
                <c:pt idx="287">
                  <c:v>4.9132837052617839E-3</c:v>
                </c:pt>
                <c:pt idx="288">
                  <c:v>4.9323543151637006E-3</c:v>
                </c:pt>
                <c:pt idx="289">
                  <c:v>4.9514245595818629E-3</c:v>
                </c:pt>
                <c:pt idx="290">
                  <c:v>4.9704944385231542E-3</c:v>
                </c:pt>
                <c:pt idx="291">
                  <c:v>4.9895639519945689E-3</c:v>
                </c:pt>
                <c:pt idx="292">
                  <c:v>5.0086331000029904E-3</c:v>
                </c:pt>
                <c:pt idx="293">
                  <c:v>5.0277018825556352E-3</c:v>
                </c:pt>
                <c:pt idx="294">
                  <c:v>5.0467702996593866E-3</c:v>
                </c:pt>
                <c:pt idx="295">
                  <c:v>5.0658383513213501E-3</c:v>
                </c:pt>
                <c:pt idx="296">
                  <c:v>5.084906037548409E-3</c:v>
                </c:pt>
                <c:pt idx="297">
                  <c:v>5.1039733583475577E-3</c:v>
                </c:pt>
                <c:pt idx="298">
                  <c:v>5.1230403137259017E-3</c:v>
                </c:pt>
                <c:pt idx="299">
                  <c:v>5.1421069036903244E-3</c:v>
                </c:pt>
                <c:pt idx="300">
                  <c:v>5.1611731282479312E-3</c:v>
                </c:pt>
                <c:pt idx="301">
                  <c:v>5.1802389874057164E-3</c:v>
                </c:pt>
                <c:pt idx="302">
                  <c:v>5.1993044811706746E-3</c:v>
                </c:pt>
                <c:pt idx="303">
                  <c:v>5.2183696095498E-3</c:v>
                </c:pt>
                <c:pt idx="304">
                  <c:v>5.2374343725500871E-3</c:v>
                </c:pt>
                <c:pt idx="305">
                  <c:v>5.2564987701785304E-3</c:v>
                </c:pt>
                <c:pt idx="306">
                  <c:v>5.2755628024421242E-3</c:v>
                </c:pt>
                <c:pt idx="307">
                  <c:v>5.2946264693478629E-3</c:v>
                </c:pt>
                <c:pt idx="308">
                  <c:v>5.3136897709028519E-3</c:v>
                </c:pt>
                <c:pt idx="309">
                  <c:v>5.3327527071139746E-3</c:v>
                </c:pt>
                <c:pt idx="310">
                  <c:v>5.3518152779883366E-3</c:v>
                </c:pt>
                <c:pt idx="311">
                  <c:v>5.370877483532821E-3</c:v>
                </c:pt>
                <c:pt idx="312">
                  <c:v>5.3899393237544224E-3</c:v>
                </c:pt>
                <c:pt idx="313">
                  <c:v>5.4090007986602462E-3</c:v>
                </c:pt>
                <c:pt idx="314">
                  <c:v>5.4280619082572867E-3</c:v>
                </c:pt>
                <c:pt idx="315">
                  <c:v>5.4471226525525385E-3</c:v>
                </c:pt>
                <c:pt idx="316">
                  <c:v>5.4661830315528848E-3</c:v>
                </c:pt>
                <c:pt idx="317">
                  <c:v>5.485243045265431E-3</c:v>
                </c:pt>
                <c:pt idx="318">
                  <c:v>5.5043026936972828E-3</c:v>
                </c:pt>
                <c:pt idx="319">
                  <c:v>5.5233619768552122E-3</c:v>
                </c:pt>
                <c:pt idx="320">
                  <c:v>5.5424208947463249E-3</c:v>
                </c:pt>
                <c:pt idx="321">
                  <c:v>5.5614794473776152E-3</c:v>
                </c:pt>
                <c:pt idx="322">
                  <c:v>5.5805376347561886E-3</c:v>
                </c:pt>
                <c:pt idx="323">
                  <c:v>5.5995954568888173E-3</c:v>
                </c:pt>
                <c:pt idx="324">
                  <c:v>5.6186529137827179E-3</c:v>
                </c:pt>
                <c:pt idx="325">
                  <c:v>5.6377100054447737E-3</c:v>
                </c:pt>
                <c:pt idx="326">
                  <c:v>5.6567667318819792E-3</c:v>
                </c:pt>
                <c:pt idx="327">
                  <c:v>5.6758230931014397E-3</c:v>
                </c:pt>
                <c:pt idx="328">
                  <c:v>5.6948790891100387E-3</c:v>
                </c:pt>
                <c:pt idx="329">
                  <c:v>5.7139347199148816E-3</c:v>
                </c:pt>
                <c:pt idx="330">
                  <c:v>5.7329899855228517E-3</c:v>
                </c:pt>
                <c:pt idx="331">
                  <c:v>5.7520448859410545E-3</c:v>
                </c:pt>
                <c:pt idx="332">
                  <c:v>5.7710994211763733E-3</c:v>
                </c:pt>
                <c:pt idx="333">
                  <c:v>5.7901535912359137E-3</c:v>
                </c:pt>
                <c:pt idx="334">
                  <c:v>5.8092073961266699E-3</c:v>
                </c:pt>
                <c:pt idx="335">
                  <c:v>5.8282608358555255E-3</c:v>
                </c:pt>
                <c:pt idx="336">
                  <c:v>5.8473139104295857E-3</c:v>
                </c:pt>
                <c:pt idx="337">
                  <c:v>5.8663666198558451E-3</c:v>
                </c:pt>
                <c:pt idx="338">
                  <c:v>5.8854189641411869E-3</c:v>
                </c:pt>
                <c:pt idx="339">
                  <c:v>5.9044709432928277E-3</c:v>
                </c:pt>
                <c:pt idx="340">
                  <c:v>5.9235225573175398E-3</c:v>
                </c:pt>
                <c:pt idx="341">
                  <c:v>5.9425738062224287E-3</c:v>
                </c:pt>
                <c:pt idx="342">
                  <c:v>5.9616246900144887E-3</c:v>
                </c:pt>
                <c:pt idx="343">
                  <c:v>5.9806752087007142E-3</c:v>
                </c:pt>
                <c:pt idx="344">
                  <c:v>5.9997253622880997E-3</c:v>
                </c:pt>
                <c:pt idx="345">
                  <c:v>6.0187751507836396E-3</c:v>
                </c:pt>
                <c:pt idx="346">
                  <c:v>6.0378245741943282E-3</c:v>
                </c:pt>
                <c:pt idx="347">
                  <c:v>6.0568736325271599E-3</c:v>
                </c:pt>
                <c:pt idx="348">
                  <c:v>6.0759223257891293E-3</c:v>
                </c:pt>
                <c:pt idx="349">
                  <c:v>6.0949706539872306E-3</c:v>
                </c:pt>
                <c:pt idx="350">
                  <c:v>6.1140186171284583E-3</c:v>
                </c:pt>
                <c:pt idx="351">
                  <c:v>6.1330662152198068E-3</c:v>
                </c:pt>
                <c:pt idx="352">
                  <c:v>6.1521134482682704E-3</c:v>
                </c:pt>
                <c:pt idx="353">
                  <c:v>6.1711603162809547E-3</c:v>
                </c:pt>
                <c:pt idx="354">
                  <c:v>6.190206819264632E-3</c:v>
                </c:pt>
                <c:pt idx="355">
                  <c:v>6.2092529572265187E-3</c:v>
                </c:pt>
                <c:pt idx="356">
                  <c:v>6.2282987301734982E-3</c:v>
                </c:pt>
                <c:pt idx="357">
                  <c:v>6.2473441381125649E-3</c:v>
                </c:pt>
                <c:pt idx="358">
                  <c:v>6.2663891810507133E-3</c:v>
                </c:pt>
                <c:pt idx="359">
                  <c:v>6.2854338589950487E-3</c:v>
                </c:pt>
                <c:pt idx="360">
                  <c:v>6.3044781719523435E-3</c:v>
                </c:pt>
                <c:pt idx="361">
                  <c:v>6.3235221199298142E-3</c:v>
                </c:pt>
                <c:pt idx="362">
                  <c:v>6.3425657029343441E-3</c:v>
                </c:pt>
                <c:pt idx="363">
                  <c:v>6.3616089209730387E-3</c:v>
                </c:pt>
                <c:pt idx="364">
                  <c:v>6.3806517740526703E-3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1.0953959066109387E-4</c:v>
                </c:pt>
                <c:pt idx="32">
                  <c:v>2.1898017120385271E-4</c:v>
                </c:pt>
                <c:pt idx="33">
                  <c:v>3.2832229357801431E-4</c:v>
                </c:pt>
                <c:pt idx="34">
                  <c:v>4.3756648013720969E-4</c:v>
                </c:pt>
                <c:pt idx="35">
                  <c:v>5.4671321853627371E-4</c:v>
                </c:pt>
                <c:pt idx="36">
                  <c:v>6.5576295714578976E-4</c:v>
                </c:pt>
                <c:pt idx="37">
                  <c:v>7.6471610109516439E-4</c:v>
                </c:pt>
                <c:pt idx="38">
                  <c:v>8.7357300904353577E-4</c:v>
                </c:pt>
                <c:pt idx="39">
                  <c:v>9.823339907659664E-4</c:v>
                </c:pt>
                <c:pt idx="40">
                  <c:v>1.0909993056279486E-3</c:v>
                </c:pt>
                <c:pt idx="41">
                  <c:v>1.1995691620081169E-3</c:v>
                </c:pt>
                <c:pt idx="42">
                  <c:v>1.3080437177135779E-3</c:v>
                </c:pt>
                <c:pt idx="43">
                  <c:v>1.4164230814179277E-3</c:v>
                </c:pt>
                <c:pt idx="44">
                  <c:v>1.5247073151368788E-3</c:v>
                </c:pt>
                <c:pt idx="45">
                  <c:v>1.6328964377414236E-3</c:v>
                </c:pt>
                <c:pt idx="46">
                  <c:v>1.7409904294941943E-3</c:v>
                </c:pt>
                <c:pt idx="47">
                  <c:v>1.8489892375803949E-3</c:v>
                </c:pt>
                <c:pt idx="48">
                  <c:v>1.9568927825915979E-3</c:v>
                </c:pt>
                <c:pt idx="49">
                  <c:v>2.0647009659077327E-3</c:v>
                </c:pt>
                <c:pt idx="50">
                  <c:v>2.1724136779115834E-3</c:v>
                </c:pt>
                <c:pt idx="51">
                  <c:v>2.280030806959175E-3</c:v>
                </c:pt>
                <c:pt idx="52">
                  <c:v>2.3875522490205826E-3</c:v>
                </c:pt>
                <c:pt idx="53">
                  <c:v>2.4949779178974614E-3</c:v>
                </c:pt>
                <c:pt idx="54">
                  <c:v>2.6023077559173451E-3</c:v>
                </c:pt>
                <c:pt idx="55">
                  <c:v>2.7095417449994907E-3</c:v>
                </c:pt>
                <c:pt idx="56">
                  <c:v>2.8166799179835146E-3</c:v>
                </c:pt>
                <c:pt idx="57">
                  <c:v>2.9237223701099502E-3</c:v>
                </c:pt>
                <c:pt idx="58">
                  <c:v>3.0306692705410823E-3</c:v>
                </c:pt>
                <c:pt idx="59">
                  <c:v>3.1375208738114364E-3</c:v>
                </c:pt>
                <c:pt idx="60">
                  <c:v>3.2442775310991411E-3</c:v>
                </c:pt>
                <c:pt idx="61">
                  <c:v>3.3509397012132353E-3</c:v>
                </c:pt>
                <c:pt idx="62">
                  <c:v>3.4575079611965636E-3</c:v>
                </c:pt>
                <c:pt idx="63">
                  <c:v>3.5639830164498464E-3</c:v>
                </c:pt>
                <c:pt idx="64">
                  <c:v>3.6703657102893157E-3</c:v>
                </c:pt>
                <c:pt idx="65">
                  <c:v>3.7766570328584786E-3</c:v>
                </c:pt>
                <c:pt idx="66">
                  <c:v>3.8828581293227481E-3</c:v>
                </c:pt>
                <c:pt idx="67">
                  <c:v>3.9889703072850972E-3</c:v>
                </c:pt>
                <c:pt idx="68">
                  <c:v>4.0949950433705907E-3</c:v>
                </c:pt>
                <c:pt idx="69">
                  <c:v>4.2009339889376779E-3</c:v>
                </c:pt>
                <c:pt idx="70">
                  <c:v>4.3067889748839789E-3</c:v>
                </c:pt>
                <c:pt idx="71">
                  <c:v>4.41256201552473E-3</c:v>
                </c:pt>
                <c:pt idx="72">
                  <c:v>4.5182553115320438E-3</c:v>
                </c:pt>
                <c:pt idx="73">
                  <c:v>4.6238712519325476E-3</c:v>
                </c:pt>
                <c:pt idx="74">
                  <c:v>4.72941241517037E-3</c:v>
                </c:pt>
                <c:pt idx="75">
                  <c:v>4.8348815692511081E-3</c:v>
                </c:pt>
                <c:pt idx="76">
                  <c:v>4.9402816709902611E-3</c:v>
                </c:pt>
                <c:pt idx="77">
                  <c:v>5.045615864396823E-3</c:v>
                </c:pt>
                <c:pt idx="78">
                  <c:v>5.1508874782289034E-3</c:v>
                </c:pt>
                <c:pt idx="79">
                  <c:v>5.2561000227634817E-3</c:v>
                </c:pt>
                <c:pt idx="80">
                  <c:v>5.3612571858267354E-3</c:v>
                </c:pt>
                <c:pt idx="81">
                  <c:v>5.4663628281343621E-3</c:v>
                </c:pt>
                <c:pt idx="82">
                  <c:v>5.5714209779933925E-3</c:v>
                </c:pt>
                <c:pt idx="83">
                  <c:v>5.6764358254179957E-3</c:v>
                </c:pt>
                <c:pt idx="84">
                  <c:v>5.7814117157112812E-3</c:v>
                </c:pt>
                <c:pt idx="85">
                  <c:v>5.8863531425642317E-3</c:v>
                </c:pt>
                <c:pt idx="86">
                  <c:v>5.9912647407201706E-3</c:v>
                </c:pt>
                <c:pt idx="87">
                  <c:v>6.096151278250272E-3</c:v>
                </c:pt>
                <c:pt idx="88">
                  <c:v>6.2010176484812362E-3</c:v>
                </c:pt>
                <c:pt idx="89">
                  <c:v>6.3058688616112165E-3</c:v>
                </c:pt>
                <c:pt idx="90">
                  <c:v>6.4107100360450663E-3</c:v>
                </c:pt>
                <c:pt idx="91">
                  <c:v>6.5155463894727905E-3</c:v>
                </c:pt>
                <c:pt idx="92">
                  <c:v>6.6203832297097118E-3</c:v>
                </c:pt>
                <c:pt idx="93">
                  <c:v>6.7252259453087918E-3</c:v>
                </c:pt>
                <c:pt idx="94">
                  <c:v>6.8300799959495817E-3</c:v>
                </c:pt>
                <c:pt idx="95">
                  <c:v>6.9349509026005902E-3</c:v>
                </c:pt>
                <c:pt idx="96">
                  <c:v>7.0398442374453429E-3</c:v>
                </c:pt>
                <c:pt idx="97">
                  <c:v>7.1447656135557791E-3</c:v>
                </c:pt>
                <c:pt idx="98">
                  <c:v>7.2497206742908058E-3</c:v>
                </c:pt>
                <c:pt idx="99">
                  <c:v>7.3547150823920614E-3</c:v>
                </c:pt>
                <c:pt idx="100">
                  <c:v>7.4597545087445013E-3</c:v>
                </c:pt>
                <c:pt idx="101">
                  <c:v>7.564844620765696E-3</c:v>
                </c:pt>
                <c:pt idx="102">
                  <c:v>7.6699910703844475E-3</c:v>
                </c:pt>
                <c:pt idx="103">
                  <c:v>7.775199481568169E-3</c:v>
                </c:pt>
                <c:pt idx="104">
                  <c:v>7.8804754373574364E-3</c:v>
                </c:pt>
                <c:pt idx="105">
                  <c:v>7.9858244663670464E-3</c:v>
                </c:pt>
                <c:pt idx="106">
                  <c:v>8.0912520287147478E-3</c:v>
                </c:pt>
                <c:pt idx="107">
                  <c:v>8.1967635013421893E-3</c:v>
                </c:pt>
                <c:pt idx="108">
                  <c:v>8.302364162697029E-3</c:v>
                </c:pt>
                <c:pt idx="109">
                  <c:v>8.4080591767513521E-3</c:v>
                </c:pt>
                <c:pt idx="110">
                  <c:v>8.5138535763385776E-3</c:v>
                </c:pt>
                <c:pt idx="111">
                  <c:v>8.61975224579958E-3</c:v>
                </c:pt>
                <c:pt idx="112">
                  <c:v>8.7257599029381371E-3</c:v>
                </c:pt>
                <c:pt idx="113">
                  <c:v>8.8318810802970864E-3</c:v>
                </c:pt>
                <c:pt idx="114">
                  <c:v>8.9381201057774952E-3</c:v>
                </c:pt>
                <c:pt idx="115">
                  <c:v>9.0444810826361462E-3</c:v>
                </c:pt>
                <c:pt idx="116">
                  <c:v>9.1509678689097838E-3</c:v>
                </c:pt>
                <c:pt idx="117">
                  <c:v>9.257584056327919E-3</c:v>
                </c:pt>
                <c:pt idx="118">
                  <c:v>9.3643329487904468E-3</c:v>
                </c:pt>
                <c:pt idx="119">
                  <c:v>9.4712175405003932E-3</c:v>
                </c:pt>
                <c:pt idx="120">
                  <c:v>9.578240493855911E-3</c:v>
                </c:pt>
                <c:pt idx="121">
                  <c:v>9.6854041172204312E-3</c:v>
                </c:pt>
                <c:pt idx="122">
                  <c:v>9.792710342702236E-3</c:v>
                </c:pt>
                <c:pt idx="123">
                  <c:v>9.9001607040885564E-3</c:v>
                </c:pt>
                <c:pt idx="124">
                  <c:v>1.0007756315090663E-2</c:v>
                </c:pt>
                <c:pt idx="125">
                  <c:v>1.0115497848067354E-2</c:v>
                </c:pt>
                <c:pt idx="126">
                  <c:v>1.022338551340422E-2</c:v>
                </c:pt>
                <c:pt idx="127">
                  <c:v>1.0331419039733843E-2</c:v>
                </c:pt>
                <c:pt idx="128">
                  <c:v>1.0439597655188856E-2</c:v>
                </c:pt>
                <c:pt idx="129">
                  <c:v>1.054792006988454E-2</c:v>
                </c:pt>
                <c:pt idx="130">
                  <c:v>1.0656384459830378E-2</c:v>
                </c:pt>
                <c:pt idx="131">
                  <c:v>1.0764988452471017E-2</c:v>
                </c:pt>
                <c:pt idx="132">
                  <c:v>1.0873729114055276E-2</c:v>
                </c:pt>
                <c:pt idx="133">
                  <c:v>1.0982602939028842E-2</c:v>
                </c:pt>
                <c:pt idx="134">
                  <c:v>1.10916058416398E-2</c:v>
                </c:pt>
                <c:pt idx="135">
                  <c:v>1.1200733149938382E-2</c:v>
                </c:pt>
                <c:pt idx="136">
                  <c:v>1.1309979602341732E-2</c:v>
                </c:pt>
                <c:pt idx="137">
                  <c:v>1.1419339346921242E-2</c:v>
                </c:pt>
                <c:pt idx="138">
                  <c:v>1.1528805943555803E-2</c:v>
                </c:pt>
                <c:pt idx="139">
                  <c:v>1.163837236907614E-2</c:v>
                </c:pt>
                <c:pt idx="140">
                  <c:v>1.1748031025506997E-2</c:v>
                </c:pt>
                <c:pt idx="141">
                  <c:v>1.1857773751492193E-2</c:v>
                </c:pt>
                <c:pt idx="142">
                  <c:v>1.1967591836965068E-2</c:v>
                </c:pt>
                <c:pt idx="143">
                  <c:v>1.2077476041102033E-2</c:v>
                </c:pt>
                <c:pt idx="144">
                  <c:v>1.2187416613571565E-2</c:v>
                </c:pt>
                <c:pt idx="145">
                  <c:v>1.2297403319063628E-2</c:v>
                </c:pt>
                <c:pt idx="146">
                  <c:v>1.2407425465057119E-2</c:v>
                </c:pt>
                <c:pt idx="147">
                  <c:v>1.2517471932754288E-2</c:v>
                </c:pt>
                <c:pt idx="148">
                  <c:v>1.2627531211082557E-2</c:v>
                </c:pt>
                <c:pt idx="149">
                  <c:v>1.2737591433635608E-2</c:v>
                </c:pt>
                <c:pt idx="150">
                  <c:v>1.2847640418396681E-2</c:v>
                </c:pt>
                <c:pt idx="151">
                  <c:v>1.2957665710059909E-2</c:v>
                </c:pt>
                <c:pt idx="152">
                  <c:v>1.3067654624737945E-2</c:v>
                </c:pt>
                <c:pt idx="153">
                  <c:v>1.317759429681878E-2</c:v>
                </c:pt>
                <c:pt idx="154">
                  <c:v>1.328747172771017E-2</c:v>
                </c:pt>
                <c:pt idx="155">
                  <c:v>1.3397273836187542E-2</c:v>
                </c:pt>
                <c:pt idx="156">
                  <c:v>1.350698751004111E-2</c:v>
                </c:pt>
                <c:pt idx="157">
                  <c:v>1.3616599658699368E-2</c:v>
                </c:pt>
                <c:pt idx="158">
                  <c:v>1.3726097266490607E-2</c:v>
                </c:pt>
                <c:pt idx="159">
                  <c:v>1.383546744619147E-2</c:v>
                </c:pt>
                <c:pt idx="160">
                  <c:v>1.3944697492501297E-2</c:v>
                </c:pt>
                <c:pt idx="161">
                  <c:v>1.4053774935074195E-2</c:v>
                </c:pt>
                <c:pt idx="162">
                  <c:v>1.4162687590737381E-2</c:v>
                </c:pt>
                <c:pt idx="163">
                  <c:v>1.427142361452393E-2</c:v>
                </c:pt>
                <c:pt idx="164">
                  <c:v>1.4379971549150924E-2</c:v>
                </c:pt>
                <c:pt idx="165">
                  <c:v>1.4488320372581085E-2</c:v>
                </c:pt>
                <c:pt idx="166">
                  <c:v>1.4596459543315241E-2</c:v>
                </c:pt>
                <c:pt idx="167">
                  <c:v>1.470437904307687E-2</c:v>
                </c:pt>
                <c:pt idx="168">
                  <c:v>1.4812069416566419E-2</c:v>
                </c:pt>
                <c:pt idx="169">
                  <c:v>1.4919521807982497E-2</c:v>
                </c:pt>
                <c:pt idx="170">
                  <c:v>1.5026727994030696E-2</c:v>
                </c:pt>
                <c:pt idx="171">
                  <c:v>1.5133680413165648E-2</c:v>
                </c:pt>
                <c:pt idx="172">
                  <c:v>1.5240372190840736E-2</c:v>
                </c:pt>
                <c:pt idx="173">
                  <c:v>1.5346797160570478E-2</c:v>
                </c:pt>
                <c:pt idx="174">
                  <c:v>1.5452949880643344E-2</c:v>
                </c:pt>
                <c:pt idx="175">
                  <c:v>1.5558825646357398E-2</c:v>
                </c:pt>
                <c:pt idx="176">
                  <c:v>1.566442049768724E-2</c:v>
                </c:pt>
                <c:pt idx="177">
                  <c:v>1.5769731222328127E-2</c:v>
                </c:pt>
                <c:pt idx="178">
                  <c:v>1.5874755354100708E-2</c:v>
                </c:pt>
                <c:pt idx="179">
                  <c:v>1.5979491166738902E-2</c:v>
                </c:pt>
                <c:pt idx="180">
                  <c:v>1.6083937663120985E-2</c:v>
                </c:pt>
                <c:pt idx="181">
                  <c:v>1.618809456004304E-2</c:v>
                </c:pt>
                <c:pt idx="182">
                  <c:v>1.6291962268670187E-2</c:v>
                </c:pt>
                <c:pt idx="183">
                  <c:v>1.6395541870837992E-2</c:v>
                </c:pt>
                <c:pt idx="184">
                  <c:v>1.649883509141082E-2</c:v>
                </c:pt>
                <c:pt idx="185">
                  <c:v>1.6601844266936366E-2</c:v>
                </c:pt>
                <c:pt idx="186">
                  <c:v>1.6704572310867048E-2</c:v>
                </c:pt>
                <c:pt idx="187">
                  <c:v>1.6807022675645919E-2</c:v>
                </c:pt>
                <c:pt idx="188">
                  <c:v>1.6909199311980993E-2</c:v>
                </c:pt>
                <c:pt idx="189">
                  <c:v>1.7011106625653166E-2</c:v>
                </c:pt>
                <c:pt idx="190">
                  <c:v>1.7112749432222386E-2</c:v>
                </c:pt>
                <c:pt idx="191">
                  <c:v>1.7214132910011306E-2</c:v>
                </c:pt>
                <c:pt idx="192">
                  <c:v>1.7315262551757707E-2</c:v>
                </c:pt>
                <c:pt idx="193">
                  <c:v>1.7416144115334275E-2</c:v>
                </c:pt>
                <c:pt idx="194">
                  <c:v>1.7516783573938027E-2</c:v>
                </c:pt>
                <c:pt idx="195">
                  <c:v>1.7617187066151788E-2</c:v>
                </c:pt>
                <c:pt idx="196">
                  <c:v>1.7717360846275156E-2</c:v>
                </c:pt>
                <c:pt idx="197">
                  <c:v>1.7817311235314735E-2</c:v>
                </c:pt>
                <c:pt idx="198">
                  <c:v>1.7917044573011142E-2</c:v>
                </c:pt>
                <c:pt idx="199">
                  <c:v>1.8016567171264156E-2</c:v>
                </c:pt>
                <c:pt idx="200">
                  <c:v>1.8115885269298186E-2</c:v>
                </c:pt>
                <c:pt idx="201">
                  <c:v>1.8215004990887299E-2</c:v>
                </c:pt>
                <c:pt idx="202">
                  <c:v>1.8313932303933082E-2</c:v>
                </c:pt>
                <c:pt idx="203">
                  <c:v>1.8412672982659598E-2</c:v>
                </c:pt>
                <c:pt idx="204">
                  <c:v>1.8511232572658541E-2</c:v>
                </c:pt>
                <c:pt idx="205">
                  <c:v>1.86096163589838E-2</c:v>
                </c:pt>
                <c:pt idx="206">
                  <c:v>1.8707829337459556E-2</c:v>
                </c:pt>
                <c:pt idx="207">
                  <c:v>1.8805876189328791E-2</c:v>
                </c:pt>
                <c:pt idx="208">
                  <c:v>1.8903761259331291E-2</c:v>
                </c:pt>
                <c:pt idx="209">
                  <c:v>1.9001488537261933E-2</c:v>
                </c:pt>
                <c:pt idx="210">
                  <c:v>1.9099061643020818E-2</c:v>
                </c:pt>
                <c:pt idx="211">
                  <c:v>1.9196483815128999E-2</c:v>
                </c:pt>
                <c:pt idx="212">
                  <c:v>1.9293757902645141E-2</c:v>
                </c:pt>
                <c:pt idx="213">
                  <c:v>1.93908863603823E-2</c:v>
                </c:pt>
                <c:pt idx="214">
                  <c:v>1.9487871247288919E-2</c:v>
                </c:pt>
                <c:pt idx="215">
                  <c:v>1.9584714227824439E-2</c:v>
                </c:pt>
                <c:pt idx="216">
                  <c:v>1.9681416576129981E-2</c:v>
                </c:pt>
                <c:pt idx="217">
                  <c:v>1.9777979182765838E-2</c:v>
                </c:pt>
                <c:pt idx="218">
                  <c:v>1.9874402563762567E-2</c:v>
                </c:pt>
                <c:pt idx="219">
                  <c:v>1.9970686871711069E-2</c:v>
                </c:pt>
                <c:pt idx="220">
                  <c:v>2.0066831908598499E-2</c:v>
                </c:pt>
                <c:pt idx="221">
                  <c:v>2.0162837140082861E-2</c:v>
                </c:pt>
                <c:pt idx="222">
                  <c:v>2.0258701710888512E-2</c:v>
                </c:pt>
                <c:pt idx="223">
                  <c:v>2.0354424460999214E-2</c:v>
                </c:pt>
                <c:pt idx="224">
                  <c:v>2.0450003942322621E-2</c:v>
                </c:pt>
                <c:pt idx="225">
                  <c:v>2.0545438435503244E-2</c:v>
                </c:pt>
                <c:pt idx="226">
                  <c:v>2.0640725966566974E-2</c:v>
                </c:pt>
                <c:pt idx="227">
                  <c:v>2.0735864323091293E-2</c:v>
                </c:pt>
                <c:pt idx="228">
                  <c:v>2.0830851069610242E-2</c:v>
                </c:pt>
                <c:pt idx="229">
                  <c:v>2.0925683561981889E-2</c:v>
                </c:pt>
                <c:pt idx="230">
                  <c:v>2.102035896046878E-2</c:v>
                </c:pt>
                <c:pt idx="231">
                  <c:v>2.1114874241307917E-2</c:v>
                </c:pt>
                <c:pt idx="232">
                  <c:v>2.1209226206575969E-2</c:v>
                </c:pt>
                <c:pt idx="233">
                  <c:v>2.1303411492187747E-2</c:v>
                </c:pt>
                <c:pt idx="234">
                  <c:v>2.1397426573900421E-2</c:v>
                </c:pt>
                <c:pt idx="235">
                  <c:v>2.1491267771232787E-2</c:v>
                </c:pt>
                <c:pt idx="236">
                  <c:v>2.1584931249247281E-2</c:v>
                </c:pt>
                <c:pt idx="237">
                  <c:v>2.1678413018181977E-2</c:v>
                </c:pt>
                <c:pt idx="238">
                  <c:v>2.1771708930960136E-2</c:v>
                </c:pt>
                <c:pt idx="239">
                  <c:v>2.1864814678645438E-2</c:v>
                </c:pt>
                <c:pt idx="240">
                  <c:v>2.1957725783951266E-2</c:v>
                </c:pt>
                <c:pt idx="241">
                  <c:v>2.2050437592951968E-2</c:v>
                </c:pt>
                <c:pt idx="242">
                  <c:v>2.2142945265182273E-2</c:v>
                </c:pt>
                <c:pt idx="243">
                  <c:v>2.2235243762347534E-2</c:v>
                </c:pt>
                <c:pt idx="244">
                  <c:v>2.2327327835901516E-2</c:v>
                </c:pt>
                <c:pt idx="245">
                  <c:v>2.2419192013780453E-2</c:v>
                </c:pt>
                <c:pt idx="246">
                  <c:v>2.2510830586609937E-2</c:v>
                </c:pt>
                <c:pt idx="247">
                  <c:v>2.2602237593726541E-2</c:v>
                </c:pt>
                <c:pt idx="248">
                  <c:v>2.2693406809376735E-2</c:v>
                </c:pt>
                <c:pt idx="249">
                  <c:v>2.278433172947246E-2</c:v>
                </c:pt>
                <c:pt idx="250">
                  <c:v>2.2875005559295045E-2</c:v>
                </c:pt>
                <c:pt idx="251">
                  <c:v>2.2965421202546334E-2</c:v>
                </c:pt>
                <c:pt idx="252">
                  <c:v>2.3055571252148258E-2</c:v>
                </c:pt>
                <c:pt idx="253">
                  <c:v>2.3145447983190116E-2</c:v>
                </c:pt>
                <c:pt idx="254">
                  <c:v>2.3235043348413822E-2</c:v>
                </c:pt>
                <c:pt idx="255">
                  <c:v>2.3324348976615575E-2</c:v>
                </c:pt>
                <c:pt idx="256">
                  <c:v>2.3413356174323358E-2</c:v>
                </c:pt>
                <c:pt idx="257">
                  <c:v>2.3502055931086736E-2</c:v>
                </c:pt>
                <c:pt idx="258">
                  <c:v>2.3590438928687282E-2</c:v>
                </c:pt>
                <c:pt idx="259">
                  <c:v>2.3678495554544897E-2</c:v>
                </c:pt>
                <c:pt idx="260">
                  <c:v>2.3766215919558024E-2</c:v>
                </c:pt>
                <c:pt idx="261">
                  <c:v>2.3853589880574465E-2</c:v>
                </c:pt>
                <c:pt idx="262">
                  <c:v>2.3940607067644021E-2</c:v>
                </c:pt>
                <c:pt idx="263">
                  <c:v>2.4027256916155763E-2</c:v>
                </c:pt>
                <c:pt idx="264">
                  <c:v>2.4113528703911539E-2</c:v>
                </c:pt>
                <c:pt idx="265">
                  <c:v>2.4199411593133376E-2</c:v>
                </c:pt>
                <c:pt idx="266">
                  <c:v>2.4284894677346777E-2</c:v>
                </c:pt>
                <c:pt idx="267">
                  <c:v>2.4369967033025432E-2</c:v>
                </c:pt>
                <c:pt idx="268">
                  <c:v>2.445461777582501E-2</c:v>
                </c:pt>
                <c:pt idx="269">
                  <c:v>2.4538836121176699E-2</c:v>
                </c:pt>
                <c:pt idx="270">
                  <c:v>2.4622611448953297E-2</c:v>
                </c:pt>
                <c:pt idx="271">
                  <c:v>2.4705933371866228E-2</c:v>
                </c:pt>
                <c:pt idx="272">
                  <c:v>2.4788791807196547E-2</c:v>
                </c:pt>
                <c:pt idx="273">
                  <c:v>2.4871177051412518E-2</c:v>
                </c:pt>
                <c:pt idx="274">
                  <c:v>2.4953079857177391E-2</c:v>
                </c:pt>
                <c:pt idx="275">
                  <c:v>2.5034491512206453E-2</c:v>
                </c:pt>
                <c:pt idx="276">
                  <c:v>2.5115403919391346E-2</c:v>
                </c:pt>
                <c:pt idx="277">
                  <c:v>2.5195809677574163E-2</c:v>
                </c:pt>
                <c:pt idx="278">
                  <c:v>2.5275702162322656E-2</c:v>
                </c:pt>
                <c:pt idx="279">
                  <c:v>2.5355075606032791E-2</c:v>
                </c:pt>
                <c:pt idx="280">
                  <c:v>2.543392517666547E-2</c:v>
                </c:pt>
                <c:pt idx="281">
                  <c:v>2.5512247054411512E-2</c:v>
                </c:pt>
                <c:pt idx="282">
                  <c:v>2.5590038505572146E-2</c:v>
                </c:pt>
                <c:pt idx="283">
                  <c:v>2.5667297952943192E-2</c:v>
                </c:pt>
                <c:pt idx="284">
                  <c:v>2.5744025041997517E-2</c:v>
                </c:pt>
                <c:pt idx="285">
                  <c:v>2.5820220702175243E-2</c:v>
                </c:pt>
                <c:pt idx="286">
                  <c:v>2.5895887202611954E-2</c:v>
                </c:pt>
                <c:pt idx="287">
                  <c:v>2.5971028201663054E-2</c:v>
                </c:pt>
                <c:pt idx="288">
                  <c:v>2.6045648789617327E-2</c:v>
                </c:pt>
                <c:pt idx="289">
                  <c:v>2.611975552403396E-2</c:v>
                </c:pt>
                <c:pt idx="290">
                  <c:v>2.6193356457184683E-2</c:v>
                </c:pt>
                <c:pt idx="291">
                  <c:v>2.626646115513593E-2</c:v>
                </c:pt>
                <c:pt idx="292">
                  <c:v>2.6339080708064944E-2</c:v>
                </c:pt>
                <c:pt idx="293">
                  <c:v>2.6411227731467347E-2</c:v>
                </c:pt>
                <c:pt idx="294">
                  <c:v>2.6482916357982139E-2</c:v>
                </c:pt>
                <c:pt idx="295">
                  <c:v>2.6554162219631937E-2</c:v>
                </c:pt>
                <c:pt idx="296">
                  <c:v>2.6624982420351832E-2</c:v>
                </c:pt>
                <c:pt idx="297">
                  <c:v>2.6695395498758271E-2</c:v>
                </c:pt>
                <c:pt idx="298">
                  <c:v>2.6765421381188773E-2</c:v>
                </c:pt>
                <c:pt idx="299">
                  <c:v>2.6835081325125045E-2</c:v>
                </c:pt>
                <c:pt idx="300">
                  <c:v>2.6904397853192277E-2</c:v>
                </c:pt>
                <c:pt idx="301">
                  <c:v>2.6973394678009611E-2</c:v>
                </c:pt>
                <c:pt idx="302">
                  <c:v>2.7042096618245803E-2</c:v>
                </c:pt>
                <c:pt idx="303">
                  <c:v>2.7110529506312278E-2</c:v>
                </c:pt>
                <c:pt idx="304">
                  <c:v>2.7178720088201401E-2</c:v>
                </c:pt>
                <c:pt idx="305">
                  <c:v>2.7246695916049134E-2</c:v>
                </c:pt>
                <c:pt idx="306">
                  <c:v>2.7314485234069624E-2</c:v>
                </c:pt>
                <c:pt idx="307">
                  <c:v>2.7382116858571937E-2</c:v>
                </c:pt>
                <c:pt idx="308">
                  <c:v>2.7449620052826942E-2</c:v>
                </c:pt>
                <c:pt idx="309">
                  <c:v>2.751702439760394E-2</c:v>
                </c:pt>
                <c:pt idx="310">
                  <c:v>2.7584359658241558E-2</c:v>
                </c:pt>
                <c:pt idx="311">
                  <c:v>2.7651655649155758E-2</c:v>
                </c:pt>
                <c:pt idx="312">
                  <c:v>2.7718942096718064E-2</c:v>
                </c:pt>
                <c:pt idx="313">
                  <c:v>2.778624850145987E-2</c:v>
                </c:pt>
                <c:pt idx="314">
                  <c:v>2.7853604000574007E-2</c:v>
                </c:pt>
                <c:pt idx="315">
                  <c:v>2.7921037231690024E-2</c:v>
                </c:pt>
                <c:pt idx="316">
                  <c:v>2.7988576198898971E-2</c:v>
                </c:pt>
                <c:pt idx="317">
                  <c:v>2.8056248141991903E-2</c:v>
                </c:pt>
                <c:pt idx="318">
                  <c:v>2.8124079409858227E-2</c:v>
                </c:pt>
                <c:pt idx="319">
                  <c:v>2.8192095338962487E-2</c:v>
                </c:pt>
                <c:pt idx="320">
                  <c:v>2.8260320137783079E-2</c:v>
                </c:pt>
                <c:pt idx="321">
                  <c:v>2.8328776778053271E-2</c:v>
                </c:pt>
                <c:pt idx="322">
                  <c:v>2.8397486893594451E-2</c:v>
                </c:pt>
                <c:pt idx="323">
                  <c:v>2.8466470687473742E-2</c:v>
                </c:pt>
                <c:pt idx="324">
                  <c:v>2.853574684815418E-2</c:v>
                </c:pt>
                <c:pt idx="325">
                  <c:v>2.8605332475235268E-2</c:v>
                </c:pt>
                <c:pt idx="326">
                  <c:v>2.8675243015306644E-2</c:v>
                </c:pt>
                <c:pt idx="327">
                  <c:v>2.8745492208356434E-2</c:v>
                </c:pt>
                <c:pt idx="328">
                  <c:v>2.8816092045092896E-2</c:v>
                </c:pt>
                <c:pt idx="329">
                  <c:v>2.8887052735449295E-2</c:v>
                </c:pt>
                <c:pt idx="330">
                  <c:v>2.8958382688452636E-2</c:v>
                </c:pt>
                <c:pt idx="331">
                  <c:v>2.903008850354542E-2</c:v>
                </c:pt>
                <c:pt idx="332">
                  <c:v>2.9102174973356706E-2</c:v>
                </c:pt>
                <c:pt idx="333">
                  <c:v>2.9174645097827114E-2</c:v>
                </c:pt>
                <c:pt idx="334">
                  <c:v>2.9247500109500418E-2</c:v>
                </c:pt>
                <c:pt idx="335">
                  <c:v>2.932073950970511E-2</c:v>
                </c:pt>
                <c:pt idx="336">
                  <c:v>2.9394361115262058E-2</c:v>
                </c:pt>
                <c:pt idx="337">
                  <c:v>2.946836111527051E-2</c:v>
                </c:pt>
                <c:pt idx="338">
                  <c:v>2.9542734137445296E-2</c:v>
                </c:pt>
                <c:pt idx="339">
                  <c:v>2.9617473323402897E-2</c:v>
                </c:pt>
                <c:pt idx="340">
                  <c:v>2.9692570412225186E-2</c:v>
                </c:pt>
                <c:pt idx="341">
                  <c:v>2.9768015831566363E-2</c:v>
                </c:pt>
                <c:pt idx="342">
                  <c:v>2.9843798795511862E-2</c:v>
                </c:pt>
                <c:pt idx="343">
                  <c:v>2.9919907408349652E-2</c:v>
                </c:pt>
                <c:pt idx="344">
                  <c:v>2.9996328773371859E-2</c:v>
                </c:pt>
                <c:pt idx="345">
                  <c:v>3.0073049105791984E-2</c:v>
                </c:pt>
                <c:pt idx="346">
                  <c:v>3.0150053848837503E-2</c:v>
                </c:pt>
                <c:pt idx="347">
                  <c:v>3.0227327792060738E-2</c:v>
                </c:pt>
                <c:pt idx="348">
                  <c:v>3.0304855190903486E-2</c:v>
                </c:pt>
                <c:pt idx="349">
                  <c:v>3.0382619886550929E-2</c:v>
                </c:pt>
                <c:pt idx="350">
                  <c:v>3.0460605425120024E-2</c:v>
                </c:pt>
                <c:pt idx="351">
                  <c:v>3.0538795175245371E-2</c:v>
                </c:pt>
                <c:pt idx="352">
                  <c:v>3.0617172443151298E-2</c:v>
                </c:pt>
                <c:pt idx="353">
                  <c:v>3.0695720584333397E-2</c:v>
                </c:pt>
                <c:pt idx="354">
                  <c:v>3.0774423111014415E-2</c:v>
                </c:pt>
                <c:pt idx="355">
                  <c:v>3.0853263794587835E-2</c:v>
                </c:pt>
                <c:pt idx="356">
                  <c:v>3.0932226762318993E-2</c:v>
                </c:pt>
                <c:pt idx="357">
                  <c:v>3.1011296587634359E-2</c:v>
                </c:pt>
                <c:pt idx="358">
                  <c:v>3.1090458373397696E-2</c:v>
                </c:pt>
                <c:pt idx="359">
                  <c:v>3.1169697827643159E-2</c:v>
                </c:pt>
                <c:pt idx="360">
                  <c:v>3.1249001331312237E-2</c:v>
                </c:pt>
                <c:pt idx="361">
                  <c:v>3.1328355997620488E-2</c:v>
                </c:pt>
                <c:pt idx="362">
                  <c:v>3.1407749722762092E-2</c:v>
                </c:pt>
                <c:pt idx="363">
                  <c:v>3.1487171227744734E-2</c:v>
                </c:pt>
                <c:pt idx="364">
                  <c:v>3.1566610091231094E-2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2.295957854493387E-10</c:v>
                </c:pt>
                <c:pt idx="1">
                  <c:v>5.5178323639899391E-9</c:v>
                </c:pt>
                <c:pt idx="2">
                  <c:v>1.0409453856692066E-8</c:v>
                </c:pt>
                <c:pt idx="3">
                  <c:v>1.4896372903204874E-8</c:v>
                </c:pt>
                <c:pt idx="4">
                  <c:v>1.897116713896163E-8</c:v>
                </c:pt>
                <c:pt idx="5">
                  <c:v>2.262709129379005E-8</c:v>
                </c:pt>
                <c:pt idx="6">
                  <c:v>2.5858083357764263E-8</c:v>
                </c:pt>
                <c:pt idx="7">
                  <c:v>2.8658765193259917E-8</c:v>
                </c:pt>
                <c:pt idx="8">
                  <c:v>3.1021756672803187E-8</c:v>
                </c:pt>
                <c:pt idx="9">
                  <c:v>3.298254512919445E-8</c:v>
                </c:pt>
                <c:pt idx="10">
                  <c:v>3.4562696885427011E-8</c:v>
                </c:pt>
                <c:pt idx="11">
                  <c:v>3.578005542161926E-8</c:v>
                </c:pt>
                <c:pt idx="12">
                  <c:v>3.665440960725263E-8</c:v>
                </c:pt>
                <c:pt idx="13">
                  <c:v>3.7207386017940635E-8</c:v>
                </c:pt>
                <c:pt idx="14">
                  <c:v>3.7462356919169214E-8</c:v>
                </c:pt>
                <c:pt idx="15">
                  <c:v>3.7531221742434398E-8</c:v>
                </c:pt>
                <c:pt idx="16">
                  <c:v>3.7349615821960633E-8</c:v>
                </c:pt>
                <c:pt idx="17">
                  <c:v>3.6942136551141215E-8</c:v>
                </c:pt>
                <c:pt idx="18">
                  <c:v>3.6334774676141411E-8</c:v>
                </c:pt>
                <c:pt idx="19">
                  <c:v>3.5555115044183439E-8</c:v>
                </c:pt>
                <c:pt idx="20">
                  <c:v>3.4632229480989167E-8</c:v>
                </c:pt>
                <c:pt idx="21">
                  <c:v>3.35964748486298E-8</c:v>
                </c:pt>
                <c:pt idx="22">
                  <c:v>3.2475716116738353E-8</c:v>
                </c:pt>
                <c:pt idx="23">
                  <c:v>3.1427137446841043E-8</c:v>
                </c:pt>
                <c:pt idx="24">
                  <c:v>3.0371563640664545E-8</c:v>
                </c:pt>
                <c:pt idx="25">
                  <c:v>2.9347076829679266E-8</c:v>
                </c:pt>
                <c:pt idx="26">
                  <c:v>2.8393662514448823E-8</c:v>
                </c:pt>
                <c:pt idx="27">
                  <c:v>2.7553321808628879E-8</c:v>
                </c:pt>
                <c:pt idx="28">
                  <c:v>2.6870209945318441E-8</c:v>
                </c:pt>
                <c:pt idx="29">
                  <c:v>2.6447187804642739E-8</c:v>
                </c:pt>
                <c:pt idx="30">
                  <c:v>2.6128555069061126E-8</c:v>
                </c:pt>
                <c:pt idx="31">
                  <c:v>2.5943916080547381E-8</c:v>
                </c:pt>
                <c:pt idx="32">
                  <c:v>2.5924542862207131E-8</c:v>
                </c:pt>
                <c:pt idx="33">
                  <c:v>2.6103528587966069E-8</c:v>
                </c:pt>
                <c:pt idx="34">
                  <c:v>2.6515959174828614E-8</c:v>
                </c:pt>
                <c:pt idx="35">
                  <c:v>2.7199103775185966E-8</c:v>
                </c:pt>
                <c:pt idx="36">
                  <c:v>2.8190068024822752E-8</c:v>
                </c:pt>
                <c:pt idx="37">
                  <c:v>2.9465393298375034E-8</c:v>
                </c:pt>
                <c:pt idx="38">
                  <c:v>3.0799544780660138E-8</c:v>
                </c:pt>
                <c:pt idx="39">
                  <c:v>3.2196874789140601E-8</c:v>
                </c:pt>
                <c:pt idx="40">
                  <c:v>3.3661996391684174E-8</c:v>
                </c:pt>
                <c:pt idx="41">
                  <c:v>3.5199800544975393E-8</c:v>
                </c:pt>
                <c:pt idx="42">
                  <c:v>3.6815474926424817E-8</c:v>
                </c:pt>
                <c:pt idx="43">
                  <c:v>3.8493697727533373E-8</c:v>
                </c:pt>
                <c:pt idx="44">
                  <c:v>4.0129417323533047E-8</c:v>
                </c:pt>
                <c:pt idx="45">
                  <c:v>4.1712922169250748E-8</c:v>
                </c:pt>
                <c:pt idx="46">
                  <c:v>4.3233815024868198E-8</c:v>
                </c:pt>
                <c:pt idx="47">
                  <c:v>4.4680952412625959E-8</c:v>
                </c:pt>
                <c:pt idx="48">
                  <c:v>4.6042379046352874E-8</c:v>
                </c:pt>
                <c:pt idx="49">
                  <c:v>4.7305256709327831E-8</c:v>
                </c:pt>
                <c:pt idx="50">
                  <c:v>4.8454282012113592E-8</c:v>
                </c:pt>
                <c:pt idx="51">
                  <c:v>4.9571620431035632E-8</c:v>
                </c:pt>
                <c:pt idx="52">
                  <c:v>5.0766133851544396E-8</c:v>
                </c:pt>
                <c:pt idx="53">
                  <c:v>5.2045220728288501E-8</c:v>
                </c:pt>
                <c:pt idx="54">
                  <c:v>5.3417038398474897E-8</c:v>
                </c:pt>
                <c:pt idx="55">
                  <c:v>5.4890295384547567E-8</c:v>
                </c:pt>
                <c:pt idx="56">
                  <c:v>5.6474285504962432E-8</c:v>
                </c:pt>
                <c:pt idx="57">
                  <c:v>5.8076971971104274E-8</c:v>
                </c:pt>
                <c:pt idx="58">
                  <c:v>5.9734439908629873E-8</c:v>
                </c:pt>
                <c:pt idx="59">
                  <c:v>6.1449725631142625E-8</c:v>
                </c:pt>
                <c:pt idx="60">
                  <c:v>6.322604995620691E-8</c:v>
                </c:pt>
                <c:pt idx="61">
                  <c:v>6.5066830502296376E-8</c:v>
                </c:pt>
                <c:pt idx="62">
                  <c:v>6.697569458518267E-8</c:v>
                </c:pt>
                <c:pt idx="63">
                  <c:v>6.8956492737740548E-8</c:v>
                </c:pt>
                <c:pt idx="64">
                  <c:v>7.1012025551924034E-8</c:v>
                </c:pt>
                <c:pt idx="65">
                  <c:v>7.3000705323473195E-8</c:v>
                </c:pt>
                <c:pt idx="66">
                  <c:v>7.4738072693203559E-8</c:v>
                </c:pt>
                <c:pt idx="67">
                  <c:v>7.6193307604734409E-8</c:v>
                </c:pt>
                <c:pt idx="68">
                  <c:v>7.7333417515524407E-8</c:v>
                </c:pt>
                <c:pt idx="69">
                  <c:v>7.8123056410748334E-8</c:v>
                </c:pt>
                <c:pt idx="70">
                  <c:v>7.8524326320507421E-8</c:v>
                </c:pt>
                <c:pt idx="71">
                  <c:v>7.8629139553171446E-8</c:v>
                </c:pt>
                <c:pt idx="72">
                  <c:v>7.8585279780627342E-8</c:v>
                </c:pt>
                <c:pt idx="73">
                  <c:v>7.838115383392926E-8</c:v>
                </c:pt>
                <c:pt idx="74">
                  <c:v>7.8004296229328853E-8</c:v>
                </c:pt>
                <c:pt idx="75">
                  <c:v>7.7441291188101899E-8</c:v>
                </c:pt>
                <c:pt idx="76">
                  <c:v>7.6677687865096027E-8</c:v>
                </c:pt>
                <c:pt idx="77">
                  <c:v>7.569790821845397E-8</c:v>
                </c:pt>
                <c:pt idx="78">
                  <c:v>7.4481062320839448E-8</c:v>
                </c:pt>
                <c:pt idx="79">
                  <c:v>7.3086608378444096E-8</c:v>
                </c:pt>
                <c:pt idx="80">
                  <c:v>7.1755666405451329E-8</c:v>
                </c:pt>
                <c:pt idx="81">
                  <c:v>7.0505953945347424E-8</c:v>
                </c:pt>
                <c:pt idx="82">
                  <c:v>6.9356589355752801E-8</c:v>
                </c:pt>
                <c:pt idx="83">
                  <c:v>6.8328229380122696E-8</c:v>
                </c:pt>
                <c:pt idx="84">
                  <c:v>6.7443221775895889E-8</c:v>
                </c:pt>
                <c:pt idx="85">
                  <c:v>6.6662942433826288E-8</c:v>
                </c:pt>
                <c:pt idx="86">
                  <c:v>6.5776880204394909E-8</c:v>
                </c:pt>
                <c:pt idx="87">
                  <c:v>6.4779517240924476E-8</c:v>
                </c:pt>
                <c:pt idx="88">
                  <c:v>6.3664863782584381E-8</c:v>
                </c:pt>
                <c:pt idx="89">
                  <c:v>6.2426422013888735E-8</c:v>
                </c:pt>
                <c:pt idx="90">
                  <c:v>6.1057147813514774E-8</c:v>
                </c:pt>
                <c:pt idx="91">
                  <c:v>5.9549410233041314E-8</c:v>
                </c:pt>
                <c:pt idx="92">
                  <c:v>5.7893310337608427E-8</c:v>
                </c:pt>
                <c:pt idx="93">
                  <c:v>5.6154774000214779E-8</c:v>
                </c:pt>
                <c:pt idx="94">
                  <c:v>5.419102935730073E-8</c:v>
                </c:pt>
                <c:pt idx="95">
                  <c:v>5.1984489560265137E-8</c:v>
                </c:pt>
                <c:pt idx="96">
                  <c:v>4.9516324958907705E-8</c:v>
                </c:pt>
                <c:pt idx="97">
                  <c:v>4.6766387526626335E-8</c:v>
                </c:pt>
                <c:pt idx="98">
                  <c:v>4.3713132535758647E-8</c:v>
                </c:pt>
                <c:pt idx="99">
                  <c:v>4.053068352617859E-8</c:v>
                </c:pt>
                <c:pt idx="100">
                  <c:v>3.7330739822527607E-8</c:v>
                </c:pt>
                <c:pt idx="101">
                  <c:v>3.4127166562855576E-8</c:v>
                </c:pt>
                <c:pt idx="102">
                  <c:v>3.0935702900188517E-8</c:v>
                </c:pt>
                <c:pt idx="103">
                  <c:v>2.777414479188429E-8</c:v>
                </c:pt>
                <c:pt idx="104">
                  <c:v>2.4662540913233035E-8</c:v>
                </c:pt>
                <c:pt idx="105">
                  <c:v>2.1623402054382566E-8</c:v>
                </c:pt>
                <c:pt idx="106">
                  <c:v>1.868236394134253E-8</c:v>
                </c:pt>
                <c:pt idx="107">
                  <c:v>1.5998499935745291E-8</c:v>
                </c:pt>
                <c:pt idx="108">
                  <c:v>1.3479014193189775E-8</c:v>
                </c:pt>
                <c:pt idx="109">
                  <c:v>1.1158613754806054E-8</c:v>
                </c:pt>
                <c:pt idx="110">
                  <c:v>9.0758695118826243E-9</c:v>
                </c:pt>
                <c:pt idx="111">
                  <c:v>7.2734574496495255E-9</c:v>
                </c:pt>
                <c:pt idx="112">
                  <c:v>5.7984471219962912E-9</c:v>
                </c:pt>
                <c:pt idx="113">
                  <c:v>4.7026469614212756E-9</c:v>
                </c:pt>
                <c:pt idx="114">
                  <c:v>3.6779432644243793E-9</c:v>
                </c:pt>
                <c:pt idx="115">
                  <c:v>2.7396572268421502E-9</c:v>
                </c:pt>
                <c:pt idx="116">
                  <c:v>1.9047301491647221E-9</c:v>
                </c:pt>
                <c:pt idx="117">
                  <c:v>1.1918280844738636E-9</c:v>
                </c:pt>
                <c:pt idx="118">
                  <c:v>6.2144674149091376E-10</c:v>
                </c:pt>
                <c:pt idx="119">
                  <c:v>2.1601559343961734E-10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1.2551487480609722E-20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-1.326692502046981E-20</c:v>
                </c:pt>
                <c:pt idx="137">
                  <c:v>-1.3392794902799644E-20</c:v>
                </c:pt>
                <c:pt idx="138">
                  <c:v>0</c:v>
                </c:pt>
                <c:pt idx="139">
                  <c:v>1.3649188508928938E-20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1.4849088892227716E-20</c:v>
                </c:pt>
                <c:pt idx="149">
                  <c:v>1.4984068661935007E-20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-1.5785288094062871E-20</c:v>
                </c:pt>
                <c:pt idx="156">
                  <c:v>0</c:v>
                </c:pt>
                <c:pt idx="157">
                  <c:v>-1.6045048105090494E-20</c:v>
                </c:pt>
                <c:pt idx="158">
                  <c:v>-1.6172830190142663E-20</c:v>
                </c:pt>
                <c:pt idx="159">
                  <c:v>0</c:v>
                </c:pt>
                <c:pt idx="160">
                  <c:v>0</c:v>
                </c:pt>
                <c:pt idx="161">
                  <c:v>1.6545981072515534E-20</c:v>
                </c:pt>
                <c:pt idx="162">
                  <c:v>1.6666566424550575E-20</c:v>
                </c:pt>
                <c:pt idx="163">
                  <c:v>0</c:v>
                </c:pt>
                <c:pt idx="164">
                  <c:v>0</c:v>
                </c:pt>
                <c:pt idx="165">
                  <c:v>1.7016021344672509E-20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1.8116136804416534E-20</c:v>
                </c:pt>
                <c:pt idx="177">
                  <c:v>0</c:v>
                </c:pt>
                <c:pt idx="178">
                  <c:v>-1.8284779926067659E-20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1.9047426725438346E-20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1.9260290932651752E-20</c:v>
                </c:pt>
                <c:pt idx="194">
                  <c:v>0</c:v>
                </c:pt>
                <c:pt idx="195">
                  <c:v>-1.9357241086780245E-20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1.9927150967186139E-20</c:v>
                </c:pt>
                <c:pt idx="210">
                  <c:v>-1.9963849872836837E-20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2.2359130823930013E-9</c:v>
                </c:pt>
                <c:pt idx="226">
                  <c:v>6.7382604907311641E-9</c:v>
                </c:pt>
                <c:pt idx="227">
                  <c:v>1.3536567420837641E-8</c:v>
                </c:pt>
                <c:pt idx="228">
                  <c:v>2.2659347872912745E-8</c:v>
                </c:pt>
                <c:pt idx="229">
                  <c:v>3.4134082935227751E-8</c:v>
                </c:pt>
                <c:pt idx="230">
                  <c:v>4.7987192746485782E-8</c:v>
                </c:pt>
                <c:pt idx="231">
                  <c:v>6.424400235109117E-8</c:v>
                </c:pt>
                <c:pt idx="232">
                  <c:v>8.2927714815955793E-8</c:v>
                </c:pt>
                <c:pt idx="233">
                  <c:v>1.088789113275733E-7</c:v>
                </c:pt>
                <c:pt idx="234">
                  <c:v>1.4217360738543021E-7</c:v>
                </c:pt>
                <c:pt idx="235">
                  <c:v>1.8288509713072052E-7</c:v>
                </c:pt>
                <c:pt idx="236">
                  <c:v>2.3108460187681059E-7</c:v>
                </c:pt>
                <c:pt idx="237">
                  <c:v>2.8684171639813494E-7</c:v>
                </c:pt>
                <c:pt idx="238">
                  <c:v>3.5022509698757459E-7</c:v>
                </c:pt>
                <c:pt idx="239">
                  <c:v>4.2373184173581827E-7</c:v>
                </c:pt>
                <c:pt idx="240">
                  <c:v>5.0508481399635989E-7</c:v>
                </c:pt>
                <c:pt idx="241">
                  <c:v>5.9435409396531157E-7</c:v>
                </c:pt>
                <c:pt idx="242">
                  <c:v>6.9161144114649834E-7</c:v>
                </c:pt>
                <c:pt idx="243">
                  <c:v>7.9693095409987016E-7</c:v>
                </c:pt>
                <c:pt idx="244">
                  <c:v>9.1038973842592813E-7</c:v>
                </c:pt>
                <c:pt idx="245">
                  <c:v>1.0320685836726118E-6</c:v>
                </c:pt>
                <c:pt idx="246">
                  <c:v>1.1620142069923242E-6</c:v>
                </c:pt>
                <c:pt idx="247">
                  <c:v>1.2974961852897432E-6</c:v>
                </c:pt>
                <c:pt idx="248">
                  <c:v>1.4334823875985889E-6</c:v>
                </c:pt>
                <c:pt idx="249">
                  <c:v>1.5699636751179386E-6</c:v>
                </c:pt>
                <c:pt idx="250">
                  <c:v>1.7069337674559294E-6</c:v>
                </c:pt>
                <c:pt idx="251">
                  <c:v>1.8443892095014003E-6</c:v>
                </c:pt>
                <c:pt idx="252">
                  <c:v>1.9823293395800688E-6</c:v>
                </c:pt>
                <c:pt idx="253">
                  <c:v>2.1252657620579391E-6</c:v>
                </c:pt>
                <c:pt idx="254">
                  <c:v>2.2706974943517776E-6</c:v>
                </c:pt>
                <c:pt idx="255">
                  <c:v>2.41864944685267E-6</c:v>
                </c:pt>
                <c:pt idx="256">
                  <c:v>2.5691493916086184E-6</c:v>
                </c:pt>
                <c:pt idx="257">
                  <c:v>2.7222280693491381E-6</c:v>
                </c:pt>
                <c:pt idx="258">
                  <c:v>2.8779193116199378E-6</c:v>
                </c:pt>
                <c:pt idx="259">
                  <c:v>3.0362601822493977E-6</c:v>
                </c:pt>
                <c:pt idx="260">
                  <c:v>3.1972551318428984E-6</c:v>
                </c:pt>
                <c:pt idx="261">
                  <c:v>3.3710202062271444E-6</c:v>
                </c:pt>
                <c:pt idx="262">
                  <c:v>3.5605335245996211E-6</c:v>
                </c:pt>
                <c:pt idx="263">
                  <c:v>3.7659078225065892E-6</c:v>
                </c:pt>
                <c:pt idx="264">
                  <c:v>3.9872516784339055E-6</c:v>
                </c:pt>
                <c:pt idx="265">
                  <c:v>4.2246912555221548E-6</c:v>
                </c:pt>
                <c:pt idx="266">
                  <c:v>4.4783405648669875E-6</c:v>
                </c:pt>
                <c:pt idx="267">
                  <c:v>4.7342521939292945E-6</c:v>
                </c:pt>
                <c:pt idx="268">
                  <c:v>4.9876820698638997E-6</c:v>
                </c:pt>
                <c:pt idx="269">
                  <c:v>5.2385504555900614E-6</c:v>
                </c:pt>
                <c:pt idx="270">
                  <c:v>5.4867720318871751E-6</c:v>
                </c:pt>
                <c:pt idx="271">
                  <c:v>5.7322561745125157E-6</c:v>
                </c:pt>
                <c:pt idx="272">
                  <c:v>5.9749072831309856E-6</c:v>
                </c:pt>
                <c:pt idx="273">
                  <c:v>6.2146251620053814E-6</c:v>
                </c:pt>
                <c:pt idx="274">
                  <c:v>6.451405630475E-6</c:v>
                </c:pt>
                <c:pt idx="275">
                  <c:v>6.6717052930555523E-6</c:v>
                </c:pt>
                <c:pt idx="276">
                  <c:v>6.8647672898058334E-6</c:v>
                </c:pt>
                <c:pt idx="277">
                  <c:v>7.0303154855086751E-6</c:v>
                </c:pt>
                <c:pt idx="278">
                  <c:v>7.1680781000805069E-6</c:v>
                </c:pt>
                <c:pt idx="279">
                  <c:v>7.2777900612982245E-6</c:v>
                </c:pt>
                <c:pt idx="280">
                  <c:v>7.3591953349340021E-6</c:v>
                </c:pt>
                <c:pt idx="281">
                  <c:v>7.4288173506028278E-6</c:v>
                </c:pt>
                <c:pt idx="282">
                  <c:v>7.5010854834535116E-6</c:v>
                </c:pt>
                <c:pt idx="283">
                  <c:v>7.5759570486095469E-6</c:v>
                </c:pt>
                <c:pt idx="284">
                  <c:v>7.6533886853348463E-6</c:v>
                </c:pt>
                <c:pt idx="285">
                  <c:v>7.7333365501711785E-6</c:v>
                </c:pt>
                <c:pt idx="286">
                  <c:v>7.8157565344715965E-6</c:v>
                </c:pt>
                <c:pt idx="287">
                  <c:v>7.9006045066196718E-6</c:v>
                </c:pt>
                <c:pt idx="288">
                  <c:v>7.9884133128494746E-6</c:v>
                </c:pt>
                <c:pt idx="289">
                  <c:v>8.0747514438069872E-6</c:v>
                </c:pt>
                <c:pt idx="290">
                  <c:v>8.1733604932681809E-6</c:v>
                </c:pt>
                <c:pt idx="291">
                  <c:v>8.2841032643673794E-6</c:v>
                </c:pt>
                <c:pt idx="292">
                  <c:v>8.4068298320154189E-6</c:v>
                </c:pt>
                <c:pt idx="293">
                  <c:v>8.5413743979172912E-6</c:v>
                </c:pt>
                <c:pt idx="294">
                  <c:v>8.6875521325994114E-6</c:v>
                </c:pt>
                <c:pt idx="295">
                  <c:v>8.826148444166747E-6</c:v>
                </c:pt>
                <c:pt idx="296">
                  <c:v>8.9398535536300724E-6</c:v>
                </c:pt>
                <c:pt idx="297">
                  <c:v>9.0284183711016521E-6</c:v>
                </c:pt>
                <c:pt idx="298">
                  <c:v>9.0915314331910001E-6</c:v>
                </c:pt>
                <c:pt idx="299">
                  <c:v>9.1288966461005698E-6</c:v>
                </c:pt>
                <c:pt idx="300">
                  <c:v>9.140239371095181E-6</c:v>
                </c:pt>
                <c:pt idx="301">
                  <c:v>9.1253127393456812E-6</c:v>
                </c:pt>
                <c:pt idx="302">
                  <c:v>9.0847219292356859E-6</c:v>
                </c:pt>
                <c:pt idx="303">
                  <c:v>9.0439291618649428E-6</c:v>
                </c:pt>
                <c:pt idx="304">
                  <c:v>9.0079207558979809E-6</c:v>
                </c:pt>
                <c:pt idx="305">
                  <c:v>8.9767465023608744E-6</c:v>
                </c:pt>
                <c:pt idx="306">
                  <c:v>8.950456774904473E-6</c:v>
                </c:pt>
                <c:pt idx="307">
                  <c:v>8.9291024199940272E-6</c:v>
                </c:pt>
                <c:pt idx="308">
                  <c:v>8.9127346432146329E-6</c:v>
                </c:pt>
                <c:pt idx="309">
                  <c:v>8.9771993479833642E-6</c:v>
                </c:pt>
                <c:pt idx="310">
                  <c:v>9.141287360229429E-6</c:v>
                </c:pt>
                <c:pt idx="311">
                  <c:v>9.4047621522837349E-6</c:v>
                </c:pt>
                <c:pt idx="312">
                  <c:v>9.7673659610666212E-6</c:v>
                </c:pt>
                <c:pt idx="313">
                  <c:v>1.0228826954213387E-5</c:v>
                </c:pt>
                <c:pt idx="314">
                  <c:v>1.078886631467906E-5</c:v>
                </c:pt>
                <c:pt idx="315">
                  <c:v>1.144720507573104E-5</c:v>
                </c:pt>
                <c:pt idx="316">
                  <c:v>1.2204526236001017E-5</c:v>
                </c:pt>
                <c:pt idx="317">
                  <c:v>1.314933412530626E-5</c:v>
                </c:pt>
                <c:pt idx="318">
                  <c:v>1.4257013259139723E-5</c:v>
                </c:pt>
                <c:pt idx="319">
                  <c:v>1.5527411222818522E-5</c:v>
                </c:pt>
                <c:pt idx="320">
                  <c:v>1.6960402409427317E-5</c:v>
                </c:pt>
                <c:pt idx="321">
                  <c:v>1.855585383117642E-5</c:v>
                </c:pt>
                <c:pt idx="322">
                  <c:v>2.0313586768588291E-5</c:v>
                </c:pt>
                <c:pt idx="323">
                  <c:v>2.2309993016541113E-5</c:v>
                </c:pt>
                <c:pt idx="324">
                  <c:v>2.4469672383289473E-5</c:v>
                </c:pt>
                <c:pt idx="325">
                  <c:v>2.679203180627743E-5</c:v>
                </c:pt>
                <c:pt idx="326">
                  <c:v>2.9276043582049067E-5</c:v>
                </c:pt>
                <c:pt idx="327">
                  <c:v>3.1920432053928976E-5</c:v>
                </c:pt>
                <c:pt idx="328">
                  <c:v>3.4723689917124149E-5</c:v>
                </c:pt>
                <c:pt idx="329">
                  <c:v>3.7683888518967425E-5</c:v>
                </c:pt>
                <c:pt idx="330">
                  <c:v>4.0802853902559345E-5</c:v>
                </c:pt>
                <c:pt idx="331">
                  <c:v>4.4187949952697182E-5</c:v>
                </c:pt>
                <c:pt idx="332">
                  <c:v>4.7751954208132713E-5</c:v>
                </c:pt>
                <c:pt idx="333">
                  <c:v>5.1494745200401087E-5</c:v>
                </c:pt>
                <c:pt idx="334">
                  <c:v>5.5416053899846174E-5</c:v>
                </c:pt>
                <c:pt idx="335">
                  <c:v>5.9515421080608101E-5</c:v>
                </c:pt>
                <c:pt idx="336">
                  <c:v>6.3792152322229471E-5</c:v>
                </c:pt>
                <c:pt idx="337">
                  <c:v>6.8231489557393245E-5</c:v>
                </c:pt>
                <c:pt idx="338">
                  <c:v>7.2755994672694691E-5</c:v>
                </c:pt>
                <c:pt idx="339">
                  <c:v>7.7364103949557851E-5</c:v>
                </c:pt>
                <c:pt idx="340">
                  <c:v>8.2053854056985746E-5</c:v>
                </c:pt>
                <c:pt idx="341">
                  <c:v>8.6822851270599438E-5</c:v>
                </c:pt>
                <c:pt idx="342">
                  <c:v>9.1668243819111226E-5</c:v>
                </c:pt>
                <c:pt idx="343">
                  <c:v>9.6586698193144331E-5</c:v>
                </c:pt>
                <c:pt idx="344">
                  <c:v>1.0157969946626834E-4</c:v>
                </c:pt>
                <c:pt idx="345">
                  <c:v>1.0664938557995872E-4</c:v>
                </c:pt>
                <c:pt idx="346">
                  <c:v>1.1135150972563092E-4</c:v>
                </c:pt>
                <c:pt idx="347">
                  <c:v>1.1568384296527797E-4</c:v>
                </c:pt>
                <c:pt idx="348">
                  <c:v>1.196439297517959E-4</c:v>
                </c:pt>
                <c:pt idx="349">
                  <c:v>1.2322917452012603E-4</c:v>
                </c:pt>
                <c:pt idx="350">
                  <c:v>1.2643693322448066E-4</c:v>
                </c:pt>
                <c:pt idx="351">
                  <c:v>1.2892866010484621E-4</c:v>
                </c:pt>
                <c:pt idx="352">
                  <c:v>1.30717239252123E-4</c:v>
                </c:pt>
                <c:pt idx="353">
                  <c:v>1.3180253441670166E-4</c:v>
                </c:pt>
                <c:pt idx="354">
                  <c:v>1.3218519870417548E-4</c:v>
                </c:pt>
                <c:pt idx="355">
                  <c:v>1.3186682380957876E-4</c:v>
                </c:pt>
                <c:pt idx="356">
                  <c:v>1.308484251295982E-4</c:v>
                </c:pt>
                <c:pt idx="357">
                  <c:v>1.2913544807942773E-4</c:v>
                </c:pt>
                <c:pt idx="358">
                  <c:v>1.2673372253577502E-4</c:v>
                </c:pt>
                <c:pt idx="359">
                  <c:v>1.2365195862333261E-4</c:v>
                </c:pt>
                <c:pt idx="360">
                  <c:v>1.1988639716404821E-4</c:v>
                </c:pt>
                <c:pt idx="361">
                  <c:v>1.1577437022666308E-4</c:v>
                </c:pt>
                <c:pt idx="362">
                  <c:v>1.1132361917158708E-4</c:v>
                </c:pt>
                <c:pt idx="363">
                  <c:v>1.0654248360834204E-4</c:v>
                </c:pt>
                <c:pt idx="364">
                  <c:v>1.0143985603346814E-4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481808"/>
        <c:axId val="202482200"/>
      </c:lineChart>
      <c:dateAx>
        <c:axId val="20248180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2482200"/>
        <c:crosses val="autoZero"/>
        <c:auto val="1"/>
        <c:lblOffset val="100"/>
        <c:baseTimeUnit val="days"/>
        <c:majorUnit val="1"/>
        <c:majorTimeUnit val="months"/>
      </c:dateAx>
      <c:valAx>
        <c:axId val="20248220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24818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6.3996942621804553E-3</c:v>
                </c:pt>
                <c:pt idx="1">
                  <c:v>6.4187363853632773E-3</c:v>
                </c:pt>
                <c:pt idx="2">
                  <c:v>6.4377781436081305E-3</c:v>
                </c:pt>
                <c:pt idx="3">
                  <c:v>6.4568195369220094E-3</c:v>
                </c:pt>
                <c:pt idx="4">
                  <c:v>6.4758605653119083E-3</c:v>
                </c:pt>
                <c:pt idx="5">
                  <c:v>6.4949012287849328E-3</c:v>
                </c:pt>
                <c:pt idx="6">
                  <c:v>6.5139415273479662E-3</c:v>
                </c:pt>
                <c:pt idx="7">
                  <c:v>6.5329814610080028E-3</c:v>
                </c:pt>
                <c:pt idx="8">
                  <c:v>6.5520210297720372E-3</c:v>
                </c:pt>
                <c:pt idx="9">
                  <c:v>6.5710602336470636E-3</c:v>
                </c:pt>
                <c:pt idx="10">
                  <c:v>6.5900990726401876E-3</c:v>
                </c:pt>
                <c:pt idx="11">
                  <c:v>6.6091375467581814E-3</c:v>
                </c:pt>
                <c:pt idx="12">
                  <c:v>6.6281756560082616E-3</c:v>
                </c:pt>
                <c:pt idx="13">
                  <c:v>6.6472134003973116E-3</c:v>
                </c:pt>
                <c:pt idx="14">
                  <c:v>6.6662507799323256E-3</c:v>
                </c:pt>
                <c:pt idx="15">
                  <c:v>6.6852877946201872E-3</c:v>
                </c:pt>
                <c:pt idx="16">
                  <c:v>6.7043244444681127E-3</c:v>
                </c:pt>
                <c:pt idx="17">
                  <c:v>6.7233607294829856E-3</c:v>
                </c:pt>
                <c:pt idx="18">
                  <c:v>6.7423966496718002E-3</c:v>
                </c:pt>
                <c:pt idx="19">
                  <c:v>6.761432205041551E-3</c:v>
                </c:pt>
                <c:pt idx="20">
                  <c:v>6.7804673955992323E-3</c:v>
                </c:pt>
                <c:pt idx="21">
                  <c:v>6.7995022213517275E-3</c:v>
                </c:pt>
                <c:pt idx="22">
                  <c:v>6.8185366823062532E-3</c:v>
                </c:pt>
                <c:pt idx="23">
                  <c:v>6.8375707784696926E-3</c:v>
                </c:pt>
                <c:pt idx="24">
                  <c:v>6.8566045098489292E-3</c:v>
                </c:pt>
                <c:pt idx="25">
                  <c:v>6.8756378764510684E-3</c:v>
                </c:pt>
                <c:pt idx="26">
                  <c:v>6.8946708782831045E-3</c:v>
                </c:pt>
                <c:pt idx="27">
                  <c:v>6.9137035153519211E-3</c:v>
                </c:pt>
                <c:pt idx="28">
                  <c:v>6.9327357876647344E-3</c:v>
                </c:pt>
                <c:pt idx="29">
                  <c:v>6.9517676952283169E-3</c:v>
                </c:pt>
                <c:pt idx="30">
                  <c:v>6.9707992380496631E-3</c:v>
                </c:pt>
                <c:pt idx="31">
                  <c:v>6.9898304161358782E-3</c:v>
                </c:pt>
                <c:pt idx="32">
                  <c:v>7.0088612294939567E-3</c:v>
                </c:pt>
                <c:pt idx="33">
                  <c:v>7.0278916781307821E-3</c:v>
                </c:pt>
                <c:pt idx="34">
                  <c:v>7.0469217620534597E-3</c:v>
                </c:pt>
                <c:pt idx="35">
                  <c:v>7.0659514812688728E-3</c:v>
                </c:pt>
                <c:pt idx="36">
                  <c:v>7.0849808357841271E-3</c:v>
                </c:pt>
                <c:pt idx="37">
                  <c:v>7.1040098256061057E-3</c:v>
                </c:pt>
                <c:pt idx="38">
                  <c:v>7.1230384507418032E-3</c:v>
                </c:pt>
                <c:pt idx="39">
                  <c:v>7.1420667111982139E-3</c:v>
                </c:pt>
                <c:pt idx="40">
                  <c:v>7.1610946069824433E-3</c:v>
                </c:pt>
                <c:pt idx="41">
                  <c:v>7.1801221381013747E-3</c:v>
                </c:pt>
                <c:pt idx="42">
                  <c:v>7.1991493045618915E-3</c:v>
                </c:pt>
                <c:pt idx="43">
                  <c:v>7.2181761063712102E-3</c:v>
                </c:pt>
                <c:pt idx="44">
                  <c:v>7.2372025435362142E-3</c:v>
                </c:pt>
                <c:pt idx="45">
                  <c:v>7.2562286160638978E-3</c:v>
                </c:pt>
                <c:pt idx="46">
                  <c:v>7.2752543239612555E-3</c:v>
                </c:pt>
                <c:pt idx="47">
                  <c:v>7.2942796672351706E-3</c:v>
                </c:pt>
                <c:pt idx="48">
                  <c:v>7.3133046458927486E-3</c:v>
                </c:pt>
                <c:pt idx="49">
                  <c:v>7.3323292599409839E-3</c:v>
                </c:pt>
                <c:pt idx="50">
                  <c:v>7.3513535093868709E-3</c:v>
                </c:pt>
                <c:pt idx="51">
                  <c:v>7.370377394237293E-3</c:v>
                </c:pt>
                <c:pt idx="52">
                  <c:v>7.3894009144993555E-3</c:v>
                </c:pt>
                <c:pt idx="53">
                  <c:v>7.408424070179942E-3</c:v>
                </c:pt>
                <c:pt idx="54">
                  <c:v>7.4274468612861577E-3</c:v>
                </c:pt>
                <c:pt idx="55">
                  <c:v>7.4464692878248862E-3</c:v>
                </c:pt>
                <c:pt idx="56">
                  <c:v>7.4654913498031217E-3</c:v>
                </c:pt>
                <c:pt idx="57">
                  <c:v>7.4845130472278587E-3</c:v>
                </c:pt>
                <c:pt idx="58">
                  <c:v>7.5035343801060916E-3</c:v>
                </c:pt>
                <c:pt idx="59">
                  <c:v>7.5225553484449259E-3</c:v>
                </c:pt>
                <c:pt idx="60">
                  <c:v>7.5415759522511339E-3</c:v>
                </c:pt>
                <c:pt idx="61">
                  <c:v>7.560596191531932E-3</c:v>
                </c:pt>
                <c:pt idx="62">
                  <c:v>7.5796160662940926E-3</c:v>
                </c:pt>
                <c:pt idx="63">
                  <c:v>7.5986355765447211E-3</c:v>
                </c:pt>
                <c:pt idx="64">
                  <c:v>7.617654722290701E-3</c:v>
                </c:pt>
                <c:pt idx="65">
                  <c:v>7.6366735035391375E-3</c:v>
                </c:pt>
                <c:pt idx="66">
                  <c:v>7.6556919202970253E-3</c:v>
                </c:pt>
                <c:pt idx="67">
                  <c:v>7.6747099725712475E-3</c:v>
                </c:pt>
                <c:pt idx="68">
                  <c:v>7.6937276603687987E-3</c:v>
                </c:pt>
                <c:pt idx="69">
                  <c:v>7.7127449836967843E-3</c:v>
                </c:pt>
                <c:pt idx="70">
                  <c:v>7.7317619425620876E-3</c:v>
                </c:pt>
                <c:pt idx="71">
                  <c:v>7.750778536971703E-3</c:v>
                </c:pt>
                <c:pt idx="72">
                  <c:v>7.7697947669326251E-3</c:v>
                </c:pt>
                <c:pt idx="73">
                  <c:v>7.788810632451848E-3</c:v>
                </c:pt>
                <c:pt idx="74">
                  <c:v>7.8078261335362553E-3</c:v>
                </c:pt>
                <c:pt idx="75">
                  <c:v>7.8268412701930634E-3</c:v>
                </c:pt>
                <c:pt idx="76">
                  <c:v>7.8458560424290447E-3</c:v>
                </c:pt>
                <c:pt idx="77">
                  <c:v>7.8648704502511935E-3</c:v>
                </c:pt>
                <c:pt idx="78">
                  <c:v>7.8838844936666153E-3</c:v>
                </c:pt>
                <c:pt idx="79">
                  <c:v>7.9028981726823044E-3</c:v>
                </c:pt>
                <c:pt idx="80">
                  <c:v>7.9219114873050334E-3</c:v>
                </c:pt>
                <c:pt idx="81">
                  <c:v>7.9409244375420185E-3</c:v>
                </c:pt>
                <c:pt idx="82">
                  <c:v>7.9599370234001432E-3</c:v>
                </c:pt>
                <c:pt idx="83">
                  <c:v>7.9789492448864019E-3</c:v>
                </c:pt>
                <c:pt idx="84">
                  <c:v>7.997961102007678E-3</c:v>
                </c:pt>
                <c:pt idx="85">
                  <c:v>8.0169725947711878E-3</c:v>
                </c:pt>
                <c:pt idx="86">
                  <c:v>8.0359837231837039E-3</c:v>
                </c:pt>
                <c:pt idx="87">
                  <c:v>8.0549944872523316E-3</c:v>
                </c:pt>
                <c:pt idx="88">
                  <c:v>8.0740048869839542E-3</c:v>
                </c:pt>
                <c:pt idx="89">
                  <c:v>8.0930149223855663E-3</c:v>
                </c:pt>
                <c:pt idx="90">
                  <c:v>8.1120245934642732E-3</c:v>
                </c:pt>
                <c:pt idx="91">
                  <c:v>8.1310339002268472E-3</c:v>
                </c:pt>
                <c:pt idx="92">
                  <c:v>8.1500428426805049E-3</c:v>
                </c:pt>
                <c:pt idx="93">
                  <c:v>8.1690514208321297E-3</c:v>
                </c:pt>
                <c:pt idx="94">
                  <c:v>8.1880596346886048E-3</c:v>
                </c:pt>
                <c:pt idx="95">
                  <c:v>8.2070674842570357E-3</c:v>
                </c:pt>
                <c:pt idx="96">
                  <c:v>8.2260749695444169E-3</c:v>
                </c:pt>
                <c:pt idx="97">
                  <c:v>8.2450820905576316E-3</c:v>
                </c:pt>
                <c:pt idx="98">
                  <c:v>8.2640888473036744E-3</c:v>
                </c:pt>
                <c:pt idx="99">
                  <c:v>8.2830952397896507E-3</c:v>
                </c:pt>
                <c:pt idx="100">
                  <c:v>8.3021012680223327E-3</c:v>
                </c:pt>
                <c:pt idx="101">
                  <c:v>8.321106932008937E-3</c:v>
                </c:pt>
                <c:pt idx="102">
                  <c:v>8.3401122317562359E-3</c:v>
                </c:pt>
                <c:pt idx="103">
                  <c:v>8.3591171672713349E-3</c:v>
                </c:pt>
                <c:pt idx="104">
                  <c:v>8.3781217385612283E-3</c:v>
                </c:pt>
                <c:pt idx="105">
                  <c:v>8.3971259456327996E-3</c:v>
                </c:pt>
                <c:pt idx="106">
                  <c:v>8.4161297884930431E-3</c:v>
                </c:pt>
                <c:pt idx="107">
                  <c:v>8.4351332671490642E-3</c:v>
                </c:pt>
                <c:pt idx="108">
                  <c:v>8.4541363816076354E-3</c:v>
                </c:pt>
                <c:pt idx="109">
                  <c:v>8.473139131875973E-3</c:v>
                </c:pt>
                <c:pt idx="110">
                  <c:v>8.4921415179608495E-3</c:v>
                </c:pt>
                <c:pt idx="111">
                  <c:v>8.5111435398693702E-3</c:v>
                </c:pt>
                <c:pt idx="112">
                  <c:v>8.5301451976084186E-3</c:v>
                </c:pt>
                <c:pt idx="113">
                  <c:v>8.5491464911851001E-3</c:v>
                </c:pt>
                <c:pt idx="114">
                  <c:v>8.568147420606298E-3</c:v>
                </c:pt>
                <c:pt idx="115">
                  <c:v>8.5871479858790067E-3</c:v>
                </c:pt>
                <c:pt idx="116">
                  <c:v>8.6061481870103318E-3</c:v>
                </c:pt>
                <c:pt idx="117">
                  <c:v>8.6251480240070455E-3</c:v>
                </c:pt>
                <c:pt idx="118">
                  <c:v>8.6441474968761423E-3</c:v>
                </c:pt>
                <c:pt idx="119">
                  <c:v>8.6631466056247275E-3</c:v>
                </c:pt>
                <c:pt idx="120">
                  <c:v>8.6821453502597956E-3</c:v>
                </c:pt>
                <c:pt idx="121">
                  <c:v>8.70114373078823E-3</c:v>
                </c:pt>
                <c:pt idx="122">
                  <c:v>8.7201417472170251E-3</c:v>
                </c:pt>
                <c:pt idx="123">
                  <c:v>8.7391393995531752E-3</c:v>
                </c:pt>
                <c:pt idx="124">
                  <c:v>8.7581366878035638E-3</c:v>
                </c:pt>
                <c:pt idx="125">
                  <c:v>8.7771336119754073E-3</c:v>
                </c:pt>
                <c:pt idx="126">
                  <c:v>8.7961301720754781E-3</c:v>
                </c:pt>
                <c:pt idx="127">
                  <c:v>8.8151263681107705E-3</c:v>
                </c:pt>
                <c:pt idx="128">
                  <c:v>8.8341222000882791E-3</c:v>
                </c:pt>
                <c:pt idx="129">
                  <c:v>8.8531176680149981E-3</c:v>
                </c:pt>
                <c:pt idx="130">
                  <c:v>8.872112771898033E-3</c:v>
                </c:pt>
                <c:pt idx="131">
                  <c:v>8.8911075117441563E-3</c:v>
                </c:pt>
                <c:pt idx="132">
                  <c:v>8.9101018875603621E-3</c:v>
                </c:pt>
                <c:pt idx="133">
                  <c:v>8.9290958993537561E-3</c:v>
                </c:pt>
                <c:pt idx="134">
                  <c:v>8.9480895471312216E-3</c:v>
                </c:pt>
                <c:pt idx="135">
                  <c:v>8.967082830899753E-3</c:v>
                </c:pt>
                <c:pt idx="136">
                  <c:v>8.9860757506663447E-3</c:v>
                </c:pt>
                <c:pt idx="137">
                  <c:v>9.0050683064379911E-3</c:v>
                </c:pt>
                <c:pt idx="138">
                  <c:v>9.0240604982216865E-3</c:v>
                </c:pt>
                <c:pt idx="139">
                  <c:v>9.0430523260243145E-3</c:v>
                </c:pt>
                <c:pt idx="140">
                  <c:v>9.0620437898528694E-3</c:v>
                </c:pt>
                <c:pt idx="141">
                  <c:v>9.0810348897143456E-3</c:v>
                </c:pt>
                <c:pt idx="142">
                  <c:v>9.1000256256157375E-3</c:v>
                </c:pt>
                <c:pt idx="143">
                  <c:v>9.1190159975640395E-3</c:v>
                </c:pt>
                <c:pt idx="144">
                  <c:v>9.138006005566135E-3</c:v>
                </c:pt>
                <c:pt idx="145">
                  <c:v>9.1569956496290184E-3</c:v>
                </c:pt>
                <c:pt idx="146">
                  <c:v>9.1759849297597951E-3</c:v>
                </c:pt>
                <c:pt idx="147">
                  <c:v>9.1949738459653485E-3</c:v>
                </c:pt>
                <c:pt idx="148">
                  <c:v>9.213962398252673E-3</c:v>
                </c:pt>
                <c:pt idx="149">
                  <c:v>9.2329505866286521E-3</c:v>
                </c:pt>
                <c:pt idx="150">
                  <c:v>9.2519384111003911E-3</c:v>
                </c:pt>
                <c:pt idx="151">
                  <c:v>9.2709258716747733E-3</c:v>
                </c:pt>
                <c:pt idx="152">
                  <c:v>9.2899129683587933E-3</c:v>
                </c:pt>
                <c:pt idx="153">
                  <c:v>9.3088997011595565E-3</c:v>
                </c:pt>
                <c:pt idx="154">
                  <c:v>9.3278860700837241E-3</c:v>
                </c:pt>
                <c:pt idx="155">
                  <c:v>9.3468720751386236E-3</c:v>
                </c:pt>
                <c:pt idx="156">
                  <c:v>9.3658577163310275E-3</c:v>
                </c:pt>
                <c:pt idx="157">
                  <c:v>9.3848429936679301E-3</c:v>
                </c:pt>
                <c:pt idx="158">
                  <c:v>9.4038279071563258E-3</c:v>
                </c:pt>
                <c:pt idx="159">
                  <c:v>9.422812456803098E-3</c:v>
                </c:pt>
                <c:pt idx="160">
                  <c:v>9.4417966426154631E-3</c:v>
                </c:pt>
                <c:pt idx="161">
                  <c:v>9.4607804646000826E-3</c:v>
                </c:pt>
                <c:pt idx="162">
                  <c:v>9.4797639227641728E-3</c:v>
                </c:pt>
                <c:pt idx="163">
                  <c:v>9.4987470171146171E-3</c:v>
                </c:pt>
                <c:pt idx="164">
                  <c:v>9.51772974765841E-3</c:v>
                </c:pt>
                <c:pt idx="165">
                  <c:v>9.5367121144025457E-3</c:v>
                </c:pt>
                <c:pt idx="166">
                  <c:v>9.5556941173537968E-3</c:v>
                </c:pt>
                <c:pt idx="167">
                  <c:v>9.5746757565193796E-3</c:v>
                </c:pt>
                <c:pt idx="168">
                  <c:v>9.5936570319061776E-3</c:v>
                </c:pt>
                <c:pt idx="169">
                  <c:v>9.6126379435211851E-3</c:v>
                </c:pt>
                <c:pt idx="170">
                  <c:v>9.6316184913713965E-3</c:v>
                </c:pt>
                <c:pt idx="171">
                  <c:v>9.6505986754635842E-3</c:v>
                </c:pt>
                <c:pt idx="172">
                  <c:v>9.6695784958049646E-3</c:v>
                </c:pt>
                <c:pt idx="173">
                  <c:v>9.6885579524024212E-3</c:v>
                </c:pt>
                <c:pt idx="174">
                  <c:v>9.7075370452629484E-3</c:v>
                </c:pt>
                <c:pt idx="175">
                  <c:v>9.7265157743934294E-3</c:v>
                </c:pt>
                <c:pt idx="176">
                  <c:v>9.7454941398009698E-3</c:v>
                </c:pt>
                <c:pt idx="177">
                  <c:v>9.7644721414924529E-3</c:v>
                </c:pt>
                <c:pt idx="178">
                  <c:v>9.7834497794747621E-3</c:v>
                </c:pt>
                <c:pt idx="179">
                  <c:v>9.8024270537551139E-3</c:v>
                </c:pt>
                <c:pt idx="180">
                  <c:v>9.8214039643401696E-3</c:v>
                </c:pt>
                <c:pt idx="181">
                  <c:v>9.8403805112371456E-3</c:v>
                </c:pt>
                <c:pt idx="182">
                  <c:v>9.8593566944530364E-3</c:v>
                </c:pt>
                <c:pt idx="183">
                  <c:v>9.8783325139945033E-3</c:v>
                </c:pt>
                <c:pt idx="184">
                  <c:v>9.8973079698688737E-3</c:v>
                </c:pt>
                <c:pt idx="185">
                  <c:v>9.9162830620829201E-3</c:v>
                </c:pt>
                <c:pt idx="186">
                  <c:v>9.9352577906436368E-3</c:v>
                </c:pt>
                <c:pt idx="187">
                  <c:v>9.9542321555580182E-3</c:v>
                </c:pt>
                <c:pt idx="188">
                  <c:v>9.9732061568330588E-3</c:v>
                </c:pt>
                <c:pt idx="189">
                  <c:v>9.9921797944756419E-3</c:v>
                </c:pt>
                <c:pt idx="190">
                  <c:v>1.0011153068492762E-2</c:v>
                </c:pt>
                <c:pt idx="191">
                  <c:v>1.0030125978891413E-2</c:v>
                </c:pt>
                <c:pt idx="192">
                  <c:v>1.0049098525678701E-2</c:v>
                </c:pt>
                <c:pt idx="193">
                  <c:v>1.0068070708861288E-2</c:v>
                </c:pt>
                <c:pt idx="194">
                  <c:v>1.0087042528446388E-2</c:v>
                </c:pt>
                <c:pt idx="195">
                  <c:v>1.0106013984440887E-2</c:v>
                </c:pt>
                <c:pt idx="196">
                  <c:v>1.0124985076851778E-2</c:v>
                </c:pt>
                <c:pt idx="197">
                  <c:v>1.0143955805686056E-2</c:v>
                </c:pt>
                <c:pt idx="198">
                  <c:v>1.0162926170950493E-2</c:v>
                </c:pt>
                <c:pt idx="199">
                  <c:v>1.0181896172652305E-2</c:v>
                </c:pt>
                <c:pt idx="200">
                  <c:v>1.0200865810798376E-2</c:v>
                </c:pt>
                <c:pt idx="201">
                  <c:v>1.0219835085395701E-2</c:v>
                </c:pt>
                <c:pt idx="202">
                  <c:v>1.0238803996451162E-2</c:v>
                </c:pt>
                <c:pt idx="203">
                  <c:v>1.0257772543971755E-2</c:v>
                </c:pt>
                <c:pt idx="204">
                  <c:v>1.0276740727964362E-2</c:v>
                </c:pt>
                <c:pt idx="205">
                  <c:v>1.02957085484362E-2</c:v>
                </c:pt>
                <c:pt idx="206">
                  <c:v>1.0314676005394041E-2</c:v>
                </c:pt>
                <c:pt idx="207">
                  <c:v>1.033364309884488E-2</c:v>
                </c:pt>
                <c:pt idx="208">
                  <c:v>1.0352609828795711E-2</c:v>
                </c:pt>
                <c:pt idx="209">
                  <c:v>1.0371576195253529E-2</c:v>
                </c:pt>
                <c:pt idx="210">
                  <c:v>1.0390542198225217E-2</c:v>
                </c:pt>
                <c:pt idx="211">
                  <c:v>1.0409507837717769E-2</c:v>
                </c:pt>
                <c:pt idx="212">
                  <c:v>1.0428473113738179E-2</c:v>
                </c:pt>
                <c:pt idx="213">
                  <c:v>1.0447438026293443E-2</c:v>
                </c:pt>
                <c:pt idx="214">
                  <c:v>1.0466402575390443E-2</c:v>
                </c:pt>
                <c:pt idx="215">
                  <c:v>1.0485366761036174E-2</c:v>
                </c:pt>
                <c:pt idx="216">
                  <c:v>1.0504330583237631E-2</c:v>
                </c:pt>
                <c:pt idx="217">
                  <c:v>1.0523294042001807E-2</c:v>
                </c:pt>
                <c:pt idx="218">
                  <c:v>1.0542257137335587E-2</c:v>
                </c:pt>
                <c:pt idx="219">
                  <c:v>1.0561219869245964E-2</c:v>
                </c:pt>
                <c:pt idx="220">
                  <c:v>1.0580182237739821E-2</c:v>
                </c:pt>
                <c:pt idx="221">
                  <c:v>1.0599144242824377E-2</c:v>
                </c:pt>
                <c:pt idx="222">
                  <c:v>1.061810588450629E-2</c:v>
                </c:pt>
                <c:pt idx="223">
                  <c:v>1.0637067162792779E-2</c:v>
                </c:pt>
                <c:pt idx="224">
                  <c:v>1.0656028077690616E-2</c:v>
                </c:pt>
                <c:pt idx="225">
                  <c:v>1.0674988629206905E-2</c:v>
                </c:pt>
                <c:pt idx="226">
                  <c:v>1.0693948817348531E-2</c:v>
                </c:pt>
                <c:pt idx="227">
                  <c:v>1.0712908642122487E-2</c:v>
                </c:pt>
                <c:pt idx="228">
                  <c:v>1.0731868103535658E-2</c:v>
                </c:pt>
                <c:pt idx="229">
                  <c:v>1.0750827201595148E-2</c:v>
                </c:pt>
                <c:pt idx="230">
                  <c:v>1.0769785936307841E-2</c:v>
                </c:pt>
                <c:pt idx="231">
                  <c:v>1.078874430768062E-2</c:v>
                </c:pt>
                <c:pt idx="232">
                  <c:v>1.0807702315720591E-2</c:v>
                </c:pt>
                <c:pt idx="233">
                  <c:v>1.0826659960434748E-2</c:v>
                </c:pt>
                <c:pt idx="234">
                  <c:v>1.0845617241829864E-2</c:v>
                </c:pt>
                <c:pt idx="235">
                  <c:v>1.0864574159913043E-2</c:v>
                </c:pt>
                <c:pt idx="236">
                  <c:v>1.0883530714691281E-2</c:v>
                </c:pt>
                <c:pt idx="237">
                  <c:v>1.0902486906171349E-2</c:v>
                </c:pt>
                <c:pt idx="238">
                  <c:v>1.0921442734360354E-2</c:v>
                </c:pt>
                <c:pt idx="239">
                  <c:v>1.0940398199265289E-2</c:v>
                </c:pt>
                <c:pt idx="240">
                  <c:v>1.0959353300893038E-2</c:v>
                </c:pt>
                <c:pt idx="241">
                  <c:v>1.0978308039250595E-2</c:v>
                </c:pt>
                <c:pt idx="242">
                  <c:v>1.0997262414344955E-2</c:v>
                </c:pt>
                <c:pt idx="243">
                  <c:v>1.1016216426183001E-2</c:v>
                </c:pt>
                <c:pt idx="244">
                  <c:v>1.1035170074771727E-2</c:v>
                </c:pt>
                <c:pt idx="245">
                  <c:v>1.1054123360118129E-2</c:v>
                </c:pt>
                <c:pt idx="246">
                  <c:v>1.1073076282229088E-2</c:v>
                </c:pt>
                <c:pt idx="247">
                  <c:v>1.1092028841111712E-2</c:v>
                </c:pt>
                <c:pt idx="248">
                  <c:v>1.1110981036772771E-2</c:v>
                </c:pt>
                <c:pt idx="249">
                  <c:v>1.1129932869219372E-2</c:v>
                </c:pt>
                <c:pt idx="250">
                  <c:v>1.1148884338458398E-2</c:v>
                </c:pt>
                <c:pt idx="251">
                  <c:v>1.1167835444496843E-2</c:v>
                </c:pt>
                <c:pt idx="252">
                  <c:v>1.1186786187341702E-2</c:v>
                </c:pt>
                <c:pt idx="253">
                  <c:v>1.1205736566999858E-2</c:v>
                </c:pt>
                <c:pt idx="254">
                  <c:v>1.1224686583478305E-2</c:v>
                </c:pt>
                <c:pt idx="255">
                  <c:v>1.1243636236784038E-2</c:v>
                </c:pt>
                <c:pt idx="256">
                  <c:v>1.1262585526924052E-2</c:v>
                </c:pt>
                <c:pt idx="257">
                  <c:v>1.1281534453905118E-2</c:v>
                </c:pt>
                <c:pt idx="258">
                  <c:v>1.1300483017734342E-2</c:v>
                </c:pt>
                <c:pt idx="259">
                  <c:v>1.1319431218418718E-2</c:v>
                </c:pt>
                <c:pt idx="260">
                  <c:v>1.1338379055965131E-2</c:v>
                </c:pt>
                <c:pt idx="261">
                  <c:v>1.1357326530380574E-2</c:v>
                </c:pt>
                <c:pt idx="262">
                  <c:v>1.1376273641672041E-2</c:v>
                </c:pt>
                <c:pt idx="263">
                  <c:v>1.1395220389846306E-2</c:v>
                </c:pt>
                <c:pt idx="264">
                  <c:v>1.1414166774910584E-2</c:v>
                </c:pt>
                <c:pt idx="265">
                  <c:v>1.1433112796871647E-2</c:v>
                </c:pt>
                <c:pt idx="266">
                  <c:v>1.1452058455736602E-2</c:v>
                </c:pt>
                <c:pt idx="267">
                  <c:v>1.1471003751512221E-2</c:v>
                </c:pt>
                <c:pt idx="268">
                  <c:v>1.1489948684205609E-2</c:v>
                </c:pt>
                <c:pt idx="269">
                  <c:v>1.150889325382376E-2</c:v>
                </c:pt>
                <c:pt idx="270">
                  <c:v>1.1527837460373447E-2</c:v>
                </c:pt>
                <c:pt idx="271">
                  <c:v>1.1546781303861775E-2</c:v>
                </c:pt>
                <c:pt idx="272">
                  <c:v>1.1565724784295628E-2</c:v>
                </c:pt>
                <c:pt idx="273">
                  <c:v>1.1584667901682111E-2</c:v>
                </c:pt>
                <c:pt idx="274">
                  <c:v>1.1603610656027996E-2</c:v>
                </c:pt>
                <c:pt idx="275">
                  <c:v>1.1622553047340278E-2</c:v>
                </c:pt>
                <c:pt idx="276">
                  <c:v>1.1641495075626063E-2</c:v>
                </c:pt>
                <c:pt idx="277">
                  <c:v>1.1660436740892122E-2</c:v>
                </c:pt>
                <c:pt idx="278">
                  <c:v>1.167937804314545E-2</c:v>
                </c:pt>
                <c:pt idx="279">
                  <c:v>1.1698318982393041E-2</c:v>
                </c:pt>
                <c:pt idx="280">
                  <c:v>1.171725955864189E-2</c:v>
                </c:pt>
                <c:pt idx="281">
                  <c:v>1.1736199771898992E-2</c:v>
                </c:pt>
                <c:pt idx="282">
                  <c:v>1.1755139622171118E-2</c:v>
                </c:pt>
                <c:pt idx="283">
                  <c:v>1.1774079109465374E-2</c:v>
                </c:pt>
                <c:pt idx="284">
                  <c:v>1.1793018233788755E-2</c:v>
                </c:pt>
                <c:pt idx="285">
                  <c:v>1.1811956995148032E-2</c:v>
                </c:pt>
                <c:pt idx="286">
                  <c:v>1.1830895393550311E-2</c:v>
                </c:pt>
                <c:pt idx="287">
                  <c:v>1.1849833429002476E-2</c:v>
                </c:pt>
                <c:pt idx="288">
                  <c:v>1.1868771101511522E-2</c:v>
                </c:pt>
                <c:pt idx="289">
                  <c:v>1.1887708411084441E-2</c:v>
                </c:pt>
                <c:pt idx="290">
                  <c:v>1.1906645357728007E-2</c:v>
                </c:pt>
                <c:pt idx="291">
                  <c:v>1.1925581941449437E-2</c:v>
                </c:pt>
                <c:pt idx="292">
                  <c:v>1.1944518162255502E-2</c:v>
                </c:pt>
                <c:pt idx="293">
                  <c:v>1.1963454020153308E-2</c:v>
                </c:pt>
                <c:pt idx="294">
                  <c:v>1.1982389515149627E-2</c:v>
                </c:pt>
                <c:pt idx="295">
                  <c:v>1.2001324647251566E-2</c:v>
                </c:pt>
                <c:pt idx="296">
                  <c:v>1.2020259416465895E-2</c:v>
                </c:pt>
                <c:pt idx="297">
                  <c:v>1.2039193822799832E-2</c:v>
                </c:pt>
                <c:pt idx="298">
                  <c:v>1.2058127866260149E-2</c:v>
                </c:pt>
                <c:pt idx="299">
                  <c:v>1.207706154685384E-2</c:v>
                </c:pt>
                <c:pt idx="300">
                  <c:v>1.2095994864587789E-2</c:v>
                </c:pt>
                <c:pt idx="301">
                  <c:v>1.2114927819469101E-2</c:v>
                </c:pt>
                <c:pt idx="302">
                  <c:v>1.213386041150466E-2</c:v>
                </c:pt>
                <c:pt idx="303">
                  <c:v>1.2152792640701349E-2</c:v>
                </c:pt>
                <c:pt idx="304">
                  <c:v>1.2171724507066273E-2</c:v>
                </c:pt>
                <c:pt idx="305">
                  <c:v>1.2190656010606205E-2</c:v>
                </c:pt>
                <c:pt idx="306">
                  <c:v>1.2209587151328249E-2</c:v>
                </c:pt>
                <c:pt idx="307">
                  <c:v>1.2228517929239291E-2</c:v>
                </c:pt>
                <c:pt idx="308">
                  <c:v>1.2247448344346323E-2</c:v>
                </c:pt>
                <c:pt idx="309">
                  <c:v>1.226637839665623E-2</c:v>
                </c:pt>
                <c:pt idx="310">
                  <c:v>1.2285308086176006E-2</c:v>
                </c:pt>
                <c:pt idx="311">
                  <c:v>1.2304237412912644E-2</c:v>
                </c:pt>
                <c:pt idx="312">
                  <c:v>1.2323166376872918E-2</c:v>
                </c:pt>
                <c:pt idx="313">
                  <c:v>1.2342094978064044E-2</c:v>
                </c:pt>
                <c:pt idx="314">
                  <c:v>1.2361023216492795E-2</c:v>
                </c:pt>
                <c:pt idx="315">
                  <c:v>1.2379951092166164E-2</c:v>
                </c:pt>
                <c:pt idx="316">
                  <c:v>1.2398878605091146E-2</c:v>
                </c:pt>
                <c:pt idx="317">
                  <c:v>1.2417805755274736E-2</c:v>
                </c:pt>
                <c:pt idx="318">
                  <c:v>1.2436732542723705E-2</c:v>
                </c:pt>
                <c:pt idx="319">
                  <c:v>1.245565896744516E-2</c:v>
                </c:pt>
                <c:pt idx="320">
                  <c:v>1.2474585029445984E-2</c:v>
                </c:pt>
                <c:pt idx="321">
                  <c:v>1.2493510728733059E-2</c:v>
                </c:pt>
                <c:pt idx="322">
                  <c:v>1.2512436065313604E-2</c:v>
                </c:pt>
                <c:pt idx="323">
                  <c:v>1.2531361039194278E-2</c:v>
                </c:pt>
                <c:pt idx="324">
                  <c:v>1.2550285650382187E-2</c:v>
                </c:pt>
                <c:pt idx="325">
                  <c:v>1.2569209898884215E-2</c:v>
                </c:pt>
                <c:pt idx="326">
                  <c:v>1.2588133784707245E-2</c:v>
                </c:pt>
                <c:pt idx="327">
                  <c:v>1.2607057307858494E-2</c:v>
                </c:pt>
                <c:pt idx="328">
                  <c:v>1.2625980468344622E-2</c:v>
                </c:pt>
                <c:pt idx="329">
                  <c:v>1.2644903266172736E-2</c:v>
                </c:pt>
                <c:pt idx="330">
                  <c:v>1.2663825701349718E-2</c:v>
                </c:pt>
                <c:pt idx="331">
                  <c:v>1.2682747773882563E-2</c:v>
                </c:pt>
                <c:pt idx="332">
                  <c:v>1.2701669483778266E-2</c:v>
                </c:pt>
                <c:pt idx="333">
                  <c:v>1.2720590831043599E-2</c:v>
                </c:pt>
                <c:pt idx="334">
                  <c:v>1.2739511815685778E-2</c:v>
                </c:pt>
                <c:pt idx="335">
                  <c:v>1.2758432437711464E-2</c:v>
                </c:pt>
                <c:pt idx="336">
                  <c:v>1.2777352697127764E-2</c:v>
                </c:pt>
                <c:pt idx="337">
                  <c:v>1.2796272593941671E-2</c:v>
                </c:pt>
                <c:pt idx="338">
                  <c:v>1.2815192128160069E-2</c:v>
                </c:pt>
                <c:pt idx="339">
                  <c:v>1.2834111299789841E-2</c:v>
                </c:pt>
                <c:pt idx="340">
                  <c:v>1.2853030108838093E-2</c:v>
                </c:pt>
                <c:pt idx="341">
                  <c:v>1.2871948555311596E-2</c:v>
                </c:pt>
                <c:pt idx="342">
                  <c:v>1.2890866639217458E-2</c:v>
                </c:pt>
                <c:pt idx="343">
                  <c:v>1.290978436056256E-2</c:v>
                </c:pt>
                <c:pt idx="344">
                  <c:v>1.2928701719353786E-2</c:v>
                </c:pt>
                <c:pt idx="345">
                  <c:v>1.2947618715598241E-2</c:v>
                </c:pt>
                <c:pt idx="346">
                  <c:v>1.2966535349302699E-2</c:v>
                </c:pt>
                <c:pt idx="347">
                  <c:v>1.2985451620474264E-2</c:v>
                </c:pt>
                <c:pt idx="348">
                  <c:v>1.3004367529119709E-2</c:v>
                </c:pt>
                <c:pt idx="349">
                  <c:v>1.3023283075246139E-2</c:v>
                </c:pt>
                <c:pt idx="350">
                  <c:v>1.3042198258860438E-2</c:v>
                </c:pt>
                <c:pt idx="351">
                  <c:v>1.3061113079969489E-2</c:v>
                </c:pt>
                <c:pt idx="352">
                  <c:v>1.3080027538580397E-2</c:v>
                </c:pt>
                <c:pt idx="353">
                  <c:v>1.3098941634700045E-2</c:v>
                </c:pt>
                <c:pt idx="354">
                  <c:v>1.3117855368335207E-2</c:v>
                </c:pt>
                <c:pt idx="355">
                  <c:v>1.3136768739493099E-2</c:v>
                </c:pt>
                <c:pt idx="356">
                  <c:v>1.3155681748180492E-2</c:v>
                </c:pt>
                <c:pt idx="357">
                  <c:v>1.3174594394404493E-2</c:v>
                </c:pt>
                <c:pt idx="358">
                  <c:v>1.3193506678171874E-2</c:v>
                </c:pt>
                <c:pt idx="359">
                  <c:v>1.3212418599489628E-2</c:v>
                </c:pt>
                <c:pt idx="360">
                  <c:v>1.3231330158364751E-2</c:v>
                </c:pt>
                <c:pt idx="361">
                  <c:v>1.3250241354804126E-2</c:v>
                </c:pt>
                <c:pt idx="362">
                  <c:v>1.3269152188814748E-2</c:v>
                </c:pt>
                <c:pt idx="363">
                  <c:v>1.328806266040361E-2</c:v>
                </c:pt>
                <c:pt idx="364">
                  <c:v>1.3306972769577596E-2</c:v>
                </c:pt>
                <c:pt idx="365">
                  <c:v>1.332588251634359E-2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'2020'!Psa</c:f>
              <c:numCache>
                <c:formatCode>0.00%</c:formatCode>
                <c:ptCount val="366"/>
                <c:pt idx="0">
                  <c:v>3.1646056773349203E-2</c:v>
                </c:pt>
                <c:pt idx="1">
                  <c:v>3.1707236410305921E-2</c:v>
                </c:pt>
                <c:pt idx="2">
                  <c:v>3.1768425532764419E-2</c:v>
                </c:pt>
                <c:pt idx="3">
                  <c:v>3.1829617171506272E-2</c:v>
                </c:pt>
                <c:pt idx="4">
                  <c:v>3.1890805260940569E-2</c:v>
                </c:pt>
                <c:pt idx="5">
                  <c:v>3.1951984617365578E-2</c:v>
                </c:pt>
                <c:pt idx="6">
                  <c:v>3.201315090979704E-2</c:v>
                </c:pt>
                <c:pt idx="7">
                  <c:v>3.207430062388178E-2</c:v>
                </c:pt>
                <c:pt idx="8">
                  <c:v>3.2135431019470501E-2</c:v>
                </c:pt>
                <c:pt idx="9">
                  <c:v>3.2196540082472878E-2</c:v>
                </c:pt>
                <c:pt idx="10">
                  <c:v>3.2257626471660118E-2</c:v>
                </c:pt>
                <c:pt idx="11">
                  <c:v>3.2318689461115505E-2</c:v>
                </c:pt>
                <c:pt idx="12">
                  <c:v>3.2379728879061286E-2</c:v>
                </c:pt>
                <c:pt idx="13">
                  <c:v>3.2440745043810518E-2</c:v>
                </c:pt>
                <c:pt idx="14">
                  <c:v>3.2501738697605337E-2</c:v>
                </c:pt>
                <c:pt idx="15">
                  <c:v>3.2562710939107974E-2</c:v>
                </c:pt>
                <c:pt idx="16">
                  <c:v>3.262366315530843E-2</c:v>
                </c:pt>
                <c:pt idx="17">
                  <c:v>3.2684596953602527E-2</c:v>
                </c:pt>
                <c:pt idx="18">
                  <c:v>3.2745514094776829E-2</c:v>
                </c:pt>
                <c:pt idx="19">
                  <c:v>3.2806416427612409E-2</c:v>
                </c:pt>
                <c:pt idx="20">
                  <c:v>3.2867305825788423E-2</c:v>
                </c:pt>
                <c:pt idx="21">
                  <c:v>3.2928184127729236E-2</c:v>
                </c:pt>
                <c:pt idx="22">
                  <c:v>3.2989053079995417E-2</c:v>
                </c:pt>
                <c:pt idx="23">
                  <c:v>3.3049914284770769E-2</c:v>
                </c:pt>
                <c:pt idx="24">
                  <c:v>3.3110769151944115E-2</c:v>
                </c:pt>
                <c:pt idx="25">
                  <c:v>3.3171618856227325E-2</c:v>
                </c:pt>
                <c:pt idx="26">
                  <c:v>3.3232464299690345E-2</c:v>
                </c:pt>
                <c:pt idx="27">
                  <c:v>3.329330608003022E-2</c:v>
                </c:pt>
                <c:pt idx="28">
                  <c:v>3.3354144464825361E-2</c:v>
                </c:pt>
                <c:pt idx="29">
                  <c:v>3.3414979371959315E-2</c:v>
                </c:pt>
                <c:pt idx="30">
                  <c:v>3.3475810356330217E-2</c:v>
                </c:pt>
                <c:pt idx="31">
                  <c:v>3.353663660289416E-2</c:v>
                </c:pt>
                <c:pt idx="32">
                  <c:v>3.3597456926023991E-2</c:v>
                </c:pt>
                <c:pt idx="33">
                  <c:v>3.3658269775098663E-2</c:v>
                </c:pt>
                <c:pt idx="34">
                  <c:v>3.3719073246174958E-2</c:v>
                </c:pt>
                <c:pt idx="35">
                  <c:v>3.3779865099532146E-2</c:v>
                </c:pt>
                <c:pt idx="36">
                  <c:v>3.3840642782822471E-2</c:v>
                </c:pt>
                <c:pt idx="37">
                  <c:v>3.3901403459506298E-2</c:v>
                </c:pt>
                <c:pt idx="38">
                  <c:v>3.3962144042201048E-2</c:v>
                </c:pt>
                <c:pt idx="39">
                  <c:v>3.4022861230528521E-2</c:v>
                </c:pt>
                <c:pt idx="40">
                  <c:v>3.4083551553005062E-2</c:v>
                </c:pt>
                <c:pt idx="41">
                  <c:v>3.414421141248513E-2</c:v>
                </c:pt>
                <c:pt idx="42">
                  <c:v>3.4204837134640356E-2</c:v>
                </c:pt>
                <c:pt idx="43">
                  <c:v>3.4265425018933704E-2</c:v>
                </c:pt>
                <c:pt idx="44">
                  <c:v>3.4325971391531783E-2</c:v>
                </c:pt>
                <c:pt idx="45">
                  <c:v>3.4386472659588746E-2</c:v>
                </c:pt>
                <c:pt idx="46">
                  <c:v>3.4446925366330344E-2</c:v>
                </c:pt>
                <c:pt idx="47">
                  <c:v>3.4507326246369673E-2</c:v>
                </c:pt>
                <c:pt idx="48">
                  <c:v>3.4567672280693476E-2</c:v>
                </c:pt>
                <c:pt idx="49">
                  <c:v>3.4627960750771999E-2</c:v>
                </c:pt>
                <c:pt idx="50">
                  <c:v>3.4688189291264653E-2</c:v>
                </c:pt>
                <c:pt idx="51">
                  <c:v>3.4748355940818113E-2</c:v>
                </c:pt>
                <c:pt idx="52">
                  <c:v>3.4808459190482768E-2</c:v>
                </c:pt>
                <c:pt idx="53">
                  <c:v>3.4868498029307193E-2</c:v>
                </c:pt>
                <c:pt idx="54">
                  <c:v>3.4928471986707739E-2</c:v>
                </c:pt>
                <c:pt idx="55">
                  <c:v>3.498838117125147E-2</c:v>
                </c:pt>
                <c:pt idx="56">
                  <c:v>3.5048226305534447E-2</c:v>
                </c:pt>
                <c:pt idx="57">
                  <c:v>3.5108008756883767E-2</c:v>
                </c:pt>
                <c:pt idx="58">
                  <c:v>3.5167730563659585E-2</c:v>
                </c:pt>
                <c:pt idx="59">
                  <c:v>3.5227394456982593E-2</c:v>
                </c:pt>
                <c:pt idx="60">
                  <c:v>3.5287003877762242E-2</c:v>
                </c:pt>
                <c:pt idx="61">
                  <c:v>3.5346562988950656E-2</c:v>
                </c:pt>
                <c:pt idx="62">
                  <c:v>3.5406076682996439E-2</c:v>
                </c:pt>
                <c:pt idx="63">
                  <c:v>3.5465550584520576E-2</c:v>
                </c:pt>
                <c:pt idx="64">
                  <c:v>3.5524991048283008E-2</c:v>
                </c:pt>
                <c:pt idx="65">
                  <c:v>3.5584405152552609E-2</c:v>
                </c:pt>
                <c:pt idx="66">
                  <c:v>3.5643800688034841E-2</c:v>
                </c:pt>
                <c:pt idx="67">
                  <c:v>3.5703186142549567E-2</c:v>
                </c:pt>
                <c:pt idx="68">
                  <c:v>3.5762570681686659E-2</c:v>
                </c:pt>
                <c:pt idx="69">
                  <c:v>3.5821964125697749E-2</c:v>
                </c:pt>
                <c:pt idx="70">
                  <c:v>3.5881376922909554E-2</c:v>
                </c:pt>
                <c:pt idx="71">
                  <c:v>3.5940820119966695E-2</c:v>
                </c:pt>
                <c:pt idx="72">
                  <c:v>3.6000305329229619E-2</c:v>
                </c:pt>
                <c:pt idx="73">
                  <c:v>3.605984469366675E-2</c:v>
                </c:pt>
                <c:pt idx="74">
                  <c:v>3.6119450849588446E-2</c:v>
                </c:pt>
                <c:pt idx="75">
                  <c:v>3.6179136887573661E-2</c:v>
                </c:pt>
                <c:pt idx="76">
                  <c:v>3.6238916311940005E-2</c:v>
                </c:pt>
                <c:pt idx="77">
                  <c:v>3.629880299910164E-2</c:v>
                </c:pt>
                <c:pt idx="78">
                  <c:v>3.6358811155149877E-2</c:v>
                </c:pt>
                <c:pt idx="79">
                  <c:v>3.6418955272977276E-2</c:v>
                </c:pt>
                <c:pt idx="80">
                  <c:v>3.6479250089247871E-2</c:v>
                </c:pt>
                <c:pt idx="81">
                  <c:v>3.6539710541494748E-2</c:v>
                </c:pt>
                <c:pt idx="82">
                  <c:v>3.6600351725601471E-2</c:v>
                </c:pt>
                <c:pt idx="83">
                  <c:v>3.6661188853896201E-2</c:v>
                </c:pt>
                <c:pt idx="84">
                  <c:v>3.672223721405779E-2</c:v>
                </c:pt>
                <c:pt idx="85">
                  <c:v>3.678351212900114E-2</c:v>
                </c:pt>
                <c:pt idx="86">
                  <c:v>3.6845028917876319E-2</c:v>
                </c:pt>
                <c:pt idx="87">
                  <c:v>3.6906802858281774E-2</c:v>
                </c:pt>
                <c:pt idx="88">
                  <c:v>3.6968849149757933E-2</c:v>
                </c:pt>
                <c:pt idx="89">
                  <c:v>3.7031182878593402E-2</c:v>
                </c:pt>
                <c:pt idx="90">
                  <c:v>3.7093818983942095E-2</c:v>
                </c:pt>
                <c:pt idx="91">
                  <c:v>3.7156772225218453E-2</c:v>
                </c:pt>
                <c:pt idx="92">
                  <c:v>3.7220057150706129E-2</c:v>
                </c:pt>
                <c:pt idx="93">
                  <c:v>3.7283688067288254E-2</c:v>
                </c:pt>
                <c:pt idx="94">
                  <c:v>3.7347679011180857E-2</c:v>
                </c:pt>
                <c:pt idx="95">
                  <c:v>3.741204371952863E-2</c:v>
                </c:pt>
                <c:pt idx="96">
                  <c:v>3.7476795602702534E-2</c:v>
                </c:pt>
                <c:pt idx="97">
                  <c:v>3.7541947717122909E-2</c:v>
                </c:pt>
                <c:pt idx="98">
                  <c:v>3.7607512738419988E-2</c:v>
                </c:pt>
                <c:pt idx="99">
                  <c:v>3.7673502934735724E-2</c:v>
                </c:pt>
                <c:pt idx="100">
                  <c:v>3.7739930139967418E-2</c:v>
                </c:pt>
                <c:pt idx="101">
                  <c:v>3.780680572675453E-2</c:v>
                </c:pt>
                <c:pt idx="102">
                  <c:v>3.7874140579015274E-2</c:v>
                </c:pt>
                <c:pt idx="103">
                  <c:v>3.7941945063849257E-2</c:v>
                </c:pt>
                <c:pt idx="104">
                  <c:v>3.8010229002636585E-2</c:v>
                </c:pt>
                <c:pt idx="105">
                  <c:v>3.807900164118172E-2</c:v>
                </c:pt>
                <c:pt idx="106">
                  <c:v>3.8148271618773121E-2</c:v>
                </c:pt>
                <c:pt idx="107">
                  <c:v>3.8218046936054628E-2</c:v>
                </c:pt>
                <c:pt idx="108">
                  <c:v>3.8288334921635088E-2</c:v>
                </c:pt>
                <c:pt idx="109">
                  <c:v>3.8359142197393899E-2</c:v>
                </c:pt>
                <c:pt idx="110">
                  <c:v>3.8430474642475905E-2</c:v>
                </c:pt>
                <c:pt idx="111">
                  <c:v>3.8502337356006139E-2</c:v>
                </c:pt>
                <c:pt idx="112">
                  <c:v>3.8574734618593544E-2</c:v>
                </c:pt>
                <c:pt idx="113">
                  <c:v>3.8647669852733338E-2</c:v>
                </c:pt>
                <c:pt idx="114">
                  <c:v>3.8721145582258351E-2</c:v>
                </c:pt>
                <c:pt idx="115">
                  <c:v>3.879516339103032E-2</c:v>
                </c:pt>
                <c:pt idx="116">
                  <c:v>3.8869723881103109E-2</c:v>
                </c:pt>
                <c:pt idx="117">
                  <c:v>3.8944826630628718E-2</c:v>
                </c:pt>
                <c:pt idx="118">
                  <c:v>3.9020470151814937E-2</c:v>
                </c:pt>
                <c:pt idx="119">
                  <c:v>3.9096651849279407E-2</c:v>
                </c:pt>
                <c:pt idx="120">
                  <c:v>3.9173367979177177E-2</c:v>
                </c:pt>
                <c:pt idx="121">
                  <c:v>3.9250613609509044E-2</c:v>
                </c:pt>
                <c:pt idx="122">
                  <c:v>3.9328382582043492E-2</c:v>
                </c:pt>
                <c:pt idx="123">
                  <c:v>3.9406667476307063E-2</c:v>
                </c:pt>
                <c:pt idx="124">
                  <c:v>3.9485459576114844E-2</c:v>
                </c:pt>
                <c:pt idx="125">
                  <c:v>3.9564748839124711E-2</c:v>
                </c:pt>
                <c:pt idx="126">
                  <c:v>3.9644523869906328E-2</c:v>
                </c:pt>
                <c:pt idx="127">
                  <c:v>3.9724771897016446E-2</c:v>
                </c:pt>
                <c:pt idx="128">
                  <c:v>3.980547875456749E-2</c:v>
                </c:pt>
                <c:pt idx="129">
                  <c:v>3.9886628868766739E-2</c:v>
                </c:pt>
                <c:pt idx="130">
                  <c:v>3.9968205249885716E-2</c:v>
                </c:pt>
                <c:pt idx="131">
                  <c:v>4.0050189490097865E-2</c:v>
                </c:pt>
                <c:pt idx="132">
                  <c:v>4.013256176759377E-2</c:v>
                </c:pt>
                <c:pt idx="133">
                  <c:v>4.021530085734925E-2</c:v>
                </c:pt>
                <c:pt idx="134">
                  <c:v>4.0298384148881441E-2</c:v>
                </c:pt>
                <c:pt idx="135">
                  <c:v>4.0381787671283892E-2</c:v>
                </c:pt>
                <c:pt idx="136">
                  <c:v>4.0465486125780395E-2</c:v>
                </c:pt>
                <c:pt idx="137">
                  <c:v>4.0549452925984199E-2</c:v>
                </c:pt>
                <c:pt idx="138">
                  <c:v>4.0633660245989335E-2</c:v>
                </c:pt>
                <c:pt idx="139">
                  <c:v>4.0718079076359541E-2</c:v>
                </c:pt>
                <c:pt idx="140">
                  <c:v>4.0802679288014662E-2</c:v>
                </c:pt>
                <c:pt idx="141">
                  <c:v>4.0887429703946883E-2</c:v>
                </c:pt>
                <c:pt idx="142">
                  <c:v>4.0972298178630018E-2</c:v>
                </c:pt>
                <c:pt idx="143">
                  <c:v>4.1057251684914621E-2</c:v>
                </c:pt>
                <c:pt idx="144">
                  <c:v>4.1142256408131184E-2</c:v>
                </c:pt>
                <c:pt idx="145">
                  <c:v>4.1227277847053344E-2</c:v>
                </c:pt>
                <c:pt idx="146">
                  <c:v>4.1312280921303679E-2</c:v>
                </c:pt>
                <c:pt idx="147">
                  <c:v>4.1397230084717969E-2</c:v>
                </c:pt>
                <c:pt idx="148">
                  <c:v>4.1482089444118443E-2</c:v>
                </c:pt>
                <c:pt idx="149">
                  <c:v>4.1566822882885761E-2</c:v>
                </c:pt>
                <c:pt idx="150">
                  <c:v>4.1651394188661581E-2</c:v>
                </c:pt>
                <c:pt idx="151">
                  <c:v>4.1735767184461356E-2</c:v>
                </c:pt>
                <c:pt idx="152">
                  <c:v>4.1819905862429285E-2</c:v>
                </c:pt>
                <c:pt idx="153">
                  <c:v>4.1903774519425674E-2</c:v>
                </c:pt>
                <c:pt idx="154">
                  <c:v>4.1987337893602483E-2</c:v>
                </c:pt>
                <c:pt idx="155">
                  <c:v>4.2070561301093323E-2</c:v>
                </c:pt>
                <c:pt idx="156">
                  <c:v>4.2153410771924658E-2</c:v>
                </c:pt>
                <c:pt idx="157">
                  <c:v>4.2235853184240009E-2</c:v>
                </c:pt>
                <c:pt idx="158">
                  <c:v>4.2317856395924718E-2</c:v>
                </c:pt>
                <c:pt idx="159">
                  <c:v>4.2399389372720205E-2</c:v>
                </c:pt>
                <c:pt idx="160">
                  <c:v>4.2480422311928126E-2</c:v>
                </c:pt>
                <c:pt idx="161">
                  <c:v>4.2560926760823098E-2</c:v>
                </c:pt>
                <c:pt idx="162">
                  <c:v>4.2640875728919794E-2</c:v>
                </c:pt>
                <c:pt idx="163">
                  <c:v>4.2720243793275062E-2</c:v>
                </c:pt>
                <c:pt idx="164">
                  <c:v>4.2799007196048337E-2</c:v>
                </c:pt>
                <c:pt idx="165">
                  <c:v>4.2877143933593695E-2</c:v>
                </c:pt>
                <c:pt idx="166">
                  <c:v>4.2954633836413847E-2</c:v>
                </c:pt>
                <c:pt idx="167">
                  <c:v>4.3031458639370253E-2</c:v>
                </c:pt>
                <c:pt idx="168">
                  <c:v>4.3107602041613242E-2</c:v>
                </c:pt>
                <c:pt idx="169">
                  <c:v>4.318304975577112E-2</c:v>
                </c:pt>
                <c:pt idx="170">
                  <c:v>4.3257789546017007E-2</c:v>
                </c:pt>
                <c:pt idx="171">
                  <c:v>4.3331811254716752E-2</c:v>
                </c:pt>
                <c:pt idx="172">
                  <c:v>4.3405106817448066E-2</c:v>
                </c:pt>
                <c:pt idx="173">
                  <c:v>4.3477670266271043E-2</c:v>
                </c:pt>
                <c:pt idx="174">
                  <c:v>4.3549497721221742E-2</c:v>
                </c:pt>
                <c:pt idx="175">
                  <c:v>4.3620587370092882E-2</c:v>
                </c:pt>
                <c:pt idx="176">
                  <c:v>4.3690939436657701E-2</c:v>
                </c:pt>
                <c:pt idx="177">
                  <c:v>4.3760556137584679E-2</c:v>
                </c:pt>
                <c:pt idx="178">
                  <c:v>4.3829441628379706E-2</c:v>
                </c:pt>
                <c:pt idx="179">
                  <c:v>4.3897601938779916E-2</c:v>
                </c:pt>
                <c:pt idx="180">
                  <c:v>4.3965044898105488E-2</c:v>
                </c:pt>
                <c:pt idx="181">
                  <c:v>4.4031780051155704E-2</c:v>
                </c:pt>
                <c:pt idx="182">
                  <c:v>4.409781856530854E-2</c:v>
                </c:pt>
                <c:pt idx="183">
                  <c:v>4.4163173129551224E-2</c:v>
                </c:pt>
                <c:pt idx="184">
                  <c:v>4.4227857846230727E-2</c:v>
                </c:pt>
                <c:pt idx="185">
                  <c:v>4.4291888116366973E-2</c:v>
                </c:pt>
                <c:pt idx="186">
                  <c:v>4.4355280519418679E-2</c:v>
                </c:pt>
                <c:pt idx="187">
                  <c:v>4.4418052688429639E-2</c:v>
                </c:pt>
                <c:pt idx="188">
                  <c:v>4.4480223181513463E-2</c:v>
                </c:pt>
                <c:pt idx="189">
                  <c:v>4.4541811350655963E-2</c:v>
                </c:pt>
                <c:pt idx="190">
                  <c:v>4.4602837208826081E-2</c:v>
                </c:pt>
                <c:pt idx="191">
                  <c:v>4.4663321296389627E-2</c:v>
                </c:pt>
                <c:pt idx="192">
                  <c:v>4.472328454781322E-2</c:v>
                </c:pt>
                <c:pt idx="193">
                  <c:v>4.4782748159631292E-2</c:v>
                </c:pt>
                <c:pt idx="194">
                  <c:v>4.4841733460623728E-2</c:v>
                </c:pt>
                <c:pt idx="195">
                  <c:v>4.4900261785119404E-2</c:v>
                </c:pt>
                <c:pt idx="196">
                  <c:v>4.4958354350299087E-2</c:v>
                </c:pt>
                <c:pt idx="197">
                  <c:v>4.5016032138322143E-2</c:v>
                </c:pt>
                <c:pt idx="198">
                  <c:v>4.5073315784044332E-2</c:v>
                </c:pt>
                <c:pt idx="199">
                  <c:v>4.5130225469030755E-2</c:v>
                </c:pt>
                <c:pt idx="200">
                  <c:v>4.5186780822498211E-2</c:v>
                </c:pt>
                <c:pt idx="201">
                  <c:v>4.5243000829745687E-2</c:v>
                </c:pt>
                <c:pt idx="202">
                  <c:v>4.5298903748552326E-2</c:v>
                </c:pt>
                <c:pt idx="203">
                  <c:v>4.5354507033938091E-2</c:v>
                </c:pt>
                <c:pt idx="204">
                  <c:v>4.5409827271595794E-2</c:v>
                </c:pt>
                <c:pt idx="205">
                  <c:v>4.5464880120214664E-2</c:v>
                </c:pt>
                <c:pt idx="206">
                  <c:v>4.5519680262825275E-2</c:v>
                </c:pt>
                <c:pt idx="207">
                  <c:v>4.5574241367206093E-2</c:v>
                </c:pt>
                <c:pt idx="208">
                  <c:v>4.5628576055302239E-2</c:v>
                </c:pt>
                <c:pt idx="209">
                  <c:v>4.568269588151963E-2</c:v>
                </c:pt>
                <c:pt idx="210">
                  <c:v>4.5736611319672583E-2</c:v>
                </c:pt>
                <c:pt idx="211">
                  <c:v>4.5790331758281448E-2</c:v>
                </c:pt>
                <c:pt idx="212">
                  <c:v>4.5843865503839662E-2</c:v>
                </c:pt>
                <c:pt idx="213">
                  <c:v>4.5897219791597554E-2</c:v>
                </c:pt>
                <c:pt idx="214">
                  <c:v>4.5950400803344303E-2</c:v>
                </c:pt>
                <c:pt idx="215">
                  <c:v>4.60034136916097E-2</c:v>
                </c:pt>
                <c:pt idx="216">
                  <c:v>4.6056262609655306E-2</c:v>
                </c:pt>
                <c:pt idx="217">
                  <c:v>4.6108950746580064E-2</c:v>
                </c:pt>
                <c:pt idx="218">
                  <c:v>4.6161480366828961E-2</c:v>
                </c:pt>
                <c:pt idx="219">
                  <c:v>4.621385285336603E-2</c:v>
                </c:pt>
                <c:pt idx="220">
                  <c:v>4.6266068753753817E-2</c:v>
                </c:pt>
                <c:pt idx="221">
                  <c:v>4.631812782837208E-2</c:v>
                </c:pt>
                <c:pt idx="222">
                  <c:v>4.6370029100007391E-2</c:v>
                </c:pt>
                <c:pt idx="223">
                  <c:v>4.6421770904054679E-2</c:v>
                </c:pt>
                <c:pt idx="224">
                  <c:v>4.6473350938588301E-2</c:v>
                </c:pt>
                <c:pt idx="225">
                  <c:v>4.6524766313587589E-2</c:v>
                </c:pt>
                <c:pt idx="226">
                  <c:v>4.65760135986358E-2</c:v>
                </c:pt>
                <c:pt idx="227">
                  <c:v>4.6627088868455048E-2</c:v>
                </c:pt>
                <c:pt idx="228">
                  <c:v>4.6677987745689618E-2</c:v>
                </c:pt>
                <c:pt idx="229">
                  <c:v>4.6728705440408191E-2</c:v>
                </c:pt>
                <c:pt idx="230">
                  <c:v>4.6779236785858699E-2</c:v>
                </c:pt>
                <c:pt idx="231">
                  <c:v>4.6829576270079505E-2</c:v>
                </c:pt>
                <c:pt idx="232">
                  <c:v>4.6879718063044334E-2</c:v>
                </c:pt>
                <c:pt idx="233">
                  <c:v>4.6929656039096761E-2</c:v>
                </c:pt>
                <c:pt idx="234">
                  <c:v>4.6979383794511102E-2</c:v>
                </c:pt>
                <c:pt idx="235">
                  <c:v>4.7028894660099921E-2</c:v>
                </c:pt>
                <c:pt idx="236">
                  <c:v>4.7078181708872367E-2</c:v>
                </c:pt>
                <c:pt idx="237">
                  <c:v>4.7127237758832548E-2</c:v>
                </c:pt>
                <c:pt idx="238">
                  <c:v>4.7176055371090049E-2</c:v>
                </c:pt>
                <c:pt idx="239">
                  <c:v>4.7224626843537121E-2</c:v>
                </c:pt>
                <c:pt idx="240">
                  <c:v>4.7272944200425229E-2</c:v>
                </c:pt>
                <c:pt idx="241">
                  <c:v>4.7320999178249327E-2</c:v>
                </c:pt>
                <c:pt idx="242">
                  <c:v>4.7368783208418072E-2</c:v>
                </c:pt>
                <c:pt idx="243">
                  <c:v>4.7416287397253142E-2</c:v>
                </c:pt>
                <c:pt idx="244">
                  <c:v>4.7463502503919203E-2</c:v>
                </c:pt>
                <c:pt idx="245">
                  <c:v>4.7510418916937205E-2</c:v>
                </c:pt>
                <c:pt idx="246">
                  <c:v>4.7557026629976872E-2</c:v>
                </c:pt>
                <c:pt idx="247">
                  <c:v>4.7603315217659446E-2</c:v>
                </c:pt>
                <c:pt idx="248">
                  <c:v>4.7649273812127572E-2</c:v>
                </c:pt>
                <c:pt idx="249">
                  <c:v>4.7694891081155828E-2</c:v>
                </c:pt>
                <c:pt idx="250">
                  <c:v>4.7740155208582533E-2</c:v>
                </c:pt>
                <c:pt idx="251">
                  <c:v>4.7785053877840482E-2</c:v>
                </c:pt>
                <c:pt idx="252">
                  <c:v>4.7829574259351366E-2</c:v>
                </c:pt>
                <c:pt idx="253">
                  <c:v>4.7873703002526163E-2</c:v>
                </c:pt>
                <c:pt idx="254">
                  <c:v>4.7917426233080658E-2</c:v>
                </c:pt>
                <c:pt idx="255">
                  <c:v>4.7960729556333417E-2</c:v>
                </c:pt>
                <c:pt idx="256">
                  <c:v>4.8003598067102013E-2</c:v>
                </c:pt>
                <c:pt idx="257">
                  <c:v>4.8046016366752695E-2</c:v>
                </c:pt>
                <c:pt idx="258">
                  <c:v>4.808796858789028E-2</c:v>
                </c:pt>
                <c:pt idx="259">
                  <c:v>4.8129438427098846E-2</c:v>
                </c:pt>
                <c:pt idx="260">
                  <c:v>4.8170409186060421E-2</c:v>
                </c:pt>
                <c:pt idx="261">
                  <c:v>4.821086382128964E-2</c:v>
                </c:pt>
                <c:pt idx="262">
                  <c:v>4.8250785002627979E-2</c:v>
                </c:pt>
                <c:pt idx="263">
                  <c:v>4.8290155180541972E-2</c:v>
                </c:pt>
                <c:pt idx="264">
                  <c:v>4.832895666216859E-2</c:v>
                </c:pt>
                <c:pt idx="265">
                  <c:v>4.8367171695945725E-2</c:v>
                </c:pt>
                <c:pt idx="266">
                  <c:v>4.8404782564561308E-2</c:v>
                </c:pt>
                <c:pt idx="267">
                  <c:v>4.8441771685848782E-2</c:v>
                </c:pt>
                <c:pt idx="268">
                  <c:v>4.8478121721152706E-2</c:v>
                </c:pt>
                <c:pt idx="269">
                  <c:v>4.8513815690586722E-2</c:v>
                </c:pt>
                <c:pt idx="270">
                  <c:v>4.8548837094506934E-2</c:v>
                </c:pt>
                <c:pt idx="271">
                  <c:v>4.8583170040431022E-2</c:v>
                </c:pt>
                <c:pt idx="272">
                  <c:v>4.8616799374544224E-2</c:v>
                </c:pt>
                <c:pt idx="273">
                  <c:v>4.8649710816851981E-2</c:v>
                </c:pt>
                <c:pt idx="274">
                  <c:v>4.8681891098965396E-2</c:v>
                </c:pt>
                <c:pt idx="275">
                  <c:v>4.8713328103439577E-2</c:v>
                </c:pt>
                <c:pt idx="276">
                  <c:v>4.8744011003528848E-2</c:v>
                </c:pt>
                <c:pt idx="277">
                  <c:v>4.8773930402177187E-2</c:v>
                </c:pt>
                <c:pt idx="278">
                  <c:v>4.8803078469025971E-2</c:v>
                </c:pt>
                <c:pt idx="279">
                  <c:v>4.8831449074197709E-2</c:v>
                </c:pt>
                <c:pt idx="280">
                  <c:v>4.8859037917601454E-2</c:v>
                </c:pt>
                <c:pt idx="281">
                  <c:v>4.8885842652505403E-2</c:v>
                </c:pt>
                <c:pt idx="282">
                  <c:v>4.8911863002133626E-2</c:v>
                </c:pt>
                <c:pt idx="283">
                  <c:v>4.8937100868068316E-2</c:v>
                </c:pt>
                <c:pt idx="284">
                  <c:v>4.896156042927477E-2</c:v>
                </c:pt>
                <c:pt idx="285">
                  <c:v>4.8985248230614911E-2</c:v>
                </c:pt>
                <c:pt idx="286">
                  <c:v>4.9008173259775446E-2</c:v>
                </c:pt>
                <c:pt idx="287">
                  <c:v>4.9030347011608029E-2</c:v>
                </c:pt>
                <c:pt idx="288">
                  <c:v>4.905178353896128E-2</c:v>
                </c:pt>
                <c:pt idx="289">
                  <c:v>4.9072499489177385E-2</c:v>
                </c:pt>
                <c:pt idx="290">
                  <c:v>4.9092514125527724E-2</c:v>
                </c:pt>
                <c:pt idx="291">
                  <c:v>4.9111849332973134E-2</c:v>
                </c:pt>
                <c:pt idx="292">
                  <c:v>4.913052960775225E-2</c:v>
                </c:pt>
                <c:pt idx="293">
                  <c:v>4.914858203042715E-2</c:v>
                </c:pt>
                <c:pt idx="294">
                  <c:v>4.9166036222145382E-2</c:v>
                </c:pt>
                <c:pt idx="295">
                  <c:v>4.918292428401292E-2</c:v>
                </c:pt>
                <c:pt idx="296">
                  <c:v>4.9199280719610702E-2</c:v>
                </c:pt>
                <c:pt idx="297">
                  <c:v>4.9215142340826919E-2</c:v>
                </c:pt>
                <c:pt idx="298">
                  <c:v>4.9230548157318442E-2</c:v>
                </c:pt>
                <c:pt idx="299">
                  <c:v>4.9245539250054447E-2</c:v>
                </c:pt>
                <c:pt idx="300">
                  <c:v>4.9260158629532799E-2</c:v>
                </c:pt>
                <c:pt idx="301">
                  <c:v>4.9274451079394689E-2</c:v>
                </c:pt>
                <c:pt idx="302">
                  <c:v>4.9288462986293032E-2</c:v>
                </c:pt>
                <c:pt idx="303">
                  <c:v>4.9302242156993276E-2</c:v>
                </c:pt>
                <c:pt idx="304">
                  <c:v>4.9315837623803351E-2</c:v>
                </c:pt>
                <c:pt idx="305">
                  <c:v>4.9329299439537316E-2</c:v>
                </c:pt>
                <c:pt idx="306">
                  <c:v>4.9342678463316997E-2</c:v>
                </c:pt>
                <c:pt idx="307">
                  <c:v>4.9356026138605145E-2</c:v>
                </c:pt>
                <c:pt idx="308">
                  <c:v>4.9369394264941302E-2</c:v>
                </c:pt>
                <c:pt idx="309">
                  <c:v>4.9382834764917671E-2</c:v>
                </c:pt>
                <c:pt idx="310">
                  <c:v>4.9396399447985587E-2</c:v>
                </c:pt>
                <c:pt idx="311">
                  <c:v>4.9410139772723079E-2</c:v>
                </c:pt>
                <c:pt idx="312">
                  <c:v>4.9424106609220413E-2</c:v>
                </c:pt>
                <c:pt idx="313">
                  <c:v>4.9438350003252751E-2</c:v>
                </c:pt>
                <c:pt idx="314">
                  <c:v>4.9452918943907354E-2</c:v>
                </c:pt>
                <c:pt idx="315">
                  <c:v>4.9467861136315974E-2</c:v>
                </c:pt>
                <c:pt idx="316">
                  <c:v>4.9483222781113625E-2</c:v>
                </c:pt>
                <c:pt idx="317">
                  <c:v>4.949904836219951E-2</c:v>
                </c:pt>
                <c:pt idx="318">
                  <c:v>4.951538044431858E-2</c:v>
                </c:pt>
                <c:pt idx="319">
                  <c:v>4.953225948191075E-2</c:v>
                </c:pt>
                <c:pt idx="320">
                  <c:v>4.9549723640590661E-2</c:v>
                </c:pt>
                <c:pt idx="321">
                  <c:v>4.9567808632526057E-2</c:v>
                </c:pt>
                <c:pt idx="322">
                  <c:v>4.9586547566875069E-2</c:v>
                </c:pt>
                <c:pt idx="323">
                  <c:v>4.9605970816326714E-2</c:v>
                </c:pt>
                <c:pt idx="324">
                  <c:v>4.9626105900662847E-2</c:v>
                </c:pt>
                <c:pt idx="325">
                  <c:v>4.9646977388125603E-2</c:v>
                </c:pt>
                <c:pt idx="326">
                  <c:v>4.9668606815234308E-2</c:v>
                </c:pt>
                <c:pt idx="327">
                  <c:v>4.9691012625549494E-2</c:v>
                </c:pt>
                <c:pt idx="328">
                  <c:v>4.9714210127731258E-2</c:v>
                </c:pt>
                <c:pt idx="329">
                  <c:v>4.9738211473086436E-2</c:v>
                </c:pt>
                <c:pt idx="330">
                  <c:v>4.976302565264417E-2</c:v>
                </c:pt>
                <c:pt idx="331">
                  <c:v>4.9788658513644911E-2</c:v>
                </c:pt>
                <c:pt idx="332">
                  <c:v>4.9815112795174685E-2</c:v>
                </c:pt>
                <c:pt idx="333">
                  <c:v>4.9842388182525829E-2</c:v>
                </c:pt>
                <c:pt idx="334">
                  <c:v>4.9870481379718362E-2</c:v>
                </c:pt>
                <c:pt idx="335">
                  <c:v>4.9899386199475884E-2</c:v>
                </c:pt>
                <c:pt idx="336">
                  <c:v>4.9929093669814469E-2</c:v>
                </c:pt>
                <c:pt idx="337">
                  <c:v>4.9959592156276468E-2</c:v>
                </c:pt>
                <c:pt idx="338">
                  <c:v>4.999086749872373E-2</c:v>
                </c:pt>
                <c:pt idx="339">
                  <c:v>5.0022903161496456E-2</c:v>
                </c:pt>
                <c:pt idx="340">
                  <c:v>5.005568039564693E-2</c:v>
                </c:pt>
                <c:pt idx="341">
                  <c:v>5.0089178411872756E-2</c:v>
                </c:pt>
                <c:pt idx="342">
                  <c:v>5.0123374562700572E-2</c:v>
                </c:pt>
                <c:pt idx="343">
                  <c:v>5.0158244532412737E-2</c:v>
                </c:pt>
                <c:pt idx="344">
                  <c:v>5.0193762533161969E-2</c:v>
                </c:pt>
                <c:pt idx="345">
                  <c:v>5.0229901505688047E-2</c:v>
                </c:pt>
                <c:pt idx="346">
                  <c:v>5.0266633323031419E-2</c:v>
                </c:pt>
                <c:pt idx="347">
                  <c:v>5.0303928995635357E-2</c:v>
                </c:pt>
                <c:pt idx="348">
                  <c:v>5.0341758876238006E-2</c:v>
                </c:pt>
                <c:pt idx="349">
                  <c:v>5.0380092862979842E-2</c:v>
                </c:pt>
                <c:pt idx="350">
                  <c:v>5.0418900599190096E-2</c:v>
                </c:pt>
                <c:pt idx="351">
                  <c:v>5.0458151668365897E-2</c:v>
                </c:pt>
                <c:pt idx="352">
                  <c:v>5.0497815782922006E-2</c:v>
                </c:pt>
                <c:pt idx="353">
                  <c:v>5.0537862965364076E-2</c:v>
                </c:pt>
                <c:pt idx="354">
                  <c:v>5.0578263720624864E-2</c:v>
                </c:pt>
                <c:pt idx="355">
                  <c:v>5.0618989198399765E-2</c:v>
                </c:pt>
                <c:pt idx="356">
                  <c:v>5.0660011344423758E-2</c:v>
                </c:pt>
                <c:pt idx="357">
                  <c:v>5.0701303039746203E-2</c:v>
                </c:pt>
                <c:pt idx="358">
                  <c:v>5.0742838227181189E-2</c:v>
                </c:pt>
                <c:pt idx="359">
                  <c:v>5.0784592024237789E-2</c:v>
                </c:pt>
                <c:pt idx="360">
                  <c:v>5.0826540821966824E-2</c:v>
                </c:pt>
                <c:pt idx="361">
                  <c:v>5.0868662369295201E-2</c:v>
                </c:pt>
                <c:pt idx="362">
                  <c:v>5.0910935842555918E-2</c:v>
                </c:pt>
                <c:pt idx="363">
                  <c:v>5.0953341900060095E-2</c:v>
                </c:pt>
                <c:pt idx="364">
                  <c:v>5.0995862721693569E-2</c:v>
                </c:pt>
                <c:pt idx="365">
                  <c:v>5.1038482033656893E-2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9.6025361296340166E-5</c:v>
                </c:pt>
                <c:pt idx="1">
                  <c:v>9.0729147322307123E-5</c:v>
                </c:pt>
                <c:pt idx="2">
                  <c:v>8.5548745328325454E-5</c:v>
                </c:pt>
                <c:pt idx="3">
                  <c:v>8.0486892387100726E-5</c:v>
                </c:pt>
                <c:pt idx="4">
                  <c:v>7.5546069637889162E-5</c:v>
                </c:pt>
                <c:pt idx="5">
                  <c:v>7.0728489978290232E-5</c:v>
                </c:pt>
                <c:pt idx="6">
                  <c:v>6.6036088818631841E-5</c:v>
                </c:pt>
                <c:pt idx="7">
                  <c:v>6.1470517796994971E-5</c:v>
                </c:pt>
                <c:pt idx="8">
                  <c:v>5.702821210942243E-5</c:v>
                </c:pt>
                <c:pt idx="9">
                  <c:v>5.2775393875543043E-5</c:v>
                </c:pt>
                <c:pt idx="10">
                  <c:v>4.8726596606066234E-5</c:v>
                </c:pt>
                <c:pt idx="11">
                  <c:v>4.4882952510700829E-5</c:v>
                </c:pt>
                <c:pt idx="12">
                  <c:v>4.1244691259731984E-5</c:v>
                </c:pt>
                <c:pt idx="13">
                  <c:v>3.7811225650593962E-5</c:v>
                </c:pt>
                <c:pt idx="14">
                  <c:v>3.4581238622597586E-5</c:v>
                </c:pt>
                <c:pt idx="15">
                  <c:v>3.1625959396694992E-5</c:v>
                </c:pt>
                <c:pt idx="16">
                  <c:v>2.885427906998409E-5</c:v>
                </c:pt>
                <c:pt idx="17">
                  <c:v>2.6263596386789992E-5</c:v>
                </c:pt>
                <c:pt idx="18">
                  <c:v>2.3850920440213828E-5</c:v>
                </c:pt>
                <c:pt idx="19">
                  <c:v>2.1613060854111079E-5</c:v>
                </c:pt>
                <c:pt idx="20">
                  <c:v>1.9546575822366906E-5</c:v>
                </c:pt>
                <c:pt idx="21">
                  <c:v>1.7651648473208526E-5</c:v>
                </c:pt>
                <c:pt idx="22">
                  <c:v>1.5917750875277232E-5</c:v>
                </c:pt>
                <c:pt idx="23">
                  <c:v>1.4397880422895463E-5</c:v>
                </c:pt>
                <c:pt idx="24">
                  <c:v>1.3028507902802545E-5</c:v>
                </c:pt>
                <c:pt idx="25">
                  <c:v>1.1806494035326429E-5</c:v>
                </c:pt>
                <c:pt idx="26">
                  <c:v>1.0728529149329598E-5</c:v>
                </c:pt>
                <c:pt idx="27">
                  <c:v>9.7911858350339236E-6</c:v>
                </c:pt>
                <c:pt idx="28">
                  <c:v>8.9909670850204329E-6</c:v>
                </c:pt>
                <c:pt idx="29">
                  <c:v>8.3421415620605314E-6</c:v>
                </c:pt>
                <c:pt idx="30">
                  <c:v>7.7772896991440414E-6</c:v>
                </c:pt>
                <c:pt idx="31">
                  <c:v>7.2942751271799698E-6</c:v>
                </c:pt>
                <c:pt idx="32">
                  <c:v>6.8909879453489305E-6</c:v>
                </c:pt>
                <c:pt idx="33">
                  <c:v>6.5653638247758364E-6</c:v>
                </c:pt>
                <c:pt idx="34">
                  <c:v>6.3154008865506796E-6</c:v>
                </c:pt>
                <c:pt idx="35">
                  <c:v>6.1391745457069133E-6</c:v>
                </c:pt>
                <c:pt idx="36">
                  <c:v>6.034303153553818E-6</c:v>
                </c:pt>
                <c:pt idx="37">
                  <c:v>5.9858171316608974E-6</c:v>
                </c:pt>
                <c:pt idx="38">
                  <c:v>5.9416616115334698E-6</c:v>
                </c:pt>
                <c:pt idx="39">
                  <c:v>5.9018398494868152E-6</c:v>
                </c:pt>
                <c:pt idx="40">
                  <c:v>5.8663523595548268E-6</c:v>
                </c:pt>
                <c:pt idx="41">
                  <c:v>5.8351979749659514E-6</c:v>
                </c:pt>
                <c:pt idx="42">
                  <c:v>5.8083748674965347E-6</c:v>
                </c:pt>
                <c:pt idx="43">
                  <c:v>5.7827353750659591E-6</c:v>
                </c:pt>
                <c:pt idx="44">
                  <c:v>5.7427711049105093E-6</c:v>
                </c:pt>
                <c:pt idx="45">
                  <c:v>5.6889250774062676E-6</c:v>
                </c:pt>
                <c:pt idx="46">
                  <c:v>5.621617509900299E-6</c:v>
                </c:pt>
                <c:pt idx="47">
                  <c:v>5.5412451320189678E-6</c:v>
                </c:pt>
                <c:pt idx="48">
                  <c:v>5.4481806039907082E-6</c:v>
                </c:pt>
                <c:pt idx="49">
                  <c:v>5.3427720067215588E-6</c:v>
                </c:pt>
                <c:pt idx="50">
                  <c:v>5.2251800831642018E-6</c:v>
                </c:pt>
                <c:pt idx="51">
                  <c:v>5.1056968072920045E-6</c:v>
                </c:pt>
                <c:pt idx="52">
                  <c:v>4.9954941261428571E-6</c:v>
                </c:pt>
                <c:pt idx="53">
                  <c:v>4.8943055034289689E-6</c:v>
                </c:pt>
                <c:pt idx="54">
                  <c:v>4.8019028106448118E-6</c:v>
                </c:pt>
                <c:pt idx="55">
                  <c:v>4.7180696247245771E-6</c:v>
                </c:pt>
                <c:pt idx="56">
                  <c:v>4.6426004956557594E-6</c:v>
                </c:pt>
                <c:pt idx="57">
                  <c:v>4.5673498039413677E-6</c:v>
                </c:pt>
                <c:pt idx="58">
                  <c:v>4.4951359468089123E-6</c:v>
                </c:pt>
                <c:pt idx="59">
                  <c:v>4.4258926862611854E-6</c:v>
                </c:pt>
                <c:pt idx="60">
                  <c:v>4.359559052950536E-6</c:v>
                </c:pt>
                <c:pt idx="61">
                  <c:v>4.2960791007827476E-6</c:v>
                </c:pt>
                <c:pt idx="62">
                  <c:v>4.2354016780863614E-6</c:v>
                </c:pt>
                <c:pt idx="63">
                  <c:v>4.1774802148771321E-6</c:v>
                </c:pt>
                <c:pt idx="64">
                  <c:v>4.1221977973923097E-6</c:v>
                </c:pt>
                <c:pt idx="65">
                  <c:v>4.0614080114659301E-6</c:v>
                </c:pt>
                <c:pt idx="66">
                  <c:v>3.9860256012532362E-6</c:v>
                </c:pt>
                <c:pt idx="67">
                  <c:v>3.8963622918614217E-6</c:v>
                </c:pt>
                <c:pt idx="68">
                  <c:v>3.7927127492633151E-6</c:v>
                </c:pt>
                <c:pt idx="69">
                  <c:v>3.6753526324471463E-6</c:v>
                </c:pt>
                <c:pt idx="70">
                  <c:v>3.5445366914288095E-6</c:v>
                </c:pt>
                <c:pt idx="71">
                  <c:v>3.4062110661979501E-6</c:v>
                </c:pt>
                <c:pt idx="72">
                  <c:v>3.2677328394910045E-6</c:v>
                </c:pt>
                <c:pt idx="73">
                  <c:v>3.1290903945623531E-6</c:v>
                </c:pt>
                <c:pt idx="74">
                  <c:v>2.9902621857629687E-6</c:v>
                </c:pt>
                <c:pt idx="75">
                  <c:v>2.851216575867446E-6</c:v>
                </c:pt>
                <c:pt idx="76">
                  <c:v>2.7119116632461532E-6</c:v>
                </c:pt>
                <c:pt idx="77">
                  <c:v>2.5722950959484935E-6</c:v>
                </c:pt>
                <c:pt idx="78">
                  <c:v>2.4321704880906256E-6</c:v>
                </c:pt>
                <c:pt idx="79">
                  <c:v>2.2939214907671916E-6</c:v>
                </c:pt>
                <c:pt idx="80">
                  <c:v>2.165055614282197E-6</c:v>
                </c:pt>
                <c:pt idx="81">
                  <c:v>2.0454507053937551E-6</c:v>
                </c:pt>
                <c:pt idx="82">
                  <c:v>1.9349870480813208E-6</c:v>
                </c:pt>
                <c:pt idx="83">
                  <c:v>1.8335491445476204E-6</c:v>
                </c:pt>
                <c:pt idx="84">
                  <c:v>1.7410274402068613E-6</c:v>
                </c:pt>
                <c:pt idx="85">
                  <c:v>1.6557664107102943E-6</c:v>
                </c:pt>
                <c:pt idx="86">
                  <c:v>1.5722460858054853E-6</c:v>
                </c:pt>
                <c:pt idx="87">
                  <c:v>1.4904045895331185E-6</c:v>
                </c:pt>
                <c:pt idx="88">
                  <c:v>1.4101762396793064E-6</c:v>
                </c:pt>
                <c:pt idx="89">
                  <c:v>1.3314918254606512E-6</c:v>
                </c:pt>
                <c:pt idx="90">
                  <c:v>1.2542788604106987E-6</c:v>
                </c:pt>
                <c:pt idx="91">
                  <c:v>1.1784618103039194E-6</c:v>
                </c:pt>
                <c:pt idx="92">
                  <c:v>1.1039310583272073E-6</c:v>
                </c:pt>
                <c:pt idx="93">
                  <c:v>1.0319905640701202E-6</c:v>
                </c:pt>
                <c:pt idx="94">
                  <c:v>9.6003977640167869E-7</c:v>
                </c:pt>
                <c:pt idx="95">
                  <c:v>8.8798921148272741E-7</c:v>
                </c:pt>
                <c:pt idx="96">
                  <c:v>8.1574767815848508E-7</c:v>
                </c:pt>
                <c:pt idx="97">
                  <c:v>7.4322216432415291E-7</c:v>
                </c:pt>
                <c:pt idx="98">
                  <c:v>6.7031772910624716E-7</c:v>
                </c:pt>
                <c:pt idx="99">
                  <c:v>5.998555904977296E-7</c:v>
                </c:pt>
                <c:pt idx="100">
                  <c:v>5.3337166157986717E-7</c:v>
                </c:pt>
                <c:pt idx="101">
                  <c:v>4.7083928997882949E-7</c:v>
                </c:pt>
                <c:pt idx="102">
                  <c:v>4.1224218365922554E-7</c:v>
                </c:pt>
                <c:pt idx="103">
                  <c:v>3.5757466020069975E-7</c:v>
                </c:pt>
                <c:pt idx="104">
                  <c:v>3.0684191425908951E-7</c:v>
                </c:pt>
                <c:pt idx="105">
                  <c:v>2.6006030194125858E-7</c:v>
                </c:pt>
                <c:pt idx="106">
                  <c:v>2.1726275364192149E-7</c:v>
                </c:pt>
                <c:pt idx="107">
                  <c:v>1.7996089279583945E-7</c:v>
                </c:pt>
                <c:pt idx="108">
                  <c:v>1.4669884085071141E-7</c:v>
                </c:pt>
                <c:pt idx="109">
                  <c:v>1.1753698008215283E-7</c:v>
                </c:pt>
                <c:pt idx="110">
                  <c:v>9.2550137669652283E-8</c:v>
                </c:pt>
                <c:pt idx="111">
                  <c:v>7.1827156740285748E-8</c:v>
                </c:pt>
                <c:pt idx="112">
                  <c:v>5.5470924849069661E-8</c:v>
                </c:pt>
                <c:pt idx="113">
                  <c:v>4.359886530057408E-8</c:v>
                </c:pt>
                <c:pt idx="114">
                  <c:v>3.3056879198036588E-8</c:v>
                </c:pt>
                <c:pt idx="115">
                  <c:v>2.3879459543608423E-8</c:v>
                </c:pt>
                <c:pt idx="116">
                  <c:v>1.6105828577776986E-8</c:v>
                </c:pt>
                <c:pt idx="117">
                  <c:v>9.7799572550823228E-9</c:v>
                </c:pt>
                <c:pt idx="118">
                  <c:v>4.9505765256040025E-9</c:v>
                </c:pt>
                <c:pt idx="119">
                  <c:v>1.6711778171105831E-9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1.2016492217106695E-20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-1.326692502046981E-20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1.3779418004803794E-20</c:v>
                </c:pt>
                <c:pt idx="141">
                  <c:v>-1.3910798768833795E-20</c:v>
                </c:pt>
                <c:pt idx="142">
                  <c:v>-1.4043172568555057E-20</c:v>
                </c:pt>
                <c:pt idx="143">
                  <c:v>1.4176377305478259E-20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-1.5253469461685042E-20</c:v>
                </c:pt>
                <c:pt idx="152">
                  <c:v>0</c:v>
                </c:pt>
                <c:pt idx="153">
                  <c:v>0</c:v>
                </c:pt>
                <c:pt idx="154">
                  <c:v>-1.5653625717230827E-20</c:v>
                </c:pt>
                <c:pt idx="155">
                  <c:v>-1.5785288094062871E-20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-1.6545981072515534E-20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-1.9448925844073106E-20</c:v>
                </c:pt>
                <c:pt idx="198">
                  <c:v>0</c:v>
                </c:pt>
                <c:pt idx="199">
                  <c:v>1.953612006557277E-20</c:v>
                </c:pt>
                <c:pt idx="200">
                  <c:v>0</c:v>
                </c:pt>
                <c:pt idx="201">
                  <c:v>-1.9619566310446586E-20</c:v>
                </c:pt>
                <c:pt idx="202">
                  <c:v>0</c:v>
                </c:pt>
                <c:pt idx="203">
                  <c:v>0</c:v>
                </c:pt>
                <c:pt idx="204">
                  <c:v>1.9739139617537201E-20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1.9927150967186139E-20</c:v>
                </c:pt>
                <c:pt idx="210">
                  <c:v>-1.9963849872836837E-20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5.2988437535618065E-9</c:v>
                </c:pt>
                <c:pt idx="226">
                  <c:v>1.5950084421843349E-8</c:v>
                </c:pt>
                <c:pt idx="227">
                  <c:v>3.2006099139443822E-8</c:v>
                </c:pt>
                <c:pt idx="228">
                  <c:v>5.3517997826873761E-8</c:v>
                </c:pt>
                <c:pt idx="229">
                  <c:v>8.0535518645461869E-8</c:v>
                </c:pt>
                <c:pt idx="230">
                  <c:v>1.1310691074154215E-7</c:v>
                </c:pt>
                <c:pt idx="231">
                  <c:v>1.5127880482411059E-7</c:v>
                </c:pt>
                <c:pt idx="232">
                  <c:v>1.9509375047329078E-7</c:v>
                </c:pt>
                <c:pt idx="233">
                  <c:v>2.55995609124845E-7</c:v>
                </c:pt>
                <c:pt idx="234">
                  <c:v>3.3412453087439724E-7</c:v>
                </c:pt>
                <c:pt idx="235">
                  <c:v>4.2961693556019996E-7</c:v>
                </c:pt>
                <c:pt idx="236">
                  <c:v>5.426069003671884E-7</c:v>
                </c:pt>
                <c:pt idx="237">
                  <c:v>6.7322707193560085E-7</c:v>
                </c:pt>
                <c:pt idx="238">
                  <c:v>8.2161014676986863E-7</c:v>
                </c:pt>
                <c:pt idx="239">
                  <c:v>9.9381619299412E-7</c:v>
                </c:pt>
                <c:pt idx="240">
                  <c:v>1.1844884946270537E-6</c:v>
                </c:pt>
                <c:pt idx="241">
                  <c:v>1.3937715316379961E-6</c:v>
                </c:pt>
                <c:pt idx="242">
                  <c:v>1.6218154333271144E-6</c:v>
                </c:pt>
                <c:pt idx="243">
                  <c:v>1.8687774199924634E-6</c:v>
                </c:pt>
                <c:pt idx="244">
                  <c:v>2.1348232667987607E-6</c:v>
                </c:pt>
                <c:pt idx="245">
                  <c:v>2.4201287916675571E-6</c:v>
                </c:pt>
                <c:pt idx="246">
                  <c:v>2.724791224826924E-6</c:v>
                </c:pt>
                <c:pt idx="247">
                  <c:v>3.0426577422265037E-6</c:v>
                </c:pt>
                <c:pt idx="248">
                  <c:v>3.3619369728816374E-6</c:v>
                </c:pt>
                <c:pt idx="249">
                  <c:v>3.6826262986618368E-6</c:v>
                </c:pt>
                <c:pt idx="250">
                  <c:v>4.0047290183410231E-6</c:v>
                </c:pt>
                <c:pt idx="251">
                  <c:v>4.3282543144940682E-6</c:v>
                </c:pt>
                <c:pt idx="252">
                  <c:v>4.6532172236982441E-6</c:v>
                </c:pt>
                <c:pt idx="253">
                  <c:v>4.9906749537893919E-6</c:v>
                </c:pt>
                <c:pt idx="254">
                  <c:v>5.3345740824174563E-6</c:v>
                </c:pt>
                <c:pt idx="255">
                  <c:v>5.6849854798334526E-6</c:v>
                </c:pt>
                <c:pt idx="256">
                  <c:v>6.0419865541489517E-6</c:v>
                </c:pt>
                <c:pt idx="257">
                  <c:v>6.4056615396222675E-6</c:v>
                </c:pt>
                <c:pt idx="258">
                  <c:v>6.7761018212394003E-6</c:v>
                </c:pt>
                <c:pt idx="259">
                  <c:v>7.1534063056676156E-6</c:v>
                </c:pt>
                <c:pt idx="260">
                  <c:v>7.53759695314391E-6</c:v>
                </c:pt>
                <c:pt idx="261">
                  <c:v>7.9499409295029813E-6</c:v>
                </c:pt>
                <c:pt idx="262">
                  <c:v>8.3970815839167626E-6</c:v>
                </c:pt>
                <c:pt idx="263">
                  <c:v>8.8792462523612224E-6</c:v>
                </c:pt>
                <c:pt idx="264">
                  <c:v>9.3966540182682172E-6</c:v>
                </c:pt>
                <c:pt idx="265">
                  <c:v>9.9495669226176315E-6</c:v>
                </c:pt>
                <c:pt idx="266">
                  <c:v>1.0538219785747654E-5</c:v>
                </c:pt>
                <c:pt idx="267">
                  <c:v>1.1130094945936799E-5</c:v>
                </c:pt>
                <c:pt idx="268">
                  <c:v>1.1713625938637396E-5</c:v>
                </c:pt>
                <c:pt idx="269">
                  <c:v>1.2288622000142227E-5</c:v>
                </c:pt>
                <c:pt idx="270">
                  <c:v>1.2854879114720549E-5</c:v>
                </c:pt>
                <c:pt idx="271">
                  <c:v>1.3412180863400076E-5</c:v>
                </c:pt>
                <c:pt idx="272">
                  <c:v>1.3960299390314606E-5</c:v>
                </c:pt>
                <c:pt idx="273">
                  <c:v>1.4498996485125044E-5</c:v>
                </c:pt>
                <c:pt idx="274">
                  <c:v>1.5028258140218551E-5</c:v>
                </c:pt>
                <c:pt idx="275">
                  <c:v>1.5525970231046547E-5</c:v>
                </c:pt>
                <c:pt idx="276">
                  <c:v>1.5969633712444251E-5</c:v>
                </c:pt>
                <c:pt idx="277">
                  <c:v>1.6358708394834263E-5</c:v>
                </c:pt>
                <c:pt idx="278">
                  <c:v>1.669265909210939E-5</c:v>
                </c:pt>
                <c:pt idx="279">
                  <c:v>1.6970960539083976E-5</c:v>
                </c:pt>
                <c:pt idx="280">
                  <c:v>1.7193102268149312E-5</c:v>
                </c:pt>
                <c:pt idx="281">
                  <c:v>1.7395784082437925E-5</c:v>
                </c:pt>
                <c:pt idx="282">
                  <c:v>1.7612580594740772E-5</c:v>
                </c:pt>
                <c:pt idx="283">
                  <c:v>1.784342116563709E-5</c:v>
                </c:pt>
                <c:pt idx="284">
                  <c:v>1.808822840221817E-5</c:v>
                </c:pt>
                <c:pt idx="285">
                  <c:v>1.8346918247833236E-5</c:v>
                </c:pt>
                <c:pt idx="286">
                  <c:v>1.8619400183068336E-5</c:v>
                </c:pt>
                <c:pt idx="287">
                  <c:v>1.8905577543873612E-5</c:v>
                </c:pt>
                <c:pt idx="288">
                  <c:v>1.9206734617016854E-5</c:v>
                </c:pt>
                <c:pt idx="289">
                  <c:v>1.9506202614445254E-5</c:v>
                </c:pt>
                <c:pt idx="290">
                  <c:v>1.9826219167915939E-5</c:v>
                </c:pt>
                <c:pt idx="291">
                  <c:v>2.016639969880245E-5</c:v>
                </c:pt>
                <c:pt idx="292">
                  <c:v>2.0526324107238372E-5</c:v>
                </c:pt>
                <c:pt idx="293">
                  <c:v>2.0905531182775951E-5</c:v>
                </c:pt>
                <c:pt idx="294">
                  <c:v>2.1303513017740559E-5</c:v>
                </c:pt>
                <c:pt idx="295">
                  <c:v>2.1686441118319585E-5</c:v>
                </c:pt>
                <c:pt idx="296">
                  <c:v>2.2015934614558362E-5</c:v>
                </c:pt>
                <c:pt idx="297">
                  <c:v>2.2291391065895087E-5</c:v>
                </c:pt>
                <c:pt idx="298">
                  <c:v>2.2512042117029205E-5</c:v>
                </c:pt>
                <c:pt idx="299">
                  <c:v>2.2677142251096305E-5</c:v>
                </c:pt>
                <c:pt idx="300">
                  <c:v>2.278598179382084E-5</c:v>
                </c:pt>
                <c:pt idx="301">
                  <c:v>2.2837900460263047E-5</c:v>
                </c:pt>
                <c:pt idx="302">
                  <c:v>2.2834356822999413E-5</c:v>
                </c:pt>
                <c:pt idx="303">
                  <c:v>2.2862887252092931E-5</c:v>
                </c:pt>
                <c:pt idx="304">
                  <c:v>2.2941489506725501E-5</c:v>
                </c:pt>
                <c:pt idx="305">
                  <c:v>2.307018410813753E-5</c:v>
                </c:pt>
                <c:pt idx="306">
                  <c:v>2.3248977269322072E-5</c:v>
                </c:pt>
                <c:pt idx="307">
                  <c:v>2.3477863309360576E-5</c:v>
                </c:pt>
                <c:pt idx="308">
                  <c:v>2.3756827238618939E-5</c:v>
                </c:pt>
                <c:pt idx="309">
                  <c:v>2.4417323321868817E-5</c:v>
                </c:pt>
                <c:pt idx="310">
                  <c:v>2.5491519539830726E-5</c:v>
                </c:pt>
                <c:pt idx="311">
                  <c:v>2.6978252088904288E-5</c:v>
                </c:pt>
                <c:pt idx="312">
                  <c:v>2.8876281044173271E-5</c:v>
                </c:pt>
                <c:pt idx="313">
                  <c:v>3.1184321062492949E-5</c:v>
                </c:pt>
                <c:pt idx="314">
                  <c:v>3.3901071627139813E-5</c:v>
                </c:pt>
                <c:pt idx="315">
                  <c:v>3.7025246123705657E-5</c:v>
                </c:pt>
                <c:pt idx="316">
                  <c:v>4.0558775059089967E-5</c:v>
                </c:pt>
                <c:pt idx="317">
                  <c:v>4.4769337913313953E-5</c:v>
                </c:pt>
                <c:pt idx="318">
                  <c:v>4.957183687181231E-5</c:v>
                </c:pt>
                <c:pt idx="319">
                  <c:v>5.4966009111454215E-5</c:v>
                </c:pt>
                <c:pt idx="320">
                  <c:v>6.0951651287945761E-5</c:v>
                </c:pt>
                <c:pt idx="321">
                  <c:v>6.7528490169900635E-5</c:v>
                </c:pt>
                <c:pt idx="322">
                  <c:v>7.4696037530090246E-5</c:v>
                </c:pt>
                <c:pt idx="323">
                  <c:v>8.2400706363736082E-5</c:v>
                </c:pt>
                <c:pt idx="324">
                  <c:v>9.0313528640964026E-5</c:v>
                </c:pt>
                <c:pt idx="325">
                  <c:v>9.8432691607742696E-5</c:v>
                </c:pt>
                <c:pt idx="326">
                  <c:v>1.0675480354522019E-4</c:v>
                </c:pt>
                <c:pt idx="327">
                  <c:v>1.1527569550593831E-4</c:v>
                </c:pt>
                <c:pt idx="328">
                  <c:v>1.2399057927698471E-4</c:v>
                </c:pt>
                <c:pt idx="329">
                  <c:v>1.3289345708857202E-4</c:v>
                </c:pt>
                <c:pt idx="330">
                  <c:v>1.4199175988795744E-4</c:v>
                </c:pt>
                <c:pt idx="331">
                  <c:v>1.5139491308167492E-4</c:v>
                </c:pt>
                <c:pt idx="332">
                  <c:v>1.6084001098214706E-4</c:v>
                </c:pt>
                <c:pt idx="333">
                  <c:v>1.7032712561694031E-4</c:v>
                </c:pt>
                <c:pt idx="334">
                  <c:v>1.7985578241669261E-4</c:v>
                </c:pt>
                <c:pt idx="335">
                  <c:v>1.8942489120616309E-4</c:v>
                </c:pt>
                <c:pt idx="336">
                  <c:v>1.990326805147649E-4</c:v>
                </c:pt>
                <c:pt idx="337">
                  <c:v>2.0867223071027968E-4</c:v>
                </c:pt>
                <c:pt idx="338">
                  <c:v>2.1839264959500537E-4</c:v>
                </c:pt>
                <c:pt idx="339">
                  <c:v>2.2818971869166784E-4</c:v>
                </c:pt>
                <c:pt idx="340">
                  <c:v>2.3805831456991466E-4</c:v>
                </c:pt>
                <c:pt idx="341">
                  <c:v>2.4799236722981876E-4</c:v>
                </c:pt>
                <c:pt idx="342">
                  <c:v>2.5798482745035493E-4</c:v>
                </c:pt>
                <c:pt idx="343">
                  <c:v>2.6802764469528305E-4</c:v>
                </c:pt>
                <c:pt idx="344">
                  <c:v>2.7812632113743307E-4</c:v>
                </c:pt>
                <c:pt idx="345">
                  <c:v>2.8828776289167092E-4</c:v>
                </c:pt>
                <c:pt idx="346">
                  <c:v>2.9771710358776372E-4</c:v>
                </c:pt>
                <c:pt idx="347">
                  <c:v>3.0640835999311988E-4</c:v>
                </c:pt>
                <c:pt idx="348">
                  <c:v>3.143550663557463E-4</c:v>
                </c:pt>
                <c:pt idx="349">
                  <c:v>3.2155045784549463E-4</c:v>
                </c:pt>
                <c:pt idx="350">
                  <c:v>3.2798766436970141E-4</c:v>
                </c:pt>
                <c:pt idx="351">
                  <c:v>3.3297297969862931E-4</c:v>
                </c:pt>
                <c:pt idx="352">
                  <c:v>3.3650786039442947E-4</c:v>
                </c:pt>
                <c:pt idx="353">
                  <c:v>3.3859073691274241E-4</c:v>
                </c:pt>
                <c:pt idx="354">
                  <c:v>3.3922170485811058E-4</c:v>
                </c:pt>
                <c:pt idx="355">
                  <c:v>3.3840284116532795E-4</c:v>
                </c:pt>
                <c:pt idx="356">
                  <c:v>3.3613599313346457E-4</c:v>
                </c:pt>
                <c:pt idx="357">
                  <c:v>3.3243021856339518E-4</c:v>
                </c:pt>
                <c:pt idx="358">
                  <c:v>3.2729681017854803E-4</c:v>
                </c:pt>
                <c:pt idx="359">
                  <c:v>3.2075388067392204E-4</c:v>
                </c:pt>
                <c:pt idx="360">
                  <c:v>3.1281682338893076E-4</c:v>
                </c:pt>
                <c:pt idx="361">
                  <c:v>3.041753327998909E-4</c:v>
                </c:pt>
                <c:pt idx="362">
                  <c:v>2.9484522713642633E-4</c:v>
                </c:pt>
                <c:pt idx="363">
                  <c:v>2.8484358289157763E-4</c:v>
                </c:pt>
                <c:pt idx="364">
                  <c:v>2.7418864024674741E-4</c:v>
                </c:pt>
                <c:pt idx="365">
                  <c:v>2.6289969843472513E-4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482984"/>
        <c:axId val="202483376"/>
      </c:lineChart>
      <c:dateAx>
        <c:axId val="20248298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2483376"/>
        <c:crosses val="autoZero"/>
        <c:auto val="1"/>
        <c:lblOffset val="100"/>
        <c:baseTimeUnit val="days"/>
        <c:majorUnit val="1"/>
        <c:majorTimeUnit val="months"/>
      </c:dateAx>
      <c:valAx>
        <c:axId val="20248337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24829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'2020'!$A$15:$A$380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27.504547985824477</c:v>
                </c:pt>
                <c:pt idx="1">
                  <c:v>27.646937270064765</c:v>
                </c:pt>
                <c:pt idx="2">
                  <c:v>27.799027760450723</c:v>
                </c:pt>
                <c:pt idx="3">
                  <c:v>27.960611924306765</c:v>
                </c:pt>
                <c:pt idx="4">
                  <c:v>28.13148226529902</c:v>
                </c:pt>
                <c:pt idx="5">
                  <c:v>28.311431331918175</c:v>
                </c:pt>
                <c:pt idx="6">
                  <c:v>28.500251712169629</c:v>
                </c:pt>
                <c:pt idx="7">
                  <c:v>28.697736040942861</c:v>
                </c:pt>
                <c:pt idx="8">
                  <c:v>28.906175482197689</c:v>
                </c:pt>
                <c:pt idx="9">
                  <c:v>29.127395030057446</c:v>
                </c:pt>
                <c:pt idx="10">
                  <c:v>29.360490875404579</c:v>
                </c:pt>
                <c:pt idx="11">
                  <c:v>29.604559866171932</c:v>
                </c:pt>
                <c:pt idx="12">
                  <c:v>29.8586991099315</c:v>
                </c:pt>
                <c:pt idx="13">
                  <c:v>30.122006012556586</c:v>
                </c:pt>
                <c:pt idx="14">
                  <c:v>30.393578249090936</c:v>
                </c:pt>
                <c:pt idx="15">
                  <c:v>30.672511543614853</c:v>
                </c:pt>
                <c:pt idx="16">
                  <c:v>30.957906822117796</c:v>
                </c:pt>
                <c:pt idx="17">
                  <c:v>31.248862628983499</c:v>
                </c:pt>
                <c:pt idx="18">
                  <c:v>31.544477785297044</c:v>
                </c:pt>
                <c:pt idx="19">
                  <c:v>31.843851410033725</c:v>
                </c:pt>
                <c:pt idx="20">
                  <c:v>32.146082907155055</c:v>
                </c:pt>
                <c:pt idx="21">
                  <c:v>32.450271854264557</c:v>
                </c:pt>
                <c:pt idx="22">
                  <c:v>32.759559779059778</c:v>
                </c:pt>
                <c:pt idx="23">
                  <c:v>33.077133129387413</c:v>
                </c:pt>
                <c:pt idx="24">
                  <c:v>33.402164500971978</c:v>
                </c:pt>
                <c:pt idx="25">
                  <c:v>33.733824798431037</c:v>
                </c:pt>
                <c:pt idx="26">
                  <c:v>34.071285207328287</c:v>
                </c:pt>
                <c:pt idx="27">
                  <c:v>34.413717195714092</c:v>
                </c:pt>
                <c:pt idx="28">
                  <c:v>34.760292511501163</c:v>
                </c:pt>
                <c:pt idx="29">
                  <c:v>35.110182562728461</c:v>
                </c:pt>
                <c:pt idx="30">
                  <c:v>35.462561914234513</c:v>
                </c:pt>
                <c:pt idx="31">
                  <c:v>35.816603169222041</c:v>
                </c:pt>
                <c:pt idx="32">
                  <c:v>36.171479217831468</c:v>
                </c:pt>
                <c:pt idx="33">
                  <c:v>36.526363236819392</c:v>
                </c:pt>
                <c:pt idx="34">
                  <c:v>36.880428688623162</c:v>
                </c:pt>
                <c:pt idx="35">
                  <c:v>37.232849323724736</c:v>
                </c:pt>
                <c:pt idx="36">
                  <c:v>37.586208343491386</c:v>
                </c:pt>
                <c:pt idx="37">
                  <c:v>37.943226331223968</c:v>
                </c:pt>
                <c:pt idx="38">
                  <c:v>38.303284706779607</c:v>
                </c:pt>
                <c:pt idx="39">
                  <c:v>38.665763168284727</c:v>
                </c:pt>
                <c:pt idx="40">
                  <c:v>39.030041630077825</c:v>
                </c:pt>
                <c:pt idx="41">
                  <c:v>39.395500220212583</c:v>
                </c:pt>
                <c:pt idx="42">
                  <c:v>39.761519278456376</c:v>
                </c:pt>
                <c:pt idx="43">
                  <c:v>40.12747948091468</c:v>
                </c:pt>
                <c:pt idx="44">
                  <c:v>40.49276221643467</c:v>
                </c:pt>
                <c:pt idx="45">
                  <c:v>40.856748449094198</c:v>
                </c:pt>
                <c:pt idx="46">
                  <c:v>41.218819345125681</c:v>
                </c:pt>
                <c:pt idx="47">
                  <c:v>41.578356270889522</c:v>
                </c:pt>
                <c:pt idx="48">
                  <c:v>41.934740786925587</c:v>
                </c:pt>
                <c:pt idx="49">
                  <c:v>42.287354648114089</c:v>
                </c:pt>
                <c:pt idx="50">
                  <c:v>42.636904066205993</c:v>
                </c:pt>
                <c:pt idx="51">
                  <c:v>42.984576081767734</c:v>
                </c:pt>
                <c:pt idx="52">
                  <c:v>43.330473968175326</c:v>
                </c:pt>
                <c:pt idx="53">
                  <c:v>43.674701428903532</c:v>
                </c:pt>
                <c:pt idx="54">
                  <c:v>44.017362107463121</c:v>
                </c:pt>
                <c:pt idx="55">
                  <c:v>44.358559588302057</c:v>
                </c:pt>
                <c:pt idx="56">
                  <c:v>44.698397392239073</c:v>
                </c:pt>
                <c:pt idx="57">
                  <c:v>45.036979334149322</c:v>
                </c:pt>
                <c:pt idx="58">
                  <c:v>45.374408672832679</c:v>
                </c:pt>
                <c:pt idx="59">
                  <c:v>45.710788727940525</c:v>
                </c:pt>
                <c:pt idx="60">
                  <c:v>46.046222746022401</c:v>
                </c:pt>
                <c:pt idx="61">
                  <c:v>46.380813900810502</c:v>
                </c:pt>
                <c:pt idx="62">
                  <c:v>46.714665290922618</c:v>
                </c:pt>
                <c:pt idx="63">
                  <c:v>47.047879939004609</c:v>
                </c:pt>
                <c:pt idx="64">
                  <c:v>47.381419728472757</c:v>
                </c:pt>
                <c:pt idx="65">
                  <c:v>47.71583431634425</c:v>
                </c:pt>
                <c:pt idx="66">
                  <c:v>48.0506082833123</c:v>
                </c:pt>
                <c:pt idx="67">
                  <c:v>48.385225890094141</c:v>
                </c:pt>
                <c:pt idx="68">
                  <c:v>48.719171516502115</c:v>
                </c:pt>
                <c:pt idx="69">
                  <c:v>49.051929663733027</c:v>
                </c:pt>
                <c:pt idx="70">
                  <c:v>49.382984953698411</c:v>
                </c:pt>
                <c:pt idx="71">
                  <c:v>49.711821845908666</c:v>
                </c:pt>
                <c:pt idx="72">
                  <c:v>50.037924842954666</c:v>
                </c:pt>
                <c:pt idx="73">
                  <c:v>50.360778932857706</c:v>
                </c:pt>
                <c:pt idx="74">
                  <c:v>50.679869228008762</c:v>
                </c:pt>
                <c:pt idx="75">
                  <c:v>50.994680970446211</c:v>
                </c:pt>
                <c:pt idx="76">
                  <c:v>51.30469952970406</c:v>
                </c:pt>
                <c:pt idx="77">
                  <c:v>51.609410409342118</c:v>
                </c:pt>
                <c:pt idx="78">
                  <c:v>51.911147693456826</c:v>
                </c:pt>
                <c:pt idx="79">
                  <c:v>52.212107280812205</c:v>
                </c:pt>
                <c:pt idx="80">
                  <c:v>52.511567450004577</c:v>
                </c:pt>
                <c:pt idx="81">
                  <c:v>52.80880708000754</c:v>
                </c:pt>
                <c:pt idx="82">
                  <c:v>53.103105260885286</c:v>
                </c:pt>
                <c:pt idx="83">
                  <c:v>53.393741296945549</c:v>
                </c:pt>
                <c:pt idx="84">
                  <c:v>53.679994709952183</c:v>
                </c:pt>
                <c:pt idx="85">
                  <c:v>53.961145328507449</c:v>
                </c:pt>
                <c:pt idx="86">
                  <c:v>54.236473419575702</c:v>
                </c:pt>
                <c:pt idx="87">
                  <c:v>54.505259190290964</c:v>
                </c:pt>
                <c:pt idx="88">
                  <c:v>54.766783084937295</c:v>
                </c:pt>
                <c:pt idx="89">
                  <c:v>55.020325788759571</c:v>
                </c:pt>
                <c:pt idx="90">
                  <c:v>55.265168237867108</c:v>
                </c:pt>
                <c:pt idx="91">
                  <c:v>55.500591618852312</c:v>
                </c:pt>
                <c:pt idx="92">
                  <c:v>55.727454198997151</c:v>
                </c:pt>
                <c:pt idx="93">
                  <c:v>55.94716230957409</c:v>
                </c:pt>
                <c:pt idx="94">
                  <c:v>56.15981966785445</c:v>
                </c:pt>
                <c:pt idx="95">
                  <c:v>56.365529838806864</c:v>
                </c:pt>
                <c:pt idx="96">
                  <c:v>56.564396373765106</c:v>
                </c:pt>
                <c:pt idx="97">
                  <c:v>56.756522817204988</c:v>
                </c:pt>
                <c:pt idx="98">
                  <c:v>56.942012704020222</c:v>
                </c:pt>
                <c:pt idx="99">
                  <c:v>57.120969397991857</c:v>
                </c:pt>
                <c:pt idx="100">
                  <c:v>57.293496331399616</c:v>
                </c:pt>
                <c:pt idx="101">
                  <c:v>57.459697027960438</c:v>
                </c:pt>
                <c:pt idx="102">
                  <c:v>57.619675008926649</c:v>
                </c:pt>
                <c:pt idx="103">
                  <c:v>57.773533804691418</c:v>
                </c:pt>
                <c:pt idx="104">
                  <c:v>57.921376947001136</c:v>
                </c:pt>
                <c:pt idx="105">
                  <c:v>58.063307980882449</c:v>
                </c:pt>
                <c:pt idx="106">
                  <c:v>58.198060998359146</c:v>
                </c:pt>
                <c:pt idx="107">
                  <c:v>58.324644388601762</c:v>
                </c:pt>
                <c:pt idx="108">
                  <c:v>58.443573269529026</c:v>
                </c:pt>
                <c:pt idx="109">
                  <c:v>58.555362545756694</c:v>
                </c:pt>
                <c:pt idx="110">
                  <c:v>58.660526993956566</c:v>
                </c:pt>
                <c:pt idx="111">
                  <c:v>58.759581268101435</c:v>
                </c:pt>
                <c:pt idx="112">
                  <c:v>58.853039896831461</c:v>
                </c:pt>
                <c:pt idx="113">
                  <c:v>58.941417281876888</c:v>
                </c:pt>
                <c:pt idx="114">
                  <c:v>59.025227894801539</c:v>
                </c:pt>
                <c:pt idx="115">
                  <c:v>59.104985898122834</c:v>
                </c:pt>
                <c:pt idx="116">
                  <c:v>59.181205328180717</c:v>
                </c:pt>
                <c:pt idx="117">
                  <c:v>59.254400099004059</c:v>
                </c:pt>
                <c:pt idx="118">
                  <c:v>59.325084000864692</c:v>
                </c:pt>
                <c:pt idx="119">
                  <c:v>59.393770704163629</c:v>
                </c:pt>
                <c:pt idx="120">
                  <c:v>59.459247109235775</c:v>
                </c:pt>
                <c:pt idx="121">
                  <c:v>59.520095563731829</c:v>
                </c:pt>
                <c:pt idx="122">
                  <c:v>59.576522914638112</c:v>
                </c:pt>
                <c:pt idx="123">
                  <c:v>59.628735918319066</c:v>
                </c:pt>
                <c:pt idx="124">
                  <c:v>59.676941348172761</c:v>
                </c:pt>
                <c:pt idx="125">
                  <c:v>59.721345991754589</c:v>
                </c:pt>
                <c:pt idx="126">
                  <c:v>59.762156647956814</c:v>
                </c:pt>
                <c:pt idx="127">
                  <c:v>59.799580135262325</c:v>
                </c:pt>
                <c:pt idx="128">
                  <c:v>59.833823284602481</c:v>
                </c:pt>
                <c:pt idx="129">
                  <c:v>59.865092940356668</c:v>
                </c:pt>
                <c:pt idx="130">
                  <c:v>59.893595964250906</c:v>
                </c:pt>
                <c:pt idx="131">
                  <c:v>59.919539228615783</c:v>
                </c:pt>
                <c:pt idx="132">
                  <c:v>59.943129618358725</c:v>
                </c:pt>
                <c:pt idx="133">
                  <c:v>59.964574028342412</c:v>
                </c:pt>
                <c:pt idx="134">
                  <c:v>59.983345314397347</c:v>
                </c:pt>
                <c:pt idx="135">
                  <c:v>59.9988483731237</c:v>
                </c:pt>
                <c:pt idx="136">
                  <c:v>60.011188202136999</c:v>
                </c:pt>
                <c:pt idx="137">
                  <c:v>60.020469842920001</c:v>
                </c:pt>
                <c:pt idx="138">
                  <c:v>60.02679837915715</c:v>
                </c:pt>
                <c:pt idx="139">
                  <c:v>60.030278927890102</c:v>
                </c:pt>
                <c:pt idx="140">
                  <c:v>60.031016640148614</c:v>
                </c:pt>
                <c:pt idx="141">
                  <c:v>60.02911669077919</c:v>
                </c:pt>
                <c:pt idx="142">
                  <c:v>60.024684276056099</c:v>
                </c:pt>
                <c:pt idx="143">
                  <c:v>60.017824603919252</c:v>
                </c:pt>
                <c:pt idx="144">
                  <c:v>60.008642888397922</c:v>
                </c:pt>
                <c:pt idx="145">
                  <c:v>59.997244344808877</c:v>
                </c:pt>
                <c:pt idx="146">
                  <c:v>59.983734178305902</c:v>
                </c:pt>
                <c:pt idx="147">
                  <c:v>59.968217577322861</c:v>
                </c:pt>
                <c:pt idx="148">
                  <c:v>59.950322442249004</c:v>
                </c:pt>
                <c:pt idx="149">
                  <c:v>59.929676843457315</c:v>
                </c:pt>
                <c:pt idx="150">
                  <c:v>59.906386179717892</c:v>
                </c:pt>
                <c:pt idx="151">
                  <c:v>59.880555796685243</c:v>
                </c:pt>
                <c:pt idx="152">
                  <c:v>59.852290979502598</c:v>
                </c:pt>
                <c:pt idx="153">
                  <c:v>59.821696945239445</c:v>
                </c:pt>
                <c:pt idx="154">
                  <c:v>59.788878830271507</c:v>
                </c:pt>
                <c:pt idx="155">
                  <c:v>59.75394168438423</c:v>
                </c:pt>
                <c:pt idx="156">
                  <c:v>59.716990459384952</c:v>
                </c:pt>
                <c:pt idx="157">
                  <c:v>59.678130002588247</c:v>
                </c:pt>
                <c:pt idx="158">
                  <c:v>59.637465048188638</c:v>
                </c:pt>
                <c:pt idx="159">
                  <c:v>59.595100208624487</c:v>
                </c:pt>
                <c:pt idx="160">
                  <c:v>59.551139964955745</c:v>
                </c:pt>
                <c:pt idx="161">
                  <c:v>59.505688665319475</c:v>
                </c:pt>
                <c:pt idx="162">
                  <c:v>59.458595212121189</c:v>
                </c:pt>
                <c:pt idx="163">
                  <c:v>59.409640391255159</c:v>
                </c:pt>
                <c:pt idx="164">
                  <c:v>59.358826178034768</c:v>
                </c:pt>
                <c:pt idx="165">
                  <c:v>59.306154429222872</c:v>
                </c:pt>
                <c:pt idx="166">
                  <c:v>59.251626875012455</c:v>
                </c:pt>
                <c:pt idx="167">
                  <c:v>59.195245116936412</c:v>
                </c:pt>
                <c:pt idx="168">
                  <c:v>59.137010621672694</c:v>
                </c:pt>
                <c:pt idx="169">
                  <c:v>59.076924721341143</c:v>
                </c:pt>
                <c:pt idx="170">
                  <c:v>59.014988609366966</c:v>
                </c:pt>
                <c:pt idx="171">
                  <c:v>58.951203340400689</c:v>
                </c:pt>
                <c:pt idx="172">
                  <c:v>58.885569827167821</c:v>
                </c:pt>
                <c:pt idx="173">
                  <c:v>58.818088845117593</c:v>
                </c:pt>
                <c:pt idx="174">
                  <c:v>58.748761029665346</c:v>
                </c:pt>
                <c:pt idx="175">
                  <c:v>58.677586880666141</c:v>
                </c:pt>
                <c:pt idx="176">
                  <c:v>58.604124845244947</c:v>
                </c:pt>
                <c:pt idx="177">
                  <c:v>58.528069365996934</c:v>
                </c:pt>
                <c:pt idx="178">
                  <c:v>58.449624678083488</c:v>
                </c:pt>
                <c:pt idx="179">
                  <c:v>58.368994818395898</c:v>
                </c:pt>
                <c:pt idx="180">
                  <c:v>58.286383630511899</c:v>
                </c:pt>
                <c:pt idx="181">
                  <c:v>58.201994773929862</c:v>
                </c:pt>
                <c:pt idx="182">
                  <c:v>58.116031731874536</c:v>
                </c:pt>
                <c:pt idx="183">
                  <c:v>58.028697819976941</c:v>
                </c:pt>
                <c:pt idx="184">
                  <c:v>57.940196193997451</c:v>
                </c:pt>
                <c:pt idx="185">
                  <c:v>57.850729859720758</c:v>
                </c:pt>
                <c:pt idx="186">
                  <c:v>57.760501682848002</c:v>
                </c:pt>
                <c:pt idx="187">
                  <c:v>57.669714398323826</c:v>
                </c:pt>
                <c:pt idx="188">
                  <c:v>57.578570619404914</c:v>
                </c:pt>
                <c:pt idx="189">
                  <c:v>57.487272848866255</c:v>
                </c:pt>
                <c:pt idx="190">
                  <c:v>57.395514205561824</c:v>
                </c:pt>
                <c:pt idx="191">
                  <c:v>57.302852087524009</c:v>
                </c:pt>
                <c:pt idx="192">
                  <c:v>57.209285323861224</c:v>
                </c:pt>
                <c:pt idx="193">
                  <c:v>57.114812733095533</c:v>
                </c:pt>
                <c:pt idx="194">
                  <c:v>57.019433130604575</c:v>
                </c:pt>
                <c:pt idx="195">
                  <c:v>56.923145336686424</c:v>
                </c:pt>
                <c:pt idx="196">
                  <c:v>56.825948184841891</c:v>
                </c:pt>
                <c:pt idx="197">
                  <c:v>56.727840527231848</c:v>
                </c:pt>
                <c:pt idx="198">
                  <c:v>56.628821242988536</c:v>
                </c:pt>
                <c:pt idx="199">
                  <c:v>56.52888924369239</c:v>
                </c:pt>
                <c:pt idx="200">
                  <c:v>56.428043479564295</c:v>
                </c:pt>
                <c:pt idx="201">
                  <c:v>56.326282944418587</c:v>
                </c:pt>
                <c:pt idx="202">
                  <c:v>56.223606681464481</c:v>
                </c:pt>
                <c:pt idx="203">
                  <c:v>56.120013786064014</c:v>
                </c:pt>
                <c:pt idx="204">
                  <c:v>56.015723853041116</c:v>
                </c:pt>
                <c:pt idx="205">
                  <c:v>55.910888645916877</c:v>
                </c:pt>
                <c:pt idx="206">
                  <c:v>55.805405625866975</c:v>
                </c:pt>
                <c:pt idx="207">
                  <c:v>55.699172349323206</c:v>
                </c:pt>
                <c:pt idx="208">
                  <c:v>55.592086469602656</c:v>
                </c:pt>
                <c:pt idx="209">
                  <c:v>55.484045737388001</c:v>
                </c:pt>
                <c:pt idx="210">
                  <c:v>55.374948000602039</c:v>
                </c:pt>
                <c:pt idx="211">
                  <c:v>55.264691204374792</c:v>
                </c:pt>
                <c:pt idx="212">
                  <c:v>55.153173389619923</c:v>
                </c:pt>
                <c:pt idx="213">
                  <c:v>55.040292691379655</c:v>
                </c:pt>
                <c:pt idx="214">
                  <c:v>54.925947338992295</c:v>
                </c:pt>
                <c:pt idx="215">
                  <c:v>54.810035651397563</c:v>
                </c:pt>
                <c:pt idx="216">
                  <c:v>54.692456036272688</c:v>
                </c:pt>
                <c:pt idx="217">
                  <c:v>54.573106987500218</c:v>
                </c:pt>
                <c:pt idx="218">
                  <c:v>54.451920959762916</c:v>
                </c:pt>
                <c:pt idx="219">
                  <c:v>54.328965981473786</c:v>
                </c:pt>
                <c:pt idx="220">
                  <c:v>54.204343980934219</c:v>
                </c:pt>
                <c:pt idx="221">
                  <c:v>54.078156899466251</c:v>
                </c:pt>
                <c:pt idx="222">
                  <c:v>53.950506688095281</c:v>
                </c:pt>
                <c:pt idx="223">
                  <c:v>53.821495305198439</c:v>
                </c:pt>
                <c:pt idx="224">
                  <c:v>53.691224712880484</c:v>
                </c:pt>
                <c:pt idx="225">
                  <c:v>53.559796589571981</c:v>
                </c:pt>
                <c:pt idx="226">
                  <c:v>53.427312894924476</c:v>
                </c:pt>
                <c:pt idx="227">
                  <c:v>53.293875583748019</c:v>
                </c:pt>
                <c:pt idx="228">
                  <c:v>53.159586603229108</c:v>
                </c:pt>
                <c:pt idx="229">
                  <c:v>53.024547891071308</c:v>
                </c:pt>
                <c:pt idx="230">
                  <c:v>52.888861371973618</c:v>
                </c:pt>
                <c:pt idx="231">
                  <c:v>52.752628958088117</c:v>
                </c:pt>
                <c:pt idx="232">
                  <c:v>52.61657865802605</c:v>
                </c:pt>
                <c:pt idx="233">
                  <c:v>52.481099270914427</c:v>
                </c:pt>
                <c:pt idx="234">
                  <c:v>52.345784877453603</c:v>
                </c:pt>
                <c:pt idx="235">
                  <c:v>52.210229684807935</c:v>
                </c:pt>
                <c:pt idx="236">
                  <c:v>52.074028026528701</c:v>
                </c:pt>
                <c:pt idx="237">
                  <c:v>51.936774361938106</c:v>
                </c:pt>
                <c:pt idx="238">
                  <c:v>51.798063272445034</c:v>
                </c:pt>
                <c:pt idx="239">
                  <c:v>51.657489157889849</c:v>
                </c:pt>
                <c:pt idx="240">
                  <c:v>51.514647129039538</c:v>
                </c:pt>
                <c:pt idx="241">
                  <c:v>51.369132135507243</c:v>
                </c:pt>
                <c:pt idx="242">
                  <c:v>51.220539244644286</c:v>
                </c:pt>
                <c:pt idx="243">
                  <c:v>51.068463646666189</c:v>
                </c:pt>
                <c:pt idx="244">
                  <c:v>50.91250064809919</c:v>
                </c:pt>
                <c:pt idx="245">
                  <c:v>50.752245678423996</c:v>
                </c:pt>
                <c:pt idx="246">
                  <c:v>50.58896791453455</c:v>
                </c:pt>
                <c:pt idx="247">
                  <c:v>50.424004132622983</c:v>
                </c:pt>
                <c:pt idx="248">
                  <c:v>50.257051436679482</c:v>
                </c:pt>
                <c:pt idx="249">
                  <c:v>50.087806429936137</c:v>
                </c:pt>
                <c:pt idx="250">
                  <c:v>49.91596580886128</c:v>
                </c:pt>
                <c:pt idx="251">
                  <c:v>49.741226364237789</c:v>
                </c:pt>
                <c:pt idx="252">
                  <c:v>49.563284978166699</c:v>
                </c:pt>
                <c:pt idx="253">
                  <c:v>49.38183807862319</c:v>
                </c:pt>
                <c:pt idx="254">
                  <c:v>49.196583032939721</c:v>
                </c:pt>
                <c:pt idx="255">
                  <c:v>49.007216988018719</c:v>
                </c:pt>
                <c:pt idx="256">
                  <c:v>48.813437176590099</c:v>
                </c:pt>
                <c:pt idx="257">
                  <c:v>48.614940909300465</c:v>
                </c:pt>
                <c:pt idx="258">
                  <c:v>48.411425573867319</c:v>
                </c:pt>
                <c:pt idx="259">
                  <c:v>48.202588628660628</c:v>
                </c:pt>
                <c:pt idx="260">
                  <c:v>47.988668078169894</c:v>
                </c:pt>
                <c:pt idx="261">
                  <c:v>47.770171059639637</c:v>
                </c:pt>
                <c:pt idx="262">
                  <c:v>47.547199976745951</c:v>
                </c:pt>
                <c:pt idx="263">
                  <c:v>47.319857497145698</c:v>
                </c:pt>
                <c:pt idx="264">
                  <c:v>47.088246241862407</c:v>
                </c:pt>
                <c:pt idx="265">
                  <c:v>46.852468775849239</c:v>
                </c:pt>
                <c:pt idx="266">
                  <c:v>46.612627607435584</c:v>
                </c:pt>
                <c:pt idx="267">
                  <c:v>46.368826702857582</c:v>
                </c:pt>
                <c:pt idx="268">
                  <c:v>46.121168956886486</c:v>
                </c:pt>
                <c:pt idx="269">
                  <c:v>45.869756661855021</c:v>
                </c:pt>
                <c:pt idx="270">
                  <c:v>45.614692027132186</c:v>
                </c:pt>
                <c:pt idx="271">
                  <c:v>45.356077177162497</c:v>
                </c:pt>
                <c:pt idx="272">
                  <c:v>45.094014146200486</c:v>
                </c:pt>
                <c:pt idx="273">
                  <c:v>44.828604875057543</c:v>
                </c:pt>
                <c:pt idx="274">
                  <c:v>44.559259270416007</c:v>
                </c:pt>
                <c:pt idx="275">
                  <c:v>44.285455758710043</c:v>
                </c:pt>
                <c:pt idx="276">
                  <c:v>44.007398371642473</c:v>
                </c:pt>
                <c:pt idx="277">
                  <c:v>43.725290017841587</c:v>
                </c:pt>
                <c:pt idx="278">
                  <c:v>43.439333453923823</c:v>
                </c:pt>
                <c:pt idx="279">
                  <c:v>43.149731290510005</c:v>
                </c:pt>
                <c:pt idx="280">
                  <c:v>42.856685986819961</c:v>
                </c:pt>
                <c:pt idx="281">
                  <c:v>42.560398269226894</c:v>
                </c:pt>
                <c:pt idx="282">
                  <c:v>42.261068885667136</c:v>
                </c:pt>
                <c:pt idx="283">
                  <c:v>41.958899887803355</c:v>
                </c:pt>
                <c:pt idx="284">
                  <c:v>41.654093179398266</c:v>
                </c:pt>
                <c:pt idx="285">
                  <c:v>41.346850515685965</c:v>
                </c:pt>
                <c:pt idx="286">
                  <c:v>41.037373507161234</c:v>
                </c:pt>
                <c:pt idx="287">
                  <c:v>40.725863622713433</c:v>
                </c:pt>
                <c:pt idx="288">
                  <c:v>40.409604498127237</c:v>
                </c:pt>
                <c:pt idx="289">
                  <c:v>40.08648795314167</c:v>
                </c:pt>
                <c:pt idx="290">
                  <c:v>39.757625413928793</c:v>
                </c:pt>
                <c:pt idx="291">
                  <c:v>39.424128939888448</c:v>
                </c:pt>
                <c:pt idx="292">
                  <c:v>39.087110315198416</c:v>
                </c:pt>
                <c:pt idx="293">
                  <c:v>38.747681062518986</c:v>
                </c:pt>
                <c:pt idx="294">
                  <c:v>38.406952461055667</c:v>
                </c:pt>
                <c:pt idx="295">
                  <c:v>38.066036824806652</c:v>
                </c:pt>
                <c:pt idx="296">
                  <c:v>37.726046375334427</c:v>
                </c:pt>
                <c:pt idx="297">
                  <c:v>37.388091668225997</c:v>
                </c:pt>
                <c:pt idx="298">
                  <c:v>37.053283072600777</c:v>
                </c:pt>
                <c:pt idx="299">
                  <c:v>36.72273078554057</c:v>
                </c:pt>
                <c:pt idx="300">
                  <c:v>36.397544837095325</c:v>
                </c:pt>
                <c:pt idx="301">
                  <c:v>36.078835106601282</c:v>
                </c:pt>
                <c:pt idx="302">
                  <c:v>35.764491729905416</c:v>
                </c:pt>
                <c:pt idx="303">
                  <c:v>35.451795296191506</c:v>
                </c:pt>
                <c:pt idx="304">
                  <c:v>35.140945256252444</c:v>
                </c:pt>
                <c:pt idx="305">
                  <c:v>34.832141713202049</c:v>
                </c:pt>
                <c:pt idx="306">
                  <c:v>34.525584778173048</c:v>
                </c:pt>
                <c:pt idx="307">
                  <c:v>34.221474583446074</c:v>
                </c:pt>
                <c:pt idx="308">
                  <c:v>33.920011285339221</c:v>
                </c:pt>
                <c:pt idx="309">
                  <c:v>33.621383929291824</c:v>
                </c:pt>
                <c:pt idx="310">
                  <c:v>33.325791967085095</c:v>
                </c:pt>
                <c:pt idx="311">
                  <c:v>33.033436029863402</c:v>
                </c:pt>
                <c:pt idx="312">
                  <c:v>32.74451679221945</c:v>
                </c:pt>
                <c:pt idx="313">
                  <c:v>32.459234978383677</c:v>
                </c:pt>
                <c:pt idx="314">
                  <c:v>32.177791362324818</c:v>
                </c:pt>
                <c:pt idx="315">
                  <c:v>31.900386770152469</c:v>
                </c:pt>
                <c:pt idx="316">
                  <c:v>31.624745341176215</c:v>
                </c:pt>
                <c:pt idx="317">
                  <c:v>31.34905505578298</c:v>
                </c:pt>
                <c:pt idx="318">
                  <c:v>31.074227846514681</c:v>
                </c:pt>
                <c:pt idx="319">
                  <c:v>30.801172900667069</c:v>
                </c:pt>
                <c:pt idx="320">
                  <c:v>30.530799363536012</c:v>
                </c:pt>
                <c:pt idx="321">
                  <c:v>30.264016321292377</c:v>
                </c:pt>
                <c:pt idx="322">
                  <c:v>30.001732806520781</c:v>
                </c:pt>
                <c:pt idx="323">
                  <c:v>29.744859350634414</c:v>
                </c:pt>
                <c:pt idx="324">
                  <c:v>29.494314467325747</c:v>
                </c:pt>
                <c:pt idx="325">
                  <c:v>29.251006670259333</c:v>
                </c:pt>
                <c:pt idx="326">
                  <c:v>29.015844418885568</c:v>
                </c:pt>
                <c:pt idx="327">
                  <c:v>28.789736076774975</c:v>
                </c:pt>
                <c:pt idx="328">
                  <c:v>28.573589897367253</c:v>
                </c:pt>
                <c:pt idx="329">
                  <c:v>28.368314013142982</c:v>
                </c:pt>
                <c:pt idx="330">
                  <c:v>28.171886439057523</c:v>
                </c:pt>
                <c:pt idx="331">
                  <c:v>27.981878758451408</c:v>
                </c:pt>
                <c:pt idx="332">
                  <c:v>27.798600815547395</c:v>
                </c:pt>
                <c:pt idx="333">
                  <c:v>27.622354986439372</c:v>
                </c:pt>
                <c:pt idx="334">
                  <c:v>27.453443630016857</c:v>
                </c:pt>
                <c:pt idx="335">
                  <c:v>27.292169102557533</c:v>
                </c:pt>
                <c:pt idx="336">
                  <c:v>27.138833737378405</c:v>
                </c:pt>
                <c:pt idx="337">
                  <c:v>26.993739959162841</c:v>
                </c:pt>
                <c:pt idx="338">
                  <c:v>26.857188636170001</c:v>
                </c:pt>
                <c:pt idx="339">
                  <c:v>26.729482023322113</c:v>
                </c:pt>
                <c:pt idx="340">
                  <c:v>26.610922334075916</c:v>
                </c:pt>
                <c:pt idx="341">
                  <c:v>26.501811721813088</c:v>
                </c:pt>
                <c:pt idx="342">
                  <c:v>26.402452287968647</c:v>
                </c:pt>
                <c:pt idx="343">
                  <c:v>26.313146059635571</c:v>
                </c:pt>
                <c:pt idx="344">
                  <c:v>26.232820764278898</c:v>
                </c:pt>
                <c:pt idx="345">
                  <c:v>26.16039228981716</c:v>
                </c:pt>
                <c:pt idx="346">
                  <c:v>26.096165381187443</c:v>
                </c:pt>
                <c:pt idx="347">
                  <c:v>26.040423957783503</c:v>
                </c:pt>
                <c:pt idx="348">
                  <c:v>25.993451888878255</c:v>
                </c:pt>
                <c:pt idx="349">
                  <c:v>25.955532998277246</c:v>
                </c:pt>
                <c:pt idx="350">
                  <c:v>25.92695104270144</c:v>
                </c:pt>
                <c:pt idx="351">
                  <c:v>25.908007516189347</c:v>
                </c:pt>
                <c:pt idx="352">
                  <c:v>25.898985813028339</c:v>
                </c:pt>
                <c:pt idx="353">
                  <c:v>25.900169383899524</c:v>
                </c:pt>
                <c:pt idx="354">
                  <c:v>25.911841614318433</c:v>
                </c:pt>
                <c:pt idx="355">
                  <c:v>25.934285814607701</c:v>
                </c:pt>
                <c:pt idx="356">
                  <c:v>25.967785280830778</c:v>
                </c:pt>
                <c:pt idx="357">
                  <c:v>26.012623116754533</c:v>
                </c:pt>
                <c:pt idx="358">
                  <c:v>26.068837708432294</c:v>
                </c:pt>
                <c:pt idx="359">
                  <c:v>26.13614442085542</c:v>
                </c:pt>
                <c:pt idx="360">
                  <c:v>26.214341960956123</c:v>
                </c:pt>
                <c:pt idx="361">
                  <c:v>26.303211369055742</c:v>
                </c:pt>
                <c:pt idx="362">
                  <c:v>26.402551311564725</c:v>
                </c:pt>
                <c:pt idx="363">
                  <c:v>26.512160459519116</c:v>
                </c:pt>
                <c:pt idx="364">
                  <c:v>26.631837480509297</c:v>
                </c:pt>
                <c:pt idx="365">
                  <c:v>26.761381048660095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'2020'!$A$15:$A$380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15.715</c:v>
                </c:pt>
                <c:pt idx="1">
                  <c:v>26.648</c:v>
                </c:pt>
                <c:pt idx="2">
                  <c:v>8.2409999999999997</c:v>
                </c:pt>
                <c:pt idx="3">
                  <c:v>6.4390000000000001</c:v>
                </c:pt>
                <c:pt idx="4">
                  <c:v>13.247</c:v>
                </c:pt>
                <c:pt idx="5">
                  <c:v>28.803000000000001</c:v>
                </c:pt>
                <c:pt idx="6">
                  <c:v>7.194</c:v>
                </c:pt>
                <c:pt idx="7">
                  <c:v>13.297000000000001</c:v>
                </c:pt>
                <c:pt idx="8">
                  <c:v>28.14</c:v>
                </c:pt>
                <c:pt idx="9">
                  <c:v>9.19</c:v>
                </c:pt>
                <c:pt idx="10">
                  <c:v>28.687999999999999</c:v>
                </c:pt>
                <c:pt idx="11">
                  <c:v>29.864999999999998</c:v>
                </c:pt>
                <c:pt idx="12">
                  <c:v>15.978</c:v>
                </c:pt>
                <c:pt idx="13">
                  <c:v>29.343</c:v>
                </c:pt>
                <c:pt idx="14">
                  <c:v>24.03</c:v>
                </c:pt>
                <c:pt idx="15">
                  <c:v>24.731999999999999</c:v>
                </c:pt>
                <c:pt idx="16">
                  <c:v>4.4119999999999999</c:v>
                </c:pt>
                <c:pt idx="17">
                  <c:v>18.222999999999999</c:v>
                </c:pt>
                <c:pt idx="18">
                  <c:v>28.399000000000001</c:v>
                </c:pt>
                <c:pt idx="19">
                  <c:v>12.355</c:v>
                </c:pt>
                <c:pt idx="20">
                  <c:v>3.4820000000000002</c:v>
                </c:pt>
                <c:pt idx="21">
                  <c:v>1.099</c:v>
                </c:pt>
                <c:pt idx="22">
                  <c:v>12.871</c:v>
                </c:pt>
                <c:pt idx="23">
                  <c:v>15.86</c:v>
                </c:pt>
                <c:pt idx="24">
                  <c:v>17.931000000000001</c:v>
                </c:pt>
                <c:pt idx="25">
                  <c:v>6.7210000000000001</c:v>
                </c:pt>
                <c:pt idx="26">
                  <c:v>11.53</c:v>
                </c:pt>
                <c:pt idx="27">
                  <c:v>16.702000000000002</c:v>
                </c:pt>
                <c:pt idx="28">
                  <c:v>21.657</c:v>
                </c:pt>
                <c:pt idx="29">
                  <c:v>11.811999999999999</c:v>
                </c:pt>
                <c:pt idx="30">
                  <c:v>22.295999999999999</c:v>
                </c:pt>
                <c:pt idx="31">
                  <c:v>11.86</c:v>
                </c:pt>
                <c:pt idx="32">
                  <c:v>30.498999999999999</c:v>
                </c:pt>
                <c:pt idx="33">
                  <c:v>28.248999999999999</c:v>
                </c:pt>
                <c:pt idx="34">
                  <c:v>20.138999999999999</c:v>
                </c:pt>
                <c:pt idx="35">
                  <c:v>37.308999999999997</c:v>
                </c:pt>
                <c:pt idx="36">
                  <c:v>39.335999999999999</c:v>
                </c:pt>
                <c:pt idx="37">
                  <c:v>26.527000000000001</c:v>
                </c:pt>
                <c:pt idx="38">
                  <c:v>32.536999999999999</c:v>
                </c:pt>
                <c:pt idx="39">
                  <c:v>32.195</c:v>
                </c:pt>
                <c:pt idx="40">
                  <c:v>9.3179999999999996</c:v>
                </c:pt>
                <c:pt idx="41">
                  <c:v>8.3650000000000002</c:v>
                </c:pt>
                <c:pt idx="42">
                  <c:v>20.327999999999999</c:v>
                </c:pt>
                <c:pt idx="43">
                  <c:v>17.338000000000001</c:v>
                </c:pt>
                <c:pt idx="44">
                  <c:v>32.313000000000002</c:v>
                </c:pt>
                <c:pt idx="45">
                  <c:v>40.377000000000002</c:v>
                </c:pt>
                <c:pt idx="46">
                  <c:v>24.725999999999999</c:v>
                </c:pt>
                <c:pt idx="47">
                  <c:v>5.8789999999999996</c:v>
                </c:pt>
                <c:pt idx="48">
                  <c:v>31.434999999999999</c:v>
                </c:pt>
                <c:pt idx="49">
                  <c:v>28.587</c:v>
                </c:pt>
                <c:pt idx="50">
                  <c:v>42.798999999999999</c:v>
                </c:pt>
                <c:pt idx="51">
                  <c:v>13.842000000000001</c:v>
                </c:pt>
                <c:pt idx="52">
                  <c:v>40.606000000000002</c:v>
                </c:pt>
                <c:pt idx="53">
                  <c:v>42.198</c:v>
                </c:pt>
                <c:pt idx="54">
                  <c:v>39.866</c:v>
                </c:pt>
                <c:pt idx="55">
                  <c:v>15.51</c:v>
                </c:pt>
                <c:pt idx="56">
                  <c:v>19.084</c:v>
                </c:pt>
                <c:pt idx="57">
                  <c:v>7.99</c:v>
                </c:pt>
                <c:pt idx="58">
                  <c:v>17.896000000000001</c:v>
                </c:pt>
                <c:pt idx="59">
                  <c:v>17.102</c:v>
                </c:pt>
                <c:pt idx="60">
                  <c:v>32.213000000000001</c:v>
                </c:pt>
                <c:pt idx="61">
                  <c:v>22.806000000000001</c:v>
                </c:pt>
                <c:pt idx="62">
                  <c:v>5.407</c:v>
                </c:pt>
                <c:pt idx="63">
                  <c:v>8.74</c:v>
                </c:pt>
                <c:pt idx="64">
                  <c:v>11.558</c:v>
                </c:pt>
                <c:pt idx="65">
                  <c:v>20.212</c:v>
                </c:pt>
                <c:pt idx="66">
                  <c:v>28.949000000000002</c:v>
                </c:pt>
                <c:pt idx="67">
                  <c:v>32.82</c:v>
                </c:pt>
                <c:pt idx="68">
                  <c:v>27.282</c:v>
                </c:pt>
                <c:pt idx="69">
                  <c:v>32.124000000000002</c:v>
                </c:pt>
                <c:pt idx="70">
                  <c:v>39.558999999999997</c:v>
                </c:pt>
                <c:pt idx="71">
                  <c:v>17.347000000000001</c:v>
                </c:pt>
                <c:pt idx="72">
                  <c:v>40.411000000000001</c:v>
                </c:pt>
                <c:pt idx="73">
                  <c:v>32.719000000000001</c:v>
                </c:pt>
                <c:pt idx="74">
                  <c:v>52.097999999999999</c:v>
                </c:pt>
                <c:pt idx="75">
                  <c:v>9.4770000000000003</c:v>
                </c:pt>
                <c:pt idx="76">
                  <c:v>13.256</c:v>
                </c:pt>
                <c:pt idx="77">
                  <c:v>46.039000000000001</c:v>
                </c:pt>
                <c:pt idx="78">
                  <c:v>47.709000000000003</c:v>
                </c:pt>
                <c:pt idx="79">
                  <c:v>51.103999999999999</c:v>
                </c:pt>
                <c:pt idx="80">
                  <c:v>50.789000000000001</c:v>
                </c:pt>
                <c:pt idx="81">
                  <c:v>44.273000000000003</c:v>
                </c:pt>
                <c:pt idx="82">
                  <c:v>35.408000000000001</c:v>
                </c:pt>
                <c:pt idx="83">
                  <c:v>44.470999999999997</c:v>
                </c:pt>
                <c:pt idx="84">
                  <c:v>54.05</c:v>
                </c:pt>
                <c:pt idx="85">
                  <c:v>25.343</c:v>
                </c:pt>
                <c:pt idx="86">
                  <c:v>49.832000000000001</c:v>
                </c:pt>
                <c:pt idx="87">
                  <c:v>50.048000000000002</c:v>
                </c:pt>
                <c:pt idx="88">
                  <c:v>33.572000000000003</c:v>
                </c:pt>
                <c:pt idx="89">
                  <c:v>16.893000000000001</c:v>
                </c:pt>
                <c:pt idx="90">
                  <c:v>42.956000000000003</c:v>
                </c:pt>
                <c:pt idx="91">
                  <c:v>43.039000000000001</c:v>
                </c:pt>
                <c:pt idx="92">
                  <c:v>26.844000000000001</c:v>
                </c:pt>
                <c:pt idx="93">
                  <c:v>55.889000000000003</c:v>
                </c:pt>
                <c:pt idx="94">
                  <c:v>57.887999999999998</c:v>
                </c:pt>
                <c:pt idx="95">
                  <c:v>58.99</c:v>
                </c:pt>
                <c:pt idx="96">
                  <c:v>32.597999999999999</c:v>
                </c:pt>
                <c:pt idx="97">
                  <c:v>38.139000000000003</c:v>
                </c:pt>
                <c:pt idx="98">
                  <c:v>39.451999999999998</c:v>
                </c:pt>
                <c:pt idx="99">
                  <c:v>56.914000000000001</c:v>
                </c:pt>
                <c:pt idx="100">
                  <c:v>58.249000000000002</c:v>
                </c:pt>
                <c:pt idx="101">
                  <c:v>57.253999999999998</c:v>
                </c:pt>
                <c:pt idx="102">
                  <c:v>44.226999999999997</c:v>
                </c:pt>
                <c:pt idx="103">
                  <c:v>19.481000000000002</c:v>
                </c:pt>
                <c:pt idx="104">
                  <c:v>52.707000000000001</c:v>
                </c:pt>
                <c:pt idx="105">
                  <c:v>53.895000000000003</c:v>
                </c:pt>
                <c:pt idx="106">
                  <c:v>47.883000000000003</c:v>
                </c:pt>
                <c:pt idx="107">
                  <c:v>34.570999999999998</c:v>
                </c:pt>
                <c:pt idx="108">
                  <c:v>43.84</c:v>
                </c:pt>
                <c:pt idx="109">
                  <c:v>18.009</c:v>
                </c:pt>
                <c:pt idx="110">
                  <c:v>14.502000000000001</c:v>
                </c:pt>
                <c:pt idx="111">
                  <c:v>15.369</c:v>
                </c:pt>
                <c:pt idx="112">
                  <c:v>9.6280000000000001</c:v>
                </c:pt>
                <c:pt idx="113">
                  <c:v>15.907</c:v>
                </c:pt>
                <c:pt idx="114">
                  <c:v>51.253999999999998</c:v>
                </c:pt>
                <c:pt idx="115">
                  <c:v>48.503999999999998</c:v>
                </c:pt>
                <c:pt idx="116">
                  <c:v>21.829000000000001</c:v>
                </c:pt>
                <c:pt idx="117">
                  <c:v>23.068999999999999</c:v>
                </c:pt>
                <c:pt idx="118">
                  <c:v>29.806999999999999</c:v>
                </c:pt>
                <c:pt idx="119">
                  <c:v>53.487000000000002</c:v>
                </c:pt>
                <c:pt idx="120">
                  <c:v>42.136000000000003</c:v>
                </c:pt>
                <c:pt idx="121">
                  <c:v>21.363</c:v>
                </c:pt>
                <c:pt idx="122">
                  <c:v>32.365000000000002</c:v>
                </c:pt>
                <c:pt idx="123">
                  <c:v>50.613</c:v>
                </c:pt>
                <c:pt idx="124">
                  <c:v>59.216000000000001</c:v>
                </c:pt>
                <c:pt idx="125">
                  <c:v>49.904000000000003</c:v>
                </c:pt>
                <c:pt idx="126">
                  <c:v>57.366999999999997</c:v>
                </c:pt>
                <c:pt idx="127">
                  <c:v>53.116</c:v>
                </c:pt>
                <c:pt idx="128">
                  <c:v>52.112000000000002</c:v>
                </c:pt>
                <c:pt idx="129">
                  <c:v>48.457000000000001</c:v>
                </c:pt>
                <c:pt idx="130">
                  <c:v>11.596</c:v>
                </c:pt>
                <c:pt idx="131">
                  <c:v>8.0809999999999995</c:v>
                </c:pt>
                <c:pt idx="132">
                  <c:v>19.963999999999999</c:v>
                </c:pt>
                <c:pt idx="133">
                  <c:v>30.145</c:v>
                </c:pt>
                <c:pt idx="134">
                  <c:v>20.288</c:v>
                </c:pt>
                <c:pt idx="135">
                  <c:v>15.462999999999999</c:v>
                </c:pt>
                <c:pt idx="136">
                  <c:v>35.137</c:v>
                </c:pt>
                <c:pt idx="137">
                  <c:v>61.420999999999999</c:v>
                </c:pt>
                <c:pt idx="138">
                  <c:v>60.180999999999997</c:v>
                </c:pt>
                <c:pt idx="139">
                  <c:v>59.366</c:v>
                </c:pt>
                <c:pt idx="140">
                  <c:v>57.860999999999997</c:v>
                </c:pt>
                <c:pt idx="141">
                  <c:v>51.414000000000001</c:v>
                </c:pt>
                <c:pt idx="142">
                  <c:v>55.634999999999998</c:v>
                </c:pt>
                <c:pt idx="143">
                  <c:v>17.456</c:v>
                </c:pt>
                <c:pt idx="144">
                  <c:v>56.076999999999998</c:v>
                </c:pt>
                <c:pt idx="145">
                  <c:v>58.703000000000003</c:v>
                </c:pt>
                <c:pt idx="146">
                  <c:v>58.473999999999997</c:v>
                </c:pt>
                <c:pt idx="147">
                  <c:v>57.914999999999999</c:v>
                </c:pt>
                <c:pt idx="148">
                  <c:v>57.883000000000003</c:v>
                </c:pt>
                <c:pt idx="149">
                  <c:v>56.231000000000002</c:v>
                </c:pt>
                <c:pt idx="150">
                  <c:v>59.337000000000003</c:v>
                </c:pt>
                <c:pt idx="151">
                  <c:v>59.692999999999998</c:v>
                </c:pt>
                <c:pt idx="152">
                  <c:v>32.350999999999999</c:v>
                </c:pt>
                <c:pt idx="153">
                  <c:v>46.515999999999998</c:v>
                </c:pt>
                <c:pt idx="154">
                  <c:v>29.207000000000001</c:v>
                </c:pt>
                <c:pt idx="155">
                  <c:v>34.771999999999998</c:v>
                </c:pt>
                <c:pt idx="156">
                  <c:v>21.690999999999999</c:v>
                </c:pt>
                <c:pt idx="157">
                  <c:v>26.731000000000002</c:v>
                </c:pt>
                <c:pt idx="158">
                  <c:v>38.841000000000001</c:v>
                </c:pt>
                <c:pt idx="159">
                  <c:v>42.673999999999999</c:v>
                </c:pt>
                <c:pt idx="160">
                  <c:v>22.684999999999999</c:v>
                </c:pt>
                <c:pt idx="161">
                  <c:v>42.616</c:v>
                </c:pt>
                <c:pt idx="162">
                  <c:v>26.888999999999999</c:v>
                </c:pt>
                <c:pt idx="163">
                  <c:v>53.89</c:v>
                </c:pt>
                <c:pt idx="164">
                  <c:v>44.039000000000001</c:v>
                </c:pt>
                <c:pt idx="165">
                  <c:v>46.875999999999998</c:v>
                </c:pt>
                <c:pt idx="166">
                  <c:v>46.408000000000001</c:v>
                </c:pt>
                <c:pt idx="167">
                  <c:v>31.978999999999999</c:v>
                </c:pt>
                <c:pt idx="168">
                  <c:v>52.847000000000001</c:v>
                </c:pt>
                <c:pt idx="169">
                  <c:v>42.591000000000001</c:v>
                </c:pt>
                <c:pt idx="170">
                  <c:v>55.067999999999998</c:v>
                </c:pt>
                <c:pt idx="171">
                  <c:v>51.969000000000001</c:v>
                </c:pt>
                <c:pt idx="172">
                  <c:v>59.067</c:v>
                </c:pt>
                <c:pt idx="173">
                  <c:v>44.395000000000003</c:v>
                </c:pt>
                <c:pt idx="174">
                  <c:v>58.082999999999998</c:v>
                </c:pt>
                <c:pt idx="175">
                  <c:v>57.737000000000002</c:v>
                </c:pt>
                <c:pt idx="176">
                  <c:v>52.692</c:v>
                </c:pt>
                <c:pt idx="177">
                  <c:v>48.546999999999997</c:v>
                </c:pt>
                <c:pt idx="178">
                  <c:v>42.292999999999999</c:v>
                </c:pt>
                <c:pt idx="179">
                  <c:v>47.548000000000002</c:v>
                </c:pt>
                <c:pt idx="180">
                  <c:v>25.31</c:v>
                </c:pt>
                <c:pt idx="181">
                  <c:v>57.579000000000001</c:v>
                </c:pt>
                <c:pt idx="182">
                  <c:v>43.420999999999999</c:v>
                </c:pt>
                <c:pt idx="183">
                  <c:v>18.837</c:v>
                </c:pt>
                <c:pt idx="184">
                  <c:v>46.186999999999998</c:v>
                </c:pt>
                <c:pt idx="185">
                  <c:v>56.893999999999998</c:v>
                </c:pt>
                <c:pt idx="186">
                  <c:v>56.595999999999997</c:v>
                </c:pt>
                <c:pt idx="187">
                  <c:v>35.25</c:v>
                </c:pt>
                <c:pt idx="188">
                  <c:v>59.851999999999997</c:v>
                </c:pt>
                <c:pt idx="189">
                  <c:v>57.139000000000003</c:v>
                </c:pt>
                <c:pt idx="190">
                  <c:v>53.786000000000001</c:v>
                </c:pt>
                <c:pt idx="191">
                  <c:v>46.902999999999999</c:v>
                </c:pt>
                <c:pt idx="192">
                  <c:v>42.289000000000001</c:v>
                </c:pt>
                <c:pt idx="193">
                  <c:v>41.356999999999999</c:v>
                </c:pt>
                <c:pt idx="194">
                  <c:v>55.738</c:v>
                </c:pt>
                <c:pt idx="195">
                  <c:v>45.183</c:v>
                </c:pt>
                <c:pt idx="196">
                  <c:v>19.271000000000001</c:v>
                </c:pt>
                <c:pt idx="197">
                  <c:v>23.966999999999999</c:v>
                </c:pt>
                <c:pt idx="198">
                  <c:v>27.123999999999999</c:v>
                </c:pt>
                <c:pt idx="199">
                  <c:v>56.796999999999997</c:v>
                </c:pt>
                <c:pt idx="200">
                  <c:v>55.969000000000001</c:v>
                </c:pt>
                <c:pt idx="201">
                  <c:v>50.764000000000003</c:v>
                </c:pt>
                <c:pt idx="202">
                  <c:v>52.256</c:v>
                </c:pt>
                <c:pt idx="203">
                  <c:v>50.137999999999998</c:v>
                </c:pt>
                <c:pt idx="204">
                  <c:v>48.360999999999997</c:v>
                </c:pt>
                <c:pt idx="205">
                  <c:v>53.732999999999997</c:v>
                </c:pt>
                <c:pt idx="206">
                  <c:v>54.627000000000002</c:v>
                </c:pt>
                <c:pt idx="207">
                  <c:v>41.972999999999999</c:v>
                </c:pt>
                <c:pt idx="208">
                  <c:v>53.465000000000003</c:v>
                </c:pt>
                <c:pt idx="209">
                  <c:v>33.128999999999998</c:v>
                </c:pt>
                <c:pt idx="210">
                  <c:v>47.552999999999997</c:v>
                </c:pt>
                <c:pt idx="211">
                  <c:v>53.003</c:v>
                </c:pt>
                <c:pt idx="212">
                  <c:v>51.726999999999997</c:v>
                </c:pt>
                <c:pt idx="213">
                  <c:v>46.218000000000004</c:v>
                </c:pt>
                <c:pt idx="214">
                  <c:v>33.930999999999997</c:v>
                </c:pt>
                <c:pt idx="215">
                  <c:v>48.953000000000003</c:v>
                </c:pt>
                <c:pt idx="216">
                  <c:v>51.682000000000002</c:v>
                </c:pt>
                <c:pt idx="217">
                  <c:v>54.558999999999997</c:v>
                </c:pt>
                <c:pt idx="218">
                  <c:v>53.186999999999998</c:v>
                </c:pt>
                <c:pt idx="219">
                  <c:v>52.646000000000001</c:v>
                </c:pt>
                <c:pt idx="220">
                  <c:v>49.930999999999997</c:v>
                </c:pt>
                <c:pt idx="221">
                  <c:v>41.685000000000002</c:v>
                </c:pt>
                <c:pt idx="222">
                  <c:v>38.433999999999997</c:v>
                </c:pt>
                <c:pt idx="223">
                  <c:v>42.195</c:v>
                </c:pt>
                <c:pt idx="224">
                  <c:v>30.561</c:v>
                </c:pt>
                <c:pt idx="225">
                  <c:v>17.760999999999999</c:v>
                </c:pt>
                <c:pt idx="226">
                  <c:v>47.176000000000002</c:v>
                </c:pt>
                <c:pt idx="227">
                  <c:v>47.88</c:v>
                </c:pt>
                <c:pt idx="228">
                  <c:v>16.998999999999999</c:v>
                </c:pt>
                <c:pt idx="229">
                  <c:v>41.887</c:v>
                </c:pt>
                <c:pt idx="230">
                  <c:v>40.048999999999999</c:v>
                </c:pt>
                <c:pt idx="231">
                  <c:v>51.186999999999998</c:v>
                </c:pt>
                <c:pt idx="232">
                  <c:v>52.301000000000002</c:v>
                </c:pt>
                <c:pt idx="233">
                  <c:v>45.832000000000001</c:v>
                </c:pt>
                <c:pt idx="234">
                  <c:v>35.26</c:v>
                </c:pt>
                <c:pt idx="235">
                  <c:v>42.180999999999997</c:v>
                </c:pt>
                <c:pt idx="236">
                  <c:v>46.8</c:v>
                </c:pt>
                <c:pt idx="237">
                  <c:v>51.088000000000001</c:v>
                </c:pt>
                <c:pt idx="238">
                  <c:v>25.125</c:v>
                </c:pt>
                <c:pt idx="239">
                  <c:v>48.929000000000002</c:v>
                </c:pt>
                <c:pt idx="240">
                  <c:v>9.4309999999999992</c:v>
                </c:pt>
                <c:pt idx="241">
                  <c:v>23.643999999999998</c:v>
                </c:pt>
                <c:pt idx="242">
                  <c:v>30.254000000000001</c:v>
                </c:pt>
                <c:pt idx="243">
                  <c:v>42.033000000000001</c:v>
                </c:pt>
                <c:pt idx="244">
                  <c:v>44.640999999999998</c:v>
                </c:pt>
                <c:pt idx="245">
                  <c:v>52.408999999999999</c:v>
                </c:pt>
                <c:pt idx="246">
                  <c:v>50.238999999999997</c:v>
                </c:pt>
                <c:pt idx="247">
                  <c:v>51.357999999999997</c:v>
                </c:pt>
                <c:pt idx="248">
                  <c:v>43.6</c:v>
                </c:pt>
                <c:pt idx="249">
                  <c:v>25.995999999999999</c:v>
                </c:pt>
                <c:pt idx="250">
                  <c:v>48.215000000000003</c:v>
                </c:pt>
                <c:pt idx="251">
                  <c:v>48.235999999999997</c:v>
                </c:pt>
                <c:pt idx="252">
                  <c:v>22.198</c:v>
                </c:pt>
                <c:pt idx="253">
                  <c:v>43.393000000000001</c:v>
                </c:pt>
                <c:pt idx="254">
                  <c:v>43.828000000000003</c:v>
                </c:pt>
                <c:pt idx="255">
                  <c:v>46.573999999999998</c:v>
                </c:pt>
                <c:pt idx="256">
                  <c:v>46.518999999999998</c:v>
                </c:pt>
                <c:pt idx="257">
                  <c:v>48.008000000000003</c:v>
                </c:pt>
                <c:pt idx="258">
                  <c:v>39.390999999999998</c:v>
                </c:pt>
                <c:pt idx="259">
                  <c:v>41.113999999999997</c:v>
                </c:pt>
                <c:pt idx="260">
                  <c:v>42.491</c:v>
                </c:pt>
                <c:pt idx="261">
                  <c:v>21.009</c:v>
                </c:pt>
                <c:pt idx="262">
                  <c:v>32.540999999999997</c:v>
                </c:pt>
                <c:pt idx="263">
                  <c:v>31.582999999999998</c:v>
                </c:pt>
                <c:pt idx="264">
                  <c:v>27.091999999999999</c:v>
                </c:pt>
                <c:pt idx="265">
                  <c:v>23.649000000000001</c:v>
                </c:pt>
                <c:pt idx="266">
                  <c:v>39.703000000000003</c:v>
                </c:pt>
                <c:pt idx="267">
                  <c:v>22.456</c:v>
                </c:pt>
                <c:pt idx="268">
                  <c:v>21.361000000000001</c:v>
                </c:pt>
                <c:pt idx="269">
                  <c:v>14.428000000000001</c:v>
                </c:pt>
                <c:pt idx="270">
                  <c:v>12.715999999999999</c:v>
                </c:pt>
                <c:pt idx="271">
                  <c:v>26.256</c:v>
                </c:pt>
                <c:pt idx="272">
                  <c:v>34.848999999999997</c:v>
                </c:pt>
                <c:pt idx="273">
                  <c:v>42.896000000000001</c:v>
                </c:pt>
                <c:pt idx="274">
                  <c:v>7.9009999999999998</c:v>
                </c:pt>
                <c:pt idx="275">
                  <c:v>5.2389999999999999</c:v>
                </c:pt>
                <c:pt idx="276">
                  <c:v>18.132999999999999</c:v>
                </c:pt>
                <c:pt idx="277">
                  <c:v>21.177</c:v>
                </c:pt>
                <c:pt idx="278">
                  <c:v>30.117999999999999</c:v>
                </c:pt>
                <c:pt idx="279">
                  <c:v>6.2549999999999999</c:v>
                </c:pt>
                <c:pt idx="280">
                  <c:v>28.39</c:v>
                </c:pt>
                <c:pt idx="281">
                  <c:v>33.991</c:v>
                </c:pt>
                <c:pt idx="282">
                  <c:v>24.321000000000002</c:v>
                </c:pt>
                <c:pt idx="283">
                  <c:v>20.943000000000001</c:v>
                </c:pt>
                <c:pt idx="284">
                  <c:v>14.628</c:v>
                </c:pt>
                <c:pt idx="285">
                  <c:v>21.96</c:v>
                </c:pt>
                <c:pt idx="286">
                  <c:v>23.061</c:v>
                </c:pt>
                <c:pt idx="287">
                  <c:v>14.337</c:v>
                </c:pt>
                <c:pt idx="288">
                  <c:v>16.504000000000001</c:v>
                </c:pt>
                <c:pt idx="289">
                  <c:v>9.4450000000000003</c:v>
                </c:pt>
                <c:pt idx="290">
                  <c:v>37.048999999999999</c:v>
                </c:pt>
                <c:pt idx="291">
                  <c:v>37.962000000000003</c:v>
                </c:pt>
                <c:pt idx="292">
                  <c:v>33.142000000000003</c:v>
                </c:pt>
                <c:pt idx="293">
                  <c:v>5.4109999999999996</c:v>
                </c:pt>
                <c:pt idx="294">
                  <c:v>24.606000000000002</c:v>
                </c:pt>
                <c:pt idx="295">
                  <c:v>4.9880000000000004</c:v>
                </c:pt>
                <c:pt idx="296">
                  <c:v>10.141</c:v>
                </c:pt>
                <c:pt idx="297">
                  <c:v>33.005000000000003</c:v>
                </c:pt>
                <c:pt idx="298">
                  <c:v>24.870999999999999</c:v>
                </c:pt>
                <c:pt idx="299">
                  <c:v>23.661000000000001</c:v>
                </c:pt>
                <c:pt idx="300">
                  <c:v>23.349</c:v>
                </c:pt>
                <c:pt idx="301">
                  <c:v>12.565</c:v>
                </c:pt>
                <c:pt idx="302">
                  <c:v>28.550999999999998</c:v>
                </c:pt>
                <c:pt idx="303">
                  <c:v>33.731000000000002</c:v>
                </c:pt>
                <c:pt idx="304">
                  <c:v>31.193999999999999</c:v>
                </c:pt>
                <c:pt idx="305">
                  <c:v>28.617999999999999</c:v>
                </c:pt>
                <c:pt idx="306">
                  <c:v>29.748999999999999</c:v>
                </c:pt>
                <c:pt idx="307">
                  <c:v>5.0880000000000001</c:v>
                </c:pt>
                <c:pt idx="308">
                  <c:v>15.672000000000001</c:v>
                </c:pt>
                <c:pt idx="309">
                  <c:v>23.414999999999999</c:v>
                </c:pt>
                <c:pt idx="310">
                  <c:v>17.657</c:v>
                </c:pt>
                <c:pt idx="311">
                  <c:v>5.2030000000000003</c:v>
                </c:pt>
                <c:pt idx="312">
                  <c:v>24.620999999999999</c:v>
                </c:pt>
                <c:pt idx="313">
                  <c:v>15.406000000000001</c:v>
                </c:pt>
                <c:pt idx="314">
                  <c:v>10.275</c:v>
                </c:pt>
                <c:pt idx="315">
                  <c:v>23.838000000000001</c:v>
                </c:pt>
                <c:pt idx="316">
                  <c:v>28.715</c:v>
                </c:pt>
                <c:pt idx="317">
                  <c:v>18.384</c:v>
                </c:pt>
                <c:pt idx="318">
                  <c:v>26.210999999999999</c:v>
                </c:pt>
                <c:pt idx="319">
                  <c:v>21.856999999999999</c:v>
                </c:pt>
                <c:pt idx="320">
                  <c:v>23.312000000000001</c:v>
                </c:pt>
                <c:pt idx="321">
                  <c:v>27.916</c:v>
                </c:pt>
                <c:pt idx="322">
                  <c:v>29.96</c:v>
                </c:pt>
                <c:pt idx="323">
                  <c:v>8.2260000000000009</c:v>
                </c:pt>
                <c:pt idx="324">
                  <c:v>20.466000000000001</c:v>
                </c:pt>
                <c:pt idx="325">
                  <c:v>30.091000000000001</c:v>
                </c:pt>
                <c:pt idx="326">
                  <c:v>30.352</c:v>
                </c:pt>
                <c:pt idx="327">
                  <c:v>28.109000000000002</c:v>
                </c:pt>
                <c:pt idx="328">
                  <c:v>27.239000000000001</c:v>
                </c:pt>
                <c:pt idx="329">
                  <c:v>27.071999999999999</c:v>
                </c:pt>
                <c:pt idx="330">
                  <c:v>25.143000000000001</c:v>
                </c:pt>
                <c:pt idx="331">
                  <c:v>17.545999999999999</c:v>
                </c:pt>
                <c:pt idx="332">
                  <c:v>8.2759999999999998</c:v>
                </c:pt>
                <c:pt idx="333">
                  <c:v>26.163</c:v>
                </c:pt>
                <c:pt idx="334">
                  <c:v>27.082000000000001</c:v>
                </c:pt>
                <c:pt idx="335">
                  <c:v>4.47</c:v>
                </c:pt>
                <c:pt idx="336">
                  <c:v>1.1890000000000001</c:v>
                </c:pt>
                <c:pt idx="337">
                  <c:v>13.523999999999999</c:v>
                </c:pt>
                <c:pt idx="338">
                  <c:v>8.2390000000000008</c:v>
                </c:pt>
                <c:pt idx="339">
                  <c:v>20.789000000000001</c:v>
                </c:pt>
                <c:pt idx="340">
                  <c:v>12.717000000000001</c:v>
                </c:pt>
                <c:pt idx="341">
                  <c:v>2.6070000000000002</c:v>
                </c:pt>
                <c:pt idx="342">
                  <c:v>8.2710000000000008</c:v>
                </c:pt>
                <c:pt idx="343">
                  <c:v>8.2889999999999997</c:v>
                </c:pt>
                <c:pt idx="344">
                  <c:v>4.7030000000000003</c:v>
                </c:pt>
                <c:pt idx="345">
                  <c:v>7.1260000000000003</c:v>
                </c:pt>
                <c:pt idx="346">
                  <c:v>10.763999999999999</c:v>
                </c:pt>
                <c:pt idx="347">
                  <c:v>11.795999999999999</c:v>
                </c:pt>
                <c:pt idx="348">
                  <c:v>3.6880000000000002</c:v>
                </c:pt>
                <c:pt idx="349">
                  <c:v>2.3340000000000001</c:v>
                </c:pt>
                <c:pt idx="350">
                  <c:v>20.431999999999999</c:v>
                </c:pt>
                <c:pt idx="351">
                  <c:v>8.827</c:v>
                </c:pt>
                <c:pt idx="352">
                  <c:v>10.667</c:v>
                </c:pt>
                <c:pt idx="353">
                  <c:v>9.16</c:v>
                </c:pt>
                <c:pt idx="354">
                  <c:v>6.266</c:v>
                </c:pt>
                <c:pt idx="355">
                  <c:v>8.4559999999999995</c:v>
                </c:pt>
                <c:pt idx="356">
                  <c:v>20.952000000000002</c:v>
                </c:pt>
                <c:pt idx="357">
                  <c:v>10.54</c:v>
                </c:pt>
                <c:pt idx="358">
                  <c:v>11.698</c:v>
                </c:pt>
                <c:pt idx="359">
                  <c:v>4.0049999999999999</c:v>
                </c:pt>
                <c:pt idx="360">
                  <c:v>17.353000000000002</c:v>
                </c:pt>
                <c:pt idx="361">
                  <c:v>6.0270000000000001</c:v>
                </c:pt>
                <c:pt idx="362">
                  <c:v>7.08</c:v>
                </c:pt>
                <c:pt idx="363">
                  <c:v>7.36</c:v>
                </c:pt>
                <c:pt idx="364">
                  <c:v>12.593</c:v>
                </c:pt>
                <c:pt idx="365">
                  <c:v>15.384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484160"/>
        <c:axId val="202484552"/>
      </c:lineChart>
      <c:dateAx>
        <c:axId val="20248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2484552"/>
        <c:crosses val="autoZero"/>
        <c:auto val="1"/>
        <c:lblOffset val="100"/>
        <c:baseTimeUnit val="days"/>
        <c:majorUnit val="1"/>
        <c:majorTimeUnit val="months"/>
      </c:dateAx>
      <c:valAx>
        <c:axId val="20248455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248416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'2021'!Ppv</c:f>
              <c:numCache>
                <c:formatCode>0.00%</c:formatCode>
                <c:ptCount val="366"/>
                <c:pt idx="0">
                  <c:v>1.3344791900708586E-2</c:v>
                </c:pt>
                <c:pt idx="1">
                  <c:v>1.3363700922679578E-2</c:v>
                </c:pt>
                <c:pt idx="2">
                  <c:v>1.3382609582263449E-2</c:v>
                </c:pt>
                <c:pt idx="3">
                  <c:v>1.3401517879467306E-2</c:v>
                </c:pt>
                <c:pt idx="4">
                  <c:v>1.3420425814297809E-2</c:v>
                </c:pt>
                <c:pt idx="5">
                  <c:v>1.3439333386762065E-2</c:v>
                </c:pt>
                <c:pt idx="6">
                  <c:v>1.3458240596867066E-2</c:v>
                </c:pt>
                <c:pt idx="7">
                  <c:v>1.3477147444619697E-2</c:v>
                </c:pt>
                <c:pt idx="8">
                  <c:v>1.3496053930026952E-2</c:v>
                </c:pt>
                <c:pt idx="9">
                  <c:v>1.3514960053095604E-2</c:v>
                </c:pt>
                <c:pt idx="10">
                  <c:v>1.3533865813832757E-2</c:v>
                </c:pt>
                <c:pt idx="11">
                  <c:v>1.3552771212245407E-2</c:v>
                </c:pt>
                <c:pt idx="12">
                  <c:v>1.3571676248340325E-2</c:v>
                </c:pt>
                <c:pt idx="13">
                  <c:v>1.3590580922124507E-2</c:v>
                </c:pt>
                <c:pt idx="14">
                  <c:v>1.3609485233605056E-2</c:v>
                </c:pt>
                <c:pt idx="15">
                  <c:v>1.3628389182788747E-2</c:v>
                </c:pt>
                <c:pt idx="16">
                  <c:v>1.3647292769682462E-2</c:v>
                </c:pt>
                <c:pt idx="17">
                  <c:v>1.3666195994293306E-2</c:v>
                </c:pt>
                <c:pt idx="18">
                  <c:v>1.3685098856628164E-2</c:v>
                </c:pt>
                <c:pt idx="19">
                  <c:v>1.3704001356694029E-2</c:v>
                </c:pt>
                <c:pt idx="20">
                  <c:v>1.3722903494497785E-2</c:v>
                </c:pt>
                <c:pt idx="21">
                  <c:v>1.3741805270046314E-2</c:v>
                </c:pt>
                <c:pt idx="22">
                  <c:v>1.3760706683346613E-2</c:v>
                </c:pt>
                <c:pt idx="23">
                  <c:v>1.3779607734405785E-2</c:v>
                </c:pt>
                <c:pt idx="24">
                  <c:v>1.3798508423230493E-2</c:v>
                </c:pt>
                <c:pt idx="25">
                  <c:v>1.3817408749827842E-2</c:v>
                </c:pt>
                <c:pt idx="26">
                  <c:v>1.3836308714204715E-2</c:v>
                </c:pt>
                <c:pt idx="27">
                  <c:v>1.3855208316368106E-2</c:v>
                </c:pt>
                <c:pt idx="28">
                  <c:v>1.387410755632501E-2</c:v>
                </c:pt>
                <c:pt idx="29">
                  <c:v>1.38930064340822E-2</c:v>
                </c:pt>
                <c:pt idx="30">
                  <c:v>1.391190494964667E-2</c:v>
                </c:pt>
                <c:pt idx="31">
                  <c:v>1.3930803103025524E-2</c:v>
                </c:pt>
                <c:pt idx="32">
                  <c:v>1.3949700894225536E-2</c:v>
                </c:pt>
                <c:pt idx="33">
                  <c:v>1.3968598323253589E-2</c:v>
                </c:pt>
                <c:pt idx="34">
                  <c:v>1.39874953901169E-2</c:v>
                </c:pt>
                <c:pt idx="35">
                  <c:v>1.4006392094822129E-2</c:v>
                </c:pt>
                <c:pt idx="36">
                  <c:v>1.4025288437376271E-2</c:v>
                </c:pt>
                <c:pt idx="37">
                  <c:v>1.4044184417786432E-2</c:v>
                </c:pt>
                <c:pt idx="38">
                  <c:v>1.4063080036059383E-2</c:v>
                </c:pt>
                <c:pt idx="39">
                  <c:v>1.408197529220212E-2</c:v>
                </c:pt>
                <c:pt idx="40">
                  <c:v>1.4100870186221637E-2</c:v>
                </c:pt>
                <c:pt idx="41">
                  <c:v>1.4119764718124816E-2</c:v>
                </c:pt>
                <c:pt idx="42">
                  <c:v>1.4138658887918543E-2</c:v>
                </c:pt>
                <c:pt idx="43">
                  <c:v>1.415755269560981E-2</c:v>
                </c:pt>
                <c:pt idx="44">
                  <c:v>1.4176446141205612E-2</c:v>
                </c:pt>
                <c:pt idx="45">
                  <c:v>1.4195339224712833E-2</c:v>
                </c:pt>
                <c:pt idx="46">
                  <c:v>1.4214231946138356E-2</c:v>
                </c:pt>
                <c:pt idx="47">
                  <c:v>1.4233124305489286E-2</c:v>
                </c:pt>
                <c:pt idx="48">
                  <c:v>1.4252016302772397E-2</c:v>
                </c:pt>
                <c:pt idx="49">
                  <c:v>1.4270907937994681E-2</c:v>
                </c:pt>
                <c:pt idx="50">
                  <c:v>1.4289799211163134E-2</c:v>
                </c:pt>
                <c:pt idx="51">
                  <c:v>1.430869012228464E-2</c:v>
                </c:pt>
                <c:pt idx="52">
                  <c:v>1.432758067136608E-2</c:v>
                </c:pt>
                <c:pt idx="53">
                  <c:v>1.4346470858414451E-2</c:v>
                </c:pt>
                <c:pt idx="54">
                  <c:v>1.4365360683436745E-2</c:v>
                </c:pt>
                <c:pt idx="55">
                  <c:v>1.4384250146439848E-2</c:v>
                </c:pt>
                <c:pt idx="56">
                  <c:v>1.4403139247430752E-2</c:v>
                </c:pt>
                <c:pt idx="57">
                  <c:v>1.4422027986416341E-2</c:v>
                </c:pt>
                <c:pt idx="58">
                  <c:v>1.44409163634035E-2</c:v>
                </c:pt>
                <c:pt idx="59">
                  <c:v>1.4459804378399221E-2</c:v>
                </c:pt>
                <c:pt idx="60">
                  <c:v>1.447869203141039E-2</c:v>
                </c:pt>
                <c:pt idx="61">
                  <c:v>1.449757932244411E-2</c:v>
                </c:pt>
                <c:pt idx="62">
                  <c:v>1.4516466251507154E-2</c:v>
                </c:pt>
                <c:pt idx="63">
                  <c:v>1.4535352818606517E-2</c:v>
                </c:pt>
                <c:pt idx="64">
                  <c:v>1.4554239023749194E-2</c:v>
                </c:pt>
                <c:pt idx="65">
                  <c:v>1.4573124866941956E-2</c:v>
                </c:pt>
                <c:pt idx="66">
                  <c:v>1.4592010348191908E-2</c:v>
                </c:pt>
                <c:pt idx="67">
                  <c:v>1.4610895467505824E-2</c:v>
                </c:pt>
                <c:pt idx="68">
                  <c:v>1.4629780224890809E-2</c:v>
                </c:pt>
                <c:pt idx="69">
                  <c:v>1.4648664620353746E-2</c:v>
                </c:pt>
                <c:pt idx="70">
                  <c:v>1.4667548653901519E-2</c:v>
                </c:pt>
                <c:pt idx="71">
                  <c:v>1.4686432325541121E-2</c:v>
                </c:pt>
                <c:pt idx="72">
                  <c:v>1.4705315635279437E-2</c:v>
                </c:pt>
                <c:pt idx="73">
                  <c:v>1.472419858312346E-2</c:v>
                </c:pt>
                <c:pt idx="74">
                  <c:v>1.4743081169080074E-2</c:v>
                </c:pt>
                <c:pt idx="75">
                  <c:v>1.4761963393156274E-2</c:v>
                </c:pt>
                <c:pt idx="76">
                  <c:v>1.4780845255358943E-2</c:v>
                </c:pt>
                <c:pt idx="77">
                  <c:v>1.4799726755694964E-2</c:v>
                </c:pt>
                <c:pt idx="78">
                  <c:v>1.4818607894171443E-2</c:v>
                </c:pt>
                <c:pt idx="79">
                  <c:v>1.4837488670795151E-2</c:v>
                </c:pt>
                <c:pt idx="80">
                  <c:v>1.4856369085573085E-2</c:v>
                </c:pt>
                <c:pt idx="81">
                  <c:v>1.4875249138512237E-2</c:v>
                </c:pt>
                <c:pt idx="82">
                  <c:v>1.489412882961938E-2</c:v>
                </c:pt>
                <c:pt idx="83">
                  <c:v>1.4913008158901619E-2</c:v>
                </c:pt>
                <c:pt idx="84">
                  <c:v>1.4931887126365728E-2</c:v>
                </c:pt>
                <c:pt idx="85">
                  <c:v>1.4950765732018811E-2</c:v>
                </c:pt>
                <c:pt idx="86">
                  <c:v>1.4969643975867752E-2</c:v>
                </c:pt>
                <c:pt idx="87">
                  <c:v>1.4988521857919435E-2</c:v>
                </c:pt>
                <c:pt idx="88">
                  <c:v>1.5007399378180741E-2</c:v>
                </c:pt>
                <c:pt idx="89">
                  <c:v>1.5026276536658778E-2</c:v>
                </c:pt>
                <c:pt idx="90">
                  <c:v>1.5045153333360317E-2</c:v>
                </c:pt>
                <c:pt idx="91">
                  <c:v>1.5064029768292353E-2</c:v>
                </c:pt>
                <c:pt idx="92">
                  <c:v>1.508290584146188E-2</c:v>
                </c:pt>
                <c:pt idx="93">
                  <c:v>1.510178155287567E-2</c:v>
                </c:pt>
                <c:pt idx="94">
                  <c:v>1.512065690254083E-2</c:v>
                </c:pt>
                <c:pt idx="95">
                  <c:v>1.5139531890464242E-2</c:v>
                </c:pt>
                <c:pt idx="96">
                  <c:v>1.5158406516652789E-2</c:v>
                </c:pt>
                <c:pt idx="97">
                  <c:v>1.5177280781113356E-2</c:v>
                </c:pt>
                <c:pt idx="98">
                  <c:v>1.5196154683853047E-2</c:v>
                </c:pt>
                <c:pt idx="99">
                  <c:v>1.5215028224878746E-2</c:v>
                </c:pt>
                <c:pt idx="100">
                  <c:v>1.5233901404197225E-2</c:v>
                </c:pt>
                <c:pt idx="101">
                  <c:v>1.525277422181559E-2</c:v>
                </c:pt>
                <c:pt idx="102">
                  <c:v>1.5271646677740613E-2</c:v>
                </c:pt>
                <c:pt idx="103">
                  <c:v>1.52905187719794E-2</c:v>
                </c:pt>
                <c:pt idx="104">
                  <c:v>1.5309390504538833E-2</c:v>
                </c:pt>
                <c:pt idx="105">
                  <c:v>1.5328261875425797E-2</c:v>
                </c:pt>
                <c:pt idx="106">
                  <c:v>1.5347132884647174E-2</c:v>
                </c:pt>
                <c:pt idx="107">
                  <c:v>1.5366003532210071E-2</c:v>
                </c:pt>
                <c:pt idx="108">
                  <c:v>1.5384873818121259E-2</c:v>
                </c:pt>
                <c:pt idx="109">
                  <c:v>1.5403743742387732E-2</c:v>
                </c:pt>
                <c:pt idx="110">
                  <c:v>1.5422613305016375E-2</c:v>
                </c:pt>
                <c:pt idx="111">
                  <c:v>1.5441482506014181E-2</c:v>
                </c:pt>
                <c:pt idx="112">
                  <c:v>1.5460351345388035E-2</c:v>
                </c:pt>
                <c:pt idx="113">
                  <c:v>1.547921982314493E-2</c:v>
                </c:pt>
                <c:pt idx="114">
                  <c:v>1.5498087939291749E-2</c:v>
                </c:pt>
                <c:pt idx="115">
                  <c:v>1.5516955693835377E-2</c:v>
                </c:pt>
                <c:pt idx="116">
                  <c:v>1.5535823086782918E-2</c:v>
                </c:pt>
                <c:pt idx="117">
                  <c:v>1.5554690118141035E-2</c:v>
                </c:pt>
                <c:pt idx="118">
                  <c:v>1.5573556787916831E-2</c:v>
                </c:pt>
                <c:pt idx="119">
                  <c:v>1.5592423096117303E-2</c:v>
                </c:pt>
                <c:pt idx="120">
                  <c:v>1.5611289042749221E-2</c:v>
                </c:pt>
                <c:pt idx="121">
                  <c:v>1.563015462781947E-2</c:v>
                </c:pt>
                <c:pt idx="122">
                  <c:v>1.5649019851335266E-2</c:v>
                </c:pt>
                <c:pt idx="123">
                  <c:v>1.5667884713303271E-2</c:v>
                </c:pt>
                <c:pt idx="124">
                  <c:v>1.5686749213730478E-2</c:v>
                </c:pt>
                <c:pt idx="125">
                  <c:v>1.5705613352623771E-2</c:v>
                </c:pt>
                <c:pt idx="126">
                  <c:v>1.5724477129990255E-2</c:v>
                </c:pt>
                <c:pt idx="127">
                  <c:v>1.5743340545836704E-2</c:v>
                </c:pt>
                <c:pt idx="128">
                  <c:v>1.576220360017011E-2</c:v>
                </c:pt>
                <c:pt idx="129">
                  <c:v>1.578106629299747E-2</c:v>
                </c:pt>
                <c:pt idx="130">
                  <c:v>1.5799928624325554E-2</c:v>
                </c:pt>
                <c:pt idx="131">
                  <c:v>1.5818790594161358E-2</c:v>
                </c:pt>
                <c:pt idx="132">
                  <c:v>1.5837652202511765E-2</c:v>
                </c:pt>
                <c:pt idx="133">
                  <c:v>1.5856513449383769E-2</c:v>
                </c:pt>
                <c:pt idx="134">
                  <c:v>1.5875374334784365E-2</c:v>
                </c:pt>
                <c:pt idx="135">
                  <c:v>1.5894234858720324E-2</c:v>
                </c:pt>
                <c:pt idx="136">
                  <c:v>1.5913095021198642E-2</c:v>
                </c:pt>
                <c:pt idx="137">
                  <c:v>1.5931954822226202E-2</c:v>
                </c:pt>
                <c:pt idx="138">
                  <c:v>1.5950814261810109E-2</c:v>
                </c:pt>
                <c:pt idx="139">
                  <c:v>1.5969673339957025E-2</c:v>
                </c:pt>
                <c:pt idx="140">
                  <c:v>1.5988532056674054E-2</c:v>
                </c:pt>
                <c:pt idx="141">
                  <c:v>1.6007390411968081E-2</c:v>
                </c:pt>
                <c:pt idx="142">
                  <c:v>1.60262484058461E-2</c:v>
                </c:pt>
                <c:pt idx="143">
                  <c:v>1.6045106038314882E-2</c:v>
                </c:pt>
                <c:pt idx="144">
                  <c:v>1.6063963309381535E-2</c:v>
                </c:pt>
                <c:pt idx="145">
                  <c:v>1.6082820219052829E-2</c:v>
                </c:pt>
                <c:pt idx="146">
                  <c:v>1.610167676733576E-2</c:v>
                </c:pt>
                <c:pt idx="147">
                  <c:v>1.612053295423721E-2</c:v>
                </c:pt>
                <c:pt idx="148">
                  <c:v>1.6139388779764174E-2</c:v>
                </c:pt>
                <c:pt idx="149">
                  <c:v>1.6158244243923536E-2</c:v>
                </c:pt>
                <c:pt idx="150">
                  <c:v>1.6177099346722179E-2</c:v>
                </c:pt>
                <c:pt idx="151">
                  <c:v>1.6195954088167097E-2</c:v>
                </c:pt>
                <c:pt idx="152">
                  <c:v>1.6214808468265285E-2</c:v>
                </c:pt>
                <c:pt idx="153">
                  <c:v>1.6233662487023515E-2</c:v>
                </c:pt>
                <c:pt idx="154">
                  <c:v>1.6252516144448781E-2</c:v>
                </c:pt>
                <c:pt idx="155">
                  <c:v>1.6271369440547967E-2</c:v>
                </c:pt>
                <c:pt idx="156">
                  <c:v>1.6290222375328067E-2</c:v>
                </c:pt>
                <c:pt idx="157">
                  <c:v>1.6309074948795965E-2</c:v>
                </c:pt>
                <c:pt idx="158">
                  <c:v>1.6327927160958655E-2</c:v>
                </c:pt>
                <c:pt idx="159">
                  <c:v>1.6346779011822909E-2</c:v>
                </c:pt>
                <c:pt idx="160">
                  <c:v>1.6365630501395834E-2</c:v>
                </c:pt>
                <c:pt idx="161">
                  <c:v>1.63844816296842E-2</c:v>
                </c:pt>
                <c:pt idx="162">
                  <c:v>1.6403332396695003E-2</c:v>
                </c:pt>
                <c:pt idx="163">
                  <c:v>1.6422182802435126E-2</c:v>
                </c:pt>
                <c:pt idx="164">
                  <c:v>1.6441032846911563E-2</c:v>
                </c:pt>
                <c:pt idx="165">
                  <c:v>1.6459882530131198E-2</c:v>
                </c:pt>
                <c:pt idx="166">
                  <c:v>1.6478731852101025E-2</c:v>
                </c:pt>
                <c:pt idx="167">
                  <c:v>1.6497580812827817E-2</c:v>
                </c:pt>
                <c:pt idx="168">
                  <c:v>1.6516429412318567E-2</c:v>
                </c:pt>
                <c:pt idx="169">
                  <c:v>1.653527765058016E-2</c:v>
                </c:pt>
                <c:pt idx="170">
                  <c:v>1.6554125527619701E-2</c:v>
                </c:pt>
                <c:pt idx="171">
                  <c:v>1.657297304344385E-2</c:v>
                </c:pt>
                <c:pt idx="172">
                  <c:v>1.6591820198059715E-2</c:v>
                </c:pt>
                <c:pt idx="173">
                  <c:v>1.6610666991474177E-2</c:v>
                </c:pt>
                <c:pt idx="174">
                  <c:v>1.662951342369412E-2</c:v>
                </c:pt>
                <c:pt idx="175">
                  <c:v>1.6648359494726539E-2</c:v>
                </c:pt>
                <c:pt idx="176">
                  <c:v>1.6667205204578206E-2</c:v>
                </c:pt>
                <c:pt idx="177">
                  <c:v>1.6686050553256226E-2</c:v>
                </c:pt>
                <c:pt idx="178">
                  <c:v>1.6704895540767373E-2</c:v>
                </c:pt>
                <c:pt idx="179">
                  <c:v>1.672374016711875E-2</c:v>
                </c:pt>
                <c:pt idx="180">
                  <c:v>1.674258443231702E-2</c:v>
                </c:pt>
                <c:pt idx="181">
                  <c:v>1.6761428336369288E-2</c:v>
                </c:pt>
                <c:pt idx="182">
                  <c:v>1.6780271879282438E-2</c:v>
                </c:pt>
                <c:pt idx="183">
                  <c:v>1.6799115061063463E-2</c:v>
                </c:pt>
                <c:pt idx="184">
                  <c:v>1.6817957881719137E-2</c:v>
                </c:pt>
                <c:pt idx="185">
                  <c:v>1.6836800341256453E-2</c:v>
                </c:pt>
                <c:pt idx="186">
                  <c:v>1.6855642439682406E-2</c:v>
                </c:pt>
                <c:pt idx="187">
                  <c:v>1.6874484177003768E-2</c:v>
                </c:pt>
                <c:pt idx="188">
                  <c:v>1.6893325553227534E-2</c:v>
                </c:pt>
                <c:pt idx="189">
                  <c:v>1.6912166568360587E-2</c:v>
                </c:pt>
                <c:pt idx="190">
                  <c:v>1.6931007222409922E-2</c:v>
                </c:pt>
                <c:pt idx="191">
                  <c:v>1.6949847515382421E-2</c:v>
                </c:pt>
                <c:pt idx="192">
                  <c:v>1.696868744728508E-2</c:v>
                </c:pt>
                <c:pt idx="193">
                  <c:v>1.6987527018124671E-2</c:v>
                </c:pt>
                <c:pt idx="194">
                  <c:v>1.7006366227908187E-2</c:v>
                </c:pt>
                <c:pt idx="195">
                  <c:v>1.7025205076642513E-2</c:v>
                </c:pt>
                <c:pt idx="196">
                  <c:v>1.7044043564334643E-2</c:v>
                </c:pt>
                <c:pt idx="197">
                  <c:v>1.706288169099146E-2</c:v>
                </c:pt>
                <c:pt idx="198">
                  <c:v>1.7081719456619848E-2</c:v>
                </c:pt>
                <c:pt idx="199">
                  <c:v>1.710055686122669E-2</c:v>
                </c:pt>
                <c:pt idx="200">
                  <c:v>1.7119393904819091E-2</c:v>
                </c:pt>
                <c:pt idx="201">
                  <c:v>1.7138230587403824E-2</c:v>
                </c:pt>
                <c:pt idx="202">
                  <c:v>1.7157066908987773E-2</c:v>
                </c:pt>
                <c:pt idx="203">
                  <c:v>1.717590286957793E-2</c:v>
                </c:pt>
                <c:pt idx="204">
                  <c:v>1.7194738469181292E-2</c:v>
                </c:pt>
                <c:pt idx="205">
                  <c:v>1.721357370780463E-2</c:v>
                </c:pt>
                <c:pt idx="206">
                  <c:v>1.7232408585454828E-2</c:v>
                </c:pt>
                <c:pt idx="207">
                  <c:v>1.7251243102138991E-2</c:v>
                </c:pt>
                <c:pt idx="208">
                  <c:v>1.7270077257863892E-2</c:v>
                </c:pt>
                <c:pt idx="209">
                  <c:v>1.7288911052636524E-2</c:v>
                </c:pt>
                <c:pt idx="210">
                  <c:v>1.7307744486463772E-2</c:v>
                </c:pt>
                <c:pt idx="211">
                  <c:v>1.7326577559352629E-2</c:v>
                </c:pt>
                <c:pt idx="212">
                  <c:v>1.7345410271309869E-2</c:v>
                </c:pt>
                <c:pt idx="213">
                  <c:v>1.7364242622342485E-2</c:v>
                </c:pt>
                <c:pt idx="214">
                  <c:v>1.7383074612457361E-2</c:v>
                </c:pt>
                <c:pt idx="215">
                  <c:v>1.7401906241661491E-2</c:v>
                </c:pt>
                <c:pt idx="216">
                  <c:v>1.7420737509961648E-2</c:v>
                </c:pt>
                <c:pt idx="217">
                  <c:v>1.7439568417364937E-2</c:v>
                </c:pt>
                <c:pt idx="218">
                  <c:v>1.745839896387813E-2</c:v>
                </c:pt>
                <c:pt idx="219">
                  <c:v>1.7477229149508333E-2</c:v>
                </c:pt>
                <c:pt idx="220">
                  <c:v>1.7496058974262207E-2</c:v>
                </c:pt>
                <c:pt idx="221">
                  <c:v>1.7514888438146747E-2</c:v>
                </c:pt>
                <c:pt idx="222">
                  <c:v>1.7533717541168947E-2</c:v>
                </c:pt>
                <c:pt idx="223">
                  <c:v>1.755254628333569E-2</c:v>
                </c:pt>
                <c:pt idx="224">
                  <c:v>1.757137466465386E-2</c:v>
                </c:pt>
                <c:pt idx="225">
                  <c:v>1.7590202685130452E-2</c:v>
                </c:pt>
                <c:pt idx="226">
                  <c:v>1.7609030344772347E-2</c:v>
                </c:pt>
                <c:pt idx="227">
                  <c:v>1.762785764358632E-2</c:v>
                </c:pt>
                <c:pt idx="228">
                  <c:v>1.7646684581579475E-2</c:v>
                </c:pt>
                <c:pt idx="229">
                  <c:v>1.7665511158758695E-2</c:v>
                </c:pt>
                <c:pt idx="230">
                  <c:v>1.7684337375130865E-2</c:v>
                </c:pt>
                <c:pt idx="231">
                  <c:v>1.7703163230702867E-2</c:v>
                </c:pt>
                <c:pt idx="232">
                  <c:v>1.7721988725481586E-2</c:v>
                </c:pt>
                <c:pt idx="233">
                  <c:v>1.7740813859474014E-2</c:v>
                </c:pt>
                <c:pt idx="234">
                  <c:v>1.7759638632687147E-2</c:v>
                </c:pt>
                <c:pt idx="235">
                  <c:v>1.7778463045127646E-2</c:v>
                </c:pt>
                <c:pt idx="236">
                  <c:v>1.7797287096802616E-2</c:v>
                </c:pt>
                <c:pt idx="237">
                  <c:v>1.7816110787719053E-2</c:v>
                </c:pt>
                <c:pt idx="238">
                  <c:v>1.7834934117883616E-2</c:v>
                </c:pt>
                <c:pt idx="239">
                  <c:v>1.7853757087303412E-2</c:v>
                </c:pt>
                <c:pt idx="240">
                  <c:v>1.7872579695985213E-2</c:v>
                </c:pt>
                <c:pt idx="241">
                  <c:v>1.7891401943936125E-2</c:v>
                </c:pt>
                <c:pt idx="242">
                  <c:v>1.7910223831162808E-2</c:v>
                </c:pt>
                <c:pt idx="243">
                  <c:v>1.792904535767248E-2</c:v>
                </c:pt>
                <c:pt idx="244">
                  <c:v>1.79478665234718E-2</c:v>
                </c:pt>
                <c:pt idx="245">
                  <c:v>1.7966687328567765E-2</c:v>
                </c:pt>
                <c:pt idx="246">
                  <c:v>1.7985507772967257E-2</c:v>
                </c:pt>
                <c:pt idx="247">
                  <c:v>1.8004327856677271E-2</c:v>
                </c:pt>
                <c:pt idx="248">
                  <c:v>1.802314757970469E-2</c:v>
                </c:pt>
                <c:pt idx="249">
                  <c:v>1.8041966942056398E-2</c:v>
                </c:pt>
                <c:pt idx="250">
                  <c:v>1.8060785943739388E-2</c:v>
                </c:pt>
                <c:pt idx="251">
                  <c:v>1.8079604584760434E-2</c:v>
                </c:pt>
                <c:pt idx="252">
                  <c:v>1.8098422865126529E-2</c:v>
                </c:pt>
                <c:pt idx="253">
                  <c:v>1.8117240784844557E-2</c:v>
                </c:pt>
                <c:pt idx="254">
                  <c:v>1.8136058343921513E-2</c:v>
                </c:pt>
                <c:pt idx="255">
                  <c:v>1.8154875542364168E-2</c:v>
                </c:pt>
                <c:pt idx="256">
                  <c:v>1.8173692380179518E-2</c:v>
                </c:pt>
                <c:pt idx="257">
                  <c:v>1.8192508857374445E-2</c:v>
                </c:pt>
                <c:pt idx="258">
                  <c:v>1.8211324973955945E-2</c:v>
                </c:pt>
                <c:pt idx="259">
                  <c:v>1.8230140729930788E-2</c:v>
                </c:pt>
                <c:pt idx="260">
                  <c:v>1.8248956125305971E-2</c:v>
                </c:pt>
                <c:pt idx="261">
                  <c:v>1.8267771160088486E-2</c:v>
                </c:pt>
                <c:pt idx="262">
                  <c:v>1.8286585834285107E-2</c:v>
                </c:pt>
                <c:pt idx="263">
                  <c:v>1.8305400147902717E-2</c:v>
                </c:pt>
                <c:pt idx="264">
                  <c:v>1.8324214100948422E-2</c:v>
                </c:pt>
                <c:pt idx="265">
                  <c:v>1.8343027693428882E-2</c:v>
                </c:pt>
                <c:pt idx="266">
                  <c:v>1.8361840925351203E-2</c:v>
                </c:pt>
                <c:pt idx="267">
                  <c:v>1.8380653796722268E-2</c:v>
                </c:pt>
                <c:pt idx="268">
                  <c:v>1.8399466307548851E-2</c:v>
                </c:pt>
                <c:pt idx="269">
                  <c:v>1.8418278457837944E-2</c:v>
                </c:pt>
                <c:pt idx="270">
                  <c:v>1.8437090247596544E-2</c:v>
                </c:pt>
                <c:pt idx="271">
                  <c:v>1.8455901676831532E-2</c:v>
                </c:pt>
                <c:pt idx="272">
                  <c:v>1.8474712745549682E-2</c:v>
                </c:pt>
                <c:pt idx="273">
                  <c:v>1.8493523453757987E-2</c:v>
                </c:pt>
                <c:pt idx="274">
                  <c:v>1.8512333801463332E-2</c:v>
                </c:pt>
                <c:pt idx="275">
                  <c:v>1.853114378867271E-2</c:v>
                </c:pt>
                <c:pt idx="276">
                  <c:v>1.8549953415393006E-2</c:v>
                </c:pt>
                <c:pt idx="277">
                  <c:v>1.8568762681631101E-2</c:v>
                </c:pt>
                <c:pt idx="278">
                  <c:v>1.8587571587393881E-2</c:v>
                </c:pt>
                <c:pt idx="279">
                  <c:v>1.8606380132688227E-2</c:v>
                </c:pt>
                <c:pt idx="280">
                  <c:v>1.8625188317521135E-2</c:v>
                </c:pt>
                <c:pt idx="281">
                  <c:v>1.8643996141899377E-2</c:v>
                </c:pt>
                <c:pt idx="282">
                  <c:v>1.8662803605830058E-2</c:v>
                </c:pt>
                <c:pt idx="283">
                  <c:v>1.8681610709319951E-2</c:v>
                </c:pt>
                <c:pt idx="284">
                  <c:v>1.870041745237605E-2</c:v>
                </c:pt>
                <c:pt idx="285">
                  <c:v>1.8719223835005128E-2</c:v>
                </c:pt>
                <c:pt idx="286">
                  <c:v>1.8738029857214289E-2</c:v>
                </c:pt>
                <c:pt idx="287">
                  <c:v>1.8756835519010195E-2</c:v>
                </c:pt>
                <c:pt idx="288">
                  <c:v>1.8775640820399953E-2</c:v>
                </c:pt>
                <c:pt idx="289">
                  <c:v>1.8794445761390333E-2</c:v>
                </c:pt>
                <c:pt idx="290">
                  <c:v>1.881325034198833E-2</c:v>
                </c:pt>
                <c:pt idx="291">
                  <c:v>1.8832054562200939E-2</c:v>
                </c:pt>
                <c:pt idx="292">
                  <c:v>1.8850858422034822E-2</c:v>
                </c:pt>
                <c:pt idx="293">
                  <c:v>1.8869661921497083E-2</c:v>
                </c:pt>
                <c:pt idx="294">
                  <c:v>1.8888465060594606E-2</c:v>
                </c:pt>
                <c:pt idx="295">
                  <c:v>1.8907267839334163E-2</c:v>
                </c:pt>
                <c:pt idx="296">
                  <c:v>1.892607025772286E-2</c:v>
                </c:pt>
                <c:pt idx="297">
                  <c:v>1.8944872315767358E-2</c:v>
                </c:pt>
                <c:pt idx="298">
                  <c:v>1.8963674013474763E-2</c:v>
                </c:pt>
                <c:pt idx="299">
                  <c:v>1.8982475350851957E-2</c:v>
                </c:pt>
                <c:pt idx="300">
                  <c:v>1.9001276327905825E-2</c:v>
                </c:pt>
                <c:pt idx="301">
                  <c:v>1.9020076944643249E-2</c:v>
                </c:pt>
                <c:pt idx="302">
                  <c:v>1.9038877201071114E-2</c:v>
                </c:pt>
                <c:pt idx="303">
                  <c:v>1.9057677097196302E-2</c:v>
                </c:pt>
                <c:pt idx="304">
                  <c:v>1.9076476633025918E-2</c:v>
                </c:pt>
                <c:pt idx="305">
                  <c:v>1.9095275808566625E-2</c:v>
                </c:pt>
                <c:pt idx="306">
                  <c:v>1.9114074623825417E-2</c:v>
                </c:pt>
                <c:pt idx="307">
                  <c:v>1.9132873078809176E-2</c:v>
                </c:pt>
                <c:pt idx="308">
                  <c:v>1.9151671173524898E-2</c:v>
                </c:pt>
                <c:pt idx="309">
                  <c:v>1.9170468907979354E-2</c:v>
                </c:pt>
                <c:pt idx="310">
                  <c:v>1.918926628217954E-2</c:v>
                </c:pt>
                <c:pt idx="311">
                  <c:v>1.9208063296132338E-2</c:v>
                </c:pt>
                <c:pt idx="312">
                  <c:v>1.9226859949844743E-2</c:v>
                </c:pt>
                <c:pt idx="313">
                  <c:v>1.9245656243323417E-2</c:v>
                </c:pt>
                <c:pt idx="314">
                  <c:v>1.9264452176575575E-2</c:v>
                </c:pt>
                <c:pt idx="315">
                  <c:v>1.9283247749607879E-2</c:v>
                </c:pt>
                <c:pt idx="316">
                  <c:v>1.9302042962427324E-2</c:v>
                </c:pt>
                <c:pt idx="317">
                  <c:v>1.9320837815040792E-2</c:v>
                </c:pt>
                <c:pt idx="318">
                  <c:v>1.9339632307455168E-2</c:v>
                </c:pt>
                <c:pt idx="319">
                  <c:v>1.9358426439677334E-2</c:v>
                </c:pt>
                <c:pt idx="320">
                  <c:v>1.9377220211714397E-2</c:v>
                </c:pt>
                <c:pt idx="321">
                  <c:v>1.9396013623573016E-2</c:v>
                </c:pt>
                <c:pt idx="322">
                  <c:v>1.9414806675260188E-2</c:v>
                </c:pt>
                <c:pt idx="323">
                  <c:v>1.9433599366782794E-2</c:v>
                </c:pt>
                <c:pt idx="324">
                  <c:v>1.9452391698147831E-2</c:v>
                </c:pt>
                <c:pt idx="325">
                  <c:v>1.9471183669362069E-2</c:v>
                </c:pt>
                <c:pt idx="326">
                  <c:v>1.9489975280432503E-2</c:v>
                </c:pt>
                <c:pt idx="327">
                  <c:v>1.9508766531365906E-2</c:v>
                </c:pt>
                <c:pt idx="328">
                  <c:v>1.9527557422169384E-2</c:v>
                </c:pt>
                <c:pt idx="329">
                  <c:v>1.9546347952849707E-2</c:v>
                </c:pt>
                <c:pt idx="330">
                  <c:v>1.9565138123413761E-2</c:v>
                </c:pt>
                <c:pt idx="331">
                  <c:v>1.9583927933868428E-2</c:v>
                </c:pt>
                <c:pt idx="332">
                  <c:v>1.9602717384220703E-2</c:v>
                </c:pt>
                <c:pt idx="333">
                  <c:v>1.9621506474477468E-2</c:v>
                </c:pt>
                <c:pt idx="334">
                  <c:v>1.9640295204645608E-2</c:v>
                </c:pt>
                <c:pt idx="335">
                  <c:v>1.9659083574732117E-2</c:v>
                </c:pt>
                <c:pt idx="336">
                  <c:v>1.9677871584743656E-2</c:v>
                </c:pt>
                <c:pt idx="337">
                  <c:v>1.969665923468733E-2</c:v>
                </c:pt>
                <c:pt idx="338">
                  <c:v>1.9715446524569913E-2</c:v>
                </c:pt>
                <c:pt idx="339">
                  <c:v>1.9734233454398509E-2</c:v>
                </c:pt>
                <c:pt idx="340">
                  <c:v>1.9753020024179779E-2</c:v>
                </c:pt>
                <c:pt idx="341">
                  <c:v>1.9771806233920719E-2</c:v>
                </c:pt>
                <c:pt idx="342">
                  <c:v>1.9790592083628211E-2</c:v>
                </c:pt>
                <c:pt idx="343">
                  <c:v>1.980937757330925E-2</c:v>
                </c:pt>
                <c:pt idx="344">
                  <c:v>1.9828162702970609E-2</c:v>
                </c:pt>
                <c:pt idx="345">
                  <c:v>1.9846947472619281E-2</c:v>
                </c:pt>
                <c:pt idx="346">
                  <c:v>1.986573188226215E-2</c:v>
                </c:pt>
                <c:pt idx="347">
                  <c:v>1.9884515931906099E-2</c:v>
                </c:pt>
                <c:pt idx="348">
                  <c:v>1.9903299621558013E-2</c:v>
                </c:pt>
                <c:pt idx="349">
                  <c:v>1.9922082951224773E-2</c:v>
                </c:pt>
                <c:pt idx="350">
                  <c:v>1.9940865920913264E-2</c:v>
                </c:pt>
                <c:pt idx="351">
                  <c:v>1.9959648530630481E-2</c:v>
                </c:pt>
                <c:pt idx="352">
                  <c:v>1.9978430780383305E-2</c:v>
                </c:pt>
                <c:pt idx="353">
                  <c:v>1.999721267017851E-2</c:v>
                </c:pt>
                <c:pt idx="354">
                  <c:v>2.0015994200023091E-2</c:v>
                </c:pt>
                <c:pt idx="355">
                  <c:v>2.0034775369924041E-2</c:v>
                </c:pt>
                <c:pt idx="356">
                  <c:v>2.0053556179888021E-2</c:v>
                </c:pt>
                <c:pt idx="357">
                  <c:v>2.0072336629922138E-2</c:v>
                </c:pt>
                <c:pt idx="358">
                  <c:v>2.0091116720033164E-2</c:v>
                </c:pt>
                <c:pt idx="359">
                  <c:v>2.0109896450228093E-2</c:v>
                </c:pt>
                <c:pt idx="360">
                  <c:v>2.0128675820513808E-2</c:v>
                </c:pt>
                <c:pt idx="361">
                  <c:v>2.0147454830897082E-2</c:v>
                </c:pt>
                <c:pt idx="362">
                  <c:v>2.0166233481385021E-2</c:v>
                </c:pt>
                <c:pt idx="363">
                  <c:v>2.0185011771984285E-2</c:v>
                </c:pt>
                <c:pt idx="364">
                  <c:v>2.020378970270198E-2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5.1083227577521713E-2</c:v>
                </c:pt>
                <c:pt idx="1">
                  <c:v>5.112588803017995E-2</c:v>
                </c:pt>
                <c:pt idx="2">
                  <c:v>5.1168619231850225E-2</c:v>
                </c:pt>
                <c:pt idx="3">
                  <c:v>5.1211409541308775E-2</c:v>
                </c:pt>
                <c:pt idx="4">
                  <c:v>5.1254248822311471E-2</c:v>
                </c:pt>
                <c:pt idx="5">
                  <c:v>5.1297128400221291E-2</c:v>
                </c:pt>
                <c:pt idx="6">
                  <c:v>5.1340041007061916E-2</c:v>
                </c:pt>
                <c:pt idx="7">
                  <c:v>5.1382980715911929E-2</c:v>
                </c:pt>
                <c:pt idx="8">
                  <c:v>5.1425942865633685E-2</c:v>
                </c:pt>
                <c:pt idx="9">
                  <c:v>5.1468923977000543E-2</c:v>
                </c:pt>
                <c:pt idx="10">
                  <c:v>5.1511921661343774E-2</c:v>
                </c:pt>
                <c:pt idx="11">
                  <c:v>5.1554934522886037E-2</c:v>
                </c:pt>
                <c:pt idx="12">
                  <c:v>5.1597962055963356E-2</c:v>
                </c:pt>
                <c:pt idx="13">
                  <c:v>5.1641004538358383E-2</c:v>
                </c:pt>
                <c:pt idx="14">
                  <c:v>5.1684062921977997E-2</c:v>
                </c:pt>
                <c:pt idx="15">
                  <c:v>5.1727138722105707E-2</c:v>
                </c:pt>
                <c:pt idx="16">
                  <c:v>5.1770233906444647E-2</c:v>
                </c:pt>
                <c:pt idx="17">
                  <c:v>5.1813350785141057E-2</c:v>
                </c:pt>
                <c:pt idx="18">
                  <c:v>5.1856491902941199E-2</c:v>
                </c:pt>
                <c:pt idx="19">
                  <c:v>5.1899659934586111E-2</c:v>
                </c:pt>
                <c:pt idx="20">
                  <c:v>5.1942857584491443E-2</c:v>
                </c:pt>
                <c:pt idx="21">
                  <c:v>5.1986087491691757E-2</c:v>
                </c:pt>
                <c:pt idx="22">
                  <c:v>5.202935214095359E-2</c:v>
                </c:pt>
                <c:pt idx="23">
                  <c:v>5.2072653780878046E-2</c:v>
                </c:pt>
                <c:pt idx="24">
                  <c:v>5.2115994349723867E-2</c:v>
                </c:pt>
                <c:pt idx="25">
                  <c:v>5.2159375409586622E-2</c:v>
                </c:pt>
                <c:pt idx="26">
                  <c:v>5.2202798089469434E-2</c:v>
                </c:pt>
                <c:pt idx="27">
                  <c:v>5.2246263037677473E-2</c:v>
                </c:pt>
                <c:pt idx="28">
                  <c:v>5.2289770383862295E-2</c:v>
                </c:pt>
                <c:pt idx="29">
                  <c:v>5.2333319710935244E-2</c:v>
                </c:pt>
                <c:pt idx="30">
                  <c:v>5.23769100369618E-2</c:v>
                </c:pt>
                <c:pt idx="31">
                  <c:v>5.2420539807042595E-2</c:v>
                </c:pt>
                <c:pt idx="32">
                  <c:v>5.2643307315730074E-2</c:v>
                </c:pt>
                <c:pt idx="33">
                  <c:v>5.2865643721447017E-2</c:v>
                </c:pt>
                <c:pt idx="34">
                  <c:v>5.308754763136915E-2</c:v>
                </c:pt>
                <c:pt idx="35">
                  <c:v>5.3309017083794263E-2</c:v>
                </c:pt>
                <c:pt idx="36">
                  <c:v>5.3530049579151515E-2</c:v>
                </c:pt>
                <c:pt idx="37">
                  <c:v>5.3750642120019301E-2</c:v>
                </c:pt>
                <c:pt idx="38">
                  <c:v>5.397079125968289E-2</c:v>
                </c:pt>
                <c:pt idx="39">
                  <c:v>5.4190493158677584E-2</c:v>
                </c:pt>
                <c:pt idx="40">
                  <c:v>5.4409743648684714E-2</c:v>
                </c:pt>
                <c:pt idx="41">
                  <c:v>5.4628538303077463E-2</c:v>
                </c:pt>
                <c:pt idx="42">
                  <c:v>5.4846872513351214E-2</c:v>
                </c:pt>
                <c:pt idx="43">
                  <c:v>5.506474157062103E-2</c:v>
                </c:pt>
                <c:pt idx="44">
                  <c:v>5.5282140751325426E-2</c:v>
                </c:pt>
                <c:pt idx="45">
                  <c:v>5.5499065406242568E-2</c:v>
                </c:pt>
                <c:pt idx="46">
                  <c:v>5.5715511051902165E-2</c:v>
                </c:pt>
                <c:pt idx="47">
                  <c:v>5.5931473463463395E-2</c:v>
                </c:pt>
                <c:pt idx="48">
                  <c:v>5.6146948768127231E-2</c:v>
                </c:pt>
                <c:pt idx="49">
                  <c:v>5.6361933538158403E-2</c:v>
                </c:pt>
                <c:pt idx="50">
                  <c:v>5.6576424882610478E-2</c:v>
                </c:pt>
                <c:pt idx="51">
                  <c:v>5.6790420536873949E-2</c:v>
                </c:pt>
                <c:pt idx="52">
                  <c:v>5.7003918949203446E-2</c:v>
                </c:pt>
                <c:pt idx="53">
                  <c:v>5.7216919363424448E-2</c:v>
                </c:pt>
                <c:pt idx="54">
                  <c:v>5.7429421897072327E-2</c:v>
                </c:pt>
                <c:pt idx="55">
                  <c:v>5.7641427614275376E-2</c:v>
                </c:pt>
                <c:pt idx="56">
                  <c:v>5.7852938592759362E-2</c:v>
                </c:pt>
                <c:pt idx="57">
                  <c:v>5.8063957984421967E-2</c:v>
                </c:pt>
                <c:pt idx="58">
                  <c:v>5.8274490069000401E-2</c:v>
                </c:pt>
                <c:pt idx="59">
                  <c:v>5.8484540300434727E-2</c:v>
                </c:pt>
                <c:pt idx="60">
                  <c:v>5.869411534561049E-2</c:v>
                </c:pt>
                <c:pt idx="61">
                  <c:v>5.8903223115246817E-2</c:v>
                </c:pt>
                <c:pt idx="62">
                  <c:v>5.9111872786779679E-2</c:v>
                </c:pt>
                <c:pt idx="63">
                  <c:v>5.9320074819172203E-2</c:v>
                </c:pt>
                <c:pt idx="64">
                  <c:v>5.9527840959665429E-2</c:v>
                </c:pt>
                <c:pt idx="65">
                  <c:v>5.9735184242561142E-2</c:v>
                </c:pt>
                <c:pt idx="66">
                  <c:v>5.9942118980203817E-2</c:v>
                </c:pt>
                <c:pt idx="67">
                  <c:v>6.0148660746399463E-2</c:v>
                </c:pt>
                <c:pt idx="68">
                  <c:v>6.0354826352575205E-2</c:v>
                </c:pt>
                <c:pt idx="69">
                  <c:v>6.0560633817043116E-2</c:v>
                </c:pt>
                <c:pt idx="70">
                  <c:v>6.0766102327786085E-2</c:v>
                </c:pt>
                <c:pt idx="71">
                  <c:v>6.0971252199229588E-2</c:v>
                </c:pt>
                <c:pt idx="72">
                  <c:v>6.1176104823502768E-2</c:v>
                </c:pt>
                <c:pt idx="73">
                  <c:v>6.1380682616723851E-2</c:v>
                </c:pt>
                <c:pt idx="74">
                  <c:v>6.1585008960868146E-2</c:v>
                </c:pt>
                <c:pt idx="75">
                  <c:v>6.1789108141792261E-2</c:v>
                </c:pt>
                <c:pt idx="76">
                  <c:v>6.199300528399556E-2</c:v>
                </c:pt>
                <c:pt idx="77">
                  <c:v>6.2196726282698456E-2</c:v>
                </c:pt>
                <c:pt idx="78">
                  <c:v>6.2400297733808376E-2</c:v>
                </c:pt>
                <c:pt idx="79">
                  <c:v>6.2603746862327905E-2</c:v>
                </c:pt>
                <c:pt idx="80">
                  <c:v>6.2807101449735322E-2</c:v>
                </c:pt>
                <c:pt idx="81">
                  <c:v>6.301038976083724E-2</c:v>
                </c:pt>
                <c:pt idx="82">
                  <c:v>6.3213640470556429E-2</c:v>
                </c:pt>
                <c:pt idx="83">
                  <c:v>6.3416882591075016E-2</c:v>
                </c:pt>
                <c:pt idx="84">
                  <c:v>6.3620145399706257E-2</c:v>
                </c:pt>
                <c:pt idx="85">
                  <c:v>6.3823458367816582E-2</c:v>
                </c:pt>
                <c:pt idx="86">
                  <c:v>6.4026851091064887E-2</c:v>
                </c:pt>
                <c:pt idx="87">
                  <c:v>6.4230353221169351E-2</c:v>
                </c:pt>
                <c:pt idx="88">
                  <c:v>6.4433994399353031E-2</c:v>
                </c:pt>
                <c:pt idx="89">
                  <c:v>6.4637804191561343E-2</c:v>
                </c:pt>
                <c:pt idx="90">
                  <c:v>6.4841812025484946E-2</c:v>
                </c:pt>
                <c:pt idx="91">
                  <c:v>6.5046047129365278E-2</c:v>
                </c:pt>
                <c:pt idx="92">
                  <c:v>6.5250538472504185E-2</c:v>
                </c:pt>
                <c:pt idx="93">
                  <c:v>6.5455314707347653E-2</c:v>
                </c:pt>
                <c:pt idx="94">
                  <c:v>6.5660404112965517E-2</c:v>
                </c:pt>
                <c:pt idx="95">
                  <c:v>6.5865834539705626E-2</c:v>
                </c:pt>
                <c:pt idx="96">
                  <c:v>6.6071633354763973E-2</c:v>
                </c:pt>
                <c:pt idx="97">
                  <c:v>6.6277827388379104E-2</c:v>
                </c:pt>
                <c:pt idx="98">
                  <c:v>6.6484442880336156E-2</c:v>
                </c:pt>
                <c:pt idx="99">
                  <c:v>6.6691505426446238E-2</c:v>
                </c:pt>
                <c:pt idx="100">
                  <c:v>6.6899039924657677E-2</c:v>
                </c:pt>
                <c:pt idx="101">
                  <c:v>6.7107070520453199E-2</c:v>
                </c:pt>
                <c:pt idx="102">
                  <c:v>6.7315620551191696E-2</c:v>
                </c:pt>
                <c:pt idx="103">
                  <c:v>6.7524712489068245E-2</c:v>
                </c:pt>
                <c:pt idx="104">
                  <c:v>6.7734367882386501E-2</c:v>
                </c:pt>
                <c:pt idx="105">
                  <c:v>6.7944607294867509E-2</c:v>
                </c:pt>
                <c:pt idx="106">
                  <c:v>6.8155450242756238E-2</c:v>
                </c:pt>
                <c:pt idx="107">
                  <c:v>6.8366915129530928E-2</c:v>
                </c:pt>
                <c:pt idx="108">
                  <c:v>6.8579019178071604E-2</c:v>
                </c:pt>
                <c:pt idx="109">
                  <c:v>6.8791778360201061E-2</c:v>
                </c:pt>
                <c:pt idx="110">
                  <c:v>6.9005207323574222E-2</c:v>
                </c:pt>
                <c:pt idx="111">
                  <c:v>6.9219319315958802E-2</c:v>
                </c:pt>
                <c:pt idx="112">
                  <c:v>6.9434126107021474E-2</c:v>
                </c:pt>
                <c:pt idx="113">
                  <c:v>6.9649637907807482E-2</c:v>
                </c:pt>
                <c:pt idx="114">
                  <c:v>6.9865863288177427E-2</c:v>
                </c:pt>
                <c:pt idx="115">
                  <c:v>7.0082809092542026E-2</c:v>
                </c:pt>
                <c:pt idx="116">
                  <c:v>7.0300480354312092E-2</c:v>
                </c:pt>
                <c:pt idx="117">
                  <c:v>7.0518880209556462E-2</c:v>
                </c:pt>
                <c:pt idx="118">
                  <c:v>7.0738009810433475E-2</c:v>
                </c:pt>
                <c:pt idx="119">
                  <c:v>7.0957868239032218E-2</c:v>
                </c:pt>
                <c:pt idx="120">
                  <c:v>7.1178452422323735E-2</c:v>
                </c:pt>
                <c:pt idx="121">
                  <c:v>7.1399757048983645E-2</c:v>
                </c:pt>
                <c:pt idx="122">
                  <c:v>7.162177448889967E-2</c:v>
                </c:pt>
                <c:pt idx="123">
                  <c:v>7.1844494716225074E-2</c:v>
                </c:pt>
                <c:pt idx="124">
                  <c:v>7.2067905236874924E-2</c:v>
                </c:pt>
                <c:pt idx="125">
                  <c:v>7.2291991021392457E-2</c:v>
                </c:pt>
                <c:pt idx="126">
                  <c:v>7.2516734444130981E-2</c:v>
                </c:pt>
                <c:pt idx="127">
                  <c:v>7.2742115229705334E-2</c:v>
                </c:pt>
                <c:pt idx="128">
                  <c:v>7.2968110407665127E-2</c:v>
                </c:pt>
                <c:pt idx="129">
                  <c:v>7.3194694276328964E-2</c:v>
                </c:pt>
                <c:pt idx="130">
                  <c:v>7.3421838376693152E-2</c:v>
                </c:pt>
                <c:pt idx="131">
                  <c:v>7.3649511477293705E-2</c:v>
                </c:pt>
                <c:pt idx="132">
                  <c:v>7.3877679570851715E-2</c:v>
                </c:pt>
                <c:pt idx="133">
                  <c:v>7.4106305883473736E-2</c:v>
                </c:pt>
                <c:pt idx="134">
                  <c:v>7.433535089710902E-2</c:v>
                </c:pt>
                <c:pt idx="135">
                  <c:v>7.4564772385884631E-2</c:v>
                </c:pt>
                <c:pt idx="136">
                  <c:v>7.4794525466849157E-2</c:v>
                </c:pt>
                <c:pt idx="137">
                  <c:v>7.5024562665556127E-2</c:v>
                </c:pt>
                <c:pt idx="138">
                  <c:v>7.5254833996809281E-2</c:v>
                </c:pt>
                <c:pt idx="139">
                  <c:v>7.5485287060776382E-2</c:v>
                </c:pt>
                <c:pt idx="140">
                  <c:v>7.5715867154555708E-2</c:v>
                </c:pt>
                <c:pt idx="141">
                  <c:v>7.5946517399151203E-2</c:v>
                </c:pt>
                <c:pt idx="142">
                  <c:v>7.6177178881679741E-2</c:v>
                </c:pt>
                <c:pt idx="143">
                  <c:v>7.6407790812499557E-2</c:v>
                </c:pt>
                <c:pt idx="144">
                  <c:v>7.6638290696811356E-2</c:v>
                </c:pt>
                <c:pt idx="145">
                  <c:v>7.686861452014683E-2</c:v>
                </c:pt>
                <c:pt idx="146">
                  <c:v>7.7098696947023163E-2</c:v>
                </c:pt>
                <c:pt idx="147">
                  <c:v>7.7328471531909512E-2</c:v>
                </c:pt>
                <c:pt idx="148">
                  <c:v>7.7557870941521154E-2</c:v>
                </c:pt>
                <c:pt idx="149">
                  <c:v>7.7786827187333915E-2</c:v>
                </c:pt>
                <c:pt idx="150">
                  <c:v>7.8015271867094393E-2</c:v>
                </c:pt>
                <c:pt idx="151">
                  <c:v>7.8243136413992373E-2</c:v>
                </c:pt>
                <c:pt idx="152">
                  <c:v>7.847035235206265E-2</c:v>
                </c:pt>
                <c:pt idx="153">
                  <c:v>7.8696851556294717E-2</c:v>
                </c:pt>
                <c:pt idx="154">
                  <c:v>7.8922566515851833E-2</c:v>
                </c:pt>
                <c:pt idx="155">
                  <c:v>7.9147430598736121E-2</c:v>
                </c:pt>
                <c:pt idx="156">
                  <c:v>7.9371378316186778E-2</c:v>
                </c:pt>
                <c:pt idx="157">
                  <c:v>7.9594345585060788E-2</c:v>
                </c:pt>
                <c:pt idx="158">
                  <c:v>7.9816269986425784E-2</c:v>
                </c:pt>
                <c:pt idx="159">
                  <c:v>8.0037091018587012E-2</c:v>
                </c:pt>
                <c:pt idx="160">
                  <c:v>8.0256750342782318E-2</c:v>
                </c:pt>
                <c:pt idx="161">
                  <c:v>8.0475192019803354E-2</c:v>
                </c:pt>
                <c:pt idx="162">
                  <c:v>8.0692362735843667E-2</c:v>
                </c:pt>
                <c:pt idx="163">
                  <c:v>8.0908212015932124E-2</c:v>
                </c:pt>
                <c:pt idx="164">
                  <c:v>8.1122692423382894E-2</c:v>
                </c:pt>
                <c:pt idx="165">
                  <c:v>8.133575974378103E-2</c:v>
                </c:pt>
                <c:pt idx="166">
                  <c:v>8.1547373152125818E-2</c:v>
                </c:pt>
                <c:pt idx="167">
                  <c:v>8.1757495361868646E-2</c:v>
                </c:pt>
                <c:pt idx="168">
                  <c:v>8.1966092754711978E-2</c:v>
                </c:pt>
                <c:pt idx="169">
                  <c:v>8.2173135490174645E-2</c:v>
                </c:pt>
                <c:pt idx="170">
                  <c:v>8.2378597594079325E-2</c:v>
                </c:pt>
                <c:pt idx="171">
                  <c:v>8.2582457025277306E-2</c:v>
                </c:pt>
                <c:pt idx="172">
                  <c:v>8.2784695720091492E-2</c:v>
                </c:pt>
                <c:pt idx="173">
                  <c:v>8.2985299614131536E-2</c:v>
                </c:pt>
                <c:pt idx="174">
                  <c:v>8.3184258641311903E-2</c:v>
                </c:pt>
                <c:pt idx="175">
                  <c:v>8.3381566710082136E-2</c:v>
                </c:pt>
                <c:pt idx="176">
                  <c:v>8.3577221657060649E-2</c:v>
                </c:pt>
                <c:pt idx="177">
                  <c:v>8.377122517844128E-2</c:v>
                </c:pt>
                <c:pt idx="178">
                  <c:v>8.3963582739720613E-2</c:v>
                </c:pt>
                <c:pt idx="179">
                  <c:v>8.4154303464465952E-2</c:v>
                </c:pt>
                <c:pt idx="180">
                  <c:v>8.4343400003011354E-2</c:v>
                </c:pt>
                <c:pt idx="181">
                  <c:v>8.4530888382128924E-2</c:v>
                </c:pt>
                <c:pt idx="182">
                  <c:v>8.4716787836872642E-2</c:v>
                </c:pt>
                <c:pt idx="183">
                  <c:v>8.4901120625931595E-2</c:v>
                </c:pt>
                <c:pt idx="184">
                  <c:v>8.5083911831958334E-2</c:v>
                </c:pt>
                <c:pt idx="185">
                  <c:v>8.526518914845127E-2</c:v>
                </c:pt>
                <c:pt idx="186">
                  <c:v>8.5444982654870841E-2</c:v>
                </c:pt>
                <c:pt idx="187">
                  <c:v>8.5623324581754021E-2</c:v>
                </c:pt>
                <c:pt idx="188">
                  <c:v>8.5800249067659179E-2</c:v>
                </c:pt>
                <c:pt idx="189">
                  <c:v>8.5975791909825364E-2</c:v>
                </c:pt>
                <c:pt idx="190">
                  <c:v>8.6149990310463442E-2</c:v>
                </c:pt>
                <c:pt idx="191">
                  <c:v>8.6322882620612426E-2</c:v>
                </c:pt>
                <c:pt idx="192">
                  <c:v>8.6494508083492155E-2</c:v>
                </c:pt>
                <c:pt idx="193">
                  <c:v>8.6664906579263234E-2</c:v>
                </c:pt>
                <c:pt idx="194">
                  <c:v>8.6834118373066982E-2</c:v>
                </c:pt>
                <c:pt idx="195">
                  <c:v>8.7002183868162886E-2</c:v>
                </c:pt>
                <c:pt idx="196">
                  <c:v>8.7169143365908253E-2</c:v>
                </c:pt>
                <c:pt idx="197">
                  <c:v>8.733503683423692E-2</c:v>
                </c:pt>
                <c:pt idx="198">
                  <c:v>8.749990368618929E-2</c:v>
                </c:pt>
                <c:pt idx="199">
                  <c:v>8.7663782569929294E-2</c:v>
                </c:pt>
                <c:pt idx="200">
                  <c:v>8.782671117155201E-2</c:v>
                </c:pt>
                <c:pt idx="201">
                  <c:v>8.7988726031844447E-2</c:v>
                </c:pt>
                <c:pt idx="202">
                  <c:v>8.8149862378009272E-2</c:v>
                </c:pt>
                <c:pt idx="203">
                  <c:v>8.8310153971200525E-2</c:v>
                </c:pt>
                <c:pt idx="204">
                  <c:v>8.8469632970553283E-2</c:v>
                </c:pt>
                <c:pt idx="205">
                  <c:v>8.8628329814216561E-2</c:v>
                </c:pt>
                <c:pt idx="206">
                  <c:v>8.8786273117723233E-2</c:v>
                </c:pt>
                <c:pt idx="207">
                  <c:v>8.8943489589854166E-2</c:v>
                </c:pt>
                <c:pt idx="208">
                  <c:v>8.9100003965976934E-2</c:v>
                </c:pt>
                <c:pt idx="209">
                  <c:v>8.925583895866622E-2</c:v>
                </c:pt>
                <c:pt idx="210">
                  <c:v>8.941101522524296E-2</c:v>
                </c:pt>
                <c:pt idx="211">
                  <c:v>8.9565551351706116E-2</c:v>
                </c:pt>
                <c:pt idx="212">
                  <c:v>8.9719463852375253E-2</c:v>
                </c:pt>
                <c:pt idx="213">
                  <c:v>8.987276718441585E-2</c:v>
                </c:pt>
                <c:pt idx="214">
                  <c:v>9.0025473776284157E-2</c:v>
                </c:pt>
                <c:pt idx="215">
                  <c:v>9.017759406900594E-2</c:v>
                </c:pt>
                <c:pt idx="216">
                  <c:v>9.0329136569094207E-2</c:v>
                </c:pt>
                <c:pt idx="217">
                  <c:v>9.0480107911818167E-2</c:v>
                </c:pt>
                <c:pt idx="218">
                  <c:v>9.0630512933455851E-2</c:v>
                </c:pt>
                <c:pt idx="219">
                  <c:v>9.0780354751103964E-2</c:v>
                </c:pt>
                <c:pt idx="220">
                  <c:v>9.0929634848572707E-2</c:v>
                </c:pt>
                <c:pt idx="221">
                  <c:v>9.1078353166869255E-2</c:v>
                </c:pt>
                <c:pt idx="222">
                  <c:v>9.1226508197764011E-2</c:v>
                </c:pt>
                <c:pt idx="223">
                  <c:v>9.1374097078946087E-2</c:v>
                </c:pt>
                <c:pt idx="224">
                  <c:v>9.1521115689301394E-2</c:v>
                </c:pt>
                <c:pt idx="225">
                  <c:v>9.1667558742893868E-2</c:v>
                </c:pt>
                <c:pt idx="226">
                  <c:v>9.1813419880292971E-2</c:v>
                </c:pt>
                <c:pt idx="227">
                  <c:v>9.1958691755971517E-2</c:v>
                </c:pt>
                <c:pt idx="228">
                  <c:v>9.2103366120591307E-2</c:v>
                </c:pt>
                <c:pt idx="229">
                  <c:v>9.2247433897105713E-2</c:v>
                </c:pt>
                <c:pt idx="230">
                  <c:v>9.2390885249729271E-2</c:v>
                </c:pt>
                <c:pt idx="231">
                  <c:v>9.2533709644960299E-2</c:v>
                </c:pt>
                <c:pt idx="232">
                  <c:v>9.2675895903986075E-2</c:v>
                </c:pt>
                <c:pt idx="233">
                  <c:v>9.2817432245953971E-2</c:v>
                </c:pt>
                <c:pt idx="234">
                  <c:v>9.2958306321751019E-2</c:v>
                </c:pt>
                <c:pt idx="235">
                  <c:v>9.3098505238099663E-2</c:v>
                </c:pt>
                <c:pt idx="236">
                  <c:v>9.3238015571944416E-2</c:v>
                </c:pt>
                <c:pt idx="237">
                  <c:v>9.3376823375272727E-2</c:v>
                </c:pt>
                <c:pt idx="238">
                  <c:v>9.3514914170680807E-2</c:v>
                </c:pt>
                <c:pt idx="239">
                  <c:v>9.3652272938158809E-2</c:v>
                </c:pt>
                <c:pt idx="240">
                  <c:v>9.3788884093730013E-2</c:v>
                </c:pt>
                <c:pt idx="241">
                  <c:v>9.3924731460728966E-2</c:v>
                </c:pt>
                <c:pt idx="242">
                  <c:v>9.4059798234648759E-2</c:v>
                </c:pt>
                <c:pt idx="243">
                  <c:v>9.4194066942618643E-2</c:v>
                </c:pt>
                <c:pt idx="244">
                  <c:v>9.4327519398694007E-2</c:v>
                </c:pt>
                <c:pt idx="245">
                  <c:v>9.4460136656246779E-2</c:v>
                </c:pt>
                <c:pt idx="246">
                  <c:v>9.4591898958835241E-2</c:v>
                </c:pt>
                <c:pt idx="247">
                  <c:v>9.4722785691006325E-2</c:v>
                </c:pt>
                <c:pt idx="248">
                  <c:v>9.4852775330540512E-2</c:v>
                </c:pt>
                <c:pt idx="249">
                  <c:v>9.4981845403686427E-2</c:v>
                </c:pt>
                <c:pt idx="250">
                  <c:v>9.510997244495209E-2</c:v>
                </c:pt>
                <c:pt idx="251">
                  <c:v>9.5237131963017904E-2</c:v>
                </c:pt>
                <c:pt idx="252">
                  <c:v>9.536329841431522E-2</c:v>
                </c:pt>
                <c:pt idx="253">
                  <c:v>9.5488445185773513E-2</c:v>
                </c:pt>
                <c:pt idx="254">
                  <c:v>9.5612544588177764E-2</c:v>
                </c:pt>
                <c:pt idx="255">
                  <c:v>9.5735567861496368E-2</c:v>
                </c:pt>
                <c:pt idx="256">
                  <c:v>9.585748519344113E-2</c:v>
                </c:pt>
                <c:pt idx="257">
                  <c:v>9.5978265752401842E-2</c:v>
                </c:pt>
                <c:pt idx="258">
                  <c:v>9.6097877735764045E-2</c:v>
                </c:pt>
                <c:pt idx="259">
                  <c:v>9.6216288434466862E-2</c:v>
                </c:pt>
                <c:pt idx="260">
                  <c:v>9.6333464314493536E-2</c:v>
                </c:pt>
                <c:pt idx="261">
                  <c:v>9.6449371115808008E-2</c:v>
                </c:pt>
                <c:pt idx="262">
                  <c:v>9.656397396906298E-2</c:v>
                </c:pt>
                <c:pt idx="263">
                  <c:v>9.6677237530205545E-2</c:v>
                </c:pt>
                <c:pt idx="264">
                  <c:v>9.6789126132901859E-2</c:v>
                </c:pt>
                <c:pt idx="265">
                  <c:v>9.6899603958491232E-2</c:v>
                </c:pt>
                <c:pt idx="266">
                  <c:v>9.7008635222967252E-2</c:v>
                </c:pt>
                <c:pt idx="267">
                  <c:v>9.7116184380269144E-2</c:v>
                </c:pt>
                <c:pt idx="268">
                  <c:v>9.7222216340955084E-2</c:v>
                </c:pt>
                <c:pt idx="269">
                  <c:v>9.7326696705121243E-2</c:v>
                </c:pt>
                <c:pt idx="270">
                  <c:v>9.7429592008227844E-2</c:v>
                </c:pt>
                <c:pt idx="271">
                  <c:v>9.7530869978301946E-2</c:v>
                </c:pt>
                <c:pt idx="272">
                  <c:v>9.7630499802803389E-2</c:v>
                </c:pt>
                <c:pt idx="273">
                  <c:v>9.772845240327184E-2</c:v>
                </c:pt>
                <c:pt idx="274">
                  <c:v>9.7824700715718721E-2</c:v>
                </c:pt>
                <c:pt idx="275">
                  <c:v>9.7919219974590091E-2</c:v>
                </c:pt>
                <c:pt idx="276">
                  <c:v>9.8011987998008282E-2</c:v>
                </c:pt>
                <c:pt idx="277">
                  <c:v>9.8102985471901272E-2</c:v>
                </c:pt>
                <c:pt idx="278">
                  <c:v>9.8192196230552059E-2</c:v>
                </c:pt>
                <c:pt idx="279">
                  <c:v>9.8279607531045421E-2</c:v>
                </c:pt>
                <c:pt idx="280">
                  <c:v>9.8365210319059135E-2</c:v>
                </c:pt>
                <c:pt idx="281">
                  <c:v>9.8448999483440325E-2</c:v>
                </c:pt>
                <c:pt idx="282">
                  <c:v>9.8530974097025881E-2</c:v>
                </c:pt>
                <c:pt idx="283">
                  <c:v>9.8611137641209407E-2</c:v>
                </c:pt>
                <c:pt idx="284">
                  <c:v>9.8689498211826196E-2</c:v>
                </c:pt>
                <c:pt idx="285">
                  <c:v>9.8766068704020202E-2</c:v>
                </c:pt>
                <c:pt idx="286">
                  <c:v>9.8840866973875577E-2</c:v>
                </c:pt>
                <c:pt idx="287">
                  <c:v>9.8913915974735644E-2</c:v>
                </c:pt>
                <c:pt idx="288">
                  <c:v>9.8985243866296022E-2</c:v>
                </c:pt>
                <c:pt idx="289">
                  <c:v>9.9054884094743709E-2</c:v>
                </c:pt>
                <c:pt idx="290">
                  <c:v>9.9122875442417518E-2</c:v>
                </c:pt>
                <c:pt idx="291">
                  <c:v>9.9189262045689064E-2</c:v>
                </c:pt>
                <c:pt idx="292">
                  <c:v>9.9254093380000769E-2</c:v>
                </c:pt>
                <c:pt idx="293">
                  <c:v>9.9317424211251365E-2</c:v>
                </c:pt>
                <c:pt idx="294">
                  <c:v>9.9379314512983472E-2</c:v>
                </c:pt>
                <c:pt idx="295">
                  <c:v>9.9439829349101838E-2</c:v>
                </c:pt>
                <c:pt idx="296">
                  <c:v>9.9499038722132352E-2</c:v>
                </c:pt>
                <c:pt idx="297">
                  <c:v>9.9557017387317578E-2</c:v>
                </c:pt>
                <c:pt idx="298">
                  <c:v>9.9613844633131415E-2</c:v>
                </c:pt>
                <c:pt idx="299">
                  <c:v>9.9669604029083064E-2</c:v>
                </c:pt>
                <c:pt idx="300">
                  <c:v>9.9724383141962719E-2</c:v>
                </c:pt>
                <c:pt idx="301">
                  <c:v>9.9778273221958105E-2</c:v>
                </c:pt>
                <c:pt idx="302">
                  <c:v>9.9831368860339553E-2</c:v>
                </c:pt>
                <c:pt idx="303">
                  <c:v>9.9883767620667016E-2</c:v>
                </c:pt>
                <c:pt idx="304">
                  <c:v>9.9935569645714997E-2</c:v>
                </c:pt>
                <c:pt idx="305">
                  <c:v>9.9986877242537547E-2</c:v>
                </c:pt>
                <c:pt idx="306">
                  <c:v>0.1000377944483028</c:v>
                </c:pt>
                <c:pt idx="307">
                  <c:v>0.10008842657971359</c:v>
                </c:pt>
                <c:pt idx="308">
                  <c:v>0.10013887976899426</c:v>
                </c:pt>
                <c:pt idx="309">
                  <c:v>0.10018926048956478</c:v>
                </c:pt>
                <c:pt idx="310">
                  <c:v>0.10023967507463659</c:v>
                </c:pt>
                <c:pt idx="311">
                  <c:v>0.10029022923205257</c:v>
                </c:pt>
                <c:pt idx="312">
                  <c:v>0.100341027558753</c:v>
                </c:pt>
                <c:pt idx="313">
                  <c:v>0.1003921730582792</c:v>
                </c:pt>
                <c:pt idx="314">
                  <c:v>0.10044376666473022</c:v>
                </c:pt>
                <c:pt idx="315">
                  <c:v>0.10049590677655766</c:v>
                </c:pt>
                <c:pt idx="316">
                  <c:v>0.10054868880352959</c:v>
                </c:pt>
                <c:pt idx="317">
                  <c:v>0.10060220473010706</c:v>
                </c:pt>
                <c:pt idx="318">
                  <c:v>0.10065654269836391</c:v>
                </c:pt>
                <c:pt idx="319">
                  <c:v>0.10071178661343932</c:v>
                </c:pt>
                <c:pt idx="320">
                  <c:v>0.10076801577434519</c:v>
                </c:pt>
                <c:pt idx="321">
                  <c:v>0.10082530453275967</c:v>
                </c:pt>
                <c:pt idx="322">
                  <c:v>0.1008837219822219</c:v>
                </c:pt>
                <c:pt idx="323">
                  <c:v>0.10094333167990879</c:v>
                </c:pt>
                <c:pt idx="324">
                  <c:v>0.10100419140291871</c:v>
                </c:pt>
                <c:pt idx="325">
                  <c:v>0.10106635294071585</c:v>
                </c:pt>
                <c:pt idx="326">
                  <c:v>0.10112986192510277</c:v>
                </c:pt>
                <c:pt idx="327">
                  <c:v>0.10119475769879117</c:v>
                </c:pt>
                <c:pt idx="328">
                  <c:v>0.10126107322333384</c:v>
                </c:pt>
                <c:pt idx="329">
                  <c:v>0.10132883502686772</c:v>
                </c:pt>
                <c:pt idx="330">
                  <c:v>0.10139806319180131</c:v>
                </c:pt>
                <c:pt idx="331">
                  <c:v>0.10146877138226201</c:v>
                </c:pt>
                <c:pt idx="332">
                  <c:v>0.10154096691080468</c:v>
                </c:pt>
                <c:pt idx="333">
                  <c:v>0.10161465084357153</c:v>
                </c:pt>
                <c:pt idx="334">
                  <c:v>0.10168981814279217</c:v>
                </c:pt>
                <c:pt idx="335">
                  <c:v>0.1017664578452205</c:v>
                </c:pt>
                <c:pt idx="336">
                  <c:v>0.10184455327482717</c:v>
                </c:pt>
                <c:pt idx="337">
                  <c:v>0.10192408228780245</c:v>
                </c:pt>
                <c:pt idx="338">
                  <c:v>0.10200501754768139</c:v>
                </c:pt>
                <c:pt idx="339">
                  <c:v>0.10208732682817657</c:v>
                </c:pt>
                <c:pt idx="340">
                  <c:v>0.10217097334110249</c:v>
                </c:pt>
                <c:pt idx="341">
                  <c:v>0.10225591608659704</c:v>
                </c:pt>
                <c:pt idx="342">
                  <c:v>0.10234211022269107</c:v>
                </c:pt>
                <c:pt idx="343">
                  <c:v>0.10242950745115252</c:v>
                </c:pt>
                <c:pt idx="344">
                  <c:v>0.10251805641643041</c:v>
                </c:pt>
                <c:pt idx="345">
                  <c:v>0.10260770311445598</c:v>
                </c:pt>
                <c:pt idx="346">
                  <c:v>0.10269839130801443</c:v>
                </c:pt>
                <c:pt idx="347">
                  <c:v>0.10279006294539079</c:v>
                </c:pt>
                <c:pt idx="348">
                  <c:v>0.10288265857900811</c:v>
                </c:pt>
                <c:pt idx="349">
                  <c:v>0.10297611778082283</c:v>
                </c:pt>
                <c:pt idx="350">
                  <c:v>0.10307037955131573</c:v>
                </c:pt>
                <c:pt idx="351">
                  <c:v>0.10316538271901728</c:v>
                </c:pt>
                <c:pt idx="352">
                  <c:v>0.10326106632763314</c:v>
                </c:pt>
                <c:pt idx="353">
                  <c:v>0.10335737000798781</c:v>
                </c:pt>
                <c:pt idx="354">
                  <c:v>0.10345423433217855</c:v>
                </c:pt>
                <c:pt idx="355">
                  <c:v>0.10355160114752802</c:v>
                </c:pt>
                <c:pt idx="356">
                  <c:v>0.10364941388813947</c:v>
                </c:pt>
                <c:pt idx="357">
                  <c:v>0.10374761786209112</c:v>
                </c:pt>
                <c:pt idx="358">
                  <c:v>0.10384616051255283</c:v>
                </c:pt>
                <c:pt idx="359">
                  <c:v>0.10394499165136876</c:v>
                </c:pt>
                <c:pt idx="360">
                  <c:v>0.104044063663919</c:v>
                </c:pt>
                <c:pt idx="361">
                  <c:v>0.10414333168434882</c:v>
                </c:pt>
                <c:pt idx="362">
                  <c:v>0.10424275374053669</c:v>
                </c:pt>
                <c:pt idx="363">
                  <c:v>0.10434229086845449</c:v>
                </c:pt>
                <c:pt idx="364">
                  <c:v>0.10444190719585474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'2021'!Pvg</c:f>
              <c:numCache>
                <c:formatCode>0.00%</c:formatCode>
                <c:ptCount val="366"/>
                <c:pt idx="0">
                  <c:v>2.6290009771881681E-4</c:v>
                </c:pt>
                <c:pt idx="1">
                  <c:v>2.5174832559860541E-4</c:v>
                </c:pt>
                <c:pt idx="2">
                  <c:v>2.4073215334857961E-4</c:v>
                </c:pt>
                <c:pt idx="3">
                  <c:v>2.2985937145782618E-4</c:v>
                </c:pt>
                <c:pt idx="4">
                  <c:v>2.1913740352612861E-4</c:v>
                </c:pt>
                <c:pt idx="5">
                  <c:v>2.08573265427084E-4</c:v>
                </c:pt>
                <c:pt idx="6">
                  <c:v>1.9817353000621792E-4</c:v>
                </c:pt>
                <c:pt idx="7">
                  <c:v>1.879442972831248E-4</c:v>
                </c:pt>
                <c:pt idx="8">
                  <c:v>1.778757954140259E-4</c:v>
                </c:pt>
                <c:pt idx="9">
                  <c:v>1.6791766898252255E-4</c:v>
                </c:pt>
                <c:pt idx="10">
                  <c:v>1.5808823443654819E-4</c:v>
                </c:pt>
                <c:pt idx="11">
                  <c:v>1.4840006396806864E-4</c:v>
                </c:pt>
                <c:pt idx="12">
                  <c:v>1.3886398343213673E-4</c:v>
                </c:pt>
                <c:pt idx="13">
                  <c:v>1.2948912806348147E-4</c:v>
                </c:pt>
                <c:pt idx="14">
                  <c:v>1.202830122322232E-4</c:v>
                </c:pt>
                <c:pt idx="15">
                  <c:v>1.1147257845585645E-4</c:v>
                </c:pt>
                <c:pt idx="16">
                  <c:v>1.0297559411043782E-4</c:v>
                </c:pt>
                <c:pt idx="17">
                  <c:v>9.4791332594302449E-5</c:v>
                </c:pt>
                <c:pt idx="18">
                  <c:v>8.6917854561169991E-5</c:v>
                </c:pt>
                <c:pt idx="19">
                  <c:v>7.9352588234724123E-5</c:v>
                </c:pt>
                <c:pt idx="20">
                  <c:v>7.2092039621482189E-5</c:v>
                </c:pt>
                <c:pt idx="21">
                  <c:v>6.5131403404365668E-5</c:v>
                </c:pt>
                <c:pt idx="22">
                  <c:v>5.8457890908993476E-5</c:v>
                </c:pt>
                <c:pt idx="23">
                  <c:v>5.2315492933204925E-5</c:v>
                </c:pt>
                <c:pt idx="24">
                  <c:v>4.673528422257277E-5</c:v>
                </c:pt>
                <c:pt idx="25">
                  <c:v>4.1705539686864257E-5</c:v>
                </c:pt>
                <c:pt idx="26">
                  <c:v>3.7213825045063712E-5</c:v>
                </c:pt>
                <c:pt idx="27">
                  <c:v>3.3247195636739016E-5</c:v>
                </c:pt>
                <c:pt idx="28">
                  <c:v>2.9792378317129901E-5</c:v>
                </c:pt>
                <c:pt idx="29">
                  <c:v>2.6897445039156823E-5</c:v>
                </c:pt>
                <c:pt idx="30">
                  <c:v>2.4356156943729682E-5</c:v>
                </c:pt>
                <c:pt idx="31">
                  <c:v>2.2159040052929339E-5</c:v>
                </c:pt>
                <c:pt idx="32">
                  <c:v>2.029670899172132E-5</c:v>
                </c:pt>
                <c:pt idx="33">
                  <c:v>1.8759946696732584E-5</c:v>
                </c:pt>
                <c:pt idx="34">
                  <c:v>1.7539774412023727E-5</c:v>
                </c:pt>
                <c:pt idx="35">
                  <c:v>1.6627512773544303E-5</c:v>
                </c:pt>
                <c:pt idx="36">
                  <c:v>1.6013382260658735E-5</c:v>
                </c:pt>
                <c:pt idx="37">
                  <c:v>1.5665974980997365E-5</c:v>
                </c:pt>
                <c:pt idx="38">
                  <c:v>1.5358579189116973E-5</c:v>
                </c:pt>
                <c:pt idx="39">
                  <c:v>1.5090400966279549E-5</c:v>
                </c:pt>
                <c:pt idx="40">
                  <c:v>1.4860647058776868E-5</c:v>
                </c:pt>
                <c:pt idx="41">
                  <c:v>1.4668531671773516E-5</c:v>
                </c:pt>
                <c:pt idx="42">
                  <c:v>1.4513282619338663E-5</c:v>
                </c:pt>
                <c:pt idx="43">
                  <c:v>1.4382822268014107E-5</c:v>
                </c:pt>
                <c:pt idx="44">
                  <c:v>1.4223200279189825E-5</c:v>
                </c:pt>
                <c:pt idx="45">
                  <c:v>1.4035361963018871E-5</c:v>
                </c:pt>
                <c:pt idx="46">
                  <c:v>1.3820201693255648E-5</c:v>
                </c:pt>
                <c:pt idx="47">
                  <c:v>1.357856189181938E-5</c:v>
                </c:pt>
                <c:pt idx="48">
                  <c:v>1.3311232203231651E-5</c:v>
                </c:pt>
                <c:pt idx="49">
                  <c:v>1.3018948793410315E-5</c:v>
                </c:pt>
                <c:pt idx="50">
                  <c:v>1.2701999194919734E-5</c:v>
                </c:pt>
                <c:pt idx="51">
                  <c:v>1.2382934662835447E-5</c:v>
                </c:pt>
                <c:pt idx="52">
                  <c:v>1.2081132248443201E-5</c:v>
                </c:pt>
                <c:pt idx="53">
                  <c:v>1.1796057182286463E-5</c:v>
                </c:pt>
                <c:pt idx="54">
                  <c:v>1.1527263431331121E-5</c:v>
                </c:pt>
                <c:pt idx="55">
                  <c:v>1.1274329065786866E-5</c:v>
                </c:pt>
                <c:pt idx="56">
                  <c:v>1.1036854703006708E-5</c:v>
                </c:pt>
                <c:pt idx="57">
                  <c:v>1.0801599770573632E-5</c:v>
                </c:pt>
                <c:pt idx="58">
                  <c:v>1.0578569237198039E-5</c:v>
                </c:pt>
                <c:pt idx="59">
                  <c:v>1.0367480100326699E-5</c:v>
                </c:pt>
                <c:pt idx="60">
                  <c:v>1.0168065223738508E-5</c:v>
                </c:pt>
                <c:pt idx="61">
                  <c:v>9.9800723991929277E-6</c:v>
                </c:pt>
                <c:pt idx="62">
                  <c:v>9.8032634880475706E-6</c:v>
                </c:pt>
                <c:pt idx="63">
                  <c:v>9.6374136397531811E-6</c:v>
                </c:pt>
                <c:pt idx="64">
                  <c:v>9.4821386891012292E-6</c:v>
                </c:pt>
                <c:pt idx="65">
                  <c:v>9.3186922335773253E-6</c:v>
                </c:pt>
                <c:pt idx="66">
                  <c:v>9.1271661254433229E-6</c:v>
                </c:pt>
                <c:pt idx="67">
                  <c:v>8.9082147682821245E-6</c:v>
                </c:pt>
                <c:pt idx="68">
                  <c:v>8.6624589615117461E-6</c:v>
                </c:pt>
                <c:pt idx="69">
                  <c:v>8.3904822786432121E-6</c:v>
                </c:pt>
                <c:pt idx="70">
                  <c:v>8.0928275525979255E-6</c:v>
                </c:pt>
                <c:pt idx="71">
                  <c:v>7.7817600012196965E-6</c:v>
                </c:pt>
                <c:pt idx="72">
                  <c:v>7.4692074716396768E-6</c:v>
                </c:pt>
                <c:pt idx="73">
                  <c:v>7.1551954352948193E-6</c:v>
                </c:pt>
                <c:pt idx="74">
                  <c:v>6.8397269760810343E-6</c:v>
                </c:pt>
                <c:pt idx="75">
                  <c:v>6.5227824184797315E-6</c:v>
                </c:pt>
                <c:pt idx="76">
                  <c:v>6.2043189513780578E-6</c:v>
                </c:pt>
                <c:pt idx="77">
                  <c:v>5.8842702416456268E-6</c:v>
                </c:pt>
                <c:pt idx="78">
                  <c:v>5.5622409949911981E-6</c:v>
                </c:pt>
                <c:pt idx="79">
                  <c:v>5.2439304371902115E-6</c:v>
                </c:pt>
                <c:pt idx="80">
                  <c:v>4.9463463998300498E-6</c:v>
                </c:pt>
                <c:pt idx="81">
                  <c:v>4.6691936313593059E-6</c:v>
                </c:pt>
                <c:pt idx="82">
                  <c:v>4.4121791558545399E-6</c:v>
                </c:pt>
                <c:pt idx="83">
                  <c:v>4.1750160458867236E-6</c:v>
                </c:pt>
                <c:pt idx="84">
                  <c:v>3.9574270501017796E-6</c:v>
                </c:pt>
                <c:pt idx="85">
                  <c:v>3.7557875124696409E-6</c:v>
                </c:pt>
                <c:pt idx="86">
                  <c:v>3.5588079755336265E-6</c:v>
                </c:pt>
                <c:pt idx="87">
                  <c:v>3.3663452905858804E-6</c:v>
                </c:pt>
                <c:pt idx="88">
                  <c:v>3.1782486193982103E-6</c:v>
                </c:pt>
                <c:pt idx="89">
                  <c:v>2.9943601917388624E-6</c:v>
                </c:pt>
                <c:pt idx="90">
                  <c:v>2.8145160046368306E-6</c:v>
                </c:pt>
                <c:pt idx="91">
                  <c:v>2.6385464635150518E-6</c:v>
                </c:pt>
                <c:pt idx="92">
                  <c:v>2.4662071797855283E-6</c:v>
                </c:pt>
                <c:pt idx="93">
                  <c:v>2.3005023225250533E-6</c:v>
                </c:pt>
                <c:pt idx="94">
                  <c:v>2.135409997302512E-6</c:v>
                </c:pt>
                <c:pt idx="95">
                  <c:v>1.9707494642104791E-6</c:v>
                </c:pt>
                <c:pt idx="96">
                  <c:v>1.8063385119029681E-6</c:v>
                </c:pt>
                <c:pt idx="97">
                  <c:v>1.6419933106071475E-6</c:v>
                </c:pt>
                <c:pt idx="98">
                  <c:v>1.4775282826254658E-6</c:v>
                </c:pt>
                <c:pt idx="99">
                  <c:v>1.3191788989098391E-6</c:v>
                </c:pt>
                <c:pt idx="100">
                  <c:v>1.1701856864588418E-6</c:v>
                </c:pt>
                <c:pt idx="101">
                  <c:v>1.0304616930010622E-6</c:v>
                </c:pt>
                <c:pt idx="102">
                  <c:v>8.9994084146354892E-7</c:v>
                </c:pt>
                <c:pt idx="103">
                  <c:v>7.7857818145835864E-7</c:v>
                </c:pt>
                <c:pt idx="104">
                  <c:v>6.6635015949272799E-7</c:v>
                </c:pt>
                <c:pt idx="105">
                  <c:v>5.6325490428954346E-7</c:v>
                </c:pt>
                <c:pt idx="106">
                  <c:v>4.6932356826429524E-7</c:v>
                </c:pt>
                <c:pt idx="107">
                  <c:v>3.8776553794746712E-7</c:v>
                </c:pt>
                <c:pt idx="108">
                  <c:v>3.1526829817300728E-7</c:v>
                </c:pt>
                <c:pt idx="109">
                  <c:v>2.5191175987263633E-7</c:v>
                </c:pt>
                <c:pt idx="110">
                  <c:v>1.9780257841375063E-7</c:v>
                </c:pt>
                <c:pt idx="111">
                  <c:v>1.5307274833378519E-7</c:v>
                </c:pt>
                <c:pt idx="112">
                  <c:v>1.1787917315928821E-7</c:v>
                </c:pt>
                <c:pt idx="113">
                  <c:v>9.2404204231006528E-8</c:v>
                </c:pt>
                <c:pt idx="114">
                  <c:v>6.9870872253252782E-8</c:v>
                </c:pt>
                <c:pt idx="115">
                  <c:v>5.0332620213393073E-8</c:v>
                </c:pt>
                <c:pt idx="116">
                  <c:v>3.3851032986753686E-8</c:v>
                </c:pt>
                <c:pt idx="117">
                  <c:v>2.0495704806275199E-8</c:v>
                </c:pt>
                <c:pt idx="118">
                  <c:v>1.0344087434677495E-8</c:v>
                </c:pt>
                <c:pt idx="119">
                  <c:v>3.4813148201427617E-9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1.1917496236971569E-20</c:v>
                </c:pt>
                <c:pt idx="125">
                  <c:v>0</c:v>
                </c:pt>
                <c:pt idx="126">
                  <c:v>1.2118296531897426E-20</c:v>
                </c:pt>
                <c:pt idx="127">
                  <c:v>1.2222808551248918E-20</c:v>
                </c:pt>
                <c:pt idx="128">
                  <c:v>-1.2329921231475895E-20</c:v>
                </c:pt>
                <c:pt idx="129">
                  <c:v>-1.2439520968745455E-20</c:v>
                </c:pt>
                <c:pt idx="130">
                  <c:v>1.2551487480609722E-20</c:v>
                </c:pt>
                <c:pt idx="131">
                  <c:v>0</c:v>
                </c:pt>
                <c:pt idx="132">
                  <c:v>-1.2782005825439509E-20</c:v>
                </c:pt>
                <c:pt idx="133">
                  <c:v>-1.2900283095774275E-20</c:v>
                </c:pt>
                <c:pt idx="134">
                  <c:v>0</c:v>
                </c:pt>
                <c:pt idx="135">
                  <c:v>0</c:v>
                </c:pt>
                <c:pt idx="136">
                  <c:v>1.326692502046981E-20</c:v>
                </c:pt>
                <c:pt idx="137">
                  <c:v>1.3392794902799644E-20</c:v>
                </c:pt>
                <c:pt idx="138">
                  <c:v>0</c:v>
                </c:pt>
                <c:pt idx="139">
                  <c:v>1.3649188508928938E-20</c:v>
                </c:pt>
                <c:pt idx="140">
                  <c:v>1.3779418004803794E-20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-1.4579306235209561E-20</c:v>
                </c:pt>
                <c:pt idx="147">
                  <c:v>-1.4714150153140091E-20</c:v>
                </c:pt>
                <c:pt idx="148">
                  <c:v>0</c:v>
                </c:pt>
                <c:pt idx="149">
                  <c:v>0</c:v>
                </c:pt>
                <c:pt idx="150">
                  <c:v>1.5118919028189246E-20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1.5653625717230827E-20</c:v>
                </c:pt>
                <c:pt idx="155">
                  <c:v>1.5785288094062871E-20</c:v>
                </c:pt>
                <c:pt idx="156">
                  <c:v>0</c:v>
                </c:pt>
                <c:pt idx="157">
                  <c:v>1.6045048105090494E-20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1.6545981072515534E-20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1.7553004544543876E-20</c:v>
                </c:pt>
                <c:pt idx="171">
                  <c:v>1.7653110497562951E-20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-1.8867016050882214E-20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2.0260065904759956E-20</c:v>
                </c:pt>
                <c:pt idx="219">
                  <c:v>2.0298310050297815E-20</c:v>
                </c:pt>
                <c:pt idx="220">
                  <c:v>0</c:v>
                </c:pt>
                <c:pt idx="221">
                  <c:v>-2.0375725760659744E-20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8.4095171155347998E-9</c:v>
                </c:pt>
                <c:pt idx="226">
                  <c:v>2.5300112660422838E-8</c:v>
                </c:pt>
                <c:pt idx="227">
                  <c:v>5.0742328665114117E-8</c:v>
                </c:pt>
                <c:pt idx="228">
                  <c:v>8.4805503616041248E-8</c:v>
                </c:pt>
                <c:pt idx="229">
                  <c:v>1.2755756857574767E-7</c:v>
                </c:pt>
                <c:pt idx="230">
                  <c:v>1.7906482475338445E-7</c:v>
                </c:pt>
                <c:pt idx="231">
                  <c:v>2.3939170341661481E-7</c:v>
                </c:pt>
                <c:pt idx="232">
                  <c:v>3.0859683666917578E-7</c:v>
                </c:pt>
                <c:pt idx="233">
                  <c:v>4.0480297037970306E-7</c:v>
                </c:pt>
                <c:pt idx="234">
                  <c:v>5.2820323647648151E-7</c:v>
                </c:pt>
                <c:pt idx="235">
                  <c:v>6.7898683170267721E-7</c:v>
                </c:pt>
                <c:pt idx="236">
                  <c:v>8.5734110972289759E-7</c:v>
                </c:pt>
                <c:pt idx="237">
                  <c:v>1.0634529214602401E-6</c:v>
                </c:pt>
                <c:pt idx="238">
                  <c:v>1.2975108539174292E-6</c:v>
                </c:pt>
                <c:pt idx="239">
                  <c:v>1.569169970028404E-6</c:v>
                </c:pt>
                <c:pt idx="240">
                  <c:v>1.8699550995172264E-6</c:v>
                </c:pt>
                <c:pt idx="241">
                  <c:v>2.2000779115244357E-6</c:v>
                </c:pt>
                <c:pt idx="242">
                  <c:v>2.559760331176062E-6</c:v>
                </c:pt>
                <c:pt idx="243">
                  <c:v>2.9492367271328292E-6</c:v>
                </c:pt>
                <c:pt idx="244">
                  <c:v>3.3687561362926473E-6</c:v>
                </c:pt>
                <c:pt idx="245">
                  <c:v>3.8185845286773256E-6</c:v>
                </c:pt>
                <c:pt idx="246">
                  <c:v>4.2988648962915396E-6</c:v>
                </c:pt>
                <c:pt idx="247">
                  <c:v>4.7999993910836536E-6</c:v>
                </c:pt>
                <c:pt idx="248">
                  <c:v>5.3033899291962534E-6</c:v>
                </c:pt>
                <c:pt idx="249">
                  <c:v>5.8090437447140666E-6</c:v>
                </c:pt>
                <c:pt idx="250">
                  <c:v>6.3169769342320059E-6</c:v>
                </c:pt>
                <c:pt idx="251">
                  <c:v>6.8272144243780573E-6</c:v>
                </c:pt>
                <c:pt idx="252">
                  <c:v>7.339789944994185E-6</c:v>
                </c:pt>
                <c:pt idx="253">
                  <c:v>7.8723541868023594E-6</c:v>
                </c:pt>
                <c:pt idx="254">
                  <c:v>8.415276310092443E-6</c:v>
                </c:pt>
                <c:pt idx="255">
                  <c:v>8.9686738585920879E-6</c:v>
                </c:pt>
                <c:pt idx="256">
                  <c:v>9.5326746376587676E-6</c:v>
                </c:pt>
                <c:pt idx="257">
                  <c:v>1.0107417177314618E-5</c:v>
                </c:pt>
                <c:pt idx="258">
                  <c:v>1.0693051253306623E-5</c:v>
                </c:pt>
                <c:pt idx="259">
                  <c:v>1.1289738482115784E-5</c:v>
                </c:pt>
                <c:pt idx="260">
                  <c:v>1.1897519004797376E-5</c:v>
                </c:pt>
                <c:pt idx="261">
                  <c:v>1.2548826765554619E-5</c:v>
                </c:pt>
                <c:pt idx="262">
                  <c:v>1.3253980216601718E-5</c:v>
                </c:pt>
                <c:pt idx="263">
                  <c:v>1.4013319495633179E-5</c:v>
                </c:pt>
                <c:pt idx="264">
                  <c:v>1.4827172581359177E-5</c:v>
                </c:pt>
                <c:pt idx="265">
                  <c:v>1.5695936072030291E-5</c:v>
                </c:pt>
                <c:pt idx="266">
                  <c:v>1.6619964387904344E-5</c:v>
                </c:pt>
                <c:pt idx="267">
                  <c:v>1.754810693146847E-5</c:v>
                </c:pt>
                <c:pt idx="268">
                  <c:v>1.8461953288116101E-5</c:v>
                </c:pt>
                <c:pt idx="269">
                  <c:v>1.936120914572523E-5</c:v>
                </c:pt>
                <c:pt idx="270">
                  <c:v>2.0245558765817009E-5</c:v>
                </c:pt>
                <c:pt idx="271">
                  <c:v>2.1114666436673087E-5</c:v>
                </c:pt>
                <c:pt idx="272">
                  <c:v>2.1968178107686511E-5</c:v>
                </c:pt>
                <c:pt idx="273">
                  <c:v>2.2805723202122455E-5</c:v>
                </c:pt>
                <c:pt idx="274">
                  <c:v>2.3627283492083625E-5</c:v>
                </c:pt>
                <c:pt idx="275">
                  <c:v>2.4402232043313812E-5</c:v>
                </c:pt>
                <c:pt idx="276">
                  <c:v>2.509631791948767E-5</c:v>
                </c:pt>
                <c:pt idx="277">
                  <c:v>2.5708737199855921E-5</c:v>
                </c:pt>
                <c:pt idx="278">
                  <c:v>2.6238691602638882E-5</c:v>
                </c:pt>
                <c:pt idx="279">
                  <c:v>2.668539596835331E-5</c:v>
                </c:pt>
                <c:pt idx="280">
                  <c:v>2.7048085684065487E-5</c:v>
                </c:pt>
                <c:pt idx="281">
                  <c:v>2.7383666982912631E-5</c:v>
                </c:pt>
                <c:pt idx="282">
                  <c:v>2.7744894709713853E-5</c:v>
                </c:pt>
                <c:pt idx="283">
                  <c:v>2.8131664406083128E-5</c:v>
                </c:pt>
                <c:pt idx="284">
                  <c:v>2.8543859217706283E-5</c:v>
                </c:pt>
                <c:pt idx="285">
                  <c:v>2.8981349853393413E-5</c:v>
                </c:pt>
                <c:pt idx="286">
                  <c:v>2.9443994744143877E-5</c:v>
                </c:pt>
                <c:pt idx="287">
                  <c:v>2.9931640413614746E-5</c:v>
                </c:pt>
                <c:pt idx="288">
                  <c:v>3.0446320181497793E-5</c:v>
                </c:pt>
                <c:pt idx="289">
                  <c:v>3.0959074102200294E-5</c:v>
                </c:pt>
                <c:pt idx="290">
                  <c:v>3.1500604054392863E-5</c:v>
                </c:pt>
                <c:pt idx="291">
                  <c:v>3.2070281861570755E-5</c:v>
                </c:pt>
                <c:pt idx="292">
                  <c:v>3.2667420731468596E-5</c:v>
                </c:pt>
                <c:pt idx="293">
                  <c:v>3.3291267247994375E-5</c:v>
                </c:pt>
                <c:pt idx="294">
                  <c:v>3.3940993379263813E-5</c:v>
                </c:pt>
                <c:pt idx="295">
                  <c:v>3.4568185255481289E-5</c:v>
                </c:pt>
                <c:pt idx="296">
                  <c:v>3.5113372638754036E-5</c:v>
                </c:pt>
                <c:pt idx="297">
                  <c:v>3.5575601774648203E-5</c:v>
                </c:pt>
                <c:pt idx="298">
                  <c:v>3.5953649124457934E-5</c:v>
                </c:pt>
                <c:pt idx="299">
                  <c:v>3.6246321319301358E-5</c:v>
                </c:pt>
                <c:pt idx="300">
                  <c:v>3.6452475094831412E-5</c:v>
                </c:pt>
                <c:pt idx="301">
                  <c:v>3.6571038080972633E-5</c:v>
                </c:pt>
                <c:pt idx="302">
                  <c:v>3.6604325301653809E-5</c:v>
                </c:pt>
                <c:pt idx="303">
                  <c:v>3.6702104808761044E-5</c:v>
                </c:pt>
                <c:pt idx="304">
                  <c:v>3.689540824426083E-5</c:v>
                </c:pt>
                <c:pt idx="305">
                  <c:v>3.7184213984679458E-5</c:v>
                </c:pt>
                <c:pt idx="306">
                  <c:v>3.7568472194580986E-5</c:v>
                </c:pt>
                <c:pt idx="307">
                  <c:v>3.8048109711201094E-5</c:v>
                </c:pt>
                <c:pt idx="308">
                  <c:v>3.8623035277298551E-5</c:v>
                </c:pt>
                <c:pt idx="309">
                  <c:v>3.9880957847221689E-5</c:v>
                </c:pt>
                <c:pt idx="310">
                  <c:v>4.1867347454413484E-5</c:v>
                </c:pt>
                <c:pt idx="311">
                  <c:v>4.4580060847303762E-5</c:v>
                </c:pt>
                <c:pt idx="312">
                  <c:v>4.8016827995529205E-5</c:v>
                </c:pt>
                <c:pt idx="313">
                  <c:v>5.2175306095302555E-5</c:v>
                </c:pt>
                <c:pt idx="314">
                  <c:v>5.7053132748239048E-5</c:v>
                </c:pt>
                <c:pt idx="315">
                  <c:v>6.2647977060173896E-5</c:v>
                </c:pt>
                <c:pt idx="316">
                  <c:v>6.8962987665686115E-5</c:v>
                </c:pt>
                <c:pt idx="317">
                  <c:v>7.6445265212694244E-5</c:v>
                </c:pt>
                <c:pt idx="318">
                  <c:v>8.4949080174664382E-5</c:v>
                </c:pt>
                <c:pt idx="319">
                  <c:v>9.4474026777766789E-5</c:v>
                </c:pt>
                <c:pt idx="320">
                  <c:v>1.0501979443916528E-4</c:v>
                </c:pt>
                <c:pt idx="321">
                  <c:v>1.1658594283603737E-4</c:v>
                </c:pt>
                <c:pt idx="322">
                  <c:v>1.2917164966426057E-4</c:v>
                </c:pt>
                <c:pt idx="323">
                  <c:v>1.4259277324574091E-4</c:v>
                </c:pt>
                <c:pt idx="324">
                  <c:v>1.5626631992777664E-4</c:v>
                </c:pt>
                <c:pt idx="325">
                  <c:v>1.7018929215408091E-4</c:v>
                </c:pt>
                <c:pt idx="326">
                  <c:v>1.8435596493380794E-4</c:v>
                </c:pt>
                <c:pt idx="327">
                  <c:v>1.9875930398822303E-4</c:v>
                </c:pt>
                <c:pt idx="328">
                  <c:v>2.1339126585565019E-4</c:v>
                </c:pt>
                <c:pt idx="329">
                  <c:v>2.282418066371936E-4</c:v>
                </c:pt>
                <c:pt idx="330">
                  <c:v>2.4332399759117881E-4</c:v>
                </c:pt>
                <c:pt idx="331">
                  <c:v>2.5874910354851179E-4</c:v>
                </c:pt>
                <c:pt idx="332">
                  <c:v>2.7407836593458632E-4</c:v>
                </c:pt>
                <c:pt idx="333">
                  <c:v>2.8931209138399337E-4</c:v>
                </c:pt>
                <c:pt idx="334">
                  <c:v>3.0444963719990274E-4</c:v>
                </c:pt>
                <c:pt idx="335">
                  <c:v>3.1948931625262489E-4</c:v>
                </c:pt>
                <c:pt idx="336">
                  <c:v>3.3442831087791917E-4</c:v>
                </c:pt>
                <c:pt idx="337">
                  <c:v>3.4926761749579826E-4</c:v>
                </c:pt>
                <c:pt idx="338">
                  <c:v>3.6418334609860715E-4</c:v>
                </c:pt>
                <c:pt idx="339">
                  <c:v>3.7916862757079545E-4</c:v>
                </c:pt>
                <c:pt idx="340">
                  <c:v>3.9421518181550509E-4</c:v>
                </c:pt>
                <c:pt idx="341">
                  <c:v>4.0931326538526836E-4</c:v>
                </c:pt>
                <c:pt idx="342">
                  <c:v>4.2445163391469808E-4</c:v>
                </c:pt>
                <c:pt idx="343">
                  <c:v>4.3961752170515532E-4</c:v>
                </c:pt>
                <c:pt idx="344">
                  <c:v>4.5482045725797171E-4</c:v>
                </c:pt>
                <c:pt idx="345">
                  <c:v>4.7007212363392616E-4</c:v>
                </c:pt>
                <c:pt idx="346">
                  <c:v>4.8422721855073079E-4</c:v>
                </c:pt>
                <c:pt idx="347">
                  <c:v>4.9727599882994067E-4</c:v>
                </c:pt>
                <c:pt idx="348">
                  <c:v>5.0920798304248901E-4</c:v>
                </c:pt>
                <c:pt idx="349">
                  <c:v>5.2001223180473657E-4</c:v>
                </c:pt>
                <c:pt idx="350">
                  <c:v>5.2967764387797675E-4</c:v>
                </c:pt>
                <c:pt idx="351">
                  <c:v>5.3715532006566949E-4</c:v>
                </c:pt>
                <c:pt idx="352">
                  <c:v>5.4243524393863586E-4</c:v>
                </c:pt>
                <c:pt idx="353">
                  <c:v>5.4551441026401718E-4</c:v>
                </c:pt>
                <c:pt idx="354">
                  <c:v>5.4639235490740179E-4</c:v>
                </c:pt>
                <c:pt idx="355">
                  <c:v>5.450716379861697E-4</c:v>
                </c:pt>
                <c:pt idx="356">
                  <c:v>5.415559315179847E-4</c:v>
                </c:pt>
                <c:pt idx="357">
                  <c:v>5.3585686184111977E-4</c:v>
                </c:pt>
                <c:pt idx="358">
                  <c:v>5.2799118387305774E-4</c:v>
                </c:pt>
                <c:pt idx="359">
                  <c:v>5.179864141104366E-4</c:v>
                </c:pt>
                <c:pt idx="360">
                  <c:v>5.0587713915254144E-4</c:v>
                </c:pt>
                <c:pt idx="361">
                  <c:v>4.9270544261075867E-4</c:v>
                </c:pt>
                <c:pt idx="362">
                  <c:v>4.784952201805395E-4</c:v>
                </c:pt>
                <c:pt idx="363">
                  <c:v>4.6327228594489025E-4</c:v>
                </c:pt>
                <c:pt idx="364">
                  <c:v>4.4706422857950873E-4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1952"/>
        <c:axId val="201612344"/>
      </c:lineChart>
      <c:dateAx>
        <c:axId val="2016119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1612344"/>
        <c:crosses val="autoZero"/>
        <c:auto val="1"/>
        <c:lblOffset val="100"/>
        <c:baseTimeUnit val="days"/>
        <c:majorUnit val="1"/>
        <c:majorTimeUnit val="months"/>
      </c:dateAx>
      <c:valAx>
        <c:axId val="20161234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16119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26.759606332036284</c:v>
                </c:pt>
                <c:pt idx="1">
                  <c:v>26.898786840785846</c:v>
                </c:pt>
                <c:pt idx="2">
                  <c:v>27.047410710635575</c:v>
                </c:pt>
                <c:pt idx="3">
                  <c:v>27.205276658475373</c:v>
                </c:pt>
                <c:pt idx="4">
                  <c:v>27.372183397844232</c:v>
                </c:pt>
                <c:pt idx="5">
                  <c:v>27.547929648303992</c:v>
                </c:pt>
                <c:pt idx="6">
                  <c:v>27.732314131437068</c:v>
                </c:pt>
                <c:pt idx="7">
                  <c:v>27.925135579226858</c:v>
                </c:pt>
                <c:pt idx="8">
                  <c:v>28.128624304345582</c:v>
                </c:pt>
                <c:pt idx="9">
                  <c:v>28.344560304664327</c:v>
                </c:pt>
                <c:pt idx="10">
                  <c:v>28.572064868998343</c:v>
                </c:pt>
                <c:pt idx="11">
                  <c:v>28.810259610511213</c:v>
                </c:pt>
                <c:pt idx="12">
                  <c:v>29.058266317750267</c:v>
                </c:pt>
                <c:pt idx="13">
                  <c:v>29.315206993867641</c:v>
                </c:pt>
                <c:pt idx="14">
                  <c:v>29.580203829878236</c:v>
                </c:pt>
                <c:pt idx="15">
                  <c:v>29.852372633290241</c:v>
                </c:pt>
                <c:pt idx="16">
                  <c:v>30.130838437270135</c:v>
                </c:pt>
                <c:pt idx="17">
                  <c:v>30.414724066997511</c:v>
                </c:pt>
                <c:pt idx="18">
                  <c:v>30.703152549548872</c:v>
                </c:pt>
                <c:pt idx="19">
                  <c:v>30.995247126235618</c:v>
                </c:pt>
                <c:pt idx="20">
                  <c:v>31.290131250806386</c:v>
                </c:pt>
                <c:pt idx="21">
                  <c:v>31.586928619510207</c:v>
                </c:pt>
                <c:pt idx="22">
                  <c:v>31.888697268841529</c:v>
                </c:pt>
                <c:pt idx="23">
                  <c:v>32.198533012378213</c:v>
                </c:pt>
                <c:pt idx="24">
                  <c:v>32.515627504123884</c:v>
                </c:pt>
                <c:pt idx="25">
                  <c:v>32.839173936734412</c:v>
                </c:pt>
                <c:pt idx="26">
                  <c:v>33.1683657246001</c:v>
                </c:pt>
                <c:pt idx="27">
                  <c:v>33.50239650633435</c:v>
                </c:pt>
                <c:pt idx="28">
                  <c:v>33.840460143141897</c:v>
                </c:pt>
                <c:pt idx="29">
                  <c:v>34.181748621944081</c:v>
                </c:pt>
                <c:pt idx="30">
                  <c:v>34.52546285373073</c:v>
                </c:pt>
                <c:pt idx="31">
                  <c:v>34.870797387160046</c:v>
                </c:pt>
                <c:pt idx="32">
                  <c:v>35.210290400091878</c:v>
                </c:pt>
                <c:pt idx="33">
                  <c:v>35.549679510664504</c:v>
                </c:pt>
                <c:pt idx="34">
                  <c:v>35.88816083925164</c:v>
                </c:pt>
                <c:pt idx="35">
                  <c:v>36.224931344423837</c:v>
                </c:pt>
                <c:pt idx="36">
                  <c:v>36.562505162909076</c:v>
                </c:pt>
                <c:pt idx="37">
                  <c:v>36.903528691718854</c:v>
                </c:pt>
                <c:pt idx="38">
                  <c:v>37.247405342665921</c:v>
                </c:pt>
                <c:pt idx="39">
                  <c:v>37.593530980043084</c:v>
                </c:pt>
                <c:pt idx="40">
                  <c:v>37.94130210109109</c:v>
                </c:pt>
                <c:pt idx="41">
                  <c:v>38.290115830088183</c:v>
                </c:pt>
                <c:pt idx="42">
                  <c:v>38.639369912739127</c:v>
                </c:pt>
                <c:pt idx="43">
                  <c:v>38.988463152284282</c:v>
                </c:pt>
                <c:pt idx="44">
                  <c:v>39.336796625378518</c:v>
                </c:pt>
                <c:pt idx="45">
                  <c:v>39.683769907248582</c:v>
                </c:pt>
                <c:pt idx="46">
                  <c:v>40.028783168909804</c:v>
                </c:pt>
                <c:pt idx="47">
                  <c:v>40.371237170662702</c:v>
                </c:pt>
                <c:pt idx="48">
                  <c:v>40.710533251647846</c:v>
                </c:pt>
                <c:pt idx="49">
                  <c:v>41.046073325218913</c:v>
                </c:pt>
                <c:pt idx="50">
                  <c:v>41.378545062744692</c:v>
                </c:pt>
                <c:pt idx="51">
                  <c:v>41.709101721095635</c:v>
                </c:pt>
                <c:pt idx="52">
                  <c:v>42.037844500562663</c:v>
                </c:pt>
                <c:pt idx="53">
                  <c:v>42.364875282955076</c:v>
                </c:pt>
                <c:pt idx="54">
                  <c:v>42.690295804213655</c:v>
                </c:pt>
                <c:pt idx="55">
                  <c:v>43.014207655086011</c:v>
                </c:pt>
                <c:pt idx="56">
                  <c:v>43.336712274991953</c:v>
                </c:pt>
                <c:pt idx="57">
                  <c:v>43.65791151154022</c:v>
                </c:pt>
                <c:pt idx="58">
                  <c:v>43.977906046842634</c:v>
                </c:pt>
                <c:pt idx="59">
                  <c:v>44.296796846558578</c:v>
                </c:pt>
                <c:pt idx="60">
                  <c:v>44.614684709634922</c:v>
                </c:pt>
                <c:pt idx="61">
                  <c:v>44.93167026726185</c:v>
                </c:pt>
                <c:pt idx="62">
                  <c:v>45.247853979445395</c:v>
                </c:pt>
                <c:pt idx="63">
                  <c:v>45.563336133104478</c:v>
                </c:pt>
                <c:pt idx="64">
                  <c:v>45.879048547150347</c:v>
                </c:pt>
                <c:pt idx="65">
                  <c:v>46.195523796674131</c:v>
                </c:pt>
                <c:pt idx="66">
                  <c:v>46.512263128876057</c:v>
                </c:pt>
                <c:pt idx="67">
                  <c:v>46.82876725102664</c:v>
                </c:pt>
                <c:pt idx="68">
                  <c:v>47.144537262292509</c:v>
                </c:pt>
                <c:pt idx="69">
                  <c:v>47.45907465339657</c:v>
                </c:pt>
                <c:pt idx="70">
                  <c:v>47.771881303683571</c:v>
                </c:pt>
                <c:pt idx="71">
                  <c:v>48.082458914259909</c:v>
                </c:pt>
                <c:pt idx="72">
                  <c:v>48.390309572261607</c:v>
                </c:pt>
                <c:pt idx="73">
                  <c:v>48.69493631558931</c:v>
                </c:pt>
                <c:pt idx="74">
                  <c:v>48.995842567817959</c:v>
                </c:pt>
                <c:pt idx="75">
                  <c:v>49.292532142424776</c:v>
                </c:pt>
                <c:pt idx="76">
                  <c:v>49.584509240125499</c:v>
                </c:pt>
                <c:pt idx="77">
                  <c:v>49.871278454893314</c:v>
                </c:pt>
                <c:pt idx="78">
                  <c:v>50.155096871792594</c:v>
                </c:pt>
                <c:pt idx="79">
                  <c:v>50.438086472284347</c:v>
                </c:pt>
                <c:pt idx="80">
                  <c:v>50.71954952049677</c:v>
                </c:pt>
                <c:pt idx="81">
                  <c:v>50.998789738403232</c:v>
                </c:pt>
                <c:pt idx="82">
                  <c:v>51.275111447069911</c:v>
                </c:pt>
                <c:pt idx="83">
                  <c:v>51.547819569730564</c:v>
                </c:pt>
                <c:pt idx="84">
                  <c:v>51.816219635200554</c:v>
                </c:pt>
                <c:pt idx="85">
                  <c:v>52.079617958840245</c:v>
                </c:pt>
                <c:pt idx="86">
                  <c:v>52.337321877308739</c:v>
                </c:pt>
                <c:pt idx="87">
                  <c:v>52.588638774621252</c:v>
                </c:pt>
                <c:pt idx="88">
                  <c:v>52.832876663711822</c:v>
                </c:pt>
                <c:pt idx="89">
                  <c:v>53.06934419177022</c:v>
                </c:pt>
                <c:pt idx="90">
                  <c:v>53.297350651701208</c:v>
                </c:pt>
                <c:pt idx="91">
                  <c:v>53.51620598390123</c:v>
                </c:pt>
                <c:pt idx="92">
                  <c:v>53.726740999953172</c:v>
                </c:pt>
                <c:pt idx="93">
                  <c:v>53.930314200462625</c:v>
                </c:pt>
                <c:pt idx="94">
                  <c:v>54.127028059346898</c:v>
                </c:pt>
                <c:pt idx="95">
                  <c:v>54.316984657866413</c:v>
                </c:pt>
                <c:pt idx="96">
                  <c:v>54.500285999368174</c:v>
                </c:pt>
                <c:pt idx="97">
                  <c:v>54.677034018631574</c:v>
                </c:pt>
                <c:pt idx="98">
                  <c:v>54.84733058204413</c:v>
                </c:pt>
                <c:pt idx="99">
                  <c:v>55.011277142031176</c:v>
                </c:pt>
                <c:pt idx="100">
                  <c:v>55.168975255611088</c:v>
                </c:pt>
                <c:pt idx="101">
                  <c:v>55.320526613788914</c:v>
                </c:pt>
                <c:pt idx="102">
                  <c:v>55.466032856812745</c:v>
                </c:pt>
                <c:pt idx="103">
                  <c:v>55.605595588156817</c:v>
                </c:pt>
                <c:pt idx="104">
                  <c:v>55.739316369858479</c:v>
                </c:pt>
                <c:pt idx="105">
                  <c:v>55.867296736864056</c:v>
                </c:pt>
                <c:pt idx="106">
                  <c:v>55.988320731004116</c:v>
                </c:pt>
                <c:pt idx="107">
                  <c:v>56.101436920294503</c:v>
                </c:pt>
                <c:pt idx="108">
                  <c:v>56.207143765629525</c:v>
                </c:pt>
                <c:pt idx="109">
                  <c:v>56.30593914830807</c:v>
                </c:pt>
                <c:pt idx="110">
                  <c:v>56.398320558915586</c:v>
                </c:pt>
                <c:pt idx="111">
                  <c:v>56.484785104991921</c:v>
                </c:pt>
                <c:pt idx="112">
                  <c:v>56.565829511045152</c:v>
                </c:pt>
                <c:pt idx="113">
                  <c:v>56.641950119509481</c:v>
                </c:pt>
                <c:pt idx="114">
                  <c:v>56.713643291984297</c:v>
                </c:pt>
                <c:pt idx="115">
                  <c:v>56.781404632557816</c:v>
                </c:pt>
                <c:pt idx="116">
                  <c:v>56.845729371473205</c:v>
                </c:pt>
                <c:pt idx="117">
                  <c:v>56.90711237116502</c:v>
                </c:pt>
                <c:pt idx="118">
                  <c:v>56.966048127141022</c:v>
                </c:pt>
                <c:pt idx="119">
                  <c:v>57.023030773930202</c:v>
                </c:pt>
                <c:pt idx="120">
                  <c:v>57.076896618643083</c:v>
                </c:pt>
                <c:pt idx="121">
                  <c:v>57.126286447557462</c:v>
                </c:pt>
                <c:pt idx="122">
                  <c:v>57.171401005814857</c:v>
                </c:pt>
                <c:pt idx="123">
                  <c:v>57.212440802262925</c:v>
                </c:pt>
                <c:pt idx="124">
                  <c:v>57.249606318330471</c:v>
                </c:pt>
                <c:pt idx="125">
                  <c:v>57.283098007366192</c:v>
                </c:pt>
                <c:pt idx="126">
                  <c:v>57.313116293809806</c:v>
                </c:pt>
                <c:pt idx="127">
                  <c:v>57.339861582735878</c:v>
                </c:pt>
                <c:pt idx="128">
                  <c:v>57.363534254357219</c:v>
                </c:pt>
                <c:pt idx="129">
                  <c:v>57.384334666043095</c:v>
                </c:pt>
                <c:pt idx="130">
                  <c:v>57.402463156796784</c:v>
                </c:pt>
                <c:pt idx="131">
                  <c:v>57.418120041193461</c:v>
                </c:pt>
                <c:pt idx="132">
                  <c:v>57.431505611315288</c:v>
                </c:pt>
                <c:pt idx="133">
                  <c:v>57.442820133907979</c:v>
                </c:pt>
                <c:pt idx="134">
                  <c:v>57.451560783504128</c:v>
                </c:pt>
                <c:pt idx="135">
                  <c:v>57.457160070243901</c:v>
                </c:pt>
                <c:pt idx="136">
                  <c:v>57.459721296307492</c:v>
                </c:pt>
                <c:pt idx="137">
                  <c:v>57.459347828998496</c:v>
                </c:pt>
                <c:pt idx="138">
                  <c:v>57.456143096406031</c:v>
                </c:pt>
                <c:pt idx="139">
                  <c:v>57.450210575694477</c:v>
                </c:pt>
                <c:pt idx="140">
                  <c:v>57.441653789965592</c:v>
                </c:pt>
                <c:pt idx="141">
                  <c:v>57.430576294287825</c:v>
                </c:pt>
                <c:pt idx="142">
                  <c:v>57.417081668691964</c:v>
                </c:pt>
                <c:pt idx="143">
                  <c:v>57.401273503643594</c:v>
                </c:pt>
                <c:pt idx="144">
                  <c:v>57.383255389072325</c:v>
                </c:pt>
                <c:pt idx="145">
                  <c:v>57.36313090371489</c:v>
                </c:pt>
                <c:pt idx="146">
                  <c:v>57.341003597702418</c:v>
                </c:pt>
                <c:pt idx="147">
                  <c:v>57.316976979462666</c:v>
                </c:pt>
                <c:pt idx="148">
                  <c:v>57.29069841080139</c:v>
                </c:pt>
                <c:pt idx="149">
                  <c:v>57.261815667164576</c:v>
                </c:pt>
                <c:pt idx="150">
                  <c:v>57.230432772415149</c:v>
                </c:pt>
                <c:pt idx="151">
                  <c:v>57.196653641304209</c:v>
                </c:pt>
                <c:pt idx="152">
                  <c:v>57.160582064017092</c:v>
                </c:pt>
                <c:pt idx="153">
                  <c:v>57.1223216904597</c:v>
                </c:pt>
                <c:pt idx="154">
                  <c:v>57.08197600967241</c:v>
                </c:pt>
                <c:pt idx="155">
                  <c:v>57.039648335680788</c:v>
                </c:pt>
                <c:pt idx="156">
                  <c:v>56.995441788176421</c:v>
                </c:pt>
                <c:pt idx="157">
                  <c:v>56.949459277984282</c:v>
                </c:pt>
                <c:pt idx="158">
                  <c:v>56.901803490705149</c:v>
                </c:pt>
                <c:pt idx="159">
                  <c:v>56.852576870602022</c:v>
                </c:pt>
                <c:pt idx="160">
                  <c:v>56.801881603855463</c:v>
                </c:pt>
                <c:pt idx="161">
                  <c:v>56.749819609890189</c:v>
                </c:pt>
                <c:pt idx="162">
                  <c:v>56.696249083182799</c:v>
                </c:pt>
                <c:pt idx="163">
                  <c:v>56.640963270933625</c:v>
                </c:pt>
                <c:pt idx="164">
                  <c:v>56.583966295881346</c:v>
                </c:pt>
                <c:pt idx="165">
                  <c:v>56.525262059099731</c:v>
                </c:pt>
                <c:pt idx="166">
                  <c:v>56.464854226706954</c:v>
                </c:pt>
                <c:pt idx="167">
                  <c:v>56.402746222839305</c:v>
                </c:pt>
                <c:pt idx="168">
                  <c:v>56.338941219363775</c:v>
                </c:pt>
                <c:pt idx="169">
                  <c:v>56.273442132460993</c:v>
                </c:pt>
                <c:pt idx="170">
                  <c:v>56.206251615695876</c:v>
                </c:pt>
                <c:pt idx="171">
                  <c:v>56.137372057688552</c:v>
                </c:pt>
                <c:pt idx="172">
                  <c:v>56.066805577613323</c:v>
                </c:pt>
                <c:pt idx="173">
                  <c:v>55.994554028887663</c:v>
                </c:pt>
                <c:pt idx="174">
                  <c:v>55.920618996575776</c:v>
                </c:pt>
                <c:pt idx="175">
                  <c:v>55.845001802443726</c:v>
                </c:pt>
                <c:pt idx="176">
                  <c:v>55.767282981168186</c:v>
                </c:pt>
                <c:pt idx="177">
                  <c:v>55.687172565002342</c:v>
                </c:pt>
                <c:pt idx="178">
                  <c:v>55.604865597522355</c:v>
                </c:pt>
                <c:pt idx="179">
                  <c:v>55.52055669929991</c:v>
                </c:pt>
                <c:pt idx="180">
                  <c:v>55.43444007904489</c:v>
                </c:pt>
                <c:pt idx="181">
                  <c:v>55.346709549436731</c:v>
                </c:pt>
                <c:pt idx="182">
                  <c:v>55.257558542159828</c:v>
                </c:pt>
                <c:pt idx="183">
                  <c:v>55.167180124273806</c:v>
                </c:pt>
                <c:pt idx="184">
                  <c:v>55.075767014114845</c:v>
                </c:pt>
                <c:pt idx="185">
                  <c:v>54.983511599637055</c:v>
                </c:pt>
                <c:pt idx="186">
                  <c:v>54.890605957058021</c:v>
                </c:pt>
                <c:pt idx="187">
                  <c:v>54.797241869205799</c:v>
                </c:pt>
                <c:pt idx="188">
                  <c:v>54.703610843789519</c:v>
                </c:pt>
                <c:pt idx="189">
                  <c:v>54.609904133800981</c:v>
                </c:pt>
                <c:pt idx="190">
                  <c:v>54.51582902546221</c:v>
                </c:pt>
                <c:pt idx="191">
                  <c:v>54.420964023215461</c:v>
                </c:pt>
                <c:pt idx="192">
                  <c:v>54.325306993023247</c:v>
                </c:pt>
                <c:pt idx="193">
                  <c:v>54.228855770443602</c:v>
                </c:pt>
                <c:pt idx="194">
                  <c:v>54.131608175647706</c:v>
                </c:pt>
                <c:pt idx="195">
                  <c:v>54.033562028836016</c:v>
                </c:pt>
                <c:pt idx="196">
                  <c:v>53.934715165612523</c:v>
                </c:pt>
                <c:pt idx="197">
                  <c:v>53.835065449377531</c:v>
                </c:pt>
                <c:pt idx="198">
                  <c:v>53.73461078608171</c:v>
                </c:pt>
                <c:pt idx="199">
                  <c:v>53.633349135897589</c:v>
                </c:pt>
                <c:pt idx="200">
                  <c:v>53.531278525138809</c:v>
                </c:pt>
                <c:pt idx="201">
                  <c:v>53.428397056537207</c:v>
                </c:pt>
                <c:pt idx="202">
                  <c:v>53.324702919829114</c:v>
                </c:pt>
                <c:pt idx="203">
                  <c:v>53.220194398934602</c:v>
                </c:pt>
                <c:pt idx="204">
                  <c:v>53.115078907938049</c:v>
                </c:pt>
                <c:pt idx="205">
                  <c:v>53.009499504484175</c:v>
                </c:pt>
                <c:pt idx="206">
                  <c:v>52.903358157149327</c:v>
                </c:pt>
                <c:pt idx="207">
                  <c:v>52.796557027990623</c:v>
                </c:pt>
                <c:pt idx="208">
                  <c:v>52.688998475322428</c:v>
                </c:pt>
                <c:pt idx="209">
                  <c:v>52.580585054887074</c:v>
                </c:pt>
                <c:pt idx="210">
                  <c:v>52.471219519946068</c:v>
                </c:pt>
                <c:pt idx="211">
                  <c:v>52.360804820969598</c:v>
                </c:pt>
                <c:pt idx="212">
                  <c:v>52.249244103539283</c:v>
                </c:pt>
                <c:pt idx="213">
                  <c:v>52.136440705588001</c:v>
                </c:pt>
                <c:pt idx="214">
                  <c:v>52.02229815595129</c:v>
                </c:pt>
                <c:pt idx="215">
                  <c:v>51.906720167930573</c:v>
                </c:pt>
                <c:pt idx="216">
                  <c:v>51.789610636139287</c:v>
                </c:pt>
                <c:pt idx="217">
                  <c:v>51.670873631460694</c:v>
                </c:pt>
                <c:pt idx="218">
                  <c:v>51.550445467720493</c:v>
                </c:pt>
                <c:pt idx="219">
                  <c:v>51.428390868837539</c:v>
                </c:pt>
                <c:pt idx="220">
                  <c:v>51.304806660430252</c:v>
                </c:pt>
                <c:pt idx="221">
                  <c:v>51.17978967895214</c:v>
                </c:pt>
                <c:pt idx="222">
                  <c:v>51.053436765893203</c:v>
                </c:pt>
                <c:pt idx="223">
                  <c:v>50.92584476285618</c:v>
                </c:pt>
                <c:pt idx="224">
                  <c:v>50.797110505436763</c:v>
                </c:pt>
                <c:pt idx="225">
                  <c:v>50.667330391096158</c:v>
                </c:pt>
                <c:pt idx="226">
                  <c:v>50.536601226623993</c:v>
                </c:pt>
                <c:pt idx="227">
                  <c:v>50.405019797131317</c:v>
                </c:pt>
                <c:pt idx="228">
                  <c:v>50.272682861187647</c:v>
                </c:pt>
                <c:pt idx="229">
                  <c:v>50.139687147034579</c:v>
                </c:pt>
                <c:pt idx="230">
                  <c:v>50.006129347458568</c:v>
                </c:pt>
                <c:pt idx="231">
                  <c:v>49.872106118680385</c:v>
                </c:pt>
                <c:pt idx="232">
                  <c:v>49.738305938257518</c:v>
                </c:pt>
                <c:pt idx="233">
                  <c:v>49.605096060346661</c:v>
                </c:pt>
                <c:pt idx="234">
                  <c:v>49.472092842828879</c:v>
                </c:pt>
                <c:pt idx="235">
                  <c:v>49.338912934713449</c:v>
                </c:pt>
                <c:pt idx="236">
                  <c:v>49.205173273492434</c:v>
                </c:pt>
                <c:pt idx="237">
                  <c:v>49.070491082215653</c:v>
                </c:pt>
                <c:pt idx="238">
                  <c:v>48.934483863850161</c:v>
                </c:pt>
                <c:pt idx="239">
                  <c:v>48.796768939882476</c:v>
                </c:pt>
                <c:pt idx="240">
                  <c:v>48.656964792987807</c:v>
                </c:pt>
                <c:pt idx="241">
                  <c:v>48.514689756517221</c:v>
                </c:pt>
                <c:pt idx="242">
                  <c:v>48.369562432515004</c:v>
                </c:pt>
                <c:pt idx="243">
                  <c:v>48.221201694992736</c:v>
                </c:pt>
                <c:pt idx="244">
                  <c:v>48.069226682180279</c:v>
                </c:pt>
                <c:pt idx="245">
                  <c:v>47.913256801201072</c:v>
                </c:pt>
                <c:pt idx="246">
                  <c:v>47.754491580932921</c:v>
                </c:pt>
                <c:pt idx="247">
                  <c:v>47.594194064078344</c:v>
                </c:pt>
                <c:pt idx="248">
                  <c:v>47.432079470714832</c:v>
                </c:pt>
                <c:pt idx="249">
                  <c:v>47.267862343246769</c:v>
                </c:pt>
                <c:pt idx="250">
                  <c:v>47.101257432184916</c:v>
                </c:pt>
                <c:pt idx="251">
                  <c:v>46.931979695428616</c:v>
                </c:pt>
                <c:pt idx="252">
                  <c:v>46.759744293374922</c:v>
                </c:pt>
                <c:pt idx="253">
                  <c:v>46.584265765793091</c:v>
                </c:pt>
                <c:pt idx="254">
                  <c:v>46.405260126612951</c:v>
                </c:pt>
                <c:pt idx="255">
                  <c:v>46.222443119685174</c:v>
                </c:pt>
                <c:pt idx="256">
                  <c:v>46.035530673891316</c:v>
                </c:pt>
                <c:pt idx="257">
                  <c:v>45.844238891403386</c:v>
                </c:pt>
                <c:pt idx="258">
                  <c:v>45.648284042077314</c:v>
                </c:pt>
                <c:pt idx="259">
                  <c:v>45.447382552045156</c:v>
                </c:pt>
                <c:pt idx="260">
                  <c:v>45.241760538269993</c:v>
                </c:pt>
                <c:pt idx="261">
                  <c:v>45.031897223442556</c:v>
                </c:pt>
                <c:pt idx="262">
                  <c:v>44.817890487809144</c:v>
                </c:pt>
                <c:pt idx="263">
                  <c:v>44.599838563978146</c:v>
                </c:pt>
                <c:pt idx="264">
                  <c:v>44.377839578057213</c:v>
                </c:pt>
                <c:pt idx="265">
                  <c:v>44.151991534852037</c:v>
                </c:pt>
                <c:pt idx="266">
                  <c:v>43.92239231427839</c:v>
                </c:pt>
                <c:pt idx="267">
                  <c:v>43.689141911879759</c:v>
                </c:pt>
                <c:pt idx="268">
                  <c:v>43.452338700594467</c:v>
                </c:pt>
                <c:pt idx="269">
                  <c:v>43.212080099212386</c:v>
                </c:pt>
                <c:pt idx="270">
                  <c:v>42.968463354347463</c:v>
                </c:pt>
                <c:pt idx="271">
                  <c:v>42.721585533006035</c:v>
                </c:pt>
                <c:pt idx="272">
                  <c:v>42.471543512077254</c:v>
                </c:pt>
                <c:pt idx="273">
                  <c:v>42.218433969819863</c:v>
                </c:pt>
                <c:pt idx="274">
                  <c:v>41.961701770592157</c:v>
                </c:pt>
                <c:pt idx="275">
                  <c:v>41.700856721035251</c:v>
                </c:pt>
                <c:pt idx="276">
                  <c:v>41.436091998031735</c:v>
                </c:pt>
                <c:pt idx="277">
                  <c:v>41.167599069701616</c:v>
                </c:pt>
                <c:pt idx="278">
                  <c:v>40.895569092077338</c:v>
                </c:pt>
                <c:pt idx="279">
                  <c:v>40.620192912358618</c:v>
                </c:pt>
                <c:pt idx="280">
                  <c:v>40.341661062020684</c:v>
                </c:pt>
                <c:pt idx="281">
                  <c:v>40.060161447767051</c:v>
                </c:pt>
                <c:pt idx="282">
                  <c:v>39.775881886665644</c:v>
                </c:pt>
                <c:pt idx="283">
                  <c:v>39.489012030458625</c:v>
                </c:pt>
                <c:pt idx="284">
                  <c:v>39.199741219814229</c:v>
                </c:pt>
                <c:pt idx="285">
                  <c:v>38.908258485590409</c:v>
                </c:pt>
                <c:pt idx="286">
                  <c:v>38.614752555053563</c:v>
                </c:pt>
                <c:pt idx="287">
                  <c:v>38.319411858283793</c:v>
                </c:pt>
                <c:pt idx="288">
                  <c:v>38.019679369655641</c:v>
                </c:pt>
                <c:pt idx="289">
                  <c:v>37.713571196001716</c:v>
                </c:pt>
                <c:pt idx="290">
                  <c:v>37.402131817291945</c:v>
                </c:pt>
                <c:pt idx="291">
                  <c:v>37.086406285745831</c:v>
                </c:pt>
                <c:pt idx="292">
                  <c:v>36.767439055831957</c:v>
                </c:pt>
                <c:pt idx="293">
                  <c:v>36.4462740151872</c:v>
                </c:pt>
                <c:pt idx="294">
                  <c:v>36.123954519834108</c:v>
                </c:pt>
                <c:pt idx="295">
                  <c:v>35.801525124325018</c:v>
                </c:pt>
                <c:pt idx="296">
                  <c:v>35.480030241134195</c:v>
                </c:pt>
                <c:pt idx="297">
                  <c:v>35.160511710698046</c:v>
                </c:pt>
                <c:pt idx="298">
                  <c:v>34.844010970315921</c:v>
                </c:pt>
                <c:pt idx="299">
                  <c:v>34.531569080909406</c:v>
                </c:pt>
                <c:pt idx="300">
                  <c:v>34.224226747954042</c:v>
                </c:pt>
                <c:pt idx="301">
                  <c:v>33.923024352156709</c:v>
                </c:pt>
                <c:pt idx="302">
                  <c:v>33.625974842964773</c:v>
                </c:pt>
                <c:pt idx="303">
                  <c:v>33.330516426376924</c:v>
                </c:pt>
                <c:pt idx="304">
                  <c:v>33.036833569735627</c:v>
                </c:pt>
                <c:pt idx="305">
                  <c:v>32.745111794756177</c:v>
                </c:pt>
                <c:pt idx="306">
                  <c:v>32.455536638502423</c:v>
                </c:pt>
                <c:pt idx="307">
                  <c:v>32.168293675172407</c:v>
                </c:pt>
                <c:pt idx="308">
                  <c:v>31.883568527796289</c:v>
                </c:pt>
                <c:pt idx="309">
                  <c:v>31.601528309598667</c:v>
                </c:pt>
                <c:pt idx="310">
                  <c:v>31.322357855291216</c:v>
                </c:pt>
                <c:pt idx="311">
                  <c:v>31.046243611385052</c:v>
                </c:pt>
                <c:pt idx="312">
                  <c:v>30.773372116705389</c:v>
                </c:pt>
                <c:pt idx="313">
                  <c:v>30.503930012860849</c:v>
                </c:pt>
                <c:pt idx="314">
                  <c:v>30.238104048273051</c:v>
                </c:pt>
                <c:pt idx="315">
                  <c:v>29.976081083640111</c:v>
                </c:pt>
                <c:pt idx="316">
                  <c:v>29.715720797452136</c:v>
                </c:pt>
                <c:pt idx="317">
                  <c:v>29.455313938956326</c:v>
                </c:pt>
                <c:pt idx="318">
                  <c:v>29.195718171036781</c:v>
                </c:pt>
                <c:pt idx="319">
                  <c:v>28.937786727175915</c:v>
                </c:pt>
                <c:pt idx="320">
                  <c:v>28.682372759445681</c:v>
                </c:pt>
                <c:pt idx="321">
                  <c:v>28.430329319038492</c:v>
                </c:pt>
                <c:pt idx="322">
                  <c:v>28.182509356770872</c:v>
                </c:pt>
                <c:pt idx="323">
                  <c:v>27.939770806310786</c:v>
                </c:pt>
                <c:pt idx="324">
                  <c:v>27.702982322619146</c:v>
                </c:pt>
                <c:pt idx="325">
                  <c:v>27.472995905098312</c:v>
                </c:pt>
                <c:pt idx="326">
                  <c:v>27.250663452518239</c:v>
                </c:pt>
                <c:pt idx="327">
                  <c:v>27.036836695884425</c:v>
                </c:pt>
                <c:pt idx="328">
                  <c:v>26.832367169968915</c:v>
                </c:pt>
                <c:pt idx="329">
                  <c:v>26.638106202209865</c:v>
                </c:pt>
                <c:pt idx="330">
                  <c:v>26.45215348611416</c:v>
                </c:pt>
                <c:pt idx="331">
                  <c:v>26.272227718789896</c:v>
                </c:pt>
                <c:pt idx="332">
                  <c:v>26.098623643847841</c:v>
                </c:pt>
                <c:pt idx="333">
                  <c:v>25.931624309886718</c:v>
                </c:pt>
                <c:pt idx="334">
                  <c:v>25.771512762459132</c:v>
                </c:pt>
                <c:pt idx="335">
                  <c:v>25.618572050740529</c:v>
                </c:pt>
                <c:pt idx="336">
                  <c:v>25.47308520123509</c:v>
                </c:pt>
                <c:pt idx="337">
                  <c:v>25.33533507892631</c:v>
                </c:pt>
                <c:pt idx="338">
                  <c:v>25.205600062410905</c:v>
                </c:pt>
                <c:pt idx="339">
                  <c:v>25.084163112763882</c:v>
                </c:pt>
                <c:pt idx="340">
                  <c:v>24.971307115795881</c:v>
                </c:pt>
                <c:pt idx="341">
                  <c:v>24.867314857797464</c:v>
                </c:pt>
                <c:pt idx="342">
                  <c:v>24.772469026614893</c:v>
                </c:pt>
                <c:pt idx="343">
                  <c:v>24.687052184352876</c:v>
                </c:pt>
                <c:pt idx="344">
                  <c:v>24.610057317854242</c:v>
                </c:pt>
                <c:pt idx="345">
                  <c:v>24.540466556894462</c:v>
                </c:pt>
                <c:pt idx="346">
                  <c:v>24.478573773605127</c:v>
                </c:pt>
                <c:pt idx="347">
                  <c:v>24.424644674506727</c:v>
                </c:pt>
                <c:pt idx="348">
                  <c:v>24.378944859931</c:v>
                </c:pt>
                <c:pt idx="349">
                  <c:v>24.341739822527209</c:v>
                </c:pt>
                <c:pt idx="350">
                  <c:v>24.313294921489113</c:v>
                </c:pt>
                <c:pt idx="351">
                  <c:v>24.293900608037333</c:v>
                </c:pt>
                <c:pt idx="352">
                  <c:v>24.283821912726467</c:v>
                </c:pt>
                <c:pt idx="353">
                  <c:v>24.283323617069168</c:v>
                </c:pt>
                <c:pt idx="354">
                  <c:v>24.292670362176448</c:v>
                </c:pt>
                <c:pt idx="355">
                  <c:v>24.312126635121885</c:v>
                </c:pt>
                <c:pt idx="356">
                  <c:v>24.341956818864489</c:v>
                </c:pt>
                <c:pt idx="357">
                  <c:v>24.382425040109084</c:v>
                </c:pt>
                <c:pt idx="358">
                  <c:v>24.433565930724356</c:v>
                </c:pt>
                <c:pt idx="359">
                  <c:v>24.495111287257654</c:v>
                </c:pt>
                <c:pt idx="360">
                  <c:v>24.566870843971721</c:v>
                </c:pt>
                <c:pt idx="361">
                  <c:v>24.648629608588305</c:v>
                </c:pt>
                <c:pt idx="362">
                  <c:v>24.740197558845917</c:v>
                </c:pt>
                <c:pt idx="363">
                  <c:v>24.841384688058604</c:v>
                </c:pt>
                <c:pt idx="364">
                  <c:v>24.952000997089659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7.0250000000000004</c:v>
                </c:pt>
                <c:pt idx="1">
                  <c:v>3.8200000000000003</c:v>
                </c:pt>
                <c:pt idx="2">
                  <c:v>25.818999999999999</c:v>
                </c:pt>
                <c:pt idx="3">
                  <c:v>22.263000000000002</c:v>
                </c:pt>
                <c:pt idx="4">
                  <c:v>3.1360000000000001</c:v>
                </c:pt>
                <c:pt idx="5">
                  <c:v>7.1150000000000002</c:v>
                </c:pt>
                <c:pt idx="6">
                  <c:v>15.042</c:v>
                </c:pt>
                <c:pt idx="7">
                  <c:v>21.552</c:v>
                </c:pt>
                <c:pt idx="8">
                  <c:v>5.7690000000000001</c:v>
                </c:pt>
                <c:pt idx="9">
                  <c:v>5.1660000000000004</c:v>
                </c:pt>
                <c:pt idx="10">
                  <c:v>4.7450000000000001</c:v>
                </c:pt>
                <c:pt idx="11">
                  <c:v>12.173</c:v>
                </c:pt>
                <c:pt idx="12">
                  <c:v>8.91</c:v>
                </c:pt>
                <c:pt idx="13">
                  <c:v>11.766999999999999</c:v>
                </c:pt>
                <c:pt idx="14">
                  <c:v>20.956</c:v>
                </c:pt>
                <c:pt idx="15">
                  <c:v>21.112000000000002</c:v>
                </c:pt>
                <c:pt idx="16">
                  <c:v>6.8879999999999999</c:v>
                </c:pt>
                <c:pt idx="17">
                  <c:v>28.673000000000002</c:v>
                </c:pt>
                <c:pt idx="18">
                  <c:v>31.305</c:v>
                </c:pt>
                <c:pt idx="19">
                  <c:v>6.86</c:v>
                </c:pt>
                <c:pt idx="20">
                  <c:v>13.458</c:v>
                </c:pt>
                <c:pt idx="21">
                  <c:v>5.6450000000000005</c:v>
                </c:pt>
                <c:pt idx="22">
                  <c:v>8.4250000000000007</c:v>
                </c:pt>
                <c:pt idx="23">
                  <c:v>16.788</c:v>
                </c:pt>
                <c:pt idx="24">
                  <c:v>7.742</c:v>
                </c:pt>
                <c:pt idx="25">
                  <c:v>19.382999999999999</c:v>
                </c:pt>
                <c:pt idx="26">
                  <c:v>5.4050000000000002</c:v>
                </c:pt>
                <c:pt idx="27">
                  <c:v>16.954000000000001</c:v>
                </c:pt>
                <c:pt idx="28">
                  <c:v>15.275</c:v>
                </c:pt>
                <c:pt idx="29">
                  <c:v>8.33</c:v>
                </c:pt>
                <c:pt idx="30">
                  <c:v>8.104000000000001</c:v>
                </c:pt>
                <c:pt idx="31">
                  <c:v>7.2389999999999999</c:v>
                </c:pt>
                <c:pt idx="32">
                  <c:v>29.708000000000002</c:v>
                </c:pt>
                <c:pt idx="33">
                  <c:v>22.745000000000001</c:v>
                </c:pt>
                <c:pt idx="34">
                  <c:v>16.22</c:v>
                </c:pt>
                <c:pt idx="35">
                  <c:v>15.358000000000001</c:v>
                </c:pt>
                <c:pt idx="36">
                  <c:v>9.6760000000000002</c:v>
                </c:pt>
                <c:pt idx="37">
                  <c:v>21.704000000000001</c:v>
                </c:pt>
                <c:pt idx="38">
                  <c:v>4.3410000000000002</c:v>
                </c:pt>
                <c:pt idx="39">
                  <c:v>13.33</c:v>
                </c:pt>
                <c:pt idx="40">
                  <c:v>13.707000000000001</c:v>
                </c:pt>
                <c:pt idx="41">
                  <c:v>32.853000000000002</c:v>
                </c:pt>
                <c:pt idx="42">
                  <c:v>4.9619999999999997</c:v>
                </c:pt>
                <c:pt idx="43">
                  <c:v>7.5810000000000004</c:v>
                </c:pt>
                <c:pt idx="44">
                  <c:v>37.898000000000003</c:v>
                </c:pt>
                <c:pt idx="45">
                  <c:v>36.313000000000002</c:v>
                </c:pt>
                <c:pt idx="46">
                  <c:v>32.038000000000004</c:v>
                </c:pt>
                <c:pt idx="47">
                  <c:v>36.140999999999998</c:v>
                </c:pt>
                <c:pt idx="48">
                  <c:v>14.779</c:v>
                </c:pt>
                <c:pt idx="49">
                  <c:v>38.374000000000002</c:v>
                </c:pt>
                <c:pt idx="50">
                  <c:v>33.414000000000001</c:v>
                </c:pt>
                <c:pt idx="51">
                  <c:v>13.559000000000001</c:v>
                </c:pt>
                <c:pt idx="52">
                  <c:v>9.7029999999999994</c:v>
                </c:pt>
                <c:pt idx="53">
                  <c:v>30.138000000000002</c:v>
                </c:pt>
                <c:pt idx="54">
                  <c:v>39.207000000000001</c:v>
                </c:pt>
                <c:pt idx="55">
                  <c:v>36.189</c:v>
                </c:pt>
                <c:pt idx="56">
                  <c:v>8.0259999999999998</c:v>
                </c:pt>
                <c:pt idx="57">
                  <c:v>41.774999999999999</c:v>
                </c:pt>
                <c:pt idx="58">
                  <c:v>33.637999999999998</c:v>
                </c:pt>
                <c:pt idx="59">
                  <c:v>38.941000000000003</c:v>
                </c:pt>
                <c:pt idx="60">
                  <c:v>17.138999999999999</c:v>
                </c:pt>
                <c:pt idx="61">
                  <c:v>15.177</c:v>
                </c:pt>
                <c:pt idx="62">
                  <c:v>29.027000000000001</c:v>
                </c:pt>
                <c:pt idx="63">
                  <c:v>35.651000000000003</c:v>
                </c:pt>
                <c:pt idx="64">
                  <c:v>10.886000000000001</c:v>
                </c:pt>
                <c:pt idx="65">
                  <c:v>10.787000000000001</c:v>
                </c:pt>
                <c:pt idx="66">
                  <c:v>20.068000000000001</c:v>
                </c:pt>
                <c:pt idx="67">
                  <c:v>43.511000000000003</c:v>
                </c:pt>
                <c:pt idx="68">
                  <c:v>42.411000000000001</c:v>
                </c:pt>
                <c:pt idx="69">
                  <c:v>32.484000000000002</c:v>
                </c:pt>
                <c:pt idx="70">
                  <c:v>29.705000000000002</c:v>
                </c:pt>
                <c:pt idx="71">
                  <c:v>39.462000000000003</c:v>
                </c:pt>
                <c:pt idx="72">
                  <c:v>25.206</c:v>
                </c:pt>
                <c:pt idx="73">
                  <c:v>16.786999999999999</c:v>
                </c:pt>
                <c:pt idx="74">
                  <c:v>30.846</c:v>
                </c:pt>
                <c:pt idx="75">
                  <c:v>25.897000000000002</c:v>
                </c:pt>
                <c:pt idx="76">
                  <c:v>23.721</c:v>
                </c:pt>
                <c:pt idx="77">
                  <c:v>9.2970000000000006</c:v>
                </c:pt>
                <c:pt idx="78">
                  <c:v>41.561999999999998</c:v>
                </c:pt>
                <c:pt idx="79">
                  <c:v>43.371000000000002</c:v>
                </c:pt>
                <c:pt idx="80">
                  <c:v>37.721000000000004</c:v>
                </c:pt>
                <c:pt idx="81">
                  <c:v>49.591999999999999</c:v>
                </c:pt>
                <c:pt idx="82">
                  <c:v>48.804000000000002</c:v>
                </c:pt>
                <c:pt idx="83">
                  <c:v>31.522000000000002</c:v>
                </c:pt>
                <c:pt idx="84">
                  <c:v>40.813000000000002</c:v>
                </c:pt>
                <c:pt idx="85">
                  <c:v>44.994999999999997</c:v>
                </c:pt>
                <c:pt idx="86">
                  <c:v>49.541000000000004</c:v>
                </c:pt>
                <c:pt idx="87">
                  <c:v>52.172000000000004</c:v>
                </c:pt>
                <c:pt idx="88">
                  <c:v>49.152999999999999</c:v>
                </c:pt>
                <c:pt idx="89">
                  <c:v>47.625</c:v>
                </c:pt>
                <c:pt idx="90">
                  <c:v>48.225000000000001</c:v>
                </c:pt>
                <c:pt idx="91">
                  <c:v>43.575000000000003</c:v>
                </c:pt>
                <c:pt idx="92">
                  <c:v>50.52</c:v>
                </c:pt>
                <c:pt idx="93">
                  <c:v>50.895000000000003</c:v>
                </c:pt>
                <c:pt idx="94">
                  <c:v>47.613</c:v>
                </c:pt>
                <c:pt idx="95">
                  <c:v>28.323</c:v>
                </c:pt>
                <c:pt idx="96">
                  <c:v>53.017000000000003</c:v>
                </c:pt>
                <c:pt idx="97">
                  <c:v>54.268000000000001</c:v>
                </c:pt>
                <c:pt idx="98">
                  <c:v>33.76</c:v>
                </c:pt>
                <c:pt idx="99">
                  <c:v>34.375</c:v>
                </c:pt>
                <c:pt idx="100">
                  <c:v>8.1419999999999995</c:v>
                </c:pt>
                <c:pt idx="101">
                  <c:v>43.372</c:v>
                </c:pt>
                <c:pt idx="102">
                  <c:v>50.246000000000002</c:v>
                </c:pt>
                <c:pt idx="103">
                  <c:v>53.753</c:v>
                </c:pt>
                <c:pt idx="104">
                  <c:v>54.514000000000003</c:v>
                </c:pt>
                <c:pt idx="105">
                  <c:v>51.326999999999998</c:v>
                </c:pt>
                <c:pt idx="106">
                  <c:v>51.725999999999999</c:v>
                </c:pt>
                <c:pt idx="107">
                  <c:v>41.066000000000003</c:v>
                </c:pt>
                <c:pt idx="108">
                  <c:v>53.762</c:v>
                </c:pt>
                <c:pt idx="109">
                  <c:v>39.486000000000004</c:v>
                </c:pt>
                <c:pt idx="110">
                  <c:v>48.564999999999998</c:v>
                </c:pt>
                <c:pt idx="111">
                  <c:v>55.698999999999998</c:v>
                </c:pt>
                <c:pt idx="112">
                  <c:v>56.331000000000003</c:v>
                </c:pt>
                <c:pt idx="113">
                  <c:v>55.817</c:v>
                </c:pt>
                <c:pt idx="114">
                  <c:v>24.481000000000002</c:v>
                </c:pt>
                <c:pt idx="115">
                  <c:v>7.1230000000000002</c:v>
                </c:pt>
                <c:pt idx="116">
                  <c:v>19.788</c:v>
                </c:pt>
                <c:pt idx="117">
                  <c:v>15.76</c:v>
                </c:pt>
                <c:pt idx="118">
                  <c:v>23.731000000000002</c:v>
                </c:pt>
                <c:pt idx="119">
                  <c:v>14.282</c:v>
                </c:pt>
                <c:pt idx="120">
                  <c:v>17.148</c:v>
                </c:pt>
                <c:pt idx="121">
                  <c:v>44.413000000000004</c:v>
                </c:pt>
                <c:pt idx="122">
                  <c:v>55.44</c:v>
                </c:pt>
                <c:pt idx="123">
                  <c:v>49.118000000000002</c:v>
                </c:pt>
                <c:pt idx="124">
                  <c:v>31.247</c:v>
                </c:pt>
                <c:pt idx="125">
                  <c:v>35.335999999999999</c:v>
                </c:pt>
                <c:pt idx="126">
                  <c:v>22.269000000000002</c:v>
                </c:pt>
                <c:pt idx="127">
                  <c:v>55.493000000000002</c:v>
                </c:pt>
                <c:pt idx="128">
                  <c:v>19.582000000000001</c:v>
                </c:pt>
                <c:pt idx="129">
                  <c:v>39.253</c:v>
                </c:pt>
                <c:pt idx="130">
                  <c:v>29.855</c:v>
                </c:pt>
                <c:pt idx="131">
                  <c:v>39.954999999999998</c:v>
                </c:pt>
                <c:pt idx="132">
                  <c:v>48.468000000000004</c:v>
                </c:pt>
                <c:pt idx="133">
                  <c:v>42.785000000000004</c:v>
                </c:pt>
                <c:pt idx="134">
                  <c:v>19.658999999999999</c:v>
                </c:pt>
                <c:pt idx="135">
                  <c:v>11.948</c:v>
                </c:pt>
                <c:pt idx="136">
                  <c:v>49.807000000000002</c:v>
                </c:pt>
                <c:pt idx="137">
                  <c:v>33.552</c:v>
                </c:pt>
                <c:pt idx="138">
                  <c:v>40.249000000000002</c:v>
                </c:pt>
                <c:pt idx="139">
                  <c:v>56.041000000000004</c:v>
                </c:pt>
                <c:pt idx="140">
                  <c:v>39.463999999999999</c:v>
                </c:pt>
                <c:pt idx="141">
                  <c:v>29.234000000000002</c:v>
                </c:pt>
                <c:pt idx="142">
                  <c:v>36.542999999999999</c:v>
                </c:pt>
                <c:pt idx="143">
                  <c:v>24.303000000000001</c:v>
                </c:pt>
                <c:pt idx="144">
                  <c:v>47.291000000000004</c:v>
                </c:pt>
                <c:pt idx="145">
                  <c:v>50.911999999999999</c:v>
                </c:pt>
                <c:pt idx="146">
                  <c:v>55.873000000000005</c:v>
                </c:pt>
                <c:pt idx="147">
                  <c:v>50.036000000000001</c:v>
                </c:pt>
                <c:pt idx="148">
                  <c:v>31.716000000000001</c:v>
                </c:pt>
                <c:pt idx="149">
                  <c:v>50.578000000000003</c:v>
                </c:pt>
                <c:pt idx="150">
                  <c:v>54.56</c:v>
                </c:pt>
                <c:pt idx="151">
                  <c:v>35.72</c:v>
                </c:pt>
                <c:pt idx="152">
                  <c:v>40.816000000000003</c:v>
                </c:pt>
                <c:pt idx="153">
                  <c:v>52.942999999999998</c:v>
                </c:pt>
                <c:pt idx="154">
                  <c:v>7.3120000000000003</c:v>
                </c:pt>
                <c:pt idx="155">
                  <c:v>38.616</c:v>
                </c:pt>
                <c:pt idx="156">
                  <c:v>44.477000000000004</c:v>
                </c:pt>
                <c:pt idx="157">
                  <c:v>49.155999999999999</c:v>
                </c:pt>
                <c:pt idx="158">
                  <c:v>55.26</c:v>
                </c:pt>
                <c:pt idx="159">
                  <c:v>54.325000000000003</c:v>
                </c:pt>
                <c:pt idx="160">
                  <c:v>54.414999999999999</c:v>
                </c:pt>
                <c:pt idx="161">
                  <c:v>47.051000000000002</c:v>
                </c:pt>
                <c:pt idx="162">
                  <c:v>39.51</c:v>
                </c:pt>
                <c:pt idx="163">
                  <c:v>53.188000000000002</c:v>
                </c:pt>
                <c:pt idx="164">
                  <c:v>52.356999999999999</c:v>
                </c:pt>
                <c:pt idx="165">
                  <c:v>49.526000000000003</c:v>
                </c:pt>
                <c:pt idx="166">
                  <c:v>48.137999999999998</c:v>
                </c:pt>
                <c:pt idx="167">
                  <c:v>14.939</c:v>
                </c:pt>
                <c:pt idx="168">
                  <c:v>41.5</c:v>
                </c:pt>
                <c:pt idx="169">
                  <c:v>30.448</c:v>
                </c:pt>
                <c:pt idx="170">
                  <c:v>31.631</c:v>
                </c:pt>
                <c:pt idx="171">
                  <c:v>32.953000000000003</c:v>
                </c:pt>
                <c:pt idx="172">
                  <c:v>39.905999999999999</c:v>
                </c:pt>
                <c:pt idx="173">
                  <c:v>19.568999999999999</c:v>
                </c:pt>
                <c:pt idx="174">
                  <c:v>32.954000000000001</c:v>
                </c:pt>
                <c:pt idx="175">
                  <c:v>51.587000000000003</c:v>
                </c:pt>
                <c:pt idx="176">
                  <c:v>54.323999999999998</c:v>
                </c:pt>
                <c:pt idx="177">
                  <c:v>8.354000000000001</c:v>
                </c:pt>
                <c:pt idx="178">
                  <c:v>31.356999999999999</c:v>
                </c:pt>
                <c:pt idx="179">
                  <c:v>38.661000000000001</c:v>
                </c:pt>
                <c:pt idx="180">
                  <c:v>43.611000000000004</c:v>
                </c:pt>
                <c:pt idx="181">
                  <c:v>50.057000000000002</c:v>
                </c:pt>
                <c:pt idx="182">
                  <c:v>50.38</c:v>
                </c:pt>
                <c:pt idx="183">
                  <c:v>28.747</c:v>
                </c:pt>
                <c:pt idx="184">
                  <c:v>33.405000000000001</c:v>
                </c:pt>
                <c:pt idx="185">
                  <c:v>53.911999999999999</c:v>
                </c:pt>
                <c:pt idx="186">
                  <c:v>19.177</c:v>
                </c:pt>
                <c:pt idx="187">
                  <c:v>41.372999999999998</c:v>
                </c:pt>
                <c:pt idx="188">
                  <c:v>44.631999999999998</c:v>
                </c:pt>
                <c:pt idx="189">
                  <c:v>53.215000000000003</c:v>
                </c:pt>
                <c:pt idx="190">
                  <c:v>49.505000000000003</c:v>
                </c:pt>
                <c:pt idx="191">
                  <c:v>50.252000000000002</c:v>
                </c:pt>
                <c:pt idx="192">
                  <c:v>12.31</c:v>
                </c:pt>
                <c:pt idx="193">
                  <c:v>22.184999999999999</c:v>
                </c:pt>
                <c:pt idx="194">
                  <c:v>24.876000000000001</c:v>
                </c:pt>
                <c:pt idx="195">
                  <c:v>30.371000000000002</c:v>
                </c:pt>
                <c:pt idx="196">
                  <c:v>38.996000000000002</c:v>
                </c:pt>
                <c:pt idx="197">
                  <c:v>54.334000000000003</c:v>
                </c:pt>
                <c:pt idx="198">
                  <c:v>49.262</c:v>
                </c:pt>
                <c:pt idx="199">
                  <c:v>52.941000000000003</c:v>
                </c:pt>
                <c:pt idx="200">
                  <c:v>47.032000000000004</c:v>
                </c:pt>
                <c:pt idx="201">
                  <c:v>36.988</c:v>
                </c:pt>
                <c:pt idx="202">
                  <c:v>49.904000000000003</c:v>
                </c:pt>
                <c:pt idx="203">
                  <c:v>43.081000000000003</c:v>
                </c:pt>
                <c:pt idx="204">
                  <c:v>26.118000000000002</c:v>
                </c:pt>
                <c:pt idx="205">
                  <c:v>35.173999999999999</c:v>
                </c:pt>
                <c:pt idx="206">
                  <c:v>30.557000000000002</c:v>
                </c:pt>
                <c:pt idx="207">
                  <c:v>46.884999999999998</c:v>
                </c:pt>
                <c:pt idx="208">
                  <c:v>23.362000000000002</c:v>
                </c:pt>
                <c:pt idx="209">
                  <c:v>50.230000000000004</c:v>
                </c:pt>
                <c:pt idx="210">
                  <c:v>16.898</c:v>
                </c:pt>
                <c:pt idx="211">
                  <c:v>11.963000000000001</c:v>
                </c:pt>
                <c:pt idx="212">
                  <c:v>42.866</c:v>
                </c:pt>
                <c:pt idx="213">
                  <c:v>48.413000000000004</c:v>
                </c:pt>
                <c:pt idx="214">
                  <c:v>35.457999999999998</c:v>
                </c:pt>
                <c:pt idx="215">
                  <c:v>28.411000000000001</c:v>
                </c:pt>
                <c:pt idx="216">
                  <c:v>43.582999999999998</c:v>
                </c:pt>
                <c:pt idx="217">
                  <c:v>18.574999999999999</c:v>
                </c:pt>
                <c:pt idx="218">
                  <c:v>23.359000000000002</c:v>
                </c:pt>
                <c:pt idx="219">
                  <c:v>39.758000000000003</c:v>
                </c:pt>
                <c:pt idx="220">
                  <c:v>50.241</c:v>
                </c:pt>
                <c:pt idx="221">
                  <c:v>48.509</c:v>
                </c:pt>
                <c:pt idx="222">
                  <c:v>46.939</c:v>
                </c:pt>
                <c:pt idx="223">
                  <c:v>44.997999999999998</c:v>
                </c:pt>
                <c:pt idx="224">
                  <c:v>25.57</c:v>
                </c:pt>
                <c:pt idx="225">
                  <c:v>46.094000000000001</c:v>
                </c:pt>
                <c:pt idx="226">
                  <c:v>21.423000000000002</c:v>
                </c:pt>
                <c:pt idx="227">
                  <c:v>29.513999999999999</c:v>
                </c:pt>
                <c:pt idx="228">
                  <c:v>42.375</c:v>
                </c:pt>
                <c:pt idx="229">
                  <c:v>45.616</c:v>
                </c:pt>
                <c:pt idx="230">
                  <c:v>40.633000000000003</c:v>
                </c:pt>
                <c:pt idx="231">
                  <c:v>48.445</c:v>
                </c:pt>
                <c:pt idx="232">
                  <c:v>46.95</c:v>
                </c:pt>
                <c:pt idx="233">
                  <c:v>19.029</c:v>
                </c:pt>
                <c:pt idx="234">
                  <c:v>45.055999999999997</c:v>
                </c:pt>
                <c:pt idx="235">
                  <c:v>44.114000000000004</c:v>
                </c:pt>
                <c:pt idx="236">
                  <c:v>47.029000000000003</c:v>
                </c:pt>
                <c:pt idx="237">
                  <c:v>47.500999999999998</c:v>
                </c:pt>
                <c:pt idx="238">
                  <c:v>42.367000000000004</c:v>
                </c:pt>
                <c:pt idx="239">
                  <c:v>49.63</c:v>
                </c:pt>
                <c:pt idx="240">
                  <c:v>49.002000000000002</c:v>
                </c:pt>
                <c:pt idx="241">
                  <c:v>47.813000000000002</c:v>
                </c:pt>
                <c:pt idx="242">
                  <c:v>47.347000000000001</c:v>
                </c:pt>
                <c:pt idx="243">
                  <c:v>37.991999999999997</c:v>
                </c:pt>
                <c:pt idx="244">
                  <c:v>16.882999999999999</c:v>
                </c:pt>
                <c:pt idx="245">
                  <c:v>32.966999999999999</c:v>
                </c:pt>
                <c:pt idx="246">
                  <c:v>38.268999999999998</c:v>
                </c:pt>
                <c:pt idx="247">
                  <c:v>42.944000000000003</c:v>
                </c:pt>
                <c:pt idx="248">
                  <c:v>46.054000000000002</c:v>
                </c:pt>
                <c:pt idx="249">
                  <c:v>37.561</c:v>
                </c:pt>
                <c:pt idx="250">
                  <c:v>28.79</c:v>
                </c:pt>
                <c:pt idx="251">
                  <c:v>16.945</c:v>
                </c:pt>
                <c:pt idx="252">
                  <c:v>33.811999999999998</c:v>
                </c:pt>
                <c:pt idx="253">
                  <c:v>38.157000000000004</c:v>
                </c:pt>
                <c:pt idx="254">
                  <c:v>43.76</c:v>
                </c:pt>
                <c:pt idx="255">
                  <c:v>34.225000000000001</c:v>
                </c:pt>
                <c:pt idx="256">
                  <c:v>20.939</c:v>
                </c:pt>
                <c:pt idx="257">
                  <c:v>29.221</c:v>
                </c:pt>
                <c:pt idx="258">
                  <c:v>19.336000000000002</c:v>
                </c:pt>
                <c:pt idx="259">
                  <c:v>40.76</c:v>
                </c:pt>
                <c:pt idx="260">
                  <c:v>9.6180000000000003</c:v>
                </c:pt>
                <c:pt idx="261">
                  <c:v>33.335999999999999</c:v>
                </c:pt>
                <c:pt idx="262">
                  <c:v>27.872</c:v>
                </c:pt>
                <c:pt idx="263">
                  <c:v>10.878</c:v>
                </c:pt>
                <c:pt idx="264">
                  <c:v>41.82</c:v>
                </c:pt>
                <c:pt idx="265">
                  <c:v>38.399000000000001</c:v>
                </c:pt>
                <c:pt idx="266">
                  <c:v>38.456000000000003</c:v>
                </c:pt>
                <c:pt idx="267">
                  <c:v>32.270000000000003</c:v>
                </c:pt>
                <c:pt idx="268">
                  <c:v>36.840000000000003</c:v>
                </c:pt>
                <c:pt idx="269">
                  <c:v>21.246000000000002</c:v>
                </c:pt>
                <c:pt idx="270">
                  <c:v>26.73</c:v>
                </c:pt>
                <c:pt idx="271">
                  <c:v>31.17</c:v>
                </c:pt>
                <c:pt idx="272">
                  <c:v>16.554000000000002</c:v>
                </c:pt>
                <c:pt idx="273">
                  <c:v>31.27</c:v>
                </c:pt>
                <c:pt idx="274">
                  <c:v>38.438000000000002</c:v>
                </c:pt>
                <c:pt idx="275">
                  <c:v>6.2140000000000004</c:v>
                </c:pt>
                <c:pt idx="276">
                  <c:v>29.041</c:v>
                </c:pt>
                <c:pt idx="277">
                  <c:v>12.068</c:v>
                </c:pt>
                <c:pt idx="278">
                  <c:v>27.192</c:v>
                </c:pt>
                <c:pt idx="279">
                  <c:v>40.667999999999999</c:v>
                </c:pt>
                <c:pt idx="280">
                  <c:v>39.008000000000003</c:v>
                </c:pt>
                <c:pt idx="281">
                  <c:v>15.156000000000001</c:v>
                </c:pt>
                <c:pt idx="282">
                  <c:v>27.778000000000002</c:v>
                </c:pt>
                <c:pt idx="283">
                  <c:v>39.677999999999997</c:v>
                </c:pt>
                <c:pt idx="284">
                  <c:v>38.085000000000001</c:v>
                </c:pt>
                <c:pt idx="285">
                  <c:v>37.307000000000002</c:v>
                </c:pt>
                <c:pt idx="286">
                  <c:v>40.277000000000001</c:v>
                </c:pt>
                <c:pt idx="287">
                  <c:v>32.404000000000003</c:v>
                </c:pt>
                <c:pt idx="288">
                  <c:v>36.965000000000003</c:v>
                </c:pt>
                <c:pt idx="289">
                  <c:v>34.791000000000004</c:v>
                </c:pt>
                <c:pt idx="290">
                  <c:v>32.996000000000002</c:v>
                </c:pt>
                <c:pt idx="291">
                  <c:v>34.817999999999998</c:v>
                </c:pt>
                <c:pt idx="292">
                  <c:v>26.623000000000001</c:v>
                </c:pt>
                <c:pt idx="293">
                  <c:v>13.627000000000001</c:v>
                </c:pt>
                <c:pt idx="294">
                  <c:v>12.213000000000001</c:v>
                </c:pt>
                <c:pt idx="295">
                  <c:v>33.335999999999999</c:v>
                </c:pt>
                <c:pt idx="296">
                  <c:v>37.088000000000001</c:v>
                </c:pt>
                <c:pt idx="297">
                  <c:v>34.186999999999998</c:v>
                </c:pt>
                <c:pt idx="298">
                  <c:v>24.366</c:v>
                </c:pt>
                <c:pt idx="299">
                  <c:v>26.481999999999999</c:v>
                </c:pt>
                <c:pt idx="300">
                  <c:v>34.67</c:v>
                </c:pt>
                <c:pt idx="301">
                  <c:v>17.834</c:v>
                </c:pt>
                <c:pt idx="302">
                  <c:v>9.92</c:v>
                </c:pt>
                <c:pt idx="303">
                  <c:v>17.963000000000001</c:v>
                </c:pt>
                <c:pt idx="304">
                  <c:v>15.758000000000001</c:v>
                </c:pt>
                <c:pt idx="305">
                  <c:v>24.437000000000001</c:v>
                </c:pt>
                <c:pt idx="306">
                  <c:v>17.400000000000002</c:v>
                </c:pt>
                <c:pt idx="307">
                  <c:v>14.722</c:v>
                </c:pt>
                <c:pt idx="308">
                  <c:v>9.2000000000000011</c:v>
                </c:pt>
                <c:pt idx="309">
                  <c:v>11.46</c:v>
                </c:pt>
                <c:pt idx="310">
                  <c:v>8.4169999999999998</c:v>
                </c:pt>
                <c:pt idx="311">
                  <c:v>25.219000000000001</c:v>
                </c:pt>
                <c:pt idx="312">
                  <c:v>16.626999999999999</c:v>
                </c:pt>
                <c:pt idx="313">
                  <c:v>5.8120000000000003</c:v>
                </c:pt>
                <c:pt idx="314">
                  <c:v>9.4429999999999996</c:v>
                </c:pt>
                <c:pt idx="315">
                  <c:v>6.5629999999999997</c:v>
                </c:pt>
                <c:pt idx="316">
                  <c:v>4.9370000000000003</c:v>
                </c:pt>
                <c:pt idx="317">
                  <c:v>5.8609999999999998</c:v>
                </c:pt>
                <c:pt idx="318">
                  <c:v>4.3090000000000002</c:v>
                </c:pt>
                <c:pt idx="319">
                  <c:v>8.9730000000000008</c:v>
                </c:pt>
                <c:pt idx="320">
                  <c:v>2.5020000000000002</c:v>
                </c:pt>
                <c:pt idx="321">
                  <c:v>16.971</c:v>
                </c:pt>
                <c:pt idx="322">
                  <c:v>27.192</c:v>
                </c:pt>
                <c:pt idx="323">
                  <c:v>23.181000000000001</c:v>
                </c:pt>
                <c:pt idx="324">
                  <c:v>9.657</c:v>
                </c:pt>
                <c:pt idx="325">
                  <c:v>17.516000000000002</c:v>
                </c:pt>
                <c:pt idx="326">
                  <c:v>11.768000000000001</c:v>
                </c:pt>
                <c:pt idx="327">
                  <c:v>1.76</c:v>
                </c:pt>
                <c:pt idx="328">
                  <c:v>17.196000000000002</c:v>
                </c:pt>
                <c:pt idx="329">
                  <c:v>6.8140000000000001</c:v>
                </c:pt>
                <c:pt idx="330">
                  <c:v>13.941000000000001</c:v>
                </c:pt>
                <c:pt idx="331">
                  <c:v>5.9390000000000001</c:v>
                </c:pt>
                <c:pt idx="332">
                  <c:v>6.8940000000000001</c:v>
                </c:pt>
                <c:pt idx="333">
                  <c:v>19.501999999999999</c:v>
                </c:pt>
                <c:pt idx="334">
                  <c:v>3.8570000000000002</c:v>
                </c:pt>
                <c:pt idx="335">
                  <c:v>8.8170000000000002</c:v>
                </c:pt>
                <c:pt idx="336">
                  <c:v>16.884</c:v>
                </c:pt>
                <c:pt idx="337">
                  <c:v>6.0389999999999997</c:v>
                </c:pt>
                <c:pt idx="338">
                  <c:v>8.9689999999999994</c:v>
                </c:pt>
                <c:pt idx="339">
                  <c:v>12.17</c:v>
                </c:pt>
                <c:pt idx="340">
                  <c:v>5.6240000000000006</c:v>
                </c:pt>
                <c:pt idx="341">
                  <c:v>9.25</c:v>
                </c:pt>
                <c:pt idx="342">
                  <c:v>8.370000000000001</c:v>
                </c:pt>
                <c:pt idx="343">
                  <c:v>1.9430000000000001</c:v>
                </c:pt>
                <c:pt idx="344">
                  <c:v>14.031000000000001</c:v>
                </c:pt>
                <c:pt idx="345">
                  <c:v>23.574999999999999</c:v>
                </c:pt>
                <c:pt idx="346">
                  <c:v>24.747</c:v>
                </c:pt>
                <c:pt idx="347">
                  <c:v>23.778000000000002</c:v>
                </c:pt>
                <c:pt idx="348">
                  <c:v>23.19</c:v>
                </c:pt>
                <c:pt idx="349">
                  <c:v>24.922000000000001</c:v>
                </c:pt>
                <c:pt idx="350">
                  <c:v>25.428000000000001</c:v>
                </c:pt>
                <c:pt idx="351">
                  <c:v>25.34</c:v>
                </c:pt>
                <c:pt idx="352">
                  <c:v>25.097000000000001</c:v>
                </c:pt>
                <c:pt idx="353">
                  <c:v>22.269000000000002</c:v>
                </c:pt>
                <c:pt idx="354">
                  <c:v>16.600000000000001</c:v>
                </c:pt>
                <c:pt idx="355">
                  <c:v>24.882000000000001</c:v>
                </c:pt>
                <c:pt idx="356">
                  <c:v>5.87</c:v>
                </c:pt>
                <c:pt idx="357">
                  <c:v>11.76</c:v>
                </c:pt>
                <c:pt idx="358">
                  <c:v>8.8330000000000002</c:v>
                </c:pt>
                <c:pt idx="359">
                  <c:v>11.047000000000001</c:v>
                </c:pt>
                <c:pt idx="360">
                  <c:v>10.006</c:v>
                </c:pt>
                <c:pt idx="361">
                  <c:v>4.3529999999999998</c:v>
                </c:pt>
                <c:pt idx="362">
                  <c:v>3.9250000000000003</c:v>
                </c:pt>
                <c:pt idx="363">
                  <c:v>16.141000000000002</c:v>
                </c:pt>
                <c:pt idx="364">
                  <c:v>25.400000000000002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3128"/>
        <c:axId val="201613520"/>
      </c:lineChart>
      <c:dateAx>
        <c:axId val="201613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1613520"/>
        <c:crosses val="autoZero"/>
        <c:auto val="1"/>
        <c:lblOffset val="100"/>
        <c:baseTimeUnit val="days"/>
        <c:majorUnit val="1"/>
        <c:majorTimeUnit val="months"/>
      </c:dateAx>
      <c:valAx>
        <c:axId val="20161352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161312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2.0222567273544878E-2</c:v>
                </c:pt>
                <c:pt idx="1">
                  <c:v>2.0241344484519974E-2</c:v>
                </c:pt>
                <c:pt idx="2">
                  <c:v>2.026012133563404E-2</c:v>
                </c:pt>
                <c:pt idx="3">
                  <c:v>2.0278897826894071E-2</c:v>
                </c:pt>
                <c:pt idx="4">
                  <c:v>2.0297673958306839E-2</c:v>
                </c:pt>
                <c:pt idx="5">
                  <c:v>2.0316449729879449E-2</c:v>
                </c:pt>
                <c:pt idx="6">
                  <c:v>2.0335225141618674E-2</c:v>
                </c:pt>
                <c:pt idx="7">
                  <c:v>2.0354000193531396E-2</c:v>
                </c:pt>
                <c:pt idx="8">
                  <c:v>2.0372774885624501E-2</c:v>
                </c:pt>
                <c:pt idx="9">
                  <c:v>2.039154921790487E-2</c:v>
                </c:pt>
                <c:pt idx="10">
                  <c:v>2.0410323190379498E-2</c:v>
                </c:pt>
                <c:pt idx="11">
                  <c:v>2.0429096803055269E-2</c:v>
                </c:pt>
                <c:pt idx="12">
                  <c:v>2.0447870055939066E-2</c:v>
                </c:pt>
                <c:pt idx="13">
                  <c:v>2.0466642949037661E-2</c:v>
                </c:pt>
                <c:pt idx="14">
                  <c:v>2.0485415482358049E-2</c:v>
                </c:pt>
                <c:pt idx="15">
                  <c:v>2.0504187655907113E-2</c:v>
                </c:pt>
                <c:pt idx="16">
                  <c:v>2.0522959469691848E-2</c:v>
                </c:pt>
                <c:pt idx="17">
                  <c:v>2.0541730923718915E-2</c:v>
                </c:pt>
                <c:pt idx="18">
                  <c:v>2.0560502017995419E-2</c:v>
                </c:pt>
                <c:pt idx="19">
                  <c:v>2.0579272752528244E-2</c:v>
                </c:pt>
                <c:pt idx="20">
                  <c:v>2.0598043127324162E-2</c:v>
                </c:pt>
                <c:pt idx="21">
                  <c:v>2.0616813142390167E-2</c:v>
                </c:pt>
                <c:pt idx="22">
                  <c:v>2.0635582797733032E-2</c:v>
                </c:pt>
                <c:pt idx="23">
                  <c:v>2.0654352093359751E-2</c:v>
                </c:pt>
                <c:pt idx="24">
                  <c:v>2.0673121029277319E-2</c:v>
                </c:pt>
                <c:pt idx="25">
                  <c:v>2.0691889605492397E-2</c:v>
                </c:pt>
                <c:pt idx="26">
                  <c:v>2.071065782201198E-2</c:v>
                </c:pt>
                <c:pt idx="27">
                  <c:v>2.0729425678843061E-2</c:v>
                </c:pt>
                <c:pt idx="28">
                  <c:v>2.0748193175992413E-2</c:v>
                </c:pt>
                <c:pt idx="29">
                  <c:v>2.076696031346692E-2</c:v>
                </c:pt>
                <c:pt idx="30">
                  <c:v>2.0785727091273576E-2</c:v>
                </c:pt>
                <c:pt idx="31">
                  <c:v>2.0804493509419153E-2</c:v>
                </c:pt>
                <c:pt idx="32">
                  <c:v>2.0823259567910646E-2</c:v>
                </c:pt>
                <c:pt idx="33">
                  <c:v>2.0842025266754938E-2</c:v>
                </c:pt>
                <c:pt idx="34">
                  <c:v>2.0860790605958912E-2</c:v>
                </c:pt>
                <c:pt idx="35">
                  <c:v>2.0879555585529341E-2</c:v>
                </c:pt>
                <c:pt idx="36">
                  <c:v>2.0898320205473331E-2</c:v>
                </c:pt>
                <c:pt idx="37">
                  <c:v>2.0917084465797542E-2</c:v>
                </c:pt>
                <c:pt idx="38">
                  <c:v>2.093584836650908E-2</c:v>
                </c:pt>
                <c:pt idx="39">
                  <c:v>2.0954611907614717E-2</c:v>
                </c:pt>
                <c:pt idx="40">
                  <c:v>2.0973375089121338E-2</c:v>
                </c:pt>
                <c:pt idx="41">
                  <c:v>2.0992137911035935E-2</c:v>
                </c:pt>
                <c:pt idx="42">
                  <c:v>2.1010900373365282E-2</c:v>
                </c:pt>
                <c:pt idx="43">
                  <c:v>2.1029662476116262E-2</c:v>
                </c:pt>
                <c:pt idx="44">
                  <c:v>2.104842421929598E-2</c:v>
                </c:pt>
                <c:pt idx="45">
                  <c:v>2.1067185602910987E-2</c:v>
                </c:pt>
                <c:pt idx="46">
                  <c:v>2.1085946626968499E-2</c:v>
                </c:pt>
                <c:pt idx="47">
                  <c:v>2.1104707291475178E-2</c:v>
                </c:pt>
                <c:pt idx="48">
                  <c:v>2.1123467596438017E-2</c:v>
                </c:pt>
                <c:pt idx="49">
                  <c:v>2.1142227541863901E-2</c:v>
                </c:pt>
                <c:pt idx="50">
                  <c:v>2.1160987127759712E-2</c:v>
                </c:pt>
                <c:pt idx="51">
                  <c:v>2.1179746354132334E-2</c:v>
                </c:pt>
                <c:pt idx="52">
                  <c:v>2.1198505220988761E-2</c:v>
                </c:pt>
                <c:pt idx="53">
                  <c:v>2.1217263728335656E-2</c:v>
                </c:pt>
                <c:pt idx="54">
                  <c:v>2.1236021876180122E-2</c:v>
                </c:pt>
                <c:pt idx="55">
                  <c:v>2.1254779664528822E-2</c:v>
                </c:pt>
                <c:pt idx="56">
                  <c:v>2.1273537093388972E-2</c:v>
                </c:pt>
                <c:pt idx="57">
                  <c:v>2.1292294162767123E-2</c:v>
                </c:pt>
                <c:pt idx="58">
                  <c:v>2.1311050872670378E-2</c:v>
                </c:pt>
                <c:pt idx="59">
                  <c:v>2.1329807223105623E-2</c:v>
                </c:pt>
                <c:pt idx="60">
                  <c:v>2.134856321407963E-2</c:v>
                </c:pt>
                <c:pt idx="61">
                  <c:v>2.1367318845599392E-2</c:v>
                </c:pt>
                <c:pt idx="62">
                  <c:v>2.1386074117671683E-2</c:v>
                </c:pt>
                <c:pt idx="63">
                  <c:v>2.1404829030303496E-2</c:v>
                </c:pt>
                <c:pt idx="64">
                  <c:v>2.1423583583501715E-2</c:v>
                </c:pt>
                <c:pt idx="65">
                  <c:v>2.1442337777273113E-2</c:v>
                </c:pt>
                <c:pt idx="66">
                  <c:v>2.1461091611624794E-2</c:v>
                </c:pt>
                <c:pt idx="67">
                  <c:v>2.1479845086563421E-2</c:v>
                </c:pt>
                <c:pt idx="68">
                  <c:v>2.1498598202096098E-2</c:v>
                </c:pt>
                <c:pt idx="69">
                  <c:v>2.1517350958229486E-2</c:v>
                </c:pt>
                <c:pt idx="70">
                  <c:v>2.1536103354970582E-2</c:v>
                </c:pt>
                <c:pt idx="71">
                  <c:v>2.1554855392326266E-2</c:v>
                </c:pt>
                <c:pt idx="72">
                  <c:v>2.1573607070303535E-2</c:v>
                </c:pt>
                <c:pt idx="73">
                  <c:v>2.159235838890905E-2</c:v>
                </c:pt>
                <c:pt idx="74">
                  <c:v>2.1611109348149915E-2</c:v>
                </c:pt>
                <c:pt idx="75">
                  <c:v>2.1629859948032792E-2</c:v>
                </c:pt>
                <c:pt idx="76">
                  <c:v>2.1648610188564898E-2</c:v>
                </c:pt>
                <c:pt idx="77">
                  <c:v>2.1667360069752784E-2</c:v>
                </c:pt>
                <c:pt idx="78">
                  <c:v>2.1686109591603442E-2</c:v>
                </c:pt>
                <c:pt idx="79">
                  <c:v>2.1704858754123868E-2</c:v>
                </c:pt>
                <c:pt idx="80">
                  <c:v>2.1723607557320834E-2</c:v>
                </c:pt>
                <c:pt idx="81">
                  <c:v>2.1742356001201335E-2</c:v>
                </c:pt>
                <c:pt idx="82">
                  <c:v>2.1761104085772143E-2</c:v>
                </c:pt>
                <c:pt idx="83">
                  <c:v>2.1779851811040141E-2</c:v>
                </c:pt>
                <c:pt idx="84">
                  <c:v>2.1798599177012323E-2</c:v>
                </c:pt>
                <c:pt idx="85">
                  <c:v>2.1817346183695463E-2</c:v>
                </c:pt>
                <c:pt idx="86">
                  <c:v>2.1836092831096554E-2</c:v>
                </c:pt>
                <c:pt idx="87">
                  <c:v>2.1854839119222369E-2</c:v>
                </c:pt>
                <c:pt idx="88">
                  <c:v>2.1873585048079902E-2</c:v>
                </c:pt>
                <c:pt idx="89">
                  <c:v>2.1892330617676037E-2</c:v>
                </c:pt>
                <c:pt idx="90">
                  <c:v>2.1911075828017434E-2</c:v>
                </c:pt>
                <c:pt idx="91">
                  <c:v>2.1929820679111311E-2</c:v>
                </c:pt>
                <c:pt idx="92">
                  <c:v>2.1948565170964329E-2</c:v>
                </c:pt>
                <c:pt idx="93">
                  <c:v>2.1967309303583371E-2</c:v>
                </c:pt>
                <c:pt idx="94">
                  <c:v>2.1986053076975542E-2</c:v>
                </c:pt>
                <c:pt idx="95">
                  <c:v>2.2004796491147394E-2</c:v>
                </c:pt>
                <c:pt idx="96">
                  <c:v>2.2023539546106141E-2</c:v>
                </c:pt>
                <c:pt idx="97">
                  <c:v>2.2042282241858446E-2</c:v>
                </c:pt>
                <c:pt idx="98">
                  <c:v>2.2061024578411303E-2</c:v>
                </c:pt>
                <c:pt idx="99">
                  <c:v>2.2079766555771485E-2</c:v>
                </c:pt>
                <c:pt idx="100">
                  <c:v>2.2098508173945985E-2</c:v>
                </c:pt>
                <c:pt idx="101">
                  <c:v>2.2117249432941688E-2</c:v>
                </c:pt>
                <c:pt idx="102">
                  <c:v>2.2135990332765365E-2</c:v>
                </c:pt>
                <c:pt idx="103">
                  <c:v>2.2154730873424011E-2</c:v>
                </c:pt>
                <c:pt idx="104">
                  <c:v>2.217347105492451E-2</c:v>
                </c:pt>
                <c:pt idx="105">
                  <c:v>2.2192210877273633E-2</c:v>
                </c:pt>
                <c:pt idx="106">
                  <c:v>2.2210950340478375E-2</c:v>
                </c:pt>
                <c:pt idx="107">
                  <c:v>2.2229689444545508E-2</c:v>
                </c:pt>
                <c:pt idx="108">
                  <c:v>2.2248428189482139E-2</c:v>
                </c:pt>
                <c:pt idx="109">
                  <c:v>2.2267166575294817E-2</c:v>
                </c:pt>
                <c:pt idx="110">
                  <c:v>2.2285904601990758E-2</c:v>
                </c:pt>
                <c:pt idx="111">
                  <c:v>2.2304642269576624E-2</c:v>
                </c:pt>
                <c:pt idx="112">
                  <c:v>2.2323379578059299E-2</c:v>
                </c:pt>
                <c:pt idx="113">
                  <c:v>2.2342116527445888E-2</c:v>
                </c:pt>
                <c:pt idx="114">
                  <c:v>2.2360853117743051E-2</c:v>
                </c:pt>
                <c:pt idx="115">
                  <c:v>2.2379589348957674E-2</c:v>
                </c:pt>
                <c:pt idx="116">
                  <c:v>2.2398325221096749E-2</c:v>
                </c:pt>
                <c:pt idx="117">
                  <c:v>2.2417060734167049E-2</c:v>
                </c:pt>
                <c:pt idx="118">
                  <c:v>2.2435795888175569E-2</c:v>
                </c:pt>
                <c:pt idx="119">
                  <c:v>2.2454530683129192E-2</c:v>
                </c:pt>
                <c:pt idx="120">
                  <c:v>2.2473265119034691E-2</c:v>
                </c:pt>
                <c:pt idx="121">
                  <c:v>2.2491999195898948E-2</c:v>
                </c:pt>
                <c:pt idx="122">
                  <c:v>2.2510732913728959E-2</c:v>
                </c:pt>
                <c:pt idx="123">
                  <c:v>2.2529466272531606E-2</c:v>
                </c:pt>
                <c:pt idx="124">
                  <c:v>2.2548199272313552E-2</c:v>
                </c:pt>
                <c:pt idx="125">
                  <c:v>2.25669319130819E-2</c:v>
                </c:pt>
                <c:pt idx="126">
                  <c:v>2.2585664194843535E-2</c:v>
                </c:pt>
                <c:pt idx="127">
                  <c:v>2.2604396117605119E-2</c:v>
                </c:pt>
                <c:pt idx="128">
                  <c:v>2.2623127681373756E-2</c:v>
                </c:pt>
                <c:pt idx="129">
                  <c:v>2.264185888615633E-2</c:v>
                </c:pt>
                <c:pt idx="130">
                  <c:v>2.2660589731959502E-2</c:v>
                </c:pt>
                <c:pt idx="131">
                  <c:v>2.2679320218790378E-2</c:v>
                </c:pt>
                <c:pt idx="132">
                  <c:v>2.2698050346655729E-2</c:v>
                </c:pt>
                <c:pt idx="133">
                  <c:v>2.2716780115562329E-2</c:v>
                </c:pt>
                <c:pt idx="134">
                  <c:v>2.2735509525517283E-2</c:v>
                </c:pt>
                <c:pt idx="135">
                  <c:v>2.2754238576527475E-2</c:v>
                </c:pt>
                <c:pt idx="136">
                  <c:v>2.2772967268599564E-2</c:v>
                </c:pt>
                <c:pt idx="137">
                  <c:v>2.2791695601740547E-2</c:v>
                </c:pt>
                <c:pt idx="138">
                  <c:v>2.2810423575957306E-2</c:v>
                </c:pt>
                <c:pt idx="139">
                  <c:v>2.2829151191256614E-2</c:v>
                </c:pt>
                <c:pt idx="140">
                  <c:v>2.2847878447645575E-2</c:v>
                </c:pt>
                <c:pt idx="141">
                  <c:v>2.2866605345130853E-2</c:v>
                </c:pt>
                <c:pt idx="142">
                  <c:v>2.2885331883719551E-2</c:v>
                </c:pt>
                <c:pt idx="143">
                  <c:v>2.2904058063418331E-2</c:v>
                </c:pt>
                <c:pt idx="144">
                  <c:v>2.2922783884234077E-2</c:v>
                </c:pt>
                <c:pt idx="145">
                  <c:v>2.2941509346173783E-2</c:v>
                </c:pt>
                <c:pt idx="146">
                  <c:v>2.2960234449244332E-2</c:v>
                </c:pt>
                <c:pt idx="147">
                  <c:v>2.2978959193452497E-2</c:v>
                </c:pt>
                <c:pt idx="148">
                  <c:v>2.2997683578805272E-2</c:v>
                </c:pt>
                <c:pt idx="149">
                  <c:v>2.301640760530943E-2</c:v>
                </c:pt>
                <c:pt idx="150">
                  <c:v>2.3035131272971854E-2</c:v>
                </c:pt>
                <c:pt idx="151">
                  <c:v>2.3053854581799538E-2</c:v>
                </c:pt>
                <c:pt idx="152">
                  <c:v>2.3072577531799254E-2</c:v>
                </c:pt>
                <c:pt idx="153">
                  <c:v>2.3091300122977887E-2</c:v>
                </c:pt>
                <c:pt idx="154">
                  <c:v>2.3110022355342319E-2</c:v>
                </c:pt>
                <c:pt idx="155">
                  <c:v>2.3128744228899434E-2</c:v>
                </c:pt>
                <c:pt idx="156">
                  <c:v>2.3147465743656226E-2</c:v>
                </c:pt>
                <c:pt idx="157">
                  <c:v>2.3166186899619357E-2</c:v>
                </c:pt>
                <c:pt idx="158">
                  <c:v>2.318490769679582E-2</c:v>
                </c:pt>
                <c:pt idx="159">
                  <c:v>2.32036281351925E-2</c:v>
                </c:pt>
                <c:pt idx="160">
                  <c:v>2.3222348214816169E-2</c:v>
                </c:pt>
                <c:pt idx="161">
                  <c:v>2.324106793567382E-2</c:v>
                </c:pt>
                <c:pt idx="162">
                  <c:v>2.3259787297772339E-2</c:v>
                </c:pt>
                <c:pt idx="163">
                  <c:v>2.3278506301118496E-2</c:v>
                </c:pt>
                <c:pt idx="164">
                  <c:v>2.3297224945719286E-2</c:v>
                </c:pt>
                <c:pt idx="165">
                  <c:v>2.3315943231581482E-2</c:v>
                </c:pt>
                <c:pt idx="166">
                  <c:v>2.3334661158711967E-2</c:v>
                </c:pt>
                <c:pt idx="167">
                  <c:v>2.3353378727117735E-2</c:v>
                </c:pt>
                <c:pt idx="168">
                  <c:v>2.3372095936805559E-2</c:v>
                </c:pt>
                <c:pt idx="169">
                  <c:v>2.3390812787782322E-2</c:v>
                </c:pt>
                <c:pt idx="170">
                  <c:v>2.3409529280054797E-2</c:v>
                </c:pt>
                <c:pt idx="171">
                  <c:v>2.3428245413630089E-2</c:v>
                </c:pt>
                <c:pt idx="172">
                  <c:v>2.344696118851497E-2</c:v>
                </c:pt>
                <c:pt idx="173">
                  <c:v>2.3465676604716212E-2</c:v>
                </c:pt>
                <c:pt idx="174">
                  <c:v>2.3484391662240811E-2</c:v>
                </c:pt>
                <c:pt idx="175">
                  <c:v>2.3503106361095538E-2</c:v>
                </c:pt>
                <c:pt idx="176">
                  <c:v>2.3521820701287388E-2</c:v>
                </c:pt>
                <c:pt idx="177">
                  <c:v>2.3540534682823244E-2</c:v>
                </c:pt>
                <c:pt idx="178">
                  <c:v>2.3559248305709768E-2</c:v>
                </c:pt>
                <c:pt idx="179">
                  <c:v>2.3577961569954065E-2</c:v>
                </c:pt>
                <c:pt idx="180">
                  <c:v>2.3596674475562907E-2</c:v>
                </c:pt>
                <c:pt idx="181">
                  <c:v>2.3615387022543177E-2</c:v>
                </c:pt>
                <c:pt idx="182">
                  <c:v>2.363409921090176E-2</c:v>
                </c:pt>
                <c:pt idx="183">
                  <c:v>2.3652811040645538E-2</c:v>
                </c:pt>
                <c:pt idx="184">
                  <c:v>2.3671522511781395E-2</c:v>
                </c:pt>
                <c:pt idx="185">
                  <c:v>2.3690233624316104E-2</c:v>
                </c:pt>
                <c:pt idx="186">
                  <c:v>2.3708944378256658E-2</c:v>
                </c:pt>
                <c:pt idx="187">
                  <c:v>2.372765477360983E-2</c:v>
                </c:pt>
                <c:pt idx="188">
                  <c:v>2.3746364810382614E-2</c:v>
                </c:pt>
                <c:pt idx="189">
                  <c:v>2.3765074488581783E-2</c:v>
                </c:pt>
                <c:pt idx="190">
                  <c:v>2.3783783808214221E-2</c:v>
                </c:pt>
                <c:pt idx="191">
                  <c:v>2.3802492769286809E-2</c:v>
                </c:pt>
                <c:pt idx="192">
                  <c:v>2.3821201371806433E-2</c:v>
                </c:pt>
                <c:pt idx="193">
                  <c:v>2.3839909615779975E-2</c:v>
                </c:pt>
                <c:pt idx="194">
                  <c:v>2.3858617501214319E-2</c:v>
                </c:pt>
                <c:pt idx="195">
                  <c:v>2.3877325028116236E-2</c:v>
                </c:pt>
                <c:pt idx="196">
                  <c:v>2.3896032196492722E-2</c:v>
                </c:pt>
                <c:pt idx="197">
                  <c:v>2.3914739006350549E-2</c:v>
                </c:pt>
                <c:pt idx="198">
                  <c:v>2.3933445457696712E-2</c:v>
                </c:pt>
                <c:pt idx="199">
                  <c:v>2.3952151550537981E-2</c:v>
                </c:pt>
                <c:pt idx="200">
                  <c:v>2.3970857284881242E-2</c:v>
                </c:pt>
                <c:pt idx="201">
                  <c:v>2.3989562660733266E-2</c:v>
                </c:pt>
                <c:pt idx="202">
                  <c:v>2.4008267678101158E-2</c:v>
                </c:pt>
                <c:pt idx="203">
                  <c:v>2.4026972336991581E-2</c:v>
                </c:pt>
                <c:pt idx="204">
                  <c:v>2.4045676637411528E-2</c:v>
                </c:pt>
                <c:pt idx="205">
                  <c:v>2.4064380579367772E-2</c:v>
                </c:pt>
                <c:pt idx="206">
                  <c:v>2.4083084162867308E-2</c:v>
                </c:pt>
                <c:pt idx="207">
                  <c:v>2.4101787387916906E-2</c:v>
                </c:pt>
                <c:pt idx="208">
                  <c:v>2.4120490254523452E-2</c:v>
                </c:pt>
                <c:pt idx="209">
                  <c:v>2.4139192762693829E-2</c:v>
                </c:pt>
                <c:pt idx="210">
                  <c:v>2.4157894912434918E-2</c:v>
                </c:pt>
                <c:pt idx="211">
                  <c:v>2.4176596703753495E-2</c:v>
                </c:pt>
                <c:pt idx="212">
                  <c:v>2.4195298136656662E-2</c:v>
                </c:pt>
                <c:pt idx="213">
                  <c:v>2.4213999211150972E-2</c:v>
                </c:pt>
                <c:pt idx="214">
                  <c:v>2.4232699927243528E-2</c:v>
                </c:pt>
                <c:pt idx="215">
                  <c:v>2.4251400284941216E-2</c:v>
                </c:pt>
                <c:pt idx="216">
                  <c:v>2.4270100284250695E-2</c:v>
                </c:pt>
                <c:pt idx="217">
                  <c:v>2.4288799925178961E-2</c:v>
                </c:pt>
                <c:pt idx="218">
                  <c:v>2.4307499207732897E-2</c:v>
                </c:pt>
                <c:pt idx="219">
                  <c:v>2.4326198131919385E-2</c:v>
                </c:pt>
                <c:pt idx="220">
                  <c:v>2.43448966977452E-2</c:v>
                </c:pt>
                <c:pt idx="221">
                  <c:v>2.4363594905217334E-2</c:v>
                </c:pt>
                <c:pt idx="222">
                  <c:v>2.4382292754342449E-2</c:v>
                </c:pt>
                <c:pt idx="223">
                  <c:v>2.4400990245127652E-2</c:v>
                </c:pt>
                <c:pt idx="224">
                  <c:v>2.4419687377579713E-2</c:v>
                </c:pt>
                <c:pt idx="225">
                  <c:v>2.4438384151705517E-2</c:v>
                </c:pt>
                <c:pt idx="226">
                  <c:v>2.4457080567511835E-2</c:v>
                </c:pt>
                <c:pt idx="227">
                  <c:v>2.4475776625005663E-2</c:v>
                </c:pt>
                <c:pt idx="228">
                  <c:v>2.4494472324193883E-2</c:v>
                </c:pt>
                <c:pt idx="229">
                  <c:v>2.4513167665083158E-2</c:v>
                </c:pt>
                <c:pt idx="230">
                  <c:v>2.4531862647680591E-2</c:v>
                </c:pt>
                <c:pt idx="231">
                  <c:v>2.4550557271992846E-2</c:v>
                </c:pt>
                <c:pt idx="232">
                  <c:v>2.4569251538026915E-2</c:v>
                </c:pt>
                <c:pt idx="233">
                  <c:v>2.4587945445789683E-2</c:v>
                </c:pt>
                <c:pt idx="234">
                  <c:v>2.4606638995288033E-2</c:v>
                </c:pt>
                <c:pt idx="235">
                  <c:v>2.4625332186528626E-2</c:v>
                </c:pt>
                <c:pt idx="236">
                  <c:v>2.4644025019518567E-2</c:v>
                </c:pt>
                <c:pt idx="237">
                  <c:v>2.466271749426463E-2</c:v>
                </c:pt>
                <c:pt idx="238">
                  <c:v>2.4681409610773697E-2</c:v>
                </c:pt>
                <c:pt idx="239">
                  <c:v>2.4700101369052541E-2</c:v>
                </c:pt>
                <c:pt idx="240">
                  <c:v>2.4718792769108155E-2</c:v>
                </c:pt>
                <c:pt idx="241">
                  <c:v>2.4737483810947314E-2</c:v>
                </c:pt>
                <c:pt idx="242">
                  <c:v>2.475617449457701E-2</c:v>
                </c:pt>
                <c:pt idx="243">
                  <c:v>2.4774864820003906E-2</c:v>
                </c:pt>
                <c:pt idx="244">
                  <c:v>2.4793554787234995E-2</c:v>
                </c:pt>
                <c:pt idx="245">
                  <c:v>2.4812244396277161E-2</c:v>
                </c:pt>
                <c:pt idx="246">
                  <c:v>2.4830933647137288E-2</c:v>
                </c:pt>
                <c:pt idx="247">
                  <c:v>2.4849622539822036E-2</c:v>
                </c:pt>
                <c:pt idx="248">
                  <c:v>2.4868311074338512E-2</c:v>
                </c:pt>
                <c:pt idx="249">
                  <c:v>2.4886999250693487E-2</c:v>
                </c:pt>
                <c:pt idx="250">
                  <c:v>2.4905687068893845E-2</c:v>
                </c:pt>
                <c:pt idx="251">
                  <c:v>2.4924374528946469E-2</c:v>
                </c:pt>
                <c:pt idx="252">
                  <c:v>2.4943061630858132E-2</c:v>
                </c:pt>
                <c:pt idx="253">
                  <c:v>2.4961748374635717E-2</c:v>
                </c:pt>
                <c:pt idx="254">
                  <c:v>2.4980434760286108E-2</c:v>
                </c:pt>
                <c:pt idx="255">
                  <c:v>2.4999120787816187E-2</c:v>
                </c:pt>
                <c:pt idx="256">
                  <c:v>2.5017806457232838E-2</c:v>
                </c:pt>
                <c:pt idx="257">
                  <c:v>2.5036491768542946E-2</c:v>
                </c:pt>
                <c:pt idx="258">
                  <c:v>2.5055176721753281E-2</c:v>
                </c:pt>
                <c:pt idx="259">
                  <c:v>2.5073861316870727E-2</c:v>
                </c:pt>
                <c:pt idx="260">
                  <c:v>2.5092545553902279E-2</c:v>
                </c:pt>
                <c:pt idx="261">
                  <c:v>2.5111229432854598E-2</c:v>
                </c:pt>
                <c:pt idx="262">
                  <c:v>2.5129912953734568E-2</c:v>
                </c:pt>
                <c:pt idx="263">
                  <c:v>2.5148596116549182E-2</c:v>
                </c:pt>
                <c:pt idx="264">
                  <c:v>2.5167278921305325E-2</c:v>
                </c:pt>
                <c:pt idx="265">
                  <c:v>2.5185961368009657E-2</c:v>
                </c:pt>
                <c:pt idx="266">
                  <c:v>2.5204643456669285E-2</c:v>
                </c:pt>
                <c:pt idx="267">
                  <c:v>2.5223325187290868E-2</c:v>
                </c:pt>
                <c:pt idx="268">
                  <c:v>2.5242006559881403E-2</c:v>
                </c:pt>
                <c:pt idx="269">
                  <c:v>2.5260687574447549E-2</c:v>
                </c:pt>
                <c:pt idx="270">
                  <c:v>2.5279368230996413E-2</c:v>
                </c:pt>
                <c:pt idx="271">
                  <c:v>2.5298048529534767E-2</c:v>
                </c:pt>
                <c:pt idx="272">
                  <c:v>2.5316728470069494E-2</c:v>
                </c:pt>
                <c:pt idx="273">
                  <c:v>2.5335408052607367E-2</c:v>
                </c:pt>
                <c:pt idx="274">
                  <c:v>2.5354087277155268E-2</c:v>
                </c:pt>
                <c:pt idx="275">
                  <c:v>2.5372766143720193E-2</c:v>
                </c:pt>
                <c:pt idx="276">
                  <c:v>2.5391444652308803E-2</c:v>
                </c:pt>
                <c:pt idx="277">
                  <c:v>2.5410122802928092E-2</c:v>
                </c:pt>
                <c:pt idx="278">
                  <c:v>2.5428800595584944E-2</c:v>
                </c:pt>
                <c:pt idx="279">
                  <c:v>2.544747803028613E-2</c:v>
                </c:pt>
                <c:pt idx="280">
                  <c:v>2.5466155107038535E-2</c:v>
                </c:pt>
                <c:pt idx="281">
                  <c:v>2.548483182584893E-2</c:v>
                </c:pt>
                <c:pt idx="282">
                  <c:v>2.5503508186724422E-2</c:v>
                </c:pt>
                <c:pt idx="283">
                  <c:v>2.552218418967156E-2</c:v>
                </c:pt>
                <c:pt idx="284">
                  <c:v>2.5540859834697449E-2</c:v>
                </c:pt>
                <c:pt idx="285">
                  <c:v>2.5559535121808863E-2</c:v>
                </c:pt>
                <c:pt idx="286">
                  <c:v>2.5578210051012684E-2</c:v>
                </c:pt>
                <c:pt idx="287">
                  <c:v>2.5596884622315685E-2</c:v>
                </c:pt>
                <c:pt idx="288">
                  <c:v>2.5615558835724861E-2</c:v>
                </c:pt>
                <c:pt idx="289">
                  <c:v>2.5634232691246983E-2</c:v>
                </c:pt>
                <c:pt idx="290">
                  <c:v>2.5652906188888935E-2</c:v>
                </c:pt>
                <c:pt idx="291">
                  <c:v>2.567157932865749E-2</c:v>
                </c:pt>
                <c:pt idx="292">
                  <c:v>2.5690252110559642E-2</c:v>
                </c:pt>
                <c:pt idx="293">
                  <c:v>2.5708924534602162E-2</c:v>
                </c:pt>
                <c:pt idx="294">
                  <c:v>2.5727596600791935E-2</c:v>
                </c:pt>
                <c:pt idx="295">
                  <c:v>2.5746268309135845E-2</c:v>
                </c:pt>
                <c:pt idx="296">
                  <c:v>2.5764939659640662E-2</c:v>
                </c:pt>
                <c:pt idx="297">
                  <c:v>2.5783610652313382E-2</c:v>
                </c:pt>
                <c:pt idx="298">
                  <c:v>2.5802281287160778E-2</c:v>
                </c:pt>
                <c:pt idx="299">
                  <c:v>2.582095156418962E-2</c:v>
                </c:pt>
                <c:pt idx="300">
                  <c:v>2.5839621483407016E-2</c:v>
                </c:pt>
                <c:pt idx="301">
                  <c:v>2.5858291044819515E-2</c:v>
                </c:pt>
                <c:pt idx="302">
                  <c:v>2.5876960248434222E-2</c:v>
                </c:pt>
                <c:pt idx="303">
                  <c:v>2.589562909425791E-2</c:v>
                </c:pt>
                <c:pt idx="304">
                  <c:v>2.5914297582297352E-2</c:v>
                </c:pt>
                <c:pt idx="305">
                  <c:v>2.5932965712559541E-2</c:v>
                </c:pt>
                <c:pt idx="306">
                  <c:v>2.5951633485051251E-2</c:v>
                </c:pt>
                <c:pt idx="307">
                  <c:v>2.5970300899779364E-2</c:v>
                </c:pt>
                <c:pt idx="308">
                  <c:v>2.5988967956750764E-2</c:v>
                </c:pt>
                <c:pt idx="309">
                  <c:v>2.6007634655972223E-2</c:v>
                </c:pt>
                <c:pt idx="310">
                  <c:v>2.6026300997450735E-2</c:v>
                </c:pt>
                <c:pt idx="311">
                  <c:v>2.6044966981192963E-2</c:v>
                </c:pt>
                <c:pt idx="312">
                  <c:v>2.60636326072059E-2</c:v>
                </c:pt>
                <c:pt idx="313">
                  <c:v>2.608229787549643E-2</c:v>
                </c:pt>
                <c:pt idx="314">
                  <c:v>2.6100962786071324E-2</c:v>
                </c:pt>
                <c:pt idx="315">
                  <c:v>2.6119627338937468E-2</c:v>
                </c:pt>
                <c:pt idx="316">
                  <c:v>2.6138291534101632E-2</c:v>
                </c:pt>
                <c:pt idx="317">
                  <c:v>2.6156955371570811E-2</c:v>
                </c:pt>
                <c:pt idx="318">
                  <c:v>2.6175618851351889E-2</c:v>
                </c:pt>
                <c:pt idx="319">
                  <c:v>2.6194281973451528E-2</c:v>
                </c:pt>
                <c:pt idx="320">
                  <c:v>2.621294473787672E-2</c:v>
                </c:pt>
                <c:pt idx="321">
                  <c:v>2.623160714463435E-2</c:v>
                </c:pt>
                <c:pt idx="322">
                  <c:v>2.6250269193731079E-2</c:v>
                </c:pt>
                <c:pt idx="323">
                  <c:v>2.6268930885174013E-2</c:v>
                </c:pt>
                <c:pt idx="324">
                  <c:v>2.6287592218969813E-2</c:v>
                </c:pt>
                <c:pt idx="325">
                  <c:v>2.6306253195125473E-2</c:v>
                </c:pt>
                <c:pt idx="326">
                  <c:v>2.6324913813647766E-2</c:v>
                </c:pt>
                <c:pt idx="327">
                  <c:v>2.6343574074543463E-2</c:v>
                </c:pt>
                <c:pt idx="328">
                  <c:v>2.6362233977819671E-2</c:v>
                </c:pt>
                <c:pt idx="329">
                  <c:v>2.638089352348294E-2</c:v>
                </c:pt>
                <c:pt idx="330">
                  <c:v>2.6399552711540375E-2</c:v>
                </c:pt>
                <c:pt idx="331">
                  <c:v>2.6418211541998748E-2</c:v>
                </c:pt>
                <c:pt idx="332">
                  <c:v>2.6436870014864833E-2</c:v>
                </c:pt>
                <c:pt idx="333">
                  <c:v>2.6455528130145511E-2</c:v>
                </c:pt>
                <c:pt idx="334">
                  <c:v>2.6474185887847779E-2</c:v>
                </c:pt>
                <c:pt idx="335">
                  <c:v>2.6492843287978296E-2</c:v>
                </c:pt>
                <c:pt idx="336">
                  <c:v>2.6511500330543947E-2</c:v>
                </c:pt>
                <c:pt idx="337">
                  <c:v>2.6530157015551725E-2</c:v>
                </c:pt>
                <c:pt idx="338">
                  <c:v>2.6548813343008404E-2</c:v>
                </c:pt>
                <c:pt idx="339">
                  <c:v>2.6567469312920755E-2</c:v>
                </c:pt>
                <c:pt idx="340">
                  <c:v>2.6586124925295662E-2</c:v>
                </c:pt>
                <c:pt idx="341">
                  <c:v>2.660478018014012E-2</c:v>
                </c:pt>
                <c:pt idx="342">
                  <c:v>2.6623435077460789E-2</c:v>
                </c:pt>
                <c:pt idx="343">
                  <c:v>2.6642089617264664E-2</c:v>
                </c:pt>
                <c:pt idx="344">
                  <c:v>2.6660743799558517E-2</c:v>
                </c:pt>
                <c:pt idx="345">
                  <c:v>2.6679397624349233E-2</c:v>
                </c:pt>
                <c:pt idx="346">
                  <c:v>2.6698051091643693E-2</c:v>
                </c:pt>
                <c:pt idx="347">
                  <c:v>2.6716704201448671E-2</c:v>
                </c:pt>
                <c:pt idx="348">
                  <c:v>2.673535695377105E-2</c:v>
                </c:pt>
                <c:pt idx="349">
                  <c:v>2.6754009348617713E-2</c:v>
                </c:pt>
                <c:pt idx="350">
                  <c:v>2.6772661385995433E-2</c:v>
                </c:pt>
                <c:pt idx="351">
                  <c:v>2.6791313065911093E-2</c:v>
                </c:pt>
                <c:pt idx="352">
                  <c:v>2.6809964388371577E-2</c:v>
                </c:pt>
                <c:pt idx="353">
                  <c:v>2.6828615353383767E-2</c:v>
                </c:pt>
                <c:pt idx="354">
                  <c:v>2.6847265960954436E-2</c:v>
                </c:pt>
                <c:pt idx="355">
                  <c:v>2.6865916211090468E-2</c:v>
                </c:pt>
                <c:pt idx="356">
                  <c:v>2.6884566103798746E-2</c:v>
                </c:pt>
                <c:pt idx="357">
                  <c:v>2.6903215639086042E-2</c:v>
                </c:pt>
                <c:pt idx="358">
                  <c:v>2.6921864816959351E-2</c:v>
                </c:pt>
                <c:pt idx="359">
                  <c:v>2.6940513637425334E-2</c:v>
                </c:pt>
                <c:pt idx="360">
                  <c:v>2.6959162100490874E-2</c:v>
                </c:pt>
                <c:pt idx="361">
                  <c:v>2.6977810206162967E-2</c:v>
                </c:pt>
                <c:pt idx="362">
                  <c:v>2.6996457954448272E-2</c:v>
                </c:pt>
                <c:pt idx="363">
                  <c:v>2.7015105345353785E-2</c:v>
                </c:pt>
                <c:pt idx="364">
                  <c:v>2.7033752378886389E-2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0.10454156999549982</c:v>
                </c:pt>
                <c:pt idx="1">
                  <c:v>0.10464124970841844</c:v>
                </c:pt>
                <c:pt idx="2">
                  <c:v>0.10474091993793998</c:v>
                </c:pt>
                <c:pt idx="3">
                  <c:v>0.10484055741550916</c:v>
                </c:pt>
                <c:pt idx="4">
                  <c:v>0.10494014193952242</c:v>
                </c:pt>
                <c:pt idx="5">
                  <c:v>0.10503965628865188</c:v>
                </c:pt>
                <c:pt idx="6">
                  <c:v>0.10513908611132863</c:v>
                </c:pt>
                <c:pt idx="7">
                  <c:v>0.10523841979324411</c:v>
                </c:pt>
                <c:pt idx="8">
                  <c:v>0.10533764830489477</c:v>
                </c:pt>
                <c:pt idx="9">
                  <c:v>0.10543676503133949</c:v>
                </c:pt>
                <c:pt idx="10">
                  <c:v>0.10553576558646061</c:v>
                </c:pt>
                <c:pt idx="11">
                  <c:v>0.10563464761411503</c:v>
                </c:pt>
                <c:pt idx="12">
                  <c:v>0.10573341057863611</c:v>
                </c:pt>
                <c:pt idx="13">
                  <c:v>0.10583205554719263</c:v>
                </c:pt>
                <c:pt idx="14">
                  <c:v>0.10593058496653392</c:v>
                </c:pt>
                <c:pt idx="15">
                  <c:v>0.10602900243664753</c:v>
                </c:pt>
                <c:pt idx="16">
                  <c:v>0.10612731248382752</c:v>
                </c:pt>
                <c:pt idx="17">
                  <c:v>0.10622552033560037</c:v>
                </c:pt>
                <c:pt idx="18">
                  <c:v>0.10632363169988121</c:v>
                </c:pt>
                <c:pt idx="19">
                  <c:v>0.10642165255063551</c:v>
                </c:pt>
                <c:pt idx="20">
                  <c:v>0.10651958892220444</c:v>
                </c:pt>
                <c:pt idx="21">
                  <c:v>0.10661744671431593</c:v>
                </c:pt>
                <c:pt idx="22">
                  <c:v>0.10671523150964753</c:v>
                </c:pt>
                <c:pt idx="23">
                  <c:v>0.10681294840563975</c:v>
                </c:pt>
                <c:pt idx="24">
                  <c:v>0.10691060186207182</c:v>
                </c:pt>
                <c:pt idx="25">
                  <c:v>0.10700819556571892</c:v>
                </c:pt>
                <c:pt idx="26">
                  <c:v>0.10710573231320292</c:v>
                </c:pt>
                <c:pt idx="27">
                  <c:v>0.1072032139129374</c:v>
                </c:pt>
                <c:pt idx="28">
                  <c:v>0.1073006411068496</c:v>
                </c:pt>
                <c:pt idx="29">
                  <c:v>0.10739801351234247</c:v>
                </c:pt>
                <c:pt idx="30">
                  <c:v>0.10749532958473851</c:v>
                </c:pt>
                <c:pt idx="31">
                  <c:v>0.107592586600229</c:v>
                </c:pt>
                <c:pt idx="32">
                  <c:v>0.10768978065913709</c:v>
                </c:pt>
                <c:pt idx="33">
                  <c:v>0.10778690670909502</c:v>
                </c:pt>
                <c:pt idx="34">
                  <c:v>0.10788395858753465</c:v>
                </c:pt>
                <c:pt idx="35">
                  <c:v>0.10798092908270122</c:v>
                </c:pt>
                <c:pt idx="36">
                  <c:v>0.10807781001222151</c:v>
                </c:pt>
                <c:pt idx="37">
                  <c:v>0.10817459231809307</c:v>
                </c:pt>
                <c:pt idx="38">
                  <c:v>0.10827126617681146</c:v>
                </c:pt>
                <c:pt idx="39">
                  <c:v>0.10836782112321955</c:v>
                </c:pt>
                <c:pt idx="40">
                  <c:v>0.10846424618654731</c:v>
                </c:pt>
                <c:pt idx="41">
                  <c:v>0.10856053003701226</c:v>
                </c:pt>
                <c:pt idx="42">
                  <c:v>0.10865666114127358</c:v>
                </c:pt>
                <c:pt idx="43">
                  <c:v>0.1087526279249733</c:v>
                </c:pt>
                <c:pt idx="44">
                  <c:v>0.10884841894055873</c:v>
                </c:pt>
                <c:pt idx="45">
                  <c:v>0.10894402303856182</c:v>
                </c:pt>
                <c:pt idx="46">
                  <c:v>0.10903942954051013</c:v>
                </c:pt>
                <c:pt idx="47">
                  <c:v>0.10913462841166473</c:v>
                </c:pt>
                <c:pt idx="48">
                  <c:v>0.1092296104318177</c:v>
                </c:pt>
                <c:pt idx="49">
                  <c:v>0.10932436736243796</c:v>
                </c:pt>
                <c:pt idx="50">
                  <c:v>0.10941889210852657</c:v>
                </c:pt>
                <c:pt idx="51">
                  <c:v>0.10951317887363166</c:v>
                </c:pt>
                <c:pt idx="52">
                  <c:v>0.10960722330657495</c:v>
                </c:pt>
                <c:pt idx="53">
                  <c:v>0.10970102263855856</c:v>
                </c:pt>
                <c:pt idx="54">
                  <c:v>0.10979457580944676</c:v>
                </c:pt>
                <c:pt idx="55">
                  <c:v>0.10988788358215491</c:v>
                </c:pt>
                <c:pt idx="56">
                  <c:v>0.10998094864422235</c:v>
                </c:pt>
                <c:pt idx="57">
                  <c:v>0.11007377569579671</c:v>
                </c:pt>
                <c:pt idx="58">
                  <c:v>0.11016637152341273</c:v>
                </c:pt>
                <c:pt idx="59">
                  <c:v>0.11025874505910596</c:v>
                </c:pt>
                <c:pt idx="60">
                  <c:v>0.11035090742456044</c:v>
                </c:pt>
                <c:pt idx="61">
                  <c:v>0.11044287196014613</c:v>
                </c:pt>
                <c:pt idx="62">
                  <c:v>0.11053465423885657</c:v>
                </c:pt>
                <c:pt idx="63">
                  <c:v>0.11062627206530565</c:v>
                </c:pt>
                <c:pt idx="64">
                  <c:v>0.1107177454600861</c:v>
                </c:pt>
                <c:pt idx="65">
                  <c:v>0.1108090966299273</c:v>
                </c:pt>
                <c:pt idx="66">
                  <c:v>0.11090034992421492</c:v>
                </c:pt>
                <c:pt idx="67">
                  <c:v>0.11099153177855127</c:v>
                </c:pt>
                <c:pt idx="68">
                  <c:v>0.11108267064613747</c:v>
                </c:pt>
                <c:pt idx="69">
                  <c:v>0.11117379691785</c:v>
                </c:pt>
                <c:pt idx="70">
                  <c:v>0.11126494283196085</c:v>
                </c:pt>
                <c:pt idx="71">
                  <c:v>0.11135614237451381</c:v>
                </c:pt>
                <c:pt idx="72">
                  <c:v>0.11144743117141787</c:v>
                </c:pt>
                <c:pt idx="73">
                  <c:v>0.11153884637335194</c:v>
                </c:pt>
                <c:pt idx="74">
                  <c:v>0.11163042653459501</c:v>
                </c:pt>
                <c:pt idx="75">
                  <c:v>0.11172221148689751</c:v>
                </c:pt>
                <c:pt idx="76">
                  <c:v>0.11181424220950255</c:v>
                </c:pt>
                <c:pt idx="77">
                  <c:v>0.11190656069639754</c:v>
                </c:pt>
                <c:pt idx="78">
                  <c:v>0.11199920982184204</c:v>
                </c:pt>
                <c:pt idx="79">
                  <c:v>0.11209223320516527</c:v>
                </c:pt>
                <c:pt idx="80">
                  <c:v>0.11218567507576589</c:v>
                </c:pt>
                <c:pt idx="81">
                  <c:v>0.11227958013917418</c:v>
                </c:pt>
                <c:pt idx="82">
                  <c:v>0.11237399344495501</c:v>
                </c:pt>
                <c:pt idx="83">
                  <c:v>0.11246896025714113</c:v>
                </c:pt>
                <c:pt idx="84">
                  <c:v>0.11256452592778948</c:v>
                </c:pt>
                <c:pt idx="85">
                  <c:v>0.11266073577415368</c:v>
                </c:pt>
                <c:pt idx="86">
                  <c:v>0.11275763495986048</c:v>
                </c:pt>
                <c:pt idx="87">
                  <c:v>0.11285526838037259</c:v>
                </c:pt>
                <c:pt idx="88">
                  <c:v>0.11295368055291327</c:v>
                </c:pt>
                <c:pt idx="89">
                  <c:v>0.113052915510924</c:v>
                </c:pt>
                <c:pt idx="90">
                  <c:v>0.11315301670302319</c:v>
                </c:pt>
                <c:pt idx="91">
                  <c:v>0.1132540268963368</c:v>
                </c:pt>
                <c:pt idx="92">
                  <c:v>0.11335598808398013</c:v>
                </c:pt>
                <c:pt idx="93">
                  <c:v>0.11345894139638388</c:v>
                </c:pt>
                <c:pt idx="94">
                  <c:v>0.113562927016083</c:v>
                </c:pt>
                <c:pt idx="95">
                  <c:v>0.11366798409551854</c:v>
                </c:pt>
                <c:pt idx="96">
                  <c:v>0.11377415067734753</c:v>
                </c:pt>
                <c:pt idx="97">
                  <c:v>0.11388146361671055</c:v>
                </c:pt>
                <c:pt idx="98">
                  <c:v>0.11398995850487464</c:v>
                </c:pt>
                <c:pt idx="99">
                  <c:v>0.11409966959364877</c:v>
                </c:pt>
                <c:pt idx="100">
                  <c:v>0.11421062971996253</c:v>
                </c:pt>
                <c:pt idx="101">
                  <c:v>0.11432287023000552</c:v>
                </c:pt>
                <c:pt idx="102">
                  <c:v>0.11443642090234396</c:v>
                </c:pt>
                <c:pt idx="103">
                  <c:v>0.11455130986946473</c:v>
                </c:pt>
                <c:pt idx="104">
                  <c:v>0.11466756353724213</c:v>
                </c:pt>
                <c:pt idx="105">
                  <c:v>0.1147852065018808</c:v>
                </c:pt>
                <c:pt idx="106">
                  <c:v>0.11490426146395789</c:v>
                </c:pt>
                <c:pt idx="107">
                  <c:v>0.11502474913926755</c:v>
                </c:pt>
                <c:pt idx="108">
                  <c:v>0.11514668816626068</c:v>
                </c:pt>
                <c:pt idx="109">
                  <c:v>0.115270095009972</c:v>
                </c:pt>
                <c:pt idx="110">
                  <c:v>0.11539498386243074</c:v>
                </c:pt>
                <c:pt idx="111">
                  <c:v>0.11552136653966487</c:v>
                </c:pt>
                <c:pt idx="112">
                  <c:v>0.11564925237552307</c:v>
                </c:pt>
                <c:pt idx="113">
                  <c:v>0.11577864811265806</c:v>
                </c:pt>
                <c:pt idx="114">
                  <c:v>0.1159095577911354</c:v>
                </c:pt>
                <c:pt idx="115">
                  <c:v>0.11604198263525035</c:v>
                </c:pt>
                <c:pt idx="116">
                  <c:v>0.11617592093925329</c:v>
                </c:pt>
                <c:pt idx="117">
                  <c:v>0.11631136795279787</c:v>
                </c:pt>
                <c:pt idx="118">
                  <c:v>0.11644831576703278</c:v>
                </c:pt>
                <c:pt idx="119">
                  <c:v>0.11658675320236006</c:v>
                </c:pt>
                <c:pt idx="120">
                  <c:v>0.11672666569897377</c:v>
                </c:pt>
                <c:pt idx="121">
                  <c:v>9.1090438694996726E-3</c:v>
                </c:pt>
                <c:pt idx="122">
                  <c:v>9.1980778332248127E-3</c:v>
                </c:pt>
                <c:pt idx="123">
                  <c:v>9.287245085526594E-3</c:v>
                </c:pt>
                <c:pt idx="124">
                  <c:v>9.3765462334675417E-3</c:v>
                </c:pt>
                <c:pt idx="125">
                  <c:v>9.4659814844153013E-3</c:v>
                </c:pt>
                <c:pt idx="126">
                  <c:v>9.5555506285342449E-3</c:v>
                </c:pt>
                <c:pt idx="127">
                  <c:v>9.6452530220878553E-3</c:v>
                </c:pt>
                <c:pt idx="128">
                  <c:v>9.7350875717228287E-3</c:v>
                </c:pt>
                <c:pt idx="129">
                  <c:v>9.8250527199089978E-3</c:v>
                </c:pt>
                <c:pt idx="130">
                  <c:v>9.9151464317113903E-3</c:v>
                </c:pt>
                <c:pt idx="131">
                  <c:v>1.0005366183069977E-2</c:v>
                </c:pt>
                <c:pt idx="132">
                  <c:v>1.0095708950761352E-2</c:v>
                </c:pt>
                <c:pt idx="133">
                  <c:v>1.0186171204211884E-2</c:v>
                </c:pt>
                <c:pt idx="134">
                  <c:v>1.0276748899326265E-2</c:v>
                </c:pt>
                <c:pt idx="135">
                  <c:v>1.0367437474487141E-2</c:v>
                </c:pt>
                <c:pt idx="136">
                  <c:v>1.045823184887122E-2</c:v>
                </c:pt>
                <c:pt idx="137">
                  <c:v>1.0549126423215403E-2</c:v>
                </c:pt>
                <c:pt idx="138">
                  <c:v>1.0640115083152102E-2</c:v>
                </c:pt>
                <c:pt idx="139">
                  <c:v>1.0731191205217344E-2</c:v>
                </c:pt>
                <c:pt idx="140">
                  <c:v>1.0822347665617106E-2</c:v>
                </c:pt>
                <c:pt idx="141">
                  <c:v>1.0913576851818567E-2</c:v>
                </c:pt>
                <c:pt idx="142">
                  <c:v>1.1004870677011773E-2</c:v>
                </c:pt>
                <c:pt idx="143">
                  <c:v>1.1096220597465489E-2</c:v>
                </c:pt>
                <c:pt idx="144">
                  <c:v>1.1187617632777608E-2</c:v>
                </c:pt>
                <c:pt idx="145">
                  <c:v>1.1279052388996735E-2</c:v>
                </c:pt>
                <c:pt idx="146">
                  <c:v>1.137051508456666E-2</c:v>
                </c:pt>
                <c:pt idx="147">
                  <c:v>1.1461995579020537E-2</c:v>
                </c:pt>
                <c:pt idx="148">
                  <c:v>1.1553483404326196E-2</c:v>
                </c:pt>
                <c:pt idx="149">
                  <c:v>1.1644967798758918E-2</c:v>
                </c:pt>
                <c:pt idx="150">
                  <c:v>1.1736437743153279E-2</c:v>
                </c:pt>
                <c:pt idx="151">
                  <c:v>1.1827881999361229E-2</c:v>
                </c:pt>
                <c:pt idx="152">
                  <c:v>1.1919289150720658E-2</c:v>
                </c:pt>
                <c:pt idx="153">
                  <c:v>1.2010647644316251E-2</c:v>
                </c:pt>
                <c:pt idx="154">
                  <c:v>1.2101945834793936E-2</c:v>
                </c:pt>
                <c:pt idx="155">
                  <c:v>1.2193172029470869E-2</c:v>
                </c:pt>
                <c:pt idx="156">
                  <c:v>1.2284314534466141E-2</c:v>
                </c:pt>
                <c:pt idx="157">
                  <c:v>1.2375361701561872E-2</c:v>
                </c:pt>
                <c:pt idx="158">
                  <c:v>1.2466301975491827E-2</c:v>
                </c:pt>
                <c:pt idx="159">
                  <c:v>1.2557123941344298E-2</c:v>
                </c:pt>
                <c:pt idx="160">
                  <c:v>1.2647816371758519E-2</c:v>
                </c:pt>
                <c:pt idx="161">
                  <c:v>1.273836827358862E-2</c:v>
                </c:pt>
                <c:pt idx="162">
                  <c:v>1.2828768933707428E-2</c:v>
                </c:pt>
                <c:pt idx="163">
                  <c:v>1.2919007963623341E-2</c:v>
                </c:pt>
                <c:pt idx="164">
                  <c:v>1.3009075342587209E-2</c:v>
                </c:pt>
                <c:pt idx="165">
                  <c:v>1.309896145887322E-2</c:v>
                </c:pt>
                <c:pt idx="166">
                  <c:v>1.318865714892775E-2</c:v>
                </c:pt>
                <c:pt idx="167">
                  <c:v>1.3278153734092871E-2</c:v>
                </c:pt>
                <c:pt idx="168">
                  <c:v>1.3367443054627011E-2</c:v>
                </c:pt>
                <c:pt idx="169">
                  <c:v>1.3456517500763722E-2</c:v>
                </c:pt>
                <c:pt idx="170">
                  <c:v>1.3545370040570387E-2</c:v>
                </c:pt>
                <c:pt idx="171">
                  <c:v>1.3633994244392546E-2</c:v>
                </c:pt>
                <c:pt idx="172">
                  <c:v>1.3722384305694857E-2</c:v>
                </c:pt>
                <c:pt idx="173">
                  <c:v>1.3810535058137662E-2</c:v>
                </c:pt>
                <c:pt idx="174">
                  <c:v>1.3898441988757627E-2</c:v>
                </c:pt>
                <c:pt idx="175">
                  <c:v>1.3986101247151599E-2</c:v>
                </c:pt>
                <c:pt idx="176">
                  <c:v>1.4073509650595391E-2</c:v>
                </c:pt>
                <c:pt idx="177">
                  <c:v>1.4160664685061828E-2</c:v>
                </c:pt>
                <c:pt idx="178">
                  <c:v>1.4247564502136276E-2</c:v>
                </c:pt>
                <c:pt idx="179">
                  <c:v>1.4334207911861581E-2</c:v>
                </c:pt>
                <c:pt idx="180">
                  <c:v>1.4420594371577885E-2</c:v>
                </c:pt>
                <c:pt idx="181">
                  <c:v>1.4506723970856651E-2</c:v>
                </c:pt>
                <c:pt idx="182">
                  <c:v>1.4592597412659843E-2</c:v>
                </c:pt>
                <c:pt idx="183">
                  <c:v>1.4678215990887622E-2</c:v>
                </c:pt>
                <c:pt idx="184">
                  <c:v>1.4763581564506913E-2</c:v>
                </c:pt>
                <c:pt idx="185">
                  <c:v>1.4848696528482256E-2</c:v>
                </c:pt>
                <c:pt idx="186">
                  <c:v>1.4933563781755995E-2</c:v>
                </c:pt>
                <c:pt idx="187">
                  <c:v>1.501818669254899E-2</c:v>
                </c:pt>
                <c:pt idx="188">
                  <c:v>1.5102569061274251E-2</c:v>
                </c:pt>
                <c:pt idx="189">
                  <c:v>1.5186715081374574E-2</c:v>
                </c:pt>
                <c:pt idx="190">
                  <c:v>1.5270629298410518E-2</c:v>
                </c:pt>
                <c:pt idx="191">
                  <c:v>1.5354316567737638E-2</c:v>
                </c:pt>
                <c:pt idx="192">
                  <c:v>1.5437782011120964E-2</c:v>
                </c:pt>
                <c:pt idx="193">
                  <c:v>1.5521030972640074E-2</c:v>
                </c:pt>
                <c:pt idx="194">
                  <c:v>1.5604068974240683E-2</c:v>
                </c:pt>
                <c:pt idx="195">
                  <c:v>1.5686901671286984E-2</c:v>
                </c:pt>
                <c:pt idx="196">
                  <c:v>1.5769534808464398E-2</c:v>
                </c:pt>
                <c:pt idx="197">
                  <c:v>1.5851974176373955E-2</c:v>
                </c:pt>
                <c:pt idx="198">
                  <c:v>1.5934225569147961E-2</c:v>
                </c:pt>
                <c:pt idx="199">
                  <c:v>1.6016294743401542E-2</c:v>
                </c:pt>
                <c:pt idx="200">
                  <c:v>1.6098187378816901E-2</c:v>
                </c:pt>
                <c:pt idx="201">
                  <c:v>1.6179909040635973E-2</c:v>
                </c:pt>
                <c:pt idx="202">
                  <c:v>1.626146514431373E-2</c:v>
                </c:pt>
                <c:pt idx="203">
                  <c:v>1.6342860922558104E-2</c:v>
                </c:pt>
                <c:pt idx="204">
                  <c:v>1.6424101394954749E-2</c:v>
                </c:pt>
                <c:pt idx="205">
                  <c:v>1.6505191340344373E-2</c:v>
                </c:pt>
                <c:pt idx="206">
                  <c:v>1.6586135272089051E-2</c:v>
                </c:pt>
                <c:pt idx="207">
                  <c:v>1.6666937416331302E-2</c:v>
                </c:pt>
                <c:pt idx="208">
                  <c:v>1.6747601693315895E-2</c:v>
                </c:pt>
                <c:pt idx="209">
                  <c:v>1.6828131701810755E-2</c:v>
                </c:pt>
                <c:pt idx="210">
                  <c:v>1.6908530706629062E-2</c:v>
                </c:pt>
                <c:pt idx="211">
                  <c:v>1.6988801629220892E-2</c:v>
                </c:pt>
                <c:pt idx="212">
                  <c:v>1.7068947041270242E-2</c:v>
                </c:pt>
                <c:pt idx="213">
                  <c:v>1.7148969161200598E-2</c:v>
                </c:pt>
                <c:pt idx="214">
                  <c:v>1.7228869853462506E-2</c:v>
                </c:pt>
                <c:pt idx="215">
                  <c:v>1.7308650630447519E-2</c:v>
                </c:pt>
                <c:pt idx="216">
                  <c:v>1.7388312656846257E-2</c:v>
                </c:pt>
                <c:pt idx="217">
                  <c:v>1.746785675624471E-2</c:v>
                </c:pt>
                <c:pt idx="218">
                  <c:v>1.7547283419730879E-2</c:v>
                </c:pt>
                <c:pt idx="219">
                  <c:v>1.7626592816265996E-2</c:v>
                </c:pt>
                <c:pt idx="220">
                  <c:v>1.7705784804558863E-2</c:v>
                </c:pt>
                <c:pt idx="221">
                  <c:v>1.7784858946170427E-2</c:v>
                </c:pt>
                <c:pt idx="222">
                  <c:v>1.7863814519567141E-2</c:v>
                </c:pt>
                <c:pt idx="223">
                  <c:v>1.7942650534836863E-2</c:v>
                </c:pt>
                <c:pt idx="224">
                  <c:v>1.8021365748780532E-2</c:v>
                </c:pt>
                <c:pt idx="225">
                  <c:v>1.8099958680095122E-2</c:v>
                </c:pt>
                <c:pt idx="226">
                  <c:v>1.8178427624370073E-2</c:v>
                </c:pt>
                <c:pt idx="227">
                  <c:v>1.8256770668629806E-2</c:v>
                </c:pt>
                <c:pt idx="228">
                  <c:v>1.8334985705167776E-2</c:v>
                </c:pt>
                <c:pt idx="229">
                  <c:v>1.8413070444435957E-2</c:v>
                </c:pt>
                <c:pt idx="230">
                  <c:v>1.8491022426772412E-2</c:v>
                </c:pt>
                <c:pt idx="231">
                  <c:v>1.8568839032774283E-2</c:v>
                </c:pt>
                <c:pt idx="232">
                  <c:v>1.8646517492148733E-2</c:v>
                </c:pt>
                <c:pt idx="233">
                  <c:v>1.8724054890903272E-2</c:v>
                </c:pt>
                <c:pt idx="234">
                  <c:v>1.880144817676719E-2</c:v>
                </c:pt>
                <c:pt idx="235">
                  <c:v>1.8878694162768637E-2</c:v>
                </c:pt>
                <c:pt idx="236">
                  <c:v>1.8955789528925106E-2</c:v>
                </c:pt>
                <c:pt idx="237">
                  <c:v>1.9032730822040118E-2</c:v>
                </c:pt>
                <c:pt idx="238">
                  <c:v>1.9109514453634041E-2</c:v>
                </c:pt>
                <c:pt idx="239">
                  <c:v>1.9186136696072345E-2</c:v>
                </c:pt>
                <c:pt idx="240">
                  <c:v>1.9262593676989844E-2</c:v>
                </c:pt>
                <c:pt idx="241">
                  <c:v>1.933888137214336E-2</c:v>
                </c:pt>
                <c:pt idx="242">
                  <c:v>1.9414995596859094E-2</c:v>
                </c:pt>
                <c:pt idx="243">
                  <c:v>1.9490931996271818E-2</c:v>
                </c:pt>
                <c:pt idx="244">
                  <c:v>1.9566686034583069E-2</c:v>
                </c:pt>
                <c:pt idx="245">
                  <c:v>1.9642252983592307E-2</c:v>
                </c:pt>
                <c:pt idx="246">
                  <c:v>1.9717627910779488E-2</c:v>
                </c:pt>
                <c:pt idx="247">
                  <c:v>1.9792805667238702E-2</c:v>
                </c:pt>
                <c:pt idx="248">
                  <c:v>1.9867780875780179E-2</c:v>
                </c:pt>
                <c:pt idx="249">
                  <c:v>1.994254791953207E-2</c:v>
                </c:pt>
                <c:pt idx="250">
                  <c:v>2.0017100931383335E-2</c:v>
                </c:pt>
                <c:pt idx="251">
                  <c:v>2.009143378461525E-2</c:v>
                </c:pt>
                <c:pt idx="252">
                  <c:v>2.0165540085070027E-2</c:v>
                </c:pt>
                <c:pt idx="253">
                  <c:v>2.0239413165202738E-2</c:v>
                </c:pt>
                <c:pt idx="254">
                  <c:v>2.0313046080355134E-2</c:v>
                </c:pt>
                <c:pt idx="255">
                  <c:v>2.0386431607577599E-2</c:v>
                </c:pt>
                <c:pt idx="256">
                  <c:v>2.045956224731011E-2</c:v>
                </c:pt>
                <c:pt idx="257">
                  <c:v>2.0532430228211117E-2</c:v>
                </c:pt>
                <c:pt idx="258">
                  <c:v>2.0605027515399266E-2</c:v>
                </c:pt>
                <c:pt idx="259">
                  <c:v>2.0677345822343346E-2</c:v>
                </c:pt>
                <c:pt idx="260">
                  <c:v>2.0749376626602922E-2</c:v>
                </c:pt>
                <c:pt idx="261">
                  <c:v>2.0821111189586263E-2</c:v>
                </c:pt>
                <c:pt idx="262">
                  <c:v>2.0892540580451962E-2</c:v>
                </c:pt>
                <c:pt idx="263">
                  <c:v>2.0963655704238752E-2</c:v>
                </c:pt>
                <c:pt idx="264">
                  <c:v>2.1034447334263007E-2</c:v>
                </c:pt>
                <c:pt idx="265">
                  <c:v>2.110490614877673E-2</c:v>
                </c:pt>
                <c:pt idx="266">
                  <c:v>2.1175022771830532E-2</c:v>
                </c:pt>
                <c:pt idx="267">
                  <c:v>2.1244787818236747E-2</c:v>
                </c:pt>
                <c:pt idx="268">
                  <c:v>2.1314191942478317E-2</c:v>
                </c:pt>
                <c:pt idx="269">
                  <c:v>2.1383225891359069E-2</c:v>
                </c:pt>
                <c:pt idx="270">
                  <c:v>2.1451880560141984E-2</c:v>
                </c:pt>
                <c:pt idx="271">
                  <c:v>2.1520147051874047E-2</c:v>
                </c:pt>
                <c:pt idx="272">
                  <c:v>2.1588016739549878E-2</c:v>
                </c:pt>
                <c:pt idx="273">
                  <c:v>2.1655481330722006E-2</c:v>
                </c:pt>
                <c:pt idx="274">
                  <c:v>2.1722532934124392E-2</c:v>
                </c:pt>
                <c:pt idx="275">
                  <c:v>2.1789164127837348E-2</c:v>
                </c:pt>
                <c:pt idx="276">
                  <c:v>2.1855368028487223E-2</c:v>
                </c:pt>
                <c:pt idx="277">
                  <c:v>2.1921138360944229E-2</c:v>
                </c:pt>
                <c:pt idx="278">
                  <c:v>2.1986469527954956E-2</c:v>
                </c:pt>
                <c:pt idx="279">
                  <c:v>2.2051356679125864E-2</c:v>
                </c:pt>
                <c:pt idx="280">
                  <c:v>2.2115795778657268E-2</c:v>
                </c:pt>
                <c:pt idx="281">
                  <c:v>2.2179783671217611E-2</c:v>
                </c:pt>
                <c:pt idx="282">
                  <c:v>2.2243318145342323E-2</c:v>
                </c:pt>
                <c:pt idx="283">
                  <c:v>2.2306397993743243E-2</c:v>
                </c:pt>
                <c:pt idx="284">
                  <c:v>2.2369023069921126E-2</c:v>
                </c:pt>
                <c:pt idx="285">
                  <c:v>2.2431194340487005E-2</c:v>
                </c:pt>
                <c:pt idx="286">
                  <c:v>2.2492913932617219E-2</c:v>
                </c:pt>
                <c:pt idx="287">
                  <c:v>2.2554185176091656E-2</c:v>
                </c:pt>
                <c:pt idx="288">
                  <c:v>2.2615012639395568E-2</c:v>
                </c:pt>
                <c:pt idx="289">
                  <c:v>2.2675402159401795E-2</c:v>
                </c:pt>
                <c:pt idx="290">
                  <c:v>2.273536086419143E-2</c:v>
                </c:pt>
                <c:pt idx="291">
                  <c:v>2.2794897188618119E-2</c:v>
                </c:pt>
                <c:pt idx="292">
                  <c:v>2.2854020882272005E-2</c:v>
                </c:pt>
                <c:pt idx="293">
                  <c:v>2.2912743009555397E-2</c:v>
                </c:pt>
                <c:pt idx="294">
                  <c:v>2.2971075941641043E-2</c:v>
                </c:pt>
                <c:pt idx="295">
                  <c:v>2.3029033340146922E-2</c:v>
                </c:pt>
                <c:pt idx="296">
                  <c:v>2.3086630132426414E-2</c:v>
                </c:pt>
                <c:pt idx="297">
                  <c:v>2.3143882478440594E-2</c:v>
                </c:pt>
                <c:pt idx="298">
                  <c:v>2.320080772924784E-2</c:v>
                </c:pt>
                <c:pt idx="299">
                  <c:v>2.3257424377216306E-2</c:v>
                </c:pt>
                <c:pt idx="300">
                  <c:v>2.3313751998134759E-2</c:v>
                </c:pt>
                <c:pt idx="301">
                  <c:v>2.3369811185466823E-2</c:v>
                </c:pt>
                <c:pt idx="302">
                  <c:v>2.3425623477062785E-2</c:v>
                </c:pt>
                <c:pt idx="303">
                  <c:v>2.34812112747095E-2</c:v>
                </c:pt>
                <c:pt idx="304">
                  <c:v>2.3536597756963901E-2</c:v>
                </c:pt>
                <c:pt idx="305">
                  <c:v>2.3591806785777217E-2</c:v>
                </c:pt>
                <c:pt idx="306">
                  <c:v>2.3646862807474363E-2</c:v>
                </c:pt>
                <c:pt idx="307">
                  <c:v>2.3701790748707572E-2</c:v>
                </c:pt>
                <c:pt idx="308">
                  <c:v>2.3756615908051636E-2</c:v>
                </c:pt>
                <c:pt idx="309">
                  <c:v>2.381136384395223E-2</c:v>
                </c:pt>
                <c:pt idx="310">
                  <c:v>2.3866060259776896E-2</c:v>
                </c:pt>
                <c:pt idx="311">
                  <c:v>2.3920730886750004E-2</c:v>
                </c:pt>
                <c:pt idx="312">
                  <c:v>2.397540136557879E-2</c:v>
                </c:pt>
                <c:pt idx="313">
                  <c:v>2.4030097127595938E-2</c:v>
                </c:pt>
                <c:pt idx="314">
                  <c:v>2.4084843276256648E-2</c:v>
                </c:pt>
                <c:pt idx="315">
                  <c:v>2.4139664469831748E-2</c:v>
                </c:pt>
                <c:pt idx="316">
                  <c:v>2.4194584806136826E-2</c:v>
                </c:pt>
                <c:pt idx="317">
                  <c:v>2.4249627710126759E-2</c:v>
                </c:pt>
                <c:pt idx="318">
                  <c:v>2.4304815825168209E-2</c:v>
                </c:pt>
                <c:pt idx="319">
                  <c:v>2.4360170908778411E-2</c:v>
                </c:pt>
                <c:pt idx="320">
                  <c:v>2.4415713733587262E-2</c:v>
                </c:pt>
                <c:pt idx="321">
                  <c:v>2.4471463994241938E-2</c:v>
                </c:pt>
                <c:pt idx="322">
                  <c:v>2.4527440220929071E-2</c:v>
                </c:pt>
                <c:pt idx="323">
                  <c:v>2.4583659700138955E-2</c:v>
                </c:pt>
                <c:pt idx="324">
                  <c:v>2.4640138403240738E-2</c:v>
                </c:pt>
                <c:pt idx="325">
                  <c:v>2.4696890923376371E-2</c:v>
                </c:pt>
                <c:pt idx="326">
                  <c:v>2.4753930421115424E-2</c:v>
                </c:pt>
                <c:pt idx="327">
                  <c:v>2.4811268579243845E-2</c:v>
                </c:pt>
                <c:pt idx="328">
                  <c:v>2.4868915566986234E-2</c:v>
                </c:pt>
                <c:pt idx="329">
                  <c:v>2.4926880013886234E-2</c:v>
                </c:pt>
                <c:pt idx="330">
                  <c:v>2.498516899349159E-2</c:v>
                </c:pt>
                <c:pt idx="331">
                  <c:v>2.5043788016911792E-2</c:v>
                </c:pt>
                <c:pt idx="332">
                  <c:v>2.5102741036236689E-2</c:v>
                </c:pt>
                <c:pt idx="333">
                  <c:v>2.5162030457724922E-2</c:v>
                </c:pt>
                <c:pt idx="334">
                  <c:v>2.5221657164592789E-2</c:v>
                </c:pt>
                <c:pt idx="335">
                  <c:v>2.5281620549156874E-2</c:v>
                </c:pt>
                <c:pt idx="336">
                  <c:v>2.5341918554009552E-2</c:v>
                </c:pt>
                <c:pt idx="337">
                  <c:v>2.5402547721834232E-2</c:v>
                </c:pt>
                <c:pt idx="338">
                  <c:v>2.5463503253399657E-2</c:v>
                </c:pt>
                <c:pt idx="339">
                  <c:v>2.5524779073208326E-2</c:v>
                </c:pt>
                <c:pt idx="340">
                  <c:v>2.5586367902215162E-2</c:v>
                </c:pt>
                <c:pt idx="341">
                  <c:v>2.564826133697921E-2</c:v>
                </c:pt>
                <c:pt idx="342">
                  <c:v>2.5710449934562625E-2</c:v>
                </c:pt>
                <c:pt idx="343">
                  <c:v>2.5772923302450162E-2</c:v>
                </c:pt>
                <c:pt idx="344">
                  <c:v>2.5835670192727374E-2</c:v>
                </c:pt>
                <c:pt idx="345">
                  <c:v>2.5898678599727276E-2</c:v>
                </c:pt>
                <c:pt idx="346">
                  <c:v>2.5961935860334854E-2</c:v>
                </c:pt>
                <c:pt idx="347">
                  <c:v>2.6025428756124909E-2</c:v>
                </c:pt>
                <c:pt idx="348">
                  <c:v>2.6089143616502875E-2</c:v>
                </c:pt>
                <c:pt idx="349">
                  <c:v>2.6153066422019242E-2</c:v>
                </c:pt>
                <c:pt idx="350">
                  <c:v>2.6217182907037395E-2</c:v>
                </c:pt>
                <c:pt idx="351">
                  <c:v>2.6281478660950302E-2</c:v>
                </c:pt>
                <c:pt idx="352">
                  <c:v>2.634593922716489E-2</c:v>
                </c:pt>
                <c:pt idx="353">
                  <c:v>2.6410550199102802E-2</c:v>
                </c:pt>
                <c:pt idx="354">
                  <c:v>2.6475297312502699E-2</c:v>
                </c:pt>
                <c:pt idx="355">
                  <c:v>2.654016653335196E-2</c:v>
                </c:pt>
                <c:pt idx="356">
                  <c:v>2.6605144140824089E-2</c:v>
                </c:pt>
                <c:pt idx="357">
                  <c:v>2.6670216804651273E-2</c:v>
                </c:pt>
                <c:pt idx="358">
                  <c:v>2.6735371656420308E-2</c:v>
                </c:pt>
                <c:pt idx="359">
                  <c:v>2.6800596354341889E-2</c:v>
                </c:pt>
                <c:pt idx="360">
                  <c:v>2.6865879141109432E-2</c:v>
                </c:pt>
                <c:pt idx="361">
                  <c:v>2.6931208894531707E-2</c:v>
                </c:pt>
                <c:pt idx="362">
                  <c:v>2.6996575170694728E-2</c:v>
                </c:pt>
                <c:pt idx="363">
                  <c:v>2.7061968239480101E-2</c:v>
                </c:pt>
                <c:pt idx="364">
                  <c:v>2.7127379112340089E-2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0.00%</c:formatCode>
                <c:ptCount val="366"/>
                <c:pt idx="0">
                  <c:v>4.2990065147138296E-4</c:v>
                </c:pt>
                <c:pt idx="1">
                  <c:v>4.1288821561728963E-4</c:v>
                </c:pt>
                <c:pt idx="2">
                  <c:v>3.9603090227886432E-4</c:v>
                </c:pt>
                <c:pt idx="3">
                  <c:v>3.7934157449490087E-4</c:v>
                </c:pt>
                <c:pt idx="4">
                  <c:v>3.6283261854370584E-4</c:v>
                </c:pt>
                <c:pt idx="5">
                  <c:v>3.4651587454601637E-4</c:v>
                </c:pt>
                <c:pt idx="6">
                  <c:v>3.3040257507654019E-4</c:v>
                </c:pt>
                <c:pt idx="7">
                  <c:v>3.1450329182508173E-4</c:v>
                </c:pt>
                <c:pt idx="8">
                  <c:v>2.988020633653275E-4</c:v>
                </c:pt>
                <c:pt idx="9">
                  <c:v>2.831317695544719E-4</c:v>
                </c:pt>
                <c:pt idx="10">
                  <c:v>2.6751456992554578E-4</c:v>
                </c:pt>
                <c:pt idx="11">
                  <c:v>2.5197456716968673E-4</c:v>
                </c:pt>
                <c:pt idx="12">
                  <c:v>2.3653327673874778E-4</c:v>
                </c:pt>
                <c:pt idx="13">
                  <c:v>2.21209652548123E-4</c:v>
                </c:pt>
                <c:pt idx="14">
                  <c:v>2.0602013947771083E-4</c:v>
                </c:pt>
                <c:pt idx="15">
                  <c:v>1.9134753918598907E-4</c:v>
                </c:pt>
                <c:pt idx="16">
                  <c:v>1.7711861944160791E-4</c:v>
                </c:pt>
                <c:pt idx="17">
                  <c:v>1.6333457814986035E-4</c:v>
                </c:pt>
                <c:pt idx="18">
                  <c:v>1.4999457844301465E-4</c:v>
                </c:pt>
                <c:pt idx="19">
                  <c:v>1.3709671939420525E-4</c:v>
                </c:pt>
                <c:pt idx="20">
                  <c:v>1.2463750854330139E-4</c:v>
                </c:pt>
                <c:pt idx="21">
                  <c:v>1.1261647367400976E-4</c:v>
                </c:pt>
                <c:pt idx="22">
                  <c:v>1.0100787709677233E-4</c:v>
                </c:pt>
                <c:pt idx="23">
                  <c:v>9.0246743413894398E-5</c:v>
                </c:pt>
                <c:pt idx="24">
                  <c:v>8.0458806689679311E-5</c:v>
                </c:pt>
                <c:pt idx="25">
                  <c:v>7.1623818506967853E-5</c:v>
                </c:pt>
                <c:pt idx="26">
                  <c:v>6.3720285860609333E-5</c:v>
                </c:pt>
                <c:pt idx="27">
                  <c:v>5.6725816070851374E-5</c:v>
                </c:pt>
                <c:pt idx="28">
                  <c:v>5.0617432431072917E-5</c:v>
                </c:pt>
                <c:pt idx="29">
                  <c:v>4.5477180901414974E-5</c:v>
                </c:pt>
                <c:pt idx="30">
                  <c:v>4.0959877340186535E-5</c:v>
                </c:pt>
                <c:pt idx="31">
                  <c:v>3.7048748613586853E-5</c:v>
                </c:pt>
                <c:pt idx="32">
                  <c:v>3.3727174006962347E-5</c:v>
                </c:pt>
                <c:pt idx="33">
                  <c:v>3.0978825620716834E-5</c:v>
                </c:pt>
                <c:pt idx="34">
                  <c:v>2.8787791596830891E-5</c:v>
                </c:pt>
                <c:pt idx="35">
                  <c:v>2.7138683587797685E-5</c:v>
                </c:pt>
                <c:pt idx="36">
                  <c:v>2.6014370205202304E-5</c:v>
                </c:pt>
                <c:pt idx="37">
                  <c:v>2.5367146991441076E-5</c:v>
                </c:pt>
                <c:pt idx="38">
                  <c:v>2.4795596732699907E-5</c:v>
                </c:pt>
                <c:pt idx="39">
                  <c:v>2.4298180526789559E-5</c:v>
                </c:pt>
                <c:pt idx="40">
                  <c:v>2.3873366354827642E-5</c:v>
                </c:pt>
                <c:pt idx="41">
                  <c:v>2.3519641813464476E-5</c:v>
                </c:pt>
                <c:pt idx="42">
                  <c:v>2.3235525627084979E-5</c:v>
                </c:pt>
                <c:pt idx="43">
                  <c:v>2.3000025599734111E-5</c:v>
                </c:pt>
                <c:pt idx="44">
                  <c:v>2.2720501608794702E-5</c:v>
                </c:pt>
                <c:pt idx="45">
                  <c:v>2.2398411897751317E-5</c:v>
                </c:pt>
                <c:pt idx="46">
                  <c:v>2.2035136260611232E-5</c:v>
                </c:pt>
                <c:pt idx="47">
                  <c:v>2.163197474931012E-5</c:v>
                </c:pt>
                <c:pt idx="48">
                  <c:v>2.1190146663656458E-5</c:v>
                </c:pt>
                <c:pt idx="49">
                  <c:v>2.0710789724405675E-5</c:v>
                </c:pt>
                <c:pt idx="50">
                  <c:v>2.0194332112714286E-5</c:v>
                </c:pt>
                <c:pt idx="51">
                  <c:v>1.9675591293738497E-5</c:v>
                </c:pt>
                <c:pt idx="52">
                  <c:v>1.9181945475558361E-5</c:v>
                </c:pt>
                <c:pt idx="53">
                  <c:v>1.8712575533605575E-5</c:v>
                </c:pt>
                <c:pt idx="54">
                  <c:v>1.8266800481374525E-5</c:v>
                </c:pt>
                <c:pt idx="55">
                  <c:v>1.784397477434807E-5</c:v>
                </c:pt>
                <c:pt idx="56">
                  <c:v>1.7443485872040669E-5</c:v>
                </c:pt>
                <c:pt idx="57">
                  <c:v>1.7047112422174859E-5</c:v>
                </c:pt>
                <c:pt idx="58">
                  <c:v>1.667214674659805E-5</c:v>
                </c:pt>
                <c:pt idx="59">
                  <c:v>1.6318099678387633E-5</c:v>
                </c:pt>
                <c:pt idx="60">
                  <c:v>1.5984509337741242E-5</c:v>
                </c:pt>
                <c:pt idx="61">
                  <c:v>1.5670939554000232E-5</c:v>
                </c:pt>
                <c:pt idx="62">
                  <c:v>1.5376978433822244E-5</c:v>
                </c:pt>
                <c:pt idx="63">
                  <c:v>1.5102237070104992E-5</c:v>
                </c:pt>
                <c:pt idx="64">
                  <c:v>1.4846079252073965E-5</c:v>
                </c:pt>
                <c:pt idx="65">
                  <c:v>1.4579194106236097E-5</c:v>
                </c:pt>
                <c:pt idx="66">
                  <c:v>1.4270885672554775E-5</c:v>
                </c:pt>
                <c:pt idx="67">
                  <c:v>1.3922174350807453E-5</c:v>
                </c:pt>
                <c:pt idx="68">
                  <c:v>1.3534032002175979E-5</c:v>
                </c:pt>
                <c:pt idx="69">
                  <c:v>1.3107376782766317E-5</c:v>
                </c:pt>
                <c:pt idx="70">
                  <c:v>1.2643068158359227E-5</c:v>
                </c:pt>
                <c:pt idx="71">
                  <c:v>1.2159669335120439E-5</c:v>
                </c:pt>
                <c:pt idx="72">
                  <c:v>1.1673454326483618E-5</c:v>
                </c:pt>
                <c:pt idx="73">
                  <c:v>1.1184483875798519E-5</c:v>
                </c:pt>
                <c:pt idx="74">
                  <c:v>1.0692783736032572E-5</c:v>
                </c:pt>
                <c:pt idx="75">
                  <c:v>1.0198344075123976E-5</c:v>
                </c:pt>
                <c:pt idx="76">
                  <c:v>9.7011188813826577E-6</c:v>
                </c:pt>
                <c:pt idx="77">
                  <c:v>9.201025359859607E-6</c:v>
                </c:pt>
                <c:pt idx="78">
                  <c:v>8.6974663364929452E-6</c:v>
                </c:pt>
                <c:pt idx="79">
                  <c:v>8.1994503811373925E-6</c:v>
                </c:pt>
                <c:pt idx="80">
                  <c:v>7.7334474515931914E-6</c:v>
                </c:pt>
                <c:pt idx="81">
                  <c:v>7.2989812139672865E-6</c:v>
                </c:pt>
                <c:pt idx="82">
                  <c:v>6.8955768159572404E-6</c:v>
                </c:pt>
                <c:pt idx="83">
                  <c:v>6.5227665907362112E-6</c:v>
                </c:pt>
                <c:pt idx="84">
                  <c:v>6.1800955202550943E-6</c:v>
                </c:pt>
                <c:pt idx="85">
                  <c:v>5.8619636424947502E-6</c:v>
                </c:pt>
                <c:pt idx="86">
                  <c:v>5.5513935970315582E-6</c:v>
                </c:pt>
                <c:pt idx="87">
                  <c:v>5.248159849839211E-6</c:v>
                </c:pt>
                <c:pt idx="88">
                  <c:v>4.9520252007387009E-6</c:v>
                </c:pt>
                <c:pt idx="89">
                  <c:v>4.6627420128741124E-6</c:v>
                </c:pt>
                <c:pt idx="90">
                  <c:v>4.380053349903186E-6</c:v>
                </c:pt>
                <c:pt idx="91">
                  <c:v>4.1036940212607324E-6</c:v>
                </c:pt>
                <c:pt idx="92">
                  <c:v>3.8332830665983445E-6</c:v>
                </c:pt>
                <c:pt idx="93">
                  <c:v>3.5735382306914484E-6</c:v>
                </c:pt>
                <c:pt idx="94">
                  <c:v>3.3150216028643779E-6</c:v>
                </c:pt>
                <c:pt idx="95">
                  <c:v>3.0574618214400551E-6</c:v>
                </c:pt>
                <c:pt idx="96">
                  <c:v>2.8005863925285868E-6</c:v>
                </c:pt>
                <c:pt idx="97">
                  <c:v>2.5441215211551777E-6</c:v>
                </c:pt>
                <c:pt idx="98">
                  <c:v>2.2877919725456155E-6</c:v>
                </c:pt>
                <c:pt idx="99">
                  <c:v>2.0412626521265284E-6</c:v>
                </c:pt>
                <c:pt idx="100">
                  <c:v>1.8094731313007668E-6</c:v>
                </c:pt>
                <c:pt idx="101">
                  <c:v>1.5922784438856678E-6</c:v>
                </c:pt>
                <c:pt idx="102">
                  <c:v>1.3895652754922794E-6</c:v>
                </c:pt>
                <c:pt idx="103">
                  <c:v>1.2012522408869471E-6</c:v>
                </c:pt>
                <c:pt idx="104">
                  <c:v>1.0272901821825979E-6</c:v>
                </c:pt>
                <c:pt idx="105">
                  <c:v>8.6766248193575989E-7</c:v>
                </c:pt>
                <c:pt idx="106">
                  <c:v>7.2240238567287443E-7</c:v>
                </c:pt>
                <c:pt idx="107">
                  <c:v>5.9642748452154749E-7</c:v>
                </c:pt>
                <c:pt idx="108">
                  <c:v>4.845457384205385E-7</c:v>
                </c:pt>
                <c:pt idx="109">
                  <c:v>3.8685892930427858E-7</c:v>
                </c:pt>
                <c:pt idx="110">
                  <c:v>3.0350813789428607E-7</c:v>
                </c:pt>
                <c:pt idx="111">
                  <c:v>2.3467137854906607E-7</c:v>
                </c:pt>
                <c:pt idx="112">
                  <c:v>1.8056272965181485E-7</c:v>
                </c:pt>
                <c:pt idx="113">
                  <c:v>1.4143294204653355E-7</c:v>
                </c:pt>
                <c:pt idx="114">
                  <c:v>1.0685967489912888E-7</c:v>
                </c:pt>
                <c:pt idx="115">
                  <c:v>7.6916058220520406E-8</c:v>
                </c:pt>
                <c:pt idx="116">
                  <c:v>5.1686854403027823E-8</c:v>
                </c:pt>
                <c:pt idx="117">
                  <c:v>3.1268178736640734E-8</c:v>
                </c:pt>
                <c:pt idx="118">
                  <c:v>1.5767189537472298E-8</c:v>
                </c:pt>
                <c:pt idx="119">
                  <c:v>5.301742005465575E-9</c:v>
                </c:pt>
                <c:pt idx="120">
                  <c:v>-1.1551394077639989E-20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1.2016492217106695E-20</c:v>
                </c:pt>
                <c:pt idx="126">
                  <c:v>-1.2118296531897426E-20</c:v>
                </c:pt>
                <c:pt idx="127">
                  <c:v>0</c:v>
                </c:pt>
                <c:pt idx="128">
                  <c:v>-1.2329921231475895E-20</c:v>
                </c:pt>
                <c:pt idx="129">
                  <c:v>0</c:v>
                </c:pt>
                <c:pt idx="130">
                  <c:v>0</c:v>
                </c:pt>
                <c:pt idx="131">
                  <c:v>1.2665693720788202E-20</c:v>
                </c:pt>
                <c:pt idx="132">
                  <c:v>1.2782005825439509E-20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1.3392794902799644E-20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1.4176377305478259E-20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1.4849088892227716E-20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1.5387549871256607E-20</c:v>
                </c:pt>
                <c:pt idx="153">
                  <c:v>0</c:v>
                </c:pt>
                <c:pt idx="154">
                  <c:v>-1.5653625717230827E-20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-1.6172830190142663E-20</c:v>
                </c:pt>
                <c:pt idx="159">
                  <c:v>0</c:v>
                </c:pt>
                <c:pt idx="160">
                  <c:v>-1.6423440873775281E-20</c:v>
                </c:pt>
                <c:pt idx="161">
                  <c:v>-1.6545981072515534E-20</c:v>
                </c:pt>
                <c:pt idx="162">
                  <c:v>0</c:v>
                </c:pt>
                <c:pt idx="163">
                  <c:v>0</c:v>
                </c:pt>
                <c:pt idx="164">
                  <c:v>-1.6901672804168074E-20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1.7938377904598949E-20</c:v>
                </c:pt>
                <c:pt idx="175">
                  <c:v>0</c:v>
                </c:pt>
                <c:pt idx="176">
                  <c:v>1.8116136804416534E-20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1.8666068031238821E-20</c:v>
                </c:pt>
                <c:pt idx="184">
                  <c:v>1.8735358726363577E-20</c:v>
                </c:pt>
                <c:pt idx="185">
                  <c:v>1.8802337206731021E-20</c:v>
                </c:pt>
                <c:pt idx="186">
                  <c:v>0</c:v>
                </c:pt>
                <c:pt idx="187">
                  <c:v>1.8929411117052292E-20</c:v>
                </c:pt>
                <c:pt idx="188">
                  <c:v>-1.8989541041851656E-20</c:v>
                </c:pt>
                <c:pt idx="189">
                  <c:v>-1.9047426725438346E-20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-1.9357241086780245E-20</c:v>
                </c:pt>
                <c:pt idx="196">
                  <c:v>0</c:v>
                </c:pt>
                <c:pt idx="197">
                  <c:v>-1.9448925844073106E-20</c:v>
                </c:pt>
                <c:pt idx="198">
                  <c:v>1.9493036937755797E-20</c:v>
                </c:pt>
                <c:pt idx="199">
                  <c:v>-1.953612006557277E-20</c:v>
                </c:pt>
                <c:pt idx="200">
                  <c:v>1.9578266917535816E-20</c:v>
                </c:pt>
                <c:pt idx="201">
                  <c:v>1.9619566310446586E-20</c:v>
                </c:pt>
                <c:pt idx="202">
                  <c:v>0</c:v>
                </c:pt>
                <c:pt idx="203">
                  <c:v>0</c:v>
                </c:pt>
                <c:pt idx="204">
                  <c:v>-1.9739139617537201E-20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1.9927150967186139E-20</c:v>
                </c:pt>
                <c:pt idx="210">
                  <c:v>1.9963849872836837E-20</c:v>
                </c:pt>
                <c:pt idx="211">
                  <c:v>-2.0000452082313129E-20</c:v>
                </c:pt>
                <c:pt idx="212">
                  <c:v>-2.0037036623249356E-20</c:v>
                </c:pt>
                <c:pt idx="213">
                  <c:v>-2.0073678288339543E-20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-2.0298310050297815E-20</c:v>
                </c:pt>
                <c:pt idx="220">
                  <c:v>0</c:v>
                </c:pt>
                <c:pt idx="221">
                  <c:v>2.0375725760659744E-20</c:v>
                </c:pt>
                <c:pt idx="222">
                  <c:v>0</c:v>
                </c:pt>
                <c:pt idx="223">
                  <c:v>0</c:v>
                </c:pt>
                <c:pt idx="224">
                  <c:v>-2.0493627059220515E-20</c:v>
                </c:pt>
                <c:pt idx="225">
                  <c:v>1.1627728166547555E-8</c:v>
                </c:pt>
                <c:pt idx="226">
                  <c:v>3.497422351260562E-8</c:v>
                </c:pt>
                <c:pt idx="227">
                  <c:v>7.0129614503721662E-8</c:v>
                </c:pt>
                <c:pt idx="228">
                  <c:v>1.1718284100104768E-7</c:v>
                </c:pt>
                <c:pt idx="229">
                  <c:v>1.7622135000629488E-7</c:v>
                </c:pt>
                <c:pt idx="230">
                  <c:v>2.4733076671451925E-7</c:v>
                </c:pt>
                <c:pt idx="231">
                  <c:v>3.3059454212233475E-7</c:v>
                </c:pt>
                <c:pt idx="232">
                  <c:v>4.2608850788846017E-7</c:v>
                </c:pt>
                <c:pt idx="233">
                  <c:v>5.5896681397863621E-7</c:v>
                </c:pt>
                <c:pt idx="234">
                  <c:v>7.294805848290742E-7</c:v>
                </c:pt>
                <c:pt idx="235">
                  <c:v>9.3787661626103579E-7</c:v>
                </c:pt>
                <c:pt idx="236">
                  <c:v>1.1844002140577731E-6</c:v>
                </c:pt>
                <c:pt idx="237">
                  <c:v>1.4692969937535422E-6</c:v>
                </c:pt>
                <c:pt idx="238">
                  <c:v>1.7928159213150982E-6</c:v>
                </c:pt>
                <c:pt idx="239">
                  <c:v>2.1687099053283675E-6</c:v>
                </c:pt>
                <c:pt idx="240">
                  <c:v>2.5852807844805025E-6</c:v>
                </c:pt>
                <c:pt idx="241">
                  <c:v>3.0428157186365473E-6</c:v>
                </c:pt>
                <c:pt idx="242">
                  <c:v>3.5416167965804976E-6</c:v>
                </c:pt>
                <c:pt idx="243">
                  <c:v>4.082004045214103E-6</c:v>
                </c:pt>
                <c:pt idx="244">
                  <c:v>4.6643184917690566E-6</c:v>
                </c:pt>
                <c:pt idx="245">
                  <c:v>5.2889252833374399E-6</c:v>
                </c:pt>
                <c:pt idx="246">
                  <c:v>5.9560198251538225E-6</c:v>
                </c:pt>
                <c:pt idx="247">
                  <c:v>6.6527810928645721E-6</c:v>
                </c:pt>
                <c:pt idx="248">
                  <c:v>7.3534439980099962E-6</c:v>
                </c:pt>
                <c:pt idx="249">
                  <c:v>8.058031599736145E-6</c:v>
                </c:pt>
                <c:pt idx="250">
                  <c:v>8.7665789042326924E-6</c:v>
                </c:pt>
                <c:pt idx="251">
                  <c:v>9.4791328702676519E-6</c:v>
                </c:pt>
                <c:pt idx="252">
                  <c:v>1.0195752422531903E-5</c:v>
                </c:pt>
                <c:pt idx="253">
                  <c:v>1.0940512222820583E-5</c:v>
                </c:pt>
                <c:pt idx="254">
                  <c:v>1.1699687127711107E-5</c:v>
                </c:pt>
                <c:pt idx="255">
                  <c:v>1.2473442581374485E-5</c:v>
                </c:pt>
                <c:pt idx="256">
                  <c:v>1.3261958356208553E-5</c:v>
                </c:pt>
                <c:pt idx="257">
                  <c:v>1.4065429194557851E-5</c:v>
                </c:pt>
                <c:pt idx="258">
                  <c:v>1.4884065531813388E-5</c:v>
                </c:pt>
                <c:pt idx="259">
                  <c:v>1.5718094323090392E-5</c:v>
                </c:pt>
                <c:pt idx="260">
                  <c:v>1.656757339611018E-5</c:v>
                </c:pt>
                <c:pt idx="261">
                  <c:v>1.7471839334933657E-5</c:v>
                </c:pt>
                <c:pt idx="262">
                  <c:v>1.8444621030552018E-5</c:v>
                </c:pt>
                <c:pt idx="263">
                  <c:v>1.948633096933378E-5</c:v>
                </c:pt>
                <c:pt idx="264">
                  <c:v>2.0597365602698977E-5</c:v>
                </c:pt>
                <c:pt idx="265">
                  <c:v>2.1778217667510427E-5</c:v>
                </c:pt>
                <c:pt idx="266">
                  <c:v>2.3029322129540137E-5</c:v>
                </c:pt>
                <c:pt idx="267">
                  <c:v>2.4282896685487105E-5</c:v>
                </c:pt>
                <c:pt idx="268">
                  <c:v>2.5513848898154968E-5</c:v>
                </c:pt>
                <c:pt idx="269">
                  <c:v>2.6721760888128092E-5</c:v>
                </c:pt>
                <c:pt idx="270">
                  <c:v>2.7906185928390732E-5</c:v>
                </c:pt>
                <c:pt idx="271">
                  <c:v>2.9066650656391097E-5</c:v>
                </c:pt>
                <c:pt idx="272">
                  <c:v>3.0202657530795396E-5</c:v>
                </c:pt>
                <c:pt idx="273">
                  <c:v>3.1313687527114359E-5</c:v>
                </c:pt>
                <c:pt idx="274">
                  <c:v>3.2399706171878771E-5</c:v>
                </c:pt>
                <c:pt idx="275">
                  <c:v>3.3442243927099273E-5</c:v>
                </c:pt>
                <c:pt idx="276">
                  <c:v>3.4399871254990578E-5</c:v>
                </c:pt>
                <c:pt idx="277">
                  <c:v>3.527168210942219E-5</c:v>
                </c:pt>
                <c:pt idx="278">
                  <c:v>3.6056769180239123E-5</c:v>
                </c:pt>
                <c:pt idx="279">
                  <c:v>3.6754232315168209E-5</c:v>
                </c:pt>
                <c:pt idx="280">
                  <c:v>3.7363186922831009E-5</c:v>
                </c:pt>
                <c:pt idx="281">
                  <c:v>3.7959274472415763E-5</c:v>
                </c:pt>
                <c:pt idx="282">
                  <c:v>3.8612411738780998E-5</c:v>
                </c:pt>
                <c:pt idx="283">
                  <c:v>3.9322533259638704E-5</c:v>
                </c:pt>
                <c:pt idx="284">
                  <c:v>4.0089541614697402E-5</c:v>
                </c:pt>
                <c:pt idx="285">
                  <c:v>4.0913306434738539E-5</c:v>
                </c:pt>
                <c:pt idx="286">
                  <c:v>4.1793663838489947E-5</c:v>
                </c:pt>
                <c:pt idx="287">
                  <c:v>4.2730416327231274E-5</c:v>
                </c:pt>
                <c:pt idx="288">
                  <c:v>4.3726490054853157E-5</c:v>
                </c:pt>
                <c:pt idx="289">
                  <c:v>4.4725097627488772E-5</c:v>
                </c:pt>
                <c:pt idx="290">
                  <c:v>4.5744103161266531E-5</c:v>
                </c:pt>
                <c:pt idx="291">
                  <c:v>4.6782491721876182E-5</c:v>
                </c:pt>
                <c:pt idx="292">
                  <c:v>4.7839147049563241E-5</c:v>
                </c:pt>
                <c:pt idx="293">
                  <c:v>4.8912844702130436E-5</c:v>
                </c:pt>
                <c:pt idx="294">
                  <c:v>5.0002245282203558E-5</c:v>
                </c:pt>
                <c:pt idx="295">
                  <c:v>5.1087998317581211E-5</c:v>
                </c:pt>
                <c:pt idx="296">
                  <c:v>5.2091130516069177E-5</c:v>
                </c:pt>
                <c:pt idx="297">
                  <c:v>5.3010250336773659E-5</c:v>
                </c:pt>
                <c:pt idx="298">
                  <c:v>5.3843513208682947E-5</c:v>
                </c:pt>
                <c:pt idx="299">
                  <c:v>5.4589053823197074E-5</c:v>
                </c:pt>
                <c:pt idx="300">
                  <c:v>5.5245005762665068E-5</c:v>
                </c:pt>
                <c:pt idx="301">
                  <c:v>5.5809522300507532E-5</c:v>
                </c:pt>
                <c:pt idx="302">
                  <c:v>5.6285864881648823E-5</c:v>
                </c:pt>
                <c:pt idx="303">
                  <c:v>5.6979731987502991E-5</c:v>
                </c:pt>
                <c:pt idx="304">
                  <c:v>5.7950784428508137E-5</c:v>
                </c:pt>
                <c:pt idx="305">
                  <c:v>5.9198613429896144E-5</c:v>
                </c:pt>
                <c:pt idx="306">
                  <c:v>6.0722714612280164E-5</c:v>
                </c:pt>
                <c:pt idx="307">
                  <c:v>6.2522504936781103E-5</c:v>
                </c:pt>
                <c:pt idx="308">
                  <c:v>6.4597340778356968E-5</c:v>
                </c:pt>
                <c:pt idx="309">
                  <c:v>6.7844421172579461E-5</c:v>
                </c:pt>
                <c:pt idx="310">
                  <c:v>7.2278144690333989E-5</c:v>
                </c:pt>
                <c:pt idx="311">
                  <c:v>7.7894838859526977E-5</c:v>
                </c:pt>
                <c:pt idx="312">
                  <c:v>8.4690662321158208E-5</c:v>
                </c:pt>
                <c:pt idx="313">
                  <c:v>9.266169318846694E-5</c:v>
                </c:pt>
                <c:pt idx="314">
                  <c:v>1.0180401550639965E-4</c:v>
                </c:pt>
                <c:pt idx="315">
                  <c:v>1.1211380173611466E-4</c:v>
                </c:pt>
                <c:pt idx="316">
                  <c:v>1.2359706767190411E-4</c:v>
                </c:pt>
                <c:pt idx="317">
                  <c:v>1.3709107926482571E-4</c:v>
                </c:pt>
                <c:pt idx="318">
                  <c:v>1.522970860553057E-4</c:v>
                </c:pt>
                <c:pt idx="319">
                  <c:v>1.6921462788778023E-4</c:v>
                </c:pt>
                <c:pt idx="320">
                  <c:v>1.87843338260613E-4</c:v>
                </c:pt>
                <c:pt idx="321">
                  <c:v>2.0818255979425089E-4</c:v>
                </c:pt>
                <c:pt idx="322">
                  <c:v>2.3023091328641668E-4</c:v>
                </c:pt>
                <c:pt idx="323">
                  <c:v>2.5370782323041682E-4</c:v>
                </c:pt>
                <c:pt idx="324">
                  <c:v>2.7772230561231729E-4</c:v>
                </c:pt>
                <c:pt idx="325">
                  <c:v>3.0226894365148677E-4</c:v>
                </c:pt>
                <c:pt idx="326">
                  <c:v>3.2733749855917937E-4</c:v>
                </c:pt>
                <c:pt idx="327">
                  <c:v>3.5291540734012526E-4</c:v>
                </c:pt>
                <c:pt idx="328">
                  <c:v>3.7898828955385753E-4</c:v>
                </c:pt>
                <c:pt idx="329">
                  <c:v>4.0553816364191338E-4</c:v>
                </c:pt>
                <c:pt idx="330">
                  <c:v>4.3258807385598673E-4</c:v>
                </c:pt>
                <c:pt idx="331">
                  <c:v>4.5976030313110147E-4</c:v>
                </c:pt>
                <c:pt idx="332">
                  <c:v>4.8623397121024214E-4</c:v>
                </c:pt>
                <c:pt idx="333">
                  <c:v>5.1201034317613706E-4</c:v>
                </c:pt>
                <c:pt idx="334">
                  <c:v>5.3708889341930242E-4</c:v>
                </c:pt>
                <c:pt idx="335">
                  <c:v>5.6146719522219785E-4</c:v>
                </c:pt>
                <c:pt idx="336">
                  <c:v>5.8514083718516283E-4</c:v>
                </c:pt>
                <c:pt idx="337">
                  <c:v>6.0790681659154033E-4</c:v>
                </c:pt>
                <c:pt idx="338">
                  <c:v>6.3003290216720118E-4</c:v>
                </c:pt>
                <c:pt idx="339">
                  <c:v>6.5150841944228296E-4</c:v>
                </c:pt>
                <c:pt idx="340">
                  <c:v>6.7232067085715348E-4</c:v>
                </c:pt>
                <c:pt idx="341">
                  <c:v>6.9245499944016551E-4</c:v>
                </c:pt>
                <c:pt idx="342">
                  <c:v>7.1189488584767302E-4</c:v>
                </c:pt>
                <c:pt idx="343">
                  <c:v>7.3062208022552934E-4</c:v>
                </c:pt>
                <c:pt idx="344">
                  <c:v>7.4865597297100572E-4</c:v>
                </c:pt>
                <c:pt idx="345">
                  <c:v>7.6601898462173108E-4</c:v>
                </c:pt>
                <c:pt idx="346">
                  <c:v>7.8198496750900705E-4</c:v>
                </c:pt>
                <c:pt idx="347">
                  <c:v>7.9653855780850789E-4</c:v>
                </c:pt>
                <c:pt idx="348">
                  <c:v>8.0966356829874277E-4</c:v>
                </c:pt>
                <c:pt idx="349">
                  <c:v>8.2134337108833008E-4</c:v>
                </c:pt>
                <c:pt idx="350">
                  <c:v>8.3156129951719325E-4</c:v>
                </c:pt>
                <c:pt idx="351">
                  <c:v>8.3918588862542823E-4</c:v>
                </c:pt>
                <c:pt idx="352">
                  <c:v>8.4440131590192056E-4</c:v>
                </c:pt>
                <c:pt idx="353">
                  <c:v>8.4719937679087799E-4</c:v>
                </c:pt>
                <c:pt idx="354">
                  <c:v>8.4757479798464215E-4</c:v>
                </c:pt>
                <c:pt idx="355">
                  <c:v>8.4552579788223171E-4</c:v>
                </c:pt>
                <c:pt idx="356">
                  <c:v>8.4105119748189813E-4</c:v>
                </c:pt>
                <c:pt idx="357">
                  <c:v>8.3416005003063981E-4</c:v>
                </c:pt>
                <c:pt idx="358">
                  <c:v>8.2486798510233463E-4</c:v>
                </c:pt>
                <c:pt idx="359">
                  <c:v>8.1320571173289582E-4</c:v>
                </c:pt>
                <c:pt idx="360">
                  <c:v>7.990163499266926E-4</c:v>
                </c:pt>
                <c:pt idx="361">
                  <c:v>7.8342280817393986E-4</c:v>
                </c:pt>
                <c:pt idx="362">
                  <c:v>7.6645465927998137E-4</c:v>
                </c:pt>
                <c:pt idx="363">
                  <c:v>7.4814411110503854E-4</c:v>
                </c:pt>
                <c:pt idx="364">
                  <c:v>7.2852582511155487E-4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304"/>
        <c:axId val="201614696"/>
      </c:lineChart>
      <c:dateAx>
        <c:axId val="20161430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1614696"/>
        <c:crosses val="autoZero"/>
        <c:auto val="1"/>
        <c:lblOffset val="100"/>
        <c:baseTimeUnit val="days"/>
        <c:majorUnit val="1"/>
        <c:majorTimeUnit val="months"/>
      </c:dateAx>
      <c:valAx>
        <c:axId val="20161469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16143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2.7052399055052745E-2</c:v>
                </c:pt>
                <c:pt idx="1">
                  <c:v>2.7071045373859848E-2</c:v>
                </c:pt>
                <c:pt idx="2">
                  <c:v>2.708969133531447E-2</c:v>
                </c:pt>
                <c:pt idx="3">
                  <c:v>2.7108336939423494E-2</c:v>
                </c:pt>
                <c:pt idx="4">
                  <c:v>2.7126982186193804E-2</c:v>
                </c:pt>
                <c:pt idx="5">
                  <c:v>2.7145627075632284E-2</c:v>
                </c:pt>
                <c:pt idx="6">
                  <c:v>2.7164271607745594E-2</c:v>
                </c:pt>
                <c:pt idx="7">
                  <c:v>2.7182915782540729E-2</c:v>
                </c:pt>
                <c:pt idx="8">
                  <c:v>2.7201559600024461E-2</c:v>
                </c:pt>
                <c:pt idx="9">
                  <c:v>2.7220203060203785E-2</c:v>
                </c:pt>
                <c:pt idx="10">
                  <c:v>2.7238846163085362E-2</c:v>
                </c:pt>
                <c:pt idx="11">
                  <c:v>2.7257488908676186E-2</c:v>
                </c:pt>
                <c:pt idx="12">
                  <c:v>2.7276131296983031E-2</c:v>
                </c:pt>
                <c:pt idx="13">
                  <c:v>2.7294773328012778E-2</c:v>
                </c:pt>
                <c:pt idx="14">
                  <c:v>2.7313415001772201E-2</c:v>
                </c:pt>
                <c:pt idx="15">
                  <c:v>2.7332056318268183E-2</c:v>
                </c:pt>
                <c:pt idx="16">
                  <c:v>2.7350697277507607E-2</c:v>
                </c:pt>
                <c:pt idx="17">
                  <c:v>2.7369337879497357E-2</c:v>
                </c:pt>
                <c:pt idx="18">
                  <c:v>2.7387978124244206E-2</c:v>
                </c:pt>
                <c:pt idx="19">
                  <c:v>2.7406618011755035E-2</c:v>
                </c:pt>
                <c:pt idx="20">
                  <c:v>2.7425257542036618E-2</c:v>
                </c:pt>
                <c:pt idx="21">
                  <c:v>2.7443896715095839E-2</c:v>
                </c:pt>
                <c:pt idx="22">
                  <c:v>2.746253553093958E-2</c:v>
                </c:pt>
                <c:pt idx="23">
                  <c:v>2.7481173989574725E-2</c:v>
                </c:pt>
                <c:pt idx="24">
                  <c:v>2.7499812091007936E-2</c:v>
                </c:pt>
                <c:pt idx="25">
                  <c:v>2.7518449835246317E-2</c:v>
                </c:pt>
                <c:pt idx="26">
                  <c:v>2.753708722229653E-2</c:v>
                </c:pt>
                <c:pt idx="27">
                  <c:v>2.7555724252165459E-2</c:v>
                </c:pt>
                <c:pt idx="28">
                  <c:v>2.7574360924859986E-2</c:v>
                </c:pt>
                <c:pt idx="29">
                  <c:v>2.7592997240386885E-2</c:v>
                </c:pt>
                <c:pt idx="30">
                  <c:v>2.7611633198753149E-2</c:v>
                </c:pt>
                <c:pt idx="31">
                  <c:v>2.7630268799965441E-2</c:v>
                </c:pt>
                <c:pt idx="32">
                  <c:v>2.7648904044030642E-2</c:v>
                </c:pt>
                <c:pt idx="33">
                  <c:v>2.7667538930955748E-2</c:v>
                </c:pt>
                <c:pt idx="34">
                  <c:v>2.7686173460747421E-2</c:v>
                </c:pt>
                <c:pt idx="35">
                  <c:v>2.7704807633412654E-2</c:v>
                </c:pt>
                <c:pt idx="36">
                  <c:v>2.7723441448958219E-2</c:v>
                </c:pt>
                <c:pt idx="37">
                  <c:v>2.774207490739089E-2</c:v>
                </c:pt>
                <c:pt idx="38">
                  <c:v>2.776070800871755E-2</c:v>
                </c:pt>
                <c:pt idx="39">
                  <c:v>2.7779340752945192E-2</c:v>
                </c:pt>
                <c:pt idx="40">
                  <c:v>2.7797973140080479E-2</c:v>
                </c:pt>
                <c:pt idx="41">
                  <c:v>2.7816605170130293E-2</c:v>
                </c:pt>
                <c:pt idx="42">
                  <c:v>2.7835236843101518E-2</c:v>
                </c:pt>
                <c:pt idx="43">
                  <c:v>2.7853868159001038E-2</c:v>
                </c:pt>
                <c:pt idx="44">
                  <c:v>2.7872499117835625E-2</c:v>
                </c:pt>
                <c:pt idx="45">
                  <c:v>2.7891129719612051E-2</c:v>
                </c:pt>
                <c:pt idx="46">
                  <c:v>2.7909759964337311E-2</c:v>
                </c:pt>
                <c:pt idx="47">
                  <c:v>2.7928389852018176E-2</c:v>
                </c:pt>
                <c:pt idx="48">
                  <c:v>2.7947019382661531E-2</c:v>
                </c:pt>
                <c:pt idx="49">
                  <c:v>2.7965648556274147E-2</c:v>
                </c:pt>
                <c:pt idx="50">
                  <c:v>2.7984277372862909E-2</c:v>
                </c:pt>
                <c:pt idx="51">
                  <c:v>2.8002905832434588E-2</c:v>
                </c:pt>
                <c:pt idx="52">
                  <c:v>2.8021533934996179E-2</c:v>
                </c:pt>
                <c:pt idx="53">
                  <c:v>2.8040161680554343E-2</c:v>
                </c:pt>
                <c:pt idx="54">
                  <c:v>2.8058789069116075E-2</c:v>
                </c:pt>
                <c:pt idx="55">
                  <c:v>2.8077416100688146E-2</c:v>
                </c:pt>
                <c:pt idx="56">
                  <c:v>2.8096042775277441E-2</c:v>
                </c:pt>
                <c:pt idx="57">
                  <c:v>2.8114669092890732E-2</c:v>
                </c:pt>
                <c:pt idx="58">
                  <c:v>2.813329505353479E-2</c:v>
                </c:pt>
                <c:pt idx="59">
                  <c:v>2.8151920657216722E-2</c:v>
                </c:pt>
                <c:pt idx="60">
                  <c:v>2.8170545903943189E-2</c:v>
                </c:pt>
                <c:pt idx="61">
                  <c:v>2.8189170793720963E-2</c:v>
                </c:pt>
                <c:pt idx="62">
                  <c:v>2.8207795326557039E-2</c:v>
                </c:pt>
                <c:pt idx="63">
                  <c:v>2.8226419502458189E-2</c:v>
                </c:pt>
                <c:pt idx="64">
                  <c:v>2.8245043321431185E-2</c:v>
                </c:pt>
                <c:pt idx="65">
                  <c:v>2.8263666783483021E-2</c:v>
                </c:pt>
                <c:pt idx="66">
                  <c:v>2.8282289888620471E-2</c:v>
                </c:pt>
                <c:pt idx="67">
                  <c:v>2.8300912636850306E-2</c:v>
                </c:pt>
                <c:pt idx="68">
                  <c:v>2.831953502817941E-2</c:v>
                </c:pt>
                <c:pt idx="69">
                  <c:v>2.8338157062614666E-2</c:v>
                </c:pt>
                <c:pt idx="70">
                  <c:v>2.8356778740162847E-2</c:v>
                </c:pt>
                <c:pt idx="71">
                  <c:v>2.8375400060830835E-2</c:v>
                </c:pt>
                <c:pt idx="72">
                  <c:v>2.8394021024625515E-2</c:v>
                </c:pt>
                <c:pt idx="73">
                  <c:v>2.8412641631553659E-2</c:v>
                </c:pt>
                <c:pt idx="74">
                  <c:v>2.8431261881622039E-2</c:v>
                </c:pt>
                <c:pt idx="75">
                  <c:v>2.8449881774837649E-2</c:v>
                </c:pt>
                <c:pt idx="76">
                  <c:v>2.8468501311207262E-2</c:v>
                </c:pt>
                <c:pt idx="77">
                  <c:v>2.848712049073765E-2</c:v>
                </c:pt>
                <c:pt idx="78">
                  <c:v>2.8505739313435807E-2</c:v>
                </c:pt>
                <c:pt idx="79">
                  <c:v>2.8524357779308396E-2</c:v>
                </c:pt>
                <c:pt idx="80">
                  <c:v>2.8542975888362299E-2</c:v>
                </c:pt>
                <c:pt idx="81">
                  <c:v>2.8561593640604399E-2</c:v>
                </c:pt>
                <c:pt idx="82">
                  <c:v>2.8580211036041581E-2</c:v>
                </c:pt>
                <c:pt idx="83">
                  <c:v>2.8598828074680616E-2</c:v>
                </c:pt>
                <c:pt idx="84">
                  <c:v>2.8617444756528387E-2</c:v>
                </c:pt>
                <c:pt idx="85">
                  <c:v>2.8636061081591668E-2</c:v>
                </c:pt>
                <c:pt idx="86">
                  <c:v>2.8654677049877231E-2</c:v>
                </c:pt>
                <c:pt idx="87">
                  <c:v>2.867329266139218E-2</c:v>
                </c:pt>
                <c:pt idx="88">
                  <c:v>2.8691907916143067E-2</c:v>
                </c:pt>
                <c:pt idx="89">
                  <c:v>2.8710522814136885E-2</c:v>
                </c:pt>
                <c:pt idx="90">
                  <c:v>2.8729137355380407E-2</c:v>
                </c:pt>
                <c:pt idx="91">
                  <c:v>2.8747751539880406E-2</c:v>
                </c:pt>
                <c:pt idx="92">
                  <c:v>2.8766365367643987E-2</c:v>
                </c:pt>
                <c:pt idx="93">
                  <c:v>2.8784978838677699E-2</c:v>
                </c:pt>
                <c:pt idx="94">
                  <c:v>2.8803591952988539E-2</c:v>
                </c:pt>
                <c:pt idx="95">
                  <c:v>2.8822204710583166E-2</c:v>
                </c:pt>
                <c:pt idx="96">
                  <c:v>2.8840817111468686E-2</c:v>
                </c:pt>
                <c:pt idx="97">
                  <c:v>2.8859429155651761E-2</c:v>
                </c:pt>
                <c:pt idx="98">
                  <c:v>2.8878040843139163E-2</c:v>
                </c:pt>
                <c:pt idx="99">
                  <c:v>2.8896652173937887E-2</c:v>
                </c:pt>
                <c:pt idx="100">
                  <c:v>2.8915263148054704E-2</c:v>
                </c:pt>
                <c:pt idx="101">
                  <c:v>2.8933873765496387E-2</c:v>
                </c:pt>
                <c:pt idx="102">
                  <c:v>2.8952484026269931E-2</c:v>
                </c:pt>
                <c:pt idx="103">
                  <c:v>2.8971093930381997E-2</c:v>
                </c:pt>
                <c:pt idx="104">
                  <c:v>2.8989703477839579E-2</c:v>
                </c:pt>
                <c:pt idx="105">
                  <c:v>2.9008312668649339E-2</c:v>
                </c:pt>
                <c:pt idx="106">
                  <c:v>2.902692150281827E-2</c:v>
                </c:pt>
                <c:pt idx="107">
                  <c:v>2.9045529980353146E-2</c:v>
                </c:pt>
                <c:pt idx="108">
                  <c:v>2.9064138101260739E-2</c:v>
                </c:pt>
                <c:pt idx="109">
                  <c:v>2.9082745865547932E-2</c:v>
                </c:pt>
                <c:pt idx="110">
                  <c:v>2.9101353273221608E-2</c:v>
                </c:pt>
                <c:pt idx="111">
                  <c:v>2.9119960324288541E-2</c:v>
                </c:pt>
                <c:pt idx="112">
                  <c:v>2.9138567018755612E-2</c:v>
                </c:pt>
                <c:pt idx="113">
                  <c:v>2.9157173356629595E-2</c:v>
                </c:pt>
                <c:pt idx="114">
                  <c:v>2.9175779337917374E-2</c:v>
                </c:pt>
                <c:pt idx="115">
                  <c:v>2.919438496262583E-2</c:v>
                </c:pt>
                <c:pt idx="116">
                  <c:v>2.9212990230761626E-2</c:v>
                </c:pt>
                <c:pt idx="117">
                  <c:v>2.9231595142331757E-2</c:v>
                </c:pt>
                <c:pt idx="118">
                  <c:v>2.9250199697342993E-2</c:v>
                </c:pt>
                <c:pt idx="119">
                  <c:v>2.9268803895802109E-2</c:v>
                </c:pt>
                <c:pt idx="120">
                  <c:v>2.9287407737716098E-2</c:v>
                </c:pt>
                <c:pt idx="121">
                  <c:v>2.9306011223091732E-2</c:v>
                </c:pt>
                <c:pt idx="122">
                  <c:v>2.9324614351935674E-2</c:v>
                </c:pt>
                <c:pt idx="123">
                  <c:v>2.9343217124255028E-2</c:v>
                </c:pt>
                <c:pt idx="124">
                  <c:v>2.9361819540056455E-2</c:v>
                </c:pt>
                <c:pt idx="125">
                  <c:v>2.938042159934684E-2</c:v>
                </c:pt>
                <c:pt idx="126">
                  <c:v>2.9399023302132954E-2</c:v>
                </c:pt>
                <c:pt idx="127">
                  <c:v>2.9417624648421681E-2</c:v>
                </c:pt>
                <c:pt idx="128">
                  <c:v>2.9436225638219904E-2</c:v>
                </c:pt>
                <c:pt idx="129">
                  <c:v>2.9454826271534285E-2</c:v>
                </c:pt>
                <c:pt idx="130">
                  <c:v>2.9473426548371928E-2</c:v>
                </c:pt>
                <c:pt idx="131">
                  <c:v>2.9492026468739385E-2</c:v>
                </c:pt>
                <c:pt idx="132">
                  <c:v>2.951062603264365E-2</c:v>
                </c:pt>
                <c:pt idx="133">
                  <c:v>2.9529225240091606E-2</c:v>
                </c:pt>
                <c:pt idx="134">
                  <c:v>2.9547824091089914E-2</c:v>
                </c:pt>
                <c:pt idx="135">
                  <c:v>2.9566422585645458E-2</c:v>
                </c:pt>
                <c:pt idx="136">
                  <c:v>2.9585020723765121E-2</c:v>
                </c:pt>
                <c:pt idx="137">
                  <c:v>2.9603618505455676E-2</c:v>
                </c:pt>
                <c:pt idx="138">
                  <c:v>2.9622215930724116E-2</c:v>
                </c:pt>
                <c:pt idx="139">
                  <c:v>2.9640812999576993E-2</c:v>
                </c:pt>
                <c:pt idx="140">
                  <c:v>2.9659409712021412E-2</c:v>
                </c:pt>
                <c:pt idx="141">
                  <c:v>2.9678006068063922E-2</c:v>
                </c:pt>
                <c:pt idx="142">
                  <c:v>2.969660206771163E-2</c:v>
                </c:pt>
                <c:pt idx="143">
                  <c:v>2.9715197710971197E-2</c:v>
                </c:pt>
                <c:pt idx="144">
                  <c:v>2.9733792997849617E-2</c:v>
                </c:pt>
                <c:pt idx="145">
                  <c:v>2.9752387928353441E-2</c:v>
                </c:pt>
                <c:pt idx="146">
                  <c:v>2.9770982502489773E-2</c:v>
                </c:pt>
                <c:pt idx="147">
                  <c:v>2.9789576720265276E-2</c:v>
                </c:pt>
                <c:pt idx="148">
                  <c:v>2.9808170581686944E-2</c:v>
                </c:pt>
                <c:pt idx="149">
                  <c:v>2.9826764086761326E-2</c:v>
                </c:pt>
                <c:pt idx="150">
                  <c:v>2.9845357235495529E-2</c:v>
                </c:pt>
                <c:pt idx="151">
                  <c:v>2.9863950027896324E-2</c:v>
                </c:pt>
                <c:pt idx="152">
                  <c:v>2.9882542463970485E-2</c:v>
                </c:pt>
                <c:pt idx="153">
                  <c:v>2.9901134543724783E-2</c:v>
                </c:pt>
                <c:pt idx="154">
                  <c:v>2.9919726267166102E-2</c:v>
                </c:pt>
                <c:pt idx="155">
                  <c:v>2.9938317634301326E-2</c:v>
                </c:pt>
                <c:pt idx="156">
                  <c:v>2.9956908645137226E-2</c:v>
                </c:pt>
                <c:pt idx="157">
                  <c:v>2.9975499299680686E-2</c:v>
                </c:pt>
                <c:pt idx="158">
                  <c:v>2.9994089597938367E-2</c:v>
                </c:pt>
                <c:pt idx="159">
                  <c:v>3.0012679539917375E-2</c:v>
                </c:pt>
                <c:pt idx="160">
                  <c:v>3.003126912562426E-2</c:v>
                </c:pt>
                <c:pt idx="161">
                  <c:v>3.0049858355066128E-2</c:v>
                </c:pt>
                <c:pt idx="162">
                  <c:v>3.0068447228249529E-2</c:v>
                </c:pt>
                <c:pt idx="163">
                  <c:v>3.0087035745181456E-2</c:v>
                </c:pt>
                <c:pt idx="164">
                  <c:v>3.0105623905868684E-2</c:v>
                </c:pt>
                <c:pt idx="165">
                  <c:v>3.0124211710318094E-2</c:v>
                </c:pt>
                <c:pt idx="166">
                  <c:v>3.014279915853646E-2</c:v>
                </c:pt>
                <c:pt idx="167">
                  <c:v>3.0161386250530553E-2</c:v>
                </c:pt>
                <c:pt idx="168">
                  <c:v>3.0179972986307368E-2</c:v>
                </c:pt>
                <c:pt idx="169">
                  <c:v>3.0198559365873567E-2</c:v>
                </c:pt>
                <c:pt idx="170">
                  <c:v>3.0217145389236033E-2</c:v>
                </c:pt>
                <c:pt idx="171">
                  <c:v>3.0235731056401649E-2</c:v>
                </c:pt>
                <c:pt idx="172">
                  <c:v>3.0254316367377188E-2</c:v>
                </c:pt>
                <c:pt idx="173">
                  <c:v>3.0272901322169421E-2</c:v>
                </c:pt>
                <c:pt idx="174">
                  <c:v>3.0291485920785233E-2</c:v>
                </c:pt>
                <c:pt idx="175">
                  <c:v>3.0310070163231506E-2</c:v>
                </c:pt>
                <c:pt idx="176">
                  <c:v>3.0328654049515014E-2</c:v>
                </c:pt>
                <c:pt idx="177">
                  <c:v>3.0347237579642639E-2</c:v>
                </c:pt>
                <c:pt idx="178">
                  <c:v>3.0365820753621042E-2</c:v>
                </c:pt>
                <c:pt idx="179">
                  <c:v>3.0384403571457219E-2</c:v>
                </c:pt>
                <c:pt idx="180">
                  <c:v>3.0402986033157831E-2</c:v>
                </c:pt>
                <c:pt idx="181">
                  <c:v>3.0421568138729871E-2</c:v>
                </c:pt>
                <c:pt idx="182">
                  <c:v>3.0440149888180112E-2</c:v>
                </c:pt>
                <c:pt idx="183">
                  <c:v>3.0458731281515439E-2</c:v>
                </c:pt>
                <c:pt idx="184">
                  <c:v>3.0477312318742511E-2</c:v>
                </c:pt>
                <c:pt idx="185">
                  <c:v>3.0495892999868213E-2</c:v>
                </c:pt>
                <c:pt idx="186">
                  <c:v>3.0514473324899427E-2</c:v>
                </c:pt>
                <c:pt idx="187">
                  <c:v>3.0533053293842927E-2</c:v>
                </c:pt>
                <c:pt idx="188">
                  <c:v>3.0551632906705706E-2</c:v>
                </c:pt>
                <c:pt idx="189">
                  <c:v>3.0570212163494315E-2</c:v>
                </c:pt>
                <c:pt idx="190">
                  <c:v>3.0588791064215637E-2</c:v>
                </c:pt>
                <c:pt idx="191">
                  <c:v>3.0607369608876667E-2</c:v>
                </c:pt>
                <c:pt idx="192">
                  <c:v>3.0625947797484177E-2</c:v>
                </c:pt>
                <c:pt idx="193">
                  <c:v>3.0644525630044828E-2</c:v>
                </c:pt>
                <c:pt idx="194">
                  <c:v>3.0663103106565615E-2</c:v>
                </c:pt>
                <c:pt idx="195">
                  <c:v>3.068168022705331E-2</c:v>
                </c:pt>
                <c:pt idx="196">
                  <c:v>3.0700256991514685E-2</c:v>
                </c:pt>
                <c:pt idx="197">
                  <c:v>3.0718833399956624E-2</c:v>
                </c:pt>
                <c:pt idx="198">
                  <c:v>3.0737409452386011E-2</c:v>
                </c:pt>
                <c:pt idx="199">
                  <c:v>3.0755985148809506E-2</c:v>
                </c:pt>
                <c:pt idx="200">
                  <c:v>3.0774560489233993E-2</c:v>
                </c:pt>
                <c:pt idx="201">
                  <c:v>3.0793135473666355E-2</c:v>
                </c:pt>
                <c:pt idx="202">
                  <c:v>3.0811710102113476E-2</c:v>
                </c:pt>
                <c:pt idx="203">
                  <c:v>3.0830284374581907E-2</c:v>
                </c:pt>
                <c:pt idx="204">
                  <c:v>3.0848858291078751E-2</c:v>
                </c:pt>
                <c:pt idx="205">
                  <c:v>3.0867431851610672E-2</c:v>
                </c:pt>
                <c:pt idx="206">
                  <c:v>3.0886005056184551E-2</c:v>
                </c:pt>
                <c:pt idx="207">
                  <c:v>3.0904577904807273E-2</c:v>
                </c:pt>
                <c:pt idx="208">
                  <c:v>3.0923150397485499E-2</c:v>
                </c:pt>
                <c:pt idx="209">
                  <c:v>3.0941722534226224E-2</c:v>
                </c:pt>
                <c:pt idx="210">
                  <c:v>3.0960294315036108E-2</c:v>
                </c:pt>
                <c:pt idx="211">
                  <c:v>3.0978865739922035E-2</c:v>
                </c:pt>
                <c:pt idx="212">
                  <c:v>3.0997436808890888E-2</c:v>
                </c:pt>
                <c:pt idx="213">
                  <c:v>3.101600752194944E-2</c:v>
                </c:pt>
                <c:pt idx="214">
                  <c:v>3.1034577879104575E-2</c:v>
                </c:pt>
                <c:pt idx="215">
                  <c:v>3.1053147880362952E-2</c:v>
                </c:pt>
                <c:pt idx="216">
                  <c:v>3.1071717525731568E-2</c:v>
                </c:pt>
                <c:pt idx="217">
                  <c:v>3.1090286815217083E-2</c:v>
                </c:pt>
                <c:pt idx="218">
                  <c:v>3.1108855748826381E-2</c:v>
                </c:pt>
                <c:pt idx="219">
                  <c:v>3.1127424326566455E-2</c:v>
                </c:pt>
                <c:pt idx="220">
                  <c:v>3.1145992548443857E-2</c:v>
                </c:pt>
                <c:pt idx="221">
                  <c:v>3.1164560414465581E-2</c:v>
                </c:pt>
                <c:pt idx="222">
                  <c:v>3.1183127924638288E-2</c:v>
                </c:pt>
                <c:pt idx="223">
                  <c:v>3.1201695078968972E-2</c:v>
                </c:pt>
                <c:pt idx="224">
                  <c:v>3.1220261877464406E-2</c:v>
                </c:pt>
                <c:pt idx="225">
                  <c:v>3.1238828320131362E-2</c:v>
                </c:pt>
                <c:pt idx="226">
                  <c:v>3.1257394406976613E-2</c:v>
                </c:pt>
                <c:pt idx="227">
                  <c:v>3.1275960138007153E-2</c:v>
                </c:pt>
                <c:pt idx="228">
                  <c:v>3.1294525513229643E-2</c:v>
                </c:pt>
                <c:pt idx="229">
                  <c:v>3.1313090532650856E-2</c:v>
                </c:pt>
                <c:pt idx="230">
                  <c:v>3.1331655196277897E-2</c:v>
                </c:pt>
                <c:pt idx="231">
                  <c:v>3.1350219504117205E-2</c:v>
                </c:pt>
                <c:pt idx="232">
                  <c:v>3.1368783456175886E-2</c:v>
                </c:pt>
                <c:pt idx="233">
                  <c:v>3.1387347052460712E-2</c:v>
                </c:pt>
                <c:pt idx="234">
                  <c:v>3.1405910292978345E-2</c:v>
                </c:pt>
                <c:pt idx="235">
                  <c:v>3.1424473177735779E-2</c:v>
                </c:pt>
                <c:pt idx="236">
                  <c:v>3.1443035706739786E-2</c:v>
                </c:pt>
                <c:pt idx="237">
                  <c:v>3.1461597879997028E-2</c:v>
                </c:pt>
                <c:pt idx="238">
                  <c:v>3.1480159697514609E-2</c:v>
                </c:pt>
                <c:pt idx="239">
                  <c:v>3.1498721159299081E-2</c:v>
                </c:pt>
                <c:pt idx="240">
                  <c:v>3.1517282265357438E-2</c:v>
                </c:pt>
                <c:pt idx="241">
                  <c:v>3.1535843015696452E-2</c:v>
                </c:pt>
                <c:pt idx="242">
                  <c:v>3.1554403410322784E-2</c:v>
                </c:pt>
                <c:pt idx="243">
                  <c:v>3.1572963449243541E-2</c:v>
                </c:pt>
                <c:pt idx="244">
                  <c:v>3.1591523132465271E-2</c:v>
                </c:pt>
                <c:pt idx="245">
                  <c:v>3.161008245999497E-2</c:v>
                </c:pt>
                <c:pt idx="246">
                  <c:v>3.162864143183941E-2</c:v>
                </c:pt>
                <c:pt idx="247">
                  <c:v>3.1647200048005364E-2</c:v>
                </c:pt>
                <c:pt idx="248">
                  <c:v>3.1665758308499714E-2</c:v>
                </c:pt>
                <c:pt idx="249">
                  <c:v>3.1684316213329122E-2</c:v>
                </c:pt>
                <c:pt idx="250">
                  <c:v>3.1702873762500583E-2</c:v>
                </c:pt>
                <c:pt idx="251">
                  <c:v>3.1721430956020868E-2</c:v>
                </c:pt>
                <c:pt idx="252">
                  <c:v>3.1739987793896751E-2</c:v>
                </c:pt>
                <c:pt idx="253">
                  <c:v>3.1758544276135114E-2</c:v>
                </c:pt>
                <c:pt idx="254">
                  <c:v>3.177710040274262E-2</c:v>
                </c:pt>
                <c:pt idx="255">
                  <c:v>3.1795656173726261E-2</c:v>
                </c:pt>
                <c:pt idx="256">
                  <c:v>3.1814211589092811E-2</c:v>
                </c:pt>
                <c:pt idx="257">
                  <c:v>3.1832766648849042E-2</c:v>
                </c:pt>
                <c:pt idx="258">
                  <c:v>3.1851321353001727E-2</c:v>
                </c:pt>
                <c:pt idx="259">
                  <c:v>3.1869875701557859E-2</c:v>
                </c:pt>
                <c:pt idx="260">
                  <c:v>3.188842969452399E-2</c:v>
                </c:pt>
                <c:pt idx="261">
                  <c:v>3.1906983331907224E-2</c:v>
                </c:pt>
                <c:pt idx="262">
                  <c:v>3.1925536613714112E-2</c:v>
                </c:pt>
                <c:pt idx="263">
                  <c:v>3.1944089539951648E-2</c:v>
                </c:pt>
                <c:pt idx="264">
                  <c:v>3.1962642110626605E-2</c:v>
                </c:pt>
                <c:pt idx="265">
                  <c:v>3.1981194325745754E-2</c:v>
                </c:pt>
                <c:pt idx="266">
                  <c:v>3.1999746185315869E-2</c:v>
                </c:pt>
                <c:pt idx="267">
                  <c:v>3.2018297689343944E-2</c:v>
                </c:pt>
                <c:pt idx="268">
                  <c:v>3.2036848837836529E-2</c:v>
                </c:pt>
                <c:pt idx="269">
                  <c:v>3.2055399630800729E-2</c:v>
                </c:pt>
                <c:pt idx="270">
                  <c:v>3.2073950068243096E-2</c:v>
                </c:pt>
                <c:pt idx="271">
                  <c:v>3.2092500150170622E-2</c:v>
                </c:pt>
                <c:pt idx="272">
                  <c:v>3.2111049876590081E-2</c:v>
                </c:pt>
                <c:pt idx="273">
                  <c:v>3.2129599247508245E-2</c:v>
                </c:pt>
                <c:pt idx="274">
                  <c:v>3.2148148262931997E-2</c:v>
                </c:pt>
                <c:pt idx="275">
                  <c:v>3.2166696922867999E-2</c:v>
                </c:pt>
                <c:pt idx="276">
                  <c:v>3.2185245227323245E-2</c:v>
                </c:pt>
                <c:pt idx="277">
                  <c:v>3.2203793176304396E-2</c:v>
                </c:pt>
                <c:pt idx="278">
                  <c:v>3.2222340769818447E-2</c:v>
                </c:pt>
                <c:pt idx="279">
                  <c:v>3.2240888007871948E-2</c:v>
                </c:pt>
                <c:pt idx="280">
                  <c:v>3.2259434890472005E-2</c:v>
                </c:pt>
                <c:pt idx="281">
                  <c:v>3.2277981417625168E-2</c:v>
                </c:pt>
                <c:pt idx="282">
                  <c:v>3.2296527589338431E-2</c:v>
                </c:pt>
                <c:pt idx="283">
                  <c:v>3.2315073405618566E-2</c:v>
                </c:pt>
                <c:pt idx="284">
                  <c:v>3.2333618866472347E-2</c:v>
                </c:pt>
                <c:pt idx="285">
                  <c:v>3.2352163971906545E-2</c:v>
                </c:pt>
                <c:pt idx="286">
                  <c:v>3.2370708721928154E-2</c:v>
                </c:pt>
                <c:pt idx="287">
                  <c:v>3.2389253116543726E-2</c:v>
                </c:pt>
                <c:pt idx="288">
                  <c:v>3.2407797155760254E-2</c:v>
                </c:pt>
                <c:pt idx="289">
                  <c:v>3.2426340839584511E-2</c:v>
                </c:pt>
                <c:pt idx="290">
                  <c:v>3.2444884168023269E-2</c:v>
                </c:pt>
                <c:pt idx="291">
                  <c:v>3.2463427141083412E-2</c:v>
                </c:pt>
                <c:pt idx="292">
                  <c:v>3.2481969758771712E-2</c:v>
                </c:pt>
                <c:pt idx="293">
                  <c:v>3.2500512021094941E-2</c:v>
                </c:pt>
                <c:pt idx="294">
                  <c:v>3.2519053928059982E-2</c:v>
                </c:pt>
                <c:pt idx="295">
                  <c:v>3.2537595479673609E-2</c:v>
                </c:pt>
                <c:pt idx="296">
                  <c:v>3.2556136675942593E-2</c:v>
                </c:pt>
                <c:pt idx="297">
                  <c:v>3.2574677516873707E-2</c:v>
                </c:pt>
                <c:pt idx="298">
                  <c:v>3.2593218002473945E-2</c:v>
                </c:pt>
                <c:pt idx="299">
                  <c:v>3.2611758132749968E-2</c:v>
                </c:pt>
                <c:pt idx="300">
                  <c:v>3.2630297907708661E-2</c:v>
                </c:pt>
                <c:pt idx="301">
                  <c:v>3.2648837327356794E-2</c:v>
                </c:pt>
                <c:pt idx="302">
                  <c:v>3.2667376391701142E-2</c:v>
                </c:pt>
                <c:pt idx="303">
                  <c:v>3.2685915100748475E-2</c:v>
                </c:pt>
                <c:pt idx="304">
                  <c:v>3.2704453454505789E-2</c:v>
                </c:pt>
                <c:pt idx="305">
                  <c:v>3.2722991452979744E-2</c:v>
                </c:pt>
                <c:pt idx="306">
                  <c:v>3.2741529096177224E-2</c:v>
                </c:pt>
                <c:pt idx="307">
                  <c:v>3.2760066384105002E-2</c:v>
                </c:pt>
                <c:pt idx="308">
                  <c:v>3.277860331676985E-2</c:v>
                </c:pt>
                <c:pt idx="309">
                  <c:v>3.2797139894178651E-2</c:v>
                </c:pt>
                <c:pt idx="310">
                  <c:v>3.2815676116338066E-2</c:v>
                </c:pt>
                <c:pt idx="311">
                  <c:v>3.283421198325509E-2</c:v>
                </c:pt>
                <c:pt idx="312">
                  <c:v>3.2852747494936496E-2</c:v>
                </c:pt>
                <c:pt idx="313">
                  <c:v>3.2871282651389055E-2</c:v>
                </c:pt>
                <c:pt idx="314">
                  <c:v>3.2889817452619541E-2</c:v>
                </c:pt>
                <c:pt idx="315">
                  <c:v>3.2908351898634725E-2</c:v>
                </c:pt>
                <c:pt idx="316">
                  <c:v>3.292688598944149E-2</c:v>
                </c:pt>
                <c:pt idx="317">
                  <c:v>3.2945419725046721E-2</c:v>
                </c:pt>
                <c:pt idx="318">
                  <c:v>3.2963953105457078E-2</c:v>
                </c:pt>
                <c:pt idx="319">
                  <c:v>3.2982486130679445E-2</c:v>
                </c:pt>
                <c:pt idx="320">
                  <c:v>3.3001018800720594E-2</c:v>
                </c:pt>
                <c:pt idx="321">
                  <c:v>3.3019551115587298E-2</c:v>
                </c:pt>
                <c:pt idx="322">
                  <c:v>3.3038083075286551E-2</c:v>
                </c:pt>
                <c:pt idx="323">
                  <c:v>3.3056614679824903E-2</c:v>
                </c:pt>
                <c:pt idx="324">
                  <c:v>3.3075145929209349E-2</c:v>
                </c:pt>
                <c:pt idx="325">
                  <c:v>3.3093676823446661E-2</c:v>
                </c:pt>
                <c:pt idx="326">
                  <c:v>3.31122073625435E-2</c:v>
                </c:pt>
                <c:pt idx="327">
                  <c:v>3.3130737546506861E-2</c:v>
                </c:pt>
                <c:pt idx="328">
                  <c:v>3.3149267375343405E-2</c:v>
                </c:pt>
                <c:pt idx="329">
                  <c:v>3.3167796849060127E-2</c:v>
                </c:pt>
                <c:pt idx="330">
                  <c:v>3.3186325967663577E-2</c:v>
                </c:pt>
                <c:pt idx="331">
                  <c:v>3.3204854731160749E-2</c:v>
                </c:pt>
                <c:pt idx="332">
                  <c:v>3.3223383139558416E-2</c:v>
                </c:pt>
                <c:pt idx="333">
                  <c:v>3.3241911192863349E-2</c:v>
                </c:pt>
                <c:pt idx="334">
                  <c:v>3.3260438891082433E-2</c:v>
                </c:pt>
                <c:pt idx="335">
                  <c:v>3.3278966234222329E-2</c:v>
                </c:pt>
                <c:pt idx="336">
                  <c:v>3.329749322228992E-2</c:v>
                </c:pt>
                <c:pt idx="337">
                  <c:v>3.3316019855292089E-2</c:v>
                </c:pt>
                <c:pt idx="338">
                  <c:v>3.3334546133235499E-2</c:v>
                </c:pt>
                <c:pt idx="339">
                  <c:v>3.3353072056127031E-2</c:v>
                </c:pt>
                <c:pt idx="340">
                  <c:v>3.3371597623973459E-2</c:v>
                </c:pt>
                <c:pt idx="341">
                  <c:v>3.3390122836781555E-2</c:v>
                </c:pt>
                <c:pt idx="342">
                  <c:v>3.3408647694558313E-2</c:v>
                </c:pt>
                <c:pt idx="343">
                  <c:v>3.3427172197310284E-2</c:v>
                </c:pt>
                <c:pt idx="344">
                  <c:v>3.3445696345044462E-2</c:v>
                </c:pt>
                <c:pt idx="345">
                  <c:v>3.3464220137767509E-2</c:v>
                </c:pt>
                <c:pt idx="346">
                  <c:v>3.3482743575486307E-2</c:v>
                </c:pt>
                <c:pt idx="347">
                  <c:v>3.3501266658207629E-2</c:v>
                </c:pt>
                <c:pt idx="348">
                  <c:v>3.3519789385938359E-2</c:v>
                </c:pt>
                <c:pt idx="349">
                  <c:v>3.3538311758685269E-2</c:v>
                </c:pt>
                <c:pt idx="350">
                  <c:v>3.355683377645502E-2</c:v>
                </c:pt>
                <c:pt idx="351">
                  <c:v>3.3575355439254606E-2</c:v>
                </c:pt>
                <c:pt idx="352">
                  <c:v>3.359387674709069E-2</c:v>
                </c:pt>
                <c:pt idx="353">
                  <c:v>3.3612397699970153E-2</c:v>
                </c:pt>
                <c:pt idx="354">
                  <c:v>3.363091829789977E-2</c:v>
                </c:pt>
                <c:pt idx="355">
                  <c:v>3.3649438540886423E-2</c:v>
                </c:pt>
                <c:pt idx="356">
                  <c:v>3.3667958428936773E-2</c:v>
                </c:pt>
                <c:pt idx="357">
                  <c:v>3.3686477962057704E-2</c:v>
                </c:pt>
                <c:pt idx="358">
                  <c:v>3.3704997140256099E-2</c:v>
                </c:pt>
                <c:pt idx="359">
                  <c:v>3.3723515963538508E-2</c:v>
                </c:pt>
                <c:pt idx="360">
                  <c:v>3.3742034431912038E-2</c:v>
                </c:pt>
                <c:pt idx="361">
                  <c:v>3.3760552545383238E-2</c:v>
                </c:pt>
                <c:pt idx="362">
                  <c:v>3.3779070303959102E-2</c:v>
                </c:pt>
                <c:pt idx="363">
                  <c:v>3.3797587707646293E-2</c:v>
                </c:pt>
                <c:pt idx="364">
                  <c:v>3.3816104756451693E-2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2.7192799562302538E-2</c:v>
                </c:pt>
                <c:pt idx="1">
                  <c:v>2.7258222136250995E-2</c:v>
                </c:pt>
                <c:pt idx="2">
                  <c:v>2.7323640159596329E-2</c:v>
                </c:pt>
                <c:pt idx="3">
                  <c:v>2.7389047733524897E-2</c:v>
                </c:pt>
                <c:pt idx="4">
                  <c:v>2.7454439725074647E-2</c:v>
                </c:pt>
                <c:pt idx="5">
                  <c:v>2.7519811750353288E-2</c:v>
                </c:pt>
                <c:pt idx="6">
                  <c:v>2.7585160151271867E-2</c:v>
                </c:pt>
                <c:pt idx="7">
                  <c:v>2.7650481966221583E-2</c:v>
                </c:pt>
                <c:pt idx="8">
                  <c:v>2.7715774895171484E-2</c:v>
                </c:pt>
                <c:pt idx="9">
                  <c:v>2.7781037259709127E-2</c:v>
                </c:pt>
                <c:pt idx="10">
                  <c:v>2.7846267958585094E-2</c:v>
                </c:pt>
                <c:pt idx="11">
                  <c:v>2.7911466419354651E-2</c:v>
                </c:pt>
                <c:pt idx="12">
                  <c:v>2.7976632546736848E-2</c:v>
                </c:pt>
                <c:pt idx="13">
                  <c:v>2.8041766668330702E-2</c:v>
                </c:pt>
                <c:pt idx="14">
                  <c:v>2.8106869478341959E-2</c:v>
                </c:pt>
                <c:pt idx="15">
                  <c:v>2.8171941979980582E-2</c:v>
                </c:pt>
                <c:pt idx="16">
                  <c:v>2.8236985427189217E-2</c:v>
                </c:pt>
                <c:pt idx="17">
                  <c:v>2.830200126635626E-2</c:v>
                </c:pt>
                <c:pt idx="18">
                  <c:v>2.8366991078655004E-2</c:v>
                </c:pt>
                <c:pt idx="19">
                  <c:v>2.8431956523630494E-2</c:v>
                </c:pt>
                <c:pt idx="20">
                  <c:v>2.8496899284631588E-2</c:v>
                </c:pt>
                <c:pt idx="21">
                  <c:v>2.8561821016654543E-2</c:v>
                </c:pt>
                <c:pt idx="22">
                  <c:v>2.8626723297129314E-2</c:v>
                </c:pt>
                <c:pt idx="23">
                  <c:v>2.8691607580138799E-2</c:v>
                </c:pt>
                <c:pt idx="24">
                  <c:v>2.8756475154516768E-2</c:v>
                </c:pt>
                <c:pt idx="25">
                  <c:v>2.8821327106221505E-2</c:v>
                </c:pt>
                <c:pt idx="26">
                  <c:v>2.8886164285330192E-2</c:v>
                </c:pt>
                <c:pt idx="27">
                  <c:v>2.8950987277945022E-2</c:v>
                </c:pt>
                <c:pt idx="28">
                  <c:v>2.9015796383244901E-2</c:v>
                </c:pt>
                <c:pt idx="29">
                  <c:v>2.9080591595858987E-2</c:v>
                </c:pt>
                <c:pt idx="30">
                  <c:v>2.9145372593679303E-2</c:v>
                </c:pt>
                <c:pt idx="31">
                  <c:v>2.921013873117052E-2</c:v>
                </c:pt>
                <c:pt idx="32">
                  <c:v>2.927488903817644E-2</c:v>
                </c:pt>
                <c:pt idx="33">
                  <c:v>2.9339622224164946E-2</c:v>
                </c:pt>
                <c:pt idx="34">
                  <c:v>2.9404336687797131E-2</c:v>
                </c:pt>
                <c:pt idx="35">
                  <c:v>2.9469030531652278E-2</c:v>
                </c:pt>
                <c:pt idx="36">
                  <c:v>2.9533701581889289E-2</c:v>
                </c:pt>
                <c:pt idx="37">
                  <c:v>2.9598347412576879E-2</c:v>
                </c:pt>
                <c:pt idx="38">
                  <c:v>2.9662965374380495E-2</c:v>
                </c:pt>
                <c:pt idx="39">
                  <c:v>2.9727552627253292E-2</c:v>
                </c:pt>
                <c:pt idx="40">
                  <c:v>2.9792106176743136E-2</c:v>
                </c:pt>
                <c:pt idx="41">
                  <c:v>2.9856622913495216E-2</c:v>
                </c:pt>
                <c:pt idx="42">
                  <c:v>2.9921099655504692E-2</c:v>
                </c:pt>
                <c:pt idx="43">
                  <c:v>2.9985533192651775E-2</c:v>
                </c:pt>
                <c:pt idx="44">
                  <c:v>3.0049920333036245E-2</c:v>
                </c:pt>
                <c:pt idx="45">
                  <c:v>3.0114257950617826E-2</c:v>
                </c:pt>
                <c:pt idx="46">
                  <c:v>3.0178543033663619E-2</c:v>
                </c:pt>
                <c:pt idx="47">
                  <c:v>3.0242772733504401E-2</c:v>
                </c:pt>
                <c:pt idx="48">
                  <c:v>3.030694441310685E-2</c:v>
                </c:pt>
                <c:pt idx="49">
                  <c:v>3.0371055694979505E-2</c:v>
                </c:pt>
                <c:pt idx="50">
                  <c:v>3.0435104507946009E-2</c:v>
                </c:pt>
                <c:pt idx="51">
                  <c:v>3.0499089132338824E-2</c:v>
                </c:pt>
                <c:pt idx="52">
                  <c:v>3.0563008243191973E-2</c:v>
                </c:pt>
                <c:pt idx="53">
                  <c:v>3.0626860951038698E-2</c:v>
                </c:pt>
                <c:pt idx="54">
                  <c:v>3.069064683995305E-2</c:v>
                </c:pt>
                <c:pt idx="55">
                  <c:v>3.0754366002508735E-2</c:v>
                </c:pt>
                <c:pt idx="56">
                  <c:v>3.0818019071366731E-2</c:v>
                </c:pt>
                <c:pt idx="57">
                  <c:v>3.0881607247243387E-2</c:v>
                </c:pt>
                <c:pt idx="58">
                  <c:v>3.0945132323051894E-2</c:v>
                </c:pt>
                <c:pt idx="59">
                  <c:v>3.100859670405344E-2</c:v>
                </c:pt>
                <c:pt idx="60">
                  <c:v>3.107200342389782E-2</c:v>
                </c:pt>
                <c:pt idx="61">
                  <c:v>3.113535615647647E-2</c:v>
                </c:pt>
                <c:pt idx="62">
                  <c:v>3.1198659223555178E-2</c:v>
                </c:pt>
                <c:pt idx="63">
                  <c:v>3.126191759819507E-2</c:v>
                </c:pt>
                <c:pt idx="64">
                  <c:v>3.1325136904012695E-2</c:v>
                </c:pt>
                <c:pt idx="65">
                  <c:v>3.1388323410368242E-2</c:v>
                </c:pt>
                <c:pt idx="66">
                  <c:v>3.1451484023608894E-2</c:v>
                </c:pt>
                <c:pt idx="67">
                  <c:v>3.1514626274528244E-2</c:v>
                </c:pt>
                <c:pt idx="68">
                  <c:v>3.1577758302233964E-2</c:v>
                </c:pt>
                <c:pt idx="69">
                  <c:v>3.1640888834644644E-2</c:v>
                </c:pt>
                <c:pt idx="70">
                  <c:v>3.1704027165860391E-2</c:v>
                </c:pt>
                <c:pt idx="71">
                  <c:v>3.1767183130673081E-2</c:v>
                </c:pt>
                <c:pt idx="72">
                  <c:v>3.1830367076498667E-2</c:v>
                </c:pt>
                <c:pt idx="73">
                  <c:v>3.1893589833026141E-2</c:v>
                </c:pt>
                <c:pt idx="74">
                  <c:v>3.1956862679886837E-2</c:v>
                </c:pt>
                <c:pt idx="75">
                  <c:v>3.2020197312651204E-2</c:v>
                </c:pt>
                <c:pt idx="76">
                  <c:v>3.2083605807460752E-2</c:v>
                </c:pt>
                <c:pt idx="77">
                  <c:v>3.2147100584598541E-2</c:v>
                </c:pt>
                <c:pt idx="78">
                  <c:v>3.2210694371293667E-2</c:v>
                </c:pt>
                <c:pt idx="79">
                  <c:v>3.2274400164043558E-2</c:v>
                </c:pt>
                <c:pt idx="80">
                  <c:v>3.2338231190722662E-2</c:v>
                </c:pt>
                <c:pt idx="81">
                  <c:v>3.2402200872727487E-2</c:v>
                </c:pt>
                <c:pt idx="82">
                  <c:v>3.2466322787387161E-2</c:v>
                </c:pt>
                <c:pt idx="83">
                  <c:v>3.2530610630844184E-2</c:v>
                </c:pt>
                <c:pt idx="84">
                  <c:v>3.2595078181584532E-2</c:v>
                </c:pt>
                <c:pt idx="85">
                  <c:v>3.2659739264768325E-2</c:v>
                </c:pt>
                <c:pt idx="86">
                  <c:v>3.2724607717483319E-2</c:v>
                </c:pt>
                <c:pt idx="87">
                  <c:v>3.2789697355013574E-2</c:v>
                </c:pt>
                <c:pt idx="88">
                  <c:v>3.2855021938185291E-2</c:v>
                </c:pt>
                <c:pt idx="89">
                  <c:v>3.2920595141821843E-2</c:v>
                </c:pt>
                <c:pt idx="90">
                  <c:v>3.2986430524310065E-2</c:v>
                </c:pt>
                <c:pt idx="91">
                  <c:v>3.3052541498251355E-2</c:v>
                </c:pt>
                <c:pt idx="92">
                  <c:v>3.3118941302143795E-2</c:v>
                </c:pt>
                <c:pt idx="93">
                  <c:v>3.3185642973016079E-2</c:v>
                </c:pt>
                <c:pt idx="94">
                  <c:v>3.3252659319910831E-2</c:v>
                </c:pt>
                <c:pt idx="95">
                  <c:v>3.3320002898094205E-2</c:v>
                </c:pt>
                <c:pt idx="96">
                  <c:v>3.3387685983851154E-2</c:v>
                </c:pt>
                <c:pt idx="97">
                  <c:v>3.3455720549710903E-2</c:v>
                </c:pt>
                <c:pt idx="98">
                  <c:v>3.3524118239936583E-2</c:v>
                </c:pt>
                <c:pt idx="99">
                  <c:v>3.3592890346105311E-2</c:v>
                </c:pt>
                <c:pt idx="100">
                  <c:v>3.3662047782601338E-2</c:v>
                </c:pt>
                <c:pt idx="101">
                  <c:v>3.373160106184573E-2</c:v>
                </c:pt>
                <c:pt idx="102">
                  <c:v>3.3801560269089689E-2</c:v>
                </c:pt>
                <c:pt idx="103">
                  <c:v>3.387193503660732E-2</c:v>
                </c:pt>
                <c:pt idx="104">
                  <c:v>3.3942734517135698E-2</c:v>
                </c:pt>
                <c:pt idx="105">
                  <c:v>3.4013967356425749E-2</c:v>
                </c:pt>
                <c:pt idx="106">
                  <c:v>3.4085641664787406E-2</c:v>
                </c:pt>
                <c:pt idx="107">
                  <c:v>3.4157764987534818E-2</c:v>
                </c:pt>
                <c:pt idx="108">
                  <c:v>3.4230344274264024E-2</c:v>
                </c:pt>
                <c:pt idx="109">
                  <c:v>3.4303385846923842E-2</c:v>
                </c:pt>
                <c:pt idx="110">
                  <c:v>3.437689536667201E-2</c:v>
                </c:pt>
                <c:pt idx="111">
                  <c:v>3.4450877799542479E-2</c:v>
                </c:pt>
                <c:pt idx="112">
                  <c:v>3.4525337380983796E-2</c:v>
                </c:pt>
                <c:pt idx="113">
                  <c:v>3.4600277579365415E-2</c:v>
                </c:pt>
                <c:pt idx="114">
                  <c:v>3.4675701058585064E-2</c:v>
                </c:pt>
                <c:pt idx="115">
                  <c:v>3.4751609639947625E-2</c:v>
                </c:pt>
                <c:pt idx="116">
                  <c:v>3.4828004263522158E-2</c:v>
                </c:pt>
                <c:pt idx="117">
                  <c:v>3.4904884949220075E-2</c:v>
                </c:pt>
                <c:pt idx="118">
                  <c:v>3.4982250757871251E-2</c:v>
                </c:pt>
                <c:pt idx="119">
                  <c:v>9.099574010168537E-3</c:v>
                </c:pt>
                <c:pt idx="120">
                  <c:v>9.2285081104938309E-3</c:v>
                </c:pt>
                <c:pt idx="121">
                  <c:v>9.3575526657547672E-3</c:v>
                </c:pt>
                <c:pt idx="122">
                  <c:v>9.4867105555013296E-3</c:v>
                </c:pt>
                <c:pt idx="123">
                  <c:v>9.6159842471193503E-3</c:v>
                </c:pt>
                <c:pt idx="124">
                  <c:v>9.7453757709854132E-3</c:v>
                </c:pt>
                <c:pt idx="125">
                  <c:v>9.8748866960197343E-3</c:v>
                </c:pt>
                <c:pt idx="126">
                  <c:v>1.0004518105824445E-2</c:v>
                </c:pt>
                <c:pt idx="127">
                  <c:v>1.0134270575605283E-2</c:v>
                </c:pt>
                <c:pt idx="128">
                  <c:v>1.0264144150082671E-2</c:v>
                </c:pt>
                <c:pt idx="129">
                  <c:v>1.0394138322605087E-2</c:v>
                </c:pt>
                <c:pt idx="130">
                  <c:v>1.0524252015682165E-2</c:v>
                </c:pt>
                <c:pt idx="131">
                  <c:v>1.0654483563157466E-2</c:v>
                </c:pt>
                <c:pt idx="132">
                  <c:v>1.0784830694241025E-2</c:v>
                </c:pt>
                <c:pt idx="133">
                  <c:v>1.091529051961955E-2</c:v>
                </c:pt>
                <c:pt idx="134">
                  <c:v>1.1045859519857619E-2</c:v>
                </c:pt>
                <c:pt idx="135">
                  <c:v>1.1176533536295614E-2</c:v>
                </c:pt>
                <c:pt idx="136">
                  <c:v>1.1307307764640855E-2</c:v>
                </c:pt>
                <c:pt idx="137">
                  <c:v>1.1438176751435686E-2</c:v>
                </c:pt>
                <c:pt idx="138">
                  <c:v>1.1569134393571481E-2</c:v>
                </c:pt>
                <c:pt idx="139">
                  <c:v>1.1700173941000471E-2</c:v>
                </c:pt>
                <c:pt idx="140">
                  <c:v>1.1831288002777272E-2</c:v>
                </c:pt>
                <c:pt idx="141">
                  <c:v>1.1962468556540496E-2</c:v>
                </c:pt>
                <c:pt idx="142">
                  <c:v>1.2093706961520841E-2</c:v>
                </c:pt>
                <c:pt idx="143">
                  <c:v>1.2224993975135965E-2</c:v>
                </c:pt>
                <c:pt idx="144">
                  <c:v>1.2356319773205482E-2</c:v>
                </c:pt>
                <c:pt idx="145">
                  <c:v>1.2487673973790372E-2</c:v>
                </c:pt>
                <c:pt idx="146">
                  <c:v>1.2619045664631099E-2</c:v>
                </c:pt>
                <c:pt idx="147">
                  <c:v>1.2750423434127835E-2</c:v>
                </c:pt>
                <c:pt idx="148">
                  <c:v>1.2881795405775201E-2</c:v>
                </c:pt>
                <c:pt idx="149">
                  <c:v>1.3013149275931618E-2</c:v>
                </c:pt>
                <c:pt idx="150">
                  <c:v>1.3144472354772655E-2</c:v>
                </c:pt>
                <c:pt idx="151">
                  <c:v>1.3275751610245854E-2</c:v>
                </c:pt>
                <c:pt idx="152">
                  <c:v>1.3406973714814708E-2</c:v>
                </c:pt>
                <c:pt idx="153">
                  <c:v>1.3538125094749982E-2</c:v>
                </c:pt>
                <c:pt idx="154">
                  <c:v>1.366919198169872E-2</c:v>
                </c:pt>
                <c:pt idx="155">
                  <c:v>1.3800160466235228E-2</c:v>
                </c:pt>
                <c:pt idx="156">
                  <c:v>1.3931016553074431E-2</c:v>
                </c:pt>
                <c:pt idx="157">
                  <c:v>1.4061746217606011E-2</c:v>
                </c:pt>
                <c:pt idx="158">
                  <c:v>1.4192335463389216E-2</c:v>
                </c:pt>
                <c:pt idx="159">
                  <c:v>1.4322770380231492E-2</c:v>
                </c:pt>
                <c:pt idx="160">
                  <c:v>1.4453037202461766E-2</c:v>
                </c:pt>
                <c:pt idx="161">
                  <c:v>1.4583122366998809E-2</c:v>
                </c:pt>
                <c:pt idx="162">
                  <c:v>1.4713012570809581E-2</c:v>
                </c:pt>
                <c:pt idx="163">
                  <c:v>1.4842694827349318E-2</c:v>
                </c:pt>
                <c:pt idx="164">
                  <c:v>1.4972156521576553E-2</c:v>
                </c:pt>
                <c:pt idx="165">
                  <c:v>1.5101385463141168E-2</c:v>
                </c:pt>
                <c:pt idx="166">
                  <c:v>1.5230369937351895E-2</c:v>
                </c:pt>
                <c:pt idx="167">
                  <c:v>1.5359098753542735E-2</c:v>
                </c:pt>
                <c:pt idx="168">
                  <c:v>1.5487561290473191E-2</c:v>
                </c:pt>
                <c:pt idx="169">
                  <c:v>1.5615747538417555E-2</c:v>
                </c:pt>
                <c:pt idx="170">
                  <c:v>1.5743648137621132E-2</c:v>
                </c:pt>
                <c:pt idx="171">
                  <c:v>1.5871254412828332E-2</c:v>
                </c:pt>
                <c:pt idx="172">
                  <c:v>1.5998558403616307E-2</c:v>
                </c:pt>
                <c:pt idx="173">
                  <c:v>1.6125552890300775E-2</c:v>
                </c:pt>
                <c:pt idx="174">
                  <c:v>1.6252231415215115E-2</c:v>
                </c:pt>
                <c:pt idx="175">
                  <c:v>1.6378588299200629E-2</c:v>
                </c:pt>
                <c:pt idx="176">
                  <c:v>1.6504618653185081E-2</c:v>
                </c:pt>
                <c:pt idx="177">
                  <c:v>1.6630318384766505E-2</c:v>
                </c:pt>
                <c:pt idx="178">
                  <c:v>1.6755684199760701E-2</c:v>
                </c:pt>
                <c:pt idx="179">
                  <c:v>1.6880713598713029E-2</c:v>
                </c:pt>
                <c:pt idx="180">
                  <c:v>1.7005404868416785E-2</c:v>
                </c:pt>
                <c:pt idx="181">
                  <c:v>1.7129757068523419E-2</c:v>
                </c:pt>
                <c:pt idx="182">
                  <c:v>1.7253770013370136E-2</c:v>
                </c:pt>
                <c:pt idx="183">
                  <c:v>1.7377444249191958E-2</c:v>
                </c:pt>
                <c:pt idx="184">
                  <c:v>1.7500781026923439E-2</c:v>
                </c:pt>
                <c:pt idx="185">
                  <c:v>1.7623782270832701E-2</c:v>
                </c:pt>
                <c:pt idx="186">
                  <c:v>1.7746450543265412E-2</c:v>
                </c:pt>
                <c:pt idx="187">
                  <c:v>1.78687890058081E-2</c:v>
                </c:pt>
                <c:pt idx="188">
                  <c:v>1.7990801377209993E-2</c:v>
                </c:pt>
                <c:pt idx="189">
                  <c:v>1.8112491888427982E-2</c:v>
                </c:pt>
                <c:pt idx="190">
                  <c:v>1.8233865235182334E-2</c:v>
                </c:pt>
                <c:pt idx="191">
                  <c:v>1.8354926528428822E-2</c:v>
                </c:pt>
                <c:pt idx="192">
                  <c:v>1.8475681243167643E-2</c:v>
                </c:pt>
                <c:pt idx="193">
                  <c:v>1.8596135166020232E-2</c:v>
                </c:pt>
                <c:pt idx="194">
                  <c:v>1.871629434201063E-2</c:v>
                </c:pt>
                <c:pt idx="195">
                  <c:v>1.8836165020990135E-2</c:v>
                </c:pt>
                <c:pt idx="196">
                  <c:v>1.8955753604140965E-2</c:v>
                </c:pt>
                <c:pt idx="197">
                  <c:v>1.9075066590987937E-2</c:v>
                </c:pt>
                <c:pt idx="198">
                  <c:v>1.9194110527335256E-2</c:v>
                </c:pt>
                <c:pt idx="199">
                  <c:v>1.9312891954530214E-2</c:v>
                </c:pt>
                <c:pt idx="200">
                  <c:v>1.9431417360435976E-2</c:v>
                </c:pt>
                <c:pt idx="201">
                  <c:v>1.9549693132471697E-2</c:v>
                </c:pt>
                <c:pt idx="202">
                  <c:v>1.9667725513051706E-2</c:v>
                </c:pt>
                <c:pt idx="203">
                  <c:v>1.9785520557724662E-2</c:v>
                </c:pt>
                <c:pt idx="204">
                  <c:v>1.99030840962806E-2</c:v>
                </c:pt>
                <c:pt idx="205">
                  <c:v>2.002042169705754E-2</c:v>
                </c:pt>
                <c:pt idx="206">
                  <c:v>2.0137538634641784E-2</c:v>
                </c:pt>
                <c:pt idx="207">
                  <c:v>2.0254439861115466E-2</c:v>
                </c:pt>
                <c:pt idx="208">
                  <c:v>2.0371129980964443E-2</c:v>
                </c:pt>
                <c:pt idx="209">
                  <c:v>2.0487613229717198E-2</c:v>
                </c:pt>
                <c:pt idx="210">
                  <c:v>2.0603893456343052E-2</c:v>
                </c:pt>
                <c:pt idx="211">
                  <c:v>2.0719974109396001E-2</c:v>
                </c:pt>
                <c:pt idx="212">
                  <c:v>2.0835858226848476E-2</c:v>
                </c:pt>
                <c:pt idx="213">
                  <c:v>2.0951548429518792E-2</c:v>
                </c:pt>
                <c:pt idx="214">
                  <c:v>2.1067046917957341E-2</c:v>
                </c:pt>
                <c:pt idx="215">
                  <c:v>2.1182355472618805E-2</c:v>
                </c:pt>
                <c:pt idx="216">
                  <c:v>2.1297475457113867E-2</c:v>
                </c:pt>
                <c:pt idx="217">
                  <c:v>2.1412407824301507E-2</c:v>
                </c:pt>
                <c:pt idx="218">
                  <c:v>2.1527153124954665E-2</c:v>
                </c:pt>
                <c:pt idx="219">
                  <c:v>2.1641711518707182E-2</c:v>
                </c:pt>
                <c:pt idx="220">
                  <c:v>2.1756082786968525E-2</c:v>
                </c:pt>
                <c:pt idx="221">
                  <c:v>2.1870266347476328E-2</c:v>
                </c:pt>
                <c:pt idx="222">
                  <c:v>2.198426127014361E-2</c:v>
                </c:pt>
                <c:pt idx="223">
                  <c:v>2.2098066293850038E-2</c:v>
                </c:pt>
                <c:pt idx="224">
                  <c:v>2.2211679843822881E-2</c:v>
                </c:pt>
                <c:pt idx="225">
                  <c:v>2.2325100049254535E-2</c:v>
                </c:pt>
                <c:pt idx="226">
                  <c:v>2.2438324760809945E-2</c:v>
                </c:pt>
                <c:pt idx="227">
                  <c:v>2.2551351567687283E-2</c:v>
                </c:pt>
                <c:pt idx="228">
                  <c:v>2.2664177813911154E-2</c:v>
                </c:pt>
                <c:pt idx="229">
                  <c:v>2.2776800613556785E-2</c:v>
                </c:pt>
                <c:pt idx="230">
                  <c:v>2.2889216864627762E-2</c:v>
                </c:pt>
                <c:pt idx="231">
                  <c:v>2.3001423261337531E-2</c:v>
                </c:pt>
                <c:pt idx="232">
                  <c:v>2.3113416304576511E-2</c:v>
                </c:pt>
                <c:pt idx="233">
                  <c:v>2.3225192310381025E-2</c:v>
                </c:pt>
                <c:pt idx="234">
                  <c:v>2.3336747416258168E-2</c:v>
                </c:pt>
                <c:pt idx="235">
                  <c:v>2.3448077585260411E-2</c:v>
                </c:pt>
                <c:pt idx="236">
                  <c:v>2.3559178607745895E-2</c:v>
                </c:pt>
                <c:pt idx="237">
                  <c:v>2.3670046100803626E-2</c:v>
                </c:pt>
                <c:pt idx="238">
                  <c:v>2.3780675505367242E-2</c:v>
                </c:pt>
                <c:pt idx="239">
                  <c:v>2.3891062081085483E-2</c:v>
                </c:pt>
                <c:pt idx="240">
                  <c:v>2.4001200899062426E-2</c:v>
                </c:pt>
                <c:pt idx="241">
                  <c:v>2.4111086832623974E-2</c:v>
                </c:pt>
                <c:pt idx="242">
                  <c:v>2.4220714546309936E-2</c:v>
                </c:pt>
                <c:pt idx="243">
                  <c:v>2.4330078483331592E-2</c:v>
                </c:pt>
                <c:pt idx="244">
                  <c:v>2.4439172851772932E-2</c:v>
                </c:pt>
                <c:pt idx="245">
                  <c:v>2.4547991609849409E-2</c:v>
                </c:pt>
                <c:pt idx="246">
                  <c:v>2.4656528450569891E-2</c:v>
                </c:pt>
                <c:pt idx="247">
                  <c:v>2.4764776786175946E-2</c:v>
                </c:pt>
                <c:pt idx="248">
                  <c:v>2.4872729732756206E-2</c:v>
                </c:pt>
                <c:pt idx="249">
                  <c:v>2.4980380095453454E-2</c:v>
                </c:pt>
                <c:pt idx="250">
                  <c:v>2.5087720354695777E-2</c:v>
                </c:pt>
                <c:pt idx="251">
                  <c:v>2.51947426538928E-2</c:v>
                </c:pt>
                <c:pt idx="252">
                  <c:v>2.5301438789041241E-2</c:v>
                </c:pt>
                <c:pt idx="253">
                  <c:v>2.5407800200682146E-2</c:v>
                </c:pt>
                <c:pt idx="254">
                  <c:v>2.5513817968644537E-2</c:v>
                </c:pt>
                <c:pt idx="255">
                  <c:v>2.5619482809996361E-2</c:v>
                </c:pt>
                <c:pt idx="256">
                  <c:v>2.5724785080604658E-2</c:v>
                </c:pt>
                <c:pt idx="257">
                  <c:v>2.5829714780681468E-2</c:v>
                </c:pt>
                <c:pt idx="258">
                  <c:v>2.5934261564662092E-2</c:v>
                </c:pt>
                <c:pt idx="259">
                  <c:v>2.6038414755725867E-2</c:v>
                </c:pt>
                <c:pt idx="260">
                  <c:v>2.6142163365229416E-2</c:v>
                </c:pt>
                <c:pt idx="261">
                  <c:v>2.6245496117276657E-2</c:v>
                </c:pt>
                <c:pt idx="262">
                  <c:v>2.6348401478600063E-2</c:v>
                </c:pt>
                <c:pt idx="263">
                  <c:v>2.6450867693874412E-2</c:v>
                </c:pt>
                <c:pt idx="264">
                  <c:v>2.6552882826527471E-2</c:v>
                </c:pt>
                <c:pt idx="265">
                  <c:v>2.6654434805052314E-2</c:v>
                </c:pt>
                <c:pt idx="266">
                  <c:v>2.6755511474764931E-2</c:v>
                </c:pt>
                <c:pt idx="267">
                  <c:v>2.6856100654886833E-2</c:v>
                </c:pt>
                <c:pt idx="268">
                  <c:v>2.6956190200769233E-2</c:v>
                </c:pt>
                <c:pt idx="269">
                  <c:v>2.7055768071010854E-2</c:v>
                </c:pt>
                <c:pt idx="270">
                  <c:v>2.7154822399157546E-2</c:v>
                </c:pt>
                <c:pt idx="271">
                  <c:v>2.725334156961012E-2</c:v>
                </c:pt>
                <c:pt idx="272">
                  <c:v>2.7351314297305973E-2</c:v>
                </c:pt>
                <c:pt idx="273">
                  <c:v>2.7448729710681973E-2</c:v>
                </c:pt>
                <c:pt idx="274">
                  <c:v>2.7545577437372244E-2</c:v>
                </c:pt>
                <c:pt idx="275">
                  <c:v>2.7641847692043156E-2</c:v>
                </c:pt>
                <c:pt idx="276">
                  <c:v>2.773753136572198E-2</c:v>
                </c:pt>
                <c:pt idx="277">
                  <c:v>2.7832620115934965E-2</c:v>
                </c:pt>
                <c:pt idx="278">
                  <c:v>2.7927106456935049E-2</c:v>
                </c:pt>
                <c:pt idx="279">
                  <c:v>2.8020983849270344E-2</c:v>
                </c:pt>
                <c:pt idx="280">
                  <c:v>2.811424678792239E-2</c:v>
                </c:pt>
                <c:pt idx="281">
                  <c:v>2.820689088822724E-2</c:v>
                </c:pt>
                <c:pt idx="282">
                  <c:v>2.8298912968784614E-2</c:v>
                </c:pt>
                <c:pt idx="283">
                  <c:v>2.8390311130559256E-2</c:v>
                </c:pt>
                <c:pt idx="284">
                  <c:v>2.8481084831386169E-2</c:v>
                </c:pt>
                <c:pt idx="285">
                  <c:v>2.8571234955105544E-2</c:v>
                </c:pt>
                <c:pt idx="286">
                  <c:v>2.8660763874576261E-2</c:v>
                </c:pt>
                <c:pt idx="287">
                  <c:v>2.8749675507846708E-2</c:v>
                </c:pt>
                <c:pt idx="288">
                  <c:v>2.8837975366799676E-2</c:v>
                </c:pt>
                <c:pt idx="289">
                  <c:v>2.8925670597633058E-2</c:v>
                </c:pt>
                <c:pt idx="290">
                  <c:v>2.9012770012590412E-2</c:v>
                </c:pt>
                <c:pt idx="291">
                  <c:v>2.9099284112413915E-2</c:v>
                </c:pt>
                <c:pt idx="292">
                  <c:v>2.9185225099057546E-2</c:v>
                </c:pt>
                <c:pt idx="293">
                  <c:v>2.9270606878268563E-2</c:v>
                </c:pt>
                <c:pt idx="294">
                  <c:v>2.9355445051721517E-2</c:v>
                </c:pt>
                <c:pt idx="295">
                  <c:v>2.9439756898468429E-2</c:v>
                </c:pt>
                <c:pt idx="296">
                  <c:v>2.9523561345553666E-2</c:v>
                </c:pt>
                <c:pt idx="297">
                  <c:v>2.9606878927727526E-2</c:v>
                </c:pt>
                <c:pt idx="298">
                  <c:v>2.9689731736283011E-2</c:v>
                </c:pt>
                <c:pt idx="299">
                  <c:v>2.9772143357129573E-2</c:v>
                </c:pt>
                <c:pt idx="300">
                  <c:v>2.9854138798309199E-2</c:v>
                </c:pt>
                <c:pt idx="301">
                  <c:v>2.9935744407250754E-2</c:v>
                </c:pt>
                <c:pt idx="302">
                  <c:v>3.0016987778148034E-2</c:v>
                </c:pt>
                <c:pt idx="303">
                  <c:v>3.0097897649934351E-2</c:v>
                </c:pt>
                <c:pt idx="304">
                  <c:v>3.0178503795411583E-2</c:v>
                </c:pt>
                <c:pt idx="305">
                  <c:v>3.02588369021719E-2</c:v>
                </c:pt>
                <c:pt idx="306">
                  <c:v>3.0338928446027511E-2</c:v>
                </c:pt>
                <c:pt idx="307">
                  <c:v>3.0418810557734575E-2</c:v>
                </c:pt>
                <c:pt idx="308">
                  <c:v>3.0498515883862865E-2</c:v>
                </c:pt>
                <c:pt idx="309">
                  <c:v>3.0578077442721216E-2</c:v>
                </c:pt>
                <c:pt idx="310">
                  <c:v>3.0657528476300117E-2</c:v>
                </c:pt>
                <c:pt idx="311">
                  <c:v>3.0736902299236517E-2</c:v>
                </c:pt>
                <c:pt idx="312">
                  <c:v>3.0816232145840713E-2</c:v>
                </c:pt>
                <c:pt idx="313">
                  <c:v>3.0895551016252219E-2</c:v>
                </c:pt>
                <c:pt idx="314">
                  <c:v>3.0974891522808468E-2</c:v>
                </c:pt>
                <c:pt idx="315">
                  <c:v>3.105428573771879E-2</c:v>
                </c:pt>
                <c:pt idx="316">
                  <c:v>3.113376504313509E-2</c:v>
                </c:pt>
                <c:pt idx="317">
                  <c:v>3.1213359984699367E-2</c:v>
                </c:pt>
                <c:pt idx="318">
                  <c:v>3.1293100129629006E-2</c:v>
                </c:pt>
                <c:pt idx="319">
                  <c:v>3.1373013930370772E-2</c:v>
                </c:pt>
                <c:pt idx="320">
                  <c:v>3.1453128594816158E-2</c:v>
                </c:pt>
                <c:pt idx="321">
                  <c:v>3.1533469964023661E-2</c:v>
                </c:pt>
                <c:pt idx="322">
                  <c:v>3.1614062398337472E-2</c:v>
                </c:pt>
                <c:pt idx="323">
                  <c:v>3.169492867272871E-2</c:v>
                </c:pt>
                <c:pt idx="324">
                  <c:v>3.1776089882114049E-2</c:v>
                </c:pt>
                <c:pt idx="325">
                  <c:v>3.1857565357328976E-2</c:v>
                </c:pt>
                <c:pt idx="326">
                  <c:v>3.1939372592348574E-2</c:v>
                </c:pt>
                <c:pt idx="327">
                  <c:v>3.2021527183259742E-2</c:v>
                </c:pt>
                <c:pt idx="328">
                  <c:v>3.2104042779394625E-2</c:v>
                </c:pt>
                <c:pt idx="329">
                  <c:v>3.2186931046937491E-2</c:v>
                </c:pt>
                <c:pt idx="330">
                  <c:v>3.2270201645216837E-2</c:v>
                </c:pt>
                <c:pt idx="331">
                  <c:v>3.2353862215792152E-2</c:v>
                </c:pt>
                <c:pt idx="332">
                  <c:v>3.2437918384341298E-2</c:v>
                </c:pt>
                <c:pt idx="333">
                  <c:v>3.2522373775251287E-2</c:v>
                </c:pt>
                <c:pt idx="334">
                  <c:v>3.2607230038712451E-2</c:v>
                </c:pt>
                <c:pt idx="335">
                  <c:v>3.2692486890015672E-2</c:v>
                </c:pt>
                <c:pt idx="336">
                  <c:v>3.2778142160654229E-2</c:v>
                </c:pt>
                <c:pt idx="337">
                  <c:v>3.2864191860737829E-2</c:v>
                </c:pt>
                <c:pt idx="338">
                  <c:v>3.2950630252136411E-2</c:v>
                </c:pt>
                <c:pt idx="339">
                  <c:v>3.303744993168755E-2</c:v>
                </c:pt>
                <c:pt idx="340">
                  <c:v>3.3124641923722505E-2</c:v>
                </c:pt>
                <c:pt idx="341">
                  <c:v>3.3212195781095084E-2</c:v>
                </c:pt>
                <c:pt idx="342">
                  <c:v>3.33000996938334E-2</c:v>
                </c:pt>
                <c:pt idx="343">
                  <c:v>3.3388340604479004E-2</c:v>
                </c:pt>
                <c:pt idx="344">
                  <c:v>3.3476904329130294E-2</c:v>
                </c:pt>
                <c:pt idx="345">
                  <c:v>3.356577568316943E-2</c:v>
                </c:pt>
                <c:pt idx="346">
                  <c:v>3.3654938610622277E-2</c:v>
                </c:pt>
                <c:pt idx="347">
                  <c:v>3.3744376316082104E-2</c:v>
                </c:pt>
                <c:pt idx="348">
                  <c:v>3.3834071398117657E-2</c:v>
                </c:pt>
                <c:pt idx="349">
                  <c:v>3.3924005983086189E-2</c:v>
                </c:pt>
                <c:pt idx="350">
                  <c:v>3.4014161858281849E-2</c:v>
                </c:pt>
                <c:pt idx="351">
                  <c:v>3.4104520603368993E-2</c:v>
                </c:pt>
                <c:pt idx="352">
                  <c:v>3.4195063719078093E-2</c:v>
                </c:pt>
                <c:pt idx="353">
                  <c:v>3.4285772752180241E-2</c:v>
                </c:pt>
                <c:pt idx="354">
                  <c:v>3.4376629415801579E-2</c:v>
                </c:pt>
                <c:pt idx="355">
                  <c:v>3.4467615704193551E-2</c:v>
                </c:pt>
                <c:pt idx="356">
                  <c:v>3.4558714001136775E-2</c:v>
                </c:pt>
                <c:pt idx="357">
                  <c:v>3.4649907181224654E-2</c:v>
                </c:pt>
                <c:pt idx="358">
                  <c:v>3.4741178703348419E-2</c:v>
                </c:pt>
                <c:pt idx="359">
                  <c:v>3.4832512695784627E-2</c:v>
                </c:pt>
                <c:pt idx="360">
                  <c:v>3.492389403237256E-2</c:v>
                </c:pt>
                <c:pt idx="361">
                  <c:v>3.5015308399356612E-2</c:v>
                </c:pt>
                <c:pt idx="362">
                  <c:v>3.5106742352561157E-2</c:v>
                </c:pt>
                <c:pt idx="363">
                  <c:v>3.5198183364659512E-2</c:v>
                </c:pt>
                <c:pt idx="364">
                  <c:v>3.5289619862392631E-2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0.0%</c:formatCode>
                <c:ptCount val="366"/>
                <c:pt idx="0">
                  <c:v>7.0763737783172739E-4</c:v>
                </c:pt>
                <c:pt idx="1">
                  <c:v>6.8620087553864948E-4</c:v>
                </c:pt>
                <c:pt idx="2">
                  <c:v>6.6423014148071422E-4</c:v>
                </c:pt>
                <c:pt idx="3">
                  <c:v>6.417547408234536E-4</c:v>
                </c:pt>
                <c:pt idx="4">
                  <c:v>6.1880467809326311E-4</c:v>
                </c:pt>
                <c:pt idx="5">
                  <c:v>5.9541021897123545E-4</c:v>
                </c:pt>
                <c:pt idx="6">
                  <c:v>5.7160171660525271E-4</c:v>
                </c:pt>
                <c:pt idx="7">
                  <c:v>5.474094438443789E-4</c:v>
                </c:pt>
                <c:pt idx="8">
                  <c:v>5.2281824299392845E-4</c:v>
                </c:pt>
                <c:pt idx="9">
                  <c:v>4.9758548743142914E-4</c:v>
                </c:pt>
                <c:pt idx="10">
                  <c:v>4.7194398146043978E-4</c:v>
                </c:pt>
                <c:pt idx="11">
                  <c:v>4.4594604396328561E-4</c:v>
                </c:pt>
                <c:pt idx="12">
                  <c:v>4.1964036516306969E-4</c:v>
                </c:pt>
                <c:pt idx="13">
                  <c:v>3.93071844947602E-4</c:v>
                </c:pt>
                <c:pt idx="14">
                  <c:v>3.662814892535013E-4</c:v>
                </c:pt>
                <c:pt idx="15">
                  <c:v>3.3999705706168581E-4</c:v>
                </c:pt>
                <c:pt idx="16">
                  <c:v>3.1457859281749993E-4</c:v>
                </c:pt>
                <c:pt idx="17">
                  <c:v>2.9002618722333474E-4</c:v>
                </c:pt>
                <c:pt idx="18">
                  <c:v>2.663362998242101E-4</c:v>
                </c:pt>
                <c:pt idx="19">
                  <c:v>2.435035075142857E-4</c:v>
                </c:pt>
                <c:pt idx="20">
                  <c:v>2.2151959322652771E-4</c:v>
                </c:pt>
                <c:pt idx="21">
                  <c:v>2.0037231989539033E-4</c:v>
                </c:pt>
                <c:pt idx="22">
                  <c:v>1.8002484735618263E-4</c:v>
                </c:pt>
                <c:pt idx="23">
                  <c:v>1.6113558639520439E-4</c:v>
                </c:pt>
                <c:pt idx="24">
                  <c:v>1.4389314783135301E-4</c:v>
                </c:pt>
                <c:pt idx="25">
                  <c:v>1.2826380361532851E-4</c:v>
                </c:pt>
                <c:pt idx="26">
                  <c:v>1.1421161677504623E-4</c:v>
                </c:pt>
                <c:pt idx="27">
                  <c:v>1.0169902894635432E-4</c:v>
                </c:pt>
                <c:pt idx="28">
                  <c:v>9.068739865068845E-5</c:v>
                </c:pt>
                <c:pt idx="29">
                  <c:v>8.1353695134325026E-5</c:v>
                </c:pt>
                <c:pt idx="30">
                  <c:v>7.3055449080014316E-5</c:v>
                </c:pt>
                <c:pt idx="31">
                  <c:v>6.5764930806719668E-5</c:v>
                </c:pt>
                <c:pt idx="32">
                  <c:v>5.9454574033363185E-5</c:v>
                </c:pt>
                <c:pt idx="33">
                  <c:v>5.4097213805135638E-5</c:v>
                </c:pt>
                <c:pt idx="34">
                  <c:v>4.9666295645627678E-5</c:v>
                </c:pt>
                <c:pt idx="35">
                  <c:v>4.6136058208400719E-5</c:v>
                </c:pt>
                <c:pt idx="36">
                  <c:v>4.34777479939154E-5</c:v>
                </c:pt>
                <c:pt idx="37">
                  <c:v>4.1652649809285502E-5</c:v>
                </c:pt>
                <c:pt idx="38">
                  <c:v>4.0045372125138782E-5</c:v>
                </c:pt>
                <c:pt idx="39">
                  <c:v>3.8650848897428139E-5</c:v>
                </c:pt>
                <c:pt idx="40">
                  <c:v>3.7464050986574777E-5</c:v>
                </c:pt>
                <c:pt idx="41">
                  <c:v>3.648002054404514E-5</c:v>
                </c:pt>
                <c:pt idx="42">
                  <c:v>3.569390167319091E-5</c:v>
                </c:pt>
                <c:pt idx="43">
                  <c:v>3.5063248767284041E-5</c:v>
                </c:pt>
                <c:pt idx="44">
                  <c:v>3.439651172545048E-5</c:v>
                </c:pt>
                <c:pt idx="45">
                  <c:v>3.3695068980495661E-5</c:v>
                </c:pt>
                <c:pt idx="46">
                  <c:v>3.2960203806504526E-5</c:v>
                </c:pt>
                <c:pt idx="47">
                  <c:v>3.2193105082379249E-5</c:v>
                </c:pt>
                <c:pt idx="48">
                  <c:v>3.1394868135960042E-5</c:v>
                </c:pt>
                <c:pt idx="49">
                  <c:v>3.0566495572609938E-5</c:v>
                </c:pt>
                <c:pt idx="50">
                  <c:v>2.9707975287828632E-5</c:v>
                </c:pt>
                <c:pt idx="51">
                  <c:v>2.8864874611170173E-5</c:v>
                </c:pt>
                <c:pt idx="52">
                  <c:v>2.8046670379113555E-5</c:v>
                </c:pt>
                <c:pt idx="53">
                  <c:v>2.725243275765082E-5</c:v>
                </c:pt>
                <c:pt idx="54">
                  <c:v>2.6481425810672413E-5</c:v>
                </c:pt>
                <c:pt idx="55">
                  <c:v>2.5732957096290477E-5</c:v>
                </c:pt>
                <c:pt idx="56">
                  <c:v>2.500637463237012E-5</c:v>
                </c:pt>
                <c:pt idx="57">
                  <c:v>2.4290571583581321E-5</c:v>
                </c:pt>
                <c:pt idx="58">
                  <c:v>2.3618768371594615E-5</c:v>
                </c:pt>
                <c:pt idx="59">
                  <c:v>2.2989957649577456E-5</c:v>
                </c:pt>
                <c:pt idx="60">
                  <c:v>2.2403181318318292E-5</c:v>
                </c:pt>
                <c:pt idx="61">
                  <c:v>2.185752741898484E-5</c:v>
                </c:pt>
                <c:pt idx="62">
                  <c:v>2.1352127347081544E-5</c:v>
                </c:pt>
                <c:pt idx="63">
                  <c:v>2.0886153375206205E-5</c:v>
                </c:pt>
                <c:pt idx="64">
                  <c:v>2.0458445594915522E-5</c:v>
                </c:pt>
                <c:pt idx="65">
                  <c:v>2.0030000011031926E-5</c:v>
                </c:pt>
                <c:pt idx="66">
                  <c:v>1.9559904580654983E-5</c:v>
                </c:pt>
                <c:pt idx="67">
                  <c:v>1.9049256191068546E-5</c:v>
                </c:pt>
                <c:pt idx="68">
                  <c:v>1.8499093514642167E-5</c:v>
                </c:pt>
                <c:pt idx="69">
                  <c:v>1.7910391766321837E-5</c:v>
                </c:pt>
                <c:pt idx="70">
                  <c:v>1.7284057648497662E-5</c:v>
                </c:pt>
                <c:pt idx="71">
                  <c:v>1.6642397558419258E-5</c:v>
                </c:pt>
                <c:pt idx="72">
                  <c:v>1.5995188281162479E-5</c:v>
                </c:pt>
                <c:pt idx="73">
                  <c:v>1.5342559460126934E-5</c:v>
                </c:pt>
                <c:pt idx="74">
                  <c:v>1.4684592407147826E-5</c:v>
                </c:pt>
                <c:pt idx="75">
                  <c:v>1.4021319145967081E-5</c:v>
                </c:pt>
                <c:pt idx="76">
                  <c:v>1.3352721466986253E-5</c:v>
                </c:pt>
                <c:pt idx="77">
                  <c:v>1.2678729980910078E-5</c:v>
                </c:pt>
                <c:pt idx="78">
                  <c:v>1.1998565150562456E-5</c:v>
                </c:pt>
                <c:pt idx="79">
                  <c:v>1.1324471429667998E-5</c:v>
                </c:pt>
                <c:pt idx="80">
                  <c:v>1.0691391299386159E-5</c:v>
                </c:pt>
                <c:pt idx="81">
                  <c:v>1.0098712499086673E-5</c:v>
                </c:pt>
                <c:pt idx="82">
                  <c:v>9.5458211805260755E-6</c:v>
                </c:pt>
                <c:pt idx="83">
                  <c:v>9.0321092240139488E-6</c:v>
                </c:pt>
                <c:pt idx="84">
                  <c:v>8.5569812433477233E-6</c:v>
                </c:pt>
                <c:pt idx="85">
                  <c:v>8.1130075186792167E-6</c:v>
                </c:pt>
                <c:pt idx="86">
                  <c:v>7.679642768210787E-6</c:v>
                </c:pt>
                <c:pt idx="87">
                  <c:v>7.2565741565691697E-6</c:v>
                </c:pt>
                <c:pt idx="88">
                  <c:v>6.8434727851589335E-6</c:v>
                </c:pt>
                <c:pt idx="89">
                  <c:v>6.4399954250610872E-6</c:v>
                </c:pt>
                <c:pt idx="90">
                  <c:v>6.0457861217666518E-6</c:v>
                </c:pt>
                <c:pt idx="91">
                  <c:v>5.6604776722890938E-6</c:v>
                </c:pt>
                <c:pt idx="92">
                  <c:v>5.2835434683677445E-6</c:v>
                </c:pt>
                <c:pt idx="93">
                  <c:v>4.921659886778786E-6</c:v>
                </c:pt>
                <c:pt idx="94">
                  <c:v>4.5620497998960207E-6</c:v>
                </c:pt>
                <c:pt idx="95">
                  <c:v>4.2043420811960418E-6</c:v>
                </c:pt>
                <c:pt idx="96">
                  <c:v>3.84816547064507E-6</c:v>
                </c:pt>
                <c:pt idx="97">
                  <c:v>3.4931483694984315E-6</c:v>
                </c:pt>
                <c:pt idx="98">
                  <c:v>3.1389186779197059E-6</c:v>
                </c:pt>
                <c:pt idx="99">
                  <c:v>2.7987444520228435E-6</c:v>
                </c:pt>
                <c:pt idx="100">
                  <c:v>2.479151584324046E-6</c:v>
                </c:pt>
                <c:pt idx="101">
                  <c:v>2.1799314396002854E-6</c:v>
                </c:pt>
                <c:pt idx="102">
                  <c:v>1.9009184615818232E-6</c:v>
                </c:pt>
                <c:pt idx="103">
                  <c:v>1.641990452281471E-6</c:v>
                </c:pt>
                <c:pt idx="104">
                  <c:v>1.4030688725332639E-6</c:v>
                </c:pt>
                <c:pt idx="105">
                  <c:v>1.1841191552838312E-6</c:v>
                </c:pt>
                <c:pt idx="106">
                  <c:v>9.8517420753947257E-7</c:v>
                </c:pt>
                <c:pt idx="107">
                  <c:v>8.1291422252076762E-7</c:v>
                </c:pt>
                <c:pt idx="108">
                  <c:v>6.6001778422671606E-7</c:v>
                </c:pt>
                <c:pt idx="109">
                  <c:v>5.2660735888072556E-7</c:v>
                </c:pt>
                <c:pt idx="110">
                  <c:v>4.1285761174771529E-7</c:v>
                </c:pt>
                <c:pt idx="111">
                  <c:v>3.1899202220523725E-7</c:v>
                </c:pt>
                <c:pt idx="112">
                  <c:v>2.452815349205618E-7</c:v>
                </c:pt>
                <c:pt idx="113">
                  <c:v>1.9204521385096136E-7</c:v>
                </c:pt>
                <c:pt idx="114">
                  <c:v>1.4503664208244847E-7</c:v>
                </c:pt>
                <c:pt idx="115">
                  <c:v>1.0434860120139778E-7</c:v>
                </c:pt>
                <c:pt idx="116">
                  <c:v>7.0089044172716279E-8</c:v>
                </c:pt>
                <c:pt idx="117">
                  <c:v>4.2380658222163472E-8</c:v>
                </c:pt>
                <c:pt idx="118">
                  <c:v>2.136038581665842E-8</c:v>
                </c:pt>
                <c:pt idx="119">
                  <c:v>7.1788961859300698E-9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1.1821402979228665E-20</c:v>
                </c:pt>
                <c:pt idx="124">
                  <c:v>1.1917496236971569E-20</c:v>
                </c:pt>
                <c:pt idx="125">
                  <c:v>1.2016492217106695E-20</c:v>
                </c:pt>
                <c:pt idx="126">
                  <c:v>0</c:v>
                </c:pt>
                <c:pt idx="127">
                  <c:v>-1.2222808551248918E-20</c:v>
                </c:pt>
                <c:pt idx="128">
                  <c:v>1.2329921231475895E-20</c:v>
                </c:pt>
                <c:pt idx="129">
                  <c:v>1.2439520968745455E-20</c:v>
                </c:pt>
                <c:pt idx="130">
                  <c:v>1.2551487480609722E-20</c:v>
                </c:pt>
                <c:pt idx="131">
                  <c:v>1.2665693720788202E-20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-1.3520264305328438E-20</c:v>
                </c:pt>
                <c:pt idx="139">
                  <c:v>0</c:v>
                </c:pt>
                <c:pt idx="140">
                  <c:v>0</c:v>
                </c:pt>
                <c:pt idx="141">
                  <c:v>1.3910798768833795E-20</c:v>
                </c:pt>
                <c:pt idx="142">
                  <c:v>0</c:v>
                </c:pt>
                <c:pt idx="143">
                  <c:v>1.4176377305478259E-20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1.4849088892227716E-20</c:v>
                </c:pt>
                <c:pt idx="149">
                  <c:v>-1.4984068661935007E-20</c:v>
                </c:pt>
                <c:pt idx="150">
                  <c:v>-1.5118919028189246E-20</c:v>
                </c:pt>
                <c:pt idx="151">
                  <c:v>0</c:v>
                </c:pt>
                <c:pt idx="152">
                  <c:v>1.5387549871256607E-20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-1.7016021344672509E-20</c:v>
                </c:pt>
                <c:pt idx="166">
                  <c:v>0</c:v>
                </c:pt>
                <c:pt idx="167">
                  <c:v>1.723793816185671E-20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1.7845805228770732E-20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1.8867016050882214E-20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-1.953612006557277E-20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2.0260065904759956E-20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1.4853568804920927E-8</c:v>
                </c:pt>
                <c:pt idx="226">
                  <c:v>4.4670420300958817E-8</c:v>
                </c:pt>
                <c:pt idx="227">
                  <c:v>8.9559520373093524E-8</c:v>
                </c:pt>
                <c:pt idx="228">
                  <c:v>1.4962871232958749E-7</c:v>
                </c:pt>
                <c:pt idx="229">
                  <c:v>2.2498430963383211E-7</c:v>
                </c:pt>
                <c:pt idx="230">
                  <c:v>3.1573065788989428E-7</c:v>
                </c:pt>
                <c:pt idx="231">
                  <c:v>4.2196966768791058E-7</c:v>
                </c:pt>
                <c:pt idx="232">
                  <c:v>5.4379384863763868E-7</c:v>
                </c:pt>
                <c:pt idx="233">
                  <c:v>7.134063624597497E-7</c:v>
                </c:pt>
                <c:pt idx="234">
                  <c:v>9.3111395497907202E-7</c:v>
                </c:pt>
                <c:pt idx="235">
                  <c:v>1.197218818896743E-6</c:v>
                </c:pt>
                <c:pt idx="236">
                  <c:v>1.512022171665771E-6</c:v>
                </c:pt>
                <c:pt idx="237">
                  <c:v>1.8758265070130721E-6</c:v>
                </c:pt>
                <c:pt idx="238">
                  <c:v>2.2889394303663776E-6</c:v>
                </c:pt>
                <c:pt idx="239">
                  <c:v>2.769230300046189E-6</c:v>
                </c:pt>
                <c:pt idx="240">
                  <c:v>3.3017698955921261E-6</c:v>
                </c:pt>
                <c:pt idx="241">
                  <c:v>3.8869179975095775E-6</c:v>
                </c:pt>
                <c:pt idx="242">
                  <c:v>4.5250542209334647E-6</c:v>
                </c:pt>
                <c:pt idx="243">
                  <c:v>5.2165818340227616E-6</c:v>
                </c:pt>
                <c:pt idx="244">
                  <c:v>5.9619316455218214E-6</c:v>
                </c:pt>
                <c:pt idx="245">
                  <c:v>6.7615659670988086E-6</c:v>
                </c:pt>
                <c:pt idx="246">
                  <c:v>7.6157307050089884E-6</c:v>
                </c:pt>
                <c:pt idx="247">
                  <c:v>8.5083862859935525E-6</c:v>
                </c:pt>
                <c:pt idx="248">
                  <c:v>9.4065878682138499E-6</c:v>
                </c:pt>
                <c:pt idx="249">
                  <c:v>1.0310373414772471E-5</c:v>
                </c:pt>
                <c:pt idx="250">
                  <c:v>1.1219796025416597E-5</c:v>
                </c:pt>
                <c:pt idx="251">
                  <c:v>1.2134923973013402E-5</c:v>
                </c:pt>
                <c:pt idx="252">
                  <c:v>1.3055840750292116E-5</c:v>
                </c:pt>
                <c:pt idx="253">
                  <c:v>1.4013040317404852E-5</c:v>
                </c:pt>
                <c:pt idx="254">
                  <c:v>1.4988691417848188E-5</c:v>
                </c:pt>
                <c:pt idx="255">
                  <c:v>1.5983008638469744E-5</c:v>
                </c:pt>
                <c:pt idx="256">
                  <c:v>1.6996224905052503E-5</c:v>
                </c:pt>
                <c:pt idx="257">
                  <c:v>1.8028592304451102E-5</c:v>
                </c:pt>
                <c:pt idx="258">
                  <c:v>1.9080383011501303E-5</c:v>
                </c:pt>
                <c:pt idx="259">
                  <c:v>2.0151890349167301E-5</c:v>
                </c:pt>
                <c:pt idx="260">
                  <c:v>2.1243190749635694E-5</c:v>
                </c:pt>
                <c:pt idx="261">
                  <c:v>2.240045066289287E-5</c:v>
                </c:pt>
                <c:pt idx="262">
                  <c:v>2.3640814006528446E-5</c:v>
                </c:pt>
                <c:pt idx="263">
                  <c:v>2.4964773745503663E-5</c:v>
                </c:pt>
                <c:pt idx="264">
                  <c:v>2.6372802337860865E-5</c:v>
                </c:pt>
                <c:pt idx="265">
                  <c:v>2.7865495662485884E-5</c:v>
                </c:pt>
                <c:pt idx="266">
                  <c:v>2.9443375694593232E-5</c:v>
                </c:pt>
                <c:pt idx="267">
                  <c:v>3.1022062578395064E-5</c:v>
                </c:pt>
                <c:pt idx="268">
                  <c:v>3.2569786984642262E-5</c:v>
                </c:pt>
                <c:pt idx="269">
                  <c:v>3.4086009686317116E-5</c:v>
                </c:pt>
                <c:pt idx="270">
                  <c:v>3.5570155005568446E-5</c:v>
                </c:pt>
                <c:pt idx="271">
                  <c:v>3.7021613797402834E-5</c:v>
                </c:pt>
                <c:pt idx="272">
                  <c:v>3.8439746740618277E-5</c:v>
                </c:pt>
                <c:pt idx="273">
                  <c:v>3.9823887927222438E-5</c:v>
                </c:pt>
                <c:pt idx="274">
                  <c:v>4.1173988094821025E-5</c:v>
                </c:pt>
                <c:pt idx="275">
                  <c:v>4.2483950450837296E-5</c:v>
                </c:pt>
                <c:pt idx="276">
                  <c:v>4.3705191597732216E-5</c:v>
                </c:pt>
                <c:pt idx="277">
                  <c:v>4.4836680903317415E-5</c:v>
                </c:pt>
                <c:pt idx="278">
                  <c:v>4.5877381203576763E-5</c:v>
                </c:pt>
                <c:pt idx="279">
                  <c:v>4.6826258053649821E-5</c:v>
                </c:pt>
                <c:pt idx="280">
                  <c:v>4.7682289008136794E-5</c:v>
                </c:pt>
                <c:pt idx="281">
                  <c:v>4.8539820839207522E-5</c:v>
                </c:pt>
                <c:pt idx="282">
                  <c:v>4.9485901013347799E-5</c:v>
                </c:pt>
                <c:pt idx="283">
                  <c:v>5.0520491709230106E-5</c:v>
                </c:pt>
                <c:pt idx="284">
                  <c:v>5.1643504472160829E-5</c:v>
                </c:pt>
                <c:pt idx="285">
                  <c:v>5.2854798216659734E-5</c:v>
                </c:pt>
                <c:pt idx="286">
                  <c:v>5.4154177888768586E-5</c:v>
                </c:pt>
                <c:pt idx="287">
                  <c:v>5.5541393836240938E-5</c:v>
                </c:pt>
                <c:pt idx="288">
                  <c:v>5.7020258582018082E-5</c:v>
                </c:pt>
                <c:pt idx="289">
                  <c:v>5.8506050244540508E-5</c:v>
                </c:pt>
                <c:pt idx="290">
                  <c:v>6.0003665317301483E-5</c:v>
                </c:pt>
                <c:pt idx="291">
                  <c:v>6.1511716824731261E-5</c:v>
                </c:pt>
                <c:pt idx="292">
                  <c:v>6.3028672642544359E-5</c:v>
                </c:pt>
                <c:pt idx="293">
                  <c:v>6.4552849887823883E-5</c:v>
                </c:pt>
                <c:pt idx="294">
                  <c:v>6.6082409452955897E-5</c:v>
                </c:pt>
                <c:pt idx="295">
                  <c:v>6.7627310081199617E-5</c:v>
                </c:pt>
                <c:pt idx="296">
                  <c:v>6.9089074043563939E-5</c:v>
                </c:pt>
                <c:pt idx="297">
                  <c:v>7.0465862061423274E-5</c:v>
                </c:pt>
                <c:pt idx="298">
                  <c:v>7.1755199079963703E-5</c:v>
                </c:pt>
                <c:pt idx="299">
                  <c:v>7.295453899113698E-5</c:v>
                </c:pt>
                <c:pt idx="300">
                  <c:v>7.4061283897004695E-5</c:v>
                </c:pt>
                <c:pt idx="301">
                  <c:v>7.5072804866307814E-5</c:v>
                </c:pt>
                <c:pt idx="302">
                  <c:v>7.5993304677756713E-5</c:v>
                </c:pt>
                <c:pt idx="303">
                  <c:v>7.7284806722100946E-5</c:v>
                </c:pt>
                <c:pt idx="304">
                  <c:v>7.903562935306614E-5</c:v>
                </c:pt>
                <c:pt idx="305">
                  <c:v>8.1244936854906949E-5</c:v>
                </c:pt>
                <c:pt idx="306">
                  <c:v>8.3911733688244399E-5</c:v>
                </c:pt>
                <c:pt idx="307">
                  <c:v>8.7034893322072301E-5</c:v>
                </c:pt>
                <c:pt idx="308">
                  <c:v>9.0613188982248302E-5</c:v>
                </c:pt>
                <c:pt idx="309">
                  <c:v>9.5853477678263161E-5</c:v>
                </c:pt>
                <c:pt idx="310">
                  <c:v>1.0273889055210419E-4</c:v>
                </c:pt>
                <c:pt idx="311">
                  <c:v>1.1126420064068036E-4</c:v>
                </c:pt>
                <c:pt idx="312">
                  <c:v>1.2142397240856271E-4</c:v>
                </c:pt>
                <c:pt idx="313">
                  <c:v>1.3321268431590295E-4</c:v>
                </c:pt>
                <c:pt idx="314">
                  <c:v>1.4662484841823764E-4</c:v>
                </c:pt>
                <c:pt idx="315">
                  <c:v>1.6165512410052147E-4</c:v>
                </c:pt>
                <c:pt idx="316">
                  <c:v>1.7831238611550122E-4</c:v>
                </c:pt>
                <c:pt idx="317">
                  <c:v>1.978246922496066E-4</c:v>
                </c:pt>
                <c:pt idx="318">
                  <c:v>2.1973994587748169E-4</c:v>
                </c:pt>
                <c:pt idx="319">
                  <c:v>2.4405760309042523E-4</c:v>
                </c:pt>
                <c:pt idx="320">
                  <c:v>2.70777214808604E-4</c:v>
                </c:pt>
                <c:pt idx="321">
                  <c:v>2.9989788227578317E-4</c:v>
                </c:pt>
                <c:pt idx="322">
                  <c:v>3.3141764705027526E-4</c:v>
                </c:pt>
                <c:pt idx="323">
                  <c:v>3.6495957195370227E-4</c:v>
                </c:pt>
                <c:pt idx="324">
                  <c:v>3.9932451798261812E-4</c:v>
                </c:pt>
                <c:pt idx="325">
                  <c:v>4.3450463357002565E-4</c:v>
                </c:pt>
                <c:pt idx="326">
                  <c:v>4.7048514992968339E-4</c:v>
                </c:pt>
                <c:pt idx="327">
                  <c:v>5.0724795973227169E-4</c:v>
                </c:pt>
                <c:pt idx="328">
                  <c:v>5.4477233063131747E-4</c:v>
                </c:pt>
                <c:pt idx="329">
                  <c:v>5.830323281621172E-4</c:v>
                </c:pt>
                <c:pt idx="330">
                  <c:v>6.2206097546991135E-4</c:v>
                </c:pt>
                <c:pt idx="331">
                  <c:v>6.6099042232814346E-4</c:v>
                </c:pt>
                <c:pt idx="332">
                  <c:v>6.9861724175468909E-4</c:v>
                </c:pt>
                <c:pt idx="333">
                  <c:v>7.3494372644999516E-4</c:v>
                </c:pt>
                <c:pt idx="334">
                  <c:v>7.6996953099960021E-4</c:v>
                </c:pt>
                <c:pt idx="335">
                  <c:v>8.0369154656484692E-4</c:v>
                </c:pt>
                <c:pt idx="336">
                  <c:v>8.361038202541073E-4</c:v>
                </c:pt>
                <c:pt idx="337">
                  <c:v>8.66798945547836E-4</c:v>
                </c:pt>
                <c:pt idx="338">
                  <c:v>8.9613633857675448E-4</c:v>
                </c:pt>
                <c:pt idx="339">
                  <c:v>9.2410157836355982E-4</c:v>
                </c:pt>
                <c:pt idx="340">
                  <c:v>9.5067760372847957E-4</c:v>
                </c:pt>
                <c:pt idx="341">
                  <c:v>9.7584489360025295E-4</c:v>
                </c:pt>
                <c:pt idx="342">
                  <c:v>9.9958169923692209E-4</c:v>
                </c:pt>
                <c:pt idx="343">
                  <c:v>1.0218643289233067E-3</c:v>
                </c:pt>
                <c:pt idx="344">
                  <c:v>1.0427220865796112E-3</c:v>
                </c:pt>
                <c:pt idx="345">
                  <c:v>1.0621881781156979E-3</c:v>
                </c:pt>
                <c:pt idx="346">
                  <c:v>1.0799571264377725E-3</c:v>
                </c:pt>
                <c:pt idx="347">
                  <c:v>1.0960079285466224E-3</c:v>
                </c:pt>
                <c:pt idx="348">
                  <c:v>1.1103186742104068E-3</c:v>
                </c:pt>
                <c:pt idx="349">
                  <c:v>1.1228670310582376E-3</c:v>
                </c:pt>
                <c:pt idx="350">
                  <c:v>1.1336307522191319E-3</c:v>
                </c:pt>
                <c:pt idx="351">
                  <c:v>1.1413962964917387E-3</c:v>
                </c:pt>
                <c:pt idx="352">
                  <c:v>1.1465423862437507E-3</c:v>
                </c:pt>
                <c:pt idx="353">
                  <c:v>1.1490555793140142E-3</c:v>
                </c:pt>
                <c:pt idx="354">
                  <c:v>1.1489257565947711E-3</c:v>
                </c:pt>
                <c:pt idx="355">
                  <c:v>1.1461467594998387E-3</c:v>
                </c:pt>
                <c:pt idx="356">
                  <c:v>1.1407137808829961E-3</c:v>
                </c:pt>
                <c:pt idx="357">
                  <c:v>1.1326319806604149E-3</c:v>
                </c:pt>
                <c:pt idx="358">
                  <c:v>1.1219158513461195E-3</c:v>
                </c:pt>
                <c:pt idx="359">
                  <c:v>1.1085992834682752E-3</c:v>
                </c:pt>
                <c:pt idx="360">
                  <c:v>1.0923335557677784E-3</c:v>
                </c:pt>
                <c:pt idx="361">
                  <c:v>1.0743219186237485E-3</c:v>
                </c:pt>
                <c:pt idx="362">
                  <c:v>1.0545996176822752E-3</c:v>
                </c:pt>
                <c:pt idx="363">
                  <c:v>1.0332052504122117E-3</c:v>
                </c:pt>
                <c:pt idx="364">
                  <c:v>1.0101805470152942E-3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26648"/>
        <c:axId val="225127040"/>
      </c:lineChart>
      <c:dateAx>
        <c:axId val="22512664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5127040"/>
        <c:crosses val="autoZero"/>
        <c:auto val="1"/>
        <c:lblOffset val="100"/>
        <c:baseTimeUnit val="days"/>
        <c:majorUnit val="1"/>
        <c:majorTimeUnit val="months"/>
      </c:dateAx>
      <c:valAx>
        <c:axId val="22512704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51266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Esp. Berjean Escalquens (kWh)</c:v>
            </c:pt>
          </c:strCache>
        </c:strRef>
      </c:tx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10575.251860749995</c:v>
                </c:pt>
                <c:pt idx="1">
                  <c:v>12132.671611542868</c:v>
                </c:pt>
                <c:pt idx="2">
                  <c:v>11900.555161014861</c:v>
                </c:pt>
                <c:pt idx="3">
                  <c:v>12404.1602454972</c:v>
                </c:pt>
                <c:pt idx="4">
                  <c:v>12299.041610916822</c:v>
                </c:pt>
                <c:pt idx="5">
                  <c:v>12317.685290716588</c:v>
                </c:pt>
                <c:pt idx="6">
                  <c:v>12298.713043228721</c:v>
                </c:pt>
                <c:pt idx="7">
                  <c:v>12299.163892074239</c:v>
                </c:pt>
                <c:pt idx="8">
                  <c:v>12299.351351894291</c:v>
                </c:pt>
                <c:pt idx="9">
                  <c:v>12318.085609976701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10542.048423075041</c:v>
                </c:pt>
                <c:pt idx="1">
                  <c:v>12014.90361101579</c:v>
                </c:pt>
                <c:pt idx="2">
                  <c:v>11702.345647193479</c:v>
                </c:pt>
                <c:pt idx="3">
                  <c:v>12111.223154790761</c:v>
                </c:pt>
                <c:pt idx="4">
                  <c:v>11925.165182295772</c:v>
                </c:pt>
                <c:pt idx="5">
                  <c:v>11859.85234026565</c:v>
                </c:pt>
                <c:pt idx="6">
                  <c:v>11758.875762444657</c:v>
                </c:pt>
                <c:pt idx="7">
                  <c:v>11677.346087377196</c:v>
                </c:pt>
                <c:pt idx="8">
                  <c:v>11596.128517138877</c:v>
                </c:pt>
                <c:pt idx="9">
                  <c:v>11532.767706802781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10361.953000000012</c:v>
                </c:pt>
                <c:pt idx="1">
                  <c:v>11502.094999999998</c:v>
                </c:pt>
                <c:pt idx="2">
                  <c:v>10754.463999999993</c:v>
                </c:pt>
                <c:pt idx="3">
                  <c:v>11594.666999999994</c:v>
                </c:pt>
                <c:pt idx="4">
                  <c:v>11641.924471291417</c:v>
                </c:pt>
                <c:pt idx="5">
                  <c:v>11547.135097140801</c:v>
                </c:pt>
                <c:pt idx="6">
                  <c:v>11449.483921547353</c:v>
                </c:pt>
                <c:pt idx="7">
                  <c:v>11370.622183383275</c:v>
                </c:pt>
                <c:pt idx="8">
                  <c:v>11291.692254265119</c:v>
                </c:pt>
                <c:pt idx="9">
                  <c:v>11229.091913216043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10361.953000000012</c:v>
                </c:pt>
                <c:pt idx="1">
                  <c:v>11502.094999999998</c:v>
                </c:pt>
                <c:pt idx="2">
                  <c:v>10754.463999999993</c:v>
                </c:pt>
                <c:pt idx="3">
                  <c:v>10701.132289585485</c:v>
                </c:pt>
                <c:pt idx="4">
                  <c:v>11185.392024230663</c:v>
                </c:pt>
                <c:pt idx="5">
                  <c:v>11192.003267991135</c:v>
                </c:pt>
                <c:pt idx="6">
                  <c:v>11074.040170869854</c:v>
                </c:pt>
                <c:pt idx="7">
                  <c:v>10997.18069808765</c:v>
                </c:pt>
                <c:pt idx="8">
                  <c:v>10920.427419525933</c:v>
                </c:pt>
                <c:pt idx="9">
                  <c:v>10859.257409660186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894.20117184713649</c:v>
                </c:pt>
                <c:pt idx="4">
                  <c:v>456.11935643642539</c:v>
                </c:pt>
                <c:pt idx="5">
                  <c:v>355.21273202749398</c:v>
                </c:pt>
                <c:pt idx="6">
                  <c:v>375.4693150846831</c:v>
                </c:pt>
                <c:pt idx="7">
                  <c:v>372.661444763475</c:v>
                </c:pt>
                <c:pt idx="8">
                  <c:v>370.04456219073523</c:v>
                </c:pt>
                <c:pt idx="9">
                  <c:v>368.34787273155916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-2.816996816921663E-2</c:v>
                </c:pt>
                <c:pt idx="4">
                  <c:v>-1.8360694764684604E-2</c:v>
                </c:pt>
                <c:pt idx="5">
                  <c:v>-1.9956268206066885E-2</c:v>
                </c:pt>
                <c:pt idx="6">
                  <c:v>-2.69772510053361E-2</c:v>
                </c:pt>
                <c:pt idx="7">
                  <c:v>0.75223145367926325</c:v>
                </c:pt>
                <c:pt idx="8">
                  <c:v>1.1715308112500016</c:v>
                </c:pt>
                <c:pt idx="9">
                  <c:v>1.4205745208384171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43608"/>
        <c:axId val="196243992"/>
      </c:lineChart>
      <c:catAx>
        <c:axId val="196243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6243992"/>
        <c:crosses val="autoZero"/>
        <c:auto val="1"/>
        <c:lblAlgn val="ctr"/>
        <c:lblOffset val="100"/>
        <c:noMultiLvlLbl val="0"/>
      </c:catAx>
      <c:valAx>
        <c:axId val="196243992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62436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26.618243942050789</c:v>
                </c:pt>
                <c:pt idx="1">
                  <c:v>26.755751122418033</c:v>
                </c:pt>
                <c:pt idx="2">
                  <c:v>26.902680818013579</c:v>
                </c:pt>
                <c:pt idx="3">
                  <c:v>27.058831360852253</c:v>
                </c:pt>
                <c:pt idx="4">
                  <c:v>27.224001126388611</c:v>
                </c:pt>
                <c:pt idx="5">
                  <c:v>27.397988541186781</c:v>
                </c:pt>
                <c:pt idx="6">
                  <c:v>27.580592077582686</c:v>
                </c:pt>
                <c:pt idx="7">
                  <c:v>27.77161026094041</c:v>
                </c:pt>
                <c:pt idx="8">
                  <c:v>27.973261185927253</c:v>
                </c:pt>
                <c:pt idx="9">
                  <c:v>28.187322412712724</c:v>
                </c:pt>
                <c:pt idx="10">
                  <c:v>28.412908060521065</c:v>
                </c:pt>
                <c:pt idx="11">
                  <c:v>28.6491426111983</c:v>
                </c:pt>
                <c:pt idx="12">
                  <c:v>28.895150894134705</c:v>
                </c:pt>
                <c:pt idx="13">
                  <c:v>29.150058124419822</c:v>
                </c:pt>
                <c:pt idx="14">
                  <c:v>29.412989875352352</c:v>
                </c:pt>
                <c:pt idx="15">
                  <c:v>29.683042028135507</c:v>
                </c:pt>
                <c:pt idx="16">
                  <c:v>29.959317922015639</c:v>
                </c:pt>
                <c:pt idx="17">
                  <c:v>30.240944294590896</c:v>
                </c:pt>
                <c:pt idx="18">
                  <c:v>30.527048253498734</c:v>
                </c:pt>
                <c:pt idx="19">
                  <c:v>30.816757241353489</c:v>
                </c:pt>
                <c:pt idx="20">
                  <c:v>31.109199075238934</c:v>
                </c:pt>
                <c:pt idx="21">
                  <c:v>31.403501795992192</c:v>
                </c:pt>
                <c:pt idx="22">
                  <c:v>31.702706282471485</c:v>
                </c:pt>
                <c:pt idx="23">
                  <c:v>32.0098686938111</c:v>
                </c:pt>
                <c:pt idx="24">
                  <c:v>32.324176338808527</c:v>
                </c:pt>
                <c:pt idx="25">
                  <c:v>32.644826152499178</c:v>
                </c:pt>
                <c:pt idx="26">
                  <c:v>32.971015444039743</c:v>
                </c:pt>
                <c:pt idx="27">
                  <c:v>33.301941896718851</c:v>
                </c:pt>
                <c:pt idx="28">
                  <c:v>33.636803564009227</c:v>
                </c:pt>
                <c:pt idx="29">
                  <c:v>33.974787754109009</c:v>
                </c:pt>
                <c:pt idx="30">
                  <c:v>34.315123275658209</c:v>
                </c:pt>
                <c:pt idx="31">
                  <c:v>34.657009293746832</c:v>
                </c:pt>
                <c:pt idx="32">
                  <c:v>34.999645347795841</c:v>
                </c:pt>
                <c:pt idx="33">
                  <c:v>35.342231350501017</c:v>
                </c:pt>
                <c:pt idx="34">
                  <c:v>35.683967586270825</c:v>
                </c:pt>
                <c:pt idx="35">
                  <c:v>36.024054712940796</c:v>
                </c:pt>
                <c:pt idx="36">
                  <c:v>36.364992338013856</c:v>
                </c:pt>
                <c:pt idx="37">
                  <c:v>36.709411918519692</c:v>
                </c:pt>
                <c:pt idx="38">
                  <c:v>37.056742411144803</c:v>
                </c:pt>
                <c:pt idx="39">
                  <c:v>37.406383478842692</c:v>
                </c:pt>
                <c:pt idx="40">
                  <c:v>37.757735066870644</c:v>
                </c:pt>
                <c:pt idx="41">
                  <c:v>38.110197399919798</c:v>
                </c:pt>
                <c:pt idx="42">
                  <c:v>38.463170979696805</c:v>
                </c:pt>
                <c:pt idx="43">
                  <c:v>38.81605875415665</c:v>
                </c:pt>
                <c:pt idx="44">
                  <c:v>39.168272922848978</c:v>
                </c:pt>
                <c:pt idx="45">
                  <c:v>39.519214816399959</c:v>
                </c:pt>
                <c:pt idx="46">
                  <c:v>39.868286032136119</c:v>
                </c:pt>
                <c:pt idx="47">
                  <c:v>40.214888431383109</c:v>
                </c:pt>
                <c:pt idx="48">
                  <c:v>40.558424132948943</c:v>
                </c:pt>
                <c:pt idx="49">
                  <c:v>40.898295512499757</c:v>
                </c:pt>
                <c:pt idx="50">
                  <c:v>41.235185971814701</c:v>
                </c:pt>
                <c:pt idx="51">
                  <c:v>41.570241901896402</c:v>
                </c:pt>
                <c:pt idx="52">
                  <c:v>41.90356418210483</c:v>
                </c:pt>
                <c:pt idx="53">
                  <c:v>42.235253314029592</c:v>
                </c:pt>
                <c:pt idx="54">
                  <c:v>42.565409718179446</c:v>
                </c:pt>
                <c:pt idx="55">
                  <c:v>42.894133741406748</c:v>
                </c:pt>
                <c:pt idx="56">
                  <c:v>43.221525652108078</c:v>
                </c:pt>
                <c:pt idx="57">
                  <c:v>43.547685777336483</c:v>
                </c:pt>
                <c:pt idx="58">
                  <c:v>43.872712035604756</c:v>
                </c:pt>
                <c:pt idx="59">
                  <c:v>44.196704443067382</c:v>
                </c:pt>
                <c:pt idx="60">
                  <c:v>44.519762926661215</c:v>
                </c:pt>
                <c:pt idx="61">
                  <c:v>44.841987324065151</c:v>
                </c:pt>
                <c:pt idx="62">
                  <c:v>45.163477381182311</c:v>
                </c:pt>
                <c:pt idx="63">
                  <c:v>45.484332751034756</c:v>
                </c:pt>
                <c:pt idx="64">
                  <c:v>45.805483379693136</c:v>
                </c:pt>
                <c:pt idx="65">
                  <c:v>46.127462390569121</c:v>
                </c:pt>
                <c:pt idx="66">
                  <c:v>46.449773370816139</c:v>
                </c:pt>
                <c:pt idx="67">
                  <c:v>46.771917694732281</c:v>
                </c:pt>
                <c:pt idx="68">
                  <c:v>47.093396900974817</c:v>
                </c:pt>
                <c:pt idx="69">
                  <c:v>47.413712694586394</c:v>
                </c:pt>
                <c:pt idx="70">
                  <c:v>47.732366946223323</c:v>
                </c:pt>
                <c:pt idx="71">
                  <c:v>48.048860485958848</c:v>
                </c:pt>
                <c:pt idx="72">
                  <c:v>48.362695390243637</c:v>
                </c:pt>
                <c:pt idx="73">
                  <c:v>48.673374033987798</c:v>
                </c:pt>
                <c:pt idx="74">
                  <c:v>48.980398961494863</c:v>
                </c:pt>
                <c:pt idx="75">
                  <c:v>49.28327289173258</c:v>
                </c:pt>
                <c:pt idx="76">
                  <c:v>49.581498716482969</c:v>
                </c:pt>
                <c:pt idx="77">
                  <c:v>49.874579506941231</c:v>
                </c:pt>
                <c:pt idx="78">
                  <c:v>50.164771169532557</c:v>
                </c:pt>
                <c:pt idx="79">
                  <c:v>50.454195122836651</c:v>
                </c:pt>
                <c:pt idx="80">
                  <c:v>50.742152066208945</c:v>
                </c:pt>
                <c:pt idx="81">
                  <c:v>51.02794516501725</c:v>
                </c:pt>
                <c:pt idx="82">
                  <c:v>51.310877861938899</c:v>
                </c:pt>
                <c:pt idx="83">
                  <c:v>51.590253880271213</c:v>
                </c:pt>
                <c:pt idx="84">
                  <c:v>51.865377227352468</c:v>
                </c:pt>
                <c:pt idx="85">
                  <c:v>52.135552645481795</c:v>
                </c:pt>
                <c:pt idx="86">
                  <c:v>52.400085954263233</c:v>
                </c:pt>
                <c:pt idx="87">
                  <c:v>52.658282053793442</c:v>
                </c:pt>
                <c:pt idx="88">
                  <c:v>52.909446150180358</c:v>
                </c:pt>
                <c:pt idx="89">
                  <c:v>53.152883759877867</c:v>
                </c:pt>
                <c:pt idx="90">
                  <c:v>53.387900719953109</c:v>
                </c:pt>
                <c:pt idx="91">
                  <c:v>53.613803188462946</c:v>
                </c:pt>
                <c:pt idx="92">
                  <c:v>53.831420835025284</c:v>
                </c:pt>
                <c:pt idx="93">
                  <c:v>54.042112210306378</c:v>
                </c:pt>
                <c:pt idx="94">
                  <c:v>54.245978606682407</c:v>
                </c:pt>
                <c:pt idx="95">
                  <c:v>54.443120461067899</c:v>
                </c:pt>
                <c:pt idx="96">
                  <c:v>54.633638187391966</c:v>
                </c:pt>
                <c:pt idx="97">
                  <c:v>54.817632183660251</c:v>
                </c:pt>
                <c:pt idx="98">
                  <c:v>54.995202829834646</c:v>
                </c:pt>
                <c:pt idx="99">
                  <c:v>55.166449535923135</c:v>
                </c:pt>
                <c:pt idx="100">
                  <c:v>55.331472175756822</c:v>
                </c:pt>
                <c:pt idx="101">
                  <c:v>55.490371078499059</c:v>
                </c:pt>
                <c:pt idx="102">
                  <c:v>55.64324656253411</c:v>
                </c:pt>
                <c:pt idx="103">
                  <c:v>55.790198947141526</c:v>
                </c:pt>
                <c:pt idx="104">
                  <c:v>55.931328545451606</c:v>
                </c:pt>
                <c:pt idx="105">
                  <c:v>56.066735676449895</c:v>
                </c:pt>
                <c:pt idx="106">
                  <c:v>56.195198327455344</c:v>
                </c:pt>
                <c:pt idx="107">
                  <c:v>56.315759097544039</c:v>
                </c:pt>
                <c:pt idx="108">
                  <c:v>56.428916339472373</c:v>
                </c:pt>
                <c:pt idx="109">
                  <c:v>56.535167697343248</c:v>
                </c:pt>
                <c:pt idx="110">
                  <c:v>56.635010640803181</c:v>
                </c:pt>
                <c:pt idx="111">
                  <c:v>56.728942470530967</c:v>
                </c:pt>
                <c:pt idx="112">
                  <c:v>56.817460315995497</c:v>
                </c:pt>
                <c:pt idx="113">
                  <c:v>56.901061134111963</c:v>
                </c:pt>
                <c:pt idx="114">
                  <c:v>56.980242768821959</c:v>
                </c:pt>
                <c:pt idx="115">
                  <c:v>57.0555018663079</c:v>
                </c:pt>
                <c:pt idx="116">
                  <c:v>57.127334902995912</c:v>
                </c:pt>
                <c:pt idx="117">
                  <c:v>57.196238189562621</c:v>
                </c:pt>
                <c:pt idx="118">
                  <c:v>57.262707869807599</c:v>
                </c:pt>
                <c:pt idx="119">
                  <c:v>57.327239924665598</c:v>
                </c:pt>
                <c:pt idx="120">
                  <c:v>59.626881256192412</c:v>
                </c:pt>
                <c:pt idx="121">
                  <c:v>59.684921860132405</c:v>
                </c:pt>
                <c:pt idx="122">
                  <c:v>59.73854857524497</c:v>
                </c:pt>
                <c:pt idx="123">
                  <c:v>59.787968828646065</c:v>
                </c:pt>
                <c:pt idx="124">
                  <c:v>59.833389956365487</c:v>
                </c:pt>
                <c:pt idx="125">
                  <c:v>59.875019201093991</c:v>
                </c:pt>
                <c:pt idx="126">
                  <c:v>59.91306371017663</c:v>
                </c:pt>
                <c:pt idx="127">
                  <c:v>59.947730544911416</c:v>
                </c:pt>
                <c:pt idx="128">
                  <c:v>59.979226674627647</c:v>
                </c:pt>
                <c:pt idx="129">
                  <c:v>60.007758979153841</c:v>
                </c:pt>
                <c:pt idx="130">
                  <c:v>60.033534254427799</c:v>
                </c:pt>
                <c:pt idx="131">
                  <c:v>60.05675920768428</c:v>
                </c:pt>
                <c:pt idx="132">
                  <c:v>60.077640461629031</c:v>
                </c:pt>
                <c:pt idx="133">
                  <c:v>60.096384554262002</c:v>
                </c:pt>
                <c:pt idx="134">
                  <c:v>60.112462312521686</c:v>
                </c:pt>
                <c:pt idx="135">
                  <c:v>60.125276505120752</c:v>
                </c:pt>
                <c:pt idx="136">
                  <c:v>60.134931503636565</c:v>
                </c:pt>
                <c:pt idx="137">
                  <c:v>60.141531658042027</c:v>
                </c:pt>
                <c:pt idx="138">
                  <c:v>60.145181298924591</c:v>
                </c:pt>
                <c:pt idx="139">
                  <c:v>60.145984732801239</c:v>
                </c:pt>
                <c:pt idx="140">
                  <c:v>60.14404624720428</c:v>
                </c:pt>
                <c:pt idx="141">
                  <c:v>60.139470105203145</c:v>
                </c:pt>
                <c:pt idx="142">
                  <c:v>60.132360547964829</c:v>
                </c:pt>
                <c:pt idx="143">
                  <c:v>60.1228217901458</c:v>
                </c:pt>
                <c:pt idx="144">
                  <c:v>60.110958019672026</c:v>
                </c:pt>
                <c:pt idx="145">
                  <c:v>60.096873398461199</c:v>
                </c:pt>
                <c:pt idx="146">
                  <c:v>60.080672056622404</c:v>
                </c:pt>
                <c:pt idx="147">
                  <c:v>60.062458091663835</c:v>
                </c:pt>
                <c:pt idx="148">
                  <c:v>60.041857574293445</c:v>
                </c:pt>
                <c:pt idx="149">
                  <c:v>60.018496826815969</c:v>
                </c:pt>
                <c:pt idx="150">
                  <c:v>59.992480273831497</c:v>
                </c:pt>
                <c:pt idx="151">
                  <c:v>59.96391229532933</c:v>
                </c:pt>
                <c:pt idx="152">
                  <c:v>59.932897225288755</c:v>
                </c:pt>
                <c:pt idx="153">
                  <c:v>59.899539349993091</c:v>
                </c:pt>
                <c:pt idx="154">
                  <c:v>59.863942901120957</c:v>
                </c:pt>
                <c:pt idx="155">
                  <c:v>59.8262120553727</c:v>
                </c:pt>
                <c:pt idx="156">
                  <c:v>59.786450928362704</c:v>
                </c:pt>
                <c:pt idx="157">
                  <c:v>59.744763573119002</c:v>
                </c:pt>
                <c:pt idx="158">
                  <c:v>59.701253976160046</c:v>
                </c:pt>
                <c:pt idx="159">
                  <c:v>59.65602605322249</c:v>
                </c:pt>
                <c:pt idx="160">
                  <c:v>59.609183643630523</c:v>
                </c:pt>
                <c:pt idx="161">
                  <c:v>59.560830512351764</c:v>
                </c:pt>
                <c:pt idx="162">
                  <c:v>59.510814816134769</c:v>
                </c:pt>
                <c:pt idx="163">
                  <c:v>59.458916653153217</c:v>
                </c:pt>
                <c:pt idx="164">
                  <c:v>59.405137614712849</c:v>
                </c:pt>
                <c:pt idx="165">
                  <c:v>59.34947926383623</c:v>
                </c:pt>
                <c:pt idx="166">
                  <c:v>59.291943129011678</c:v>
                </c:pt>
                <c:pt idx="167">
                  <c:v>59.23253070337713</c:v>
                </c:pt>
                <c:pt idx="168">
                  <c:v>59.171243439288325</c:v>
                </c:pt>
                <c:pt idx="169">
                  <c:v>59.108082748868647</c:v>
                </c:pt>
                <c:pt idx="170">
                  <c:v>59.043049999606993</c:v>
                </c:pt>
                <c:pt idx="171">
                  <c:v>58.976146513501014</c:v>
                </c:pt>
                <c:pt idx="172">
                  <c:v>58.907373562621771</c:v>
                </c:pt>
                <c:pt idx="173">
                  <c:v>58.836732371984276</c:v>
                </c:pt>
                <c:pt idx="174">
                  <c:v>58.764224114526264</c:v>
                </c:pt>
                <c:pt idx="175">
                  <c:v>58.689849912856971</c:v>
                </c:pt>
                <c:pt idx="176">
                  <c:v>58.61316885072069</c:v>
                </c:pt>
                <c:pt idx="177">
                  <c:v>58.533876196731974</c:v>
                </c:pt>
                <c:pt idx="178">
                  <c:v>58.452177177939951</c:v>
                </c:pt>
                <c:pt idx="179">
                  <c:v>58.368276849496922</c:v>
                </c:pt>
                <c:pt idx="180">
                  <c:v>58.282380094056634</c:v>
                </c:pt>
                <c:pt idx="181">
                  <c:v>58.194691625197414</c:v>
                </c:pt>
                <c:pt idx="182">
                  <c:v>58.105415989209838</c:v>
                </c:pt>
                <c:pt idx="183">
                  <c:v>58.014757567598814</c:v>
                </c:pt>
                <c:pt idx="184">
                  <c:v>57.922920578516788</c:v>
                </c:pt>
                <c:pt idx="185">
                  <c:v>57.830109080303195</c:v>
                </c:pt>
                <c:pt idx="186">
                  <c:v>57.736526975002477</c:v>
                </c:pt>
                <c:pt idx="187">
                  <c:v>57.642378011344277</c:v>
                </c:pt>
                <c:pt idx="188">
                  <c:v>57.547865787536949</c:v>
                </c:pt>
                <c:pt idx="189">
                  <c:v>57.453193756311748</c:v>
                </c:pt>
                <c:pt idx="190">
                  <c:v>57.358056277849101</c:v>
                </c:pt>
                <c:pt idx="191">
                  <c:v>57.262012163735648</c:v>
                </c:pt>
                <c:pt idx="192">
                  <c:v>57.165061419266713</c:v>
                </c:pt>
                <c:pt idx="193">
                  <c:v>57.067204032153327</c:v>
                </c:pt>
                <c:pt idx="194">
                  <c:v>56.968439975148009</c:v>
                </c:pt>
                <c:pt idx="195">
                  <c:v>56.868769209546898</c:v>
                </c:pt>
                <c:pt idx="196">
                  <c:v>56.768191689188853</c:v>
                </c:pt>
                <c:pt idx="197">
                  <c:v>56.66670736193538</c:v>
                </c:pt>
                <c:pt idx="198">
                  <c:v>56.564316174324638</c:v>
                </c:pt>
                <c:pt idx="199">
                  <c:v>56.461018073733392</c:v>
                </c:pt>
                <c:pt idx="200">
                  <c:v>56.356813011606341</c:v>
                </c:pt>
                <c:pt idx="201">
                  <c:v>56.251700945810249</c:v>
                </c:pt>
                <c:pt idx="202">
                  <c:v>56.145681844204091</c:v>
                </c:pt>
                <c:pt idx="203">
                  <c:v>56.038755685541467</c:v>
                </c:pt>
                <c:pt idx="204">
                  <c:v>55.931142572433814</c:v>
                </c:pt>
                <c:pt idx="205">
                  <c:v>55.822994784314531</c:v>
                </c:pt>
                <c:pt idx="206">
                  <c:v>55.714210631351868</c:v>
                </c:pt>
                <c:pt idx="207">
                  <c:v>55.6046884991299</c:v>
                </c:pt>
                <c:pt idx="208">
                  <c:v>55.494326850258432</c:v>
                </c:pt>
                <c:pt idx="209">
                  <c:v>55.383024225135763</c:v>
                </c:pt>
                <c:pt idx="210">
                  <c:v>55.270679242391076</c:v>
                </c:pt>
                <c:pt idx="211">
                  <c:v>55.157190599685222</c:v>
                </c:pt>
                <c:pt idx="212">
                  <c:v>55.042457073369292</c:v>
                </c:pt>
                <c:pt idx="213">
                  <c:v>54.92637751813627</c:v>
                </c:pt>
                <c:pt idx="214">
                  <c:v>54.808850868691977</c:v>
                </c:pt>
                <c:pt idx="215">
                  <c:v>54.689776136749394</c:v>
                </c:pt>
                <c:pt idx="216">
                  <c:v>54.569052411996381</c:v>
                </c:pt>
                <c:pt idx="217">
                  <c:v>54.446578861521843</c:v>
                </c:pt>
                <c:pt idx="218">
                  <c:v>54.322288525815743</c:v>
                </c:pt>
                <c:pt idx="219">
                  <c:v>54.196249675068522</c:v>
                </c:pt>
                <c:pt idx="220">
                  <c:v>54.068564350096757</c:v>
                </c:pt>
                <c:pt idx="221">
                  <c:v>53.939334554178103</c:v>
                </c:pt>
                <c:pt idx="222">
                  <c:v>53.808662251977545</c:v>
                </c:pt>
                <c:pt idx="223">
                  <c:v>53.6766493694034</c:v>
                </c:pt>
                <c:pt idx="224">
                  <c:v>53.543397792135856</c:v>
                </c:pt>
                <c:pt idx="225">
                  <c:v>53.409008392516817</c:v>
                </c:pt>
                <c:pt idx="226">
                  <c:v>53.273582973197009</c:v>
                </c:pt>
                <c:pt idx="227">
                  <c:v>53.137223294004031</c:v>
                </c:pt>
                <c:pt idx="228">
                  <c:v>53.000031070883807</c:v>
                </c:pt>
                <c:pt idx="229">
                  <c:v>52.862107975615807</c:v>
                </c:pt>
                <c:pt idx="230">
                  <c:v>52.723555633714916</c:v>
                </c:pt>
                <c:pt idx="231">
                  <c:v>52.584475626137014</c:v>
                </c:pt>
                <c:pt idx="232">
                  <c:v>52.445593565028673</c:v>
                </c:pt>
                <c:pt idx="233">
                  <c:v>52.307295320306572</c:v>
                </c:pt>
                <c:pt idx="234">
                  <c:v>52.169176097707819</c:v>
                </c:pt>
                <c:pt idx="235">
                  <c:v>52.030831326319728</c:v>
                </c:pt>
                <c:pt idx="236">
                  <c:v>51.891856658885224</c:v>
                </c:pt>
                <c:pt idx="237">
                  <c:v>51.751847971512539</c:v>
                </c:pt>
                <c:pt idx="238">
                  <c:v>51.610401360150206</c:v>
                </c:pt>
                <c:pt idx="239">
                  <c:v>51.467112003174329</c:v>
                </c:pt>
                <c:pt idx="240">
                  <c:v>51.321577403647417</c:v>
                </c:pt>
                <c:pt idx="241">
                  <c:v>51.173394319528441</c:v>
                </c:pt>
                <c:pt idx="242">
                  <c:v>51.022159724233582</c:v>
                </c:pt>
                <c:pt idx="243">
                  <c:v>50.867470811614908</c:v>
                </c:pt>
                <c:pt idx="244">
                  <c:v>50.708924989303782</c:v>
                </c:pt>
                <c:pt idx="245">
                  <c:v>50.546119885221877</c:v>
                </c:pt>
                <c:pt idx="246">
                  <c:v>50.380320080386873</c:v>
                </c:pt>
                <c:pt idx="247">
                  <c:v>50.212857804309415</c:v>
                </c:pt>
                <c:pt idx="248">
                  <c:v>50.043433028410874</c:v>
                </c:pt>
                <c:pt idx="249">
                  <c:v>49.871743842670973</c:v>
                </c:pt>
                <c:pt idx="250">
                  <c:v>49.697488501134679</c:v>
                </c:pt>
                <c:pt idx="251">
                  <c:v>49.520365423188345</c:v>
                </c:pt>
                <c:pt idx="252">
                  <c:v>49.340073190924173</c:v>
                </c:pt>
                <c:pt idx="253">
                  <c:v>49.156308944958809</c:v>
                </c:pt>
                <c:pt idx="254">
                  <c:v>48.968772721113396</c:v>
                </c:pt>
                <c:pt idx="255">
                  <c:v>48.777163586472724</c:v>
                </c:pt>
                <c:pt idx="256">
                  <c:v>48.581180768547924</c:v>
                </c:pt>
                <c:pt idx="257">
                  <c:v>48.38052364867599</c:v>
                </c:pt>
                <c:pt idx="258">
                  <c:v>48.174891762654852</c:v>
                </c:pt>
                <c:pt idx="259">
                  <c:v>47.963984796035334</c:v>
                </c:pt>
                <c:pt idx="260">
                  <c:v>47.748040361368503</c:v>
                </c:pt>
                <c:pt idx="261">
                  <c:v>47.527562505442333</c:v>
                </c:pt>
                <c:pt idx="262">
                  <c:v>47.302653155095534</c:v>
                </c:pt>
                <c:pt idx="263">
                  <c:v>47.073415121812481</c:v>
                </c:pt>
                <c:pt idx="264">
                  <c:v>46.83995115752046</c:v>
                </c:pt>
                <c:pt idx="265">
                  <c:v>46.602363941371983</c:v>
                </c:pt>
                <c:pt idx="266">
                  <c:v>46.36075608933136</c:v>
                </c:pt>
                <c:pt idx="267">
                  <c:v>46.115234301432679</c:v>
                </c:pt>
                <c:pt idx="268">
                  <c:v>45.865902568110215</c:v>
                </c:pt>
                <c:pt idx="269">
                  <c:v>45.612863244227974</c:v>
                </c:pt>
                <c:pt idx="270">
                  <c:v>45.356218599833106</c:v>
                </c:pt>
                <c:pt idx="271">
                  <c:v>45.096070820197475</c:v>
                </c:pt>
                <c:pt idx="272">
                  <c:v>44.832522002492858</c:v>
                </c:pt>
                <c:pt idx="273">
                  <c:v>44.565674154362057</c:v>
                </c:pt>
                <c:pt idx="274">
                  <c:v>44.294941335660326</c:v>
                </c:pt>
                <c:pt idx="275">
                  <c:v>44.01980343647319</c:v>
                </c:pt>
                <c:pt idx="276">
                  <c:v>43.740465467663086</c:v>
                </c:pt>
                <c:pt idx="277">
                  <c:v>43.457130074786299</c:v>
                </c:pt>
                <c:pt idx="278">
                  <c:v>43.169999738255079</c:v>
                </c:pt>
                <c:pt idx="279">
                  <c:v>42.879276779818468</c:v>
                </c:pt>
                <c:pt idx="280">
                  <c:v>42.585163357416327</c:v>
                </c:pt>
                <c:pt idx="281">
                  <c:v>42.287856716957009</c:v>
                </c:pt>
                <c:pt idx="282">
                  <c:v>41.987554868433307</c:v>
                </c:pt>
                <c:pt idx="283">
                  <c:v>41.684459620746637</c:v>
                </c:pt>
                <c:pt idx="284">
                  <c:v>41.378772626097344</c:v>
                </c:pt>
                <c:pt idx="285">
                  <c:v>41.070695378048434</c:v>
                </c:pt>
                <c:pt idx="286">
                  <c:v>40.760429213628449</c:v>
                </c:pt>
                <c:pt idx="287">
                  <c:v>40.448175314437897</c:v>
                </c:pt>
                <c:pt idx="288">
                  <c:v>40.131236954863581</c:v>
                </c:pt>
                <c:pt idx="289">
                  <c:v>39.807526760466814</c:v>
                </c:pt>
                <c:pt idx="290">
                  <c:v>39.478152719686094</c:v>
                </c:pt>
                <c:pt idx="291">
                  <c:v>39.144220848345284</c:v>
                </c:pt>
                <c:pt idx="292">
                  <c:v>38.806836605373896</c:v>
                </c:pt>
                <c:pt idx="293">
                  <c:v>38.4671049017307</c:v>
                </c:pt>
                <c:pt idx="294">
                  <c:v>38.126130113735009</c:v>
                </c:pt>
                <c:pt idx="295">
                  <c:v>37.785012301101581</c:v>
                </c:pt>
                <c:pt idx="296">
                  <c:v>37.444859132874434</c:v>
                </c:pt>
                <c:pt idx="297">
                  <c:v>37.106773391725106</c:v>
                </c:pt>
                <c:pt idx="298">
                  <c:v>36.771857388371892</c:v>
                </c:pt>
                <c:pt idx="299">
                  <c:v>36.441212951427254</c:v>
                </c:pt>
                <c:pt idx="300">
                  <c:v>36.115941429248501</c:v>
                </c:pt>
                <c:pt idx="301">
                  <c:v>35.797143703477047</c:v>
                </c:pt>
                <c:pt idx="302">
                  <c:v>35.482725694648174</c:v>
                </c:pt>
                <c:pt idx="303">
                  <c:v>35.169965737901059</c:v>
                </c:pt>
                <c:pt idx="304">
                  <c:v>34.859058603155411</c:v>
                </c:pt>
                <c:pt idx="305">
                  <c:v>34.550203793785698</c:v>
                </c:pt>
                <c:pt idx="306">
                  <c:v>34.243600737411647</c:v>
                </c:pt>
                <c:pt idx="307">
                  <c:v>33.939448792618876</c:v>
                </c:pt>
                <c:pt idx="308">
                  <c:v>33.637947245762625</c:v>
                </c:pt>
                <c:pt idx="309">
                  <c:v>33.339240834462757</c:v>
                </c:pt>
                <c:pt idx="310">
                  <c:v>33.043533620776898</c:v>
                </c:pt>
                <c:pt idx="311">
                  <c:v>32.751026178318916</c:v>
                </c:pt>
                <c:pt idx="312">
                  <c:v>32.461918984409813</c:v>
                </c:pt>
                <c:pt idx="313">
                  <c:v>32.17641241678561</c:v>
                </c:pt>
                <c:pt idx="314">
                  <c:v>31.894706745007763</c:v>
                </c:pt>
                <c:pt idx="315">
                  <c:v>31.617002124987273</c:v>
                </c:pt>
                <c:pt idx="316">
                  <c:v>31.341043494856414</c:v>
                </c:pt>
                <c:pt idx="317">
                  <c:v>31.064996651280165</c:v>
                </c:pt>
                <c:pt idx="318">
                  <c:v>30.789788229675835</c:v>
                </c:pt>
                <c:pt idx="319">
                  <c:v>30.516320936797801</c:v>
                </c:pt>
                <c:pt idx="320">
                  <c:v>30.24549703305253</c:v>
                </c:pt>
                <c:pt idx="321">
                  <c:v>29.978218314838241</c:v>
                </c:pt>
                <c:pt idx="322">
                  <c:v>29.715386120998765</c:v>
                </c:pt>
                <c:pt idx="323">
                  <c:v>29.457919540356016</c:v>
                </c:pt>
                <c:pt idx="324">
                  <c:v>29.206765654845253</c:v>
                </c:pt>
                <c:pt idx="325">
                  <c:v>28.962822703660287</c:v>
                </c:pt>
                <c:pt idx="326">
                  <c:v>28.72698868012171</c:v>
                </c:pt>
                <c:pt idx="327">
                  <c:v>28.500161148567706</c:v>
                </c:pt>
                <c:pt idx="328">
                  <c:v>28.283237201156485</c:v>
                </c:pt>
                <c:pt idx="329">
                  <c:v>28.077113535316176</c:v>
                </c:pt>
                <c:pt idx="330">
                  <c:v>27.879784631099394</c:v>
                </c:pt>
                <c:pt idx="331">
                  <c:v>27.688890254562107</c:v>
                </c:pt>
                <c:pt idx="332">
                  <c:v>27.504768572657561</c:v>
                </c:pt>
                <c:pt idx="333">
                  <c:v>27.327715024820623</c:v>
                </c:pt>
                <c:pt idx="334">
                  <c:v>27.158025092569769</c:v>
                </c:pt>
                <c:pt idx="335">
                  <c:v>26.9959943226566</c:v>
                </c:pt>
                <c:pt idx="336">
                  <c:v>26.841918314070124</c:v>
                </c:pt>
                <c:pt idx="337">
                  <c:v>26.696113468759656</c:v>
                </c:pt>
                <c:pt idx="338">
                  <c:v>26.558858827910377</c:v>
                </c:pt>
                <c:pt idx="339">
                  <c:v>26.43045009670751</c:v>
                </c:pt>
                <c:pt idx="340">
                  <c:v>26.311183037436578</c:v>
                </c:pt>
                <c:pt idx="341">
                  <c:v>26.201353450600706</c:v>
                </c:pt>
                <c:pt idx="342">
                  <c:v>26.101257181229254</c:v>
                </c:pt>
                <c:pt idx="343">
                  <c:v>26.011190093804753</c:v>
                </c:pt>
                <c:pt idx="344">
                  <c:v>25.930088134522833</c:v>
                </c:pt>
                <c:pt idx="345">
                  <c:v>25.856875911841158</c:v>
                </c:pt>
                <c:pt idx="346">
                  <c:v>25.791817533458694</c:v>
                </c:pt>
                <c:pt idx="347">
                  <c:v>25.735192041232093</c:v>
                </c:pt>
                <c:pt idx="348">
                  <c:v>25.687278441469598</c:v>
                </c:pt>
                <c:pt idx="349">
                  <c:v>25.648355706077442</c:v>
                </c:pt>
                <c:pt idx="350">
                  <c:v>25.618702747471204</c:v>
                </c:pt>
                <c:pt idx="351">
                  <c:v>25.598624507665814</c:v>
                </c:pt>
                <c:pt idx="352">
                  <c:v>25.588379981057926</c:v>
                </c:pt>
                <c:pt idx="353">
                  <c:v>25.588247840396939</c:v>
                </c:pt>
                <c:pt idx="354">
                  <c:v>25.598506672710517</c:v>
                </c:pt>
                <c:pt idx="355">
                  <c:v>25.619434966525962</c:v>
                </c:pt>
                <c:pt idx="356">
                  <c:v>25.65131120557372</c:v>
                </c:pt>
                <c:pt idx="357">
                  <c:v>25.694413626786982</c:v>
                </c:pt>
                <c:pt idx="358">
                  <c:v>25.748778570387401</c:v>
                </c:pt>
                <c:pt idx="359">
                  <c:v>25.814122977516199</c:v>
                </c:pt>
                <c:pt idx="360">
                  <c:v>25.890265556433068</c:v>
                </c:pt>
                <c:pt idx="361">
                  <c:v>25.976979908229744</c:v>
                </c:pt>
                <c:pt idx="362">
                  <c:v>26.074065504205468</c:v>
                </c:pt>
                <c:pt idx="363">
                  <c:v>26.181321873430527</c:v>
                </c:pt>
                <c:pt idx="364">
                  <c:v>26.298548591474397</c:v>
                </c:pt>
                <c:pt idx="365">
                  <c:v>26.425545287388033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9.7809674118984553</c:v>
                </c:pt>
                <c:pt idx="1">
                  <c:v>1.566139319960244</c:v>
                </c:pt>
                <c:pt idx="2">
                  <c:v>16.118767020914337</c:v>
                </c:pt>
                <c:pt idx="3">
                  <c:v>14.438165355881392</c:v>
                </c:pt>
                <c:pt idx="4">
                  <c:v>14.254781067486938</c:v>
                </c:pt>
                <c:pt idx="5">
                  <c:v>4.681284578001419</c:v>
                </c:pt>
                <c:pt idx="6">
                  <c:v>18.099758516655751</c:v>
                </c:pt>
                <c:pt idx="7">
                  <c:v>6.7588601448395726</c:v>
                </c:pt>
                <c:pt idx="8">
                  <c:v>8.6494497429549035</c:v>
                </c:pt>
                <c:pt idx="9">
                  <c:v>24.663487816746393</c:v>
                </c:pt>
                <c:pt idx="10">
                  <c:v>4.4849987451361066</c:v>
                </c:pt>
                <c:pt idx="11">
                  <c:v>23.974707900919839</c:v>
                </c:pt>
                <c:pt idx="12">
                  <c:v>13.555921758057712</c:v>
                </c:pt>
                <c:pt idx="13">
                  <c:v>18.304239219725336</c:v>
                </c:pt>
                <c:pt idx="14">
                  <c:v>5.9648517583707932</c:v>
                </c:pt>
                <c:pt idx="15">
                  <c:v>3.6176302300457759</c:v>
                </c:pt>
                <c:pt idx="16">
                  <c:v>6.8070599801739355</c:v>
                </c:pt>
                <c:pt idx="17">
                  <c:v>19.495804448152324</c:v>
                </c:pt>
                <c:pt idx="18">
                  <c:v>10.245189597275182</c:v>
                </c:pt>
                <c:pt idx="19">
                  <c:v>18.367420606993516</c:v>
                </c:pt>
                <c:pt idx="20">
                  <c:v>6.6806457525048781</c:v>
                </c:pt>
                <c:pt idx="21">
                  <c:v>31.491937438550341</c:v>
                </c:pt>
                <c:pt idx="22">
                  <c:v>31.388862441619331</c:v>
                </c:pt>
                <c:pt idx="23">
                  <c:v>32.410944579195558</c:v>
                </c:pt>
                <c:pt idx="24">
                  <c:v>30.004206808299806</c:v>
                </c:pt>
                <c:pt idx="25">
                  <c:v>31.63614473795144</c:v>
                </c:pt>
                <c:pt idx="26">
                  <c:v>27.9232161274874</c:v>
                </c:pt>
                <c:pt idx="27">
                  <c:v>4.2632978365717573</c:v>
                </c:pt>
                <c:pt idx="28">
                  <c:v>8.1102490671840108</c:v>
                </c:pt>
                <c:pt idx="29">
                  <c:v>4.6928357398708087</c:v>
                </c:pt>
                <c:pt idx="30">
                  <c:v>7.4836316525819493</c:v>
                </c:pt>
                <c:pt idx="31">
                  <c:v>16.421424202707062</c:v>
                </c:pt>
                <c:pt idx="32">
                  <c:v>5.391385338037475</c:v>
                </c:pt>
                <c:pt idx="33">
                  <c:v>10.841448439452693</c:v>
                </c:pt>
                <c:pt idx="34">
                  <c:v>11.196642669449666</c:v>
                </c:pt>
                <c:pt idx="35">
                  <c:v>9.2380729381690099</c:v>
                </c:pt>
                <c:pt idx="36">
                  <c:v>25.272317186533865</c:v>
                </c:pt>
                <c:pt idx="37">
                  <c:v>9.0662254370605204</c:v>
                </c:pt>
                <c:pt idx="38">
                  <c:v>36.639670397428155</c:v>
                </c:pt>
                <c:pt idx="39">
                  <c:v>37.386454651839806</c:v>
                </c:pt>
                <c:pt idx="40">
                  <c:v>35.051851769602635</c:v>
                </c:pt>
                <c:pt idx="41">
                  <c:v>17.324788090923231</c:v>
                </c:pt>
                <c:pt idx="42">
                  <c:v>28.16187086683777</c:v>
                </c:pt>
                <c:pt idx="43">
                  <c:v>35.067366351749286</c:v>
                </c:pt>
                <c:pt idx="44">
                  <c:v>15.432434359157661</c:v>
                </c:pt>
                <c:pt idx="45">
                  <c:v>19.619842359102375</c:v>
                </c:pt>
                <c:pt idx="46">
                  <c:v>8.84006742275694</c:v>
                </c:pt>
                <c:pt idx="47">
                  <c:v>11.149115326786859</c:v>
                </c:pt>
                <c:pt idx="48">
                  <c:v>31.628970640853403</c:v>
                </c:pt>
                <c:pt idx="49">
                  <c:v>19.034221532572285</c:v>
                </c:pt>
                <c:pt idx="50">
                  <c:v>20.693976020785414</c:v>
                </c:pt>
                <c:pt idx="51">
                  <c:v>21.782891471603232</c:v>
                </c:pt>
                <c:pt idx="52">
                  <c:v>34.425758475137762</c:v>
                </c:pt>
                <c:pt idx="53">
                  <c:v>36.580150714170934</c:v>
                </c:pt>
                <c:pt idx="54">
                  <c:v>25.214592761823464</c:v>
                </c:pt>
                <c:pt idx="55">
                  <c:v>29.87370891905741</c:v>
                </c:pt>
                <c:pt idx="56">
                  <c:v>44.92653777300486</c:v>
                </c:pt>
                <c:pt idx="57">
                  <c:v>26.463822339621522</c:v>
                </c:pt>
                <c:pt idx="58">
                  <c:v>37.835132247516981</c:v>
                </c:pt>
                <c:pt idx="59">
                  <c:v>42.864651084644009</c:v>
                </c:pt>
                <c:pt idx="60">
                  <c:v>12.57164115774369</c:v>
                </c:pt>
                <c:pt idx="61">
                  <c:v>34.677722376223301</c:v>
                </c:pt>
                <c:pt idx="62">
                  <c:v>3.7128976641703013</c:v>
                </c:pt>
                <c:pt idx="63">
                  <c:v>12.717792550092311</c:v>
                </c:pt>
                <c:pt idx="64">
                  <c:v>15.626036651301396</c:v>
                </c:pt>
                <c:pt idx="65">
                  <c:v>38.128812643103551</c:v>
                </c:pt>
                <c:pt idx="66">
                  <c:v>35.77405103756071</c:v>
                </c:pt>
                <c:pt idx="67">
                  <c:v>31.265997616449713</c:v>
                </c:pt>
                <c:pt idx="68">
                  <c:v>26.439894312541298</c:v>
                </c:pt>
                <c:pt idx="69">
                  <c:v>16.841352686140656</c:v>
                </c:pt>
                <c:pt idx="70">
                  <c:v>13.84500170277307</c:v>
                </c:pt>
                <c:pt idx="71">
                  <c:v>7.9774576956376047</c:v>
                </c:pt>
                <c:pt idx="72">
                  <c:v>14.317494150518971</c:v>
                </c:pt>
                <c:pt idx="73">
                  <c:v>13.57648310282689</c:v>
                </c:pt>
                <c:pt idx="74">
                  <c:v>13.650033319288683</c:v>
                </c:pt>
                <c:pt idx="75">
                  <c:v>11.254299125229625</c:v>
                </c:pt>
                <c:pt idx="76">
                  <c:v>14.105546450927815</c:v>
                </c:pt>
                <c:pt idx="77">
                  <c:v>28.346532170728985</c:v>
                </c:pt>
                <c:pt idx="78">
                  <c:v>31.367189898756308</c:v>
                </c:pt>
                <c:pt idx="79">
                  <c:v>45.948074072065232</c:v>
                </c:pt>
                <c:pt idx="80">
                  <c:v>43.253810945770319</c:v>
                </c:pt>
                <c:pt idx="81">
                  <c:v>49.186763308008942</c:v>
                </c:pt>
                <c:pt idx="82">
                  <c:v>48.536618830762386</c:v>
                </c:pt>
                <c:pt idx="83">
                  <c:v>40.746842818155272</c:v>
                </c:pt>
                <c:pt idx="84">
                  <c:v>47.127845901856247</c:v>
                </c:pt>
                <c:pt idx="85">
                  <c:v>46.301145874982936</c:v>
                </c:pt>
                <c:pt idx="86">
                  <c:v>36.934755590397948</c:v>
                </c:pt>
                <c:pt idx="87">
                  <c:v>27.680808392022957</c:v>
                </c:pt>
                <c:pt idx="88">
                  <c:v>7.5252734780151203</c:v>
                </c:pt>
                <c:pt idx="89">
                  <c:v>25.547050074835777</c:v>
                </c:pt>
                <c:pt idx="90">
                  <c:v>30.357516507153225</c:v>
                </c:pt>
                <c:pt idx="91">
                  <c:v>19.500890853540628</c:v>
                </c:pt>
                <c:pt idx="92">
                  <c:v>24.163604447557393</c:v>
                </c:pt>
                <c:pt idx="93">
                  <c:v>45.664611919774053</c:v>
                </c:pt>
                <c:pt idx="94">
                  <c:v>52.42376570573883</c:v>
                </c:pt>
                <c:pt idx="95">
                  <c:v>11.080506166613686</c:v>
                </c:pt>
                <c:pt idx="96">
                  <c:v>40.194380999611127</c:v>
                </c:pt>
                <c:pt idx="97">
                  <c:v>34.469736331413117</c:v>
                </c:pt>
                <c:pt idx="98">
                  <c:v>33.976972565016027</c:v>
                </c:pt>
                <c:pt idx="99">
                  <c:v>55.150593807665132</c:v>
                </c:pt>
                <c:pt idx="100">
                  <c:v>46.126757733755881</c:v>
                </c:pt>
                <c:pt idx="101">
                  <c:v>38.352620727648024</c:v>
                </c:pt>
                <c:pt idx="102">
                  <c:v>7.7820400665058562</c:v>
                </c:pt>
                <c:pt idx="103">
                  <c:v>40.295660752540755</c:v>
                </c:pt>
                <c:pt idx="104">
                  <c:v>43.42417016006592</c:v>
                </c:pt>
                <c:pt idx="105">
                  <c:v>41.874110663644245</c:v>
                </c:pt>
                <c:pt idx="106">
                  <c:v>54.062924180782083</c:v>
                </c:pt>
                <c:pt idx="107">
                  <c:v>35.903766655597146</c:v>
                </c:pt>
                <c:pt idx="108">
                  <c:v>9.0605931409341078</c:v>
                </c:pt>
                <c:pt idx="109">
                  <c:v>9.3855116769969644</c:v>
                </c:pt>
                <c:pt idx="110">
                  <c:v>8.9314129676352056</c:v>
                </c:pt>
                <c:pt idx="111">
                  <c:v>25.82566616826454</c:v>
                </c:pt>
                <c:pt idx="112">
                  <c:v>8.7990579314230306</c:v>
                </c:pt>
                <c:pt idx="113">
                  <c:v>28.890000503950354</c:v>
                </c:pt>
                <c:pt idx="114">
                  <c:v>43.932879597066787</c:v>
                </c:pt>
                <c:pt idx="115">
                  <c:v>54.014406488986012</c:v>
                </c:pt>
                <c:pt idx="116">
                  <c:v>41.249756128409594</c:v>
                </c:pt>
                <c:pt idx="117">
                  <c:v>23.240947866595935</c:v>
                </c:pt>
                <c:pt idx="118">
                  <c:v>42.17224846529264</c:v>
                </c:pt>
                <c:pt idx="119">
                  <c:v>43.217602428595775</c:v>
                </c:pt>
                <c:pt idx="120">
                  <c:v>48.669872433896593</c:v>
                </c:pt>
                <c:pt idx="121">
                  <c:v>30.156298266509168</c:v>
                </c:pt>
                <c:pt idx="122">
                  <c:v>39.45843477499826</c:v>
                </c:pt>
                <c:pt idx="123">
                  <c:v>21.109174306704286</c:v>
                </c:pt>
                <c:pt idx="124">
                  <c:v>44.207093742945133</c:v>
                </c:pt>
                <c:pt idx="125">
                  <c:v>42.033531993503864</c:v>
                </c:pt>
                <c:pt idx="126">
                  <c:v>52.249470942276531</c:v>
                </c:pt>
                <c:pt idx="127">
                  <c:v>51.41637057147932</c:v>
                </c:pt>
                <c:pt idx="128">
                  <c:v>56.68385577601223</c:v>
                </c:pt>
                <c:pt idx="129">
                  <c:v>54.637291700621958</c:v>
                </c:pt>
                <c:pt idx="130">
                  <c:v>58.555886395275117</c:v>
                </c:pt>
                <c:pt idx="131">
                  <c:v>41.859699983784104</c:v>
                </c:pt>
                <c:pt idx="132">
                  <c:v>42.966739246868876</c:v>
                </c:pt>
                <c:pt idx="133">
                  <c:v>53.292088588383102</c:v>
                </c:pt>
                <c:pt idx="134">
                  <c:v>55.582116010327546</c:v>
                </c:pt>
                <c:pt idx="135">
                  <c:v>53.15079300901882</c:v>
                </c:pt>
                <c:pt idx="136">
                  <c:v>56.417155189314549</c:v>
                </c:pt>
                <c:pt idx="137">
                  <c:v>53.459821493140801</c:v>
                </c:pt>
                <c:pt idx="138">
                  <c:v>56.976172852249547</c:v>
                </c:pt>
                <c:pt idx="139">
                  <c:v>51.833740837587946</c:v>
                </c:pt>
                <c:pt idx="140">
                  <c:v>52.867108463110554</c:v>
                </c:pt>
                <c:pt idx="141">
                  <c:v>42.043704745638912</c:v>
                </c:pt>
                <c:pt idx="142">
                  <c:v>19.705832503893497</c:v>
                </c:pt>
                <c:pt idx="143">
                  <c:v>17.212720206787317</c:v>
                </c:pt>
                <c:pt idx="144">
                  <c:v>43.778210735293676</c:v>
                </c:pt>
                <c:pt idx="145">
                  <c:v>28.560769590632987</c:v>
                </c:pt>
                <c:pt idx="146">
                  <c:v>45.305323780231653</c:v>
                </c:pt>
                <c:pt idx="147">
                  <c:v>56.376226740061959</c:v>
                </c:pt>
                <c:pt idx="148">
                  <c:v>60.98821557777795</c:v>
                </c:pt>
                <c:pt idx="149">
                  <c:v>49.21858530273699</c:v>
                </c:pt>
                <c:pt idx="150">
                  <c:v>55.137352532800456</c:v>
                </c:pt>
                <c:pt idx="151">
                  <c:v>57.176574926488826</c:v>
                </c:pt>
                <c:pt idx="152">
                  <c:v>43.242094260723462</c:v>
                </c:pt>
                <c:pt idx="153">
                  <c:v>56.761319000978858</c:v>
                </c:pt>
                <c:pt idx="154">
                  <c:v>25.683006008384609</c:v>
                </c:pt>
                <c:pt idx="155">
                  <c:v>35.544951796116749</c:v>
                </c:pt>
                <c:pt idx="156">
                  <c:v>50.937497532149699</c:v>
                </c:pt>
                <c:pt idx="157">
                  <c:v>26.202681464601511</c:v>
                </c:pt>
                <c:pt idx="158">
                  <c:v>21.635486968713067</c:v>
                </c:pt>
                <c:pt idx="159">
                  <c:v>51.035673869426979</c:v>
                </c:pt>
                <c:pt idx="160">
                  <c:v>58.940520937894604</c:v>
                </c:pt>
                <c:pt idx="161">
                  <c:v>57.254843310548424</c:v>
                </c:pt>
                <c:pt idx="162">
                  <c:v>45.095858498737343</c:v>
                </c:pt>
                <c:pt idx="163">
                  <c:v>54.25892222572967</c:v>
                </c:pt>
                <c:pt idx="164">
                  <c:v>52.177967363817082</c:v>
                </c:pt>
                <c:pt idx="165">
                  <c:v>55.471064322276192</c:v>
                </c:pt>
                <c:pt idx="166">
                  <c:v>53.49455639784388</c:v>
                </c:pt>
                <c:pt idx="167">
                  <c:v>53.40679060020269</c:v>
                </c:pt>
                <c:pt idx="168">
                  <c:v>56.949413094908827</c:v>
                </c:pt>
                <c:pt idx="169">
                  <c:v>58.058150292748635</c:v>
                </c:pt>
                <c:pt idx="170">
                  <c:v>30.687975204901786</c:v>
                </c:pt>
                <c:pt idx="171">
                  <c:v>22.877796690967685</c:v>
                </c:pt>
                <c:pt idx="172">
                  <c:v>43.254532981680555</c:v>
                </c:pt>
                <c:pt idx="173">
                  <c:v>43.92974519041951</c:v>
                </c:pt>
                <c:pt idx="174">
                  <c:v>40.368345504452392</c:v>
                </c:pt>
                <c:pt idx="175">
                  <c:v>38.197389614749426</c:v>
                </c:pt>
                <c:pt idx="176">
                  <c:v>12.377137008859652</c:v>
                </c:pt>
                <c:pt idx="177">
                  <c:v>15.241348820337938</c:v>
                </c:pt>
                <c:pt idx="178">
                  <c:v>58.490907395575931</c:v>
                </c:pt>
                <c:pt idx="179">
                  <c:v>58.020373902649325</c:v>
                </c:pt>
                <c:pt idx="180">
                  <c:v>14.274597587886452</c:v>
                </c:pt>
                <c:pt idx="181">
                  <c:v>48.490614231621173</c:v>
                </c:pt>
                <c:pt idx="182">
                  <c:v>35.463379878887793</c:v>
                </c:pt>
                <c:pt idx="183">
                  <c:v>50.392895044743156</c:v>
                </c:pt>
                <c:pt idx="184">
                  <c:v>45.632819838908759</c:v>
                </c:pt>
                <c:pt idx="185">
                  <c:v>56.884650014567121</c:v>
                </c:pt>
                <c:pt idx="186">
                  <c:v>46.386499010598193</c:v>
                </c:pt>
                <c:pt idx="187">
                  <c:v>56.5655579683729</c:v>
                </c:pt>
                <c:pt idx="188">
                  <c:v>58.422856173668727</c:v>
                </c:pt>
                <c:pt idx="189">
                  <c:v>57.730327255662715</c:v>
                </c:pt>
                <c:pt idx="190">
                  <c:v>57.01327469664087</c:v>
                </c:pt>
                <c:pt idx="191">
                  <c:v>56.028845583368913</c:v>
                </c:pt>
                <c:pt idx="192">
                  <c:v>55.619658534726405</c:v>
                </c:pt>
                <c:pt idx="193">
                  <c:v>55.100394765817065</c:v>
                </c:pt>
                <c:pt idx="194">
                  <c:v>54.779762698771044</c:v>
                </c:pt>
                <c:pt idx="195">
                  <c:v>52.545120858598949</c:v>
                </c:pt>
                <c:pt idx="196">
                  <c:v>53.986214080740673</c:v>
                </c:pt>
                <c:pt idx="197">
                  <c:v>54.130630257182261</c:v>
                </c:pt>
                <c:pt idx="198">
                  <c:v>56.374638907466675</c:v>
                </c:pt>
                <c:pt idx="199">
                  <c:v>44.193127693002786</c:v>
                </c:pt>
                <c:pt idx="200">
                  <c:v>44.292696280967569</c:v>
                </c:pt>
                <c:pt idx="201">
                  <c:v>53.579916341366257</c:v>
                </c:pt>
                <c:pt idx="202">
                  <c:v>45.034331613150485</c:v>
                </c:pt>
                <c:pt idx="203">
                  <c:v>44.986450701305337</c:v>
                </c:pt>
                <c:pt idx="204">
                  <c:v>53.832342156658996</c:v>
                </c:pt>
                <c:pt idx="205">
                  <c:v>26.437572322925085</c:v>
                </c:pt>
                <c:pt idx="206">
                  <c:v>56.134629588981689</c:v>
                </c:pt>
                <c:pt idx="207">
                  <c:v>57.559311497269832</c:v>
                </c:pt>
                <c:pt idx="208">
                  <c:v>43.587689458265658</c:v>
                </c:pt>
                <c:pt idx="209">
                  <c:v>30.173233937863355</c:v>
                </c:pt>
                <c:pt idx="210">
                  <c:v>48.528481419235455</c:v>
                </c:pt>
                <c:pt idx="211">
                  <c:v>55.178080271878173</c:v>
                </c:pt>
                <c:pt idx="212">
                  <c:v>54.821380048808294</c:v>
                </c:pt>
                <c:pt idx="213">
                  <c:v>54.892057198750635</c:v>
                </c:pt>
                <c:pt idx="214">
                  <c:v>54.245601040481084</c:v>
                </c:pt>
                <c:pt idx="215">
                  <c:v>52.719022845266082</c:v>
                </c:pt>
                <c:pt idx="216">
                  <c:v>43.434355311583481</c:v>
                </c:pt>
                <c:pt idx="217">
                  <c:v>51.135679179228809</c:v>
                </c:pt>
                <c:pt idx="218">
                  <c:v>53.602149582186875</c:v>
                </c:pt>
                <c:pt idx="219">
                  <c:v>54.360410969999073</c:v>
                </c:pt>
                <c:pt idx="220">
                  <c:v>52.202597985786845</c:v>
                </c:pt>
                <c:pt idx="221">
                  <c:v>50.278690057825202</c:v>
                </c:pt>
                <c:pt idx="222">
                  <c:v>48.739902435035596</c:v>
                </c:pt>
                <c:pt idx="223">
                  <c:v>49.003290415990683</c:v>
                </c:pt>
                <c:pt idx="224">
                  <c:v>38.276943335849253</c:v>
                </c:pt>
                <c:pt idx="225">
                  <c:v>34.499853998059223</c:v>
                </c:pt>
                <c:pt idx="226">
                  <c:v>36.884732760660803</c:v>
                </c:pt>
                <c:pt idx="227">
                  <c:v>38.184433755800356</c:v>
                </c:pt>
                <c:pt idx="228">
                  <c:v>29.528837118580029</c:v>
                </c:pt>
                <c:pt idx="229">
                  <c:v>37.483606991331079</c:v>
                </c:pt>
                <c:pt idx="230">
                  <c:v>39.134638646023006</c:v>
                </c:pt>
                <c:pt idx="231">
                  <c:v>51.178542173992646</c:v>
                </c:pt>
                <c:pt idx="232">
                  <c:v>38.224724244580898</c:v>
                </c:pt>
                <c:pt idx="233">
                  <c:v>27.609252570344907</c:v>
                </c:pt>
                <c:pt idx="234">
                  <c:v>49.464981923141075</c:v>
                </c:pt>
                <c:pt idx="235">
                  <c:v>50.016863200086767</c:v>
                </c:pt>
                <c:pt idx="236">
                  <c:v>30.084832723773594</c:v>
                </c:pt>
                <c:pt idx="237">
                  <c:v>40.200684620342997</c:v>
                </c:pt>
                <c:pt idx="238">
                  <c:v>48.67373459143856</c:v>
                </c:pt>
                <c:pt idx="239">
                  <c:v>49.764412864392796</c:v>
                </c:pt>
                <c:pt idx="240">
                  <c:v>34.21740980310166</c:v>
                </c:pt>
                <c:pt idx="241">
                  <c:v>49.102374726423321</c:v>
                </c:pt>
                <c:pt idx="242">
                  <c:v>25.443384892674899</c:v>
                </c:pt>
                <c:pt idx="243">
                  <c:v>39.907598192585112</c:v>
                </c:pt>
                <c:pt idx="244">
                  <c:v>38.018148291815109</c:v>
                </c:pt>
                <c:pt idx="245">
                  <c:v>39.546637318363075</c:v>
                </c:pt>
                <c:pt idx="246">
                  <c:v>49.174239097037919</c:v>
                </c:pt>
                <c:pt idx="247">
                  <c:v>43.445183776200714</c:v>
                </c:pt>
                <c:pt idx="248">
                  <c:v>44.705470610660463</c:v>
                </c:pt>
                <c:pt idx="249">
                  <c:v>37.399294619062886</c:v>
                </c:pt>
                <c:pt idx="250">
                  <c:v>37.198835970126559</c:v>
                </c:pt>
                <c:pt idx="251">
                  <c:v>20.54081950484138</c:v>
                </c:pt>
                <c:pt idx="252">
                  <c:v>47.710119824657589</c:v>
                </c:pt>
                <c:pt idx="253">
                  <c:v>48.121488313991982</c:v>
                </c:pt>
                <c:pt idx="254">
                  <c:v>37.726395664182455</c:v>
                </c:pt>
                <c:pt idx="255">
                  <c:v>14.997638664616277</c:v>
                </c:pt>
                <c:pt idx="256">
                  <c:v>37.770909353512764</c:v>
                </c:pt>
                <c:pt idx="257">
                  <c:v>41.527366297773888</c:v>
                </c:pt>
                <c:pt idx="258">
                  <c:v>30.037345048681143</c:v>
                </c:pt>
                <c:pt idx="259">
                  <c:v>48.465757437370762</c:v>
                </c:pt>
                <c:pt idx="260">
                  <c:v>46.845847172612395</c:v>
                </c:pt>
                <c:pt idx="261">
                  <c:v>47.40918755785043</c:v>
                </c:pt>
                <c:pt idx="262">
                  <c:v>48.907113266298666</c:v>
                </c:pt>
                <c:pt idx="263">
                  <c:v>47.660023334447871</c:v>
                </c:pt>
                <c:pt idx="264">
                  <c:v>46.357124412282687</c:v>
                </c:pt>
                <c:pt idx="265">
                  <c:v>32.811349206780726</c:v>
                </c:pt>
                <c:pt idx="266">
                  <c:v>18.651647000481269</c:v>
                </c:pt>
                <c:pt idx="267">
                  <c:v>36.45781666823585</c:v>
                </c:pt>
                <c:pt idx="268">
                  <c:v>36.318372752272545</c:v>
                </c:pt>
                <c:pt idx="269">
                  <c:v>17.331065971938919</c:v>
                </c:pt>
                <c:pt idx="270">
                  <c:v>19.771835631744153</c:v>
                </c:pt>
                <c:pt idx="271">
                  <c:v>23.778185446713263</c:v>
                </c:pt>
                <c:pt idx="272">
                  <c:v>26.275459890831012</c:v>
                </c:pt>
                <c:pt idx="273">
                  <c:v>37.957569705437152</c:v>
                </c:pt>
                <c:pt idx="274">
                  <c:v>41.096358793038</c:v>
                </c:pt>
                <c:pt idx="275">
                  <c:v>37.244450944191399</c:v>
                </c:pt>
                <c:pt idx="276">
                  <c:v>43.743428547044324</c:v>
                </c:pt>
                <c:pt idx="277">
                  <c:v>45.537850381093456</c:v>
                </c:pt>
                <c:pt idx="278">
                  <c:v>12.197677958835271</c:v>
                </c:pt>
                <c:pt idx="279">
                  <c:v>33.297528388106159</c:v>
                </c:pt>
                <c:pt idx="280">
                  <c:v>15.602924757029601</c:v>
                </c:pt>
                <c:pt idx="281">
                  <c:v>41.567638556724759</c:v>
                </c:pt>
                <c:pt idx="282">
                  <c:v>35.252656390091659</c:v>
                </c:pt>
                <c:pt idx="283">
                  <c:v>24.084835770984611</c:v>
                </c:pt>
                <c:pt idx="284">
                  <c:v>28.399146290585993</c:v>
                </c:pt>
                <c:pt idx="285">
                  <c:v>24.983979079998338</c:v>
                </c:pt>
                <c:pt idx="286">
                  <c:v>17.91081394510131</c:v>
                </c:pt>
                <c:pt idx="287">
                  <c:v>40.874065104182193</c:v>
                </c:pt>
                <c:pt idx="288">
                  <c:v>35.170759190712985</c:v>
                </c:pt>
                <c:pt idx="289">
                  <c:v>19.660226692520531</c:v>
                </c:pt>
                <c:pt idx="290">
                  <c:v>37.903398826210669</c:v>
                </c:pt>
                <c:pt idx="291">
                  <c:v>17.803280202106645</c:v>
                </c:pt>
                <c:pt idx="292">
                  <c:v>7.1406976148699517</c:v>
                </c:pt>
                <c:pt idx="293">
                  <c:v>18.441035840973139</c:v>
                </c:pt>
                <c:pt idx="294">
                  <c:v>35.94045547216988</c:v>
                </c:pt>
                <c:pt idx="295">
                  <c:v>17.472016676839864</c:v>
                </c:pt>
                <c:pt idx="296">
                  <c:v>29.672374255414937</c:v>
                </c:pt>
                <c:pt idx="297">
                  <c:v>24.15023349472132</c:v>
                </c:pt>
                <c:pt idx="298">
                  <c:v>13.333578631619355</c:v>
                </c:pt>
                <c:pt idx="299">
                  <c:v>17.200617214359124</c:v>
                </c:pt>
                <c:pt idx="300">
                  <c:v>17.929899696578868</c:v>
                </c:pt>
                <c:pt idx="301">
                  <c:v>29.386018490627684</c:v>
                </c:pt>
                <c:pt idx="302">
                  <c:v>26.970701914755541</c:v>
                </c:pt>
                <c:pt idx="303">
                  <c:v>25.387089937817169</c:v>
                </c:pt>
                <c:pt idx="304">
                  <c:v>20.091444997127653</c:v>
                </c:pt>
                <c:pt idx="305">
                  <c:v>31.018241132120245</c:v>
                </c:pt>
                <c:pt idx="306">
                  <c:v>9.8076192988022477</c:v>
                </c:pt>
                <c:pt idx="307">
                  <c:v>17.589319865948884</c:v>
                </c:pt>
                <c:pt idx="308">
                  <c:v>32.895705996203688</c:v>
                </c:pt>
                <c:pt idx="309">
                  <c:v>34.26272299179567</c:v>
                </c:pt>
                <c:pt idx="310">
                  <c:v>32.789740855362361</c:v>
                </c:pt>
                <c:pt idx="311">
                  <c:v>24.294748821786019</c:v>
                </c:pt>
                <c:pt idx="312">
                  <c:v>10.844608973931679</c:v>
                </c:pt>
                <c:pt idx="313">
                  <c:v>20.342073611747974</c:v>
                </c:pt>
                <c:pt idx="314">
                  <c:v>32.092749695643221</c:v>
                </c:pt>
                <c:pt idx="315">
                  <c:v>31.341517322254386</c:v>
                </c:pt>
                <c:pt idx="316">
                  <c:v>30.348484054314468</c:v>
                </c:pt>
                <c:pt idx="317">
                  <c:v>11.494501937324964</c:v>
                </c:pt>
                <c:pt idx="318">
                  <c:v>13.187607908536762</c:v>
                </c:pt>
                <c:pt idx="319">
                  <c:v>30.909362328832902</c:v>
                </c:pt>
                <c:pt idx="320">
                  <c:v>13.89412992927743</c:v>
                </c:pt>
                <c:pt idx="321">
                  <c:v>17.71382621725979</c:v>
                </c:pt>
                <c:pt idx="322">
                  <c:v>6.989456917579238</c:v>
                </c:pt>
                <c:pt idx="323">
                  <c:v>17.981211767570873</c:v>
                </c:pt>
                <c:pt idx="324">
                  <c:v>3.2130046280442452</c:v>
                </c:pt>
                <c:pt idx="325">
                  <c:v>8.2322303022148162</c:v>
                </c:pt>
                <c:pt idx="326">
                  <c:v>13.568975411193927</c:v>
                </c:pt>
                <c:pt idx="327">
                  <c:v>14.548756020536091</c:v>
                </c:pt>
                <c:pt idx="328">
                  <c:v>4.6370022639903299</c:v>
                </c:pt>
                <c:pt idx="329">
                  <c:v>10.794967937615107</c:v>
                </c:pt>
                <c:pt idx="330">
                  <c:v>16.787912152897189</c:v>
                </c:pt>
                <c:pt idx="331">
                  <c:v>10.421090870274583</c:v>
                </c:pt>
                <c:pt idx="332">
                  <c:v>15.502688906003035</c:v>
                </c:pt>
                <c:pt idx="333">
                  <c:v>3.971591687817996</c:v>
                </c:pt>
                <c:pt idx="334">
                  <c:v>3.7787006559859981</c:v>
                </c:pt>
                <c:pt idx="335">
                  <c:v>5.6633865193569806</c:v>
                </c:pt>
                <c:pt idx="336">
                  <c:v>10.97024018764599</c:v>
                </c:pt>
                <c:pt idx="337">
                  <c:v>17.772083880380219</c:v>
                </c:pt>
                <c:pt idx="338">
                  <c:v>27.515230122908765</c:v>
                </c:pt>
                <c:pt idx="339">
                  <c:v>12.373248756880958</c:v>
                </c:pt>
                <c:pt idx="340">
                  <c:v>22.72711654906103</c:v>
                </c:pt>
                <c:pt idx="341">
                  <c:v>4.1765934833452052</c:v>
                </c:pt>
                <c:pt idx="342">
                  <c:v>5.0467487639918946</c:v>
                </c:pt>
                <c:pt idx="343">
                  <c:v>11.666501491595437</c:v>
                </c:pt>
                <c:pt idx="344">
                  <c:v>18.355282723554783</c:v>
                </c:pt>
                <c:pt idx="345">
                  <c:v>7.0761430124901423</c:v>
                </c:pt>
                <c:pt idx="346">
                  <c:v>5.4919952850908285</c:v>
                </c:pt>
                <c:pt idx="347">
                  <c:v>17.839444175032238</c:v>
                </c:pt>
                <c:pt idx="348">
                  <c:v>5.9746720188831599</c:v>
                </c:pt>
                <c:pt idx="349">
                  <c:v>5.3341412665531065</c:v>
                </c:pt>
                <c:pt idx="350">
                  <c:v>3.519502298086377</c:v>
                </c:pt>
                <c:pt idx="351">
                  <c:v>24.9164561038322</c:v>
                </c:pt>
                <c:pt idx="352">
                  <c:v>20.067947269313112</c:v>
                </c:pt>
                <c:pt idx="353">
                  <c:v>4.4244530052791022</c:v>
                </c:pt>
                <c:pt idx="354">
                  <c:v>22.808898690388318</c:v>
                </c:pt>
                <c:pt idx="355">
                  <c:v>20.416330522521978</c:v>
                </c:pt>
                <c:pt idx="356">
                  <c:v>20.770625635128255</c:v>
                </c:pt>
                <c:pt idx="357">
                  <c:v>22.838392361625736</c:v>
                </c:pt>
                <c:pt idx="358">
                  <c:v>13.47982227821575</c:v>
                </c:pt>
                <c:pt idx="359">
                  <c:v>22.570367065768504</c:v>
                </c:pt>
                <c:pt idx="360">
                  <c:v>7.3753525785378145</c:v>
                </c:pt>
                <c:pt idx="361">
                  <c:v>24.924670522665775</c:v>
                </c:pt>
                <c:pt idx="362">
                  <c:v>11.058576486077314</c:v>
                </c:pt>
                <c:pt idx="363">
                  <c:v>14.346002499510615</c:v>
                </c:pt>
                <c:pt idx="364">
                  <c:v>13.435814401485061</c:v>
                </c:pt>
                <c:pt idx="365">
                  <c:v>17.388122101453536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9.7809674118984553</c:v>
                </c:pt>
                <c:pt idx="1">
                  <c:v>1.566139319960244</c:v>
                </c:pt>
                <c:pt idx="2">
                  <c:v>16.118767020914337</c:v>
                </c:pt>
                <c:pt idx="3">
                  <c:v>14.438165355881392</c:v>
                </c:pt>
                <c:pt idx="4">
                  <c:v>14.254781067486938</c:v>
                </c:pt>
                <c:pt idx="5">
                  <c:v>4.681284578001419</c:v>
                </c:pt>
                <c:pt idx="6">
                  <c:v>18.099758516655751</c:v>
                </c:pt>
                <c:pt idx="7">
                  <c:v>6.7588601448395726</c:v>
                </c:pt>
                <c:pt idx="8">
                  <c:v>8.6494497429549035</c:v>
                </c:pt>
                <c:pt idx="9">
                  <c:v>24.663487816746393</c:v>
                </c:pt>
                <c:pt idx="10">
                  <c:v>4.4849987451361066</c:v>
                </c:pt>
                <c:pt idx="11">
                  <c:v>23.974707900919839</c:v>
                </c:pt>
                <c:pt idx="12">
                  <c:v>13.555921758057712</c:v>
                </c:pt>
                <c:pt idx="13">
                  <c:v>18.304239219725336</c:v>
                </c:pt>
                <c:pt idx="14">
                  <c:v>5.9648517583707932</c:v>
                </c:pt>
                <c:pt idx="15">
                  <c:v>3.6176302300457759</c:v>
                </c:pt>
                <c:pt idx="16">
                  <c:v>6.8070599801739355</c:v>
                </c:pt>
                <c:pt idx="17">
                  <c:v>19.495804448152324</c:v>
                </c:pt>
                <c:pt idx="18">
                  <c:v>10.245189597275182</c:v>
                </c:pt>
                <c:pt idx="19">
                  <c:v>18.367420606993516</c:v>
                </c:pt>
                <c:pt idx="20">
                  <c:v>6.6806457525048781</c:v>
                </c:pt>
                <c:pt idx="21">
                  <c:v>31.491937438550341</c:v>
                </c:pt>
                <c:pt idx="22">
                  <c:v>31.388862441619331</c:v>
                </c:pt>
                <c:pt idx="23">
                  <c:v>32.410944579195558</c:v>
                </c:pt>
                <c:pt idx="24">
                  <c:v>30.004206808299806</c:v>
                </c:pt>
                <c:pt idx="25">
                  <c:v>31.63614473795144</c:v>
                </c:pt>
                <c:pt idx="26">
                  <c:v>27.9232161274874</c:v>
                </c:pt>
                <c:pt idx="27">
                  <c:v>4.2632978365717573</c:v>
                </c:pt>
                <c:pt idx="28">
                  <c:v>8.1102490671840108</c:v>
                </c:pt>
                <c:pt idx="29">
                  <c:v>4.6928357398708087</c:v>
                </c:pt>
                <c:pt idx="30">
                  <c:v>7.4836316525819493</c:v>
                </c:pt>
                <c:pt idx="31">
                  <c:v>16.421424202707062</c:v>
                </c:pt>
                <c:pt idx="32">
                  <c:v>5.391385338037475</c:v>
                </c:pt>
                <c:pt idx="33">
                  <c:v>10.841448439452693</c:v>
                </c:pt>
                <c:pt idx="34">
                  <c:v>11.196642669449666</c:v>
                </c:pt>
                <c:pt idx="35">
                  <c:v>9.2380729381690099</c:v>
                </c:pt>
                <c:pt idx="36">
                  <c:v>25.272317186533865</c:v>
                </c:pt>
                <c:pt idx="37">
                  <c:v>9.0662254370605204</c:v>
                </c:pt>
                <c:pt idx="38">
                  <c:v>36.639670397428155</c:v>
                </c:pt>
                <c:pt idx="39">
                  <c:v>37.386454651839806</c:v>
                </c:pt>
                <c:pt idx="40">
                  <c:v>35.051851769602635</c:v>
                </c:pt>
                <c:pt idx="41">
                  <c:v>17.324788090923231</c:v>
                </c:pt>
                <c:pt idx="42">
                  <c:v>28.16187086683777</c:v>
                </c:pt>
                <c:pt idx="43">
                  <c:v>35.067366351749286</c:v>
                </c:pt>
                <c:pt idx="44">
                  <c:v>15.432434359157661</c:v>
                </c:pt>
                <c:pt idx="45">
                  <c:v>19.619842359102375</c:v>
                </c:pt>
                <c:pt idx="46">
                  <c:v>8.84006742275694</c:v>
                </c:pt>
                <c:pt idx="47">
                  <c:v>11.149115326786859</c:v>
                </c:pt>
                <c:pt idx="48">
                  <c:v>31.628970640853403</c:v>
                </c:pt>
                <c:pt idx="49">
                  <c:v>19.034221532572285</c:v>
                </c:pt>
                <c:pt idx="50">
                  <c:v>20.693976020785414</c:v>
                </c:pt>
                <c:pt idx="51">
                  <c:v>21.782891471603232</c:v>
                </c:pt>
                <c:pt idx="52">
                  <c:v>34.425758475137762</c:v>
                </c:pt>
                <c:pt idx="53">
                  <c:v>36.580150714170934</c:v>
                </c:pt>
                <c:pt idx="54">
                  <c:v>25.214592761823464</c:v>
                </c:pt>
                <c:pt idx="55">
                  <c:v>29.87370891905741</c:v>
                </c:pt>
                <c:pt idx="56">
                  <c:v>44.92653777300486</c:v>
                </c:pt>
                <c:pt idx="57">
                  <c:v>26.463822339621522</c:v>
                </c:pt>
                <c:pt idx="58">
                  <c:v>37.835132247516981</c:v>
                </c:pt>
                <c:pt idx="59">
                  <c:v>42.864651084644009</c:v>
                </c:pt>
                <c:pt idx="60">
                  <c:v>12.57164115774369</c:v>
                </c:pt>
                <c:pt idx="61">
                  <c:v>34.677722376223301</c:v>
                </c:pt>
                <c:pt idx="62">
                  <c:v>3.7128976641703013</c:v>
                </c:pt>
                <c:pt idx="63">
                  <c:v>12.717792550092311</c:v>
                </c:pt>
                <c:pt idx="64">
                  <c:v>15.626036651301396</c:v>
                </c:pt>
                <c:pt idx="65">
                  <c:v>38.128812643103551</c:v>
                </c:pt>
                <c:pt idx="66">
                  <c:v>35.77405103756071</c:v>
                </c:pt>
                <c:pt idx="67">
                  <c:v>31.265997616449713</c:v>
                </c:pt>
                <c:pt idx="68">
                  <c:v>26.439894312541298</c:v>
                </c:pt>
                <c:pt idx="69">
                  <c:v>16.841352686140656</c:v>
                </c:pt>
                <c:pt idx="70">
                  <c:v>13.84500170277307</c:v>
                </c:pt>
                <c:pt idx="71">
                  <c:v>7.9774576956376047</c:v>
                </c:pt>
                <c:pt idx="72">
                  <c:v>14.317494150518971</c:v>
                </c:pt>
                <c:pt idx="73">
                  <c:v>13.57648310282689</c:v>
                </c:pt>
                <c:pt idx="74">
                  <c:v>13.650033319288683</c:v>
                </c:pt>
                <c:pt idx="75">
                  <c:v>11.254299125229625</c:v>
                </c:pt>
                <c:pt idx="76">
                  <c:v>14.105546450927815</c:v>
                </c:pt>
                <c:pt idx="77">
                  <c:v>28.346532170728985</c:v>
                </c:pt>
                <c:pt idx="78">
                  <c:v>31.367189898756308</c:v>
                </c:pt>
                <c:pt idx="79">
                  <c:v>45.948074072065232</c:v>
                </c:pt>
                <c:pt idx="80">
                  <c:v>43.253810945770319</c:v>
                </c:pt>
                <c:pt idx="81">
                  <c:v>49.186763308008942</c:v>
                </c:pt>
                <c:pt idx="82">
                  <c:v>48.536618830762386</c:v>
                </c:pt>
                <c:pt idx="83">
                  <c:v>40.746842818155272</c:v>
                </c:pt>
                <c:pt idx="84">
                  <c:v>47.127845901856247</c:v>
                </c:pt>
                <c:pt idx="85">
                  <c:v>46.301145874982936</c:v>
                </c:pt>
                <c:pt idx="86">
                  <c:v>36.934755590397948</c:v>
                </c:pt>
                <c:pt idx="87">
                  <c:v>27.680808392022957</c:v>
                </c:pt>
                <c:pt idx="88">
                  <c:v>7.5252734780151203</c:v>
                </c:pt>
                <c:pt idx="89">
                  <c:v>25.547050074835777</c:v>
                </c:pt>
                <c:pt idx="90">
                  <c:v>30.357516507153225</c:v>
                </c:pt>
                <c:pt idx="91">
                  <c:v>19.500890853540628</c:v>
                </c:pt>
                <c:pt idx="92">
                  <c:v>24.163604447557393</c:v>
                </c:pt>
                <c:pt idx="93">
                  <c:v>45.664611919774053</c:v>
                </c:pt>
                <c:pt idx="94">
                  <c:v>52.42376570573883</c:v>
                </c:pt>
                <c:pt idx="95">
                  <c:v>11.080506166613686</c:v>
                </c:pt>
                <c:pt idx="96">
                  <c:v>40.194380999611127</c:v>
                </c:pt>
                <c:pt idx="97">
                  <c:v>34.469736331413117</c:v>
                </c:pt>
                <c:pt idx="98">
                  <c:v>33.976972565016027</c:v>
                </c:pt>
                <c:pt idx="99">
                  <c:v>55.150593807665132</c:v>
                </c:pt>
                <c:pt idx="100">
                  <c:v>46.126757733755881</c:v>
                </c:pt>
                <c:pt idx="101">
                  <c:v>38.352620727648024</c:v>
                </c:pt>
                <c:pt idx="102">
                  <c:v>7.7820400665058562</c:v>
                </c:pt>
                <c:pt idx="103">
                  <c:v>40.295660752540755</c:v>
                </c:pt>
                <c:pt idx="104">
                  <c:v>43.42417016006592</c:v>
                </c:pt>
                <c:pt idx="105">
                  <c:v>41.874110663644245</c:v>
                </c:pt>
                <c:pt idx="106">
                  <c:v>54.062924180782083</c:v>
                </c:pt>
                <c:pt idx="107">
                  <c:v>35.903766655597146</c:v>
                </c:pt>
                <c:pt idx="108">
                  <c:v>9.0605931409341078</c:v>
                </c:pt>
                <c:pt idx="109">
                  <c:v>9.3855116769969644</c:v>
                </c:pt>
                <c:pt idx="110">
                  <c:v>8.9314129676352056</c:v>
                </c:pt>
                <c:pt idx="111">
                  <c:v>25.82566616826454</c:v>
                </c:pt>
                <c:pt idx="112">
                  <c:v>8.7990579314230306</c:v>
                </c:pt>
                <c:pt idx="113">
                  <c:v>28.890000503950354</c:v>
                </c:pt>
                <c:pt idx="114">
                  <c:v>43.932879597066787</c:v>
                </c:pt>
                <c:pt idx="115">
                  <c:v>54.014406488986012</c:v>
                </c:pt>
                <c:pt idx="116">
                  <c:v>41.249756128409594</c:v>
                </c:pt>
                <c:pt idx="117">
                  <c:v>23.240947866595935</c:v>
                </c:pt>
                <c:pt idx="118">
                  <c:v>42.17224846529264</c:v>
                </c:pt>
                <c:pt idx="119">
                  <c:v>43.217602428595775</c:v>
                </c:pt>
                <c:pt idx="120">
                  <c:v>48.669872433896593</c:v>
                </c:pt>
                <c:pt idx="121">
                  <c:v>30.156298266509168</c:v>
                </c:pt>
                <c:pt idx="122">
                  <c:v>39.45843477499826</c:v>
                </c:pt>
                <c:pt idx="123">
                  <c:v>21.109174306704286</c:v>
                </c:pt>
                <c:pt idx="124">
                  <c:v>44.207093742945133</c:v>
                </c:pt>
                <c:pt idx="125">
                  <c:v>42.033531993503864</c:v>
                </c:pt>
                <c:pt idx="126">
                  <c:v>52.249470942276531</c:v>
                </c:pt>
                <c:pt idx="127">
                  <c:v>51.41637057147932</c:v>
                </c:pt>
                <c:pt idx="128">
                  <c:v>56.68385577601223</c:v>
                </c:pt>
                <c:pt idx="129">
                  <c:v>54.637291700621958</c:v>
                </c:pt>
                <c:pt idx="130">
                  <c:v>58.555886395275117</c:v>
                </c:pt>
                <c:pt idx="131">
                  <c:v>41.859699983784104</c:v>
                </c:pt>
                <c:pt idx="132">
                  <c:v>42.966739246868876</c:v>
                </c:pt>
                <c:pt idx="133">
                  <c:v>53.292088588383102</c:v>
                </c:pt>
                <c:pt idx="134">
                  <c:v>55.582116010327546</c:v>
                </c:pt>
                <c:pt idx="135">
                  <c:v>53.15079300901882</c:v>
                </c:pt>
                <c:pt idx="136">
                  <c:v>56.417155189314549</c:v>
                </c:pt>
                <c:pt idx="137">
                  <c:v>53.459821493140801</c:v>
                </c:pt>
                <c:pt idx="138">
                  <c:v>56.976172852249547</c:v>
                </c:pt>
                <c:pt idx="139">
                  <c:v>51.833740837587946</c:v>
                </c:pt>
                <c:pt idx="140">
                  <c:v>52.867108463110554</c:v>
                </c:pt>
                <c:pt idx="141">
                  <c:v>42.043704745638912</c:v>
                </c:pt>
                <c:pt idx="142">
                  <c:v>19.705832503893497</c:v>
                </c:pt>
                <c:pt idx="143">
                  <c:v>17.212720206787317</c:v>
                </c:pt>
                <c:pt idx="144">
                  <c:v>43.778210735293676</c:v>
                </c:pt>
                <c:pt idx="145">
                  <c:v>28.560769590632987</c:v>
                </c:pt>
                <c:pt idx="146">
                  <c:v>45.305323780231653</c:v>
                </c:pt>
                <c:pt idx="147">
                  <c:v>56.376226740061959</c:v>
                </c:pt>
                <c:pt idx="148">
                  <c:v>60.98821557777795</c:v>
                </c:pt>
                <c:pt idx="149">
                  <c:v>49.21858530273699</c:v>
                </c:pt>
                <c:pt idx="150">
                  <c:v>55.137352532800456</c:v>
                </c:pt>
                <c:pt idx="151">
                  <c:v>57.176574926488826</c:v>
                </c:pt>
                <c:pt idx="152">
                  <c:v>43.242094260723462</c:v>
                </c:pt>
                <c:pt idx="153">
                  <c:v>56.761319000978858</c:v>
                </c:pt>
                <c:pt idx="154">
                  <c:v>25.683006008384609</c:v>
                </c:pt>
                <c:pt idx="155">
                  <c:v>35.544951796116749</c:v>
                </c:pt>
                <c:pt idx="156">
                  <c:v>50.937497532149699</c:v>
                </c:pt>
                <c:pt idx="157">
                  <c:v>26.202681464601511</c:v>
                </c:pt>
                <c:pt idx="158">
                  <c:v>21.635486968713067</c:v>
                </c:pt>
                <c:pt idx="159">
                  <c:v>51.035673869426979</c:v>
                </c:pt>
                <c:pt idx="160">
                  <c:v>58.940520937894604</c:v>
                </c:pt>
                <c:pt idx="161">
                  <c:v>57.254843310548424</c:v>
                </c:pt>
                <c:pt idx="162">
                  <c:v>45.095858498737343</c:v>
                </c:pt>
                <c:pt idx="163">
                  <c:v>54.25892222572967</c:v>
                </c:pt>
                <c:pt idx="164">
                  <c:v>52.177967363817082</c:v>
                </c:pt>
                <c:pt idx="165">
                  <c:v>55.471064322276192</c:v>
                </c:pt>
                <c:pt idx="166">
                  <c:v>53.49455639784388</c:v>
                </c:pt>
                <c:pt idx="167">
                  <c:v>53.40679060020269</c:v>
                </c:pt>
                <c:pt idx="168">
                  <c:v>56.949413094908827</c:v>
                </c:pt>
                <c:pt idx="169">
                  <c:v>58.058150292748635</c:v>
                </c:pt>
                <c:pt idx="170">
                  <c:v>30.687975204901786</c:v>
                </c:pt>
                <c:pt idx="171">
                  <c:v>22.877796690967685</c:v>
                </c:pt>
                <c:pt idx="172">
                  <c:v>43.254532981680555</c:v>
                </c:pt>
                <c:pt idx="173">
                  <c:v>43.92974519041951</c:v>
                </c:pt>
                <c:pt idx="174">
                  <c:v>40.368345504452392</c:v>
                </c:pt>
                <c:pt idx="175">
                  <c:v>38.197389614749426</c:v>
                </c:pt>
                <c:pt idx="176">
                  <c:v>12.377137008859652</c:v>
                </c:pt>
                <c:pt idx="177">
                  <c:v>15.241348820337938</c:v>
                </c:pt>
                <c:pt idx="178">
                  <c:v>58.490907395575931</c:v>
                </c:pt>
                <c:pt idx="179">
                  <c:v>58.020373902649325</c:v>
                </c:pt>
                <c:pt idx="180">
                  <c:v>14.274597587886452</c:v>
                </c:pt>
                <c:pt idx="181">
                  <c:v>48.490614231621173</c:v>
                </c:pt>
                <c:pt idx="182">
                  <c:v>35.463379878887793</c:v>
                </c:pt>
                <c:pt idx="183">
                  <c:v>50.392895044743156</c:v>
                </c:pt>
                <c:pt idx="184">
                  <c:v>45.632819838908759</c:v>
                </c:pt>
                <c:pt idx="185">
                  <c:v>56.884650014567121</c:v>
                </c:pt>
                <c:pt idx="186">
                  <c:v>46.386499010598193</c:v>
                </c:pt>
                <c:pt idx="187">
                  <c:v>56.5655579683729</c:v>
                </c:pt>
                <c:pt idx="188">
                  <c:v>58.422856173668727</c:v>
                </c:pt>
                <c:pt idx="189">
                  <c:v>57.730327255662715</c:v>
                </c:pt>
                <c:pt idx="190">
                  <c:v>57.01327469664087</c:v>
                </c:pt>
                <c:pt idx="191">
                  <c:v>56.028845583368913</c:v>
                </c:pt>
                <c:pt idx="192">
                  <c:v>55.619658534726405</c:v>
                </c:pt>
                <c:pt idx="193">
                  <c:v>55.100394765817065</c:v>
                </c:pt>
                <c:pt idx="194">
                  <c:v>54.779762698771044</c:v>
                </c:pt>
                <c:pt idx="195">
                  <c:v>52.545120858598949</c:v>
                </c:pt>
                <c:pt idx="196">
                  <c:v>53.986214080740673</c:v>
                </c:pt>
                <c:pt idx="197">
                  <c:v>54.130630257182261</c:v>
                </c:pt>
                <c:pt idx="198">
                  <c:v>56.374638907466675</c:v>
                </c:pt>
                <c:pt idx="199">
                  <c:v>44.193127693002786</c:v>
                </c:pt>
                <c:pt idx="200">
                  <c:v>44.292696280967569</c:v>
                </c:pt>
                <c:pt idx="201">
                  <c:v>53.579916341366257</c:v>
                </c:pt>
                <c:pt idx="202">
                  <c:v>45.034331613150485</c:v>
                </c:pt>
                <c:pt idx="203">
                  <c:v>44.986450701305337</c:v>
                </c:pt>
                <c:pt idx="204">
                  <c:v>53.832342156658996</c:v>
                </c:pt>
                <c:pt idx="205">
                  <c:v>26.437572322925085</c:v>
                </c:pt>
                <c:pt idx="206">
                  <c:v>56.134629588981689</c:v>
                </c:pt>
                <c:pt idx="207">
                  <c:v>57.559311497269832</c:v>
                </c:pt>
                <c:pt idx="208">
                  <c:v>43.587689458265658</c:v>
                </c:pt>
                <c:pt idx="209">
                  <c:v>30.173233937863355</c:v>
                </c:pt>
                <c:pt idx="210">
                  <c:v>48.528481419235455</c:v>
                </c:pt>
                <c:pt idx="211">
                  <c:v>55.178080271878173</c:v>
                </c:pt>
                <c:pt idx="212">
                  <c:v>54.821380048808294</c:v>
                </c:pt>
                <c:pt idx="213">
                  <c:v>54.892057198750635</c:v>
                </c:pt>
                <c:pt idx="214">
                  <c:v>54.245601040481084</c:v>
                </c:pt>
                <c:pt idx="215">
                  <c:v>52.719022845266082</c:v>
                </c:pt>
                <c:pt idx="216">
                  <c:v>43.434355311583481</c:v>
                </c:pt>
                <c:pt idx="217">
                  <c:v>51.135679179228809</c:v>
                </c:pt>
                <c:pt idx="218">
                  <c:v>53.602149582186875</c:v>
                </c:pt>
                <c:pt idx="219">
                  <c:v>54.360410969999073</c:v>
                </c:pt>
                <c:pt idx="220">
                  <c:v>52.202597985786845</c:v>
                </c:pt>
                <c:pt idx="221">
                  <c:v>50.278690057825202</c:v>
                </c:pt>
                <c:pt idx="222">
                  <c:v>48.739902435035596</c:v>
                </c:pt>
                <c:pt idx="223">
                  <c:v>49.003290415990683</c:v>
                </c:pt>
                <c:pt idx="224">
                  <c:v>38.276943335849253</c:v>
                </c:pt>
                <c:pt idx="225">
                  <c:v>34.499853998059223</c:v>
                </c:pt>
                <c:pt idx="226">
                  <c:v>36.884732760660803</c:v>
                </c:pt>
                <c:pt idx="227">
                  <c:v>38.184433755800356</c:v>
                </c:pt>
                <c:pt idx="228">
                  <c:v>29.528837118580029</c:v>
                </c:pt>
                <c:pt idx="229">
                  <c:v>37.483606991331079</c:v>
                </c:pt>
                <c:pt idx="230">
                  <c:v>39.134638646023006</c:v>
                </c:pt>
                <c:pt idx="231">
                  <c:v>51.178542173992646</c:v>
                </c:pt>
                <c:pt idx="232">
                  <c:v>38.224724244580898</c:v>
                </c:pt>
                <c:pt idx="233">
                  <c:v>27.609252570344907</c:v>
                </c:pt>
                <c:pt idx="234">
                  <c:v>49.464981923141075</c:v>
                </c:pt>
                <c:pt idx="235">
                  <c:v>50.016863200086767</c:v>
                </c:pt>
                <c:pt idx="236">
                  <c:v>30.084832723773594</c:v>
                </c:pt>
                <c:pt idx="237">
                  <c:v>40.200684620342997</c:v>
                </c:pt>
                <c:pt idx="238">
                  <c:v>48.67373459143856</c:v>
                </c:pt>
                <c:pt idx="239">
                  <c:v>49.764412864392796</c:v>
                </c:pt>
                <c:pt idx="240">
                  <c:v>34.21740980310166</c:v>
                </c:pt>
                <c:pt idx="241">
                  <c:v>49.102374726423321</c:v>
                </c:pt>
                <c:pt idx="242">
                  <c:v>25.443384892674899</c:v>
                </c:pt>
                <c:pt idx="243">
                  <c:v>39.907598192585112</c:v>
                </c:pt>
                <c:pt idx="244">
                  <c:v>38.018148291815109</c:v>
                </c:pt>
                <c:pt idx="245">
                  <c:v>39.546637318363075</c:v>
                </c:pt>
                <c:pt idx="246">
                  <c:v>49.174239097037919</c:v>
                </c:pt>
                <c:pt idx="247">
                  <c:v>43.445183776200714</c:v>
                </c:pt>
                <c:pt idx="248">
                  <c:v>44.705470610660463</c:v>
                </c:pt>
                <c:pt idx="249">
                  <c:v>37.399294619062886</c:v>
                </c:pt>
                <c:pt idx="250">
                  <c:v>37.198835970126559</c:v>
                </c:pt>
                <c:pt idx="251">
                  <c:v>20.54081950484138</c:v>
                </c:pt>
                <c:pt idx="252">
                  <c:v>47.710119824657589</c:v>
                </c:pt>
                <c:pt idx="253">
                  <c:v>48.121488313991982</c:v>
                </c:pt>
                <c:pt idx="254">
                  <c:v>37.726395664182455</c:v>
                </c:pt>
                <c:pt idx="255">
                  <c:v>14.997638664616277</c:v>
                </c:pt>
                <c:pt idx="256">
                  <c:v>37.770909353512764</c:v>
                </c:pt>
                <c:pt idx="257">
                  <c:v>41.527366297773888</c:v>
                </c:pt>
                <c:pt idx="258">
                  <c:v>30.037345048681143</c:v>
                </c:pt>
                <c:pt idx="259">
                  <c:v>48.465757437370762</c:v>
                </c:pt>
                <c:pt idx="260">
                  <c:v>46.845847172612395</c:v>
                </c:pt>
                <c:pt idx="261">
                  <c:v>47.40918755785043</c:v>
                </c:pt>
                <c:pt idx="262">
                  <c:v>48.907113266298666</c:v>
                </c:pt>
                <c:pt idx="263">
                  <c:v>47.660023334447871</c:v>
                </c:pt>
                <c:pt idx="264">
                  <c:v>46.357124412282687</c:v>
                </c:pt>
                <c:pt idx="265">
                  <c:v>32.811349206780726</c:v>
                </c:pt>
                <c:pt idx="266">
                  <c:v>18.651647000481269</c:v>
                </c:pt>
                <c:pt idx="267">
                  <c:v>36.45781666823585</c:v>
                </c:pt>
                <c:pt idx="268">
                  <c:v>36.318372752272545</c:v>
                </c:pt>
                <c:pt idx="269">
                  <c:v>17.331065971938919</c:v>
                </c:pt>
                <c:pt idx="270">
                  <c:v>19.771835631744153</c:v>
                </c:pt>
                <c:pt idx="271">
                  <c:v>23.778185446713263</c:v>
                </c:pt>
                <c:pt idx="272">
                  <c:v>26.275459890831012</c:v>
                </c:pt>
                <c:pt idx="273">
                  <c:v>37.957569705437152</c:v>
                </c:pt>
                <c:pt idx="274">
                  <c:v>41.096358793038</c:v>
                </c:pt>
                <c:pt idx="275">
                  <c:v>37.244450944191399</c:v>
                </c:pt>
                <c:pt idx="276">
                  <c:v>43.743428547044324</c:v>
                </c:pt>
                <c:pt idx="277">
                  <c:v>45.537850381093456</c:v>
                </c:pt>
                <c:pt idx="278">
                  <c:v>12.197677958835271</c:v>
                </c:pt>
                <c:pt idx="279">
                  <c:v>33.297528388106159</c:v>
                </c:pt>
                <c:pt idx="280">
                  <c:v>15.602924757029601</c:v>
                </c:pt>
                <c:pt idx="281">
                  <c:v>41.567638556724759</c:v>
                </c:pt>
                <c:pt idx="282">
                  <c:v>35.252656390091659</c:v>
                </c:pt>
                <c:pt idx="283">
                  <c:v>24.084835770984611</c:v>
                </c:pt>
                <c:pt idx="284">
                  <c:v>28.399146290585993</c:v>
                </c:pt>
                <c:pt idx="285">
                  <c:v>24.983979079998338</c:v>
                </c:pt>
                <c:pt idx="286">
                  <c:v>17.91081394510131</c:v>
                </c:pt>
                <c:pt idx="287">
                  <c:v>40.874065104182193</c:v>
                </c:pt>
                <c:pt idx="288">
                  <c:v>35.170759190712985</c:v>
                </c:pt>
                <c:pt idx="289">
                  <c:v>19.660226692520531</c:v>
                </c:pt>
                <c:pt idx="290">
                  <c:v>37.903398826210669</c:v>
                </c:pt>
                <c:pt idx="291">
                  <c:v>17.803280202106645</c:v>
                </c:pt>
                <c:pt idx="292">
                  <c:v>7.1406976148699517</c:v>
                </c:pt>
                <c:pt idx="293">
                  <c:v>18.441035840973139</c:v>
                </c:pt>
                <c:pt idx="294">
                  <c:v>35.94045547216988</c:v>
                </c:pt>
                <c:pt idx="295">
                  <c:v>17.472016676839864</c:v>
                </c:pt>
                <c:pt idx="296">
                  <c:v>29.672374255414937</c:v>
                </c:pt>
                <c:pt idx="297">
                  <c:v>24.15023349472132</c:v>
                </c:pt>
                <c:pt idx="298">
                  <c:v>13.333578631619355</c:v>
                </c:pt>
                <c:pt idx="299">
                  <c:v>17.200617214359124</c:v>
                </c:pt>
                <c:pt idx="300">
                  <c:v>17.929899696578868</c:v>
                </c:pt>
                <c:pt idx="301">
                  <c:v>29.386018490627684</c:v>
                </c:pt>
                <c:pt idx="302">
                  <c:v>26.970701914755541</c:v>
                </c:pt>
                <c:pt idx="303">
                  <c:v>25.387089937817169</c:v>
                </c:pt>
                <c:pt idx="304">
                  <c:v>20.091444997127653</c:v>
                </c:pt>
                <c:pt idx="305">
                  <c:v>31.018241132120245</c:v>
                </c:pt>
                <c:pt idx="306">
                  <c:v>9.8076192988022477</c:v>
                </c:pt>
                <c:pt idx="307">
                  <c:v>17.589319865948884</c:v>
                </c:pt>
                <c:pt idx="308">
                  <c:v>32.895705996203688</c:v>
                </c:pt>
                <c:pt idx="309">
                  <c:v>34.26272299179567</c:v>
                </c:pt>
                <c:pt idx="310">
                  <c:v>32.789740855362361</c:v>
                </c:pt>
                <c:pt idx="311">
                  <c:v>24.294748821786019</c:v>
                </c:pt>
                <c:pt idx="312">
                  <c:v>10.844608973931679</c:v>
                </c:pt>
                <c:pt idx="313">
                  <c:v>20.342073611747974</c:v>
                </c:pt>
                <c:pt idx="314">
                  <c:v>32.092749695643221</c:v>
                </c:pt>
                <c:pt idx="315">
                  <c:v>31.341517322254386</c:v>
                </c:pt>
                <c:pt idx="316">
                  <c:v>30.348484054314468</c:v>
                </c:pt>
                <c:pt idx="317">
                  <c:v>11.494501937324964</c:v>
                </c:pt>
                <c:pt idx="318">
                  <c:v>13.187607908536762</c:v>
                </c:pt>
                <c:pt idx="319">
                  <c:v>30.909362328832902</c:v>
                </c:pt>
                <c:pt idx="320">
                  <c:v>13.89412992927743</c:v>
                </c:pt>
                <c:pt idx="321">
                  <c:v>17.71382621725979</c:v>
                </c:pt>
                <c:pt idx="322">
                  <c:v>6.989456917579238</c:v>
                </c:pt>
                <c:pt idx="323">
                  <c:v>17.981211767570873</c:v>
                </c:pt>
                <c:pt idx="324">
                  <c:v>3.2130046280442452</c:v>
                </c:pt>
                <c:pt idx="325">
                  <c:v>8.2322303022148162</c:v>
                </c:pt>
                <c:pt idx="326">
                  <c:v>13.568975411193927</c:v>
                </c:pt>
                <c:pt idx="327">
                  <c:v>14.548756020536091</c:v>
                </c:pt>
                <c:pt idx="328">
                  <c:v>4.6370022639903299</c:v>
                </c:pt>
                <c:pt idx="329">
                  <c:v>10.794967937615107</c:v>
                </c:pt>
                <c:pt idx="330">
                  <c:v>16.787912152897189</c:v>
                </c:pt>
                <c:pt idx="331">
                  <c:v>10.421090870274583</c:v>
                </c:pt>
                <c:pt idx="332">
                  <c:v>15.502688906003035</c:v>
                </c:pt>
                <c:pt idx="333">
                  <c:v>3.971591687817996</c:v>
                </c:pt>
                <c:pt idx="334">
                  <c:v>3.7787006559859981</c:v>
                </c:pt>
                <c:pt idx="335">
                  <c:v>5.6633865193569806</c:v>
                </c:pt>
                <c:pt idx="336">
                  <c:v>10.97024018764599</c:v>
                </c:pt>
                <c:pt idx="337">
                  <c:v>17.772083880380219</c:v>
                </c:pt>
                <c:pt idx="338">
                  <c:v>27.515230122908765</c:v>
                </c:pt>
                <c:pt idx="339">
                  <c:v>12.373248756880958</c:v>
                </c:pt>
                <c:pt idx="340">
                  <c:v>22.72711654906103</c:v>
                </c:pt>
                <c:pt idx="341">
                  <c:v>4.1765934833452052</c:v>
                </c:pt>
                <c:pt idx="342">
                  <c:v>5.0467487639918946</c:v>
                </c:pt>
                <c:pt idx="343">
                  <c:v>11.666501491595437</c:v>
                </c:pt>
                <c:pt idx="344">
                  <c:v>18.355282723554783</c:v>
                </c:pt>
                <c:pt idx="345">
                  <c:v>7.0761430124901423</c:v>
                </c:pt>
                <c:pt idx="346">
                  <c:v>5.4919952850908285</c:v>
                </c:pt>
                <c:pt idx="347">
                  <c:v>17.839444175032238</c:v>
                </c:pt>
                <c:pt idx="348">
                  <c:v>5.9746720188831599</c:v>
                </c:pt>
                <c:pt idx="349">
                  <c:v>5.3341412665531065</c:v>
                </c:pt>
                <c:pt idx="350">
                  <c:v>3.519502298086377</c:v>
                </c:pt>
                <c:pt idx="351">
                  <c:v>24.9164561038322</c:v>
                </c:pt>
                <c:pt idx="352">
                  <c:v>20.067947269313112</c:v>
                </c:pt>
                <c:pt idx="353">
                  <c:v>4.4244530052791022</c:v>
                </c:pt>
                <c:pt idx="354">
                  <c:v>22.808898690388318</c:v>
                </c:pt>
                <c:pt idx="355">
                  <c:v>20.416330522521978</c:v>
                </c:pt>
                <c:pt idx="356">
                  <c:v>20.770625635128255</c:v>
                </c:pt>
                <c:pt idx="357">
                  <c:v>22.838392361625736</c:v>
                </c:pt>
                <c:pt idx="358">
                  <c:v>13.47982227821575</c:v>
                </c:pt>
                <c:pt idx="359">
                  <c:v>22.570367065768504</c:v>
                </c:pt>
                <c:pt idx="360">
                  <c:v>7.3753525785378145</c:v>
                </c:pt>
                <c:pt idx="361">
                  <c:v>24.924670522665775</c:v>
                </c:pt>
                <c:pt idx="362">
                  <c:v>11.058576486077314</c:v>
                </c:pt>
                <c:pt idx="363">
                  <c:v>14.346002499510615</c:v>
                </c:pt>
                <c:pt idx="364">
                  <c:v>13.435814401485061</c:v>
                </c:pt>
                <c:pt idx="365">
                  <c:v>17.388122101453536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27824"/>
        <c:axId val="225128216"/>
      </c:lineChart>
      <c:dateAx>
        <c:axId val="225127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5128216"/>
        <c:crosses val="autoZero"/>
        <c:auto val="1"/>
        <c:lblOffset val="100"/>
        <c:baseTimeUnit val="days"/>
        <c:majorUnit val="1"/>
        <c:majorTimeUnit val="months"/>
      </c:dateAx>
      <c:valAx>
        <c:axId val="22512821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512782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3.3834621450382074E-2</c:v>
                </c:pt>
                <c:pt idx="1">
                  <c:v>3.385313778944421E-2</c:v>
                </c:pt>
                <c:pt idx="2">
                  <c:v>3.3871653773644983E-2</c:v>
                </c:pt>
                <c:pt idx="3">
                  <c:v>3.3890169402991055E-2</c:v>
                </c:pt>
                <c:pt idx="4">
                  <c:v>3.390868467748942E-2</c:v>
                </c:pt>
                <c:pt idx="5">
                  <c:v>3.392719959714674E-2</c:v>
                </c:pt>
                <c:pt idx="6">
                  <c:v>3.3945714161969787E-2</c:v>
                </c:pt>
                <c:pt idx="7">
                  <c:v>3.3964228371965555E-2</c:v>
                </c:pt>
                <c:pt idx="8">
                  <c:v>3.3982742227140594E-2</c:v>
                </c:pt>
                <c:pt idx="9">
                  <c:v>3.4001255727501789E-2</c:v>
                </c:pt>
                <c:pt idx="10">
                  <c:v>3.4019768873056133E-2</c:v>
                </c:pt>
                <c:pt idx="11">
                  <c:v>3.4038281663810177E-2</c:v>
                </c:pt>
                <c:pt idx="12">
                  <c:v>3.4056794099770804E-2</c:v>
                </c:pt>
                <c:pt idx="13">
                  <c:v>3.4075306180944787E-2</c:v>
                </c:pt>
                <c:pt idx="14">
                  <c:v>3.4093817907339008E-2</c:v>
                </c:pt>
                <c:pt idx="15">
                  <c:v>3.411232927896013E-2</c:v>
                </c:pt>
                <c:pt idx="16">
                  <c:v>3.4130840295815146E-2</c:v>
                </c:pt>
                <c:pt idx="17">
                  <c:v>3.4149350957910718E-2</c:v>
                </c:pt>
                <c:pt idx="18">
                  <c:v>3.4167861265253729E-2</c:v>
                </c:pt>
                <c:pt idx="19">
                  <c:v>3.4186371217850842E-2</c:v>
                </c:pt>
                <c:pt idx="20">
                  <c:v>3.4204880815708938E-2</c:v>
                </c:pt>
                <c:pt idx="21">
                  <c:v>3.4223390058834791E-2</c:v>
                </c:pt>
                <c:pt idx="22">
                  <c:v>3.4241898947235283E-2</c:v>
                </c:pt>
                <c:pt idx="23">
                  <c:v>3.4260407480917188E-2</c:v>
                </c:pt>
                <c:pt idx="24">
                  <c:v>3.4278915659887166E-2</c:v>
                </c:pt>
                <c:pt idx="25">
                  <c:v>3.4297423484152101E-2</c:v>
                </c:pt>
                <c:pt idx="26">
                  <c:v>3.4315930953718876E-2</c:v>
                </c:pt>
                <c:pt idx="27">
                  <c:v>3.4334438068594264E-2</c:v>
                </c:pt>
                <c:pt idx="28">
                  <c:v>3.4352944828784926E-2</c:v>
                </c:pt>
                <c:pt idx="29">
                  <c:v>3.4371451234297856E-2</c:v>
                </c:pt>
                <c:pt idx="30">
                  <c:v>3.4389957285139605E-2</c:v>
                </c:pt>
                <c:pt idx="31">
                  <c:v>3.4408462981317167E-2</c:v>
                </c:pt>
                <c:pt idx="32">
                  <c:v>3.4426968322837315E-2</c:v>
                </c:pt>
                <c:pt idx="33">
                  <c:v>3.444547330970682E-2</c:v>
                </c:pt>
                <c:pt idx="34">
                  <c:v>3.4463977941932455E-2</c:v>
                </c:pt>
                <c:pt idx="35">
                  <c:v>3.4482482219520993E-2</c:v>
                </c:pt>
                <c:pt idx="36">
                  <c:v>3.4500986142479317E-2</c:v>
                </c:pt>
                <c:pt idx="37">
                  <c:v>3.45194897108142E-2</c:v>
                </c:pt>
                <c:pt idx="38">
                  <c:v>3.4537992924532412E-2</c:v>
                </c:pt>
                <c:pt idx="39">
                  <c:v>3.4556495783640728E-2</c:v>
                </c:pt>
                <c:pt idx="40">
                  <c:v>3.4574998288145919E-2</c:v>
                </c:pt>
                <c:pt idx="41">
                  <c:v>3.459350043805498E-2</c:v>
                </c:pt>
                <c:pt idx="42">
                  <c:v>3.4612002233374461E-2</c:v>
                </c:pt>
                <c:pt idx="43">
                  <c:v>3.4630503674111246E-2</c:v>
                </c:pt>
                <c:pt idx="44">
                  <c:v>3.4649004760272106E-2</c:v>
                </c:pt>
                <c:pt idx="45">
                  <c:v>3.4667505491863926E-2</c:v>
                </c:pt>
                <c:pt idx="46">
                  <c:v>3.4686005868893477E-2</c:v>
                </c:pt>
                <c:pt idx="47">
                  <c:v>3.4704505891367532E-2</c:v>
                </c:pt>
                <c:pt idx="48">
                  <c:v>3.4723005559292752E-2</c:v>
                </c:pt>
                <c:pt idx="49">
                  <c:v>3.4741504872676132E-2</c:v>
                </c:pt>
                <c:pt idx="50">
                  <c:v>3.4760003831524444E-2</c:v>
                </c:pt>
                <c:pt idx="51">
                  <c:v>3.477850243584435E-2</c:v>
                </c:pt>
                <c:pt idx="52">
                  <c:v>3.4797000685642732E-2</c:v>
                </c:pt>
                <c:pt idx="53">
                  <c:v>3.4815498580926474E-2</c:v>
                </c:pt>
                <c:pt idx="54">
                  <c:v>3.4833996121702127E-2</c:v>
                </c:pt>
                <c:pt idx="55">
                  <c:v>3.4852493307976795E-2</c:v>
                </c:pt>
                <c:pt idx="56">
                  <c:v>3.4870990139756919E-2</c:v>
                </c:pt>
                <c:pt idx="57">
                  <c:v>3.4889486617049603E-2</c:v>
                </c:pt>
                <c:pt idx="58">
                  <c:v>3.4907982739861509E-2</c:v>
                </c:pt>
                <c:pt idx="59">
                  <c:v>3.492647850819941E-2</c:v>
                </c:pt>
                <c:pt idx="60">
                  <c:v>3.4944973922070188E-2</c:v>
                </c:pt>
                <c:pt idx="61">
                  <c:v>3.4963468981480506E-2</c:v>
                </c:pt>
                <c:pt idx="62">
                  <c:v>3.4981963686437245E-2</c:v>
                </c:pt>
                <c:pt idx="63">
                  <c:v>3.5000458036947291E-2</c:v>
                </c:pt>
                <c:pt idx="64">
                  <c:v>3.5018952033017192E-2</c:v>
                </c:pt>
                <c:pt idx="65">
                  <c:v>3.5037445674653944E-2</c:v>
                </c:pt>
                <c:pt idx="66">
                  <c:v>3.5055938961864208E-2</c:v>
                </c:pt>
                <c:pt idx="67">
                  <c:v>3.5074431894654867E-2</c:v>
                </c:pt>
                <c:pt idx="68">
                  <c:v>3.5092924473032805E-2</c:v>
                </c:pt>
                <c:pt idx="69">
                  <c:v>3.5111416697004572E-2</c:v>
                </c:pt>
                <c:pt idx="70">
                  <c:v>3.5129908566577051E-2</c:v>
                </c:pt>
                <c:pt idx="71">
                  <c:v>3.5148400081757125E-2</c:v>
                </c:pt>
                <c:pt idx="72">
                  <c:v>3.5166891242551568E-2</c:v>
                </c:pt>
                <c:pt idx="73">
                  <c:v>3.5185382048967151E-2</c:v>
                </c:pt>
                <c:pt idx="74">
                  <c:v>3.5203872501010536E-2</c:v>
                </c:pt>
                <c:pt idx="75">
                  <c:v>3.5222362598688717E-2</c:v>
                </c:pt>
                <c:pt idx="76">
                  <c:v>3.5240852342008355E-2</c:v>
                </c:pt>
                <c:pt idx="77">
                  <c:v>3.5259341730976335E-2</c:v>
                </c:pt>
                <c:pt idx="78">
                  <c:v>3.5277830765599316E-2</c:v>
                </c:pt>
                <c:pt idx="79">
                  <c:v>3.5296319445884183E-2</c:v>
                </c:pt>
                <c:pt idx="80">
                  <c:v>3.5314807771837708E-2</c:v>
                </c:pt>
                <c:pt idx="81">
                  <c:v>3.5333295743466664E-2</c:v>
                </c:pt>
                <c:pt idx="82">
                  <c:v>3.5351783360777933E-2</c:v>
                </c:pt>
                <c:pt idx="83">
                  <c:v>3.5370270623778177E-2</c:v>
                </c:pt>
                <c:pt idx="84">
                  <c:v>3.538875753247428E-2</c:v>
                </c:pt>
                <c:pt idx="85">
                  <c:v>3.5407244086873013E-2</c:v>
                </c:pt>
                <c:pt idx="86">
                  <c:v>3.542573028698115E-2</c:v>
                </c:pt>
                <c:pt idx="87">
                  <c:v>3.5444216132805351E-2</c:v>
                </c:pt>
                <c:pt idx="88">
                  <c:v>3.5462701624352722E-2</c:v>
                </c:pt>
                <c:pt idx="89">
                  <c:v>3.5481186761629702E-2</c:v>
                </c:pt>
                <c:pt idx="90">
                  <c:v>3.5499671544643396E-2</c:v>
                </c:pt>
                <c:pt idx="91">
                  <c:v>3.5518155973400356E-2</c:v>
                </c:pt>
                <c:pt idx="92">
                  <c:v>3.5536640047907353E-2</c:v>
                </c:pt>
                <c:pt idx="93">
                  <c:v>3.5555123768171493E-2</c:v>
                </c:pt>
                <c:pt idx="94">
                  <c:v>3.5573607134199214E-2</c:v>
                </c:pt>
                <c:pt idx="95">
                  <c:v>3.5592090145997402E-2</c:v>
                </c:pt>
                <c:pt idx="96">
                  <c:v>3.5610572803572937E-2</c:v>
                </c:pt>
                <c:pt idx="97">
                  <c:v>3.5629055106932594E-2</c:v>
                </c:pt>
                <c:pt idx="98">
                  <c:v>3.5647537056083145E-2</c:v>
                </c:pt>
                <c:pt idx="99">
                  <c:v>3.566601865103125E-2</c:v>
                </c:pt>
                <c:pt idx="100">
                  <c:v>3.5684499891783905E-2</c:v>
                </c:pt>
                <c:pt idx="101">
                  <c:v>3.570298077834777E-2</c:v>
                </c:pt>
                <c:pt idx="102">
                  <c:v>3.5721461310729619E-2</c:v>
                </c:pt>
                <c:pt idx="103">
                  <c:v>3.5739941488936333E-2</c:v>
                </c:pt>
                <c:pt idx="104">
                  <c:v>3.5758421312974686E-2</c:v>
                </c:pt>
                <c:pt idx="105">
                  <c:v>3.577690078285134E-2</c:v>
                </c:pt>
                <c:pt idx="106">
                  <c:v>3.5795379898573176E-2</c:v>
                </c:pt>
                <c:pt idx="107">
                  <c:v>3.5813858660146969E-2</c:v>
                </c:pt>
                <c:pt idx="108">
                  <c:v>3.58323370675796E-2</c:v>
                </c:pt>
                <c:pt idx="109">
                  <c:v>3.5850815120877733E-2</c:v>
                </c:pt>
                <c:pt idx="110">
                  <c:v>3.5869292820048138E-2</c:v>
                </c:pt>
                <c:pt idx="111">
                  <c:v>3.5887770165097699E-2</c:v>
                </c:pt>
                <c:pt idx="112">
                  <c:v>3.5906247156033078E-2</c:v>
                </c:pt>
                <c:pt idx="113">
                  <c:v>3.5924723792861268E-2</c:v>
                </c:pt>
                <c:pt idx="114">
                  <c:v>3.5943200075588821E-2</c:v>
                </c:pt>
                <c:pt idx="115">
                  <c:v>3.596167600422262E-2</c:v>
                </c:pt>
                <c:pt idx="116">
                  <c:v>3.5980151578769548E-2</c:v>
                </c:pt>
                <c:pt idx="117">
                  <c:v>3.5998626799236266E-2</c:v>
                </c:pt>
                <c:pt idx="118">
                  <c:v>3.6017101665629658E-2</c:v>
                </c:pt>
                <c:pt idx="119">
                  <c:v>3.6035576177956385E-2</c:v>
                </c:pt>
                <c:pt idx="120">
                  <c:v>3.6054050336223331E-2</c:v>
                </c:pt>
                <c:pt idx="121">
                  <c:v>3.6072524140437157E-2</c:v>
                </c:pt>
                <c:pt idx="122">
                  <c:v>3.6090997590604856E-2</c:v>
                </c:pt>
                <c:pt idx="123">
                  <c:v>3.6109470686732981E-2</c:v>
                </c:pt>
                <c:pt idx="124">
                  <c:v>3.6127943428828524E-2</c:v>
                </c:pt>
                <c:pt idx="125">
                  <c:v>3.6146415816898148E-2</c:v>
                </c:pt>
                <c:pt idx="126">
                  <c:v>3.6164887850948735E-2</c:v>
                </c:pt>
                <c:pt idx="127">
                  <c:v>3.6183359530986947E-2</c:v>
                </c:pt>
                <c:pt idx="128">
                  <c:v>3.6201830857019557E-2</c:v>
                </c:pt>
                <c:pt idx="129">
                  <c:v>3.6220301829053558E-2</c:v>
                </c:pt>
                <c:pt idx="130">
                  <c:v>3.6238772447095502E-2</c:v>
                </c:pt>
                <c:pt idx="131">
                  <c:v>3.6257242711152271E-2</c:v>
                </c:pt>
                <c:pt idx="132">
                  <c:v>3.6275712621230638E-2</c:v>
                </c:pt>
                <c:pt idx="133">
                  <c:v>3.6294182177337375E-2</c:v>
                </c:pt>
                <c:pt idx="134">
                  <c:v>3.6312651379479366E-2</c:v>
                </c:pt>
                <c:pt idx="135">
                  <c:v>3.6331120227663272E-2</c:v>
                </c:pt>
                <c:pt idx="136">
                  <c:v>3.6349588721895865E-2</c:v>
                </c:pt>
                <c:pt idx="137">
                  <c:v>3.6368056862184028E-2</c:v>
                </c:pt>
                <c:pt idx="138">
                  <c:v>3.6386524648534535E-2</c:v>
                </c:pt>
                <c:pt idx="139">
                  <c:v>3.6404992080954046E-2</c:v>
                </c:pt>
                <c:pt idx="140">
                  <c:v>3.6423459159449445E-2</c:v>
                </c:pt>
                <c:pt idx="141">
                  <c:v>3.6441925884027615E-2</c:v>
                </c:pt>
                <c:pt idx="142">
                  <c:v>3.6460392254695106E-2</c:v>
                </c:pt>
                <c:pt idx="143">
                  <c:v>3.6478858271458803E-2</c:v>
                </c:pt>
                <c:pt idx="144">
                  <c:v>3.6497323934325476E-2</c:v>
                </c:pt>
                <c:pt idx="145">
                  <c:v>3.651578924330201E-2</c:v>
                </c:pt>
                <c:pt idx="146">
                  <c:v>3.6534254198395177E-2</c:v>
                </c:pt>
                <c:pt idx="147">
                  <c:v>3.6552718799611528E-2</c:v>
                </c:pt>
                <c:pt idx="148">
                  <c:v>3.6571183046958056E-2</c:v>
                </c:pt>
                <c:pt idx="149">
                  <c:v>3.6589646940441534E-2</c:v>
                </c:pt>
                <c:pt idx="150">
                  <c:v>3.6608110480068734E-2</c:v>
                </c:pt>
                <c:pt idx="151">
                  <c:v>3.6626573665846429E-2</c:v>
                </c:pt>
                <c:pt idx="152">
                  <c:v>3.664503649778128E-2</c:v>
                </c:pt>
                <c:pt idx="153">
                  <c:v>3.6663498975880171E-2</c:v>
                </c:pt>
                <c:pt idx="154">
                  <c:v>3.6681961100149985E-2</c:v>
                </c:pt>
                <c:pt idx="155">
                  <c:v>3.6700422870597382E-2</c:v>
                </c:pt>
                <c:pt idx="156">
                  <c:v>3.6718884287229026E-2</c:v>
                </c:pt>
                <c:pt idx="157">
                  <c:v>3.6737345350051909E-2</c:v>
                </c:pt>
                <c:pt idx="158">
                  <c:v>3.6755806059072804E-2</c:v>
                </c:pt>
                <c:pt idx="159">
                  <c:v>3.6774266414298373E-2</c:v>
                </c:pt>
                <c:pt idx="160">
                  <c:v>3.6792726415735388E-2</c:v>
                </c:pt>
                <c:pt idx="161">
                  <c:v>3.6811186063390733E-2</c:v>
                </c:pt>
                <c:pt idx="162">
                  <c:v>3.6829645357271179E-2</c:v>
                </c:pt>
                <c:pt idx="163">
                  <c:v>3.6848104297383499E-2</c:v>
                </c:pt>
                <c:pt idx="164">
                  <c:v>3.6866562883734355E-2</c:v>
                </c:pt>
                <c:pt idx="165">
                  <c:v>3.688502111633063E-2</c:v>
                </c:pt>
                <c:pt idx="166">
                  <c:v>3.6903478995179095E-2</c:v>
                </c:pt>
                <c:pt idx="167">
                  <c:v>3.6921936520286525E-2</c:v>
                </c:pt>
                <c:pt idx="168">
                  <c:v>3.694039369165969E-2</c:v>
                </c:pt>
                <c:pt idx="169">
                  <c:v>3.6958850509305363E-2</c:v>
                </c:pt>
                <c:pt idx="170">
                  <c:v>3.6977306973230428E-2</c:v>
                </c:pt>
                <c:pt idx="171">
                  <c:v>3.6995763083441435E-2</c:v>
                </c:pt>
                <c:pt idx="172">
                  <c:v>3.7014218839945379E-2</c:v>
                </c:pt>
                <c:pt idx="173">
                  <c:v>3.703267424274892E-2</c:v>
                </c:pt>
                <c:pt idx="174">
                  <c:v>3.7051129291858942E-2</c:v>
                </c:pt>
                <c:pt idx="175">
                  <c:v>3.7069583987282106E-2</c:v>
                </c:pt>
                <c:pt idx="176">
                  <c:v>3.7088038329025297E-2</c:v>
                </c:pt>
                <c:pt idx="177">
                  <c:v>3.7106492317095174E-2</c:v>
                </c:pt>
                <c:pt idx="178">
                  <c:v>3.7124945951498622E-2</c:v>
                </c:pt>
                <c:pt idx="179">
                  <c:v>3.7143399232242413E-2</c:v>
                </c:pt>
                <c:pt idx="180">
                  <c:v>3.7161852159333209E-2</c:v>
                </c:pt>
                <c:pt idx="181">
                  <c:v>3.7180304732777891E-2</c:v>
                </c:pt>
                <c:pt idx="182">
                  <c:v>3.7198756952583234E-2</c:v>
                </c:pt>
                <c:pt idx="183">
                  <c:v>3.7217208818755898E-2</c:v>
                </c:pt>
                <c:pt idx="184">
                  <c:v>3.7235660331302878E-2</c:v>
                </c:pt>
                <c:pt idx="185">
                  <c:v>3.7254111490230724E-2</c:v>
                </c:pt>
                <c:pt idx="186">
                  <c:v>3.727256229554643E-2</c:v>
                </c:pt>
                <c:pt idx="187">
                  <c:v>3.7291012747256658E-2</c:v>
                </c:pt>
                <c:pt idx="188">
                  <c:v>3.7309462845368069E-2</c:v>
                </c:pt>
                <c:pt idx="189">
                  <c:v>3.7327912589887657E-2</c:v>
                </c:pt>
                <c:pt idx="190">
                  <c:v>3.7346361980822085E-2</c:v>
                </c:pt>
                <c:pt idx="191">
                  <c:v>3.7364811018178123E-2</c:v>
                </c:pt>
                <c:pt idx="192">
                  <c:v>3.7383259701962546E-2</c:v>
                </c:pt>
                <c:pt idx="193">
                  <c:v>3.7401708032182235E-2</c:v>
                </c:pt>
                <c:pt idx="194">
                  <c:v>3.7420156008843852E-2</c:v>
                </c:pt>
                <c:pt idx="195">
                  <c:v>3.743860363195417E-2</c:v>
                </c:pt>
                <c:pt idx="196">
                  <c:v>3.7457050901520073E-2</c:v>
                </c:pt>
                <c:pt idx="197">
                  <c:v>3.7475497817548109E-2</c:v>
                </c:pt>
                <c:pt idx="198">
                  <c:v>3.7493944380045385E-2</c:v>
                </c:pt>
                <c:pt idx="199">
                  <c:v>3.7512390589018452E-2</c:v>
                </c:pt>
                <c:pt idx="200">
                  <c:v>3.7530836444474081E-2</c:v>
                </c:pt>
                <c:pt idx="201">
                  <c:v>3.7549281946419044E-2</c:v>
                </c:pt>
                <c:pt idx="202">
                  <c:v>3.7567727094860337E-2</c:v>
                </c:pt>
                <c:pt idx="203">
                  <c:v>3.7586171889804398E-2</c:v>
                </c:pt>
                <c:pt idx="204">
                  <c:v>3.7604616331258334E-2</c:v>
                </c:pt>
                <c:pt idx="205">
                  <c:v>3.7623060419228582E-2</c:v>
                </c:pt>
                <c:pt idx="206">
                  <c:v>3.7641504153722249E-2</c:v>
                </c:pt>
                <c:pt idx="207">
                  <c:v>3.7659947534745886E-2</c:v>
                </c:pt>
                <c:pt idx="208">
                  <c:v>3.7678390562306263E-2</c:v>
                </c:pt>
                <c:pt idx="209">
                  <c:v>3.7696833236410376E-2</c:v>
                </c:pt>
                <c:pt idx="210">
                  <c:v>3.7715275557064776E-2</c:v>
                </c:pt>
                <c:pt idx="211">
                  <c:v>3.7733717524276233E-2</c:v>
                </c:pt>
                <c:pt idx="212">
                  <c:v>3.7752159138051744E-2</c:v>
                </c:pt>
                <c:pt idx="213">
                  <c:v>3.7770600398397858E-2</c:v>
                </c:pt>
                <c:pt idx="214">
                  <c:v>3.7789041305321347E-2</c:v>
                </c:pt>
                <c:pt idx="215">
                  <c:v>3.7807481858829206E-2</c:v>
                </c:pt>
                <c:pt idx="216">
                  <c:v>3.7825922058927985E-2</c:v>
                </c:pt>
                <c:pt idx="217">
                  <c:v>3.7844361905624457E-2</c:v>
                </c:pt>
                <c:pt idx="218">
                  <c:v>3.7862801398925616E-2</c:v>
                </c:pt>
                <c:pt idx="219">
                  <c:v>3.7881240538838012E-2</c:v>
                </c:pt>
                <c:pt idx="220">
                  <c:v>3.7899679325368529E-2</c:v>
                </c:pt>
                <c:pt idx="221">
                  <c:v>3.7918117758523939E-2</c:v>
                </c:pt>
                <c:pt idx="222">
                  <c:v>3.7936555838310904E-2</c:v>
                </c:pt>
                <c:pt idx="223">
                  <c:v>3.7954993564736306E-2</c:v>
                </c:pt>
                <c:pt idx="224">
                  <c:v>3.7973430937806918E-2</c:v>
                </c:pt>
                <c:pt idx="225">
                  <c:v>3.7991867957529513E-2</c:v>
                </c:pt>
                <c:pt idx="226">
                  <c:v>3.8010304623910751E-2</c:v>
                </c:pt>
                <c:pt idx="227">
                  <c:v>3.8028740936957517E-2</c:v>
                </c:pt>
                <c:pt idx="228">
                  <c:v>3.8047176896676582E-2</c:v>
                </c:pt>
                <c:pt idx="229">
                  <c:v>3.8065612503074608E-2</c:v>
                </c:pt>
                <c:pt idx="230">
                  <c:v>3.8084047756158479E-2</c:v>
                </c:pt>
                <c:pt idx="231">
                  <c:v>3.8102482655934966E-2</c:v>
                </c:pt>
                <c:pt idx="232">
                  <c:v>3.8120917202410731E-2</c:v>
                </c:pt>
                <c:pt idx="233">
                  <c:v>3.8139351395592658E-2</c:v>
                </c:pt>
                <c:pt idx="234">
                  <c:v>3.8157785235487518E-2</c:v>
                </c:pt>
                <c:pt idx="235">
                  <c:v>3.8176218722101973E-2</c:v>
                </c:pt>
                <c:pt idx="236">
                  <c:v>3.8194651855442907E-2</c:v>
                </c:pt>
                <c:pt idx="237">
                  <c:v>3.8213084635517092E-2</c:v>
                </c:pt>
                <c:pt idx="238">
                  <c:v>3.8231517062331188E-2</c:v>
                </c:pt>
                <c:pt idx="239">
                  <c:v>3.824994913589197E-2</c:v>
                </c:pt>
                <c:pt idx="240">
                  <c:v>3.8268380856206319E-2</c:v>
                </c:pt>
                <c:pt idx="241">
                  <c:v>3.8286812223281008E-2</c:v>
                </c:pt>
                <c:pt idx="242">
                  <c:v>3.8305243237122699E-2</c:v>
                </c:pt>
                <c:pt idx="243">
                  <c:v>3.8323673897738275E-2</c:v>
                </c:pt>
                <c:pt idx="244">
                  <c:v>3.8342104205134397E-2</c:v>
                </c:pt>
                <c:pt idx="245">
                  <c:v>3.8360534159317838E-2</c:v>
                </c:pt>
                <c:pt idx="246">
                  <c:v>3.8378963760295481E-2</c:v>
                </c:pt>
                <c:pt idx="247">
                  <c:v>3.8397393008073988E-2</c:v>
                </c:pt>
                <c:pt idx="248">
                  <c:v>3.8415821902660241E-2</c:v>
                </c:pt>
                <c:pt idx="249">
                  <c:v>3.8434250444060791E-2</c:v>
                </c:pt>
                <c:pt idx="250">
                  <c:v>3.8452678632282633E-2</c:v>
                </c:pt>
                <c:pt idx="251">
                  <c:v>3.8471106467332539E-2</c:v>
                </c:pt>
                <c:pt idx="252">
                  <c:v>3.8489533949217059E-2</c:v>
                </c:pt>
                <c:pt idx="253">
                  <c:v>3.8507961077943076E-2</c:v>
                </c:pt>
                <c:pt idx="254">
                  <c:v>3.8526387853517474E-2</c:v>
                </c:pt>
                <c:pt idx="255">
                  <c:v>3.8544814275946915E-2</c:v>
                </c:pt>
                <c:pt idx="256">
                  <c:v>3.8563240345238059E-2</c:v>
                </c:pt>
                <c:pt idx="257">
                  <c:v>3.8581666061397901E-2</c:v>
                </c:pt>
                <c:pt idx="258">
                  <c:v>3.8600091424433103E-2</c:v>
                </c:pt>
                <c:pt idx="259">
                  <c:v>3.8618516434350325E-2</c:v>
                </c:pt>
                <c:pt idx="260">
                  <c:v>3.8636941091156562E-2</c:v>
                </c:pt>
                <c:pt idx="261">
                  <c:v>3.8655365394858365E-2</c:v>
                </c:pt>
                <c:pt idx="262">
                  <c:v>3.8673789345462617E-2</c:v>
                </c:pt>
                <c:pt idx="263">
                  <c:v>3.869221294297609E-2</c:v>
                </c:pt>
                <c:pt idx="264">
                  <c:v>3.8710636187405445E-2</c:v>
                </c:pt>
                <c:pt idx="265">
                  <c:v>3.8729059078757566E-2</c:v>
                </c:pt>
                <c:pt idx="266">
                  <c:v>3.8747481617039226E-2</c:v>
                </c:pt>
                <c:pt idx="267">
                  <c:v>3.8765903802257085E-2</c:v>
                </c:pt>
                <c:pt idx="268">
                  <c:v>3.8784325634417915E-2</c:v>
                </c:pt>
                <c:pt idx="269">
                  <c:v>3.8802747113528602E-2</c:v>
                </c:pt>
                <c:pt idx="270">
                  <c:v>3.8821168239595916E-2</c:v>
                </c:pt>
                <c:pt idx="271">
                  <c:v>3.8839589012626408E-2</c:v>
                </c:pt>
                <c:pt idx="272">
                  <c:v>3.8858009432627072E-2</c:v>
                </c:pt>
                <c:pt idx="273">
                  <c:v>3.887642949960457E-2</c:v>
                </c:pt>
                <c:pt idx="274">
                  <c:v>3.8894849213565674E-2</c:v>
                </c:pt>
                <c:pt idx="275">
                  <c:v>3.8913268574517157E-2</c:v>
                </c:pt>
                <c:pt idx="276">
                  <c:v>3.893168758246579E-2</c:v>
                </c:pt>
                <c:pt idx="277">
                  <c:v>3.8950106237418458E-2</c:v>
                </c:pt>
                <c:pt idx="278">
                  <c:v>3.8968524539381599E-2</c:v>
                </c:pt>
                <c:pt idx="279">
                  <c:v>3.8986942488362319E-2</c:v>
                </c:pt>
                <c:pt idx="280">
                  <c:v>3.900536008436728E-2</c:v>
                </c:pt>
                <c:pt idx="281">
                  <c:v>3.9023777327403142E-2</c:v>
                </c:pt>
                <c:pt idx="282">
                  <c:v>3.9042194217476678E-2</c:v>
                </c:pt>
                <c:pt idx="283">
                  <c:v>3.9060610754594882E-2</c:v>
                </c:pt>
                <c:pt idx="284">
                  <c:v>3.9079026938764194E-2</c:v>
                </c:pt>
                <c:pt idx="285">
                  <c:v>3.9097442769991608E-2</c:v>
                </c:pt>
                <c:pt idx="286">
                  <c:v>3.9115858248283897E-2</c:v>
                </c:pt>
                <c:pt idx="287">
                  <c:v>3.913427337364761E-2</c:v>
                </c:pt>
                <c:pt idx="288">
                  <c:v>3.9152688146089742E-2</c:v>
                </c:pt>
                <c:pt idx="289">
                  <c:v>3.9171102565616955E-2</c:v>
                </c:pt>
                <c:pt idx="290">
                  <c:v>3.918951663223591E-2</c:v>
                </c:pt>
                <c:pt idx="291">
                  <c:v>3.9207930345953601E-2</c:v>
                </c:pt>
                <c:pt idx="292">
                  <c:v>3.9226343706776579E-2</c:v>
                </c:pt>
                <c:pt idx="293">
                  <c:v>3.9244756714711726E-2</c:v>
                </c:pt>
                <c:pt idx="294">
                  <c:v>3.9263169369765816E-2</c:v>
                </c:pt>
                <c:pt idx="295">
                  <c:v>3.928158167194562E-2</c:v>
                </c:pt>
                <c:pt idx="296">
                  <c:v>3.9299993621257689E-2</c:v>
                </c:pt>
                <c:pt idx="297">
                  <c:v>3.9318405217709129E-2</c:v>
                </c:pt>
                <c:pt idx="298">
                  <c:v>3.9336816461306379E-2</c:v>
                </c:pt>
                <c:pt idx="299">
                  <c:v>3.9355227352056432E-2</c:v>
                </c:pt>
                <c:pt idx="300">
                  <c:v>3.9373637889965951E-2</c:v>
                </c:pt>
                <c:pt idx="301">
                  <c:v>3.9392048075041708E-2</c:v>
                </c:pt>
                <c:pt idx="302">
                  <c:v>3.9410457907290475E-2</c:v>
                </c:pt>
                <c:pt idx="303">
                  <c:v>3.9428867386718913E-2</c:v>
                </c:pt>
                <c:pt idx="304">
                  <c:v>3.9447276513334018E-2</c:v>
                </c:pt>
                <c:pt idx="305">
                  <c:v>3.9465685287142338E-2</c:v>
                </c:pt>
                <c:pt idx="306">
                  <c:v>3.9484093708150647E-2</c:v>
                </c:pt>
                <c:pt idx="307">
                  <c:v>3.9502501776365939E-2</c:v>
                </c:pt>
                <c:pt idx="308">
                  <c:v>3.9520909491794654E-2</c:v>
                </c:pt>
                <c:pt idx="309">
                  <c:v>3.9539316854443785E-2</c:v>
                </c:pt>
                <c:pt idx="310">
                  <c:v>3.9557723864319994E-2</c:v>
                </c:pt>
                <c:pt idx="311">
                  <c:v>3.9576130521429942E-2</c:v>
                </c:pt>
                <c:pt idx="312">
                  <c:v>3.9594536825780624E-2</c:v>
                </c:pt>
                <c:pt idx="313">
                  <c:v>3.9612942777378701E-2</c:v>
                </c:pt>
                <c:pt idx="314">
                  <c:v>3.9631348376230835E-2</c:v>
                </c:pt>
                <c:pt idx="315">
                  <c:v>3.9649753622343908E-2</c:v>
                </c:pt>
                <c:pt idx="316">
                  <c:v>3.9668158515724694E-2</c:v>
                </c:pt>
                <c:pt idx="317">
                  <c:v>3.9686563056379853E-2</c:v>
                </c:pt>
                <c:pt idx="318">
                  <c:v>3.9704967244316158E-2</c:v>
                </c:pt>
                <c:pt idx="319">
                  <c:v>3.9723371079540382E-2</c:v>
                </c:pt>
                <c:pt idx="320">
                  <c:v>3.9741774562059295E-2</c:v>
                </c:pt>
                <c:pt idx="321">
                  <c:v>3.9760177691879783E-2</c:v>
                </c:pt>
                <c:pt idx="322">
                  <c:v>3.9778580469008396E-2</c:v>
                </c:pt>
                <c:pt idx="323">
                  <c:v>3.9796982893452015E-2</c:v>
                </c:pt>
                <c:pt idx="324">
                  <c:v>3.9815384965217304E-2</c:v>
                </c:pt>
                <c:pt idx="325">
                  <c:v>3.9833786684311145E-2</c:v>
                </c:pt>
                <c:pt idx="326">
                  <c:v>3.98521880507402E-2</c:v>
                </c:pt>
                <c:pt idx="327">
                  <c:v>3.9870589064511353E-2</c:v>
                </c:pt>
                <c:pt idx="328">
                  <c:v>3.9888989725631152E-2</c:v>
                </c:pt>
                <c:pt idx="329">
                  <c:v>3.9907390034106593E-2</c:v>
                </c:pt>
                <c:pt idx="330">
                  <c:v>3.9925789989944227E-2</c:v>
                </c:pt>
                <c:pt idx="331">
                  <c:v>3.9944189593150936E-2</c:v>
                </c:pt>
                <c:pt idx="332">
                  <c:v>3.9962588843733493E-2</c:v>
                </c:pt>
                <c:pt idx="333">
                  <c:v>3.9980987741698559E-2</c:v>
                </c:pt>
                <c:pt idx="334">
                  <c:v>3.9999386287052907E-2</c:v>
                </c:pt>
                <c:pt idx="335">
                  <c:v>4.001778447980342E-2</c:v>
                </c:pt>
                <c:pt idx="336">
                  <c:v>4.0036182319956759E-2</c:v>
                </c:pt>
                <c:pt idx="337">
                  <c:v>4.0054579807519586E-2</c:v>
                </c:pt>
                <c:pt idx="338">
                  <c:v>4.0072976942498895E-2</c:v>
                </c:pt>
                <c:pt idx="339">
                  <c:v>4.0091373724901236E-2</c:v>
                </c:pt>
                <c:pt idx="340">
                  <c:v>4.0109770154733382E-2</c:v>
                </c:pt>
                <c:pt idx="341">
                  <c:v>4.0128166232002327E-2</c:v>
                </c:pt>
                <c:pt idx="342">
                  <c:v>4.014656195671451E-2</c:v>
                </c:pt>
                <c:pt idx="343">
                  <c:v>4.0164957328876816E-2</c:v>
                </c:pt>
                <c:pt idx="344">
                  <c:v>4.0183352348496015E-2</c:v>
                </c:pt>
                <c:pt idx="345">
                  <c:v>4.0201747015578881E-2</c:v>
                </c:pt>
                <c:pt idx="346">
                  <c:v>4.0220141330132186E-2</c:v>
                </c:pt>
                <c:pt idx="347">
                  <c:v>4.0238535292162592E-2</c:v>
                </c:pt>
                <c:pt idx="348">
                  <c:v>4.025692890167698E-2</c:v>
                </c:pt>
                <c:pt idx="349">
                  <c:v>4.0275322158682014E-2</c:v>
                </c:pt>
                <c:pt idx="350">
                  <c:v>4.0293715063184465E-2</c:v>
                </c:pt>
                <c:pt idx="351">
                  <c:v>4.0312107615191106E-2</c:v>
                </c:pt>
                <c:pt idx="352">
                  <c:v>4.0330499814708598E-2</c:v>
                </c:pt>
                <c:pt idx="353">
                  <c:v>4.0348891661743935E-2</c:v>
                </c:pt>
                <c:pt idx="354">
                  <c:v>4.0367283156303557E-2</c:v>
                </c:pt>
                <c:pt idx="355">
                  <c:v>4.0385674298394458E-2</c:v>
                </c:pt>
                <c:pt idx="356">
                  <c:v>4.0404065088023411E-2</c:v>
                </c:pt>
                <c:pt idx="357">
                  <c:v>4.0422455525196965E-2</c:v>
                </c:pt>
                <c:pt idx="358">
                  <c:v>4.0440845609922005E-2</c:v>
                </c:pt>
                <c:pt idx="359">
                  <c:v>4.0459235342205191E-2</c:v>
                </c:pt>
                <c:pt idx="360">
                  <c:v>4.0477624722053518E-2</c:v>
                </c:pt>
                <c:pt idx="361">
                  <c:v>4.0496013749473425E-2</c:v>
                </c:pt>
                <c:pt idx="362">
                  <c:v>4.0514402424471907E-2</c:v>
                </c:pt>
                <c:pt idx="363">
                  <c:v>4.0532790747055625E-2</c:v>
                </c:pt>
                <c:pt idx="364">
                  <c:v>4.055117871723124E-2</c:v>
                </c:pt>
                <c:pt idx="365">
                  <c:v>4.0569566335005747E-2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3.5381041253689453E-2</c:v>
                </c:pt>
                <c:pt idx="1">
                  <c:v>3.5472437944734536E-2</c:v>
                </c:pt>
                <c:pt idx="2">
                  <c:v>3.5563801347121581E-2</c:v>
                </c:pt>
                <c:pt idx="3">
                  <c:v>3.5655123875321937E-2</c:v>
                </c:pt>
                <c:pt idx="4">
                  <c:v>3.574639893478402E-2</c:v>
                </c:pt>
                <c:pt idx="5">
                  <c:v>3.5837620901062364E-2</c:v>
                </c:pt>
                <c:pt idx="6">
                  <c:v>3.5928785090452747E-2</c:v>
                </c:pt>
                <c:pt idx="7">
                  <c:v>3.6019887722682338E-2</c:v>
                </c:pt>
                <c:pt idx="8">
                  <c:v>3.6110925876269372E-2</c:v>
                </c:pt>
                <c:pt idx="9">
                  <c:v>3.6201897437226023E-2</c:v>
                </c:pt>
                <c:pt idx="10">
                  <c:v>3.6292801041829845E-2</c:v>
                </c:pt>
                <c:pt idx="11">
                  <c:v>3.6383636014232897E-2</c:v>
                </c:pt>
                <c:pt idx="12">
                  <c:v>3.647440229971316E-2</c:v>
                </c:pt>
                <c:pt idx="13">
                  <c:v>3.6565100394400522E-2</c:v>
                </c:pt>
                <c:pt idx="14">
                  <c:v>3.6655731272327727E-2</c:v>
                </c:pt>
                <c:pt idx="15">
                  <c:v>3.6746296310667226E-2</c:v>
                </c:pt>
                <c:pt idx="16">
                  <c:v>3.6836797214015511E-2</c:v>
                </c:pt>
                <c:pt idx="17">
                  <c:v>3.6927235938579731E-2</c:v>
                </c:pt>
                <c:pt idx="18">
                  <c:v>3.7017614617105621E-2</c:v>
                </c:pt>
                <c:pt idx="19">
                  <c:v>3.7107935485361634E-2</c:v>
                </c:pt>
                <c:pt idx="20">
                  <c:v>3.7198200810962728E-2</c:v>
                </c:pt>
                <c:pt idx="21">
                  <c:v>3.7288412825278519E-2</c:v>
                </c:pt>
                <c:pt idx="22">
                  <c:v>3.7378573659123726E-2</c:v>
                </c:pt>
                <c:pt idx="23">
                  <c:v>3.7468685282877848E-2</c:v>
                </c:pt>
                <c:pt idx="24">
                  <c:v>3.7558749451621722E-2</c:v>
                </c:pt>
                <c:pt idx="25">
                  <c:v>3.7648767655816644E-2</c:v>
                </c:pt>
                <c:pt idx="26">
                  <c:v>3.7738741077983723E-2</c:v>
                </c:pt>
                <c:pt idx="27">
                  <c:v>3.7828670555770494E-2</c:v>
                </c:pt>
                <c:pt idx="28">
                  <c:v>3.7918556551717955E-2</c:v>
                </c:pt>
                <c:pt idx="29">
                  <c:v>3.8008399129965516E-2</c:v>
                </c:pt>
                <c:pt idx="30">
                  <c:v>3.8098197940054264E-2</c:v>
                </c:pt>
                <c:pt idx="31">
                  <c:v>3.8187952207911727E-2</c:v>
                </c:pt>
                <c:pt idx="32">
                  <c:v>3.8277660734024381E-2</c:v>
                </c:pt>
                <c:pt idx="33">
                  <c:v>3.8367321898728442E-2</c:v>
                </c:pt>
                <c:pt idx="34">
                  <c:v>3.8456933674475752E-2</c:v>
                </c:pt>
                <c:pt idx="35">
                  <c:v>3.8546493644860673E-2</c:v>
                </c:pt>
                <c:pt idx="36">
                  <c:v>3.8635999030126385E-2</c:v>
                </c:pt>
                <c:pt idx="37">
                  <c:v>3.8725446718805547E-2</c:v>
                </c:pt>
                <c:pt idx="38">
                  <c:v>3.8814833305091404E-2</c:v>
                </c:pt>
                <c:pt idx="39">
                  <c:v>3.8904155131482321E-2</c:v>
                </c:pt>
                <c:pt idx="40">
                  <c:v>3.8993408336194468E-2</c:v>
                </c:pt>
                <c:pt idx="41">
                  <c:v>3.9082588904796309E-2</c:v>
                </c:pt>
                <c:pt idx="42">
                  <c:v>3.9171692725482883E-2</c:v>
                </c:pt>
                <c:pt idx="43">
                  <c:v>3.9260715647380005E-2</c:v>
                </c:pt>
                <c:pt idx="44">
                  <c:v>3.9349653541246712E-2</c:v>
                </c:pt>
                <c:pt idx="45">
                  <c:v>3.9438502361930243E-2</c:v>
                </c:pt>
                <c:pt idx="46">
                  <c:v>3.9527258211920109E-2</c:v>
                </c:pt>
                <c:pt idx="47">
                  <c:v>3.9615917405348158E-2</c:v>
                </c:pt>
                <c:pt idx="48">
                  <c:v>3.9704476531787616E-2</c:v>
                </c:pt>
                <c:pt idx="49">
                  <c:v>3.9792932519218033E-2</c:v>
                </c:pt>
                <c:pt idx="50">
                  <c:v>3.9881282695542419E-2</c:v>
                </c:pt>
                <c:pt idx="51">
                  <c:v>3.9969524848069177E-2</c:v>
                </c:pt>
                <c:pt idx="52">
                  <c:v>4.0057657280402802E-2</c:v>
                </c:pt>
                <c:pt idx="53">
                  <c:v>4.0145678866224659E-2</c:v>
                </c:pt>
                <c:pt idx="54">
                  <c:v>4.0233589099486045E-2</c:v>
                </c:pt>
                <c:pt idx="55">
                  <c:v>4.0321388140582365E-2</c:v>
                </c:pt>
                <c:pt idx="56">
                  <c:v>4.0409076858125989E-2</c:v>
                </c:pt>
                <c:pt idx="57">
                  <c:v>4.04966568659881E-2</c:v>
                </c:pt>
                <c:pt idx="58">
                  <c:v>4.0584130555334004E-2</c:v>
                </c:pt>
                <c:pt idx="59">
                  <c:v>4.067150112143296E-2</c:v>
                </c:pt>
                <c:pt idx="60">
                  <c:v>4.0758772585080497E-2</c:v>
                </c:pt>
                <c:pt idx="61">
                  <c:v>4.0845949808528556E-2</c:v>
                </c:pt>
                <c:pt idx="62">
                  <c:v>4.0933038505875763E-2</c:v>
                </c:pt>
                <c:pt idx="63">
                  <c:v>4.10200452479259E-2</c:v>
                </c:pt>
                <c:pt idx="64">
                  <c:v>4.1106977461576953E-2</c:v>
                </c:pt>
                <c:pt idx="65">
                  <c:v>4.1193843423854619E-2</c:v>
                </c:pt>
                <c:pt idx="66">
                  <c:v>4.1280652250753058E-2</c:v>
                </c:pt>
                <c:pt idx="67">
                  <c:v>4.1367413881091386E-2</c:v>
                </c:pt>
                <c:pt idx="68">
                  <c:v>4.1454139055635469E-2</c:v>
                </c:pt>
                <c:pt idx="69">
                  <c:v>4.154083929177213E-2</c:v>
                </c:pt>
                <c:pt idx="70">
                  <c:v>4.1627526854055207E-2</c:v>
                </c:pt>
                <c:pt idx="71">
                  <c:v>4.1714214720970207E-2</c:v>
                </c:pt>
                <c:pt idx="72">
                  <c:v>4.1800916548287027E-2</c:v>
                </c:pt>
                <c:pt idx="73">
                  <c:v>4.1887646629386481E-2</c:v>
                </c:pt>
                <c:pt idx="74">
                  <c:v>4.1974419852958043E-2</c:v>
                </c:pt>
                <c:pt idx="75">
                  <c:v>4.2061251658472083E-2</c:v>
                </c:pt>
                <c:pt idx="76">
                  <c:v>4.2148157989830036E-2</c:v>
                </c:pt>
                <c:pt idx="77">
                  <c:v>4.2235155247591145E-2</c:v>
                </c:pt>
                <c:pt idx="78">
                  <c:v>4.232226024016382E-2</c:v>
                </c:pt>
                <c:pt idx="79">
                  <c:v>4.2409490134335349E-2</c:v>
                </c:pt>
                <c:pt idx="80">
                  <c:v>4.2496862405492969E-2</c:v>
                </c:pt>
                <c:pt idx="81">
                  <c:v>4.2584394787866055E-2</c:v>
                </c:pt>
                <c:pt idx="82">
                  <c:v>4.267210522509126E-2</c:v>
                </c:pt>
                <c:pt idx="83">
                  <c:v>4.2760011821370902E-2</c:v>
                </c:pt>
                <c:pt idx="84">
                  <c:v>4.2848132793461134E-2</c:v>
                </c:pt>
                <c:pt idx="85">
                  <c:v>4.2936486423690447E-2</c:v>
                </c:pt>
                <c:pt idx="86">
                  <c:v>4.3025091014170062E-2</c:v>
                </c:pt>
                <c:pt idx="87">
                  <c:v>4.3113964842319406E-2</c:v>
                </c:pt>
                <c:pt idx="88">
                  <c:v>4.32031261177898E-2</c:v>
                </c:pt>
                <c:pt idx="89">
                  <c:v>4.3292592940829447E-2</c:v>
                </c:pt>
                <c:pt idx="90">
                  <c:v>4.3382383262094336E-2</c:v>
                </c:pt>
                <c:pt idx="91">
                  <c:v>4.3472514843871407E-2</c:v>
                </c:pt>
                <c:pt idx="92">
                  <c:v>4.3563005222644627E-2</c:v>
                </c:pt>
                <c:pt idx="93">
                  <c:v>4.3653871672901016E-2</c:v>
                </c:pt>
                <c:pt idx="94">
                  <c:v>4.3745131172043053E-2</c:v>
                </c:pt>
                <c:pt idx="95">
                  <c:v>4.3836800366246542E-2</c:v>
                </c:pt>
                <c:pt idx="96">
                  <c:v>4.3928895537079841E-2</c:v>
                </c:pt>
                <c:pt idx="97">
                  <c:v>4.4021432568680775E-2</c:v>
                </c:pt>
                <c:pt idx="98">
                  <c:v>4.4114426915273446E-2</c:v>
                </c:pt>
                <c:pt idx="99">
                  <c:v>4.4207893568796772E-2</c:v>
                </c:pt>
                <c:pt idx="100">
                  <c:v>4.4301847026411961E-2</c:v>
                </c:pt>
                <c:pt idx="101">
                  <c:v>4.4396301257656791E-2</c:v>
                </c:pt>
                <c:pt idx="102">
                  <c:v>4.4491269671019323E-2</c:v>
                </c:pt>
                <c:pt idx="103">
                  <c:v>4.4586765079715221E-2</c:v>
                </c:pt>
                <c:pt idx="104">
                  <c:v>4.468279966646814E-2</c:v>
                </c:pt>
                <c:pt idx="105">
                  <c:v>4.4779384947113782E-2</c:v>
                </c:pt>
                <c:pt idx="106">
                  <c:v>4.487653173287371E-2</c:v>
                </c:pt>
                <c:pt idx="107">
                  <c:v>4.4974250091175123E-2</c:v>
                </c:pt>
                <c:pt idx="108">
                  <c:v>4.5072549304926886E-2</c:v>
                </c:pt>
                <c:pt idx="109">
                  <c:v>4.5171437830200445E-2</c:v>
                </c:pt>
                <c:pt idx="110">
                  <c:v>4.5270923252304598E-2</c:v>
                </c:pt>
                <c:pt idx="111">
                  <c:v>4.5371012240287931E-2</c:v>
                </c:pt>
                <c:pt idx="112">
                  <c:v>4.5471710499948151E-2</c:v>
                </c:pt>
                <c:pt idx="113">
                  <c:v>4.5573022725475261E-2</c:v>
                </c:pt>
                <c:pt idx="114">
                  <c:v>4.5674952549904266E-2</c:v>
                </c:pt>
                <c:pt idx="115">
                  <c:v>4.5777502494601621E-2</c:v>
                </c:pt>
                <c:pt idx="116">
                  <c:v>4.5880673918058203E-2</c:v>
                </c:pt>
                <c:pt idx="117">
                  <c:v>4.5984466964308801E-2</c:v>
                </c:pt>
                <c:pt idx="118">
                  <c:v>4.6088880511343445E-2</c:v>
                </c:pt>
                <c:pt idx="119">
                  <c:v>4.6193912119919384E-2</c:v>
                </c:pt>
                <c:pt idx="120">
                  <c:v>9.1042482442858959E-3</c:v>
                </c:pt>
                <c:pt idx="121">
                  <c:v>9.2333691890796443E-3</c:v>
                </c:pt>
                <c:pt idx="122">
                  <c:v>9.3626018292286457E-3</c:v>
                </c:pt>
                <c:pt idx="123">
                  <c:v>9.4919486678605083E-3</c:v>
                </c:pt>
                <c:pt idx="124">
                  <c:v>9.6214117748252507E-3</c:v>
                </c:pt>
                <c:pt idx="125">
                  <c:v>9.7509927622944532E-3</c:v>
                </c:pt>
                <c:pt idx="126">
                  <c:v>9.8806927609341611E-3</c:v>
                </c:pt>
                <c:pt idx="127">
                  <c:v>1.0010512396847656E-2</c:v>
                </c:pt>
                <c:pt idx="128">
                  <c:v>1.0140451769493372E-2</c:v>
                </c:pt>
                <c:pt idx="129">
                  <c:v>1.0270510430789343E-2</c:v>
                </c:pt>
                <c:pt idx="130">
                  <c:v>1.040068736562051E-2</c:v>
                </c:pt>
                <c:pt idx="131">
                  <c:v>1.0530980973967836E-2</c:v>
                </c:pt>
                <c:pt idx="132">
                  <c:v>1.0661389054878357E-2</c:v>
                </c:pt>
                <c:pt idx="133">
                  <c:v>1.0791908792493282E-2</c:v>
                </c:pt>
                <c:pt idx="134">
                  <c:v>1.0922536744346628E-2</c:v>
                </c:pt>
                <c:pt idx="135">
                  <c:v>1.1053268832140011E-2</c:v>
                </c:pt>
                <c:pt idx="136">
                  <c:v>1.1184100335189177E-2</c:v>
                </c:pt>
                <c:pt idx="137">
                  <c:v>1.1315025886726239E-2</c:v>
                </c:pt>
                <c:pt idx="138">
                  <c:v>1.1446039473226501E-2</c:v>
                </c:pt>
                <c:pt idx="139">
                  <c:v>1.1577134436911763E-2</c:v>
                </c:pt>
                <c:pt idx="140">
                  <c:v>1.1708303481562723E-2</c:v>
                </c:pt>
                <c:pt idx="141">
                  <c:v>1.1839538681751135E-2</c:v>
                </c:pt>
                <c:pt idx="142">
                  <c:v>1.1970831495578899E-2</c:v>
                </c:pt>
                <c:pt idx="143">
                  <c:v>1.2102172780985767E-2</c:v>
                </c:pt>
                <c:pt idx="144">
                  <c:v>1.223355281565968E-2</c:v>
                </c:pt>
                <c:pt idx="145">
                  <c:v>1.2364961320555583E-2</c:v>
                </c:pt>
                <c:pt idx="146">
                  <c:v>1.2496387486998599E-2</c:v>
                </c:pt>
                <c:pt idx="147">
                  <c:v>1.2627820007316767E-2</c:v>
                </c:pt>
                <c:pt idx="148">
                  <c:v>1.2759247108917141E-2</c:v>
                </c:pt>
                <c:pt idx="149">
                  <c:v>1.2890656591688122E-2</c:v>
                </c:pt>
                <c:pt idx="150">
                  <c:v>1.3022035868578698E-2</c:v>
                </c:pt>
                <c:pt idx="151">
                  <c:v>1.315337200917507E-2</c:v>
                </c:pt>
                <c:pt idx="152">
                  <c:v>1.328465178606422E-2</c:v>
                </c:pt>
                <c:pt idx="153">
                  <c:v>1.3415861723745148E-2</c:v>
                </c:pt>
                <c:pt idx="154">
                  <c:v>1.3546988149820752E-2</c:v>
                </c:pt>
                <c:pt idx="155">
                  <c:v>1.3678017248176929E-2</c:v>
                </c:pt>
                <c:pt idx="156">
                  <c:v>1.3808935113831912E-2</c:v>
                </c:pt>
                <c:pt idx="157">
                  <c:v>1.3939727809116897E-2</c:v>
                </c:pt>
                <c:pt idx="158">
                  <c:v>1.4070381420829977E-2</c:v>
                </c:pt>
                <c:pt idx="159">
                  <c:v>1.4200882117989434E-2</c:v>
                </c:pt>
                <c:pt idx="160">
                  <c:v>1.4331216209798991E-2</c:v>
                </c:pt>
                <c:pt idx="161">
                  <c:v>1.4461370203428371E-2</c:v>
                </c:pt>
                <c:pt idx="162">
                  <c:v>1.4591330861205393E-2</c:v>
                </c:pt>
                <c:pt idx="163">
                  <c:v>1.4721085256814103E-2</c:v>
                </c:pt>
                <c:pt idx="164">
                  <c:v>1.4850620830093437E-2</c:v>
                </c:pt>
                <c:pt idx="165">
                  <c:v>1.4979925440036254E-2</c:v>
                </c:pt>
                <c:pt idx="166">
                  <c:v>1.51089874155969E-2</c:v>
                </c:pt>
                <c:pt idx="167">
                  <c:v>1.5237795603927363E-2</c:v>
                </c:pt>
                <c:pt idx="168">
                  <c:v>1.5366339415678706E-2</c:v>
                </c:pt>
                <c:pt idx="169">
                  <c:v>1.5494608867023106E-2</c:v>
                </c:pt>
                <c:pt idx="170">
                  <c:v>1.5622594618075407E-2</c:v>
                </c:pt>
                <c:pt idx="171">
                  <c:v>1.5750288007418976E-2</c:v>
                </c:pt>
                <c:pt idx="172">
                  <c:v>1.5877681082470053E-2</c:v>
                </c:pt>
                <c:pt idx="173">
                  <c:v>1.6004766625446566E-2</c:v>
                </c:pt>
                <c:pt idx="174">
                  <c:v>1.6131538174742235E-2</c:v>
                </c:pt>
                <c:pt idx="175">
                  <c:v>1.6257990041543238E-2</c:v>
                </c:pt>
                <c:pt idx="176">
                  <c:v>1.6384117321563328E-2</c:v>
                </c:pt>
                <c:pt idx="177">
                  <c:v>1.6509915901813416E-2</c:v>
                </c:pt>
                <c:pt idx="178">
                  <c:v>1.663538246236251E-2</c:v>
                </c:pt>
                <c:pt idx="179">
                  <c:v>1.6760514473088902E-2</c:v>
                </c:pt>
                <c:pt idx="180">
                  <c:v>1.6885310185462458E-2</c:v>
                </c:pt>
                <c:pt idx="181">
                  <c:v>1.7009768619440441E-2</c:v>
                </c:pt>
                <c:pt idx="182">
                  <c:v>1.7133889545601317E-2</c:v>
                </c:pt>
                <c:pt idx="183">
                  <c:v>1.7257673462680187E-2</c:v>
                </c:pt>
                <c:pt idx="184">
                  <c:v>1.7381121570709489E-2</c:v>
                </c:pt>
                <c:pt idx="185">
                  <c:v>1.7504235740004544E-2</c:v>
                </c:pt>
                <c:pt idx="186">
                  <c:v>1.7627018476269064E-2</c:v>
                </c:pt>
                <c:pt idx="187">
                  <c:v>1.7749472882127533E-2</c:v>
                </c:pt>
                <c:pt idx="188">
                  <c:v>1.7871602615420611E-2</c:v>
                </c:pt>
                <c:pt idx="189">
                  <c:v>1.7993411844625825E-2</c:v>
                </c:pt>
                <c:pt idx="190">
                  <c:v>1.8114905201787972E-2</c:v>
                </c:pt>
                <c:pt idx="191">
                  <c:v>1.8236087733362744E-2</c:v>
                </c:pt>
                <c:pt idx="192">
                  <c:v>1.8356964849391193E-2</c:v>
                </c:pt>
                <c:pt idx="193">
                  <c:v>1.8477542271433365E-2</c:v>
                </c:pt>
                <c:pt idx="194">
                  <c:v>1.8597825979695837E-2</c:v>
                </c:pt>
                <c:pt idx="195">
                  <c:v>1.8717822159789236E-2</c:v>
                </c:pt>
                <c:pt idx="196">
                  <c:v>1.8837537149549714E-2</c:v>
                </c:pt>
                <c:pt idx="197">
                  <c:v>1.8956977386351045E-2</c:v>
                </c:pt>
                <c:pt idx="198">
                  <c:v>1.9076149355323143E-2</c:v>
                </c:pt>
                <c:pt idx="199">
                  <c:v>1.9195059538876923E-2</c:v>
                </c:pt>
                <c:pt idx="200">
                  <c:v>1.9313714367916381E-2</c:v>
                </c:pt>
                <c:pt idx="201">
                  <c:v>1.9432120175095297E-2</c:v>
                </c:pt>
                <c:pt idx="202">
                  <c:v>1.9550283150449047E-2</c:v>
                </c:pt>
                <c:pt idx="203">
                  <c:v>1.9668209299702078E-2</c:v>
                </c:pt>
                <c:pt idx="204">
                  <c:v>1.9785904405518275E-2</c:v>
                </c:pt>
                <c:pt idx="205">
                  <c:v>1.9903373991926165E-2</c:v>
                </c:pt>
                <c:pt idx="206">
                  <c:v>2.0020623292112471E-2</c:v>
                </c:pt>
                <c:pt idx="207">
                  <c:v>2.0137657219738671E-2</c:v>
                </c:pt>
                <c:pt idx="208">
                  <c:v>2.0254480343893485E-2</c:v>
                </c:pt>
                <c:pt idx="209">
                  <c:v>2.0371096867753076E-2</c:v>
                </c:pt>
                <c:pt idx="210">
                  <c:v>2.048751061097823E-2</c:v>
                </c:pt>
                <c:pt idx="211">
                  <c:v>2.0603724995835616E-2</c:v>
                </c:pt>
                <c:pt idx="212">
                  <c:v>2.071974303698915E-2</c:v>
                </c:pt>
                <c:pt idx="213">
                  <c:v>2.0835567334866512E-2</c:v>
                </c:pt>
                <c:pt idx="214">
                  <c:v>2.0951200072467251E-2</c:v>
                </c:pt>
                <c:pt idx="215">
                  <c:v>2.1066643015442123E-2</c:v>
                </c:pt>
                <c:pt idx="216">
                  <c:v>2.1181897515238125E-2</c:v>
                </c:pt>
                <c:pt idx="217">
                  <c:v>2.1296964515073E-2</c:v>
                </c:pt>
                <c:pt idx="218">
                  <c:v>2.1411844558473454E-2</c:v>
                </c:pt>
                <c:pt idx="219">
                  <c:v>2.1526537800087217E-2</c:v>
                </c:pt>
                <c:pt idx="220">
                  <c:v>2.1641044018457439E-2</c:v>
                </c:pt>
                <c:pt idx="221">
                  <c:v>2.1755362630431346E-2</c:v>
                </c:pt>
                <c:pt idx="222">
                  <c:v>2.1869492706862215E-2</c:v>
                </c:pt>
                <c:pt idx="223">
                  <c:v>2.1983432989255678E-2</c:v>
                </c:pt>
                <c:pt idx="224">
                  <c:v>2.2097181907007931E-2</c:v>
                </c:pt>
                <c:pt idx="225">
                  <c:v>2.2210737594884667E-2</c:v>
                </c:pt>
                <c:pt idx="226">
                  <c:v>2.2324097910395156E-2</c:v>
                </c:pt>
                <c:pt idx="227">
                  <c:v>2.2437260450727053E-2</c:v>
                </c:pt>
                <c:pt idx="228">
                  <c:v>2.2550222568921693E-2</c:v>
                </c:pt>
                <c:pt idx="229">
                  <c:v>2.26629813889903E-2</c:v>
                </c:pt>
                <c:pt idx="230">
                  <c:v>2.2775533819693976E-2</c:v>
                </c:pt>
                <c:pt idx="231">
                  <c:v>2.2887876566739049E-2</c:v>
                </c:pt>
                <c:pt idx="232">
                  <c:v>2.3000006143169729E-2</c:v>
                </c:pt>
                <c:pt idx="233">
                  <c:v>2.3111918877775188E-2</c:v>
                </c:pt>
                <c:pt idx="234">
                  <c:v>2.3223610921364879E-2</c:v>
                </c:pt>
                <c:pt idx="235">
                  <c:v>2.3335078250806336E-2</c:v>
                </c:pt>
                <c:pt idx="236">
                  <c:v>2.3446316670760903E-2</c:v>
                </c:pt>
                <c:pt idx="237">
                  <c:v>2.3557321813096329E-2</c:v>
                </c:pt>
                <c:pt idx="238">
                  <c:v>2.3668089133999197E-2</c:v>
                </c:pt>
                <c:pt idx="239">
                  <c:v>2.3778613908854798E-2</c:v>
                </c:pt>
                <c:pt idx="240">
                  <c:v>2.3888891225006138E-2</c:v>
                </c:pt>
                <c:pt idx="241">
                  <c:v>2.3998915972547826E-2</c:v>
                </c:pt>
                <c:pt idx="242">
                  <c:v>2.4108682833352716E-2</c:v>
                </c:pt>
                <c:pt idx="243">
                  <c:v>2.4218186268569811E-2</c:v>
                </c:pt>
                <c:pt idx="244">
                  <c:v>2.4327420504870256E-2</c:v>
                </c:pt>
                <c:pt idx="245">
                  <c:v>2.4436379519753401E-2</c:v>
                </c:pt>
                <c:pt idx="246">
                  <c:v>2.4545057026257207E-2</c:v>
                </c:pt>
                <c:pt idx="247">
                  <c:v>2.4653446457445157E-2</c:v>
                </c:pt>
                <c:pt idx="248">
                  <c:v>2.4761540951066002E-2</c:v>
                </c:pt>
                <c:pt idx="249">
                  <c:v>2.4869333334801687E-2</c:v>
                </c:pt>
                <c:pt idx="250">
                  <c:v>2.4976816112533679E-2</c:v>
                </c:pt>
                <c:pt idx="251">
                  <c:v>2.5083981452066466E-2</c:v>
                </c:pt>
                <c:pt idx="252">
                  <c:v>2.5190821174751118E-2</c:v>
                </c:pt>
                <c:pt idx="253">
                  <c:v>2.5297326747449674E-2</c:v>
                </c:pt>
                <c:pt idx="254">
                  <c:v>2.5403489277273449E-2</c:v>
                </c:pt>
                <c:pt idx="255">
                  <c:v>2.5509299509515016E-2</c:v>
                </c:pt>
                <c:pt idx="256">
                  <c:v>2.5614747829174427E-2</c:v>
                </c:pt>
                <c:pt idx="257">
                  <c:v>2.5719824266455346E-2</c:v>
                </c:pt>
                <c:pt idx="258">
                  <c:v>2.5824518506576515E-2</c:v>
                </c:pt>
                <c:pt idx="259">
                  <c:v>2.5928819904208464E-2</c:v>
                </c:pt>
                <c:pt idx="260">
                  <c:v>2.6032717502804625E-2</c:v>
                </c:pt>
                <c:pt idx="261">
                  <c:v>2.6136200059050943E-2</c:v>
                </c:pt>
                <c:pt idx="262">
                  <c:v>2.6239256072608692E-2</c:v>
                </c:pt>
                <c:pt idx="263">
                  <c:v>2.6341873821271448E-2</c:v>
                </c:pt>
                <c:pt idx="264">
                  <c:v>2.6444041401601566E-2</c:v>
                </c:pt>
                <c:pt idx="265">
                  <c:v>2.654574677505124E-2</c:v>
                </c:pt>
                <c:pt idx="266">
                  <c:v>2.664697781951253E-2</c:v>
                </c:pt>
                <c:pt idx="267">
                  <c:v>2.6747722386177699E-2</c:v>
                </c:pt>
                <c:pt idx="268">
                  <c:v>2.6847968361527089E-2</c:v>
                </c:pt>
                <c:pt idx="269">
                  <c:v>2.6947703734198448E-2</c:v>
                </c:pt>
                <c:pt idx="270">
                  <c:v>2.7046916666427716E-2</c:v>
                </c:pt>
                <c:pt idx="271">
                  <c:v>2.7145595569689231E-2</c:v>
                </c:pt>
                <c:pt idx="272">
                  <c:v>2.7243729184103043E-2</c:v>
                </c:pt>
                <c:pt idx="273">
                  <c:v>2.7341306661119464E-2</c:v>
                </c:pt>
                <c:pt idx="274">
                  <c:v>2.7438317648935999E-2</c:v>
                </c:pt>
                <c:pt idx="275">
                  <c:v>2.7534752380052069E-2</c:v>
                </c:pt>
                <c:pt idx="276">
                  <c:v>2.7630601760320218E-2</c:v>
                </c:pt>
                <c:pt idx="277">
                  <c:v>2.7725857458812134E-2</c:v>
                </c:pt>
                <c:pt idx="278">
                  <c:v>2.7820511997782141E-2</c:v>
                </c:pt>
                <c:pt idx="279">
                  <c:v>2.7914558841982445E-2</c:v>
                </c:pt>
                <c:pt idx="280">
                  <c:v>2.8007992486560846E-2</c:v>
                </c:pt>
                <c:pt idx="281">
                  <c:v>2.8100808542757438E-2</c:v>
                </c:pt>
                <c:pt idx="282">
                  <c:v>2.8193003820607149E-2</c:v>
                </c:pt>
                <c:pt idx="283">
                  <c:v>2.8284576407855505E-2</c:v>
                </c:pt>
                <c:pt idx="284">
                  <c:v>2.8375525744300609E-2</c:v>
                </c:pt>
                <c:pt idx="285">
                  <c:v>2.8465852690790074E-2</c:v>
                </c:pt>
                <c:pt idx="286">
                  <c:v>2.8555559592123175E-2</c:v>
                </c:pt>
                <c:pt idx="287">
                  <c:v>2.8644650333139045E-2</c:v>
                </c:pt>
                <c:pt idx="288">
                  <c:v>2.8733130387309E-2</c:v>
                </c:pt>
                <c:pt idx="289">
                  <c:v>2.8821006857196265E-2</c:v>
                </c:pt>
                <c:pt idx="290">
                  <c:v>2.8908288506197841E-2</c:v>
                </c:pt>
                <c:pt idx="291">
                  <c:v>2.8994985781042513E-2</c:v>
                </c:pt>
                <c:pt idx="292">
                  <c:v>2.908111082458251E-2</c:v>
                </c:pt>
                <c:pt idx="293">
                  <c:v>2.916667747848815E-2</c:v>
                </c:pt>
                <c:pt idx="294">
                  <c:v>2.9251701275528688E-2</c:v>
                </c:pt>
                <c:pt idx="295">
                  <c:v>2.9336199421203722E-2</c:v>
                </c:pt>
                <c:pt idx="296">
                  <c:v>2.9420190764571977E-2</c:v>
                </c:pt>
                <c:pt idx="297">
                  <c:v>2.9503695758211986E-2</c:v>
                </c:pt>
                <c:pt idx="298">
                  <c:v>2.9586736407336431E-2</c:v>
                </c:pt>
                <c:pt idx="299">
                  <c:v>2.9669336208173906E-2</c:v>
                </c:pt>
                <c:pt idx="300">
                  <c:v>2.9751520075820943E-2</c:v>
                </c:pt>
                <c:pt idx="301">
                  <c:v>2.9833314261858437E-2</c:v>
                </c:pt>
                <c:pt idx="302">
                  <c:v>2.9914746262115981E-2</c:v>
                </c:pt>
                <c:pt idx="303">
                  <c:v>2.9995844715054305E-2</c:v>
                </c:pt>
                <c:pt idx="304">
                  <c:v>3.007663929132106E-2</c:v>
                </c:pt>
                <c:pt idx="305">
                  <c:v>3.015716057511577E-2</c:v>
                </c:pt>
                <c:pt idx="306">
                  <c:v>3.0237439938075868E-2</c:v>
                </c:pt>
                <c:pt idx="307">
                  <c:v>3.0317509406467262E-2</c:v>
                </c:pt>
                <c:pt idx="308">
                  <c:v>3.0397401522527467E-2</c:v>
                </c:pt>
                <c:pt idx="309">
                  <c:v>3.0477149200868529E-2</c:v>
                </c:pt>
                <c:pt idx="310">
                  <c:v>3.0556785580897312E-2</c:v>
                </c:pt>
                <c:pt idx="311">
                  <c:v>3.0636343876255127E-2</c:v>
                </c:pt>
                <c:pt idx="312">
                  <c:v>3.0715857222313261E-2</c:v>
                </c:pt>
                <c:pt idx="313">
                  <c:v>3.07953585227876E-2</c:v>
                </c:pt>
                <c:pt idx="314">
                  <c:v>3.087488029655364E-2</c:v>
                </c:pt>
                <c:pt idx="315">
                  <c:v>3.0954454525750512E-2</c:v>
                </c:pt>
                <c:pt idx="316">
                  <c:v>3.1034112506262482E-2</c:v>
                </c:pt>
                <c:pt idx="317">
                  <c:v>3.1113884701655756E-2</c:v>
                </c:pt>
                <c:pt idx="318">
                  <c:v>3.1193800601627852E-2</c:v>
                </c:pt>
                <c:pt idx="319">
                  <c:v>3.1273888585998721E-2</c:v>
                </c:pt>
                <c:pt idx="320">
                  <c:v>3.1354175795233433E-2</c:v>
                </c:pt>
                <c:pt idx="321">
                  <c:v>3.1434688008440105E-2</c:v>
                </c:pt>
                <c:pt idx="322">
                  <c:v>3.1515449529730573E-2</c:v>
                </c:pt>
                <c:pt idx="323">
                  <c:v>3.1596483083768528E-2</c:v>
                </c:pt>
                <c:pt idx="324">
                  <c:v>3.1677809721258471E-2</c:v>
                </c:pt>
                <c:pt idx="325">
                  <c:v>3.1759448735051689E-2</c:v>
                </c:pt>
                <c:pt idx="326">
                  <c:v>3.1841417587461569E-2</c:v>
                </c:pt>
                <c:pt idx="327">
                  <c:v>3.1923731849291655E-2</c:v>
                </c:pt>
                <c:pt idx="328">
                  <c:v>3.2006405150985934E-2</c:v>
                </c:pt>
                <c:pt idx="329">
                  <c:v>3.2089449146214123E-2</c:v>
                </c:pt>
                <c:pt idx="330">
                  <c:v>3.2172873488103867E-2</c:v>
                </c:pt>
                <c:pt idx="331">
                  <c:v>3.2256685818230206E-2</c:v>
                </c:pt>
                <c:pt idx="332">
                  <c:v>3.2340891768369483E-2</c:v>
                </c:pt>
                <c:pt idx="333">
                  <c:v>3.2425494974921469E-2</c:v>
                </c:pt>
                <c:pt idx="334">
                  <c:v>3.2510497105801638E-2</c:v>
                </c:pt>
                <c:pt idx="335">
                  <c:v>3.2595897899504962E-2</c:v>
                </c:pt>
                <c:pt idx="336">
                  <c:v>3.2681695215944932E-2</c:v>
                </c:pt>
                <c:pt idx="337">
                  <c:v>3.2767885098577504E-2</c:v>
                </c:pt>
                <c:pt idx="338">
                  <c:v>3.2854461847230468E-2</c:v>
                </c:pt>
                <c:pt idx="339">
                  <c:v>3.2941418100974187E-2</c:v>
                </c:pt>
                <c:pt idx="340">
                  <c:v>3.3028744930291912E-2</c:v>
                </c:pt>
                <c:pt idx="341">
                  <c:v>3.3116431937736793E-2</c:v>
                </c:pt>
                <c:pt idx="342">
                  <c:v>3.3204467366198392E-2</c:v>
                </c:pt>
                <c:pt idx="343">
                  <c:v>3.3292838213846522E-2</c:v>
                </c:pt>
                <c:pt idx="344">
                  <c:v>3.3381530354772412E-2</c:v>
                </c:pt>
                <c:pt idx="345">
                  <c:v>3.3470528664309301E-2</c:v>
                </c:pt>
                <c:pt idx="346">
                  <c:v>3.3559817147985491E-2</c:v>
                </c:pt>
                <c:pt idx="347">
                  <c:v>3.3649379073043335E-2</c:v>
                </c:pt>
                <c:pt idx="348">
                  <c:v>3.3739197101447925E-2</c:v>
                </c:pt>
                <c:pt idx="349">
                  <c:v>3.3829253423308926E-2</c:v>
                </c:pt>
                <c:pt idx="350">
                  <c:v>3.3919529889648851E-2</c:v>
                </c:pt>
                <c:pt idx="351">
                  <c:v>3.4010008143469682E-2</c:v>
                </c:pt>
                <c:pt idx="352">
                  <c:v>3.4100669748098569E-2</c:v>
                </c:pt>
                <c:pt idx="353">
                  <c:v>3.4191496311830119E-2</c:v>
                </c:pt>
                <c:pt idx="354">
                  <c:v>3.4282469607929501E-2</c:v>
                </c:pt>
                <c:pt idx="355">
                  <c:v>3.4373571689113612E-2</c:v>
                </c:pt>
                <c:pt idx="356">
                  <c:v>3.4464784995689939E-2</c:v>
                </c:pt>
                <c:pt idx="357">
                  <c:v>3.4556092456600823E-2</c:v>
                </c:pt>
                <c:pt idx="358">
                  <c:v>3.4647477582695443E-2</c:v>
                </c:pt>
                <c:pt idx="359">
                  <c:v>3.4738924551632404E-2</c:v>
                </c:pt>
                <c:pt idx="360">
                  <c:v>3.4830418283899857E-2</c:v>
                </c:pt>
                <c:pt idx="361">
                  <c:v>3.4921944509529686E-2</c:v>
                </c:pt>
                <c:pt idx="362">
                  <c:v>3.5013489825172842E-2</c:v>
                </c:pt>
                <c:pt idx="363">
                  <c:v>3.5105041741297187E-2</c:v>
                </c:pt>
                <c:pt idx="364">
                  <c:v>3.5196588719363743E-2</c:v>
                </c:pt>
                <c:pt idx="365">
                  <c:v>3.5288120198932037E-2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9.8557078802141446E-4</c:v>
                </c:pt>
                <c:pt idx="1">
                  <c:v>9.5970619381132349E-4</c:v>
                </c:pt>
                <c:pt idx="2">
                  <c:v>9.3261639308253401E-4</c:v>
                </c:pt>
                <c:pt idx="3">
                  <c:v>9.0434778476171211E-4</c:v>
                </c:pt>
                <c:pt idx="4">
                  <c:v>8.7494813195541183E-4</c:v>
                </c:pt>
                <c:pt idx="5">
                  <c:v>8.4446627487157753E-4</c:v>
                </c:pt>
                <c:pt idx="6">
                  <c:v>8.1295184476996179E-4</c:v>
                </c:pt>
                <c:pt idx="7">
                  <c:v>7.8045498171483093E-4</c:v>
                </c:pt>
                <c:pt idx="8">
                  <c:v>7.4696149529132237E-4</c:v>
                </c:pt>
                <c:pt idx="9">
                  <c:v>7.1215346608199308E-4</c:v>
                </c:pt>
                <c:pt idx="10">
                  <c:v>6.7647473316640068E-4</c:v>
                </c:pt>
                <c:pt idx="11">
                  <c:v>6.4000597641602455E-4</c:v>
                </c:pt>
                <c:pt idx="12">
                  <c:v>6.0282320946467753E-4</c:v>
                </c:pt>
                <c:pt idx="13">
                  <c:v>5.6499743066156806E-4</c:v>
                </c:pt>
                <c:pt idx="14">
                  <c:v>5.2659436345274904E-4</c:v>
                </c:pt>
                <c:pt idx="15">
                  <c:v>4.8868698707090364E-4</c:v>
                </c:pt>
                <c:pt idx="16">
                  <c:v>4.520689279313597E-4</c:v>
                </c:pt>
                <c:pt idx="17">
                  <c:v>4.1673913396994853E-4</c:v>
                </c:pt>
                <c:pt idx="18">
                  <c:v>3.8269132232983589E-4</c:v>
                </c:pt>
                <c:pt idx="19">
                  <c:v>3.4991650596297348E-4</c:v>
                </c:pt>
                <c:pt idx="20">
                  <c:v>3.1840169853638629E-4</c:v>
                </c:pt>
                <c:pt idx="21">
                  <c:v>2.8813563950346881E-4</c:v>
                </c:pt>
                <c:pt idx="22">
                  <c:v>2.5905608406122957E-4</c:v>
                </c:pt>
                <c:pt idx="23">
                  <c:v>2.3204470042576287E-4</c:v>
                </c:pt>
                <c:pt idx="24">
                  <c:v>2.073529785488906E-4</c:v>
                </c:pt>
                <c:pt idx="25">
                  <c:v>1.8493369815097266E-4</c:v>
                </c:pt>
                <c:pt idx="26">
                  <c:v>1.647364660336207E-4</c:v>
                </c:pt>
                <c:pt idx="27">
                  <c:v>1.4670854596017361E-4</c:v>
                </c:pt>
                <c:pt idx="28">
                  <c:v>1.3079561930378714E-4</c:v>
                </c:pt>
                <c:pt idx="29">
                  <c:v>1.1726970760233138E-4</c:v>
                </c:pt>
                <c:pt idx="30">
                  <c:v>1.0519117707041697E-4</c:v>
                </c:pt>
                <c:pt idx="31">
                  <c:v>9.4521410095467755E-5</c:v>
                </c:pt>
                <c:pt idx="32">
                  <c:v>8.5221966479980752E-5</c:v>
                </c:pt>
                <c:pt idx="33">
                  <c:v>7.7254919058537136E-5</c:v>
                </c:pt>
                <c:pt idx="34">
                  <c:v>7.0583148989803376E-5</c:v>
                </c:pt>
                <c:pt idx="35">
                  <c:v>6.5170603859127525E-5</c:v>
                </c:pt>
                <c:pt idx="36">
                  <c:v>6.0976990733496802E-5</c:v>
                </c:pt>
                <c:pt idx="37">
                  <c:v>5.7972795198303371E-5</c:v>
                </c:pt>
                <c:pt idx="38">
                  <c:v>5.5328511052171802E-5</c:v>
                </c:pt>
                <c:pt idx="39">
                  <c:v>5.3035619402493356E-5</c:v>
                </c:pt>
                <c:pt idx="40">
                  <c:v>5.1085672279127417E-5</c:v>
                </c:pt>
                <c:pt idx="41">
                  <c:v>4.9470348965934687E-5</c:v>
                </c:pt>
                <c:pt idx="42">
                  <c:v>4.8181506137503286E-5</c:v>
                </c:pt>
                <c:pt idx="43">
                  <c:v>4.7155286345846467E-5</c:v>
                </c:pt>
                <c:pt idx="44">
                  <c:v>4.6100857476203793E-5</c:v>
                </c:pt>
                <c:pt idx="45">
                  <c:v>4.5019533024604127E-5</c:v>
                </c:pt>
                <c:pt idx="46">
                  <c:v>4.3912515473971615E-5</c:v>
                </c:pt>
                <c:pt idx="47">
                  <c:v>4.2780899188089188E-5</c:v>
                </c:pt>
                <c:pt idx="48">
                  <c:v>4.1625673192532245E-5</c:v>
                </c:pt>
                <c:pt idx="49">
                  <c:v>4.044772375022658E-5</c:v>
                </c:pt>
                <c:pt idx="50">
                  <c:v>3.9246617671642556E-5</c:v>
                </c:pt>
                <c:pt idx="51">
                  <c:v>3.8078683324200213E-5</c:v>
                </c:pt>
                <c:pt idx="52">
                  <c:v>3.6935225382536247E-5</c:v>
                </c:pt>
                <c:pt idx="53">
                  <c:v>3.5815183057794653E-5</c:v>
                </c:pt>
                <c:pt idx="54">
                  <c:v>3.4717744124676462E-5</c:v>
                </c:pt>
                <c:pt idx="55">
                  <c:v>3.3642146622716919E-5</c:v>
                </c:pt>
                <c:pt idx="56">
                  <c:v>3.258767515808259E-5</c:v>
                </c:pt>
                <c:pt idx="57">
                  <c:v>3.1550492019782272E-5</c:v>
                </c:pt>
                <c:pt idx="58">
                  <c:v>3.0579850074287139E-5</c:v>
                </c:pt>
                <c:pt idx="59">
                  <c:v>2.9674235842680828E-5</c:v>
                </c:pt>
                <c:pt idx="60">
                  <c:v>2.883220805690324E-5</c:v>
                </c:pt>
                <c:pt idx="61">
                  <c:v>2.8052393090037085E-5</c:v>
                </c:pt>
                <c:pt idx="62">
                  <c:v>2.7333480886146066E-5</c:v>
                </c:pt>
                <c:pt idx="63">
                  <c:v>2.6674221370664044E-5</c:v>
                </c:pt>
                <c:pt idx="64">
                  <c:v>2.6072948663247439E-5</c:v>
                </c:pt>
                <c:pt idx="65">
                  <c:v>2.5481092958067129E-5</c:v>
                </c:pt>
                <c:pt idx="66">
                  <c:v>2.4847578177442183E-5</c:v>
                </c:pt>
                <c:pt idx="67">
                  <c:v>2.4173616558352283E-5</c:v>
                </c:pt>
                <c:pt idx="68">
                  <c:v>2.3460355139140175E-5</c:v>
                </c:pt>
                <c:pt idx="69">
                  <c:v>2.2708870657185328E-5</c:v>
                </c:pt>
                <c:pt idx="70">
                  <c:v>2.1920164662038226E-5</c:v>
                </c:pt>
                <c:pt idx="71">
                  <c:v>2.1120279621151697E-5</c:v>
                </c:pt>
                <c:pt idx="72">
                  <c:v>2.0312206863237892E-5</c:v>
                </c:pt>
                <c:pt idx="73">
                  <c:v>1.9496155582905586E-5</c:v>
                </c:pt>
                <c:pt idx="74">
                  <c:v>1.8672274091626647E-5</c:v>
                </c:pt>
                <c:pt idx="75">
                  <c:v>1.7840648568305946E-5</c:v>
                </c:pt>
                <c:pt idx="76">
                  <c:v>1.7001301838888812E-5</c:v>
                </c:pt>
                <c:pt idx="77">
                  <c:v>1.615419216986227E-5</c:v>
                </c:pt>
                <c:pt idx="78">
                  <c:v>1.5298373088800622E-5</c:v>
                </c:pt>
                <c:pt idx="79">
                  <c:v>1.4449270777806766E-5</c:v>
                </c:pt>
                <c:pt idx="80">
                  <c:v>1.36501134516627E-5</c:v>
                </c:pt>
                <c:pt idx="81">
                  <c:v>1.290013940203048E-5</c:v>
                </c:pt>
                <c:pt idx="82">
                  <c:v>1.2198581188099145E-5</c:v>
                </c:pt>
                <c:pt idx="83">
                  <c:v>1.1544674459727546E-5</c:v>
                </c:pt>
                <c:pt idx="84">
                  <c:v>1.0937666387759614E-5</c:v>
                </c:pt>
                <c:pt idx="85">
                  <c:v>1.0368284737261721E-5</c:v>
                </c:pt>
                <c:pt idx="86">
                  <c:v>9.8125013722768578E-6</c:v>
                </c:pt>
                <c:pt idx="87">
                  <c:v>9.2699075944205207E-6</c:v>
                </c:pt>
                <c:pt idx="88">
                  <c:v>8.7400734893787934E-6</c:v>
                </c:pt>
                <c:pt idx="89">
                  <c:v>8.2225500869846879E-6</c:v>
                </c:pt>
                <c:pt idx="90">
                  <c:v>7.7168713497948336E-6</c:v>
                </c:pt>
                <c:pt idx="91">
                  <c:v>7.2225559902322809E-6</c:v>
                </c:pt>
                <c:pt idx="92">
                  <c:v>6.7389184271603654E-6</c:v>
                </c:pt>
                <c:pt idx="93">
                  <c:v>6.2745957204269154E-6</c:v>
                </c:pt>
                <c:pt idx="94">
                  <c:v>5.8135849295970705E-6</c:v>
                </c:pt>
                <c:pt idx="95">
                  <c:v>5.3554159626403659E-6</c:v>
                </c:pt>
                <c:pt idx="96">
                  <c:v>4.8996197148232379E-6</c:v>
                </c:pt>
                <c:pt idx="97">
                  <c:v>4.4457278404163885E-6</c:v>
                </c:pt>
                <c:pt idx="98">
                  <c:v>3.9932725810103989E-6</c:v>
                </c:pt>
                <c:pt idx="99">
                  <c:v>3.5591413435212214E-6</c:v>
                </c:pt>
                <c:pt idx="100">
                  <c:v>3.1514393011685936E-6</c:v>
                </c:pt>
                <c:pt idx="101">
                  <c:v>2.7698966154696663E-6</c:v>
                </c:pt>
                <c:pt idx="102">
                  <c:v>2.4142982356364292E-6</c:v>
                </c:pt>
                <c:pt idx="103">
                  <c:v>2.0844842052914859E-6</c:v>
                </c:pt>
                <c:pt idx="104">
                  <c:v>1.780349992452856E-6</c:v>
                </c:pt>
                <c:pt idx="105">
                  <c:v>1.5018468318330867E-6</c:v>
                </c:pt>
                <c:pt idx="106">
                  <c:v>1.249011461831208E-6</c:v>
                </c:pt>
                <c:pt idx="107">
                  <c:v>1.0302977042129869E-6</c:v>
                </c:pt>
                <c:pt idx="108">
                  <c:v>8.3622988572075275E-7</c:v>
                </c:pt>
                <c:pt idx="109">
                  <c:v>6.6695362221719633E-7</c:v>
                </c:pt>
                <c:pt idx="110">
                  <c:v>5.2267989692476644E-7</c:v>
                </c:pt>
                <c:pt idx="111">
                  <c:v>4.0368067300630789E-7</c:v>
                </c:pt>
                <c:pt idx="112">
                  <c:v>3.1028708576355602E-7</c:v>
                </c:pt>
                <c:pt idx="113">
                  <c:v>2.4289016543662033E-7</c:v>
                </c:pt>
                <c:pt idx="114">
                  <c:v>1.8339568117256816E-7</c:v>
                </c:pt>
                <c:pt idx="115">
                  <c:v>1.3191683379282541E-7</c:v>
                </c:pt>
                <c:pt idx="116">
                  <c:v>8.8585615572424763E-8</c:v>
                </c:pt>
                <c:pt idx="117">
                  <c:v>5.3552220750862996E-8</c:v>
                </c:pt>
                <c:pt idx="118">
                  <c:v>2.6984402640623354E-8</c:v>
                </c:pt>
                <c:pt idx="119">
                  <c:v>9.0667680498255649E-9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-1.1821402979228665E-20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-1.3520264305328438E-20</c:v>
                </c:pt>
                <c:pt idx="139">
                  <c:v>-1.3649188508928938E-20</c:v>
                </c:pt>
                <c:pt idx="140">
                  <c:v>-1.3779418004803794E-20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1.4579306235209561E-20</c:v>
                </c:pt>
                <c:pt idx="147">
                  <c:v>-1.4714150153140091E-20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-1.5520991147887432E-20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-1.6045048105090494E-20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-1.7016021344672509E-20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1.953612006557277E-20</c:v>
                </c:pt>
                <c:pt idx="200">
                  <c:v>-1.9578266917535816E-20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-1.9739139617537201E-20</c:v>
                </c:pt>
                <c:pt idx="205">
                  <c:v>0</c:v>
                </c:pt>
                <c:pt idx="206">
                  <c:v>1.9815619349392699E-20</c:v>
                </c:pt>
                <c:pt idx="207">
                  <c:v>-1.9853125481685476E-20</c:v>
                </c:pt>
                <c:pt idx="208">
                  <c:v>0</c:v>
                </c:pt>
                <c:pt idx="209">
                  <c:v>-1.9927150967186139E-20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1.8191414928084051E-8</c:v>
                </c:pt>
                <c:pt idx="226">
                  <c:v>5.4704164144607394E-8</c:v>
                </c:pt>
                <c:pt idx="227">
                  <c:v>1.0966753155348822E-7</c:v>
                </c:pt>
                <c:pt idx="228">
                  <c:v>1.8320969375399645E-7</c:v>
                </c:pt>
                <c:pt idx="229">
                  <c:v>2.7545720867693797E-7</c:v>
                </c:pt>
                <c:pt idx="230">
                  <c:v>3.8653446710247543E-7</c:v>
                </c:pt>
                <c:pt idx="231">
                  <c:v>5.1656310903664653E-7</c:v>
                </c:pt>
                <c:pt idx="232">
                  <c:v>6.6565348548052917E-7</c:v>
                </c:pt>
                <c:pt idx="233">
                  <c:v>8.7342951662887696E-7</c:v>
                </c:pt>
                <c:pt idx="234">
                  <c:v>1.1402588402582624E-6</c:v>
                </c:pt>
                <c:pt idx="235">
                  <c:v>1.4665041179829928E-6</c:v>
                </c:pt>
                <c:pt idx="236">
                  <c:v>1.8525273965524702E-6</c:v>
                </c:pt>
                <c:pt idx="237">
                  <c:v>2.2986928440010016E-6</c:v>
                </c:pt>
                <c:pt idx="238">
                  <c:v>2.8053714254675781E-6</c:v>
                </c:pt>
                <c:pt idx="239">
                  <c:v>3.3950939799529999E-6</c:v>
                </c:pt>
                <c:pt idx="240">
                  <c:v>4.0495916054015937E-6</c:v>
                </c:pt>
                <c:pt idx="241">
                  <c:v>4.7693056035153276E-6</c:v>
                </c:pt>
                <c:pt idx="242">
                  <c:v>5.5547020842961124E-6</c:v>
                </c:pt>
                <c:pt idx="243">
                  <c:v>6.4062766748131057E-6</c:v>
                </c:pt>
                <c:pt idx="244">
                  <c:v>7.3245593142630229E-6</c:v>
                </c:pt>
                <c:pt idx="245">
                  <c:v>8.3101191423057709E-6</c:v>
                </c:pt>
                <c:pt idx="246">
                  <c:v>9.3632597231272331E-6</c:v>
                </c:pt>
                <c:pt idx="247">
                  <c:v>1.0464991616679104E-5</c:v>
                </c:pt>
                <c:pt idx="248">
                  <c:v>1.157481072397036E-5</c:v>
                </c:pt>
                <c:pt idx="249">
                  <c:v>1.2692776656045906E-5</c:v>
                </c:pt>
                <c:pt idx="250">
                  <c:v>1.3818967491697992E-5</c:v>
                </c:pt>
                <c:pt idx="251">
                  <c:v>1.4953479886957426E-5</c:v>
                </c:pt>
                <c:pt idx="252">
                  <c:v>1.6096429197077302E-5</c:v>
                </c:pt>
                <c:pt idx="253">
                  <c:v>1.7280584667431942E-5</c:v>
                </c:pt>
                <c:pt idx="254">
                  <c:v>1.8483413882636834E-5</c:v>
                </c:pt>
                <c:pt idx="255">
                  <c:v>1.9705147268645492E-5</c:v>
                </c:pt>
                <c:pt idx="256">
                  <c:v>2.0946037788192394E-5</c:v>
                </c:pt>
                <c:pt idx="257">
                  <c:v>2.2206361744179761E-5</c:v>
                </c:pt>
                <c:pt idx="258">
                  <c:v>2.3486419711966789E-5</c:v>
                </c:pt>
                <c:pt idx="259">
                  <c:v>2.4786537634441899E-5</c:v>
                </c:pt>
                <c:pt idx="260">
                  <c:v>2.610677407441091E-5</c:v>
                </c:pt>
                <c:pt idx="261">
                  <c:v>2.7495293560837558E-5</c:v>
                </c:pt>
                <c:pt idx="262">
                  <c:v>2.8972302462400205E-5</c:v>
                </c:pt>
                <c:pt idx="263">
                  <c:v>3.0538294662161172E-5</c:v>
                </c:pt>
                <c:pt idx="264">
                  <c:v>3.2193740011140305E-5</c:v>
                </c:pt>
                <c:pt idx="265">
                  <c:v>3.3939260199931E-5</c:v>
                </c:pt>
                <c:pt idx="266">
                  <c:v>3.5775387422156743E-5</c:v>
                </c:pt>
                <c:pt idx="267">
                  <c:v>3.7612616727396737E-5</c:v>
                </c:pt>
                <c:pt idx="268">
                  <c:v>3.9416862567187751E-5</c:v>
                </c:pt>
                <c:pt idx="269">
                  <c:v>4.1187526109733379E-5</c:v>
                </c:pt>
                <c:pt idx="270">
                  <c:v>4.2923964691306305E-5</c:v>
                </c:pt>
                <c:pt idx="271">
                  <c:v>4.4625495172658703E-5</c:v>
                </c:pt>
                <c:pt idx="272">
                  <c:v>4.6291397651171398E-5</c:v>
                </c:pt>
                <c:pt idx="273">
                  <c:v>4.7920919520278281E-5</c:v>
                </c:pt>
                <c:pt idx="274">
                  <c:v>4.9514048726472388E-5</c:v>
                </c:pt>
                <c:pt idx="275">
                  <c:v>5.1104775083232992E-5</c:v>
                </c:pt>
                <c:pt idx="276">
                  <c:v>5.2642610098774508E-5</c:v>
                </c:pt>
                <c:pt idx="277">
                  <c:v>5.412667927347198E-5</c:v>
                </c:pt>
                <c:pt idx="278">
                  <c:v>5.5556082235164656E-5</c:v>
                </c:pt>
                <c:pt idx="279">
                  <c:v>5.6929899996972689E-5</c:v>
                </c:pt>
                <c:pt idx="280">
                  <c:v>5.8247202399633755E-5</c:v>
                </c:pt>
                <c:pt idx="281">
                  <c:v>5.9619364579061127E-5</c:v>
                </c:pt>
                <c:pt idx="282">
                  <c:v>6.1138759867327002E-5</c:v>
                </c:pt>
                <c:pt idx="283">
                  <c:v>6.2805456702600074E-5</c:v>
                </c:pt>
                <c:pt idx="284">
                  <c:v>6.4619433399231446E-5</c:v>
                </c:pt>
                <c:pt idx="285">
                  <c:v>6.6580574168109653E-5</c:v>
                </c:pt>
                <c:pt idx="286">
                  <c:v>6.8688666233803454E-5</c:v>
                </c:pt>
                <c:pt idx="287">
                  <c:v>7.0943398132098349E-5</c:v>
                </c:pt>
                <c:pt idx="288">
                  <c:v>7.334965483809982E-5</c:v>
                </c:pt>
                <c:pt idx="289">
                  <c:v>7.5778922099751974E-5</c:v>
                </c:pt>
                <c:pt idx="290">
                  <c:v>7.8194651431481935E-5</c:v>
                </c:pt>
                <c:pt idx="291">
                  <c:v>8.0594898573750992E-5</c:v>
                </c:pt>
                <c:pt idx="292">
                  <c:v>8.2977493985654223E-5</c:v>
                </c:pt>
                <c:pt idx="293">
                  <c:v>8.5340041925845478E-5</c:v>
                </c:pt>
                <c:pt idx="294">
                  <c:v>8.7679919775833024E-5</c:v>
                </c:pt>
                <c:pt idx="295">
                  <c:v>9.0094553173139722E-5</c:v>
                </c:pt>
                <c:pt idx="296">
                  <c:v>9.246778654656183E-5</c:v>
                </c:pt>
                <c:pt idx="297">
                  <c:v>9.4797157629552051E-5</c:v>
                </c:pt>
                <c:pt idx="298">
                  <c:v>9.7079254403495893E-5</c:v>
                </c:pt>
                <c:pt idx="299">
                  <c:v>9.9310446928484031E-5</c:v>
                </c:pt>
                <c:pt idx="300">
                  <c:v>1.0148689521830196E-4</c:v>
                </c:pt>
                <c:pt idx="301">
                  <c:v>1.0360455896429974E-4</c:v>
                </c:pt>
                <c:pt idx="302">
                  <c:v>1.0566872093223042E-4</c:v>
                </c:pt>
                <c:pt idx="303">
                  <c:v>1.0843806891482028E-4</c:v>
                </c:pt>
                <c:pt idx="304">
                  <c:v>1.1204541970910849E-4</c:v>
                </c:pt>
                <c:pt idx="305">
                  <c:v>1.1648898788486246E-4</c:v>
                </c:pt>
                <c:pt idx="306">
                  <c:v>1.2176669018676885E-4</c:v>
                </c:pt>
                <c:pt idx="307">
                  <c:v>1.2787620030481475E-4</c:v>
                </c:pt>
                <c:pt idx="308">
                  <c:v>1.3481500717864433E-4</c:v>
                </c:pt>
                <c:pt idx="309">
                  <c:v>1.4421437125404144E-4</c:v>
                </c:pt>
                <c:pt idx="310">
                  <c:v>1.5596680538336864E-4</c:v>
                </c:pt>
                <c:pt idx="311">
                  <c:v>1.7006460218223468E-4</c:v>
                </c:pt>
                <c:pt idx="312">
                  <c:v>1.8649981297368833E-4</c:v>
                </c:pt>
                <c:pt idx="313">
                  <c:v>2.0526442374469564E-4</c:v>
                </c:pt>
                <c:pt idx="314">
                  <c:v>2.2635052596124976E-4</c:v>
                </c:pt>
                <c:pt idx="315">
                  <c:v>2.4975047804437999E-4</c:v>
                </c:pt>
                <c:pt idx="316">
                  <c:v>2.7547862517154274E-4</c:v>
                </c:pt>
                <c:pt idx="317">
                  <c:v>3.0508672343961533E-4</c:v>
                </c:pt>
                <c:pt idx="318">
                  <c:v>3.378318895211208E-4</c:v>
                </c:pt>
                <c:pt idx="319">
                  <c:v>3.737142545787051E-4</c:v>
                </c:pt>
                <c:pt idx="320">
                  <c:v>4.1273377824814104E-4</c:v>
                </c:pt>
                <c:pt idx="321">
                  <c:v>4.5488950401991276E-4</c:v>
                </c:pt>
                <c:pt idx="322">
                  <c:v>5.0017872640764876E-4</c:v>
                </c:pt>
                <c:pt idx="323">
                  <c:v>5.4797787205622969E-4</c:v>
                </c:pt>
                <c:pt idx="324">
                  <c:v>5.9666463055613379E-4</c:v>
                </c:pt>
                <c:pt idx="325">
                  <c:v>6.4622744847592543E-4</c:v>
                </c:pt>
                <c:pt idx="326">
                  <c:v>6.9664473661428135E-4</c:v>
                </c:pt>
                <c:pt idx="327">
                  <c:v>7.4789033916453757E-4</c:v>
                </c:pt>
                <c:pt idx="328">
                  <c:v>7.9993464469419416E-4</c:v>
                </c:pt>
                <c:pt idx="329">
                  <c:v>8.5274085478740855E-4</c:v>
                </c:pt>
                <c:pt idx="330">
                  <c:v>9.0635857399213628E-4</c:v>
                </c:pt>
                <c:pt idx="331">
                  <c:v>9.5925679223949733E-4</c:v>
                </c:pt>
                <c:pt idx="332">
                  <c:v>1.0099199725412029E-3</c:v>
                </c:pt>
                <c:pt idx="333">
                  <c:v>1.0583514513950551E-3</c:v>
                </c:pt>
                <c:pt idx="334">
                  <c:v>1.1045507902515464E-3</c:v>
                </c:pt>
                <c:pt idx="335">
                  <c:v>1.1485136566893454E-3</c:v>
                </c:pt>
                <c:pt idx="336">
                  <c:v>1.1902317769187278E-3</c:v>
                </c:pt>
                <c:pt idx="337">
                  <c:v>1.2289166626020865E-3</c:v>
                </c:pt>
                <c:pt idx="338">
                  <c:v>1.2651671764726863E-3</c:v>
                </c:pt>
                <c:pt idx="339">
                  <c:v>1.298963976569228E-3</c:v>
                </c:pt>
                <c:pt idx="340">
                  <c:v>1.3302844494928329E-3</c:v>
                </c:pt>
                <c:pt idx="341">
                  <c:v>1.3591030826996052E-3</c:v>
                </c:pt>
                <c:pt idx="342">
                  <c:v>1.3853919133143991E-3</c:v>
                </c:pt>
                <c:pt idx="343">
                  <c:v>1.4091210522315719E-3</c:v>
                </c:pt>
                <c:pt idx="344">
                  <c:v>1.4303341796633223E-3</c:v>
                </c:pt>
                <c:pt idx="345">
                  <c:v>1.4490796603718258E-3</c:v>
                </c:pt>
                <c:pt idx="346">
                  <c:v>1.4659051643416559E-3</c:v>
                </c:pt>
                <c:pt idx="347">
                  <c:v>1.480782594493527E-3</c:v>
                </c:pt>
                <c:pt idx="348">
                  <c:v>1.4936830197192618E-3</c:v>
                </c:pt>
                <c:pt idx="349">
                  <c:v>1.5045772617219796E-3</c:v>
                </c:pt>
                <c:pt idx="350">
                  <c:v>1.513436505740632E-3</c:v>
                </c:pt>
                <c:pt idx="351">
                  <c:v>1.5192152171230255E-3</c:v>
                </c:pt>
                <c:pt idx="352">
                  <c:v>1.5226579181641217E-3</c:v>
                </c:pt>
                <c:pt idx="353">
                  <c:v>1.5237427483697297E-3</c:v>
                </c:pt>
                <c:pt idx="354">
                  <c:v>1.5224511059460043E-3</c:v>
                </c:pt>
                <c:pt idx="355">
                  <c:v>1.5187682778816821E-3</c:v>
                </c:pt>
                <c:pt idx="356">
                  <c:v>1.512680116216238E-3</c:v>
                </c:pt>
                <c:pt idx="357">
                  <c:v>1.5041832238246477E-3</c:v>
                </c:pt>
                <c:pt idx="358">
                  <c:v>1.4932850459826856E-3</c:v>
                </c:pt>
                <c:pt idx="359">
                  <c:v>1.4800169005467791E-3</c:v>
                </c:pt>
                <c:pt idx="360">
                  <c:v>1.4636621633964781E-3</c:v>
                </c:pt>
                <c:pt idx="361">
                  <c:v>1.4452552775880703E-3</c:v>
                </c:pt>
                <c:pt idx="362">
                  <c:v>1.4248346599882824E-3</c:v>
                </c:pt>
                <c:pt idx="363">
                  <c:v>1.4024428067120529E-3</c:v>
                </c:pt>
                <c:pt idx="364">
                  <c:v>1.3781260489099543E-3</c:v>
                </c:pt>
                <c:pt idx="365">
                  <c:v>1.3519342740543866E-3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29000"/>
        <c:axId val="225129392"/>
      </c:lineChart>
      <c:dateAx>
        <c:axId val="22512900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5129392"/>
        <c:crosses val="autoZero"/>
        <c:auto val="1"/>
        <c:lblOffset val="100"/>
        <c:baseTimeUnit val="days"/>
        <c:majorUnit val="1"/>
        <c:majorTimeUnit val="months"/>
      </c:dateAx>
      <c:valAx>
        <c:axId val="22512939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51290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26.422493566113811</c:v>
                </c:pt>
                <c:pt idx="1">
                  <c:v>26.559060708732925</c:v>
                </c:pt>
                <c:pt idx="2">
                  <c:v>26.705010483639644</c:v>
                </c:pt>
                <c:pt idx="3">
                  <c:v>26.860142677775229</c:v>
                </c:pt>
                <c:pt idx="4">
                  <c:v>27.024257120826046</c:v>
                </c:pt>
                <c:pt idx="5">
                  <c:v>27.197153691505193</c:v>
                </c:pt>
                <c:pt idx="6">
                  <c:v>27.378632311177508</c:v>
                </c:pt>
                <c:pt idx="7">
                  <c:v>27.568492950232073</c:v>
                </c:pt>
                <c:pt idx="8">
                  <c:v>27.768938231735252</c:v>
                </c:pt>
                <c:pt idx="9">
                  <c:v>27.981739366263096</c:v>
                </c:pt>
                <c:pt idx="10">
                  <c:v>28.206007302540748</c:v>
                </c:pt>
                <c:pt idx="11">
                  <c:v>28.440872661892527</c:v>
                </c:pt>
                <c:pt idx="12">
                  <c:v>28.685466405615898</c:v>
                </c:pt>
                <c:pt idx="13">
                  <c:v>28.938919873048505</c:v>
                </c:pt>
                <c:pt idx="14">
                  <c:v>29.200364754487868</c:v>
                </c:pt>
                <c:pt idx="15">
                  <c:v>29.468895490455992</c:v>
                </c:pt>
                <c:pt idx="16">
                  <c:v>29.74360464828343</c:v>
                </c:pt>
                <c:pt idx="17">
                  <c:v>30.023625076189923</c:v>
                </c:pt>
                <c:pt idx="18">
                  <c:v>30.308089987204028</c:v>
                </c:pt>
                <c:pt idx="19">
                  <c:v>30.596132895641205</c:v>
                </c:pt>
                <c:pt idx="20">
                  <c:v>30.886887681468469</c:v>
                </c:pt>
                <c:pt idx="21">
                  <c:v>31.179488709177495</c:v>
                </c:pt>
                <c:pt idx="22">
                  <c:v>31.476955351603713</c:v>
                </c:pt>
                <c:pt idx="23">
                  <c:v>31.782312049364805</c:v>
                </c:pt>
                <c:pt idx="24">
                  <c:v>32.094745767087396</c:v>
                </c:pt>
                <c:pt idx="25">
                  <c:v>32.413459067347532</c:v>
                </c:pt>
                <c:pt idx="26">
                  <c:v>32.737654885702078</c:v>
                </c:pt>
                <c:pt idx="27">
                  <c:v>33.066536530193545</c:v>
                </c:pt>
                <c:pt idx="28">
                  <c:v>33.399307676935905</c:v>
                </c:pt>
                <c:pt idx="29">
                  <c:v>33.735154197295024</c:v>
                </c:pt>
                <c:pt idx="30">
                  <c:v>34.073318047642225</c:v>
                </c:pt>
                <c:pt idx="31">
                  <c:v>34.413004006153656</c:v>
                </c:pt>
                <c:pt idx="32">
                  <c:v>34.753417221620346</c:v>
                </c:pt>
                <c:pt idx="33">
                  <c:v>35.093763212125822</c:v>
                </c:pt>
                <c:pt idx="34">
                  <c:v>35.43324786327841</c:v>
                </c:pt>
                <c:pt idx="35">
                  <c:v>35.771077429755373</c:v>
                </c:pt>
                <c:pt idx="36">
                  <c:v>36.109734054953556</c:v>
                </c:pt>
                <c:pt idx="37">
                  <c:v>36.451828666069034</c:v>
                </c:pt>
                <c:pt idx="38">
                  <c:v>36.796804556249015</c:v>
                </c:pt>
                <c:pt idx="39">
                  <c:v>37.144065587986177</c:v>
                </c:pt>
                <c:pt idx="40">
                  <c:v>37.493015903076696</c:v>
                </c:pt>
                <c:pt idx="41">
                  <c:v>37.8430599198078</c:v>
                </c:pt>
                <c:pt idx="42">
                  <c:v>38.19360233060997</c:v>
                </c:pt>
                <c:pt idx="43">
                  <c:v>38.544051351125965</c:v>
                </c:pt>
                <c:pt idx="44">
                  <c:v>38.893830424684005</c:v>
                </c:pt>
                <c:pt idx="45">
                  <c:v>39.242345067577666</c:v>
                </c:pt>
                <c:pt idx="46">
                  <c:v>39.589001060721678</c:v>
                </c:pt>
                <c:pt idx="47">
                  <c:v>39.93320444697229</c:v>
                </c:pt>
                <c:pt idx="48">
                  <c:v>40.274361524661664</c:v>
                </c:pt>
                <c:pt idx="49">
                  <c:v>40.61187884698608</c:v>
                </c:pt>
                <c:pt idx="50">
                  <c:v>40.946435038910749</c:v>
                </c:pt>
                <c:pt idx="51">
                  <c:v>41.279168060638114</c:v>
                </c:pt>
                <c:pt idx="52">
                  <c:v>41.610180234591098</c:v>
                </c:pt>
                <c:pt idx="53">
                  <c:v>41.93957136311159</c:v>
                </c:pt>
                <c:pt idx="54">
                  <c:v>42.267441165202897</c:v>
                </c:pt>
                <c:pt idx="55">
                  <c:v>42.593889286518923</c:v>
                </c:pt>
                <c:pt idx="56">
                  <c:v>42.919015294624593</c:v>
                </c:pt>
                <c:pt idx="57">
                  <c:v>43.24291780859695</c:v>
                </c:pt>
                <c:pt idx="58">
                  <c:v>43.565692964355868</c:v>
                </c:pt>
                <c:pt idx="59">
                  <c:v>43.887440077722459</c:v>
                </c:pt>
                <c:pt idx="60">
                  <c:v>44.208258375910646</c:v>
                </c:pt>
                <c:pt idx="61">
                  <c:v>44.528246997501476</c:v>
                </c:pt>
                <c:pt idx="62">
                  <c:v>44.84750498995021</c:v>
                </c:pt>
                <c:pt idx="63">
                  <c:v>45.16613130848841</c:v>
                </c:pt>
                <c:pt idx="64">
                  <c:v>45.485049397788629</c:v>
                </c:pt>
                <c:pt idx="65">
                  <c:v>45.80478877938755</c:v>
                </c:pt>
                <c:pt idx="66">
                  <c:v>46.124856927693891</c:v>
                </c:pt>
                <c:pt idx="67">
                  <c:v>46.444758701325554</c:v>
                </c:pt>
                <c:pt idx="68">
                  <c:v>46.76399912208489</c:v>
                </c:pt>
                <c:pt idx="69">
                  <c:v>47.082083376949726</c:v>
                </c:pt>
                <c:pt idx="70">
                  <c:v>47.398516817281447</c:v>
                </c:pt>
                <c:pt idx="71">
                  <c:v>47.712803710175145</c:v>
                </c:pt>
                <c:pt idx="72">
                  <c:v>48.024450620965005</c:v>
                </c:pt>
                <c:pt idx="73">
                  <c:v>48.332963402629261</c:v>
                </c:pt>
                <c:pt idx="74">
                  <c:v>48.637848076476089</c:v>
                </c:pt>
                <c:pt idx="75">
                  <c:v>48.938610837393028</c:v>
                </c:pt>
                <c:pt idx="76">
                  <c:v>49.234758052024851</c:v>
                </c:pt>
                <c:pt idx="77">
                  <c:v>49.525796265340709</c:v>
                </c:pt>
                <c:pt idx="78">
                  <c:v>49.813965615861804</c:v>
                </c:pt>
                <c:pt idx="79">
                  <c:v>50.101372637299875</c:v>
                </c:pt>
                <c:pt idx="80">
                  <c:v>50.387322790606376</c:v>
                </c:pt>
                <c:pt idx="81">
                  <c:v>50.671124112500372</c:v>
                </c:pt>
                <c:pt idx="82">
                  <c:v>50.952084915167887</c:v>
                </c:pt>
                <c:pt idx="83">
                  <c:v>51.229513789545372</c:v>
                </c:pt>
                <c:pt idx="84">
                  <c:v>51.502719608712297</c:v>
                </c:pt>
                <c:pt idx="85">
                  <c:v>51.771012055901515</c:v>
                </c:pt>
                <c:pt idx="86">
                  <c:v>52.033701855988376</c:v>
                </c:pt>
                <c:pt idx="87">
                  <c:v>52.290098769601599</c:v>
                </c:pt>
                <c:pt idx="88">
                  <c:v>52.539512861433124</c:v>
                </c:pt>
                <c:pt idx="89">
                  <c:v>52.781254504542936</c:v>
                </c:pt>
                <c:pt idx="90">
                  <c:v>53.014634390554676</c:v>
                </c:pt>
                <c:pt idx="91">
                  <c:v>53.238963530028506</c:v>
                </c:pt>
                <c:pt idx="92">
                  <c:v>53.455065796187171</c:v>
                </c:pt>
                <c:pt idx="93">
                  <c:v>53.664290117932026</c:v>
                </c:pt>
                <c:pt idx="94">
                  <c:v>53.866737139943922</c:v>
                </c:pt>
                <c:pt idx="95">
                  <c:v>54.062506599719129</c:v>
                </c:pt>
                <c:pt idx="96">
                  <c:v>54.251698212015157</c:v>
                </c:pt>
                <c:pt idx="97">
                  <c:v>54.434411675855372</c:v>
                </c:pt>
                <c:pt idx="98">
                  <c:v>54.610746672415019</c:v>
                </c:pt>
                <c:pt idx="99">
                  <c:v>54.780801705887185</c:v>
                </c:pt>
                <c:pt idx="100">
                  <c:v>54.944675868252091</c:v>
                </c:pt>
                <c:pt idx="101">
                  <c:v>55.102468786184915</c:v>
                </c:pt>
                <c:pt idx="102">
                  <c:v>55.254280075279624</c:v>
                </c:pt>
                <c:pt idx="103">
                  <c:v>55.400209351622443</c:v>
                </c:pt>
                <c:pt idx="104">
                  <c:v>55.540356224778243</c:v>
                </c:pt>
                <c:pt idx="105">
                  <c:v>55.674820309694219</c:v>
                </c:pt>
                <c:pt idx="106">
                  <c:v>55.802388132077638</c:v>
                </c:pt>
                <c:pt idx="107">
                  <c:v>55.922108877425337</c:v>
                </c:pt>
                <c:pt idx="108">
                  <c:v>56.034477546892248</c:v>
                </c:pt>
                <c:pt idx="109">
                  <c:v>56.139988302021372</c:v>
                </c:pt>
                <c:pt idx="110">
                  <c:v>56.239135130655939</c:v>
                </c:pt>
                <c:pt idx="111">
                  <c:v>56.332411852417408</c:v>
                </c:pt>
                <c:pt idx="112">
                  <c:v>56.420312116476069</c:v>
                </c:pt>
                <c:pt idx="113">
                  <c:v>56.503329400184057</c:v>
                </c:pt>
                <c:pt idx="114">
                  <c:v>56.58195829434576</c:v>
                </c:pt>
                <c:pt idx="115">
                  <c:v>56.656691971923557</c:v>
                </c:pt>
                <c:pt idx="116">
                  <c:v>56.728023437160296</c:v>
                </c:pt>
                <c:pt idx="117">
                  <c:v>56.796445529558149</c:v>
                </c:pt>
                <c:pt idx="118">
                  <c:v>56.862450922759706</c:v>
                </c:pt>
                <c:pt idx="119">
                  <c:v>59.140453864852944</c:v>
                </c:pt>
                <c:pt idx="120">
                  <c:v>59.202674429537417</c:v>
                </c:pt>
                <c:pt idx="121">
                  <c:v>59.260305713014304</c:v>
                </c:pt>
                <c:pt idx="122">
                  <c:v>59.313554418056576</c:v>
                </c:pt>
                <c:pt idx="123">
                  <c:v>59.362626497151538</c:v>
                </c:pt>
                <c:pt idx="124">
                  <c:v>59.40772781267232</c:v>
                </c:pt>
                <c:pt idx="125">
                  <c:v>59.449064134640139</c:v>
                </c:pt>
                <c:pt idx="126">
                  <c:v>59.486841138730313</c:v>
                </c:pt>
                <c:pt idx="127">
                  <c:v>59.521264415502344</c:v>
                </c:pt>
                <c:pt idx="128">
                  <c:v>59.552539464517018</c:v>
                </c:pt>
                <c:pt idx="129">
                  <c:v>59.58087169678263</c:v>
                </c:pt>
                <c:pt idx="130">
                  <c:v>59.606466440319799</c:v>
                </c:pt>
                <c:pt idx="131">
                  <c:v>59.629528935377245</c:v>
                </c:pt>
                <c:pt idx="132">
                  <c:v>59.650264338568732</c:v>
                </c:pt>
                <c:pt idx="133">
                  <c:v>59.668877722689274</c:v>
                </c:pt>
                <c:pt idx="134">
                  <c:v>59.684843683333654</c:v>
                </c:pt>
                <c:pt idx="135">
                  <c:v>59.697569242150877</c:v>
                </c:pt>
                <c:pt idx="136">
                  <c:v>59.707158032884443</c:v>
                </c:pt>
                <c:pt idx="137">
                  <c:v>59.713713668056926</c:v>
                </c:pt>
                <c:pt idx="138">
                  <c:v>59.717339741158774</c:v>
                </c:pt>
                <c:pt idx="139">
                  <c:v>59.718139821980742</c:v>
                </c:pt>
                <c:pt idx="140">
                  <c:v>59.716217461646558</c:v>
                </c:pt>
                <c:pt idx="141">
                  <c:v>59.711676187155376</c:v>
                </c:pt>
                <c:pt idx="142">
                  <c:v>59.704619503904723</c:v>
                </c:pt>
                <c:pt idx="143">
                  <c:v>59.695150891094855</c:v>
                </c:pt>
                <c:pt idx="144">
                  <c:v>59.683373801489026</c:v>
                </c:pt>
                <c:pt idx="145">
                  <c:v>59.669391662108545</c:v>
                </c:pt>
                <c:pt idx="146">
                  <c:v>59.65330786845071</c:v>
                </c:pt>
                <c:pt idx="147">
                  <c:v>59.635225783678955</c:v>
                </c:pt>
                <c:pt idx="148">
                  <c:v>59.614774144417531</c:v>
                </c:pt>
                <c:pt idx="149">
                  <c:v>59.591581937009231</c:v>
                </c:pt>
                <c:pt idx="150">
                  <c:v>59.565752849227479</c:v>
                </c:pt>
                <c:pt idx="151">
                  <c:v>59.537390524486156</c:v>
                </c:pt>
                <c:pt idx="152">
                  <c:v>59.506598560425175</c:v>
                </c:pt>
                <c:pt idx="153">
                  <c:v>59.473480507211569</c:v>
                </c:pt>
                <c:pt idx="154">
                  <c:v>59.438139860655411</c:v>
                </c:pt>
                <c:pt idx="155">
                  <c:v>59.40068006181518</c:v>
                </c:pt>
                <c:pt idx="156">
                  <c:v>59.361204490910438</c:v>
                </c:pt>
                <c:pt idx="157">
                  <c:v>59.319816465810128</c:v>
                </c:pt>
                <c:pt idx="158">
                  <c:v>59.276619238116389</c:v>
                </c:pt>
                <c:pt idx="159">
                  <c:v>59.231715988903019</c:v>
                </c:pt>
                <c:pt idx="160">
                  <c:v>59.185209823106703</c:v>
                </c:pt>
                <c:pt idx="161">
                  <c:v>59.137203771551555</c:v>
                </c:pt>
                <c:pt idx="162">
                  <c:v>59.087547074543657</c:v>
                </c:pt>
                <c:pt idx="163">
                  <c:v>59.036021397502743</c:v>
                </c:pt>
                <c:pt idx="164">
                  <c:v>58.982628323244235</c:v>
                </c:pt>
                <c:pt idx="165">
                  <c:v>58.927369406136584</c:v>
                </c:pt>
                <c:pt idx="166">
                  <c:v>58.870246165884993</c:v>
                </c:pt>
                <c:pt idx="167">
                  <c:v>58.811260086713546</c:v>
                </c:pt>
                <c:pt idx="168">
                  <c:v>58.750412611966418</c:v>
                </c:pt>
                <c:pt idx="169">
                  <c:v>58.687705144650501</c:v>
                </c:pt>
                <c:pt idx="170">
                  <c:v>58.623139043063304</c:v>
                </c:pt>
                <c:pt idx="171">
                  <c:v>58.556715619943233</c:v>
                </c:pt>
                <c:pt idx="172">
                  <c:v>58.48843613806892</c:v>
                </c:pt>
                <c:pt idx="173">
                  <c:v>58.418301813114425</c:v>
                </c:pt>
                <c:pt idx="174">
                  <c:v>58.346313808671134</c:v>
                </c:pt>
                <c:pt idx="175">
                  <c:v>58.27247323799336</c:v>
                </c:pt>
                <c:pt idx="176">
                  <c:v>58.196342318666979</c:v>
                </c:pt>
                <c:pt idx="177">
                  <c:v>58.117618484192199</c:v>
                </c:pt>
                <c:pt idx="178">
                  <c:v>58.036505499592288</c:v>
                </c:pt>
                <c:pt idx="179">
                  <c:v>57.953206958968742</c:v>
                </c:pt>
                <c:pt idx="180">
                  <c:v>57.867926284925943</c:v>
                </c:pt>
                <c:pt idx="181">
                  <c:v>57.780866731993321</c:v>
                </c:pt>
                <c:pt idx="182">
                  <c:v>57.692231388424794</c:v>
                </c:pt>
                <c:pt idx="183">
                  <c:v>57.6022231787083</c:v>
                </c:pt>
                <c:pt idx="184">
                  <c:v>57.511044865014846</c:v>
                </c:pt>
                <c:pt idx="185">
                  <c:v>57.418899050739142</c:v>
                </c:pt>
                <c:pt idx="186">
                  <c:v>57.325988184019408</c:v>
                </c:pt>
                <c:pt idx="187">
                  <c:v>57.232514560723104</c:v>
                </c:pt>
                <c:pt idx="188">
                  <c:v>57.1386803272473</c:v>
                </c:pt>
                <c:pt idx="189">
                  <c:v>57.044687485553403</c:v>
                </c:pt>
                <c:pt idx="190">
                  <c:v>56.9502325648034</c:v>
                </c:pt>
                <c:pt idx="191">
                  <c:v>56.854877509158918</c:v>
                </c:pt>
                <c:pt idx="192">
                  <c:v>56.758622319435709</c:v>
                </c:pt>
                <c:pt idx="193">
                  <c:v>56.661466978998966</c:v>
                </c:pt>
                <c:pt idx="194">
                  <c:v>56.563411456391549</c:v>
                </c:pt>
                <c:pt idx="195">
                  <c:v>56.464455708831295</c:v>
                </c:pt>
                <c:pt idx="196">
                  <c:v>56.36459968620062</c:v>
                </c:pt>
                <c:pt idx="197">
                  <c:v>56.263843332533725</c:v>
                </c:pt>
                <c:pt idx="198">
                  <c:v>56.162186590654152</c:v>
                </c:pt>
                <c:pt idx="199">
                  <c:v>56.059629404336341</c:v>
                </c:pt>
                <c:pt idx="200">
                  <c:v>55.956171721525926</c:v>
                </c:pt>
                <c:pt idx="201">
                  <c:v>55.851813496689168</c:v>
                </c:pt>
                <c:pt idx="202">
                  <c:v>55.746554694368619</c:v>
                </c:pt>
                <c:pt idx="203">
                  <c:v>55.640395290088151</c:v>
                </c:pt>
                <c:pt idx="204">
                  <c:v>55.533553818641984</c:v>
                </c:pt>
                <c:pt idx="205">
                  <c:v>55.426181474044952</c:v>
                </c:pt>
                <c:pt idx="206">
                  <c:v>55.318177286592388</c:v>
                </c:pt>
                <c:pt idx="207">
                  <c:v>55.209440361596457</c:v>
                </c:pt>
                <c:pt idx="208">
                  <c:v>55.099869880985601</c:v>
                </c:pt>
                <c:pt idx="209">
                  <c:v>54.989365104061633</c:v>
                </c:pt>
                <c:pt idx="210">
                  <c:v>54.877825367937319</c:v>
                </c:pt>
                <c:pt idx="211">
                  <c:v>54.76515008832876</c:v>
                </c:pt>
                <c:pt idx="212">
                  <c:v>54.65123875921244</c:v>
                </c:pt>
                <c:pt idx="213">
                  <c:v>54.535990952474485</c:v>
                </c:pt>
                <c:pt idx="214">
                  <c:v>54.419306319563788</c:v>
                </c:pt>
                <c:pt idx="215">
                  <c:v>54.301084588501098</c:v>
                </c:pt>
                <c:pt idx="216">
                  <c:v>54.181225564832324</c:v>
                </c:pt>
                <c:pt idx="217">
                  <c:v>54.059629131050805</c:v>
                </c:pt>
                <c:pt idx="218">
                  <c:v>53.936228802406092</c:v>
                </c:pt>
                <c:pt idx="219">
                  <c:v>53.811092362904809</c:v>
                </c:pt>
                <c:pt idx="220">
                  <c:v>53.684321127338826</c:v>
                </c:pt>
                <c:pt idx="221">
                  <c:v>53.556016373388466</c:v>
                </c:pt>
                <c:pt idx="222">
                  <c:v>53.426279340547332</c:v>
                </c:pt>
                <c:pt idx="223">
                  <c:v>53.295211229970221</c:v>
                </c:pt>
                <c:pt idx="224">
                  <c:v>53.162913203003257</c:v>
                </c:pt>
                <c:pt idx="225">
                  <c:v>53.029485237554383</c:v>
                </c:pt>
                <c:pt idx="226">
                  <c:v>52.895028413096796</c:v>
                </c:pt>
                <c:pt idx="227">
                  <c:v>52.759643766714213</c:v>
                </c:pt>
                <c:pt idx="228">
                  <c:v>52.623432292044839</c:v>
                </c:pt>
                <c:pt idx="229">
                  <c:v>52.486494938994497</c:v>
                </c:pt>
                <c:pt idx="230">
                  <c:v>52.348932611650149</c:v>
                </c:pt>
                <c:pt idx="231">
                  <c:v>52.210846169970957</c:v>
                </c:pt>
                <c:pt idx="232">
                  <c:v>52.072956071416492</c:v>
                </c:pt>
                <c:pt idx="233">
                  <c:v>51.9356450599807</c:v>
                </c:pt>
                <c:pt idx="234">
                  <c:v>51.798511219736604</c:v>
                </c:pt>
                <c:pt idx="235">
                  <c:v>51.661152856440793</c:v>
                </c:pt>
                <c:pt idx="236">
                  <c:v>51.523168497837979</c:v>
                </c:pt>
                <c:pt idx="237">
                  <c:v>51.384156893391165</c:v>
                </c:pt>
                <c:pt idx="238">
                  <c:v>51.243717010783094</c:v>
                </c:pt>
                <c:pt idx="239">
                  <c:v>51.10144667062513</c:v>
                </c:pt>
                <c:pt idx="240">
                  <c:v>50.95694641367642</c:v>
                </c:pt>
                <c:pt idx="241">
                  <c:v>50.809815865017605</c:v>
                </c:pt>
                <c:pt idx="242">
                  <c:v>50.659654863649259</c:v>
                </c:pt>
                <c:pt idx="243">
                  <c:v>50.50606346744749</c:v>
                </c:pt>
                <c:pt idx="244">
                  <c:v>50.348641946567732</c:v>
                </c:pt>
                <c:pt idx="245">
                  <c:v>50.186990789923371</c:v>
                </c:pt>
                <c:pt idx="246">
                  <c:v>50.022365598689881</c:v>
                </c:pt>
                <c:pt idx="247">
                  <c:v>49.856089291416751</c:v>
                </c:pt>
                <c:pt idx="248">
                  <c:v>49.687864353899243</c:v>
                </c:pt>
                <c:pt idx="249">
                  <c:v>49.517391022924855</c:v>
                </c:pt>
                <c:pt idx="250">
                  <c:v>49.344369698179861</c:v>
                </c:pt>
                <c:pt idx="251">
                  <c:v>49.168500943522638</c:v>
                </c:pt>
                <c:pt idx="252">
                  <c:v>48.989485484372771</c:v>
                </c:pt>
                <c:pt idx="253">
                  <c:v>48.807022510353555</c:v>
                </c:pt>
                <c:pt idx="254">
                  <c:v>48.620814422124845</c:v>
                </c:pt>
                <c:pt idx="255">
                  <c:v>48.430562426041512</c:v>
                </c:pt>
                <c:pt idx="256">
                  <c:v>48.235967887717024</c:v>
                </c:pt>
                <c:pt idx="257">
                  <c:v>48.036732325466851</c:v>
                </c:pt>
                <c:pt idx="258">
                  <c:v>47.832557410934292</c:v>
                </c:pt>
                <c:pt idx="259">
                  <c:v>47.623144964409335</c:v>
                </c:pt>
                <c:pt idx="260">
                  <c:v>47.408730913087304</c:v>
                </c:pt>
                <c:pt idx="261">
                  <c:v>47.18981563370275</c:v>
                </c:pt>
                <c:pt idx="262">
                  <c:v>46.966500188149631</c:v>
                </c:pt>
                <c:pt idx="263">
                  <c:v>46.73888666237108</c:v>
                </c:pt>
                <c:pt idx="264">
                  <c:v>46.507077083444621</c:v>
                </c:pt>
                <c:pt idx="265">
                  <c:v>46.27117340495694</c:v>
                </c:pt>
                <c:pt idx="266">
                  <c:v>46.031277518563819</c:v>
                </c:pt>
                <c:pt idx="267">
                  <c:v>45.787495598887432</c:v>
                </c:pt>
                <c:pt idx="268">
                  <c:v>45.539931002743209</c:v>
                </c:pt>
                <c:pt idx="269">
                  <c:v>45.288685361220949</c:v>
                </c:pt>
                <c:pt idx="270">
                  <c:v>45.033860221212322</c:v>
                </c:pt>
                <c:pt idx="271">
                  <c:v>44.775557045417948</c:v>
                </c:pt>
                <c:pt idx="272">
                  <c:v>44.513877209010296</c:v>
                </c:pt>
                <c:pt idx="273">
                  <c:v>44.248921998177586</c:v>
                </c:pt>
                <c:pt idx="274">
                  <c:v>43.980109635169931</c:v>
                </c:pt>
                <c:pt idx="275">
                  <c:v>43.706921941474413</c:v>
                </c:pt>
                <c:pt idx="276">
                  <c:v>43.429562585316816</c:v>
                </c:pt>
                <c:pt idx="277">
                  <c:v>43.148232798227951</c:v>
                </c:pt>
                <c:pt idx="278">
                  <c:v>42.863133649129338</c:v>
                </c:pt>
                <c:pt idx="279">
                  <c:v>42.574466050764421</c:v>
                </c:pt>
                <c:pt idx="280">
                  <c:v>42.28243075457474</c:v>
                </c:pt>
                <c:pt idx="281">
                  <c:v>41.98722292462903</c:v>
                </c:pt>
                <c:pt idx="282">
                  <c:v>41.689038995280519</c:v>
                </c:pt>
                <c:pt idx="283">
                  <c:v>41.388079391087906</c:v>
                </c:pt>
                <c:pt idx="284">
                  <c:v>41.084544383124673</c:v>
                </c:pt>
                <c:pt idx="285">
                  <c:v>40.77863408697133</c:v>
                </c:pt>
                <c:pt idx="286">
                  <c:v>40.470548464696265</c:v>
                </c:pt>
                <c:pt idx="287">
                  <c:v>40.160487325825521</c:v>
                </c:pt>
                <c:pt idx="288">
                  <c:v>39.845773140815858</c:v>
                </c:pt>
                <c:pt idx="289">
                  <c:v>39.524335184473728</c:v>
                </c:pt>
                <c:pt idx="290">
                  <c:v>39.197275221478264</c:v>
                </c:pt>
                <c:pt idx="291">
                  <c:v>38.865691402853336</c:v>
                </c:pt>
                <c:pt idx="292">
                  <c:v>38.530681325050551</c:v>
                </c:pt>
                <c:pt idx="293">
                  <c:v>38.193342038786021</c:v>
                </c:pt>
                <c:pt idx="294">
                  <c:v>37.854770062269971</c:v>
                </c:pt>
                <c:pt idx="295">
                  <c:v>37.516054300684438</c:v>
                </c:pt>
                <c:pt idx="296">
                  <c:v>37.178295252201892</c:v>
                </c:pt>
                <c:pt idx="297">
                  <c:v>36.842587907982903</c:v>
                </c:pt>
                <c:pt idx="298">
                  <c:v>36.510026797360482</c:v>
                </c:pt>
                <c:pt idx="299">
                  <c:v>36.181705970785195</c:v>
                </c:pt>
                <c:pt idx="300">
                  <c:v>35.858719001460656</c:v>
                </c:pt>
                <c:pt idx="301">
                  <c:v>35.542158998582693</c:v>
                </c:pt>
                <c:pt idx="302">
                  <c:v>35.229946776047491</c:v>
                </c:pt>
                <c:pt idx="303">
                  <c:v>34.919369697377711</c:v>
                </c:pt>
                <c:pt idx="304">
                  <c:v>34.610619905075652</c:v>
                </c:pt>
                <c:pt idx="305">
                  <c:v>34.303895852913918</c:v>
                </c:pt>
                <c:pt idx="306">
                  <c:v>33.999395916698205</c:v>
                </c:pt>
                <c:pt idx="307">
                  <c:v>33.697318399165049</c:v>
                </c:pt>
                <c:pt idx="308">
                  <c:v>33.397861525033576</c:v>
                </c:pt>
                <c:pt idx="309">
                  <c:v>33.101155239892762</c:v>
                </c:pt>
                <c:pt idx="310">
                  <c:v>32.807405803943148</c:v>
                </c:pt>
                <c:pt idx="311">
                  <c:v>32.51681301627665</c:v>
                </c:pt>
                <c:pt idx="312">
                  <c:v>32.229576560798264</c:v>
                </c:pt>
                <c:pt idx="313">
                  <c:v>31.945895999923692</c:v>
                </c:pt>
                <c:pt idx="314">
                  <c:v>31.665970763185207</c:v>
                </c:pt>
                <c:pt idx="315">
                  <c:v>31.390000139129167</c:v>
                </c:pt>
                <c:pt idx="316">
                  <c:v>31.115745580242159</c:v>
                </c:pt>
                <c:pt idx="317">
                  <c:v>30.841376626251776</c:v>
                </c:pt>
                <c:pt idx="318">
                  <c:v>30.567822979007946</c:v>
                </c:pt>
                <c:pt idx="319">
                  <c:v>30.295981375791118</c:v>
                </c:pt>
                <c:pt idx="320">
                  <c:v>30.026748072358249</c:v>
                </c:pt>
                <c:pt idx="321">
                  <c:v>29.761018824430852</c:v>
                </c:pt>
                <c:pt idx="322">
                  <c:v>29.499688893488329</c:v>
                </c:pt>
                <c:pt idx="323">
                  <c:v>29.243678305308062</c:v>
                </c:pt>
                <c:pt idx="324">
                  <c:v>28.993939680750238</c:v>
                </c:pt>
                <c:pt idx="325">
                  <c:v>28.751364587177683</c:v>
                </c:pt>
                <c:pt idx="326">
                  <c:v>28.516844380399021</c:v>
                </c:pt>
                <c:pt idx="327">
                  <c:v>28.291269965508526</c:v>
                </c:pt>
                <c:pt idx="328">
                  <c:v>28.075531741613066</c:v>
                </c:pt>
                <c:pt idx="329">
                  <c:v>27.870519710494804</c:v>
                </c:pt>
                <c:pt idx="330">
                  <c:v>27.674242229316079</c:v>
                </c:pt>
                <c:pt idx="331">
                  <c:v>27.484374418049374</c:v>
                </c:pt>
                <c:pt idx="332">
                  <c:v>27.301259867399704</c:v>
                </c:pt>
                <c:pt idx="333">
                  <c:v>27.12519103307465</c:v>
                </c:pt>
                <c:pt idx="334">
                  <c:v>26.956460468364948</c:v>
                </c:pt>
                <c:pt idx="335">
                  <c:v>26.795360848699463</c:v>
                </c:pt>
                <c:pt idx="336">
                  <c:v>26.642184959744032</c:v>
                </c:pt>
                <c:pt idx="337">
                  <c:v>26.497256336063668</c:v>
                </c:pt>
                <c:pt idx="338">
                  <c:v>26.360844841972526</c:v>
                </c:pt>
                <c:pt idx="339">
                  <c:v>26.233243497348621</c:v>
                </c:pt>
                <c:pt idx="340">
                  <c:v>26.114745442046882</c:v>
                </c:pt>
                <c:pt idx="341">
                  <c:v>26.005643915430561</c:v>
                </c:pt>
                <c:pt idx="342">
                  <c:v>25.906232260500264</c:v>
                </c:pt>
                <c:pt idx="343">
                  <c:v>25.816803896498133</c:v>
                </c:pt>
                <c:pt idx="344">
                  <c:v>25.736302017331472</c:v>
                </c:pt>
                <c:pt idx="345">
                  <c:v>25.663658609904381</c:v>
                </c:pt>
                <c:pt idx="346">
                  <c:v>25.599113689375912</c:v>
                </c:pt>
                <c:pt idx="347">
                  <c:v>25.542944380050741</c:v>
                </c:pt>
                <c:pt idx="348">
                  <c:v>25.495427780111374</c:v>
                </c:pt>
                <c:pt idx="349">
                  <c:v>25.45684096141391</c:v>
                </c:pt>
                <c:pt idx="350">
                  <c:v>25.427460943257916</c:v>
                </c:pt>
                <c:pt idx="351">
                  <c:v>25.407586149296066</c:v>
                </c:pt>
                <c:pt idx="352">
                  <c:v>25.397464375548864</c:v>
                </c:pt>
                <c:pt idx="353">
                  <c:v>25.397372494653034</c:v>
                </c:pt>
                <c:pt idx="354">
                  <c:v>25.407587280827975</c:v>
                </c:pt>
                <c:pt idx="355">
                  <c:v>25.42838539749102</c:v>
                </c:pt>
                <c:pt idx="356">
                  <c:v>25.460043484053827</c:v>
                </c:pt>
                <c:pt idx="357">
                  <c:v>25.50283795022759</c:v>
                </c:pt>
                <c:pt idx="358">
                  <c:v>25.556805034074774</c:v>
                </c:pt>
                <c:pt idx="359">
                  <c:v>25.621663826532558</c:v>
                </c:pt>
                <c:pt idx="360">
                  <c:v>25.697243832413353</c:v>
                </c:pt>
                <c:pt idx="361">
                  <c:v>25.783324741105723</c:v>
                </c:pt>
                <c:pt idx="362">
                  <c:v>25.879707532000555</c:v>
                </c:pt>
                <c:pt idx="363">
                  <c:v>25.98619323976903</c:v>
                </c:pt>
                <c:pt idx="364">
                  <c:v>26.102582942487683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9.7090382473722485</c:v>
                </c:pt>
                <c:pt idx="1">
                  <c:v>1.5546261096107357</c:v>
                </c:pt>
                <c:pt idx="2">
                  <c:v>16.000332650441255</c:v>
                </c:pt>
                <c:pt idx="3">
                  <c:v>14.332148210412253</c:v>
                </c:pt>
                <c:pt idx="4">
                  <c:v>14.150192948509918</c:v>
                </c:pt>
                <c:pt idx="5">
                  <c:v>4.646969464571602</c:v>
                </c:pt>
                <c:pt idx="6">
                  <c:v>17.967222456815868</c:v>
                </c:pt>
                <c:pt idx="7">
                  <c:v>6.7094268752821202</c:v>
                </c:pt>
                <c:pt idx="8">
                  <c:v>8.5862722281178119</c:v>
                </c:pt>
                <c:pt idx="9">
                  <c:v>24.483605709208813</c:v>
                </c:pt>
                <c:pt idx="10">
                  <c:v>4.45233930605536</c:v>
                </c:pt>
                <c:pt idx="11">
                  <c:v>23.800419571704932</c:v>
                </c:pt>
                <c:pt idx="12">
                  <c:v>13.457550009432712</c:v>
                </c:pt>
                <c:pt idx="13">
                  <c:v>18.171658864480779</c:v>
                </c:pt>
                <c:pt idx="14">
                  <c:v>5.9217321254658399</c:v>
                </c:pt>
                <c:pt idx="15">
                  <c:v>3.5915310523525079</c:v>
                </c:pt>
                <c:pt idx="16">
                  <c:v>6.7580477430917361</c:v>
                </c:pt>
                <c:pt idx="17">
                  <c:v>19.35570257357136</c:v>
                </c:pt>
                <c:pt idx="18">
                  <c:v>10.171704963796975</c:v>
                </c:pt>
                <c:pt idx="19">
                  <c:v>18.23592396307011</c:v>
                </c:pt>
                <c:pt idx="20">
                  <c:v>6.6329047719372296</c:v>
                </c:pt>
                <c:pt idx="21">
                  <c:v>31.26729350676165</c:v>
                </c:pt>
                <c:pt idx="22">
                  <c:v>31.165346352742276</c:v>
                </c:pt>
                <c:pt idx="23">
                  <c:v>32.180536705226281</c:v>
                </c:pt>
                <c:pt idx="24">
                  <c:v>29.79124291867387</c:v>
                </c:pt>
                <c:pt idx="25">
                  <c:v>31.411926585915271</c:v>
                </c:pt>
                <c:pt idx="26">
                  <c:v>27.725582623686055</c:v>
                </c:pt>
                <c:pt idx="27">
                  <c:v>4.2331613600582481</c:v>
                </c:pt>
                <c:pt idx="28">
                  <c:v>8.0529858735237969</c:v>
                </c:pt>
                <c:pt idx="29">
                  <c:v>4.6597358739341042</c:v>
                </c:pt>
                <c:pt idx="30">
                  <c:v>7.4308974326403927</c:v>
                </c:pt>
                <c:pt idx="31">
                  <c:v>16.305807927185157</c:v>
                </c:pt>
                <c:pt idx="32">
                  <c:v>5.353456076295438</c:v>
                </c:pt>
                <c:pt idx="33">
                  <c:v>10.765229298552205</c:v>
                </c:pt>
                <c:pt idx="34">
                  <c:v>11.117973750649012</c:v>
                </c:pt>
                <c:pt idx="35">
                  <c:v>9.173198991790974</c:v>
                </c:pt>
                <c:pt idx="36">
                  <c:v>25.094922173384184</c:v>
                </c:pt>
                <c:pt idx="37">
                  <c:v>9.0026093856589782</c:v>
                </c:pt>
                <c:pt idx="38">
                  <c:v>36.382658131710706</c:v>
                </c:pt>
                <c:pt idx="39">
                  <c:v>37.124276514880364</c:v>
                </c:pt>
                <c:pt idx="40">
                  <c:v>34.806103530905439</c:v>
                </c:pt>
                <c:pt idx="41">
                  <c:v>17.20334814702797</c:v>
                </c:pt>
                <c:pt idx="42">
                  <c:v>27.964498749771849</c:v>
                </c:pt>
                <c:pt idx="43">
                  <c:v>34.821628284603463</c:v>
                </c:pt>
                <c:pt idx="44">
                  <c:v>15.324303070176994</c:v>
                </c:pt>
                <c:pt idx="45">
                  <c:v>19.482386672011057</c:v>
                </c:pt>
                <c:pt idx="46">
                  <c:v>8.7781410591436071</c:v>
                </c:pt>
                <c:pt idx="47">
                  <c:v>11.071021681612047</c:v>
                </c:pt>
                <c:pt idx="48">
                  <c:v>31.407448032671404</c:v>
                </c:pt>
                <c:pt idx="49">
                  <c:v>18.900922132348093</c:v>
                </c:pt>
                <c:pt idx="50">
                  <c:v>20.549065679273237</c:v>
                </c:pt>
                <c:pt idx="51">
                  <c:v>21.630368185611417</c:v>
                </c:pt>
                <c:pt idx="52">
                  <c:v>34.184729695970013</c:v>
                </c:pt>
                <c:pt idx="53">
                  <c:v>36.324059191583864</c:v>
                </c:pt>
                <c:pt idx="54">
                  <c:v>25.038084283016911</c:v>
                </c:pt>
                <c:pt idx="55">
                  <c:v>29.664603042157008</c:v>
                </c:pt>
                <c:pt idx="56">
                  <c:v>44.61209392130931</c:v>
                </c:pt>
                <c:pt idx="57">
                  <c:v>26.278615589008666</c:v>
                </c:pt>
                <c:pt idx="58">
                  <c:v>37.570363861332318</c:v>
                </c:pt>
                <c:pt idx="59">
                  <c:v>42.564707700166089</c:v>
                </c:pt>
                <c:pt idx="60">
                  <c:v>12.48367744963744</c:v>
                </c:pt>
                <c:pt idx="61">
                  <c:v>34.435097091483478</c:v>
                </c:pt>
                <c:pt idx="62">
                  <c:v>3.6869215165976437</c:v>
                </c:pt>
                <c:pt idx="63">
                  <c:v>12.628820816515489</c:v>
                </c:pt>
                <c:pt idx="64">
                  <c:v>15.516724124151381</c:v>
                </c:pt>
                <c:pt idx="65">
                  <c:v>37.862091669783084</c:v>
                </c:pt>
                <c:pt idx="66">
                  <c:v>35.523811336143758</c:v>
                </c:pt>
                <c:pt idx="67">
                  <c:v>31.047299029515212</c:v>
                </c:pt>
                <c:pt idx="68">
                  <c:v>26.254958779456928</c:v>
                </c:pt>
                <c:pt idx="69">
                  <c:v>16.723557938967843</c:v>
                </c:pt>
                <c:pt idx="70">
                  <c:v>13.748166873507664</c:v>
                </c:pt>
                <c:pt idx="71">
                  <c:v>7.9216628508684916</c:v>
                </c:pt>
                <c:pt idx="72">
                  <c:v>14.217358757598596</c:v>
                </c:pt>
                <c:pt idx="73">
                  <c:v>13.481532233354914</c:v>
                </c:pt>
                <c:pt idx="74">
                  <c:v>13.554570009613849</c:v>
                </c:pt>
                <c:pt idx="75">
                  <c:v>11.175592301817657</c:v>
                </c:pt>
                <c:pt idx="76">
                  <c:v>14.006901458832939</c:v>
                </c:pt>
                <c:pt idx="77">
                  <c:v>28.14829901314889</c:v>
                </c:pt>
                <c:pt idx="78">
                  <c:v>31.147837070805767</c:v>
                </c:pt>
                <c:pt idx="79">
                  <c:v>45.626762560499841</c:v>
                </c:pt>
                <c:pt idx="80">
                  <c:v>42.951346076229271</c:v>
                </c:pt>
                <c:pt idx="81">
                  <c:v>48.842817013548036</c:v>
                </c:pt>
                <c:pt idx="82">
                  <c:v>48.197224978576742</c:v>
                </c:pt>
                <c:pt idx="83">
                  <c:v>40.461924278907027</c:v>
                </c:pt>
                <c:pt idx="84">
                  <c:v>46.798314463349818</c:v>
                </c:pt>
                <c:pt idx="85">
                  <c:v>45.977400442949588</c:v>
                </c:pt>
                <c:pt idx="86">
                  <c:v>36.676505878101644</c:v>
                </c:pt>
                <c:pt idx="87">
                  <c:v>27.487265979597712</c:v>
                </c:pt>
                <c:pt idx="88">
                  <c:v>7.4726581253889997</c:v>
                </c:pt>
                <c:pt idx="89">
                  <c:v>25.36843265046036</c:v>
                </c:pt>
                <c:pt idx="90">
                  <c:v>30.145269188875687</c:v>
                </c:pt>
                <c:pt idx="91">
                  <c:v>19.364550828547188</c:v>
                </c:pt>
                <c:pt idx="92">
                  <c:v>23.994667901776825</c:v>
                </c:pt>
                <c:pt idx="93">
                  <c:v>45.345359053493567</c:v>
                </c:pt>
                <c:pt idx="94">
                  <c:v>52.057263592423652</c:v>
                </c:pt>
                <c:pt idx="95">
                  <c:v>11.003041939691029</c:v>
                </c:pt>
                <c:pt idx="96">
                  <c:v>39.91338486977952</c:v>
                </c:pt>
                <c:pt idx="97">
                  <c:v>34.2287644153594</c:v>
                </c:pt>
                <c:pt idx="98">
                  <c:v>33.739449005851853</c:v>
                </c:pt>
                <c:pt idx="99">
                  <c:v>54.76505681904181</c:v>
                </c:pt>
                <c:pt idx="100">
                  <c:v>45.804307257254742</c:v>
                </c:pt>
                <c:pt idx="101">
                  <c:v>38.084518907325652</c:v>
                </c:pt>
                <c:pt idx="102">
                  <c:v>7.727640782220015</c:v>
                </c:pt>
                <c:pt idx="103">
                  <c:v>40.013982451788557</c:v>
                </c:pt>
                <c:pt idx="104">
                  <c:v>43.120625634621668</c:v>
                </c:pt>
                <c:pt idx="105">
                  <c:v>41.581403994702164</c:v>
                </c:pt>
                <c:pt idx="106">
                  <c:v>53.685018800212092</c:v>
                </c:pt>
                <c:pt idx="107">
                  <c:v>35.652797373222995</c:v>
                </c:pt>
                <c:pt idx="108">
                  <c:v>8.9972594877221663</c:v>
                </c:pt>
                <c:pt idx="109">
                  <c:v>9.319907187254266</c:v>
                </c:pt>
                <c:pt idx="110">
                  <c:v>8.8689828978798921</c:v>
                </c:pt>
                <c:pt idx="111">
                  <c:v>25.645146896744254</c:v>
                </c:pt>
                <c:pt idx="112">
                  <c:v>8.7375534221490039</c:v>
                </c:pt>
                <c:pt idx="113">
                  <c:v>28.688062793746113</c:v>
                </c:pt>
                <c:pt idx="114">
                  <c:v>43.625794491558629</c:v>
                </c:pt>
                <c:pt idx="115">
                  <c:v>53.636853421490763</c:v>
                </c:pt>
                <c:pt idx="116">
                  <c:v>40.961426546555899</c:v>
                </c:pt>
                <c:pt idx="117">
                  <c:v>23.07849731630245</c:v>
                </c:pt>
                <c:pt idx="118">
                  <c:v>41.877471357314427</c:v>
                </c:pt>
                <c:pt idx="119">
                  <c:v>44.584540018613744</c:v>
                </c:pt>
                <c:pt idx="120">
                  <c:v>48.323617662492758</c:v>
                </c:pt>
                <c:pt idx="121">
                  <c:v>29.941757461525345</c:v>
                </c:pt>
                <c:pt idx="122">
                  <c:v>39.177718141750113</c:v>
                </c:pt>
                <c:pt idx="123">
                  <c:v>20.958999855364905</c:v>
                </c:pt>
                <c:pt idx="124">
                  <c:v>43.892599005094084</c:v>
                </c:pt>
                <c:pt idx="125">
                  <c:v>41.734502512553718</c:v>
                </c:pt>
                <c:pt idx="126">
                  <c:v>51.877767302324898</c:v>
                </c:pt>
                <c:pt idx="127">
                  <c:v>51.050596248638961</c:v>
                </c:pt>
                <c:pt idx="128">
                  <c:v>56.280611559300588</c:v>
                </c:pt>
                <c:pt idx="129">
                  <c:v>54.248609214107098</c:v>
                </c:pt>
                <c:pt idx="130">
                  <c:v>58.139330303474772</c:v>
                </c:pt>
                <c:pt idx="131">
                  <c:v>41.561919496480108</c:v>
                </c:pt>
                <c:pt idx="132">
                  <c:v>42.661085457892298</c:v>
                </c:pt>
                <c:pt idx="133">
                  <c:v>52.912985384267024</c:v>
                </c:pt>
                <c:pt idx="134">
                  <c:v>55.186724649844955</c:v>
                </c:pt>
                <c:pt idx="135">
                  <c:v>52.772699442985413</c:v>
                </c:pt>
                <c:pt idx="136">
                  <c:v>56.015828345135226</c:v>
                </c:pt>
                <c:pt idx="137">
                  <c:v>53.079533982237351</c:v>
                </c:pt>
                <c:pt idx="138">
                  <c:v>56.570873973400268</c:v>
                </c:pt>
                <c:pt idx="139">
                  <c:v>51.465024582884141</c:v>
                </c:pt>
                <c:pt idx="140">
                  <c:v>52.491043462150088</c:v>
                </c:pt>
                <c:pt idx="141">
                  <c:v>41.744632586357874</c:v>
                </c:pt>
                <c:pt idx="142">
                  <c:v>19.56565850619112</c:v>
                </c:pt>
                <c:pt idx="143">
                  <c:v>17.090281184353483</c:v>
                </c:pt>
                <c:pt idx="144">
                  <c:v>43.466805417072415</c:v>
                </c:pt>
                <c:pt idx="145">
                  <c:v>28.357610812384724</c:v>
                </c:pt>
                <c:pt idx="146">
                  <c:v>44.983059194060793</c:v>
                </c:pt>
                <c:pt idx="147">
                  <c:v>55.975215089342015</c:v>
                </c:pt>
                <c:pt idx="148">
                  <c:v>60.554400613629994</c:v>
                </c:pt>
                <c:pt idx="149">
                  <c:v>48.86849078134982</c:v>
                </c:pt>
                <c:pt idx="150">
                  <c:v>54.745159705659269</c:v>
                </c:pt>
                <c:pt idx="151">
                  <c:v>56.769879414890383</c:v>
                </c:pt>
                <c:pt idx="152">
                  <c:v>42.934516154162758</c:v>
                </c:pt>
                <c:pt idx="153">
                  <c:v>56.35758197477228</c:v>
                </c:pt>
                <c:pt idx="154">
                  <c:v>25.500326727390235</c:v>
                </c:pt>
                <c:pt idx="155">
                  <c:v>35.292127596170616</c:v>
                </c:pt>
                <c:pt idx="156">
                  <c:v>50.575191541044212</c:v>
                </c:pt>
                <c:pt idx="157">
                  <c:v>26.016309420824136</c:v>
                </c:pt>
                <c:pt idx="158">
                  <c:v>21.481601099832069</c:v>
                </c:pt>
                <c:pt idx="159">
                  <c:v>50.67267701068878</c:v>
                </c:pt>
                <c:pt idx="160">
                  <c:v>58.521303020147236</c:v>
                </c:pt>
                <c:pt idx="161">
                  <c:v>56.847617916643877</c:v>
                </c:pt>
                <c:pt idx="162">
                  <c:v>44.775116424530388</c:v>
                </c:pt>
                <c:pt idx="163">
                  <c:v>53.873011380434235</c:v>
                </c:pt>
                <c:pt idx="164">
                  <c:v>51.806860134604996</c:v>
                </c:pt>
                <c:pt idx="165">
                  <c:v>55.076538820823451</c:v>
                </c:pt>
                <c:pt idx="166">
                  <c:v>53.114091687357067</c:v>
                </c:pt>
                <c:pt idx="167">
                  <c:v>53.026953518399807</c:v>
                </c:pt>
                <c:pt idx="168">
                  <c:v>56.544384110638497</c:v>
                </c:pt>
                <c:pt idx="169">
                  <c:v>57.645239824495128</c:v>
                </c:pt>
                <c:pt idx="170">
                  <c:v>30.469723996287644</c:v>
                </c:pt>
                <c:pt idx="171">
                  <c:v>22.715092694928725</c:v>
                </c:pt>
                <c:pt idx="172">
                  <c:v>42.94691541953754</c:v>
                </c:pt>
                <c:pt idx="173">
                  <c:v>43.617328999207132</c:v>
                </c:pt>
                <c:pt idx="174">
                  <c:v>40.081260158379372</c:v>
                </c:pt>
                <c:pt idx="175">
                  <c:v>37.925746400640925</c:v>
                </c:pt>
                <c:pt idx="176">
                  <c:v>12.289117214036818</c:v>
                </c:pt>
                <c:pt idx="177">
                  <c:v>15.132961516981307</c:v>
                </c:pt>
                <c:pt idx="178">
                  <c:v>58.074960294560626</c:v>
                </c:pt>
                <c:pt idx="179">
                  <c:v>57.607778027902611</c:v>
                </c:pt>
                <c:pt idx="180">
                  <c:v>14.173089013003962</c:v>
                </c:pt>
                <c:pt idx="181">
                  <c:v>48.145795439813824</c:v>
                </c:pt>
                <c:pt idx="182">
                  <c:v>35.211201623069648</c:v>
                </c:pt>
                <c:pt idx="183">
                  <c:v>50.034558596685372</c:v>
                </c:pt>
                <c:pt idx="184">
                  <c:v>45.308336024167772</c:v>
                </c:pt>
                <c:pt idx="185">
                  <c:v>56.480162819466912</c:v>
                </c:pt>
                <c:pt idx="186">
                  <c:v>46.056665225653127</c:v>
                </c:pt>
                <c:pt idx="187">
                  <c:v>56.163351196635162</c:v>
                </c:pt>
                <c:pt idx="188">
                  <c:v>58.007449225596709</c:v>
                </c:pt>
                <c:pt idx="189">
                  <c:v>57.31985049788841</c:v>
                </c:pt>
                <c:pt idx="190">
                  <c:v>56.607902428322603</c:v>
                </c:pt>
                <c:pt idx="191">
                  <c:v>55.630478780824653</c:v>
                </c:pt>
                <c:pt idx="192">
                  <c:v>55.224207128106507</c:v>
                </c:pt>
                <c:pt idx="193">
                  <c:v>54.708641355446225</c:v>
                </c:pt>
                <c:pt idx="194">
                  <c:v>54.390295018887365</c:v>
                </c:pt>
                <c:pt idx="195">
                  <c:v>52.171546714914157</c:v>
                </c:pt>
                <c:pt idx="196">
                  <c:v>53.6024004762156</c:v>
                </c:pt>
                <c:pt idx="197">
                  <c:v>53.745796113208193</c:v>
                </c:pt>
                <c:pt idx="198">
                  <c:v>55.973857785963013</c:v>
                </c:pt>
                <c:pt idx="199">
                  <c:v>43.878953040713959</c:v>
                </c:pt>
                <c:pt idx="200">
                  <c:v>43.977818947937891</c:v>
                </c:pt>
                <c:pt idx="201">
                  <c:v>53.199022329103222</c:v>
                </c:pt>
                <c:pt idx="202">
                  <c:v>44.714192577856934</c:v>
                </c:pt>
                <c:pt idx="203">
                  <c:v>44.666657371275406</c:v>
                </c:pt>
                <c:pt idx="204">
                  <c:v>53.449672809183333</c:v>
                </c:pt>
                <c:pt idx="205">
                  <c:v>26.249642946697872</c:v>
                </c:pt>
                <c:pt idx="206">
                  <c:v>55.73560777998474</c:v>
                </c:pt>
                <c:pt idx="207">
                  <c:v>57.150169547533721</c:v>
                </c:pt>
                <c:pt idx="208">
                  <c:v>43.277865574326924</c:v>
                </c:pt>
                <c:pt idx="209">
                  <c:v>29.958764451624056</c:v>
                </c:pt>
                <c:pt idx="210">
                  <c:v>48.183549853200319</c:v>
                </c:pt>
                <c:pt idx="211">
                  <c:v>54.785891283094209</c:v>
                </c:pt>
                <c:pt idx="212">
                  <c:v>54.4317330558723</c:v>
                </c:pt>
                <c:pt idx="213">
                  <c:v>54.501914563095212</c:v>
                </c:pt>
                <c:pt idx="214">
                  <c:v>53.860059693333952</c:v>
                </c:pt>
                <c:pt idx="215">
                  <c:v>52.34433784819047</c:v>
                </c:pt>
                <c:pt idx="216">
                  <c:v>43.125663693632795</c:v>
                </c:pt>
                <c:pt idx="217">
                  <c:v>50.772259884764381</c:v>
                </c:pt>
                <c:pt idx="218">
                  <c:v>53.221207769839857</c:v>
                </c:pt>
                <c:pt idx="219">
                  <c:v>53.974087010262956</c:v>
                </c:pt>
                <c:pt idx="220">
                  <c:v>51.831615424524152</c:v>
                </c:pt>
                <c:pt idx="221">
                  <c:v>49.921386131761864</c:v>
                </c:pt>
                <c:pt idx="222">
                  <c:v>48.393539878972447</c:v>
                </c:pt>
                <c:pt idx="223">
                  <c:v>48.655062198656509</c:v>
                </c:pt>
                <c:pt idx="224">
                  <c:v>38.004943655983375</c:v>
                </c:pt>
                <c:pt idx="225">
                  <c:v>34.25469884859718</c:v>
                </c:pt>
                <c:pt idx="226">
                  <c:v>36.622635056595158</c:v>
                </c:pt>
                <c:pt idx="227">
                  <c:v>37.913104929158948</c:v>
                </c:pt>
                <c:pt idx="228">
                  <c:v>29.319016034050492</c:v>
                </c:pt>
                <c:pt idx="229">
                  <c:v>37.217266279908294</c:v>
                </c:pt>
                <c:pt idx="230">
                  <c:v>38.856570590468522</c:v>
                </c:pt>
                <c:pt idx="231">
                  <c:v>50.814902323026132</c:v>
                </c:pt>
                <c:pt idx="232">
                  <c:v>37.953129159688672</c:v>
                </c:pt>
                <c:pt idx="233">
                  <c:v>27.413085174528746</c:v>
                </c:pt>
                <c:pt idx="234">
                  <c:v>49.113530494158375</c:v>
                </c:pt>
                <c:pt idx="235">
                  <c:v>49.661493951035411</c:v>
                </c:pt>
                <c:pt idx="236">
                  <c:v>29.871082005134724</c:v>
                </c:pt>
                <c:pt idx="237">
                  <c:v>39.915063262871705</c:v>
                </c:pt>
                <c:pt idx="238">
                  <c:v>48.327914829732343</c:v>
                </c:pt>
                <c:pt idx="239">
                  <c:v>49.410844928075491</c:v>
                </c:pt>
                <c:pt idx="240">
                  <c:v>33.974300985291599</c:v>
                </c:pt>
                <c:pt idx="241">
                  <c:v>48.753510521630247</c:v>
                </c:pt>
                <c:pt idx="242">
                  <c:v>25.262613425078015</c:v>
                </c:pt>
                <c:pt idx="243">
                  <c:v>39.624059442874177</c:v>
                </c:pt>
                <c:pt idx="244">
                  <c:v>37.748032249152899</c:v>
                </c:pt>
                <c:pt idx="245">
                  <c:v>39.265659310268845</c:v>
                </c:pt>
                <c:pt idx="246">
                  <c:v>48.824853875968692</c:v>
                </c:pt>
                <c:pt idx="247">
                  <c:v>43.13650041727719</c:v>
                </c:pt>
                <c:pt idx="248">
                  <c:v>44.387829234629628</c:v>
                </c:pt>
                <c:pt idx="249">
                  <c:v>37.133562072260666</c:v>
                </c:pt>
                <c:pt idx="250">
                  <c:v>36.934524657316778</c:v>
                </c:pt>
                <c:pt idx="251">
                  <c:v>20.394867739235188</c:v>
                </c:pt>
                <c:pt idx="252">
                  <c:v>47.3711138117582</c:v>
                </c:pt>
                <c:pt idx="253">
                  <c:v>47.779554929613731</c:v>
                </c:pt>
                <c:pt idx="254">
                  <c:v>37.45832252832831</c:v>
                </c:pt>
                <c:pt idx="255">
                  <c:v>14.891068323442818</c:v>
                </c:pt>
                <c:pt idx="256">
                  <c:v>37.50251315104807</c:v>
                </c:pt>
                <c:pt idx="257">
                  <c:v>41.232273414683668</c:v>
                </c:pt>
                <c:pt idx="258">
                  <c:v>29.823897448314799</c:v>
                </c:pt>
                <c:pt idx="259">
                  <c:v>48.121351928219958</c:v>
                </c:pt>
                <c:pt idx="260">
                  <c:v>46.512948933478278</c:v>
                </c:pt>
                <c:pt idx="261">
                  <c:v>47.072281898370299</c:v>
                </c:pt>
                <c:pt idx="262">
                  <c:v>48.55955831678407</c:v>
                </c:pt>
                <c:pt idx="263">
                  <c:v>47.321326128354869</c:v>
                </c:pt>
                <c:pt idx="264">
                  <c:v>46.027681607919739</c:v>
                </c:pt>
                <c:pt idx="265">
                  <c:v>32.578167723584592</c:v>
                </c:pt>
                <c:pt idx="266">
                  <c:v>18.519092691307836</c:v>
                </c:pt>
                <c:pt idx="267">
                  <c:v>36.19871275792331</c:v>
                </c:pt>
                <c:pt idx="268">
                  <c:v>36.060256021656372</c:v>
                </c:pt>
                <c:pt idx="269">
                  <c:v>17.207891326073003</c:v>
                </c:pt>
                <c:pt idx="270">
                  <c:v>19.631312081206605</c:v>
                </c:pt>
                <c:pt idx="271">
                  <c:v>23.609185446573107</c:v>
                </c:pt>
                <c:pt idx="272">
                  <c:v>26.088708440843263</c:v>
                </c:pt>
                <c:pt idx="273">
                  <c:v>37.68778489289118</c:v>
                </c:pt>
                <c:pt idx="274">
                  <c:v>40.804261408266001</c:v>
                </c:pt>
                <c:pt idx="275">
                  <c:v>36.979726920408687</c:v>
                </c:pt>
                <c:pt idx="276">
                  <c:v>43.432504603424235</c:v>
                </c:pt>
                <c:pt idx="277">
                  <c:v>45.214163153270682</c:v>
                </c:pt>
                <c:pt idx="278">
                  <c:v>12.110972984215451</c:v>
                </c:pt>
                <c:pt idx="279">
                  <c:v>33.060830275034128</c:v>
                </c:pt>
                <c:pt idx="280">
                  <c:v>15.492005515415036</c:v>
                </c:pt>
                <c:pt idx="281">
                  <c:v>41.272124955714666</c:v>
                </c:pt>
                <c:pt idx="282">
                  <c:v>35.002023136113941</c:v>
                </c:pt>
                <c:pt idx="283">
                  <c:v>23.913590438262474</c:v>
                </c:pt>
                <c:pt idx="284">
                  <c:v>28.197211086018495</c:v>
                </c:pt>
                <c:pt idx="285">
                  <c:v>24.806313396006836</c:v>
                </c:pt>
                <c:pt idx="286">
                  <c:v>17.783435498393125</c:v>
                </c:pt>
                <c:pt idx="287">
                  <c:v>40.583347970842532</c:v>
                </c:pt>
                <c:pt idx="288">
                  <c:v>34.920580531310407</c:v>
                </c:pt>
                <c:pt idx="289">
                  <c:v>19.520363429601986</c:v>
                </c:pt>
                <c:pt idx="290">
                  <c:v>37.633725320677804</c:v>
                </c:pt>
                <c:pt idx="291">
                  <c:v>17.676601533961939</c:v>
                </c:pt>
                <c:pt idx="292">
                  <c:v>7.0898833376952544</c:v>
                </c:pt>
                <c:pt idx="293">
                  <c:v>18.309794595228567</c:v>
                </c:pt>
                <c:pt idx="294">
                  <c:v>35.684651806350374</c:v>
                </c:pt>
                <c:pt idx="295">
                  <c:v>17.347648881714896</c:v>
                </c:pt>
                <c:pt idx="296">
                  <c:v>29.461141434315941</c:v>
                </c:pt>
                <c:pt idx="297">
                  <c:v>23.978293427312686</c:v>
                </c:pt>
                <c:pt idx="298">
                  <c:v>13.238638124901357</c:v>
                </c:pt>
                <c:pt idx="299">
                  <c:v>17.078127322367116</c:v>
                </c:pt>
                <c:pt idx="300">
                  <c:v>17.802200621117098</c:v>
                </c:pt>
                <c:pt idx="301">
                  <c:v>29.176700526185595</c:v>
                </c:pt>
                <c:pt idx="302">
                  <c:v>26.778562648945371</c:v>
                </c:pt>
                <c:pt idx="303">
                  <c:v>25.206199678604573</c:v>
                </c:pt>
                <c:pt idx="304">
                  <c:v>19.948254313338627</c:v>
                </c:pt>
                <c:pt idx="305">
                  <c:v>30.797112505837266</c:v>
                </c:pt>
                <c:pt idx="306">
                  <c:v>9.7376772406975629</c:v>
                </c:pt>
                <c:pt idx="307">
                  <c:v>17.4638343589287</c:v>
                </c:pt>
                <c:pt idx="308">
                  <c:v>32.660917909246798</c:v>
                </c:pt>
                <c:pt idx="309">
                  <c:v>34.018042532045783</c:v>
                </c:pt>
                <c:pt idx="310">
                  <c:v>32.555426631842003</c:v>
                </c:pt>
                <c:pt idx="311">
                  <c:v>24.121009229273952</c:v>
                </c:pt>
                <c:pt idx="312">
                  <c:v>10.766989941817991</c:v>
                </c:pt>
                <c:pt idx="313">
                  <c:v>20.196340089322234</c:v>
                </c:pt>
                <c:pt idx="314">
                  <c:v>31.862593429598622</c:v>
                </c:pt>
                <c:pt idx="315">
                  <c:v>31.116493246795468</c:v>
                </c:pt>
                <c:pt idx="316">
                  <c:v>30.13032124265623</c:v>
                </c:pt>
                <c:pt idx="317">
                  <c:v>11.411759265894238</c:v>
                </c:pt>
                <c:pt idx="318">
                  <c:v>13.092537728992399</c:v>
                </c:pt>
                <c:pt idx="319">
                  <c:v>30.686184857976016</c:v>
                </c:pt>
                <c:pt idx="320">
                  <c:v>13.793641368006332</c:v>
                </c:pt>
                <c:pt idx="321">
                  <c:v>17.585485233577998</c:v>
                </c:pt>
                <c:pt idx="322">
                  <c:v>6.9387220399375131</c:v>
                </c:pt>
                <c:pt idx="323">
                  <c:v>17.850438207290566</c:v>
                </c:pt>
                <c:pt idx="324">
                  <c:v>3.1895918733484216</c:v>
                </c:pt>
                <c:pt idx="325">
                  <c:v>8.1721266330397349</c:v>
                </c:pt>
                <c:pt idx="326">
                  <c:v>13.469715343684211</c:v>
                </c:pt>
                <c:pt idx="327">
                  <c:v>14.442121295162902</c:v>
                </c:pt>
                <c:pt idx="328">
                  <c:v>4.6029492070755227</c:v>
                </c:pt>
                <c:pt idx="329">
                  <c:v>10.715537631780755</c:v>
                </c:pt>
                <c:pt idx="330">
                  <c:v>16.664144059617708</c:v>
                </c:pt>
                <c:pt idx="331">
                  <c:v>10.344118550433837</c:v>
                </c:pt>
                <c:pt idx="332">
                  <c:v>15.387983990782905</c:v>
                </c:pt>
                <c:pt idx="333">
                  <c:v>3.9421584695093492</c:v>
                </c:pt>
                <c:pt idx="334">
                  <c:v>3.7506554511115575</c:v>
                </c:pt>
                <c:pt idx="335">
                  <c:v>5.6212963893117616</c:v>
                </c:pt>
                <c:pt idx="336">
                  <c:v>10.888609551385061</c:v>
                </c:pt>
                <c:pt idx="337">
                  <c:v>17.6397011031411</c:v>
                </c:pt>
                <c:pt idx="338">
                  <c:v>27.31008575183704</c:v>
                </c:pt>
                <c:pt idx="339">
                  <c:v>12.280927729375261</c:v>
                </c:pt>
                <c:pt idx="340">
                  <c:v>22.557437362888113</c:v>
                </c:pt>
                <c:pt idx="341">
                  <c:v>4.1453966533508604</c:v>
                </c:pt>
                <c:pt idx="342">
                  <c:v>5.0090401673981466</c:v>
                </c:pt>
                <c:pt idx="343">
                  <c:v>11.579315674543436</c:v>
                </c:pt>
                <c:pt idx="344">
                  <c:v>18.218106214531982</c:v>
                </c:pt>
                <c:pt idx="345">
                  <c:v>7.0232660421378963</c:v>
                </c:pt>
                <c:pt idx="346">
                  <c:v>5.4509617828280046</c:v>
                </c:pt>
                <c:pt idx="347">
                  <c:v>17.706179522725371</c:v>
                </c:pt>
                <c:pt idx="348">
                  <c:v>5.9300489662373526</c:v>
                </c:pt>
                <c:pt idx="349">
                  <c:v>5.2943115513709724</c:v>
                </c:pt>
                <c:pt idx="350">
                  <c:v>3.4932294623361249</c:v>
                </c:pt>
                <c:pt idx="351">
                  <c:v>24.730508656966741</c:v>
                </c:pt>
                <c:pt idx="352">
                  <c:v>19.91821976381722</c:v>
                </c:pt>
                <c:pt idx="353">
                  <c:v>4.391448830769856</c:v>
                </c:pt>
                <c:pt idx="354">
                  <c:v>22.638784819170912</c:v>
                </c:pt>
                <c:pt idx="355">
                  <c:v>20.264081608652521</c:v>
                </c:pt>
                <c:pt idx="356">
                  <c:v>20.615750501926083</c:v>
                </c:pt>
                <c:pt idx="357">
                  <c:v>22.668110971602264</c:v>
                </c:pt>
                <c:pt idx="358">
                  <c:v>13.379321621668456</c:v>
                </c:pt>
                <c:pt idx="359">
                  <c:v>22.40209198291365</c:v>
                </c:pt>
                <c:pt idx="360">
                  <c:v>7.3203665349663574</c:v>
                </c:pt>
                <c:pt idx="361">
                  <c:v>24.73886019164847</c:v>
                </c:pt>
                <c:pt idx="362">
                  <c:v>10.976145056235266</c:v>
                </c:pt>
                <c:pt idx="363">
                  <c:v>14.239082158369447</c:v>
                </c:pt>
                <c:pt idx="364">
                  <c:v>13.335696401448144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9.7090382473722485</c:v>
                </c:pt>
                <c:pt idx="1">
                  <c:v>1.5546261096107357</c:v>
                </c:pt>
                <c:pt idx="2">
                  <c:v>16.000332650441255</c:v>
                </c:pt>
                <c:pt idx="3">
                  <c:v>14.332148210412253</c:v>
                </c:pt>
                <c:pt idx="4">
                  <c:v>14.150192948509918</c:v>
                </c:pt>
                <c:pt idx="5">
                  <c:v>4.646969464571602</c:v>
                </c:pt>
                <c:pt idx="6">
                  <c:v>17.967222456815868</c:v>
                </c:pt>
                <c:pt idx="7">
                  <c:v>6.7094268752821202</c:v>
                </c:pt>
                <c:pt idx="8">
                  <c:v>8.5862722281178119</c:v>
                </c:pt>
                <c:pt idx="9">
                  <c:v>24.483605709208813</c:v>
                </c:pt>
                <c:pt idx="10">
                  <c:v>4.45233930605536</c:v>
                </c:pt>
                <c:pt idx="11">
                  <c:v>23.800419571704932</c:v>
                </c:pt>
                <c:pt idx="12">
                  <c:v>13.457550009432712</c:v>
                </c:pt>
                <c:pt idx="13">
                  <c:v>18.171658864480779</c:v>
                </c:pt>
                <c:pt idx="14">
                  <c:v>5.9217321254658399</c:v>
                </c:pt>
                <c:pt idx="15">
                  <c:v>3.5915310523525079</c:v>
                </c:pt>
                <c:pt idx="16">
                  <c:v>6.7580477430917361</c:v>
                </c:pt>
                <c:pt idx="17">
                  <c:v>19.35570257357136</c:v>
                </c:pt>
                <c:pt idx="18">
                  <c:v>10.171704963796975</c:v>
                </c:pt>
                <c:pt idx="19">
                  <c:v>18.23592396307011</c:v>
                </c:pt>
                <c:pt idx="20">
                  <c:v>6.6329047719372296</c:v>
                </c:pt>
                <c:pt idx="21">
                  <c:v>31.26729350676165</c:v>
                </c:pt>
                <c:pt idx="22">
                  <c:v>31.165346352742276</c:v>
                </c:pt>
                <c:pt idx="23">
                  <c:v>32.180536705226281</c:v>
                </c:pt>
                <c:pt idx="24">
                  <c:v>29.79124291867387</c:v>
                </c:pt>
                <c:pt idx="25">
                  <c:v>31.411926585915271</c:v>
                </c:pt>
                <c:pt idx="26">
                  <c:v>27.725582623686055</c:v>
                </c:pt>
                <c:pt idx="27">
                  <c:v>4.2331613600582481</c:v>
                </c:pt>
                <c:pt idx="28">
                  <c:v>8.0529858735237969</c:v>
                </c:pt>
                <c:pt idx="29">
                  <c:v>4.6597358739341042</c:v>
                </c:pt>
                <c:pt idx="30">
                  <c:v>7.4308974326403927</c:v>
                </c:pt>
                <c:pt idx="31">
                  <c:v>16.305807927185157</c:v>
                </c:pt>
                <c:pt idx="32">
                  <c:v>5.353456076295438</c:v>
                </c:pt>
                <c:pt idx="33">
                  <c:v>10.765229298552205</c:v>
                </c:pt>
                <c:pt idx="34">
                  <c:v>11.117973750649012</c:v>
                </c:pt>
                <c:pt idx="35">
                  <c:v>9.173198991790974</c:v>
                </c:pt>
                <c:pt idx="36">
                  <c:v>25.094922173384184</c:v>
                </c:pt>
                <c:pt idx="37">
                  <c:v>9.0026093856589782</c:v>
                </c:pt>
                <c:pt idx="38">
                  <c:v>36.382658131710706</c:v>
                </c:pt>
                <c:pt idx="39">
                  <c:v>37.124276514880364</c:v>
                </c:pt>
                <c:pt idx="40">
                  <c:v>34.806103530905439</c:v>
                </c:pt>
                <c:pt idx="41">
                  <c:v>17.20334814702797</c:v>
                </c:pt>
                <c:pt idx="42">
                  <c:v>27.964498749771849</c:v>
                </c:pt>
                <c:pt idx="43">
                  <c:v>34.821628284603463</c:v>
                </c:pt>
                <c:pt idx="44">
                  <c:v>15.324303070176994</c:v>
                </c:pt>
                <c:pt idx="45">
                  <c:v>19.482386672011057</c:v>
                </c:pt>
                <c:pt idx="46">
                  <c:v>8.7781410591436071</c:v>
                </c:pt>
                <c:pt idx="47">
                  <c:v>11.071021681612047</c:v>
                </c:pt>
                <c:pt idx="48">
                  <c:v>31.407448032671404</c:v>
                </c:pt>
                <c:pt idx="49">
                  <c:v>18.900922132348093</c:v>
                </c:pt>
                <c:pt idx="50">
                  <c:v>20.549065679273237</c:v>
                </c:pt>
                <c:pt idx="51">
                  <c:v>21.630368185611417</c:v>
                </c:pt>
                <c:pt idx="52">
                  <c:v>34.184729695970013</c:v>
                </c:pt>
                <c:pt idx="53">
                  <c:v>36.324059191583864</c:v>
                </c:pt>
                <c:pt idx="54">
                  <c:v>25.038084283016911</c:v>
                </c:pt>
                <c:pt idx="55">
                  <c:v>29.664603042157008</c:v>
                </c:pt>
                <c:pt idx="56">
                  <c:v>44.61209392130931</c:v>
                </c:pt>
                <c:pt idx="57">
                  <c:v>26.278615589008666</c:v>
                </c:pt>
                <c:pt idx="58">
                  <c:v>37.570363861332318</c:v>
                </c:pt>
                <c:pt idx="59">
                  <c:v>42.564707700166089</c:v>
                </c:pt>
                <c:pt idx="60">
                  <c:v>12.48367744963744</c:v>
                </c:pt>
                <c:pt idx="61">
                  <c:v>34.435097091483478</c:v>
                </c:pt>
                <c:pt idx="62">
                  <c:v>3.6869215165976437</c:v>
                </c:pt>
                <c:pt idx="63">
                  <c:v>12.628820816515489</c:v>
                </c:pt>
                <c:pt idx="64">
                  <c:v>15.516724124151381</c:v>
                </c:pt>
                <c:pt idx="65">
                  <c:v>37.862091669783084</c:v>
                </c:pt>
                <c:pt idx="66">
                  <c:v>35.523811336143758</c:v>
                </c:pt>
                <c:pt idx="67">
                  <c:v>31.047299029515212</c:v>
                </c:pt>
                <c:pt idx="68">
                  <c:v>26.254958779456928</c:v>
                </c:pt>
                <c:pt idx="69">
                  <c:v>16.723557938967843</c:v>
                </c:pt>
                <c:pt idx="70">
                  <c:v>13.748166873507664</c:v>
                </c:pt>
                <c:pt idx="71">
                  <c:v>7.9216628508684916</c:v>
                </c:pt>
                <c:pt idx="72">
                  <c:v>14.217358757598596</c:v>
                </c:pt>
                <c:pt idx="73">
                  <c:v>13.481532233354914</c:v>
                </c:pt>
                <c:pt idx="74">
                  <c:v>13.554570009613849</c:v>
                </c:pt>
                <c:pt idx="75">
                  <c:v>11.175592301817657</c:v>
                </c:pt>
                <c:pt idx="76">
                  <c:v>14.006901458832939</c:v>
                </c:pt>
                <c:pt idx="77">
                  <c:v>28.14829901314889</c:v>
                </c:pt>
                <c:pt idx="78">
                  <c:v>31.147837070805767</c:v>
                </c:pt>
                <c:pt idx="79">
                  <c:v>45.626762560499841</c:v>
                </c:pt>
                <c:pt idx="80">
                  <c:v>42.951346076229271</c:v>
                </c:pt>
                <c:pt idx="81">
                  <c:v>48.842817013548036</c:v>
                </c:pt>
                <c:pt idx="82">
                  <c:v>48.197224978576742</c:v>
                </c:pt>
                <c:pt idx="83">
                  <c:v>40.461924278907027</c:v>
                </c:pt>
                <c:pt idx="84">
                  <c:v>46.798314463349818</c:v>
                </c:pt>
                <c:pt idx="85">
                  <c:v>45.977400442949588</c:v>
                </c:pt>
                <c:pt idx="86">
                  <c:v>36.676505878101644</c:v>
                </c:pt>
                <c:pt idx="87">
                  <c:v>27.487265979597712</c:v>
                </c:pt>
                <c:pt idx="88">
                  <c:v>7.4726581253889997</c:v>
                </c:pt>
                <c:pt idx="89">
                  <c:v>25.36843265046036</c:v>
                </c:pt>
                <c:pt idx="90">
                  <c:v>30.145269188875687</c:v>
                </c:pt>
                <c:pt idx="91">
                  <c:v>19.364550828547188</c:v>
                </c:pt>
                <c:pt idx="92">
                  <c:v>23.994667901776825</c:v>
                </c:pt>
                <c:pt idx="93">
                  <c:v>45.345359053493567</c:v>
                </c:pt>
                <c:pt idx="94">
                  <c:v>52.057263592423652</c:v>
                </c:pt>
                <c:pt idx="95">
                  <c:v>11.003041939691029</c:v>
                </c:pt>
                <c:pt idx="96">
                  <c:v>39.91338486977952</c:v>
                </c:pt>
                <c:pt idx="97">
                  <c:v>34.2287644153594</c:v>
                </c:pt>
                <c:pt idx="98">
                  <c:v>33.739449005851853</c:v>
                </c:pt>
                <c:pt idx="99">
                  <c:v>54.76505681904181</c:v>
                </c:pt>
                <c:pt idx="100">
                  <c:v>45.804307257254742</c:v>
                </c:pt>
                <c:pt idx="101">
                  <c:v>38.084518907325652</c:v>
                </c:pt>
                <c:pt idx="102">
                  <c:v>7.727640782220015</c:v>
                </c:pt>
                <c:pt idx="103">
                  <c:v>40.013982451788557</c:v>
                </c:pt>
                <c:pt idx="104">
                  <c:v>43.120625634621668</c:v>
                </c:pt>
                <c:pt idx="105">
                  <c:v>41.581403994702164</c:v>
                </c:pt>
                <c:pt idx="106">
                  <c:v>53.685018800212092</c:v>
                </c:pt>
                <c:pt idx="107">
                  <c:v>35.652797373222995</c:v>
                </c:pt>
                <c:pt idx="108">
                  <c:v>8.9972594877221663</c:v>
                </c:pt>
                <c:pt idx="109">
                  <c:v>9.319907187254266</c:v>
                </c:pt>
                <c:pt idx="110">
                  <c:v>8.8689828978798921</c:v>
                </c:pt>
                <c:pt idx="111">
                  <c:v>25.645146896744254</c:v>
                </c:pt>
                <c:pt idx="112">
                  <c:v>8.7375534221490039</c:v>
                </c:pt>
                <c:pt idx="113">
                  <c:v>28.688062793746113</c:v>
                </c:pt>
                <c:pt idx="114">
                  <c:v>43.625794491558629</c:v>
                </c:pt>
                <c:pt idx="115">
                  <c:v>53.636853421490763</c:v>
                </c:pt>
                <c:pt idx="116">
                  <c:v>40.961426546555899</c:v>
                </c:pt>
                <c:pt idx="117">
                  <c:v>23.07849731630245</c:v>
                </c:pt>
                <c:pt idx="118">
                  <c:v>41.877471357314427</c:v>
                </c:pt>
                <c:pt idx="119">
                  <c:v>44.584540018613744</c:v>
                </c:pt>
                <c:pt idx="120">
                  <c:v>48.323617662492758</c:v>
                </c:pt>
                <c:pt idx="121">
                  <c:v>29.941757461525345</c:v>
                </c:pt>
                <c:pt idx="122">
                  <c:v>39.177718141750113</c:v>
                </c:pt>
                <c:pt idx="123">
                  <c:v>20.958999855364905</c:v>
                </c:pt>
                <c:pt idx="124">
                  <c:v>43.892599005094084</c:v>
                </c:pt>
                <c:pt idx="125">
                  <c:v>41.734502512553718</c:v>
                </c:pt>
                <c:pt idx="126">
                  <c:v>51.877767302324898</c:v>
                </c:pt>
                <c:pt idx="127">
                  <c:v>51.050596248638961</c:v>
                </c:pt>
                <c:pt idx="128">
                  <c:v>56.280611559300588</c:v>
                </c:pt>
                <c:pt idx="129">
                  <c:v>54.248609214107098</c:v>
                </c:pt>
                <c:pt idx="130">
                  <c:v>58.139330303474772</c:v>
                </c:pt>
                <c:pt idx="131">
                  <c:v>41.561919496480108</c:v>
                </c:pt>
                <c:pt idx="132">
                  <c:v>42.661085457892298</c:v>
                </c:pt>
                <c:pt idx="133">
                  <c:v>52.912985384267024</c:v>
                </c:pt>
                <c:pt idx="134">
                  <c:v>55.186724649844955</c:v>
                </c:pt>
                <c:pt idx="135">
                  <c:v>52.772699442985413</c:v>
                </c:pt>
                <c:pt idx="136">
                  <c:v>56.015828345135226</c:v>
                </c:pt>
                <c:pt idx="137">
                  <c:v>53.079533982237351</c:v>
                </c:pt>
                <c:pt idx="138">
                  <c:v>56.570873973400268</c:v>
                </c:pt>
                <c:pt idx="139">
                  <c:v>51.465024582884141</c:v>
                </c:pt>
                <c:pt idx="140">
                  <c:v>52.491043462150088</c:v>
                </c:pt>
                <c:pt idx="141">
                  <c:v>41.744632586357874</c:v>
                </c:pt>
                <c:pt idx="142">
                  <c:v>19.56565850619112</c:v>
                </c:pt>
                <c:pt idx="143">
                  <c:v>17.090281184353483</c:v>
                </c:pt>
                <c:pt idx="144">
                  <c:v>43.466805417072415</c:v>
                </c:pt>
                <c:pt idx="145">
                  <c:v>28.357610812384724</c:v>
                </c:pt>
                <c:pt idx="146">
                  <c:v>44.983059194060793</c:v>
                </c:pt>
                <c:pt idx="147">
                  <c:v>55.975215089342015</c:v>
                </c:pt>
                <c:pt idx="148">
                  <c:v>60.554400613629994</c:v>
                </c:pt>
                <c:pt idx="149">
                  <c:v>48.86849078134982</c:v>
                </c:pt>
                <c:pt idx="150">
                  <c:v>54.745159705659269</c:v>
                </c:pt>
                <c:pt idx="151">
                  <c:v>56.769879414890383</c:v>
                </c:pt>
                <c:pt idx="152">
                  <c:v>42.934516154162758</c:v>
                </c:pt>
                <c:pt idx="153">
                  <c:v>56.35758197477228</c:v>
                </c:pt>
                <c:pt idx="154">
                  <c:v>25.500326727390235</c:v>
                </c:pt>
                <c:pt idx="155">
                  <c:v>35.292127596170616</c:v>
                </c:pt>
                <c:pt idx="156">
                  <c:v>50.575191541044212</c:v>
                </c:pt>
                <c:pt idx="157">
                  <c:v>26.016309420824136</c:v>
                </c:pt>
                <c:pt idx="158">
                  <c:v>21.481601099832069</c:v>
                </c:pt>
                <c:pt idx="159">
                  <c:v>50.67267701068878</c:v>
                </c:pt>
                <c:pt idx="160">
                  <c:v>58.521303020147236</c:v>
                </c:pt>
                <c:pt idx="161">
                  <c:v>56.847617916643877</c:v>
                </c:pt>
                <c:pt idx="162">
                  <c:v>44.775116424530388</c:v>
                </c:pt>
                <c:pt idx="163">
                  <c:v>53.873011380434235</c:v>
                </c:pt>
                <c:pt idx="164">
                  <c:v>51.806860134604996</c:v>
                </c:pt>
                <c:pt idx="165">
                  <c:v>55.076538820823451</c:v>
                </c:pt>
                <c:pt idx="166">
                  <c:v>53.114091687357067</c:v>
                </c:pt>
                <c:pt idx="167">
                  <c:v>53.026953518399807</c:v>
                </c:pt>
                <c:pt idx="168">
                  <c:v>56.544384110638497</c:v>
                </c:pt>
                <c:pt idx="169">
                  <c:v>57.645239824495128</c:v>
                </c:pt>
                <c:pt idx="170">
                  <c:v>30.469723996287644</c:v>
                </c:pt>
                <c:pt idx="171">
                  <c:v>22.715092694928725</c:v>
                </c:pt>
                <c:pt idx="172">
                  <c:v>42.94691541953754</c:v>
                </c:pt>
                <c:pt idx="173">
                  <c:v>43.617328999207132</c:v>
                </c:pt>
                <c:pt idx="174">
                  <c:v>40.081260158379372</c:v>
                </c:pt>
                <c:pt idx="175">
                  <c:v>37.925746400640925</c:v>
                </c:pt>
                <c:pt idx="176">
                  <c:v>12.289117214036818</c:v>
                </c:pt>
                <c:pt idx="177">
                  <c:v>15.132961516981307</c:v>
                </c:pt>
                <c:pt idx="178">
                  <c:v>58.074960294560626</c:v>
                </c:pt>
                <c:pt idx="179">
                  <c:v>57.607778027902611</c:v>
                </c:pt>
                <c:pt idx="180">
                  <c:v>14.173089013003962</c:v>
                </c:pt>
                <c:pt idx="181">
                  <c:v>48.145795439813824</c:v>
                </c:pt>
                <c:pt idx="182">
                  <c:v>35.211201623069648</c:v>
                </c:pt>
                <c:pt idx="183">
                  <c:v>50.034558596685372</c:v>
                </c:pt>
                <c:pt idx="184">
                  <c:v>45.308336024167772</c:v>
                </c:pt>
                <c:pt idx="185">
                  <c:v>56.480162819466912</c:v>
                </c:pt>
                <c:pt idx="186">
                  <c:v>46.056665225653127</c:v>
                </c:pt>
                <c:pt idx="187">
                  <c:v>56.163351196635162</c:v>
                </c:pt>
                <c:pt idx="188">
                  <c:v>58.007449225596709</c:v>
                </c:pt>
                <c:pt idx="189">
                  <c:v>57.31985049788841</c:v>
                </c:pt>
                <c:pt idx="190">
                  <c:v>56.607902428322603</c:v>
                </c:pt>
                <c:pt idx="191">
                  <c:v>55.630478780824653</c:v>
                </c:pt>
                <c:pt idx="192">
                  <c:v>55.224207128106507</c:v>
                </c:pt>
                <c:pt idx="193">
                  <c:v>54.708641355446225</c:v>
                </c:pt>
                <c:pt idx="194">
                  <c:v>54.390295018887365</c:v>
                </c:pt>
                <c:pt idx="195">
                  <c:v>52.171546714914157</c:v>
                </c:pt>
                <c:pt idx="196">
                  <c:v>53.6024004762156</c:v>
                </c:pt>
                <c:pt idx="197">
                  <c:v>53.745796113208193</c:v>
                </c:pt>
                <c:pt idx="198">
                  <c:v>55.973857785963013</c:v>
                </c:pt>
                <c:pt idx="199">
                  <c:v>43.878953040713959</c:v>
                </c:pt>
                <c:pt idx="200">
                  <c:v>43.977818947937891</c:v>
                </c:pt>
                <c:pt idx="201">
                  <c:v>53.199022329103222</c:v>
                </c:pt>
                <c:pt idx="202">
                  <c:v>44.714192577856934</c:v>
                </c:pt>
                <c:pt idx="203">
                  <c:v>44.666657371275406</c:v>
                </c:pt>
                <c:pt idx="204">
                  <c:v>53.449672809183333</c:v>
                </c:pt>
                <c:pt idx="205">
                  <c:v>26.249642946697872</c:v>
                </c:pt>
                <c:pt idx="206">
                  <c:v>55.73560777998474</c:v>
                </c:pt>
                <c:pt idx="207">
                  <c:v>57.150169547533721</c:v>
                </c:pt>
                <c:pt idx="208">
                  <c:v>43.277865574326924</c:v>
                </c:pt>
                <c:pt idx="209">
                  <c:v>29.958764451624056</c:v>
                </c:pt>
                <c:pt idx="210">
                  <c:v>48.183549853200319</c:v>
                </c:pt>
                <c:pt idx="211">
                  <c:v>54.785891283094209</c:v>
                </c:pt>
                <c:pt idx="212">
                  <c:v>54.4317330558723</c:v>
                </c:pt>
                <c:pt idx="213">
                  <c:v>54.501914563095212</c:v>
                </c:pt>
                <c:pt idx="214">
                  <c:v>53.860059693333952</c:v>
                </c:pt>
                <c:pt idx="215">
                  <c:v>52.34433784819047</c:v>
                </c:pt>
                <c:pt idx="216">
                  <c:v>43.125663693632795</c:v>
                </c:pt>
                <c:pt idx="217">
                  <c:v>50.772259884764381</c:v>
                </c:pt>
                <c:pt idx="218">
                  <c:v>53.221207769839857</c:v>
                </c:pt>
                <c:pt idx="219">
                  <c:v>53.974087010262956</c:v>
                </c:pt>
                <c:pt idx="220">
                  <c:v>51.831615424524152</c:v>
                </c:pt>
                <c:pt idx="221">
                  <c:v>49.921386131761864</c:v>
                </c:pt>
                <c:pt idx="222">
                  <c:v>48.393539878972447</c:v>
                </c:pt>
                <c:pt idx="223">
                  <c:v>48.655062198656509</c:v>
                </c:pt>
                <c:pt idx="224">
                  <c:v>38.004943655983375</c:v>
                </c:pt>
                <c:pt idx="225">
                  <c:v>34.25469884859718</c:v>
                </c:pt>
                <c:pt idx="226">
                  <c:v>36.622635056595158</c:v>
                </c:pt>
                <c:pt idx="227">
                  <c:v>37.913104929158948</c:v>
                </c:pt>
                <c:pt idx="228">
                  <c:v>29.319016034050492</c:v>
                </c:pt>
                <c:pt idx="229">
                  <c:v>37.217266279908294</c:v>
                </c:pt>
                <c:pt idx="230">
                  <c:v>38.856570590468522</c:v>
                </c:pt>
                <c:pt idx="231">
                  <c:v>50.814902323026132</c:v>
                </c:pt>
                <c:pt idx="232">
                  <c:v>37.953129159688672</c:v>
                </c:pt>
                <c:pt idx="233">
                  <c:v>27.413085174528746</c:v>
                </c:pt>
                <c:pt idx="234">
                  <c:v>49.113530494158375</c:v>
                </c:pt>
                <c:pt idx="235">
                  <c:v>49.661493951035411</c:v>
                </c:pt>
                <c:pt idx="236">
                  <c:v>29.871082005134724</c:v>
                </c:pt>
                <c:pt idx="237">
                  <c:v>39.915063262871705</c:v>
                </c:pt>
                <c:pt idx="238">
                  <c:v>48.327914829732343</c:v>
                </c:pt>
                <c:pt idx="239">
                  <c:v>49.410844928075491</c:v>
                </c:pt>
                <c:pt idx="240">
                  <c:v>33.974300985291599</c:v>
                </c:pt>
                <c:pt idx="241">
                  <c:v>48.753510521630247</c:v>
                </c:pt>
                <c:pt idx="242">
                  <c:v>25.262613425078015</c:v>
                </c:pt>
                <c:pt idx="243">
                  <c:v>39.624059442874177</c:v>
                </c:pt>
                <c:pt idx="244">
                  <c:v>37.748032249152899</c:v>
                </c:pt>
                <c:pt idx="245">
                  <c:v>39.265659310268845</c:v>
                </c:pt>
                <c:pt idx="246">
                  <c:v>48.824853875968692</c:v>
                </c:pt>
                <c:pt idx="247">
                  <c:v>43.13650041727719</c:v>
                </c:pt>
                <c:pt idx="248">
                  <c:v>44.387829234629628</c:v>
                </c:pt>
                <c:pt idx="249">
                  <c:v>37.133562072260666</c:v>
                </c:pt>
                <c:pt idx="250">
                  <c:v>36.934524657316778</c:v>
                </c:pt>
                <c:pt idx="251">
                  <c:v>20.394867739235188</c:v>
                </c:pt>
                <c:pt idx="252">
                  <c:v>47.3711138117582</c:v>
                </c:pt>
                <c:pt idx="253">
                  <c:v>47.779554929613731</c:v>
                </c:pt>
                <c:pt idx="254">
                  <c:v>37.45832252832831</c:v>
                </c:pt>
                <c:pt idx="255">
                  <c:v>14.891068323442818</c:v>
                </c:pt>
                <c:pt idx="256">
                  <c:v>37.50251315104807</c:v>
                </c:pt>
                <c:pt idx="257">
                  <c:v>41.232273414683668</c:v>
                </c:pt>
                <c:pt idx="258">
                  <c:v>29.823897448314799</c:v>
                </c:pt>
                <c:pt idx="259">
                  <c:v>48.121351928219958</c:v>
                </c:pt>
                <c:pt idx="260">
                  <c:v>46.512948933478278</c:v>
                </c:pt>
                <c:pt idx="261">
                  <c:v>47.072281898370299</c:v>
                </c:pt>
                <c:pt idx="262">
                  <c:v>48.55955831678407</c:v>
                </c:pt>
                <c:pt idx="263">
                  <c:v>47.321326128354869</c:v>
                </c:pt>
                <c:pt idx="264">
                  <c:v>46.027681607919739</c:v>
                </c:pt>
                <c:pt idx="265">
                  <c:v>32.578167723584592</c:v>
                </c:pt>
                <c:pt idx="266">
                  <c:v>18.519092691307836</c:v>
                </c:pt>
                <c:pt idx="267">
                  <c:v>36.19871275792331</c:v>
                </c:pt>
                <c:pt idx="268">
                  <c:v>36.060256021656372</c:v>
                </c:pt>
                <c:pt idx="269">
                  <c:v>17.207891326073003</c:v>
                </c:pt>
                <c:pt idx="270">
                  <c:v>19.631312081206605</c:v>
                </c:pt>
                <c:pt idx="271">
                  <c:v>23.609185446573107</c:v>
                </c:pt>
                <c:pt idx="272">
                  <c:v>26.088708440843263</c:v>
                </c:pt>
                <c:pt idx="273">
                  <c:v>37.68778489289118</c:v>
                </c:pt>
                <c:pt idx="274">
                  <c:v>40.804261408266001</c:v>
                </c:pt>
                <c:pt idx="275">
                  <c:v>36.979726920408687</c:v>
                </c:pt>
                <c:pt idx="276">
                  <c:v>43.432504603424235</c:v>
                </c:pt>
                <c:pt idx="277">
                  <c:v>45.214163153270682</c:v>
                </c:pt>
                <c:pt idx="278">
                  <c:v>12.110972984215451</c:v>
                </c:pt>
                <c:pt idx="279">
                  <c:v>33.060830275034128</c:v>
                </c:pt>
                <c:pt idx="280">
                  <c:v>15.492005515415036</c:v>
                </c:pt>
                <c:pt idx="281">
                  <c:v>41.272124955714666</c:v>
                </c:pt>
                <c:pt idx="282">
                  <c:v>35.002023136113941</c:v>
                </c:pt>
                <c:pt idx="283">
                  <c:v>23.913590438262474</c:v>
                </c:pt>
                <c:pt idx="284">
                  <c:v>28.197211086018495</c:v>
                </c:pt>
                <c:pt idx="285">
                  <c:v>24.806313396006836</c:v>
                </c:pt>
                <c:pt idx="286">
                  <c:v>17.783435498393125</c:v>
                </c:pt>
                <c:pt idx="287">
                  <c:v>40.583347970842532</c:v>
                </c:pt>
                <c:pt idx="288">
                  <c:v>34.920580531310407</c:v>
                </c:pt>
                <c:pt idx="289">
                  <c:v>19.520363429601986</c:v>
                </c:pt>
                <c:pt idx="290">
                  <c:v>37.633725320677804</c:v>
                </c:pt>
                <c:pt idx="291">
                  <c:v>17.676601533961939</c:v>
                </c:pt>
                <c:pt idx="292">
                  <c:v>7.0898833376952544</c:v>
                </c:pt>
                <c:pt idx="293">
                  <c:v>18.309794595228567</c:v>
                </c:pt>
                <c:pt idx="294">
                  <c:v>35.684651806350374</c:v>
                </c:pt>
                <c:pt idx="295">
                  <c:v>17.347648881714896</c:v>
                </c:pt>
                <c:pt idx="296">
                  <c:v>29.461141434315941</c:v>
                </c:pt>
                <c:pt idx="297">
                  <c:v>23.978293427312686</c:v>
                </c:pt>
                <c:pt idx="298">
                  <c:v>13.238638124901357</c:v>
                </c:pt>
                <c:pt idx="299">
                  <c:v>17.078127322367116</c:v>
                </c:pt>
                <c:pt idx="300">
                  <c:v>17.802200621117098</c:v>
                </c:pt>
                <c:pt idx="301">
                  <c:v>29.176700526185595</c:v>
                </c:pt>
                <c:pt idx="302">
                  <c:v>26.778562648945371</c:v>
                </c:pt>
                <c:pt idx="303">
                  <c:v>25.206199678604573</c:v>
                </c:pt>
                <c:pt idx="304">
                  <c:v>19.948254313338627</c:v>
                </c:pt>
                <c:pt idx="305">
                  <c:v>30.797112505837266</c:v>
                </c:pt>
                <c:pt idx="306">
                  <c:v>9.7376772406975629</c:v>
                </c:pt>
                <c:pt idx="307">
                  <c:v>17.4638343589287</c:v>
                </c:pt>
                <c:pt idx="308">
                  <c:v>32.660917909246798</c:v>
                </c:pt>
                <c:pt idx="309">
                  <c:v>34.018042532045783</c:v>
                </c:pt>
                <c:pt idx="310">
                  <c:v>32.555426631842003</c:v>
                </c:pt>
                <c:pt idx="311">
                  <c:v>24.121009229273952</c:v>
                </c:pt>
                <c:pt idx="312">
                  <c:v>10.766989941817991</c:v>
                </c:pt>
                <c:pt idx="313">
                  <c:v>20.196340089322234</c:v>
                </c:pt>
                <c:pt idx="314">
                  <c:v>31.862593429598622</c:v>
                </c:pt>
                <c:pt idx="315">
                  <c:v>31.116493246795468</c:v>
                </c:pt>
                <c:pt idx="316">
                  <c:v>30.13032124265623</c:v>
                </c:pt>
                <c:pt idx="317">
                  <c:v>11.411759265894238</c:v>
                </c:pt>
                <c:pt idx="318">
                  <c:v>13.092537728992399</c:v>
                </c:pt>
                <c:pt idx="319">
                  <c:v>30.686184857976016</c:v>
                </c:pt>
                <c:pt idx="320">
                  <c:v>13.793641368006332</c:v>
                </c:pt>
                <c:pt idx="321">
                  <c:v>17.585485233577998</c:v>
                </c:pt>
                <c:pt idx="322">
                  <c:v>6.9387220399375131</c:v>
                </c:pt>
                <c:pt idx="323">
                  <c:v>17.850438207290566</c:v>
                </c:pt>
                <c:pt idx="324">
                  <c:v>3.1895918733484216</c:v>
                </c:pt>
                <c:pt idx="325">
                  <c:v>8.1721266330397349</c:v>
                </c:pt>
                <c:pt idx="326">
                  <c:v>13.469715343684211</c:v>
                </c:pt>
                <c:pt idx="327">
                  <c:v>14.442121295162902</c:v>
                </c:pt>
                <c:pt idx="328">
                  <c:v>4.6029492070755227</c:v>
                </c:pt>
                <c:pt idx="329">
                  <c:v>10.715537631780755</c:v>
                </c:pt>
                <c:pt idx="330">
                  <c:v>16.664144059617708</c:v>
                </c:pt>
                <c:pt idx="331">
                  <c:v>10.344118550433837</c:v>
                </c:pt>
                <c:pt idx="332">
                  <c:v>15.387983990782905</c:v>
                </c:pt>
                <c:pt idx="333">
                  <c:v>3.9421584695093492</c:v>
                </c:pt>
                <c:pt idx="334">
                  <c:v>3.7506554511115575</c:v>
                </c:pt>
                <c:pt idx="335">
                  <c:v>5.6212963893117616</c:v>
                </c:pt>
                <c:pt idx="336">
                  <c:v>10.888609551385061</c:v>
                </c:pt>
                <c:pt idx="337">
                  <c:v>17.6397011031411</c:v>
                </c:pt>
                <c:pt idx="338">
                  <c:v>27.31008575183704</c:v>
                </c:pt>
                <c:pt idx="339">
                  <c:v>12.280927729375261</c:v>
                </c:pt>
                <c:pt idx="340">
                  <c:v>22.557437362888113</c:v>
                </c:pt>
                <c:pt idx="341">
                  <c:v>4.1453966533508604</c:v>
                </c:pt>
                <c:pt idx="342">
                  <c:v>5.0090401673981466</c:v>
                </c:pt>
                <c:pt idx="343">
                  <c:v>11.579315674543436</c:v>
                </c:pt>
                <c:pt idx="344">
                  <c:v>18.218106214531982</c:v>
                </c:pt>
                <c:pt idx="345">
                  <c:v>7.0232660421378963</c:v>
                </c:pt>
                <c:pt idx="346">
                  <c:v>5.4509617828280046</c:v>
                </c:pt>
                <c:pt idx="347">
                  <c:v>17.706179522725371</c:v>
                </c:pt>
                <c:pt idx="348">
                  <c:v>5.9300489662373526</c:v>
                </c:pt>
                <c:pt idx="349">
                  <c:v>5.2943115513709724</c:v>
                </c:pt>
                <c:pt idx="350">
                  <c:v>3.4932294623361249</c:v>
                </c:pt>
                <c:pt idx="351">
                  <c:v>24.730508656966741</c:v>
                </c:pt>
                <c:pt idx="352">
                  <c:v>19.91821976381722</c:v>
                </c:pt>
                <c:pt idx="353">
                  <c:v>4.391448830769856</c:v>
                </c:pt>
                <c:pt idx="354">
                  <c:v>22.638784819170912</c:v>
                </c:pt>
                <c:pt idx="355">
                  <c:v>20.264081608652521</c:v>
                </c:pt>
                <c:pt idx="356">
                  <c:v>20.615750501926083</c:v>
                </c:pt>
                <c:pt idx="357">
                  <c:v>22.668110971602264</c:v>
                </c:pt>
                <c:pt idx="358">
                  <c:v>13.379321621668456</c:v>
                </c:pt>
                <c:pt idx="359">
                  <c:v>22.40209198291365</c:v>
                </c:pt>
                <c:pt idx="360">
                  <c:v>7.3203665349663574</c:v>
                </c:pt>
                <c:pt idx="361">
                  <c:v>24.73886019164847</c:v>
                </c:pt>
                <c:pt idx="362">
                  <c:v>10.976145056235266</c:v>
                </c:pt>
                <c:pt idx="363">
                  <c:v>14.239082158369447</c:v>
                </c:pt>
                <c:pt idx="364">
                  <c:v>13.335696401448144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30176"/>
        <c:axId val="226803576"/>
      </c:lineChart>
      <c:dateAx>
        <c:axId val="225130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6803576"/>
        <c:crosses val="autoZero"/>
        <c:auto val="1"/>
        <c:lblOffset val="100"/>
        <c:baseTimeUnit val="days"/>
        <c:majorUnit val="1"/>
        <c:majorTimeUnit val="months"/>
      </c:dateAx>
      <c:valAx>
        <c:axId val="22680357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513017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4.0587953600385696E-2</c:v>
                </c:pt>
                <c:pt idx="1">
                  <c:v>4.0606340513377859E-2</c:v>
                </c:pt>
                <c:pt idx="2">
                  <c:v>4.0624727073989009E-2</c:v>
                </c:pt>
                <c:pt idx="3">
                  <c:v>4.0643113282226029E-2</c:v>
                </c:pt>
                <c:pt idx="4">
                  <c:v>4.0661499138095469E-2</c:v>
                </c:pt>
                <c:pt idx="5">
                  <c:v>4.0679884641604214E-2</c:v>
                </c:pt>
                <c:pt idx="6">
                  <c:v>4.0698269792758923E-2</c:v>
                </c:pt>
                <c:pt idx="7">
                  <c:v>4.0716654591566481E-2</c:v>
                </c:pt>
                <c:pt idx="8">
                  <c:v>4.0735039038033549E-2</c:v>
                </c:pt>
                <c:pt idx="9">
                  <c:v>4.0753423132166899E-2</c:v>
                </c:pt>
                <c:pt idx="10">
                  <c:v>4.0771806873973193E-2</c:v>
                </c:pt>
                <c:pt idx="11">
                  <c:v>4.0790190263459314E-2</c:v>
                </c:pt>
                <c:pt idx="12">
                  <c:v>4.0808573300632034E-2</c:v>
                </c:pt>
                <c:pt idx="13">
                  <c:v>4.0826955985498015E-2</c:v>
                </c:pt>
                <c:pt idx="14">
                  <c:v>4.0845338318064028E-2</c:v>
                </c:pt>
                <c:pt idx="15">
                  <c:v>4.0863720298336736E-2</c:v>
                </c:pt>
                <c:pt idx="16">
                  <c:v>4.0882101926323133E-2</c:v>
                </c:pt>
                <c:pt idx="17">
                  <c:v>4.0900483202029769E-2</c:v>
                </c:pt>
                <c:pt idx="18">
                  <c:v>4.0918864125463417E-2</c:v>
                </c:pt>
                <c:pt idx="19">
                  <c:v>4.0937244696630848E-2</c:v>
                </c:pt>
                <c:pt idx="20">
                  <c:v>4.0955624915538946E-2</c:v>
                </c:pt>
                <c:pt idx="21">
                  <c:v>4.0974004782194262E-2</c:v>
                </c:pt>
                <c:pt idx="22">
                  <c:v>4.0992384296603568E-2</c:v>
                </c:pt>
                <c:pt idx="23">
                  <c:v>4.1010763458773747E-2</c:v>
                </c:pt>
                <c:pt idx="24">
                  <c:v>4.102914226871146E-2</c:v>
                </c:pt>
                <c:pt idx="25">
                  <c:v>4.1047520726423481E-2</c:v>
                </c:pt>
                <c:pt idx="26">
                  <c:v>4.106589883191647E-2</c:v>
                </c:pt>
                <c:pt idx="27">
                  <c:v>4.1084276585197421E-2</c:v>
                </c:pt>
                <c:pt idx="28">
                  <c:v>4.1102653986272775E-2</c:v>
                </c:pt>
                <c:pt idx="29">
                  <c:v>4.1121031035149525E-2</c:v>
                </c:pt>
                <c:pt idx="30">
                  <c:v>4.1139407731834221E-2</c:v>
                </c:pt>
                <c:pt idx="31">
                  <c:v>4.1157784076333859E-2</c:v>
                </c:pt>
                <c:pt idx="32">
                  <c:v>4.1176160068654988E-2</c:v>
                </c:pt>
                <c:pt idx="33">
                  <c:v>4.1194535708804381E-2</c:v>
                </c:pt>
                <c:pt idx="34">
                  <c:v>4.121291099678881E-2</c:v>
                </c:pt>
                <c:pt idx="35">
                  <c:v>4.1231285932615047E-2</c:v>
                </c:pt>
                <c:pt idx="36">
                  <c:v>4.1249660516289866E-2</c:v>
                </c:pt>
                <c:pt idx="37">
                  <c:v>4.1268034747820037E-2</c:v>
                </c:pt>
                <c:pt idx="38">
                  <c:v>4.1286408627212112E-2</c:v>
                </c:pt>
                <c:pt idx="39">
                  <c:v>4.1304782154473085E-2</c:v>
                </c:pt>
                <c:pt idx="40">
                  <c:v>4.1323155329609507E-2</c:v>
                </c:pt>
                <c:pt idx="41">
                  <c:v>4.1341528152628371E-2</c:v>
                </c:pt>
                <c:pt idx="42">
                  <c:v>4.1359900623536117E-2</c:v>
                </c:pt>
                <c:pt idx="43">
                  <c:v>4.1378272742339739E-2</c:v>
                </c:pt>
                <c:pt idx="44">
                  <c:v>4.1396644509045899E-2</c:v>
                </c:pt>
                <c:pt idx="45">
                  <c:v>4.1415015923661258E-2</c:v>
                </c:pt>
                <c:pt idx="46">
                  <c:v>4.14333869861927E-2</c:v>
                </c:pt>
                <c:pt idx="47">
                  <c:v>4.1451757696646996E-2</c:v>
                </c:pt>
                <c:pt idx="48">
                  <c:v>4.1470128055030697E-2</c:v>
                </c:pt>
                <c:pt idx="49">
                  <c:v>4.1488498061350687E-2</c:v>
                </c:pt>
                <c:pt idx="50">
                  <c:v>4.1506867715613738E-2</c:v>
                </c:pt>
                <c:pt idx="51">
                  <c:v>4.1525237017826622E-2</c:v>
                </c:pt>
                <c:pt idx="52">
                  <c:v>4.1543605967995889E-2</c:v>
                </c:pt>
                <c:pt idx="53">
                  <c:v>4.1561974566128423E-2</c:v>
                </c:pt>
                <c:pt idx="54">
                  <c:v>4.1580342812231108E-2</c:v>
                </c:pt>
                <c:pt idx="55">
                  <c:v>4.1598710706310382E-2</c:v>
                </c:pt>
                <c:pt idx="56">
                  <c:v>4.161707824837324E-2</c:v>
                </c:pt>
                <c:pt idx="57">
                  <c:v>4.1635445438426344E-2</c:v>
                </c:pt>
                <c:pt idx="58">
                  <c:v>4.1653812276476465E-2</c:v>
                </c:pt>
                <c:pt idx="59">
                  <c:v>4.1672178762530265E-2</c:v>
                </c:pt>
                <c:pt idx="60">
                  <c:v>4.1690544896594517E-2</c:v>
                </c:pt>
                <c:pt idx="61">
                  <c:v>4.1708910678676103E-2</c:v>
                </c:pt>
                <c:pt idx="62">
                  <c:v>4.1727276108781575E-2</c:v>
                </c:pt>
                <c:pt idx="63">
                  <c:v>4.1745641186917815E-2</c:v>
                </c:pt>
                <c:pt idx="64">
                  <c:v>4.1764005913091484E-2</c:v>
                </c:pt>
                <c:pt idx="65">
                  <c:v>4.1782370287309467E-2</c:v>
                </c:pt>
                <c:pt idx="66">
                  <c:v>4.1800734309578313E-2</c:v>
                </c:pt>
                <c:pt idx="67">
                  <c:v>4.1819097979904907E-2</c:v>
                </c:pt>
                <c:pt idx="68">
                  <c:v>4.1837461298295908E-2</c:v>
                </c:pt>
                <c:pt idx="69">
                  <c:v>4.185582426475809E-2</c:v>
                </c:pt>
                <c:pt idx="70">
                  <c:v>4.1874186879298336E-2</c:v>
                </c:pt>
                <c:pt idx="71">
                  <c:v>4.1892549141923086E-2</c:v>
                </c:pt>
                <c:pt idx="72">
                  <c:v>4.1910911052639332E-2</c:v>
                </c:pt>
                <c:pt idx="73">
                  <c:v>4.1929272611453849E-2</c:v>
                </c:pt>
                <c:pt idx="74">
                  <c:v>4.1947633818373187E-2</c:v>
                </c:pt>
                <c:pt idx="75">
                  <c:v>4.1965994673404117E-2</c:v>
                </c:pt>
                <c:pt idx="76">
                  <c:v>4.1984355176553523E-2</c:v>
                </c:pt>
                <c:pt idx="77">
                  <c:v>4.2002715327828066E-2</c:v>
                </c:pt>
                <c:pt idx="78">
                  <c:v>4.202107512723452E-2</c:v>
                </c:pt>
                <c:pt idx="79">
                  <c:v>4.2039434574779655E-2</c:v>
                </c:pt>
                <c:pt idx="80">
                  <c:v>4.2057793670470023E-2</c:v>
                </c:pt>
                <c:pt idx="81">
                  <c:v>4.2076152414312618E-2</c:v>
                </c:pt>
                <c:pt idx="82">
                  <c:v>4.20945108063141E-2</c:v>
                </c:pt>
                <c:pt idx="83">
                  <c:v>4.2112868846481133E-2</c:v>
                </c:pt>
                <c:pt idx="84">
                  <c:v>4.2131226534820487E-2</c:v>
                </c:pt>
                <c:pt idx="85">
                  <c:v>4.2149583871338936E-2</c:v>
                </c:pt>
                <c:pt idx="86">
                  <c:v>4.2167940856043251E-2</c:v>
                </c:pt>
                <c:pt idx="87">
                  <c:v>4.2186297488940205E-2</c:v>
                </c:pt>
                <c:pt idx="88">
                  <c:v>4.2204653770036349E-2</c:v>
                </c:pt>
                <c:pt idx="89">
                  <c:v>4.2223009699338676E-2</c:v>
                </c:pt>
                <c:pt idx="90">
                  <c:v>4.2241365276853737E-2</c:v>
                </c:pt>
                <c:pt idx="91">
                  <c:v>4.2259720502588305E-2</c:v>
                </c:pt>
                <c:pt idx="92">
                  <c:v>4.2278075376549151E-2</c:v>
                </c:pt>
                <c:pt idx="93">
                  <c:v>4.229642989874316E-2</c:v>
                </c:pt>
                <c:pt idx="94">
                  <c:v>4.231478406917677E-2</c:v>
                </c:pt>
                <c:pt idx="95">
                  <c:v>4.2333137887856975E-2</c:v>
                </c:pt>
                <c:pt idx="96">
                  <c:v>4.2351491354790438E-2</c:v>
                </c:pt>
                <c:pt idx="97">
                  <c:v>4.2369844469983931E-2</c:v>
                </c:pt>
                <c:pt idx="98">
                  <c:v>4.2388197233444114E-2</c:v>
                </c:pt>
                <c:pt idx="99">
                  <c:v>4.240654964517776E-2</c:v>
                </c:pt>
                <c:pt idx="100">
                  <c:v>4.2424901705191642E-2</c:v>
                </c:pt>
                <c:pt idx="101">
                  <c:v>4.2443253413492532E-2</c:v>
                </c:pt>
                <c:pt idx="102">
                  <c:v>4.246160477008698E-2</c:v>
                </c:pt>
                <c:pt idx="103">
                  <c:v>4.2479955774981981E-2</c:v>
                </c:pt>
                <c:pt idx="104">
                  <c:v>4.2498306428184085E-2</c:v>
                </c:pt>
                <c:pt idx="105">
                  <c:v>4.2516656729700175E-2</c:v>
                </c:pt>
                <c:pt idx="106">
                  <c:v>4.2535006679536913E-2</c:v>
                </c:pt>
                <c:pt idx="107">
                  <c:v>4.2553356277701071E-2</c:v>
                </c:pt>
                <c:pt idx="108">
                  <c:v>4.257170552419931E-2</c:v>
                </c:pt>
                <c:pt idx="109">
                  <c:v>4.2590054419038403E-2</c:v>
                </c:pt>
                <c:pt idx="110">
                  <c:v>4.2608402962225123E-2</c:v>
                </c:pt>
                <c:pt idx="111">
                  <c:v>4.262675115376624E-2</c:v>
                </c:pt>
                <c:pt idx="112">
                  <c:v>4.2645098993668529E-2</c:v>
                </c:pt>
                <c:pt idx="113">
                  <c:v>4.2663446481938538E-2</c:v>
                </c:pt>
                <c:pt idx="114">
                  <c:v>4.2681793618583153E-2</c:v>
                </c:pt>
                <c:pt idx="115">
                  <c:v>4.2700140403609033E-2</c:v>
                </c:pt>
                <c:pt idx="116">
                  <c:v>4.2718486837023062E-2</c:v>
                </c:pt>
                <c:pt idx="117">
                  <c:v>4.2736832918831791E-2</c:v>
                </c:pt>
                <c:pt idx="118">
                  <c:v>4.2755178649042103E-2</c:v>
                </c:pt>
                <c:pt idx="119">
                  <c:v>4.2773524027660659E-2</c:v>
                </c:pt>
                <c:pt idx="120">
                  <c:v>4.279186905469412E-2</c:v>
                </c:pt>
                <c:pt idx="121">
                  <c:v>4.2810213730149482E-2</c:v>
                </c:pt>
                <c:pt idx="122">
                  <c:v>4.2828558054033294E-2</c:v>
                </c:pt>
                <c:pt idx="123">
                  <c:v>4.2846902026352218E-2</c:v>
                </c:pt>
                <c:pt idx="124">
                  <c:v>4.2865245647113248E-2</c:v>
                </c:pt>
                <c:pt idx="125">
                  <c:v>4.2883588916322823E-2</c:v>
                </c:pt>
                <c:pt idx="126">
                  <c:v>4.2901931833987939E-2</c:v>
                </c:pt>
                <c:pt idx="127">
                  <c:v>4.2920274400115144E-2</c:v>
                </c:pt>
                <c:pt idx="128">
                  <c:v>4.2938616614711322E-2</c:v>
                </c:pt>
                <c:pt idx="129">
                  <c:v>4.2956958477783136E-2</c:v>
                </c:pt>
                <c:pt idx="130">
                  <c:v>4.2975299989337246E-2</c:v>
                </c:pt>
                <c:pt idx="131">
                  <c:v>4.2993641149380535E-2</c:v>
                </c:pt>
                <c:pt idx="132">
                  <c:v>4.3011981957919665E-2</c:v>
                </c:pt>
                <c:pt idx="133">
                  <c:v>4.3030322414961408E-2</c:v>
                </c:pt>
                <c:pt idx="134">
                  <c:v>4.3048662520512426E-2</c:v>
                </c:pt>
                <c:pt idx="135">
                  <c:v>4.3067002274579602E-2</c:v>
                </c:pt>
                <c:pt idx="136">
                  <c:v>4.3085341677169486E-2</c:v>
                </c:pt>
                <c:pt idx="137">
                  <c:v>4.3103680728288962E-2</c:v>
                </c:pt>
                <c:pt idx="138">
                  <c:v>4.312201942794458E-2</c:v>
                </c:pt>
                <c:pt idx="139">
                  <c:v>4.3140357776143334E-2</c:v>
                </c:pt>
                <c:pt idx="140">
                  <c:v>4.3158695772891775E-2</c:v>
                </c:pt>
                <c:pt idx="141">
                  <c:v>4.3177033418196786E-2</c:v>
                </c:pt>
                <c:pt idx="142">
                  <c:v>4.3195370712064918E-2</c:v>
                </c:pt>
                <c:pt idx="143">
                  <c:v>4.3213707654502942E-2</c:v>
                </c:pt>
                <c:pt idx="144">
                  <c:v>4.3232044245517742E-2</c:v>
                </c:pt>
                <c:pt idx="145">
                  <c:v>4.3250380485115869E-2</c:v>
                </c:pt>
                <c:pt idx="146">
                  <c:v>4.3268716373304317E-2</c:v>
                </c:pt>
                <c:pt idx="147">
                  <c:v>4.3287051910089525E-2</c:v>
                </c:pt>
                <c:pt idx="148">
                  <c:v>4.3305387095478376E-2</c:v>
                </c:pt>
                <c:pt idx="149">
                  <c:v>4.3323721929477532E-2</c:v>
                </c:pt>
                <c:pt idx="150">
                  <c:v>4.3342056412093766E-2</c:v>
                </c:pt>
                <c:pt idx="151">
                  <c:v>4.336039054333396E-2</c:v>
                </c:pt>
                <c:pt idx="152">
                  <c:v>4.3378724323204554E-2</c:v>
                </c:pt>
                <c:pt idx="153">
                  <c:v>4.3397057751712542E-2</c:v>
                </c:pt>
                <c:pt idx="154">
                  <c:v>4.3415390828864586E-2</c:v>
                </c:pt>
                <c:pt idx="155">
                  <c:v>4.3433723554667347E-2</c:v>
                </c:pt>
                <c:pt idx="156">
                  <c:v>4.3452055929127487E-2</c:v>
                </c:pt>
                <c:pt idx="157">
                  <c:v>4.3470387952251999E-2</c:v>
                </c:pt>
                <c:pt idx="158">
                  <c:v>4.3488719624047434E-2</c:v>
                </c:pt>
                <c:pt idx="159">
                  <c:v>4.3507050944520564E-2</c:v>
                </c:pt>
                <c:pt idx="160">
                  <c:v>4.3525381913678052E-2</c:v>
                </c:pt>
                <c:pt idx="161">
                  <c:v>4.3543712531526779E-2</c:v>
                </c:pt>
                <c:pt idx="162">
                  <c:v>4.3562042798073408E-2</c:v>
                </c:pt>
                <c:pt idx="163">
                  <c:v>4.35803727133246E-2</c:v>
                </c:pt>
                <c:pt idx="164">
                  <c:v>4.3598702277287127E-2</c:v>
                </c:pt>
                <c:pt idx="165">
                  <c:v>4.3617031489967761E-2</c:v>
                </c:pt>
                <c:pt idx="166">
                  <c:v>4.3635360351373276E-2</c:v>
                </c:pt>
                <c:pt idx="167">
                  <c:v>4.3653688861510331E-2</c:v>
                </c:pt>
                <c:pt idx="168">
                  <c:v>4.367201702038559E-2</c:v>
                </c:pt>
                <c:pt idx="169">
                  <c:v>4.3690344828005934E-2</c:v>
                </c:pt>
                <c:pt idx="170">
                  <c:v>4.3708672284378025E-2</c:v>
                </c:pt>
                <c:pt idx="171">
                  <c:v>4.3726999389508636E-2</c:v>
                </c:pt>
                <c:pt idx="172">
                  <c:v>4.3745326143404317E-2</c:v>
                </c:pt>
                <c:pt idx="173">
                  <c:v>4.3763652546072063E-2</c:v>
                </c:pt>
                <c:pt idx="174">
                  <c:v>4.3781978597518423E-2</c:v>
                </c:pt>
                <c:pt idx="175">
                  <c:v>4.3800304297750281E-2</c:v>
                </c:pt>
                <c:pt idx="176">
                  <c:v>4.3818629646774188E-2</c:v>
                </c:pt>
                <c:pt idx="177">
                  <c:v>4.3836954644596915E-2</c:v>
                </c:pt>
                <c:pt idx="178">
                  <c:v>4.3855279291225346E-2</c:v>
                </c:pt>
                <c:pt idx="179">
                  <c:v>4.3873603586666032E-2</c:v>
                </c:pt>
                <c:pt idx="180">
                  <c:v>4.3891927530925856E-2</c:v>
                </c:pt>
                <c:pt idx="181">
                  <c:v>4.3910251124011368E-2</c:v>
                </c:pt>
                <c:pt idx="182">
                  <c:v>4.3928574365929451E-2</c:v>
                </c:pt>
                <c:pt idx="183">
                  <c:v>4.3946897256686879E-2</c:v>
                </c:pt>
                <c:pt idx="184">
                  <c:v>4.39652197962902E-2</c:v>
                </c:pt>
                <c:pt idx="185">
                  <c:v>4.3983541984746188E-2</c:v>
                </c:pt>
                <c:pt idx="186">
                  <c:v>4.4001863822061615E-2</c:v>
                </c:pt>
                <c:pt idx="187">
                  <c:v>4.4020185308243254E-2</c:v>
                </c:pt>
                <c:pt idx="188">
                  <c:v>4.4038506443297765E-2</c:v>
                </c:pt>
                <c:pt idx="189">
                  <c:v>4.4056827227231921E-2</c:v>
                </c:pt>
                <c:pt idx="190">
                  <c:v>4.4075147660052383E-2</c:v>
                </c:pt>
                <c:pt idx="191">
                  <c:v>4.4093467741766035E-2</c:v>
                </c:pt>
                <c:pt idx="192">
                  <c:v>4.4111787472379427E-2</c:v>
                </c:pt>
                <c:pt idx="193">
                  <c:v>4.4130106851899331E-2</c:v>
                </c:pt>
                <c:pt idx="194">
                  <c:v>4.4148425880332631E-2</c:v>
                </c:pt>
                <c:pt idx="195">
                  <c:v>4.4166744557685766E-2</c:v>
                </c:pt>
                <c:pt idx="196">
                  <c:v>4.4185062883965731E-2</c:v>
                </c:pt>
                <c:pt idx="197">
                  <c:v>4.4203380859179187E-2</c:v>
                </c:pt>
                <c:pt idx="198">
                  <c:v>4.4221698483332683E-2</c:v>
                </c:pt>
                <c:pt idx="199">
                  <c:v>4.4240015756433215E-2</c:v>
                </c:pt>
                <c:pt idx="200">
                  <c:v>4.4258332678487333E-2</c:v>
                </c:pt>
                <c:pt idx="201">
                  <c:v>4.4276649249501809E-2</c:v>
                </c:pt>
                <c:pt idx="202">
                  <c:v>4.4294965469483416E-2</c:v>
                </c:pt>
                <c:pt idx="203">
                  <c:v>4.4313281338438926E-2</c:v>
                </c:pt>
                <c:pt idx="204">
                  <c:v>4.4331596856374889E-2</c:v>
                </c:pt>
                <c:pt idx="205">
                  <c:v>4.4349912023298077E-2</c:v>
                </c:pt>
                <c:pt idx="206">
                  <c:v>4.4368226839215374E-2</c:v>
                </c:pt>
                <c:pt idx="207">
                  <c:v>4.4386541304133331E-2</c:v>
                </c:pt>
                <c:pt idx="208">
                  <c:v>4.4404855418058831E-2</c:v>
                </c:pt>
                <c:pt idx="209">
                  <c:v>4.4423169180998423E-2</c:v>
                </c:pt>
                <c:pt idx="210">
                  <c:v>4.4441482592958992E-2</c:v>
                </c:pt>
                <c:pt idx="211">
                  <c:v>4.4459795653947087E-2</c:v>
                </c:pt>
                <c:pt idx="212">
                  <c:v>4.4478108363969704E-2</c:v>
                </c:pt>
                <c:pt idx="213">
                  <c:v>4.4496420723033281E-2</c:v>
                </c:pt>
                <c:pt idx="214">
                  <c:v>4.4514732731144702E-2</c:v>
                </c:pt>
                <c:pt idx="215">
                  <c:v>4.4533044388310739E-2</c:v>
                </c:pt>
                <c:pt idx="216">
                  <c:v>4.4551355694537942E-2</c:v>
                </c:pt>
                <c:pt idx="217">
                  <c:v>4.4569666649833195E-2</c:v>
                </c:pt>
                <c:pt idx="218">
                  <c:v>4.4587977254203159E-2</c:v>
                </c:pt>
                <c:pt idx="219">
                  <c:v>4.4606287507654607E-2</c:v>
                </c:pt>
                <c:pt idx="220">
                  <c:v>4.46245974101942E-2</c:v>
                </c:pt>
                <c:pt idx="221">
                  <c:v>4.464290696182871E-2</c:v>
                </c:pt>
                <c:pt idx="222">
                  <c:v>4.4661216162564799E-2</c:v>
                </c:pt>
                <c:pt idx="223">
                  <c:v>4.4679525012409238E-2</c:v>
                </c:pt>
                <c:pt idx="224">
                  <c:v>4.469783351136869E-2</c:v>
                </c:pt>
                <c:pt idx="225">
                  <c:v>4.4716141659450037E-2</c:v>
                </c:pt>
                <c:pt idx="226">
                  <c:v>4.4734449456659831E-2</c:v>
                </c:pt>
                <c:pt idx="227">
                  <c:v>4.4752756903004953E-2</c:v>
                </c:pt>
                <c:pt idx="228">
                  <c:v>4.4771063998491956E-2</c:v>
                </c:pt>
                <c:pt idx="229">
                  <c:v>4.4789370743127721E-2</c:v>
                </c:pt>
                <c:pt idx="230">
                  <c:v>4.48076771369188E-2</c:v>
                </c:pt>
                <c:pt idx="231">
                  <c:v>4.4825983179872075E-2</c:v>
                </c:pt>
                <c:pt idx="232">
                  <c:v>4.484428887199432E-2</c:v>
                </c:pt>
                <c:pt idx="233">
                  <c:v>4.4862594213291973E-2</c:v>
                </c:pt>
                <c:pt idx="234">
                  <c:v>4.4880899203772029E-2</c:v>
                </c:pt>
                <c:pt idx="235">
                  <c:v>4.4899203843441149E-2</c:v>
                </c:pt>
                <c:pt idx="236">
                  <c:v>4.4917508132305994E-2</c:v>
                </c:pt>
                <c:pt idx="237">
                  <c:v>4.4935812070373227E-2</c:v>
                </c:pt>
                <c:pt idx="238">
                  <c:v>4.4954115657649729E-2</c:v>
                </c:pt>
                <c:pt idx="239">
                  <c:v>4.4972418894142274E-2</c:v>
                </c:pt>
                <c:pt idx="240">
                  <c:v>4.4990721779857301E-2</c:v>
                </c:pt>
                <c:pt idx="241">
                  <c:v>4.5009024314801804E-2</c:v>
                </c:pt>
                <c:pt idx="242">
                  <c:v>4.5027326498982334E-2</c:v>
                </c:pt>
                <c:pt idx="243">
                  <c:v>4.5045628332405663E-2</c:v>
                </c:pt>
                <c:pt idx="244">
                  <c:v>4.5063929815078563E-2</c:v>
                </c:pt>
                <c:pt idx="245">
                  <c:v>4.5082230947007806E-2</c:v>
                </c:pt>
                <c:pt idx="246">
                  <c:v>4.5100531728199944E-2</c:v>
                </c:pt>
                <c:pt idx="247">
                  <c:v>4.5118832158661748E-2</c:v>
                </c:pt>
                <c:pt idx="248">
                  <c:v>4.5137132238399991E-2</c:v>
                </c:pt>
                <c:pt idx="249">
                  <c:v>4.5155431967421444E-2</c:v>
                </c:pt>
                <c:pt idx="250">
                  <c:v>4.517373134573277E-2</c:v>
                </c:pt>
                <c:pt idx="251">
                  <c:v>4.519203037334063E-2</c:v>
                </c:pt>
                <c:pt idx="252">
                  <c:v>4.5210329050251796E-2</c:v>
                </c:pt>
                <c:pt idx="253">
                  <c:v>4.5228627376473041E-2</c:v>
                </c:pt>
                <c:pt idx="254">
                  <c:v>4.5246925352011025E-2</c:v>
                </c:pt>
                <c:pt idx="255">
                  <c:v>4.5265222976872521E-2</c:v>
                </c:pt>
                <c:pt idx="256">
                  <c:v>4.528352025106408E-2</c:v>
                </c:pt>
                <c:pt idx="257">
                  <c:v>4.5301817174592696E-2</c:v>
                </c:pt>
                <c:pt idx="258">
                  <c:v>4.5320113747464918E-2</c:v>
                </c:pt>
                <c:pt idx="259">
                  <c:v>4.533840996968741E-2</c:v>
                </c:pt>
                <c:pt idx="260">
                  <c:v>4.5356705841267053E-2</c:v>
                </c:pt>
                <c:pt idx="261">
                  <c:v>4.537500136221051E-2</c:v>
                </c:pt>
                <c:pt idx="262">
                  <c:v>4.5393296532524441E-2</c:v>
                </c:pt>
                <c:pt idx="263">
                  <c:v>4.5411591352215619E-2</c:v>
                </c:pt>
                <c:pt idx="264">
                  <c:v>4.5429885821290705E-2</c:v>
                </c:pt>
                <c:pt idx="265">
                  <c:v>4.5448179939756472E-2</c:v>
                </c:pt>
                <c:pt idx="266">
                  <c:v>4.5466473707619692E-2</c:v>
                </c:pt>
                <c:pt idx="267">
                  <c:v>4.5484767124887027E-2</c:v>
                </c:pt>
                <c:pt idx="268">
                  <c:v>4.5503060191565137E-2</c:v>
                </c:pt>
                <c:pt idx="269">
                  <c:v>4.5521352907660795E-2</c:v>
                </c:pt>
                <c:pt idx="270">
                  <c:v>4.5539645273180773E-2</c:v>
                </c:pt>
                <c:pt idx="271">
                  <c:v>4.5557937288131733E-2</c:v>
                </c:pt>
                <c:pt idx="272">
                  <c:v>4.5576228952520337E-2</c:v>
                </c:pt>
                <c:pt idx="273">
                  <c:v>4.5594520266353356E-2</c:v>
                </c:pt>
                <c:pt idx="274">
                  <c:v>4.5612811229637562E-2</c:v>
                </c:pt>
                <c:pt idx="275">
                  <c:v>4.5631101842379729E-2</c:v>
                </c:pt>
                <c:pt idx="276">
                  <c:v>4.5649392104586295E-2</c:v>
                </c:pt>
                <c:pt idx="277">
                  <c:v>4.5667682016264255E-2</c:v>
                </c:pt>
                <c:pt idx="278">
                  <c:v>4.568597157742027E-2</c:v>
                </c:pt>
                <c:pt idx="279">
                  <c:v>4.5704260788061002E-2</c:v>
                </c:pt>
                <c:pt idx="280">
                  <c:v>4.5722549648193112E-2</c:v>
                </c:pt>
                <c:pt idx="281">
                  <c:v>4.5740838157823482E-2</c:v>
                </c:pt>
                <c:pt idx="282">
                  <c:v>4.5759126316958665E-2</c:v>
                </c:pt>
                <c:pt idx="283">
                  <c:v>4.5777414125605431E-2</c:v>
                </c:pt>
                <c:pt idx="284">
                  <c:v>4.5795701583770554E-2</c:v>
                </c:pt>
                <c:pt idx="285">
                  <c:v>4.5813988691460694E-2</c:v>
                </c:pt>
                <c:pt idx="286">
                  <c:v>4.5832275448682624E-2</c:v>
                </c:pt>
                <c:pt idx="287">
                  <c:v>4.5850561855443006E-2</c:v>
                </c:pt>
                <c:pt idx="288">
                  <c:v>4.5868847911748611E-2</c:v>
                </c:pt>
                <c:pt idx="289">
                  <c:v>4.5887133617606102E-2</c:v>
                </c:pt>
                <c:pt idx="290">
                  <c:v>4.5905418973022138E-2</c:v>
                </c:pt>
                <c:pt idx="291">
                  <c:v>4.5923703978003605E-2</c:v>
                </c:pt>
                <c:pt idx="292">
                  <c:v>4.5941988632557051E-2</c:v>
                </c:pt>
                <c:pt idx="293">
                  <c:v>4.5960272936689361E-2</c:v>
                </c:pt>
                <c:pt idx="294">
                  <c:v>4.5978556890407085E-2</c:v>
                </c:pt>
                <c:pt idx="295">
                  <c:v>4.5996840493716995E-2</c:v>
                </c:pt>
                <c:pt idx="296">
                  <c:v>4.6015123746625863E-2</c:v>
                </c:pt>
                <c:pt idx="297">
                  <c:v>4.6033406649140352E-2</c:v>
                </c:pt>
                <c:pt idx="298">
                  <c:v>4.6051689201267121E-2</c:v>
                </c:pt>
                <c:pt idx="299">
                  <c:v>4.6069971403013055E-2</c:v>
                </c:pt>
                <c:pt idx="300">
                  <c:v>4.6088253254384703E-2</c:v>
                </c:pt>
                <c:pt idx="301">
                  <c:v>4.6106534755388839E-2</c:v>
                </c:pt>
                <c:pt idx="302">
                  <c:v>4.6124815906032124E-2</c:v>
                </c:pt>
                <c:pt idx="303">
                  <c:v>4.614309670632144E-2</c:v>
                </c:pt>
                <c:pt idx="304">
                  <c:v>4.6161377156263339E-2</c:v>
                </c:pt>
                <c:pt idx="305">
                  <c:v>4.6179657255864481E-2</c:v>
                </c:pt>
                <c:pt idx="306">
                  <c:v>4.6197937005131862E-2</c:v>
                </c:pt>
                <c:pt idx="307">
                  <c:v>4.6216216404071919E-2</c:v>
                </c:pt>
                <c:pt idx="308">
                  <c:v>4.6234495452691426E-2</c:v>
                </c:pt>
                <c:pt idx="309">
                  <c:v>4.6252774150997267E-2</c:v>
                </c:pt>
                <c:pt idx="310">
                  <c:v>4.627105249899599E-2</c:v>
                </c:pt>
                <c:pt idx="311">
                  <c:v>4.6289330496694259E-2</c:v>
                </c:pt>
                <c:pt idx="312">
                  <c:v>4.6307608144098955E-2</c:v>
                </c:pt>
                <c:pt idx="313">
                  <c:v>4.632588544121663E-2</c:v>
                </c:pt>
                <c:pt idx="314">
                  <c:v>4.6344162388054166E-2</c:v>
                </c:pt>
                <c:pt idx="315">
                  <c:v>4.6362438984618115E-2</c:v>
                </c:pt>
                <c:pt idx="316">
                  <c:v>4.6380715230915248E-2</c:v>
                </c:pt>
                <c:pt idx="317">
                  <c:v>4.6398991126952338E-2</c:v>
                </c:pt>
                <c:pt idx="318">
                  <c:v>4.6417266672736046E-2</c:v>
                </c:pt>
                <c:pt idx="319">
                  <c:v>4.6435541868273034E-2</c:v>
                </c:pt>
                <c:pt idx="320">
                  <c:v>4.6453816713570184E-2</c:v>
                </c:pt>
                <c:pt idx="321">
                  <c:v>4.6472091208634048E-2</c:v>
                </c:pt>
                <c:pt idx="322">
                  <c:v>4.6490365353471286E-2</c:v>
                </c:pt>
                <c:pt idx="323">
                  <c:v>4.6508639148088782E-2</c:v>
                </c:pt>
                <c:pt idx="324">
                  <c:v>4.6526912592493197E-2</c:v>
                </c:pt>
                <c:pt idx="325">
                  <c:v>4.6545185686691193E-2</c:v>
                </c:pt>
                <c:pt idx="326">
                  <c:v>4.6563458430689542E-2</c:v>
                </c:pt>
                <c:pt idx="327">
                  <c:v>4.6581730824494905E-2</c:v>
                </c:pt>
                <c:pt idx="328">
                  <c:v>4.6600002868113943E-2</c:v>
                </c:pt>
                <c:pt idx="329">
                  <c:v>4.6618274561553541E-2</c:v>
                </c:pt>
                <c:pt idx="330">
                  <c:v>4.6636545904820248E-2</c:v>
                </c:pt>
                <c:pt idx="331">
                  <c:v>4.6654816897920726E-2</c:v>
                </c:pt>
                <c:pt idx="332">
                  <c:v>4.6673087540861968E-2</c:v>
                </c:pt>
                <c:pt idx="333">
                  <c:v>4.6691357833650415E-2</c:v>
                </c:pt>
                <c:pt idx="334">
                  <c:v>4.6709627776292839E-2</c:v>
                </c:pt>
                <c:pt idx="335">
                  <c:v>4.6727897368796012E-2</c:v>
                </c:pt>
                <c:pt idx="336">
                  <c:v>4.6746166611166706E-2</c:v>
                </c:pt>
                <c:pt idx="337">
                  <c:v>4.6764435503411361E-2</c:v>
                </c:pt>
                <c:pt idx="338">
                  <c:v>4.6782704045536971E-2</c:v>
                </c:pt>
                <c:pt idx="339">
                  <c:v>4.6800972237550198E-2</c:v>
                </c:pt>
                <c:pt idx="340">
                  <c:v>4.6819240079457591E-2</c:v>
                </c:pt>
                <c:pt idx="341">
                  <c:v>4.6837507571266035E-2</c:v>
                </c:pt>
                <c:pt idx="342">
                  <c:v>4.6855774712982079E-2</c:v>
                </c:pt>
                <c:pt idx="343">
                  <c:v>4.6874041504612607E-2</c:v>
                </c:pt>
                <c:pt idx="344">
                  <c:v>4.6892307946164169E-2</c:v>
                </c:pt>
                <c:pt idx="345">
                  <c:v>4.6910574037643538E-2</c:v>
                </c:pt>
                <c:pt idx="346">
                  <c:v>4.6928839779057485E-2</c:v>
                </c:pt>
                <c:pt idx="347">
                  <c:v>4.6947105170412673E-2</c:v>
                </c:pt>
                <c:pt idx="348">
                  <c:v>4.6965370211715762E-2</c:v>
                </c:pt>
                <c:pt idx="349">
                  <c:v>4.6983634902973526E-2</c:v>
                </c:pt>
                <c:pt idx="350">
                  <c:v>4.7001899244192624E-2</c:v>
                </c:pt>
                <c:pt idx="351">
                  <c:v>4.702016323537983E-2</c:v>
                </c:pt>
                <c:pt idx="352">
                  <c:v>4.7038426876541695E-2</c:v>
                </c:pt>
                <c:pt idx="353">
                  <c:v>4.7056690167685211E-2</c:v>
                </c:pt>
                <c:pt idx="354">
                  <c:v>4.7074953108816819E-2</c:v>
                </c:pt>
                <c:pt idx="355">
                  <c:v>4.7093215699943292E-2</c:v>
                </c:pt>
                <c:pt idx="356">
                  <c:v>4.7111477941071511E-2</c:v>
                </c:pt>
                <c:pt idx="357">
                  <c:v>4.7129739832207918E-2</c:v>
                </c:pt>
                <c:pt idx="358">
                  <c:v>4.7148001373359394E-2</c:v>
                </c:pt>
                <c:pt idx="359">
                  <c:v>4.7166262564532602E-2</c:v>
                </c:pt>
                <c:pt idx="360">
                  <c:v>4.7184523405734313E-2</c:v>
                </c:pt>
                <c:pt idx="361">
                  <c:v>4.7202783896971079E-2</c:v>
                </c:pt>
                <c:pt idx="362">
                  <c:v>4.7221044038249671E-2</c:v>
                </c:pt>
                <c:pt idx="363">
                  <c:v>4.7239303829576862E-2</c:v>
                </c:pt>
                <c:pt idx="364">
                  <c:v>4.7257563270959313E-2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3.5381041253689453E-2</c:v>
                </c:pt>
                <c:pt idx="1">
                  <c:v>3.5472437944734536E-2</c:v>
                </c:pt>
                <c:pt idx="2">
                  <c:v>3.5563801347121581E-2</c:v>
                </c:pt>
                <c:pt idx="3">
                  <c:v>3.5655123875321937E-2</c:v>
                </c:pt>
                <c:pt idx="4">
                  <c:v>3.574639893478402E-2</c:v>
                </c:pt>
                <c:pt idx="5">
                  <c:v>3.5837620901062364E-2</c:v>
                </c:pt>
                <c:pt idx="6">
                  <c:v>3.5928785090452747E-2</c:v>
                </c:pt>
                <c:pt idx="7">
                  <c:v>3.6019887722682338E-2</c:v>
                </c:pt>
                <c:pt idx="8">
                  <c:v>3.6110925876269372E-2</c:v>
                </c:pt>
                <c:pt idx="9">
                  <c:v>3.6201897437226023E-2</c:v>
                </c:pt>
                <c:pt idx="10">
                  <c:v>3.6292801041829845E-2</c:v>
                </c:pt>
                <c:pt idx="11">
                  <c:v>3.6383636014232897E-2</c:v>
                </c:pt>
                <c:pt idx="12">
                  <c:v>3.647440229971316E-2</c:v>
                </c:pt>
                <c:pt idx="13">
                  <c:v>3.6565100394400522E-2</c:v>
                </c:pt>
                <c:pt idx="14">
                  <c:v>3.6655731272327727E-2</c:v>
                </c:pt>
                <c:pt idx="15">
                  <c:v>3.6746296310667226E-2</c:v>
                </c:pt>
                <c:pt idx="16">
                  <c:v>3.6836797214015511E-2</c:v>
                </c:pt>
                <c:pt idx="17">
                  <c:v>3.6927235938579731E-2</c:v>
                </c:pt>
                <c:pt idx="18">
                  <c:v>3.7017614617105621E-2</c:v>
                </c:pt>
                <c:pt idx="19">
                  <c:v>3.7107935485361634E-2</c:v>
                </c:pt>
                <c:pt idx="20">
                  <c:v>3.7198200810962728E-2</c:v>
                </c:pt>
                <c:pt idx="21">
                  <c:v>3.7288412825278519E-2</c:v>
                </c:pt>
                <c:pt idx="22">
                  <c:v>3.7378573659123726E-2</c:v>
                </c:pt>
                <c:pt idx="23">
                  <c:v>3.7468685282877848E-2</c:v>
                </c:pt>
                <c:pt idx="24">
                  <c:v>3.7558749451621722E-2</c:v>
                </c:pt>
                <c:pt idx="25">
                  <c:v>3.7648767655816644E-2</c:v>
                </c:pt>
                <c:pt idx="26">
                  <c:v>3.7738741077983723E-2</c:v>
                </c:pt>
                <c:pt idx="27">
                  <c:v>3.7828670555770494E-2</c:v>
                </c:pt>
                <c:pt idx="28">
                  <c:v>3.7918556551717955E-2</c:v>
                </c:pt>
                <c:pt idx="29">
                  <c:v>3.8008399129965516E-2</c:v>
                </c:pt>
                <c:pt idx="30">
                  <c:v>3.8098197940054264E-2</c:v>
                </c:pt>
                <c:pt idx="31">
                  <c:v>3.8187952207911727E-2</c:v>
                </c:pt>
                <c:pt idx="32">
                  <c:v>3.8277660734024381E-2</c:v>
                </c:pt>
                <c:pt idx="33">
                  <c:v>3.8367321898728442E-2</c:v>
                </c:pt>
                <c:pt idx="34">
                  <c:v>3.8456933674475752E-2</c:v>
                </c:pt>
                <c:pt idx="35">
                  <c:v>3.8546493644860673E-2</c:v>
                </c:pt>
                <c:pt idx="36">
                  <c:v>3.8635999030126385E-2</c:v>
                </c:pt>
                <c:pt idx="37">
                  <c:v>3.8725446718805547E-2</c:v>
                </c:pt>
                <c:pt idx="38">
                  <c:v>3.8814833305091404E-2</c:v>
                </c:pt>
                <c:pt idx="39">
                  <c:v>3.8904155131482321E-2</c:v>
                </c:pt>
                <c:pt idx="40">
                  <c:v>3.8993408336194468E-2</c:v>
                </c:pt>
                <c:pt idx="41">
                  <c:v>3.9082588904796309E-2</c:v>
                </c:pt>
                <c:pt idx="42">
                  <c:v>3.9171692725482883E-2</c:v>
                </c:pt>
                <c:pt idx="43">
                  <c:v>3.9260715647380005E-2</c:v>
                </c:pt>
                <c:pt idx="44">
                  <c:v>3.9349653541246712E-2</c:v>
                </c:pt>
                <c:pt idx="45">
                  <c:v>3.9438502361930243E-2</c:v>
                </c:pt>
                <c:pt idx="46">
                  <c:v>3.9527258211920109E-2</c:v>
                </c:pt>
                <c:pt idx="47">
                  <c:v>3.9615917405348158E-2</c:v>
                </c:pt>
                <c:pt idx="48">
                  <c:v>3.9704476531787616E-2</c:v>
                </c:pt>
                <c:pt idx="49">
                  <c:v>3.9792932519218033E-2</c:v>
                </c:pt>
                <c:pt idx="50">
                  <c:v>3.9881282695542419E-2</c:v>
                </c:pt>
                <c:pt idx="51">
                  <c:v>3.9969524848069177E-2</c:v>
                </c:pt>
                <c:pt idx="52">
                  <c:v>4.0057657280402802E-2</c:v>
                </c:pt>
                <c:pt idx="53">
                  <c:v>4.0145678866224659E-2</c:v>
                </c:pt>
                <c:pt idx="54">
                  <c:v>4.0233589099486045E-2</c:v>
                </c:pt>
                <c:pt idx="55">
                  <c:v>4.0321388140582365E-2</c:v>
                </c:pt>
                <c:pt idx="56">
                  <c:v>4.0409076858125989E-2</c:v>
                </c:pt>
                <c:pt idx="57">
                  <c:v>4.04966568659881E-2</c:v>
                </c:pt>
                <c:pt idx="58">
                  <c:v>4.0584130555334004E-2</c:v>
                </c:pt>
                <c:pt idx="59">
                  <c:v>4.067150112143296E-2</c:v>
                </c:pt>
                <c:pt idx="60">
                  <c:v>4.0758772585080497E-2</c:v>
                </c:pt>
                <c:pt idx="61">
                  <c:v>4.0845949808528556E-2</c:v>
                </c:pt>
                <c:pt idx="62">
                  <c:v>4.0933038505875763E-2</c:v>
                </c:pt>
                <c:pt idx="63">
                  <c:v>4.10200452479259E-2</c:v>
                </c:pt>
                <c:pt idx="64">
                  <c:v>4.1106977461576953E-2</c:v>
                </c:pt>
                <c:pt idx="65">
                  <c:v>4.1193843423854619E-2</c:v>
                </c:pt>
                <c:pt idx="66">
                  <c:v>4.1280652250753058E-2</c:v>
                </c:pt>
                <c:pt idx="67">
                  <c:v>4.1367413881091386E-2</c:v>
                </c:pt>
                <c:pt idx="68">
                  <c:v>4.1454139055635469E-2</c:v>
                </c:pt>
                <c:pt idx="69">
                  <c:v>4.154083929177213E-2</c:v>
                </c:pt>
                <c:pt idx="70">
                  <c:v>4.1627526854055207E-2</c:v>
                </c:pt>
                <c:pt idx="71">
                  <c:v>4.1714214720970207E-2</c:v>
                </c:pt>
                <c:pt idx="72">
                  <c:v>4.1800916548287027E-2</c:v>
                </c:pt>
                <c:pt idx="73">
                  <c:v>4.1887646629386481E-2</c:v>
                </c:pt>
                <c:pt idx="74">
                  <c:v>4.1974419852958043E-2</c:v>
                </c:pt>
                <c:pt idx="75">
                  <c:v>4.2061251658472083E-2</c:v>
                </c:pt>
                <c:pt idx="76">
                  <c:v>4.2148157989830036E-2</c:v>
                </c:pt>
                <c:pt idx="77">
                  <c:v>4.2235155247591145E-2</c:v>
                </c:pt>
                <c:pt idx="78">
                  <c:v>4.232226024016382E-2</c:v>
                </c:pt>
                <c:pt idx="79">
                  <c:v>4.2409490134335349E-2</c:v>
                </c:pt>
                <c:pt idx="80">
                  <c:v>4.2496862405492969E-2</c:v>
                </c:pt>
                <c:pt idx="81">
                  <c:v>4.2584394787866055E-2</c:v>
                </c:pt>
                <c:pt idx="82">
                  <c:v>4.267210522509126E-2</c:v>
                </c:pt>
                <c:pt idx="83">
                  <c:v>4.2760011821370902E-2</c:v>
                </c:pt>
                <c:pt idx="84">
                  <c:v>4.2848132793461134E-2</c:v>
                </c:pt>
                <c:pt idx="85">
                  <c:v>4.2936486423690447E-2</c:v>
                </c:pt>
                <c:pt idx="86">
                  <c:v>4.3025091014170062E-2</c:v>
                </c:pt>
                <c:pt idx="87">
                  <c:v>4.3113964842319406E-2</c:v>
                </c:pt>
                <c:pt idx="88">
                  <c:v>4.32031261177898E-2</c:v>
                </c:pt>
                <c:pt idx="89">
                  <c:v>4.3292592940829447E-2</c:v>
                </c:pt>
                <c:pt idx="90">
                  <c:v>4.3382383262094336E-2</c:v>
                </c:pt>
                <c:pt idx="91">
                  <c:v>4.3472514843871407E-2</c:v>
                </c:pt>
                <c:pt idx="92">
                  <c:v>4.3563005222644627E-2</c:v>
                </c:pt>
                <c:pt idx="93">
                  <c:v>4.3653871672901016E-2</c:v>
                </c:pt>
                <c:pt idx="94">
                  <c:v>4.3745131172043053E-2</c:v>
                </c:pt>
                <c:pt idx="95">
                  <c:v>4.3836800366246542E-2</c:v>
                </c:pt>
                <c:pt idx="96">
                  <c:v>4.3928895537079841E-2</c:v>
                </c:pt>
                <c:pt idx="97">
                  <c:v>4.4021432568680775E-2</c:v>
                </c:pt>
                <c:pt idx="98">
                  <c:v>4.4114426915273446E-2</c:v>
                </c:pt>
                <c:pt idx="99">
                  <c:v>4.4207893568796772E-2</c:v>
                </c:pt>
                <c:pt idx="100">
                  <c:v>4.4301847026411961E-2</c:v>
                </c:pt>
                <c:pt idx="101">
                  <c:v>4.4396301257656791E-2</c:v>
                </c:pt>
                <c:pt idx="102">
                  <c:v>4.4491269671019323E-2</c:v>
                </c:pt>
                <c:pt idx="103">
                  <c:v>4.4586765079715221E-2</c:v>
                </c:pt>
                <c:pt idx="104">
                  <c:v>4.468279966646814E-2</c:v>
                </c:pt>
                <c:pt idx="105">
                  <c:v>4.4779384947113782E-2</c:v>
                </c:pt>
                <c:pt idx="106">
                  <c:v>4.487653173287371E-2</c:v>
                </c:pt>
                <c:pt idx="107">
                  <c:v>4.4974250091175123E-2</c:v>
                </c:pt>
                <c:pt idx="108">
                  <c:v>4.5072549304926886E-2</c:v>
                </c:pt>
                <c:pt idx="109">
                  <c:v>4.5171437830200445E-2</c:v>
                </c:pt>
                <c:pt idx="110">
                  <c:v>4.5270923252304598E-2</c:v>
                </c:pt>
                <c:pt idx="111">
                  <c:v>4.5371012240287931E-2</c:v>
                </c:pt>
                <c:pt idx="112">
                  <c:v>4.5471710499948151E-2</c:v>
                </c:pt>
                <c:pt idx="113">
                  <c:v>4.5573022725475261E-2</c:v>
                </c:pt>
                <c:pt idx="114">
                  <c:v>4.5674952549904266E-2</c:v>
                </c:pt>
                <c:pt idx="115">
                  <c:v>4.5777502494601621E-2</c:v>
                </c:pt>
                <c:pt idx="116">
                  <c:v>4.5880673918058203E-2</c:v>
                </c:pt>
                <c:pt idx="117">
                  <c:v>4.5984466964308801E-2</c:v>
                </c:pt>
                <c:pt idx="118">
                  <c:v>4.6088880511343445E-2</c:v>
                </c:pt>
                <c:pt idx="119">
                  <c:v>9.099574010168537E-3</c:v>
                </c:pt>
                <c:pt idx="120">
                  <c:v>9.2285081104938309E-3</c:v>
                </c:pt>
                <c:pt idx="121">
                  <c:v>9.3575526657547672E-3</c:v>
                </c:pt>
                <c:pt idx="122">
                  <c:v>9.4867105555013296E-3</c:v>
                </c:pt>
                <c:pt idx="123">
                  <c:v>9.6159842471193503E-3</c:v>
                </c:pt>
                <c:pt idx="124">
                  <c:v>9.7453757709854132E-3</c:v>
                </c:pt>
                <c:pt idx="125">
                  <c:v>9.8748866960197343E-3</c:v>
                </c:pt>
                <c:pt idx="126">
                  <c:v>1.0004518105824445E-2</c:v>
                </c:pt>
                <c:pt idx="127">
                  <c:v>1.0134270575605283E-2</c:v>
                </c:pt>
                <c:pt idx="128">
                  <c:v>1.0264144150082671E-2</c:v>
                </c:pt>
                <c:pt idx="129">
                  <c:v>1.0394138322605087E-2</c:v>
                </c:pt>
                <c:pt idx="130">
                  <c:v>1.0524252015682165E-2</c:v>
                </c:pt>
                <c:pt idx="131">
                  <c:v>1.0654483563157466E-2</c:v>
                </c:pt>
                <c:pt idx="132">
                  <c:v>1.0784830694241025E-2</c:v>
                </c:pt>
                <c:pt idx="133">
                  <c:v>1.091529051961955E-2</c:v>
                </c:pt>
                <c:pt idx="134">
                  <c:v>1.1045859519857619E-2</c:v>
                </c:pt>
                <c:pt idx="135">
                  <c:v>1.1176533536295614E-2</c:v>
                </c:pt>
                <c:pt idx="136">
                  <c:v>1.1307307764640855E-2</c:v>
                </c:pt>
                <c:pt idx="137">
                  <c:v>1.1438176751435686E-2</c:v>
                </c:pt>
                <c:pt idx="138">
                  <c:v>1.1569134393571481E-2</c:v>
                </c:pt>
                <c:pt idx="139">
                  <c:v>1.1700173941000471E-2</c:v>
                </c:pt>
                <c:pt idx="140">
                  <c:v>1.1831288002777272E-2</c:v>
                </c:pt>
                <c:pt idx="141">
                  <c:v>1.1962468556540496E-2</c:v>
                </c:pt>
                <c:pt idx="142">
                  <c:v>1.2093706961520841E-2</c:v>
                </c:pt>
                <c:pt idx="143">
                  <c:v>1.2224993975135965E-2</c:v>
                </c:pt>
                <c:pt idx="144">
                  <c:v>1.2356319773205482E-2</c:v>
                </c:pt>
                <c:pt idx="145">
                  <c:v>1.2487673973790372E-2</c:v>
                </c:pt>
                <c:pt idx="146">
                  <c:v>1.2619045664631099E-2</c:v>
                </c:pt>
                <c:pt idx="147">
                  <c:v>1.2750423434127835E-2</c:v>
                </c:pt>
                <c:pt idx="148">
                  <c:v>1.2881795405775201E-2</c:v>
                </c:pt>
                <c:pt idx="149">
                  <c:v>1.3013149275931618E-2</c:v>
                </c:pt>
                <c:pt idx="150">
                  <c:v>1.3144472354772655E-2</c:v>
                </c:pt>
                <c:pt idx="151">
                  <c:v>1.3275751610245854E-2</c:v>
                </c:pt>
                <c:pt idx="152">
                  <c:v>1.3406973714814708E-2</c:v>
                </c:pt>
                <c:pt idx="153">
                  <c:v>1.3538125094749982E-2</c:v>
                </c:pt>
                <c:pt idx="154">
                  <c:v>1.366919198169872E-2</c:v>
                </c:pt>
                <c:pt idx="155">
                  <c:v>1.3800160466235228E-2</c:v>
                </c:pt>
                <c:pt idx="156">
                  <c:v>1.3931016553074431E-2</c:v>
                </c:pt>
                <c:pt idx="157">
                  <c:v>1.4061746217606011E-2</c:v>
                </c:pt>
                <c:pt idx="158">
                  <c:v>1.4192335463389216E-2</c:v>
                </c:pt>
                <c:pt idx="159">
                  <c:v>1.4322770380231492E-2</c:v>
                </c:pt>
                <c:pt idx="160">
                  <c:v>1.4453037202461766E-2</c:v>
                </c:pt>
                <c:pt idx="161">
                  <c:v>1.4583122366998809E-2</c:v>
                </c:pt>
                <c:pt idx="162">
                  <c:v>1.4713012570809581E-2</c:v>
                </c:pt>
                <c:pt idx="163">
                  <c:v>1.4842694827349318E-2</c:v>
                </c:pt>
                <c:pt idx="164">
                  <c:v>1.4972156521576553E-2</c:v>
                </c:pt>
                <c:pt idx="165">
                  <c:v>1.5101385463141168E-2</c:v>
                </c:pt>
                <c:pt idx="166">
                  <c:v>1.5230369937351895E-2</c:v>
                </c:pt>
                <c:pt idx="167">
                  <c:v>1.5359098753542735E-2</c:v>
                </c:pt>
                <c:pt idx="168">
                  <c:v>1.5487561290473191E-2</c:v>
                </c:pt>
                <c:pt idx="169">
                  <c:v>1.5615747538417555E-2</c:v>
                </c:pt>
                <c:pt idx="170">
                  <c:v>1.5743648137621132E-2</c:v>
                </c:pt>
                <c:pt idx="171">
                  <c:v>1.5871254412828332E-2</c:v>
                </c:pt>
                <c:pt idx="172">
                  <c:v>1.5998558403616307E-2</c:v>
                </c:pt>
                <c:pt idx="173">
                  <c:v>1.6125552890300775E-2</c:v>
                </c:pt>
                <c:pt idx="174">
                  <c:v>1.6252231415215115E-2</c:v>
                </c:pt>
                <c:pt idx="175">
                  <c:v>1.6378588299200629E-2</c:v>
                </c:pt>
                <c:pt idx="176">
                  <c:v>1.6504618653185081E-2</c:v>
                </c:pt>
                <c:pt idx="177">
                  <c:v>1.6630318384766505E-2</c:v>
                </c:pt>
                <c:pt idx="178">
                  <c:v>1.6755684199760701E-2</c:v>
                </c:pt>
                <c:pt idx="179">
                  <c:v>1.6880713598713029E-2</c:v>
                </c:pt>
                <c:pt idx="180">
                  <c:v>1.7005404868416785E-2</c:v>
                </c:pt>
                <c:pt idx="181">
                  <c:v>1.7129757068523419E-2</c:v>
                </c:pt>
                <c:pt idx="182">
                  <c:v>1.7253770013370136E-2</c:v>
                </c:pt>
                <c:pt idx="183">
                  <c:v>1.7377444249191958E-2</c:v>
                </c:pt>
                <c:pt idx="184">
                  <c:v>1.7500781026923439E-2</c:v>
                </c:pt>
                <c:pt idx="185">
                  <c:v>1.7623782270832701E-2</c:v>
                </c:pt>
                <c:pt idx="186">
                  <c:v>1.7746450543265412E-2</c:v>
                </c:pt>
                <c:pt idx="187">
                  <c:v>1.78687890058081E-2</c:v>
                </c:pt>
                <c:pt idx="188">
                  <c:v>1.7990801377209993E-2</c:v>
                </c:pt>
                <c:pt idx="189">
                  <c:v>1.8112491888427982E-2</c:v>
                </c:pt>
                <c:pt idx="190">
                  <c:v>1.8233865235182334E-2</c:v>
                </c:pt>
                <c:pt idx="191">
                  <c:v>1.8354926528428822E-2</c:v>
                </c:pt>
                <c:pt idx="192">
                  <c:v>1.8475681243167643E-2</c:v>
                </c:pt>
                <c:pt idx="193">
                  <c:v>1.8596135166020232E-2</c:v>
                </c:pt>
                <c:pt idx="194">
                  <c:v>1.871629434201063E-2</c:v>
                </c:pt>
                <c:pt idx="195">
                  <c:v>1.8836165020990135E-2</c:v>
                </c:pt>
                <c:pt idx="196">
                  <c:v>1.8955753604140965E-2</c:v>
                </c:pt>
                <c:pt idx="197">
                  <c:v>1.9075066590987937E-2</c:v>
                </c:pt>
                <c:pt idx="198">
                  <c:v>1.9194110527335256E-2</c:v>
                </c:pt>
                <c:pt idx="199">
                  <c:v>1.9312891954530214E-2</c:v>
                </c:pt>
                <c:pt idx="200">
                  <c:v>1.9431417360435976E-2</c:v>
                </c:pt>
                <c:pt idx="201">
                  <c:v>1.9549693132471697E-2</c:v>
                </c:pt>
                <c:pt idx="202">
                  <c:v>1.9667725513051706E-2</c:v>
                </c:pt>
                <c:pt idx="203">
                  <c:v>1.9785520557724662E-2</c:v>
                </c:pt>
                <c:pt idx="204">
                  <c:v>1.99030840962806E-2</c:v>
                </c:pt>
                <c:pt idx="205">
                  <c:v>2.002042169705754E-2</c:v>
                </c:pt>
                <c:pt idx="206">
                  <c:v>2.0137538634641784E-2</c:v>
                </c:pt>
                <c:pt idx="207">
                  <c:v>2.0254439861115466E-2</c:v>
                </c:pt>
                <c:pt idx="208">
                  <c:v>2.0371129980964443E-2</c:v>
                </c:pt>
                <c:pt idx="209">
                  <c:v>2.0487613229717198E-2</c:v>
                </c:pt>
                <c:pt idx="210">
                  <c:v>2.0603893456343052E-2</c:v>
                </c:pt>
                <c:pt idx="211">
                  <c:v>2.0719974109396001E-2</c:v>
                </c:pt>
                <c:pt idx="212">
                  <c:v>2.0835858226848476E-2</c:v>
                </c:pt>
                <c:pt idx="213">
                  <c:v>2.0951548429518792E-2</c:v>
                </c:pt>
                <c:pt idx="214">
                  <c:v>2.1067046917957341E-2</c:v>
                </c:pt>
                <c:pt idx="215">
                  <c:v>2.1182355472618805E-2</c:v>
                </c:pt>
                <c:pt idx="216">
                  <c:v>2.1297475457113867E-2</c:v>
                </c:pt>
                <c:pt idx="217">
                  <c:v>2.1412407824301507E-2</c:v>
                </c:pt>
                <c:pt idx="218">
                  <c:v>2.1527153124954665E-2</c:v>
                </c:pt>
                <c:pt idx="219">
                  <c:v>2.1641711518707182E-2</c:v>
                </c:pt>
                <c:pt idx="220">
                  <c:v>2.1756082786968525E-2</c:v>
                </c:pt>
                <c:pt idx="221">
                  <c:v>2.1870266347476328E-2</c:v>
                </c:pt>
                <c:pt idx="222">
                  <c:v>2.198426127014361E-2</c:v>
                </c:pt>
                <c:pt idx="223">
                  <c:v>2.2098066293850038E-2</c:v>
                </c:pt>
                <c:pt idx="224">
                  <c:v>2.2211679843822881E-2</c:v>
                </c:pt>
                <c:pt idx="225">
                  <c:v>2.2325100049254535E-2</c:v>
                </c:pt>
                <c:pt idx="226">
                  <c:v>2.2438324760809945E-2</c:v>
                </c:pt>
                <c:pt idx="227">
                  <c:v>2.2551351567687283E-2</c:v>
                </c:pt>
                <c:pt idx="228">
                  <c:v>2.2664177813911154E-2</c:v>
                </c:pt>
                <c:pt idx="229">
                  <c:v>2.2776800613556785E-2</c:v>
                </c:pt>
                <c:pt idx="230">
                  <c:v>2.2889216864627762E-2</c:v>
                </c:pt>
                <c:pt idx="231">
                  <c:v>2.3001423261337531E-2</c:v>
                </c:pt>
                <c:pt idx="232">
                  <c:v>2.3113416304576511E-2</c:v>
                </c:pt>
                <c:pt idx="233">
                  <c:v>2.3225192310381025E-2</c:v>
                </c:pt>
                <c:pt idx="234">
                  <c:v>2.3336747416258168E-2</c:v>
                </c:pt>
                <c:pt idx="235">
                  <c:v>2.3448077585260411E-2</c:v>
                </c:pt>
                <c:pt idx="236">
                  <c:v>2.3559178607745895E-2</c:v>
                </c:pt>
                <c:pt idx="237">
                  <c:v>2.3670046100803626E-2</c:v>
                </c:pt>
                <c:pt idx="238">
                  <c:v>2.3780675505367242E-2</c:v>
                </c:pt>
                <c:pt idx="239">
                  <c:v>2.3891062081085483E-2</c:v>
                </c:pt>
                <c:pt idx="240">
                  <c:v>2.4001200899062426E-2</c:v>
                </c:pt>
                <c:pt idx="241">
                  <c:v>2.4111086832623974E-2</c:v>
                </c:pt>
                <c:pt idx="242">
                  <c:v>2.4220714546309936E-2</c:v>
                </c:pt>
                <c:pt idx="243">
                  <c:v>2.4330078483331592E-2</c:v>
                </c:pt>
                <c:pt idx="244">
                  <c:v>2.4439172851772932E-2</c:v>
                </c:pt>
                <c:pt idx="245">
                  <c:v>2.4547991609849409E-2</c:v>
                </c:pt>
                <c:pt idx="246">
                  <c:v>2.4656528450569891E-2</c:v>
                </c:pt>
                <c:pt idx="247">
                  <c:v>2.4764776786175946E-2</c:v>
                </c:pt>
                <c:pt idx="248">
                  <c:v>2.4872729732756206E-2</c:v>
                </c:pt>
                <c:pt idx="249">
                  <c:v>2.4980380095453454E-2</c:v>
                </c:pt>
                <c:pt idx="250">
                  <c:v>2.5087720354695777E-2</c:v>
                </c:pt>
                <c:pt idx="251">
                  <c:v>2.51947426538928E-2</c:v>
                </c:pt>
                <c:pt idx="252">
                  <c:v>2.5301438789041241E-2</c:v>
                </c:pt>
                <c:pt idx="253">
                  <c:v>2.5407800200682146E-2</c:v>
                </c:pt>
                <c:pt idx="254">
                  <c:v>2.5513817968644537E-2</c:v>
                </c:pt>
                <c:pt idx="255">
                  <c:v>2.5619482809996361E-2</c:v>
                </c:pt>
                <c:pt idx="256">
                  <c:v>2.5724785080604658E-2</c:v>
                </c:pt>
                <c:pt idx="257">
                  <c:v>2.5829714780681468E-2</c:v>
                </c:pt>
                <c:pt idx="258">
                  <c:v>2.5934261564662092E-2</c:v>
                </c:pt>
                <c:pt idx="259">
                  <c:v>2.6038414755725867E-2</c:v>
                </c:pt>
                <c:pt idx="260">
                  <c:v>2.6142163365229416E-2</c:v>
                </c:pt>
                <c:pt idx="261">
                  <c:v>2.6245496117276657E-2</c:v>
                </c:pt>
                <c:pt idx="262">
                  <c:v>2.6348401478600063E-2</c:v>
                </c:pt>
                <c:pt idx="263">
                  <c:v>2.6450867693874412E-2</c:v>
                </c:pt>
                <c:pt idx="264">
                  <c:v>2.6552882826527471E-2</c:v>
                </c:pt>
                <c:pt idx="265">
                  <c:v>2.6654434805052314E-2</c:v>
                </c:pt>
                <c:pt idx="266">
                  <c:v>2.6755511474764931E-2</c:v>
                </c:pt>
                <c:pt idx="267">
                  <c:v>2.6856100654886833E-2</c:v>
                </c:pt>
                <c:pt idx="268">
                  <c:v>2.6956190200769233E-2</c:v>
                </c:pt>
                <c:pt idx="269">
                  <c:v>2.7055768071010854E-2</c:v>
                </c:pt>
                <c:pt idx="270">
                  <c:v>2.7154822399157546E-2</c:v>
                </c:pt>
                <c:pt idx="271">
                  <c:v>2.725334156961012E-2</c:v>
                </c:pt>
                <c:pt idx="272">
                  <c:v>2.7351314297305973E-2</c:v>
                </c:pt>
                <c:pt idx="273">
                  <c:v>2.7448729710681973E-2</c:v>
                </c:pt>
                <c:pt idx="274">
                  <c:v>2.7545577437372244E-2</c:v>
                </c:pt>
                <c:pt idx="275">
                  <c:v>2.7641847692043156E-2</c:v>
                </c:pt>
                <c:pt idx="276">
                  <c:v>2.773753136572198E-2</c:v>
                </c:pt>
                <c:pt idx="277">
                  <c:v>2.7832620115934965E-2</c:v>
                </c:pt>
                <c:pt idx="278">
                  <c:v>2.7927106456935049E-2</c:v>
                </c:pt>
                <c:pt idx="279">
                  <c:v>2.8020983849270344E-2</c:v>
                </c:pt>
                <c:pt idx="280">
                  <c:v>2.811424678792239E-2</c:v>
                </c:pt>
                <c:pt idx="281">
                  <c:v>2.820689088822724E-2</c:v>
                </c:pt>
                <c:pt idx="282">
                  <c:v>2.8298912968784614E-2</c:v>
                </c:pt>
                <c:pt idx="283">
                  <c:v>2.8390311130559256E-2</c:v>
                </c:pt>
                <c:pt idx="284">
                  <c:v>2.8481084831386169E-2</c:v>
                </c:pt>
                <c:pt idx="285">
                  <c:v>2.8571234955105544E-2</c:v>
                </c:pt>
                <c:pt idx="286">
                  <c:v>2.8660763874576261E-2</c:v>
                </c:pt>
                <c:pt idx="287">
                  <c:v>2.8749675507846708E-2</c:v>
                </c:pt>
                <c:pt idx="288">
                  <c:v>2.8837975366799676E-2</c:v>
                </c:pt>
                <c:pt idx="289">
                  <c:v>2.8925670597633058E-2</c:v>
                </c:pt>
                <c:pt idx="290">
                  <c:v>2.9012770012590412E-2</c:v>
                </c:pt>
                <c:pt idx="291">
                  <c:v>2.9099284112413915E-2</c:v>
                </c:pt>
                <c:pt idx="292">
                  <c:v>2.9185225099057546E-2</c:v>
                </c:pt>
                <c:pt idx="293">
                  <c:v>2.9270606878268563E-2</c:v>
                </c:pt>
                <c:pt idx="294">
                  <c:v>2.9355445051721517E-2</c:v>
                </c:pt>
                <c:pt idx="295">
                  <c:v>2.9439756898468429E-2</c:v>
                </c:pt>
                <c:pt idx="296">
                  <c:v>2.9523561345553666E-2</c:v>
                </c:pt>
                <c:pt idx="297">
                  <c:v>2.9606878927727526E-2</c:v>
                </c:pt>
                <c:pt idx="298">
                  <c:v>2.9689731736283011E-2</c:v>
                </c:pt>
                <c:pt idx="299">
                  <c:v>2.9772143357129573E-2</c:v>
                </c:pt>
                <c:pt idx="300">
                  <c:v>2.9854138798309199E-2</c:v>
                </c:pt>
                <c:pt idx="301">
                  <c:v>2.9935744407250754E-2</c:v>
                </c:pt>
                <c:pt idx="302">
                  <c:v>3.0016987778148034E-2</c:v>
                </c:pt>
                <c:pt idx="303">
                  <c:v>3.0097897649934351E-2</c:v>
                </c:pt>
                <c:pt idx="304">
                  <c:v>3.0178503795411583E-2</c:v>
                </c:pt>
                <c:pt idx="305">
                  <c:v>3.02588369021719E-2</c:v>
                </c:pt>
                <c:pt idx="306">
                  <c:v>3.0338928446027511E-2</c:v>
                </c:pt>
                <c:pt idx="307">
                  <c:v>3.0418810557734575E-2</c:v>
                </c:pt>
                <c:pt idx="308">
                  <c:v>3.0498515883862865E-2</c:v>
                </c:pt>
                <c:pt idx="309">
                  <c:v>3.0578077442721216E-2</c:v>
                </c:pt>
                <c:pt idx="310">
                  <c:v>3.0657528476300117E-2</c:v>
                </c:pt>
                <c:pt idx="311">
                  <c:v>3.0736902299236517E-2</c:v>
                </c:pt>
                <c:pt idx="312">
                  <c:v>3.0816232145840713E-2</c:v>
                </c:pt>
                <c:pt idx="313">
                  <c:v>3.0895551016252219E-2</c:v>
                </c:pt>
                <c:pt idx="314">
                  <c:v>3.0974891522808468E-2</c:v>
                </c:pt>
                <c:pt idx="315">
                  <c:v>3.105428573771879E-2</c:v>
                </c:pt>
                <c:pt idx="316">
                  <c:v>3.113376504313509E-2</c:v>
                </c:pt>
                <c:pt idx="317">
                  <c:v>3.1213359984699367E-2</c:v>
                </c:pt>
                <c:pt idx="318">
                  <c:v>3.1293100129629006E-2</c:v>
                </c:pt>
                <c:pt idx="319">
                  <c:v>3.1373013930370772E-2</c:v>
                </c:pt>
                <c:pt idx="320">
                  <c:v>3.1453128594816158E-2</c:v>
                </c:pt>
                <c:pt idx="321">
                  <c:v>3.1533469964023661E-2</c:v>
                </c:pt>
                <c:pt idx="322">
                  <c:v>3.1614062398337472E-2</c:v>
                </c:pt>
                <c:pt idx="323">
                  <c:v>3.169492867272871E-2</c:v>
                </c:pt>
                <c:pt idx="324">
                  <c:v>3.1776089882114049E-2</c:v>
                </c:pt>
                <c:pt idx="325">
                  <c:v>3.1857565357328976E-2</c:v>
                </c:pt>
                <c:pt idx="326">
                  <c:v>3.1939372592348574E-2</c:v>
                </c:pt>
                <c:pt idx="327">
                  <c:v>3.2021527183259742E-2</c:v>
                </c:pt>
                <c:pt idx="328">
                  <c:v>3.2104042779394625E-2</c:v>
                </c:pt>
                <c:pt idx="329">
                  <c:v>3.2186931046937491E-2</c:v>
                </c:pt>
                <c:pt idx="330">
                  <c:v>3.2270201645216837E-2</c:v>
                </c:pt>
                <c:pt idx="331">
                  <c:v>3.2353862215792152E-2</c:v>
                </c:pt>
                <c:pt idx="332">
                  <c:v>3.2437918384341298E-2</c:v>
                </c:pt>
                <c:pt idx="333">
                  <c:v>3.2522373775251287E-2</c:v>
                </c:pt>
                <c:pt idx="334">
                  <c:v>3.2607230038712451E-2</c:v>
                </c:pt>
                <c:pt idx="335">
                  <c:v>3.2692486890015672E-2</c:v>
                </c:pt>
                <c:pt idx="336">
                  <c:v>3.2778142160654229E-2</c:v>
                </c:pt>
                <c:pt idx="337">
                  <c:v>3.2864191860737829E-2</c:v>
                </c:pt>
                <c:pt idx="338">
                  <c:v>3.2950630252136411E-2</c:v>
                </c:pt>
                <c:pt idx="339">
                  <c:v>3.303744993168755E-2</c:v>
                </c:pt>
                <c:pt idx="340">
                  <c:v>3.3124641923722505E-2</c:v>
                </c:pt>
                <c:pt idx="341">
                  <c:v>3.3212195781095084E-2</c:v>
                </c:pt>
                <c:pt idx="342">
                  <c:v>3.33000996938334E-2</c:v>
                </c:pt>
                <c:pt idx="343">
                  <c:v>3.3388340604479004E-2</c:v>
                </c:pt>
                <c:pt idx="344">
                  <c:v>3.3476904329130294E-2</c:v>
                </c:pt>
                <c:pt idx="345">
                  <c:v>3.356577568316943E-2</c:v>
                </c:pt>
                <c:pt idx="346">
                  <c:v>3.3654938610622277E-2</c:v>
                </c:pt>
                <c:pt idx="347">
                  <c:v>3.3744376316082104E-2</c:v>
                </c:pt>
                <c:pt idx="348">
                  <c:v>3.3834071398117657E-2</c:v>
                </c:pt>
                <c:pt idx="349">
                  <c:v>3.3924005983086189E-2</c:v>
                </c:pt>
                <c:pt idx="350">
                  <c:v>3.4014161858281849E-2</c:v>
                </c:pt>
                <c:pt idx="351">
                  <c:v>3.4104520603368993E-2</c:v>
                </c:pt>
                <c:pt idx="352">
                  <c:v>3.4195063719078093E-2</c:v>
                </c:pt>
                <c:pt idx="353">
                  <c:v>3.4285772752180241E-2</c:v>
                </c:pt>
                <c:pt idx="354">
                  <c:v>3.4376629415801579E-2</c:v>
                </c:pt>
                <c:pt idx="355">
                  <c:v>3.4467615704193551E-2</c:v>
                </c:pt>
                <c:pt idx="356">
                  <c:v>3.4558714001136775E-2</c:v>
                </c:pt>
                <c:pt idx="357">
                  <c:v>3.4649907181224654E-2</c:v>
                </c:pt>
                <c:pt idx="358">
                  <c:v>3.4741178703348419E-2</c:v>
                </c:pt>
                <c:pt idx="359">
                  <c:v>3.4832512695784627E-2</c:v>
                </c:pt>
                <c:pt idx="360">
                  <c:v>3.492389403237256E-2</c:v>
                </c:pt>
                <c:pt idx="361">
                  <c:v>3.5015308399356612E-2</c:v>
                </c:pt>
                <c:pt idx="362">
                  <c:v>3.5106742352561157E-2</c:v>
                </c:pt>
                <c:pt idx="363">
                  <c:v>3.5198183364659512E-2</c:v>
                </c:pt>
                <c:pt idx="364">
                  <c:v>3.5289619862392631E-2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1.3519351503355616E-3</c:v>
                </c:pt>
                <c:pt idx="1">
                  <c:v>1.3234031822579294E-3</c:v>
                </c:pt>
                <c:pt idx="2">
                  <c:v>1.2925756777911399E-3</c:v>
                </c:pt>
                <c:pt idx="3">
                  <c:v>1.2595212371994821E-3</c:v>
                </c:pt>
                <c:pt idx="4">
                  <c:v>1.2243113415083286E-3</c:v>
                </c:pt>
                <c:pt idx="5">
                  <c:v>1.1870199165631287E-3</c:v>
                </c:pt>
                <c:pt idx="6">
                  <c:v>1.1477228909023832E-3</c:v>
                </c:pt>
                <c:pt idx="7">
                  <c:v>1.10649775223249E-3</c:v>
                </c:pt>
                <c:pt idx="8">
                  <c:v>1.0633311982939434E-3</c:v>
                </c:pt>
                <c:pt idx="9">
                  <c:v>1.0177003392645453E-3</c:v>
                </c:pt>
                <c:pt idx="10">
                  <c:v>9.704296692398097E-4</c:v>
                </c:pt>
                <c:pt idx="11">
                  <c:v>9.2163980380982266E-4</c:v>
                </c:pt>
                <c:pt idx="12">
                  <c:v>8.7144575769466546E-4</c:v>
                </c:pt>
                <c:pt idx="13">
                  <c:v>8.199562784623678E-4</c:v>
                </c:pt>
                <c:pt idx="14">
                  <c:v>7.6727331361551719E-4</c:v>
                </c:pt>
                <c:pt idx="15">
                  <c:v>7.1476747380876213E-4</c:v>
                </c:pt>
                <c:pt idx="16">
                  <c:v>6.6383001783927803E-4</c:v>
                </c:pt>
                <c:pt idx="17">
                  <c:v>6.1446662761308187E-4</c:v>
                </c:pt>
                <c:pt idx="18">
                  <c:v>5.6667567117288159E-4</c:v>
                </c:pt>
                <c:pt idx="19">
                  <c:v>5.2045183638939915E-4</c:v>
                </c:pt>
                <c:pt idx="20">
                  <c:v>4.7578414475575018E-4</c:v>
                </c:pt>
                <c:pt idx="21">
                  <c:v>4.3265322468268556E-4</c:v>
                </c:pt>
                <c:pt idx="22">
                  <c:v>3.9098643958945003E-4</c:v>
                </c:pt>
                <c:pt idx="23">
                  <c:v>3.5197771552313104E-4</c:v>
                </c:pt>
                <c:pt idx="24">
                  <c:v>3.1606104324727286E-4</c:v>
                </c:pt>
                <c:pt idx="25">
                  <c:v>2.8317635645627086E-4</c:v>
                </c:pt>
                <c:pt idx="26">
                  <c:v>2.5325892164057405E-4</c:v>
                </c:pt>
                <c:pt idx="27">
                  <c:v>2.2624046261047131E-4</c:v>
                </c:pt>
                <c:pt idx="28">
                  <c:v>2.0205019427910599E-4</c:v>
                </c:pt>
                <c:pt idx="29">
                  <c:v>1.8115444600056785E-4</c:v>
                </c:pt>
                <c:pt idx="30">
                  <c:v>1.6236257642806971E-4</c:v>
                </c:pt>
                <c:pt idx="31">
                  <c:v>1.456187744454569E-4</c:v>
                </c:pt>
                <c:pt idx="32">
                  <c:v>1.3086734670338644E-4</c:v>
                </c:pt>
                <c:pt idx="33">
                  <c:v>1.180532128807247E-4</c:v>
                </c:pt>
                <c:pt idx="34">
                  <c:v>1.0712234201189486E-4</c:v>
                </c:pt>
                <c:pt idx="35">
                  <c:v>9.8022134321874713E-5</c:v>
                </c:pt>
                <c:pt idx="36">
                  <c:v>9.0693526551481908E-5</c:v>
                </c:pt>
                <c:pt idx="37">
                  <c:v>8.5148499264038686E-5</c:v>
                </c:pt>
                <c:pt idx="38">
                  <c:v>8.0261002834267946E-5</c:v>
                </c:pt>
                <c:pt idx="39">
                  <c:v>7.601503636890265E-5</c:v>
                </c:pt>
                <c:pt idx="40">
                  <c:v>7.2394732555449134E-5</c:v>
                </c:pt>
                <c:pt idx="41">
                  <c:v>6.9384459246303446E-5</c:v>
                </c:pt>
                <c:pt idx="42">
                  <c:v>6.6968909545045156E-5</c:v>
                </c:pt>
                <c:pt idx="43">
                  <c:v>6.5048839974368291E-5</c:v>
                </c:pt>
                <c:pt idx="44">
                  <c:v>6.3143943106051942E-5</c:v>
                </c:pt>
                <c:pt idx="45">
                  <c:v>6.1254547727458041E-5</c:v>
                </c:pt>
                <c:pt idx="46">
                  <c:v>5.9380869960899967E-5</c:v>
                </c:pt>
                <c:pt idx="47">
                  <c:v>5.7523022040974133E-5</c:v>
                </c:pt>
                <c:pt idx="48">
                  <c:v>5.568102030931369E-5</c:v>
                </c:pt>
                <c:pt idx="49">
                  <c:v>5.3854792395559632E-5</c:v>
                </c:pt>
                <c:pt idx="50">
                  <c:v>5.204256715057548E-5</c:v>
                </c:pt>
                <c:pt idx="51">
                  <c:v>5.0309419280807314E-5</c:v>
                </c:pt>
                <c:pt idx="52">
                  <c:v>4.8593826032712778E-5</c:v>
                </c:pt>
                <c:pt idx="53">
                  <c:v>4.6894716387774672E-5</c:v>
                </c:pt>
                <c:pt idx="54">
                  <c:v>4.5211338888748625E-5</c:v>
                </c:pt>
                <c:pt idx="55">
                  <c:v>4.3542999346628952E-5</c:v>
                </c:pt>
                <c:pt idx="56">
                  <c:v>4.1889056440466733E-5</c:v>
                </c:pt>
                <c:pt idx="57">
                  <c:v>4.0269028539491046E-5</c:v>
                </c:pt>
                <c:pt idx="58">
                  <c:v>3.8756936044590064E-5</c:v>
                </c:pt>
                <c:pt idx="59">
                  <c:v>3.735032157516099E-5</c:v>
                </c:pt>
                <c:pt idx="60">
                  <c:v>3.6046838104254474E-5</c:v>
                </c:pt>
                <c:pt idx="61">
                  <c:v>3.4844241591960664E-5</c:v>
                </c:pt>
                <c:pt idx="62">
                  <c:v>3.3740384450485741E-5</c:v>
                </c:pt>
                <c:pt idx="63">
                  <c:v>3.2733209809431079E-5</c:v>
                </c:pt>
                <c:pt idx="64">
                  <c:v>3.1820169702406787E-5</c:v>
                </c:pt>
                <c:pt idx="65">
                  <c:v>3.0949162991630092E-5</c:v>
                </c:pt>
                <c:pt idx="66">
                  <c:v>3.0059457018588224E-5</c:v>
                </c:pt>
                <c:pt idx="67">
                  <c:v>2.9151869197204791E-5</c:v>
                </c:pt>
                <c:pt idx="68">
                  <c:v>2.8227153191033378E-5</c:v>
                </c:pt>
                <c:pt idx="69">
                  <c:v>2.7285996526573016E-5</c:v>
                </c:pt>
                <c:pt idx="70">
                  <c:v>2.6329018331686028E-5</c:v>
                </c:pt>
                <c:pt idx="71">
                  <c:v>2.5382953784940613E-5</c:v>
                </c:pt>
                <c:pt idx="72">
                  <c:v>2.4429384688497355E-5</c:v>
                </c:pt>
                <c:pt idx="73">
                  <c:v>2.3468528893192554E-5</c:v>
                </c:pt>
                <c:pt idx="74">
                  <c:v>2.2500535023167901E-5</c:v>
                </c:pt>
                <c:pt idx="75">
                  <c:v>2.1525481245843846E-5</c:v>
                </c:pt>
                <c:pt idx="76">
                  <c:v>2.0543374070975875E-5</c:v>
                </c:pt>
                <c:pt idx="77">
                  <c:v>1.9554147161540237E-5</c:v>
                </c:pt>
                <c:pt idx="78">
                  <c:v>1.8556642482110512E-5</c:v>
                </c:pt>
                <c:pt idx="79">
                  <c:v>1.756725124364615E-5</c:v>
                </c:pt>
                <c:pt idx="80">
                  <c:v>1.663172078780382E-5</c:v>
                </c:pt>
                <c:pt idx="81">
                  <c:v>1.5749238535643875E-5</c:v>
                </c:pt>
                <c:pt idx="82">
                  <c:v>1.491897909281629E-5</c:v>
                </c:pt>
                <c:pt idx="83">
                  <c:v>1.4140113833625286E-5</c:v>
                </c:pt>
                <c:pt idx="84">
                  <c:v>1.3411820063289184E-5</c:v>
                </c:pt>
                <c:pt idx="85">
                  <c:v>1.2723200756969649E-5</c:v>
                </c:pt>
                <c:pt idx="86">
                  <c:v>1.2049172167171795E-5</c:v>
                </c:pt>
                <c:pt idx="87">
                  <c:v>1.1389264244748065E-5</c:v>
                </c:pt>
                <c:pt idx="88">
                  <c:v>1.0742977771370548E-5</c:v>
                </c:pt>
                <c:pt idx="89">
                  <c:v>1.0109786733290247E-5</c:v>
                </c:pt>
                <c:pt idx="90">
                  <c:v>9.489140497174306E-6</c:v>
                </c:pt>
                <c:pt idx="91">
                  <c:v>8.8804657861165214E-6</c:v>
                </c:pt>
                <c:pt idx="92">
                  <c:v>8.2829340740306656E-6</c:v>
                </c:pt>
                <c:pt idx="93">
                  <c:v>7.7074312562323149E-6</c:v>
                </c:pt>
                <c:pt idx="94">
                  <c:v>7.1367579217289152E-6</c:v>
                </c:pt>
                <c:pt idx="95">
                  <c:v>6.5703350116262585E-6</c:v>
                </c:pt>
                <c:pt idx="96">
                  <c:v>6.0075863091606035E-6</c:v>
                </c:pt>
                <c:pt idx="97">
                  <c:v>5.4479381718617862E-6</c:v>
                </c:pt>
                <c:pt idx="98">
                  <c:v>4.8908193340500222E-6</c:v>
                </c:pt>
                <c:pt idx="99">
                  <c:v>4.3569195386918608E-6</c:v>
                </c:pt>
                <c:pt idx="100">
                  <c:v>3.8557872878875081E-6</c:v>
                </c:pt>
                <c:pt idx="101">
                  <c:v>3.3870855102267023E-6</c:v>
                </c:pt>
                <c:pt idx="102">
                  <c:v>2.9505443269148917E-6</c:v>
                </c:pt>
                <c:pt idx="103">
                  <c:v>2.5459613601862387E-6</c:v>
                </c:pt>
                <c:pt idx="104">
                  <c:v>2.1732020651888146E-6</c:v>
                </c:pt>
                <c:pt idx="105">
                  <c:v>1.8322000716519858E-6</c:v>
                </c:pt>
                <c:pt idx="106">
                  <c:v>1.5229933627062355E-6</c:v>
                </c:pt>
                <c:pt idx="107">
                  <c:v>1.2558660047220696E-6</c:v>
                </c:pt>
                <c:pt idx="108">
                  <c:v>1.0189172401640336E-6</c:v>
                </c:pt>
                <c:pt idx="109">
                  <c:v>8.123145897917862E-7</c:v>
                </c:pt>
                <c:pt idx="110">
                  <c:v>6.3630447335923215E-7</c:v>
                </c:pt>
                <c:pt idx="111">
                  <c:v>4.9120675685331836E-7</c:v>
                </c:pt>
                <c:pt idx="112">
                  <c:v>3.7741244393945415E-7</c:v>
                </c:pt>
                <c:pt idx="113">
                  <c:v>2.9538444215978002E-7</c:v>
                </c:pt>
                <c:pt idx="114">
                  <c:v>2.2299224952097518E-7</c:v>
                </c:pt>
                <c:pt idx="115">
                  <c:v>1.60369449158963E-7</c:v>
                </c:pt>
                <c:pt idx="116">
                  <c:v>1.0767208625713657E-7</c:v>
                </c:pt>
                <c:pt idx="117">
                  <c:v>6.5077915061680732E-8</c:v>
                </c:pt>
                <c:pt idx="118">
                  <c:v>3.2785580552202859E-8</c:v>
                </c:pt>
                <c:pt idx="119">
                  <c:v>1.1013723748266109E-8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-1.1917496236971569E-20</c:v>
                </c:pt>
                <c:pt idx="125">
                  <c:v>-1.2016492217106695E-20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1.2551487480609722E-20</c:v>
                </c:pt>
                <c:pt idx="131">
                  <c:v>0</c:v>
                </c:pt>
                <c:pt idx="132">
                  <c:v>0</c:v>
                </c:pt>
                <c:pt idx="133">
                  <c:v>1.2900283095774275E-20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1.3392794902799644E-20</c:v>
                </c:pt>
                <c:pt idx="138">
                  <c:v>1.3520264305328438E-20</c:v>
                </c:pt>
                <c:pt idx="139">
                  <c:v>0</c:v>
                </c:pt>
                <c:pt idx="140">
                  <c:v>0</c:v>
                </c:pt>
                <c:pt idx="141">
                  <c:v>1.3910798768833795E-20</c:v>
                </c:pt>
                <c:pt idx="142">
                  <c:v>0</c:v>
                </c:pt>
                <c:pt idx="143">
                  <c:v>-1.4176377305478259E-20</c:v>
                </c:pt>
                <c:pt idx="144">
                  <c:v>0</c:v>
                </c:pt>
                <c:pt idx="145">
                  <c:v>0</c:v>
                </c:pt>
                <c:pt idx="146">
                  <c:v>1.4579306235209561E-20</c:v>
                </c:pt>
                <c:pt idx="147">
                  <c:v>1.4714150153140091E-20</c:v>
                </c:pt>
                <c:pt idx="148">
                  <c:v>0</c:v>
                </c:pt>
                <c:pt idx="149">
                  <c:v>1.4984068661935007E-20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1.6172830190142663E-20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-1.6901672804168074E-20</c:v>
                </c:pt>
                <c:pt idx="165">
                  <c:v>1.7016021344672509E-20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-1.7938377904598949E-20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-1.9493036937755797E-20</c:v>
                </c:pt>
                <c:pt idx="199">
                  <c:v>0</c:v>
                </c:pt>
                <c:pt idx="200">
                  <c:v>0</c:v>
                </c:pt>
                <c:pt idx="201">
                  <c:v>-1.9619566310446586E-20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2.1537207659711418E-8</c:v>
                </c:pt>
                <c:pt idx="226">
                  <c:v>6.476091163333322E-8</c:v>
                </c:pt>
                <c:pt idx="227">
                  <c:v>1.2981993370914173E-7</c:v>
                </c:pt>
                <c:pt idx="228">
                  <c:v>2.1686205685331191E-7</c:v>
                </c:pt>
                <c:pt idx="229">
                  <c:v>3.2603340700327403E-7</c:v>
                </c:pt>
                <c:pt idx="230">
                  <c:v>4.5747779146205036E-7</c:v>
                </c:pt>
                <c:pt idx="231">
                  <c:v>6.1133599624445742E-7</c:v>
                </c:pt>
                <c:pt idx="232">
                  <c:v>7.8773567046831869E-7</c:v>
                </c:pt>
                <c:pt idx="233">
                  <c:v>1.0337400679189383E-6</c:v>
                </c:pt>
                <c:pt idx="234">
                  <c:v>1.3497752235657939E-6</c:v>
                </c:pt>
                <c:pt idx="235">
                  <c:v>1.7362619508424173E-6</c:v>
                </c:pt>
                <c:pt idx="236">
                  <c:v>2.1936209788261334E-6</c:v>
                </c:pt>
                <c:pt idx="237">
                  <c:v>2.7222761649019856E-6</c:v>
                </c:pt>
                <c:pt idx="238">
                  <c:v>3.3226600034934816E-6</c:v>
                </c:pt>
                <c:pt idx="239">
                  <c:v>4.0219850354440721E-6</c:v>
                </c:pt>
                <c:pt idx="240">
                  <c:v>4.7986341658786114E-6</c:v>
                </c:pt>
                <c:pt idx="241">
                  <c:v>5.6531271284563698E-6</c:v>
                </c:pt>
                <c:pt idx="242">
                  <c:v>6.5860136888235234E-6</c:v>
                </c:pt>
                <c:pt idx="243">
                  <c:v>7.5978792303981021E-6</c:v>
                </c:pt>
                <c:pt idx="244">
                  <c:v>8.6893504438859627E-6</c:v>
                </c:pt>
                <c:pt idx="245">
                  <c:v>9.8611011289181983E-6</c:v>
                </c:pt>
                <c:pt idx="246">
                  <c:v>1.1113490448814326E-5</c:v>
                </c:pt>
                <c:pt idx="247">
                  <c:v>1.2424584961044614E-5</c:v>
                </c:pt>
                <c:pt idx="248">
                  <c:v>1.3746307720306412E-5</c:v>
                </c:pt>
                <c:pt idx="249">
                  <c:v>1.5078738880644064E-5</c:v>
                </c:pt>
                <c:pt idx="250">
                  <c:v>1.6421980516032744E-5</c:v>
                </c:pt>
                <c:pt idx="251">
                  <c:v>1.7776156794866557E-5</c:v>
                </c:pt>
                <c:pt idx="252">
                  <c:v>1.9141414169503664E-5</c:v>
                </c:pt>
                <c:pt idx="253">
                  <c:v>2.0552699211271052E-5</c:v>
                </c:pt>
                <c:pt idx="254">
                  <c:v>2.1982775201252078E-5</c:v>
                </c:pt>
                <c:pt idx="255">
                  <c:v>2.3431898687527312E-5</c:v>
                </c:pt>
                <c:pt idx="256">
                  <c:v>2.4900352209794857E-5</c:v>
                </c:pt>
                <c:pt idx="257">
                  <c:v>2.6388445124655517E-5</c:v>
                </c:pt>
                <c:pt idx="258">
                  <c:v>2.7896514582448787E-5</c:v>
                </c:pt>
                <c:pt idx="259">
                  <c:v>2.942492669490924E-5</c:v>
                </c:pt>
                <c:pt idx="260">
                  <c:v>3.0973729077002814E-5</c:v>
                </c:pt>
                <c:pt idx="261">
                  <c:v>3.2593007890313096E-5</c:v>
                </c:pt>
                <c:pt idx="262">
                  <c:v>3.4306041748230937E-5</c:v>
                </c:pt>
                <c:pt idx="263">
                  <c:v>3.6113339185218186E-5</c:v>
                </c:pt>
                <c:pt idx="264">
                  <c:v>3.8015380118279654E-5</c:v>
                </c:pt>
                <c:pt idx="265">
                  <c:v>4.0012823732372449E-5</c:v>
                </c:pt>
                <c:pt idx="266">
                  <c:v>4.2106223181750119E-5</c:v>
                </c:pt>
                <c:pt idx="267">
                  <c:v>4.4201117826267331E-5</c:v>
                </c:pt>
                <c:pt idx="268">
                  <c:v>4.6261156759005228E-5</c:v>
                </c:pt>
                <c:pt idx="269">
                  <c:v>4.8285669339608407E-5</c:v>
                </c:pt>
                <c:pt idx="270">
                  <c:v>5.0273934546074517E-5</c:v>
                </c:pt>
                <c:pt idx="271">
                  <c:v>5.2225184650351449E-5</c:v>
                </c:pt>
                <c:pt idx="272">
                  <c:v>5.4138609301636545E-5</c:v>
                </c:pt>
                <c:pt idx="273">
                  <c:v>5.6013360009010654E-5</c:v>
                </c:pt>
                <c:pt idx="274">
                  <c:v>5.7849453307044761E-5</c:v>
                </c:pt>
                <c:pt idx="275">
                  <c:v>5.9721243900196121E-5</c:v>
                </c:pt>
                <c:pt idx="276">
                  <c:v>6.1576352967952048E-5</c:v>
                </c:pt>
                <c:pt idx="277">
                  <c:v>6.3414024779137821E-5</c:v>
                </c:pt>
                <c:pt idx="278">
                  <c:v>6.5233461140569852E-5</c:v>
                </c:pt>
                <c:pt idx="279">
                  <c:v>6.7033826476800131E-5</c:v>
                </c:pt>
                <c:pt idx="280">
                  <c:v>6.8814253263222943E-5</c:v>
                </c:pt>
                <c:pt idx="281">
                  <c:v>7.0703101744429427E-5</c:v>
                </c:pt>
                <c:pt idx="282">
                  <c:v>7.279794998984234E-5</c:v>
                </c:pt>
                <c:pt idx="283">
                  <c:v>7.5098959838783112E-5</c:v>
                </c:pt>
                <c:pt idx="284">
                  <c:v>7.7606164587501629E-5</c:v>
                </c:pt>
                <c:pt idx="285">
                  <c:v>8.0319462958541675E-5</c:v>
                </c:pt>
                <c:pt idx="286">
                  <c:v>8.3238614609078019E-5</c:v>
                </c:pt>
                <c:pt idx="287">
                  <c:v>8.6363237296868515E-5</c:v>
                </c:pt>
                <c:pt idx="288">
                  <c:v>8.9699281768951714E-5</c:v>
                </c:pt>
                <c:pt idx="289">
                  <c:v>9.307433191162798E-5</c:v>
                </c:pt>
                <c:pt idx="290">
                  <c:v>9.6410219492127714E-5</c:v>
                </c:pt>
                <c:pt idx="291">
                  <c:v>9.9704461669532972E-5</c:v>
                </c:pt>
                <c:pt idx="292">
                  <c:v>1.0295426877346306E-4</c:v>
                </c:pt>
                <c:pt idx="293">
                  <c:v>1.0615654819498129E-4</c:v>
                </c:pt>
                <c:pt idx="294">
                  <c:v>1.0930790860771609E-4</c:v>
                </c:pt>
                <c:pt idx="295">
                  <c:v>1.1259356963899722E-4</c:v>
                </c:pt>
                <c:pt idx="296">
                  <c:v>1.1587969418155354E-4</c:v>
                </c:pt>
                <c:pt idx="297">
                  <c:v>1.1916318327278077E-4</c:v>
                </c:pt>
                <c:pt idx="298">
                  <c:v>1.2243967486328747E-4</c:v>
                </c:pt>
                <c:pt idx="299">
                  <c:v>1.2570444291708457E-4</c:v>
                </c:pt>
                <c:pt idx="300">
                  <c:v>1.2895239381538953E-4</c:v>
                </c:pt>
                <c:pt idx="301">
                  <c:v>1.3217806497219065E-4</c:v>
                </c:pt>
                <c:pt idx="302">
                  <c:v>1.3538781274717454E-4</c:v>
                </c:pt>
                <c:pt idx="303">
                  <c:v>1.396375813613055E-4</c:v>
                </c:pt>
                <c:pt idx="304">
                  <c:v>1.451046984421874E-4</c:v>
                </c:pt>
                <c:pt idx="305">
                  <c:v>1.5178637269701504E-4</c:v>
                </c:pt>
                <c:pt idx="306">
                  <c:v>1.5967938153257138E-4</c:v>
                </c:pt>
                <c:pt idx="307">
                  <c:v>1.6878015151552806E-4</c:v>
                </c:pt>
                <c:pt idx="308">
                  <c:v>1.7908484399600211E-4</c:v>
                </c:pt>
                <c:pt idx="309">
                  <c:v>1.9264950460301292E-4</c:v>
                </c:pt>
                <c:pt idx="310">
                  <c:v>2.0927575271210397E-4</c:v>
                </c:pt>
                <c:pt idx="311">
                  <c:v>2.2895335410326743E-4</c:v>
                </c:pt>
                <c:pt idx="312">
                  <c:v>2.5167180486106307E-4</c:v>
                </c:pt>
                <c:pt idx="313">
                  <c:v>2.7742056046426572E-4</c:v>
                </c:pt>
                <c:pt idx="314">
                  <c:v>3.0618925756937116E-4</c:v>
                </c:pt>
                <c:pt idx="315">
                  <c:v>3.3796792298917326E-4</c:v>
                </c:pt>
                <c:pt idx="316">
                  <c:v>3.7277635532109271E-4</c:v>
                </c:pt>
                <c:pt idx="317">
                  <c:v>4.124897826595203E-4</c:v>
                </c:pt>
                <c:pt idx="318">
                  <c:v>4.5607411955327678E-4</c:v>
                </c:pt>
                <c:pt idx="319">
                  <c:v>5.0353019335973423E-4</c:v>
                </c:pt>
                <c:pt idx="320">
                  <c:v>5.5485839174938833E-4</c:v>
                </c:pt>
                <c:pt idx="321">
                  <c:v>6.1005771799030708E-4</c:v>
                </c:pt>
                <c:pt idx="322">
                  <c:v>6.6912473530142066E-4</c:v>
                </c:pt>
                <c:pt idx="323">
                  <c:v>7.3118884619343826E-4</c:v>
                </c:pt>
                <c:pt idx="324">
                  <c:v>7.9420430304536903E-4</c:v>
                </c:pt>
                <c:pt idx="325">
                  <c:v>8.5815589854352039E-4</c:v>
                </c:pt>
                <c:pt idx="326">
                  <c:v>9.2301526500676047E-4</c:v>
                </c:pt>
                <c:pt idx="327">
                  <c:v>9.8874823649347217E-4</c:v>
                </c:pt>
                <c:pt idx="328">
                  <c:v>1.0553163579252692E-3</c:v>
                </c:pt>
                <c:pt idx="329">
                  <c:v>1.1226719987710164E-3</c:v>
                </c:pt>
                <c:pt idx="330">
                  <c:v>1.1908813969511427E-3</c:v>
                </c:pt>
                <c:pt idx="331">
                  <c:v>1.2577500108478872E-3</c:v>
                </c:pt>
                <c:pt idx="332">
                  <c:v>1.3214504045042446E-3</c:v>
                </c:pt>
                <c:pt idx="333">
                  <c:v>1.3819869960183214E-3</c:v>
                </c:pt>
                <c:pt idx="334">
                  <c:v>1.4393592878442175E-3</c:v>
                </c:pt>
                <c:pt idx="335">
                  <c:v>1.4935617547454263E-3</c:v>
                </c:pt>
                <c:pt idx="336">
                  <c:v>1.5445838297213378E-3</c:v>
                </c:pt>
                <c:pt idx="337">
                  <c:v>1.5912555909892304E-3</c:v>
                </c:pt>
                <c:pt idx="338">
                  <c:v>1.6344157000334589E-3</c:v>
                </c:pt>
                <c:pt idx="339">
                  <c:v>1.6740399157473946E-3</c:v>
                </c:pt>
                <c:pt idx="340">
                  <c:v>1.7101000922966319E-3</c:v>
                </c:pt>
                <c:pt idx="341">
                  <c:v>1.7425647436853846E-3</c:v>
                </c:pt>
                <c:pt idx="342">
                  <c:v>1.7713997094485213E-3</c:v>
                </c:pt>
                <c:pt idx="343">
                  <c:v>1.7965689184331875E-3</c:v>
                </c:pt>
                <c:pt idx="344">
                  <c:v>1.8181304512000481E-3</c:v>
                </c:pt>
                <c:pt idx="345">
                  <c:v>1.8361478533567405E-3</c:v>
                </c:pt>
                <c:pt idx="346">
                  <c:v>1.852022787450543E-3</c:v>
                </c:pt>
                <c:pt idx="347">
                  <c:v>1.8657200449786852E-3</c:v>
                </c:pt>
                <c:pt idx="348">
                  <c:v>1.8772036578779858E-3</c:v>
                </c:pt>
                <c:pt idx="349">
                  <c:v>1.8864375870375396E-3</c:v>
                </c:pt>
                <c:pt idx="350">
                  <c:v>1.8933864360361585E-3</c:v>
                </c:pt>
                <c:pt idx="351">
                  <c:v>1.8971731253042314E-3</c:v>
                </c:pt>
                <c:pt idx="352">
                  <c:v>1.8989082668185297E-3</c:v>
                </c:pt>
                <c:pt idx="353">
                  <c:v>1.8985615474504259E-3</c:v>
                </c:pt>
                <c:pt idx="354">
                  <c:v>1.8961058498926638E-3</c:v>
                </c:pt>
                <c:pt idx="355">
                  <c:v>1.8915178750832295E-3</c:v>
                </c:pt>
                <c:pt idx="356">
                  <c:v>1.8847750697105578E-3</c:v>
                </c:pt>
                <c:pt idx="357">
                  <c:v>1.8758644647627145E-3</c:v>
                </c:pt>
                <c:pt idx="358">
                  <c:v>1.8647864477638503E-3</c:v>
                </c:pt>
                <c:pt idx="359">
                  <c:v>1.8515697536628109E-3</c:v>
                </c:pt>
                <c:pt idx="360">
                  <c:v>1.8351295422890876E-3</c:v>
                </c:pt>
                <c:pt idx="361">
                  <c:v>1.8163310061748818E-3</c:v>
                </c:pt>
                <c:pt idx="362">
                  <c:v>1.7952157289575302E-3</c:v>
                </c:pt>
                <c:pt idx="363">
                  <c:v>1.7718301009669844E-3</c:v>
                </c:pt>
                <c:pt idx="364">
                  <c:v>1.7462250499128053E-3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804360"/>
        <c:axId val="226804752"/>
      </c:lineChart>
      <c:dateAx>
        <c:axId val="22680436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6804752"/>
        <c:crosses val="autoZero"/>
        <c:auto val="1"/>
        <c:lblOffset val="100"/>
        <c:baseTimeUnit val="days"/>
        <c:majorUnit val="1"/>
        <c:majorTimeUnit val="months"/>
      </c:dateAx>
      <c:valAx>
        <c:axId val="22680475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68043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26.228677746328795</c:v>
                </c:pt>
                <c:pt idx="1">
                  <c:v>26.364313909595058</c:v>
                </c:pt>
                <c:pt idx="2">
                  <c:v>26.509293125762607</c:v>
                </c:pt>
                <c:pt idx="3">
                  <c:v>26.66341662141738</c:v>
                </c:pt>
                <c:pt idx="4">
                  <c:v>26.826485665102354</c:v>
                </c:pt>
                <c:pt idx="5">
                  <c:v>26.998301572220534</c:v>
                </c:pt>
                <c:pt idx="6">
                  <c:v>27.178665697627313</c:v>
                </c:pt>
                <c:pt idx="7">
                  <c:v>27.367379441121219</c:v>
                </c:pt>
                <c:pt idx="8">
                  <c:v>27.566630102409409</c:v>
                </c:pt>
                <c:pt idx="9">
                  <c:v>27.778182580698537</c:v>
                </c:pt>
                <c:pt idx="10">
                  <c:v>28.001144717249293</c:v>
                </c:pt>
                <c:pt idx="11">
                  <c:v>28.234653211318275</c:v>
                </c:pt>
                <c:pt idx="12">
                  <c:v>28.477845094483513</c:v>
                </c:pt>
                <c:pt idx="13">
                  <c:v>28.729857768611616</c:v>
                </c:pt>
                <c:pt idx="14">
                  <c:v>28.989828979169747</c:v>
                </c:pt>
                <c:pt idx="15">
                  <c:v>29.256851771216454</c:v>
                </c:pt>
                <c:pt idx="16">
                  <c:v>29.530008111306408</c:v>
                </c:pt>
                <c:pt idx="17">
                  <c:v>29.808436896728175</c:v>
                </c:pt>
                <c:pt idx="18">
                  <c:v>30.091277384227112</c:v>
                </c:pt>
                <c:pt idx="19">
                  <c:v>30.3776690984086</c:v>
                </c:pt>
                <c:pt idx="20">
                  <c:v>30.666751920621447</c:v>
                </c:pt>
                <c:pt idx="21">
                  <c:v>30.957665861644806</c:v>
                </c:pt>
                <c:pt idx="22">
                  <c:v>31.253409640319862</c:v>
                </c:pt>
                <c:pt idx="23">
                  <c:v>31.556976341633014</c:v>
                </c:pt>
                <c:pt idx="24">
                  <c:v>31.867552616232739</c:v>
                </c:pt>
                <c:pt idx="25">
                  <c:v>32.184346602459534</c:v>
                </c:pt>
                <c:pt idx="26">
                  <c:v>32.506566810688078</c:v>
                </c:pt>
                <c:pt idx="27">
                  <c:v>32.833422122345304</c:v>
                </c:pt>
                <c:pt idx="28">
                  <c:v>33.164121785049439</c:v>
                </c:pt>
                <c:pt idx="29">
                  <c:v>33.497850275292087</c:v>
                </c:pt>
                <c:pt idx="30">
                  <c:v>33.83386252934055</c:v>
                </c:pt>
                <c:pt idx="31">
                  <c:v>34.171368882223199</c:v>
                </c:pt>
                <c:pt idx="32">
                  <c:v>34.509580035690256</c:v>
                </c:pt>
                <c:pt idx="33">
                  <c:v>34.847707056610737</c:v>
                </c:pt>
                <c:pt idx="34">
                  <c:v>35.184961374982585</c:v>
                </c:pt>
                <c:pt idx="35">
                  <c:v>35.52055478528775</c:v>
                </c:pt>
                <c:pt idx="36">
                  <c:v>35.856952133030248</c:v>
                </c:pt>
                <c:pt idx="37">
                  <c:v>36.196744011716802</c:v>
                </c:pt>
                <c:pt idx="38">
                  <c:v>36.539387875388471</c:v>
                </c:pt>
                <c:pt idx="39">
                  <c:v>36.884291742117171</c:v>
                </c:pt>
                <c:pt idx="40">
                  <c:v>37.230863905980151</c:v>
                </c:pt>
                <c:pt idx="41">
                  <c:v>37.578512934278443</c:v>
                </c:pt>
                <c:pt idx="42">
                  <c:v>37.926647665231805</c:v>
                </c:pt>
                <c:pt idx="43">
                  <c:v>38.274681519095132</c:v>
                </c:pt>
                <c:pt idx="44">
                  <c:v>38.622049059954961</c:v>
                </c:pt>
                <c:pt idx="45">
                  <c:v>38.96815994736216</c:v>
                </c:pt>
                <c:pt idx="46">
                  <c:v>39.312424103237333</c:v>
                </c:pt>
                <c:pt idx="47">
                  <c:v>39.654251709197567</c:v>
                </c:pt>
                <c:pt idx="48">
                  <c:v>39.993053200125814</c:v>
                </c:pt>
                <c:pt idx="49">
                  <c:v>40.328239263554657</c:v>
                </c:pt>
                <c:pt idx="50">
                  <c:v>40.66048379098288</c:v>
                </c:pt>
                <c:pt idx="51">
                  <c:v>40.990916390711334</c:v>
                </c:pt>
                <c:pt idx="52">
                  <c:v>41.319640824378311</c:v>
                </c:pt>
                <c:pt idx="53">
                  <c:v>41.646756201684411</c:v>
                </c:pt>
                <c:pt idx="54">
                  <c:v>41.972361546723207</c:v>
                </c:pt>
                <c:pt idx="55">
                  <c:v>42.296555810503499</c:v>
                </c:pt>
                <c:pt idx="56">
                  <c:v>42.619437866265571</c:v>
                </c:pt>
                <c:pt idx="57">
                  <c:v>42.941104639708783</c:v>
                </c:pt>
                <c:pt idx="58">
                  <c:v>43.261650511071345</c:v>
                </c:pt>
                <c:pt idx="59">
                  <c:v>43.581174102169285</c:v>
                </c:pt>
                <c:pt idx="60">
                  <c:v>43.899773946755694</c:v>
                </c:pt>
                <c:pt idx="61">
                  <c:v>44.217548490504953</c:v>
                </c:pt>
                <c:pt idx="62">
                  <c:v>44.534596088539473</c:v>
                </c:pt>
                <c:pt idx="63">
                  <c:v>44.851015004334037</c:v>
                </c:pt>
                <c:pt idx="64">
                  <c:v>45.167722243373525</c:v>
                </c:pt>
                <c:pt idx="65">
                  <c:v>45.48524375197502</c:v>
                </c:pt>
                <c:pt idx="66">
                  <c:v>45.803090853309165</c:v>
                </c:pt>
                <c:pt idx="67">
                  <c:v>46.120771854792238</c:v>
                </c:pt>
                <c:pt idx="68">
                  <c:v>46.437795225702033</c:v>
                </c:pt>
                <c:pt idx="69">
                  <c:v>46.75366959912256</c:v>
                </c:pt>
                <c:pt idx="70">
                  <c:v>47.067903771119568</c:v>
                </c:pt>
                <c:pt idx="71">
                  <c:v>47.380005411547842</c:v>
                </c:pt>
                <c:pt idx="72">
                  <c:v>47.689485536566472</c:v>
                </c:pt>
                <c:pt idx="73">
                  <c:v>47.995853442524762</c:v>
                </c:pt>
                <c:pt idx="74">
                  <c:v>48.298618592962796</c:v>
                </c:pt>
                <c:pt idx="75">
                  <c:v>48.597290623833054</c:v>
                </c:pt>
                <c:pt idx="76">
                  <c:v>48.891379341698844</c:v>
                </c:pt>
                <c:pt idx="77">
                  <c:v>49.180394730262407</c:v>
                </c:pt>
                <c:pt idx="78">
                  <c:v>49.466561311503803</c:v>
                </c:pt>
                <c:pt idx="79">
                  <c:v>49.751970881052515</c:v>
                </c:pt>
                <c:pt idx="80">
                  <c:v>50.035933628237437</c:v>
                </c:pt>
                <c:pt idx="81">
                  <c:v>50.317762414452986</c:v>
                </c:pt>
                <c:pt idx="82">
                  <c:v>50.596770374788441</c:v>
                </c:pt>
                <c:pt idx="83">
                  <c:v>50.872270921289413</c:v>
                </c:pt>
                <c:pt idx="84">
                  <c:v>51.143577746326869</c:v>
                </c:pt>
                <c:pt idx="85">
                  <c:v>51.41000542626297</c:v>
                </c:pt>
                <c:pt idx="86">
                  <c:v>51.670869541743734</c:v>
                </c:pt>
                <c:pt idx="87">
                  <c:v>51.925484667352066</c:v>
                </c:pt>
                <c:pt idx="88">
                  <c:v>52.173165679854989</c:v>
                </c:pt>
                <c:pt idx="89">
                  <c:v>52.413856868774182</c:v>
                </c:pt>
                <c:pt idx="90">
                  <c:v>52.64557945277005</c:v>
                </c:pt>
                <c:pt idx="91">
                  <c:v>52.868314657143308</c:v>
                </c:pt>
                <c:pt idx="92">
                  <c:v>53.082880599732121</c:v>
                </c:pt>
                <c:pt idx="93">
                  <c:v>53.290617418460947</c:v>
                </c:pt>
                <c:pt idx="94">
                  <c:v>53.491624164026675</c:v>
                </c:pt>
                <c:pt idx="95">
                  <c:v>53.685999863609531</c:v>
                </c:pt>
                <c:pt idx="96">
                  <c:v>53.87384352117725</c:v>
                </c:pt>
                <c:pt idx="97">
                  <c:v>54.055254124475439</c:v>
                </c:pt>
                <c:pt idx="98">
                  <c:v>54.230330642965328</c:v>
                </c:pt>
                <c:pt idx="99">
                  <c:v>54.39917202977491</c:v>
                </c:pt>
                <c:pt idx="100">
                  <c:v>54.561877227096517</c:v>
                </c:pt>
                <c:pt idx="101">
                  <c:v>54.718545173457727</c:v>
                </c:pt>
                <c:pt idx="102">
                  <c:v>54.869274798388027</c:v>
                </c:pt>
                <c:pt idx="103">
                  <c:v>55.014165034019392</c:v>
                </c:pt>
                <c:pt idx="104">
                  <c:v>55.15331480822357</c:v>
                </c:pt>
                <c:pt idx="105">
                  <c:v>55.286823056528789</c:v>
                </c:pt>
                <c:pt idx="106">
                  <c:v>55.413484780905698</c:v>
                </c:pt>
                <c:pt idx="107">
                  <c:v>55.532356377950521</c:v>
                </c:pt>
                <c:pt idx="108">
                  <c:v>55.643928759269677</c:v>
                </c:pt>
                <c:pt idx="109">
                  <c:v>55.748692664822777</c:v>
                </c:pt>
                <c:pt idx="110">
                  <c:v>55.847138664682284</c:v>
                </c:pt>
                <c:pt idx="111">
                  <c:v>55.939757164328157</c:v>
                </c:pt>
                <c:pt idx="112">
                  <c:v>56.027038402455879</c:v>
                </c:pt>
                <c:pt idx="113">
                  <c:v>56.109472449806603</c:v>
                </c:pt>
                <c:pt idx="114">
                  <c:v>56.187549224739165</c:v>
                </c:pt>
                <c:pt idx="115">
                  <c:v>56.261758472372193</c:v>
                </c:pt>
                <c:pt idx="116">
                  <c:v>56.332589771141372</c:v>
                </c:pt>
                <c:pt idx="117">
                  <c:v>56.400532536752785</c:v>
                </c:pt>
                <c:pt idx="118">
                  <c:v>56.466076021070208</c:v>
                </c:pt>
                <c:pt idx="119">
                  <c:v>58.728198272325784</c:v>
                </c:pt>
                <c:pt idx="120">
                  <c:v>58.78998447173349</c:v>
                </c:pt>
                <c:pt idx="121">
                  <c:v>58.847214019103426</c:v>
                </c:pt>
                <c:pt idx="122">
                  <c:v>58.900091538113166</c:v>
                </c:pt>
                <c:pt idx="123">
                  <c:v>58.948821545596566</c:v>
                </c:pt>
                <c:pt idx="124">
                  <c:v>58.993608468901485</c:v>
                </c:pt>
                <c:pt idx="125">
                  <c:v>59.034656643667617</c:v>
                </c:pt>
                <c:pt idx="126">
                  <c:v>59.07217031184647</c:v>
                </c:pt>
                <c:pt idx="127">
                  <c:v>59.106353630867005</c:v>
                </c:pt>
                <c:pt idx="128">
                  <c:v>59.137410667793837</c:v>
                </c:pt>
                <c:pt idx="129">
                  <c:v>59.165545401756368</c:v>
                </c:pt>
                <c:pt idx="130">
                  <c:v>59.190961729474793</c:v>
                </c:pt>
                <c:pt idx="131">
                  <c:v>59.213863460509259</c:v>
                </c:pt>
                <c:pt idx="132">
                  <c:v>59.234454321367963</c:v>
                </c:pt>
                <c:pt idx="133">
                  <c:v>59.252937955324676</c:v>
                </c:pt>
                <c:pt idx="134">
                  <c:v>59.268792620462754</c:v>
                </c:pt>
                <c:pt idx="135">
                  <c:v>59.281429471964273</c:v>
                </c:pt>
                <c:pt idx="136">
                  <c:v>59.290951421162696</c:v>
                </c:pt>
                <c:pt idx="137">
                  <c:v>59.297461358318522</c:v>
                </c:pt>
                <c:pt idx="138">
                  <c:v>59.301062154792753</c:v>
                </c:pt>
                <c:pt idx="139">
                  <c:v>59.301856658411936</c:v>
                </c:pt>
                <c:pt idx="140">
                  <c:v>59.299947698465694</c:v>
                </c:pt>
                <c:pt idx="141">
                  <c:v>59.29543808028729</c:v>
                </c:pt>
                <c:pt idx="142">
                  <c:v>59.288430587758867</c:v>
                </c:pt>
                <c:pt idx="143">
                  <c:v>59.279027978747948</c:v>
                </c:pt>
                <c:pt idx="144">
                  <c:v>59.267332984869377</c:v>
                </c:pt>
                <c:pt idx="145">
                  <c:v>59.253448312175429</c:v>
                </c:pt>
                <c:pt idx="146">
                  <c:v>59.237476635414183</c:v>
                </c:pt>
                <c:pt idx="147">
                  <c:v>59.219520597225163</c:v>
                </c:pt>
                <c:pt idx="148">
                  <c:v>59.199211522235117</c:v>
                </c:pt>
                <c:pt idx="149">
                  <c:v>59.176180983048546</c:v>
                </c:pt>
                <c:pt idx="150">
                  <c:v>59.150531944652222</c:v>
                </c:pt>
                <c:pt idx="151">
                  <c:v>59.122367327982602</c:v>
                </c:pt>
                <c:pt idx="152">
                  <c:v>59.09179000852123</c:v>
                </c:pt>
                <c:pt idx="153">
                  <c:v>59.058902814607727</c:v>
                </c:pt>
                <c:pt idx="154">
                  <c:v>59.023808520603673</c:v>
                </c:pt>
                <c:pt idx="155">
                  <c:v>58.986609846500656</c:v>
                </c:pt>
                <c:pt idx="156">
                  <c:v>58.947409451875487</c:v>
                </c:pt>
                <c:pt idx="157">
                  <c:v>58.906309934389007</c:v>
                </c:pt>
                <c:pt idx="158">
                  <c:v>58.863413825897162</c:v>
                </c:pt>
                <c:pt idx="159">
                  <c:v>58.818823588219203</c:v>
                </c:pt>
                <c:pt idx="160">
                  <c:v>58.772641607567977</c:v>
                </c:pt>
                <c:pt idx="161">
                  <c:v>58.724970196560427</c:v>
                </c:pt>
                <c:pt idx="162">
                  <c:v>58.675659646418211</c:v>
                </c:pt>
                <c:pt idx="163">
                  <c:v>58.624493144527555</c:v>
                </c:pt>
                <c:pt idx="164">
                  <c:v>58.571472262670405</c:v>
                </c:pt>
                <c:pt idx="165">
                  <c:v>58.51659854438001</c:v>
                </c:pt>
                <c:pt idx="166">
                  <c:v>58.45987349876804</c:v>
                </c:pt>
                <c:pt idx="167">
                  <c:v>58.401298599712341</c:v>
                </c:pt>
                <c:pt idx="168">
                  <c:v>58.340875280495816</c:v>
                </c:pt>
                <c:pt idx="169">
                  <c:v>58.278604934345282</c:v>
                </c:pt>
                <c:pt idx="170">
                  <c:v>58.214488910089834</c:v>
                </c:pt>
                <c:pt idx="171">
                  <c:v>58.148528511317046</c:v>
                </c:pt>
                <c:pt idx="172">
                  <c:v>58.080724992002949</c:v>
                </c:pt>
                <c:pt idx="173">
                  <c:v>58.011079559347408</c:v>
                </c:pt>
                <c:pt idx="174">
                  <c:v>57.939593368830636</c:v>
                </c:pt>
                <c:pt idx="175">
                  <c:v>57.866267525946689</c:v>
                </c:pt>
                <c:pt idx="176">
                  <c:v>57.790667299974743</c:v>
                </c:pt>
                <c:pt idx="177">
                  <c:v>57.712492233545326</c:v>
                </c:pt>
                <c:pt idx="178">
                  <c:v>57.631944671276663</c:v>
                </c:pt>
                <c:pt idx="179">
                  <c:v>57.549226788056629</c:v>
                </c:pt>
                <c:pt idx="180">
                  <c:v>57.464540588471465</c:v>
                </c:pt>
                <c:pt idx="181">
                  <c:v>57.378087910204087</c:v>
                </c:pt>
                <c:pt idx="182">
                  <c:v>57.290070425820964</c:v>
                </c:pt>
                <c:pt idx="183">
                  <c:v>57.200689645264198</c:v>
                </c:pt>
                <c:pt idx="184">
                  <c:v>57.110146917290358</c:v>
                </c:pt>
                <c:pt idx="185">
                  <c:v>57.0186434329866</c:v>
                </c:pt>
                <c:pt idx="186">
                  <c:v>56.926380229265803</c:v>
                </c:pt>
                <c:pt idx="187">
                  <c:v>56.83355819183155</c:v>
                </c:pt>
                <c:pt idx="188">
                  <c:v>56.740378057958964</c:v>
                </c:pt>
                <c:pt idx="189">
                  <c:v>56.647040421494324</c:v>
                </c:pt>
                <c:pt idx="190">
                  <c:v>56.553243927033918</c:v>
                </c:pt>
                <c:pt idx="191">
                  <c:v>56.458553572338666</c:v>
                </c:pt>
                <c:pt idx="192">
                  <c:v>56.362969358218635</c:v>
                </c:pt>
                <c:pt idx="193">
                  <c:v>56.266491268154979</c:v>
                </c:pt>
                <c:pt idx="194">
                  <c:v>56.169119270909846</c:v>
                </c:pt>
                <c:pt idx="195">
                  <c:v>56.070853323999287</c:v>
                </c:pt>
                <c:pt idx="196">
                  <c:v>55.971693377655072</c:v>
                </c:pt>
                <c:pt idx="197">
                  <c:v>55.871639376301559</c:v>
                </c:pt>
                <c:pt idx="198">
                  <c:v>55.770691263160813</c:v>
                </c:pt>
                <c:pt idx="199">
                  <c:v>55.668848982399247</c:v>
                </c:pt>
                <c:pt idx="200">
                  <c:v>55.56611248232533</c:v>
                </c:pt>
                <c:pt idx="201">
                  <c:v>55.46248171772276</c:v>
                </c:pt>
                <c:pt idx="202">
                  <c:v>55.35795665338123</c:v>
                </c:pt>
                <c:pt idx="203">
                  <c:v>55.252537264995219</c:v>
                </c:pt>
                <c:pt idx="204">
                  <c:v>55.146440563996812</c:v>
                </c:pt>
                <c:pt idx="205">
                  <c:v>55.039816690457677</c:v>
                </c:pt>
                <c:pt idx="206">
                  <c:v>54.932565378512713</c:v>
                </c:pt>
                <c:pt idx="207">
                  <c:v>54.824586436790696</c:v>
                </c:pt>
                <c:pt idx="208">
                  <c:v>54.715779750002589</c:v>
                </c:pt>
                <c:pt idx="209">
                  <c:v>54.606045279693411</c:v>
                </c:pt>
                <c:pt idx="210">
                  <c:v>54.495283064676684</c:v>
                </c:pt>
                <c:pt idx="211">
                  <c:v>54.383393221821365</c:v>
                </c:pt>
                <c:pt idx="212">
                  <c:v>54.270275945711255</c:v>
                </c:pt>
                <c:pt idx="213">
                  <c:v>54.1558315082967</c:v>
                </c:pt>
                <c:pt idx="214">
                  <c:v>54.039960260536176</c:v>
                </c:pt>
                <c:pt idx="215">
                  <c:v>53.922562629426309</c:v>
                </c:pt>
                <c:pt idx="216">
                  <c:v>53.803539118948393</c:v>
                </c:pt>
                <c:pt idx="217">
                  <c:v>53.682790309494827</c:v>
                </c:pt>
                <c:pt idx="218">
                  <c:v>53.56025017976701</c:v>
                </c:pt>
                <c:pt idx="219">
                  <c:v>53.435986041262858</c:v>
                </c:pt>
                <c:pt idx="220">
                  <c:v>53.310098502529151</c:v>
                </c:pt>
                <c:pt idx="221">
                  <c:v>53.18268813525988</c:v>
                </c:pt>
                <c:pt idx="222">
                  <c:v>53.053855473228417</c:v>
                </c:pt>
                <c:pt idx="223">
                  <c:v>52.923701012136647</c:v>
                </c:pt>
                <c:pt idx="224">
                  <c:v>52.792325208155262</c:v>
                </c:pt>
                <c:pt idx="225">
                  <c:v>52.659828364959012</c:v>
                </c:pt>
                <c:pt idx="226">
                  <c:v>52.526310855912065</c:v>
                </c:pt>
                <c:pt idx="227">
                  <c:v>52.391873012141239</c:v>
                </c:pt>
                <c:pt idx="228">
                  <c:v>52.256615121476088</c:v>
                </c:pt>
                <c:pt idx="229">
                  <c:v>52.12063742815149</c:v>
                </c:pt>
                <c:pt idx="230">
                  <c:v>51.984040130721937</c:v>
                </c:pt>
                <c:pt idx="231">
                  <c:v>51.846923383726093</c:v>
                </c:pt>
                <c:pt idx="232">
                  <c:v>51.710002619901623</c:v>
                </c:pt>
                <c:pt idx="233">
                  <c:v>51.573660097974155</c:v>
                </c:pt>
                <c:pt idx="234">
                  <c:v>51.437496696047489</c:v>
                </c:pt>
                <c:pt idx="235">
                  <c:v>51.301113511707335</c:v>
                </c:pt>
                <c:pt idx="236">
                  <c:v>51.164111862304459</c:v>
                </c:pt>
                <c:pt idx="237">
                  <c:v>51.026093284572696</c:v>
                </c:pt>
                <c:pt idx="238">
                  <c:v>50.886659531141042</c:v>
                </c:pt>
                <c:pt idx="239">
                  <c:v>50.745412456138467</c:v>
                </c:pt>
                <c:pt idx="240">
                  <c:v>50.601954357167422</c:v>
                </c:pt>
                <c:pt idx="241">
                  <c:v>50.455887636322252</c:v>
                </c:pt>
                <c:pt idx="242">
                  <c:v>50.306814907031246</c:v>
                </c:pt>
                <c:pt idx="243">
                  <c:v>50.154338998912166</c:v>
                </c:pt>
                <c:pt idx="244">
                  <c:v>49.998062951151624</c:v>
                </c:pt>
                <c:pt idx="245">
                  <c:v>49.837590018862869</c:v>
                </c:pt>
                <c:pt idx="246">
                  <c:v>49.67416703057809</c:v>
                </c:pt>
                <c:pt idx="247">
                  <c:v>49.509106694390589</c:v>
                </c:pt>
                <c:pt idx="248">
                  <c:v>49.342111397366395</c:v>
                </c:pt>
                <c:pt idx="249">
                  <c:v>49.172883454238843</c:v>
                </c:pt>
                <c:pt idx="250">
                  <c:v>49.00112534082286</c:v>
                </c:pt>
                <c:pt idx="251">
                  <c:v>48.826539695240989</c:v>
                </c:pt>
                <c:pt idx="252">
                  <c:v>48.648829315291387</c:v>
                </c:pt>
                <c:pt idx="253">
                  <c:v>48.467696951069961</c:v>
                </c:pt>
                <c:pt idx="254">
                  <c:v>48.282845835848534</c:v>
                </c:pt>
                <c:pt idx="255">
                  <c:v>48.093979240240955</c:v>
                </c:pt>
                <c:pt idx="256">
                  <c:v>47.900800592008537</c:v>
                </c:pt>
                <c:pt idx="257">
                  <c:v>47.70301346950199</c:v>
                </c:pt>
                <c:pt idx="258">
                  <c:v>47.500321602238621</c:v>
                </c:pt>
                <c:pt idx="259">
                  <c:v>47.292428866213065</c:v>
                </c:pt>
                <c:pt idx="260">
                  <c:v>47.079569520003915</c:v>
                </c:pt>
                <c:pt idx="261">
                  <c:v>46.86224233193127</c:v>
                </c:pt>
                <c:pt idx="262">
                  <c:v>46.640548558849254</c:v>
                </c:pt>
                <c:pt idx="263">
                  <c:v>46.414589524484121</c:v>
                </c:pt>
                <c:pt idx="264">
                  <c:v>46.184466491221009</c:v>
                </c:pt>
                <c:pt idx="265">
                  <c:v>45.950280654276028</c:v>
                </c:pt>
                <c:pt idx="266">
                  <c:v>45.712133141295155</c:v>
                </c:pt>
                <c:pt idx="267">
                  <c:v>45.470125618166009</c:v>
                </c:pt>
                <c:pt idx="268">
                  <c:v>45.224359264225029</c:v>
                </c:pt>
                <c:pt idx="269">
                  <c:v>44.974934983209216</c:v>
                </c:pt>
                <c:pt idx="270">
                  <c:v>44.721953595265148</c:v>
                </c:pt>
                <c:pt idx="271">
                  <c:v>44.465515837152651</c:v>
                </c:pt>
                <c:pt idx="272">
                  <c:v>44.205722359139237</c:v>
                </c:pt>
                <c:pt idx="273">
                  <c:v>43.942673723772657</c:v>
                </c:pt>
                <c:pt idx="274">
                  <c:v>43.67579219203575</c:v>
                </c:pt>
                <c:pt idx="275">
                  <c:v>43.404566966069098</c:v>
                </c:pt>
                <c:pt idx="276">
                  <c:v>43.129198423484972</c:v>
                </c:pt>
                <c:pt idx="277">
                  <c:v>42.849886354962209</c:v>
                </c:pt>
                <c:pt idx="278">
                  <c:v>42.566830389385302</c:v>
                </c:pt>
                <c:pt idx="279">
                  <c:v>42.280230000453244</c:v>
                </c:pt>
                <c:pt idx="280">
                  <c:v>41.990284501824149</c:v>
                </c:pt>
                <c:pt idx="281">
                  <c:v>41.697192384660582</c:v>
                </c:pt>
                <c:pt idx="282">
                  <c:v>41.40115207722188</c:v>
                </c:pt>
                <c:pt idx="283">
                  <c:v>41.102362430119179</c:v>
                </c:pt>
                <c:pt idx="284">
                  <c:v>40.80102213441107</c:v>
                </c:pt>
                <c:pt idx="285">
                  <c:v>40.497329719949953</c:v>
                </c:pt>
                <c:pt idx="286">
                  <c:v>40.191483557766368</c:v>
                </c:pt>
                <c:pt idx="287">
                  <c:v>39.883681861526682</c:v>
                </c:pt>
                <c:pt idx="288">
                  <c:v>39.571265557868003</c:v>
                </c:pt>
                <c:pt idx="289">
                  <c:v>39.252171336528988</c:v>
                </c:pt>
                <c:pt idx="290">
                  <c:v>38.927489723182582</c:v>
                </c:pt>
                <c:pt idx="291">
                  <c:v>38.5983112183469</c:v>
                </c:pt>
                <c:pt idx="292">
                  <c:v>38.265725779037155</c:v>
                </c:pt>
                <c:pt idx="293">
                  <c:v>37.930822827788027</c:v>
                </c:pt>
                <c:pt idx="294">
                  <c:v>37.594691265992438</c:v>
                </c:pt>
                <c:pt idx="295">
                  <c:v>37.258420153922394</c:v>
                </c:pt>
                <c:pt idx="296">
                  <c:v>36.923097956649201</c:v>
                </c:pt>
                <c:pt idx="297">
                  <c:v>36.589812032697971</c:v>
                </c:pt>
                <c:pt idx="298">
                  <c:v>36.259649256226901</c:v>
                </c:pt>
                <c:pt idx="299">
                  <c:v>35.933696031843922</c:v>
                </c:pt>
                <c:pt idx="300">
                  <c:v>35.613038296512265</c:v>
                </c:pt>
                <c:pt idx="301">
                  <c:v>35.298761532943516</c:v>
                </c:pt>
                <c:pt idx="302">
                  <c:v>34.988801048712858</c:v>
                </c:pt>
                <c:pt idx="303">
                  <c:v>34.680498587461116</c:v>
                </c:pt>
                <c:pt idx="304">
                  <c:v>34.374049970949315</c:v>
                </c:pt>
                <c:pt idx="305">
                  <c:v>34.069651116515239</c:v>
                </c:pt>
                <c:pt idx="306">
                  <c:v>33.767497872615053</c:v>
                </c:pt>
                <c:pt idx="307">
                  <c:v>33.467786029335706</c:v>
                </c:pt>
                <c:pt idx="308">
                  <c:v>33.170711319127186</c:v>
                </c:pt>
                <c:pt idx="309">
                  <c:v>32.876467057664506</c:v>
                </c:pt>
                <c:pt idx="310">
                  <c:v>32.58524836546529</c:v>
                </c:pt>
                <c:pt idx="311">
                  <c:v>32.297250926148919</c:v>
                </c:pt>
                <c:pt idx="312">
                  <c:v>32.01267038379612</c:v>
                </c:pt>
                <c:pt idx="313">
                  <c:v>31.731702349532501</c:v>
                </c:pt>
                <c:pt idx="314">
                  <c:v>31.454542402403344</c:v>
                </c:pt>
                <c:pt idx="315">
                  <c:v>31.181386092730641</c:v>
                </c:pt>
                <c:pt idx="316">
                  <c:v>30.910008250211995</c:v>
                </c:pt>
                <c:pt idx="317">
                  <c:v>30.638643143580619</c:v>
                </c:pt>
                <c:pt idx="318">
                  <c:v>30.368179848540539</c:v>
                </c:pt>
                <c:pt idx="319">
                  <c:v>30.099506415278338</c:v>
                </c:pt>
                <c:pt idx="320">
                  <c:v>29.833510598413657</c:v>
                </c:pt>
                <c:pt idx="321">
                  <c:v>29.571079845197456</c:v>
                </c:pt>
                <c:pt idx="322">
                  <c:v>29.313101306102809</c:v>
                </c:pt>
                <c:pt idx="323">
                  <c:v>29.060459708277712</c:v>
                </c:pt>
                <c:pt idx="324">
                  <c:v>28.814043698606827</c:v>
                </c:pt>
                <c:pt idx="325">
                  <c:v>28.57473949974646</c:v>
                </c:pt>
                <c:pt idx="326">
                  <c:v>28.343433027729553</c:v>
                </c:pt>
                <c:pt idx="327">
                  <c:v>28.121009876343567</c:v>
                </c:pt>
                <c:pt idx="328">
                  <c:v>27.908355313987197</c:v>
                </c:pt>
                <c:pt idx="329">
                  <c:v>27.706354268334803</c:v>
                </c:pt>
                <c:pt idx="330">
                  <c:v>27.513030154211304</c:v>
                </c:pt>
                <c:pt idx="331">
                  <c:v>27.326009944333315</c:v>
                </c:pt>
                <c:pt idx="332">
                  <c:v>27.145589948956147</c:v>
                </c:pt>
                <c:pt idx="333">
                  <c:v>26.972064100146781</c:v>
                </c:pt>
                <c:pt idx="334">
                  <c:v>26.805726226502038</c:v>
                </c:pt>
                <c:pt idx="335">
                  <c:v>26.646870069943649</c:v>
                </c:pt>
                <c:pt idx="336">
                  <c:v>26.495789268459845</c:v>
                </c:pt>
                <c:pt idx="337">
                  <c:v>26.352777699300997</c:v>
                </c:pt>
                <c:pt idx="338">
                  <c:v>26.218130682725626</c:v>
                </c:pt>
                <c:pt idx="339">
                  <c:v>26.092141497177703</c:v>
                </c:pt>
                <c:pt idx="340">
                  <c:v>25.975103315975733</c:v>
                </c:pt>
                <c:pt idx="341">
                  <c:v>25.867309191562544</c:v>
                </c:pt>
                <c:pt idx="342">
                  <c:v>25.76905206577047</c:v>
                </c:pt>
                <c:pt idx="343">
                  <c:v>25.680624750208178</c:v>
                </c:pt>
                <c:pt idx="344">
                  <c:v>25.600979046212942</c:v>
                </c:pt>
                <c:pt idx="345">
                  <c:v>25.529055439077645</c:v>
                </c:pt>
                <c:pt idx="346">
                  <c:v>25.465140282731422</c:v>
                </c:pt>
                <c:pt idx="347">
                  <c:v>25.409509029792329</c:v>
                </c:pt>
                <c:pt idx="348">
                  <c:v>25.362437021668583</c:v>
                </c:pt>
                <c:pt idx="349">
                  <c:v>25.324199495962468</c:v>
                </c:pt>
                <c:pt idx="350">
                  <c:v>25.295071568144991</c:v>
                </c:pt>
                <c:pt idx="351">
                  <c:v>25.275336303415251</c:v>
                </c:pt>
                <c:pt idx="352">
                  <c:v>25.265268198704415</c:v>
                </c:pt>
                <c:pt idx="353">
                  <c:v>25.265141963972951</c:v>
                </c:pt>
                <c:pt idx="354">
                  <c:v>25.275232188687536</c:v>
                </c:pt>
                <c:pt idx="355">
                  <c:v>25.295813334964521</c:v>
                </c:pt>
                <c:pt idx="356">
                  <c:v>25.327159778196602</c:v>
                </c:pt>
                <c:pt idx="357">
                  <c:v>25.3695456932155</c:v>
                </c:pt>
                <c:pt idx="358">
                  <c:v>25.423006563962417</c:v>
                </c:pt>
                <c:pt idx="359">
                  <c:v>25.487262942191915</c:v>
                </c:pt>
                <c:pt idx="360">
                  <c:v>25.562116916916992</c:v>
                </c:pt>
                <c:pt idx="361">
                  <c:v>25.64736236164633</c:v>
                </c:pt>
                <c:pt idx="362">
                  <c:v>25.742801207383618</c:v>
                </c:pt>
                <c:pt idx="363">
                  <c:v>25.848235452723262</c:v>
                </c:pt>
                <c:pt idx="364">
                  <c:v>25.963467155975433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9.6378199423122055</c:v>
                </c:pt>
                <c:pt idx="1">
                  <c:v>1.543226668116056</c:v>
                </c:pt>
                <c:pt idx="2">
                  <c:v>15.883068407709857</c:v>
                </c:pt>
                <c:pt idx="3">
                  <c:v>14.227178291585144</c:v>
                </c:pt>
                <c:pt idx="4">
                  <c:v>14.046637677936308</c:v>
                </c:pt>
                <c:pt idx="5">
                  <c:v>4.6129931251074545</c:v>
                </c:pt>
                <c:pt idx="6">
                  <c:v>17.83599440317326</c:v>
                </c:pt>
                <c:pt idx="7">
                  <c:v>6.6604812769337967</c:v>
                </c:pt>
                <c:pt idx="8">
                  <c:v>8.5237177055841489</c:v>
                </c:pt>
                <c:pt idx="9">
                  <c:v>24.305496549804467</c:v>
                </c:pt>
                <c:pt idx="10">
                  <c:v>4.4200015940548711</c:v>
                </c:pt>
                <c:pt idx="11">
                  <c:v>23.627847178942524</c:v>
                </c:pt>
                <c:pt idx="12">
                  <c:v>13.360146183464554</c:v>
                </c:pt>
                <c:pt idx="13">
                  <c:v>18.040382187259119</c:v>
                </c:pt>
                <c:pt idx="14">
                  <c:v>5.8790362045503466</c:v>
                </c:pt>
                <c:pt idx="15">
                  <c:v>3.5656881563284015</c:v>
                </c:pt>
                <c:pt idx="16">
                  <c:v>6.7095164500047328</c:v>
                </c:pt>
                <c:pt idx="17">
                  <c:v>19.216974542281328</c:v>
                </c:pt>
                <c:pt idx="18">
                  <c:v>10.098940436872146</c:v>
                </c:pt>
                <c:pt idx="19">
                  <c:v>18.105715050440342</c:v>
                </c:pt>
                <c:pt idx="20">
                  <c:v>6.585631004711006</c:v>
                </c:pt>
                <c:pt idx="21">
                  <c:v>31.044845982204624</c:v>
                </c:pt>
                <c:pt idx="22">
                  <c:v>30.944013652676151</c:v>
                </c:pt>
                <c:pt idx="23">
                  <c:v>31.952377595769487</c:v>
                </c:pt>
                <c:pt idx="24">
                  <c:v>29.580355865830757</c:v>
                </c:pt>
                <c:pt idx="25">
                  <c:v>31.189893389395689</c:v>
                </c:pt>
                <c:pt idx="26">
                  <c:v>27.529873690363914</c:v>
                </c:pt>
                <c:pt idx="27">
                  <c:v>4.2033181709212499</c:v>
                </c:pt>
                <c:pt idx="28">
                  <c:v>7.9962796482530951</c:v>
                </c:pt>
                <c:pt idx="29">
                  <c:v>4.6269577934808357</c:v>
                </c:pt>
                <c:pt idx="30">
                  <c:v>7.3786756503739417</c:v>
                </c:pt>
                <c:pt idx="31">
                  <c:v>16.191314699027362</c:v>
                </c:pt>
                <c:pt idx="32">
                  <c:v>5.3158951177191938</c:v>
                </c:pt>
                <c:pt idx="33">
                  <c:v>10.689750048338171</c:v>
                </c:pt>
                <c:pt idx="34">
                  <c:v>11.040068313637843</c:v>
                </c:pt>
                <c:pt idx="35">
                  <c:v>9.1089545173503019</c:v>
                </c:pt>
                <c:pt idx="36">
                  <c:v>24.919248139123784</c:v>
                </c:pt>
                <c:pt idx="37">
                  <c:v>8.9396104199706929</c:v>
                </c:pt>
                <c:pt idx="38">
                  <c:v>36.1281386643251</c:v>
                </c:pt>
                <c:pt idx="39">
                  <c:v>36.864641067529277</c:v>
                </c:pt>
                <c:pt idx="40">
                  <c:v>34.562738484589509</c:v>
                </c:pt>
                <c:pt idx="41">
                  <c:v>17.083085834652799</c:v>
                </c:pt>
                <c:pt idx="42">
                  <c:v>27.769040532932465</c:v>
                </c:pt>
                <c:pt idx="43">
                  <c:v>34.578273062895825</c:v>
                </c:pt>
                <c:pt idx="44">
                  <c:v>15.217220276930409</c:v>
                </c:pt>
                <c:pt idx="45">
                  <c:v>19.346263804670905</c:v>
                </c:pt>
                <c:pt idx="46">
                  <c:v>8.7168151483740335</c:v>
                </c:pt>
                <c:pt idx="47">
                  <c:v>10.993685243156426</c:v>
                </c:pt>
                <c:pt idx="48">
                  <c:v>31.188073317603422</c:v>
                </c:pt>
                <c:pt idx="49">
                  <c:v>18.768915196636307</c:v>
                </c:pt>
                <c:pt idx="50">
                  <c:v>20.405560366316053</c:v>
                </c:pt>
                <c:pt idx="51">
                  <c:v>21.479323723148546</c:v>
                </c:pt>
                <c:pt idx="52">
                  <c:v>33.946037838637125</c:v>
                </c:pt>
                <c:pt idx="53">
                  <c:v>36.070450608802084</c:v>
                </c:pt>
                <c:pt idx="54">
                  <c:v>24.863287130551068</c:v>
                </c:pt>
                <c:pt idx="55">
                  <c:v>29.457524522564437</c:v>
                </c:pt>
                <c:pt idx="56">
                  <c:v>44.300698697562623</c:v>
                </c:pt>
                <c:pt idx="57">
                  <c:v>26.095204463052315</c:v>
                </c:pt>
                <c:pt idx="58">
                  <c:v>37.308162463353007</c:v>
                </c:pt>
                <c:pt idx="59">
                  <c:v>42.26767233640733</c:v>
                </c:pt>
                <c:pt idx="60">
                  <c:v>12.396566573677115</c:v>
                </c:pt>
                <c:pt idx="61">
                  <c:v>34.194824141703876</c:v>
                </c:pt>
                <c:pt idx="62">
                  <c:v>3.6611972190786468</c:v>
                </c:pt>
                <c:pt idx="63">
                  <c:v>12.540711712940787</c:v>
                </c:pt>
                <c:pt idx="64">
                  <c:v>15.408471457014549</c:v>
                </c:pt>
                <c:pt idx="65">
                  <c:v>37.597956773783714</c:v>
                </c:pt>
                <c:pt idx="66">
                  <c:v>35.275997942625096</c:v>
                </c:pt>
                <c:pt idx="67">
                  <c:v>30.830720952952561</c:v>
                </c:pt>
                <c:pt idx="68">
                  <c:v>26.071816404681169</c:v>
                </c:pt>
                <c:pt idx="69">
                  <c:v>16.606905351666732</c:v>
                </c:pt>
                <c:pt idx="70">
                  <c:v>13.65227097561039</c:v>
                </c:pt>
                <c:pt idx="71">
                  <c:v>7.8664090046455346</c:v>
                </c:pt>
                <c:pt idx="72">
                  <c:v>14.118194296275551</c:v>
                </c:pt>
                <c:pt idx="73">
                  <c:v>13.387502021396369</c:v>
                </c:pt>
                <c:pt idx="74">
                  <c:v>13.460032320027414</c:v>
                </c:pt>
                <c:pt idx="75">
                  <c:v>11.097648619194752</c:v>
                </c:pt>
                <c:pt idx="76">
                  <c:v>13.909212916248546</c:v>
                </c:pt>
                <c:pt idx="77">
                  <c:v>27.951987869822787</c:v>
                </c:pt>
                <c:pt idx="78">
                  <c:v>30.930610986994562</c:v>
                </c:pt>
                <c:pt idx="79">
                  <c:v>45.308566269034337</c:v>
                </c:pt>
                <c:pt idx="80">
                  <c:v>42.651813640599286</c:v>
                </c:pt>
                <c:pt idx="81">
                  <c:v>48.502205253702208</c:v>
                </c:pt>
                <c:pt idx="82">
                  <c:v>47.861121463493106</c:v>
                </c:pt>
                <c:pt idx="83">
                  <c:v>40.179767904284127</c:v>
                </c:pt>
                <c:pt idx="84">
                  <c:v>46.471977641905092</c:v>
                </c:pt>
                <c:pt idx="85">
                  <c:v>45.656793491021965</c:v>
                </c:pt>
                <c:pt idx="86">
                  <c:v>36.420759678398433</c:v>
                </c:pt>
                <c:pt idx="87">
                  <c:v>27.295599774249649</c:v>
                </c:pt>
                <c:pt idx="88">
                  <c:v>7.420552822274499</c:v>
                </c:pt>
                <c:pt idx="89">
                  <c:v>25.191849083691672</c:v>
                </c:pt>
                <c:pt idx="90">
                  <c:v>29.935416559070823</c:v>
                </c:pt>
                <c:pt idx="91">
                  <c:v>19.229735113465114</c:v>
                </c:pt>
                <c:pt idx="92">
                  <c:v>23.827603095965035</c:v>
                </c:pt>
                <c:pt idx="93">
                  <c:v>45.029612349516533</c:v>
                </c:pt>
                <c:pt idx="94">
                  <c:v>51.694751287036915</c:v>
                </c:pt>
                <c:pt idx="95">
                  <c:v>10.926413613175152</c:v>
                </c:pt>
                <c:pt idx="96">
                  <c:v>39.635394314694466</c:v>
                </c:pt>
                <c:pt idx="97">
                  <c:v>33.990347316635713</c:v>
                </c:pt>
                <c:pt idx="98">
                  <c:v>33.50442150652799</c:v>
                </c:pt>
                <c:pt idx="99">
                  <c:v>54.383536829459857</c:v>
                </c:pt>
                <c:pt idx="100">
                  <c:v>45.485189411893479</c:v>
                </c:pt>
                <c:pt idx="101">
                  <c:v>37.819166983719221</c:v>
                </c:pt>
                <c:pt idx="102">
                  <c:v>7.6737954968407829</c:v>
                </c:pt>
                <c:pt idx="103">
                  <c:v>39.735153712132742</c:v>
                </c:pt>
                <c:pt idx="104">
                  <c:v>42.820132998946029</c:v>
                </c:pt>
                <c:pt idx="105">
                  <c:v>41.291623615655347</c:v>
                </c:pt>
                <c:pt idx="106">
                  <c:v>53.310872022305119</c:v>
                </c:pt>
                <c:pt idx="107">
                  <c:v>35.40431305872869</c:v>
                </c:pt>
                <c:pt idx="108">
                  <c:v>8.9345504389599117</c:v>
                </c:pt>
                <c:pt idx="109">
                  <c:v>9.2549474476503111</c:v>
                </c:pt>
                <c:pt idx="110">
                  <c:v>8.8071645583077629</c:v>
                </c:pt>
                <c:pt idx="111">
                  <c:v>25.466392129735073</c:v>
                </c:pt>
                <c:pt idx="112">
                  <c:v>8.6766489365679167</c:v>
                </c:pt>
                <c:pt idx="113">
                  <c:v>28.488092401839523</c:v>
                </c:pt>
                <c:pt idx="114">
                  <c:v>43.321697398864266</c:v>
                </c:pt>
                <c:pt idx="115">
                  <c:v>53.262970134461398</c:v>
                </c:pt>
                <c:pt idx="116">
                  <c:v>40.675896995493503</c:v>
                </c:pt>
                <c:pt idx="117">
                  <c:v>22.917623218341642</c:v>
                </c:pt>
                <c:pt idx="118">
                  <c:v>41.585553258061047</c:v>
                </c:pt>
                <c:pt idx="119">
                  <c:v>44.273750622155497</c:v>
                </c:pt>
                <c:pt idx="120">
                  <c:v>47.986763425311246</c:v>
                </c:pt>
                <c:pt idx="121">
                  <c:v>29.733039481426673</c:v>
                </c:pt>
                <c:pt idx="122">
                  <c:v>38.904618133979071</c:v>
                </c:pt>
                <c:pt idx="123">
                  <c:v>20.812898875142842</c:v>
                </c:pt>
                <c:pt idx="124">
                  <c:v>43.586632509393354</c:v>
                </c:pt>
                <c:pt idx="125">
                  <c:v>41.443579674238819</c:v>
                </c:pt>
                <c:pt idx="126">
                  <c:v>51.516137801542136</c:v>
                </c:pt>
                <c:pt idx="127">
                  <c:v>50.69473279120696</c:v>
                </c:pt>
                <c:pt idx="128">
                  <c:v>55.888290715126047</c:v>
                </c:pt>
                <c:pt idx="129">
                  <c:v>53.870453050332152</c:v>
                </c:pt>
                <c:pt idx="130">
                  <c:v>57.734052704094601</c:v>
                </c:pt>
                <c:pt idx="131">
                  <c:v>41.272199699722165</c:v>
                </c:pt>
                <c:pt idx="132">
                  <c:v>42.36370359588804</c:v>
                </c:pt>
                <c:pt idx="133">
                  <c:v>52.544139586067445</c:v>
                </c:pt>
                <c:pt idx="134">
                  <c:v>54.802029071705356</c:v>
                </c:pt>
                <c:pt idx="135">
                  <c:v>52.40483154991842</c:v>
                </c:pt>
                <c:pt idx="136">
                  <c:v>55.62535325158823</c:v>
                </c:pt>
                <c:pt idx="137">
                  <c:v>52.709527207197944</c:v>
                </c:pt>
                <c:pt idx="138">
                  <c:v>56.176529768210685</c:v>
                </c:pt>
                <c:pt idx="139">
                  <c:v>51.106272228735563</c:v>
                </c:pt>
                <c:pt idx="140">
                  <c:v>52.125138936379692</c:v>
                </c:pt>
                <c:pt idx="141">
                  <c:v>41.453639133332231</c:v>
                </c:pt>
                <c:pt idx="142">
                  <c:v>19.429270228784226</c:v>
                </c:pt>
                <c:pt idx="143">
                  <c:v>16.971148265295536</c:v>
                </c:pt>
                <c:pt idx="144">
                  <c:v>43.163807042990634</c:v>
                </c:pt>
                <c:pt idx="145">
                  <c:v>28.159935600540841</c:v>
                </c:pt>
                <c:pt idx="146">
                  <c:v>44.669491319305699</c:v>
                </c:pt>
                <c:pt idx="147">
                  <c:v>55.585023102647561</c:v>
                </c:pt>
                <c:pt idx="148">
                  <c:v>60.13228804397194</c:v>
                </c:pt>
                <c:pt idx="149">
                  <c:v>48.527838343046547</c:v>
                </c:pt>
                <c:pt idx="150">
                  <c:v>54.363542188096147</c:v>
                </c:pt>
                <c:pt idx="151">
                  <c:v>56.374147982720892</c:v>
                </c:pt>
                <c:pt idx="152">
                  <c:v>42.63522826166929</c:v>
                </c:pt>
                <c:pt idx="153">
                  <c:v>55.964724585284209</c:v>
                </c:pt>
                <c:pt idx="154">
                  <c:v>25.322569069268926</c:v>
                </c:pt>
                <c:pt idx="155">
                  <c:v>35.046113260014089</c:v>
                </c:pt>
                <c:pt idx="156">
                  <c:v>50.222642034385679</c:v>
                </c:pt>
                <c:pt idx="157">
                  <c:v>25.834954950936588</c:v>
                </c:pt>
                <c:pt idx="158">
                  <c:v>21.331857171253272</c:v>
                </c:pt>
                <c:pt idx="159">
                  <c:v>50.319447952392736</c:v>
                </c:pt>
                <c:pt idx="160">
                  <c:v>58.113362765644716</c:v>
                </c:pt>
                <c:pt idx="161">
                  <c:v>56.451344584985591</c:v>
                </c:pt>
                <c:pt idx="162">
                  <c:v>44.462998077074694</c:v>
                </c:pt>
                <c:pt idx="163">
                  <c:v>53.49747343375207</c:v>
                </c:pt>
                <c:pt idx="164">
                  <c:v>51.445724913452949</c:v>
                </c:pt>
                <c:pt idx="165">
                  <c:v>54.692611325976841</c:v>
                </c:pt>
                <c:pt idx="166">
                  <c:v>52.743844017493139</c:v>
                </c:pt>
                <c:pt idx="167">
                  <c:v>52.657313271217646</c:v>
                </c:pt>
                <c:pt idx="168">
                  <c:v>56.150224560964062</c:v>
                </c:pt>
                <c:pt idx="169">
                  <c:v>57.243406430649344</c:v>
                </c:pt>
                <c:pt idx="170">
                  <c:v>30.257325667470738</c:v>
                </c:pt>
                <c:pt idx="171">
                  <c:v>22.55675034407869</c:v>
                </c:pt>
                <c:pt idx="172">
                  <c:v>42.647541094254443</c:v>
                </c:pt>
                <c:pt idx="173">
                  <c:v>43.313281355453697</c:v>
                </c:pt>
                <c:pt idx="174">
                  <c:v>39.801861740607265</c:v>
                </c:pt>
                <c:pt idx="175">
                  <c:v>37.661373636528879</c:v>
                </c:pt>
                <c:pt idx="176">
                  <c:v>12.203452245124907</c:v>
                </c:pt>
                <c:pt idx="177">
                  <c:v>15.027472680369298</c:v>
                </c:pt>
                <c:pt idx="178">
                  <c:v>57.670131405589537</c:v>
                </c:pt>
                <c:pt idx="179">
                  <c:v>57.206205772719976</c:v>
                </c:pt>
                <c:pt idx="180">
                  <c:v>14.074291254911303</c:v>
                </c:pt>
                <c:pt idx="181">
                  <c:v>47.81018076564667</c:v>
                </c:pt>
                <c:pt idx="182">
                  <c:v>34.965751405624729</c:v>
                </c:pt>
                <c:pt idx="183">
                  <c:v>49.68577773374345</c:v>
                </c:pt>
                <c:pt idx="184">
                  <c:v>44.992500709933203</c:v>
                </c:pt>
                <c:pt idx="185">
                  <c:v>56.086450943520049</c:v>
                </c:pt>
                <c:pt idx="186">
                  <c:v>45.735613458791036</c:v>
                </c:pt>
                <c:pt idx="187">
                  <c:v>55.771847750907341</c:v>
                </c:pt>
                <c:pt idx="188">
                  <c:v>57.603090942733715</c:v>
                </c:pt>
                <c:pt idx="189">
                  <c:v>56.920285327712605</c:v>
                </c:pt>
                <c:pt idx="190">
                  <c:v>56.213300105207665</c:v>
                </c:pt>
                <c:pt idx="191">
                  <c:v>55.242689881726939</c:v>
                </c:pt>
                <c:pt idx="192">
                  <c:v>54.839250267136002</c:v>
                </c:pt>
                <c:pt idx="193">
                  <c:v>54.32727839997095</c:v>
                </c:pt>
                <c:pt idx="194">
                  <c:v>54.011151191812409</c:v>
                </c:pt>
                <c:pt idx="195">
                  <c:v>51.807869336825959</c:v>
                </c:pt>
                <c:pt idx="196">
                  <c:v>53.228748903818357</c:v>
                </c:pt>
                <c:pt idx="197">
                  <c:v>53.371144958613876</c:v>
                </c:pt>
                <c:pt idx="198">
                  <c:v>55.583675260757921</c:v>
                </c:pt>
                <c:pt idx="199">
                  <c:v>43.57308166829133</c:v>
                </c:pt>
                <c:pt idx="200">
                  <c:v>43.671258401124518</c:v>
                </c:pt>
                <c:pt idx="201">
                  <c:v>52.828182624786528</c:v>
                </c:pt>
                <c:pt idx="202">
                  <c:v>44.402498918305213</c:v>
                </c:pt>
                <c:pt idx="203">
                  <c:v>44.355295070105491</c:v>
                </c:pt>
                <c:pt idx="204">
                  <c:v>53.077085870691086</c:v>
                </c:pt>
                <c:pt idx="205">
                  <c:v>26.066661955645952</c:v>
                </c:pt>
                <c:pt idx="206">
                  <c:v>55.347086047739793</c:v>
                </c:pt>
                <c:pt idx="207">
                  <c:v>56.751787189197366</c:v>
                </c:pt>
                <c:pt idx="208">
                  <c:v>42.976184261956995</c:v>
                </c:pt>
                <c:pt idx="209">
                  <c:v>29.749927919211771</c:v>
                </c:pt>
                <c:pt idx="210">
                  <c:v>47.847672000597107</c:v>
                </c:pt>
                <c:pt idx="211">
                  <c:v>54.403989833882143</c:v>
                </c:pt>
                <c:pt idx="212">
                  <c:v>54.052300372560701</c:v>
                </c:pt>
                <c:pt idx="213">
                  <c:v>54.121992658586549</c:v>
                </c:pt>
                <c:pt idx="214">
                  <c:v>53.484612030262348</c:v>
                </c:pt>
                <c:pt idx="215">
                  <c:v>51.979455977802097</c:v>
                </c:pt>
                <c:pt idx="216">
                  <c:v>42.825043350016834</c:v>
                </c:pt>
                <c:pt idx="217">
                  <c:v>50.4183366542456</c:v>
                </c:pt>
                <c:pt idx="218">
                  <c:v>52.850213415269778</c:v>
                </c:pt>
                <c:pt idx="219">
                  <c:v>53.597844485657397</c:v>
                </c:pt>
                <c:pt idx="220">
                  <c:v>51.470307639215989</c:v>
                </c:pt>
                <c:pt idx="221">
                  <c:v>49.573394171352199</c:v>
                </c:pt>
                <c:pt idx="222">
                  <c:v>48.056198228057582</c:v>
                </c:pt>
                <c:pt idx="223">
                  <c:v>48.315897528154856</c:v>
                </c:pt>
                <c:pt idx="224">
                  <c:v>37.740018823704126</c:v>
                </c:pt>
                <c:pt idx="225">
                  <c:v>34.015916880577969</c:v>
                </c:pt>
                <c:pt idx="226">
                  <c:v>36.367348143233897</c:v>
                </c:pt>
                <c:pt idx="227">
                  <c:v>37.648824691224554</c:v>
                </c:pt>
                <c:pt idx="228">
                  <c:v>29.114644748540556</c:v>
                </c:pt>
                <c:pt idx="229">
                  <c:v>36.957843043180922</c:v>
                </c:pt>
                <c:pt idx="230">
                  <c:v>38.585725136019605</c:v>
                </c:pt>
                <c:pt idx="231">
                  <c:v>50.460709618009368</c:v>
                </c:pt>
                <c:pt idx="232">
                  <c:v>37.688592243339876</c:v>
                </c:pt>
                <c:pt idx="233">
                  <c:v>27.222019393331195</c:v>
                </c:pt>
                <c:pt idx="234">
                  <c:v>48.771229192431321</c:v>
                </c:pt>
                <c:pt idx="235">
                  <c:v>49.315390723523208</c:v>
                </c:pt>
                <c:pt idx="236">
                  <c:v>29.662915261566543</c:v>
                </c:pt>
                <c:pt idx="237">
                  <c:v>39.636920495485761</c:v>
                </c:pt>
                <c:pt idx="238">
                  <c:v>47.991174162348109</c:v>
                </c:pt>
                <c:pt idx="239">
                  <c:v>49.06658948117046</c:v>
                </c:pt>
                <c:pt idx="240">
                  <c:v>33.737618691236641</c:v>
                </c:pt>
                <c:pt idx="241">
                  <c:v>48.413905991918085</c:v>
                </c:pt>
                <c:pt idx="242">
                  <c:v>25.086661586303091</c:v>
                </c:pt>
                <c:pt idx="243">
                  <c:v>39.348117302625226</c:v>
                </c:pt>
                <c:pt idx="244">
                  <c:v>37.485191649819811</c:v>
                </c:pt>
                <c:pt idx="245">
                  <c:v>38.992292618557144</c:v>
                </c:pt>
                <c:pt idx="246">
                  <c:v>48.48499101653757</c:v>
                </c:pt>
                <c:pt idx="247">
                  <c:v>42.83628403139263</c:v>
                </c:pt>
                <c:pt idx="248">
                  <c:v>44.078956567399686</c:v>
                </c:pt>
                <c:pt idx="249">
                  <c:v>36.875212572783951</c:v>
                </c:pt>
                <c:pt idx="250">
                  <c:v>36.677604419854418</c:v>
                </c:pt>
                <c:pt idx="251">
                  <c:v>20.253023788396437</c:v>
                </c:pt>
                <c:pt idx="252">
                  <c:v>47.041711247173609</c:v>
                </c:pt>
                <c:pt idx="253">
                  <c:v>47.44737272785428</c:v>
                </c:pt>
                <c:pt idx="254">
                  <c:v>37.197945641193726</c:v>
                </c:pt>
                <c:pt idx="255">
                  <c:v>14.787578234432761</c:v>
                </c:pt>
                <c:pt idx="256">
                  <c:v>37.241927192777922</c:v>
                </c:pt>
                <c:pt idx="257">
                  <c:v>40.945826222157137</c:v>
                </c:pt>
                <c:pt idx="258">
                  <c:v>29.616746352418502</c:v>
                </c:pt>
                <c:pt idx="259">
                  <c:v>47.787176061390419</c:v>
                </c:pt>
                <c:pt idx="260">
                  <c:v>46.190007003321405</c:v>
                </c:pt>
                <c:pt idx="261">
                  <c:v>46.745524469965467</c:v>
                </c:pt>
                <c:pt idx="262">
                  <c:v>48.22255072439259</c:v>
                </c:pt>
                <c:pt idx="263">
                  <c:v>46.992987742049323</c:v>
                </c:pt>
                <c:pt idx="264">
                  <c:v>45.708396489322233</c:v>
                </c:pt>
                <c:pt idx="265">
                  <c:v>32.352236607434314</c:v>
                </c:pt>
                <c:pt idx="266">
                  <c:v>18.390695987519535</c:v>
                </c:pt>
                <c:pt idx="267">
                  <c:v>35.94780615952002</c:v>
                </c:pt>
                <c:pt idx="268">
                  <c:v>35.810374270990579</c:v>
                </c:pt>
                <c:pt idx="269">
                  <c:v>17.088678715566026</c:v>
                </c:pt>
                <c:pt idx="270">
                  <c:v>19.49534469390986</c:v>
                </c:pt>
                <c:pt idx="271">
                  <c:v>23.445707404868564</c:v>
                </c:pt>
                <c:pt idx="272">
                  <c:v>25.908104940609622</c:v>
                </c:pt>
                <c:pt idx="273">
                  <c:v>37.426946468622504</c:v>
                </c:pt>
                <c:pt idx="274">
                  <c:v>40.521919035685549</c:v>
                </c:pt>
                <c:pt idx="275">
                  <c:v>36.723909216327684</c:v>
                </c:pt>
                <c:pt idx="276">
                  <c:v>43.132120094235653</c:v>
                </c:pt>
                <c:pt idx="277">
                  <c:v>44.901531930919219</c:v>
                </c:pt>
                <c:pt idx="278">
                  <c:v>12.027252535699716</c:v>
                </c:pt>
                <c:pt idx="279">
                  <c:v>32.832343836506979</c:v>
                </c:pt>
                <c:pt idx="280">
                  <c:v>15.384965043092373</c:v>
                </c:pt>
                <c:pt idx="281">
                  <c:v>40.987034019644931</c:v>
                </c:pt>
                <c:pt idx="282">
                  <c:v>34.760313928866111</c:v>
                </c:pt>
                <c:pt idx="283">
                  <c:v>23.748506228354863</c:v>
                </c:pt>
                <c:pt idx="284">
                  <c:v>28.002623636781895</c:v>
                </c:pt>
                <c:pt idx="285">
                  <c:v>24.635191325730649</c:v>
                </c:pt>
                <c:pt idx="286">
                  <c:v>17.660809713457642</c:v>
                </c:pt>
                <c:pt idx="287">
                  <c:v>40.303627946861482</c:v>
                </c:pt>
                <c:pt idx="288">
                  <c:v>34.68000384271388</c:v>
                </c:pt>
                <c:pt idx="289">
                  <c:v>19.385946564663364</c:v>
                </c:pt>
                <c:pt idx="290">
                  <c:v>37.374701363502375</c:v>
                </c:pt>
                <c:pt idx="291">
                  <c:v>17.554993688867732</c:v>
                </c:pt>
                <c:pt idx="292">
                  <c:v>7.0411298808055882</c:v>
                </c:pt>
                <c:pt idx="293">
                  <c:v>18.18394352867897</c:v>
                </c:pt>
                <c:pt idx="294">
                  <c:v>35.439482669881926</c:v>
                </c:pt>
                <c:pt idx="295">
                  <c:v>17.228517304546703</c:v>
                </c:pt>
                <c:pt idx="296">
                  <c:v>29.258915819426097</c:v>
                </c:pt>
                <c:pt idx="297">
                  <c:v>23.813779085267388</c:v>
                </c:pt>
                <c:pt idx="298">
                  <c:v>13.147850526194096</c:v>
                </c:pt>
                <c:pt idx="299">
                  <c:v>16.961064149119522</c:v>
                </c:pt>
                <c:pt idx="300">
                  <c:v>17.680231478882803</c:v>
                </c:pt>
                <c:pt idx="301">
                  <c:v>28.97689457280865</c:v>
                </c:pt>
                <c:pt idx="302">
                  <c:v>26.595265864309116</c:v>
                </c:pt>
                <c:pt idx="303">
                  <c:v>25.033772943924429</c:v>
                </c:pt>
                <c:pt idx="304">
                  <c:v>19.811904336892528</c:v>
                </c:pt>
                <c:pt idx="305">
                  <c:v>30.586813899180392</c:v>
                </c:pt>
                <c:pt idx="306">
                  <c:v>9.6712599340029524</c:v>
                </c:pt>
                <c:pt idx="307">
                  <c:v>17.344877852086562</c:v>
                </c:pt>
                <c:pt idx="308">
                  <c:v>32.438779907308671</c:v>
                </c:pt>
                <c:pt idx="309">
                  <c:v>33.787130587006558</c:v>
                </c:pt>
                <c:pt idx="310">
                  <c:v>32.334975486380984</c:v>
                </c:pt>
                <c:pt idx="311">
                  <c:v>23.958137818729547</c:v>
                </c:pt>
                <c:pt idx="312">
                  <c:v>10.694527723094929</c:v>
                </c:pt>
                <c:pt idx="313">
                  <c:v>20.06092589376221</c:v>
                </c:pt>
                <c:pt idx="314">
                  <c:v>31.649852252343731</c:v>
                </c:pt>
                <c:pt idx="315">
                  <c:v>30.909696893269661</c:v>
                </c:pt>
                <c:pt idx="316">
                  <c:v>29.931099538987606</c:v>
                </c:pt>
                <c:pt idx="317">
                  <c:v>11.336744919828689</c:v>
                </c:pt>
                <c:pt idx="318">
                  <c:v>13.007028361191699</c:v>
                </c:pt>
                <c:pt idx="319">
                  <c:v>30.487179356768639</c:v>
                </c:pt>
                <c:pt idx="320">
                  <c:v>13.704872234298346</c:v>
                </c:pt>
                <c:pt idx="321">
                  <c:v>17.473252210431362</c:v>
                </c:pt>
                <c:pt idx="322">
                  <c:v>6.8948341396398103</c:v>
                </c:pt>
                <c:pt idx="323">
                  <c:v>17.738600968124825</c:v>
                </c:pt>
                <c:pt idx="324">
                  <c:v>3.1698017113693782</c:v>
                </c:pt>
                <c:pt idx="325">
                  <c:v>8.1219237086991143</c:v>
                </c:pt>
                <c:pt idx="326">
                  <c:v>13.38780580535442</c:v>
                </c:pt>
                <c:pt idx="327">
                  <c:v>14.355206962139203</c:v>
                </c:pt>
                <c:pt idx="328">
                  <c:v>4.5755408355417551</c:v>
                </c:pt>
                <c:pt idx="329">
                  <c:v>10.652420008156357</c:v>
                </c:pt>
                <c:pt idx="330">
                  <c:v>16.567069631294245</c:v>
                </c:pt>
                <c:pt idx="331">
                  <c:v>10.284515924396979</c:v>
                </c:pt>
                <c:pt idx="332">
                  <c:v>15.300242757429922</c:v>
                </c:pt>
                <c:pt idx="333">
                  <c:v>3.9199042249285263</c:v>
                </c:pt>
                <c:pt idx="334">
                  <c:v>3.729682660318947</c:v>
                </c:pt>
                <c:pt idx="335">
                  <c:v>5.5901450760982785</c:v>
                </c:pt>
                <c:pt idx="336">
                  <c:v>10.828777915023133</c:v>
                </c:pt>
                <c:pt idx="337">
                  <c:v>17.543519070708779</c:v>
                </c:pt>
                <c:pt idx="338">
                  <c:v>27.162232526707154</c:v>
                </c:pt>
                <c:pt idx="339">
                  <c:v>12.214871716639188</c:v>
                </c:pt>
                <c:pt idx="340">
                  <c:v>22.436817059731766</c:v>
                </c:pt>
                <c:pt idx="341">
                  <c:v>4.1233455823129912</c:v>
                </c:pt>
                <c:pt idx="342">
                  <c:v>4.9825160052327071</c:v>
                </c:pt>
                <c:pt idx="343">
                  <c:v>11.518236800121064</c:v>
                </c:pt>
                <c:pt idx="344">
                  <c:v>18.122314353702745</c:v>
                </c:pt>
                <c:pt idx="345">
                  <c:v>6.9864297557298993</c:v>
                </c:pt>
                <c:pt idx="346">
                  <c:v>5.4224340795490633</c:v>
                </c:pt>
                <c:pt idx="347">
                  <c:v>17.613683127979336</c:v>
                </c:pt>
                <c:pt idx="348">
                  <c:v>5.899116294056892</c:v>
                </c:pt>
                <c:pt idx="349">
                  <c:v>5.2667258331039353</c:v>
                </c:pt>
                <c:pt idx="350">
                  <c:v>3.4750417845858079</c:v>
                </c:pt>
                <c:pt idx="351">
                  <c:v>24.601783088972216</c:v>
                </c:pt>
                <c:pt idx="352">
                  <c:v>19.814543567509247</c:v>
                </c:pt>
                <c:pt idx="353">
                  <c:v>4.3685849061859496</c:v>
                </c:pt>
                <c:pt idx="354">
                  <c:v>22.520853178611326</c:v>
                </c:pt>
                <c:pt idx="355">
                  <c:v>20.15843388261446</c:v>
                </c:pt>
                <c:pt idx="356">
                  <c:v>20.508150633628937</c:v>
                </c:pt>
                <c:pt idx="357">
                  <c:v>22.549634601266447</c:v>
                </c:pt>
                <c:pt idx="358">
                  <c:v>13.309276372986798</c:v>
                </c:pt>
                <c:pt idx="359">
                  <c:v>22.284579670131443</c:v>
                </c:pt>
                <c:pt idx="360">
                  <c:v>7.2818729690172699</c:v>
                </c:pt>
                <c:pt idx="361">
                  <c:v>24.608405553600672</c:v>
                </c:pt>
                <c:pt idx="362">
                  <c:v>10.918080115731073</c:v>
                </c:pt>
                <c:pt idx="363">
                  <c:v>14.163488467288706</c:v>
                </c:pt>
                <c:pt idx="364">
                  <c:v>13.264622749554627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9.6378199423122055</c:v>
                </c:pt>
                <c:pt idx="1">
                  <c:v>1.543226668116056</c:v>
                </c:pt>
                <c:pt idx="2">
                  <c:v>15.883068407709857</c:v>
                </c:pt>
                <c:pt idx="3">
                  <c:v>14.227178291585144</c:v>
                </c:pt>
                <c:pt idx="4">
                  <c:v>14.046637677936308</c:v>
                </c:pt>
                <c:pt idx="5">
                  <c:v>4.6129931251074545</c:v>
                </c:pt>
                <c:pt idx="6">
                  <c:v>17.83599440317326</c:v>
                </c:pt>
                <c:pt idx="7">
                  <c:v>6.6604812769337967</c:v>
                </c:pt>
                <c:pt idx="8">
                  <c:v>8.5237177055841489</c:v>
                </c:pt>
                <c:pt idx="9">
                  <c:v>24.305496549804467</c:v>
                </c:pt>
                <c:pt idx="10">
                  <c:v>4.4200015940548711</c:v>
                </c:pt>
                <c:pt idx="11">
                  <c:v>23.627847178942524</c:v>
                </c:pt>
                <c:pt idx="12">
                  <c:v>13.360146183464554</c:v>
                </c:pt>
                <c:pt idx="13">
                  <c:v>18.040382187259119</c:v>
                </c:pt>
                <c:pt idx="14">
                  <c:v>5.8790362045503466</c:v>
                </c:pt>
                <c:pt idx="15">
                  <c:v>3.5656881563284015</c:v>
                </c:pt>
                <c:pt idx="16">
                  <c:v>6.7095164500047328</c:v>
                </c:pt>
                <c:pt idx="17">
                  <c:v>19.216974542281328</c:v>
                </c:pt>
                <c:pt idx="18">
                  <c:v>10.098940436872146</c:v>
                </c:pt>
                <c:pt idx="19">
                  <c:v>18.105715050440342</c:v>
                </c:pt>
                <c:pt idx="20">
                  <c:v>6.585631004711006</c:v>
                </c:pt>
                <c:pt idx="21">
                  <c:v>31.044845982204624</c:v>
                </c:pt>
                <c:pt idx="22">
                  <c:v>30.944013652676151</c:v>
                </c:pt>
                <c:pt idx="23">
                  <c:v>31.952377595769487</c:v>
                </c:pt>
                <c:pt idx="24">
                  <c:v>29.580355865830757</c:v>
                </c:pt>
                <c:pt idx="25">
                  <c:v>31.189893389395689</c:v>
                </c:pt>
                <c:pt idx="26">
                  <c:v>27.529873690363914</c:v>
                </c:pt>
                <c:pt idx="27">
                  <c:v>4.2033181709212499</c:v>
                </c:pt>
                <c:pt idx="28">
                  <c:v>7.9962796482530951</c:v>
                </c:pt>
                <c:pt idx="29">
                  <c:v>4.6269577934808357</c:v>
                </c:pt>
                <c:pt idx="30">
                  <c:v>7.3786756503739417</c:v>
                </c:pt>
                <c:pt idx="31">
                  <c:v>16.191314699027362</c:v>
                </c:pt>
                <c:pt idx="32">
                  <c:v>5.3158951177191938</c:v>
                </c:pt>
                <c:pt idx="33">
                  <c:v>10.689750048338171</c:v>
                </c:pt>
                <c:pt idx="34">
                  <c:v>11.040068313637843</c:v>
                </c:pt>
                <c:pt idx="35">
                  <c:v>9.1089545173503019</c:v>
                </c:pt>
                <c:pt idx="36">
                  <c:v>24.919248139123784</c:v>
                </c:pt>
                <c:pt idx="37">
                  <c:v>8.9396104199706929</c:v>
                </c:pt>
                <c:pt idx="38">
                  <c:v>36.1281386643251</c:v>
                </c:pt>
                <c:pt idx="39">
                  <c:v>36.864641067529277</c:v>
                </c:pt>
                <c:pt idx="40">
                  <c:v>34.562738484589509</c:v>
                </c:pt>
                <c:pt idx="41">
                  <c:v>17.083085834652799</c:v>
                </c:pt>
                <c:pt idx="42">
                  <c:v>27.769040532932465</c:v>
                </c:pt>
                <c:pt idx="43">
                  <c:v>34.578273062895825</c:v>
                </c:pt>
                <c:pt idx="44">
                  <c:v>15.217220276930409</c:v>
                </c:pt>
                <c:pt idx="45">
                  <c:v>19.346263804670905</c:v>
                </c:pt>
                <c:pt idx="46">
                  <c:v>8.7168151483740335</c:v>
                </c:pt>
                <c:pt idx="47">
                  <c:v>10.993685243156426</c:v>
                </c:pt>
                <c:pt idx="48">
                  <c:v>31.188073317603422</c:v>
                </c:pt>
                <c:pt idx="49">
                  <c:v>18.768915196636307</c:v>
                </c:pt>
                <c:pt idx="50">
                  <c:v>20.405560366316053</c:v>
                </c:pt>
                <c:pt idx="51">
                  <c:v>21.479323723148546</c:v>
                </c:pt>
                <c:pt idx="52">
                  <c:v>33.946037838637125</c:v>
                </c:pt>
                <c:pt idx="53">
                  <c:v>36.070450608802084</c:v>
                </c:pt>
                <c:pt idx="54">
                  <c:v>24.863287130551068</c:v>
                </c:pt>
                <c:pt idx="55">
                  <c:v>29.457524522564437</c:v>
                </c:pt>
                <c:pt idx="56">
                  <c:v>44.300698697562623</c:v>
                </c:pt>
                <c:pt idx="57">
                  <c:v>26.095204463052315</c:v>
                </c:pt>
                <c:pt idx="58">
                  <c:v>37.308162463353007</c:v>
                </c:pt>
                <c:pt idx="59">
                  <c:v>42.26767233640733</c:v>
                </c:pt>
                <c:pt idx="60">
                  <c:v>12.396566573677115</c:v>
                </c:pt>
                <c:pt idx="61">
                  <c:v>34.194824141703876</c:v>
                </c:pt>
                <c:pt idx="62">
                  <c:v>3.6611972190786468</c:v>
                </c:pt>
                <c:pt idx="63">
                  <c:v>12.540711712940787</c:v>
                </c:pt>
                <c:pt idx="64">
                  <c:v>15.408471457014549</c:v>
                </c:pt>
                <c:pt idx="65">
                  <c:v>37.597956773783714</c:v>
                </c:pt>
                <c:pt idx="66">
                  <c:v>35.275997942625096</c:v>
                </c:pt>
                <c:pt idx="67">
                  <c:v>30.830720952952561</c:v>
                </c:pt>
                <c:pt idx="68">
                  <c:v>26.071816404681169</c:v>
                </c:pt>
                <c:pt idx="69">
                  <c:v>16.606905351666732</c:v>
                </c:pt>
                <c:pt idx="70">
                  <c:v>13.65227097561039</c:v>
                </c:pt>
                <c:pt idx="71">
                  <c:v>7.8664090046455346</c:v>
                </c:pt>
                <c:pt idx="72">
                  <c:v>14.118194296275551</c:v>
                </c:pt>
                <c:pt idx="73">
                  <c:v>13.387502021396369</c:v>
                </c:pt>
                <c:pt idx="74">
                  <c:v>13.460032320027414</c:v>
                </c:pt>
                <c:pt idx="75">
                  <c:v>11.097648619194752</c:v>
                </c:pt>
                <c:pt idx="76">
                  <c:v>13.909212916248546</c:v>
                </c:pt>
                <c:pt idx="77">
                  <c:v>27.951987869822787</c:v>
                </c:pt>
                <c:pt idx="78">
                  <c:v>30.930610986994562</c:v>
                </c:pt>
                <c:pt idx="79">
                  <c:v>45.308566269034337</c:v>
                </c:pt>
                <c:pt idx="80">
                  <c:v>42.651813640599286</c:v>
                </c:pt>
                <c:pt idx="81">
                  <c:v>48.502205253702208</c:v>
                </c:pt>
                <c:pt idx="82">
                  <c:v>47.861121463493106</c:v>
                </c:pt>
                <c:pt idx="83">
                  <c:v>40.179767904284127</c:v>
                </c:pt>
                <c:pt idx="84">
                  <c:v>46.471977641905092</c:v>
                </c:pt>
                <c:pt idx="85">
                  <c:v>45.656793491021965</c:v>
                </c:pt>
                <c:pt idx="86">
                  <c:v>36.420759678398433</c:v>
                </c:pt>
                <c:pt idx="87">
                  <c:v>27.295599774249649</c:v>
                </c:pt>
                <c:pt idx="88">
                  <c:v>7.420552822274499</c:v>
                </c:pt>
                <c:pt idx="89">
                  <c:v>25.191849083691672</c:v>
                </c:pt>
                <c:pt idx="90">
                  <c:v>29.935416559070823</c:v>
                </c:pt>
                <c:pt idx="91">
                  <c:v>19.229735113465114</c:v>
                </c:pt>
                <c:pt idx="92">
                  <c:v>23.827603095965035</c:v>
                </c:pt>
                <c:pt idx="93">
                  <c:v>45.029612349516533</c:v>
                </c:pt>
                <c:pt idx="94">
                  <c:v>51.694751287036915</c:v>
                </c:pt>
                <c:pt idx="95">
                  <c:v>10.926413613175152</c:v>
                </c:pt>
                <c:pt idx="96">
                  <c:v>39.635394314694466</c:v>
                </c:pt>
                <c:pt idx="97">
                  <c:v>33.990347316635713</c:v>
                </c:pt>
                <c:pt idx="98">
                  <c:v>33.50442150652799</c:v>
                </c:pt>
                <c:pt idx="99">
                  <c:v>54.383536829459857</c:v>
                </c:pt>
                <c:pt idx="100">
                  <c:v>45.485189411893479</c:v>
                </c:pt>
                <c:pt idx="101">
                  <c:v>37.819166983719221</c:v>
                </c:pt>
                <c:pt idx="102">
                  <c:v>7.6737954968407829</c:v>
                </c:pt>
                <c:pt idx="103">
                  <c:v>39.735153712132742</c:v>
                </c:pt>
                <c:pt idx="104">
                  <c:v>42.820132998946029</c:v>
                </c:pt>
                <c:pt idx="105">
                  <c:v>41.291623615655347</c:v>
                </c:pt>
                <c:pt idx="106">
                  <c:v>53.310872022305119</c:v>
                </c:pt>
                <c:pt idx="107">
                  <c:v>35.40431305872869</c:v>
                </c:pt>
                <c:pt idx="108">
                  <c:v>8.9345504389599117</c:v>
                </c:pt>
                <c:pt idx="109">
                  <c:v>9.2549474476503111</c:v>
                </c:pt>
                <c:pt idx="110">
                  <c:v>8.8071645583077629</c:v>
                </c:pt>
                <c:pt idx="111">
                  <c:v>25.466392129735073</c:v>
                </c:pt>
                <c:pt idx="112">
                  <c:v>8.6766489365679167</c:v>
                </c:pt>
                <c:pt idx="113">
                  <c:v>28.488092401839523</c:v>
                </c:pt>
                <c:pt idx="114">
                  <c:v>43.321697398864266</c:v>
                </c:pt>
                <c:pt idx="115">
                  <c:v>53.262970134461398</c:v>
                </c:pt>
                <c:pt idx="116">
                  <c:v>40.675896995493503</c:v>
                </c:pt>
                <c:pt idx="117">
                  <c:v>22.917623218341642</c:v>
                </c:pt>
                <c:pt idx="118">
                  <c:v>41.585553258061047</c:v>
                </c:pt>
                <c:pt idx="119">
                  <c:v>44.273750622155497</c:v>
                </c:pt>
                <c:pt idx="120">
                  <c:v>47.986763425311246</c:v>
                </c:pt>
                <c:pt idx="121">
                  <c:v>29.733039481426673</c:v>
                </c:pt>
                <c:pt idx="122">
                  <c:v>38.904618133979071</c:v>
                </c:pt>
                <c:pt idx="123">
                  <c:v>20.812898875142842</c:v>
                </c:pt>
                <c:pt idx="124">
                  <c:v>43.586632509393354</c:v>
                </c:pt>
                <c:pt idx="125">
                  <c:v>41.443579674238819</c:v>
                </c:pt>
                <c:pt idx="126">
                  <c:v>51.516137801542136</c:v>
                </c:pt>
                <c:pt idx="127">
                  <c:v>50.69473279120696</c:v>
                </c:pt>
                <c:pt idx="128">
                  <c:v>55.888290715126047</c:v>
                </c:pt>
                <c:pt idx="129">
                  <c:v>53.870453050332152</c:v>
                </c:pt>
                <c:pt idx="130">
                  <c:v>57.734052704094601</c:v>
                </c:pt>
                <c:pt idx="131">
                  <c:v>41.272199699722165</c:v>
                </c:pt>
                <c:pt idx="132">
                  <c:v>42.36370359588804</c:v>
                </c:pt>
                <c:pt idx="133">
                  <c:v>52.544139586067445</c:v>
                </c:pt>
                <c:pt idx="134">
                  <c:v>54.802029071705356</c:v>
                </c:pt>
                <c:pt idx="135">
                  <c:v>52.40483154991842</c:v>
                </c:pt>
                <c:pt idx="136">
                  <c:v>55.62535325158823</c:v>
                </c:pt>
                <c:pt idx="137">
                  <c:v>52.709527207197944</c:v>
                </c:pt>
                <c:pt idx="138">
                  <c:v>56.176529768210685</c:v>
                </c:pt>
                <c:pt idx="139">
                  <c:v>51.106272228735563</c:v>
                </c:pt>
                <c:pt idx="140">
                  <c:v>52.125138936379692</c:v>
                </c:pt>
                <c:pt idx="141">
                  <c:v>41.453639133332231</c:v>
                </c:pt>
                <c:pt idx="142">
                  <c:v>19.429270228784226</c:v>
                </c:pt>
                <c:pt idx="143">
                  <c:v>16.971148265295536</c:v>
                </c:pt>
                <c:pt idx="144">
                  <c:v>43.163807042990634</c:v>
                </c:pt>
                <c:pt idx="145">
                  <c:v>28.159935600540841</c:v>
                </c:pt>
                <c:pt idx="146">
                  <c:v>44.669491319305699</c:v>
                </c:pt>
                <c:pt idx="147">
                  <c:v>55.585023102647561</c:v>
                </c:pt>
                <c:pt idx="148">
                  <c:v>60.13228804397194</c:v>
                </c:pt>
                <c:pt idx="149">
                  <c:v>48.527838343046547</c:v>
                </c:pt>
                <c:pt idx="150">
                  <c:v>54.363542188096147</c:v>
                </c:pt>
                <c:pt idx="151">
                  <c:v>56.374147982720892</c:v>
                </c:pt>
                <c:pt idx="152">
                  <c:v>42.63522826166929</c:v>
                </c:pt>
                <c:pt idx="153">
                  <c:v>55.964724585284209</c:v>
                </c:pt>
                <c:pt idx="154">
                  <c:v>25.322569069268926</c:v>
                </c:pt>
                <c:pt idx="155">
                  <c:v>35.046113260014089</c:v>
                </c:pt>
                <c:pt idx="156">
                  <c:v>50.222642034385679</c:v>
                </c:pt>
                <c:pt idx="157">
                  <c:v>25.834954950936588</c:v>
                </c:pt>
                <c:pt idx="158">
                  <c:v>21.331857171253272</c:v>
                </c:pt>
                <c:pt idx="159">
                  <c:v>50.319447952392736</c:v>
                </c:pt>
                <c:pt idx="160">
                  <c:v>58.113362765644716</c:v>
                </c:pt>
                <c:pt idx="161">
                  <c:v>56.451344584985591</c:v>
                </c:pt>
                <c:pt idx="162">
                  <c:v>44.462998077074694</c:v>
                </c:pt>
                <c:pt idx="163">
                  <c:v>53.49747343375207</c:v>
                </c:pt>
                <c:pt idx="164">
                  <c:v>51.445724913452949</c:v>
                </c:pt>
                <c:pt idx="165">
                  <c:v>54.692611325976841</c:v>
                </c:pt>
                <c:pt idx="166">
                  <c:v>52.743844017493139</c:v>
                </c:pt>
                <c:pt idx="167">
                  <c:v>52.657313271217646</c:v>
                </c:pt>
                <c:pt idx="168">
                  <c:v>56.150224560964062</c:v>
                </c:pt>
                <c:pt idx="169">
                  <c:v>57.243406430649344</c:v>
                </c:pt>
                <c:pt idx="170">
                  <c:v>30.257325667470738</c:v>
                </c:pt>
                <c:pt idx="171">
                  <c:v>22.55675034407869</c:v>
                </c:pt>
                <c:pt idx="172">
                  <c:v>42.647541094254443</c:v>
                </c:pt>
                <c:pt idx="173">
                  <c:v>43.313281355453697</c:v>
                </c:pt>
                <c:pt idx="174">
                  <c:v>39.801861740607265</c:v>
                </c:pt>
                <c:pt idx="175">
                  <c:v>37.661373636528879</c:v>
                </c:pt>
                <c:pt idx="176">
                  <c:v>12.203452245124907</c:v>
                </c:pt>
                <c:pt idx="177">
                  <c:v>15.027472680369298</c:v>
                </c:pt>
                <c:pt idx="178">
                  <c:v>57.670131405589537</c:v>
                </c:pt>
                <c:pt idx="179">
                  <c:v>57.206205772719976</c:v>
                </c:pt>
                <c:pt idx="180">
                  <c:v>14.074291254911303</c:v>
                </c:pt>
                <c:pt idx="181">
                  <c:v>47.81018076564667</c:v>
                </c:pt>
                <c:pt idx="182">
                  <c:v>34.965751405624729</c:v>
                </c:pt>
                <c:pt idx="183">
                  <c:v>49.68577773374345</c:v>
                </c:pt>
                <c:pt idx="184">
                  <c:v>44.992500709933203</c:v>
                </c:pt>
                <c:pt idx="185">
                  <c:v>56.086450943520049</c:v>
                </c:pt>
                <c:pt idx="186">
                  <c:v>45.735613458791036</c:v>
                </c:pt>
                <c:pt idx="187">
                  <c:v>55.771847750907341</c:v>
                </c:pt>
                <c:pt idx="188">
                  <c:v>57.603090942733715</c:v>
                </c:pt>
                <c:pt idx="189">
                  <c:v>56.920285327712605</c:v>
                </c:pt>
                <c:pt idx="190">
                  <c:v>56.213300105207665</c:v>
                </c:pt>
                <c:pt idx="191">
                  <c:v>55.242689881726939</c:v>
                </c:pt>
                <c:pt idx="192">
                  <c:v>54.839250267136002</c:v>
                </c:pt>
                <c:pt idx="193">
                  <c:v>54.32727839997095</c:v>
                </c:pt>
                <c:pt idx="194">
                  <c:v>54.011151191812409</c:v>
                </c:pt>
                <c:pt idx="195">
                  <c:v>51.807869336825959</c:v>
                </c:pt>
                <c:pt idx="196">
                  <c:v>53.228748903818357</c:v>
                </c:pt>
                <c:pt idx="197">
                  <c:v>53.371144958613876</c:v>
                </c:pt>
                <c:pt idx="198">
                  <c:v>55.583675260757921</c:v>
                </c:pt>
                <c:pt idx="199">
                  <c:v>43.57308166829133</c:v>
                </c:pt>
                <c:pt idx="200">
                  <c:v>43.671258401124518</c:v>
                </c:pt>
                <c:pt idx="201">
                  <c:v>52.828182624786528</c:v>
                </c:pt>
                <c:pt idx="202">
                  <c:v>44.402498918305213</c:v>
                </c:pt>
                <c:pt idx="203">
                  <c:v>44.355295070105491</c:v>
                </c:pt>
                <c:pt idx="204">
                  <c:v>53.077085870691086</c:v>
                </c:pt>
                <c:pt idx="205">
                  <c:v>26.066661955645952</c:v>
                </c:pt>
                <c:pt idx="206">
                  <c:v>55.347086047739793</c:v>
                </c:pt>
                <c:pt idx="207">
                  <c:v>56.751787189197366</c:v>
                </c:pt>
                <c:pt idx="208">
                  <c:v>42.976184261956995</c:v>
                </c:pt>
                <c:pt idx="209">
                  <c:v>29.749927919211771</c:v>
                </c:pt>
                <c:pt idx="210">
                  <c:v>47.847672000597107</c:v>
                </c:pt>
                <c:pt idx="211">
                  <c:v>54.403989833882143</c:v>
                </c:pt>
                <c:pt idx="212">
                  <c:v>54.052300372560701</c:v>
                </c:pt>
                <c:pt idx="213">
                  <c:v>54.121992658586549</c:v>
                </c:pt>
                <c:pt idx="214">
                  <c:v>53.484612030262348</c:v>
                </c:pt>
                <c:pt idx="215">
                  <c:v>51.979455977802097</c:v>
                </c:pt>
                <c:pt idx="216">
                  <c:v>42.825043350016834</c:v>
                </c:pt>
                <c:pt idx="217">
                  <c:v>50.4183366542456</c:v>
                </c:pt>
                <c:pt idx="218">
                  <c:v>52.850213415269778</c:v>
                </c:pt>
                <c:pt idx="219">
                  <c:v>53.597844485657397</c:v>
                </c:pt>
                <c:pt idx="220">
                  <c:v>51.470307639215989</c:v>
                </c:pt>
                <c:pt idx="221">
                  <c:v>49.573394171352199</c:v>
                </c:pt>
                <c:pt idx="222">
                  <c:v>48.056198228057582</c:v>
                </c:pt>
                <c:pt idx="223">
                  <c:v>48.315897528154856</c:v>
                </c:pt>
                <c:pt idx="224">
                  <c:v>37.740018823704126</c:v>
                </c:pt>
                <c:pt idx="225">
                  <c:v>34.015916880577969</c:v>
                </c:pt>
                <c:pt idx="226">
                  <c:v>36.367348143233897</c:v>
                </c:pt>
                <c:pt idx="227">
                  <c:v>37.648824691224554</c:v>
                </c:pt>
                <c:pt idx="228">
                  <c:v>29.114644748540556</c:v>
                </c:pt>
                <c:pt idx="229">
                  <c:v>36.957843043180922</c:v>
                </c:pt>
                <c:pt idx="230">
                  <c:v>38.585725136019605</c:v>
                </c:pt>
                <c:pt idx="231">
                  <c:v>50.460709618009368</c:v>
                </c:pt>
                <c:pt idx="232">
                  <c:v>37.688592243339876</c:v>
                </c:pt>
                <c:pt idx="233">
                  <c:v>27.222019393331195</c:v>
                </c:pt>
                <c:pt idx="234">
                  <c:v>48.771229192431321</c:v>
                </c:pt>
                <c:pt idx="235">
                  <c:v>49.315390723523208</c:v>
                </c:pt>
                <c:pt idx="236">
                  <c:v>29.662915261566543</c:v>
                </c:pt>
                <c:pt idx="237">
                  <c:v>39.636920495485761</c:v>
                </c:pt>
                <c:pt idx="238">
                  <c:v>47.991174162348109</c:v>
                </c:pt>
                <c:pt idx="239">
                  <c:v>49.06658948117046</c:v>
                </c:pt>
                <c:pt idx="240">
                  <c:v>33.737618691236641</c:v>
                </c:pt>
                <c:pt idx="241">
                  <c:v>48.413905991918085</c:v>
                </c:pt>
                <c:pt idx="242">
                  <c:v>25.086661586303091</c:v>
                </c:pt>
                <c:pt idx="243">
                  <c:v>39.348117302625226</c:v>
                </c:pt>
                <c:pt idx="244">
                  <c:v>37.485191649819811</c:v>
                </c:pt>
                <c:pt idx="245">
                  <c:v>38.992292618557144</c:v>
                </c:pt>
                <c:pt idx="246">
                  <c:v>48.48499101653757</c:v>
                </c:pt>
                <c:pt idx="247">
                  <c:v>42.83628403139263</c:v>
                </c:pt>
                <c:pt idx="248">
                  <c:v>44.078956567399686</c:v>
                </c:pt>
                <c:pt idx="249">
                  <c:v>36.875212572783951</c:v>
                </c:pt>
                <c:pt idx="250">
                  <c:v>36.677604419854418</c:v>
                </c:pt>
                <c:pt idx="251">
                  <c:v>20.253023788396437</c:v>
                </c:pt>
                <c:pt idx="252">
                  <c:v>47.041711247173609</c:v>
                </c:pt>
                <c:pt idx="253">
                  <c:v>47.44737272785428</c:v>
                </c:pt>
                <c:pt idx="254">
                  <c:v>37.197945641193726</c:v>
                </c:pt>
                <c:pt idx="255">
                  <c:v>14.787578234432761</c:v>
                </c:pt>
                <c:pt idx="256">
                  <c:v>37.241927192777922</c:v>
                </c:pt>
                <c:pt idx="257">
                  <c:v>40.945826222157137</c:v>
                </c:pt>
                <c:pt idx="258">
                  <c:v>29.616746352418502</c:v>
                </c:pt>
                <c:pt idx="259">
                  <c:v>47.787176061390419</c:v>
                </c:pt>
                <c:pt idx="260">
                  <c:v>46.190007003321405</c:v>
                </c:pt>
                <c:pt idx="261">
                  <c:v>46.745524469965467</c:v>
                </c:pt>
                <c:pt idx="262">
                  <c:v>48.22255072439259</c:v>
                </c:pt>
                <c:pt idx="263">
                  <c:v>46.992987742049323</c:v>
                </c:pt>
                <c:pt idx="264">
                  <c:v>45.708396489322233</c:v>
                </c:pt>
                <c:pt idx="265">
                  <c:v>32.352236607434314</c:v>
                </c:pt>
                <c:pt idx="266">
                  <c:v>18.390695987519535</c:v>
                </c:pt>
                <c:pt idx="267">
                  <c:v>35.94780615952002</c:v>
                </c:pt>
                <c:pt idx="268">
                  <c:v>35.810374270990579</c:v>
                </c:pt>
                <c:pt idx="269">
                  <c:v>17.088678715566026</c:v>
                </c:pt>
                <c:pt idx="270">
                  <c:v>19.49534469390986</c:v>
                </c:pt>
                <c:pt idx="271">
                  <c:v>23.445707404868564</c:v>
                </c:pt>
                <c:pt idx="272">
                  <c:v>25.908104940609622</c:v>
                </c:pt>
                <c:pt idx="273">
                  <c:v>37.426946468622504</c:v>
                </c:pt>
                <c:pt idx="274">
                  <c:v>40.521919035685549</c:v>
                </c:pt>
                <c:pt idx="275">
                  <c:v>36.723909216327684</c:v>
                </c:pt>
                <c:pt idx="276">
                  <c:v>43.132120094235653</c:v>
                </c:pt>
                <c:pt idx="277">
                  <c:v>44.901531930919219</c:v>
                </c:pt>
                <c:pt idx="278">
                  <c:v>12.027252535699716</c:v>
                </c:pt>
                <c:pt idx="279">
                  <c:v>32.832343836506979</c:v>
                </c:pt>
                <c:pt idx="280">
                  <c:v>15.384965043092373</c:v>
                </c:pt>
                <c:pt idx="281">
                  <c:v>40.987034019644931</c:v>
                </c:pt>
                <c:pt idx="282">
                  <c:v>34.760313928866111</c:v>
                </c:pt>
                <c:pt idx="283">
                  <c:v>23.748506228354863</c:v>
                </c:pt>
                <c:pt idx="284">
                  <c:v>28.002623636781895</c:v>
                </c:pt>
                <c:pt idx="285">
                  <c:v>24.635191325730649</c:v>
                </c:pt>
                <c:pt idx="286">
                  <c:v>17.660809713457642</c:v>
                </c:pt>
                <c:pt idx="287">
                  <c:v>40.303627946861482</c:v>
                </c:pt>
                <c:pt idx="288">
                  <c:v>34.68000384271388</c:v>
                </c:pt>
                <c:pt idx="289">
                  <c:v>19.385946564663364</c:v>
                </c:pt>
                <c:pt idx="290">
                  <c:v>37.374701363502375</c:v>
                </c:pt>
                <c:pt idx="291">
                  <c:v>17.554993688867732</c:v>
                </c:pt>
                <c:pt idx="292">
                  <c:v>7.0411298808055882</c:v>
                </c:pt>
                <c:pt idx="293">
                  <c:v>18.18394352867897</c:v>
                </c:pt>
                <c:pt idx="294">
                  <c:v>35.439482669881926</c:v>
                </c:pt>
                <c:pt idx="295">
                  <c:v>17.228517304546703</c:v>
                </c:pt>
                <c:pt idx="296">
                  <c:v>29.258915819426097</c:v>
                </c:pt>
                <c:pt idx="297">
                  <c:v>23.813779085267388</c:v>
                </c:pt>
                <c:pt idx="298">
                  <c:v>13.147850526194096</c:v>
                </c:pt>
                <c:pt idx="299">
                  <c:v>16.961064149119522</c:v>
                </c:pt>
                <c:pt idx="300">
                  <c:v>17.680231478882803</c:v>
                </c:pt>
                <c:pt idx="301">
                  <c:v>28.97689457280865</c:v>
                </c:pt>
                <c:pt idx="302">
                  <c:v>26.595265864309116</c:v>
                </c:pt>
                <c:pt idx="303">
                  <c:v>25.033772943924429</c:v>
                </c:pt>
                <c:pt idx="304">
                  <c:v>19.811904336892528</c:v>
                </c:pt>
                <c:pt idx="305">
                  <c:v>30.586813899180392</c:v>
                </c:pt>
                <c:pt idx="306">
                  <c:v>9.6712599340029524</c:v>
                </c:pt>
                <c:pt idx="307">
                  <c:v>17.344877852086562</c:v>
                </c:pt>
                <c:pt idx="308">
                  <c:v>32.438779907308671</c:v>
                </c:pt>
                <c:pt idx="309">
                  <c:v>33.787130587006558</c:v>
                </c:pt>
                <c:pt idx="310">
                  <c:v>32.334975486380984</c:v>
                </c:pt>
                <c:pt idx="311">
                  <c:v>23.958137818729547</c:v>
                </c:pt>
                <c:pt idx="312">
                  <c:v>10.694527723094929</c:v>
                </c:pt>
                <c:pt idx="313">
                  <c:v>20.06092589376221</c:v>
                </c:pt>
                <c:pt idx="314">
                  <c:v>31.649852252343731</c:v>
                </c:pt>
                <c:pt idx="315">
                  <c:v>30.909696893269661</c:v>
                </c:pt>
                <c:pt idx="316">
                  <c:v>29.931099538987606</c:v>
                </c:pt>
                <c:pt idx="317">
                  <c:v>11.336744919828689</c:v>
                </c:pt>
                <c:pt idx="318">
                  <c:v>13.007028361191699</c:v>
                </c:pt>
                <c:pt idx="319">
                  <c:v>30.487179356768639</c:v>
                </c:pt>
                <c:pt idx="320">
                  <c:v>13.704872234298346</c:v>
                </c:pt>
                <c:pt idx="321">
                  <c:v>17.473252210431362</c:v>
                </c:pt>
                <c:pt idx="322">
                  <c:v>6.8948341396398103</c:v>
                </c:pt>
                <c:pt idx="323">
                  <c:v>17.738600968124825</c:v>
                </c:pt>
                <c:pt idx="324">
                  <c:v>3.1698017113693782</c:v>
                </c:pt>
                <c:pt idx="325">
                  <c:v>8.1219237086991143</c:v>
                </c:pt>
                <c:pt idx="326">
                  <c:v>13.38780580535442</c:v>
                </c:pt>
                <c:pt idx="327">
                  <c:v>14.355206962139203</c:v>
                </c:pt>
                <c:pt idx="328">
                  <c:v>4.5755408355417551</c:v>
                </c:pt>
                <c:pt idx="329">
                  <c:v>10.652420008156357</c:v>
                </c:pt>
                <c:pt idx="330">
                  <c:v>16.567069631294245</c:v>
                </c:pt>
                <c:pt idx="331">
                  <c:v>10.284515924396979</c:v>
                </c:pt>
                <c:pt idx="332">
                  <c:v>15.300242757429922</c:v>
                </c:pt>
                <c:pt idx="333">
                  <c:v>3.9199042249285263</c:v>
                </c:pt>
                <c:pt idx="334">
                  <c:v>3.729682660318947</c:v>
                </c:pt>
                <c:pt idx="335">
                  <c:v>5.5901450760982785</c:v>
                </c:pt>
                <c:pt idx="336">
                  <c:v>10.828777915023133</c:v>
                </c:pt>
                <c:pt idx="337">
                  <c:v>17.543519070708779</c:v>
                </c:pt>
                <c:pt idx="338">
                  <c:v>27.162232526707154</c:v>
                </c:pt>
                <c:pt idx="339">
                  <c:v>12.214871716639188</c:v>
                </c:pt>
                <c:pt idx="340">
                  <c:v>22.436817059731766</c:v>
                </c:pt>
                <c:pt idx="341">
                  <c:v>4.1233455823129912</c:v>
                </c:pt>
                <c:pt idx="342">
                  <c:v>4.9825160052327071</c:v>
                </c:pt>
                <c:pt idx="343">
                  <c:v>11.518236800121064</c:v>
                </c:pt>
                <c:pt idx="344">
                  <c:v>18.122314353702745</c:v>
                </c:pt>
                <c:pt idx="345">
                  <c:v>6.9864297557298993</c:v>
                </c:pt>
                <c:pt idx="346">
                  <c:v>5.4224340795490633</c:v>
                </c:pt>
                <c:pt idx="347">
                  <c:v>17.613683127979336</c:v>
                </c:pt>
                <c:pt idx="348">
                  <c:v>5.899116294056892</c:v>
                </c:pt>
                <c:pt idx="349">
                  <c:v>5.2667258331039353</c:v>
                </c:pt>
                <c:pt idx="350">
                  <c:v>3.4750417845858079</c:v>
                </c:pt>
                <c:pt idx="351">
                  <c:v>24.601783088972216</c:v>
                </c:pt>
                <c:pt idx="352">
                  <c:v>19.814543567509247</c:v>
                </c:pt>
                <c:pt idx="353">
                  <c:v>4.3685849061859496</c:v>
                </c:pt>
                <c:pt idx="354">
                  <c:v>22.520853178611326</c:v>
                </c:pt>
                <c:pt idx="355">
                  <c:v>20.15843388261446</c:v>
                </c:pt>
                <c:pt idx="356">
                  <c:v>20.508150633628937</c:v>
                </c:pt>
                <c:pt idx="357">
                  <c:v>22.549634601266447</c:v>
                </c:pt>
                <c:pt idx="358">
                  <c:v>13.309276372986798</c:v>
                </c:pt>
                <c:pt idx="359">
                  <c:v>22.284579670131443</c:v>
                </c:pt>
                <c:pt idx="360">
                  <c:v>7.2818729690172699</c:v>
                </c:pt>
                <c:pt idx="361">
                  <c:v>24.608405553600672</c:v>
                </c:pt>
                <c:pt idx="362">
                  <c:v>10.918080115731073</c:v>
                </c:pt>
                <c:pt idx="363">
                  <c:v>14.163488467288706</c:v>
                </c:pt>
                <c:pt idx="364">
                  <c:v>13.264622749554627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805536"/>
        <c:axId val="226805928"/>
      </c:lineChart>
      <c:dateAx>
        <c:axId val="226805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6805928"/>
        <c:crosses val="autoZero"/>
        <c:auto val="1"/>
        <c:lblOffset val="100"/>
        <c:baseTimeUnit val="days"/>
        <c:majorUnit val="1"/>
        <c:majorTimeUnit val="months"/>
      </c:dateAx>
      <c:valAx>
        <c:axId val="22680592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680553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4.7275822362403797E-2</c:v>
                </c:pt>
                <c:pt idx="1">
                  <c:v>4.7294081103916863E-2</c:v>
                </c:pt>
                <c:pt idx="2">
                  <c:v>4.7312339495505396E-2</c:v>
                </c:pt>
                <c:pt idx="3">
                  <c:v>4.7330597537175945E-2</c:v>
                </c:pt>
                <c:pt idx="4">
                  <c:v>4.7348855228935394E-2</c:v>
                </c:pt>
                <c:pt idx="5">
                  <c:v>4.7367112570790182E-2</c:v>
                </c:pt>
                <c:pt idx="6">
                  <c:v>4.7385369562747304E-2</c:v>
                </c:pt>
                <c:pt idx="7">
                  <c:v>4.7403626204813309E-2</c:v>
                </c:pt>
                <c:pt idx="8">
                  <c:v>4.7421882496994971E-2</c:v>
                </c:pt>
                <c:pt idx="9">
                  <c:v>4.7440138439298951E-2</c:v>
                </c:pt>
                <c:pt idx="10">
                  <c:v>4.745839403173191E-2</c:v>
                </c:pt>
                <c:pt idx="11">
                  <c:v>4.747664927430062E-2</c:v>
                </c:pt>
                <c:pt idx="12">
                  <c:v>4.7494904167011742E-2</c:v>
                </c:pt>
                <c:pt idx="13">
                  <c:v>4.751315870987205E-2</c:v>
                </c:pt>
                <c:pt idx="14">
                  <c:v>4.7531412902888204E-2</c:v>
                </c:pt>
                <c:pt idx="15">
                  <c:v>4.7549666746066976E-2</c:v>
                </c:pt>
                <c:pt idx="16">
                  <c:v>4.7567920239414918E-2</c:v>
                </c:pt>
                <c:pt idx="17">
                  <c:v>4.7586173382938912E-2</c:v>
                </c:pt>
                <c:pt idx="18">
                  <c:v>4.7604426176645509E-2</c:v>
                </c:pt>
                <c:pt idx="19">
                  <c:v>4.7622678620541481E-2</c:v>
                </c:pt>
                <c:pt idx="20">
                  <c:v>4.7640930714633489E-2</c:v>
                </c:pt>
                <c:pt idx="21">
                  <c:v>4.7659182458928306E-2</c:v>
                </c:pt>
                <c:pt idx="22">
                  <c:v>4.7677433853432705E-2</c:v>
                </c:pt>
                <c:pt idx="23">
                  <c:v>4.7695684898153123E-2</c:v>
                </c:pt>
                <c:pt idx="24">
                  <c:v>4.7713935593096557E-2</c:v>
                </c:pt>
                <c:pt idx="25">
                  <c:v>4.7732185938269556E-2</c:v>
                </c:pt>
                <c:pt idx="26">
                  <c:v>4.7750435933678892E-2</c:v>
                </c:pt>
                <c:pt idx="27">
                  <c:v>4.7768685579331116E-2</c:v>
                </c:pt>
                <c:pt idx="28">
                  <c:v>4.7786934875233111E-2</c:v>
                </c:pt>
                <c:pt idx="29">
                  <c:v>4.7805183821391539E-2</c:v>
                </c:pt>
                <c:pt idx="30">
                  <c:v>4.7823432417813061E-2</c:v>
                </c:pt>
                <c:pt idx="31">
                  <c:v>4.7841680664504338E-2</c:v>
                </c:pt>
                <c:pt idx="32">
                  <c:v>4.7859928561472254E-2</c:v>
                </c:pt>
                <c:pt idx="33">
                  <c:v>4.7878176108723247E-2</c:v>
                </c:pt>
                <c:pt idx="34">
                  <c:v>4.7896423306264313E-2</c:v>
                </c:pt>
                <c:pt idx="35">
                  <c:v>4.791467015410189E-2</c:v>
                </c:pt>
                <c:pt idx="36">
                  <c:v>4.7932916652242863E-2</c:v>
                </c:pt>
                <c:pt idx="37">
                  <c:v>4.7951162800693781E-2</c:v>
                </c:pt>
                <c:pt idx="38">
                  <c:v>4.7969408599461416E-2</c:v>
                </c:pt>
                <c:pt idx="39">
                  <c:v>4.7987654048552542E-2</c:v>
                </c:pt>
                <c:pt idx="40">
                  <c:v>4.8005899147973818E-2</c:v>
                </c:pt>
                <c:pt idx="41">
                  <c:v>4.8024143897731908E-2</c:v>
                </c:pt>
                <c:pt idx="42">
                  <c:v>4.8042388297833472E-2</c:v>
                </c:pt>
                <c:pt idx="43">
                  <c:v>4.8060632348285282E-2</c:v>
                </c:pt>
                <c:pt idx="44">
                  <c:v>4.807887604909411E-2</c:v>
                </c:pt>
                <c:pt idx="45">
                  <c:v>4.8097119400266508E-2</c:v>
                </c:pt>
                <c:pt idx="46">
                  <c:v>4.8115362401809247E-2</c:v>
                </c:pt>
                <c:pt idx="47">
                  <c:v>4.8133605053728989E-2</c:v>
                </c:pt>
                <c:pt idx="48">
                  <c:v>4.8151847356032507E-2</c:v>
                </c:pt>
                <c:pt idx="49">
                  <c:v>4.8170089308726571E-2</c:v>
                </c:pt>
                <c:pt idx="50">
                  <c:v>4.8188330911817623E-2</c:v>
                </c:pt>
                <c:pt idx="51">
                  <c:v>4.8206572165312545E-2</c:v>
                </c:pt>
                <c:pt idx="52">
                  <c:v>4.8224813069217998E-2</c:v>
                </c:pt>
                <c:pt idx="53">
                  <c:v>4.8243053623540755E-2</c:v>
                </c:pt>
                <c:pt idx="54">
                  <c:v>4.8261293828287366E-2</c:v>
                </c:pt>
                <c:pt idx="55">
                  <c:v>4.8279533683464715E-2</c:v>
                </c:pt>
                <c:pt idx="56">
                  <c:v>4.8297773189079352E-2</c:v>
                </c:pt>
                <c:pt idx="57">
                  <c:v>4.8316012345137938E-2</c:v>
                </c:pt>
                <c:pt idx="58">
                  <c:v>4.8334251151647356E-2</c:v>
                </c:pt>
                <c:pt idx="59">
                  <c:v>4.8352489608614158E-2</c:v>
                </c:pt>
                <c:pt idx="60">
                  <c:v>4.8370727716045225E-2</c:v>
                </c:pt>
                <c:pt idx="61">
                  <c:v>4.8388965473946999E-2</c:v>
                </c:pt>
                <c:pt idx="62">
                  <c:v>4.840720288232625E-2</c:v>
                </c:pt>
                <c:pt idx="63">
                  <c:v>4.8425439941189863E-2</c:v>
                </c:pt>
                <c:pt idx="64">
                  <c:v>4.8443676650544387E-2</c:v>
                </c:pt>
                <c:pt idx="65">
                  <c:v>4.8461913010396485E-2</c:v>
                </c:pt>
                <c:pt idx="66">
                  <c:v>4.8480149020752927E-2</c:v>
                </c:pt>
                <c:pt idx="67">
                  <c:v>4.8498384681620377E-2</c:v>
                </c:pt>
                <c:pt idx="68">
                  <c:v>4.8516619993005494E-2</c:v>
                </c:pt>
                <c:pt idx="69">
                  <c:v>4.8534854954915052E-2</c:v>
                </c:pt>
                <c:pt idx="70">
                  <c:v>4.8553089567355823E-2</c:v>
                </c:pt>
                <c:pt idx="71">
                  <c:v>4.8571323830334356E-2</c:v>
                </c:pt>
                <c:pt idx="72">
                  <c:v>4.8589557743857315E-2</c:v>
                </c:pt>
                <c:pt idx="73">
                  <c:v>4.860779130793158E-2</c:v>
                </c:pt>
                <c:pt idx="74">
                  <c:v>4.8626024522563704E-2</c:v>
                </c:pt>
                <c:pt idx="75">
                  <c:v>4.8644257387760459E-2</c:v>
                </c:pt>
                <c:pt idx="76">
                  <c:v>4.8662489903528505E-2</c:v>
                </c:pt>
                <c:pt idx="77">
                  <c:v>4.8680722069874505E-2</c:v>
                </c:pt>
                <c:pt idx="78">
                  <c:v>4.869895388680523E-2</c:v>
                </c:pt>
                <c:pt idx="79">
                  <c:v>4.8717185354327341E-2</c:v>
                </c:pt>
                <c:pt idx="80">
                  <c:v>4.8735416472447612E-2</c:v>
                </c:pt>
                <c:pt idx="81">
                  <c:v>4.8753647241172593E-2</c:v>
                </c:pt>
                <c:pt idx="82">
                  <c:v>4.8771877660509055E-2</c:v>
                </c:pt>
                <c:pt idx="83">
                  <c:v>4.8790107730463661E-2</c:v>
                </c:pt>
                <c:pt idx="84">
                  <c:v>4.8808337451043182E-2</c:v>
                </c:pt>
                <c:pt idx="85">
                  <c:v>4.8826566822254169E-2</c:v>
                </c:pt>
                <c:pt idx="86">
                  <c:v>4.8844795844103506E-2</c:v>
                </c:pt>
                <c:pt idx="87">
                  <c:v>4.8863024516597853E-2</c:v>
                </c:pt>
                <c:pt idx="88">
                  <c:v>4.8881252839743761E-2</c:v>
                </c:pt>
                <c:pt idx="89">
                  <c:v>4.8899480813548002E-2</c:v>
                </c:pt>
                <c:pt idx="90">
                  <c:v>4.8917708438017349E-2</c:v>
                </c:pt>
                <c:pt idx="91">
                  <c:v>4.8935935713158352E-2</c:v>
                </c:pt>
                <c:pt idx="92">
                  <c:v>4.8954162638977783E-2</c:v>
                </c:pt>
                <c:pt idx="93">
                  <c:v>4.8972389215482415E-2</c:v>
                </c:pt>
                <c:pt idx="94">
                  <c:v>4.8990615442678798E-2</c:v>
                </c:pt>
                <c:pt idx="95">
                  <c:v>4.9008841320573815E-2</c:v>
                </c:pt>
                <c:pt idx="96">
                  <c:v>4.9027066849173906E-2</c:v>
                </c:pt>
                <c:pt idx="97">
                  <c:v>4.9045292028485954E-2</c:v>
                </c:pt>
                <c:pt idx="98">
                  <c:v>4.906351685851662E-2</c:v>
                </c:pt>
                <c:pt idx="99">
                  <c:v>4.9081741339272567E-2</c:v>
                </c:pt>
                <c:pt idx="100">
                  <c:v>4.9099965470760454E-2</c:v>
                </c:pt>
                <c:pt idx="101">
                  <c:v>4.9118189252987055E-2</c:v>
                </c:pt>
                <c:pt idx="102">
                  <c:v>4.913641268595903E-2</c:v>
                </c:pt>
                <c:pt idx="103">
                  <c:v>4.9154635769683042E-2</c:v>
                </c:pt>
                <c:pt idx="104">
                  <c:v>4.9172858504165862E-2</c:v>
                </c:pt>
                <c:pt idx="105">
                  <c:v>4.9191080889414041E-2</c:v>
                </c:pt>
                <c:pt idx="106">
                  <c:v>4.9209302925434462E-2</c:v>
                </c:pt>
                <c:pt idx="107">
                  <c:v>4.9227524612233675E-2</c:v>
                </c:pt>
                <c:pt idx="108">
                  <c:v>4.9245745949818454E-2</c:v>
                </c:pt>
                <c:pt idx="109">
                  <c:v>4.9263966938195347E-2</c:v>
                </c:pt>
                <c:pt idx="110">
                  <c:v>4.9282187577371239E-2</c:v>
                </c:pt>
                <c:pt idx="111">
                  <c:v>4.9300407867352791E-2</c:v>
                </c:pt>
                <c:pt idx="112">
                  <c:v>4.9318627808146553E-2</c:v>
                </c:pt>
                <c:pt idx="113">
                  <c:v>4.9336847399759298E-2</c:v>
                </c:pt>
                <c:pt idx="114">
                  <c:v>4.9355066642197798E-2</c:v>
                </c:pt>
                <c:pt idx="115">
                  <c:v>4.9373285535468603E-2</c:v>
                </c:pt>
                <c:pt idx="116">
                  <c:v>4.9391504079578596E-2</c:v>
                </c:pt>
                <c:pt idx="117">
                  <c:v>4.9409722274534218E-2</c:v>
                </c:pt>
                <c:pt idx="118">
                  <c:v>4.9427940120342351E-2</c:v>
                </c:pt>
                <c:pt idx="119">
                  <c:v>4.9446157617009545E-2</c:v>
                </c:pt>
                <c:pt idx="120">
                  <c:v>4.9464374764542685E-2</c:v>
                </c:pt>
                <c:pt idx="121">
                  <c:v>4.9482591562948319E-2</c:v>
                </c:pt>
                <c:pt idx="122">
                  <c:v>4.9500808012233111E-2</c:v>
                </c:pt>
                <c:pt idx="123">
                  <c:v>4.9519024112403831E-2</c:v>
                </c:pt>
                <c:pt idx="124">
                  <c:v>4.9537239863467142E-2</c:v>
                </c:pt>
                <c:pt idx="125">
                  <c:v>4.9555455265429815E-2</c:v>
                </c:pt>
                <c:pt idx="126">
                  <c:v>4.9573670318298402E-2</c:v>
                </c:pt>
                <c:pt idx="127">
                  <c:v>4.9591885022079674E-2</c:v>
                </c:pt>
                <c:pt idx="128">
                  <c:v>4.9610099376780292E-2</c:v>
                </c:pt>
                <c:pt idx="129">
                  <c:v>4.9628313382406919E-2</c:v>
                </c:pt>
                <c:pt idx="130">
                  <c:v>4.9646527038966326E-2</c:v>
                </c:pt>
                <c:pt idx="131">
                  <c:v>4.9664740346465175E-2</c:v>
                </c:pt>
                <c:pt idx="132">
                  <c:v>4.9682953304910127E-2</c:v>
                </c:pt>
                <c:pt idx="133">
                  <c:v>4.9701165914307843E-2</c:v>
                </c:pt>
                <c:pt idx="134">
                  <c:v>4.9719378174665096E-2</c:v>
                </c:pt>
                <c:pt idx="135">
                  <c:v>4.9737590085988548E-2</c:v>
                </c:pt>
                <c:pt idx="136">
                  <c:v>4.9755801648284859E-2</c:v>
                </c:pt>
                <c:pt idx="137">
                  <c:v>4.977401286156069E-2</c:v>
                </c:pt>
                <c:pt idx="138">
                  <c:v>4.9792223725822815E-2</c:v>
                </c:pt>
                <c:pt idx="139">
                  <c:v>4.9810434241077894E-2</c:v>
                </c:pt>
                <c:pt idx="140">
                  <c:v>4.982864440733259E-2</c:v>
                </c:pt>
                <c:pt idx="141">
                  <c:v>4.9846854224593562E-2</c:v>
                </c:pt>
                <c:pt idx="142">
                  <c:v>4.9865063692867584E-2</c:v>
                </c:pt>
                <c:pt idx="143">
                  <c:v>4.9883272812161317E-2</c:v>
                </c:pt>
                <c:pt idx="144">
                  <c:v>4.9901481582481422E-2</c:v>
                </c:pt>
                <c:pt idx="145">
                  <c:v>4.991969000383456E-2</c:v>
                </c:pt>
                <c:pt idx="146">
                  <c:v>4.9937898076227505E-2</c:v>
                </c:pt>
                <c:pt idx="147">
                  <c:v>4.9956105799666917E-2</c:v>
                </c:pt>
                <c:pt idx="148">
                  <c:v>4.9974313174159457E-2</c:v>
                </c:pt>
                <c:pt idx="149">
                  <c:v>4.9992520199711787E-2</c:v>
                </c:pt>
                <c:pt idx="150">
                  <c:v>5.0010726876330569E-2</c:v>
                </c:pt>
                <c:pt idx="151">
                  <c:v>5.0028933204022574E-2</c:v>
                </c:pt>
                <c:pt idx="152">
                  <c:v>5.0047139182794576E-2</c:v>
                </c:pt>
                <c:pt idx="153">
                  <c:v>5.0065344812653012E-2</c:v>
                </c:pt>
                <c:pt idx="154">
                  <c:v>5.0083550093604767E-2</c:v>
                </c:pt>
                <c:pt idx="155">
                  <c:v>5.0101755025656391E-2</c:v>
                </c:pt>
                <c:pt idx="156">
                  <c:v>5.0119959608814768E-2</c:v>
                </c:pt>
                <c:pt idx="157">
                  <c:v>5.0138163843086447E-2</c:v>
                </c:pt>
                <c:pt idx="158">
                  <c:v>5.0156367728478091E-2</c:v>
                </c:pt>
                <c:pt idx="159">
                  <c:v>5.0174571264996359E-2</c:v>
                </c:pt>
                <c:pt idx="160">
                  <c:v>5.0192774452648026E-2</c:v>
                </c:pt>
                <c:pt idx="161">
                  <c:v>5.0210977291439862E-2</c:v>
                </c:pt>
                <c:pt idx="162">
                  <c:v>5.0229179781378308E-2</c:v>
                </c:pt>
                <c:pt idx="163">
                  <c:v>5.0247381922470247E-2</c:v>
                </c:pt>
                <c:pt idx="164">
                  <c:v>5.0265583714722339E-2</c:v>
                </c:pt>
                <c:pt idx="165">
                  <c:v>5.0283785158141248E-2</c:v>
                </c:pt>
                <c:pt idx="166">
                  <c:v>5.0301986252733633E-2</c:v>
                </c:pt>
                <c:pt idx="167">
                  <c:v>5.0320186998506156E-2</c:v>
                </c:pt>
                <c:pt idx="168">
                  <c:v>5.0338387395465478E-2</c:v>
                </c:pt>
                <c:pt idx="169">
                  <c:v>5.0356587443618483E-2</c:v>
                </c:pt>
                <c:pt idx="170">
                  <c:v>5.0374787142971611E-2</c:v>
                </c:pt>
                <c:pt idx="171">
                  <c:v>5.0392986493531633E-2</c:v>
                </c:pt>
                <c:pt idx="172">
                  <c:v>5.0411185495305322E-2</c:v>
                </c:pt>
                <c:pt idx="173">
                  <c:v>5.0429384148299339E-2</c:v>
                </c:pt>
                <c:pt idx="174">
                  <c:v>5.0447582452520234E-2</c:v>
                </c:pt>
                <c:pt idx="175">
                  <c:v>5.0465780407974781E-2</c:v>
                </c:pt>
                <c:pt idx="176">
                  <c:v>5.048397801466975E-2</c:v>
                </c:pt>
                <c:pt idx="177">
                  <c:v>5.0502175272611693E-2</c:v>
                </c:pt>
                <c:pt idx="178">
                  <c:v>5.0520372181807272E-2</c:v>
                </c:pt>
                <c:pt idx="179">
                  <c:v>5.0538568742263368E-2</c:v>
                </c:pt>
                <c:pt idx="180">
                  <c:v>5.0556764953986422E-2</c:v>
                </c:pt>
                <c:pt idx="181">
                  <c:v>5.0574960816983316E-2</c:v>
                </c:pt>
                <c:pt idx="182">
                  <c:v>5.0593156331260603E-2</c:v>
                </c:pt>
                <c:pt idx="183">
                  <c:v>5.0611351496824941E-2</c:v>
                </c:pt>
                <c:pt idx="184">
                  <c:v>5.0629546313683216E-2</c:v>
                </c:pt>
                <c:pt idx="185">
                  <c:v>5.0647740781841866E-2</c:v>
                </c:pt>
                <c:pt idx="186">
                  <c:v>5.0665934901307774E-2</c:v>
                </c:pt>
                <c:pt idx="187">
                  <c:v>5.0684128672087381E-2</c:v>
                </c:pt>
                <c:pt idx="188">
                  <c:v>5.070232209418768E-2</c:v>
                </c:pt>
                <c:pt idx="189">
                  <c:v>5.072051516761511E-2</c:v>
                </c:pt>
                <c:pt idx="190">
                  <c:v>5.0738707892376445E-2</c:v>
                </c:pt>
                <c:pt idx="191">
                  <c:v>5.0756900268478455E-2</c:v>
                </c:pt>
                <c:pt idx="192">
                  <c:v>5.0775092295927693E-2</c:v>
                </c:pt>
                <c:pt idx="193">
                  <c:v>5.0793283974730818E-2</c:v>
                </c:pt>
                <c:pt idx="194">
                  <c:v>5.0811475304894604E-2</c:v>
                </c:pt>
                <c:pt idx="195">
                  <c:v>5.0829666286425601E-2</c:v>
                </c:pt>
                <c:pt idx="196">
                  <c:v>5.0847856919330692E-2</c:v>
                </c:pt>
                <c:pt idx="197">
                  <c:v>5.0866047203616427E-2</c:v>
                </c:pt>
                <c:pt idx="198">
                  <c:v>5.0884237139289579E-2</c:v>
                </c:pt>
                <c:pt idx="199">
                  <c:v>5.0902426726356698E-2</c:v>
                </c:pt>
                <c:pt idx="200">
                  <c:v>5.0920615964824556E-2</c:v>
                </c:pt>
                <c:pt idx="201">
                  <c:v>5.0938804854699704E-2</c:v>
                </c:pt>
                <c:pt idx="202">
                  <c:v>5.0956993395989025E-2</c:v>
                </c:pt>
                <c:pt idx="203">
                  <c:v>5.097518158869907E-2</c:v>
                </c:pt>
                <c:pt idx="204">
                  <c:v>5.099336943283661E-2</c:v>
                </c:pt>
                <c:pt idx="205">
                  <c:v>5.1011556928408197E-2</c:v>
                </c:pt>
                <c:pt idx="206">
                  <c:v>5.1029744075420602E-2</c:v>
                </c:pt>
                <c:pt idx="207">
                  <c:v>5.1047930873880487E-2</c:v>
                </c:pt>
                <c:pt idx="208">
                  <c:v>5.1066117323794513E-2</c:v>
                </c:pt>
                <c:pt idx="209">
                  <c:v>5.1084303425169453E-2</c:v>
                </c:pt>
                <c:pt idx="210">
                  <c:v>5.1102489178011856E-2</c:v>
                </c:pt>
                <c:pt idx="211">
                  <c:v>5.1120674582328385E-2</c:v>
                </c:pt>
                <c:pt idx="212">
                  <c:v>5.1138859638125922E-2</c:v>
                </c:pt>
                <c:pt idx="213">
                  <c:v>5.1157044345410907E-2</c:v>
                </c:pt>
                <c:pt idx="214">
                  <c:v>5.1175228704190223E-2</c:v>
                </c:pt>
                <c:pt idx="215">
                  <c:v>5.119341271447031E-2</c:v>
                </c:pt>
                <c:pt idx="216">
                  <c:v>5.1211596376258051E-2</c:v>
                </c:pt>
                <c:pt idx="217">
                  <c:v>5.1229779689560107E-2</c:v>
                </c:pt>
                <c:pt idx="218">
                  <c:v>5.1247962654383139E-2</c:v>
                </c:pt>
                <c:pt idx="219">
                  <c:v>5.1266145270733698E-2</c:v>
                </c:pt>
                <c:pt idx="220">
                  <c:v>5.1284327538618668E-2</c:v>
                </c:pt>
                <c:pt idx="221">
                  <c:v>5.1302509458044487E-2</c:v>
                </c:pt>
                <c:pt idx="222">
                  <c:v>5.132069102901804E-2</c:v>
                </c:pt>
                <c:pt idx="223">
                  <c:v>5.1338872251545986E-2</c:v>
                </c:pt>
                <c:pt idx="224">
                  <c:v>5.1357053125634877E-2</c:v>
                </c:pt>
                <c:pt idx="225">
                  <c:v>5.1375233651291485E-2</c:v>
                </c:pt>
                <c:pt idx="226">
                  <c:v>5.1393413828522472E-2</c:v>
                </c:pt>
                <c:pt idx="227">
                  <c:v>5.1411593657334498E-2</c:v>
                </c:pt>
                <c:pt idx="228">
                  <c:v>5.1429773137734336E-2</c:v>
                </c:pt>
                <c:pt idx="229">
                  <c:v>5.1447952269728425E-2</c:v>
                </c:pt>
                <c:pt idx="230">
                  <c:v>5.146613105332376E-2</c:v>
                </c:pt>
                <c:pt idx="231">
                  <c:v>5.148430948852678E-2</c:v>
                </c:pt>
                <c:pt idx="232">
                  <c:v>5.1502487575344147E-2</c:v>
                </c:pt>
                <c:pt idx="233">
                  <c:v>5.1520665313782743E-2</c:v>
                </c:pt>
                <c:pt idx="234">
                  <c:v>5.1538842703849119E-2</c:v>
                </c:pt>
                <c:pt idx="235">
                  <c:v>5.1557019745549937E-2</c:v>
                </c:pt>
                <c:pt idx="236">
                  <c:v>5.1575196438891857E-2</c:v>
                </c:pt>
                <c:pt idx="237">
                  <c:v>5.1593372783881652E-2</c:v>
                </c:pt>
                <c:pt idx="238">
                  <c:v>5.1611548780525984E-2</c:v>
                </c:pt>
                <c:pt idx="239">
                  <c:v>5.1629724428831403E-2</c:v>
                </c:pt>
                <c:pt idx="240">
                  <c:v>5.164789972880468E-2</c:v>
                </c:pt>
                <c:pt idx="241">
                  <c:v>5.1666074680452478E-2</c:v>
                </c:pt>
                <c:pt idx="242">
                  <c:v>5.1684249283781458E-2</c:v>
                </c:pt>
                <c:pt idx="243">
                  <c:v>5.1702423538798392E-2</c:v>
                </c:pt>
                <c:pt idx="244">
                  <c:v>5.1720597445509831E-2</c:v>
                </c:pt>
                <c:pt idx="245">
                  <c:v>5.1738771003922435E-2</c:v>
                </c:pt>
                <c:pt idx="246">
                  <c:v>5.1756944214042977E-2</c:v>
                </c:pt>
                <c:pt idx="247">
                  <c:v>5.1775117075878119E-2</c:v>
                </c:pt>
                <c:pt idx="248">
                  <c:v>5.1793289589434521E-2</c:v>
                </c:pt>
                <c:pt idx="249">
                  <c:v>5.1811461754718846E-2</c:v>
                </c:pt>
                <c:pt idx="250">
                  <c:v>5.1829633571737754E-2</c:v>
                </c:pt>
                <c:pt idx="251">
                  <c:v>5.1847805040497907E-2</c:v>
                </c:pt>
                <c:pt idx="252">
                  <c:v>5.1865976161006078E-2</c:v>
                </c:pt>
                <c:pt idx="253">
                  <c:v>5.1884146933268815E-2</c:v>
                </c:pt>
                <c:pt idx="254">
                  <c:v>5.1902317357292782E-2</c:v>
                </c:pt>
                <c:pt idx="255">
                  <c:v>5.1920487433084861E-2</c:v>
                </c:pt>
                <c:pt idx="256">
                  <c:v>5.1938657160651491E-2</c:v>
                </c:pt>
                <c:pt idx="257">
                  <c:v>5.1956826539999446E-2</c:v>
                </c:pt>
                <c:pt idx="258">
                  <c:v>5.1974995571135385E-2</c:v>
                </c:pt>
                <c:pt idx="259">
                  <c:v>5.1993164254066082E-2</c:v>
                </c:pt>
                <c:pt idx="260">
                  <c:v>5.2011332588797976E-2</c:v>
                </c:pt>
                <c:pt idx="261">
                  <c:v>5.202950057533795E-2</c:v>
                </c:pt>
                <c:pt idx="262">
                  <c:v>5.2047668213692555E-2</c:v>
                </c:pt>
                <c:pt idx="263">
                  <c:v>5.2065835503868563E-2</c:v>
                </c:pt>
                <c:pt idx="264">
                  <c:v>5.2084002445872635E-2</c:v>
                </c:pt>
                <c:pt idx="265">
                  <c:v>5.2102169039711321E-2</c:v>
                </c:pt>
                <c:pt idx="266">
                  <c:v>5.2120335285391506E-2</c:v>
                </c:pt>
                <c:pt idx="267">
                  <c:v>5.2138501182919628E-2</c:v>
                </c:pt>
                <c:pt idx="268">
                  <c:v>5.2156666732302459E-2</c:v>
                </c:pt>
                <c:pt idx="269">
                  <c:v>5.2174831933546773E-2</c:v>
                </c:pt>
                <c:pt idx="270">
                  <c:v>5.2192996786659118E-2</c:v>
                </c:pt>
                <c:pt idx="271">
                  <c:v>5.2211161291646158E-2</c:v>
                </c:pt>
                <c:pt idx="272">
                  <c:v>5.2229325448514663E-2</c:v>
                </c:pt>
                <c:pt idx="273">
                  <c:v>5.2247489257271185E-2</c:v>
                </c:pt>
                <c:pt idx="274">
                  <c:v>5.2265652717922384E-2</c:v>
                </c:pt>
                <c:pt idx="275">
                  <c:v>5.2283815830475144E-2</c:v>
                </c:pt>
                <c:pt idx="276">
                  <c:v>5.2301978594935905E-2</c:v>
                </c:pt>
                <c:pt idx="277">
                  <c:v>5.2320141011311549E-2</c:v>
                </c:pt>
                <c:pt idx="278">
                  <c:v>5.2338303079608517E-2</c:v>
                </c:pt>
                <c:pt idx="279">
                  <c:v>5.235646479983358E-2</c:v>
                </c:pt>
                <c:pt idx="280">
                  <c:v>5.237462617199351E-2</c:v>
                </c:pt>
                <c:pt idx="281">
                  <c:v>5.2392787196094859E-2</c:v>
                </c:pt>
                <c:pt idx="282">
                  <c:v>5.2410947872144287E-2</c:v>
                </c:pt>
                <c:pt idx="283">
                  <c:v>5.2429108200148455E-2</c:v>
                </c:pt>
                <c:pt idx="284">
                  <c:v>5.2447268180114137E-2</c:v>
                </c:pt>
                <c:pt idx="285">
                  <c:v>5.2465427812047993E-2</c:v>
                </c:pt>
                <c:pt idx="286">
                  <c:v>5.2483587095956574E-2</c:v>
                </c:pt>
                <c:pt idx="287">
                  <c:v>5.2501746031846652E-2</c:v>
                </c:pt>
                <c:pt idx="288">
                  <c:v>5.2519904619724889E-2</c:v>
                </c:pt>
                <c:pt idx="289">
                  <c:v>5.2538062859597945E-2</c:v>
                </c:pt>
                <c:pt idx="290">
                  <c:v>5.2556220751472371E-2</c:v>
                </c:pt>
                <c:pt idx="291">
                  <c:v>5.2574378295355051E-2</c:v>
                </c:pt>
                <c:pt idx="292">
                  <c:v>5.2592535491252423E-2</c:v>
                </c:pt>
                <c:pt idx="293">
                  <c:v>5.2610692339171372E-2</c:v>
                </c:pt>
                <c:pt idx="294">
                  <c:v>5.2628848839118447E-2</c:v>
                </c:pt>
                <c:pt idx="295">
                  <c:v>5.2647004991100421E-2</c:v>
                </c:pt>
                <c:pt idx="296">
                  <c:v>5.2665160795123844E-2</c:v>
                </c:pt>
                <c:pt idx="297">
                  <c:v>5.2683316251195378E-2</c:v>
                </c:pt>
                <c:pt idx="298">
                  <c:v>5.2701471359321683E-2</c:v>
                </c:pt>
                <c:pt idx="299">
                  <c:v>5.2719626119509644E-2</c:v>
                </c:pt>
                <c:pt idx="300">
                  <c:v>5.2737780531765588E-2</c:v>
                </c:pt>
                <c:pt idx="301">
                  <c:v>5.275593459609651E-2</c:v>
                </c:pt>
                <c:pt idx="302">
                  <c:v>5.2774088312508849E-2</c:v>
                </c:pt>
                <c:pt idx="303">
                  <c:v>5.2792241681009378E-2</c:v>
                </c:pt>
                <c:pt idx="304">
                  <c:v>5.2810394701604757E-2</c:v>
                </c:pt>
                <c:pt idx="305">
                  <c:v>5.2828547374301649E-2</c:v>
                </c:pt>
                <c:pt idx="306">
                  <c:v>5.2846699699106714E-2</c:v>
                </c:pt>
                <c:pt idx="307">
                  <c:v>5.2864851676026503E-2</c:v>
                </c:pt>
                <c:pt idx="308">
                  <c:v>5.2883003305067899E-2</c:v>
                </c:pt>
                <c:pt idx="309">
                  <c:v>5.2901154586237453E-2</c:v>
                </c:pt>
                <c:pt idx="310">
                  <c:v>5.2919305519541826E-2</c:v>
                </c:pt>
                <c:pt idx="311">
                  <c:v>5.293745610498779E-2</c:v>
                </c:pt>
                <c:pt idx="312">
                  <c:v>5.2955606342581785E-2</c:v>
                </c:pt>
                <c:pt idx="313">
                  <c:v>5.2973756232330693E-2</c:v>
                </c:pt>
                <c:pt idx="314">
                  <c:v>5.2991905774241066E-2</c:v>
                </c:pt>
                <c:pt idx="315">
                  <c:v>5.3010054968319675E-2</c:v>
                </c:pt>
                <c:pt idx="316">
                  <c:v>5.3028203814573072E-2</c:v>
                </c:pt>
                <c:pt idx="317">
                  <c:v>5.3046352313008027E-2</c:v>
                </c:pt>
                <c:pt idx="318">
                  <c:v>5.3064500463631092E-2</c:v>
                </c:pt>
                <c:pt idx="319">
                  <c:v>5.308264826644904E-2</c:v>
                </c:pt>
                <c:pt idx="320">
                  <c:v>5.3100795721468419E-2</c:v>
                </c:pt>
                <c:pt idx="321">
                  <c:v>5.3118942828696003E-2</c:v>
                </c:pt>
                <c:pt idx="322">
                  <c:v>5.3137089588138342E-2</c:v>
                </c:pt>
                <c:pt idx="323">
                  <c:v>5.3155235999802319E-2</c:v>
                </c:pt>
                <c:pt idx="324">
                  <c:v>5.3173382063694374E-2</c:v>
                </c:pt>
                <c:pt idx="325">
                  <c:v>5.3191527779821279E-2</c:v>
                </c:pt>
                <c:pt idx="326">
                  <c:v>5.3209673148189585E-2</c:v>
                </c:pt>
                <c:pt idx="327">
                  <c:v>5.3227818168806174E-2</c:v>
                </c:pt>
                <c:pt idx="328">
                  <c:v>5.3245962841677485E-2</c:v>
                </c:pt>
                <c:pt idx="329">
                  <c:v>5.3264107166810293E-2</c:v>
                </c:pt>
                <c:pt idx="330">
                  <c:v>5.3282251144211257E-2</c:v>
                </c:pt>
                <c:pt idx="331">
                  <c:v>5.3300394773887039E-2</c:v>
                </c:pt>
                <c:pt idx="332">
                  <c:v>5.3318538055844411E-2</c:v>
                </c:pt>
                <c:pt idx="333">
                  <c:v>5.3336680990089813E-2</c:v>
                </c:pt>
                <c:pt idx="334">
                  <c:v>5.3354823576630017E-2</c:v>
                </c:pt>
                <c:pt idx="335">
                  <c:v>5.3372965815471685E-2</c:v>
                </c:pt>
                <c:pt idx="336">
                  <c:v>5.3391107706621477E-2</c:v>
                </c:pt>
                <c:pt idx="337">
                  <c:v>5.3409249250086055E-2</c:v>
                </c:pt>
                <c:pt idx="338">
                  <c:v>5.3427390445872192E-2</c:v>
                </c:pt>
                <c:pt idx="339">
                  <c:v>5.3445531293986326E-2</c:v>
                </c:pt>
                <c:pt idx="340">
                  <c:v>5.3463671794435341E-2</c:v>
                </c:pt>
                <c:pt idx="341">
                  <c:v>5.3481811947225788E-2</c:v>
                </c:pt>
                <c:pt idx="342">
                  <c:v>5.3499951752364328E-2</c:v>
                </c:pt>
                <c:pt idx="343">
                  <c:v>5.3518091209857621E-2</c:v>
                </c:pt>
                <c:pt idx="344">
                  <c:v>5.353623031971233E-2</c:v>
                </c:pt>
                <c:pt idx="345">
                  <c:v>5.3554369081935116E-2</c:v>
                </c:pt>
                <c:pt idx="346">
                  <c:v>5.3572507496532751E-2</c:v>
                </c:pt>
                <c:pt idx="347">
                  <c:v>5.3590645563511785E-2</c:v>
                </c:pt>
                <c:pt idx="348">
                  <c:v>5.360878328287888E-2</c:v>
                </c:pt>
                <c:pt idx="349">
                  <c:v>5.3626920654640697E-2</c:v>
                </c:pt>
                <c:pt idx="350">
                  <c:v>5.3645057678804009E-2</c:v>
                </c:pt>
                <c:pt idx="351">
                  <c:v>5.3663194355375365E-2</c:v>
                </c:pt>
                <c:pt idx="352">
                  <c:v>5.3681330684361428E-2</c:v>
                </c:pt>
                <c:pt idx="353">
                  <c:v>5.3699466665768858E-2</c:v>
                </c:pt>
                <c:pt idx="354">
                  <c:v>5.3717602299604317E-2</c:v>
                </c:pt>
                <c:pt idx="355">
                  <c:v>5.3735737585874577E-2</c:v>
                </c:pt>
                <c:pt idx="356">
                  <c:v>5.3753872524586188E-2</c:v>
                </c:pt>
                <c:pt idx="357">
                  <c:v>5.3772007115745812E-2</c:v>
                </c:pt>
                <c:pt idx="358">
                  <c:v>5.3790141359360111E-2</c:v>
                </c:pt>
                <c:pt idx="359">
                  <c:v>5.3808275255435856E-2</c:v>
                </c:pt>
                <c:pt idx="360">
                  <c:v>5.3826408803979486E-2</c:v>
                </c:pt>
                <c:pt idx="361">
                  <c:v>5.3844542004997886E-2</c:v>
                </c:pt>
                <c:pt idx="362">
                  <c:v>5.3862674858497606E-2</c:v>
                </c:pt>
                <c:pt idx="363">
                  <c:v>5.3880807364485306E-2</c:v>
                </c:pt>
                <c:pt idx="364">
                  <c:v>5.3898939522967759E-2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3.5381041253689453E-2</c:v>
                </c:pt>
                <c:pt idx="1">
                  <c:v>3.5472437944734536E-2</c:v>
                </c:pt>
                <c:pt idx="2">
                  <c:v>3.5563801347121581E-2</c:v>
                </c:pt>
                <c:pt idx="3">
                  <c:v>3.5655123875321937E-2</c:v>
                </c:pt>
                <c:pt idx="4">
                  <c:v>3.574639893478402E-2</c:v>
                </c:pt>
                <c:pt idx="5">
                  <c:v>3.5837620901062364E-2</c:v>
                </c:pt>
                <c:pt idx="6">
                  <c:v>3.5928785090452747E-2</c:v>
                </c:pt>
                <c:pt idx="7">
                  <c:v>3.6019887722682338E-2</c:v>
                </c:pt>
                <c:pt idx="8">
                  <c:v>3.6110925876269372E-2</c:v>
                </c:pt>
                <c:pt idx="9">
                  <c:v>3.6201897437226023E-2</c:v>
                </c:pt>
                <c:pt idx="10">
                  <c:v>3.6292801041829845E-2</c:v>
                </c:pt>
                <c:pt idx="11">
                  <c:v>3.6383636014232897E-2</c:v>
                </c:pt>
                <c:pt idx="12">
                  <c:v>3.647440229971316E-2</c:v>
                </c:pt>
                <c:pt idx="13">
                  <c:v>3.6565100394400522E-2</c:v>
                </c:pt>
                <c:pt idx="14">
                  <c:v>3.6655731272327727E-2</c:v>
                </c:pt>
                <c:pt idx="15">
                  <c:v>3.6746296310667226E-2</c:v>
                </c:pt>
                <c:pt idx="16">
                  <c:v>3.6836797214015511E-2</c:v>
                </c:pt>
                <c:pt idx="17">
                  <c:v>3.6927235938579731E-2</c:v>
                </c:pt>
                <c:pt idx="18">
                  <c:v>3.7017614617105621E-2</c:v>
                </c:pt>
                <c:pt idx="19">
                  <c:v>3.7107935485361634E-2</c:v>
                </c:pt>
                <c:pt idx="20">
                  <c:v>3.7198200810962728E-2</c:v>
                </c:pt>
                <c:pt idx="21">
                  <c:v>3.7288412825278519E-2</c:v>
                </c:pt>
                <c:pt idx="22">
                  <c:v>3.7378573659123726E-2</c:v>
                </c:pt>
                <c:pt idx="23">
                  <c:v>3.7468685282877848E-2</c:v>
                </c:pt>
                <c:pt idx="24">
                  <c:v>3.7558749451621722E-2</c:v>
                </c:pt>
                <c:pt idx="25">
                  <c:v>3.7648767655816644E-2</c:v>
                </c:pt>
                <c:pt idx="26">
                  <c:v>3.7738741077983723E-2</c:v>
                </c:pt>
                <c:pt idx="27">
                  <c:v>3.7828670555770494E-2</c:v>
                </c:pt>
                <c:pt idx="28">
                  <c:v>3.7918556551717955E-2</c:v>
                </c:pt>
                <c:pt idx="29">
                  <c:v>3.8008399129965516E-2</c:v>
                </c:pt>
                <c:pt idx="30">
                  <c:v>3.8098197940054264E-2</c:v>
                </c:pt>
                <c:pt idx="31">
                  <c:v>3.8187952207911727E-2</c:v>
                </c:pt>
                <c:pt idx="32">
                  <c:v>3.8277660734024381E-2</c:v>
                </c:pt>
                <c:pt idx="33">
                  <c:v>3.8367321898728442E-2</c:v>
                </c:pt>
                <c:pt idx="34">
                  <c:v>3.8456933674475752E-2</c:v>
                </c:pt>
                <c:pt idx="35">
                  <c:v>3.8546493644860673E-2</c:v>
                </c:pt>
                <c:pt idx="36">
                  <c:v>3.8635999030126385E-2</c:v>
                </c:pt>
                <c:pt idx="37">
                  <c:v>3.8725446718805547E-2</c:v>
                </c:pt>
                <c:pt idx="38">
                  <c:v>3.8814833305091404E-2</c:v>
                </c:pt>
                <c:pt idx="39">
                  <c:v>3.8904155131482321E-2</c:v>
                </c:pt>
                <c:pt idx="40">
                  <c:v>3.8993408336194468E-2</c:v>
                </c:pt>
                <c:pt idx="41">
                  <c:v>3.9082588904796309E-2</c:v>
                </c:pt>
                <c:pt idx="42">
                  <c:v>3.9171692725482883E-2</c:v>
                </c:pt>
                <c:pt idx="43">
                  <c:v>3.9260715647380005E-2</c:v>
                </c:pt>
                <c:pt idx="44">
                  <c:v>3.9349653541246712E-2</c:v>
                </c:pt>
                <c:pt idx="45">
                  <c:v>3.9438502361930243E-2</c:v>
                </c:pt>
                <c:pt idx="46">
                  <c:v>3.9527258211920109E-2</c:v>
                </c:pt>
                <c:pt idx="47">
                  <c:v>3.9615917405348158E-2</c:v>
                </c:pt>
                <c:pt idx="48">
                  <c:v>3.9704476531787616E-2</c:v>
                </c:pt>
                <c:pt idx="49">
                  <c:v>3.9792932519218033E-2</c:v>
                </c:pt>
                <c:pt idx="50">
                  <c:v>3.9881282695542419E-2</c:v>
                </c:pt>
                <c:pt idx="51">
                  <c:v>3.9969524848069177E-2</c:v>
                </c:pt>
                <c:pt idx="52">
                  <c:v>4.0057657280402802E-2</c:v>
                </c:pt>
                <c:pt idx="53">
                  <c:v>4.0145678866224659E-2</c:v>
                </c:pt>
                <c:pt idx="54">
                  <c:v>4.0233589099486045E-2</c:v>
                </c:pt>
                <c:pt idx="55">
                  <c:v>4.0321388140582365E-2</c:v>
                </c:pt>
                <c:pt idx="56">
                  <c:v>4.0409076858125989E-2</c:v>
                </c:pt>
                <c:pt idx="57">
                  <c:v>4.04966568659881E-2</c:v>
                </c:pt>
                <c:pt idx="58">
                  <c:v>4.0584130555334004E-2</c:v>
                </c:pt>
                <c:pt idx="59">
                  <c:v>4.067150112143296E-2</c:v>
                </c:pt>
                <c:pt idx="60">
                  <c:v>4.0758772585080497E-2</c:v>
                </c:pt>
                <c:pt idx="61">
                  <c:v>4.0845949808528556E-2</c:v>
                </c:pt>
                <c:pt idx="62">
                  <c:v>4.0933038505875763E-2</c:v>
                </c:pt>
                <c:pt idx="63">
                  <c:v>4.10200452479259E-2</c:v>
                </c:pt>
                <c:pt idx="64">
                  <c:v>4.1106977461576953E-2</c:v>
                </c:pt>
                <c:pt idx="65">
                  <c:v>4.1193843423854619E-2</c:v>
                </c:pt>
                <c:pt idx="66">
                  <c:v>4.1280652250753058E-2</c:v>
                </c:pt>
                <c:pt idx="67">
                  <c:v>4.1367413881091386E-2</c:v>
                </c:pt>
                <c:pt idx="68">
                  <c:v>4.1454139055635469E-2</c:v>
                </c:pt>
                <c:pt idx="69">
                  <c:v>4.154083929177213E-2</c:v>
                </c:pt>
                <c:pt idx="70">
                  <c:v>4.1627526854055207E-2</c:v>
                </c:pt>
                <c:pt idx="71">
                  <c:v>4.1714214720970207E-2</c:v>
                </c:pt>
                <c:pt idx="72">
                  <c:v>4.1800916548287027E-2</c:v>
                </c:pt>
                <c:pt idx="73">
                  <c:v>4.1887646629386481E-2</c:v>
                </c:pt>
                <c:pt idx="74">
                  <c:v>4.1974419852958043E-2</c:v>
                </c:pt>
                <c:pt idx="75">
                  <c:v>4.2061251658472083E-2</c:v>
                </c:pt>
                <c:pt idx="76">
                  <c:v>4.2148157989830036E-2</c:v>
                </c:pt>
                <c:pt idx="77">
                  <c:v>4.2235155247591145E-2</c:v>
                </c:pt>
                <c:pt idx="78">
                  <c:v>4.232226024016382E-2</c:v>
                </c:pt>
                <c:pt idx="79">
                  <c:v>4.2409490134335349E-2</c:v>
                </c:pt>
                <c:pt idx="80">
                  <c:v>4.2496862405492969E-2</c:v>
                </c:pt>
                <c:pt idx="81">
                  <c:v>4.2584394787866055E-2</c:v>
                </c:pt>
                <c:pt idx="82">
                  <c:v>4.267210522509126E-2</c:v>
                </c:pt>
                <c:pt idx="83">
                  <c:v>4.2760011821370902E-2</c:v>
                </c:pt>
                <c:pt idx="84">
                  <c:v>4.2848132793461134E-2</c:v>
                </c:pt>
                <c:pt idx="85">
                  <c:v>4.2936486423690447E-2</c:v>
                </c:pt>
                <c:pt idx="86">
                  <c:v>4.3025091014170062E-2</c:v>
                </c:pt>
                <c:pt idx="87">
                  <c:v>4.3113964842319406E-2</c:v>
                </c:pt>
                <c:pt idx="88">
                  <c:v>4.32031261177898E-2</c:v>
                </c:pt>
                <c:pt idx="89">
                  <c:v>4.3292592940829447E-2</c:v>
                </c:pt>
                <c:pt idx="90">
                  <c:v>4.3382383262094336E-2</c:v>
                </c:pt>
                <c:pt idx="91">
                  <c:v>4.3472514843871407E-2</c:v>
                </c:pt>
                <c:pt idx="92">
                  <c:v>4.3563005222644627E-2</c:v>
                </c:pt>
                <c:pt idx="93">
                  <c:v>4.3653871672901016E-2</c:v>
                </c:pt>
                <c:pt idx="94">
                  <c:v>4.3745131172043053E-2</c:v>
                </c:pt>
                <c:pt idx="95">
                  <c:v>4.3836800366246542E-2</c:v>
                </c:pt>
                <c:pt idx="96">
                  <c:v>4.3928895537079841E-2</c:v>
                </c:pt>
                <c:pt idx="97">
                  <c:v>4.4021432568680775E-2</c:v>
                </c:pt>
                <c:pt idx="98">
                  <c:v>4.4114426915273446E-2</c:v>
                </c:pt>
                <c:pt idx="99">
                  <c:v>4.4207893568796772E-2</c:v>
                </c:pt>
                <c:pt idx="100">
                  <c:v>4.4301847026411961E-2</c:v>
                </c:pt>
                <c:pt idx="101">
                  <c:v>4.4396301257656791E-2</c:v>
                </c:pt>
                <c:pt idx="102">
                  <c:v>4.4491269671019323E-2</c:v>
                </c:pt>
                <c:pt idx="103">
                  <c:v>4.4586765079715221E-2</c:v>
                </c:pt>
                <c:pt idx="104">
                  <c:v>4.468279966646814E-2</c:v>
                </c:pt>
                <c:pt idx="105">
                  <c:v>4.4779384947113782E-2</c:v>
                </c:pt>
                <c:pt idx="106">
                  <c:v>4.487653173287371E-2</c:v>
                </c:pt>
                <c:pt idx="107">
                  <c:v>4.4974250091175123E-2</c:v>
                </c:pt>
                <c:pt idx="108">
                  <c:v>4.5072549304926886E-2</c:v>
                </c:pt>
                <c:pt idx="109">
                  <c:v>4.5171437830200445E-2</c:v>
                </c:pt>
                <c:pt idx="110">
                  <c:v>4.5270923252304598E-2</c:v>
                </c:pt>
                <c:pt idx="111">
                  <c:v>4.5371012240287931E-2</c:v>
                </c:pt>
                <c:pt idx="112">
                  <c:v>4.5471710499948151E-2</c:v>
                </c:pt>
                <c:pt idx="113">
                  <c:v>4.5573022725475261E-2</c:v>
                </c:pt>
                <c:pt idx="114">
                  <c:v>4.5674952549904266E-2</c:v>
                </c:pt>
                <c:pt idx="115">
                  <c:v>4.5777502494601621E-2</c:v>
                </c:pt>
                <c:pt idx="116">
                  <c:v>4.5880673918058203E-2</c:v>
                </c:pt>
                <c:pt idx="117">
                  <c:v>4.5984466964308801E-2</c:v>
                </c:pt>
                <c:pt idx="118">
                  <c:v>4.6088880511343445E-2</c:v>
                </c:pt>
                <c:pt idx="119">
                  <c:v>9.099574010168537E-3</c:v>
                </c:pt>
                <c:pt idx="120">
                  <c:v>9.2285081104938309E-3</c:v>
                </c:pt>
                <c:pt idx="121">
                  <c:v>9.3575526657547672E-3</c:v>
                </c:pt>
                <c:pt idx="122">
                  <c:v>9.4867105555013296E-3</c:v>
                </c:pt>
                <c:pt idx="123">
                  <c:v>9.6159842471193503E-3</c:v>
                </c:pt>
                <c:pt idx="124">
                  <c:v>9.7453757709854132E-3</c:v>
                </c:pt>
                <c:pt idx="125">
                  <c:v>9.8748866960197343E-3</c:v>
                </c:pt>
                <c:pt idx="126">
                  <c:v>1.0004518105824445E-2</c:v>
                </c:pt>
                <c:pt idx="127">
                  <c:v>1.0134270575605283E-2</c:v>
                </c:pt>
                <c:pt idx="128">
                  <c:v>1.0264144150082671E-2</c:v>
                </c:pt>
                <c:pt idx="129">
                  <c:v>1.0394138322605087E-2</c:v>
                </c:pt>
                <c:pt idx="130">
                  <c:v>1.0524252015682165E-2</c:v>
                </c:pt>
                <c:pt idx="131">
                  <c:v>1.0654483563157466E-2</c:v>
                </c:pt>
                <c:pt idx="132">
                  <c:v>1.0784830694241025E-2</c:v>
                </c:pt>
                <c:pt idx="133">
                  <c:v>1.091529051961955E-2</c:v>
                </c:pt>
                <c:pt idx="134">
                  <c:v>1.1045859519857619E-2</c:v>
                </c:pt>
                <c:pt idx="135">
                  <c:v>1.1176533536295614E-2</c:v>
                </c:pt>
                <c:pt idx="136">
                  <c:v>1.1307307764640855E-2</c:v>
                </c:pt>
                <c:pt idx="137">
                  <c:v>1.1438176751435686E-2</c:v>
                </c:pt>
                <c:pt idx="138">
                  <c:v>1.1569134393571481E-2</c:v>
                </c:pt>
                <c:pt idx="139">
                  <c:v>1.1700173941000471E-2</c:v>
                </c:pt>
                <c:pt idx="140">
                  <c:v>1.1831288002777272E-2</c:v>
                </c:pt>
                <c:pt idx="141">
                  <c:v>1.1962468556540496E-2</c:v>
                </c:pt>
                <c:pt idx="142">
                  <c:v>1.2093706961520841E-2</c:v>
                </c:pt>
                <c:pt idx="143">
                  <c:v>1.2224993975135965E-2</c:v>
                </c:pt>
                <c:pt idx="144">
                  <c:v>1.2356319773205482E-2</c:v>
                </c:pt>
                <c:pt idx="145">
                  <c:v>1.2487673973790372E-2</c:v>
                </c:pt>
                <c:pt idx="146">
                  <c:v>1.2619045664631099E-2</c:v>
                </c:pt>
                <c:pt idx="147">
                  <c:v>1.2750423434127835E-2</c:v>
                </c:pt>
                <c:pt idx="148">
                  <c:v>1.2881795405775201E-2</c:v>
                </c:pt>
                <c:pt idx="149">
                  <c:v>1.3013149275931618E-2</c:v>
                </c:pt>
                <c:pt idx="150">
                  <c:v>1.3144472354772655E-2</c:v>
                </c:pt>
                <c:pt idx="151">
                  <c:v>1.3275751610245854E-2</c:v>
                </c:pt>
                <c:pt idx="152">
                  <c:v>1.3406973714814708E-2</c:v>
                </c:pt>
                <c:pt idx="153">
                  <c:v>1.3538125094749982E-2</c:v>
                </c:pt>
                <c:pt idx="154">
                  <c:v>1.366919198169872E-2</c:v>
                </c:pt>
                <c:pt idx="155">
                  <c:v>1.3800160466235228E-2</c:v>
                </c:pt>
                <c:pt idx="156">
                  <c:v>1.3931016553074431E-2</c:v>
                </c:pt>
                <c:pt idx="157">
                  <c:v>1.4061746217606011E-2</c:v>
                </c:pt>
                <c:pt idx="158">
                  <c:v>1.4192335463389216E-2</c:v>
                </c:pt>
                <c:pt idx="159">
                  <c:v>1.4322770380231492E-2</c:v>
                </c:pt>
                <c:pt idx="160">
                  <c:v>1.4453037202461766E-2</c:v>
                </c:pt>
                <c:pt idx="161">
                  <c:v>1.4583122366998809E-2</c:v>
                </c:pt>
                <c:pt idx="162">
                  <c:v>1.4713012570809581E-2</c:v>
                </c:pt>
                <c:pt idx="163">
                  <c:v>1.4842694827349318E-2</c:v>
                </c:pt>
                <c:pt idx="164">
                  <c:v>1.4972156521576553E-2</c:v>
                </c:pt>
                <c:pt idx="165">
                  <c:v>1.5101385463141168E-2</c:v>
                </c:pt>
                <c:pt idx="166">
                  <c:v>1.5230369937351895E-2</c:v>
                </c:pt>
                <c:pt idx="167">
                  <c:v>1.5359098753542735E-2</c:v>
                </c:pt>
                <c:pt idx="168">
                  <c:v>1.5487561290473191E-2</c:v>
                </c:pt>
                <c:pt idx="169">
                  <c:v>1.5615747538417555E-2</c:v>
                </c:pt>
                <c:pt idx="170">
                  <c:v>1.5743648137621132E-2</c:v>
                </c:pt>
                <c:pt idx="171">
                  <c:v>1.5871254412828332E-2</c:v>
                </c:pt>
                <c:pt idx="172">
                  <c:v>1.5998558403616307E-2</c:v>
                </c:pt>
                <c:pt idx="173">
                  <c:v>1.6125552890300775E-2</c:v>
                </c:pt>
                <c:pt idx="174">
                  <c:v>1.6252231415215115E-2</c:v>
                </c:pt>
                <c:pt idx="175">
                  <c:v>1.6378588299200629E-2</c:v>
                </c:pt>
                <c:pt idx="176">
                  <c:v>1.6504618653185081E-2</c:v>
                </c:pt>
                <c:pt idx="177">
                  <c:v>1.6630318384766505E-2</c:v>
                </c:pt>
                <c:pt idx="178">
                  <c:v>1.6755684199760701E-2</c:v>
                </c:pt>
                <c:pt idx="179">
                  <c:v>1.6880713598713029E-2</c:v>
                </c:pt>
                <c:pt idx="180">
                  <c:v>1.7005404868416785E-2</c:v>
                </c:pt>
                <c:pt idx="181">
                  <c:v>1.7129757068523419E-2</c:v>
                </c:pt>
                <c:pt idx="182">
                  <c:v>1.7253770013370136E-2</c:v>
                </c:pt>
                <c:pt idx="183">
                  <c:v>1.7377444249191958E-2</c:v>
                </c:pt>
                <c:pt idx="184">
                  <c:v>1.7500781026923439E-2</c:v>
                </c:pt>
                <c:pt idx="185">
                  <c:v>1.7623782270832701E-2</c:v>
                </c:pt>
                <c:pt idx="186">
                  <c:v>1.7746450543265412E-2</c:v>
                </c:pt>
                <c:pt idx="187">
                  <c:v>1.78687890058081E-2</c:v>
                </c:pt>
                <c:pt idx="188">
                  <c:v>1.7990801377209993E-2</c:v>
                </c:pt>
                <c:pt idx="189">
                  <c:v>1.8112491888427982E-2</c:v>
                </c:pt>
                <c:pt idx="190">
                  <c:v>1.8233865235182334E-2</c:v>
                </c:pt>
                <c:pt idx="191">
                  <c:v>1.8354926528428822E-2</c:v>
                </c:pt>
                <c:pt idx="192">
                  <c:v>1.8475681243167643E-2</c:v>
                </c:pt>
                <c:pt idx="193">
                  <c:v>1.8596135166020232E-2</c:v>
                </c:pt>
                <c:pt idx="194">
                  <c:v>1.871629434201063E-2</c:v>
                </c:pt>
                <c:pt idx="195">
                  <c:v>1.8836165020990135E-2</c:v>
                </c:pt>
                <c:pt idx="196">
                  <c:v>1.8955753604140965E-2</c:v>
                </c:pt>
                <c:pt idx="197">
                  <c:v>1.9075066590987937E-2</c:v>
                </c:pt>
                <c:pt idx="198">
                  <c:v>1.9194110527335256E-2</c:v>
                </c:pt>
                <c:pt idx="199">
                  <c:v>1.9312891954530214E-2</c:v>
                </c:pt>
                <c:pt idx="200">
                  <c:v>1.9431417360435976E-2</c:v>
                </c:pt>
                <c:pt idx="201">
                  <c:v>1.9549693132471697E-2</c:v>
                </c:pt>
                <c:pt idx="202">
                  <c:v>1.9667725513051706E-2</c:v>
                </c:pt>
                <c:pt idx="203">
                  <c:v>1.9785520557724662E-2</c:v>
                </c:pt>
                <c:pt idx="204">
                  <c:v>1.99030840962806E-2</c:v>
                </c:pt>
                <c:pt idx="205">
                  <c:v>2.002042169705754E-2</c:v>
                </c:pt>
                <c:pt idx="206">
                  <c:v>2.0137538634641784E-2</c:v>
                </c:pt>
                <c:pt idx="207">
                  <c:v>2.0254439861115466E-2</c:v>
                </c:pt>
                <c:pt idx="208">
                  <c:v>2.0371129980964443E-2</c:v>
                </c:pt>
                <c:pt idx="209">
                  <c:v>2.0487613229717198E-2</c:v>
                </c:pt>
                <c:pt idx="210">
                  <c:v>2.0603893456343052E-2</c:v>
                </c:pt>
                <c:pt idx="211">
                  <c:v>2.0719974109396001E-2</c:v>
                </c:pt>
                <c:pt idx="212">
                  <c:v>2.0835858226848476E-2</c:v>
                </c:pt>
                <c:pt idx="213">
                  <c:v>2.0951548429518792E-2</c:v>
                </c:pt>
                <c:pt idx="214">
                  <c:v>2.1067046917957341E-2</c:v>
                </c:pt>
                <c:pt idx="215">
                  <c:v>2.1182355472618805E-2</c:v>
                </c:pt>
                <c:pt idx="216">
                  <c:v>2.1297475457113867E-2</c:v>
                </c:pt>
                <c:pt idx="217">
                  <c:v>2.1412407824301507E-2</c:v>
                </c:pt>
                <c:pt idx="218">
                  <c:v>2.1527153124954665E-2</c:v>
                </c:pt>
                <c:pt idx="219">
                  <c:v>2.1641711518707182E-2</c:v>
                </c:pt>
                <c:pt idx="220">
                  <c:v>2.1756082786968525E-2</c:v>
                </c:pt>
                <c:pt idx="221">
                  <c:v>2.1870266347476328E-2</c:v>
                </c:pt>
                <c:pt idx="222">
                  <c:v>2.198426127014361E-2</c:v>
                </c:pt>
                <c:pt idx="223">
                  <c:v>2.2098066293850038E-2</c:v>
                </c:pt>
                <c:pt idx="224">
                  <c:v>2.2211679843822881E-2</c:v>
                </c:pt>
                <c:pt idx="225">
                  <c:v>2.2325100049254535E-2</c:v>
                </c:pt>
                <c:pt idx="226">
                  <c:v>2.2438324760809945E-2</c:v>
                </c:pt>
                <c:pt idx="227">
                  <c:v>2.2551351567687283E-2</c:v>
                </c:pt>
                <c:pt idx="228">
                  <c:v>2.2664177813911154E-2</c:v>
                </c:pt>
                <c:pt idx="229">
                  <c:v>2.2776800613556785E-2</c:v>
                </c:pt>
                <c:pt idx="230">
                  <c:v>2.2889216864627762E-2</c:v>
                </c:pt>
                <c:pt idx="231">
                  <c:v>2.3001423261337531E-2</c:v>
                </c:pt>
                <c:pt idx="232">
                  <c:v>2.3113416304576511E-2</c:v>
                </c:pt>
                <c:pt idx="233">
                  <c:v>2.3225192310381025E-2</c:v>
                </c:pt>
                <c:pt idx="234">
                  <c:v>2.3336747416258168E-2</c:v>
                </c:pt>
                <c:pt idx="235">
                  <c:v>2.3448077585260411E-2</c:v>
                </c:pt>
                <c:pt idx="236">
                  <c:v>2.3559178607745895E-2</c:v>
                </c:pt>
                <c:pt idx="237">
                  <c:v>2.3670046100803626E-2</c:v>
                </c:pt>
                <c:pt idx="238">
                  <c:v>2.3780675505367242E-2</c:v>
                </c:pt>
                <c:pt idx="239">
                  <c:v>2.3891062081085483E-2</c:v>
                </c:pt>
                <c:pt idx="240">
                  <c:v>2.4001200899062426E-2</c:v>
                </c:pt>
                <c:pt idx="241">
                  <c:v>2.4111086832623974E-2</c:v>
                </c:pt>
                <c:pt idx="242">
                  <c:v>2.4220714546309936E-2</c:v>
                </c:pt>
                <c:pt idx="243">
                  <c:v>2.4330078483331592E-2</c:v>
                </c:pt>
                <c:pt idx="244">
                  <c:v>2.4439172851772932E-2</c:v>
                </c:pt>
                <c:pt idx="245">
                  <c:v>2.4547991609849409E-2</c:v>
                </c:pt>
                <c:pt idx="246">
                  <c:v>2.4656528450569891E-2</c:v>
                </c:pt>
                <c:pt idx="247">
                  <c:v>2.4764776786175946E-2</c:v>
                </c:pt>
                <c:pt idx="248">
                  <c:v>2.4872729732756206E-2</c:v>
                </c:pt>
                <c:pt idx="249">
                  <c:v>2.4980380095453454E-2</c:v>
                </c:pt>
                <c:pt idx="250">
                  <c:v>2.5087720354695777E-2</c:v>
                </c:pt>
                <c:pt idx="251">
                  <c:v>2.51947426538928E-2</c:v>
                </c:pt>
                <c:pt idx="252">
                  <c:v>2.5301438789041241E-2</c:v>
                </c:pt>
                <c:pt idx="253">
                  <c:v>2.5407800200682146E-2</c:v>
                </c:pt>
                <c:pt idx="254">
                  <c:v>2.5513817968644537E-2</c:v>
                </c:pt>
                <c:pt idx="255">
                  <c:v>2.5619482809996361E-2</c:v>
                </c:pt>
                <c:pt idx="256">
                  <c:v>2.5724785080604658E-2</c:v>
                </c:pt>
                <c:pt idx="257">
                  <c:v>2.5829714780681468E-2</c:v>
                </c:pt>
                <c:pt idx="258">
                  <c:v>2.5934261564662092E-2</c:v>
                </c:pt>
                <c:pt idx="259">
                  <c:v>2.6038414755725867E-2</c:v>
                </c:pt>
                <c:pt idx="260">
                  <c:v>2.6142163365229416E-2</c:v>
                </c:pt>
                <c:pt idx="261">
                  <c:v>2.6245496117276657E-2</c:v>
                </c:pt>
                <c:pt idx="262">
                  <c:v>2.6348401478600063E-2</c:v>
                </c:pt>
                <c:pt idx="263">
                  <c:v>2.6450867693874412E-2</c:v>
                </c:pt>
                <c:pt idx="264">
                  <c:v>2.6552882826527471E-2</c:v>
                </c:pt>
                <c:pt idx="265">
                  <c:v>2.6654434805052314E-2</c:v>
                </c:pt>
                <c:pt idx="266">
                  <c:v>2.6755511474764931E-2</c:v>
                </c:pt>
                <c:pt idx="267">
                  <c:v>2.6856100654886833E-2</c:v>
                </c:pt>
                <c:pt idx="268">
                  <c:v>2.6956190200769233E-2</c:v>
                </c:pt>
                <c:pt idx="269">
                  <c:v>2.7055768071010854E-2</c:v>
                </c:pt>
                <c:pt idx="270">
                  <c:v>2.7154822399157546E-2</c:v>
                </c:pt>
                <c:pt idx="271">
                  <c:v>2.725334156961012E-2</c:v>
                </c:pt>
                <c:pt idx="272">
                  <c:v>2.7351314297305973E-2</c:v>
                </c:pt>
                <c:pt idx="273">
                  <c:v>2.7448729710681973E-2</c:v>
                </c:pt>
                <c:pt idx="274">
                  <c:v>2.7545577437372244E-2</c:v>
                </c:pt>
                <c:pt idx="275">
                  <c:v>2.7641847692043156E-2</c:v>
                </c:pt>
                <c:pt idx="276">
                  <c:v>2.773753136572198E-2</c:v>
                </c:pt>
                <c:pt idx="277">
                  <c:v>2.7832620115934965E-2</c:v>
                </c:pt>
                <c:pt idx="278">
                  <c:v>2.7927106456935049E-2</c:v>
                </c:pt>
                <c:pt idx="279">
                  <c:v>2.8020983849270344E-2</c:v>
                </c:pt>
                <c:pt idx="280">
                  <c:v>2.811424678792239E-2</c:v>
                </c:pt>
                <c:pt idx="281">
                  <c:v>2.820689088822724E-2</c:v>
                </c:pt>
                <c:pt idx="282">
                  <c:v>2.8298912968784614E-2</c:v>
                </c:pt>
                <c:pt idx="283">
                  <c:v>2.8390311130559256E-2</c:v>
                </c:pt>
                <c:pt idx="284">
                  <c:v>2.8481084831386169E-2</c:v>
                </c:pt>
                <c:pt idx="285">
                  <c:v>2.8571234955105544E-2</c:v>
                </c:pt>
                <c:pt idx="286">
                  <c:v>2.8660763874576261E-2</c:v>
                </c:pt>
                <c:pt idx="287">
                  <c:v>2.8749675507846708E-2</c:v>
                </c:pt>
                <c:pt idx="288">
                  <c:v>2.8837975366799676E-2</c:v>
                </c:pt>
                <c:pt idx="289">
                  <c:v>2.8925670597633058E-2</c:v>
                </c:pt>
                <c:pt idx="290">
                  <c:v>2.9012770012590412E-2</c:v>
                </c:pt>
                <c:pt idx="291">
                  <c:v>2.9099284112413915E-2</c:v>
                </c:pt>
                <c:pt idx="292">
                  <c:v>2.9185225099057546E-2</c:v>
                </c:pt>
                <c:pt idx="293">
                  <c:v>2.9270606878268563E-2</c:v>
                </c:pt>
                <c:pt idx="294">
                  <c:v>2.9355445051721517E-2</c:v>
                </c:pt>
                <c:pt idx="295">
                  <c:v>2.9439756898468429E-2</c:v>
                </c:pt>
                <c:pt idx="296">
                  <c:v>2.9523561345553666E-2</c:v>
                </c:pt>
                <c:pt idx="297">
                  <c:v>2.9606878927727526E-2</c:v>
                </c:pt>
                <c:pt idx="298">
                  <c:v>2.9689731736283011E-2</c:v>
                </c:pt>
                <c:pt idx="299">
                  <c:v>2.9772143357129573E-2</c:v>
                </c:pt>
                <c:pt idx="300">
                  <c:v>2.9854138798309199E-2</c:v>
                </c:pt>
                <c:pt idx="301">
                  <c:v>2.9935744407250754E-2</c:v>
                </c:pt>
                <c:pt idx="302">
                  <c:v>3.0016987778148034E-2</c:v>
                </c:pt>
                <c:pt idx="303">
                  <c:v>3.0097897649934351E-2</c:v>
                </c:pt>
                <c:pt idx="304">
                  <c:v>3.0178503795411583E-2</c:v>
                </c:pt>
                <c:pt idx="305">
                  <c:v>3.02588369021719E-2</c:v>
                </c:pt>
                <c:pt idx="306">
                  <c:v>3.0338928446027511E-2</c:v>
                </c:pt>
                <c:pt idx="307">
                  <c:v>3.0418810557734575E-2</c:v>
                </c:pt>
                <c:pt idx="308">
                  <c:v>3.0498515883862865E-2</c:v>
                </c:pt>
                <c:pt idx="309">
                  <c:v>3.0578077442721216E-2</c:v>
                </c:pt>
                <c:pt idx="310">
                  <c:v>3.0657528476300117E-2</c:v>
                </c:pt>
                <c:pt idx="311">
                  <c:v>3.0736902299236517E-2</c:v>
                </c:pt>
                <c:pt idx="312">
                  <c:v>3.0816232145840713E-2</c:v>
                </c:pt>
                <c:pt idx="313">
                  <c:v>3.0895551016252219E-2</c:v>
                </c:pt>
                <c:pt idx="314">
                  <c:v>3.0974891522808468E-2</c:v>
                </c:pt>
                <c:pt idx="315">
                  <c:v>3.105428573771879E-2</c:v>
                </c:pt>
                <c:pt idx="316">
                  <c:v>3.113376504313509E-2</c:v>
                </c:pt>
                <c:pt idx="317">
                  <c:v>3.1213359984699367E-2</c:v>
                </c:pt>
                <c:pt idx="318">
                  <c:v>3.1293100129629006E-2</c:v>
                </c:pt>
                <c:pt idx="319">
                  <c:v>3.1373013930370772E-2</c:v>
                </c:pt>
                <c:pt idx="320">
                  <c:v>3.1453128594816158E-2</c:v>
                </c:pt>
                <c:pt idx="321">
                  <c:v>3.1533469964023661E-2</c:v>
                </c:pt>
                <c:pt idx="322">
                  <c:v>3.1614062398337472E-2</c:v>
                </c:pt>
                <c:pt idx="323">
                  <c:v>3.169492867272871E-2</c:v>
                </c:pt>
                <c:pt idx="324">
                  <c:v>3.1776089882114049E-2</c:v>
                </c:pt>
                <c:pt idx="325">
                  <c:v>3.1857565357328976E-2</c:v>
                </c:pt>
                <c:pt idx="326">
                  <c:v>3.1939372592348574E-2</c:v>
                </c:pt>
                <c:pt idx="327">
                  <c:v>3.2021527183259742E-2</c:v>
                </c:pt>
                <c:pt idx="328">
                  <c:v>3.2104042779394625E-2</c:v>
                </c:pt>
                <c:pt idx="329">
                  <c:v>3.2186931046937491E-2</c:v>
                </c:pt>
                <c:pt idx="330">
                  <c:v>3.2270201645216837E-2</c:v>
                </c:pt>
                <c:pt idx="331">
                  <c:v>3.2353862215792152E-2</c:v>
                </c:pt>
                <c:pt idx="332">
                  <c:v>3.2437918384341298E-2</c:v>
                </c:pt>
                <c:pt idx="333">
                  <c:v>3.2522373775251287E-2</c:v>
                </c:pt>
                <c:pt idx="334">
                  <c:v>3.2607230038712451E-2</c:v>
                </c:pt>
                <c:pt idx="335">
                  <c:v>3.2692486890015672E-2</c:v>
                </c:pt>
                <c:pt idx="336">
                  <c:v>3.2778142160654229E-2</c:v>
                </c:pt>
                <c:pt idx="337">
                  <c:v>3.2864191860737829E-2</c:v>
                </c:pt>
                <c:pt idx="338">
                  <c:v>3.2950630252136411E-2</c:v>
                </c:pt>
                <c:pt idx="339">
                  <c:v>3.303744993168755E-2</c:v>
                </c:pt>
                <c:pt idx="340">
                  <c:v>3.3124641923722505E-2</c:v>
                </c:pt>
                <c:pt idx="341">
                  <c:v>3.3212195781095084E-2</c:v>
                </c:pt>
                <c:pt idx="342">
                  <c:v>3.33000996938334E-2</c:v>
                </c:pt>
                <c:pt idx="343">
                  <c:v>3.3388340604479004E-2</c:v>
                </c:pt>
                <c:pt idx="344">
                  <c:v>3.3476904329130294E-2</c:v>
                </c:pt>
                <c:pt idx="345">
                  <c:v>3.356577568316943E-2</c:v>
                </c:pt>
                <c:pt idx="346">
                  <c:v>3.3654938610622277E-2</c:v>
                </c:pt>
                <c:pt idx="347">
                  <c:v>3.3744376316082104E-2</c:v>
                </c:pt>
                <c:pt idx="348">
                  <c:v>3.3834071398117657E-2</c:v>
                </c:pt>
                <c:pt idx="349">
                  <c:v>3.3924005983086189E-2</c:v>
                </c:pt>
                <c:pt idx="350">
                  <c:v>3.4014161858281849E-2</c:v>
                </c:pt>
                <c:pt idx="351">
                  <c:v>3.4104520603368993E-2</c:v>
                </c:pt>
                <c:pt idx="352">
                  <c:v>3.4195063719078093E-2</c:v>
                </c:pt>
                <c:pt idx="353">
                  <c:v>3.4285772752180241E-2</c:v>
                </c:pt>
                <c:pt idx="354">
                  <c:v>3.4376629415801579E-2</c:v>
                </c:pt>
                <c:pt idx="355">
                  <c:v>3.4467615704193551E-2</c:v>
                </c:pt>
                <c:pt idx="356">
                  <c:v>3.4558714001136775E-2</c:v>
                </c:pt>
                <c:pt idx="357">
                  <c:v>3.4649907181224654E-2</c:v>
                </c:pt>
                <c:pt idx="358">
                  <c:v>3.4741178703348419E-2</c:v>
                </c:pt>
                <c:pt idx="359">
                  <c:v>3.4832512695784627E-2</c:v>
                </c:pt>
                <c:pt idx="360">
                  <c:v>3.492389403237256E-2</c:v>
                </c:pt>
                <c:pt idx="361">
                  <c:v>3.5015308399356612E-2</c:v>
                </c:pt>
                <c:pt idx="362">
                  <c:v>3.5106742352561157E-2</c:v>
                </c:pt>
                <c:pt idx="363">
                  <c:v>3.5198183364659512E-2</c:v>
                </c:pt>
                <c:pt idx="364">
                  <c:v>3.5289619862392631E-2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1.7184566066312801E-3</c:v>
                </c:pt>
                <c:pt idx="1">
                  <c:v>1.6872551042690987E-3</c:v>
                </c:pt>
                <c:pt idx="2">
                  <c:v>1.6526866758345008E-3</c:v>
                </c:pt>
                <c:pt idx="3">
                  <c:v>1.6148421814777343E-3</c:v>
                </c:pt>
                <c:pt idx="4">
                  <c:v>1.5738168830987354E-3</c:v>
                </c:pt>
                <c:pt idx="5">
                  <c:v>1.5297098594967602E-3</c:v>
                </c:pt>
                <c:pt idx="6">
                  <c:v>1.4826234081165334E-3</c:v>
                </c:pt>
                <c:pt idx="7">
                  <c:v>1.4326624401965653E-3</c:v>
                </c:pt>
                <c:pt idx="8">
                  <c:v>1.3798146119120191E-3</c:v>
                </c:pt>
                <c:pt idx="9">
                  <c:v>1.3233519904165955E-3</c:v>
                </c:pt>
                <c:pt idx="10">
                  <c:v>1.2644800222519226E-3</c:v>
                </c:pt>
                <c:pt idx="11">
                  <c:v>1.2033593516253482E-3</c:v>
                </c:pt>
                <c:pt idx="12">
                  <c:v>1.1401440900407418E-3</c:v>
                </c:pt>
                <c:pt idx="13">
                  <c:v>1.0749808326676149E-3</c:v>
                </c:pt>
                <c:pt idx="14">
                  <c:v>1.0080078520920733E-3</c:v>
                </c:pt>
                <c:pt idx="15">
                  <c:v>9.4089345949806692E-4</c:v>
                </c:pt>
                <c:pt idx="16">
                  <c:v>8.7562674511103234E-4</c:v>
                </c:pt>
                <c:pt idx="17">
                  <c:v>8.1222020224582848E-4</c:v>
                </c:pt>
                <c:pt idx="18">
                  <c:v>7.5067692912956379E-4</c:v>
                </c:pt>
                <c:pt idx="19">
                  <c:v>6.9099537000100197E-4</c:v>
                </c:pt>
                <c:pt idx="20">
                  <c:v>6.3316663788587683E-4</c:v>
                </c:pt>
                <c:pt idx="21">
                  <c:v>5.7718309427772071E-4</c:v>
                </c:pt>
                <c:pt idx="22">
                  <c:v>5.2294059134072601E-4</c:v>
                </c:pt>
                <c:pt idx="23">
                  <c:v>4.7194496267291916E-4</c:v>
                </c:pt>
                <c:pt idx="24">
                  <c:v>4.248126841589593E-4</c:v>
                </c:pt>
                <c:pt idx="25">
                  <c:v>3.8147078195838288E-4</c:v>
                </c:pt>
                <c:pt idx="26">
                  <c:v>3.418401194892136E-4</c:v>
                </c:pt>
                <c:pt idx="27">
                  <c:v>3.0583681610995921E-4</c:v>
                </c:pt>
                <c:pt idx="28">
                  <c:v>2.7337355353494302E-4</c:v>
                </c:pt>
                <c:pt idx="29">
                  <c:v>2.4511107468800616E-4</c:v>
                </c:pt>
                <c:pt idx="30">
                  <c:v>2.1960798783066492E-4</c:v>
                </c:pt>
                <c:pt idx="31">
                  <c:v>1.9679137004311077E-4</c:v>
                </c:pt>
                <c:pt idx="32">
                  <c:v>1.7658836004959952E-4</c:v>
                </c:pt>
                <c:pt idx="33">
                  <c:v>1.5892681325275652E-4</c:v>
                </c:pt>
                <c:pt idx="34">
                  <c:v>1.4373587929439007E-4</c:v>
                </c:pt>
                <c:pt idx="35">
                  <c:v>1.3094650789045016E-4</c:v>
                </c:pt>
                <c:pt idx="36">
                  <c:v>1.2048096033261458E-4</c:v>
                </c:pt>
                <c:pt idx="37">
                  <c:v>1.1239304950650273E-4</c:v>
                </c:pt>
                <c:pt idx="38">
                  <c:v>1.0525998586876837E-4</c:v>
                </c:pt>
                <c:pt idx="39">
                  <c:v>9.9058384316616318E-5</c:v>
                </c:pt>
                <c:pt idx="40">
                  <c:v>9.3765061199229977E-5</c:v>
                </c:pt>
                <c:pt idx="41">
                  <c:v>8.9357181519769178E-5</c:v>
                </c:pt>
                <c:pt idx="42">
                  <c:v>8.5812389387566961E-5</c:v>
                </c:pt>
                <c:pt idx="43">
                  <c:v>8.2996245317765508E-5</c:v>
                </c:pt>
                <c:pt idx="44">
                  <c:v>8.0238537408888562E-5</c:v>
                </c:pt>
                <c:pt idx="45">
                  <c:v>7.7538660529007862E-5</c:v>
                </c:pt>
                <c:pt idx="46">
                  <c:v>7.4895898201981793E-5</c:v>
                </c:pt>
                <c:pt idx="47">
                  <c:v>7.2309437527950883E-5</c:v>
                </c:pt>
                <c:pt idx="48">
                  <c:v>6.9778382679252309E-5</c:v>
                </c:pt>
                <c:pt idx="49">
                  <c:v>6.7301767003481681E-5</c:v>
                </c:pt>
                <c:pt idx="50">
                  <c:v>6.48765487466598E-5</c:v>
                </c:pt>
                <c:pt idx="51">
                  <c:v>6.2576654031619802E-5</c:v>
                </c:pt>
                <c:pt idx="52">
                  <c:v>6.0287257971889511E-5</c:v>
                </c:pt>
                <c:pt idx="53">
                  <c:v>5.8007286004206377E-5</c:v>
                </c:pt>
                <c:pt idx="54">
                  <c:v>5.5736054965933101E-5</c:v>
                </c:pt>
                <c:pt idx="55">
                  <c:v>5.3472946675847758E-5</c:v>
                </c:pt>
                <c:pt idx="56">
                  <c:v>5.1217402890158058E-5</c:v>
                </c:pt>
                <c:pt idx="57">
                  <c:v>4.9012445304925933E-5</c:v>
                </c:pt>
                <c:pt idx="58">
                  <c:v>4.6956745834810533E-5</c:v>
                </c:pt>
                <c:pt idx="59">
                  <c:v>4.5046915247331667E-5</c:v>
                </c:pt>
                <c:pt idx="60">
                  <c:v>4.3279713840344112E-5</c:v>
                </c:pt>
                <c:pt idx="61">
                  <c:v>4.1652041348614284E-5</c:v>
                </c:pt>
                <c:pt idx="62">
                  <c:v>4.0160928017582615E-5</c:v>
                </c:pt>
                <c:pt idx="63">
                  <c:v>3.8803526800755485E-5</c:v>
                </c:pt>
                <c:pt idx="64">
                  <c:v>3.7576425437753949E-5</c:v>
                </c:pt>
                <c:pt idx="65">
                  <c:v>3.6424161002044991E-5</c:v>
                </c:pt>
                <c:pt idx="66">
                  <c:v>3.5276319549838073E-5</c:v>
                </c:pt>
                <c:pt idx="67">
                  <c:v>3.4133358341045002E-5</c:v>
                </c:pt>
                <c:pt idx="68">
                  <c:v>3.2995674749824345E-5</c:v>
                </c:pt>
                <c:pt idx="69">
                  <c:v>3.1863606786875692E-5</c:v>
                </c:pt>
                <c:pt idx="70">
                  <c:v>3.0737433676396566E-5</c:v>
                </c:pt>
                <c:pt idx="71">
                  <c:v>2.9644601530989207E-5</c:v>
                </c:pt>
                <c:pt idx="72">
                  <c:v>2.8545071765088631E-5</c:v>
                </c:pt>
                <c:pt idx="73">
                  <c:v>2.7439088886866837E-5</c:v>
                </c:pt>
                <c:pt idx="74">
                  <c:v>2.6326821185373707E-5</c:v>
                </c:pt>
                <c:pt idx="75">
                  <c:v>2.520835963916239E-5</c:v>
                </c:pt>
                <c:pt idx="76">
                  <c:v>2.4083716865758472E-5</c:v>
                </c:pt>
                <c:pt idx="77">
                  <c:v>2.2952826093633891E-5</c:v>
                </c:pt>
                <c:pt idx="78">
                  <c:v>2.1814343827119186E-5</c:v>
                </c:pt>
                <c:pt idx="79">
                  <c:v>2.0685576608430476E-5</c:v>
                </c:pt>
                <c:pt idx="80">
                  <c:v>1.9614539624124755E-5</c:v>
                </c:pt>
                <c:pt idx="81">
                  <c:v>1.860035944150395E-5</c:v>
                </c:pt>
                <c:pt idx="82">
                  <c:v>1.7642141932965101E-5</c:v>
                </c:pt>
                <c:pt idx="83">
                  <c:v>1.6738982542473958E-5</c:v>
                </c:pt>
                <c:pt idx="84">
                  <c:v>1.5889976093020118E-5</c:v>
                </c:pt>
                <c:pt idx="85">
                  <c:v>1.5082593947378673E-5</c:v>
                </c:pt>
                <c:pt idx="86">
                  <c:v>1.4290731866314355E-5</c:v>
                </c:pt>
                <c:pt idx="87">
                  <c:v>1.3513849093333881E-5</c:v>
                </c:pt>
                <c:pt idx="88">
                  <c:v>1.2751366923757E-5</c:v>
                </c:pt>
                <c:pt idx="89">
                  <c:v>0</c:v>
                </c:pt>
                <c:pt idx="90">
                  <c:v>2.394705266117551E-9</c:v>
                </c:pt>
                <c:pt idx="91">
                  <c:v>4.5724392559161775E-9</c:v>
                </c:pt>
                <c:pt idx="92">
                  <c:v>6.5282143773408598E-9</c:v>
                </c:pt>
                <c:pt idx="93">
                  <c:v>8.2675016855821542E-9</c:v>
                </c:pt>
                <c:pt idx="94">
                  <c:v>9.7675503771390613E-9</c:v>
                </c:pt>
                <c:pt idx="95">
                  <c:v>1.1014149524945711E-8</c:v>
                </c:pt>
                <c:pt idx="96">
                  <c:v>1.199185499567737E-8</c:v>
                </c:pt>
                <c:pt idx="97">
                  <c:v>1.2683915112305833E-8</c:v>
                </c:pt>
                <c:pt idx="98">
                  <c:v>1.3072193132297791E-8</c:v>
                </c:pt>
                <c:pt idx="99">
                  <c:v>1.3201299327289108E-8</c:v>
                </c:pt>
                <c:pt idx="100">
                  <c:v>1.3113068781060173E-8</c:v>
                </c:pt>
                <c:pt idx="101">
                  <c:v>1.282365331847117E-8</c:v>
                </c:pt>
                <c:pt idx="102">
                  <c:v>1.2350688201205049E-8</c:v>
                </c:pt>
                <c:pt idx="103">
                  <c:v>1.1713474823987165E-8</c:v>
                </c:pt>
                <c:pt idx="104">
                  <c:v>1.0933176510095261E-8</c:v>
                </c:pt>
                <c:pt idx="105">
                  <c:v>1.003302785215328E-8</c:v>
                </c:pt>
                <c:pt idx="106">
                  <c:v>9.0387706804419931E-9</c:v>
                </c:pt>
                <c:pt idx="107">
                  <c:v>8.0443376666587525E-9</c:v>
                </c:pt>
                <c:pt idx="108">
                  <c:v>7.0231005351209018E-9</c:v>
                </c:pt>
                <c:pt idx="109">
                  <c:v>6.009027452172225E-9</c:v>
                </c:pt>
                <c:pt idx="110">
                  <c:v>5.0394818488238487E-9</c:v>
                </c:pt>
                <c:pt idx="111">
                  <c:v>4.1555009668639047E-9</c:v>
                </c:pt>
                <c:pt idx="112">
                  <c:v>3.4021018545396072E-9</c:v>
                </c:pt>
                <c:pt idx="113">
                  <c:v>2.8286247586042798E-9</c:v>
                </c:pt>
                <c:pt idx="114">
                  <c:v>2.2643634825425572E-9</c:v>
                </c:pt>
                <c:pt idx="115">
                  <c:v>1.7239115826943904E-9</c:v>
                </c:pt>
                <c:pt idx="116">
                  <c:v>1.2233516814651341E-9</c:v>
                </c:pt>
                <c:pt idx="117">
                  <c:v>7.8036595202552752E-10</c:v>
                </c:pt>
                <c:pt idx="118">
                  <c:v>4.143472844206558E-10</c:v>
                </c:pt>
                <c:pt idx="119">
                  <c:v>1.4651014571792455E-10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1.2222808551248918E-20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1.2665693720788202E-20</c:v>
                </c:pt>
                <c:pt idx="132">
                  <c:v>1.2782005825439509E-20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-1.3392794902799644E-20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-1.3910798768833795E-20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1.4579306235209561E-20</c:v>
                </c:pt>
                <c:pt idx="147">
                  <c:v>-1.4714150153140091E-20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1.7553004544543876E-20</c:v>
                </c:pt>
                <c:pt idx="171">
                  <c:v>1.7653110497562951E-20</c:v>
                </c:pt>
                <c:pt idx="172">
                  <c:v>0</c:v>
                </c:pt>
                <c:pt idx="173">
                  <c:v>-1.7845805228770732E-20</c:v>
                </c:pt>
                <c:pt idx="174">
                  <c:v>1.7938377904598949E-20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1.953612006557277E-20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-2.0037036623249356E-20</c:v>
                </c:pt>
                <c:pt idx="213">
                  <c:v>0</c:v>
                </c:pt>
                <c:pt idx="214">
                  <c:v>2.0110447724120251E-20</c:v>
                </c:pt>
                <c:pt idx="215">
                  <c:v>0</c:v>
                </c:pt>
                <c:pt idx="216">
                  <c:v>0</c:v>
                </c:pt>
                <c:pt idx="217">
                  <c:v>2.0222169659332926E-20</c:v>
                </c:pt>
                <c:pt idx="218">
                  <c:v>-2.0260065904759956E-20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-2.0414829016633972E-20</c:v>
                </c:pt>
                <c:pt idx="223">
                  <c:v>0</c:v>
                </c:pt>
                <c:pt idx="224">
                  <c:v>0</c:v>
                </c:pt>
                <c:pt idx="225">
                  <c:v>2.1164697781615866E-9</c:v>
                </c:pt>
                <c:pt idx="226">
                  <c:v>6.3792391029167047E-9</c:v>
                </c:pt>
                <c:pt idx="227">
                  <c:v>1.2817135676302424E-8</c:v>
                </c:pt>
                <c:pt idx="228">
                  <c:v>2.1457973560084149E-8</c:v>
                </c:pt>
                <c:pt idx="229">
                  <c:v>3.2328535273374893E-8</c:v>
                </c:pt>
                <c:pt idx="230">
                  <c:v>4.5454547793710017E-8</c:v>
                </c:pt>
                <c:pt idx="231">
                  <c:v>6.086065266156697E-8</c:v>
                </c:pt>
                <c:pt idx="232">
                  <c:v>7.8569435408778971E-8</c:v>
                </c:pt>
                <c:pt idx="233">
                  <c:v>1.0316814145551186E-7</c:v>
                </c:pt>
                <c:pt idx="234">
                  <c:v>1.3473076912520637E-7</c:v>
                </c:pt>
                <c:pt idx="235">
                  <c:v>1.7332860294731648E-7</c:v>
                </c:pt>
                <c:pt idx="236">
                  <c:v>2.1903083535755075E-7</c:v>
                </c:pt>
                <c:pt idx="237">
                  <c:v>2.7190499673796296E-7</c:v>
                </c:pt>
                <c:pt idx="238">
                  <c:v>3.3201761456243661E-7</c:v>
                </c:pt>
                <c:pt idx="239">
                  <c:v>4.0173750040241385E-7</c:v>
                </c:pt>
                <c:pt idx="240">
                  <c:v>4.7890733147824242E-7</c:v>
                </c:pt>
                <c:pt idx="241">
                  <c:v>5.6359468221104278E-7</c:v>
                </c:pt>
                <c:pt idx="242">
                  <c:v>6.5586863268390316E-7</c:v>
                </c:pt>
                <c:pt idx="243">
                  <c:v>7.5580040064927002E-7</c:v>
                </c:pt>
                <c:pt idx="244">
                  <c:v>8.6346398121394958E-7</c:v>
                </c:pt>
                <c:pt idx="245">
                  <c:v>9.7893679484425544E-7</c:v>
                </c:pt>
                <c:pt idx="246">
                  <c:v>1.1022638781918909E-6</c:v>
                </c:pt>
                <c:pt idx="247">
                  <c:v>1.2308556967544689E-6</c:v>
                </c:pt>
                <c:pt idx="248">
                  <c:v>1.3599384069129987E-6</c:v>
                </c:pt>
                <c:pt idx="249">
                  <c:v>1.489502607580327E-6</c:v>
                </c:pt>
                <c:pt idx="250">
                  <c:v>1.6195416463506566E-6</c:v>
                </c:pt>
                <c:pt idx="251">
                  <c:v>1.7500515870964108E-6</c:v>
                </c:pt>
                <c:pt idx="252">
                  <c:v>1.8810311787594185E-6</c:v>
                </c:pt>
                <c:pt idx="253">
                  <c:v>2.0167610974754393E-6</c:v>
                </c:pt>
                <c:pt idx="254">
                  <c:v>2.1548679756754532E-6</c:v>
                </c:pt>
                <c:pt idx="255">
                  <c:v>2.2953751572868008E-6</c:v>
                </c:pt>
                <c:pt idx="256">
                  <c:v>2.4383087156185716E-6</c:v>
                </c:pt>
                <c:pt idx="257">
                  <c:v>2.58369755498436E-6</c:v>
                </c:pt>
                <c:pt idx="258">
                  <c:v>2.7315735266423323E-6</c:v>
                </c:pt>
                <c:pt idx="259">
                  <c:v>2.8819715630662824E-6</c:v>
                </c:pt>
                <c:pt idx="260">
                  <c:v>3.0348956526816784E-6</c:v>
                </c:pt>
                <c:pt idx="261">
                  <c:v>3.1999482457529111E-6</c:v>
                </c:pt>
                <c:pt idx="262">
                  <c:v>3.3799571652175199E-6</c:v>
                </c:pt>
                <c:pt idx="263">
                  <c:v>3.5750303767663693E-6</c:v>
                </c:pt>
                <c:pt idx="264">
                  <c:v>3.7852718257780122E-6</c:v>
                </c:pt>
                <c:pt idx="265">
                  <c:v>4.0108020826308688E-6</c:v>
                </c:pt>
                <c:pt idx="266">
                  <c:v>4.2517301177773731E-6</c:v>
                </c:pt>
                <c:pt idx="267">
                  <c:v>4.4948145830438193E-6</c:v>
                </c:pt>
                <c:pt idx="268">
                  <c:v>4.7355507832533873E-6</c:v>
                </c:pt>
                <c:pt idx="269">
                  <c:v>4.973862254009992E-6</c:v>
                </c:pt>
                <c:pt idx="270">
                  <c:v>5.2096672712849036E-6</c:v>
                </c:pt>
                <c:pt idx="271">
                  <c:v>5.4428791119417729E-6</c:v>
                </c:pt>
                <c:pt idx="272">
                  <c:v>5.6734063636540459E-6</c:v>
                </c:pt>
                <c:pt idx="273">
                  <c:v>5.9011532841593403E-6</c:v>
                </c:pt>
                <c:pt idx="274">
                  <c:v>6.1261153367315741E-6</c:v>
                </c:pt>
                <c:pt idx="275">
                  <c:v>6.3354312244056442E-6</c:v>
                </c:pt>
                <c:pt idx="276">
                  <c:v>6.5188848541259571E-6</c:v>
                </c:pt>
                <c:pt idx="277">
                  <c:v>6.6762123186957399E-6</c:v>
                </c:pt>
                <c:pt idx="278">
                  <c:v>6.807153959001369E-6</c:v>
                </c:pt>
                <c:pt idx="279">
                  <c:v>6.9114565919511117E-6</c:v>
                </c:pt>
                <c:pt idx="280">
                  <c:v>6.9888757174902915E-6</c:v>
                </c:pt>
                <c:pt idx="281">
                  <c:v>7.0551022837768134E-6</c:v>
                </c:pt>
                <c:pt idx="282">
                  <c:v>7.1238395238411814E-6</c:v>
                </c:pt>
                <c:pt idx="283">
                  <c:v>7.1950470613277934E-6</c:v>
                </c:pt>
                <c:pt idx="284">
                  <c:v>7.268683866557607E-6</c:v>
                </c:pt>
                <c:pt idx="285">
                  <c:v>7.3447084406772573E-6</c:v>
                </c:pt>
                <c:pt idx="286">
                  <c:v>7.4230790229489086E-6</c:v>
                </c:pt>
                <c:pt idx="287">
                  <c:v>7.5037538214585075E-6</c:v>
                </c:pt>
                <c:pt idx="288">
                  <c:v>7.5872390378592446E-6</c:v>
                </c:pt>
                <c:pt idx="289">
                  <c:v>7.6693257898294814E-6</c:v>
                </c:pt>
                <c:pt idx="290">
                  <c:v>7.7630658410184419E-6</c:v>
                </c:pt>
                <c:pt idx="291">
                  <c:v>7.8683292659179706E-6</c:v>
                </c:pt>
                <c:pt idx="292">
                  <c:v>7.9849740160234912E-6</c:v>
                </c:pt>
                <c:pt idx="293">
                  <c:v>8.112842934439105E-6</c:v>
                </c:pt>
                <c:pt idx="294">
                  <c:v>8.2517607578994636E-6</c:v>
                </c:pt>
                <c:pt idx="295">
                  <c:v>8.3834768617554502E-6</c:v>
                </c:pt>
                <c:pt idx="296">
                  <c:v>8.4915492906530495E-6</c:v>
                </c:pt>
                <c:pt idx="297">
                  <c:v>8.5757408652982583E-6</c:v>
                </c:pt>
                <c:pt idx="298">
                  <c:v>8.6357552002991429E-6</c:v>
                </c:pt>
                <c:pt idx="299">
                  <c:v>8.6713105457416154E-6</c:v>
                </c:pt>
                <c:pt idx="300">
                  <c:v>8.6821455660035285E-6</c:v>
                </c:pt>
                <c:pt idx="301">
                  <c:v>8.6680253367342305E-6</c:v>
                </c:pt>
                <c:pt idx="302">
                  <c:v>8.6295243198633391E-6</c:v>
                </c:pt>
                <c:pt idx="303">
                  <c:v>8.5908287330207124E-6</c:v>
                </c:pt>
                <c:pt idx="304">
                  <c:v>8.5566752248481304E-6</c:v>
                </c:pt>
                <c:pt idx="305">
                  <c:v>8.5271112847037234E-6</c:v>
                </c:pt>
                <c:pt idx="306">
                  <c:v>8.5021849451772921E-6</c:v>
                </c:pt>
                <c:pt idx="307">
                  <c:v>8.4819446783255577E-6</c:v>
                </c:pt>
                <c:pt idx="308">
                  <c:v>8.466439288186366E-6</c:v>
                </c:pt>
                <c:pt idx="309">
                  <c:v>8.5277172806632333E-6</c:v>
                </c:pt>
                <c:pt idx="310">
                  <c:v>8.6836298699816841E-6</c:v>
                </c:pt>
                <c:pt idx="311">
                  <c:v>8.9339536673461181E-6</c:v>
                </c:pt>
                <c:pt idx="312">
                  <c:v>9.2784450048940265E-6</c:v>
                </c:pt>
                <c:pt idx="313">
                  <c:v>9.7168467499670922E-6</c:v>
                </c:pt>
                <c:pt idx="314">
                  <c:v>1.0248895041708213E-5</c:v>
                </c:pt>
                <c:pt idx="315">
                  <c:v>1.0874325790301557E-5</c:v>
                </c:pt>
                <c:pt idx="316">
                  <c:v>1.159378865200803E-5</c:v>
                </c:pt>
                <c:pt idx="317">
                  <c:v>1.2491360097114766E-5</c:v>
                </c:pt>
                <c:pt idx="318">
                  <c:v>1.3543657835044811E-5</c:v>
                </c:pt>
                <c:pt idx="319">
                  <c:v>1.4750538269591128E-5</c:v>
                </c:pt>
                <c:pt idx="320">
                  <c:v>1.6111883166205067E-5</c:v>
                </c:pt>
                <c:pt idx="321">
                  <c:v>1.7627567181430178E-5</c:v>
                </c:pt>
                <c:pt idx="322">
                  <c:v>1.9297421437316643E-5</c:v>
                </c:pt>
                <c:pt idx="323">
                  <c:v>2.1194017326220181E-5</c:v>
                </c:pt>
                <c:pt idx="324">
                  <c:v>2.3245727397225222E-5</c:v>
                </c:pt>
                <c:pt idx="325">
                  <c:v>2.5451988904324474E-5</c:v>
                </c:pt>
                <c:pt idx="326">
                  <c:v>2.7811826128118868E-5</c:v>
                </c:pt>
                <c:pt idx="327">
                  <c:v>3.0324027727479387E-5</c:v>
                </c:pt>
                <c:pt idx="328">
                  <c:v>3.2987162232026581E-5</c:v>
                </c:pt>
                <c:pt idx="329">
                  <c:v>3.5799397831765443E-5</c:v>
                </c:pt>
                <c:pt idx="330">
                  <c:v>3.8762469594814117E-5</c:v>
                </c:pt>
                <c:pt idx="331">
                  <c:v>4.1978373082892302E-5</c:v>
                </c:pt>
                <c:pt idx="332">
                  <c:v>4.5364247999855726E-5</c:v>
                </c:pt>
                <c:pt idx="333">
                  <c:v>4.8919979263761718E-5</c:v>
                </c:pt>
                <c:pt idx="334">
                  <c:v>5.2645311568712977E-5</c:v>
                </c:pt>
                <c:pt idx="335">
                  <c:v>5.6539808883596594E-5</c:v>
                </c:pt>
                <c:pt idx="336">
                  <c:v>6.0602811705134382E-5</c:v>
                </c:pt>
                <c:pt idx="337">
                  <c:v>6.4820299951577905E-5</c:v>
                </c:pt>
                <c:pt idx="338">
                  <c:v>6.9118706946088215E-5</c:v>
                </c:pt>
                <c:pt idx="339">
                  <c:v>7.3496546886978522E-5</c:v>
                </c:pt>
                <c:pt idx="340">
                  <c:v>7.7951954335420449E-5</c:v>
                </c:pt>
                <c:pt idx="341">
                  <c:v>8.2482654971610287E-5</c:v>
                </c:pt>
                <c:pt idx="342">
                  <c:v>8.7085939322024294E-5</c:v>
                </c:pt>
                <c:pt idx="343">
                  <c:v>9.1758640250978344E-5</c:v>
                </c:pt>
                <c:pt idx="344">
                  <c:v>9.6502168340041673E-5</c:v>
                </c:pt>
                <c:pt idx="345">
                  <c:v>1.0131855442129733E-4</c:v>
                </c:pt>
                <c:pt idx="346">
                  <c:v>1.0578575652684229E-4</c:v>
                </c:pt>
                <c:pt idx="347">
                  <c:v>1.099016556199071E-4</c:v>
                </c:pt>
                <c:pt idx="348">
                  <c:v>1.1366391748446359E-4</c:v>
                </c:pt>
                <c:pt idx="349">
                  <c:v>1.1707007498115897E-4</c:v>
                </c:pt>
                <c:pt idx="350">
                  <c:v>1.2011761500304182E-4</c:v>
                </c:pt>
                <c:pt idx="351">
                  <c:v>1.2248491090685002E-4</c:v>
                </c:pt>
                <c:pt idx="352">
                  <c:v>1.2418420102287988E-4</c:v>
                </c:pt>
                <c:pt idx="353">
                  <c:v>1.2521535425178269E-4</c:v>
                </c:pt>
                <c:pt idx="354">
                  <c:v>1.2557898953349111E-4</c:v>
                </c:pt>
                <c:pt idx="355">
                  <c:v>1.2527661761711222E-4</c:v>
                </c:pt>
                <c:pt idx="356">
                  <c:v>1.2430911465975019E-4</c:v>
                </c:pt>
                <c:pt idx="357">
                  <c:v>1.2268174573782192E-4</c:v>
                </c:pt>
                <c:pt idx="358">
                  <c:v>1.2040004937279912E-4</c:v>
                </c:pt>
                <c:pt idx="359">
                  <c:v>1.1747230039021366E-4</c:v>
                </c:pt>
                <c:pt idx="360">
                  <c:v>1.1389492748154552E-4</c:v>
                </c:pt>
                <c:pt idx="361">
                  <c:v>1.0998840413182145E-4</c:v>
                </c:pt>
                <c:pt idx="362">
                  <c:v>1.0576008481747388E-4</c:v>
                </c:pt>
                <c:pt idx="363">
                  <c:v>1.0121789236581398E-4</c:v>
                </c:pt>
                <c:pt idx="364">
                  <c:v>9.6370274859965097E-5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806712"/>
        <c:axId val="226807104"/>
      </c:lineChart>
      <c:dateAx>
        <c:axId val="2268067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6807104"/>
        <c:crosses val="autoZero"/>
        <c:auto val="1"/>
        <c:lblOffset val="100"/>
        <c:baseTimeUnit val="days"/>
        <c:majorUnit val="1"/>
        <c:majorTimeUnit val="months"/>
      </c:dateAx>
      <c:valAx>
        <c:axId val="22680710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68067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26.088298440129872</c:v>
                </c:pt>
                <c:pt idx="1">
                  <c:v>26.222521018413804</c:v>
                </c:pt>
                <c:pt idx="2">
                  <c:v>26.365937304760386</c:v>
                </c:pt>
                <c:pt idx="3">
                  <c:v>26.518349635316245</c:v>
                </c:pt>
                <c:pt idx="4">
                  <c:v>26.679560405896169</c:v>
                </c:pt>
                <c:pt idx="5">
                  <c:v>26.849372079867898</c:v>
                </c:pt>
                <c:pt idx="6">
                  <c:v>27.027587182971981</c:v>
                </c:pt>
                <c:pt idx="7">
                  <c:v>27.214008310183949</c:v>
                </c:pt>
                <c:pt idx="8">
                  <c:v>27.410807350093162</c:v>
                </c:pt>
                <c:pt idx="9">
                  <c:v>27.619713974075907</c:v>
                </c:pt>
                <c:pt idx="10">
                  <c:v>27.83987009325886</c:v>
                </c:pt>
                <c:pt idx="11">
                  <c:v>28.070418332796702</c:v>
                </c:pt>
                <c:pt idx="12">
                  <c:v>28.310501671539868</c:v>
                </c:pt>
                <c:pt idx="13">
                  <c:v>28.559263478362759</c:v>
                </c:pt>
                <c:pt idx="14">
                  <c:v>28.815847484233601</c:v>
                </c:pt>
                <c:pt idx="15">
                  <c:v>29.079395783354595</c:v>
                </c:pt>
                <c:pt idx="16">
                  <c:v>29.349055275023979</c:v>
                </c:pt>
                <c:pt idx="17">
                  <c:v>29.62397083346584</c:v>
                </c:pt>
                <c:pt idx="18">
                  <c:v>29.903287701139391</c:v>
                </c:pt>
                <c:pt idx="19">
                  <c:v>30.18615150881546</c:v>
                </c:pt>
                <c:pt idx="20">
                  <c:v>30.471708263000863</c:v>
                </c:pt>
                <c:pt idx="21">
                  <c:v>30.759104361557949</c:v>
                </c:pt>
                <c:pt idx="22">
                  <c:v>31.051317225407185</c:v>
                </c:pt>
                <c:pt idx="23">
                  <c:v>31.351366717951752</c:v>
                </c:pt>
                <c:pt idx="24">
                  <c:v>31.658467838851021</c:v>
                </c:pt>
                <c:pt idx="25">
                  <c:v>31.971834175901822</c:v>
                </c:pt>
                <c:pt idx="26">
                  <c:v>32.290679681840338</c:v>
                </c:pt>
                <c:pt idx="27">
                  <c:v>32.61421867570224</c:v>
                </c:pt>
                <c:pt idx="28">
                  <c:v>32.941665840229447</c:v>
                </c:pt>
                <c:pt idx="29">
                  <c:v>33.272235665111189</c:v>
                </c:pt>
                <c:pt idx="30">
                  <c:v>33.605145590234848</c:v>
                </c:pt>
                <c:pt idx="31">
                  <c:v>33.939611402704209</c:v>
                </c:pt>
                <c:pt idx="32">
                  <c:v>34.274849259388077</c:v>
                </c:pt>
                <c:pt idx="33">
                  <c:v>34.610075686407278</c:v>
                </c:pt>
                <c:pt idx="34">
                  <c:v>34.944507578007808</c:v>
                </c:pt>
                <c:pt idx="35">
                  <c:v>35.277362198524024</c:v>
                </c:pt>
                <c:pt idx="36">
                  <c:v>35.611087195483904</c:v>
                </c:pt>
                <c:pt idx="37">
                  <c:v>35.94826005963499</c:v>
                </c:pt>
                <c:pt idx="38">
                  <c:v>36.288294388839503</c:v>
                </c:pt>
                <c:pt idx="39">
                  <c:v>36.630602325629695</c:v>
                </c:pt>
                <c:pt idx="40">
                  <c:v>36.974596290586369</c:v>
                </c:pt>
                <c:pt idx="41">
                  <c:v>37.319688979536615</c:v>
                </c:pt>
                <c:pt idx="42">
                  <c:v>37.665293361178719</c:v>
                </c:pt>
                <c:pt idx="43">
                  <c:v>38.010822787768461</c:v>
                </c:pt>
                <c:pt idx="44">
                  <c:v>38.355691330559075</c:v>
                </c:pt>
                <c:pt idx="45">
                  <c:v>38.699312762113379</c:v>
                </c:pt>
                <c:pt idx="46">
                  <c:v>39.041101116396817</c:v>
                </c:pt>
                <c:pt idx="47">
                  <c:v>39.380470686182427</c:v>
                </c:pt>
                <c:pt idx="48">
                  <c:v>39.716836016711845</c:v>
                </c:pt>
                <c:pt idx="49">
                  <c:v>40.049611905117423</c:v>
                </c:pt>
                <c:pt idx="50">
                  <c:v>40.379467547980269</c:v>
                </c:pt>
                <c:pt idx="51">
                  <c:v>40.707527438463671</c:v>
                </c:pt>
                <c:pt idx="52">
                  <c:v>41.033889608805808</c:v>
                </c:pt>
                <c:pt idx="53">
                  <c:v>41.358652461646678</c:v>
                </c:pt>
                <c:pt idx="54">
                  <c:v>41.681914327452731</c:v>
                </c:pt>
                <c:pt idx="55">
                  <c:v>42.003773464887679</c:v>
                </c:pt>
                <c:pt idx="56">
                  <c:v>42.324328056069973</c:v>
                </c:pt>
                <c:pt idx="57">
                  <c:v>42.643676529461153</c:v>
                </c:pt>
                <c:pt idx="58">
                  <c:v>42.961916793658432</c:v>
                </c:pt>
                <c:pt idx="59">
                  <c:v>43.279146789626274</c:v>
                </c:pt>
                <c:pt idx="60">
                  <c:v>43.59546437135382</c:v>
                </c:pt>
                <c:pt idx="61">
                  <c:v>43.910967305806935</c:v>
                </c:pt>
                <c:pt idx="62">
                  <c:v>44.225753270464132</c:v>
                </c:pt>
                <c:pt idx="63">
                  <c:v>44.539919852245703</c:v>
                </c:pt>
                <c:pt idx="64">
                  <c:v>44.854377673290259</c:v>
                </c:pt>
                <c:pt idx="65">
                  <c:v>45.169646993394167</c:v>
                </c:pt>
                <c:pt idx="66">
                  <c:v>45.485239788794104</c:v>
                </c:pt>
                <c:pt idx="67">
                  <c:v>45.800667803250548</c:v>
                </c:pt>
                <c:pt idx="68">
                  <c:v>46.115442941522545</c:v>
                </c:pt>
                <c:pt idx="69">
                  <c:v>46.429077271249135</c:v>
                </c:pt>
                <c:pt idx="70">
                  <c:v>46.741083022085341</c:v>
                </c:pt>
                <c:pt idx="71">
                  <c:v>47.050972331166122</c:v>
                </c:pt>
                <c:pt idx="72">
                  <c:v>47.35825742432143</c:v>
                </c:pt>
                <c:pt idx="73">
                  <c:v>47.662451019966952</c:v>
                </c:pt>
                <c:pt idx="74">
                  <c:v>47.963066001640911</c:v>
                </c:pt>
                <c:pt idx="75">
                  <c:v>48.259615423064091</c:v>
                </c:pt>
                <c:pt idx="76">
                  <c:v>48.551612506228047</c:v>
                </c:pt>
                <c:pt idx="77">
                  <c:v>48.83857064775836</c:v>
                </c:pt>
                <c:pt idx="78">
                  <c:v>49.122698858703899</c:v>
                </c:pt>
                <c:pt idx="79">
                  <c:v>49.406075138120592</c:v>
                </c:pt>
                <c:pt idx="80">
                  <c:v>49.688016514896596</c:v>
                </c:pt>
                <c:pt idx="81">
                  <c:v>49.96784063652153</c:v>
                </c:pt>
                <c:pt idx="82">
                  <c:v>50.244865422189633</c:v>
                </c:pt>
                <c:pt idx="83">
                  <c:v>50.518409066133017</c:v>
                </c:pt>
                <c:pt idx="84">
                  <c:v>50.787790041067034</c:v>
                </c:pt>
                <c:pt idx="85">
                  <c:v>51.052327178759754</c:v>
                </c:pt>
                <c:pt idx="86">
                  <c:v>51.311339789490212</c:v>
                </c:pt>
                <c:pt idx="87">
                  <c:v>51.564147215255936</c:v>
                </c:pt>
                <c:pt idx="88">
                  <c:v>51.810069097287652</c:v>
                </c:pt>
                <c:pt idx="89">
                  <c:v>52.048425380316289</c:v>
                </c:pt>
                <c:pt idx="90">
                  <c:v>52.278536317297082</c:v>
                </c:pt>
                <c:pt idx="91">
                  <c:v>52.499722451563834</c:v>
                </c:pt>
                <c:pt idx="92">
                  <c:v>52.712796237627316</c:v>
                </c:pt>
                <c:pt idx="93">
                  <c:v>52.919088403453067</c:v>
                </c:pt>
                <c:pt idx="94">
                  <c:v>53.118697434018941</c:v>
                </c:pt>
                <c:pt idx="95">
                  <c:v>53.311721668397681</c:v>
                </c:pt>
                <c:pt idx="96">
                  <c:v>53.498259422724935</c:v>
                </c:pt>
                <c:pt idx="97">
                  <c:v>53.678408997138632</c:v>
                </c:pt>
                <c:pt idx="98">
                  <c:v>53.852268673728574</c:v>
                </c:pt>
                <c:pt idx="99">
                  <c:v>54.019936573761008</c:v>
                </c:pt>
                <c:pt idx="100">
                  <c:v>54.181510870842445</c:v>
                </c:pt>
                <c:pt idx="101">
                  <c:v>54.337089812897986</c:v>
                </c:pt>
                <c:pt idx="102">
                  <c:v>54.486771638651085</c:v>
                </c:pt>
                <c:pt idx="103">
                  <c:v>54.630654589127488</c:v>
                </c:pt>
                <c:pt idx="104">
                  <c:v>54.768836900825015</c:v>
                </c:pt>
                <c:pt idx="105">
                  <c:v>54.901416817532322</c:v>
                </c:pt>
                <c:pt idx="106">
                  <c:v>55.027197738613076</c:v>
                </c:pt>
                <c:pt idx="107">
                  <c:v>55.145242562741792</c:v>
                </c:pt>
                <c:pt idx="108">
                  <c:v>55.256038850645922</c:v>
                </c:pt>
                <c:pt idx="109">
                  <c:v>55.360073918049252</c:v>
                </c:pt>
                <c:pt idx="110">
                  <c:v>55.457834911594205</c:v>
                </c:pt>
                <c:pt idx="111">
                  <c:v>55.549808814114158</c:v>
                </c:pt>
                <c:pt idx="112">
                  <c:v>55.636482442449797</c:v>
                </c:pt>
                <c:pt idx="113">
                  <c:v>55.718342446258795</c:v>
                </c:pt>
                <c:pt idx="114">
                  <c:v>55.795875483974669</c:v>
                </c:pt>
                <c:pt idx="115">
                  <c:v>55.869567885321921</c:v>
                </c:pt>
                <c:pt idx="116">
                  <c:v>55.939905814372629</c:v>
                </c:pt>
                <c:pt idx="117">
                  <c:v>56.007375273470274</c:v>
                </c:pt>
                <c:pt idx="118">
                  <c:v>56.072462102123524</c:v>
                </c:pt>
                <c:pt idx="119">
                  <c:v>58.318815708915956</c:v>
                </c:pt>
                <c:pt idx="120">
                  <c:v>58.380171292772978</c:v>
                </c:pt>
                <c:pt idx="121">
                  <c:v>58.437001904457716</c:v>
                </c:pt>
                <c:pt idx="122">
                  <c:v>58.489510824898232</c:v>
                </c:pt>
                <c:pt idx="123">
                  <c:v>58.537901145282589</c:v>
                </c:pt>
                <c:pt idx="124">
                  <c:v>58.582375867936662</c:v>
                </c:pt>
                <c:pt idx="125">
                  <c:v>58.623137904117421</c:v>
                </c:pt>
                <c:pt idx="126">
                  <c:v>58.66039007204671</c:v>
                </c:pt>
                <c:pt idx="127">
                  <c:v>58.694335106013064</c:v>
                </c:pt>
                <c:pt idx="128">
                  <c:v>58.725175650570542</c:v>
                </c:pt>
                <c:pt idx="129">
                  <c:v>58.753114262951009</c:v>
                </c:pt>
                <c:pt idx="130">
                  <c:v>58.778353418551532</c:v>
                </c:pt>
                <c:pt idx="131">
                  <c:v>58.801095506216761</c:v>
                </c:pt>
                <c:pt idx="132">
                  <c:v>58.821542832318293</c:v>
                </c:pt>
                <c:pt idx="133">
                  <c:v>58.839897620573495</c:v>
                </c:pt>
                <c:pt idx="134">
                  <c:v>58.855641766023908</c:v>
                </c:pt>
                <c:pt idx="135">
                  <c:v>58.868190528570608</c:v>
                </c:pt>
                <c:pt idx="136">
                  <c:v>58.877646102172825</c:v>
                </c:pt>
                <c:pt idx="137">
                  <c:v>58.88411065986368</c:v>
                </c:pt>
                <c:pt idx="138">
                  <c:v>58.887686355908585</c:v>
                </c:pt>
                <c:pt idx="139">
                  <c:v>58.888475321202542</c:v>
                </c:pt>
                <c:pt idx="140">
                  <c:v>58.886579668232841</c:v>
                </c:pt>
                <c:pt idx="141">
                  <c:v>58.882101485697397</c:v>
                </c:pt>
                <c:pt idx="142">
                  <c:v>58.875142840992545</c:v>
                </c:pt>
                <c:pt idx="143">
                  <c:v>58.865805775681366</c:v>
                </c:pt>
                <c:pt idx="144">
                  <c:v>58.854192305257207</c:v>
                </c:pt>
                <c:pt idx="145">
                  <c:v>58.840404419829092</c:v>
                </c:pt>
                <c:pt idx="146">
                  <c:v>58.824544078420047</c:v>
                </c:pt>
                <c:pt idx="147">
                  <c:v>58.806713208168361</c:v>
                </c:pt>
                <c:pt idx="148">
                  <c:v>58.786545703662782</c:v>
                </c:pt>
                <c:pt idx="149">
                  <c:v>58.763675705741221</c:v>
                </c:pt>
                <c:pt idx="150">
                  <c:v>58.73820546164221</c:v>
                </c:pt>
                <c:pt idx="151">
                  <c:v>58.710237174861007</c:v>
                </c:pt>
                <c:pt idx="152">
                  <c:v>58.679873003754842</c:v>
                </c:pt>
                <c:pt idx="153">
                  <c:v>58.647215059867612</c:v>
                </c:pt>
                <c:pt idx="154">
                  <c:v>58.61236540114146</c:v>
                </c:pt>
                <c:pt idx="155">
                  <c:v>58.575426031527527</c:v>
                </c:pt>
                <c:pt idx="156">
                  <c:v>58.536498894983353</c:v>
                </c:pt>
                <c:pt idx="157">
                  <c:v>58.495685873982048</c:v>
                </c:pt>
                <c:pt idx="158">
                  <c:v>58.453088785650593</c:v>
                </c:pt>
                <c:pt idx="159">
                  <c:v>58.408809377567458</c:v>
                </c:pt>
                <c:pt idx="160">
                  <c:v>58.362949322231785</c:v>
                </c:pt>
                <c:pt idx="161">
                  <c:v>58.315610219059757</c:v>
                </c:pt>
                <c:pt idx="162">
                  <c:v>58.26664340286289</c:v>
                </c:pt>
                <c:pt idx="163">
                  <c:v>58.215833572384632</c:v>
                </c:pt>
                <c:pt idx="164">
                  <c:v>58.163182288450329</c:v>
                </c:pt>
                <c:pt idx="165">
                  <c:v>58.108691083833591</c:v>
                </c:pt>
                <c:pt idx="166">
                  <c:v>58.052361457126352</c:v>
                </c:pt>
                <c:pt idx="167">
                  <c:v>57.994194871932358</c:v>
                </c:pt>
                <c:pt idx="168">
                  <c:v>57.934192751543385</c:v>
                </c:pt>
                <c:pt idx="169">
                  <c:v>57.872356479474348</c:v>
                </c:pt>
                <c:pt idx="170">
                  <c:v>57.808687395151928</c:v>
                </c:pt>
                <c:pt idx="171">
                  <c:v>57.743186793076646</c:v>
                </c:pt>
                <c:pt idx="172">
                  <c:v>57.675855918483315</c:v>
                </c:pt>
                <c:pt idx="173">
                  <c:v>57.606695970156665</c:v>
                </c:pt>
                <c:pt idx="174">
                  <c:v>57.535708095522288</c:v>
                </c:pt>
                <c:pt idx="175">
                  <c:v>57.462893392368045</c:v>
                </c:pt>
                <c:pt idx="176">
                  <c:v>57.387820160393694</c:v>
                </c:pt>
                <c:pt idx="177">
                  <c:v>57.310190036657779</c:v>
                </c:pt>
                <c:pt idx="178">
                  <c:v>57.23020395527481</c:v>
                </c:pt>
                <c:pt idx="179">
                  <c:v>57.148062681812092</c:v>
                </c:pt>
                <c:pt idx="180">
                  <c:v>57.06396681272247</c:v>
                </c:pt>
                <c:pt idx="181">
                  <c:v>56.978116778718892</c:v>
                </c:pt>
                <c:pt idx="182">
                  <c:v>56.890712846548851</c:v>
                </c:pt>
                <c:pt idx="183">
                  <c:v>56.801955121469071</c:v>
                </c:pt>
                <c:pt idx="184">
                  <c:v>56.712043548674409</c:v>
                </c:pt>
                <c:pt idx="185">
                  <c:v>56.621177916789321</c:v>
                </c:pt>
                <c:pt idx="186">
                  <c:v>56.529557861338702</c:v>
                </c:pt>
                <c:pt idx="187">
                  <c:v>56.437382867692278</c:v>
                </c:pt>
                <c:pt idx="188">
                  <c:v>56.344852273825886</c:v>
                </c:pt>
                <c:pt idx="189">
                  <c:v>56.252165275286401</c:v>
                </c:pt>
                <c:pt idx="190">
                  <c:v>56.159022617358104</c:v>
                </c:pt>
                <c:pt idx="191">
                  <c:v>56.064992330115224</c:v>
                </c:pt>
                <c:pt idx="192">
                  <c:v>55.970074414362152</c:v>
                </c:pt>
                <c:pt idx="193">
                  <c:v>55.874268853695192</c:v>
                </c:pt>
                <c:pt idx="194">
                  <c:v>55.777575617094264</c:v>
                </c:pt>
                <c:pt idx="195">
                  <c:v>55.679994662371548</c:v>
                </c:pt>
                <c:pt idx="196">
                  <c:v>55.581525940105763</c:v>
                </c:pt>
                <c:pt idx="197">
                  <c:v>55.482169395108649</c:v>
                </c:pt>
                <c:pt idx="198">
                  <c:v>55.381924970998064</c:v>
                </c:pt>
                <c:pt idx="199">
                  <c:v>55.280792612329634</c:v>
                </c:pt>
                <c:pt idx="200">
                  <c:v>55.17877226777216</c:v>
                </c:pt>
                <c:pt idx="201">
                  <c:v>55.075863892424508</c:v>
                </c:pt>
                <c:pt idx="202">
                  <c:v>54.972067451321841</c:v>
                </c:pt>
                <c:pt idx="203">
                  <c:v>54.867382920328083</c:v>
                </c:pt>
                <c:pt idx="204">
                  <c:v>54.762025798132143</c:v>
                </c:pt>
                <c:pt idx="205">
                  <c:v>54.656145178209435</c:v>
                </c:pt>
                <c:pt idx="206">
                  <c:v>54.549641493628059</c:v>
                </c:pt>
                <c:pt idx="207">
                  <c:v>54.442415251430724</c:v>
                </c:pt>
                <c:pt idx="208">
                  <c:v>54.334367034211979</c:v>
                </c:pt>
                <c:pt idx="209">
                  <c:v>54.225397500864815</c:v>
                </c:pt>
                <c:pt idx="210">
                  <c:v>54.115407387012134</c:v>
                </c:pt>
                <c:pt idx="211">
                  <c:v>54.004297505788131</c:v>
                </c:pt>
                <c:pt idx="212">
                  <c:v>53.891968747500144</c:v>
                </c:pt>
                <c:pt idx="213">
                  <c:v>53.778322079282709</c:v>
                </c:pt>
                <c:pt idx="214">
                  <c:v>53.663258546727803</c:v>
                </c:pt>
                <c:pt idx="215">
                  <c:v>53.546679270935421</c:v>
                </c:pt>
                <c:pt idx="216">
                  <c:v>53.428485449453653</c:v>
                </c:pt>
                <c:pt idx="217">
                  <c:v>53.308578355709024</c:v>
                </c:pt>
                <c:pt idx="218">
                  <c:v>53.186892428624134</c:v>
                </c:pt>
                <c:pt idx="219">
                  <c:v>53.063494510481981</c:v>
                </c:pt>
                <c:pt idx="220">
                  <c:v>52.938484508507379</c:v>
                </c:pt>
                <c:pt idx="221">
                  <c:v>52.811962293329167</c:v>
                </c:pt>
                <c:pt idx="222">
                  <c:v>52.684027697920037</c:v>
                </c:pt>
                <c:pt idx="223">
                  <c:v>52.554780517446481</c:v>
                </c:pt>
                <c:pt idx="224">
                  <c:v>52.424320507819381</c:v>
                </c:pt>
                <c:pt idx="225">
                  <c:v>52.292747115231059</c:v>
                </c:pt>
                <c:pt idx="226">
                  <c:v>52.16016001337664</c:v>
                </c:pt>
                <c:pt idx="227">
                  <c:v>52.026658834046522</c:v>
                </c:pt>
                <c:pt idx="228">
                  <c:v>51.892343166074888</c:v>
                </c:pt>
                <c:pt idx="229">
                  <c:v>51.757312555045452</c:v>
                </c:pt>
                <c:pt idx="230">
                  <c:v>51.621666501221803</c:v>
                </c:pt>
                <c:pt idx="231">
                  <c:v>51.485504461201764</c:v>
                </c:pt>
                <c:pt idx="232">
                  <c:v>51.349536880846564</c:v>
                </c:pt>
                <c:pt idx="233">
                  <c:v>51.214143021401014</c:v>
                </c:pt>
                <c:pt idx="234">
                  <c:v>51.078926543879973</c:v>
                </c:pt>
                <c:pt idx="235">
                  <c:v>50.943491327387839</c:v>
                </c:pt>
                <c:pt idx="236">
                  <c:v>50.807441469400828</c:v>
                </c:pt>
                <c:pt idx="237">
                  <c:v>50.670381285403273</c:v>
                </c:pt>
                <c:pt idx="238">
                  <c:v>50.531915305424313</c:v>
                </c:pt>
                <c:pt idx="239">
                  <c:v>50.39164798676822</c:v>
                </c:pt>
                <c:pt idx="240">
                  <c:v>50.24918455876179</c:v>
                </c:pt>
                <c:pt idx="241">
                  <c:v>50.104130196892875</c:v>
                </c:pt>
                <c:pt idx="242">
                  <c:v>49.956090286699755</c:v>
                </c:pt>
                <c:pt idx="243">
                  <c:v>49.804670428600964</c:v>
                </c:pt>
                <c:pt idx="244">
                  <c:v>49.649476431329937</c:v>
                </c:pt>
                <c:pt idx="245">
                  <c:v>49.490114318258286</c:v>
                </c:pt>
                <c:pt idx="246">
                  <c:v>49.327822229383912</c:v>
                </c:pt>
                <c:pt idx="247">
                  <c:v>49.163903893491508</c:v>
                </c:pt>
                <c:pt idx="248">
                  <c:v>48.99806410458531</c:v>
                </c:pt>
                <c:pt idx="249">
                  <c:v>48.830007254293591</c:v>
                </c:pt>
                <c:pt idx="250">
                  <c:v>48.659437894286476</c:v>
                </c:pt>
                <c:pt idx="251">
                  <c:v>48.486060737498789</c:v>
                </c:pt>
                <c:pt idx="252">
                  <c:v>48.30958065552165</c:v>
                </c:pt>
                <c:pt idx="253">
                  <c:v>48.129702163265975</c:v>
                </c:pt>
                <c:pt idx="254">
                  <c:v>47.946130737404843</c:v>
                </c:pt>
                <c:pt idx="255">
                  <c:v>47.758571720085151</c:v>
                </c:pt>
                <c:pt idx="256">
                  <c:v>47.56673060969328</c:v>
                </c:pt>
                <c:pt idx="257">
                  <c:v>47.370313054351278</c:v>
                </c:pt>
                <c:pt idx="258">
                  <c:v>47.169024852498161</c:v>
                </c:pt>
                <c:pt idx="259">
                  <c:v>46.96257194824117</c:v>
                </c:pt>
                <c:pt idx="260">
                  <c:v>46.751186971300164</c:v>
                </c:pt>
                <c:pt idx="261">
                  <c:v>46.535364699978352</c:v>
                </c:pt>
                <c:pt idx="262">
                  <c:v>46.315205529606224</c:v>
                </c:pt>
                <c:pt idx="263">
                  <c:v>46.090810087633812</c:v>
                </c:pt>
                <c:pt idx="264">
                  <c:v>45.862278941260897</c:v>
                </c:pt>
                <c:pt idx="265">
                  <c:v>45.629712590303463</c:v>
                </c:pt>
                <c:pt idx="266">
                  <c:v>45.393211468622638</c:v>
                </c:pt>
                <c:pt idx="267">
                  <c:v>45.152877378766192</c:v>
                </c:pt>
                <c:pt idx="268">
                  <c:v>44.908811100435841</c:v>
                </c:pt>
                <c:pt idx="269">
                  <c:v>44.661112837647003</c:v>
                </c:pt>
                <c:pt idx="270">
                  <c:v>44.409882711381293</c:v>
                </c:pt>
                <c:pt idx="271">
                  <c:v>44.15522075975656</c:v>
                </c:pt>
                <c:pt idx="272">
                  <c:v>43.897226934908673</c:v>
                </c:pt>
                <c:pt idx="273">
                  <c:v>43.636001101736269</c:v>
                </c:pt>
                <c:pt idx="274">
                  <c:v>43.370969551710296</c:v>
                </c:pt>
                <c:pt idx="275">
                  <c:v>43.101625430848244</c:v>
                </c:pt>
                <c:pt idx="276">
                  <c:v>42.828168210404343</c:v>
                </c:pt>
                <c:pt idx="277">
                  <c:v>42.550796278759194</c:v>
                </c:pt>
                <c:pt idx="278">
                  <c:v>42.26970786248512</c:v>
                </c:pt>
                <c:pt idx="279">
                  <c:v>41.985101032846408</c:v>
                </c:pt>
                <c:pt idx="280">
                  <c:v>41.697173700921795</c:v>
                </c:pt>
                <c:pt idx="281">
                  <c:v>41.406122121480934</c:v>
                </c:pt>
                <c:pt idx="282">
                  <c:v>41.112142554382828</c:v>
                </c:pt>
                <c:pt idx="283">
                  <c:v>40.815432474218717</c:v>
                </c:pt>
                <c:pt idx="284">
                  <c:v>40.516189197407606</c:v>
                </c:pt>
                <c:pt idx="285">
                  <c:v>40.214609880526808</c:v>
                </c:pt>
                <c:pt idx="286">
                  <c:v>39.910891522648427</c:v>
                </c:pt>
                <c:pt idx="287">
                  <c:v>39.605230966752281</c:v>
                </c:pt>
                <c:pt idx="288">
                  <c:v>39.294987686499965</c:v>
                </c:pt>
                <c:pt idx="289">
                  <c:v>38.978113252998803</c:v>
                </c:pt>
                <c:pt idx="290">
                  <c:v>38.655690242764955</c:v>
                </c:pt>
                <c:pt idx="291">
                  <c:v>38.328801563065213</c:v>
                </c:pt>
                <c:pt idx="292">
                  <c:v>37.998529581260144</c:v>
                </c:pt>
                <c:pt idx="293">
                  <c:v>37.665956133723355</c:v>
                </c:pt>
                <c:pt idx="294">
                  <c:v>37.332162539046116</c:v>
                </c:pt>
                <c:pt idx="295">
                  <c:v>36.998230809861006</c:v>
                </c:pt>
                <c:pt idx="296">
                  <c:v>36.665242568218304</c:v>
                </c:pt>
                <c:pt idx="297">
                  <c:v>36.3342775624971</c:v>
                </c:pt>
                <c:pt idx="298">
                  <c:v>36.006415062787077</c:v>
                </c:pt>
                <c:pt idx="299">
                  <c:v>35.682733871856449</c:v>
                </c:pt>
                <c:pt idx="300">
                  <c:v>35.36431232714699</c:v>
                </c:pt>
                <c:pt idx="301">
                  <c:v>35.052228314187396</c:v>
                </c:pt>
                <c:pt idx="302">
                  <c:v>34.744431501903755</c:v>
                </c:pt>
                <c:pt idx="303">
                  <c:v>34.438280097426073</c:v>
                </c:pt>
                <c:pt idx="304">
                  <c:v>34.133968152225002</c:v>
                </c:pt>
                <c:pt idx="305">
                  <c:v>33.831690254988352</c:v>
                </c:pt>
                <c:pt idx="306">
                  <c:v>33.531640925819744</c:v>
                </c:pt>
                <c:pt idx="307">
                  <c:v>33.234014626493575</c:v>
                </c:pt>
                <c:pt idx="308">
                  <c:v>32.939005760997482</c:v>
                </c:pt>
                <c:pt idx="309">
                  <c:v>32.646798279622651</c:v>
                </c:pt>
                <c:pt idx="310">
                  <c:v>32.357585747006098</c:v>
                </c:pt>
                <c:pt idx="311">
                  <c:v>32.071562763239832</c:v>
                </c:pt>
                <c:pt idx="312">
                  <c:v>31.788923883217471</c:v>
                </c:pt>
                <c:pt idx="313">
                  <c:v>31.509863621824532</c:v>
                </c:pt>
                <c:pt idx="314">
                  <c:v>31.234576453515214</c:v>
                </c:pt>
                <c:pt idx="315">
                  <c:v>30.963256814423545</c:v>
                </c:pt>
                <c:pt idx="316">
                  <c:v>30.693695283479681</c:v>
                </c:pt>
                <c:pt idx="317">
                  <c:v>30.424133406185941</c:v>
                </c:pt>
                <c:pt idx="318">
                  <c:v>30.15545618351015</c:v>
                </c:pt>
                <c:pt idx="319">
                  <c:v>29.888545770167781</c:v>
                </c:pt>
                <c:pt idx="320">
                  <c:v>29.624284008552227</c:v>
                </c:pt>
                <c:pt idx="321">
                  <c:v>29.363552416108249</c:v>
                </c:pt>
                <c:pt idx="322">
                  <c:v>29.107232195127345</c:v>
                </c:pt>
                <c:pt idx="323">
                  <c:v>28.856205556183493</c:v>
                </c:pt>
                <c:pt idx="324">
                  <c:v>28.611362029917942</c:v>
                </c:pt>
                <c:pt idx="325">
                  <c:v>28.373581567909426</c:v>
                </c:pt>
                <c:pt idx="326">
                  <c:v>28.143743825521373</c:v>
                </c:pt>
                <c:pt idx="327">
                  <c:v>27.92272812825578</c:v>
                </c:pt>
                <c:pt idx="328">
                  <c:v>27.711413464132082</c:v>
                </c:pt>
                <c:pt idx="329">
                  <c:v>27.510678478701934</c:v>
                </c:pt>
                <c:pt idx="330">
                  <c:v>27.318560248466468</c:v>
                </c:pt>
                <c:pt idx="331">
                  <c:v>27.132702207522325</c:v>
                </c:pt>
                <c:pt idx="332">
                  <c:v>26.953403102429316</c:v>
                </c:pt>
                <c:pt idx="333">
                  <c:v>26.780954599413022</c:v>
                </c:pt>
                <c:pt idx="334">
                  <c:v>26.615648270678179</c:v>
                </c:pt>
                <c:pt idx="335">
                  <c:v>26.45777561184315</c:v>
                </c:pt>
                <c:pt idx="336">
                  <c:v>26.307628025442376</c:v>
                </c:pt>
                <c:pt idx="337">
                  <c:v>26.165496947229617</c:v>
                </c:pt>
                <c:pt idx="338">
                  <c:v>26.031672395070252</c:v>
                </c:pt>
                <c:pt idx="339">
                  <c:v>25.906445498942723</c:v>
                </c:pt>
                <c:pt idx="340">
                  <c:v>25.79010729011565</c:v>
                </c:pt>
                <c:pt idx="341">
                  <c:v>25.682948685787622</c:v>
                </c:pt>
                <c:pt idx="342">
                  <c:v>25.585260499490591</c:v>
                </c:pt>
                <c:pt idx="343">
                  <c:v>25.497333421752707</c:v>
                </c:pt>
                <c:pt idx="344">
                  <c:v>25.418126487125701</c:v>
                </c:pt>
                <c:pt idx="345">
                  <c:v>25.346587499381254</c:v>
                </c:pt>
                <c:pt idx="346">
                  <c:v>25.283009633009211</c:v>
                </c:pt>
                <c:pt idx="347">
                  <c:v>25.227666280149286</c:v>
                </c:pt>
                <c:pt idx="348">
                  <c:v>25.18083074126487</c:v>
                </c:pt>
                <c:pt idx="349">
                  <c:v>25.142776231344993</c:v>
                </c:pt>
                <c:pt idx="350">
                  <c:v>25.113775860496101</c:v>
                </c:pt>
                <c:pt idx="351">
                  <c:v>25.094119439878526</c:v>
                </c:pt>
                <c:pt idx="352">
                  <c:v>25.084079641218324</c:v>
                </c:pt>
                <c:pt idx="353">
                  <c:v>25.083929165888787</c:v>
                </c:pt>
                <c:pt idx="354">
                  <c:v>25.093940616383811</c:v>
                </c:pt>
                <c:pt idx="355">
                  <c:v>25.114386487424252</c:v>
                </c:pt>
                <c:pt idx="356">
                  <c:v>25.14553922582267</c:v>
                </c:pt>
                <c:pt idx="357">
                  <c:v>25.187671057700197</c:v>
                </c:pt>
                <c:pt idx="358">
                  <c:v>25.240817232896056</c:v>
                </c:pt>
                <c:pt idx="359">
                  <c:v>25.304700274312857</c:v>
                </c:pt>
                <c:pt idx="360">
                  <c:v>25.37912348028496</c:v>
                </c:pt>
                <c:pt idx="361">
                  <c:v>25.463873530283585</c:v>
                </c:pt>
                <c:pt idx="362">
                  <c:v>25.558753795469567</c:v>
                </c:pt>
                <c:pt idx="363">
                  <c:v>25.663567711876389</c:v>
                </c:pt>
                <c:pt idx="364">
                  <c:v>25.778118771995107</c:v>
                </c:pt>
                <c:pt idx="365">
                  <c:v>28.589092873434225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9.5862370722240904</c:v>
                </c:pt>
                <c:pt idx="1">
                  <c:v>1.5349268666582776</c:v>
                </c:pt>
                <c:pt idx="2">
                  <c:v>15.79717663002949</c:v>
                </c:pt>
                <c:pt idx="3">
                  <c:v>14.149772837333421</c:v>
                </c:pt>
                <c:pt idx="4">
                  <c:v>13.969706025107444</c:v>
                </c:pt>
                <c:pt idx="5">
                  <c:v>4.5875466827632687</c:v>
                </c:pt>
                <c:pt idx="6">
                  <c:v>17.736849155506906</c:v>
                </c:pt>
                <c:pt idx="7">
                  <c:v>6.6231548844588577</c:v>
                </c:pt>
                <c:pt idx="8">
                  <c:v>8.4755366566885577</c:v>
                </c:pt>
                <c:pt idx="9">
                  <c:v>24.16683887627492</c:v>
                </c:pt>
                <c:pt idx="10">
                  <c:v>4.3945442742803982</c:v>
                </c:pt>
                <c:pt idx="11">
                  <c:v>23.490409095955751</c:v>
                </c:pt>
                <c:pt idx="12">
                  <c:v>13.28163839658845</c:v>
                </c:pt>
                <c:pt idx="13">
                  <c:v>17.933260661637924</c:v>
                </c:pt>
                <c:pt idx="14">
                  <c:v>5.8437533642001558</c:v>
                </c:pt>
                <c:pt idx="15">
                  <c:v>3.5440606511157213</c:v>
                </c:pt>
                <c:pt idx="16">
                  <c:v>6.6684021358082832</c:v>
                </c:pt>
                <c:pt idx="17">
                  <c:v>19.098052518496303</c:v>
                </c:pt>
                <c:pt idx="18">
                  <c:v>10.035849176637228</c:v>
                </c:pt>
                <c:pt idx="19">
                  <c:v>17.991566631314193</c:v>
                </c:pt>
                <c:pt idx="20">
                  <c:v>6.5437457224932105</c:v>
                </c:pt>
                <c:pt idx="21">
                  <c:v>30.845725311552599</c:v>
                </c:pt>
                <c:pt idx="22">
                  <c:v>30.743921870111329</c:v>
                </c:pt>
                <c:pt idx="23">
                  <c:v>31.744191733408513</c:v>
                </c:pt>
                <c:pt idx="24">
                  <c:v>29.386277512982012</c:v>
                </c:pt>
                <c:pt idx="25">
                  <c:v>30.983947312250525</c:v>
                </c:pt>
                <c:pt idx="26">
                  <c:v>27.347038467463676</c:v>
                </c:pt>
                <c:pt idx="27">
                  <c:v>4.1752558560346058</c:v>
                </c:pt>
                <c:pt idx="28">
                  <c:v>7.942642770553566</c:v>
                </c:pt>
                <c:pt idx="29">
                  <c:v>4.5957943226813489</c:v>
                </c:pt>
                <c:pt idx="30">
                  <c:v>7.3287957967821802</c:v>
                </c:pt>
                <c:pt idx="31">
                  <c:v>16.081501764764212</c:v>
                </c:pt>
                <c:pt idx="32">
                  <c:v>5.2797369208813096</c:v>
                </c:pt>
                <c:pt idx="33">
                  <c:v>10.616855153216594</c:v>
                </c:pt>
                <c:pt idx="34">
                  <c:v>10.964620558655721</c:v>
                </c:pt>
                <c:pt idx="35">
                  <c:v>9.0465897760004541</c:v>
                </c:pt>
                <c:pt idx="36">
                  <c:v>24.748381151748585</c:v>
                </c:pt>
                <c:pt idx="37">
                  <c:v>8.8782416480583066</c:v>
                </c:pt>
                <c:pt idx="38">
                  <c:v>35.879871223975883</c:v>
                </c:pt>
                <c:pt idx="39">
                  <c:v>36.61108680798624</c:v>
                </c:pt>
                <c:pt idx="40">
                  <c:v>34.324836119624457</c:v>
                </c:pt>
                <c:pt idx="41">
                  <c:v>16.96542519590821</c:v>
                </c:pt>
                <c:pt idx="42">
                  <c:v>27.577682775010729</c:v>
                </c:pt>
                <c:pt idx="43">
                  <c:v>34.339896702865474</c:v>
                </c:pt>
                <c:pt idx="44">
                  <c:v>15.112274414674676</c:v>
                </c:pt>
                <c:pt idx="45">
                  <c:v>19.212791026485025</c:v>
                </c:pt>
                <c:pt idx="46">
                  <c:v>8.6566542100512631</c:v>
                </c:pt>
                <c:pt idx="47">
                  <c:v>10.91778260314066</c:v>
                </c:pt>
                <c:pt idx="48">
                  <c:v>30.972668864115242</c:v>
                </c:pt>
                <c:pt idx="49">
                  <c:v>18.63924096940821</c:v>
                </c:pt>
                <c:pt idx="50">
                  <c:v>20.264531697302115</c:v>
                </c:pt>
                <c:pt idx="51">
                  <c:v>21.330827334659148</c:v>
                </c:pt>
                <c:pt idx="52">
                  <c:v>33.711279709506975</c:v>
                </c:pt>
                <c:pt idx="53">
                  <c:v>35.82092261015277</c:v>
                </c:pt>
                <c:pt idx="54">
                  <c:v>24.691234085574006</c:v>
                </c:pt>
                <c:pt idx="55">
                  <c:v>29.253615647232081</c:v>
                </c:pt>
                <c:pt idx="56">
                  <c:v>43.993947331549933</c:v>
                </c:pt>
                <c:pt idx="57">
                  <c:v>25.914458126527148</c:v>
                </c:pt>
                <c:pt idx="58">
                  <c:v>37.049676850971572</c:v>
                </c:pt>
                <c:pt idx="59">
                  <c:v>41.974747885742332</c:v>
                </c:pt>
                <c:pt idx="60">
                  <c:v>12.310634607033</c:v>
                </c:pt>
                <c:pt idx="61">
                  <c:v>33.957735247050316</c:v>
                </c:pt>
                <c:pt idx="62">
                  <c:v>3.6358071950078807</c:v>
                </c:pt>
                <c:pt idx="63">
                  <c:v>12.453726956469696</c:v>
                </c:pt>
                <c:pt idx="64">
                  <c:v>15.30157740470163</c:v>
                </c:pt>
                <c:pt idx="65">
                  <c:v>37.337085504152363</c:v>
                </c:pt>
                <c:pt idx="66">
                  <c:v>35.031199757851844</c:v>
                </c:pt>
                <c:pt idx="67">
                  <c:v>30.616738439388751</c:v>
                </c:pt>
                <c:pt idx="68">
                  <c:v>25.890836460867952</c:v>
                </c:pt>
                <c:pt idx="69">
                  <c:v>16.491610143545309</c:v>
                </c:pt>
                <c:pt idx="70">
                  <c:v>13.557475051662637</c:v>
                </c:pt>
                <c:pt idx="71">
                  <c:v>7.8117802901939699</c:v>
                </c:pt>
                <c:pt idx="72">
                  <c:v>14.020136143782409</c:v>
                </c:pt>
                <c:pt idx="73">
                  <c:v>13.294505954324114</c:v>
                </c:pt>
                <c:pt idx="74">
                  <c:v>13.366519319949196</c:v>
                </c:pt>
                <c:pt idx="75">
                  <c:v>11.0205373095426</c:v>
                </c:pt>
                <c:pt idx="76">
                  <c:v>13.812551923654855</c:v>
                </c:pt>
                <c:pt idx="77">
                  <c:v>27.757709994255286</c:v>
                </c:pt>
                <c:pt idx="78">
                  <c:v>30.71559956354811</c:v>
                </c:pt>
                <c:pt idx="79">
                  <c:v>44.993562864882236</c:v>
                </c:pt>
                <c:pt idx="80">
                  <c:v>42.355240861707152</c:v>
                </c:pt>
                <c:pt idx="81">
                  <c:v>48.164909295345026</c:v>
                </c:pt>
                <c:pt idx="82">
                  <c:v>47.528243187761724</c:v>
                </c:pt>
                <c:pt idx="83">
                  <c:v>39.900281910188014</c:v>
                </c:pt>
                <c:pt idx="84">
                  <c:v>46.148688599317779</c:v>
                </c:pt>
                <c:pt idx="85">
                  <c:v>45.339142447278981</c:v>
                </c:pt>
                <c:pt idx="86">
                  <c:v>36.167341324494387</c:v>
                </c:pt>
                <c:pt idx="87">
                  <c:v>27.105656001186237</c:v>
                </c:pt>
                <c:pt idx="88">
                  <c:v>7.3689098495811889</c:v>
                </c:pt>
                <c:pt idx="89">
                  <c:v>25.016210512946756</c:v>
                </c:pt>
                <c:pt idx="90">
                  <c:v>29.726707883627558</c:v>
                </c:pt>
                <c:pt idx="91">
                  <c:v>19.095667467765658</c:v>
                </c:pt>
                <c:pt idx="92">
                  <c:v>23.661481303164265</c:v>
                </c:pt>
                <c:pt idx="93">
                  <c:v>44.715677020319035</c:v>
                </c:pt>
                <c:pt idx="94">
                  <c:v>51.334351787913043</c:v>
                </c:pt>
                <c:pt idx="95">
                  <c:v>10.850238849220545</c:v>
                </c:pt>
                <c:pt idx="96">
                  <c:v>39.359074251607915</c:v>
                </c:pt>
                <c:pt idx="97">
                  <c:v>33.753384287412622</c:v>
                </c:pt>
                <c:pt idx="98">
                  <c:v>33.270848385679997</c:v>
                </c:pt>
                <c:pt idx="99">
                  <c:v>54.004410371838766</c:v>
                </c:pt>
                <c:pt idx="100">
                  <c:v>45.168099226595821</c:v>
                </c:pt>
                <c:pt idx="101">
                  <c:v>37.555521012648313</c:v>
                </c:pt>
                <c:pt idx="102">
                  <c:v>7.6203001474762795</c:v>
                </c:pt>
                <c:pt idx="103">
                  <c:v>39.458155116069989</c:v>
                </c:pt>
                <c:pt idx="104">
                  <c:v>42.521630629918739</c:v>
                </c:pt>
                <c:pt idx="105">
                  <c:v>41.003778366462861</c:v>
                </c:pt>
                <c:pt idx="106">
                  <c:v>52.939242279888468</c:v>
                </c:pt>
                <c:pt idx="107">
                  <c:v>35.157511021197095</c:v>
                </c:pt>
                <c:pt idx="108">
                  <c:v>8.8722683170710042</c:v>
                </c:pt>
                <c:pt idx="109">
                  <c:v>9.1904321037626122</c:v>
                </c:pt>
                <c:pt idx="110">
                  <c:v>8.745770862970927</c:v>
                </c:pt>
                <c:pt idx="111">
                  <c:v>25.288869414223083</c:v>
                </c:pt>
                <c:pt idx="112">
                  <c:v>8.6161653370116618</c:v>
                </c:pt>
                <c:pt idx="113">
                  <c:v>28.289506544662387</c:v>
                </c:pt>
                <c:pt idx="114">
                  <c:v>43.01970929810885</c:v>
                </c:pt>
                <c:pt idx="115">
                  <c:v>52.891683560911915</c:v>
                </c:pt>
                <c:pt idx="116">
                  <c:v>40.392352918393556</c:v>
                </c:pt>
                <c:pt idx="117">
                  <c:v>22.757868875249375</c:v>
                </c:pt>
                <c:pt idx="118">
                  <c:v>41.295668538900408</c:v>
                </c:pt>
                <c:pt idx="119">
                  <c:v>43.965127131998024</c:v>
                </c:pt>
                <c:pt idx="120">
                  <c:v>47.652257331389613</c:v>
                </c:pt>
                <c:pt idx="121">
                  <c:v>29.525776432464642</c:v>
                </c:pt>
                <c:pt idx="122">
                  <c:v>38.633421851534116</c:v>
                </c:pt>
                <c:pt idx="123">
                  <c:v>20.667816335522389</c:v>
                </c:pt>
                <c:pt idx="124">
                  <c:v>43.282798844707727</c:v>
                </c:pt>
                <c:pt idx="125">
                  <c:v>41.154684800623585</c:v>
                </c:pt>
                <c:pt idx="126">
                  <c:v>51.157029147407883</c:v>
                </c:pt>
                <c:pt idx="127">
                  <c:v>50.341349986492887</c:v>
                </c:pt>
                <c:pt idx="128">
                  <c:v>55.498704660793138</c:v>
                </c:pt>
                <c:pt idx="129">
                  <c:v>53.494932937255506</c:v>
                </c:pt>
                <c:pt idx="130">
                  <c:v>57.331600213495371</c:v>
                </c:pt>
                <c:pt idx="131">
                  <c:v>40.984499481502709</c:v>
                </c:pt>
                <c:pt idx="132">
                  <c:v>42.068394723140869</c:v>
                </c:pt>
                <c:pt idx="133">
                  <c:v>52.177864937876912</c:v>
                </c:pt>
                <c:pt idx="134">
                  <c:v>54.420015129208736</c:v>
                </c:pt>
                <c:pt idx="135">
                  <c:v>52.039527990080131</c:v>
                </c:pt>
                <c:pt idx="136">
                  <c:v>55.237600081525827</c:v>
                </c:pt>
                <c:pt idx="137">
                  <c:v>52.342099675104052</c:v>
                </c:pt>
                <c:pt idx="138">
                  <c:v>55.784934457306164</c:v>
                </c:pt>
                <c:pt idx="139">
                  <c:v>50.750020665223936</c:v>
                </c:pt>
                <c:pt idx="140">
                  <c:v>51.761785057598743</c:v>
                </c:pt>
                <c:pt idx="141">
                  <c:v>41.164674137247211</c:v>
                </c:pt>
                <c:pt idx="142">
                  <c:v>19.29383268667755</c:v>
                </c:pt>
                <c:pt idx="143">
                  <c:v>16.852845797898983</c:v>
                </c:pt>
                <c:pt idx="144">
                  <c:v>42.862920809744026</c:v>
                </c:pt>
                <c:pt idx="145">
                  <c:v>27.963638342913061</c:v>
                </c:pt>
                <c:pt idx="146">
                  <c:v>44.358109263253013</c:v>
                </c:pt>
                <c:pt idx="147">
                  <c:v>55.197551065956652</c:v>
                </c:pt>
                <c:pt idx="148">
                  <c:v>59.713117936292839</c:v>
                </c:pt>
                <c:pt idx="149">
                  <c:v>48.189560524500642</c:v>
                </c:pt>
                <c:pt idx="150">
                  <c:v>53.984584849633684</c:v>
                </c:pt>
                <c:pt idx="151">
                  <c:v>55.981175114917242</c:v>
                </c:pt>
                <c:pt idx="152">
                  <c:v>42.338026644988773</c:v>
                </c:pt>
                <c:pt idx="153">
                  <c:v>55.57460572578745</c:v>
                </c:pt>
                <c:pt idx="154">
                  <c:v>25.146050524095408</c:v>
                </c:pt>
                <c:pt idx="155">
                  <c:v>34.80181384040457</c:v>
                </c:pt>
                <c:pt idx="156">
                  <c:v>49.872550079559545</c:v>
                </c:pt>
                <c:pt idx="157">
                  <c:v>25.654864666649551</c:v>
                </c:pt>
                <c:pt idx="158">
                  <c:v>21.183157077537714</c:v>
                </c:pt>
                <c:pt idx="159">
                  <c:v>49.968681182947108</c:v>
                </c:pt>
                <c:pt idx="160">
                  <c:v>57.708266180757462</c:v>
                </c:pt>
                <c:pt idx="161">
                  <c:v>56.057833595165697</c:v>
                </c:pt>
                <c:pt idx="162">
                  <c:v>44.153055443957612</c:v>
                </c:pt>
                <c:pt idx="163">
                  <c:v>53.124553286702486</c:v>
                </c:pt>
                <c:pt idx="164">
                  <c:v>51.087107093425338</c:v>
                </c:pt>
                <c:pt idx="165">
                  <c:v>54.311360112618779</c:v>
                </c:pt>
                <c:pt idx="166">
                  <c:v>52.376177269804188</c:v>
                </c:pt>
                <c:pt idx="167">
                  <c:v>52.290249711988906</c:v>
                </c:pt>
                <c:pt idx="168">
                  <c:v>55.75881261837818</c:v>
                </c:pt>
                <c:pt idx="169">
                  <c:v>56.844374136719203</c:v>
                </c:pt>
                <c:pt idx="170">
                  <c:v>30.046407924762512</c:v>
                </c:pt>
                <c:pt idx="171">
                  <c:v>22.399511765967308</c:v>
                </c:pt>
                <c:pt idx="172">
                  <c:v>42.350253647289918</c:v>
                </c:pt>
                <c:pt idx="173">
                  <c:v>43.011353166783664</c:v>
                </c:pt>
                <c:pt idx="174">
                  <c:v>39.524410953112884</c:v>
                </c:pt>
                <c:pt idx="175">
                  <c:v>37.398843761879462</c:v>
                </c:pt>
                <c:pt idx="176">
                  <c:v>12.118384429513014</c:v>
                </c:pt>
                <c:pt idx="177">
                  <c:v>14.922719185259167</c:v>
                </c:pt>
                <c:pt idx="178">
                  <c:v>57.268124497529236</c:v>
                </c:pt>
                <c:pt idx="179">
                  <c:v>56.807432797107786</c:v>
                </c:pt>
                <c:pt idx="180">
                  <c:v>13.976182196155477</c:v>
                </c:pt>
                <c:pt idx="181">
                  <c:v>47.476905593994488</c:v>
                </c:pt>
                <c:pt idx="182">
                  <c:v>34.722012172368572</c:v>
                </c:pt>
                <c:pt idx="183">
                  <c:v>49.339428152175159</c:v>
                </c:pt>
                <c:pt idx="184">
                  <c:v>44.678867020266459</c:v>
                </c:pt>
                <c:pt idx="185">
                  <c:v>55.695483554018061</c:v>
                </c:pt>
                <c:pt idx="186">
                  <c:v>45.416799679340755</c:v>
                </c:pt>
                <c:pt idx="187">
                  <c:v>55.383073397100695</c:v>
                </c:pt>
                <c:pt idx="188">
                  <c:v>57.201551360280796</c:v>
                </c:pt>
                <c:pt idx="189">
                  <c:v>56.523505446120616</c:v>
                </c:pt>
                <c:pt idx="190">
                  <c:v>55.821448475666017</c:v>
                </c:pt>
                <c:pt idx="191">
                  <c:v>54.85760418119159</c:v>
                </c:pt>
                <c:pt idx="192">
                  <c:v>54.456976863158637</c:v>
                </c:pt>
                <c:pt idx="193">
                  <c:v>53.948573849095119</c:v>
                </c:pt>
                <c:pt idx="194">
                  <c:v>53.634650300238341</c:v>
                </c:pt>
                <c:pt idx="195">
                  <c:v>51.446727080727825</c:v>
                </c:pt>
                <c:pt idx="196">
                  <c:v>52.85770198151728</c:v>
                </c:pt>
                <c:pt idx="197">
                  <c:v>52.999105422002536</c:v>
                </c:pt>
                <c:pt idx="198">
                  <c:v>55.196212619602221</c:v>
                </c:pt>
                <c:pt idx="199">
                  <c:v>43.269342463798523</c:v>
                </c:pt>
                <c:pt idx="200">
                  <c:v>43.366834826337289</c:v>
                </c:pt>
                <c:pt idx="201">
                  <c:v>52.459927969598112</c:v>
                </c:pt>
                <c:pt idx="202">
                  <c:v>44.092978012677982</c:v>
                </c:pt>
                <c:pt idx="203">
                  <c:v>44.046103213027337</c:v>
                </c:pt>
                <c:pt idx="204">
                  <c:v>52.707096160945767</c:v>
                </c:pt>
                <c:pt idx="205">
                  <c:v>25.884956488347036</c:v>
                </c:pt>
                <c:pt idx="206">
                  <c:v>54.961272622489929</c:v>
                </c:pt>
                <c:pt idx="207">
                  <c:v>56.356181874300951</c:v>
                </c:pt>
                <c:pt idx="208">
                  <c:v>42.676605909449464</c:v>
                </c:pt>
                <c:pt idx="209">
                  <c:v>29.542547144340496</c:v>
                </c:pt>
                <c:pt idx="210">
                  <c:v>47.514135485072892</c:v>
                </c:pt>
                <c:pt idx="211">
                  <c:v>54.024750543001254</c:v>
                </c:pt>
                <c:pt idx="212">
                  <c:v>53.675512638308817</c:v>
                </c:pt>
                <c:pt idx="213">
                  <c:v>53.744719113400329</c:v>
                </c:pt>
                <c:pt idx="214">
                  <c:v>53.111781537474421</c:v>
                </c:pt>
                <c:pt idx="215">
                  <c:v>51.6171176256778</c:v>
                </c:pt>
                <c:pt idx="216">
                  <c:v>42.526518570463097</c:v>
                </c:pt>
                <c:pt idx="217">
                  <c:v>50.066880551512462</c:v>
                </c:pt>
                <c:pt idx="218">
                  <c:v>52.481805187863841</c:v>
                </c:pt>
                <c:pt idx="219">
                  <c:v>53.224224672155664</c:v>
                </c:pt>
                <c:pt idx="220">
                  <c:v>51.111518457942374</c:v>
                </c:pt>
                <c:pt idx="221">
                  <c:v>49.227827993034992</c:v>
                </c:pt>
                <c:pt idx="222">
                  <c:v>47.721208118065874</c:v>
                </c:pt>
                <c:pt idx="223">
                  <c:v>47.979097106479912</c:v>
                </c:pt>
                <c:pt idx="224">
                  <c:v>37.476940729243871</c:v>
                </c:pt>
                <c:pt idx="225">
                  <c:v>33.778798650859741</c:v>
                </c:pt>
                <c:pt idx="226">
                  <c:v>36.113838331742436</c:v>
                </c:pt>
                <c:pt idx="227">
                  <c:v>37.38638161035491</c:v>
                </c:pt>
                <c:pt idx="228">
                  <c:v>28.911691523408997</c:v>
                </c:pt>
                <c:pt idx="229">
                  <c:v>36.700215656093675</c:v>
                </c:pt>
                <c:pt idx="230">
                  <c:v>38.316749326727503</c:v>
                </c:pt>
                <c:pt idx="231">
                  <c:v>50.108953831750341</c:v>
                </c:pt>
                <c:pt idx="232">
                  <c:v>37.425868484518958</c:v>
                </c:pt>
                <c:pt idx="233">
                  <c:v>27.032256231048045</c:v>
                </c:pt>
                <c:pt idx="234">
                  <c:v>48.431245557996974</c:v>
                </c:pt>
                <c:pt idx="235">
                  <c:v>48.971611094897973</c:v>
                </c:pt>
                <c:pt idx="236">
                  <c:v>29.456131966481053</c:v>
                </c:pt>
                <c:pt idx="237">
                  <c:v>39.360604451619011</c:v>
                </c:pt>
                <c:pt idx="238">
                  <c:v>47.656615123175172</c:v>
                </c:pt>
                <c:pt idx="239">
                  <c:v>48.724528688845297</c:v>
                </c:pt>
                <c:pt idx="240">
                  <c:v>33.502418033562684</c:v>
                </c:pt>
                <c:pt idx="241">
                  <c:v>48.076384398259066</c:v>
                </c:pt>
                <c:pt idx="242">
                  <c:v>24.911764609094323</c:v>
                </c:pt>
                <c:pt idx="243">
                  <c:v>39.073788098088308</c:v>
                </c:pt>
                <c:pt idx="244">
                  <c:v>37.223844874949229</c:v>
                </c:pt>
                <c:pt idx="245">
                  <c:v>38.720432077333456</c:v>
                </c:pt>
                <c:pt idx="246">
                  <c:v>48.146937545722707</c:v>
                </c:pt>
                <c:pt idx="247">
                  <c:v>42.537607561242936</c:v>
                </c:pt>
                <c:pt idx="248">
                  <c:v>43.771607626583211</c:v>
                </c:pt>
                <c:pt idx="249">
                  <c:v>36.618086452228184</c:v>
                </c:pt>
                <c:pt idx="250">
                  <c:v>36.421849538469054</c:v>
                </c:pt>
                <c:pt idx="251">
                  <c:v>20.111794684846561</c:v>
                </c:pt>
                <c:pt idx="252">
                  <c:v>46.713669694715072</c:v>
                </c:pt>
                <c:pt idx="253">
                  <c:v>47.116493282660137</c:v>
                </c:pt>
                <c:pt idx="254">
                  <c:v>36.938534462924324</c:v>
                </c:pt>
                <c:pt idx="255">
                  <c:v>14.684449630331502</c:v>
                </c:pt>
                <c:pt idx="256">
                  <c:v>36.982194374016792</c:v>
                </c:pt>
                <c:pt idx="257">
                  <c:v>40.660253207120881</c:v>
                </c:pt>
                <c:pt idx="258">
                  <c:v>29.410180765629267</c:v>
                </c:pt>
                <c:pt idx="259">
                  <c:v>47.453868363052855</c:v>
                </c:pt>
                <c:pt idx="260">
                  <c:v>45.867829201378044</c:v>
                </c:pt>
                <c:pt idx="261">
                  <c:v>46.419460978702958</c:v>
                </c:pt>
                <c:pt idx="262">
                  <c:v>47.886172375182056</c:v>
                </c:pt>
                <c:pt idx="263">
                  <c:v>46.665173508143234</c:v>
                </c:pt>
                <c:pt idx="264">
                  <c:v>45.389530052263801</c:v>
                </c:pt>
                <c:pt idx="265">
                  <c:v>32.126534093613813</c:v>
                </c:pt>
                <c:pt idx="266">
                  <c:v>18.262388881224094</c:v>
                </c:pt>
                <c:pt idx="267">
                  <c:v>35.696995807462464</c:v>
                </c:pt>
                <c:pt idx="268">
                  <c:v>35.560511187695255</c:v>
                </c:pt>
                <c:pt idx="269">
                  <c:v>16.969438836256707</c:v>
                </c:pt>
                <c:pt idx="270">
                  <c:v>19.359305702739917</c:v>
                </c:pt>
                <c:pt idx="271">
                  <c:v>23.282095503447167</c:v>
                </c:pt>
                <c:pt idx="272">
                  <c:v>25.727301836438404</c:v>
                </c:pt>
                <c:pt idx="273">
                  <c:v>37.165746618096833</c:v>
                </c:pt>
                <c:pt idx="274">
                  <c:v>40.239107946714292</c:v>
                </c:pt>
                <c:pt idx="275">
                  <c:v>36.467595233377395</c:v>
                </c:pt>
                <c:pt idx="276">
                  <c:v>42.831069488678452</c:v>
                </c:pt>
                <c:pt idx="277">
                  <c:v>44.588121470606637</c:v>
                </c:pt>
                <c:pt idx="278">
                  <c:v>11.943300603352768</c:v>
                </c:pt>
                <c:pt idx="279">
                  <c:v>32.603164010841958</c:v>
                </c:pt>
                <c:pt idx="280">
                  <c:v>15.277571166648414</c:v>
                </c:pt>
                <c:pt idx="281">
                  <c:v>40.700921068226165</c:v>
                </c:pt>
                <c:pt idx="282">
                  <c:v>34.517662185176</c:v>
                </c:pt>
                <c:pt idx="283">
                  <c:v>23.582721162924894</c:v>
                </c:pt>
                <c:pt idx="284">
                  <c:v>27.807136633833988</c:v>
                </c:pt>
                <c:pt idx="285">
                  <c:v>24.46320820032626</c:v>
                </c:pt>
                <c:pt idx="286">
                  <c:v>17.53751288286896</c:v>
                </c:pt>
                <c:pt idx="287">
                  <c:v>40.022245167221875</c:v>
                </c:pt>
                <c:pt idx="288">
                  <c:v>34.437875684677365</c:v>
                </c:pt>
                <c:pt idx="289">
                  <c:v>19.250594170591196</c:v>
                </c:pt>
                <c:pt idx="290">
                  <c:v>37.113743760440848</c:v>
                </c:pt>
                <c:pt idx="291">
                  <c:v>17.432417333886946</c:v>
                </c:pt>
                <c:pt idx="292">
                  <c:v>6.9919641301526632</c:v>
                </c:pt>
                <c:pt idx="293">
                  <c:v>18.056967084498815</c:v>
                </c:pt>
                <c:pt idx="294">
                  <c:v>35.192004051075536</c:v>
                </c:pt>
                <c:pt idx="295">
                  <c:v>17.108204188797259</c:v>
                </c:pt>
                <c:pt idx="296">
                  <c:v>29.054583855934219</c:v>
                </c:pt>
                <c:pt idx="297">
                  <c:v>23.6474693645015</c:v>
                </c:pt>
                <c:pt idx="298">
                  <c:v>13.056027097347874</c:v>
                </c:pt>
                <c:pt idx="299">
                  <c:v>16.842607497992486</c:v>
                </c:pt>
                <c:pt idx="300">
                  <c:v>17.556750503275669</c:v>
                </c:pt>
                <c:pt idx="301">
                  <c:v>28.774514467151853</c:v>
                </c:pt>
                <c:pt idx="302">
                  <c:v>26.409518628858532</c:v>
                </c:pt>
                <c:pt idx="303">
                  <c:v>24.858929936201644</c:v>
                </c:pt>
                <c:pt idx="304">
                  <c:v>19.673530242783364</c:v>
                </c:pt>
                <c:pt idx="305">
                  <c:v>30.373179055608915</c:v>
                </c:pt>
                <c:pt idx="306">
                  <c:v>9.603708768432357</c:v>
                </c:pt>
                <c:pt idx="307">
                  <c:v>17.223724441339474</c:v>
                </c:pt>
                <c:pt idx="308">
                  <c:v>32.212187069694863</c:v>
                </c:pt>
                <c:pt idx="309">
                  <c:v>33.55110008586275</c:v>
                </c:pt>
                <c:pt idx="310">
                  <c:v>32.109061443790928</c:v>
                </c:pt>
                <c:pt idx="311">
                  <c:v>23.790722080362354</c:v>
                </c:pt>
                <c:pt idx="312">
                  <c:v>10.619780345737897</c:v>
                </c:pt>
                <c:pt idx="313">
                  <c:v>19.920678445708681</c:v>
                </c:pt>
                <c:pt idx="314">
                  <c:v>31.428520474764795</c:v>
                </c:pt>
                <c:pt idx="315">
                  <c:v>30.693468215815461</c:v>
                </c:pt>
                <c:pt idx="316">
                  <c:v>29.721637125182067</c:v>
                </c:pt>
                <c:pt idx="317">
                  <c:v>11.257373187723365</c:v>
                </c:pt>
                <c:pt idx="318">
                  <c:v>12.91591645531039</c:v>
                </c:pt>
                <c:pt idx="319">
                  <c:v>30.273501599533372</c:v>
                </c:pt>
                <c:pt idx="320">
                  <c:v>13.608758045101272</c:v>
                </c:pt>
                <c:pt idx="321">
                  <c:v>17.350626350028534</c:v>
                </c:pt>
                <c:pt idx="322">
                  <c:v>6.8464109666760065</c:v>
                </c:pt>
                <c:pt idx="323">
                  <c:v>17.613923556395857</c:v>
                </c:pt>
                <c:pt idx="324">
                  <c:v>3.1475049207143306</c:v>
                </c:pt>
                <c:pt idx="325">
                  <c:v>8.0647477062444075</c:v>
                </c:pt>
                <c:pt idx="326">
                  <c:v>13.293484123927412</c:v>
                </c:pt>
                <c:pt idx="327">
                  <c:v>14.253988138806353</c:v>
                </c:pt>
                <c:pt idx="328">
                  <c:v>4.5432524593153145</c:v>
                </c:pt>
                <c:pt idx="329">
                  <c:v>10.57718742156595</c:v>
                </c:pt>
                <c:pt idx="330">
                  <c:v>16.449968881154852</c:v>
                </c:pt>
                <c:pt idx="331">
                  <c:v>10.211761925492942</c:v>
                </c:pt>
                <c:pt idx="332">
                  <c:v>15.191919253974124</c:v>
                </c:pt>
                <c:pt idx="333">
                  <c:v>3.8921298975144754</c:v>
                </c:pt>
                <c:pt idx="334">
                  <c:v>3.7032356821638008</c:v>
                </c:pt>
                <c:pt idx="335">
                  <c:v>5.5504756721084902</c:v>
                </c:pt>
                <c:pt idx="336">
                  <c:v>10.751876778310201</c:v>
                </c:pt>
                <c:pt idx="337">
                  <c:v>17.418842898692649</c:v>
                </c:pt>
                <c:pt idx="338">
                  <c:v>26.969059968864812</c:v>
                </c:pt>
                <c:pt idx="339">
                  <c:v>12.127939304557223</c:v>
                </c:pt>
                <c:pt idx="340">
                  <c:v>22.277020891127222</c:v>
                </c:pt>
                <c:pt idx="341">
                  <c:v>4.0939578299414396</c:v>
                </c:pt>
                <c:pt idx="342">
                  <c:v>4.9469794081441139</c:v>
                </c:pt>
                <c:pt idx="343">
                  <c:v>11.436027237655425</c:v>
                </c:pt>
                <c:pt idx="344">
                  <c:v>17.992877446224469</c:v>
                </c:pt>
                <c:pt idx="345">
                  <c:v>6.9364945183528732</c:v>
                </c:pt>
                <c:pt idx="346">
                  <c:v>5.3836519864202135</c:v>
                </c:pt>
                <c:pt idx="347">
                  <c:v>17.487631083149282</c:v>
                </c:pt>
                <c:pt idx="348">
                  <c:v>5.856876009067034</c:v>
                </c:pt>
                <c:pt idx="349">
                  <c:v>5.2289948637740169</c:v>
                </c:pt>
                <c:pt idx="350">
                  <c:v>3.4501353454896111</c:v>
                </c:pt>
                <c:pt idx="351">
                  <c:v>24.425395407507736</c:v>
                </c:pt>
                <c:pt idx="352">
                  <c:v>19.672444598362883</c:v>
                </c:pt>
                <c:pt idx="353">
                  <c:v>4.3372514786656513</c:v>
                </c:pt>
                <c:pt idx="354">
                  <c:v>22.359317931303128</c:v>
                </c:pt>
                <c:pt idx="355">
                  <c:v>20.013853391675411</c:v>
                </c:pt>
                <c:pt idx="356">
                  <c:v>20.361087098717533</c:v>
                </c:pt>
                <c:pt idx="357">
                  <c:v>22.387975948655832</c:v>
                </c:pt>
                <c:pt idx="358">
                  <c:v>13.213897875826317</c:v>
                </c:pt>
                <c:pt idx="359">
                  <c:v>22.124957496249138</c:v>
                </c:pt>
                <c:pt idx="360">
                  <c:v>7.2297436808190572</c:v>
                </c:pt>
                <c:pt idx="361">
                  <c:v>24.432349727155021</c:v>
                </c:pt>
                <c:pt idx="362">
                  <c:v>10.840021618049235</c:v>
                </c:pt>
                <c:pt idx="363">
                  <c:v>14.062300151260374</c:v>
                </c:pt>
                <c:pt idx="364">
                  <c:v>13.169929064155497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9.5862370722240904</c:v>
                </c:pt>
                <c:pt idx="1">
                  <c:v>1.5349268666582776</c:v>
                </c:pt>
                <c:pt idx="2">
                  <c:v>15.79717663002949</c:v>
                </c:pt>
                <c:pt idx="3">
                  <c:v>14.149772837333421</c:v>
                </c:pt>
                <c:pt idx="4">
                  <c:v>13.969706025107444</c:v>
                </c:pt>
                <c:pt idx="5">
                  <c:v>4.5875466827632687</c:v>
                </c:pt>
                <c:pt idx="6">
                  <c:v>17.736849155506906</c:v>
                </c:pt>
                <c:pt idx="7">
                  <c:v>6.6231548844588577</c:v>
                </c:pt>
                <c:pt idx="8">
                  <c:v>8.4755366566885577</c:v>
                </c:pt>
                <c:pt idx="9">
                  <c:v>24.16683887627492</c:v>
                </c:pt>
                <c:pt idx="10">
                  <c:v>4.3945442742803982</c:v>
                </c:pt>
                <c:pt idx="11">
                  <c:v>23.490409095955751</c:v>
                </c:pt>
                <c:pt idx="12">
                  <c:v>13.28163839658845</c:v>
                </c:pt>
                <c:pt idx="13">
                  <c:v>17.933260661637924</c:v>
                </c:pt>
                <c:pt idx="14">
                  <c:v>5.8437533642001558</c:v>
                </c:pt>
                <c:pt idx="15">
                  <c:v>3.5440606511157213</c:v>
                </c:pt>
                <c:pt idx="16">
                  <c:v>6.6684021358082832</c:v>
                </c:pt>
                <c:pt idx="17">
                  <c:v>19.098052518496303</c:v>
                </c:pt>
                <c:pt idx="18">
                  <c:v>10.035849176637228</c:v>
                </c:pt>
                <c:pt idx="19">
                  <c:v>17.991566631314193</c:v>
                </c:pt>
                <c:pt idx="20">
                  <c:v>6.5437457224932105</c:v>
                </c:pt>
                <c:pt idx="21">
                  <c:v>30.845725311552599</c:v>
                </c:pt>
                <c:pt idx="22">
                  <c:v>30.743921870111329</c:v>
                </c:pt>
                <c:pt idx="23">
                  <c:v>31.744191733408513</c:v>
                </c:pt>
                <c:pt idx="24">
                  <c:v>29.386277512982012</c:v>
                </c:pt>
                <c:pt idx="25">
                  <c:v>30.983947312250525</c:v>
                </c:pt>
                <c:pt idx="26">
                  <c:v>27.347038467463676</c:v>
                </c:pt>
                <c:pt idx="27">
                  <c:v>4.1752558560346058</c:v>
                </c:pt>
                <c:pt idx="28">
                  <c:v>7.942642770553566</c:v>
                </c:pt>
                <c:pt idx="29">
                  <c:v>4.5957943226813489</c:v>
                </c:pt>
                <c:pt idx="30">
                  <c:v>7.3287957967821802</c:v>
                </c:pt>
                <c:pt idx="31">
                  <c:v>16.081501764764212</c:v>
                </c:pt>
                <c:pt idx="32">
                  <c:v>5.2797369208813096</c:v>
                </c:pt>
                <c:pt idx="33">
                  <c:v>10.616855153216594</c:v>
                </c:pt>
                <c:pt idx="34">
                  <c:v>10.964620558655721</c:v>
                </c:pt>
                <c:pt idx="35">
                  <c:v>9.0465897760004541</c:v>
                </c:pt>
                <c:pt idx="36">
                  <c:v>24.748381151748585</c:v>
                </c:pt>
                <c:pt idx="37">
                  <c:v>8.8782416480583066</c:v>
                </c:pt>
                <c:pt idx="38">
                  <c:v>35.879871223975883</c:v>
                </c:pt>
                <c:pt idx="39">
                  <c:v>36.61108680798624</c:v>
                </c:pt>
                <c:pt idx="40">
                  <c:v>34.324836119624457</c:v>
                </c:pt>
                <c:pt idx="41">
                  <c:v>16.96542519590821</c:v>
                </c:pt>
                <c:pt idx="42">
                  <c:v>27.577682775010729</c:v>
                </c:pt>
                <c:pt idx="43">
                  <c:v>34.339896702865474</c:v>
                </c:pt>
                <c:pt idx="44">
                  <c:v>15.112274414674676</c:v>
                </c:pt>
                <c:pt idx="45">
                  <c:v>19.212791026485025</c:v>
                </c:pt>
                <c:pt idx="46">
                  <c:v>8.6566542100512631</c:v>
                </c:pt>
                <c:pt idx="47">
                  <c:v>10.91778260314066</c:v>
                </c:pt>
                <c:pt idx="48">
                  <c:v>30.972668864115242</c:v>
                </c:pt>
                <c:pt idx="49">
                  <c:v>18.63924096940821</c:v>
                </c:pt>
                <c:pt idx="50">
                  <c:v>20.264531697302115</c:v>
                </c:pt>
                <c:pt idx="51">
                  <c:v>21.330827334659148</c:v>
                </c:pt>
                <c:pt idx="52">
                  <c:v>33.711279709506975</c:v>
                </c:pt>
                <c:pt idx="53">
                  <c:v>35.82092261015277</c:v>
                </c:pt>
                <c:pt idx="54">
                  <c:v>24.691234085574006</c:v>
                </c:pt>
                <c:pt idx="55">
                  <c:v>29.253615647232081</c:v>
                </c:pt>
                <c:pt idx="56">
                  <c:v>43.993947331549933</c:v>
                </c:pt>
                <c:pt idx="57">
                  <c:v>25.914458126527148</c:v>
                </c:pt>
                <c:pt idx="58">
                  <c:v>37.049676850971572</c:v>
                </c:pt>
                <c:pt idx="59">
                  <c:v>41.974747885742332</c:v>
                </c:pt>
                <c:pt idx="60">
                  <c:v>12.310634607033</c:v>
                </c:pt>
                <c:pt idx="61">
                  <c:v>33.957735247050316</c:v>
                </c:pt>
                <c:pt idx="62">
                  <c:v>3.6358071950078807</c:v>
                </c:pt>
                <c:pt idx="63">
                  <c:v>12.453726956469696</c:v>
                </c:pt>
                <c:pt idx="64">
                  <c:v>15.30157740470163</c:v>
                </c:pt>
                <c:pt idx="65">
                  <c:v>37.337085504152363</c:v>
                </c:pt>
                <c:pt idx="66">
                  <c:v>35.031199757851844</c:v>
                </c:pt>
                <c:pt idx="67">
                  <c:v>30.616738439388751</c:v>
                </c:pt>
                <c:pt idx="68">
                  <c:v>25.890836460867952</c:v>
                </c:pt>
                <c:pt idx="69">
                  <c:v>16.491610143545309</c:v>
                </c:pt>
                <c:pt idx="70">
                  <c:v>13.557475051662637</c:v>
                </c:pt>
                <c:pt idx="71">
                  <c:v>7.8117802901939699</c:v>
                </c:pt>
                <c:pt idx="72">
                  <c:v>14.020136143782409</c:v>
                </c:pt>
                <c:pt idx="73">
                  <c:v>13.294505954324114</c:v>
                </c:pt>
                <c:pt idx="74">
                  <c:v>13.366519319949196</c:v>
                </c:pt>
                <c:pt idx="75">
                  <c:v>11.0205373095426</c:v>
                </c:pt>
                <c:pt idx="76">
                  <c:v>13.812551923654855</c:v>
                </c:pt>
                <c:pt idx="77">
                  <c:v>27.757709994255286</c:v>
                </c:pt>
                <c:pt idx="78">
                  <c:v>30.71559956354811</c:v>
                </c:pt>
                <c:pt idx="79">
                  <c:v>44.993562864882236</c:v>
                </c:pt>
                <c:pt idx="80">
                  <c:v>42.355240861707152</c:v>
                </c:pt>
                <c:pt idx="81">
                  <c:v>48.164909295345026</c:v>
                </c:pt>
                <c:pt idx="82">
                  <c:v>47.528243187761724</c:v>
                </c:pt>
                <c:pt idx="83">
                  <c:v>39.900281910188014</c:v>
                </c:pt>
                <c:pt idx="84">
                  <c:v>46.148688599317779</c:v>
                </c:pt>
                <c:pt idx="85">
                  <c:v>45.339142447278981</c:v>
                </c:pt>
                <c:pt idx="86">
                  <c:v>36.167341324494387</c:v>
                </c:pt>
                <c:pt idx="87">
                  <c:v>27.105656001186237</c:v>
                </c:pt>
                <c:pt idx="88">
                  <c:v>7.3689098495811889</c:v>
                </c:pt>
                <c:pt idx="89">
                  <c:v>25.016210512946756</c:v>
                </c:pt>
                <c:pt idx="90">
                  <c:v>29.726707883627558</c:v>
                </c:pt>
                <c:pt idx="91">
                  <c:v>19.095667467765658</c:v>
                </c:pt>
                <c:pt idx="92">
                  <c:v>23.661481303164265</c:v>
                </c:pt>
                <c:pt idx="93">
                  <c:v>44.715677020319035</c:v>
                </c:pt>
                <c:pt idx="94">
                  <c:v>51.334351787913043</c:v>
                </c:pt>
                <c:pt idx="95">
                  <c:v>10.850238849220545</c:v>
                </c:pt>
                <c:pt idx="96">
                  <c:v>39.359074251607915</c:v>
                </c:pt>
                <c:pt idx="97">
                  <c:v>33.753384287412622</c:v>
                </c:pt>
                <c:pt idx="98">
                  <c:v>33.270848385679997</c:v>
                </c:pt>
                <c:pt idx="99">
                  <c:v>54.004410371838766</c:v>
                </c:pt>
                <c:pt idx="100">
                  <c:v>45.168099226595821</c:v>
                </c:pt>
                <c:pt idx="101">
                  <c:v>37.555521012648313</c:v>
                </c:pt>
                <c:pt idx="102">
                  <c:v>7.6203001474762795</c:v>
                </c:pt>
                <c:pt idx="103">
                  <c:v>39.458155116069989</c:v>
                </c:pt>
                <c:pt idx="104">
                  <c:v>42.521630629918739</c:v>
                </c:pt>
                <c:pt idx="105">
                  <c:v>41.003778366462861</c:v>
                </c:pt>
                <c:pt idx="106">
                  <c:v>52.939242279888468</c:v>
                </c:pt>
                <c:pt idx="107">
                  <c:v>35.157511021197095</c:v>
                </c:pt>
                <c:pt idx="108">
                  <c:v>8.8722683170710042</c:v>
                </c:pt>
                <c:pt idx="109">
                  <c:v>9.1904321037626122</c:v>
                </c:pt>
                <c:pt idx="110">
                  <c:v>8.745770862970927</c:v>
                </c:pt>
                <c:pt idx="111">
                  <c:v>25.288869414223083</c:v>
                </c:pt>
                <c:pt idx="112">
                  <c:v>8.6161653370116618</c:v>
                </c:pt>
                <c:pt idx="113">
                  <c:v>28.289506544662387</c:v>
                </c:pt>
                <c:pt idx="114">
                  <c:v>43.01970929810885</c:v>
                </c:pt>
                <c:pt idx="115">
                  <c:v>52.891683560911915</c:v>
                </c:pt>
                <c:pt idx="116">
                  <c:v>40.392352918393556</c:v>
                </c:pt>
                <c:pt idx="117">
                  <c:v>22.757868875249375</c:v>
                </c:pt>
                <c:pt idx="118">
                  <c:v>41.295668538900408</c:v>
                </c:pt>
                <c:pt idx="119">
                  <c:v>43.965127131998024</c:v>
                </c:pt>
                <c:pt idx="120">
                  <c:v>47.652257331389613</c:v>
                </c:pt>
                <c:pt idx="121">
                  <c:v>29.525776432464642</c:v>
                </c:pt>
                <c:pt idx="122">
                  <c:v>38.633421851534116</c:v>
                </c:pt>
                <c:pt idx="123">
                  <c:v>20.667816335522389</c:v>
                </c:pt>
                <c:pt idx="124">
                  <c:v>43.282798844707727</c:v>
                </c:pt>
                <c:pt idx="125">
                  <c:v>41.154684800623585</c:v>
                </c:pt>
                <c:pt idx="126">
                  <c:v>51.157029147407883</c:v>
                </c:pt>
                <c:pt idx="127">
                  <c:v>50.341349986492887</c:v>
                </c:pt>
                <c:pt idx="128">
                  <c:v>55.498704660793138</c:v>
                </c:pt>
                <c:pt idx="129">
                  <c:v>53.494932937255506</c:v>
                </c:pt>
                <c:pt idx="130">
                  <c:v>57.331600213495371</c:v>
                </c:pt>
                <c:pt idx="131">
                  <c:v>40.984499481502709</c:v>
                </c:pt>
                <c:pt idx="132">
                  <c:v>42.068394723140869</c:v>
                </c:pt>
                <c:pt idx="133">
                  <c:v>52.177864937876912</c:v>
                </c:pt>
                <c:pt idx="134">
                  <c:v>54.420015129208736</c:v>
                </c:pt>
                <c:pt idx="135">
                  <c:v>52.039527990080131</c:v>
                </c:pt>
                <c:pt idx="136">
                  <c:v>55.237600081525827</c:v>
                </c:pt>
                <c:pt idx="137">
                  <c:v>52.342099675104052</c:v>
                </c:pt>
                <c:pt idx="138">
                  <c:v>55.784934457306164</c:v>
                </c:pt>
                <c:pt idx="139">
                  <c:v>50.750020665223936</c:v>
                </c:pt>
                <c:pt idx="140">
                  <c:v>51.761785057598743</c:v>
                </c:pt>
                <c:pt idx="141">
                  <c:v>41.164674137247211</c:v>
                </c:pt>
                <c:pt idx="142">
                  <c:v>19.29383268667755</c:v>
                </c:pt>
                <c:pt idx="143">
                  <c:v>16.852845797898983</c:v>
                </c:pt>
                <c:pt idx="144">
                  <c:v>42.862920809744026</c:v>
                </c:pt>
                <c:pt idx="145">
                  <c:v>27.963638342913061</c:v>
                </c:pt>
                <c:pt idx="146">
                  <c:v>44.358109263253013</c:v>
                </c:pt>
                <c:pt idx="147">
                  <c:v>55.197551065956652</c:v>
                </c:pt>
                <c:pt idx="148">
                  <c:v>59.713117936292839</c:v>
                </c:pt>
                <c:pt idx="149">
                  <c:v>48.189560524500642</c:v>
                </c:pt>
                <c:pt idx="150">
                  <c:v>53.984584849633684</c:v>
                </c:pt>
                <c:pt idx="151">
                  <c:v>55.981175114917242</c:v>
                </c:pt>
                <c:pt idx="152">
                  <c:v>42.338026644988773</c:v>
                </c:pt>
                <c:pt idx="153">
                  <c:v>55.57460572578745</c:v>
                </c:pt>
                <c:pt idx="154">
                  <c:v>25.146050524095408</c:v>
                </c:pt>
                <c:pt idx="155">
                  <c:v>34.80181384040457</c:v>
                </c:pt>
                <c:pt idx="156">
                  <c:v>49.872550079559545</c:v>
                </c:pt>
                <c:pt idx="157">
                  <c:v>25.654864666649551</c:v>
                </c:pt>
                <c:pt idx="158">
                  <c:v>21.183157077537714</c:v>
                </c:pt>
                <c:pt idx="159">
                  <c:v>49.968681182947108</c:v>
                </c:pt>
                <c:pt idx="160">
                  <c:v>57.708266180757462</c:v>
                </c:pt>
                <c:pt idx="161">
                  <c:v>56.057833595165697</c:v>
                </c:pt>
                <c:pt idx="162">
                  <c:v>44.153055443957612</c:v>
                </c:pt>
                <c:pt idx="163">
                  <c:v>53.124553286702486</c:v>
                </c:pt>
                <c:pt idx="164">
                  <c:v>51.087107093425338</c:v>
                </c:pt>
                <c:pt idx="165">
                  <c:v>54.311360112618779</c:v>
                </c:pt>
                <c:pt idx="166">
                  <c:v>52.376177269804188</c:v>
                </c:pt>
                <c:pt idx="167">
                  <c:v>52.290249711988906</c:v>
                </c:pt>
                <c:pt idx="168">
                  <c:v>55.75881261837818</c:v>
                </c:pt>
                <c:pt idx="169">
                  <c:v>56.844374136719203</c:v>
                </c:pt>
                <c:pt idx="170">
                  <c:v>30.046407924762512</c:v>
                </c:pt>
                <c:pt idx="171">
                  <c:v>22.399511765967308</c:v>
                </c:pt>
                <c:pt idx="172">
                  <c:v>42.350253647289918</c:v>
                </c:pt>
                <c:pt idx="173">
                  <c:v>43.011353166783664</c:v>
                </c:pt>
                <c:pt idx="174">
                  <c:v>39.524410953112884</c:v>
                </c:pt>
                <c:pt idx="175">
                  <c:v>37.398843761879462</c:v>
                </c:pt>
                <c:pt idx="176">
                  <c:v>12.118384429513014</c:v>
                </c:pt>
                <c:pt idx="177">
                  <c:v>14.922719185259167</c:v>
                </c:pt>
                <c:pt idx="178">
                  <c:v>57.268124497529236</c:v>
                </c:pt>
                <c:pt idx="179">
                  <c:v>56.807432797107786</c:v>
                </c:pt>
                <c:pt idx="180">
                  <c:v>13.976182196155477</c:v>
                </c:pt>
                <c:pt idx="181">
                  <c:v>47.476905593994488</c:v>
                </c:pt>
                <c:pt idx="182">
                  <c:v>34.722012172368572</c:v>
                </c:pt>
                <c:pt idx="183">
                  <c:v>49.339428152175159</c:v>
                </c:pt>
                <c:pt idx="184">
                  <c:v>44.678867020266459</c:v>
                </c:pt>
                <c:pt idx="185">
                  <c:v>55.695483554018061</c:v>
                </c:pt>
                <c:pt idx="186">
                  <c:v>45.416799679340755</c:v>
                </c:pt>
                <c:pt idx="187">
                  <c:v>55.383073397100695</c:v>
                </c:pt>
                <c:pt idx="188">
                  <c:v>57.201551360280796</c:v>
                </c:pt>
                <c:pt idx="189">
                  <c:v>56.523505446120616</c:v>
                </c:pt>
                <c:pt idx="190">
                  <c:v>55.821448475666017</c:v>
                </c:pt>
                <c:pt idx="191">
                  <c:v>54.85760418119159</c:v>
                </c:pt>
                <c:pt idx="192">
                  <c:v>54.456976863158637</c:v>
                </c:pt>
                <c:pt idx="193">
                  <c:v>53.948573849095119</c:v>
                </c:pt>
                <c:pt idx="194">
                  <c:v>53.634650300238341</c:v>
                </c:pt>
                <c:pt idx="195">
                  <c:v>51.446727080727825</c:v>
                </c:pt>
                <c:pt idx="196">
                  <c:v>52.85770198151728</c:v>
                </c:pt>
                <c:pt idx="197">
                  <c:v>52.999105422002536</c:v>
                </c:pt>
                <c:pt idx="198">
                  <c:v>55.196212619602221</c:v>
                </c:pt>
                <c:pt idx="199">
                  <c:v>43.269342463798523</c:v>
                </c:pt>
                <c:pt idx="200">
                  <c:v>43.366834826337289</c:v>
                </c:pt>
                <c:pt idx="201">
                  <c:v>52.459927969598112</c:v>
                </c:pt>
                <c:pt idx="202">
                  <c:v>44.092978012677982</c:v>
                </c:pt>
                <c:pt idx="203">
                  <c:v>44.046103213027337</c:v>
                </c:pt>
                <c:pt idx="204">
                  <c:v>52.707096160945767</c:v>
                </c:pt>
                <c:pt idx="205">
                  <c:v>25.884956488347036</c:v>
                </c:pt>
                <c:pt idx="206">
                  <c:v>54.961272622489929</c:v>
                </c:pt>
                <c:pt idx="207">
                  <c:v>56.356181874300951</c:v>
                </c:pt>
                <c:pt idx="208">
                  <c:v>42.676605909449464</c:v>
                </c:pt>
                <c:pt idx="209">
                  <c:v>29.542547144340496</c:v>
                </c:pt>
                <c:pt idx="210">
                  <c:v>47.514135485072892</c:v>
                </c:pt>
                <c:pt idx="211">
                  <c:v>54.024750543001254</c:v>
                </c:pt>
                <c:pt idx="212">
                  <c:v>53.675512638308817</c:v>
                </c:pt>
                <c:pt idx="213">
                  <c:v>53.744719113400329</c:v>
                </c:pt>
                <c:pt idx="214">
                  <c:v>53.111781537474421</c:v>
                </c:pt>
                <c:pt idx="215">
                  <c:v>51.6171176256778</c:v>
                </c:pt>
                <c:pt idx="216">
                  <c:v>42.526518570463097</c:v>
                </c:pt>
                <c:pt idx="217">
                  <c:v>50.066880551512462</c:v>
                </c:pt>
                <c:pt idx="218">
                  <c:v>52.481805187863841</c:v>
                </c:pt>
                <c:pt idx="219">
                  <c:v>53.224224672155664</c:v>
                </c:pt>
                <c:pt idx="220">
                  <c:v>51.111518457942374</c:v>
                </c:pt>
                <c:pt idx="221">
                  <c:v>49.227827993034992</c:v>
                </c:pt>
                <c:pt idx="222">
                  <c:v>47.721208118065874</c:v>
                </c:pt>
                <c:pt idx="223">
                  <c:v>47.979097106479912</c:v>
                </c:pt>
                <c:pt idx="224">
                  <c:v>37.476940729243871</c:v>
                </c:pt>
                <c:pt idx="225">
                  <c:v>33.778798650859741</c:v>
                </c:pt>
                <c:pt idx="226">
                  <c:v>36.113838331742436</c:v>
                </c:pt>
                <c:pt idx="227">
                  <c:v>37.38638161035491</c:v>
                </c:pt>
                <c:pt idx="228">
                  <c:v>28.911691523408997</c:v>
                </c:pt>
                <c:pt idx="229">
                  <c:v>36.700215656093675</c:v>
                </c:pt>
                <c:pt idx="230">
                  <c:v>38.316749326727503</c:v>
                </c:pt>
                <c:pt idx="231">
                  <c:v>50.108953831750341</c:v>
                </c:pt>
                <c:pt idx="232">
                  <c:v>37.425868484518958</c:v>
                </c:pt>
                <c:pt idx="233">
                  <c:v>27.032256231048045</c:v>
                </c:pt>
                <c:pt idx="234">
                  <c:v>48.431245557996974</c:v>
                </c:pt>
                <c:pt idx="235">
                  <c:v>48.971611094897973</c:v>
                </c:pt>
                <c:pt idx="236">
                  <c:v>29.456131966481053</c:v>
                </c:pt>
                <c:pt idx="237">
                  <c:v>39.360604451619011</c:v>
                </c:pt>
                <c:pt idx="238">
                  <c:v>47.656615123175172</c:v>
                </c:pt>
                <c:pt idx="239">
                  <c:v>48.724528688845297</c:v>
                </c:pt>
                <c:pt idx="240">
                  <c:v>33.502418033562684</c:v>
                </c:pt>
                <c:pt idx="241">
                  <c:v>48.076384398259066</c:v>
                </c:pt>
                <c:pt idx="242">
                  <c:v>24.911764609094323</c:v>
                </c:pt>
                <c:pt idx="243">
                  <c:v>39.073788098088308</c:v>
                </c:pt>
                <c:pt idx="244">
                  <c:v>37.223844874949229</c:v>
                </c:pt>
                <c:pt idx="245">
                  <c:v>38.720432077333456</c:v>
                </c:pt>
                <c:pt idx="246">
                  <c:v>48.146937545722707</c:v>
                </c:pt>
                <c:pt idx="247">
                  <c:v>42.537607561242936</c:v>
                </c:pt>
                <c:pt idx="248">
                  <c:v>43.771607626583211</c:v>
                </c:pt>
                <c:pt idx="249">
                  <c:v>36.618086452228184</c:v>
                </c:pt>
                <c:pt idx="250">
                  <c:v>36.421849538469054</c:v>
                </c:pt>
                <c:pt idx="251">
                  <c:v>20.111794684846561</c:v>
                </c:pt>
                <c:pt idx="252">
                  <c:v>46.713669694715072</c:v>
                </c:pt>
                <c:pt idx="253">
                  <c:v>47.116493282660137</c:v>
                </c:pt>
                <c:pt idx="254">
                  <c:v>36.938534462924324</c:v>
                </c:pt>
                <c:pt idx="255">
                  <c:v>14.684449630331502</c:v>
                </c:pt>
                <c:pt idx="256">
                  <c:v>36.982194374016792</c:v>
                </c:pt>
                <c:pt idx="257">
                  <c:v>40.660253207120881</c:v>
                </c:pt>
                <c:pt idx="258">
                  <c:v>29.410180765629267</c:v>
                </c:pt>
                <c:pt idx="259">
                  <c:v>47.453868363052855</c:v>
                </c:pt>
                <c:pt idx="260">
                  <c:v>45.867829201378044</c:v>
                </c:pt>
                <c:pt idx="261">
                  <c:v>46.419460978702958</c:v>
                </c:pt>
                <c:pt idx="262">
                  <c:v>47.886172375182056</c:v>
                </c:pt>
                <c:pt idx="263">
                  <c:v>46.665173508143234</c:v>
                </c:pt>
                <c:pt idx="264">
                  <c:v>45.389530052263801</c:v>
                </c:pt>
                <c:pt idx="265">
                  <c:v>32.126534093613813</c:v>
                </c:pt>
                <c:pt idx="266">
                  <c:v>18.262388881224094</c:v>
                </c:pt>
                <c:pt idx="267">
                  <c:v>35.696995807462464</c:v>
                </c:pt>
                <c:pt idx="268">
                  <c:v>35.560511187695255</c:v>
                </c:pt>
                <c:pt idx="269">
                  <c:v>16.969438836256707</c:v>
                </c:pt>
                <c:pt idx="270">
                  <c:v>19.359305702739917</c:v>
                </c:pt>
                <c:pt idx="271">
                  <c:v>23.282095503447167</c:v>
                </c:pt>
                <c:pt idx="272">
                  <c:v>25.727301836438404</c:v>
                </c:pt>
                <c:pt idx="273">
                  <c:v>37.165746618096833</c:v>
                </c:pt>
                <c:pt idx="274">
                  <c:v>40.239107946714292</c:v>
                </c:pt>
                <c:pt idx="275">
                  <c:v>36.467595233377395</c:v>
                </c:pt>
                <c:pt idx="276">
                  <c:v>42.831069488678452</c:v>
                </c:pt>
                <c:pt idx="277">
                  <c:v>44.588121470606637</c:v>
                </c:pt>
                <c:pt idx="278">
                  <c:v>11.943300603352768</c:v>
                </c:pt>
                <c:pt idx="279">
                  <c:v>32.603164010841958</c:v>
                </c:pt>
                <c:pt idx="280">
                  <c:v>15.277571166648414</c:v>
                </c:pt>
                <c:pt idx="281">
                  <c:v>40.700921068226165</c:v>
                </c:pt>
                <c:pt idx="282">
                  <c:v>34.517662185176</c:v>
                </c:pt>
                <c:pt idx="283">
                  <c:v>23.582721162924894</c:v>
                </c:pt>
                <c:pt idx="284">
                  <c:v>27.807136633833988</c:v>
                </c:pt>
                <c:pt idx="285">
                  <c:v>24.46320820032626</c:v>
                </c:pt>
                <c:pt idx="286">
                  <c:v>17.53751288286896</c:v>
                </c:pt>
                <c:pt idx="287">
                  <c:v>40.022245167221875</c:v>
                </c:pt>
                <c:pt idx="288">
                  <c:v>34.437875684677365</c:v>
                </c:pt>
                <c:pt idx="289">
                  <c:v>19.250594170591196</c:v>
                </c:pt>
                <c:pt idx="290">
                  <c:v>37.113743760440848</c:v>
                </c:pt>
                <c:pt idx="291">
                  <c:v>17.432417333886946</c:v>
                </c:pt>
                <c:pt idx="292">
                  <c:v>6.9919641301526632</c:v>
                </c:pt>
                <c:pt idx="293">
                  <c:v>18.056967084498815</c:v>
                </c:pt>
                <c:pt idx="294">
                  <c:v>35.192004051075536</c:v>
                </c:pt>
                <c:pt idx="295">
                  <c:v>17.108204188797259</c:v>
                </c:pt>
                <c:pt idx="296">
                  <c:v>29.054583855934219</c:v>
                </c:pt>
                <c:pt idx="297">
                  <c:v>23.6474693645015</c:v>
                </c:pt>
                <c:pt idx="298">
                  <c:v>13.056027097347874</c:v>
                </c:pt>
                <c:pt idx="299">
                  <c:v>16.842607497992486</c:v>
                </c:pt>
                <c:pt idx="300">
                  <c:v>17.556750503275669</c:v>
                </c:pt>
                <c:pt idx="301">
                  <c:v>28.774514467151853</c:v>
                </c:pt>
                <c:pt idx="302">
                  <c:v>26.409518628858532</c:v>
                </c:pt>
                <c:pt idx="303">
                  <c:v>24.858929936201644</c:v>
                </c:pt>
                <c:pt idx="304">
                  <c:v>19.673530242783364</c:v>
                </c:pt>
                <c:pt idx="305">
                  <c:v>30.373179055608915</c:v>
                </c:pt>
                <c:pt idx="306">
                  <c:v>9.603708768432357</c:v>
                </c:pt>
                <c:pt idx="307">
                  <c:v>17.223724441339474</c:v>
                </c:pt>
                <c:pt idx="308">
                  <c:v>32.212187069694863</c:v>
                </c:pt>
                <c:pt idx="309">
                  <c:v>33.55110008586275</c:v>
                </c:pt>
                <c:pt idx="310">
                  <c:v>32.109061443790928</c:v>
                </c:pt>
                <c:pt idx="311">
                  <c:v>23.790722080362354</c:v>
                </c:pt>
                <c:pt idx="312">
                  <c:v>10.619780345737897</c:v>
                </c:pt>
                <c:pt idx="313">
                  <c:v>19.920678445708681</c:v>
                </c:pt>
                <c:pt idx="314">
                  <c:v>31.428520474764795</c:v>
                </c:pt>
                <c:pt idx="315">
                  <c:v>30.693468215815461</c:v>
                </c:pt>
                <c:pt idx="316">
                  <c:v>29.721637125182067</c:v>
                </c:pt>
                <c:pt idx="317">
                  <c:v>11.257373187723365</c:v>
                </c:pt>
                <c:pt idx="318">
                  <c:v>12.91591645531039</c:v>
                </c:pt>
                <c:pt idx="319">
                  <c:v>30.273501599533372</c:v>
                </c:pt>
                <c:pt idx="320">
                  <c:v>13.608758045101272</c:v>
                </c:pt>
                <c:pt idx="321">
                  <c:v>17.350626350028534</c:v>
                </c:pt>
                <c:pt idx="322">
                  <c:v>6.8464109666760065</c:v>
                </c:pt>
                <c:pt idx="323">
                  <c:v>17.613923556395857</c:v>
                </c:pt>
                <c:pt idx="324">
                  <c:v>3.1475049207143306</c:v>
                </c:pt>
                <c:pt idx="325">
                  <c:v>8.0647477062444075</c:v>
                </c:pt>
                <c:pt idx="326">
                  <c:v>13.293484123927412</c:v>
                </c:pt>
                <c:pt idx="327">
                  <c:v>14.253988138806353</c:v>
                </c:pt>
                <c:pt idx="328">
                  <c:v>4.5432524593153145</c:v>
                </c:pt>
                <c:pt idx="329">
                  <c:v>10.57718742156595</c:v>
                </c:pt>
                <c:pt idx="330">
                  <c:v>16.449968881154852</c:v>
                </c:pt>
                <c:pt idx="331">
                  <c:v>10.211761925492942</c:v>
                </c:pt>
                <c:pt idx="332">
                  <c:v>15.191919253974124</c:v>
                </c:pt>
                <c:pt idx="333">
                  <c:v>3.8921298975144754</c:v>
                </c:pt>
                <c:pt idx="334">
                  <c:v>3.7032356821638008</c:v>
                </c:pt>
                <c:pt idx="335">
                  <c:v>5.5504756721084902</c:v>
                </c:pt>
                <c:pt idx="336">
                  <c:v>10.751876778310201</c:v>
                </c:pt>
                <c:pt idx="337">
                  <c:v>17.418842898692649</c:v>
                </c:pt>
                <c:pt idx="338">
                  <c:v>26.969059968864812</c:v>
                </c:pt>
                <c:pt idx="339">
                  <c:v>12.127939304557223</c:v>
                </c:pt>
                <c:pt idx="340">
                  <c:v>22.277020891127222</c:v>
                </c:pt>
                <c:pt idx="341">
                  <c:v>4.0939578299414396</c:v>
                </c:pt>
                <c:pt idx="342">
                  <c:v>4.9469794081441139</c:v>
                </c:pt>
                <c:pt idx="343">
                  <c:v>11.436027237655425</c:v>
                </c:pt>
                <c:pt idx="344">
                  <c:v>17.992877446224469</c:v>
                </c:pt>
                <c:pt idx="345">
                  <c:v>6.9364945183528732</c:v>
                </c:pt>
                <c:pt idx="346">
                  <c:v>5.3836519864202135</c:v>
                </c:pt>
                <c:pt idx="347">
                  <c:v>17.487631083149282</c:v>
                </c:pt>
                <c:pt idx="348">
                  <c:v>5.856876009067034</c:v>
                </c:pt>
                <c:pt idx="349">
                  <c:v>5.2289948637740169</c:v>
                </c:pt>
                <c:pt idx="350">
                  <c:v>3.4501353454896111</c:v>
                </c:pt>
                <c:pt idx="351">
                  <c:v>24.425395407507736</c:v>
                </c:pt>
                <c:pt idx="352">
                  <c:v>19.672444598362883</c:v>
                </c:pt>
                <c:pt idx="353">
                  <c:v>4.3372514786656513</c:v>
                </c:pt>
                <c:pt idx="354">
                  <c:v>22.359317931303128</c:v>
                </c:pt>
                <c:pt idx="355">
                  <c:v>20.013853391675411</c:v>
                </c:pt>
                <c:pt idx="356">
                  <c:v>20.361087098717533</c:v>
                </c:pt>
                <c:pt idx="357">
                  <c:v>22.387975948655832</c:v>
                </c:pt>
                <c:pt idx="358">
                  <c:v>13.213897875826317</c:v>
                </c:pt>
                <c:pt idx="359">
                  <c:v>22.124957496249138</c:v>
                </c:pt>
                <c:pt idx="360">
                  <c:v>7.2297436808190572</c:v>
                </c:pt>
                <c:pt idx="361">
                  <c:v>24.432349727155021</c:v>
                </c:pt>
                <c:pt idx="362">
                  <c:v>10.840021618049235</c:v>
                </c:pt>
                <c:pt idx="363">
                  <c:v>14.062300151260374</c:v>
                </c:pt>
                <c:pt idx="364">
                  <c:v>13.169929064155497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932096"/>
        <c:axId val="230932488"/>
      </c:lineChart>
      <c:dateAx>
        <c:axId val="230932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0932488"/>
        <c:crosses val="autoZero"/>
        <c:auto val="1"/>
        <c:lblOffset val="100"/>
        <c:baseTimeUnit val="days"/>
        <c:majorUnit val="1"/>
        <c:majorTimeUnit val="months"/>
      </c:dateAx>
      <c:valAx>
        <c:axId val="23093248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093209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5.3917071333951405E-2</c:v>
                </c:pt>
                <c:pt idx="1">
                  <c:v>5.3935202797443127E-2</c:v>
                </c:pt>
                <c:pt idx="2">
                  <c:v>5.3953333913449475E-2</c:v>
                </c:pt>
                <c:pt idx="3">
                  <c:v>5.397146468197711E-2</c:v>
                </c:pt>
                <c:pt idx="4">
                  <c:v>5.3989595103032695E-2</c:v>
                </c:pt>
                <c:pt idx="5">
                  <c:v>5.4007725176622889E-2</c:v>
                </c:pt>
                <c:pt idx="6">
                  <c:v>5.4025854902754356E-2</c:v>
                </c:pt>
                <c:pt idx="7">
                  <c:v>5.4043984281433755E-2</c:v>
                </c:pt>
                <c:pt idx="8">
                  <c:v>5.4062113312667748E-2</c:v>
                </c:pt>
                <c:pt idx="9">
                  <c:v>5.4080241996462997E-2</c:v>
                </c:pt>
                <c:pt idx="10">
                  <c:v>5.4098370332826162E-2</c:v>
                </c:pt>
                <c:pt idx="11">
                  <c:v>5.4116498321763906E-2</c:v>
                </c:pt>
                <c:pt idx="12">
                  <c:v>5.4134625963282779E-2</c:v>
                </c:pt>
                <c:pt idx="13">
                  <c:v>5.4152753257389663E-2</c:v>
                </c:pt>
                <c:pt idx="14">
                  <c:v>5.4170880204090999E-2</c:v>
                </c:pt>
                <c:pt idx="15">
                  <c:v>5.4189006803393669E-2</c:v>
                </c:pt>
                <c:pt idx="16">
                  <c:v>5.4207133055304113E-2</c:v>
                </c:pt>
                <c:pt idx="17">
                  <c:v>5.4225258959829103E-2</c:v>
                </c:pt>
                <c:pt idx="18">
                  <c:v>5.424338451697519E-2</c:v>
                </c:pt>
                <c:pt idx="19">
                  <c:v>5.4261509726749146E-2</c:v>
                </c:pt>
                <c:pt idx="20">
                  <c:v>5.4279634589157633E-2</c:v>
                </c:pt>
                <c:pt idx="21">
                  <c:v>5.429775910420731E-2</c:v>
                </c:pt>
                <c:pt idx="22">
                  <c:v>5.4315883271904619E-2</c:v>
                </c:pt>
                <c:pt idx="23">
                  <c:v>5.4334007092256553E-2</c:v>
                </c:pt>
                <c:pt idx="24">
                  <c:v>5.4352130565269552E-2</c:v>
                </c:pt>
                <c:pt idx="25">
                  <c:v>5.4370253690950276E-2</c:v>
                </c:pt>
                <c:pt idx="26">
                  <c:v>5.4388376469305499E-2</c:v>
                </c:pt>
                <c:pt idx="27">
                  <c:v>5.4406498900341771E-2</c:v>
                </c:pt>
                <c:pt idx="28">
                  <c:v>5.4424620984065863E-2</c:v>
                </c:pt>
                <c:pt idx="29">
                  <c:v>5.4442742720484216E-2</c:v>
                </c:pt>
                <c:pt idx="30">
                  <c:v>5.4460864109603713E-2</c:v>
                </c:pt>
                <c:pt idx="31">
                  <c:v>5.4478985151430903E-2</c:v>
                </c:pt>
                <c:pt idx="32">
                  <c:v>5.4497105845972449E-2</c:v>
                </c:pt>
                <c:pt idx="33">
                  <c:v>5.4515226193235122E-2</c:v>
                </c:pt>
                <c:pt idx="34">
                  <c:v>5.4533346193225363E-2</c:v>
                </c:pt>
                <c:pt idx="35">
                  <c:v>5.4551465845949942E-2</c:v>
                </c:pt>
                <c:pt idx="36">
                  <c:v>5.4569585151415523E-2</c:v>
                </c:pt>
                <c:pt idx="37">
                  <c:v>5.4587704109628765E-2</c:v>
                </c:pt>
                <c:pt idx="38">
                  <c:v>5.4605822720596331E-2</c:v>
                </c:pt>
                <c:pt idx="39">
                  <c:v>5.462394098432477E-2</c:v>
                </c:pt>
                <c:pt idx="40">
                  <c:v>5.4642058900820856E-2</c:v>
                </c:pt>
                <c:pt idx="41">
                  <c:v>5.4660176470091248E-2</c:v>
                </c:pt>
                <c:pt idx="42">
                  <c:v>5.4678293692142499E-2</c:v>
                </c:pt>
                <c:pt idx="43">
                  <c:v>5.4696410566981379E-2</c:v>
                </c:pt>
                <c:pt idx="44">
                  <c:v>5.471452709461444E-2</c:v>
                </c:pt>
                <c:pt idx="45">
                  <c:v>5.4732643275048454E-2</c:v>
                </c:pt>
                <c:pt idx="46">
                  <c:v>5.475075910828997E-2</c:v>
                </c:pt>
                <c:pt idx="47">
                  <c:v>5.4768874594345651E-2</c:v>
                </c:pt>
                <c:pt idx="48">
                  <c:v>5.4786989733222158E-2</c:v>
                </c:pt>
                <c:pt idx="49">
                  <c:v>5.4805104524926151E-2</c:v>
                </c:pt>
                <c:pt idx="50">
                  <c:v>5.4823218969464294E-2</c:v>
                </c:pt>
                <c:pt idx="51">
                  <c:v>5.4841333066843245E-2</c:v>
                </c:pt>
                <c:pt idx="52">
                  <c:v>5.4859446817069779E-2</c:v>
                </c:pt>
                <c:pt idx="53">
                  <c:v>5.4877560220150223E-2</c:v>
                </c:pt>
                <c:pt idx="54">
                  <c:v>5.4895673276091572E-2</c:v>
                </c:pt>
                <c:pt idx="55">
                  <c:v>5.4913785984900265E-2</c:v>
                </c:pt>
                <c:pt idx="56">
                  <c:v>5.4931898346583075E-2</c:v>
                </c:pt>
                <c:pt idx="57">
                  <c:v>5.4950010361146551E-2</c:v>
                </c:pt>
                <c:pt idx="58">
                  <c:v>5.4968122028597466E-2</c:v>
                </c:pt>
                <c:pt idx="59">
                  <c:v>5.498623334894237E-2</c:v>
                </c:pt>
                <c:pt idx="60">
                  <c:v>5.5004344322187926E-2</c:v>
                </c:pt>
                <c:pt idx="61">
                  <c:v>5.5022454948340904E-2</c:v>
                </c:pt>
                <c:pt idx="62">
                  <c:v>5.5040565227407745E-2</c:v>
                </c:pt>
                <c:pt idx="63">
                  <c:v>5.5058675159395221E-2</c:v>
                </c:pt>
                <c:pt idx="64">
                  <c:v>5.5076784744310103E-2</c:v>
                </c:pt>
                <c:pt idx="65">
                  <c:v>5.5094893982158832E-2</c:v>
                </c:pt>
                <c:pt idx="66">
                  <c:v>5.511300287294818E-2</c:v>
                </c:pt>
                <c:pt idx="67">
                  <c:v>5.5131111416684697E-2</c:v>
                </c:pt>
                <c:pt idx="68">
                  <c:v>5.5149219613375156E-2</c:v>
                </c:pt>
                <c:pt idx="69">
                  <c:v>5.5167327463026217E-2</c:v>
                </c:pt>
                <c:pt idx="70">
                  <c:v>5.5185434965644431E-2</c:v>
                </c:pt>
                <c:pt idx="71">
                  <c:v>5.520354212123646E-2</c:v>
                </c:pt>
                <c:pt idx="72">
                  <c:v>5.5221648929808964E-2</c:v>
                </c:pt>
                <c:pt idx="73">
                  <c:v>5.5239755391368717E-2</c:v>
                </c:pt>
                <c:pt idx="74">
                  <c:v>5.5257861505922157E-2</c:v>
                </c:pt>
                <c:pt idx="75">
                  <c:v>5.5275967273476057E-2</c:v>
                </c:pt>
                <c:pt idx="76">
                  <c:v>5.5294072694037077E-2</c:v>
                </c:pt>
                <c:pt idx="77">
                  <c:v>5.5312177767611881E-2</c:v>
                </c:pt>
                <c:pt idx="78">
                  <c:v>5.5330282494207017E-2</c:v>
                </c:pt>
                <c:pt idx="79">
                  <c:v>5.5348386873829258E-2</c:v>
                </c:pt>
                <c:pt idx="80">
                  <c:v>5.5366490906485155E-2</c:v>
                </c:pt>
                <c:pt idx="81">
                  <c:v>5.5384594592181369E-2</c:v>
                </c:pt>
                <c:pt idx="82">
                  <c:v>5.540269793092456E-2</c:v>
                </c:pt>
                <c:pt idx="83">
                  <c:v>5.5420800922721503E-2</c:v>
                </c:pt>
                <c:pt idx="84">
                  <c:v>5.5438903567578635E-2</c:v>
                </c:pt>
                <c:pt idx="85">
                  <c:v>5.5457005865502729E-2</c:v>
                </c:pt>
                <c:pt idx="86">
                  <c:v>5.5475107816500446E-2</c:v>
                </c:pt>
                <c:pt idx="87">
                  <c:v>5.5493209420578338E-2</c:v>
                </c:pt>
                <c:pt idx="88">
                  <c:v>5.5511310677743175E-2</c:v>
                </c:pt>
                <c:pt idx="89">
                  <c:v>5.552941158800162E-2</c:v>
                </c:pt>
                <c:pt idx="90">
                  <c:v>5.5547512151360112E-2</c:v>
                </c:pt>
                <c:pt idx="91">
                  <c:v>5.5565612367825534E-2</c:v>
                </c:pt>
                <c:pt idx="92">
                  <c:v>5.5583712237404326E-2</c:v>
                </c:pt>
                <c:pt idx="93">
                  <c:v>5.560181176010337E-2</c:v>
                </c:pt>
                <c:pt idx="94">
                  <c:v>5.5619910935929107E-2</c:v>
                </c:pt>
                <c:pt idx="95">
                  <c:v>5.5638009764888308E-2</c:v>
                </c:pt>
                <c:pt idx="96">
                  <c:v>5.5656108246987523E-2</c:v>
                </c:pt>
                <c:pt idx="97">
                  <c:v>5.5674206382233526E-2</c:v>
                </c:pt>
                <c:pt idx="98">
                  <c:v>5.5692304170632867E-2</c:v>
                </c:pt>
                <c:pt idx="99">
                  <c:v>5.5710401612192317E-2</c:v>
                </c:pt>
                <c:pt idx="100">
                  <c:v>5.5728498706918317E-2</c:v>
                </c:pt>
                <c:pt idx="101">
                  <c:v>5.5746595454817638E-2</c:v>
                </c:pt>
                <c:pt idx="102">
                  <c:v>5.5764691855896942E-2</c:v>
                </c:pt>
                <c:pt idx="103">
                  <c:v>5.5782787910162779E-2</c:v>
                </c:pt>
                <c:pt idx="104">
                  <c:v>5.5800883617621921E-2</c:v>
                </c:pt>
                <c:pt idx="105">
                  <c:v>5.5818978978281031E-2</c:v>
                </c:pt>
                <c:pt idx="106">
                  <c:v>5.5837073992146546E-2</c:v>
                </c:pt>
                <c:pt idx="107">
                  <c:v>5.5855168659225352E-2</c:v>
                </c:pt>
                <c:pt idx="108">
                  <c:v>5.5873262979523886E-2</c:v>
                </c:pt>
                <c:pt idx="109">
                  <c:v>5.5891356953049032E-2</c:v>
                </c:pt>
                <c:pt idx="110">
                  <c:v>5.5909450579807229E-2</c:v>
                </c:pt>
                <c:pt idx="111">
                  <c:v>5.592754385980514E-2</c:v>
                </c:pt>
                <c:pt idx="112">
                  <c:v>5.5945636793049536E-2</c:v>
                </c:pt>
                <c:pt idx="113">
                  <c:v>5.5963729379546967E-2</c:v>
                </c:pt>
                <c:pt idx="114">
                  <c:v>5.5981821619304206E-2</c:v>
                </c:pt>
                <c:pt idx="115">
                  <c:v>5.5999913512327693E-2</c:v>
                </c:pt>
                <c:pt idx="116">
                  <c:v>5.6018005058624198E-2</c:v>
                </c:pt>
                <c:pt idx="117">
                  <c:v>5.6036096258200385E-2</c:v>
                </c:pt>
                <c:pt idx="118">
                  <c:v>5.6054187111062803E-2</c:v>
                </c:pt>
                <c:pt idx="119">
                  <c:v>5.6072277617218114E-2</c:v>
                </c:pt>
                <c:pt idx="120">
                  <c:v>5.6090367776673089E-2</c:v>
                </c:pt>
                <c:pt idx="121">
                  <c:v>5.610845758943428E-2</c:v>
                </c:pt>
                <c:pt idx="122">
                  <c:v>5.6126547055508236E-2</c:v>
                </c:pt>
                <c:pt idx="123">
                  <c:v>5.6144636174901841E-2</c:v>
                </c:pt>
                <c:pt idx="124">
                  <c:v>5.6162724947621534E-2</c:v>
                </c:pt>
                <c:pt idx="125">
                  <c:v>5.6180813373673977E-2</c:v>
                </c:pt>
                <c:pt idx="126">
                  <c:v>5.6198901453065941E-2</c:v>
                </c:pt>
                <c:pt idx="127">
                  <c:v>5.6216989185803978E-2</c:v>
                </c:pt>
                <c:pt idx="128">
                  <c:v>5.6235076571894749E-2</c:v>
                </c:pt>
                <c:pt idx="129">
                  <c:v>5.6253163611344803E-2</c:v>
                </c:pt>
                <c:pt idx="130">
                  <c:v>5.6271250304161025E-2</c:v>
                </c:pt>
                <c:pt idx="131">
                  <c:v>5.6289336650349742E-2</c:v>
                </c:pt>
                <c:pt idx="132">
                  <c:v>5.6307422649917838E-2</c:v>
                </c:pt>
                <c:pt idx="133">
                  <c:v>5.6325508302871863E-2</c:v>
                </c:pt>
                <c:pt idx="134">
                  <c:v>5.6343593609218479E-2</c:v>
                </c:pt>
                <c:pt idx="135">
                  <c:v>5.6361678568964346E-2</c:v>
                </c:pt>
                <c:pt idx="136">
                  <c:v>5.6379763182116127E-2</c:v>
                </c:pt>
                <c:pt idx="137">
                  <c:v>5.6397847448680372E-2</c:v>
                </c:pt>
                <c:pt idx="138">
                  <c:v>5.6415931368663741E-2</c:v>
                </c:pt>
                <c:pt idx="139">
                  <c:v>5.6434014942073008E-2</c:v>
                </c:pt>
                <c:pt idx="140">
                  <c:v>5.6452098168914611E-2</c:v>
                </c:pt>
                <c:pt idx="141">
                  <c:v>5.6470181049195323E-2</c:v>
                </c:pt>
                <c:pt idx="142">
                  <c:v>5.6488263582921805E-2</c:v>
                </c:pt>
                <c:pt idx="143">
                  <c:v>5.6506345770100608E-2</c:v>
                </c:pt>
                <c:pt idx="144">
                  <c:v>5.6524427610738393E-2</c:v>
                </c:pt>
                <c:pt idx="145">
                  <c:v>5.6542509104841931E-2</c:v>
                </c:pt>
                <c:pt idx="146">
                  <c:v>5.6560590252417664E-2</c:v>
                </c:pt>
                <c:pt idx="147">
                  <c:v>5.6578671053472362E-2</c:v>
                </c:pt>
                <c:pt idx="148">
                  <c:v>5.6596751508012577E-2</c:v>
                </c:pt>
                <c:pt idx="149">
                  <c:v>5.661483161604508E-2</c:v>
                </c:pt>
                <c:pt idx="150">
                  <c:v>5.6632911377576423E-2</c:v>
                </c:pt>
                <c:pt idx="151">
                  <c:v>5.6650990792613265E-2</c:v>
                </c:pt>
                <c:pt idx="152">
                  <c:v>5.6669069861162269E-2</c:v>
                </c:pt>
                <c:pt idx="153">
                  <c:v>5.6687148583229985E-2</c:v>
                </c:pt>
                <c:pt idx="154">
                  <c:v>5.6705226958823074E-2</c:v>
                </c:pt>
                <c:pt idx="155">
                  <c:v>5.6723304987948309E-2</c:v>
                </c:pt>
                <c:pt idx="156">
                  <c:v>5.6741382670612239E-2</c:v>
                </c:pt>
                <c:pt idx="157">
                  <c:v>5.6759460006821527E-2</c:v>
                </c:pt>
                <c:pt idx="158">
                  <c:v>5.6777536996582723E-2</c:v>
                </c:pt>
                <c:pt idx="159">
                  <c:v>5.6795613639902598E-2</c:v>
                </c:pt>
                <c:pt idx="160">
                  <c:v>5.6813689936787592E-2</c:v>
                </c:pt>
                <c:pt idx="161">
                  <c:v>5.683176588724459E-2</c:v>
                </c:pt>
                <c:pt idx="162">
                  <c:v>5.684984149128014E-2</c:v>
                </c:pt>
                <c:pt idx="163">
                  <c:v>5.6867916748900793E-2</c:v>
                </c:pt>
                <c:pt idx="164">
                  <c:v>5.6885991660113322E-2</c:v>
                </c:pt>
                <c:pt idx="165">
                  <c:v>5.6904066224924277E-2</c:v>
                </c:pt>
                <c:pt idx="166">
                  <c:v>5.6922140443340319E-2</c:v>
                </c:pt>
                <c:pt idx="167">
                  <c:v>5.694021431536811E-2</c:v>
                </c:pt>
                <c:pt idx="168">
                  <c:v>5.6958287841014199E-2</c:v>
                </c:pt>
                <c:pt idx="169">
                  <c:v>5.697636102028536E-2</c:v>
                </c:pt>
                <c:pt idx="170">
                  <c:v>5.6994433853188142E-2</c:v>
                </c:pt>
                <c:pt idx="171">
                  <c:v>5.7012506339729208E-2</c:v>
                </c:pt>
                <c:pt idx="172">
                  <c:v>5.7030578479915217E-2</c:v>
                </c:pt>
                <c:pt idx="173">
                  <c:v>5.7048650273752721E-2</c:v>
                </c:pt>
                <c:pt idx="174">
                  <c:v>5.7066721721248492E-2</c:v>
                </c:pt>
                <c:pt idx="175">
                  <c:v>5.708479282240897E-2</c:v>
                </c:pt>
                <c:pt idx="176">
                  <c:v>5.7102863577241036E-2</c:v>
                </c:pt>
                <c:pt idx="177">
                  <c:v>5.7120933985751132E-2</c:v>
                </c:pt>
                <c:pt idx="178">
                  <c:v>5.7139004047946029E-2</c:v>
                </c:pt>
                <c:pt idx="179">
                  <c:v>5.7157073763832278E-2</c:v>
                </c:pt>
                <c:pt idx="180">
                  <c:v>5.717514313341665E-2</c:v>
                </c:pt>
                <c:pt idx="181">
                  <c:v>5.7193212156705586E-2</c:v>
                </c:pt>
                <c:pt idx="182">
                  <c:v>5.7211280833705747E-2</c:v>
                </c:pt>
                <c:pt idx="183">
                  <c:v>5.7229349164423904E-2</c:v>
                </c:pt>
                <c:pt idx="184">
                  <c:v>5.7247417148866608E-2</c:v>
                </c:pt>
                <c:pt idx="185">
                  <c:v>5.7265484787040521E-2</c:v>
                </c:pt>
                <c:pt idx="186">
                  <c:v>5.7283552078952304E-2</c:v>
                </c:pt>
                <c:pt idx="187">
                  <c:v>5.7301619024608508E-2</c:v>
                </c:pt>
                <c:pt idx="188">
                  <c:v>5.7319685624015904E-2</c:v>
                </c:pt>
                <c:pt idx="189">
                  <c:v>5.7337751877180931E-2</c:v>
                </c:pt>
                <c:pt idx="190">
                  <c:v>5.7355817784110363E-2</c:v>
                </c:pt>
                <c:pt idx="191">
                  <c:v>5.7373883344810861E-2</c:v>
                </c:pt>
                <c:pt idx="192">
                  <c:v>5.7391948559288974E-2</c:v>
                </c:pt>
                <c:pt idx="193">
                  <c:v>5.7410013427551365E-2</c:v>
                </c:pt>
                <c:pt idx="194">
                  <c:v>5.7428077949604694E-2</c:v>
                </c:pt>
                <c:pt idx="195">
                  <c:v>5.7446142125455624E-2</c:v>
                </c:pt>
                <c:pt idx="196">
                  <c:v>5.7464205955110703E-2</c:v>
                </c:pt>
                <c:pt idx="197">
                  <c:v>5.7482269438576594E-2</c:v>
                </c:pt>
                <c:pt idx="198">
                  <c:v>5.7500332575859958E-2</c:v>
                </c:pt>
                <c:pt idx="199">
                  <c:v>5.7518395366967345E-2</c:v>
                </c:pt>
                <c:pt idx="200">
                  <c:v>5.7536457811905528E-2</c:v>
                </c:pt>
                <c:pt idx="201">
                  <c:v>5.7554519910681168E-2</c:v>
                </c:pt>
                <c:pt idx="202">
                  <c:v>5.7572581663300704E-2</c:v>
                </c:pt>
                <c:pt idx="203">
                  <c:v>5.7590643069770797E-2</c:v>
                </c:pt>
                <c:pt idx="204">
                  <c:v>5.7608704130098332E-2</c:v>
                </c:pt>
                <c:pt idx="205">
                  <c:v>5.7626764844289635E-2</c:v>
                </c:pt>
                <c:pt idx="206">
                  <c:v>5.764482521235148E-2</c:v>
                </c:pt>
                <c:pt idx="207">
                  <c:v>5.7662885234290528E-2</c:v>
                </c:pt>
                <c:pt idx="208">
                  <c:v>5.768094491011333E-2</c:v>
                </c:pt>
                <c:pt idx="209">
                  <c:v>5.7699004239826657E-2</c:v>
                </c:pt>
                <c:pt idx="210">
                  <c:v>5.7717063223436949E-2</c:v>
                </c:pt>
                <c:pt idx="211">
                  <c:v>5.7735121860951089E-2</c:v>
                </c:pt>
                <c:pt idx="212">
                  <c:v>5.7753180152375405E-2</c:v>
                </c:pt>
                <c:pt idx="213">
                  <c:v>5.7771238097716782E-2</c:v>
                </c:pt>
                <c:pt idx="214">
                  <c:v>5.7789295696981657E-2</c:v>
                </c:pt>
                <c:pt idx="215">
                  <c:v>5.7807352950176805E-2</c:v>
                </c:pt>
                <c:pt idx="216">
                  <c:v>5.7825409857308885E-2</c:v>
                </c:pt>
                <c:pt idx="217">
                  <c:v>5.7843466418384337E-2</c:v>
                </c:pt>
                <c:pt idx="218">
                  <c:v>5.7861522633410045E-2</c:v>
                </c:pt>
                <c:pt idx="219">
                  <c:v>5.7879578502392448E-2</c:v>
                </c:pt>
                <c:pt idx="220">
                  <c:v>5.7897634025338207E-2</c:v>
                </c:pt>
                <c:pt idx="221">
                  <c:v>5.7915689202254095E-2</c:v>
                </c:pt>
                <c:pt idx="222">
                  <c:v>5.793374403314655E-2</c:v>
                </c:pt>
                <c:pt idx="223">
                  <c:v>5.7951798518022235E-2</c:v>
                </c:pt>
                <c:pt idx="224">
                  <c:v>5.7969852656887921E-2</c:v>
                </c:pt>
                <c:pt idx="225">
                  <c:v>5.798790644975016E-2</c:v>
                </c:pt>
                <c:pt idx="226">
                  <c:v>5.80059598966155E-2</c:v>
                </c:pt>
                <c:pt idx="227">
                  <c:v>5.8024012997490715E-2</c:v>
                </c:pt>
                <c:pt idx="228">
                  <c:v>5.8042065752382355E-2</c:v>
                </c:pt>
                <c:pt idx="229">
                  <c:v>5.8060118161297081E-2</c:v>
                </c:pt>
                <c:pt idx="230">
                  <c:v>5.8078170224241554E-2</c:v>
                </c:pt>
                <c:pt idx="231">
                  <c:v>5.8096221941222326E-2</c:v>
                </c:pt>
                <c:pt idx="232">
                  <c:v>5.8114273312245945E-2</c:v>
                </c:pt>
                <c:pt idx="233">
                  <c:v>5.8132324337319297E-2</c:v>
                </c:pt>
                <c:pt idx="234">
                  <c:v>5.8150375016448819E-2</c:v>
                </c:pt>
                <c:pt idx="235">
                  <c:v>5.8168425349641173E-2</c:v>
                </c:pt>
                <c:pt idx="236">
                  <c:v>5.8186475336903021E-2</c:v>
                </c:pt>
                <c:pt idx="237">
                  <c:v>5.8204524978241023E-2</c:v>
                </c:pt>
                <c:pt idx="238">
                  <c:v>5.8222574273661731E-2</c:v>
                </c:pt>
                <c:pt idx="239">
                  <c:v>5.8240623223171806E-2</c:v>
                </c:pt>
                <c:pt idx="240">
                  <c:v>5.8258671826777908E-2</c:v>
                </c:pt>
                <c:pt idx="241">
                  <c:v>5.8276720084486699E-2</c:v>
                </c:pt>
                <c:pt idx="242">
                  <c:v>5.8294767996304619E-2</c:v>
                </c:pt>
                <c:pt idx="243">
                  <c:v>5.831281556223844E-2</c:v>
                </c:pt>
                <c:pt idx="244">
                  <c:v>5.8330862782294823E-2</c:v>
                </c:pt>
                <c:pt idx="245">
                  <c:v>5.834890965648043E-2</c:v>
                </c:pt>
                <c:pt idx="246">
                  <c:v>5.8366956184801699E-2</c:v>
                </c:pt>
                <c:pt idx="247">
                  <c:v>5.8385002367265404E-2</c:v>
                </c:pt>
                <c:pt idx="248">
                  <c:v>5.8403048203878094E-2</c:v>
                </c:pt>
                <c:pt idx="249">
                  <c:v>5.8421093694646542E-2</c:v>
                </c:pt>
                <c:pt idx="250">
                  <c:v>5.8439138839577187E-2</c:v>
                </c:pt>
                <c:pt idx="251">
                  <c:v>5.8457183638676802E-2</c:v>
                </c:pt>
                <c:pt idx="252">
                  <c:v>5.8475228091951936E-2</c:v>
                </c:pt>
                <c:pt idx="253">
                  <c:v>5.8493272199409141E-2</c:v>
                </c:pt>
                <c:pt idx="254">
                  <c:v>5.8511315961055299E-2</c:v>
                </c:pt>
                <c:pt idx="255">
                  <c:v>5.852935937689685E-2</c:v>
                </c:pt>
                <c:pt idx="256">
                  <c:v>5.8547402446940344E-2</c:v>
                </c:pt>
                <c:pt idx="257">
                  <c:v>5.8565445171192665E-2</c:v>
                </c:pt>
                <c:pt idx="258">
                  <c:v>5.858348754966014E-2</c:v>
                </c:pt>
                <c:pt idx="259">
                  <c:v>5.8601529582349654E-2</c:v>
                </c:pt>
                <c:pt idx="260">
                  <c:v>5.8619571269267756E-2</c:v>
                </c:pt>
                <c:pt idx="261">
                  <c:v>5.8637612610420997E-2</c:v>
                </c:pt>
                <c:pt idx="262">
                  <c:v>5.8655653605816038E-2</c:v>
                </c:pt>
                <c:pt idx="263">
                  <c:v>5.8673694255459541E-2</c:v>
                </c:pt>
                <c:pt idx="264">
                  <c:v>5.8691734559358055E-2</c:v>
                </c:pt>
                <c:pt idx="265">
                  <c:v>5.8709774517518354E-2</c:v>
                </c:pt>
                <c:pt idx="266">
                  <c:v>5.8727814129946876E-2</c:v>
                </c:pt>
                <c:pt idx="267">
                  <c:v>5.8745853396650394E-2</c:v>
                </c:pt>
                <c:pt idx="268">
                  <c:v>5.8763892317635458E-2</c:v>
                </c:pt>
                <c:pt idx="269">
                  <c:v>5.8781930892908729E-2</c:v>
                </c:pt>
                <c:pt idx="270">
                  <c:v>5.8799969122476758E-2</c:v>
                </c:pt>
                <c:pt idx="271">
                  <c:v>5.8818007006346318E-2</c:v>
                </c:pt>
                <c:pt idx="272">
                  <c:v>5.8836044544523958E-2</c:v>
                </c:pt>
                <c:pt idx="273">
                  <c:v>5.8854081737016228E-2</c:v>
                </c:pt>
                <c:pt idx="274">
                  <c:v>5.8872118583829902E-2</c:v>
                </c:pt>
                <c:pt idx="275">
                  <c:v>5.8890155084971418E-2</c:v>
                </c:pt>
                <c:pt idx="276">
                  <c:v>5.8908191240447549E-2</c:v>
                </c:pt>
                <c:pt idx="277">
                  <c:v>5.8926227050264846E-2</c:v>
                </c:pt>
                <c:pt idx="278">
                  <c:v>5.8944262514430079E-2</c:v>
                </c:pt>
                <c:pt idx="279">
                  <c:v>5.896229763294969E-2</c:v>
                </c:pt>
                <c:pt idx="280">
                  <c:v>5.8980332405830338E-2</c:v>
                </c:pt>
                <c:pt idx="281">
                  <c:v>5.8998366833078686E-2</c:v>
                </c:pt>
                <c:pt idx="282">
                  <c:v>5.9016400914701395E-2</c:v>
                </c:pt>
                <c:pt idx="283">
                  <c:v>5.9034434650704903E-2</c:v>
                </c:pt>
                <c:pt idx="284">
                  <c:v>5.9052468041096096E-2</c:v>
                </c:pt>
                <c:pt idx="285">
                  <c:v>5.9070501085881522E-2</c:v>
                </c:pt>
                <c:pt idx="286">
                  <c:v>5.9088533785067621E-2</c:v>
                </c:pt>
                <c:pt idx="287">
                  <c:v>5.9106566138661276E-2</c:v>
                </c:pt>
                <c:pt idx="288">
                  <c:v>5.9124598146668927E-2</c:v>
                </c:pt>
                <c:pt idx="289">
                  <c:v>5.9142629809097236E-2</c:v>
                </c:pt>
                <c:pt idx="290">
                  <c:v>5.9160661125952974E-2</c:v>
                </c:pt>
                <c:pt idx="291">
                  <c:v>5.9178692097242469E-2</c:v>
                </c:pt>
                <c:pt idx="292">
                  <c:v>5.9196722722972606E-2</c:v>
                </c:pt>
                <c:pt idx="293">
                  <c:v>5.9214753003149934E-2</c:v>
                </c:pt>
                <c:pt idx="294">
                  <c:v>5.9232782937781003E-2</c:v>
                </c:pt>
                <c:pt idx="295">
                  <c:v>5.9250812526872476E-2</c:v>
                </c:pt>
                <c:pt idx="296">
                  <c:v>5.9268841770431013E-2</c:v>
                </c:pt>
                <c:pt idx="297">
                  <c:v>5.9286870668463276E-2</c:v>
                </c:pt>
                <c:pt idx="298">
                  <c:v>5.9304899220975704E-2</c:v>
                </c:pt>
                <c:pt idx="299">
                  <c:v>5.9322927427975181E-2</c:v>
                </c:pt>
                <c:pt idx="300">
                  <c:v>5.9340955289468034E-2</c:v>
                </c:pt>
                <c:pt idx="301">
                  <c:v>5.9358982805461147E-2</c:v>
                </c:pt>
                <c:pt idx="302">
                  <c:v>5.9377009975960959E-2</c:v>
                </c:pt>
                <c:pt idx="303">
                  <c:v>5.9395036800974133E-2</c:v>
                </c:pt>
                <c:pt idx="304">
                  <c:v>5.9413063280507439E-2</c:v>
                </c:pt>
                <c:pt idx="305">
                  <c:v>5.9431089414567317E-2</c:v>
                </c:pt>
                <c:pt idx="306">
                  <c:v>5.944911520316043E-2</c:v>
                </c:pt>
                <c:pt idx="307">
                  <c:v>5.9467140646293437E-2</c:v>
                </c:pt>
                <c:pt idx="308">
                  <c:v>5.948516574397289E-2</c:v>
                </c:pt>
                <c:pt idx="309">
                  <c:v>5.9503190496205449E-2</c:v>
                </c:pt>
                <c:pt idx="310">
                  <c:v>5.9521214902997777E-2</c:v>
                </c:pt>
                <c:pt idx="311">
                  <c:v>5.9539238964356533E-2</c:v>
                </c:pt>
                <c:pt idx="312">
                  <c:v>5.9557262680288159E-2</c:v>
                </c:pt>
                <c:pt idx="313">
                  <c:v>5.9575286050799425E-2</c:v>
                </c:pt>
                <c:pt idx="314">
                  <c:v>5.9593309075896883E-2</c:v>
                </c:pt>
                <c:pt idx="315">
                  <c:v>5.9611331755587194E-2</c:v>
                </c:pt>
                <c:pt idx="316">
                  <c:v>5.9629354089877018E-2</c:v>
                </c:pt>
                <c:pt idx="317">
                  <c:v>5.9647376078772907E-2</c:v>
                </c:pt>
                <c:pt idx="318">
                  <c:v>5.966539772228141E-2</c:v>
                </c:pt>
                <c:pt idx="319">
                  <c:v>5.9683419020409301E-2</c:v>
                </c:pt>
                <c:pt idx="320">
                  <c:v>5.9701439973163017E-2</c:v>
                </c:pt>
                <c:pt idx="321">
                  <c:v>5.9719460580549333E-2</c:v>
                </c:pt>
                <c:pt idx="322">
                  <c:v>5.9737480842574908E-2</c:v>
                </c:pt>
                <c:pt idx="323">
                  <c:v>5.9755500759246183E-2</c:v>
                </c:pt>
                <c:pt idx="324">
                  <c:v>5.9773520330569929E-2</c:v>
                </c:pt>
                <c:pt idx="325">
                  <c:v>5.9791539556552586E-2</c:v>
                </c:pt>
                <c:pt idx="326">
                  <c:v>5.9809558437201038E-2</c:v>
                </c:pt>
                <c:pt idx="327">
                  <c:v>5.9827576972521612E-2</c:v>
                </c:pt>
                <c:pt idx="328">
                  <c:v>5.9845595162521192E-2</c:v>
                </c:pt>
                <c:pt idx="329">
                  <c:v>5.9863613007206218E-2</c:v>
                </c:pt>
                <c:pt idx="330">
                  <c:v>5.988163050658335E-2</c:v>
                </c:pt>
                <c:pt idx="331">
                  <c:v>5.989964766065925E-2</c:v>
                </c:pt>
                <c:pt idx="332">
                  <c:v>5.9917664469440468E-2</c:v>
                </c:pt>
                <c:pt idx="333">
                  <c:v>5.9935680932933666E-2</c:v>
                </c:pt>
                <c:pt idx="334">
                  <c:v>5.9953697051145394E-2</c:v>
                </c:pt>
                <c:pt idx="335">
                  <c:v>5.9971712824082424E-2</c:v>
                </c:pt>
                <c:pt idx="336">
                  <c:v>5.9989728251751195E-2</c:v>
                </c:pt>
                <c:pt idx="337">
                  <c:v>6.0007743334158481E-2</c:v>
                </c:pt>
                <c:pt idx="338">
                  <c:v>6.0025758071310831E-2</c:v>
                </c:pt>
                <c:pt idx="339">
                  <c:v>6.0043772463214795E-2</c:v>
                </c:pt>
                <c:pt idx="340">
                  <c:v>6.0061786509877035E-2</c:v>
                </c:pt>
                <c:pt idx="341">
                  <c:v>6.0079800211304213E-2</c:v>
                </c:pt>
                <c:pt idx="342">
                  <c:v>6.0097813567502878E-2</c:v>
                </c:pt>
                <c:pt idx="343">
                  <c:v>6.0115826578479692E-2</c:v>
                </c:pt>
                <c:pt idx="344">
                  <c:v>6.0133839244241316E-2</c:v>
                </c:pt>
                <c:pt idx="345">
                  <c:v>6.0151851564794301E-2</c:v>
                </c:pt>
                <c:pt idx="346">
                  <c:v>6.0169863540145196E-2</c:v>
                </c:pt>
                <c:pt idx="347">
                  <c:v>6.0187875170300775E-2</c:v>
                </c:pt>
                <c:pt idx="348">
                  <c:v>6.0205886455267477E-2</c:v>
                </c:pt>
                <c:pt idx="349">
                  <c:v>6.0223897395052073E-2</c:v>
                </c:pt>
                <c:pt idx="350">
                  <c:v>6.0241907989661114E-2</c:v>
                </c:pt>
                <c:pt idx="351">
                  <c:v>6.0259918239101262E-2</c:v>
                </c:pt>
                <c:pt idx="352">
                  <c:v>6.0277928143379067E-2</c:v>
                </c:pt>
                <c:pt idx="353">
                  <c:v>6.0295937702501079E-2</c:v>
                </c:pt>
                <c:pt idx="354">
                  <c:v>6.031394691647407E-2</c:v>
                </c:pt>
                <c:pt idx="355">
                  <c:v>6.0331955785304592E-2</c:v>
                </c:pt>
                <c:pt idx="356">
                  <c:v>6.0349964308999193E-2</c:v>
                </c:pt>
                <c:pt idx="357">
                  <c:v>6.0367972487564647E-2</c:v>
                </c:pt>
                <c:pt idx="358">
                  <c:v>6.0385980321007393E-2</c:v>
                </c:pt>
                <c:pt idx="359">
                  <c:v>6.0403987809334092E-2</c:v>
                </c:pt>
                <c:pt idx="360">
                  <c:v>6.0421994952551517E-2</c:v>
                </c:pt>
                <c:pt idx="361">
                  <c:v>6.0440001750665995E-2</c:v>
                </c:pt>
                <c:pt idx="362">
                  <c:v>6.045800820368441E-2</c:v>
                </c:pt>
                <c:pt idx="363">
                  <c:v>6.0476014311613202E-2</c:v>
                </c:pt>
                <c:pt idx="364">
                  <c:v>6.0494020074459032E-2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3.5381041253689453E-2</c:v>
                </c:pt>
                <c:pt idx="1">
                  <c:v>3.5472437944734536E-2</c:v>
                </c:pt>
                <c:pt idx="2">
                  <c:v>3.5563801347121581E-2</c:v>
                </c:pt>
                <c:pt idx="3">
                  <c:v>3.5655123875321937E-2</c:v>
                </c:pt>
                <c:pt idx="4">
                  <c:v>3.574639893478402E-2</c:v>
                </c:pt>
                <c:pt idx="5">
                  <c:v>3.5837620901062364E-2</c:v>
                </c:pt>
                <c:pt idx="6">
                  <c:v>3.5928785090452747E-2</c:v>
                </c:pt>
                <c:pt idx="7">
                  <c:v>3.6019887722682338E-2</c:v>
                </c:pt>
                <c:pt idx="8">
                  <c:v>3.6110925876269372E-2</c:v>
                </c:pt>
                <c:pt idx="9">
                  <c:v>3.6201897437226023E-2</c:v>
                </c:pt>
                <c:pt idx="10">
                  <c:v>3.6292801041829845E-2</c:v>
                </c:pt>
                <c:pt idx="11">
                  <c:v>3.6383636014232897E-2</c:v>
                </c:pt>
                <c:pt idx="12">
                  <c:v>3.647440229971316E-2</c:v>
                </c:pt>
                <c:pt idx="13">
                  <c:v>3.6565100394400522E-2</c:v>
                </c:pt>
                <c:pt idx="14">
                  <c:v>3.6655731272327727E-2</c:v>
                </c:pt>
                <c:pt idx="15">
                  <c:v>3.6746296310667226E-2</c:v>
                </c:pt>
                <c:pt idx="16">
                  <c:v>3.6836797214015511E-2</c:v>
                </c:pt>
                <c:pt idx="17">
                  <c:v>3.6927235938579731E-2</c:v>
                </c:pt>
                <c:pt idx="18">
                  <c:v>3.7017614617105621E-2</c:v>
                </c:pt>
                <c:pt idx="19">
                  <c:v>3.7107935485361634E-2</c:v>
                </c:pt>
                <c:pt idx="20">
                  <c:v>3.7198200810962728E-2</c:v>
                </c:pt>
                <c:pt idx="21">
                  <c:v>3.7288412825278519E-2</c:v>
                </c:pt>
                <c:pt idx="22">
                  <c:v>3.7378573659123726E-2</c:v>
                </c:pt>
                <c:pt idx="23">
                  <c:v>3.7468685282877848E-2</c:v>
                </c:pt>
                <c:pt idx="24">
                  <c:v>3.7558749451621722E-2</c:v>
                </c:pt>
                <c:pt idx="25">
                  <c:v>3.7648767655816644E-2</c:v>
                </c:pt>
                <c:pt idx="26">
                  <c:v>3.7738741077983723E-2</c:v>
                </c:pt>
                <c:pt idx="27">
                  <c:v>3.7828670555770494E-2</c:v>
                </c:pt>
                <c:pt idx="28">
                  <c:v>3.7918556551717955E-2</c:v>
                </c:pt>
                <c:pt idx="29">
                  <c:v>3.8008399129965516E-2</c:v>
                </c:pt>
                <c:pt idx="30">
                  <c:v>3.8098197940054264E-2</c:v>
                </c:pt>
                <c:pt idx="31">
                  <c:v>3.8187952207911727E-2</c:v>
                </c:pt>
                <c:pt idx="32">
                  <c:v>3.8277660734024381E-2</c:v>
                </c:pt>
                <c:pt idx="33">
                  <c:v>3.8367321898728442E-2</c:v>
                </c:pt>
                <c:pt idx="34">
                  <c:v>3.8456933674475752E-2</c:v>
                </c:pt>
                <c:pt idx="35">
                  <c:v>3.8546493644860673E-2</c:v>
                </c:pt>
                <c:pt idx="36">
                  <c:v>3.8635999030126385E-2</c:v>
                </c:pt>
                <c:pt idx="37">
                  <c:v>3.8725446718805547E-2</c:v>
                </c:pt>
                <c:pt idx="38">
                  <c:v>3.8814833305091404E-2</c:v>
                </c:pt>
                <c:pt idx="39">
                  <c:v>3.8904155131482321E-2</c:v>
                </c:pt>
                <c:pt idx="40">
                  <c:v>3.8993408336194468E-2</c:v>
                </c:pt>
                <c:pt idx="41">
                  <c:v>3.9082588904796309E-2</c:v>
                </c:pt>
                <c:pt idx="42">
                  <c:v>3.9171692725482883E-2</c:v>
                </c:pt>
                <c:pt idx="43">
                  <c:v>3.9260715647380005E-2</c:v>
                </c:pt>
                <c:pt idx="44">
                  <c:v>3.9349653541246712E-2</c:v>
                </c:pt>
                <c:pt idx="45">
                  <c:v>3.9438502361930243E-2</c:v>
                </c:pt>
                <c:pt idx="46">
                  <c:v>3.9527258211920109E-2</c:v>
                </c:pt>
                <c:pt idx="47">
                  <c:v>3.9615917405348158E-2</c:v>
                </c:pt>
                <c:pt idx="48">
                  <c:v>3.9704476531787616E-2</c:v>
                </c:pt>
                <c:pt idx="49">
                  <c:v>3.9792932519218033E-2</c:v>
                </c:pt>
                <c:pt idx="50">
                  <c:v>3.9881282695542419E-2</c:v>
                </c:pt>
                <c:pt idx="51">
                  <c:v>3.9969524848069177E-2</c:v>
                </c:pt>
                <c:pt idx="52">
                  <c:v>4.0057657280402802E-2</c:v>
                </c:pt>
                <c:pt idx="53">
                  <c:v>4.0145678866224659E-2</c:v>
                </c:pt>
                <c:pt idx="54">
                  <c:v>4.0233589099486045E-2</c:v>
                </c:pt>
                <c:pt idx="55">
                  <c:v>4.0321388140582365E-2</c:v>
                </c:pt>
                <c:pt idx="56">
                  <c:v>4.0409076858125989E-2</c:v>
                </c:pt>
                <c:pt idx="57">
                  <c:v>4.04966568659881E-2</c:v>
                </c:pt>
                <c:pt idx="58">
                  <c:v>4.0584130555334004E-2</c:v>
                </c:pt>
                <c:pt idx="59">
                  <c:v>4.067150112143296E-2</c:v>
                </c:pt>
                <c:pt idx="60">
                  <c:v>4.0758772585080497E-2</c:v>
                </c:pt>
                <c:pt idx="61">
                  <c:v>4.0845949808528556E-2</c:v>
                </c:pt>
                <c:pt idx="62">
                  <c:v>4.0933038505875763E-2</c:v>
                </c:pt>
                <c:pt idx="63">
                  <c:v>4.10200452479259E-2</c:v>
                </c:pt>
                <c:pt idx="64">
                  <c:v>4.1106977461576953E-2</c:v>
                </c:pt>
                <c:pt idx="65">
                  <c:v>4.1193843423854619E-2</c:v>
                </c:pt>
                <c:pt idx="66">
                  <c:v>4.1280652250753058E-2</c:v>
                </c:pt>
                <c:pt idx="67">
                  <c:v>4.1367413881091386E-2</c:v>
                </c:pt>
                <c:pt idx="68">
                  <c:v>4.1454139055635469E-2</c:v>
                </c:pt>
                <c:pt idx="69">
                  <c:v>4.154083929177213E-2</c:v>
                </c:pt>
                <c:pt idx="70">
                  <c:v>4.1627526854055207E-2</c:v>
                </c:pt>
                <c:pt idx="71">
                  <c:v>4.1714214720970207E-2</c:v>
                </c:pt>
                <c:pt idx="72">
                  <c:v>4.1800916548287027E-2</c:v>
                </c:pt>
                <c:pt idx="73">
                  <c:v>4.1887646629386481E-2</c:v>
                </c:pt>
                <c:pt idx="74">
                  <c:v>4.1974419852958043E-2</c:v>
                </c:pt>
                <c:pt idx="75">
                  <c:v>4.2061251658472083E-2</c:v>
                </c:pt>
                <c:pt idx="76">
                  <c:v>4.2148157989830036E-2</c:v>
                </c:pt>
                <c:pt idx="77">
                  <c:v>4.2235155247591145E-2</c:v>
                </c:pt>
                <c:pt idx="78">
                  <c:v>4.232226024016382E-2</c:v>
                </c:pt>
                <c:pt idx="79">
                  <c:v>4.2409490134335349E-2</c:v>
                </c:pt>
                <c:pt idx="80">
                  <c:v>4.2496862405492969E-2</c:v>
                </c:pt>
                <c:pt idx="81">
                  <c:v>4.2584394787866055E-2</c:v>
                </c:pt>
                <c:pt idx="82">
                  <c:v>4.267210522509126E-2</c:v>
                </c:pt>
                <c:pt idx="83">
                  <c:v>4.2760011821370902E-2</c:v>
                </c:pt>
                <c:pt idx="84">
                  <c:v>4.2848132793461134E-2</c:v>
                </c:pt>
                <c:pt idx="85">
                  <c:v>4.2936486423690447E-2</c:v>
                </c:pt>
                <c:pt idx="86">
                  <c:v>4.3025091014170062E-2</c:v>
                </c:pt>
                <c:pt idx="87">
                  <c:v>4.3113964842319406E-2</c:v>
                </c:pt>
                <c:pt idx="88">
                  <c:v>4.32031261177898E-2</c:v>
                </c:pt>
                <c:pt idx="89">
                  <c:v>4.3292592940829447E-2</c:v>
                </c:pt>
                <c:pt idx="90">
                  <c:v>4.3382383262094336E-2</c:v>
                </c:pt>
                <c:pt idx="91">
                  <c:v>4.3472514843871407E-2</c:v>
                </c:pt>
                <c:pt idx="92">
                  <c:v>4.3563005222644627E-2</c:v>
                </c:pt>
                <c:pt idx="93">
                  <c:v>4.3653871672901016E-2</c:v>
                </c:pt>
                <c:pt idx="94">
                  <c:v>4.3745131172043053E-2</c:v>
                </c:pt>
                <c:pt idx="95">
                  <c:v>4.3836800366246542E-2</c:v>
                </c:pt>
                <c:pt idx="96">
                  <c:v>4.3928895537079841E-2</c:v>
                </c:pt>
                <c:pt idx="97">
                  <c:v>4.4021432568680775E-2</c:v>
                </c:pt>
                <c:pt idx="98">
                  <c:v>4.4114426915273446E-2</c:v>
                </c:pt>
                <c:pt idx="99">
                  <c:v>4.4207893568796772E-2</c:v>
                </c:pt>
                <c:pt idx="100">
                  <c:v>4.4301847026411961E-2</c:v>
                </c:pt>
                <c:pt idx="101">
                  <c:v>4.4396301257656791E-2</c:v>
                </c:pt>
                <c:pt idx="102">
                  <c:v>4.4491269671019323E-2</c:v>
                </c:pt>
                <c:pt idx="103">
                  <c:v>4.4586765079715221E-2</c:v>
                </c:pt>
                <c:pt idx="104">
                  <c:v>4.468279966646814E-2</c:v>
                </c:pt>
                <c:pt idx="105">
                  <c:v>4.4779384947113782E-2</c:v>
                </c:pt>
                <c:pt idx="106">
                  <c:v>4.487653173287371E-2</c:v>
                </c:pt>
                <c:pt idx="107">
                  <c:v>4.4974250091175123E-2</c:v>
                </c:pt>
                <c:pt idx="108">
                  <c:v>4.5072549304926886E-2</c:v>
                </c:pt>
                <c:pt idx="109">
                  <c:v>4.5171437830200445E-2</c:v>
                </c:pt>
                <c:pt idx="110">
                  <c:v>4.5270923252304598E-2</c:v>
                </c:pt>
                <c:pt idx="111">
                  <c:v>4.5371012240287931E-2</c:v>
                </c:pt>
                <c:pt idx="112">
                  <c:v>4.5471710499948151E-2</c:v>
                </c:pt>
                <c:pt idx="113">
                  <c:v>4.5573022725475261E-2</c:v>
                </c:pt>
                <c:pt idx="114">
                  <c:v>4.5674952549904266E-2</c:v>
                </c:pt>
                <c:pt idx="115">
                  <c:v>4.5777502494601621E-2</c:v>
                </c:pt>
                <c:pt idx="116">
                  <c:v>4.5880673918058203E-2</c:v>
                </c:pt>
                <c:pt idx="117">
                  <c:v>4.5984466964308801E-2</c:v>
                </c:pt>
                <c:pt idx="118">
                  <c:v>4.6088880511343445E-2</c:v>
                </c:pt>
                <c:pt idx="119">
                  <c:v>9.099574010168537E-3</c:v>
                </c:pt>
                <c:pt idx="120">
                  <c:v>9.2285081104938309E-3</c:v>
                </c:pt>
                <c:pt idx="121">
                  <c:v>9.3575526657547672E-3</c:v>
                </c:pt>
                <c:pt idx="122">
                  <c:v>9.4867105555013296E-3</c:v>
                </c:pt>
                <c:pt idx="123">
                  <c:v>9.6159842471193503E-3</c:v>
                </c:pt>
                <c:pt idx="124">
                  <c:v>9.7453757709854132E-3</c:v>
                </c:pt>
                <c:pt idx="125">
                  <c:v>9.8748866960197343E-3</c:v>
                </c:pt>
                <c:pt idx="126">
                  <c:v>1.0004518105824445E-2</c:v>
                </c:pt>
                <c:pt idx="127">
                  <c:v>1.0134270575605283E-2</c:v>
                </c:pt>
                <c:pt idx="128">
                  <c:v>1.0264144150082671E-2</c:v>
                </c:pt>
                <c:pt idx="129">
                  <c:v>1.0394138322605087E-2</c:v>
                </c:pt>
                <c:pt idx="130">
                  <c:v>1.0524252015682165E-2</c:v>
                </c:pt>
                <c:pt idx="131">
                  <c:v>1.0654483563157466E-2</c:v>
                </c:pt>
                <c:pt idx="132">
                  <c:v>1.0784830694241025E-2</c:v>
                </c:pt>
                <c:pt idx="133">
                  <c:v>1.091529051961955E-2</c:v>
                </c:pt>
                <c:pt idx="134">
                  <c:v>1.1045859519857619E-2</c:v>
                </c:pt>
                <c:pt idx="135">
                  <c:v>1.1176533536295614E-2</c:v>
                </c:pt>
                <c:pt idx="136">
                  <c:v>1.1307307764640855E-2</c:v>
                </c:pt>
                <c:pt idx="137">
                  <c:v>1.1438176751435686E-2</c:v>
                </c:pt>
                <c:pt idx="138">
                  <c:v>1.1569134393571481E-2</c:v>
                </c:pt>
                <c:pt idx="139">
                  <c:v>1.1700173941000471E-2</c:v>
                </c:pt>
                <c:pt idx="140">
                  <c:v>1.1831288002777272E-2</c:v>
                </c:pt>
                <c:pt idx="141">
                  <c:v>1.1962468556540496E-2</c:v>
                </c:pt>
                <c:pt idx="142">
                  <c:v>1.2093706961520841E-2</c:v>
                </c:pt>
                <c:pt idx="143">
                  <c:v>1.2224993975135965E-2</c:v>
                </c:pt>
                <c:pt idx="144">
                  <c:v>1.2356319773205482E-2</c:v>
                </c:pt>
                <c:pt idx="145">
                  <c:v>1.2487673973790372E-2</c:v>
                </c:pt>
                <c:pt idx="146">
                  <c:v>1.2619045664631099E-2</c:v>
                </c:pt>
                <c:pt idx="147">
                  <c:v>1.2750423434127835E-2</c:v>
                </c:pt>
                <c:pt idx="148">
                  <c:v>1.2881795405775201E-2</c:v>
                </c:pt>
                <c:pt idx="149">
                  <c:v>1.3013149275931618E-2</c:v>
                </c:pt>
                <c:pt idx="150">
                  <c:v>1.3144472354772655E-2</c:v>
                </c:pt>
                <c:pt idx="151">
                  <c:v>1.3275751610245854E-2</c:v>
                </c:pt>
                <c:pt idx="152">
                  <c:v>1.3406973714814708E-2</c:v>
                </c:pt>
                <c:pt idx="153">
                  <c:v>1.3538125094749982E-2</c:v>
                </c:pt>
                <c:pt idx="154">
                  <c:v>1.366919198169872E-2</c:v>
                </c:pt>
                <c:pt idx="155">
                  <c:v>1.3800160466235228E-2</c:v>
                </c:pt>
                <c:pt idx="156">
                  <c:v>1.3931016553074431E-2</c:v>
                </c:pt>
                <c:pt idx="157">
                  <c:v>1.4061746217606011E-2</c:v>
                </c:pt>
                <c:pt idx="158">
                  <c:v>1.4192335463389216E-2</c:v>
                </c:pt>
                <c:pt idx="159">
                  <c:v>1.4322770380231492E-2</c:v>
                </c:pt>
                <c:pt idx="160">
                  <c:v>1.4453037202461766E-2</c:v>
                </c:pt>
                <c:pt idx="161">
                  <c:v>1.4583122366998809E-2</c:v>
                </c:pt>
                <c:pt idx="162">
                  <c:v>1.4713012570809581E-2</c:v>
                </c:pt>
                <c:pt idx="163">
                  <c:v>1.4842694827349318E-2</c:v>
                </c:pt>
                <c:pt idx="164">
                  <c:v>1.4972156521576553E-2</c:v>
                </c:pt>
                <c:pt idx="165">
                  <c:v>1.5101385463141168E-2</c:v>
                </c:pt>
                <c:pt idx="166">
                  <c:v>1.5230369937351895E-2</c:v>
                </c:pt>
                <c:pt idx="167">
                  <c:v>1.5359098753542735E-2</c:v>
                </c:pt>
                <c:pt idx="168">
                  <c:v>1.5487561290473191E-2</c:v>
                </c:pt>
                <c:pt idx="169">
                  <c:v>1.5615747538417555E-2</c:v>
                </c:pt>
                <c:pt idx="170">
                  <c:v>1.5743648137621132E-2</c:v>
                </c:pt>
                <c:pt idx="171">
                  <c:v>1.5871254412828332E-2</c:v>
                </c:pt>
                <c:pt idx="172">
                  <c:v>1.5998558403616307E-2</c:v>
                </c:pt>
                <c:pt idx="173">
                  <c:v>1.6125552890300775E-2</c:v>
                </c:pt>
                <c:pt idx="174">
                  <c:v>1.6252231415215115E-2</c:v>
                </c:pt>
                <c:pt idx="175">
                  <c:v>1.6378588299200629E-2</c:v>
                </c:pt>
                <c:pt idx="176">
                  <c:v>1.6504618653185081E-2</c:v>
                </c:pt>
                <c:pt idx="177">
                  <c:v>1.6630318384766505E-2</c:v>
                </c:pt>
                <c:pt idx="178">
                  <c:v>1.6755684199760701E-2</c:v>
                </c:pt>
                <c:pt idx="179">
                  <c:v>1.6880713598713029E-2</c:v>
                </c:pt>
                <c:pt idx="180">
                  <c:v>1.7005404868416785E-2</c:v>
                </c:pt>
                <c:pt idx="181">
                  <c:v>1.7129757068523419E-2</c:v>
                </c:pt>
                <c:pt idx="182">
                  <c:v>1.7253770013370136E-2</c:v>
                </c:pt>
                <c:pt idx="183">
                  <c:v>1.7377444249191958E-2</c:v>
                </c:pt>
                <c:pt idx="184">
                  <c:v>1.7500781026923439E-2</c:v>
                </c:pt>
                <c:pt idx="185">
                  <c:v>1.7623782270832701E-2</c:v>
                </c:pt>
                <c:pt idx="186">
                  <c:v>1.7746450543265412E-2</c:v>
                </c:pt>
                <c:pt idx="187">
                  <c:v>1.78687890058081E-2</c:v>
                </c:pt>
                <c:pt idx="188">
                  <c:v>1.7990801377209993E-2</c:v>
                </c:pt>
                <c:pt idx="189">
                  <c:v>1.8112491888427982E-2</c:v>
                </c:pt>
                <c:pt idx="190">
                  <c:v>1.8233865235182334E-2</c:v>
                </c:pt>
                <c:pt idx="191">
                  <c:v>1.8354926528428822E-2</c:v>
                </c:pt>
                <c:pt idx="192">
                  <c:v>1.8475681243167643E-2</c:v>
                </c:pt>
                <c:pt idx="193">
                  <c:v>1.8596135166020232E-2</c:v>
                </c:pt>
                <c:pt idx="194">
                  <c:v>1.871629434201063E-2</c:v>
                </c:pt>
                <c:pt idx="195">
                  <c:v>1.8836165020990135E-2</c:v>
                </c:pt>
                <c:pt idx="196">
                  <c:v>1.8955753604140965E-2</c:v>
                </c:pt>
                <c:pt idx="197">
                  <c:v>1.9075066590987937E-2</c:v>
                </c:pt>
                <c:pt idx="198">
                  <c:v>1.9194110527335256E-2</c:v>
                </c:pt>
                <c:pt idx="199">
                  <c:v>1.9312891954530214E-2</c:v>
                </c:pt>
                <c:pt idx="200">
                  <c:v>1.9431417360435976E-2</c:v>
                </c:pt>
                <c:pt idx="201">
                  <c:v>1.9549693132471697E-2</c:v>
                </c:pt>
                <c:pt idx="202">
                  <c:v>1.9667725513051706E-2</c:v>
                </c:pt>
                <c:pt idx="203">
                  <c:v>1.9785520557724662E-2</c:v>
                </c:pt>
                <c:pt idx="204">
                  <c:v>1.99030840962806E-2</c:v>
                </c:pt>
                <c:pt idx="205">
                  <c:v>2.002042169705754E-2</c:v>
                </c:pt>
                <c:pt idx="206">
                  <c:v>2.0137538634641784E-2</c:v>
                </c:pt>
                <c:pt idx="207">
                  <c:v>2.0254439861115466E-2</c:v>
                </c:pt>
                <c:pt idx="208">
                  <c:v>2.0371129980964443E-2</c:v>
                </c:pt>
                <c:pt idx="209">
                  <c:v>2.0487613229717198E-2</c:v>
                </c:pt>
                <c:pt idx="210">
                  <c:v>2.0603893456343052E-2</c:v>
                </c:pt>
                <c:pt idx="211">
                  <c:v>2.0719974109396001E-2</c:v>
                </c:pt>
                <c:pt idx="212">
                  <c:v>2.0835858226848476E-2</c:v>
                </c:pt>
                <c:pt idx="213">
                  <c:v>2.0951548429518792E-2</c:v>
                </c:pt>
                <c:pt idx="214">
                  <c:v>2.1067046917957341E-2</c:v>
                </c:pt>
                <c:pt idx="215">
                  <c:v>2.1182355472618805E-2</c:v>
                </c:pt>
                <c:pt idx="216">
                  <c:v>2.1297475457113867E-2</c:v>
                </c:pt>
                <c:pt idx="217">
                  <c:v>2.1412407824301507E-2</c:v>
                </c:pt>
                <c:pt idx="218">
                  <c:v>2.1527153124954665E-2</c:v>
                </c:pt>
                <c:pt idx="219">
                  <c:v>2.1641711518707182E-2</c:v>
                </c:pt>
                <c:pt idx="220">
                  <c:v>2.1756082786968525E-2</c:v>
                </c:pt>
                <c:pt idx="221">
                  <c:v>2.1870266347476328E-2</c:v>
                </c:pt>
                <c:pt idx="222">
                  <c:v>2.198426127014361E-2</c:v>
                </c:pt>
                <c:pt idx="223">
                  <c:v>2.2098066293850038E-2</c:v>
                </c:pt>
                <c:pt idx="224">
                  <c:v>2.2211679843822881E-2</c:v>
                </c:pt>
                <c:pt idx="225">
                  <c:v>2.2325100049254535E-2</c:v>
                </c:pt>
                <c:pt idx="226">
                  <c:v>2.2438324760809945E-2</c:v>
                </c:pt>
                <c:pt idx="227">
                  <c:v>2.2551351567687283E-2</c:v>
                </c:pt>
                <c:pt idx="228">
                  <c:v>2.2664177813911154E-2</c:v>
                </c:pt>
                <c:pt idx="229">
                  <c:v>2.2776800613556785E-2</c:v>
                </c:pt>
                <c:pt idx="230">
                  <c:v>2.2889216864627762E-2</c:v>
                </c:pt>
                <c:pt idx="231">
                  <c:v>2.3001423261337531E-2</c:v>
                </c:pt>
                <c:pt idx="232">
                  <c:v>2.3113416304576511E-2</c:v>
                </c:pt>
                <c:pt idx="233">
                  <c:v>2.3225192310381025E-2</c:v>
                </c:pt>
                <c:pt idx="234">
                  <c:v>2.3336747416258168E-2</c:v>
                </c:pt>
                <c:pt idx="235">
                  <c:v>2.3448077585260411E-2</c:v>
                </c:pt>
                <c:pt idx="236">
                  <c:v>2.3559178607745895E-2</c:v>
                </c:pt>
                <c:pt idx="237">
                  <c:v>2.3670046100803626E-2</c:v>
                </c:pt>
                <c:pt idx="238">
                  <c:v>2.3780675505367242E-2</c:v>
                </c:pt>
                <c:pt idx="239">
                  <c:v>2.3891062081085483E-2</c:v>
                </c:pt>
                <c:pt idx="240">
                  <c:v>2.4001200899062426E-2</c:v>
                </c:pt>
                <c:pt idx="241">
                  <c:v>2.4111086832623974E-2</c:v>
                </c:pt>
                <c:pt idx="242">
                  <c:v>2.4220714546309936E-2</c:v>
                </c:pt>
                <c:pt idx="243">
                  <c:v>2.4330078483331592E-2</c:v>
                </c:pt>
                <c:pt idx="244">
                  <c:v>2.4439172851772932E-2</c:v>
                </c:pt>
                <c:pt idx="245">
                  <c:v>2.4547991609849409E-2</c:v>
                </c:pt>
                <c:pt idx="246">
                  <c:v>2.4656528450569891E-2</c:v>
                </c:pt>
                <c:pt idx="247">
                  <c:v>2.4764776786175946E-2</c:v>
                </c:pt>
                <c:pt idx="248">
                  <c:v>2.4872729732756206E-2</c:v>
                </c:pt>
                <c:pt idx="249">
                  <c:v>2.4980380095453454E-2</c:v>
                </c:pt>
                <c:pt idx="250">
                  <c:v>2.5087720354695777E-2</c:v>
                </c:pt>
                <c:pt idx="251">
                  <c:v>2.51947426538928E-2</c:v>
                </c:pt>
                <c:pt idx="252">
                  <c:v>2.5301438789041241E-2</c:v>
                </c:pt>
                <c:pt idx="253">
                  <c:v>2.5407800200682146E-2</c:v>
                </c:pt>
                <c:pt idx="254">
                  <c:v>2.5513817968644537E-2</c:v>
                </c:pt>
                <c:pt idx="255">
                  <c:v>2.5619482809996361E-2</c:v>
                </c:pt>
                <c:pt idx="256">
                  <c:v>2.5724785080604658E-2</c:v>
                </c:pt>
                <c:pt idx="257">
                  <c:v>2.5829714780681468E-2</c:v>
                </c:pt>
                <c:pt idx="258">
                  <c:v>2.5934261564662092E-2</c:v>
                </c:pt>
                <c:pt idx="259">
                  <c:v>2.6038414755725867E-2</c:v>
                </c:pt>
                <c:pt idx="260">
                  <c:v>2.6142163365229416E-2</c:v>
                </c:pt>
                <c:pt idx="261">
                  <c:v>2.6245496117276657E-2</c:v>
                </c:pt>
                <c:pt idx="262">
                  <c:v>2.6348401478600063E-2</c:v>
                </c:pt>
                <c:pt idx="263">
                  <c:v>2.6450867693874412E-2</c:v>
                </c:pt>
                <c:pt idx="264">
                  <c:v>2.6552882826527471E-2</c:v>
                </c:pt>
                <c:pt idx="265">
                  <c:v>2.6654434805052314E-2</c:v>
                </c:pt>
                <c:pt idx="266">
                  <c:v>2.6755511474764931E-2</c:v>
                </c:pt>
                <c:pt idx="267">
                  <c:v>2.6856100654886833E-2</c:v>
                </c:pt>
                <c:pt idx="268">
                  <c:v>2.6956190200769233E-2</c:v>
                </c:pt>
                <c:pt idx="269">
                  <c:v>2.7055768071010854E-2</c:v>
                </c:pt>
                <c:pt idx="270">
                  <c:v>2.7154822399157546E-2</c:v>
                </c:pt>
                <c:pt idx="271">
                  <c:v>2.725334156961012E-2</c:v>
                </c:pt>
                <c:pt idx="272">
                  <c:v>2.7351314297305973E-2</c:v>
                </c:pt>
                <c:pt idx="273">
                  <c:v>2.7448729710681973E-2</c:v>
                </c:pt>
                <c:pt idx="274">
                  <c:v>2.7545577437372244E-2</c:v>
                </c:pt>
                <c:pt idx="275">
                  <c:v>2.7641847692043156E-2</c:v>
                </c:pt>
                <c:pt idx="276">
                  <c:v>2.773753136572198E-2</c:v>
                </c:pt>
                <c:pt idx="277">
                  <c:v>2.7832620115934965E-2</c:v>
                </c:pt>
                <c:pt idx="278">
                  <c:v>2.7927106456935049E-2</c:v>
                </c:pt>
                <c:pt idx="279">
                  <c:v>2.8020983849270344E-2</c:v>
                </c:pt>
                <c:pt idx="280">
                  <c:v>2.811424678792239E-2</c:v>
                </c:pt>
                <c:pt idx="281">
                  <c:v>2.820689088822724E-2</c:v>
                </c:pt>
                <c:pt idx="282">
                  <c:v>2.8298912968784614E-2</c:v>
                </c:pt>
                <c:pt idx="283">
                  <c:v>2.8390311130559256E-2</c:v>
                </c:pt>
                <c:pt idx="284">
                  <c:v>2.8481084831386169E-2</c:v>
                </c:pt>
                <c:pt idx="285">
                  <c:v>2.8571234955105544E-2</c:v>
                </c:pt>
                <c:pt idx="286">
                  <c:v>2.8660763874576261E-2</c:v>
                </c:pt>
                <c:pt idx="287">
                  <c:v>2.8749675507846708E-2</c:v>
                </c:pt>
                <c:pt idx="288">
                  <c:v>2.8837975366799676E-2</c:v>
                </c:pt>
                <c:pt idx="289">
                  <c:v>2.8925670597633058E-2</c:v>
                </c:pt>
                <c:pt idx="290">
                  <c:v>2.9012770012590412E-2</c:v>
                </c:pt>
                <c:pt idx="291">
                  <c:v>2.9099284112413915E-2</c:v>
                </c:pt>
                <c:pt idx="292">
                  <c:v>2.9185225099057546E-2</c:v>
                </c:pt>
                <c:pt idx="293">
                  <c:v>2.9270606878268563E-2</c:v>
                </c:pt>
                <c:pt idx="294">
                  <c:v>2.9355445051721517E-2</c:v>
                </c:pt>
                <c:pt idx="295">
                  <c:v>2.9439756898468429E-2</c:v>
                </c:pt>
                <c:pt idx="296">
                  <c:v>2.9523561345553666E-2</c:v>
                </c:pt>
                <c:pt idx="297">
                  <c:v>2.9606878927727526E-2</c:v>
                </c:pt>
                <c:pt idx="298">
                  <c:v>2.9689731736283011E-2</c:v>
                </c:pt>
                <c:pt idx="299">
                  <c:v>2.9772143357129573E-2</c:v>
                </c:pt>
                <c:pt idx="300">
                  <c:v>2.9854138798309199E-2</c:v>
                </c:pt>
                <c:pt idx="301">
                  <c:v>2.9935744407250754E-2</c:v>
                </c:pt>
                <c:pt idx="302">
                  <c:v>3.0016987778148034E-2</c:v>
                </c:pt>
                <c:pt idx="303">
                  <c:v>3.0097897649934351E-2</c:v>
                </c:pt>
                <c:pt idx="304">
                  <c:v>3.0178503795411583E-2</c:v>
                </c:pt>
                <c:pt idx="305">
                  <c:v>3.02588369021719E-2</c:v>
                </c:pt>
                <c:pt idx="306">
                  <c:v>3.0338928446027511E-2</c:v>
                </c:pt>
                <c:pt idx="307">
                  <c:v>3.0418810557734575E-2</c:v>
                </c:pt>
                <c:pt idx="308">
                  <c:v>3.0498515883862865E-2</c:v>
                </c:pt>
                <c:pt idx="309">
                  <c:v>3.0578077442721216E-2</c:v>
                </c:pt>
                <c:pt idx="310">
                  <c:v>3.0657528476300117E-2</c:v>
                </c:pt>
                <c:pt idx="311">
                  <c:v>3.0736902299236517E-2</c:v>
                </c:pt>
                <c:pt idx="312">
                  <c:v>3.0816232145840713E-2</c:v>
                </c:pt>
                <c:pt idx="313">
                  <c:v>3.0895551016252219E-2</c:v>
                </c:pt>
                <c:pt idx="314">
                  <c:v>3.0974891522808468E-2</c:v>
                </c:pt>
                <c:pt idx="315">
                  <c:v>3.105428573771879E-2</c:v>
                </c:pt>
                <c:pt idx="316">
                  <c:v>3.113376504313509E-2</c:v>
                </c:pt>
                <c:pt idx="317">
                  <c:v>3.1213359984699367E-2</c:v>
                </c:pt>
                <c:pt idx="318">
                  <c:v>3.1293100129629006E-2</c:v>
                </c:pt>
                <c:pt idx="319">
                  <c:v>3.1373013930370772E-2</c:v>
                </c:pt>
                <c:pt idx="320">
                  <c:v>3.1453128594816158E-2</c:v>
                </c:pt>
                <c:pt idx="321">
                  <c:v>3.1533469964023661E-2</c:v>
                </c:pt>
                <c:pt idx="322">
                  <c:v>3.1614062398337472E-2</c:v>
                </c:pt>
                <c:pt idx="323">
                  <c:v>3.169492867272871E-2</c:v>
                </c:pt>
                <c:pt idx="324">
                  <c:v>3.1776089882114049E-2</c:v>
                </c:pt>
                <c:pt idx="325">
                  <c:v>3.1857565357328976E-2</c:v>
                </c:pt>
                <c:pt idx="326">
                  <c:v>3.1939372592348574E-2</c:v>
                </c:pt>
                <c:pt idx="327">
                  <c:v>3.2021527183259742E-2</c:v>
                </c:pt>
                <c:pt idx="328">
                  <c:v>3.2104042779394625E-2</c:v>
                </c:pt>
                <c:pt idx="329">
                  <c:v>3.2186931046937491E-2</c:v>
                </c:pt>
                <c:pt idx="330">
                  <c:v>3.2270201645216837E-2</c:v>
                </c:pt>
                <c:pt idx="331">
                  <c:v>3.2353862215792152E-2</c:v>
                </c:pt>
                <c:pt idx="332">
                  <c:v>3.2437918384341298E-2</c:v>
                </c:pt>
                <c:pt idx="333">
                  <c:v>3.2522373775251287E-2</c:v>
                </c:pt>
                <c:pt idx="334">
                  <c:v>3.2607230038712451E-2</c:v>
                </c:pt>
                <c:pt idx="335">
                  <c:v>3.2692486890015672E-2</c:v>
                </c:pt>
                <c:pt idx="336">
                  <c:v>3.2778142160654229E-2</c:v>
                </c:pt>
                <c:pt idx="337">
                  <c:v>3.2864191860737829E-2</c:v>
                </c:pt>
                <c:pt idx="338">
                  <c:v>3.2950630252136411E-2</c:v>
                </c:pt>
                <c:pt idx="339">
                  <c:v>3.303744993168755E-2</c:v>
                </c:pt>
                <c:pt idx="340">
                  <c:v>3.3124641923722505E-2</c:v>
                </c:pt>
                <c:pt idx="341">
                  <c:v>3.3212195781095084E-2</c:v>
                </c:pt>
                <c:pt idx="342">
                  <c:v>3.33000996938334E-2</c:v>
                </c:pt>
                <c:pt idx="343">
                  <c:v>3.3388340604479004E-2</c:v>
                </c:pt>
                <c:pt idx="344">
                  <c:v>3.3476904329130294E-2</c:v>
                </c:pt>
                <c:pt idx="345">
                  <c:v>3.356577568316943E-2</c:v>
                </c:pt>
                <c:pt idx="346">
                  <c:v>3.3654938610622277E-2</c:v>
                </c:pt>
                <c:pt idx="347">
                  <c:v>3.3744376316082104E-2</c:v>
                </c:pt>
                <c:pt idx="348">
                  <c:v>3.3834071398117657E-2</c:v>
                </c:pt>
                <c:pt idx="349">
                  <c:v>3.3924005983086189E-2</c:v>
                </c:pt>
                <c:pt idx="350">
                  <c:v>3.4014161858281849E-2</c:v>
                </c:pt>
                <c:pt idx="351">
                  <c:v>3.4104520603368993E-2</c:v>
                </c:pt>
                <c:pt idx="352">
                  <c:v>3.4195063719078093E-2</c:v>
                </c:pt>
                <c:pt idx="353">
                  <c:v>3.4285772752180241E-2</c:v>
                </c:pt>
                <c:pt idx="354">
                  <c:v>3.4376629415801579E-2</c:v>
                </c:pt>
                <c:pt idx="355">
                  <c:v>3.4467615704193551E-2</c:v>
                </c:pt>
                <c:pt idx="356">
                  <c:v>3.4558714001136775E-2</c:v>
                </c:pt>
                <c:pt idx="357">
                  <c:v>3.4649907181224654E-2</c:v>
                </c:pt>
                <c:pt idx="358">
                  <c:v>3.4741178703348419E-2</c:v>
                </c:pt>
                <c:pt idx="359">
                  <c:v>3.4832512695784627E-2</c:v>
                </c:pt>
                <c:pt idx="360">
                  <c:v>3.492389403237256E-2</c:v>
                </c:pt>
                <c:pt idx="361">
                  <c:v>3.5015308399356612E-2</c:v>
                </c:pt>
                <c:pt idx="362">
                  <c:v>3.5106742352561157E-2</c:v>
                </c:pt>
                <c:pt idx="363">
                  <c:v>3.5198183364659512E-2</c:v>
                </c:pt>
                <c:pt idx="364">
                  <c:v>3.5289619862392631E-2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9.1226387609984837E-5</c:v>
                </c:pt>
                <c:pt idx="1">
                  <c:v>8.619512270872393E-5</c:v>
                </c:pt>
                <c:pt idx="2">
                  <c:v>8.1273862120497298E-5</c:v>
                </c:pt>
                <c:pt idx="3">
                  <c:v>7.6465205725270404E-5</c:v>
                </c:pt>
                <c:pt idx="4">
                  <c:v>7.1771510293381648E-5</c:v>
                </c:pt>
                <c:pt idx="5">
                  <c:v>6.7194877793056687E-5</c:v>
                </c:pt>
                <c:pt idx="6">
                  <c:v>6.2737146607162926E-5</c:v>
                </c:pt>
                <c:pt idx="7">
                  <c:v>5.8399885562364427E-5</c:v>
                </c:pt>
                <c:pt idx="8">
                  <c:v>5.4179707641321304E-5</c:v>
                </c:pt>
                <c:pt idx="9">
                  <c:v>5.013952720556666E-5</c:v>
                </c:pt>
                <c:pt idx="10">
                  <c:v>4.6293152513597196E-5</c:v>
                </c:pt>
                <c:pt idx="11">
                  <c:v>4.2641660083303121E-5</c:v>
                </c:pt>
                <c:pt idx="12">
                  <c:v>3.9185269095888576E-5</c:v>
                </c:pt>
                <c:pt idx="13">
                  <c:v>3.592342277577057E-5</c:v>
                </c:pt>
                <c:pt idx="14">
                  <c:v>3.2854871052040264E-5</c:v>
                </c:pt>
                <c:pt idx="15">
                  <c:v>3.0047288970314876E-5</c:v>
                </c:pt>
                <c:pt idx="16">
                  <c:v>2.7414117690113974E-5</c:v>
                </c:pt>
                <c:pt idx="17">
                  <c:v>2.4952887185989107E-5</c:v>
                </c:pt>
                <c:pt idx="18">
                  <c:v>2.2660757324200028E-5</c:v>
                </c:pt>
                <c:pt idx="19">
                  <c:v>2.0534698550148061E-5</c:v>
                </c:pt>
                <c:pt idx="20">
                  <c:v>1.8571442519098891E-5</c:v>
                </c:pt>
                <c:pt idx="21">
                  <c:v>1.6767411456521134E-5</c:v>
                </c:pt>
                <c:pt idx="22">
                  <c:v>1.5117019723834786E-5</c:v>
                </c:pt>
                <c:pt idx="23">
                  <c:v>1.3670633852721661E-5</c:v>
                </c:pt>
                <c:pt idx="24">
                  <c:v>1.236781514873783E-5</c:v>
                </c:pt>
                <c:pt idx="25">
                  <c:v>1.1205519802726117E-5</c:v>
                </c:pt>
                <c:pt idx="26">
                  <c:v>1.0180538965766579E-5</c:v>
                </c:pt>
                <c:pt idx="27">
                  <c:v>9.2895487984005415E-6</c:v>
                </c:pt>
                <c:pt idx="28">
                  <c:v>8.5291561811593775E-6</c:v>
                </c:pt>
                <c:pt idx="29">
                  <c:v>7.9128105098047099E-6</c:v>
                </c:pt>
                <c:pt idx="30">
                  <c:v>7.3764590274252065E-6</c:v>
                </c:pt>
                <c:pt idx="31">
                  <c:v>6.9180096703460623E-6</c:v>
                </c:pt>
                <c:pt idx="32">
                  <c:v>6.5353926428997154E-6</c:v>
                </c:pt>
                <c:pt idx="33">
                  <c:v>6.2265783568055356E-6</c:v>
                </c:pt>
                <c:pt idx="34">
                  <c:v>5.9895932128498973E-6</c:v>
                </c:pt>
                <c:pt idx="35">
                  <c:v>5.8225334063288868E-6</c:v>
                </c:pt>
                <c:pt idx="36">
                  <c:v>5.7230578106198286E-6</c:v>
                </c:pt>
                <c:pt idx="37">
                  <c:v>5.6768493185371425E-6</c:v>
                </c:pt>
                <c:pt idx="38">
                  <c:v>5.6347402769726103E-6</c:v>
                </c:pt>
                <c:pt idx="39">
                  <c:v>5.59671821446519E-6</c:v>
                </c:pt>
                <c:pt idx="40">
                  <c:v>5.5627672057291885E-6</c:v>
                </c:pt>
                <c:pt idx="41">
                  <c:v>5.5328688187848677E-6</c:v>
                </c:pt>
                <c:pt idx="42">
                  <c:v>5.5070030146442822E-6</c:v>
                </c:pt>
                <c:pt idx="43">
                  <c:v>5.4821828876537333E-6</c:v>
                </c:pt>
                <c:pt idx="44">
                  <c:v>5.4437665038072144E-6</c:v>
                </c:pt>
                <c:pt idx="45">
                  <c:v>5.3921761065361415E-6</c:v>
                </c:pt>
                <c:pt idx="46">
                  <c:v>5.3278123628428035E-6</c:v>
                </c:pt>
                <c:pt idx="47">
                  <c:v>5.2510537214553231E-6</c:v>
                </c:pt>
                <c:pt idx="48">
                  <c:v>5.1622558693913796E-6</c:v>
                </c:pt>
                <c:pt idx="49">
                  <c:v>5.0617512573103623E-6</c:v>
                </c:pt>
                <c:pt idx="50">
                  <c:v>4.9496949311645732E-6</c:v>
                </c:pt>
                <c:pt idx="51">
                  <c:v>4.8358557835885887E-6</c:v>
                </c:pt>
                <c:pt idx="52">
                  <c:v>4.7308766663004245E-6</c:v>
                </c:pt>
                <c:pt idx="53">
                  <c:v>4.6345091260980133E-6</c:v>
                </c:pt>
                <c:pt idx="54">
                  <c:v>4.5465414300552614E-6</c:v>
                </c:pt>
                <c:pt idx="55">
                  <c:v>4.4667732842080993E-6</c:v>
                </c:pt>
                <c:pt idx="56">
                  <c:v>4.3950151540696913E-6</c:v>
                </c:pt>
                <c:pt idx="57">
                  <c:v>4.3234979244972268E-6</c:v>
                </c:pt>
                <c:pt idx="58">
                  <c:v>4.2548522144825871E-6</c:v>
                </c:pt>
                <c:pt idx="59">
                  <c:v>4.1890101028089949E-6</c:v>
                </c:pt>
                <c:pt idx="60">
                  <c:v>4.1259083088312729E-6</c:v>
                </c:pt>
                <c:pt idx="61">
                  <c:v>4.0654879354836764E-6</c:v>
                </c:pt>
                <c:pt idx="62">
                  <c:v>4.0076942267933944E-6</c:v>
                </c:pt>
                <c:pt idx="63">
                  <c:v>3.9524763393236721E-6</c:v>
                </c:pt>
                <c:pt idx="64">
                  <c:v>3.8997164318103531E-6</c:v>
                </c:pt>
                <c:pt idx="65">
                  <c:v>3.8417001709309557E-6</c:v>
                </c:pt>
                <c:pt idx="66">
                  <c:v>3.7698152487518888E-6</c:v>
                </c:pt>
                <c:pt idx="67">
                  <c:v>3.6843563792691778E-6</c:v>
                </c:pt>
                <c:pt idx="68">
                  <c:v>3.5856019628133479E-6</c:v>
                </c:pt>
                <c:pt idx="69">
                  <c:v>3.4738122282765719E-6</c:v>
                </c:pt>
                <c:pt idx="70">
                  <c:v>3.3492274181681561E-6</c:v>
                </c:pt>
                <c:pt idx="71">
                  <c:v>3.2174911532343737E-6</c:v>
                </c:pt>
                <c:pt idx="72">
                  <c:v>3.0856578975136221E-6</c:v>
                </c:pt>
                <c:pt idx="73">
                  <c:v>2.9537219616173406E-6</c:v>
                </c:pt>
                <c:pt idx="74">
                  <c:v>2.8216686238090531E-6</c:v>
                </c:pt>
                <c:pt idx="75">
                  <c:v>2.6894740117548234E-6</c:v>
                </c:pt>
                <c:pt idx="76">
                  <c:v>2.5571049780481738E-6</c:v>
                </c:pt>
                <c:pt idx="77">
                  <c:v>2.4245189670174469E-6</c:v>
                </c:pt>
                <c:pt idx="78">
                  <c:v>2.2915382010333273E-6</c:v>
                </c:pt>
                <c:pt idx="79">
                  <c:v>2.1604094643612279E-6</c:v>
                </c:pt>
                <c:pt idx="80">
                  <c:v>2.0382113421161499E-6</c:v>
                </c:pt>
                <c:pt idx="81">
                  <c:v>1.924826676492639E-6</c:v>
                </c:pt>
                <c:pt idx="82">
                  <c:v>1.8201405426173916E-6</c:v>
                </c:pt>
                <c:pt idx="83">
                  <c:v>1.7240419323490972E-6</c:v>
                </c:pt>
                <c:pt idx="84">
                  <c:v>1.6364253835187793E-6</c:v>
                </c:pt>
                <c:pt idx="85">
                  <c:v>1.5557262389614856E-6</c:v>
                </c:pt>
                <c:pt idx="86">
                  <c:v>1.4767065615054838E-6</c:v>
                </c:pt>
                <c:pt idx="87">
                  <c:v>1.3993079243344144E-6</c:v>
                </c:pt>
                <c:pt idx="88">
                  <c:v>1.3234683097661576E-6</c:v>
                </c:pt>
                <c:pt idx="89">
                  <c:v>1.2491223722526886E-6</c:v>
                </c:pt>
                <c:pt idx="90">
                  <c:v>1.176304096231623E-6</c:v>
                </c:pt>
                <c:pt idx="91">
                  <c:v>1.1054922896532006E-6</c:v>
                </c:pt>
                <c:pt idx="92">
                  <c:v>1.0358496389669569E-6</c:v>
                </c:pt>
                <c:pt idx="93">
                  <c:v>9.685951337088202E-7</c:v>
                </c:pt>
                <c:pt idx="94">
                  <c:v>9.0129920857389959E-7</c:v>
                </c:pt>
                <c:pt idx="95">
                  <c:v>8.3387694035692313E-7</c:v>
                </c:pt>
                <c:pt idx="96">
                  <c:v>7.6624168674876959E-7</c:v>
                </c:pt>
                <c:pt idx="97">
                  <c:v>6.9830497436894351E-7</c:v>
                </c:pt>
                <c:pt idx="98">
                  <c:v>6.2997639203037113E-7</c:v>
                </c:pt>
                <c:pt idx="99">
                  <c:v>5.6390652624841769E-7</c:v>
                </c:pt>
                <c:pt idx="100">
                  <c:v>5.0154609993391589E-7</c:v>
                </c:pt>
                <c:pt idx="101">
                  <c:v>4.4287147427435047E-7</c:v>
                </c:pt>
                <c:pt idx="102">
                  <c:v>3.87868845302625E-7</c:v>
                </c:pt>
                <c:pt idx="103">
                  <c:v>3.3653449306321989E-7</c:v>
                </c:pt>
                <c:pt idx="104">
                  <c:v>2.8887504893591737E-7</c:v>
                </c:pt>
                <c:pt idx="105">
                  <c:v>2.449077799634413E-7</c:v>
                </c:pt>
                <c:pt idx="106">
                  <c:v>2.0466570539725099E-7</c:v>
                </c:pt>
                <c:pt idx="107">
                  <c:v>1.6957560087980414E-7</c:v>
                </c:pt>
                <c:pt idx="108">
                  <c:v>1.3827437554995059E-7</c:v>
                </c:pt>
                <c:pt idx="109">
                  <c:v>1.108214357147036E-7</c:v>
                </c:pt>
                <c:pt idx="110">
                  <c:v>8.7290017900895658E-8</c:v>
                </c:pt>
                <c:pt idx="111">
                  <c:v>6.7766808690922438E-8</c:v>
                </c:pt>
                <c:pt idx="112">
                  <c:v>5.2351996125436669E-8</c:v>
                </c:pt>
                <c:pt idx="113">
                  <c:v>4.1159758650744564E-8</c:v>
                </c:pt>
                <c:pt idx="114">
                  <c:v>3.1217054760065353E-8</c:v>
                </c:pt>
                <c:pt idx="115">
                  <c:v>2.2557430406784363E-8</c:v>
                </c:pt>
                <c:pt idx="116">
                  <c:v>1.5218990231297251E-8</c:v>
                </c:pt>
                <c:pt idx="117">
                  <c:v>9.2444246333885247E-9</c:v>
                </c:pt>
                <c:pt idx="118">
                  <c:v>4.6810292053181179E-9</c:v>
                </c:pt>
                <c:pt idx="119">
                  <c:v>1.5807140010967735E-9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1.2016492217106695E-20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1.2551487480609722E-20</c:v>
                </c:pt>
                <c:pt idx="131">
                  <c:v>0</c:v>
                </c:pt>
                <c:pt idx="132">
                  <c:v>-1.2782005825439509E-20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1.4176377305478259E-20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-1.4849088892227716E-20</c:v>
                </c:pt>
                <c:pt idx="149">
                  <c:v>0</c:v>
                </c:pt>
                <c:pt idx="150">
                  <c:v>0</c:v>
                </c:pt>
                <c:pt idx="151">
                  <c:v>1.5253469461685042E-20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1.6045048105090494E-20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1.734538328033208E-20</c:v>
                </c:pt>
                <c:pt idx="169">
                  <c:v>-1.7450418606199531E-20</c:v>
                </c:pt>
                <c:pt idx="170">
                  <c:v>0</c:v>
                </c:pt>
                <c:pt idx="171">
                  <c:v>1.7653110497562951E-20</c:v>
                </c:pt>
                <c:pt idx="172">
                  <c:v>1.7750714904130314E-20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1.9209594084307871E-20</c:v>
                </c:pt>
                <c:pt idx="193">
                  <c:v>-1.9260290932651752E-20</c:v>
                </c:pt>
                <c:pt idx="194">
                  <c:v>0</c:v>
                </c:pt>
                <c:pt idx="195">
                  <c:v>-1.9357241086780245E-20</c:v>
                </c:pt>
                <c:pt idx="196">
                  <c:v>0</c:v>
                </c:pt>
                <c:pt idx="197">
                  <c:v>0</c:v>
                </c:pt>
                <c:pt idx="198">
                  <c:v>-1.9493036937755797E-20</c:v>
                </c:pt>
                <c:pt idx="199">
                  <c:v>0</c:v>
                </c:pt>
                <c:pt idx="200">
                  <c:v>1.9578266917535816E-20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-1.977765749232536E-20</c:v>
                </c:pt>
                <c:pt idx="206">
                  <c:v>0</c:v>
                </c:pt>
                <c:pt idx="207">
                  <c:v>-1.9853125481685476E-20</c:v>
                </c:pt>
                <c:pt idx="208">
                  <c:v>0</c:v>
                </c:pt>
                <c:pt idx="209">
                  <c:v>-1.9927150967186139E-20</c:v>
                </c:pt>
                <c:pt idx="210">
                  <c:v>0</c:v>
                </c:pt>
                <c:pt idx="211">
                  <c:v>2.0000452082313129E-20</c:v>
                </c:pt>
                <c:pt idx="212">
                  <c:v>-2.0037036623249356E-20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5.1433840385268702E-9</c:v>
                </c:pt>
                <c:pt idx="226">
                  <c:v>1.5482805297239522E-8</c:v>
                </c:pt>
                <c:pt idx="227">
                  <c:v>3.1069733097750696E-8</c:v>
                </c:pt>
                <c:pt idx="228">
                  <c:v>5.1954366365640864E-8</c:v>
                </c:pt>
                <c:pt idx="229">
                  <c:v>7.8185534049773734E-8</c:v>
                </c:pt>
                <c:pt idx="230">
                  <c:v>1.0981058312247747E-7</c:v>
                </c:pt>
                <c:pt idx="231">
                  <c:v>1.4687525468796682E-7</c:v>
                </c:pt>
                <c:pt idx="232">
                  <c:v>1.8942129458253449E-7</c:v>
                </c:pt>
                <c:pt idx="233">
                  <c:v>2.4855877880395959E-7</c:v>
                </c:pt>
                <c:pt idx="234">
                  <c:v>3.2442520961578606E-7</c:v>
                </c:pt>
                <c:pt idx="235">
                  <c:v>4.1715436926567074E-7</c:v>
                </c:pt>
                <c:pt idx="236">
                  <c:v>5.2687767238127048E-7</c:v>
                </c:pt>
                <c:pt idx="237">
                  <c:v>6.5372505667728249E-7</c:v>
                </c:pt>
                <c:pt idx="238">
                  <c:v>7.9782642546197722E-7</c:v>
                </c:pt>
                <c:pt idx="239">
                  <c:v>9.6506218258626762E-7</c:v>
                </c:pt>
                <c:pt idx="240">
                  <c:v>1.15023146064556E-6</c:v>
                </c:pt>
                <c:pt idx="241">
                  <c:v>1.353475381747943E-6</c:v>
                </c:pt>
                <c:pt idx="242">
                  <c:v>1.574940487109256E-6</c:v>
                </c:pt>
                <c:pt idx="243">
                  <c:v>1.8147801414434148E-6</c:v>
                </c:pt>
                <c:pt idx="244">
                  <c:v>2.0731559588080233E-6</c:v>
                </c:pt>
                <c:pt idx="245">
                  <c:v>2.3502392516628687E-6</c:v>
                </c:pt>
                <c:pt idx="246">
                  <c:v>2.6461249632351308E-6</c:v>
                </c:pt>
                <c:pt idx="247">
                  <c:v>2.9548324387726154E-6</c:v>
                </c:pt>
                <c:pt idx="248">
                  <c:v>3.264910481111692E-6</c:v>
                </c:pt>
                <c:pt idx="249">
                  <c:v>3.5763559797454024E-6</c:v>
                </c:pt>
                <c:pt idx="250">
                  <c:v>3.8891715938607953E-6</c:v>
                </c:pt>
                <c:pt idx="251">
                  <c:v>4.2033657192044434E-6</c:v>
                </c:pt>
                <c:pt idx="252">
                  <c:v>4.5189524581347405E-6</c:v>
                </c:pt>
                <c:pt idx="253">
                  <c:v>4.8466595010965652E-6</c:v>
                </c:pt>
                <c:pt idx="254">
                  <c:v>5.1806122115583492E-6</c:v>
                </c:pt>
                <c:pt idx="255">
                  <c:v>5.5208791272070014E-6</c:v>
                </c:pt>
                <c:pt idx="256">
                  <c:v>5.8675351374898781E-6</c:v>
                </c:pt>
                <c:pt idx="257">
                  <c:v>6.220661763167903E-6</c:v>
                </c:pt>
                <c:pt idx="258">
                  <c:v>6.5803474710772497E-6</c:v>
                </c:pt>
                <c:pt idx="259">
                  <c:v>6.9466880338853985E-6</c:v>
                </c:pt>
                <c:pt idx="260">
                  <c:v>7.3197045032205592E-6</c:v>
                </c:pt>
                <c:pt idx="261">
                  <c:v>7.7201059714777399E-6</c:v>
                </c:pt>
                <c:pt idx="262">
                  <c:v>8.1543521200485547E-6</c:v>
                </c:pt>
                <c:pt idx="263">
                  <c:v>8.6226646475047493E-6</c:v>
                </c:pt>
                <c:pt idx="264">
                  <c:v>9.12525719510318E-6</c:v>
                </c:pt>
                <c:pt idx="265">
                  <c:v>9.6623850791590912E-6</c:v>
                </c:pt>
                <c:pt idx="266">
                  <c:v>1.023427714285812E-5</c:v>
                </c:pt>
                <c:pt idx="267">
                  <c:v>1.0809346928289435E-5</c:v>
                </c:pt>
                <c:pt idx="268">
                  <c:v>1.1376370005700494E-5</c:v>
                </c:pt>
                <c:pt idx="269">
                  <c:v>1.1935160786343E-5</c:v>
                </c:pt>
                <c:pt idx="270">
                  <c:v>1.2485520837967595E-5</c:v>
                </c:pt>
                <c:pt idx="271">
                  <c:v>1.3027239703403159E-5</c:v>
                </c:pt>
                <c:pt idx="272">
                  <c:v>1.3560095833520419E-5</c:v>
                </c:pt>
                <c:pt idx="273">
                  <c:v>1.4083857633153184E-5</c:v>
                </c:pt>
                <c:pt idx="274">
                  <c:v>1.4598511305602516E-5</c:v>
                </c:pt>
                <c:pt idx="275">
                  <c:v>1.5082368164421879E-5</c:v>
                </c:pt>
                <c:pt idx="276">
                  <c:v>1.5513516479615476E-5</c:v>
                </c:pt>
                <c:pt idx="277">
                  <c:v>1.5891429241894494E-5</c:v>
                </c:pt>
                <c:pt idx="278">
                  <c:v>1.6215584413680616E-5</c:v>
                </c:pt>
                <c:pt idx="279">
                  <c:v>1.6485469718324287E-5</c:v>
                </c:pt>
                <c:pt idx="280">
                  <c:v>1.6700587389440994E-5</c:v>
                </c:pt>
                <c:pt idx="281">
                  <c:v>1.6896627389050121E-5</c:v>
                </c:pt>
                <c:pt idx="282">
                  <c:v>1.7106205774331519E-5</c:v>
                </c:pt>
                <c:pt idx="283">
                  <c:v>1.7329253596008657E-5</c:v>
                </c:pt>
                <c:pt idx="284">
                  <c:v>1.7565695433304986E-5</c:v>
                </c:pt>
                <c:pt idx="285">
                  <c:v>1.7815449490221192E-5</c:v>
                </c:pt>
                <c:pt idx="286">
                  <c:v>1.8078427798609036E-5</c:v>
                </c:pt>
                <c:pt idx="287">
                  <c:v>1.8354536533682718E-5</c:v>
                </c:pt>
                <c:pt idx="288">
                  <c:v>1.8645022548371294E-5</c:v>
                </c:pt>
                <c:pt idx="289">
                  <c:v>1.893383132028928E-5</c:v>
                </c:pt>
                <c:pt idx="290">
                  <c:v>1.9242777470076911E-5</c:v>
                </c:pt>
                <c:pt idx="291">
                  <c:v>1.9571488593210395E-5</c:v>
                </c:pt>
                <c:pt idx="292">
                  <c:v>1.9919557918102891E-5</c:v>
                </c:pt>
                <c:pt idx="293">
                  <c:v>2.0286538837641992E-5</c:v>
                </c:pt>
                <c:pt idx="294">
                  <c:v>2.0671939442752884E-5</c:v>
                </c:pt>
                <c:pt idx="295">
                  <c:v>2.1042660161669867E-5</c:v>
                </c:pt>
                <c:pt idx="296">
                  <c:v>2.1361374091457086E-5</c:v>
                </c:pt>
                <c:pt idx="297">
                  <c:v>2.1627496348894265E-5</c:v>
                </c:pt>
                <c:pt idx="298">
                  <c:v>2.1840281327029615E-5</c:v>
                </c:pt>
                <c:pt idx="299">
                  <c:v>2.1999005890952338E-5</c:v>
                </c:pt>
                <c:pt idx="300">
                  <c:v>2.2102982035582308E-5</c:v>
                </c:pt>
                <c:pt idx="301">
                  <c:v>2.2151570070439701E-5</c:v>
                </c:pt>
                <c:pt idx="302">
                  <c:v>2.2146185765894537E-5</c:v>
                </c:pt>
                <c:pt idx="303">
                  <c:v>2.2171255387412961E-5</c:v>
                </c:pt>
                <c:pt idx="304">
                  <c:v>2.2244125309904674E-5</c:v>
                </c:pt>
                <c:pt idx="305">
                  <c:v>2.2364818160843898E-5</c:v>
                </c:pt>
                <c:pt idx="306">
                  <c:v>2.253334295431268E-5</c:v>
                </c:pt>
                <c:pt idx="307">
                  <c:v>2.2749697381880358E-5</c:v>
                </c:pt>
                <c:pt idx="308">
                  <c:v>2.3013870265480063E-5</c:v>
                </c:pt>
                <c:pt idx="309">
                  <c:v>2.3644509227596091E-5</c:v>
                </c:pt>
                <c:pt idx="310">
                  <c:v>2.4673117462555476E-5</c:v>
                </c:pt>
                <c:pt idx="311">
                  <c:v>2.6098580115870922E-5</c:v>
                </c:pt>
                <c:pt idx="312">
                  <c:v>2.7919708743408846E-5</c:v>
                </c:pt>
                <c:pt idx="313">
                  <c:v>3.0135270849916685E-5</c:v>
                </c:pt>
                <c:pt idx="314">
                  <c:v>3.2744018987508787E-5</c:v>
                </c:pt>
                <c:pt idx="315">
                  <c:v>3.5744718730938096E-5</c:v>
                </c:pt>
                <c:pt idx="316">
                  <c:v>3.9139239709679887E-5</c:v>
                </c:pt>
                <c:pt idx="317">
                  <c:v>4.3186294610914084E-5</c:v>
                </c:pt>
                <c:pt idx="318">
                  <c:v>4.7803815764217268E-5</c:v>
                </c:pt>
                <c:pt idx="319">
                  <c:v>5.2991547490595036E-5</c:v>
                </c:pt>
                <c:pt idx="320">
                  <c:v>5.8749291805131168E-5</c:v>
                </c:pt>
                <c:pt idx="321">
                  <c:v>6.507678382703862E-5</c:v>
                </c:pt>
                <c:pt idx="322">
                  <c:v>7.197355202499128E-5</c:v>
                </c:pt>
                <c:pt idx="323">
                  <c:v>7.9392534024073377E-5</c:v>
                </c:pt>
                <c:pt idx="324">
                  <c:v>8.7017457036354411E-5</c:v>
                </c:pt>
                <c:pt idx="325">
                  <c:v>9.4846567519748433E-5</c:v>
                </c:pt>
                <c:pt idx="326">
                  <c:v>1.0287659036353194E-4</c:v>
                </c:pt>
                <c:pt idx="327">
                  <c:v>1.1110349981869038E-4</c:v>
                </c:pt>
                <c:pt idx="328">
                  <c:v>1.1952267035735932E-4</c:v>
                </c:pt>
                <c:pt idx="329">
                  <c:v>1.2812830642001428E-4</c:v>
                </c:pt>
                <c:pt idx="330">
                  <c:v>1.3692755707245171E-4</c:v>
                </c:pt>
                <c:pt idx="331">
                  <c:v>1.4602975579371726E-4</c:v>
                </c:pt>
                <c:pt idx="332">
                  <c:v>1.5518078535986369E-4</c:v>
                </c:pt>
                <c:pt idx="333">
                  <c:v>1.6438070607368367E-4</c:v>
                </c:pt>
                <c:pt idx="334">
                  <c:v>1.7362905176819153E-4</c:v>
                </c:pt>
                <c:pt idx="335">
                  <c:v>1.8292476210167682E-4</c:v>
                </c:pt>
                <c:pt idx="336">
                  <c:v>1.922661178883634E-4</c:v>
                </c:pt>
                <c:pt idx="337">
                  <c:v>2.0164580388161698E-4</c:v>
                </c:pt>
                <c:pt idx="338">
                  <c:v>2.1110658079357984E-4</c:v>
                </c:pt>
                <c:pt idx="339">
                  <c:v>2.2064436261587522E-4</c:v>
                </c:pt>
                <c:pt idx="340">
                  <c:v>2.3025418367642972E-4</c:v>
                </c:pt>
                <c:pt idx="341">
                  <c:v>2.3993015756036072E-4</c:v>
                </c:pt>
                <c:pt idx="342">
                  <c:v>2.4966544470412589E-4</c:v>
                </c:pt>
                <c:pt idx="343">
                  <c:v>2.594522302175067E-4</c:v>
                </c:pt>
                <c:pt idx="344">
                  <c:v>2.6929581505263017E-4</c:v>
                </c:pt>
                <c:pt idx="345">
                  <c:v>2.792028665906336E-4</c:v>
                </c:pt>
                <c:pt idx="346">
                  <c:v>2.8839603192563348E-4</c:v>
                </c:pt>
                <c:pt idx="347">
                  <c:v>2.9686951573294209E-4</c:v>
                </c:pt>
                <c:pt idx="348">
                  <c:v>3.046170529489513E-4</c:v>
                </c:pt>
                <c:pt idx="349">
                  <c:v>3.1163208737194193E-4</c:v>
                </c:pt>
                <c:pt idx="350">
                  <c:v>3.1790796036596137E-4</c:v>
                </c:pt>
                <c:pt idx="351">
                  <c:v>3.2276871690526516E-4</c:v>
                </c:pt>
                <c:pt idx="352">
                  <c:v>3.262163869288125E-4</c:v>
                </c:pt>
                <c:pt idx="353">
                  <c:v>3.2824947264253678E-4</c:v>
                </c:pt>
                <c:pt idx="354">
                  <c:v>3.2886809762462091E-4</c:v>
                </c:pt>
                <c:pt idx="355">
                  <c:v>3.2807431466221662E-4</c:v>
                </c:pt>
                <c:pt idx="356">
                  <c:v>3.2586987986184544E-4</c:v>
                </c:pt>
                <c:pt idx="357">
                  <c:v>3.222637226585763E-4</c:v>
                </c:pt>
                <c:pt idx="358">
                  <c:v>3.1726686279599271E-4</c:v>
                </c:pt>
                <c:pt idx="359">
                  <c:v>3.1089694300257762E-4</c:v>
                </c:pt>
                <c:pt idx="360">
                  <c:v>3.0316839741105045E-4</c:v>
                </c:pt>
                <c:pt idx="361">
                  <c:v>2.947533094186639E-4</c:v>
                </c:pt>
                <c:pt idx="362">
                  <c:v>2.8566709357378379E-4</c:v>
                </c:pt>
                <c:pt idx="363">
                  <c:v>2.7592638969767952E-4</c:v>
                </c:pt>
                <c:pt idx="364">
                  <c:v>2.6554897076929004E-4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933272"/>
        <c:axId val="230933664"/>
      </c:lineChart>
      <c:dateAx>
        <c:axId val="2309332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0933664"/>
        <c:crosses val="autoZero"/>
        <c:auto val="1"/>
        <c:lblOffset val="100"/>
        <c:baseTimeUnit val="days"/>
        <c:majorUnit val="1"/>
        <c:majorTimeUnit val="months"/>
      </c:dateAx>
      <c:valAx>
        <c:axId val="2309336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09332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'2028'!$V$14</c:f>
              <c:strCache>
                <c:ptCount val="1"/>
                <c:pt idx="0">
                  <c:v>Enveloppe 2028</c:v>
                </c:pt>
              </c:strCache>
            </c:strRef>
          </c:tx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'2028'!Env_an</c:f>
              <c:numCache>
                <c:formatCode>0.00</c:formatCode>
                <c:ptCount val="366"/>
                <c:pt idx="0">
                  <c:v>25.902210524819868</c:v>
                </c:pt>
                <c:pt idx="1">
                  <c:v>26.035627476984473</c:v>
                </c:pt>
                <c:pt idx="2">
                  <c:v>26.178173572110889</c:v>
                </c:pt>
                <c:pt idx="3">
                  <c:v>26.329652571313368</c:v>
                </c:pt>
                <c:pt idx="4">
                  <c:v>26.489868289056975</c:v>
                </c:pt>
                <c:pt idx="5">
                  <c:v>26.658624601453546</c:v>
                </c:pt>
                <c:pt idx="6">
                  <c:v>26.83572544158212</c:v>
                </c:pt>
                <c:pt idx="7">
                  <c:v>27.020974806761409</c:v>
                </c:pt>
                <c:pt idx="8">
                  <c:v>27.216529467988487</c:v>
                </c:pt>
                <c:pt idx="9">
                  <c:v>27.424109941088179</c:v>
                </c:pt>
                <c:pt idx="10">
                  <c:v>27.642864334054543</c:v>
                </c:pt>
                <c:pt idx="11">
                  <c:v>27.8719412609681</c:v>
                </c:pt>
                <c:pt idx="12">
                  <c:v>28.110489684812716</c:v>
                </c:pt>
                <c:pt idx="13">
                  <c:v>28.357658953825194</c:v>
                </c:pt>
                <c:pt idx="14">
                  <c:v>28.61259877401578</c:v>
                </c:pt>
                <c:pt idx="15">
                  <c:v>28.874453064808307</c:v>
                </c:pt>
                <c:pt idx="16">
                  <c:v>29.142374637945753</c:v>
                </c:pt>
                <c:pt idx="17">
                  <c:v>29.415514331661498</c:v>
                </c:pt>
                <c:pt idx="18">
                  <c:v>29.693023348937437</c:v>
                </c:pt>
                <c:pt idx="19">
                  <c:v>29.974053268247076</c:v>
                </c:pt>
                <c:pt idx="20">
                  <c:v>30.257756039707385</c:v>
                </c:pt>
                <c:pt idx="21">
                  <c:v>30.543284011910831</c:v>
                </c:pt>
                <c:pt idx="22">
                  <c:v>30.833593852628287</c:v>
                </c:pt>
                <c:pt idx="23">
                  <c:v>31.131678491588278</c:v>
                </c:pt>
                <c:pt idx="24">
                  <c:v>31.436755523742306</c:v>
                </c:pt>
                <c:pt idx="25">
                  <c:v>31.748044024827987</c:v>
                </c:pt>
                <c:pt idx="26">
                  <c:v>32.064763433054566</c:v>
                </c:pt>
                <c:pt idx="27">
                  <c:v>32.386133550201563</c:v>
                </c:pt>
                <c:pt idx="28">
                  <c:v>32.711374538806197</c:v>
                </c:pt>
                <c:pt idx="29">
                  <c:v>33.039704966383198</c:v>
                </c:pt>
                <c:pt idx="30">
                  <c:v>33.37035188476348</c:v>
                </c:pt>
                <c:pt idx="31">
                  <c:v>33.70253655065418</c:v>
                </c:pt>
                <c:pt idx="32">
                  <c:v>34.035480587186321</c:v>
                </c:pt>
                <c:pt idx="33">
                  <c:v>34.368405983308733</c:v>
                </c:pt>
                <c:pt idx="34">
                  <c:v>34.700535092594905</c:v>
                </c:pt>
                <c:pt idx="35">
                  <c:v>35.031090635140316</c:v>
                </c:pt>
                <c:pt idx="36">
                  <c:v>35.362503194863507</c:v>
                </c:pt>
                <c:pt idx="37">
                  <c:v>35.697332635084436</c:v>
                </c:pt>
                <c:pt idx="38">
                  <c:v>36.035002529304563</c:v>
                </c:pt>
                <c:pt idx="39">
                  <c:v>36.374929117720342</c:v>
                </c:pt>
                <c:pt idx="40">
                  <c:v>36.716528916493253</c:v>
                </c:pt>
                <c:pt idx="41">
                  <c:v>37.059218714961716</c:v>
                </c:pt>
                <c:pt idx="42">
                  <c:v>37.402415573278233</c:v>
                </c:pt>
                <c:pt idx="43">
                  <c:v>37.745537232392984</c:v>
                </c:pt>
                <c:pt idx="44">
                  <c:v>38.088003253614886</c:v>
                </c:pt>
                <c:pt idx="45">
                  <c:v>38.429231496635303</c:v>
                </c:pt>
                <c:pt idx="46">
                  <c:v>38.768640080735828</c:v>
                </c:pt>
                <c:pt idx="47">
                  <c:v>39.105647382198391</c:v>
                </c:pt>
                <c:pt idx="48">
                  <c:v>39.439672027999286</c:v>
                </c:pt>
                <c:pt idx="49">
                  <c:v>39.770132895226503</c:v>
                </c:pt>
                <c:pt idx="50">
                  <c:v>40.097694516221118</c:v>
                </c:pt>
                <c:pt idx="51">
                  <c:v>40.423473056150655</c:v>
                </c:pt>
                <c:pt idx="52">
                  <c:v>40.747565523283569</c:v>
                </c:pt>
                <c:pt idx="53">
                  <c:v>41.070069636129247</c:v>
                </c:pt>
                <c:pt idx="54">
                  <c:v>41.39108303997655</c:v>
                </c:pt>
                <c:pt idx="55">
                  <c:v>41.710703308733493</c:v>
                </c:pt>
                <c:pt idx="56">
                  <c:v>42.029027940223273</c:v>
                </c:pt>
                <c:pt idx="57">
                  <c:v>42.346154889707989</c:v>
                </c:pt>
                <c:pt idx="58">
                  <c:v>42.662181081065157</c:v>
                </c:pt>
                <c:pt idx="59">
                  <c:v>42.977203771821948</c:v>
                </c:pt>
                <c:pt idx="60">
                  <c:v>43.29132013303947</c:v>
                </c:pt>
                <c:pt idx="61">
                  <c:v>43.604627249266272</c:v>
                </c:pt>
                <c:pt idx="62">
                  <c:v>43.917222116091558</c:v>
                </c:pt>
                <c:pt idx="63">
                  <c:v>44.229201639080749</c:v>
                </c:pt>
                <c:pt idx="64">
                  <c:v>44.541470091413437</c:v>
                </c:pt>
                <c:pt idx="65">
                  <c:v>44.854544567495275</c:v>
                </c:pt>
                <c:pt idx="66">
                  <c:v>45.16794093659631</c:v>
                </c:pt>
                <c:pt idx="67">
                  <c:v>45.481174345680635</c:v>
                </c:pt>
                <c:pt idx="68">
                  <c:v>45.793760101666258</c:v>
                </c:pt>
                <c:pt idx="69">
                  <c:v>46.105213673334859</c:v>
                </c:pt>
                <c:pt idx="70">
                  <c:v>46.415050690518498</c:v>
                </c:pt>
                <c:pt idx="71">
                  <c:v>46.72278640922805</c:v>
                </c:pt>
                <c:pt idx="72">
                  <c:v>47.027936243474549</c:v>
                </c:pt>
                <c:pt idx="73">
                  <c:v>47.330016308839326</c:v>
                </c:pt>
                <c:pt idx="74">
                  <c:v>47.628542885087484</c:v>
                </c:pt>
                <c:pt idx="75">
                  <c:v>47.923032421217911</c:v>
                </c:pt>
                <c:pt idx="76">
                  <c:v>48.213001533589946</c:v>
                </c:pt>
                <c:pt idx="77">
                  <c:v>48.497967012267083</c:v>
                </c:pt>
                <c:pt idx="78">
                  <c:v>48.780122471455819</c:v>
                </c:pt>
                <c:pt idx="79">
                  <c:v>49.061531257354979</c:v>
                </c:pt>
                <c:pt idx="80">
                  <c:v>49.341514693181274</c:v>
                </c:pt>
                <c:pt idx="81">
                  <c:v>49.619395183000336</c:v>
                </c:pt>
                <c:pt idx="82">
                  <c:v>49.89449540057602</c:v>
                </c:pt>
                <c:pt idx="83">
                  <c:v>50.166138292650935</c:v>
                </c:pt>
                <c:pt idx="84">
                  <c:v>50.433647082337117</c:v>
                </c:pt>
                <c:pt idx="85">
                  <c:v>50.696345440546004</c:v>
                </c:pt>
                <c:pt idx="86">
                  <c:v>50.953557709071582</c:v>
                </c:pt>
                <c:pt idx="87">
                  <c:v>51.204607976002777</c:v>
                </c:pt>
                <c:pt idx="88">
                  <c:v>51.448820626660037</c:v>
                </c:pt>
                <c:pt idx="89">
                  <c:v>51.685520347826113</c:v>
                </c:pt>
                <c:pt idx="90">
                  <c:v>51.914032137747206</c:v>
                </c:pt>
                <c:pt idx="91">
                  <c:v>52.133681306517374</c:v>
                </c:pt>
                <c:pt idx="92">
                  <c:v>52.345274608889909</c:v>
                </c:pt>
                <c:pt idx="93">
                  <c:v>52.550133401720728</c:v>
                </c:pt>
                <c:pt idx="94">
                  <c:v>52.748355659444492</c:v>
                </c:pt>
                <c:pt idx="95">
                  <c:v>52.940039038132596</c:v>
                </c:pt>
                <c:pt idx="96">
                  <c:v>53.125281171194992</c:v>
                </c:pt>
                <c:pt idx="97">
                  <c:v>53.304179676266472</c:v>
                </c:pt>
                <c:pt idx="98">
                  <c:v>53.476832153165176</c:v>
                </c:pt>
                <c:pt idx="99">
                  <c:v>53.643335854101807</c:v>
                </c:pt>
                <c:pt idx="100">
                  <c:v>53.803788173101687</c:v>
                </c:pt>
                <c:pt idx="101">
                  <c:v>53.958286672336072</c:v>
                </c:pt>
                <c:pt idx="102">
                  <c:v>54.106928904528878</c:v>
                </c:pt>
                <c:pt idx="103">
                  <c:v>54.249812424364087</c:v>
                </c:pt>
                <c:pt idx="104">
                  <c:v>54.38703478168776</c:v>
                </c:pt>
                <c:pt idx="105">
                  <c:v>54.518693533230149</c:v>
                </c:pt>
                <c:pt idx="106">
                  <c:v>54.643600417028004</c:v>
                </c:pt>
                <c:pt idx="107">
                  <c:v>54.760824768345323</c:v>
                </c:pt>
                <c:pt idx="108">
                  <c:v>54.870850847575802</c:v>
                </c:pt>
                <c:pt idx="109">
                  <c:v>54.974162569820137</c:v>
                </c:pt>
                <c:pt idx="110">
                  <c:v>55.071243681864658</c:v>
                </c:pt>
                <c:pt idx="111">
                  <c:v>55.162577767441988</c:v>
                </c:pt>
                <c:pt idx="112">
                  <c:v>55.248648245060444</c:v>
                </c:pt>
                <c:pt idx="113">
                  <c:v>55.329938366792383</c:v>
                </c:pt>
                <c:pt idx="114">
                  <c:v>55.406931597914124</c:v>
                </c:pt>
                <c:pt idx="115">
                  <c:v>55.4801108764524</c:v>
                </c:pt>
                <c:pt idx="116">
                  <c:v>55.549958975799818</c:v>
                </c:pt>
                <c:pt idx="117">
                  <c:v>55.616958508611518</c:v>
                </c:pt>
                <c:pt idx="118">
                  <c:v>55.681591925707195</c:v>
                </c:pt>
                <c:pt idx="119">
                  <c:v>55.744341519969069</c:v>
                </c:pt>
                <c:pt idx="120">
                  <c:v>57.980485682160825</c:v>
                </c:pt>
                <c:pt idx="121">
                  <c:v>58.03692369023419</c:v>
                </c:pt>
                <c:pt idx="122">
                  <c:v>58.089069684159419</c:v>
                </c:pt>
                <c:pt idx="123">
                  <c:v>58.137125363651002</c:v>
                </c:pt>
                <c:pt idx="124">
                  <c:v>58.181292339852362</c:v>
                </c:pt>
                <c:pt idx="125">
                  <c:v>58.221772133145087</c:v>
                </c:pt>
                <c:pt idx="126">
                  <c:v>58.258766171197713</c:v>
                </c:pt>
                <c:pt idx="127">
                  <c:v>58.292475798007636</c:v>
                </c:pt>
                <c:pt idx="128">
                  <c:v>58.323102268142947</c:v>
                </c:pt>
                <c:pt idx="129">
                  <c:v>58.350846749142264</c:v>
                </c:pt>
                <c:pt idx="130">
                  <c:v>58.375910326969759</c:v>
                </c:pt>
                <c:pt idx="131">
                  <c:v>58.398494001335862</c:v>
                </c:pt>
                <c:pt idx="132">
                  <c:v>58.41879868975596</c:v>
                </c:pt>
                <c:pt idx="133">
                  <c:v>58.437025227378506</c:v>
                </c:pt>
                <c:pt idx="134">
                  <c:v>58.452659052474473</c:v>
                </c:pt>
                <c:pt idx="135">
                  <c:v>58.465119424287757</c:v>
                </c:pt>
                <c:pt idx="136">
                  <c:v>58.474507832526015</c:v>
                </c:pt>
                <c:pt idx="137">
                  <c:v>58.480925745888975</c:v>
                </c:pt>
                <c:pt idx="138">
                  <c:v>58.48447461422618</c:v>
                </c:pt>
                <c:pt idx="139">
                  <c:v>58.485255863981315</c:v>
                </c:pt>
                <c:pt idx="140">
                  <c:v>58.483370903137626</c:v>
                </c:pt>
                <c:pt idx="141">
                  <c:v>58.478921115890905</c:v>
                </c:pt>
                <c:pt idx="142">
                  <c:v>58.472007865139254</c:v>
                </c:pt>
                <c:pt idx="143">
                  <c:v>58.462732488002295</c:v>
                </c:pt>
                <c:pt idx="144">
                  <c:v>58.45119629560719</c:v>
                </c:pt>
                <c:pt idx="145">
                  <c:v>58.437500573790992</c:v>
                </c:pt>
                <c:pt idx="146">
                  <c:v>58.421746577460375</c:v>
                </c:pt>
                <c:pt idx="147">
                  <c:v>58.404035529821329</c:v>
                </c:pt>
                <c:pt idx="148">
                  <c:v>58.38400382638028</c:v>
                </c:pt>
                <c:pt idx="149">
                  <c:v>58.361288107293397</c:v>
                </c:pt>
                <c:pt idx="150">
                  <c:v>58.335989913827028</c:v>
                </c:pt>
                <c:pt idx="151">
                  <c:v>58.3082107438685</c:v>
                </c:pt>
                <c:pt idx="152">
                  <c:v>58.27805205056552</c:v>
                </c:pt>
                <c:pt idx="153">
                  <c:v>58.245615240686796</c:v>
                </c:pt>
                <c:pt idx="154">
                  <c:v>58.211001667904107</c:v>
                </c:pt>
                <c:pt idx="155">
                  <c:v>58.174312632428929</c:v>
                </c:pt>
                <c:pt idx="156">
                  <c:v>58.135649375073498</c:v>
                </c:pt>
                <c:pt idx="157">
                  <c:v>58.095113075791808</c:v>
                </c:pt>
                <c:pt idx="158">
                  <c:v>58.052804849864714</c:v>
                </c:pt>
                <c:pt idx="159">
                  <c:v>58.008825743745653</c:v>
                </c:pt>
                <c:pt idx="160">
                  <c:v>57.963276729585488</c:v>
                </c:pt>
                <c:pt idx="161">
                  <c:v>57.916258707231599</c:v>
                </c:pt>
                <c:pt idx="162">
                  <c:v>57.867624026072725</c:v>
                </c:pt>
                <c:pt idx="163">
                  <c:v>57.817158856131115</c:v>
                </c:pt>
                <c:pt idx="164">
                  <c:v>57.764864744773945</c:v>
                </c:pt>
                <c:pt idx="165">
                  <c:v>57.710743211866188</c:v>
                </c:pt>
                <c:pt idx="166">
                  <c:v>57.654795743692077</c:v>
                </c:pt>
                <c:pt idx="167">
                  <c:v>57.597023792161608</c:v>
                </c:pt>
                <c:pt idx="168">
                  <c:v>57.537428769528567</c:v>
                </c:pt>
                <c:pt idx="169">
                  <c:v>57.476012048925348</c:v>
                </c:pt>
                <c:pt idx="170">
                  <c:v>57.412774960082203</c:v>
                </c:pt>
                <c:pt idx="171">
                  <c:v>57.347718788494298</c:v>
                </c:pt>
                <c:pt idx="172">
                  <c:v>57.280844771108733</c:v>
                </c:pt>
                <c:pt idx="173">
                  <c:v>57.212154099115843</c:v>
                </c:pt>
                <c:pt idx="174">
                  <c:v>57.141647913066642</c:v>
                </c:pt>
                <c:pt idx="175">
                  <c:v>57.069327304573285</c:v>
                </c:pt>
                <c:pt idx="176">
                  <c:v>56.994763531798021</c:v>
                </c:pt>
                <c:pt idx="177">
                  <c:v>56.917660277486583</c:v>
                </c:pt>
                <c:pt idx="178">
                  <c:v>56.838217102034143</c:v>
                </c:pt>
                <c:pt idx="179">
                  <c:v>56.756633398685338</c:v>
                </c:pt>
                <c:pt idx="180">
                  <c:v>56.673108392949239</c:v>
                </c:pt>
                <c:pt idx="181">
                  <c:v>56.587841145927918</c:v>
                </c:pt>
                <c:pt idx="182">
                  <c:v>56.501030556054815</c:v>
                </c:pt>
                <c:pt idx="183">
                  <c:v>56.412875361527689</c:v>
                </c:pt>
                <c:pt idx="184">
                  <c:v>56.323574141702267</c:v>
                </c:pt>
                <c:pt idx="185">
                  <c:v>56.233325320533986</c:v>
                </c:pt>
                <c:pt idx="186">
                  <c:v>56.142327169998794</c:v>
                </c:pt>
                <c:pt idx="187">
                  <c:v>56.050777812991171</c:v>
                </c:pt>
                <c:pt idx="188">
                  <c:v>55.958875226040398</c:v>
                </c:pt>
                <c:pt idx="189">
                  <c:v>55.866817244215575</c:v>
                </c:pt>
                <c:pt idx="190">
                  <c:v>55.774306666911691</c:v>
                </c:pt>
                <c:pt idx="191">
                  <c:v>55.680914487648039</c:v>
                </c:pt>
                <c:pt idx="192">
                  <c:v>55.586640711573722</c:v>
                </c:pt>
                <c:pt idx="193">
                  <c:v>55.491485326739102</c:v>
                </c:pt>
                <c:pt idx="194">
                  <c:v>55.395448306649037</c:v>
                </c:pt>
                <c:pt idx="195">
                  <c:v>55.298529613668343</c:v>
                </c:pt>
                <c:pt idx="196">
                  <c:v>55.200729202910473</c:v>
                </c:pt>
                <c:pt idx="197">
                  <c:v>55.102047023676526</c:v>
                </c:pt>
                <c:pt idx="198">
                  <c:v>55.002483023980894</c:v>
                </c:pt>
                <c:pt idx="199">
                  <c:v>54.9020371526533</c:v>
                </c:pt>
                <c:pt idx="200">
                  <c:v>54.800709362479161</c:v>
                </c:pt>
                <c:pt idx="201">
                  <c:v>54.698499612488575</c:v>
                </c:pt>
                <c:pt idx="202">
                  <c:v>54.595407871428037</c:v>
                </c:pt>
                <c:pt idx="203">
                  <c:v>54.491434118637748</c:v>
                </c:pt>
                <c:pt idx="204">
                  <c:v>54.386792379336605</c:v>
                </c:pt>
                <c:pt idx="205">
                  <c:v>54.281630728274131</c:v>
                </c:pt>
                <c:pt idx="206">
                  <c:v>54.175850283440909</c:v>
                </c:pt>
                <c:pt idx="207">
                  <c:v>54.069352236161002</c:v>
                </c:pt>
                <c:pt idx="208">
                  <c:v>53.962037852657382</c:v>
                </c:pt>
                <c:pt idx="209">
                  <c:v>53.853808474793659</c:v>
                </c:pt>
                <c:pt idx="210">
                  <c:v>53.744565520504231</c:v>
                </c:pt>
                <c:pt idx="211">
                  <c:v>53.634210484573003</c:v>
                </c:pt>
                <c:pt idx="212">
                  <c:v>53.522644938301305</c:v>
                </c:pt>
                <c:pt idx="213">
                  <c:v>53.409770529169265</c:v>
                </c:pt>
                <c:pt idx="214">
                  <c:v>53.29548898246049</c:v>
                </c:pt>
                <c:pt idx="215">
                  <c:v>53.179702098339554</c:v>
                </c:pt>
                <c:pt idx="216">
                  <c:v>53.062311752792816</c:v>
                </c:pt>
                <c:pt idx="217">
                  <c:v>52.943219897070513</c:v>
                </c:pt>
                <c:pt idx="218">
                  <c:v>52.822361420524082</c:v>
                </c:pt>
                <c:pt idx="219">
                  <c:v>52.699802708292488</c:v>
                </c:pt>
                <c:pt idx="220">
                  <c:v>52.575642983678712</c:v>
                </c:pt>
                <c:pt idx="221">
                  <c:v>52.449981433483309</c:v>
                </c:pt>
                <c:pt idx="222">
                  <c:v>52.322917206960348</c:v>
                </c:pt>
                <c:pt idx="223">
                  <c:v>52.194549415677351</c:v>
                </c:pt>
                <c:pt idx="224">
                  <c:v>52.064977132084472</c:v>
                </c:pt>
                <c:pt idx="225">
                  <c:v>51.934298959363218</c:v>
                </c:pt>
                <c:pt idx="226">
                  <c:v>51.8026138883708</c:v>
                </c:pt>
                <c:pt idx="227">
                  <c:v>51.670020868258419</c:v>
                </c:pt>
                <c:pt idx="228">
                  <c:v>51.536618805435992</c:v>
                </c:pt>
                <c:pt idx="229">
                  <c:v>51.402506563288519</c:v>
                </c:pt>
                <c:pt idx="230">
                  <c:v>51.267782960128621</c:v>
                </c:pt>
                <c:pt idx="231">
                  <c:v>51.132546770847341</c:v>
                </c:pt>
                <c:pt idx="232">
                  <c:v>50.99750357090462</c:v>
                </c:pt>
                <c:pt idx="233">
                  <c:v>50.863029682338684</c:v>
                </c:pt>
                <c:pt idx="234">
                  <c:v>50.728731483871748</c:v>
                </c:pt>
                <c:pt idx="235">
                  <c:v>50.59421557109129</c:v>
                </c:pt>
                <c:pt idx="236">
                  <c:v>50.459088756736428</c:v>
                </c:pt>
                <c:pt idx="237">
                  <c:v>50.322958070357345</c:v>
                </c:pt>
                <c:pt idx="238">
                  <c:v>50.185430754879825</c:v>
                </c:pt>
                <c:pt idx="239">
                  <c:v>50.046113804313784</c:v>
                </c:pt>
                <c:pt idx="240">
                  <c:v>49.904615316904753</c:v>
                </c:pt>
                <c:pt idx="241">
                  <c:v>49.760543177646717</c:v>
                </c:pt>
                <c:pt idx="242">
                  <c:v>49.61350548048857</c:v>
                </c:pt>
                <c:pt idx="243">
                  <c:v>49.463110533141524</c:v>
                </c:pt>
                <c:pt idx="244">
                  <c:v>49.308966850570179</c:v>
                </c:pt>
                <c:pt idx="245">
                  <c:v>49.150683161284718</c:v>
                </c:pt>
                <c:pt idx="246">
                  <c:v>48.989489118889992</c:v>
                </c:pt>
                <c:pt idx="247">
                  <c:v>48.826679685058068</c:v>
                </c:pt>
                <c:pt idx="248">
                  <c:v>48.661962014377437</c:v>
                </c:pt>
                <c:pt idx="249">
                  <c:v>48.495042527142019</c:v>
                </c:pt>
                <c:pt idx="250">
                  <c:v>48.325627802813543</c:v>
                </c:pt>
                <c:pt idx="251">
                  <c:v>48.153424581242682</c:v>
                </c:pt>
                <c:pt idx="252">
                  <c:v>47.978139760085973</c:v>
                </c:pt>
                <c:pt idx="253">
                  <c:v>47.799479568879065</c:v>
                </c:pt>
                <c:pt idx="254">
                  <c:v>47.61715168182581</c:v>
                </c:pt>
                <c:pt idx="255">
                  <c:v>47.4308634655101</c:v>
                </c:pt>
                <c:pt idx="256">
                  <c:v>47.24032244202386</c:v>
                </c:pt>
                <c:pt idx="257">
                  <c:v>47.04523628252349</c:v>
                </c:pt>
                <c:pt idx="258">
                  <c:v>46.845312807823319</c:v>
                </c:pt>
                <c:pt idx="259">
                  <c:v>46.640259983795623</c:v>
                </c:pt>
                <c:pt idx="260">
                  <c:v>46.430308849690064</c:v>
                </c:pt>
                <c:pt idx="261">
                  <c:v>46.215950278558985</c:v>
                </c:pt>
                <c:pt idx="262">
                  <c:v>45.99728382142731</c:v>
                </c:pt>
                <c:pt idx="263">
                  <c:v>45.774409426474428</c:v>
                </c:pt>
                <c:pt idx="264">
                  <c:v>45.547426982694184</c:v>
                </c:pt>
                <c:pt idx="265">
                  <c:v>45.316436311461182</c:v>
                </c:pt>
                <c:pt idx="266">
                  <c:v>45.081537169806552</c:v>
                </c:pt>
                <c:pt idx="267">
                  <c:v>44.842831515456865</c:v>
                </c:pt>
                <c:pt idx="268">
                  <c:v>44.600419746787821</c:v>
                </c:pt>
                <c:pt idx="269">
                  <c:v>44.354401384667</c:v>
                </c:pt>
                <c:pt idx="270">
                  <c:v>44.104875867556153</c:v>
                </c:pt>
                <c:pt idx="271">
                  <c:v>43.851942551656528</c:v>
                </c:pt>
                <c:pt idx="272">
                  <c:v>43.595700707786172</c:v>
                </c:pt>
                <c:pt idx="273">
                  <c:v>43.33624952010517</c:v>
                </c:pt>
                <c:pt idx="274">
                  <c:v>43.073019220865717</c:v>
                </c:pt>
                <c:pt idx="275">
                  <c:v>42.805506802843801</c:v>
                </c:pt>
                <c:pt idx="276">
                  <c:v>42.533910860561548</c:v>
                </c:pt>
                <c:pt idx="277">
                  <c:v>42.258428414155844</c:v>
                </c:pt>
                <c:pt idx="278">
                  <c:v>41.979256322010535</c:v>
                </c:pt>
                <c:pt idx="279">
                  <c:v>41.696591287153559</c:v>
                </c:pt>
                <c:pt idx="280">
                  <c:v>41.410629852359413</c:v>
                </c:pt>
                <c:pt idx="281">
                  <c:v>41.121566073190969</c:v>
                </c:pt>
                <c:pt idx="282">
                  <c:v>40.829594075233715</c:v>
                </c:pt>
                <c:pt idx="283">
                  <c:v>40.534909991789362</c:v>
                </c:pt>
                <c:pt idx="284">
                  <c:v>40.237709799411689</c:v>
                </c:pt>
                <c:pt idx="285">
                  <c:v>39.938189316217439</c:v>
                </c:pt>
                <c:pt idx="286">
                  <c:v>39.636544204170484</c:v>
                </c:pt>
                <c:pt idx="287">
                  <c:v>39.332969970443536</c:v>
                </c:pt>
                <c:pt idx="288">
                  <c:v>39.024844227623731</c:v>
                </c:pt>
                <c:pt idx="289">
                  <c:v>38.710133125254167</c:v>
                </c:pt>
                <c:pt idx="290">
                  <c:v>38.389911482162169</c:v>
                </c:pt>
                <c:pt idx="291">
                  <c:v>38.065254786624017</c:v>
                </c:pt>
                <c:pt idx="292">
                  <c:v>37.7372379899154</c:v>
                </c:pt>
                <c:pt idx="293">
                  <c:v>37.406935515101949</c:v>
                </c:pt>
                <c:pt idx="294">
                  <c:v>37.075421270085407</c:v>
                </c:pt>
                <c:pt idx="295">
                  <c:v>36.743770374104365</c:v>
                </c:pt>
                <c:pt idx="296">
                  <c:v>36.413057774245218</c:v>
                </c:pt>
                <c:pt idx="297">
                  <c:v>36.084355778992283</c:v>
                </c:pt>
                <c:pt idx="298">
                  <c:v>35.75873622380842</c:v>
                </c:pt>
                <c:pt idx="299">
                  <c:v>35.437270478219197</c:v>
                </c:pt>
                <c:pt idx="300">
                  <c:v>35.121029447876516</c:v>
                </c:pt>
                <c:pt idx="301">
                  <c:v>34.811083587974515</c:v>
                </c:pt>
                <c:pt idx="302">
                  <c:v>34.505396614301539</c:v>
                </c:pt>
                <c:pt idx="303">
                  <c:v>34.201342754573623</c:v>
                </c:pt>
                <c:pt idx="304">
                  <c:v>33.899114315283612</c:v>
                </c:pt>
                <c:pt idx="305">
                  <c:v>33.598904590812509</c:v>
                </c:pt>
                <c:pt idx="306">
                  <c:v>33.300906806940901</c:v>
                </c:pt>
                <c:pt idx="307">
                  <c:v>33.005314130829625</c:v>
                </c:pt>
                <c:pt idx="308">
                  <c:v>32.712319671355289</c:v>
                </c:pt>
                <c:pt idx="309">
                  <c:v>32.422097843085183</c:v>
                </c:pt>
                <c:pt idx="310">
                  <c:v>32.134840709569851</c:v>
                </c:pt>
                <c:pt idx="311">
                  <c:v>31.850741826427331</c:v>
                </c:pt>
                <c:pt idx="312">
                  <c:v>31.569994697742583</c:v>
                </c:pt>
                <c:pt idx="313">
                  <c:v>31.29279277984358</c:v>
                </c:pt>
                <c:pt idx="314">
                  <c:v>31.019329479560451</c:v>
                </c:pt>
                <c:pt idx="315">
                  <c:v>30.749798155073861</c:v>
                </c:pt>
                <c:pt idx="316">
                  <c:v>30.482004806887062</c:v>
                </c:pt>
                <c:pt idx="317">
                  <c:v>30.214197927865815</c:v>
                </c:pt>
                <c:pt idx="318">
                  <c:v>29.947258619487382</c:v>
                </c:pt>
                <c:pt idx="319">
                  <c:v>29.682063280890716</c:v>
                </c:pt>
                <c:pt idx="320">
                  <c:v>29.41948798074101</c:v>
                </c:pt>
                <c:pt idx="321">
                  <c:v>29.1604084437887</c:v>
                </c:pt>
                <c:pt idx="322">
                  <c:v>28.905700059888574</c:v>
                </c:pt>
                <c:pt idx="323">
                  <c:v>28.656242921783999</c:v>
                </c:pt>
                <c:pt idx="324">
                  <c:v>28.412927739821079</c:v>
                </c:pt>
                <c:pt idx="325">
                  <c:v>28.176628313728532</c:v>
                </c:pt>
                <c:pt idx="326">
                  <c:v>27.948218157312525</c:v>
                </c:pt>
                <c:pt idx="327">
                  <c:v>27.728570446439651</c:v>
                </c:pt>
                <c:pt idx="328">
                  <c:v>27.518558006882945</c:v>
                </c:pt>
                <c:pt idx="329">
                  <c:v>27.319053319923199</c:v>
                </c:pt>
                <c:pt idx="330">
                  <c:v>27.128106818563584</c:v>
                </c:pt>
                <c:pt idx="331">
                  <c:v>26.943378192446648</c:v>
                </c:pt>
                <c:pt idx="332">
                  <c:v>26.765168715072267</c:v>
                </c:pt>
                <c:pt idx="333">
                  <c:v>26.593767815039527</c:v>
                </c:pt>
                <c:pt idx="334">
                  <c:v>26.429464837029478</c:v>
                </c:pt>
                <c:pt idx="335">
                  <c:v>26.272549059889197</c:v>
                </c:pt>
                <c:pt idx="336">
                  <c:v>26.123309680893918</c:v>
                </c:pt>
                <c:pt idx="337">
                  <c:v>25.982035696717698</c:v>
                </c:pt>
                <c:pt idx="338">
                  <c:v>25.849011621138306</c:v>
                </c:pt>
                <c:pt idx="339">
                  <c:v>25.724526472393613</c:v>
                </c:pt>
                <c:pt idx="340">
                  <c:v>25.608869176521807</c:v>
                </c:pt>
                <c:pt idx="341">
                  <c:v>25.502328552385951</c:v>
                </c:pt>
                <c:pt idx="342">
                  <c:v>25.405193322212813</c:v>
                </c:pt>
                <c:pt idx="343">
                  <c:v>25.317752092523307</c:v>
                </c:pt>
                <c:pt idx="344">
                  <c:v>25.238970972595716</c:v>
                </c:pt>
                <c:pt idx="345">
                  <c:v>25.167804925272307</c:v>
                </c:pt>
                <c:pt idx="346">
                  <c:v>25.104553736890605</c:v>
                </c:pt>
                <c:pt idx="347">
                  <c:v>25.049488777411941</c:v>
                </c:pt>
                <c:pt idx="348">
                  <c:v>25.002881344316055</c:v>
                </c:pt>
                <c:pt idx="349">
                  <c:v>24.965002667620499</c:v>
                </c:pt>
                <c:pt idx="350">
                  <c:v>24.936123889405348</c:v>
                </c:pt>
                <c:pt idx="351">
                  <c:v>24.916541503585709</c:v>
                </c:pt>
                <c:pt idx="352">
                  <c:v>24.906526420778818</c:v>
                </c:pt>
                <c:pt idx="353">
                  <c:v>24.906349370629933</c:v>
                </c:pt>
                <c:pt idx="354">
                  <c:v>24.916281005213683</c:v>
                </c:pt>
                <c:pt idx="355">
                  <c:v>24.936591888125122</c:v>
                </c:pt>
                <c:pt idx="356">
                  <c:v>24.967552548402132</c:v>
                </c:pt>
                <c:pt idx="357">
                  <c:v>25.009433325581355</c:v>
                </c:pt>
                <c:pt idx="358">
                  <c:v>25.06226923660893</c:v>
                </c:pt>
                <c:pt idx="359">
                  <c:v>25.125784731257177</c:v>
                </c:pt>
                <c:pt idx="360">
                  <c:v>25.199784258323042</c:v>
                </c:pt>
                <c:pt idx="361">
                  <c:v>25.284047369792333</c:v>
                </c:pt>
                <c:pt idx="362">
                  <c:v>25.378378844514906</c:v>
                </c:pt>
                <c:pt idx="363">
                  <c:v>25.482583523645189</c:v>
                </c:pt>
                <c:pt idx="364">
                  <c:v>25.596466301692317</c:v>
                </c:pt>
                <c:pt idx="365">
                  <c:v>25.719832135013529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'2028'!$B$15:$B$380</c:f>
              <c:numCache>
                <c:formatCode>0.00</c:formatCode>
                <c:ptCount val="366"/>
                <c:pt idx="0">
                  <c:v>9.5178584128595674</c:v>
                </c:pt>
                <c:pt idx="1">
                  <c:v>1.5239871130875453</c:v>
                </c:pt>
                <c:pt idx="2">
                  <c:v>15.684677809483398</c:v>
                </c:pt>
                <c:pt idx="3">
                  <c:v>14.049087062108683</c:v>
                </c:pt>
                <c:pt idx="4">
                  <c:v>13.870381183647979</c:v>
                </c:pt>
                <c:pt idx="5">
                  <c:v>4.554955121245845</c:v>
                </c:pt>
                <c:pt idx="6">
                  <c:v>17.610939922740144</c:v>
                </c:pt>
                <c:pt idx="7">
                  <c:v>6.5761757413467867</c:v>
                </c:pt>
                <c:pt idx="8">
                  <c:v>8.4154651202930264</c:v>
                </c:pt>
                <c:pt idx="9">
                  <c:v>23.995688257075859</c:v>
                </c:pt>
                <c:pt idx="10">
                  <c:v>4.3634467681422064</c:v>
                </c:pt>
                <c:pt idx="11">
                  <c:v>23.324315824450284</c:v>
                </c:pt>
                <c:pt idx="12">
                  <c:v>13.187804422414697</c:v>
                </c:pt>
                <c:pt idx="13">
                  <c:v>17.806666833620024</c:v>
                </c:pt>
                <c:pt idx="14">
                  <c:v>5.8025352346707502</c:v>
                </c:pt>
                <c:pt idx="15">
                  <c:v>3.5190831918196674</c:v>
                </c:pt>
                <c:pt idx="16">
                  <c:v>6.6214422051117907</c:v>
                </c:pt>
                <c:pt idx="17">
                  <c:v>18.963664281292669</c:v>
                </c:pt>
                <c:pt idx="18">
                  <c:v>9.9652823096421415</c:v>
                </c:pt>
                <c:pt idx="19">
                  <c:v>17.865151721269893</c:v>
                </c:pt>
                <c:pt idx="20">
                  <c:v>6.4977998590742381</c:v>
                </c:pt>
                <c:pt idx="21">
                  <c:v>30.629297188561537</c:v>
                </c:pt>
                <c:pt idx="22">
                  <c:v>30.528353869777526</c:v>
                </c:pt>
                <c:pt idx="23">
                  <c:v>31.521750866890837</c:v>
                </c:pt>
                <c:pt idx="24">
                  <c:v>29.180477925554257</c:v>
                </c:pt>
                <c:pt idx="25">
                  <c:v>30.767071977175171</c:v>
                </c:pt>
                <c:pt idx="26">
                  <c:v>27.15570956367959</c:v>
                </c:pt>
                <c:pt idx="27">
                  <c:v>4.1460565130918736</c:v>
                </c:pt>
                <c:pt idx="28">
                  <c:v>7.8871166915373383</c:v>
                </c:pt>
                <c:pt idx="29">
                  <c:v>4.5636755532719393</c:v>
                </c:pt>
                <c:pt idx="30">
                  <c:v>7.2775906884112311</c:v>
                </c:pt>
                <c:pt idx="31">
                  <c:v>15.969169316216496</c:v>
                </c:pt>
                <c:pt idx="32">
                  <c:v>5.2428642972627015</c:v>
                </c:pt>
                <c:pt idx="33">
                  <c:v>10.542721474458828</c:v>
                </c:pt>
                <c:pt idx="34">
                  <c:v>10.888068736503612</c:v>
                </c:pt>
                <c:pt idx="35">
                  <c:v>8.9834354563863901</c:v>
                </c:pt>
                <c:pt idx="36">
                  <c:v>24.575624516664437</c:v>
                </c:pt>
                <c:pt idx="37">
                  <c:v>8.8162694049625614</c:v>
                </c:pt>
                <c:pt idx="38">
                  <c:v>35.62943015323242</c:v>
                </c:pt>
                <c:pt idx="39">
                  <c:v>36.355549813916767</c:v>
                </c:pt>
                <c:pt idx="40">
                  <c:v>34.085262974485794</c:v>
                </c:pt>
                <c:pt idx="41">
                  <c:v>16.847016149363718</c:v>
                </c:pt>
                <c:pt idx="42">
                  <c:v>27.385209556395413</c:v>
                </c:pt>
                <c:pt idx="43">
                  <c:v>34.100231315477764</c:v>
                </c:pt>
                <c:pt idx="44">
                  <c:v>15.006804390905502</c:v>
                </c:pt>
                <c:pt idx="45">
                  <c:v>19.078705572676167</c:v>
                </c:pt>
                <c:pt idx="46">
                  <c:v>8.5962409300979719</c:v>
                </c:pt>
                <c:pt idx="47">
                  <c:v>10.841591002713006</c:v>
                </c:pt>
                <c:pt idx="48">
                  <c:v>30.756526056570369</c:v>
                </c:pt>
                <c:pt idx="49">
                  <c:v>18.509170380370048</c:v>
                </c:pt>
                <c:pt idx="50">
                  <c:v>20.123123232053199</c:v>
                </c:pt>
                <c:pt idx="51">
                  <c:v>21.181982259459442</c:v>
                </c:pt>
                <c:pt idx="52">
                  <c:v>33.476050940637407</c:v>
                </c:pt>
                <c:pt idx="53">
                  <c:v>35.570979673325574</c:v>
                </c:pt>
                <c:pt idx="54">
                  <c:v>24.518953529022081</c:v>
                </c:pt>
                <c:pt idx="55">
                  <c:v>29.049506325649922</c:v>
                </c:pt>
                <c:pt idx="56">
                  <c:v>43.68699815266752</c:v>
                </c:pt>
                <c:pt idx="57">
                  <c:v>25.733654952349792</c:v>
                </c:pt>
                <c:pt idx="58">
                  <c:v>36.791189517978182</c:v>
                </c:pt>
                <c:pt idx="59">
                  <c:v>41.681905189239941</c:v>
                </c:pt>
                <c:pt idx="60">
                  <c:v>12.224749328834596</c:v>
                </c:pt>
                <c:pt idx="61">
                  <c:v>33.720832824402052</c:v>
                </c:pt>
                <c:pt idx="62">
                  <c:v>3.6104427928666278</c:v>
                </c:pt>
                <c:pt idx="63">
                  <c:v>12.366847595213653</c:v>
                </c:pt>
                <c:pt idx="64">
                  <c:v>15.194832426107103</c:v>
                </c:pt>
                <c:pt idx="65">
                  <c:v>37.076622848332327</c:v>
                </c:pt>
                <c:pt idx="66">
                  <c:v>34.786826868407026</c:v>
                </c:pt>
                <c:pt idx="67">
                  <c:v>30.403164094457047</c:v>
                </c:pt>
                <c:pt idx="68">
                  <c:v>25.710232366713463</c:v>
                </c:pt>
                <c:pt idx="69">
                  <c:v>16.376573780335146</c:v>
                </c:pt>
                <c:pt idx="70">
                  <c:v>13.462907811978345</c:v>
                </c:pt>
                <c:pt idx="71">
                  <c:v>7.7572922277907033</c:v>
                </c:pt>
                <c:pt idx="72">
                  <c:v>13.92234648304481</c:v>
                </c:pt>
                <c:pt idx="73">
                  <c:v>13.20177981137652</c:v>
                </c:pt>
                <c:pt idx="74">
                  <c:v>13.273293217593105</c:v>
                </c:pt>
                <c:pt idx="75">
                  <c:v>10.943675413792166</c:v>
                </c:pt>
                <c:pt idx="76">
                  <c:v>13.716219764946777</c:v>
                </c:pt>
                <c:pt idx="77">
                  <c:v>27.564125767453394</c:v>
                </c:pt>
                <c:pt idx="78">
                  <c:v>30.501392295317476</c:v>
                </c:pt>
                <c:pt idx="79">
                  <c:v>44.67979058656222</c:v>
                </c:pt>
                <c:pt idx="80">
                  <c:v>42.059874510881443</c:v>
                </c:pt>
                <c:pt idx="81">
                  <c:v>47.829036392905515</c:v>
                </c:pt>
                <c:pt idx="82">
                  <c:v>47.196816852890919</c:v>
                </c:pt>
                <c:pt idx="83">
                  <c:v>39.622052578930671</c:v>
                </c:pt>
                <c:pt idx="84">
                  <c:v>45.826894067426302</c:v>
                </c:pt>
                <c:pt idx="85">
                  <c:v>45.022998059169325</c:v>
                </c:pt>
                <c:pt idx="86">
                  <c:v>35.91515483559396</c:v>
                </c:pt>
                <c:pt idx="87">
                  <c:v>26.916657492252476</c:v>
                </c:pt>
                <c:pt idx="88">
                  <c:v>7.3175297325549922</c:v>
                </c:pt>
                <c:pt idx="89">
                  <c:v>24.84178624126811</c:v>
                </c:pt>
                <c:pt idx="90">
                  <c:v>29.519442913505291</c:v>
                </c:pt>
                <c:pt idx="91">
                  <c:v>18.962527716564569</c:v>
                </c:pt>
                <c:pt idx="92">
                  <c:v>23.496509858513956</c:v>
                </c:pt>
                <c:pt idx="93">
                  <c:v>44.403916686000464</c:v>
                </c:pt>
                <c:pt idx="94">
                  <c:v>50.976450411257879</c:v>
                </c:pt>
                <c:pt idx="95">
                  <c:v>10.774592346195051</c:v>
                </c:pt>
                <c:pt idx="96">
                  <c:v>39.08467132981928</c:v>
                </c:pt>
                <c:pt idx="97">
                  <c:v>33.518066096821528</c:v>
                </c:pt>
                <c:pt idx="98">
                  <c:v>33.038897311718912</c:v>
                </c:pt>
                <c:pt idx="99">
                  <c:v>53.627917893306609</c:v>
                </c:pt>
                <c:pt idx="100">
                  <c:v>44.853212911735355</c:v>
                </c:pt>
                <c:pt idx="101">
                  <c:v>37.293708144973287</c:v>
                </c:pt>
                <c:pt idx="102">
                  <c:v>7.5671768745093058</c:v>
                </c:pt>
                <c:pt idx="103">
                  <c:v>39.183083742223317</c:v>
                </c:pt>
                <c:pt idx="104">
                  <c:v>42.22520569920362</c:v>
                </c:pt>
                <c:pt idx="105">
                  <c:v>40.717936914003296</c:v>
                </c:pt>
                <c:pt idx="106">
                  <c:v>52.570200199247338</c:v>
                </c:pt>
                <c:pt idx="107">
                  <c:v>34.912427815191407</c:v>
                </c:pt>
                <c:pt idx="108">
                  <c:v>8.8104200306784133</c:v>
                </c:pt>
                <c:pt idx="109">
                  <c:v>9.1263662203026055</c:v>
                </c:pt>
                <c:pt idx="110">
                  <c:v>8.6848049360060813</c:v>
                </c:pt>
                <c:pt idx="111">
                  <c:v>25.112583742292252</c:v>
                </c:pt>
                <c:pt idx="112">
                  <c:v>8.5561032442740323</c:v>
                </c:pt>
                <c:pt idx="113">
                  <c:v>28.09230470294148</c:v>
                </c:pt>
                <c:pt idx="114">
                  <c:v>42.719825968624981</c:v>
                </c:pt>
                <c:pt idx="115">
                  <c:v>52.522984864047324</c:v>
                </c:pt>
                <c:pt idx="116">
                  <c:v>40.110785223672877</c:v>
                </c:pt>
                <c:pt idx="117">
                  <c:v>22.599228098066529</c:v>
                </c:pt>
                <c:pt idx="118">
                  <c:v>41.007804502938647</c:v>
                </c:pt>
                <c:pt idx="119">
                  <c:v>42.024294081134251</c:v>
                </c:pt>
                <c:pt idx="120">
                  <c:v>47.326017768421742</c:v>
                </c:pt>
                <c:pt idx="121">
                  <c:v>29.323633620142122</c:v>
                </c:pt>
                <c:pt idx="122">
                  <c:v>38.36892294739409</c:v>
                </c:pt>
                <c:pt idx="123">
                  <c:v>20.526315528619023</c:v>
                </c:pt>
                <c:pt idx="124">
                  <c:v>42.986463685732041</c:v>
                </c:pt>
                <c:pt idx="125">
                  <c:v>40.872917526051175</c:v>
                </c:pt>
                <c:pt idx="126">
                  <c:v>50.806777715789487</c:v>
                </c:pt>
                <c:pt idx="127">
                  <c:v>49.996680606848471</c:v>
                </c:pt>
                <c:pt idx="128">
                  <c:v>55.118721942033943</c:v>
                </c:pt>
                <c:pt idx="129">
                  <c:v>53.128666843211107</c:v>
                </c:pt>
                <c:pt idx="130">
                  <c:v>56.939062738500922</c:v>
                </c:pt>
                <c:pt idx="131">
                  <c:v>40.703885302022009</c:v>
                </c:pt>
                <c:pt idx="132">
                  <c:v>41.780357403037861</c:v>
                </c:pt>
                <c:pt idx="133">
                  <c:v>51.820606985885213</c:v>
                </c:pt>
                <c:pt idx="134">
                  <c:v>54.047403010639847</c:v>
                </c:pt>
                <c:pt idx="135">
                  <c:v>51.683212808230948</c:v>
                </c:pt>
                <c:pt idx="136">
                  <c:v>54.85938539411007</c:v>
                </c:pt>
                <c:pt idx="137">
                  <c:v>51.983708511201378</c:v>
                </c:pt>
                <c:pt idx="138">
                  <c:v>55.402967666384477</c:v>
                </c:pt>
                <c:pt idx="139">
                  <c:v>50.402526598261232</c:v>
                </c:pt>
                <c:pt idx="140">
                  <c:v>51.407361255948445</c:v>
                </c:pt>
                <c:pt idx="141">
                  <c:v>40.882809391885658</c:v>
                </c:pt>
                <c:pt idx="142">
                  <c:v>19.161722284919925</c:v>
                </c:pt>
                <c:pt idx="143">
                  <c:v>16.737448890084735</c:v>
                </c:pt>
                <c:pt idx="144">
                  <c:v>42.569422838373029</c:v>
                </c:pt>
                <c:pt idx="145">
                  <c:v>27.772160096822329</c:v>
                </c:pt>
                <c:pt idx="146">
                  <c:v>44.054369798061153</c:v>
                </c:pt>
                <c:pt idx="147">
                  <c:v>54.819587046185632</c:v>
                </c:pt>
                <c:pt idx="148">
                  <c:v>59.304231339797866</c:v>
                </c:pt>
                <c:pt idx="149">
                  <c:v>47.859579778796274</c:v>
                </c:pt>
                <c:pt idx="150">
                  <c:v>53.614920179114428</c:v>
                </c:pt>
                <c:pt idx="151">
                  <c:v>55.597836312057602</c:v>
                </c:pt>
                <c:pt idx="152">
                  <c:v>42.048109415250465</c:v>
                </c:pt>
                <c:pt idx="153">
                  <c:v>55.194046280846408</c:v>
                </c:pt>
                <c:pt idx="154">
                  <c:v>24.973856267039722</c:v>
                </c:pt>
                <c:pt idx="155">
                  <c:v>34.563497625055021</c:v>
                </c:pt>
                <c:pt idx="156">
                  <c:v>49.531030034229587</c:v>
                </c:pt>
                <c:pt idx="157">
                  <c:v>25.479182635177164</c:v>
                </c:pt>
                <c:pt idx="158">
                  <c:v>21.03809583845656</c:v>
                </c:pt>
                <c:pt idx="159">
                  <c:v>49.626495562493176</c:v>
                </c:pt>
                <c:pt idx="160">
                  <c:v>57.313076893214038</c:v>
                </c:pt>
                <c:pt idx="161">
                  <c:v>55.673943578205467</c:v>
                </c:pt>
                <c:pt idx="162">
                  <c:v>43.850688195087329</c:v>
                </c:pt>
                <c:pt idx="163">
                  <c:v>52.760744767473142</c:v>
                </c:pt>
                <c:pt idx="164">
                  <c:v>50.737248467910852</c:v>
                </c:pt>
                <c:pt idx="165">
                  <c:v>53.93941764106507</c:v>
                </c:pt>
                <c:pt idx="166">
                  <c:v>52.017484328456604</c:v>
                </c:pt>
                <c:pt idx="167">
                  <c:v>51.932141887827285</c:v>
                </c:pt>
                <c:pt idx="168">
                  <c:v>55.376946789647938</c:v>
                </c:pt>
                <c:pt idx="169">
                  <c:v>56.455069942667194</c:v>
                </c:pt>
                <c:pt idx="170">
                  <c:v>29.840630089931604</c:v>
                </c:pt>
                <c:pt idx="171">
                  <c:v>22.246103360341035</c:v>
                </c:pt>
                <c:pt idx="172">
                  <c:v>42.060204682807026</c:v>
                </c:pt>
                <c:pt idx="173">
                  <c:v>42.716773179706962</c:v>
                </c:pt>
                <c:pt idx="174">
                  <c:v>39.253709555542919</c:v>
                </c:pt>
                <c:pt idx="175">
                  <c:v>37.1426973035571</c:v>
                </c:pt>
                <c:pt idx="176">
                  <c:v>12.03538404172031</c:v>
                </c:pt>
                <c:pt idx="177">
                  <c:v>14.82051028725652</c:v>
                </c:pt>
                <c:pt idx="178">
                  <c:v>56.875877915107047</c:v>
                </c:pt>
                <c:pt idx="179">
                  <c:v>56.418336620394868</c:v>
                </c:pt>
                <c:pt idx="180">
                  <c:v>13.880452635229926</c:v>
                </c:pt>
                <c:pt idx="181">
                  <c:v>47.151709177875411</c:v>
                </c:pt>
                <c:pt idx="182">
                  <c:v>34.484178041683897</c:v>
                </c:pt>
                <c:pt idx="183">
                  <c:v>49.001464910944442</c:v>
                </c:pt>
                <c:pt idx="184">
                  <c:v>44.372823155692018</c:v>
                </c:pt>
                <c:pt idx="185">
                  <c:v>55.313971923725447</c:v>
                </c:pt>
                <c:pt idx="186">
                  <c:v>45.105692014543237</c:v>
                </c:pt>
                <c:pt idx="187">
                  <c:v>55.003690530067388</c:v>
                </c:pt>
                <c:pt idx="188">
                  <c:v>56.809705698577865</c:v>
                </c:pt>
                <c:pt idx="189">
                  <c:v>56.136298635035374</c:v>
                </c:pt>
                <c:pt idx="190">
                  <c:v>55.439045068257471</c:v>
                </c:pt>
                <c:pt idx="191">
                  <c:v>54.481797650571352</c:v>
                </c:pt>
                <c:pt idx="192">
                  <c:v>54.083908924625639</c:v>
                </c:pt>
                <c:pt idx="193">
                  <c:v>53.578982876436832</c:v>
                </c:pt>
                <c:pt idx="194">
                  <c:v>53.26720398441784</c:v>
                </c:pt>
                <c:pt idx="195">
                  <c:v>51.094264255067159</c:v>
                </c:pt>
                <c:pt idx="196">
                  <c:v>52.495566539753909</c:v>
                </c:pt>
                <c:pt idx="197">
                  <c:v>52.635995149703611</c:v>
                </c:pt>
                <c:pt idx="198">
                  <c:v>54.818043056241557</c:v>
                </c:pt>
                <c:pt idx="199">
                  <c:v>42.972883261237932</c:v>
                </c:pt>
                <c:pt idx="200">
                  <c:v>43.069702597873722</c:v>
                </c:pt>
                <c:pt idx="201">
                  <c:v>52.100487344528567</c:v>
                </c:pt>
                <c:pt idx="202">
                  <c:v>43.790860167297176</c:v>
                </c:pt>
                <c:pt idx="203">
                  <c:v>43.744301325627099</c:v>
                </c:pt>
                <c:pt idx="204">
                  <c:v>52.345943270799559</c:v>
                </c:pt>
                <c:pt idx="205">
                  <c:v>25.70758777327897</c:v>
                </c:pt>
                <c:pt idx="206">
                  <c:v>54.584660787022855</c:v>
                </c:pt>
                <c:pt idx="207">
                  <c:v>55.97000490103445</c:v>
                </c:pt>
                <c:pt idx="208">
                  <c:v>42.384162164962873</c:v>
                </c:pt>
                <c:pt idx="209">
                  <c:v>29.340101669950904</c:v>
                </c:pt>
                <c:pt idx="210">
                  <c:v>47.188530790595017</c:v>
                </c:pt>
                <c:pt idx="211">
                  <c:v>53.654523358799722</c:v>
                </c:pt>
                <c:pt idx="212">
                  <c:v>53.307672211451148</c:v>
                </c:pt>
                <c:pt idx="213">
                  <c:v>53.376397849853767</c:v>
                </c:pt>
                <c:pt idx="214">
                  <c:v>52.747791401905417</c:v>
                </c:pt>
                <c:pt idx="215">
                  <c:v>51.263364523865917</c:v>
                </c:pt>
                <c:pt idx="216">
                  <c:v>42.235061824495737</c:v>
                </c:pt>
                <c:pt idx="217">
                  <c:v>49.723739562362823</c:v>
                </c:pt>
                <c:pt idx="218">
                  <c:v>52.122106689258828</c:v>
                </c:pt>
                <c:pt idx="219">
                  <c:v>52.859431241761982</c:v>
                </c:pt>
                <c:pt idx="220">
                  <c:v>50.761198998181342</c:v>
                </c:pt>
                <c:pt idx="221">
                  <c:v>48.890413310234734</c:v>
                </c:pt>
                <c:pt idx="222">
                  <c:v>47.39411412685638</c:v>
                </c:pt>
                <c:pt idx="223">
                  <c:v>47.650229535492386</c:v>
                </c:pt>
                <c:pt idx="224">
                  <c:v>37.220054416490328</c:v>
                </c:pt>
                <c:pt idx="225">
                  <c:v>33.547257017425359</c:v>
                </c:pt>
                <c:pt idx="226">
                  <c:v>35.866286120413129</c:v>
                </c:pt>
                <c:pt idx="227">
                  <c:v>37.130101399699349</c:v>
                </c:pt>
                <c:pt idx="228">
                  <c:v>28.713500569702415</c:v>
                </c:pt>
                <c:pt idx="229">
                  <c:v>36.448628860513729</c:v>
                </c:pt>
                <c:pt idx="230">
                  <c:v>38.054075378868781</c:v>
                </c:pt>
                <c:pt idx="231">
                  <c:v>49.765433052540359</c:v>
                </c:pt>
                <c:pt idx="232">
                  <c:v>37.169290662003647</c:v>
                </c:pt>
                <c:pt idx="233">
                  <c:v>26.846928796325461</c:v>
                </c:pt>
                <c:pt idx="234">
                  <c:v>48.099202892028146</c:v>
                </c:pt>
                <c:pt idx="235">
                  <c:v>48.635854827383667</c:v>
                </c:pt>
                <c:pt idx="236">
                  <c:v>29.25417093127907</c:v>
                </c:pt>
                <c:pt idx="237">
                  <c:v>39.090727111093216</c:v>
                </c:pt>
                <c:pt idx="238">
                  <c:v>47.329845778066804</c:v>
                </c:pt>
                <c:pt idx="239">
                  <c:v>48.390425898827424</c:v>
                </c:pt>
                <c:pt idx="240">
                  <c:v>33.272684896924368</c:v>
                </c:pt>
                <c:pt idx="241">
                  <c:v>47.746702562717402</c:v>
                </c:pt>
                <c:pt idx="242">
                  <c:v>24.740926739236894</c:v>
                </c:pt>
                <c:pt idx="243">
                  <c:v>38.805820478522989</c:v>
                </c:pt>
                <c:pt idx="244">
                  <c:v>36.968553646850054</c:v>
                </c:pt>
                <c:pt idx="245">
                  <c:v>38.454865484094107</c:v>
                </c:pt>
                <c:pt idx="246">
                  <c:v>47.816703969530138</c:v>
                </c:pt>
                <c:pt idx="247">
                  <c:v>42.245834331241333</c:v>
                </c:pt>
                <c:pt idx="248">
                  <c:v>43.471356400664334</c:v>
                </c:pt>
                <c:pt idx="249">
                  <c:v>36.366893220299986</c:v>
                </c:pt>
                <c:pt idx="250">
                  <c:v>36.171990899483887</c:v>
                </c:pt>
                <c:pt idx="251">
                  <c:v>19.973818739232044</c:v>
                </c:pt>
                <c:pt idx="252">
                  <c:v>46.393177976455185</c:v>
                </c:pt>
                <c:pt idx="253">
                  <c:v>46.793222413510883</c:v>
                </c:pt>
                <c:pt idx="254">
                  <c:v>36.68508326685928</c:v>
                </c:pt>
                <c:pt idx="255">
                  <c:v>14.583688339019112</c:v>
                </c:pt>
                <c:pt idx="256">
                  <c:v>36.728418464945648</c:v>
                </c:pt>
                <c:pt idx="257">
                  <c:v>40.381223937478822</c:v>
                </c:pt>
                <c:pt idx="258">
                  <c:v>29.208344289686213</c:v>
                </c:pt>
                <c:pt idx="259">
                  <c:v>47.128184549366225</c:v>
                </c:pt>
                <c:pt idx="260">
                  <c:v>45.553014031326725</c:v>
                </c:pt>
                <c:pt idx="261">
                  <c:v>46.100842109662096</c:v>
                </c:pt>
                <c:pt idx="262">
                  <c:v>47.557467071047412</c:v>
                </c:pt>
                <c:pt idx="263">
                  <c:v>46.344830000988097</c:v>
                </c:pt>
                <c:pt idx="264">
                  <c:v>45.077923591239887</c:v>
                </c:pt>
                <c:pt idx="265">
                  <c:v>31.905965510521622</c:v>
                </c:pt>
                <c:pt idx="266">
                  <c:v>18.136997505176673</c:v>
                </c:pt>
                <c:pt idx="267">
                  <c:v>35.451879515319391</c:v>
                </c:pt>
                <c:pt idx="268">
                  <c:v>35.316315139907147</c:v>
                </c:pt>
                <c:pt idx="269">
                  <c:v>16.852900736083434</c:v>
                </c:pt>
                <c:pt idx="270">
                  <c:v>19.226346091713395</c:v>
                </c:pt>
                <c:pt idx="271">
                  <c:v>23.122183445855676</c:v>
                </c:pt>
                <c:pt idx="272">
                  <c:v>25.550583241701521</c:v>
                </c:pt>
                <c:pt idx="273">
                  <c:v>36.910441570659025</c:v>
                </c:pt>
                <c:pt idx="274">
                  <c:v>39.96267291080116</c:v>
                </c:pt>
                <c:pt idx="275">
                  <c:v>36.217054002990288</c:v>
                </c:pt>
                <c:pt idx="276">
                  <c:v>42.536792205168354</c:v>
                </c:pt>
                <c:pt idx="277">
                  <c:v>44.28175508028967</c:v>
                </c:pt>
                <c:pt idx="278">
                  <c:v>11.861233557375533</c:v>
                </c:pt>
                <c:pt idx="279">
                  <c:v>32.379124284221042</c:v>
                </c:pt>
                <c:pt idx="280">
                  <c:v>15.172583378502948</c:v>
                </c:pt>
                <c:pt idx="281">
                  <c:v>40.421211385997125</c:v>
                </c:pt>
                <c:pt idx="282">
                  <c:v>34.280435119199005</c:v>
                </c:pt>
                <c:pt idx="283">
                  <c:v>23.420638267264245</c:v>
                </c:pt>
                <c:pt idx="284">
                  <c:v>27.616010202074811</c:v>
                </c:pt>
                <c:pt idx="285">
                  <c:v>24.295057027515149</c:v>
                </c:pt>
                <c:pt idx="286">
                  <c:v>17.416960085158163</c:v>
                </c:pt>
                <c:pt idx="287">
                  <c:v>39.747117461164869</c:v>
                </c:pt>
                <c:pt idx="288">
                  <c:v>34.201123686482831</c:v>
                </c:pt>
                <c:pt idx="289">
                  <c:v>19.118243570357915</c:v>
                </c:pt>
                <c:pt idx="290">
                  <c:v>36.858566715197796</c:v>
                </c:pt>
                <c:pt idx="291">
                  <c:v>17.312552970625699</c:v>
                </c:pt>
                <c:pt idx="292">
                  <c:v>6.9438848635514114</c:v>
                </c:pt>
                <c:pt idx="293">
                  <c:v>17.932793234562595</c:v>
                </c:pt>
                <c:pt idx="294">
                  <c:v>34.949981109921417</c:v>
                </c:pt>
                <c:pt idx="295">
                  <c:v>16.990540154663641</c:v>
                </c:pt>
                <c:pt idx="296">
                  <c:v>28.854745433208667</c:v>
                </c:pt>
                <c:pt idx="297">
                  <c:v>23.484812553483689</c:v>
                </c:pt>
                <c:pt idx="298">
                  <c:v>12.966218055611668</c:v>
                </c:pt>
                <c:pt idx="299">
                  <c:v>16.726746319614048</c:v>
                </c:pt>
                <c:pt idx="300">
                  <c:v>17.43597177093223</c:v>
                </c:pt>
                <c:pt idx="301">
                  <c:v>28.576557796583167</c:v>
                </c:pt>
                <c:pt idx="302">
                  <c:v>26.227826310285643</c:v>
                </c:pt>
                <c:pt idx="303">
                  <c:v>24.68789907204188</c:v>
                </c:pt>
                <c:pt idx="304">
                  <c:v>19.538169359949737</c:v>
                </c:pt>
                <c:pt idx="305">
                  <c:v>30.164190364641893</c:v>
                </c:pt>
                <c:pt idx="306">
                  <c:v>9.5376248184832519</c:v>
                </c:pt>
                <c:pt idx="307">
                  <c:v>17.105199058198629</c:v>
                </c:pt>
                <c:pt idx="308">
                  <c:v>31.990502943020399</c:v>
                </c:pt>
                <c:pt idx="309">
                  <c:v>33.320175547075401</c:v>
                </c:pt>
                <c:pt idx="310">
                  <c:v>31.8880272124592</c:v>
                </c:pt>
                <c:pt idx="311">
                  <c:v>23.626916855901854</c:v>
                </c:pt>
                <c:pt idx="312">
                  <c:v>10.546642297103226</c:v>
                </c:pt>
                <c:pt idx="313">
                  <c:v>19.783445276598844</c:v>
                </c:pt>
                <c:pt idx="314">
                  <c:v>31.211936973524232</c:v>
                </c:pt>
                <c:pt idx="315">
                  <c:v>30.48186946134955</c:v>
                </c:pt>
                <c:pt idx="316">
                  <c:v>29.516650808935903</c:v>
                </c:pt>
                <c:pt idx="317">
                  <c:v>11.179693998204943</c:v>
                </c:pt>
                <c:pt idx="318">
                  <c:v>12.826743128707303</c:v>
                </c:pt>
                <c:pt idx="319">
                  <c:v>30.064359675484194</c:v>
                </c:pt>
                <c:pt idx="320">
                  <c:v>13.514679160687523</c:v>
                </c:pt>
                <c:pt idx="321">
                  <c:v>17.23059062992801</c:v>
                </c:pt>
                <c:pt idx="322">
                  <c:v>6.799007908508651</c:v>
                </c:pt>
                <c:pt idx="323">
                  <c:v>17.491865701298082</c:v>
                </c:pt>
                <c:pt idx="324">
                  <c:v>3.1256753795738135</c:v>
                </c:pt>
                <c:pt idx="325">
                  <c:v>8.0087668177869134</c:v>
                </c:pt>
                <c:pt idx="326">
                  <c:v>13.201129056233908</c:v>
                </c:pt>
                <c:pt idx="327">
                  <c:v>14.154874567920537</c:v>
                </c:pt>
                <c:pt idx="328">
                  <c:v>4.5116340421756176</c:v>
                </c:pt>
                <c:pt idx="329">
                  <c:v>10.503512204116873</c:v>
                </c:pt>
                <c:pt idx="330">
                  <c:v>16.335286666326656</c:v>
                </c:pt>
                <c:pt idx="331">
                  <c:v>10.140507254507932</c:v>
                </c:pt>
                <c:pt idx="332">
                  <c:v>15.085823500399622</c:v>
                </c:pt>
                <c:pt idx="333">
                  <c:v>3.8649256663443272</c:v>
                </c:pt>
                <c:pt idx="334">
                  <c:v>3.677330578222552</c:v>
                </c:pt>
                <c:pt idx="335">
                  <c:v>5.5116177013730843</c:v>
                </c:pt>
                <c:pt idx="336">
                  <c:v>10.676546226781552</c:v>
                </c:pt>
                <c:pt idx="337">
                  <c:v>17.296709437703555</c:v>
                </c:pt>
                <c:pt idx="338">
                  <c:v>26.779821671326047</c:v>
                </c:pt>
                <c:pt idx="339">
                  <c:v>12.042775057983073</c:v>
                </c:pt>
                <c:pt idx="340">
                  <c:v>22.120470738102235</c:v>
                </c:pt>
                <c:pt idx="341">
                  <c:v>4.0651663068795241</c:v>
                </c:pt>
                <c:pt idx="342">
                  <c:v>4.9121629317555486</c:v>
                </c:pt>
                <c:pt idx="343">
                  <c:v>11.355481678695535</c:v>
                </c:pt>
                <c:pt idx="344">
                  <c:v>17.866057587239737</c:v>
                </c:pt>
                <c:pt idx="345">
                  <c:v>6.8875678395518714</c:v>
                </c:pt>
                <c:pt idx="346">
                  <c:v>5.3456523790327681</c:v>
                </c:pt>
                <c:pt idx="347">
                  <c:v>17.364119760279149</c:v>
                </c:pt>
                <c:pt idx="348">
                  <c:v>5.8154862882700344</c:v>
                </c:pt>
                <c:pt idx="349">
                  <c:v>5.1920229302422181</c:v>
                </c:pt>
                <c:pt idx="350">
                  <c:v>3.4257294836207781</c:v>
                </c:pt>
                <c:pt idx="351">
                  <c:v>24.252549680842847</c:v>
                </c:pt>
                <c:pt idx="352">
                  <c:v>19.5331966792717</c:v>
                </c:pt>
                <c:pt idx="353">
                  <c:v>4.3065462321122121</c:v>
                </c:pt>
                <c:pt idx="354">
                  <c:v>22.201018850643351</c:v>
                </c:pt>
                <c:pt idx="355">
                  <c:v>19.87216746811179</c:v>
                </c:pt>
                <c:pt idx="356">
                  <c:v>20.216966019872292</c:v>
                </c:pt>
                <c:pt idx="357">
                  <c:v>22.229549945287822</c:v>
                </c:pt>
                <c:pt idx="358">
                  <c:v>13.120425665037649</c:v>
                </c:pt>
                <c:pt idx="359">
                  <c:v>21.9685241560944</c:v>
                </c:pt>
                <c:pt idx="360">
                  <c:v>7.1786553677136267</c:v>
                </c:pt>
                <c:pt idx="361">
                  <c:v>24.259808199331744</c:v>
                </c:pt>
                <c:pt idx="362">
                  <c:v>10.763520690682046</c:v>
                </c:pt>
                <c:pt idx="363">
                  <c:v>13.963130230456199</c:v>
                </c:pt>
                <c:pt idx="364">
                  <c:v>13.077123605022638</c:v>
                </c:pt>
                <c:pt idx="365">
                  <c:v>16.924513056462878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'2028'!$W$14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'2028'!$W$15:$W$380</c:f>
              <c:numCache>
                <c:formatCode>0.00</c:formatCode>
                <c:ptCount val="366"/>
                <c:pt idx="0">
                  <c:v>9.5178584128595674</c:v>
                </c:pt>
                <c:pt idx="1">
                  <c:v>1.5239871130875453</c:v>
                </c:pt>
                <c:pt idx="2">
                  <c:v>15.684677809483398</c:v>
                </c:pt>
                <c:pt idx="3">
                  <c:v>14.049087062108683</c:v>
                </c:pt>
                <c:pt idx="4">
                  <c:v>13.870381183647979</c:v>
                </c:pt>
                <c:pt idx="5">
                  <c:v>4.554955121245845</c:v>
                </c:pt>
                <c:pt idx="6">
                  <c:v>17.610939922740144</c:v>
                </c:pt>
                <c:pt idx="7">
                  <c:v>6.5761757413467867</c:v>
                </c:pt>
                <c:pt idx="8">
                  <c:v>8.4154651202930264</c:v>
                </c:pt>
                <c:pt idx="9">
                  <c:v>23.995688257075859</c:v>
                </c:pt>
                <c:pt idx="10">
                  <c:v>4.3634467681422064</c:v>
                </c:pt>
                <c:pt idx="11">
                  <c:v>23.324315824450284</c:v>
                </c:pt>
                <c:pt idx="12">
                  <c:v>13.187804422414697</c:v>
                </c:pt>
                <c:pt idx="13">
                  <c:v>17.806666833620024</c:v>
                </c:pt>
                <c:pt idx="14">
                  <c:v>5.8025352346707502</c:v>
                </c:pt>
                <c:pt idx="15">
                  <c:v>3.5190831918196674</c:v>
                </c:pt>
                <c:pt idx="16">
                  <c:v>6.6214422051117907</c:v>
                </c:pt>
                <c:pt idx="17">
                  <c:v>18.963664281292669</c:v>
                </c:pt>
                <c:pt idx="18">
                  <c:v>9.9652823096421415</c:v>
                </c:pt>
                <c:pt idx="19">
                  <c:v>17.865151721269893</c:v>
                </c:pt>
                <c:pt idx="20">
                  <c:v>6.4977998590742381</c:v>
                </c:pt>
                <c:pt idx="21">
                  <c:v>30.629297188561537</c:v>
                </c:pt>
                <c:pt idx="22">
                  <c:v>30.528353869777526</c:v>
                </c:pt>
                <c:pt idx="23">
                  <c:v>31.521750866890837</c:v>
                </c:pt>
                <c:pt idx="24">
                  <c:v>29.180477925554257</c:v>
                </c:pt>
                <c:pt idx="25">
                  <c:v>30.767071977175171</c:v>
                </c:pt>
                <c:pt idx="26">
                  <c:v>27.15570956367959</c:v>
                </c:pt>
                <c:pt idx="27">
                  <c:v>4.1460565130918736</c:v>
                </c:pt>
                <c:pt idx="28">
                  <c:v>7.8871166915373383</c:v>
                </c:pt>
                <c:pt idx="29">
                  <c:v>4.5636755532719393</c:v>
                </c:pt>
                <c:pt idx="30">
                  <c:v>7.2775906884112311</c:v>
                </c:pt>
                <c:pt idx="31">
                  <c:v>15.969169316216496</c:v>
                </c:pt>
                <c:pt idx="32">
                  <c:v>5.2428642972627015</c:v>
                </c:pt>
                <c:pt idx="33">
                  <c:v>10.542721474458828</c:v>
                </c:pt>
                <c:pt idx="34">
                  <c:v>10.888068736503612</c:v>
                </c:pt>
                <c:pt idx="35">
                  <c:v>8.9834354563863901</c:v>
                </c:pt>
                <c:pt idx="36">
                  <c:v>24.575624516664437</c:v>
                </c:pt>
                <c:pt idx="37">
                  <c:v>8.8162694049625614</c:v>
                </c:pt>
                <c:pt idx="38">
                  <c:v>35.62943015323242</c:v>
                </c:pt>
                <c:pt idx="39">
                  <c:v>36.355549813916767</c:v>
                </c:pt>
                <c:pt idx="40">
                  <c:v>34.085262974485794</c:v>
                </c:pt>
                <c:pt idx="41">
                  <c:v>16.847016149363718</c:v>
                </c:pt>
                <c:pt idx="42">
                  <c:v>27.385209556395413</c:v>
                </c:pt>
                <c:pt idx="43">
                  <c:v>34.100231315477764</c:v>
                </c:pt>
                <c:pt idx="44">
                  <c:v>15.006804390905502</c:v>
                </c:pt>
                <c:pt idx="45">
                  <c:v>19.078705572676167</c:v>
                </c:pt>
                <c:pt idx="46">
                  <c:v>8.5962409300979719</c:v>
                </c:pt>
                <c:pt idx="47">
                  <c:v>10.841591002713006</c:v>
                </c:pt>
                <c:pt idx="48">
                  <c:v>30.756526056570369</c:v>
                </c:pt>
                <c:pt idx="49">
                  <c:v>18.509170380370048</c:v>
                </c:pt>
                <c:pt idx="50">
                  <c:v>20.123123232053199</c:v>
                </c:pt>
                <c:pt idx="51">
                  <c:v>21.181982259459442</c:v>
                </c:pt>
                <c:pt idx="52">
                  <c:v>33.476050940637407</c:v>
                </c:pt>
                <c:pt idx="53">
                  <c:v>35.570979673325574</c:v>
                </c:pt>
                <c:pt idx="54">
                  <c:v>24.518953529022081</c:v>
                </c:pt>
                <c:pt idx="55">
                  <c:v>29.049506325649922</c:v>
                </c:pt>
                <c:pt idx="56">
                  <c:v>43.68699815266752</c:v>
                </c:pt>
                <c:pt idx="57">
                  <c:v>25.733654952349792</c:v>
                </c:pt>
                <c:pt idx="58">
                  <c:v>36.791189517978182</c:v>
                </c:pt>
                <c:pt idx="59">
                  <c:v>41.681905189239941</c:v>
                </c:pt>
                <c:pt idx="60">
                  <c:v>12.224749328834596</c:v>
                </c:pt>
                <c:pt idx="61">
                  <c:v>33.720832824402052</c:v>
                </c:pt>
                <c:pt idx="62">
                  <c:v>3.6104427928666278</c:v>
                </c:pt>
                <c:pt idx="63">
                  <c:v>12.366847595213653</c:v>
                </c:pt>
                <c:pt idx="64">
                  <c:v>15.194832426107103</c:v>
                </c:pt>
                <c:pt idx="65">
                  <c:v>37.076622848332327</c:v>
                </c:pt>
                <c:pt idx="66">
                  <c:v>34.786826868407026</c:v>
                </c:pt>
                <c:pt idx="67">
                  <c:v>30.403164094457047</c:v>
                </c:pt>
                <c:pt idx="68">
                  <c:v>25.710232366713463</c:v>
                </c:pt>
                <c:pt idx="69">
                  <c:v>16.376573780335146</c:v>
                </c:pt>
                <c:pt idx="70">
                  <c:v>13.462907811978345</c:v>
                </c:pt>
                <c:pt idx="71">
                  <c:v>7.7572922277907033</c:v>
                </c:pt>
                <c:pt idx="72">
                  <c:v>13.92234648304481</c:v>
                </c:pt>
                <c:pt idx="73">
                  <c:v>13.20177981137652</c:v>
                </c:pt>
                <c:pt idx="74">
                  <c:v>13.273293217593105</c:v>
                </c:pt>
                <c:pt idx="75">
                  <c:v>10.943675413792166</c:v>
                </c:pt>
                <c:pt idx="76">
                  <c:v>13.716219764946777</c:v>
                </c:pt>
                <c:pt idx="77">
                  <c:v>27.564125767453394</c:v>
                </c:pt>
                <c:pt idx="78">
                  <c:v>30.501392295317476</c:v>
                </c:pt>
                <c:pt idx="79">
                  <c:v>44.67979058656222</c:v>
                </c:pt>
                <c:pt idx="80">
                  <c:v>42.059874510881443</c:v>
                </c:pt>
                <c:pt idx="81">
                  <c:v>47.829036392905515</c:v>
                </c:pt>
                <c:pt idx="82">
                  <c:v>47.196816852890919</c:v>
                </c:pt>
                <c:pt idx="83">
                  <c:v>39.622052578930671</c:v>
                </c:pt>
                <c:pt idx="84">
                  <c:v>45.826894067426302</c:v>
                </c:pt>
                <c:pt idx="85">
                  <c:v>45.022998059169325</c:v>
                </c:pt>
                <c:pt idx="86">
                  <c:v>35.91515483559396</c:v>
                </c:pt>
                <c:pt idx="87">
                  <c:v>26.916657492252476</c:v>
                </c:pt>
                <c:pt idx="88">
                  <c:v>7.3175297325549922</c:v>
                </c:pt>
                <c:pt idx="89">
                  <c:v>24.84178624126811</c:v>
                </c:pt>
                <c:pt idx="90">
                  <c:v>29.519442913505291</c:v>
                </c:pt>
                <c:pt idx="91">
                  <c:v>18.962527716564569</c:v>
                </c:pt>
                <c:pt idx="92">
                  <c:v>23.496509858513956</c:v>
                </c:pt>
                <c:pt idx="93">
                  <c:v>44.403916686000464</c:v>
                </c:pt>
                <c:pt idx="94">
                  <c:v>50.976450411257879</c:v>
                </c:pt>
                <c:pt idx="95">
                  <c:v>10.774592346195051</c:v>
                </c:pt>
                <c:pt idx="96">
                  <c:v>39.08467132981928</c:v>
                </c:pt>
                <c:pt idx="97">
                  <c:v>33.518066096821528</c:v>
                </c:pt>
                <c:pt idx="98">
                  <c:v>33.038897311718912</c:v>
                </c:pt>
                <c:pt idx="99">
                  <c:v>53.627917893306609</c:v>
                </c:pt>
                <c:pt idx="100">
                  <c:v>44.853212911735355</c:v>
                </c:pt>
                <c:pt idx="101">
                  <c:v>37.293708144973287</c:v>
                </c:pt>
                <c:pt idx="102">
                  <c:v>7.5671768745093058</c:v>
                </c:pt>
                <c:pt idx="103">
                  <c:v>39.183083742223317</c:v>
                </c:pt>
                <c:pt idx="104">
                  <c:v>42.22520569920362</c:v>
                </c:pt>
                <c:pt idx="105">
                  <c:v>40.717936914003296</c:v>
                </c:pt>
                <c:pt idx="106">
                  <c:v>52.570200199247338</c:v>
                </c:pt>
                <c:pt idx="107">
                  <c:v>34.912427815191407</c:v>
                </c:pt>
                <c:pt idx="108">
                  <c:v>8.8104200306784133</c:v>
                </c:pt>
                <c:pt idx="109">
                  <c:v>9.1263662203026055</c:v>
                </c:pt>
                <c:pt idx="110">
                  <c:v>8.6848049360060813</c:v>
                </c:pt>
                <c:pt idx="111">
                  <c:v>25.112583742292252</c:v>
                </c:pt>
                <c:pt idx="112">
                  <c:v>8.5561032442740323</c:v>
                </c:pt>
                <c:pt idx="113">
                  <c:v>28.09230470294148</c:v>
                </c:pt>
                <c:pt idx="114">
                  <c:v>42.719825968624981</c:v>
                </c:pt>
                <c:pt idx="115">
                  <c:v>52.522984864047324</c:v>
                </c:pt>
                <c:pt idx="116">
                  <c:v>40.110785223672877</c:v>
                </c:pt>
                <c:pt idx="117">
                  <c:v>22.599228098066529</c:v>
                </c:pt>
                <c:pt idx="118">
                  <c:v>41.007804502938647</c:v>
                </c:pt>
                <c:pt idx="119">
                  <c:v>42.024294081134251</c:v>
                </c:pt>
                <c:pt idx="120">
                  <c:v>47.326017768421742</c:v>
                </c:pt>
                <c:pt idx="121">
                  <c:v>29.323633620142122</c:v>
                </c:pt>
                <c:pt idx="122">
                  <c:v>38.36892294739409</c:v>
                </c:pt>
                <c:pt idx="123">
                  <c:v>20.526315528619023</c:v>
                </c:pt>
                <c:pt idx="124">
                  <c:v>42.986463685732041</c:v>
                </c:pt>
                <c:pt idx="125">
                  <c:v>40.872917526051175</c:v>
                </c:pt>
                <c:pt idx="126">
                  <c:v>50.806777715789487</c:v>
                </c:pt>
                <c:pt idx="127">
                  <c:v>49.996680606848471</c:v>
                </c:pt>
                <c:pt idx="128">
                  <c:v>55.118721942033943</c:v>
                </c:pt>
                <c:pt idx="129">
                  <c:v>53.128666843211107</c:v>
                </c:pt>
                <c:pt idx="130">
                  <c:v>56.939062738500922</c:v>
                </c:pt>
                <c:pt idx="131">
                  <c:v>40.703885302022009</c:v>
                </c:pt>
                <c:pt idx="132">
                  <c:v>41.780357403037861</c:v>
                </c:pt>
                <c:pt idx="133">
                  <c:v>51.820606985885213</c:v>
                </c:pt>
                <c:pt idx="134">
                  <c:v>54.047403010639847</c:v>
                </c:pt>
                <c:pt idx="135">
                  <c:v>51.683212808230948</c:v>
                </c:pt>
                <c:pt idx="136">
                  <c:v>54.85938539411007</c:v>
                </c:pt>
                <c:pt idx="137">
                  <c:v>51.983708511201378</c:v>
                </c:pt>
                <c:pt idx="138">
                  <c:v>55.402967666384477</c:v>
                </c:pt>
                <c:pt idx="139">
                  <c:v>50.402526598261232</c:v>
                </c:pt>
                <c:pt idx="140">
                  <c:v>51.407361255948445</c:v>
                </c:pt>
                <c:pt idx="141">
                  <c:v>40.882809391885658</c:v>
                </c:pt>
                <c:pt idx="142">
                  <c:v>19.161722284919925</c:v>
                </c:pt>
                <c:pt idx="143">
                  <c:v>16.737448890084735</c:v>
                </c:pt>
                <c:pt idx="144">
                  <c:v>42.569422838373029</c:v>
                </c:pt>
                <c:pt idx="145">
                  <c:v>27.772160096822329</c:v>
                </c:pt>
                <c:pt idx="146">
                  <c:v>44.054369798061153</c:v>
                </c:pt>
                <c:pt idx="147">
                  <c:v>54.819587046185632</c:v>
                </c:pt>
                <c:pt idx="148">
                  <c:v>59.304231339797866</c:v>
                </c:pt>
                <c:pt idx="149">
                  <c:v>47.859579778796274</c:v>
                </c:pt>
                <c:pt idx="150">
                  <c:v>53.614920179114428</c:v>
                </c:pt>
                <c:pt idx="151">
                  <c:v>55.597836312057602</c:v>
                </c:pt>
                <c:pt idx="152">
                  <c:v>42.048109415250465</c:v>
                </c:pt>
                <c:pt idx="153">
                  <c:v>55.194046280846408</c:v>
                </c:pt>
                <c:pt idx="154">
                  <c:v>24.973856267039722</c:v>
                </c:pt>
                <c:pt idx="155">
                  <c:v>34.563497625055021</c:v>
                </c:pt>
                <c:pt idx="156">
                  <c:v>49.531030034229587</c:v>
                </c:pt>
                <c:pt idx="157">
                  <c:v>25.479182635177164</c:v>
                </c:pt>
                <c:pt idx="158">
                  <c:v>21.03809583845656</c:v>
                </c:pt>
                <c:pt idx="159">
                  <c:v>49.626495562493176</c:v>
                </c:pt>
                <c:pt idx="160">
                  <c:v>57.313076893214038</c:v>
                </c:pt>
                <c:pt idx="161">
                  <c:v>55.673943578205467</c:v>
                </c:pt>
                <c:pt idx="162">
                  <c:v>43.850688195087329</c:v>
                </c:pt>
                <c:pt idx="163">
                  <c:v>52.760744767473142</c:v>
                </c:pt>
                <c:pt idx="164">
                  <c:v>50.737248467910852</c:v>
                </c:pt>
                <c:pt idx="165">
                  <c:v>53.93941764106507</c:v>
                </c:pt>
                <c:pt idx="166">
                  <c:v>52.017484328456604</c:v>
                </c:pt>
                <c:pt idx="167">
                  <c:v>51.932141887827285</c:v>
                </c:pt>
                <c:pt idx="168">
                  <c:v>55.376946789647938</c:v>
                </c:pt>
                <c:pt idx="169">
                  <c:v>56.455069942667194</c:v>
                </c:pt>
                <c:pt idx="170">
                  <c:v>29.840630089931604</c:v>
                </c:pt>
                <c:pt idx="171">
                  <c:v>22.246103360341035</c:v>
                </c:pt>
                <c:pt idx="172">
                  <c:v>42.060204682807026</c:v>
                </c:pt>
                <c:pt idx="173">
                  <c:v>42.716773179706962</c:v>
                </c:pt>
                <c:pt idx="174">
                  <c:v>39.253709555542919</c:v>
                </c:pt>
                <c:pt idx="175">
                  <c:v>37.1426973035571</c:v>
                </c:pt>
                <c:pt idx="176">
                  <c:v>12.03538404172031</c:v>
                </c:pt>
                <c:pt idx="177">
                  <c:v>14.82051028725652</c:v>
                </c:pt>
                <c:pt idx="178">
                  <c:v>56.875877915107047</c:v>
                </c:pt>
                <c:pt idx="179">
                  <c:v>56.418336620394868</c:v>
                </c:pt>
                <c:pt idx="180">
                  <c:v>13.880452635229926</c:v>
                </c:pt>
                <c:pt idx="181">
                  <c:v>47.151709177875411</c:v>
                </c:pt>
                <c:pt idx="182">
                  <c:v>34.484178041683897</c:v>
                </c:pt>
                <c:pt idx="183">
                  <c:v>49.001464910944442</c:v>
                </c:pt>
                <c:pt idx="184">
                  <c:v>44.372823155692018</c:v>
                </c:pt>
                <c:pt idx="185">
                  <c:v>55.313971923725447</c:v>
                </c:pt>
                <c:pt idx="186">
                  <c:v>45.105692014543237</c:v>
                </c:pt>
                <c:pt idx="187">
                  <c:v>55.003690530067388</c:v>
                </c:pt>
                <c:pt idx="188">
                  <c:v>56.809705698577865</c:v>
                </c:pt>
                <c:pt idx="189">
                  <c:v>56.136298635035374</c:v>
                </c:pt>
                <c:pt idx="190">
                  <c:v>55.439045068257471</c:v>
                </c:pt>
                <c:pt idx="191">
                  <c:v>54.481797650571352</c:v>
                </c:pt>
                <c:pt idx="192">
                  <c:v>54.083908924625639</c:v>
                </c:pt>
                <c:pt idx="193">
                  <c:v>53.578982876436832</c:v>
                </c:pt>
                <c:pt idx="194">
                  <c:v>53.26720398441784</c:v>
                </c:pt>
                <c:pt idx="195">
                  <c:v>51.094264255067159</c:v>
                </c:pt>
                <c:pt idx="196">
                  <c:v>52.495566539753909</c:v>
                </c:pt>
                <c:pt idx="197">
                  <c:v>52.635995149703611</c:v>
                </c:pt>
                <c:pt idx="198">
                  <c:v>54.818043056241557</c:v>
                </c:pt>
                <c:pt idx="199">
                  <c:v>42.972883261237932</c:v>
                </c:pt>
                <c:pt idx="200">
                  <c:v>43.069702597873722</c:v>
                </c:pt>
                <c:pt idx="201">
                  <c:v>52.100487344528567</c:v>
                </c:pt>
                <c:pt idx="202">
                  <c:v>43.790860167297176</c:v>
                </c:pt>
                <c:pt idx="203">
                  <c:v>43.744301325627099</c:v>
                </c:pt>
                <c:pt idx="204">
                  <c:v>52.345943270799559</c:v>
                </c:pt>
                <c:pt idx="205">
                  <c:v>25.70758777327897</c:v>
                </c:pt>
                <c:pt idx="206">
                  <c:v>54.584660787022855</c:v>
                </c:pt>
                <c:pt idx="207">
                  <c:v>55.97000490103445</c:v>
                </c:pt>
                <c:pt idx="208">
                  <c:v>42.384162164962873</c:v>
                </c:pt>
                <c:pt idx="209">
                  <c:v>29.340101669950904</c:v>
                </c:pt>
                <c:pt idx="210">
                  <c:v>47.188530790595017</c:v>
                </c:pt>
                <c:pt idx="211">
                  <c:v>53.654523358799722</c:v>
                </c:pt>
                <c:pt idx="212">
                  <c:v>53.307672211451148</c:v>
                </c:pt>
                <c:pt idx="213">
                  <c:v>53.376397849853767</c:v>
                </c:pt>
                <c:pt idx="214">
                  <c:v>52.747791401905417</c:v>
                </c:pt>
                <c:pt idx="215">
                  <c:v>51.263364523865917</c:v>
                </c:pt>
                <c:pt idx="216">
                  <c:v>42.235061824495737</c:v>
                </c:pt>
                <c:pt idx="217">
                  <c:v>49.723739562362823</c:v>
                </c:pt>
                <c:pt idx="218">
                  <c:v>52.122106689258828</c:v>
                </c:pt>
                <c:pt idx="219">
                  <c:v>52.859431241761982</c:v>
                </c:pt>
                <c:pt idx="220">
                  <c:v>50.761198998181342</c:v>
                </c:pt>
                <c:pt idx="221">
                  <c:v>48.890413310234734</c:v>
                </c:pt>
                <c:pt idx="222">
                  <c:v>47.39411412685638</c:v>
                </c:pt>
                <c:pt idx="223">
                  <c:v>47.650229535492386</c:v>
                </c:pt>
                <c:pt idx="224">
                  <c:v>37.220054416490328</c:v>
                </c:pt>
                <c:pt idx="225">
                  <c:v>33.547257017425359</c:v>
                </c:pt>
                <c:pt idx="226">
                  <c:v>35.866286120413129</c:v>
                </c:pt>
                <c:pt idx="227">
                  <c:v>37.130101399699349</c:v>
                </c:pt>
                <c:pt idx="228">
                  <c:v>28.713500569702415</c:v>
                </c:pt>
                <c:pt idx="229">
                  <c:v>36.448628860513729</c:v>
                </c:pt>
                <c:pt idx="230">
                  <c:v>38.054075378868781</c:v>
                </c:pt>
                <c:pt idx="231">
                  <c:v>49.765433052540359</c:v>
                </c:pt>
                <c:pt idx="232">
                  <c:v>37.169290662003647</c:v>
                </c:pt>
                <c:pt idx="233">
                  <c:v>26.846928796325461</c:v>
                </c:pt>
                <c:pt idx="234">
                  <c:v>48.099202892028146</c:v>
                </c:pt>
                <c:pt idx="235">
                  <c:v>48.635854827383667</c:v>
                </c:pt>
                <c:pt idx="236">
                  <c:v>29.25417093127907</c:v>
                </c:pt>
                <c:pt idx="237">
                  <c:v>39.090727111093216</c:v>
                </c:pt>
                <c:pt idx="238">
                  <c:v>47.329845778066804</c:v>
                </c:pt>
                <c:pt idx="239">
                  <c:v>48.390425898827424</c:v>
                </c:pt>
                <c:pt idx="240">
                  <c:v>33.272684896924368</c:v>
                </c:pt>
                <c:pt idx="241">
                  <c:v>47.746702562717402</c:v>
                </c:pt>
                <c:pt idx="242">
                  <c:v>24.740926739236894</c:v>
                </c:pt>
                <c:pt idx="243">
                  <c:v>38.805820478522989</c:v>
                </c:pt>
                <c:pt idx="244">
                  <c:v>36.968553646850054</c:v>
                </c:pt>
                <c:pt idx="245">
                  <c:v>38.454865484094107</c:v>
                </c:pt>
                <c:pt idx="246">
                  <c:v>47.816703969530138</c:v>
                </c:pt>
                <c:pt idx="247">
                  <c:v>42.245834331241333</c:v>
                </c:pt>
                <c:pt idx="248">
                  <c:v>43.471356400664334</c:v>
                </c:pt>
                <c:pt idx="249">
                  <c:v>36.366893220299986</c:v>
                </c:pt>
                <c:pt idx="250">
                  <c:v>36.171990899483887</c:v>
                </c:pt>
                <c:pt idx="251">
                  <c:v>19.973818739232044</c:v>
                </c:pt>
                <c:pt idx="252">
                  <c:v>46.393177976455185</c:v>
                </c:pt>
                <c:pt idx="253">
                  <c:v>46.793222413510883</c:v>
                </c:pt>
                <c:pt idx="254">
                  <c:v>36.68508326685928</c:v>
                </c:pt>
                <c:pt idx="255">
                  <c:v>14.583688339019112</c:v>
                </c:pt>
                <c:pt idx="256">
                  <c:v>36.728418464945648</c:v>
                </c:pt>
                <c:pt idx="257">
                  <c:v>40.381223937478822</c:v>
                </c:pt>
                <c:pt idx="258">
                  <c:v>29.208344289686213</c:v>
                </c:pt>
                <c:pt idx="259">
                  <c:v>47.128184549366225</c:v>
                </c:pt>
                <c:pt idx="260">
                  <c:v>45.553014031326725</c:v>
                </c:pt>
                <c:pt idx="261">
                  <c:v>46.100842109662096</c:v>
                </c:pt>
                <c:pt idx="262">
                  <c:v>47.557467071047412</c:v>
                </c:pt>
                <c:pt idx="263">
                  <c:v>46.344830000988097</c:v>
                </c:pt>
                <c:pt idx="264">
                  <c:v>45.077923591239887</c:v>
                </c:pt>
                <c:pt idx="265">
                  <c:v>31.905965510521622</c:v>
                </c:pt>
                <c:pt idx="266">
                  <c:v>18.136997505176673</c:v>
                </c:pt>
                <c:pt idx="267">
                  <c:v>35.451879515319391</c:v>
                </c:pt>
                <c:pt idx="268">
                  <c:v>35.316315139907147</c:v>
                </c:pt>
                <c:pt idx="269">
                  <c:v>16.852900736083434</c:v>
                </c:pt>
                <c:pt idx="270">
                  <c:v>19.226346091713395</c:v>
                </c:pt>
                <c:pt idx="271">
                  <c:v>23.122183445855676</c:v>
                </c:pt>
                <c:pt idx="272">
                  <c:v>25.550583241701521</c:v>
                </c:pt>
                <c:pt idx="273">
                  <c:v>36.910441570659025</c:v>
                </c:pt>
                <c:pt idx="274">
                  <c:v>39.96267291080116</c:v>
                </c:pt>
                <c:pt idx="275">
                  <c:v>36.217054002990288</c:v>
                </c:pt>
                <c:pt idx="276">
                  <c:v>42.536792205168354</c:v>
                </c:pt>
                <c:pt idx="277">
                  <c:v>44.28175508028967</c:v>
                </c:pt>
                <c:pt idx="278">
                  <c:v>11.861233557375533</c:v>
                </c:pt>
                <c:pt idx="279">
                  <c:v>32.379124284221042</c:v>
                </c:pt>
                <c:pt idx="280">
                  <c:v>15.172583378502948</c:v>
                </c:pt>
                <c:pt idx="281">
                  <c:v>40.421211385997125</c:v>
                </c:pt>
                <c:pt idx="282">
                  <c:v>34.280435119199005</c:v>
                </c:pt>
                <c:pt idx="283">
                  <c:v>23.420638267264245</c:v>
                </c:pt>
                <c:pt idx="284">
                  <c:v>27.616010202074811</c:v>
                </c:pt>
                <c:pt idx="285">
                  <c:v>24.295057027515149</c:v>
                </c:pt>
                <c:pt idx="286">
                  <c:v>17.416960085158163</c:v>
                </c:pt>
                <c:pt idx="287">
                  <c:v>39.747117461164869</c:v>
                </c:pt>
                <c:pt idx="288">
                  <c:v>34.201123686482831</c:v>
                </c:pt>
                <c:pt idx="289">
                  <c:v>19.118243570357915</c:v>
                </c:pt>
                <c:pt idx="290">
                  <c:v>36.858566715197796</c:v>
                </c:pt>
                <c:pt idx="291">
                  <c:v>17.312552970625699</c:v>
                </c:pt>
                <c:pt idx="292">
                  <c:v>6.9438848635514114</c:v>
                </c:pt>
                <c:pt idx="293">
                  <c:v>17.932793234562595</c:v>
                </c:pt>
                <c:pt idx="294">
                  <c:v>34.949981109921417</c:v>
                </c:pt>
                <c:pt idx="295">
                  <c:v>16.990540154663641</c:v>
                </c:pt>
                <c:pt idx="296">
                  <c:v>28.854745433208667</c:v>
                </c:pt>
                <c:pt idx="297">
                  <c:v>23.484812553483689</c:v>
                </c:pt>
                <c:pt idx="298">
                  <c:v>12.966218055611668</c:v>
                </c:pt>
                <c:pt idx="299">
                  <c:v>16.726746319614048</c:v>
                </c:pt>
                <c:pt idx="300">
                  <c:v>17.43597177093223</c:v>
                </c:pt>
                <c:pt idx="301">
                  <c:v>28.576557796583167</c:v>
                </c:pt>
                <c:pt idx="302">
                  <c:v>26.227826310285643</c:v>
                </c:pt>
                <c:pt idx="303">
                  <c:v>24.68789907204188</c:v>
                </c:pt>
                <c:pt idx="304">
                  <c:v>19.538169359949737</c:v>
                </c:pt>
                <c:pt idx="305">
                  <c:v>30.164190364641893</c:v>
                </c:pt>
                <c:pt idx="306">
                  <c:v>9.5376248184832519</c:v>
                </c:pt>
                <c:pt idx="307">
                  <c:v>17.105199058198629</c:v>
                </c:pt>
                <c:pt idx="308">
                  <c:v>31.990502943020399</c:v>
                </c:pt>
                <c:pt idx="309">
                  <c:v>33.320175547075401</c:v>
                </c:pt>
                <c:pt idx="310">
                  <c:v>31.8880272124592</c:v>
                </c:pt>
                <c:pt idx="311">
                  <c:v>23.626916855901854</c:v>
                </c:pt>
                <c:pt idx="312">
                  <c:v>10.546642297103226</c:v>
                </c:pt>
                <c:pt idx="313">
                  <c:v>19.783445276598844</c:v>
                </c:pt>
                <c:pt idx="314">
                  <c:v>31.211936973524232</c:v>
                </c:pt>
                <c:pt idx="315">
                  <c:v>30.48186946134955</c:v>
                </c:pt>
                <c:pt idx="316">
                  <c:v>29.516650808935903</c:v>
                </c:pt>
                <c:pt idx="317">
                  <c:v>11.179693998204943</c:v>
                </c:pt>
                <c:pt idx="318">
                  <c:v>12.826743128707303</c:v>
                </c:pt>
                <c:pt idx="319">
                  <c:v>30.064359675484194</c:v>
                </c:pt>
                <c:pt idx="320">
                  <c:v>13.514679160687523</c:v>
                </c:pt>
                <c:pt idx="321">
                  <c:v>17.23059062992801</c:v>
                </c:pt>
                <c:pt idx="322">
                  <c:v>6.799007908508651</c:v>
                </c:pt>
                <c:pt idx="323">
                  <c:v>17.491865701298082</c:v>
                </c:pt>
                <c:pt idx="324">
                  <c:v>3.1256753795738135</c:v>
                </c:pt>
                <c:pt idx="325">
                  <c:v>8.0087668177869134</c:v>
                </c:pt>
                <c:pt idx="326">
                  <c:v>13.201129056233908</c:v>
                </c:pt>
                <c:pt idx="327">
                  <c:v>14.154874567920537</c:v>
                </c:pt>
                <c:pt idx="328">
                  <c:v>4.5116340421756176</c:v>
                </c:pt>
                <c:pt idx="329">
                  <c:v>10.503512204116873</c:v>
                </c:pt>
                <c:pt idx="330">
                  <c:v>16.335286666326656</c:v>
                </c:pt>
                <c:pt idx="331">
                  <c:v>10.140507254507932</c:v>
                </c:pt>
                <c:pt idx="332">
                  <c:v>15.085823500399622</c:v>
                </c:pt>
                <c:pt idx="333">
                  <c:v>3.8649256663443272</c:v>
                </c:pt>
                <c:pt idx="334">
                  <c:v>3.677330578222552</c:v>
                </c:pt>
                <c:pt idx="335">
                  <c:v>5.5116177013730843</c:v>
                </c:pt>
                <c:pt idx="336">
                  <c:v>10.676546226781552</c:v>
                </c:pt>
                <c:pt idx="337">
                  <c:v>17.296709437703555</c:v>
                </c:pt>
                <c:pt idx="338">
                  <c:v>26.779821671326047</c:v>
                </c:pt>
                <c:pt idx="339">
                  <c:v>12.042775057983073</c:v>
                </c:pt>
                <c:pt idx="340">
                  <c:v>22.120470738102235</c:v>
                </c:pt>
                <c:pt idx="341">
                  <c:v>4.0651663068795241</c:v>
                </c:pt>
                <c:pt idx="342">
                  <c:v>4.9121629317555486</c:v>
                </c:pt>
                <c:pt idx="343">
                  <c:v>11.355481678695535</c:v>
                </c:pt>
                <c:pt idx="344">
                  <c:v>17.866057587239737</c:v>
                </c:pt>
                <c:pt idx="345">
                  <c:v>6.8875678395518714</c:v>
                </c:pt>
                <c:pt idx="346">
                  <c:v>5.3456523790327681</c:v>
                </c:pt>
                <c:pt idx="347">
                  <c:v>17.364119760279149</c:v>
                </c:pt>
                <c:pt idx="348">
                  <c:v>5.8154862882700344</c:v>
                </c:pt>
                <c:pt idx="349">
                  <c:v>5.1920229302422181</c:v>
                </c:pt>
                <c:pt idx="350">
                  <c:v>3.4257294836207781</c:v>
                </c:pt>
                <c:pt idx="351">
                  <c:v>24.252549680842847</c:v>
                </c:pt>
                <c:pt idx="352">
                  <c:v>19.5331966792717</c:v>
                </c:pt>
                <c:pt idx="353">
                  <c:v>4.3065462321122121</c:v>
                </c:pt>
                <c:pt idx="354">
                  <c:v>22.201018850643351</c:v>
                </c:pt>
                <c:pt idx="355">
                  <c:v>19.87216746811179</c:v>
                </c:pt>
                <c:pt idx="356">
                  <c:v>20.216966019872292</c:v>
                </c:pt>
                <c:pt idx="357">
                  <c:v>22.229549945287822</c:v>
                </c:pt>
                <c:pt idx="358">
                  <c:v>13.120425665037649</c:v>
                </c:pt>
                <c:pt idx="359">
                  <c:v>21.9685241560944</c:v>
                </c:pt>
                <c:pt idx="360">
                  <c:v>7.1786553677136267</c:v>
                </c:pt>
                <c:pt idx="361">
                  <c:v>24.259808199331744</c:v>
                </c:pt>
                <c:pt idx="362">
                  <c:v>10.763520690682046</c:v>
                </c:pt>
                <c:pt idx="363">
                  <c:v>13.963130230456199</c:v>
                </c:pt>
                <c:pt idx="364">
                  <c:v>13.077123605022638</c:v>
                </c:pt>
                <c:pt idx="365">
                  <c:v>16.924513056462878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935232"/>
        <c:axId val="226682224"/>
      </c:lineChart>
      <c:dateAx>
        <c:axId val="230935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6682224"/>
        <c:crosses val="autoZero"/>
        <c:auto val="1"/>
        <c:lblOffset val="100"/>
        <c:baseTimeUnit val="days"/>
        <c:majorUnit val="1"/>
        <c:majorTimeUnit val="months"/>
      </c:dateAx>
      <c:valAx>
        <c:axId val="22668222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093523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'2028'!$L$15:$L$380</c:f>
              <c:numCache>
                <c:formatCode>0.00%</c:formatCode>
                <c:ptCount val="366"/>
                <c:pt idx="0">
                  <c:v>6.0512025492228561E-2</c:v>
                </c:pt>
                <c:pt idx="1">
                  <c:v>6.0530030564928339E-2</c:v>
                </c:pt>
                <c:pt idx="2">
                  <c:v>6.0548035292565028E-2</c:v>
                </c:pt>
                <c:pt idx="3">
                  <c:v>6.0566039675145178E-2</c:v>
                </c:pt>
                <c:pt idx="4">
                  <c:v>6.0584043712675451E-2</c:v>
                </c:pt>
                <c:pt idx="5">
                  <c:v>6.0602047405162507E-2</c:v>
                </c:pt>
                <c:pt idx="6">
                  <c:v>6.0620050752612897E-2</c:v>
                </c:pt>
                <c:pt idx="7">
                  <c:v>6.0638053755033172E-2</c:v>
                </c:pt>
                <c:pt idx="8">
                  <c:v>6.0656056412430104E-2</c:v>
                </c:pt>
                <c:pt idx="9">
                  <c:v>6.0674058724810132E-2</c:v>
                </c:pt>
                <c:pt idx="10">
                  <c:v>6.0692060692180028E-2</c:v>
                </c:pt>
                <c:pt idx="11">
                  <c:v>6.0710062314546231E-2</c:v>
                </c:pt>
                <c:pt idx="12">
                  <c:v>6.0728063591915515E-2</c:v>
                </c:pt>
                <c:pt idx="13">
                  <c:v>6.074606452429443E-2</c:v>
                </c:pt>
                <c:pt idx="14">
                  <c:v>6.0764065111689525E-2</c:v>
                </c:pt>
                <c:pt idx="15">
                  <c:v>6.0782065354107573E-2</c:v>
                </c:pt>
                <c:pt idx="16">
                  <c:v>6.0800065251555013E-2</c:v>
                </c:pt>
                <c:pt idx="17">
                  <c:v>6.0818064804038507E-2</c:v>
                </c:pt>
                <c:pt idx="18">
                  <c:v>6.0836064011564717E-2</c:v>
                </c:pt>
                <c:pt idx="19">
                  <c:v>6.0854062874140191E-2</c:v>
                </c:pt>
                <c:pt idx="20">
                  <c:v>6.0872061391771592E-2</c:v>
                </c:pt>
                <c:pt idx="21">
                  <c:v>6.0890059564465471E-2</c:v>
                </c:pt>
                <c:pt idx="22">
                  <c:v>6.0908057392228598E-2</c:v>
                </c:pt>
                <c:pt idx="23">
                  <c:v>6.0926054875067304E-2</c:v>
                </c:pt>
                <c:pt idx="24">
                  <c:v>6.094405201298847E-2</c:v>
                </c:pt>
                <c:pt idx="25">
                  <c:v>6.0962048805998537E-2</c:v>
                </c:pt>
                <c:pt idx="26">
                  <c:v>6.0980045254104165E-2</c:v>
                </c:pt>
                <c:pt idx="27">
                  <c:v>6.0998041357312016E-2</c:v>
                </c:pt>
                <c:pt idx="28">
                  <c:v>6.1016037115628641E-2</c:v>
                </c:pt>
                <c:pt idx="29">
                  <c:v>6.10340325290607E-2</c:v>
                </c:pt>
                <c:pt idx="30">
                  <c:v>6.1052027597614633E-2</c:v>
                </c:pt>
                <c:pt idx="31">
                  <c:v>6.1070022321297324E-2</c:v>
                </c:pt>
                <c:pt idx="32">
                  <c:v>6.1088016700115211E-2</c:v>
                </c:pt>
                <c:pt idx="33">
                  <c:v>6.1106010734074845E-2</c:v>
                </c:pt>
                <c:pt idx="34">
                  <c:v>6.1124004423182998E-2</c:v>
                </c:pt>
                <c:pt idx="35">
                  <c:v>6.1141997767446221E-2</c:v>
                </c:pt>
                <c:pt idx="36">
                  <c:v>6.1159990766871064E-2</c:v>
                </c:pt>
                <c:pt idx="37">
                  <c:v>6.1177983421464188E-2</c:v>
                </c:pt>
                <c:pt idx="38">
                  <c:v>6.1195975731232144E-2</c:v>
                </c:pt>
                <c:pt idx="39">
                  <c:v>6.1213967696181704E-2</c:v>
                </c:pt>
                <c:pt idx="40">
                  <c:v>6.1231959316319307E-2</c:v>
                </c:pt>
                <c:pt idx="41">
                  <c:v>6.1249950591651614E-2</c:v>
                </c:pt>
                <c:pt idx="42">
                  <c:v>6.1267941522185176E-2</c:v>
                </c:pt>
                <c:pt idx="43">
                  <c:v>6.1285932107926655E-2</c:v>
                </c:pt>
                <c:pt idx="44">
                  <c:v>6.1303922348882822E-2</c:v>
                </c:pt>
                <c:pt idx="45">
                  <c:v>6.1321912245060006E-2</c:v>
                </c:pt>
                <c:pt idx="46">
                  <c:v>6.1339901796464869E-2</c:v>
                </c:pt>
                <c:pt idx="47">
                  <c:v>6.1357891003104181E-2</c:v>
                </c:pt>
                <c:pt idx="48">
                  <c:v>6.1375879864984384E-2</c:v>
                </c:pt>
                <c:pt idx="49">
                  <c:v>6.1393868382112249E-2</c:v>
                </c:pt>
                <c:pt idx="50">
                  <c:v>6.1411856554494215E-2</c:v>
                </c:pt>
                <c:pt idx="51">
                  <c:v>6.1429844382136944E-2</c:v>
                </c:pt>
                <c:pt idx="52">
                  <c:v>6.1447831865047098E-2</c:v>
                </c:pt>
                <c:pt idx="53">
                  <c:v>6.1465819003231337E-2</c:v>
                </c:pt>
                <c:pt idx="54">
                  <c:v>6.14838057966961E-2</c:v>
                </c:pt>
                <c:pt idx="55">
                  <c:v>6.150179224544805E-2</c:v>
                </c:pt>
                <c:pt idx="56">
                  <c:v>6.1519778349493737E-2</c:v>
                </c:pt>
                <c:pt idx="57">
                  <c:v>6.1537764108839932E-2</c:v>
                </c:pt>
                <c:pt idx="58">
                  <c:v>6.1555749523493186E-2</c:v>
                </c:pt>
                <c:pt idx="59">
                  <c:v>6.157373459346005E-2</c:v>
                </c:pt>
                <c:pt idx="60">
                  <c:v>6.1591719318747074E-2</c:v>
                </c:pt>
                <c:pt idx="61">
                  <c:v>6.1609703699361029E-2</c:v>
                </c:pt>
                <c:pt idx="62">
                  <c:v>6.1627687735308356E-2</c:v>
                </c:pt>
                <c:pt idx="63">
                  <c:v>6.1645671426595827E-2</c:v>
                </c:pt>
                <c:pt idx="64">
                  <c:v>6.1663654773229881E-2</c:v>
                </c:pt>
                <c:pt idx="65">
                  <c:v>6.1681637775217291E-2</c:v>
                </c:pt>
                <c:pt idx="66">
                  <c:v>6.1699620432564495E-2</c:v>
                </c:pt>
                <c:pt idx="67">
                  <c:v>6.1717602745278155E-2</c:v>
                </c:pt>
                <c:pt idx="68">
                  <c:v>6.1735584713364933E-2</c:v>
                </c:pt>
                <c:pt idx="69">
                  <c:v>6.1753566336831378E-2</c:v>
                </c:pt>
                <c:pt idx="70">
                  <c:v>6.1771547615684153E-2</c:v>
                </c:pt>
                <c:pt idx="71">
                  <c:v>6.1789528549929806E-2</c:v>
                </c:pt>
                <c:pt idx="72">
                  <c:v>6.180750913957489E-2</c:v>
                </c:pt>
                <c:pt idx="73">
                  <c:v>6.1825489384626175E-2</c:v>
                </c:pt>
                <c:pt idx="74">
                  <c:v>6.1843469285090102E-2</c:v>
                </c:pt>
                <c:pt idx="75">
                  <c:v>6.1861448840973332E-2</c:v>
                </c:pt>
                <c:pt idx="76">
                  <c:v>6.1879428052282526E-2</c:v>
                </c:pt>
                <c:pt idx="77">
                  <c:v>6.1897406919024234E-2</c:v>
                </c:pt>
                <c:pt idx="78">
                  <c:v>6.1915385441205006E-2</c:v>
                </c:pt>
                <c:pt idx="79">
                  <c:v>6.1933363618831505E-2</c:v>
                </c:pt>
                <c:pt idx="80">
                  <c:v>6.1951341451910391E-2</c:v>
                </c:pt>
                <c:pt idx="81">
                  <c:v>6.1969318940448104E-2</c:v>
                </c:pt>
                <c:pt idx="82">
                  <c:v>6.1987296084451526E-2</c:v>
                </c:pt>
                <c:pt idx="83">
                  <c:v>6.2005272883926987E-2</c:v>
                </c:pt>
                <c:pt idx="84">
                  <c:v>6.2023249338881148E-2</c:v>
                </c:pt>
                <c:pt idx="85">
                  <c:v>6.2041225449320669E-2</c:v>
                </c:pt>
                <c:pt idx="86">
                  <c:v>6.2059201215252102E-2</c:v>
                </c:pt>
                <c:pt idx="87">
                  <c:v>6.2077176636682219E-2</c:v>
                </c:pt>
                <c:pt idx="88">
                  <c:v>6.2095151713617347E-2</c:v>
                </c:pt>
                <c:pt idx="89">
                  <c:v>6.211312644606426E-2</c:v>
                </c:pt>
                <c:pt idx="90">
                  <c:v>6.2131100834029507E-2</c:v>
                </c:pt>
                <c:pt idx="91">
                  <c:v>6.214907487751975E-2</c:v>
                </c:pt>
                <c:pt idx="92">
                  <c:v>6.2167048576541539E-2</c:v>
                </c:pt>
                <c:pt idx="93">
                  <c:v>6.2185021931101536E-2</c:v>
                </c:pt>
                <c:pt idx="94">
                  <c:v>6.2202994941206291E-2</c:v>
                </c:pt>
                <c:pt idx="95">
                  <c:v>6.2220967606862354E-2</c:v>
                </c:pt>
                <c:pt idx="96">
                  <c:v>6.2238939928076387E-2</c:v>
                </c:pt>
                <c:pt idx="97">
                  <c:v>6.2256911904854939E-2</c:v>
                </c:pt>
                <c:pt idx="98">
                  <c:v>6.2274883537204673E-2</c:v>
                </c:pt>
                <c:pt idx="99">
                  <c:v>6.2292854825132249E-2</c:v>
                </c:pt>
                <c:pt idx="100">
                  <c:v>6.2310825768644107E-2</c:v>
                </c:pt>
                <c:pt idx="101">
                  <c:v>6.2328796367747019E-2</c:v>
                </c:pt>
                <c:pt idx="102">
                  <c:v>6.2346766622447425E-2</c:v>
                </c:pt>
                <c:pt idx="103">
                  <c:v>6.2364736532752096E-2</c:v>
                </c:pt>
                <c:pt idx="104">
                  <c:v>6.2382706098667473E-2</c:v>
                </c:pt>
                <c:pt idx="105">
                  <c:v>6.2400675320200216E-2</c:v>
                </c:pt>
                <c:pt idx="106">
                  <c:v>6.2418644197356876E-2</c:v>
                </c:pt>
                <c:pt idx="107">
                  <c:v>6.2436612730144114E-2</c:v>
                </c:pt>
                <c:pt idx="108">
                  <c:v>6.2454580918568592E-2</c:v>
                </c:pt>
                <c:pt idx="109">
                  <c:v>6.2472548762636748E-2</c:v>
                </c:pt>
                <c:pt idx="110">
                  <c:v>6.2490516262355356E-2</c:v>
                </c:pt>
                <c:pt idx="111">
                  <c:v>6.2508483417730965E-2</c:v>
                </c:pt>
                <c:pt idx="112">
                  <c:v>6.2526450228770014E-2</c:v>
                </c:pt>
                <c:pt idx="113">
                  <c:v>6.2544416695479277E-2</c:v>
                </c:pt>
                <c:pt idx="114">
                  <c:v>6.2562382817865414E-2</c:v>
                </c:pt>
                <c:pt idx="115">
                  <c:v>6.2580348595934754E-2</c:v>
                </c:pt>
                <c:pt idx="116">
                  <c:v>6.259831402969418E-2</c:v>
                </c:pt>
                <c:pt idx="117">
                  <c:v>6.261627911915002E-2</c:v>
                </c:pt>
                <c:pt idx="118">
                  <c:v>6.2634243864309158E-2</c:v>
                </c:pt>
                <c:pt idx="119">
                  <c:v>6.2652208265178033E-2</c:v>
                </c:pt>
                <c:pt idx="120">
                  <c:v>6.2670172321763196E-2</c:v>
                </c:pt>
                <c:pt idx="121">
                  <c:v>6.2688136034071418E-2</c:v>
                </c:pt>
                <c:pt idx="122">
                  <c:v>6.2706099402109028E-2</c:v>
                </c:pt>
                <c:pt idx="123">
                  <c:v>6.2724062425882909E-2</c:v>
                </c:pt>
                <c:pt idx="124">
                  <c:v>6.2742025105399502E-2</c:v>
                </c:pt>
                <c:pt idx="125">
                  <c:v>6.2759987440665466E-2</c:v>
                </c:pt>
                <c:pt idx="126">
                  <c:v>6.2777949431687352E-2</c:v>
                </c:pt>
                <c:pt idx="127">
                  <c:v>6.2795911078471822E-2</c:v>
                </c:pt>
                <c:pt idx="128">
                  <c:v>6.2813872381025426E-2</c:v>
                </c:pt>
                <c:pt idx="129">
                  <c:v>6.2831833339354715E-2</c:v>
                </c:pt>
                <c:pt idx="130">
                  <c:v>6.2849793953466349E-2</c:v>
                </c:pt>
                <c:pt idx="131">
                  <c:v>6.2867754223366878E-2</c:v>
                </c:pt>
                <c:pt idx="132">
                  <c:v>6.2885714149062966E-2</c:v>
                </c:pt>
                <c:pt idx="133">
                  <c:v>6.290367373056116E-2</c:v>
                </c:pt>
                <c:pt idx="134">
                  <c:v>6.2921632967868124E-2</c:v>
                </c:pt>
                <c:pt idx="135">
                  <c:v>6.2939591860990296E-2</c:v>
                </c:pt>
                <c:pt idx="136">
                  <c:v>6.2957550409934449E-2</c:v>
                </c:pt>
                <c:pt idx="137">
                  <c:v>6.2975508614707132E-2</c:v>
                </c:pt>
                <c:pt idx="138">
                  <c:v>6.2993466475314897E-2</c:v>
                </c:pt>
                <c:pt idx="139">
                  <c:v>6.3011423991764404E-2</c:v>
                </c:pt>
                <c:pt idx="140">
                  <c:v>6.3029381164062093E-2</c:v>
                </c:pt>
                <c:pt idx="141">
                  <c:v>6.3047337992214736E-2</c:v>
                </c:pt>
                <c:pt idx="142">
                  <c:v>6.3065294476228884E-2</c:v>
                </c:pt>
                <c:pt idx="143">
                  <c:v>6.3083250616111086E-2</c:v>
                </c:pt>
                <c:pt idx="144">
                  <c:v>6.3101206411868005E-2</c:v>
                </c:pt>
                <c:pt idx="145">
                  <c:v>6.3119161863506079E-2</c:v>
                </c:pt>
                <c:pt idx="146">
                  <c:v>6.3137116971032192E-2</c:v>
                </c:pt>
                <c:pt idx="147">
                  <c:v>6.3155071734452672E-2</c:v>
                </c:pt>
                <c:pt idx="148">
                  <c:v>6.3173026153774181E-2</c:v>
                </c:pt>
                <c:pt idx="149">
                  <c:v>6.319098022900338E-2</c:v>
                </c:pt>
                <c:pt idx="150">
                  <c:v>6.3208933960146818E-2</c:v>
                </c:pt>
                <c:pt idx="151">
                  <c:v>6.3226887347211047E-2</c:v>
                </c:pt>
                <c:pt idx="152">
                  <c:v>6.3244840390202728E-2</c:v>
                </c:pt>
                <c:pt idx="153">
                  <c:v>6.3262793089128411E-2</c:v>
                </c:pt>
                <c:pt idx="154">
                  <c:v>6.3280745443994757E-2</c:v>
                </c:pt>
                <c:pt idx="155">
                  <c:v>6.3298697454808317E-2</c:v>
                </c:pt>
                <c:pt idx="156">
                  <c:v>6.3316649121575752E-2</c:v>
                </c:pt>
                <c:pt idx="157">
                  <c:v>6.3334600444303502E-2</c:v>
                </c:pt>
                <c:pt idx="158">
                  <c:v>6.3352551422998338E-2</c:v>
                </c:pt>
                <c:pt idx="159">
                  <c:v>6.3370502057666589E-2</c:v>
                </c:pt>
                <c:pt idx="160">
                  <c:v>6.3388452348315139E-2</c:v>
                </c:pt>
                <c:pt idx="161">
                  <c:v>6.3406402294950537E-2</c:v>
                </c:pt>
                <c:pt idx="162">
                  <c:v>6.3424351897579223E-2</c:v>
                </c:pt>
                <c:pt idx="163">
                  <c:v>6.3442301156207859E-2</c:v>
                </c:pt>
                <c:pt idx="164">
                  <c:v>6.3460250070842994E-2</c:v>
                </c:pt>
                <c:pt idx="165">
                  <c:v>6.347819864149129E-2</c:v>
                </c:pt>
                <c:pt idx="166">
                  <c:v>6.3496146868159409E-2</c:v>
                </c:pt>
                <c:pt idx="167">
                  <c:v>6.3514094750853789E-2</c:v>
                </c:pt>
                <c:pt idx="168">
                  <c:v>6.3532042289581203E-2</c:v>
                </c:pt>
                <c:pt idx="169">
                  <c:v>6.354998948434798E-2</c:v>
                </c:pt>
                <c:pt idx="170">
                  <c:v>6.3567936335161002E-2</c:v>
                </c:pt>
                <c:pt idx="171">
                  <c:v>6.3585882842026598E-2</c:v>
                </c:pt>
                <c:pt idx="172">
                  <c:v>6.360382900495154E-2</c:v>
                </c:pt>
                <c:pt idx="173">
                  <c:v>6.3621774823942379E-2</c:v>
                </c:pt>
                <c:pt idx="174">
                  <c:v>6.3639720299005664E-2</c:v>
                </c:pt>
                <c:pt idx="175">
                  <c:v>6.3657665430148058E-2</c:v>
                </c:pt>
                <c:pt idx="176">
                  <c:v>6.3675610217376E-2</c:v>
                </c:pt>
                <c:pt idx="177">
                  <c:v>6.3693554660696372E-2</c:v>
                </c:pt>
                <c:pt idx="178">
                  <c:v>6.3711498760115393E-2</c:v>
                </c:pt>
                <c:pt idx="179">
                  <c:v>6.3729442515639945E-2</c:v>
                </c:pt>
                <c:pt idx="180">
                  <c:v>6.3747385927276468E-2</c:v>
                </c:pt>
                <c:pt idx="181">
                  <c:v>6.3765328995031623E-2</c:v>
                </c:pt>
                <c:pt idx="182">
                  <c:v>6.378327171891196E-2</c:v>
                </c:pt>
                <c:pt idx="183">
                  <c:v>6.3801214098924142E-2</c:v>
                </c:pt>
                <c:pt idx="184">
                  <c:v>6.3819156135074717E-2</c:v>
                </c:pt>
                <c:pt idx="185">
                  <c:v>6.3837097827370126E-2</c:v>
                </c:pt>
                <c:pt idx="186">
                  <c:v>6.3855039175817252E-2</c:v>
                </c:pt>
                <c:pt idx="187">
                  <c:v>6.3872980180422423E-2</c:v>
                </c:pt>
                <c:pt idx="188">
                  <c:v>6.3890920841192411E-2</c:v>
                </c:pt>
                <c:pt idx="189">
                  <c:v>6.3908861158133656E-2</c:v>
                </c:pt>
                <c:pt idx="190">
                  <c:v>6.3926801131252931E-2</c:v>
                </c:pt>
                <c:pt idx="191">
                  <c:v>6.3944740760556562E-2</c:v>
                </c:pt>
                <c:pt idx="192">
                  <c:v>6.3962680046051434E-2</c:v>
                </c:pt>
                <c:pt idx="193">
                  <c:v>6.3980618987743876E-2</c:v>
                </c:pt>
                <c:pt idx="194">
                  <c:v>6.3998557585640659E-2</c:v>
                </c:pt>
                <c:pt idx="195">
                  <c:v>6.4016495839748222E-2</c:v>
                </c:pt>
                <c:pt idx="196">
                  <c:v>6.4034433750073338E-2</c:v>
                </c:pt>
                <c:pt idx="197">
                  <c:v>6.4052371316622447E-2</c:v>
                </c:pt>
                <c:pt idx="198">
                  <c:v>6.407030853940221E-2</c:v>
                </c:pt>
                <c:pt idx="199">
                  <c:v>6.4088245418419176E-2</c:v>
                </c:pt>
                <c:pt idx="200">
                  <c:v>6.4106181953679897E-2</c:v>
                </c:pt>
                <c:pt idx="201">
                  <c:v>6.4124118145191145E-2</c:v>
                </c:pt>
                <c:pt idx="202">
                  <c:v>6.4142053992959247E-2</c:v>
                </c:pt>
                <c:pt idx="203">
                  <c:v>6.4159989496990977E-2</c:v>
                </c:pt>
                <c:pt idx="204">
                  <c:v>6.4177924657292884E-2</c:v>
                </c:pt>
                <c:pt idx="205">
                  <c:v>6.4195859473871408E-2</c:v>
                </c:pt>
                <c:pt idx="206">
                  <c:v>6.4213793946733433E-2</c:v>
                </c:pt>
                <c:pt idx="207">
                  <c:v>6.4231728075885286E-2</c:v>
                </c:pt>
                <c:pt idx="208">
                  <c:v>6.4249661861333629E-2</c:v>
                </c:pt>
                <c:pt idx="209">
                  <c:v>6.4267595303085123E-2</c:v>
                </c:pt>
                <c:pt idx="210">
                  <c:v>6.4285528401146319E-2</c:v>
                </c:pt>
                <c:pt idx="211">
                  <c:v>6.4303461155523656E-2</c:v>
                </c:pt>
                <c:pt idx="212">
                  <c:v>6.4321393566224017E-2</c:v>
                </c:pt>
                <c:pt idx="213">
                  <c:v>6.4339325633253619E-2</c:v>
                </c:pt>
                <c:pt idx="214">
                  <c:v>6.4357257356619457E-2</c:v>
                </c:pt>
                <c:pt idx="215">
                  <c:v>6.4375188736327749E-2</c:v>
                </c:pt>
                <c:pt idx="216">
                  <c:v>6.4393119772385266E-2</c:v>
                </c:pt>
                <c:pt idx="217">
                  <c:v>6.4411050464798669E-2</c:v>
                </c:pt>
                <c:pt idx="218">
                  <c:v>6.4428980813574399E-2</c:v>
                </c:pt>
                <c:pt idx="219">
                  <c:v>6.4446910818719005E-2</c:v>
                </c:pt>
                <c:pt idx="220">
                  <c:v>6.4464840480239149E-2</c:v>
                </c:pt>
                <c:pt idx="221">
                  <c:v>6.4482769798141493E-2</c:v>
                </c:pt>
                <c:pt idx="222">
                  <c:v>6.4500698772432585E-2</c:v>
                </c:pt>
                <c:pt idx="223">
                  <c:v>6.4518627403118867E-2</c:v>
                </c:pt>
                <c:pt idx="224">
                  <c:v>6.4536555690207109E-2</c:v>
                </c:pt>
                <c:pt idx="225">
                  <c:v>6.4554483633703863E-2</c:v>
                </c:pt>
                <c:pt idx="226">
                  <c:v>6.4572411233615568E-2</c:v>
                </c:pt>
                <c:pt idx="227">
                  <c:v>6.4590338489948995E-2</c:v>
                </c:pt>
                <c:pt idx="228">
                  <c:v>6.4608265402710585E-2</c:v>
                </c:pt>
                <c:pt idx="229">
                  <c:v>6.4626191971906999E-2</c:v>
                </c:pt>
                <c:pt idx="230">
                  <c:v>6.4644118197544786E-2</c:v>
                </c:pt>
                <c:pt idx="231">
                  <c:v>6.4662044079630498E-2</c:v>
                </c:pt>
                <c:pt idx="232">
                  <c:v>6.4679969618170907E-2</c:v>
                </c:pt>
                <c:pt idx="233">
                  <c:v>6.4697894813172341E-2</c:v>
                </c:pt>
                <c:pt idx="234">
                  <c:v>6.4715819664641572E-2</c:v>
                </c:pt>
                <c:pt idx="235">
                  <c:v>6.4733744172585039E-2</c:v>
                </c:pt>
                <c:pt idx="236">
                  <c:v>6.4751668337009516E-2</c:v>
                </c:pt>
                <c:pt idx="237">
                  <c:v>6.476959215792133E-2</c:v>
                </c:pt>
                <c:pt idx="238">
                  <c:v>6.4787515635327364E-2</c:v>
                </c:pt>
                <c:pt idx="239">
                  <c:v>6.4805438769233947E-2</c:v>
                </c:pt>
                <c:pt idx="240">
                  <c:v>6.4823361559647741E-2</c:v>
                </c:pt>
                <c:pt idx="241">
                  <c:v>6.4841284006575406E-2</c:v>
                </c:pt>
                <c:pt idx="242">
                  <c:v>6.4859206110023382E-2</c:v>
                </c:pt>
                <c:pt idx="243">
                  <c:v>6.4877127869998441E-2</c:v>
                </c:pt>
                <c:pt idx="244">
                  <c:v>6.4895049286506912E-2</c:v>
                </c:pt>
                <c:pt idx="245">
                  <c:v>6.4912970359555677E-2</c:v>
                </c:pt>
                <c:pt idx="246">
                  <c:v>6.4930891089151066E-2</c:v>
                </c:pt>
                <c:pt idx="247">
                  <c:v>6.494881147529985E-2</c:v>
                </c:pt>
                <c:pt idx="248">
                  <c:v>6.4966731518008469E-2</c:v>
                </c:pt>
                <c:pt idx="249">
                  <c:v>6.4984651217283473E-2</c:v>
                </c:pt>
                <c:pt idx="250">
                  <c:v>6.5002570573131635E-2</c:v>
                </c:pt>
                <c:pt idx="251">
                  <c:v>6.5020489585559393E-2</c:v>
                </c:pt>
                <c:pt idx="252">
                  <c:v>6.503840825457341E-2</c:v>
                </c:pt>
                <c:pt idx="253">
                  <c:v>6.5056326580180235E-2</c:v>
                </c:pt>
                <c:pt idx="254">
                  <c:v>6.5074244562386419E-2</c:v>
                </c:pt>
                <c:pt idx="255">
                  <c:v>6.5092162201198511E-2</c:v>
                </c:pt>
                <c:pt idx="256">
                  <c:v>6.5110079496623174E-2</c:v>
                </c:pt>
                <c:pt idx="257">
                  <c:v>6.5127996448666958E-2</c:v>
                </c:pt>
                <c:pt idx="258">
                  <c:v>6.5145913057336413E-2</c:v>
                </c:pt>
                <c:pt idx="259">
                  <c:v>6.51638293226382E-2</c:v>
                </c:pt>
                <c:pt idx="260">
                  <c:v>6.5181745244578759E-2</c:v>
                </c:pt>
                <c:pt idx="261">
                  <c:v>6.5199660823164862E-2</c:v>
                </c:pt>
                <c:pt idx="262">
                  <c:v>6.5217576058402948E-2</c:v>
                </c:pt>
                <c:pt idx="263">
                  <c:v>6.5235490950299679E-2</c:v>
                </c:pt>
                <c:pt idx="264">
                  <c:v>6.5253405498861605E-2</c:v>
                </c:pt>
                <c:pt idx="265">
                  <c:v>6.5271319704095165E-2</c:v>
                </c:pt>
                <c:pt idx="266">
                  <c:v>6.5289233566007243E-2</c:v>
                </c:pt>
                <c:pt idx="267">
                  <c:v>6.5307147084604056E-2</c:v>
                </c:pt>
                <c:pt idx="268">
                  <c:v>6.5325060259892487E-2</c:v>
                </c:pt>
                <c:pt idx="269">
                  <c:v>6.5342973091878975E-2</c:v>
                </c:pt>
                <c:pt idx="270">
                  <c:v>6.5360885580570183E-2</c:v>
                </c:pt>
                <c:pt idx="271">
                  <c:v>6.5378797725972548E-2</c:v>
                </c:pt>
                <c:pt idx="272">
                  <c:v>6.5396709528092845E-2</c:v>
                </c:pt>
                <c:pt idx="273">
                  <c:v>6.54146209869374E-2</c:v>
                </c:pt>
                <c:pt idx="274">
                  <c:v>6.5432532102512986E-2</c:v>
                </c:pt>
                <c:pt idx="275">
                  <c:v>6.5450442874826154E-2</c:v>
                </c:pt>
                <c:pt idx="276">
                  <c:v>6.5468353303883453E-2</c:v>
                </c:pt>
                <c:pt idx="277">
                  <c:v>6.5486263389691435E-2</c:v>
                </c:pt>
                <c:pt idx="278">
                  <c:v>6.550417313225676E-2</c:v>
                </c:pt>
                <c:pt idx="279">
                  <c:v>6.5522082531585868E-2</c:v>
                </c:pt>
                <c:pt idx="280">
                  <c:v>6.5539991587685531E-2</c:v>
                </c:pt>
                <c:pt idx="281">
                  <c:v>6.5557900300562189E-2</c:v>
                </c:pt>
                <c:pt idx="282">
                  <c:v>6.5575808670222391E-2</c:v>
                </c:pt>
                <c:pt idx="283">
                  <c:v>6.5593716696672799E-2</c:v>
                </c:pt>
                <c:pt idx="284">
                  <c:v>6.5611624379919964E-2</c:v>
                </c:pt>
                <c:pt idx="285">
                  <c:v>6.5629531719970546E-2</c:v>
                </c:pt>
                <c:pt idx="286">
                  <c:v>6.5647438716830986E-2</c:v>
                </c:pt>
                <c:pt idx="287">
                  <c:v>6.5665345370507833E-2</c:v>
                </c:pt>
                <c:pt idx="288">
                  <c:v>6.5683251681007859E-2</c:v>
                </c:pt>
                <c:pt idx="289">
                  <c:v>6.5701157648337505E-2</c:v>
                </c:pt>
                <c:pt idx="290">
                  <c:v>6.571906327250332E-2</c:v>
                </c:pt>
                <c:pt idx="291">
                  <c:v>6.5736968553511965E-2</c:v>
                </c:pt>
                <c:pt idx="292">
                  <c:v>6.5754873491369992E-2</c:v>
                </c:pt>
                <c:pt idx="293">
                  <c:v>6.5772778086083949E-2</c:v>
                </c:pt>
                <c:pt idx="294">
                  <c:v>6.57906823376605E-2</c:v>
                </c:pt>
                <c:pt idx="295">
                  <c:v>6.5808586246106082E-2</c:v>
                </c:pt>
                <c:pt idx="296">
                  <c:v>6.5826489811427358E-2</c:v>
                </c:pt>
                <c:pt idx="297">
                  <c:v>6.5844393033630877E-2</c:v>
                </c:pt>
                <c:pt idx="298">
                  <c:v>6.5862295912723301E-2</c:v>
                </c:pt>
                <c:pt idx="299">
                  <c:v>6.5880198448711069E-2</c:v>
                </c:pt>
                <c:pt idx="300">
                  <c:v>6.5898100641600732E-2</c:v>
                </c:pt>
                <c:pt idx="301">
                  <c:v>6.5916002491399062E-2</c:v>
                </c:pt>
                <c:pt idx="302">
                  <c:v>6.5933903998112497E-2</c:v>
                </c:pt>
                <c:pt idx="303">
                  <c:v>6.5951805161747701E-2</c:v>
                </c:pt>
                <c:pt idx="304">
                  <c:v>6.5969705982311111E-2</c:v>
                </c:pt>
                <c:pt idx="305">
                  <c:v>6.5987606459809389E-2</c:v>
                </c:pt>
                <c:pt idx="306">
                  <c:v>6.6005506594249197E-2</c:v>
                </c:pt>
                <c:pt idx="307">
                  <c:v>6.6023406385636862E-2</c:v>
                </c:pt>
                <c:pt idx="308">
                  <c:v>6.6041305833979158E-2</c:v>
                </c:pt>
                <c:pt idx="309">
                  <c:v>6.6059204939282634E-2</c:v>
                </c:pt>
                <c:pt idx="310">
                  <c:v>6.6077103701553841E-2</c:v>
                </c:pt>
                <c:pt idx="311">
                  <c:v>6.609500212079944E-2</c:v>
                </c:pt>
                <c:pt idx="312">
                  <c:v>6.6112900197025759E-2</c:v>
                </c:pt>
                <c:pt idx="313">
                  <c:v>6.6130797930239571E-2</c:v>
                </c:pt>
                <c:pt idx="314">
                  <c:v>6.6148695320447537E-2</c:v>
                </c:pt>
                <c:pt idx="315">
                  <c:v>6.6166592367655985E-2</c:v>
                </c:pt>
                <c:pt idx="316">
                  <c:v>6.6184489071871577E-2</c:v>
                </c:pt>
                <c:pt idx="317">
                  <c:v>6.6202385433100974E-2</c:v>
                </c:pt>
                <c:pt idx="318">
                  <c:v>6.6220281451350727E-2</c:v>
                </c:pt>
                <c:pt idx="319">
                  <c:v>6.6238177126627273E-2</c:v>
                </c:pt>
                <c:pt idx="320">
                  <c:v>6.6256072458937387E-2</c:v>
                </c:pt>
                <c:pt idx="321">
                  <c:v>6.6273967448287396E-2</c:v>
                </c:pt>
                <c:pt idx="322">
                  <c:v>6.6291862094684184E-2</c:v>
                </c:pt>
                <c:pt idx="323">
                  <c:v>6.6309756398134079E-2</c:v>
                </c:pt>
                <c:pt idx="324">
                  <c:v>6.6327650358643742E-2</c:v>
                </c:pt>
                <c:pt idx="325">
                  <c:v>6.6345543976219723E-2</c:v>
                </c:pt>
                <c:pt idx="326">
                  <c:v>6.6363437250868573E-2</c:v>
                </c:pt>
                <c:pt idx="327">
                  <c:v>6.6381330182596954E-2</c:v>
                </c:pt>
                <c:pt idx="328">
                  <c:v>6.6399222771411304E-2</c:v>
                </c:pt>
                <c:pt idx="329">
                  <c:v>6.6417115017318396E-2</c:v>
                </c:pt>
                <c:pt idx="330">
                  <c:v>6.6435006920324557E-2</c:v>
                </c:pt>
                <c:pt idx="331">
                  <c:v>6.6452898480436562E-2</c:v>
                </c:pt>
                <c:pt idx="332">
                  <c:v>6.6470789697660848E-2</c:v>
                </c:pt>
                <c:pt idx="333">
                  <c:v>6.6488680572004077E-2</c:v>
                </c:pt>
                <c:pt idx="334">
                  <c:v>6.6506571103472689E-2</c:v>
                </c:pt>
                <c:pt idx="335">
                  <c:v>6.6524461292073456E-2</c:v>
                </c:pt>
                <c:pt idx="336">
                  <c:v>6.6542351137812816E-2</c:v>
                </c:pt>
                <c:pt idx="337">
                  <c:v>6.6560240640697321E-2</c:v>
                </c:pt>
                <c:pt idx="338">
                  <c:v>6.6578129800733632E-2</c:v>
                </c:pt>
                <c:pt idx="339">
                  <c:v>6.6596018617928299E-2</c:v>
                </c:pt>
                <c:pt idx="340">
                  <c:v>6.6613907092287761E-2</c:v>
                </c:pt>
                <c:pt idx="341">
                  <c:v>6.663179522381879E-2</c:v>
                </c:pt>
                <c:pt idx="342">
                  <c:v>6.6649683012527827E-2</c:v>
                </c:pt>
                <c:pt idx="343">
                  <c:v>6.6667570458421421E-2</c:v>
                </c:pt>
                <c:pt idx="344">
                  <c:v>6.6685457561506234E-2</c:v>
                </c:pt>
                <c:pt idx="345">
                  <c:v>6.6703344321788816E-2</c:v>
                </c:pt>
                <c:pt idx="346">
                  <c:v>6.6721230739275716E-2</c:v>
                </c:pt>
                <c:pt idx="347">
                  <c:v>6.6739116813973487E-2</c:v>
                </c:pt>
                <c:pt idx="348">
                  <c:v>6.6757002545888677E-2</c:v>
                </c:pt>
                <c:pt idx="349">
                  <c:v>6.6774887935027949E-2</c:v>
                </c:pt>
                <c:pt idx="350">
                  <c:v>6.6792772981397852E-2</c:v>
                </c:pt>
                <c:pt idx="351">
                  <c:v>6.6810657685004826E-2</c:v>
                </c:pt>
                <c:pt idx="352">
                  <c:v>6.6828542045855643E-2</c:v>
                </c:pt>
                <c:pt idx="353">
                  <c:v>6.6846426063956743E-2</c:v>
                </c:pt>
                <c:pt idx="354">
                  <c:v>6.6864309739314676E-2</c:v>
                </c:pt>
                <c:pt idx="355">
                  <c:v>6.6882193071935991E-2</c:v>
                </c:pt>
                <c:pt idx="356">
                  <c:v>6.6900076061827463E-2</c:v>
                </c:pt>
                <c:pt idx="357">
                  <c:v>6.6917958708995418E-2</c:v>
                </c:pt>
                <c:pt idx="358">
                  <c:v>6.6935841013446518E-2</c:v>
                </c:pt>
                <c:pt idx="359">
                  <c:v>6.6953722975187313E-2</c:v>
                </c:pt>
                <c:pt idx="360">
                  <c:v>6.6971604594224465E-2</c:v>
                </c:pt>
                <c:pt idx="361">
                  <c:v>6.6989485870564414E-2</c:v>
                </c:pt>
                <c:pt idx="362">
                  <c:v>6.7007366804213819E-2</c:v>
                </c:pt>
                <c:pt idx="363">
                  <c:v>6.7025247395179233E-2</c:v>
                </c:pt>
                <c:pt idx="364">
                  <c:v>6.7043127643467093E-2</c:v>
                </c:pt>
                <c:pt idx="365">
                  <c:v>6.7061007549084173E-2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'2028'!$O$15:$O$380</c:f>
              <c:numCache>
                <c:formatCode>0.00%</c:formatCode>
                <c:ptCount val="366"/>
                <c:pt idx="0">
                  <c:v>3.5381041253689453E-2</c:v>
                </c:pt>
                <c:pt idx="1">
                  <c:v>3.5472437944734536E-2</c:v>
                </c:pt>
                <c:pt idx="2">
                  <c:v>3.5563801347121581E-2</c:v>
                </c:pt>
                <c:pt idx="3">
                  <c:v>3.5655123875321937E-2</c:v>
                </c:pt>
                <c:pt idx="4">
                  <c:v>3.574639893478402E-2</c:v>
                </c:pt>
                <c:pt idx="5">
                  <c:v>3.5837620901062364E-2</c:v>
                </c:pt>
                <c:pt idx="6">
                  <c:v>3.5928785090452747E-2</c:v>
                </c:pt>
                <c:pt idx="7">
                  <c:v>3.6019887722682338E-2</c:v>
                </c:pt>
                <c:pt idx="8">
                  <c:v>3.6110925876269372E-2</c:v>
                </c:pt>
                <c:pt idx="9">
                  <c:v>3.6201897437226023E-2</c:v>
                </c:pt>
                <c:pt idx="10">
                  <c:v>3.6292801041829845E-2</c:v>
                </c:pt>
                <c:pt idx="11">
                  <c:v>3.6383636014232897E-2</c:v>
                </c:pt>
                <c:pt idx="12">
                  <c:v>3.647440229971316E-2</c:v>
                </c:pt>
                <c:pt idx="13">
                  <c:v>3.6565100394400522E-2</c:v>
                </c:pt>
                <c:pt idx="14">
                  <c:v>3.6655731272327727E-2</c:v>
                </c:pt>
                <c:pt idx="15">
                  <c:v>3.6746296310667226E-2</c:v>
                </c:pt>
                <c:pt idx="16">
                  <c:v>3.6836797214015511E-2</c:v>
                </c:pt>
                <c:pt idx="17">
                  <c:v>3.6927235938579731E-2</c:v>
                </c:pt>
                <c:pt idx="18">
                  <c:v>3.7017614617105621E-2</c:v>
                </c:pt>
                <c:pt idx="19">
                  <c:v>3.7107935485361634E-2</c:v>
                </c:pt>
                <c:pt idx="20">
                  <c:v>3.7198200810962728E-2</c:v>
                </c:pt>
                <c:pt idx="21">
                  <c:v>3.7288412825278519E-2</c:v>
                </c:pt>
                <c:pt idx="22">
                  <c:v>3.7378573659123726E-2</c:v>
                </c:pt>
                <c:pt idx="23">
                  <c:v>3.7468685282877848E-2</c:v>
                </c:pt>
                <c:pt idx="24">
                  <c:v>3.7558749451621722E-2</c:v>
                </c:pt>
                <c:pt idx="25">
                  <c:v>3.7648767655816644E-2</c:v>
                </c:pt>
                <c:pt idx="26">
                  <c:v>3.7738741077983723E-2</c:v>
                </c:pt>
                <c:pt idx="27">
                  <c:v>3.7828670555770494E-2</c:v>
                </c:pt>
                <c:pt idx="28">
                  <c:v>3.7918556551717955E-2</c:v>
                </c:pt>
                <c:pt idx="29">
                  <c:v>3.8008399129965516E-2</c:v>
                </c:pt>
                <c:pt idx="30">
                  <c:v>3.8098197940054264E-2</c:v>
                </c:pt>
                <c:pt idx="31">
                  <c:v>3.8187952207911727E-2</c:v>
                </c:pt>
                <c:pt idx="32">
                  <c:v>3.8277660734024381E-2</c:v>
                </c:pt>
                <c:pt idx="33">
                  <c:v>3.8367321898728442E-2</c:v>
                </c:pt>
                <c:pt idx="34">
                  <c:v>3.8456933674475752E-2</c:v>
                </c:pt>
                <c:pt idx="35">
                  <c:v>3.8546493644860673E-2</c:v>
                </c:pt>
                <c:pt idx="36">
                  <c:v>3.8635999030126385E-2</c:v>
                </c:pt>
                <c:pt idx="37">
                  <c:v>3.8725446718805547E-2</c:v>
                </c:pt>
                <c:pt idx="38">
                  <c:v>3.8814833305091404E-2</c:v>
                </c:pt>
                <c:pt idx="39">
                  <c:v>3.8904155131482321E-2</c:v>
                </c:pt>
                <c:pt idx="40">
                  <c:v>3.8993408336194468E-2</c:v>
                </c:pt>
                <c:pt idx="41">
                  <c:v>3.9082588904796309E-2</c:v>
                </c:pt>
                <c:pt idx="42">
                  <c:v>3.9171692725482883E-2</c:v>
                </c:pt>
                <c:pt idx="43">
                  <c:v>3.9260715647380005E-2</c:v>
                </c:pt>
                <c:pt idx="44">
                  <c:v>3.9349653541246712E-2</c:v>
                </c:pt>
                <c:pt idx="45">
                  <c:v>3.9438502361930243E-2</c:v>
                </c:pt>
                <c:pt idx="46">
                  <c:v>3.9527258211920109E-2</c:v>
                </c:pt>
                <c:pt idx="47">
                  <c:v>3.9615917405348158E-2</c:v>
                </c:pt>
                <c:pt idx="48">
                  <c:v>3.9704476531787616E-2</c:v>
                </c:pt>
                <c:pt idx="49">
                  <c:v>3.9792932519218033E-2</c:v>
                </c:pt>
                <c:pt idx="50">
                  <c:v>3.9881282695542419E-2</c:v>
                </c:pt>
                <c:pt idx="51">
                  <c:v>3.9969524848069177E-2</c:v>
                </c:pt>
                <c:pt idx="52">
                  <c:v>4.0057657280402802E-2</c:v>
                </c:pt>
                <c:pt idx="53">
                  <c:v>4.0145678866224659E-2</c:v>
                </c:pt>
                <c:pt idx="54">
                  <c:v>4.0233589099486045E-2</c:v>
                </c:pt>
                <c:pt idx="55">
                  <c:v>4.0321388140582365E-2</c:v>
                </c:pt>
                <c:pt idx="56">
                  <c:v>4.0409076858125989E-2</c:v>
                </c:pt>
                <c:pt idx="57">
                  <c:v>4.04966568659881E-2</c:v>
                </c:pt>
                <c:pt idx="58">
                  <c:v>4.0584130555334004E-2</c:v>
                </c:pt>
                <c:pt idx="59">
                  <c:v>4.067150112143296E-2</c:v>
                </c:pt>
                <c:pt idx="60">
                  <c:v>4.0758772585080497E-2</c:v>
                </c:pt>
                <c:pt idx="61">
                  <c:v>4.0845949808528556E-2</c:v>
                </c:pt>
                <c:pt idx="62">
                  <c:v>4.0933038505875763E-2</c:v>
                </c:pt>
                <c:pt idx="63">
                  <c:v>4.10200452479259E-2</c:v>
                </c:pt>
                <c:pt idx="64">
                  <c:v>4.1106977461576953E-2</c:v>
                </c:pt>
                <c:pt idx="65">
                  <c:v>4.1193843423854619E-2</c:v>
                </c:pt>
                <c:pt idx="66">
                  <c:v>4.1280652250753058E-2</c:v>
                </c:pt>
                <c:pt idx="67">
                  <c:v>4.1367413881091386E-2</c:v>
                </c:pt>
                <c:pt idx="68">
                  <c:v>4.1454139055635469E-2</c:v>
                </c:pt>
                <c:pt idx="69">
                  <c:v>4.154083929177213E-2</c:v>
                </c:pt>
                <c:pt idx="70">
                  <c:v>4.1627526854055207E-2</c:v>
                </c:pt>
                <c:pt idx="71">
                  <c:v>4.1714214720970207E-2</c:v>
                </c:pt>
                <c:pt idx="72">
                  <c:v>4.1800916548287027E-2</c:v>
                </c:pt>
                <c:pt idx="73">
                  <c:v>4.1887646629386481E-2</c:v>
                </c:pt>
                <c:pt idx="74">
                  <c:v>4.1974419852958043E-2</c:v>
                </c:pt>
                <c:pt idx="75">
                  <c:v>4.2061251658472083E-2</c:v>
                </c:pt>
                <c:pt idx="76">
                  <c:v>4.2148157989830036E-2</c:v>
                </c:pt>
                <c:pt idx="77">
                  <c:v>4.2235155247591145E-2</c:v>
                </c:pt>
                <c:pt idx="78">
                  <c:v>4.232226024016382E-2</c:v>
                </c:pt>
                <c:pt idx="79">
                  <c:v>4.2409490134335349E-2</c:v>
                </c:pt>
                <c:pt idx="80">
                  <c:v>4.2496862405492969E-2</c:v>
                </c:pt>
                <c:pt idx="81">
                  <c:v>4.2584394787866055E-2</c:v>
                </c:pt>
                <c:pt idx="82">
                  <c:v>4.267210522509126E-2</c:v>
                </c:pt>
                <c:pt idx="83">
                  <c:v>4.2760011821370902E-2</c:v>
                </c:pt>
                <c:pt idx="84">
                  <c:v>4.2848132793461134E-2</c:v>
                </c:pt>
                <c:pt idx="85">
                  <c:v>4.2936486423690447E-2</c:v>
                </c:pt>
                <c:pt idx="86">
                  <c:v>4.3025091014170062E-2</c:v>
                </c:pt>
                <c:pt idx="87">
                  <c:v>4.3113964842319406E-2</c:v>
                </c:pt>
                <c:pt idx="88">
                  <c:v>4.32031261177898E-2</c:v>
                </c:pt>
                <c:pt idx="89">
                  <c:v>4.3292592940829447E-2</c:v>
                </c:pt>
                <c:pt idx="90">
                  <c:v>4.3382383262094336E-2</c:v>
                </c:pt>
                <c:pt idx="91">
                  <c:v>4.3472514843871407E-2</c:v>
                </c:pt>
                <c:pt idx="92">
                  <c:v>4.3563005222644627E-2</c:v>
                </c:pt>
                <c:pt idx="93">
                  <c:v>4.3653871672901016E-2</c:v>
                </c:pt>
                <c:pt idx="94">
                  <c:v>4.3745131172043053E-2</c:v>
                </c:pt>
                <c:pt idx="95">
                  <c:v>4.3836800366246542E-2</c:v>
                </c:pt>
                <c:pt idx="96">
                  <c:v>4.3928895537079841E-2</c:v>
                </c:pt>
                <c:pt idx="97">
                  <c:v>4.4021432568680775E-2</c:v>
                </c:pt>
                <c:pt idx="98">
                  <c:v>4.4114426915273446E-2</c:v>
                </c:pt>
                <c:pt idx="99">
                  <c:v>4.4207893568796772E-2</c:v>
                </c:pt>
                <c:pt idx="100">
                  <c:v>4.4301847026411961E-2</c:v>
                </c:pt>
                <c:pt idx="101">
                  <c:v>4.4396301257656791E-2</c:v>
                </c:pt>
                <c:pt idx="102">
                  <c:v>4.4491269671019323E-2</c:v>
                </c:pt>
                <c:pt idx="103">
                  <c:v>4.4586765079715221E-2</c:v>
                </c:pt>
                <c:pt idx="104">
                  <c:v>4.468279966646814E-2</c:v>
                </c:pt>
                <c:pt idx="105">
                  <c:v>4.4779384947113782E-2</c:v>
                </c:pt>
                <c:pt idx="106">
                  <c:v>4.487653173287371E-2</c:v>
                </c:pt>
                <c:pt idx="107">
                  <c:v>4.4974250091175123E-2</c:v>
                </c:pt>
                <c:pt idx="108">
                  <c:v>4.5072549304926886E-2</c:v>
                </c:pt>
                <c:pt idx="109">
                  <c:v>4.5171437830200445E-2</c:v>
                </c:pt>
                <c:pt idx="110">
                  <c:v>4.5270923252304598E-2</c:v>
                </c:pt>
                <c:pt idx="111">
                  <c:v>4.5371012240287931E-2</c:v>
                </c:pt>
                <c:pt idx="112">
                  <c:v>4.5471710499948151E-2</c:v>
                </c:pt>
                <c:pt idx="113">
                  <c:v>4.5573022725475261E-2</c:v>
                </c:pt>
                <c:pt idx="114">
                  <c:v>4.5674952549904266E-2</c:v>
                </c:pt>
                <c:pt idx="115">
                  <c:v>4.5777502494601621E-2</c:v>
                </c:pt>
                <c:pt idx="116">
                  <c:v>4.5880673918058203E-2</c:v>
                </c:pt>
                <c:pt idx="117">
                  <c:v>4.5984466964308801E-2</c:v>
                </c:pt>
                <c:pt idx="118">
                  <c:v>4.6088880511343445E-2</c:v>
                </c:pt>
                <c:pt idx="119">
                  <c:v>4.6193912119919384E-2</c:v>
                </c:pt>
                <c:pt idx="120">
                  <c:v>9.1042482442858959E-3</c:v>
                </c:pt>
                <c:pt idx="121">
                  <c:v>9.2333691890796443E-3</c:v>
                </c:pt>
                <c:pt idx="122">
                  <c:v>9.3626018292286457E-3</c:v>
                </c:pt>
                <c:pt idx="123">
                  <c:v>9.4919486678605083E-3</c:v>
                </c:pt>
                <c:pt idx="124">
                  <c:v>9.6214117748252507E-3</c:v>
                </c:pt>
                <c:pt idx="125">
                  <c:v>9.7509927622944532E-3</c:v>
                </c:pt>
                <c:pt idx="126">
                  <c:v>9.8806927609341611E-3</c:v>
                </c:pt>
                <c:pt idx="127">
                  <c:v>1.0010512396847656E-2</c:v>
                </c:pt>
                <c:pt idx="128">
                  <c:v>1.0140451769493372E-2</c:v>
                </c:pt>
                <c:pt idx="129">
                  <c:v>1.0270510430789343E-2</c:v>
                </c:pt>
                <c:pt idx="130">
                  <c:v>1.040068736562051E-2</c:v>
                </c:pt>
                <c:pt idx="131">
                  <c:v>1.0530980973967836E-2</c:v>
                </c:pt>
                <c:pt idx="132">
                  <c:v>1.0661389054878357E-2</c:v>
                </c:pt>
                <c:pt idx="133">
                  <c:v>1.0791908792493282E-2</c:v>
                </c:pt>
                <c:pt idx="134">
                  <c:v>1.0922536744346628E-2</c:v>
                </c:pt>
                <c:pt idx="135">
                  <c:v>1.1053268832140011E-2</c:v>
                </c:pt>
                <c:pt idx="136">
                  <c:v>1.1184100335189177E-2</c:v>
                </c:pt>
                <c:pt idx="137">
                  <c:v>1.1315025886726239E-2</c:v>
                </c:pt>
                <c:pt idx="138">
                  <c:v>1.1446039473226501E-2</c:v>
                </c:pt>
                <c:pt idx="139">
                  <c:v>1.1577134436911763E-2</c:v>
                </c:pt>
                <c:pt idx="140">
                  <c:v>1.1708303481562723E-2</c:v>
                </c:pt>
                <c:pt idx="141">
                  <c:v>1.1839538681751135E-2</c:v>
                </c:pt>
                <c:pt idx="142">
                  <c:v>1.1970831495578899E-2</c:v>
                </c:pt>
                <c:pt idx="143">
                  <c:v>1.2102172780985767E-2</c:v>
                </c:pt>
                <c:pt idx="144">
                  <c:v>1.223355281565968E-2</c:v>
                </c:pt>
                <c:pt idx="145">
                  <c:v>1.2364961320555583E-2</c:v>
                </c:pt>
                <c:pt idx="146">
                  <c:v>1.2496387486998599E-2</c:v>
                </c:pt>
                <c:pt idx="147">
                  <c:v>1.2627820007316767E-2</c:v>
                </c:pt>
                <c:pt idx="148">
                  <c:v>1.2759247108917141E-2</c:v>
                </c:pt>
                <c:pt idx="149">
                  <c:v>1.2890656591688122E-2</c:v>
                </c:pt>
                <c:pt idx="150">
                  <c:v>1.3022035868578698E-2</c:v>
                </c:pt>
                <c:pt idx="151">
                  <c:v>1.315337200917507E-2</c:v>
                </c:pt>
                <c:pt idx="152">
                  <c:v>1.328465178606422E-2</c:v>
                </c:pt>
                <c:pt idx="153">
                  <c:v>1.3415861723745148E-2</c:v>
                </c:pt>
                <c:pt idx="154">
                  <c:v>1.3546988149820752E-2</c:v>
                </c:pt>
                <c:pt idx="155">
                  <c:v>1.3678017248176929E-2</c:v>
                </c:pt>
                <c:pt idx="156">
                  <c:v>1.3808935113831912E-2</c:v>
                </c:pt>
                <c:pt idx="157">
                  <c:v>1.3939727809116897E-2</c:v>
                </c:pt>
                <c:pt idx="158">
                  <c:v>1.4070381420829977E-2</c:v>
                </c:pt>
                <c:pt idx="159">
                  <c:v>1.4200882117989434E-2</c:v>
                </c:pt>
                <c:pt idx="160">
                  <c:v>1.4331216209798991E-2</c:v>
                </c:pt>
                <c:pt idx="161">
                  <c:v>1.4461370203428371E-2</c:v>
                </c:pt>
                <c:pt idx="162">
                  <c:v>1.4591330861205393E-2</c:v>
                </c:pt>
                <c:pt idx="163">
                  <c:v>1.4721085256814103E-2</c:v>
                </c:pt>
                <c:pt idx="164">
                  <c:v>1.4850620830093437E-2</c:v>
                </c:pt>
                <c:pt idx="165">
                  <c:v>1.4979925440036254E-2</c:v>
                </c:pt>
                <c:pt idx="166">
                  <c:v>1.51089874155969E-2</c:v>
                </c:pt>
                <c:pt idx="167">
                  <c:v>1.5237795603927363E-2</c:v>
                </c:pt>
                <c:pt idx="168">
                  <c:v>1.5366339415678706E-2</c:v>
                </c:pt>
                <c:pt idx="169">
                  <c:v>1.5494608867023106E-2</c:v>
                </c:pt>
                <c:pt idx="170">
                  <c:v>1.5622594618075407E-2</c:v>
                </c:pt>
                <c:pt idx="171">
                  <c:v>1.5750288007418976E-2</c:v>
                </c:pt>
                <c:pt idx="172">
                  <c:v>1.5877681082470053E-2</c:v>
                </c:pt>
                <c:pt idx="173">
                  <c:v>1.6004766625446566E-2</c:v>
                </c:pt>
                <c:pt idx="174">
                  <c:v>1.6131538174742235E-2</c:v>
                </c:pt>
                <c:pt idx="175">
                  <c:v>1.6257990041543238E-2</c:v>
                </c:pt>
                <c:pt idx="176">
                  <c:v>1.6384117321563328E-2</c:v>
                </c:pt>
                <c:pt idx="177">
                  <c:v>1.6509915901813416E-2</c:v>
                </c:pt>
                <c:pt idx="178">
                  <c:v>1.663538246236251E-2</c:v>
                </c:pt>
                <c:pt idx="179">
                  <c:v>1.6760514473088902E-2</c:v>
                </c:pt>
                <c:pt idx="180">
                  <c:v>1.6885310185462458E-2</c:v>
                </c:pt>
                <c:pt idx="181">
                  <c:v>1.7009768619440441E-2</c:v>
                </c:pt>
                <c:pt idx="182">
                  <c:v>1.7133889545601317E-2</c:v>
                </c:pt>
                <c:pt idx="183">
                  <c:v>1.7257673462680187E-2</c:v>
                </c:pt>
                <c:pt idx="184">
                  <c:v>1.7381121570709489E-2</c:v>
                </c:pt>
                <c:pt idx="185">
                  <c:v>1.7504235740004544E-2</c:v>
                </c:pt>
                <c:pt idx="186">
                  <c:v>1.7627018476269064E-2</c:v>
                </c:pt>
                <c:pt idx="187">
                  <c:v>1.7749472882127533E-2</c:v>
                </c:pt>
                <c:pt idx="188">
                  <c:v>1.7871602615420611E-2</c:v>
                </c:pt>
                <c:pt idx="189">
                  <c:v>1.7993411844625825E-2</c:v>
                </c:pt>
                <c:pt idx="190">
                  <c:v>1.8114905201787972E-2</c:v>
                </c:pt>
                <c:pt idx="191">
                  <c:v>1.8236087733362744E-2</c:v>
                </c:pt>
                <c:pt idx="192">
                  <c:v>1.8356964849391193E-2</c:v>
                </c:pt>
                <c:pt idx="193">
                  <c:v>1.8477542271433365E-2</c:v>
                </c:pt>
                <c:pt idx="194">
                  <c:v>1.8597825979695837E-2</c:v>
                </c:pt>
                <c:pt idx="195">
                  <c:v>1.8717822159789236E-2</c:v>
                </c:pt>
                <c:pt idx="196">
                  <c:v>1.8837537149549714E-2</c:v>
                </c:pt>
                <c:pt idx="197">
                  <c:v>1.8956977386351045E-2</c:v>
                </c:pt>
                <c:pt idx="198">
                  <c:v>1.9076149355323143E-2</c:v>
                </c:pt>
                <c:pt idx="199">
                  <c:v>1.9195059538876923E-2</c:v>
                </c:pt>
                <c:pt idx="200">
                  <c:v>1.9313714367916381E-2</c:v>
                </c:pt>
                <c:pt idx="201">
                  <c:v>1.9432120175095297E-2</c:v>
                </c:pt>
                <c:pt idx="202">
                  <c:v>1.9550283150449047E-2</c:v>
                </c:pt>
                <c:pt idx="203">
                  <c:v>1.9668209299702078E-2</c:v>
                </c:pt>
                <c:pt idx="204">
                  <c:v>1.9785904405518275E-2</c:v>
                </c:pt>
                <c:pt idx="205">
                  <c:v>1.9903373991926165E-2</c:v>
                </c:pt>
                <c:pt idx="206">
                  <c:v>2.0020623292112471E-2</c:v>
                </c:pt>
                <c:pt idx="207">
                  <c:v>2.0137657219738671E-2</c:v>
                </c:pt>
                <c:pt idx="208">
                  <c:v>2.0254480343893485E-2</c:v>
                </c:pt>
                <c:pt idx="209">
                  <c:v>2.0371096867753076E-2</c:v>
                </c:pt>
                <c:pt idx="210">
                  <c:v>2.048751061097823E-2</c:v>
                </c:pt>
                <c:pt idx="211">
                  <c:v>2.0603724995835616E-2</c:v>
                </c:pt>
                <c:pt idx="212">
                  <c:v>2.071974303698915E-2</c:v>
                </c:pt>
                <c:pt idx="213">
                  <c:v>2.0835567334866512E-2</c:v>
                </c:pt>
                <c:pt idx="214">
                  <c:v>2.0951200072467251E-2</c:v>
                </c:pt>
                <c:pt idx="215">
                  <c:v>2.1066643015442123E-2</c:v>
                </c:pt>
                <c:pt idx="216">
                  <c:v>2.1181897515238125E-2</c:v>
                </c:pt>
                <c:pt idx="217">
                  <c:v>2.1296964515073E-2</c:v>
                </c:pt>
                <c:pt idx="218">
                  <c:v>2.1411844558473454E-2</c:v>
                </c:pt>
                <c:pt idx="219">
                  <c:v>2.1526537800087217E-2</c:v>
                </c:pt>
                <c:pt idx="220">
                  <c:v>2.1641044018457439E-2</c:v>
                </c:pt>
                <c:pt idx="221">
                  <c:v>2.1755362630431346E-2</c:v>
                </c:pt>
                <c:pt idx="222">
                  <c:v>2.1869492706862215E-2</c:v>
                </c:pt>
                <c:pt idx="223">
                  <c:v>2.1983432989255678E-2</c:v>
                </c:pt>
                <c:pt idx="224">
                  <c:v>2.2097181907007931E-2</c:v>
                </c:pt>
                <c:pt idx="225">
                  <c:v>2.2210737594884667E-2</c:v>
                </c:pt>
                <c:pt idx="226">
                  <c:v>2.2324097910395156E-2</c:v>
                </c:pt>
                <c:pt idx="227">
                  <c:v>2.2437260450727053E-2</c:v>
                </c:pt>
                <c:pt idx="228">
                  <c:v>2.2550222568921693E-2</c:v>
                </c:pt>
                <c:pt idx="229">
                  <c:v>2.26629813889903E-2</c:v>
                </c:pt>
                <c:pt idx="230">
                  <c:v>2.2775533819693976E-2</c:v>
                </c:pt>
                <c:pt idx="231">
                  <c:v>2.2887876566739049E-2</c:v>
                </c:pt>
                <c:pt idx="232">
                  <c:v>2.3000006143169729E-2</c:v>
                </c:pt>
                <c:pt idx="233">
                  <c:v>2.3111918877775188E-2</c:v>
                </c:pt>
                <c:pt idx="234">
                  <c:v>2.3223610921364879E-2</c:v>
                </c:pt>
                <c:pt idx="235">
                  <c:v>2.3335078250806336E-2</c:v>
                </c:pt>
                <c:pt idx="236">
                  <c:v>2.3446316670760903E-2</c:v>
                </c:pt>
                <c:pt idx="237">
                  <c:v>2.3557321813096329E-2</c:v>
                </c:pt>
                <c:pt idx="238">
                  <c:v>2.3668089133999197E-2</c:v>
                </c:pt>
                <c:pt idx="239">
                  <c:v>2.3778613908854798E-2</c:v>
                </c:pt>
                <c:pt idx="240">
                  <c:v>2.3888891225006138E-2</c:v>
                </c:pt>
                <c:pt idx="241">
                  <c:v>2.3998915972547826E-2</c:v>
                </c:pt>
                <c:pt idx="242">
                  <c:v>2.4108682833352716E-2</c:v>
                </c:pt>
                <c:pt idx="243">
                  <c:v>2.4218186268569811E-2</c:v>
                </c:pt>
                <c:pt idx="244">
                  <c:v>2.4327420504870256E-2</c:v>
                </c:pt>
                <c:pt idx="245">
                  <c:v>2.4436379519753401E-2</c:v>
                </c:pt>
                <c:pt idx="246">
                  <c:v>2.4545057026257207E-2</c:v>
                </c:pt>
                <c:pt idx="247">
                  <c:v>2.4653446457445157E-2</c:v>
                </c:pt>
                <c:pt idx="248">
                  <c:v>2.4761540951066002E-2</c:v>
                </c:pt>
                <c:pt idx="249">
                  <c:v>2.4869333334801687E-2</c:v>
                </c:pt>
                <c:pt idx="250">
                  <c:v>2.4976816112533679E-2</c:v>
                </c:pt>
                <c:pt idx="251">
                  <c:v>2.5083981452066466E-2</c:v>
                </c:pt>
                <c:pt idx="252">
                  <c:v>2.5190821174751118E-2</c:v>
                </c:pt>
                <c:pt idx="253">
                  <c:v>2.5297326747449674E-2</c:v>
                </c:pt>
                <c:pt idx="254">
                  <c:v>2.5403489277273449E-2</c:v>
                </c:pt>
                <c:pt idx="255">
                  <c:v>2.5509299509515016E-2</c:v>
                </c:pt>
                <c:pt idx="256">
                  <c:v>2.5614747829174427E-2</c:v>
                </c:pt>
                <c:pt idx="257">
                  <c:v>2.5719824266455346E-2</c:v>
                </c:pt>
                <c:pt idx="258">
                  <c:v>2.5824518506576515E-2</c:v>
                </c:pt>
                <c:pt idx="259">
                  <c:v>2.5928819904208464E-2</c:v>
                </c:pt>
                <c:pt idx="260">
                  <c:v>2.6032717502804625E-2</c:v>
                </c:pt>
                <c:pt idx="261">
                  <c:v>2.6136200059050943E-2</c:v>
                </c:pt>
                <c:pt idx="262">
                  <c:v>2.6239256072608692E-2</c:v>
                </c:pt>
                <c:pt idx="263">
                  <c:v>2.6341873821271448E-2</c:v>
                </c:pt>
                <c:pt idx="264">
                  <c:v>2.6444041401601566E-2</c:v>
                </c:pt>
                <c:pt idx="265">
                  <c:v>2.654574677505124E-2</c:v>
                </c:pt>
                <c:pt idx="266">
                  <c:v>2.664697781951253E-2</c:v>
                </c:pt>
                <c:pt idx="267">
                  <c:v>2.6747722386177699E-2</c:v>
                </c:pt>
                <c:pt idx="268">
                  <c:v>2.6847968361527089E-2</c:v>
                </c:pt>
                <c:pt idx="269">
                  <c:v>2.6947703734198448E-2</c:v>
                </c:pt>
                <c:pt idx="270">
                  <c:v>2.7046916666427716E-2</c:v>
                </c:pt>
                <c:pt idx="271">
                  <c:v>2.7145595569689231E-2</c:v>
                </c:pt>
                <c:pt idx="272">
                  <c:v>2.7243729184103043E-2</c:v>
                </c:pt>
                <c:pt idx="273">
                  <c:v>2.7341306661119464E-2</c:v>
                </c:pt>
                <c:pt idx="274">
                  <c:v>2.7438317648935999E-2</c:v>
                </c:pt>
                <c:pt idx="275">
                  <c:v>2.7534752380052069E-2</c:v>
                </c:pt>
                <c:pt idx="276">
                  <c:v>2.7630601760320218E-2</c:v>
                </c:pt>
                <c:pt idx="277">
                  <c:v>2.7725857458812134E-2</c:v>
                </c:pt>
                <c:pt idx="278">
                  <c:v>2.7820511997782141E-2</c:v>
                </c:pt>
                <c:pt idx="279">
                  <c:v>2.7914558841982445E-2</c:v>
                </c:pt>
                <c:pt idx="280">
                  <c:v>2.8007992486560846E-2</c:v>
                </c:pt>
                <c:pt idx="281">
                  <c:v>2.8100808542757438E-2</c:v>
                </c:pt>
                <c:pt idx="282">
                  <c:v>2.8193003820607149E-2</c:v>
                </c:pt>
                <c:pt idx="283">
                  <c:v>2.8284576407855505E-2</c:v>
                </c:pt>
                <c:pt idx="284">
                  <c:v>2.8375525744300609E-2</c:v>
                </c:pt>
                <c:pt idx="285">
                  <c:v>2.8465852690790074E-2</c:v>
                </c:pt>
                <c:pt idx="286">
                  <c:v>2.8555559592123175E-2</c:v>
                </c:pt>
                <c:pt idx="287">
                  <c:v>2.8644650333139045E-2</c:v>
                </c:pt>
                <c:pt idx="288">
                  <c:v>2.8733130387309E-2</c:v>
                </c:pt>
                <c:pt idx="289">
                  <c:v>2.8821006857196265E-2</c:v>
                </c:pt>
                <c:pt idx="290">
                  <c:v>2.8908288506197841E-2</c:v>
                </c:pt>
                <c:pt idx="291">
                  <c:v>2.8994985781042513E-2</c:v>
                </c:pt>
                <c:pt idx="292">
                  <c:v>2.908111082458251E-2</c:v>
                </c:pt>
                <c:pt idx="293">
                  <c:v>2.916667747848815E-2</c:v>
                </c:pt>
                <c:pt idx="294">
                  <c:v>2.9251701275528688E-2</c:v>
                </c:pt>
                <c:pt idx="295">
                  <c:v>2.9336199421203722E-2</c:v>
                </c:pt>
                <c:pt idx="296">
                  <c:v>2.9420190764571977E-2</c:v>
                </c:pt>
                <c:pt idx="297">
                  <c:v>2.9503695758211986E-2</c:v>
                </c:pt>
                <c:pt idx="298">
                  <c:v>2.9586736407336431E-2</c:v>
                </c:pt>
                <c:pt idx="299">
                  <c:v>2.9669336208173906E-2</c:v>
                </c:pt>
                <c:pt idx="300">
                  <c:v>2.9751520075820943E-2</c:v>
                </c:pt>
                <c:pt idx="301">
                  <c:v>2.9833314261858437E-2</c:v>
                </c:pt>
                <c:pt idx="302">
                  <c:v>2.9914746262115981E-2</c:v>
                </c:pt>
                <c:pt idx="303">
                  <c:v>2.9995844715054305E-2</c:v>
                </c:pt>
                <c:pt idx="304">
                  <c:v>3.007663929132106E-2</c:v>
                </c:pt>
                <c:pt idx="305">
                  <c:v>3.015716057511577E-2</c:v>
                </c:pt>
                <c:pt idx="306">
                  <c:v>3.0237439938075868E-2</c:v>
                </c:pt>
                <c:pt idx="307">
                  <c:v>3.0317509406467262E-2</c:v>
                </c:pt>
                <c:pt idx="308">
                  <c:v>3.0397401522527467E-2</c:v>
                </c:pt>
                <c:pt idx="309">
                  <c:v>3.0477149200868529E-2</c:v>
                </c:pt>
                <c:pt idx="310">
                  <c:v>3.0556785580897312E-2</c:v>
                </c:pt>
                <c:pt idx="311">
                  <c:v>3.0636343876255127E-2</c:v>
                </c:pt>
                <c:pt idx="312">
                  <c:v>3.0715857222313261E-2</c:v>
                </c:pt>
                <c:pt idx="313">
                  <c:v>3.07953585227876E-2</c:v>
                </c:pt>
                <c:pt idx="314">
                  <c:v>3.087488029655364E-2</c:v>
                </c:pt>
                <c:pt idx="315">
                  <c:v>3.0954454525750512E-2</c:v>
                </c:pt>
                <c:pt idx="316">
                  <c:v>3.1034112506262482E-2</c:v>
                </c:pt>
                <c:pt idx="317">
                  <c:v>3.1113884701655756E-2</c:v>
                </c:pt>
                <c:pt idx="318">
                  <c:v>3.1193800601627852E-2</c:v>
                </c:pt>
                <c:pt idx="319">
                  <c:v>3.1273888585998721E-2</c:v>
                </c:pt>
                <c:pt idx="320">
                  <c:v>3.1354175795233433E-2</c:v>
                </c:pt>
                <c:pt idx="321">
                  <c:v>3.1434688008440105E-2</c:v>
                </c:pt>
                <c:pt idx="322">
                  <c:v>3.1515449529730573E-2</c:v>
                </c:pt>
                <c:pt idx="323">
                  <c:v>3.1596483083768528E-2</c:v>
                </c:pt>
                <c:pt idx="324">
                  <c:v>3.1677809721258471E-2</c:v>
                </c:pt>
                <c:pt idx="325">
                  <c:v>3.1759448735051689E-2</c:v>
                </c:pt>
                <c:pt idx="326">
                  <c:v>3.1841417587461569E-2</c:v>
                </c:pt>
                <c:pt idx="327">
                  <c:v>3.1923731849291655E-2</c:v>
                </c:pt>
                <c:pt idx="328">
                  <c:v>3.2006405150985934E-2</c:v>
                </c:pt>
                <c:pt idx="329">
                  <c:v>3.2089449146214123E-2</c:v>
                </c:pt>
                <c:pt idx="330">
                  <c:v>3.2172873488103867E-2</c:v>
                </c:pt>
                <c:pt idx="331">
                  <c:v>3.2256685818230206E-2</c:v>
                </c:pt>
                <c:pt idx="332">
                  <c:v>3.2340891768369483E-2</c:v>
                </c:pt>
                <c:pt idx="333">
                  <c:v>3.2425494974921469E-2</c:v>
                </c:pt>
                <c:pt idx="334">
                  <c:v>3.2510497105801638E-2</c:v>
                </c:pt>
                <c:pt idx="335">
                  <c:v>3.2595897899504962E-2</c:v>
                </c:pt>
                <c:pt idx="336">
                  <c:v>3.2681695215944932E-2</c:v>
                </c:pt>
                <c:pt idx="337">
                  <c:v>3.2767885098577504E-2</c:v>
                </c:pt>
                <c:pt idx="338">
                  <c:v>3.2854461847230468E-2</c:v>
                </c:pt>
                <c:pt idx="339">
                  <c:v>3.2941418100974187E-2</c:v>
                </c:pt>
                <c:pt idx="340">
                  <c:v>3.3028744930291912E-2</c:v>
                </c:pt>
                <c:pt idx="341">
                  <c:v>3.3116431937736793E-2</c:v>
                </c:pt>
                <c:pt idx="342">
                  <c:v>3.3204467366198392E-2</c:v>
                </c:pt>
                <c:pt idx="343">
                  <c:v>3.3292838213846522E-2</c:v>
                </c:pt>
                <c:pt idx="344">
                  <c:v>3.3381530354772412E-2</c:v>
                </c:pt>
                <c:pt idx="345">
                  <c:v>3.3470528664309301E-2</c:v>
                </c:pt>
                <c:pt idx="346">
                  <c:v>3.3559817147985491E-2</c:v>
                </c:pt>
                <c:pt idx="347">
                  <c:v>3.3649379073043335E-2</c:v>
                </c:pt>
                <c:pt idx="348">
                  <c:v>3.3739197101447925E-2</c:v>
                </c:pt>
                <c:pt idx="349">
                  <c:v>3.3829253423308926E-2</c:v>
                </c:pt>
                <c:pt idx="350">
                  <c:v>3.3919529889648851E-2</c:v>
                </c:pt>
                <c:pt idx="351">
                  <c:v>3.4010008143469682E-2</c:v>
                </c:pt>
                <c:pt idx="352">
                  <c:v>3.4100669748098569E-2</c:v>
                </c:pt>
                <c:pt idx="353">
                  <c:v>3.4191496311830119E-2</c:v>
                </c:pt>
                <c:pt idx="354">
                  <c:v>3.4282469607929501E-2</c:v>
                </c:pt>
                <c:pt idx="355">
                  <c:v>3.4373571689113612E-2</c:v>
                </c:pt>
                <c:pt idx="356">
                  <c:v>3.4464784995689939E-2</c:v>
                </c:pt>
                <c:pt idx="357">
                  <c:v>3.4556092456600823E-2</c:v>
                </c:pt>
                <c:pt idx="358">
                  <c:v>3.4647477582695443E-2</c:v>
                </c:pt>
                <c:pt idx="359">
                  <c:v>3.4738924551632404E-2</c:v>
                </c:pt>
                <c:pt idx="360">
                  <c:v>3.4830418283899857E-2</c:v>
                </c:pt>
                <c:pt idx="361">
                  <c:v>3.4921944509529686E-2</c:v>
                </c:pt>
                <c:pt idx="362">
                  <c:v>3.5013489825172842E-2</c:v>
                </c:pt>
                <c:pt idx="363">
                  <c:v>3.5105041741297187E-2</c:v>
                </c:pt>
                <c:pt idx="364">
                  <c:v>3.5196588719363743E-2</c:v>
                </c:pt>
                <c:pt idx="365">
                  <c:v>3.5288120198932037E-2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'2028'!$P$15:$P$380</c:f>
              <c:numCache>
                <c:formatCode>0.00%</c:formatCode>
                <c:ptCount val="366"/>
                <c:pt idx="0">
                  <c:v>2.5455404029746891E-4</c:v>
                </c:pt>
                <c:pt idx="1">
                  <c:v>2.4369516203270343E-4</c:v>
                </c:pt>
                <c:pt idx="2">
                  <c:v>2.3297090796998019E-4</c:v>
                </c:pt>
                <c:pt idx="3">
                  <c:v>2.223888150914954E-4</c:v>
                </c:pt>
                <c:pt idx="4">
                  <c:v>2.1195605898108869E-4</c:v>
                </c:pt>
                <c:pt idx="5">
                  <c:v>2.0167941441469201E-4</c:v>
                </c:pt>
                <c:pt idx="6">
                  <c:v>1.9156522136215174E-4</c:v>
                </c:pt>
                <c:pt idx="7">
                  <c:v>1.8161935636586143E-4</c:v>
                </c:pt>
                <c:pt idx="8">
                  <c:v>1.7183235691401816E-4</c:v>
                </c:pt>
                <c:pt idx="9">
                  <c:v>1.6215970305058218E-4</c:v>
                </c:pt>
                <c:pt idx="10">
                  <c:v>1.526195191605977E-4</c:v>
                </c:pt>
                <c:pt idx="11">
                  <c:v>1.4322380118519747E-4</c:v>
                </c:pt>
                <c:pt idx="12">
                  <c:v>1.3398284075372859E-4</c:v>
                </c:pt>
                <c:pt idx="13">
                  <c:v>1.249052824003158E-4</c:v>
                </c:pt>
                <c:pt idx="14">
                  <c:v>1.1599819418190428E-4</c:v>
                </c:pt>
                <c:pt idx="15">
                  <c:v>1.0748072936433003E-4</c:v>
                </c:pt>
                <c:pt idx="16">
                  <c:v>9.9270205517994946E-5</c:v>
                </c:pt>
                <c:pt idx="17">
                  <c:v>9.1365799861639613E-5</c:v>
                </c:pt>
                <c:pt idx="18">
                  <c:v>8.3765517951266453E-5</c:v>
                </c:pt>
                <c:pt idx="19">
                  <c:v>7.646675448403533E-5</c:v>
                </c:pt>
                <c:pt idx="20">
                  <c:v>6.9466015389832517E-5</c:v>
                </c:pt>
                <c:pt idx="21">
                  <c:v>6.2758544440112864E-5</c:v>
                </c:pt>
                <c:pt idx="22">
                  <c:v>5.6331895255352571E-5</c:v>
                </c:pt>
                <c:pt idx="23">
                  <c:v>5.0420513759900259E-5</c:v>
                </c:pt>
                <c:pt idx="24">
                  <c:v>4.5050746750498633E-5</c:v>
                </c:pt>
                <c:pt idx="25">
                  <c:v>4.0211298223324181E-5</c:v>
                </c:pt>
                <c:pt idx="26">
                  <c:v>3.5890189910926981E-5</c:v>
                </c:pt>
                <c:pt idx="27">
                  <c:v>3.2074952789144746E-5</c:v>
                </c:pt>
                <c:pt idx="28">
                  <c:v>2.8752802287666642E-5</c:v>
                </c:pt>
                <c:pt idx="29">
                  <c:v>2.5970120998544162E-5</c:v>
                </c:pt>
                <c:pt idx="30">
                  <c:v>2.3527607727005371E-5</c:v>
                </c:pt>
                <c:pt idx="31">
                  <c:v>2.1416155201128431E-5</c:v>
                </c:pt>
                <c:pt idx="32">
                  <c:v>1.9626741646622751E-5</c:v>
                </c:pt>
                <c:pt idx="33">
                  <c:v>1.8150507466791276E-5</c:v>
                </c:pt>
                <c:pt idx="34">
                  <c:v>1.697882258367796E-5</c:v>
                </c:pt>
                <c:pt idx="35">
                  <c:v>1.6103345211598688E-5</c:v>
                </c:pt>
                <c:pt idx="36">
                  <c:v>1.5514665547638317E-5</c:v>
                </c:pt>
                <c:pt idx="37">
                  <c:v>1.5182197224320122E-5</c:v>
                </c:pt>
                <c:pt idx="38">
                  <c:v>1.4887957187760863E-5</c:v>
                </c:pt>
                <c:pt idx="39">
                  <c:v>1.4631191359023158E-5</c:v>
                </c:pt>
                <c:pt idx="40">
                  <c:v>1.4411146153914888E-5</c:v>
                </c:pt>
                <c:pt idx="41">
                  <c:v>1.4227074990350092E-5</c:v>
                </c:pt>
                <c:pt idx="42">
                  <c:v>1.4078244181968846E-5</c:v>
                </c:pt>
                <c:pt idx="43">
                  <c:v>1.395302238158095E-5</c:v>
                </c:pt>
                <c:pt idx="44">
                  <c:v>1.3799380433951024E-5</c:v>
                </c:pt>
                <c:pt idx="45">
                  <c:v>1.3618238546684634E-5</c:v>
                </c:pt>
                <c:pt idx="46">
                  <c:v>1.3410467396988448E-5</c:v>
                </c:pt>
                <c:pt idx="47">
                  <c:v>1.3176887132762926E-5</c:v>
                </c:pt>
                <c:pt idx="48">
                  <c:v>1.2918266559228333E-5</c:v>
                </c:pt>
                <c:pt idx="49">
                  <c:v>1.2635322447278281E-5</c:v>
                </c:pt>
                <c:pt idx="50">
                  <c:v>1.2328335993010835E-5</c:v>
                </c:pt>
                <c:pt idx="51">
                  <c:v>1.2019245778898198E-5</c:v>
                </c:pt>
                <c:pt idx="52">
                  <c:v>1.1727018796081665E-5</c:v>
                </c:pt>
                <c:pt idx="53">
                  <c:v>1.1451133680386143E-5</c:v>
                </c:pt>
                <c:pt idx="54">
                  <c:v>1.1191155288823494E-5</c:v>
                </c:pt>
                <c:pt idx="55">
                  <c:v>1.0946671962053939E-5</c:v>
                </c:pt>
                <c:pt idx="56">
                  <c:v>1.0717294009451661E-5</c:v>
                </c:pt>
                <c:pt idx="57">
                  <c:v>1.0490035485118382E-5</c:v>
                </c:pt>
                <c:pt idx="58">
                  <c:v>1.0274542200043698E-5</c:v>
                </c:pt>
                <c:pt idx="59">
                  <c:v>1.0070541984748817E-5</c:v>
                </c:pt>
                <c:pt idx="60">
                  <c:v>9.8777780064549369E-6</c:v>
                </c:pt>
                <c:pt idx="61">
                  <c:v>9.6960078653628427E-6</c:v>
                </c:pt>
                <c:pt idx="62">
                  <c:v>9.5250027677333364E-6</c:v>
                </c:pt>
                <c:pt idx="63">
                  <c:v>9.3645467728069206E-6</c:v>
                </c:pt>
                <c:pt idx="64">
                  <c:v>9.2142690715937821E-6</c:v>
                </c:pt>
                <c:pt idx="65">
                  <c:v>9.0559530089930851E-6</c:v>
                </c:pt>
                <c:pt idx="66">
                  <c:v>8.8702313245582751E-6</c:v>
                </c:pt>
                <c:pt idx="67">
                  <c:v>8.6577412960952819E-6</c:v>
                </c:pt>
                <c:pt idx="68">
                  <c:v>8.4190874241033436E-6</c:v>
                </c:pt>
                <c:pt idx="69">
                  <c:v>8.1548378936877098E-6</c:v>
                </c:pt>
                <c:pt idx="70">
                  <c:v>7.865521140473374E-6</c:v>
                </c:pt>
                <c:pt idx="71">
                  <c:v>7.5630865786410132E-6</c:v>
                </c:pt>
                <c:pt idx="72">
                  <c:v>7.2592336257672613E-6</c:v>
                </c:pt>
                <c:pt idx="73">
                  <c:v>6.9539858997616737E-6</c:v>
                </c:pt>
                <c:pt idx="74">
                  <c:v>6.6473452536284709E-6</c:v>
                </c:pt>
                <c:pt idx="75">
                  <c:v>6.3392914140480683E-6</c:v>
                </c:pt>
                <c:pt idx="76">
                  <c:v>6.029781615360184E-6</c:v>
                </c:pt>
                <c:pt idx="77">
                  <c:v>5.7187502231610165E-6</c:v>
                </c:pt>
                <c:pt idx="78">
                  <c:v>5.4058118838508522E-6</c:v>
                </c:pt>
                <c:pt idx="79">
                  <c:v>5.0965001232954628E-6</c:v>
                </c:pt>
                <c:pt idx="80">
                  <c:v>4.8073479828784463E-6</c:v>
                </c:pt>
                <c:pt idx="81">
                  <c:v>4.538068861848596E-6</c:v>
                </c:pt>
                <c:pt idx="82">
                  <c:v>4.2883784431585969E-6</c:v>
                </c:pt>
                <c:pt idx="83">
                  <c:v>4.0579983667853962E-6</c:v>
                </c:pt>
                <c:pt idx="84">
                  <c:v>3.8466597622265316E-6</c:v>
                </c:pt>
                <c:pt idx="85">
                  <c:v>3.6508363832219254E-6</c:v>
                </c:pt>
                <c:pt idx="86">
                  <c:v>3.4595271095114805E-6</c:v>
                </c:pt>
                <c:pt idx="87">
                  <c:v>3.2725928540926031E-6</c:v>
                </c:pt>
                <c:pt idx="88">
                  <c:v>3.089887034513305E-6</c:v>
                </c:pt>
                <c:pt idx="89">
                  <c:v>2.9112563064088642E-6</c:v>
                </c:pt>
                <c:pt idx="90">
                  <c:v>2.7365412404577553E-6</c:v>
                </c:pt>
                <c:pt idx="91">
                  <c:v>2.565576942864343E-6</c:v>
                </c:pt>
                <c:pt idx="92">
                  <c:v>2.3981257604252785E-6</c:v>
                </c:pt>
                <c:pt idx="93">
                  <c:v>2.2371068921637532E-6</c:v>
                </c:pt>
                <c:pt idx="94">
                  <c:v>2.0766694294747331E-6</c:v>
                </c:pt>
                <c:pt idx="95">
                  <c:v>1.9166371930846645E-6</c:v>
                </c:pt>
                <c:pt idx="96">
                  <c:v>1.7568325204932422E-6</c:v>
                </c:pt>
                <c:pt idx="97">
                  <c:v>1.5970761206519381E-6</c:v>
                </c:pt>
                <c:pt idx="98">
                  <c:v>1.4371869455495901E-6</c:v>
                </c:pt>
                <c:pt idx="99">
                  <c:v>1.2832298346605272E-6</c:v>
                </c:pt>
                <c:pt idx="100">
                  <c:v>1.1383601248129011E-6</c:v>
                </c:pt>
                <c:pt idx="101">
                  <c:v>1.0024938772965937E-6</c:v>
                </c:pt>
                <c:pt idx="102">
                  <c:v>8.7556750310696945E-7</c:v>
                </c:pt>
                <c:pt idx="103">
                  <c:v>7.5753801432087873E-7</c:v>
                </c:pt>
                <c:pt idx="104">
                  <c:v>6.4838329416954494E-7</c:v>
                </c:pt>
                <c:pt idx="105">
                  <c:v>5.4810238231173677E-7</c:v>
                </c:pt>
                <c:pt idx="106">
                  <c:v>4.5672652001961391E-7</c:v>
                </c:pt>
                <c:pt idx="107">
                  <c:v>3.7738024603144255E-7</c:v>
                </c:pt>
                <c:pt idx="108">
                  <c:v>3.0684383287224641E-7</c:v>
                </c:pt>
                <c:pt idx="109">
                  <c:v>2.4519621550519785E-7</c:v>
                </c:pt>
                <c:pt idx="110">
                  <c:v>1.9254245864499401E-7</c:v>
                </c:pt>
                <c:pt idx="111">
                  <c:v>1.490124002844328E-7</c:v>
                </c:pt>
                <c:pt idx="112">
                  <c:v>1.1476024443564424E-7</c:v>
                </c:pt>
                <c:pt idx="113">
                  <c:v>8.9965097581188037E-8</c:v>
                </c:pt>
                <c:pt idx="114">
                  <c:v>6.8031047815292645E-8</c:v>
                </c:pt>
                <c:pt idx="115">
                  <c:v>4.9010591076580176E-8</c:v>
                </c:pt>
                <c:pt idx="116">
                  <c:v>3.2964194640285187E-8</c:v>
                </c:pt>
                <c:pt idx="117">
                  <c:v>1.9960172184592712E-8</c:v>
                </c:pt>
                <c:pt idx="118">
                  <c:v>1.0074540114391611E-8</c:v>
                </c:pt>
                <c:pt idx="119">
                  <c:v>3.3908510041289511E-9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-1.2222808551248918E-20</c:v>
                </c:pt>
                <c:pt idx="128">
                  <c:v>0</c:v>
                </c:pt>
                <c:pt idx="129">
                  <c:v>-1.2439520968745455E-20</c:v>
                </c:pt>
                <c:pt idx="130">
                  <c:v>0</c:v>
                </c:pt>
                <c:pt idx="131">
                  <c:v>-1.2665693720788202E-20</c:v>
                </c:pt>
                <c:pt idx="132">
                  <c:v>-1.2782005825439509E-20</c:v>
                </c:pt>
                <c:pt idx="133">
                  <c:v>1.2900283095774275E-20</c:v>
                </c:pt>
                <c:pt idx="134">
                  <c:v>0</c:v>
                </c:pt>
                <c:pt idx="135">
                  <c:v>0</c:v>
                </c:pt>
                <c:pt idx="136">
                  <c:v>-1.326692502046981E-20</c:v>
                </c:pt>
                <c:pt idx="137">
                  <c:v>0</c:v>
                </c:pt>
                <c:pt idx="138">
                  <c:v>0</c:v>
                </c:pt>
                <c:pt idx="139">
                  <c:v>-1.3649188508928938E-20</c:v>
                </c:pt>
                <c:pt idx="140">
                  <c:v>1.3779418004803794E-20</c:v>
                </c:pt>
                <c:pt idx="141">
                  <c:v>1.3910798768833795E-20</c:v>
                </c:pt>
                <c:pt idx="142">
                  <c:v>1.4043172568555057E-20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-1.4984068661935007E-20</c:v>
                </c:pt>
                <c:pt idx="150">
                  <c:v>1.5118919028189246E-20</c:v>
                </c:pt>
                <c:pt idx="151">
                  <c:v>1.5253469461685042E-20</c:v>
                </c:pt>
                <c:pt idx="152">
                  <c:v>-1.5387549871256607E-20</c:v>
                </c:pt>
                <c:pt idx="153">
                  <c:v>-1.5520991147887432E-20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1.7553004544543876E-20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1.8201593705481603E-20</c:v>
                </c:pt>
                <c:pt idx="178">
                  <c:v>1.8284779926067659E-20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-1.9047426725438346E-20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1.977765749232536E-20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8.2540574004998627E-9</c:v>
                </c:pt>
                <c:pt idx="226">
                  <c:v>2.4832833535777864E-8</c:v>
                </c:pt>
                <c:pt idx="227">
                  <c:v>4.9805962623400384E-8</c:v>
                </c:pt>
                <c:pt idx="228">
                  <c:v>8.3241872154808358E-8</c:v>
                </c:pt>
                <c:pt idx="229">
                  <c:v>1.2520758398008024E-7</c:v>
                </c:pt>
                <c:pt idx="230">
                  <c:v>1.7576849713431975E-7</c:v>
                </c:pt>
                <c:pt idx="231">
                  <c:v>2.3498815328045029E-7</c:v>
                </c:pt>
                <c:pt idx="232">
                  <c:v>3.0292438077841959E-7</c:v>
                </c:pt>
                <c:pt idx="233">
                  <c:v>3.9736614005879673E-7</c:v>
                </c:pt>
                <c:pt idx="234">
                  <c:v>5.1850391521784936E-7</c:v>
                </c:pt>
                <c:pt idx="235">
                  <c:v>6.665242654081689E-7</c:v>
                </c:pt>
                <c:pt idx="236">
                  <c:v>8.4161188173700053E-7</c:v>
                </c:pt>
                <c:pt idx="237">
                  <c:v>1.0439509062019427E-6</c:v>
                </c:pt>
                <c:pt idx="238">
                  <c:v>1.273727132609538E-6</c:v>
                </c:pt>
                <c:pt idx="239">
                  <c:v>1.5404159596205515E-6</c:v>
                </c:pt>
                <c:pt idx="240">
                  <c:v>1.835698065535733E-6</c:v>
                </c:pt>
                <c:pt idx="241">
                  <c:v>2.1597817616344042E-6</c:v>
                </c:pt>
                <c:pt idx="242">
                  <c:v>2.5128853849581823E-6</c:v>
                </c:pt>
                <c:pt idx="243">
                  <c:v>2.8952394485837804E-6</c:v>
                </c:pt>
                <c:pt idx="244">
                  <c:v>3.3070888283018891E-6</c:v>
                </c:pt>
                <c:pt idx="245">
                  <c:v>3.7486949886726363E-6</c:v>
                </c:pt>
                <c:pt idx="246">
                  <c:v>4.2201986346997455E-6</c:v>
                </c:pt>
                <c:pt idx="247">
                  <c:v>4.7121740876297657E-6</c:v>
                </c:pt>
                <c:pt idx="248">
                  <c:v>5.2063634374263304E-6</c:v>
                </c:pt>
                <c:pt idx="249">
                  <c:v>5.7027734257976106E-6</c:v>
                </c:pt>
                <c:pt idx="250">
                  <c:v>6.2014195097517798E-6</c:v>
                </c:pt>
                <c:pt idx="251">
                  <c:v>6.7023258290884114E-6</c:v>
                </c:pt>
                <c:pt idx="252">
                  <c:v>7.2055251794306797E-6</c:v>
                </c:pt>
                <c:pt idx="253">
                  <c:v>7.7283387341095327E-6</c:v>
                </c:pt>
                <c:pt idx="254">
                  <c:v>8.2613144392333376E-6</c:v>
                </c:pt>
                <c:pt idx="255">
                  <c:v>8.8045675059656359E-6</c:v>
                </c:pt>
                <c:pt idx="256">
                  <c:v>9.3582232209996501E-6</c:v>
                </c:pt>
                <c:pt idx="257">
                  <c:v>9.9224174008602768E-6</c:v>
                </c:pt>
                <c:pt idx="258">
                  <c:v>1.0497296903144495E-5</c:v>
                </c:pt>
                <c:pt idx="259">
                  <c:v>1.1083020210333546E-5</c:v>
                </c:pt>
                <c:pt idx="260">
                  <c:v>1.1679626554874049E-5</c:v>
                </c:pt>
                <c:pt idx="261">
                  <c:v>1.2318991807529403E-5</c:v>
                </c:pt>
                <c:pt idx="262">
                  <c:v>1.3011250752733535E-5</c:v>
                </c:pt>
                <c:pt idx="263">
                  <c:v>1.3756737890776708E-5</c:v>
                </c:pt>
                <c:pt idx="264">
                  <c:v>1.4555775758194133E-5</c:v>
                </c:pt>
                <c:pt idx="265">
                  <c:v>1.5408754228571754E-5</c:v>
                </c:pt>
                <c:pt idx="266">
                  <c:v>1.631602174501479E-5</c:v>
                </c:pt>
                <c:pt idx="267">
                  <c:v>1.7227358913821135E-5</c:v>
                </c:pt>
                <c:pt idx="268">
                  <c:v>1.8124697355179198E-5</c:v>
                </c:pt>
                <c:pt idx="269">
                  <c:v>1.9007747931926028E-5</c:v>
                </c:pt>
                <c:pt idx="270">
                  <c:v>1.9876200489064035E-5</c:v>
                </c:pt>
                <c:pt idx="271">
                  <c:v>2.0729725276676174E-5</c:v>
                </c:pt>
                <c:pt idx="272">
                  <c:v>2.1567974550892322E-5</c:v>
                </c:pt>
                <c:pt idx="273">
                  <c:v>2.2390584350150595E-5</c:v>
                </c:pt>
                <c:pt idx="274">
                  <c:v>2.3197536657467571E-5</c:v>
                </c:pt>
                <c:pt idx="275">
                  <c:v>2.3958629976689145E-5</c:v>
                </c:pt>
                <c:pt idx="276">
                  <c:v>2.4640200686658895E-5</c:v>
                </c:pt>
                <c:pt idx="277">
                  <c:v>2.5241458046916153E-5</c:v>
                </c:pt>
                <c:pt idx="278">
                  <c:v>2.5761616924210112E-5</c:v>
                </c:pt>
                <c:pt idx="279">
                  <c:v>2.6199905147593597E-5</c:v>
                </c:pt>
                <c:pt idx="280">
                  <c:v>2.6555570805357169E-5</c:v>
                </c:pt>
                <c:pt idx="281">
                  <c:v>2.6884510289524851E-5</c:v>
                </c:pt>
                <c:pt idx="282">
                  <c:v>2.723851988930463E-5</c:v>
                </c:pt>
                <c:pt idx="283">
                  <c:v>2.7617496836454712E-5</c:v>
                </c:pt>
                <c:pt idx="284">
                  <c:v>2.8021326248793072E-5</c:v>
                </c:pt>
                <c:pt idx="285">
                  <c:v>2.8449881095781352E-5</c:v>
                </c:pt>
                <c:pt idx="286">
                  <c:v>2.8903022359684597E-5</c:v>
                </c:pt>
                <c:pt idx="287">
                  <c:v>2.9380599403423858E-5</c:v>
                </c:pt>
                <c:pt idx="288">
                  <c:v>2.9884608112852199E-5</c:v>
                </c:pt>
                <c:pt idx="289">
                  <c:v>3.0386702808044313E-5</c:v>
                </c:pt>
                <c:pt idx="290">
                  <c:v>3.0917162356553863E-5</c:v>
                </c:pt>
                <c:pt idx="291">
                  <c:v>3.1475370755978713E-5</c:v>
                </c:pt>
                <c:pt idx="292">
                  <c:v>3.2060654542333116E-5</c:v>
                </c:pt>
                <c:pt idx="293">
                  <c:v>3.2672274902860426E-5</c:v>
                </c:pt>
                <c:pt idx="294">
                  <c:v>3.3309419804276135E-5</c:v>
                </c:pt>
                <c:pt idx="295">
                  <c:v>3.3924404298831551E-5</c:v>
                </c:pt>
                <c:pt idx="296">
                  <c:v>3.4458812115652776E-5</c:v>
                </c:pt>
                <c:pt idx="297">
                  <c:v>3.4911707057647415E-5</c:v>
                </c:pt>
                <c:pt idx="298">
                  <c:v>3.5281888334458344E-5</c:v>
                </c:pt>
                <c:pt idx="299">
                  <c:v>3.5568184959157388E-5</c:v>
                </c:pt>
                <c:pt idx="300">
                  <c:v>3.5769475336592904E-5</c:v>
                </c:pt>
                <c:pt idx="301">
                  <c:v>3.5884707691149264E-5</c:v>
                </c:pt>
                <c:pt idx="302">
                  <c:v>3.591615424454893E-5</c:v>
                </c:pt>
                <c:pt idx="303">
                  <c:v>3.6010472944081043E-5</c:v>
                </c:pt>
                <c:pt idx="304">
                  <c:v>3.619804404744002E-5</c:v>
                </c:pt>
                <c:pt idx="305">
                  <c:v>3.6478848037385824E-5</c:v>
                </c:pt>
                <c:pt idx="306">
                  <c:v>3.6852837879571598E-5</c:v>
                </c:pt>
                <c:pt idx="307">
                  <c:v>3.7319943783720852E-5</c:v>
                </c:pt>
                <c:pt idx="308">
                  <c:v>3.7880078304159648E-5</c:v>
                </c:pt>
                <c:pt idx="309">
                  <c:v>3.9108143752948963E-5</c:v>
                </c:pt>
                <c:pt idx="310">
                  <c:v>4.1048945377138224E-5</c:v>
                </c:pt>
                <c:pt idx="311">
                  <c:v>4.3700388874270382E-5</c:v>
                </c:pt>
                <c:pt idx="312">
                  <c:v>4.7060255694764813E-5</c:v>
                </c:pt>
                <c:pt idx="313">
                  <c:v>5.1126255882726322E-5</c:v>
                </c:pt>
                <c:pt idx="314">
                  <c:v>5.5896080108608022E-5</c:v>
                </c:pt>
                <c:pt idx="315">
                  <c:v>6.1367449667406335E-5</c:v>
                </c:pt>
                <c:pt idx="316">
                  <c:v>6.7543452316276041E-5</c:v>
                </c:pt>
                <c:pt idx="317">
                  <c:v>7.4862221910294383E-5</c:v>
                </c:pt>
                <c:pt idx="318">
                  <c:v>8.3181059067069339E-5</c:v>
                </c:pt>
                <c:pt idx="319">
                  <c:v>9.2499565156907611E-5</c:v>
                </c:pt>
                <c:pt idx="320">
                  <c:v>1.0281743495635066E-4</c:v>
                </c:pt>
                <c:pt idx="321">
                  <c:v>1.1413423649317536E-4</c:v>
                </c:pt>
                <c:pt idx="322">
                  <c:v>1.2644916415916157E-4</c:v>
                </c:pt>
                <c:pt idx="323">
                  <c:v>1.395846009060782E-4</c:v>
                </c:pt>
                <c:pt idx="324">
                  <c:v>1.5297024832316706E-4</c:v>
                </c:pt>
                <c:pt idx="325">
                  <c:v>1.6660316806608663E-4</c:v>
                </c:pt>
                <c:pt idx="326">
                  <c:v>1.8047775175211972E-4</c:v>
                </c:pt>
                <c:pt idx="327">
                  <c:v>1.9458710830097509E-4</c:v>
                </c:pt>
                <c:pt idx="328">
                  <c:v>2.0892335693602478E-4</c:v>
                </c:pt>
                <c:pt idx="329">
                  <c:v>2.2347665596863592E-4</c:v>
                </c:pt>
                <c:pt idx="330">
                  <c:v>2.3825979477567309E-4</c:v>
                </c:pt>
                <c:pt idx="331">
                  <c:v>2.5338394626055422E-4</c:v>
                </c:pt>
                <c:pt idx="332">
                  <c:v>2.68419140312303E-4</c:v>
                </c:pt>
                <c:pt idx="333">
                  <c:v>2.8336567184073679E-4</c:v>
                </c:pt>
                <c:pt idx="334">
                  <c:v>2.9822290655140171E-4</c:v>
                </c:pt>
                <c:pt idx="335">
                  <c:v>3.1298918714813874E-4</c:v>
                </c:pt>
                <c:pt idx="336">
                  <c:v>3.2766174825151747E-4</c:v>
                </c:pt>
                <c:pt idx="337">
                  <c:v>3.4224119066713553E-4</c:v>
                </c:pt>
                <c:pt idx="338">
                  <c:v>3.5689727729718159E-4</c:v>
                </c:pt>
                <c:pt idx="339">
                  <c:v>3.7162327149500287E-4</c:v>
                </c:pt>
                <c:pt idx="340">
                  <c:v>3.8641105092202004E-4</c:v>
                </c:pt>
                <c:pt idx="341">
                  <c:v>4.0125105571581026E-4</c:v>
                </c:pt>
                <c:pt idx="342">
                  <c:v>4.1613225116846894E-4</c:v>
                </c:pt>
                <c:pt idx="343">
                  <c:v>4.3104210722737891E-4</c:v>
                </c:pt>
                <c:pt idx="344">
                  <c:v>4.4598995117316897E-4</c:v>
                </c:pt>
                <c:pt idx="345">
                  <c:v>4.6098722733288895E-4</c:v>
                </c:pt>
                <c:pt idx="346">
                  <c:v>4.749061468886005E-4</c:v>
                </c:pt>
                <c:pt idx="347">
                  <c:v>4.8773715456976283E-4</c:v>
                </c:pt>
                <c:pt idx="348">
                  <c:v>4.9946996963569411E-4</c:v>
                </c:pt>
                <c:pt idx="349">
                  <c:v>5.1009386133118388E-4</c:v>
                </c:pt>
                <c:pt idx="350">
                  <c:v>5.1959793987423671E-4</c:v>
                </c:pt>
                <c:pt idx="351">
                  <c:v>5.2695105727230528E-4</c:v>
                </c:pt>
                <c:pt idx="352">
                  <c:v>5.3214377047301872E-4</c:v>
                </c:pt>
                <c:pt idx="353">
                  <c:v>5.3517314599381145E-4</c:v>
                </c:pt>
                <c:pt idx="354">
                  <c:v>5.3603874767391201E-4</c:v>
                </c:pt>
                <c:pt idx="355">
                  <c:v>5.3474311148305864E-4</c:v>
                </c:pt>
                <c:pt idx="356">
                  <c:v>5.3128981824636574E-4</c:v>
                </c:pt>
                <c:pt idx="357">
                  <c:v>5.2569036593630111E-4</c:v>
                </c:pt>
                <c:pt idx="358">
                  <c:v>5.1796123649050247E-4</c:v>
                </c:pt>
                <c:pt idx="359">
                  <c:v>5.0812947643909202E-4</c:v>
                </c:pt>
                <c:pt idx="360">
                  <c:v>4.9622871317466129E-4</c:v>
                </c:pt>
                <c:pt idx="361">
                  <c:v>4.8328341922953183E-4</c:v>
                </c:pt>
                <c:pt idx="362">
                  <c:v>4.6931708661789707E-4</c:v>
                </c:pt>
                <c:pt idx="363">
                  <c:v>4.5435509275099236E-4</c:v>
                </c:pt>
                <c:pt idx="364">
                  <c:v>4.3842455910205142E-4</c:v>
                </c:pt>
                <c:pt idx="365">
                  <c:v>4.215541947742128E-4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682616"/>
        <c:axId val="226683008"/>
      </c:lineChart>
      <c:dateAx>
        <c:axId val="2266826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6683008"/>
        <c:crosses val="autoZero"/>
        <c:auto val="1"/>
        <c:lblOffset val="100"/>
        <c:baseTimeUnit val="days"/>
        <c:majorUnit val="1"/>
        <c:majorTimeUnit val="months"/>
      </c:dateAx>
      <c:valAx>
        <c:axId val="22668300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66826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Masques Esp. Berjean Escalquens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Masques!$N$5</c:f>
              <c:numCache>
                <c:formatCode>0.0\°</c:formatCode>
                <c:ptCount val="1"/>
                <c:pt idx="0">
                  <c:v>-9</c:v>
                </c:pt>
              </c:numCache>
            </c:numRef>
          </c:xVal>
          <c:yVal>
            <c:numRef>
              <c:f>Masques!$O$5</c:f>
              <c:numCache>
                <c:formatCode>0.0\°</c:formatCode>
                <c:ptCount val="1"/>
                <c:pt idx="0">
                  <c:v>71.737110057805864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5.2219156633748867</c:v>
                </c:pt>
                <c:pt idx="3">
                  <c:v>11.157919668337167</c:v>
                </c:pt>
                <c:pt idx="4">
                  <c:v>8.1374486751481871</c:v>
                </c:pt>
                <c:pt idx="5">
                  <c:v>7.9197384854156958</c:v>
                </c:pt>
                <c:pt idx="6">
                  <c:v>7.5776376683852336</c:v>
                </c:pt>
                <c:pt idx="7">
                  <c:v>7.1637711302794624</c:v>
                </c:pt>
                <c:pt idx="8">
                  <c:v>12.729050036061903</c:v>
                </c:pt>
                <c:pt idx="9">
                  <c:v>11.7272120327784</c:v>
                </c:pt>
                <c:pt idx="10">
                  <c:v>6.3260839242922309</c:v>
                </c:pt>
                <c:pt idx="11">
                  <c:v>6.1727703746215763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4.6528550946572649</c:v>
                </c:pt>
                <c:pt idx="3">
                  <c:v>10.500061327413402</c:v>
                </c:pt>
                <c:pt idx="4">
                  <c:v>7.396314101635137</c:v>
                </c:pt>
                <c:pt idx="5">
                  <c:v>7.1075060198899331</c:v>
                </c:pt>
                <c:pt idx="6">
                  <c:v>6.71024051897031</c:v>
                </c:pt>
                <c:pt idx="7">
                  <c:v>6.2757974593618986</c:v>
                </c:pt>
                <c:pt idx="8">
                  <c:v>11.860521252755646</c:v>
                </c:pt>
                <c:pt idx="9">
                  <c:v>10.927057158837187</c:v>
                </c:pt>
                <c:pt idx="10">
                  <c:v>5.5559943245756784</c:v>
                </c:pt>
                <c:pt idx="11">
                  <c:v>5.4801599106360444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4.0828730887355711</c:v>
                </c:pt>
                <c:pt idx="3">
                  <c:v>9.8393912492331737</c:v>
                </c:pt>
                <c:pt idx="4">
                  <c:v>6.6526823322888813</c:v>
                </c:pt>
                <c:pt idx="5">
                  <c:v>6.2923921306907911</c:v>
                </c:pt>
                <c:pt idx="6">
                  <c:v>5.839742616145017</c:v>
                </c:pt>
                <c:pt idx="7">
                  <c:v>5.3847867978215485</c:v>
                </c:pt>
                <c:pt idx="8">
                  <c:v>10.986427492331883</c:v>
                </c:pt>
                <c:pt idx="9">
                  <c:v>10.122564518602244</c:v>
                </c:pt>
                <c:pt idx="10">
                  <c:v>4.7838858745297861</c:v>
                </c:pt>
                <c:pt idx="11">
                  <c:v>4.7859392811723982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3.5120804732314168</c:v>
                </c:pt>
                <c:pt idx="3">
                  <c:v>9.1760681401967776</c:v>
                </c:pt>
                <c:pt idx="4">
                  <c:v>5.9067924400693776</c:v>
                </c:pt>
                <c:pt idx="5">
                  <c:v>5.4747130295033122</c:v>
                </c:pt>
                <c:pt idx="6">
                  <c:v>4.9665311523574349</c:v>
                </c:pt>
                <c:pt idx="7">
                  <c:v>4.4911565047130377</c:v>
                </c:pt>
                <c:pt idx="8">
                  <c:v>10.107125718094261</c:v>
                </c:pt>
                <c:pt idx="9">
                  <c:v>9.3140184247584159</c:v>
                </c:pt>
                <c:pt idx="10">
                  <c:v>4.0100320554025108</c:v>
                </c:pt>
                <c:pt idx="11">
                  <c:v>4.0903073516436397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2.9405890345650887</c:v>
                </c:pt>
                <c:pt idx="3">
                  <c:v>8.5102548271826191</c:v>
                </c:pt>
                <c:pt idx="4">
                  <c:v>5.1588880116372096</c:v>
                </c:pt>
                <c:pt idx="5">
                  <c:v>4.6547910977150604</c:v>
                </c:pt>
                <c:pt idx="6">
                  <c:v>4.0910007754558846</c:v>
                </c:pt>
                <c:pt idx="7">
                  <c:v>3.5953314899987467</c:v>
                </c:pt>
                <c:pt idx="8">
                  <c:v>9.2229869641559272</c:v>
                </c:pt>
                <c:pt idx="9">
                  <c:v>8.5017125152339545</c:v>
                </c:pt>
                <c:pt idx="10">
                  <c:v>3.2347101315609446</c:v>
                </c:pt>
                <c:pt idx="11">
                  <c:v>3.3934654601473437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2.3685113890269558</c:v>
                </c:pt>
                <c:pt idx="3">
                  <c:v>7.8421180507542081</c:v>
                </c:pt>
                <c:pt idx="4">
                  <c:v>4.4092166954659682</c:v>
                </c:pt>
                <c:pt idx="5">
                  <c:v>3.8329541591374192</c:v>
                </c:pt>
                <c:pt idx="6">
                  <c:v>3.2135525600095005</c:v>
                </c:pt>
                <c:pt idx="7">
                  <c:v>2.6977430413140722</c:v>
                </c:pt>
                <c:pt idx="8">
                  <c:v>8.3343955641045735</c:v>
                </c:pt>
                <c:pt idx="9">
                  <c:v>7.6859492064215438</c:v>
                </c:pt>
                <c:pt idx="10">
                  <c:v>2.4582005694636244</c:v>
                </c:pt>
                <c:pt idx="11">
                  <c:v>2.6956170767670109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1.7959608513987988</c:v>
                </c:pt>
                <c:pt idx="3">
                  <c:v>7.1718282435623681</c:v>
                </c:pt>
                <c:pt idx="4">
                  <c:v>3.6580297297951274</c:v>
                </c:pt>
                <c:pt idx="5">
                  <c:v>3.009534720153944</c:v>
                </c:pt>
                <c:pt idx="6">
                  <c:v>2.3345929346047982</c:v>
                </c:pt>
                <c:pt idx="7">
                  <c:v>1.7988276048400154</c:v>
                </c:pt>
                <c:pt idx="8">
                  <c:v>7.4417482924628047</c:v>
                </c:pt>
                <c:pt idx="9">
                  <c:v>6.8670390971408422</c:v>
                </c:pt>
                <c:pt idx="10">
                  <c:v>1.6807864393035088</c:v>
                </c:pt>
                <c:pt idx="11">
                  <c:v>1.9969674535532467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1.2230513015028059</c:v>
                </c:pt>
                <c:pt idx="3">
                  <c:v>6.499559294546656</c:v>
                </c:pt>
                <c:pt idx="4">
                  <c:v>2.9055814525657753</c:v>
                </c:pt>
                <c:pt idx="5">
                  <c:v>2.1848691815284993</c:v>
                </c:pt>
                <c:pt idx="6">
                  <c:v>1.4545325720748592</c:v>
                </c:pt>
                <c:pt idx="7">
                  <c:v>1</c:v>
                </c:pt>
                <c:pt idx="8">
                  <c:v>6.5454534225531349</c:v>
                </c:pt>
                <c:pt idx="9">
                  <c:v>6.0453003257386415</c:v>
                </c:pt>
                <c:pt idx="10">
                  <c:v>1</c:v>
                </c:pt>
                <c:pt idx="11">
                  <c:v>1.2977232666605478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1</c:v>
                </c:pt>
                <c:pt idx="3">
                  <c:v>5.825488299638403</c:v>
                </c:pt>
                <c:pt idx="4">
                  <c:v>2.1521287956482373</c:v>
                </c:pt>
                <c:pt idx="5">
                  <c:v>1.3592970264227138</c:v>
                </c:pt>
                <c:pt idx="6">
                  <c:v>1</c:v>
                </c:pt>
                <c:pt idx="7">
                  <c:v>1</c:v>
                </c:pt>
                <c:pt idx="8">
                  <c:v>5.6459297053808024</c:v>
                </c:pt>
                <c:pt idx="9">
                  <c:v>5.2210578832060097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1</c:v>
                </c:pt>
                <c:pt idx="3">
                  <c:v>5.1497952997633121</c:v>
                </c:pt>
                <c:pt idx="4">
                  <c:v>1.3979307658178508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4.7436052751256863</c:v>
                </c:pt>
                <c:pt idx="9">
                  <c:v>4.3946428856571931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1</c:v>
                </c:pt>
                <c:pt idx="3">
                  <c:v>4.4726630070331739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3.8389164877687647</c:v>
                </c:pt>
                <c:pt idx="9">
                  <c:v>3.566391809954824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-189</c:v>
                </c:pt>
                <c:pt idx="1">
                  <c:v>171</c:v>
                </c:pt>
                <c:pt idx="2">
                  <c:v>172</c:v>
                </c:pt>
                <c:pt idx="3">
                  <c:v>172</c:v>
                </c:pt>
                <c:pt idx="4">
                  <c:v>172</c:v>
                </c:pt>
                <c:pt idx="5">
                  <c:v>172</c:v>
                </c:pt>
                <c:pt idx="6">
                  <c:v>172</c:v>
                </c:pt>
                <c:pt idx="7">
                  <c:v>172</c:v>
                </c:pt>
                <c:pt idx="8">
                  <c:v>172</c:v>
                </c:pt>
                <c:pt idx="9">
                  <c:v>172</c:v>
                </c:pt>
                <c:pt idx="10">
                  <c:v>172</c:v>
                </c:pt>
                <c:pt idx="11">
                  <c:v>172</c:v>
                </c:pt>
                <c:pt idx="12">
                  <c:v>172</c:v>
                </c:pt>
                <c:pt idx="13">
                  <c:v>172</c:v>
                </c:pt>
                <c:pt idx="14">
                  <c:v>172</c:v>
                </c:pt>
                <c:pt idx="15">
                  <c:v>172</c:v>
                </c:pt>
                <c:pt idx="16">
                  <c:v>172</c:v>
                </c:pt>
                <c:pt idx="17">
                  <c:v>172</c:v>
                </c:pt>
                <c:pt idx="18">
                  <c:v>172</c:v>
                </c:pt>
                <c:pt idx="19">
                  <c:v>172</c:v>
                </c:pt>
                <c:pt idx="20">
                  <c:v>172</c:v>
                </c:pt>
                <c:pt idx="21">
                  <c:v>172</c:v>
                </c:pt>
                <c:pt idx="22">
                  <c:v>172</c:v>
                </c:pt>
                <c:pt idx="23">
                  <c:v>172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18.262889942194128</c:v>
                </c:pt>
                <c:pt idx="3">
                  <c:v>18.262889942194128</c:v>
                </c:pt>
                <c:pt idx="4">
                  <c:v>18.262889942194128</c:v>
                </c:pt>
                <c:pt idx="5">
                  <c:v>18.262889942194128</c:v>
                </c:pt>
                <c:pt idx="6">
                  <c:v>18.262889942194128</c:v>
                </c:pt>
                <c:pt idx="7">
                  <c:v>18.262889942194128</c:v>
                </c:pt>
                <c:pt idx="8">
                  <c:v>18.262889942194128</c:v>
                </c:pt>
                <c:pt idx="9">
                  <c:v>18.262889942194128</c:v>
                </c:pt>
                <c:pt idx="10">
                  <c:v>18.262889942194128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806024"/>
        <c:axId val="196682424"/>
      </c:scatterChart>
      <c:valAx>
        <c:axId val="182806024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196682424"/>
        <c:crosses val="autoZero"/>
        <c:crossBetween val="midCat"/>
        <c:majorUnit val="30"/>
      </c:valAx>
      <c:valAx>
        <c:axId val="196682424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2806024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0.50572287428576723</c:v>
                </c:pt>
                <c:pt idx="1">
                  <c:v>0.50532281581379923</c:v>
                </c:pt>
                <c:pt idx="2">
                  <c:v>0.50494526823035868</c:v>
                </c:pt>
                <c:pt idx="3">
                  <c:v>0.50458789025208151</c:v>
                </c:pt>
                <c:pt idx="4">
                  <c:v>0.5042486426105478</c:v>
                </c:pt>
                <c:pt idx="5">
                  <c:v>0.50392577826410012</c:v>
                </c:pt>
                <c:pt idx="6">
                  <c:v>0.50361783040899966</c:v>
                </c:pt>
                <c:pt idx="7">
                  <c:v>0.50332359848109409</c:v>
                </c:pt>
                <c:pt idx="8">
                  <c:v>0.50304213235334938</c:v>
                </c:pt>
                <c:pt idx="9">
                  <c:v>0.50277271494657316</c:v>
                </c:pt>
                <c:pt idx="10">
                  <c:v>0.50251484348034037</c:v>
                </c:pt>
                <c:pt idx="11">
                  <c:v>0.5022682095984794</c:v>
                </c:pt>
                <c:pt idx="12">
                  <c:v>0.50203267860843537</c:v>
                </c:pt>
                <c:pt idx="13">
                  <c:v>0.50180826807640544</c:v>
                </c:pt>
                <c:pt idx="14">
                  <c:v>0.5015951260203303</c:v>
                </c:pt>
                <c:pt idx="15">
                  <c:v>0.50139350894068246</c:v>
                </c:pt>
                <c:pt idx="16">
                  <c:v>0.50120375992456212</c:v>
                </c:pt>
                <c:pt idx="17">
                  <c:v>0.50102628705197882</c:v>
                </c:pt>
                <c:pt idx="18">
                  <c:v>0.50086154232446534</c:v>
                </c:pt>
                <c:pt idx="19">
                  <c:v>0.50071000132545829</c:v>
                </c:pt>
                <c:pt idx="20">
                  <c:v>0.50057214380933035</c:v>
                </c:pt>
                <c:pt idx="21">
                  <c:v>0.5004484354017199</c:v>
                </c:pt>
                <c:pt idx="22">
                  <c:v>0.50033931057805758</c:v>
                </c:pt>
                <c:pt idx="23">
                  <c:v>0.50024515707010664</c:v>
                </c:pt>
                <c:pt idx="24">
                  <c:v>0.50016630183211808</c:v>
                </c:pt>
                <c:pt idx="25">
                  <c:v>0.50010299867905028</c:v>
                </c:pt>
                <c:pt idx="26">
                  <c:v>0.50005541768942652</c:v>
                </c:pt>
                <c:pt idx="27">
                  <c:v>0.50002363644501702</c:v>
                </c:pt>
                <c:pt idx="28">
                  <c:v>0.50000763315884711</c:v>
                </c:pt>
                <c:pt idx="29">
                  <c:v>0.50000728172226783</c:v>
                </c:pt>
                <c:pt idx="30">
                  <c:v>0.50002234868118989</c:v>
                </c:pt>
                <c:pt idx="31">
                  <c:v>0.50005249213128744</c:v>
                </c:pt>
                <c:pt idx="32">
                  <c:v>0.50009726250221709</c:v>
                </c:pt>
                <c:pt idx="33">
                  <c:v>0.50015610518187903</c:v>
                </c:pt>
                <c:pt idx="34">
                  <c:v>0.50022836491362632</c:v>
                </c:pt>
                <c:pt idx="35">
                  <c:v>0.50031329188230567</c:v>
                </c:pt>
                <c:pt idx="36">
                  <c:v>0.5004100493892133</c:v>
                </c:pt>
                <c:pt idx="37">
                  <c:v>0.50051772300163511</c:v>
                </c:pt>
                <c:pt idx="38">
                  <c:v>0.50063533104971769</c:v>
                </c:pt>
                <c:pt idx="39">
                  <c:v>0.50076183633210347</c:v>
                </c:pt>
                <c:pt idx="40">
                  <c:v>0.50089615888213179</c:v>
                </c:pt>
                <c:pt idx="41">
                  <c:v>0.50103718963853894</c:v>
                </c:pt>
                <c:pt idx="42">
                  <c:v>0.50118380485851821</c:v>
                </c:pt>
                <c:pt idx="43">
                  <c:v>0.50133488110675972</c:v>
                </c:pt>
                <c:pt idx="44">
                  <c:v>0.50148931065168578</c:v>
                </c:pt>
                <c:pt idx="45">
                  <c:v>0.50164601709951107</c:v>
                </c:pt>
                <c:pt idx="46">
                  <c:v>0.50180397109796426</c:v>
                </c:pt>
                <c:pt idx="47">
                  <c:v>0.5019622059444524</c:v>
                </c:pt>
                <c:pt idx="48">
                  <c:v>0.50211983293805695</c:v>
                </c:pt>
                <c:pt idx="49">
                  <c:v>0.50227605632094996</c:v>
                </c:pt>
                <c:pt idx="50">
                  <c:v>0.50243018766248881</c:v>
                </c:pt>
                <c:pt idx="51">
                  <c:v>0.50258165954828615</c:v>
                </c:pt>
                <c:pt idx="52">
                  <c:v>0.50273003844682362</c:v>
                </c:pt>
                <c:pt idx="53">
                  <c:v>0.50287503663753919</c:v>
                </c:pt>
                <c:pt idx="54">
                  <c:v>0.50301652309662848</c:v>
                </c:pt>
                <c:pt idx="55">
                  <c:v>0.5031545332498869</c:v>
                </c:pt>
                <c:pt idx="56">
                  <c:v>0.50328927751563424</c:v>
                </c:pt>
                <c:pt idx="57">
                  <c:v>0.50342114857492537</c:v>
                </c:pt>
                <c:pt idx="58">
                  <c:v>0.50355072732069706</c:v>
                </c:pt>
                <c:pt idx="59">
                  <c:v>0.50367878745206141</c:v>
                </c:pt>
                <c:pt idx="60">
                  <c:v>0.50380629869445648</c:v>
                </c:pt>
                <c:pt idx="61">
                  <c:v>0.50393442864065063</c:v>
                </c:pt>
                <c:pt idx="62">
                  <c:v>0.50406454322149952</c:v>
                </c:pt>
                <c:pt idx="63">
                  <c:v>0.50419820582872832</c:v>
                </c:pt>
                <c:pt idx="64">
                  <c:v>0.50433717512471332</c:v>
                </c:pt>
                <c:pt idx="65">
                  <c:v>0.50448340158613203</c:v>
                </c:pt>
                <c:pt idx="66">
                  <c:v>0.5046390228393236</c:v>
                </c:pt>
                <c:pt idx="67">
                  <c:v>0.50480635785513883</c:v>
                </c:pt>
                <c:pt idx="68">
                  <c:v>0.50498790007987349</c:v>
                </c:pt>
                <c:pt idx="69">
                  <c:v>0.50518630958649502</c:v>
                </c:pt>
                <c:pt idx="70">
                  <c:v>0.50540440433671407</c:v>
                </c:pt>
                <c:pt idx="71">
                  <c:v>0.50564515064949966</c:v>
                </c:pt>
                <c:pt idx="72">
                  <c:v>0.50591165297533158</c:v>
                </c:pt>
                <c:pt idx="73">
                  <c:v>0.50620714307783987</c:v>
                </c:pt>
                <c:pt idx="74">
                  <c:v>0.5065349687254842</c:v>
                </c:pt>
                <c:pt idx="75">
                  <c:v>0.50689858199561411</c:v>
                </c:pt>
                <c:pt idx="76">
                  <c:v>0.50730152729164557</c:v>
                </c:pt>
                <c:pt idx="77">
                  <c:v>0.50774742917125781</c:v>
                </c:pt>
                <c:pt idx="78">
                  <c:v>0.5082399800795161</c:v>
                </c:pt>
                <c:pt idx="79">
                  <c:v>0.50878292807574432</c:v>
                </c:pt>
                <c:pt idx="80">
                  <c:v>0.50938006463690155</c:v>
                </c:pt>
                <c:pt idx="81">
                  <c:v>0.51003521261326679</c:v>
                </c:pt>
                <c:pt idx="82">
                  <c:v>0.51075221440451068</c:v>
                </c:pt>
                <c:pt idx="83">
                  <c:v>0.51153492041587412</c:v>
                </c:pt>
                <c:pt idx="84">
                  <c:v>0.51238717784529242</c:v>
                </c:pt>
                <c:pt idx="85">
                  <c:v>0.51331281984304977</c:v>
                </c:pt>
                <c:pt idx="86">
                  <c:v>0.51431565507605703</c:v>
                </c:pt>
                <c:pt idx="87">
                  <c:v>0.51539945771925288</c:v>
                </c:pt>
                <c:pt idx="88">
                  <c:v>0.51656795788708476</c:v>
                </c:pt>
                <c:pt idx="89">
                  <c:v>0.51782483250866063</c:v>
                </c:pt>
                <c:pt idx="90">
                  <c:v>0.51917369664111657</c:v>
                </c:pt>
                <c:pt idx="91">
                  <c:v>0.52061809520715085</c:v>
                </c:pt>
                <c:pt idx="92">
                  <c:v>0.52216149513464727</c:v>
                </c:pt>
                <c:pt idx="93">
                  <c:v>0.52380727786897496</c:v>
                </c:pt>
                <c:pt idx="94">
                  <c:v>0.52555873222200544</c:v>
                </c:pt>
                <c:pt idx="95">
                  <c:v>0.5274190475162287</c:v>
                </c:pt>
                <c:pt idx="96">
                  <c:v>0.5293913069776609</c:v>
                </c:pt>
                <c:pt idx="97">
                  <c:v>0.53147848132757958</c:v>
                </c:pt>
                <c:pt idx="98">
                  <c:v>0.53368342252056578</c:v>
                </c:pt>
                <c:pt idx="99">
                  <c:v>0.53600885757489669</c:v>
                </c:pt>
                <c:pt idx="100">
                  <c:v>0.5384573824410599</c:v>
                </c:pt>
                <c:pt idx="101">
                  <c:v>0.54103145585505263</c:v>
                </c:pt>
                <c:pt idx="102">
                  <c:v>0.54373339312516933</c:v>
                </c:pt>
                <c:pt idx="103">
                  <c:v>0.54656535980417187</c:v>
                </c:pt>
                <c:pt idx="104">
                  <c:v>0.54952936520300688</c:v>
                </c:pt>
                <c:pt idx="105">
                  <c:v>0.55262725570755977</c:v>
                </c:pt>
                <c:pt idx="106">
                  <c:v>0.55586070786623254</c:v>
                </c:pt>
                <c:pt idx="107">
                  <c:v>0.55923122122331848</c:v>
                </c:pt>
                <c:pt idx="108">
                  <c:v>0.56274011088114417</c:v>
                </c:pt>
                <c:pt idx="109">
                  <c:v>0.56638849978262629</c:v>
                </c:pt>
                <c:pt idx="110">
                  <c:v>0.57017731071516031</c:v>
                </c:pt>
                <c:pt idx="111">
                  <c:v>0.57410725804646978</c:v>
                </c:pt>
                <c:pt idx="112">
                  <c:v>0.57817883921308411</c:v>
                </c:pt>
                <c:pt idx="113">
                  <c:v>0.5823923259923296</c:v>
                </c:pt>
                <c:pt idx="114">
                  <c:v>0.58674775559897863</c:v>
                </c:pt>
                <c:pt idx="115">
                  <c:v>0.59124492165785514</c:v>
                </c:pt>
                <c:pt idx="116">
                  <c:v>0.59588336511359419</c:v>
                </c:pt>
                <c:pt idx="117">
                  <c:v>0.60066236514825999</c:v>
                </c:pt>
                <c:pt idx="118">
                  <c:v>0.60558093018649406</c:v>
                </c:pt>
                <c:pt idx="119">
                  <c:v>0.61063778907615396</c:v>
                </c:pt>
                <c:pt idx="120">
                  <c:v>0.6158313825398869</c:v>
                </c:pt>
                <c:pt idx="121">
                  <c:v>0.62115985499963711</c:v>
                </c:pt>
                <c:pt idx="122">
                  <c:v>0.62662104688158959</c:v>
                </c:pt>
                <c:pt idx="123">
                  <c:v>0.63221248751341552</c:v>
                </c:pt>
                <c:pt idx="124">
                  <c:v>0.63793138872880584</c:v>
                </c:pt>
                <c:pt idx="125">
                  <c:v>0.64377463929608303</c:v>
                </c:pt>
                <c:pt idx="126">
                  <c:v>0.64973880028810904</c:v>
                </c:pt>
                <c:pt idx="127">
                  <c:v>0.65582010150971071</c:v>
                </c:pt>
                <c:pt idx="128">
                  <c:v>0.6620144390963838</c:v>
                </c:pt>
                <c:pt idx="129">
                  <c:v>0.66831737439411343</c:v>
                </c:pt>
                <c:pt idx="130">
                  <c:v>0.67472413422475319</c:v>
                </c:pt>
                <c:pt idx="131">
                  <c:v>0.68122961263456139</c:v>
                </c:pt>
                <c:pt idx="132">
                  <c:v>0.68782837421524001</c:v>
                </c:pt>
                <c:pt idx="133">
                  <c:v>0.69451465907721122</c:v>
                </c:pt>
                <c:pt idx="134">
                  <c:v>0.70128238954397093</c:v>
                </c:pt>
                <c:pt idx="135">
                  <c:v>0.70812517862426905</c:v>
                </c:pt>
                <c:pt idx="136">
                  <c:v>0.71503634030567198</c:v>
                </c:pt>
                <c:pt idx="137">
                  <c:v>0.72200890169890197</c:v>
                </c:pt>
                <c:pt idx="138">
                  <c:v>0.72903561704732533</c:v>
                </c:pt>
                <c:pt idx="139">
                  <c:v>0.73610898360023957</c:v>
                </c:pt>
                <c:pt idx="140">
                  <c:v>0.74322125933233163</c:v>
                </c:pt>
                <c:pt idx="141">
                  <c:v>0.75036448247499921</c:v>
                </c:pt>
                <c:pt idx="142">
                  <c:v>0.7575304928083314</c:v>
                </c:pt>
                <c:pt idx="143">
                  <c:v>0.7647109546455817</c:v>
                </c:pt>
                <c:pt idx="144">
                  <c:v>0.77189738142514019</c:v>
                </c:pt>
                <c:pt idx="145">
                  <c:v>0.77908116180847387</c:v>
                </c:pt>
                <c:pt idx="146">
                  <c:v>0.78625358716645866</c:v>
                </c:pt>
                <c:pt idx="147">
                  <c:v>0.79340588032111792</c:v>
                </c:pt>
                <c:pt idx="148">
                  <c:v>0.80052922539522431</c:v>
                </c:pt>
                <c:pt idx="149">
                  <c:v>0.80761479860862817</c:v>
                </c:pt>
                <c:pt idx="150">
                  <c:v>0.81465379984775699</c:v>
                </c:pt>
                <c:pt idx="151">
                  <c:v>0.82163748482358545</c:v>
                </c:pt>
                <c:pt idx="152">
                  <c:v>0.82855719762368418</c:v>
                </c:pt>
                <c:pt idx="153">
                  <c:v>0.83540440345579769</c:v>
                </c:pt>
                <c:pt idx="154">
                  <c:v>0.84217072137392845</c:v>
                </c:pt>
                <c:pt idx="155">
                  <c:v>0.84884795677317237</c:v>
                </c:pt>
                <c:pt idx="156">
                  <c:v>0.8554281334366628</c:v>
                </c:pt>
                <c:pt idx="157">
                  <c:v>0.86190352491696698</c:v>
                </c:pt>
                <c:pt idx="158">
                  <c:v>0.86826668503521454</c:v>
                </c:pt>
                <c:pt idx="159">
                  <c:v>0.87451047728410136</c:v>
                </c:pt>
                <c:pt idx="160">
                  <c:v>0.8806281029257399</c:v>
                </c:pt>
                <c:pt idx="161">
                  <c:v>0.88661312758207367</c:v>
                </c:pt>
                <c:pt idx="162">
                  <c:v>0.89245950612421099</c:v>
                </c:pt>
                <c:pt idx="163">
                  <c:v>0.89816160567750636</c:v>
                </c:pt>
                <c:pt idx="164">
                  <c:v>0.90371422657142475</c:v>
                </c:pt>
                <c:pt idx="165">
                  <c:v>0.90911262107710678</c:v>
                </c:pt>
                <c:pt idx="166">
                  <c:v>0.91435250979095462</c:v>
                </c:pt>
                <c:pt idx="167">
                  <c:v>0.91943009553937594</c:v>
                </c:pt>
                <c:pt idx="168">
                  <c:v>0.92434207469790586</c:v>
                </c:pt>
                <c:pt idx="169">
                  <c:v>0.92908564583709452</c:v>
                </c:pt>
                <c:pt idx="170">
                  <c:v>0.933658515627666</c:v>
                </c:pt>
                <c:pt idx="171">
                  <c:v>0.93805890195828834</c:v>
                </c:pt>
                <c:pt idx="172">
                  <c:v>0.94228553424070394</c:v>
                </c:pt>
                <c:pt idx="173">
                  <c:v>0.94633765089871835</c:v>
                </c:pt>
                <c:pt idx="174">
                  <c:v>0.95021499405944543</c:v>
                </c:pt>
                <c:pt idx="175">
                  <c:v>0.95391780148704419</c:v>
                </c:pt>
                <c:pt idx="176">
                  <c:v>0.95744679582076797</c:v>
                </c:pt>
                <c:pt idx="177">
                  <c:v>0.96080317120023606</c:v>
                </c:pt>
                <c:pt idx="178">
                  <c:v>0.96398857738127686</c:v>
                </c:pt>
                <c:pt idx="179">
                  <c:v>0.96700510146524432</c:v>
                </c:pt>
                <c:pt idx="180">
                  <c:v>0.96985524738320317</c:v>
                </c:pt>
                <c:pt idx="181">
                  <c:v>0.97254191329364881</c:v>
                </c:pt>
                <c:pt idx="182">
                  <c:v>0.97506836706826228</c:v>
                </c:pt>
                <c:pt idx="183">
                  <c:v>0.97743822005450909</c:v>
                </c:pt>
                <c:pt idx="184">
                  <c:v>0.97965539931646983</c:v>
                </c:pt>
                <c:pt idx="185">
                  <c:v>0.98172411856607344</c:v>
                </c:pt>
                <c:pt idx="186">
                  <c:v>0.98364884800573926</c:v>
                </c:pt>
                <c:pt idx="187">
                  <c:v>0.98543428331027694</c:v>
                </c:pt>
                <c:pt idx="188">
                  <c:v>0.98708531398064359</c:v>
                </c:pt>
                <c:pt idx="189">
                  <c:v>0.98860699130480645</c:v>
                </c:pt>
                <c:pt idx="190">
                  <c:v>0.99000449616144037</c:v>
                </c:pt>
                <c:pt idx="191">
                  <c:v>0.99128310690055033</c:v>
                </c:pt>
                <c:pt idx="192">
                  <c:v>0.9924481675313197</c:v>
                </c:pt>
                <c:pt idx="193">
                  <c:v>0.99350505644163523</c:v>
                </c:pt>
                <c:pt idx="194">
                  <c:v>0.99445915586584843</c:v>
                </c:pt>
                <c:pt idx="195">
                  <c:v>0.99531582230751603</c:v>
                </c:pt>
                <c:pt idx="196">
                  <c:v>0.9960803581122053</c:v>
                </c:pt>
                <c:pt idx="197">
                  <c:v>0.9967579843720783</c:v>
                </c:pt>
                <c:pt idx="198">
                  <c:v>0.99735381532902678</c:v>
                </c:pt>
                <c:pt idx="199">
                  <c:v>0.99787283442676245</c:v>
                </c:pt>
                <c:pt idx="200">
                  <c:v>0.9983198721446559</c:v>
                </c:pt>
                <c:pt idx="201">
                  <c:v>0.99869958572743278</c:v>
                </c:pt>
                <c:pt idx="202">
                  <c:v>0.99901644090528263</c:v>
                </c:pt>
                <c:pt idx="203">
                  <c:v>0.99927469567870597</c:v>
                </c:pt>
                <c:pt idx="204">
                  <c:v>0.99947838622173213</c:v>
                </c:pt>
                <c:pt idx="205">
                  <c:v>0.99963131493620416</c:v>
                </c:pt>
                <c:pt idx="206">
                  <c:v>0.99973704066884461</c:v>
                </c:pt>
                <c:pt idx="207">
                  <c:v>0.99979887108202736</c:v>
                </c:pt>
                <c:pt idx="208">
                  <c:v>0.99981985714877841</c:v>
                </c:pt>
                <c:pt idx="209">
                  <c:v>0.99980278972274117</c:v>
                </c:pt>
                <c:pt idx="210">
                  <c:v>0.99975019811484467</c:v>
                </c:pt>
                <c:pt idx="211">
                  <c:v>0.99966435059044079</c:v>
                </c:pt>
                <c:pt idx="212">
                  <c:v>0.99954725668386502</c:v>
                </c:pt>
                <c:pt idx="213">
                  <c:v>0.9994006712119361</c:v>
                </c:pt>
                <c:pt idx="214">
                  <c:v>0.99922609985397437</c:v>
                </c:pt>
                <c:pt idx="215">
                  <c:v>0.99902480615362221</c:v>
                </c:pt>
                <c:pt idx="216">
                  <c:v>0.99879781978725124</c:v>
                </c:pt>
                <c:pt idx="217">
                  <c:v>0.9985459459350885</c:v>
                </c:pt>
                <c:pt idx="218">
                  <c:v>0.99826977558451058</c:v>
                </c:pt>
                <c:pt idx="219">
                  <c:v>0.99796969659029156</c:v>
                </c:pt>
                <c:pt idx="220">
                  <c:v>0.99764590531397745</c:v>
                </c:pt>
                <c:pt idx="221">
                  <c:v>0.99729841866402535</c:v>
                </c:pt>
                <c:pt idx="222">
                  <c:v>0.99692708635987759</c:v>
                </c:pt>
                <c:pt idx="223">
                  <c:v>0.99653160324671708</c:v>
                </c:pt>
                <c:pt idx="224">
                  <c:v>0.99611152149321724</c:v>
                </c:pt>
                <c:pt idx="225">
                  <c:v>0.99566626251208401</c:v>
                </c:pt>
                <c:pt idx="226">
                  <c:v>0.99519512845250613</c:v>
                </c:pt>
                <c:pt idx="227">
                  <c:v>0.99469731312465792</c:v>
                </c:pt>
                <c:pt idx="228">
                  <c:v>0.99417191222901158</c:v>
                </c:pt>
                <c:pt idx="229">
                  <c:v>0.99361793277727073</c:v>
                </c:pt>
                <c:pt idx="230">
                  <c:v>0.99303430160705308</c:v>
                </c:pt>
                <c:pt idx="231">
                  <c:v>0.9924198729088658</c:v>
                </c:pt>
                <c:pt idx="232">
                  <c:v>0.99177343470123258</c:v>
                </c:pt>
                <c:pt idx="233">
                  <c:v>0.99109371420784087</c:v>
                </c:pt>
                <c:pt idx="234">
                  <c:v>0.9903793821090876</c:v>
                </c:pt>
                <c:pt idx="235">
                  <c:v>0.98962905565918069</c:v>
                </c:pt>
                <c:pt idx="236">
                  <c:v>0.98884130067878195</c:v>
                </c:pt>
                <c:pt idx="237">
                  <c:v>0.98801463245186594</c:v>
                </c:pt>
                <c:pt idx="238">
                  <c:v>0.98714751557373748</c:v>
                </c:pt>
                <c:pt idx="239">
                  <c:v>0.98623836281486477</c:v>
                </c:pt>
                <c:pt idx="240">
                  <c:v>0.98528553308204958</c:v>
                </c:pt>
                <c:pt idx="241">
                  <c:v>0.98428732857434864</c:v>
                </c:pt>
                <c:pt idx="242">
                  <c:v>0.98324199124582012</c:v>
                </c:pt>
                <c:pt idx="243">
                  <c:v>0.9821476987004818</c:v>
                </c:pt>
                <c:pt idx="244">
                  <c:v>0.98100255965661098</c:v>
                </c:pt>
                <c:pt idx="245">
                  <c:v>0.97980460912758693</c:v>
                </c:pt>
                <c:pt idx="246">
                  <c:v>0.9785518034747176</c:v>
                </c:pt>
                <c:pt idx="247">
                  <c:v>0.97724201549381062</c:v>
                </c:pt>
                <c:pt idx="248">
                  <c:v>0.975873029701537</c:v>
                </c:pt>
                <c:pt idx="249">
                  <c:v>0.97444253798984359</c:v>
                </c:pt>
                <c:pt idx="250">
                  <c:v>0.97294813581674267</c:v>
                </c:pt>
                <c:pt idx="251">
                  <c:v>0.97138731909971887</c:v>
                </c:pt>
                <c:pt idx="252">
                  <c:v>0.96975748197375844</c:v>
                </c:pt>
                <c:pt idx="253">
                  <c:v>0.96805591556963244</c:v>
                </c:pt>
                <c:pt idx="254">
                  <c:v>0.96627980795962354</c:v>
                </c:pt>
                <c:pt idx="255">
                  <c:v>0.96442624540742083</c:v>
                </c:pt>
                <c:pt idx="256">
                  <c:v>0.96249221504654114</c:v>
                </c:pt>
                <c:pt idx="257">
                  <c:v>0.96047460909746163</c:v>
                </c:pt>
                <c:pt idx="258">
                  <c:v>0.95837023071782013</c:v>
                </c:pt>
                <c:pt idx="259">
                  <c:v>0.95617580156270332</c:v>
                </c:pt>
                <c:pt idx="260">
                  <c:v>0.95388797111337031</c:v>
                </c:pt>
                <c:pt idx="261">
                  <c:v>0.95150332781295988</c:v>
                </c:pt>
                <c:pt idx="262">
                  <c:v>0.94901841202696879</c:v>
                </c:pt>
                <c:pt idx="263">
                  <c:v>0.94642973082482862</c:v>
                </c:pt>
                <c:pt idx="264">
                  <c:v>0.94373377455694141</c:v>
                </c:pt>
                <c:pt idx="265">
                  <c:v>0.94092703517929532</c:v>
                </c:pt>
                <c:pt idx="266">
                  <c:v>0.93800602625553786</c:v>
                </c:pt>
                <c:pt idx="267">
                  <c:v>0.93496730454433918</c:v>
                </c:pt>
                <c:pt idx="268">
                  <c:v>0.93180749305828814</c:v>
                </c:pt>
                <c:pt idx="269">
                  <c:v>0.92852330545969419</c:v>
                </c:pt>
                <c:pt idx="270">
                  <c:v>0.92511157163868418</c:v>
                </c:pt>
                <c:pt idx="271">
                  <c:v>0.92156926430020425</c:v>
                </c:pt>
                <c:pt idx="272">
                  <c:v>0.91789352636908417</c:v>
                </c:pt>
                <c:pt idx="273">
                  <c:v>0.91408169900647795</c:v>
                </c:pt>
                <c:pt idx="274">
                  <c:v>0.91013135001690548</c:v>
                </c:pt>
                <c:pt idx="275">
                  <c:v>0.90604030241295674</c:v>
                </c:pt>
                <c:pt idx="276">
                  <c:v>0.90180666289468681</c:v>
                </c:pt>
                <c:pt idx="277">
                  <c:v>0.89742884999288841</c:v>
                </c:pt>
                <c:pt idx="278">
                  <c:v>0.89290562161996168</c:v>
                </c:pt>
                <c:pt idx="279">
                  <c:v>0.88823610176906076</c:v>
                </c:pt>
                <c:pt idx="280">
                  <c:v>0.88341980610164639</c:v>
                </c:pt>
                <c:pt idx="281">
                  <c:v>0.87845666616559814</c:v>
                </c:pt>
                <c:pt idx="282">
                  <c:v>0.8733470519905957</c:v>
                </c:pt>
                <c:pt idx="283">
                  <c:v>0.86809179281460946</c:v>
                </c:pt>
                <c:pt idx="284">
                  <c:v>0.86269219570498645</c:v>
                </c:pt>
                <c:pt idx="285">
                  <c:v>0.85715006184970932</c:v>
                </c:pt>
                <c:pt idx="286">
                  <c:v>0.85146770030889862</c:v>
                </c:pt>
                <c:pt idx="287">
                  <c:v>0.84564793903334845</c:v>
                </c:pt>
                <c:pt idx="288">
                  <c:v>0.839694132975772</c:v>
                </c:pt>
                <c:pt idx="289">
                  <c:v>0.83361016914127317</c:v>
                </c:pt>
                <c:pt idx="290">
                  <c:v>0.82740046844619153</c:v>
                </c:pt>
                <c:pt idx="291">
                  <c:v>0.82106998427873479</c:v>
                </c:pt>
                <c:pt idx="292">
                  <c:v>0.81462419768042005</c:v>
                </c:pt>
                <c:pt idx="293">
                  <c:v>0.80806910909415341</c:v>
                </c:pt>
                <c:pt idx="294">
                  <c:v>0.80141122665248798</c:v>
                </c:pt>
                <c:pt idx="295">
                  <c:v>0.79465755100796143</c:v>
                </c:pt>
                <c:pt idx="296">
                  <c:v>0.7878155567362094</c:v>
                </c:pt>
                <c:pt idx="297">
                  <c:v>0.78089317037145478</c:v>
                </c:pt>
                <c:pt idx="298">
                  <c:v>0.77389874516275903</c:v>
                </c:pt>
                <c:pt idx="299">
                  <c:v>0.76684103266780501</c:v>
                </c:pt>
                <c:pt idx="300">
                  <c:v>0.75972915132866659</c:v>
                </c:pt>
                <c:pt idx="301">
                  <c:v>0.7525725522008142</c:v>
                </c:pt>
                <c:pt idx="302">
                  <c:v>0.74538098203215064</c:v>
                </c:pt>
                <c:pt idx="303">
                  <c:v>0.73816444391302316</c:v>
                </c:pt>
                <c:pt idx="304">
                  <c:v>0.73093315574060769</c:v>
                </c:pt>
                <c:pt idx="305">
                  <c:v>0.72369750676161737</c:v>
                </c:pt>
                <c:pt idx="306">
                  <c:v>0.7164680124757643</c:v>
                </c:pt>
                <c:pt idx="307">
                  <c:v>0.7092552681985711</c:v>
                </c:pt>
                <c:pt idx="308">
                  <c:v>0.70206990159587879</c:v>
                </c:pt>
                <c:pt idx="309">
                  <c:v>0.69492252451354586</c:v>
                </c:pt>
                <c:pt idx="310">
                  <c:v>0.68782368443427799</c:v>
                </c:pt>
                <c:pt idx="311">
                  <c:v>0.68078381589920012</c:v>
                </c:pt>
                <c:pt idx="312">
                  <c:v>0.6738131922345636</c:v>
                </c:pt>
                <c:pt idx="313">
                  <c:v>0.66692187792389579</c:v>
                </c:pt>
                <c:pt idx="314">
                  <c:v>0.66011968196288662</c:v>
                </c:pt>
                <c:pt idx="315">
                  <c:v>0.65341611252840293</c:v>
                </c:pt>
                <c:pt idx="316">
                  <c:v>0.64682033328426958</c:v>
                </c:pt>
                <c:pt idx="317">
                  <c:v>0.64034112163493384</c:v>
                </c:pt>
                <c:pt idx="318">
                  <c:v>0.63398682922389349</c:v>
                </c:pt>
                <c:pt idx="319">
                  <c:v>0.62776534495701308</c:v>
                </c:pt>
                <c:pt idx="320">
                  <c:v>0.62168406081163563</c:v>
                </c:pt>
                <c:pt idx="321">
                  <c:v>0.61574984067096328</c:v>
                </c:pt>
                <c:pt idx="322">
                  <c:v>0.60996899239967906</c:v>
                </c:pt>
                <c:pt idx="323">
                  <c:v>0.60434724335141232</c:v>
                </c:pt>
                <c:pt idx="324">
                  <c:v>0.598889719471694</c:v>
                </c:pt>
                <c:pt idx="325">
                  <c:v>0.59360092813166976</c:v>
                </c:pt>
                <c:pt idx="326">
                  <c:v>0.58848474479836355</c:v>
                </c:pt>
                <c:pt idx="327">
                  <c:v>0.58354440361693261</c:v>
                </c:pt>
                <c:pt idx="328">
                  <c:v>0.57878249194941001</c:v>
                </c:pt>
                <c:pt idx="329">
                  <c:v>0.57420094888319018</c:v>
                </c:pt>
                <c:pt idx="330">
                  <c:v>0.56980106769121786</c:v>
                </c:pt>
                <c:pt idx="331">
                  <c:v>0.56558350219481845</c:v>
                </c:pt>
                <c:pt idx="332">
                  <c:v>0.56154827694959564</c:v>
                </c:pt>
                <c:pt idx="333">
                  <c:v>0.55769480114511016</c:v>
                </c:pt>
                <c:pt idx="334">
                  <c:v>0.55402188608041736</c:v>
                </c:pt>
                <c:pt idx="335">
                  <c:v>0.55052776605019982</c:v>
                </c:pt>
                <c:pt idx="336">
                  <c:v>0.54721012245046285</c:v>
                </c:pt>
                <c:pt idx="337">
                  <c:v>0.54406611088876966</c:v>
                </c:pt>
                <c:pt idx="338">
                  <c:v>0.54109239106197982</c:v>
                </c:pt>
                <c:pt idx="339">
                  <c:v>0.53828515914463693</c:v>
                </c:pt>
                <c:pt idx="340">
                  <c:v>0.53564018241365929</c:v>
                </c:pt>
                <c:pt idx="341">
                  <c:v>0.53315283581999529</c:v>
                </c:pt>
                <c:pt idx="342">
                  <c:v>0.53081814020552298</c:v>
                </c:pt>
                <c:pt idx="343">
                  <c:v>0.52863080185378175</c:v>
                </c:pt>
                <c:pt idx="344">
                  <c:v>0.52658525305622883</c:v>
                </c:pt>
                <c:pt idx="345">
                  <c:v>0.52467569337161468</c:v>
                </c:pt>
                <c:pt idx="346">
                  <c:v>0.52289613125482126</c:v>
                </c:pt>
                <c:pt idx="347">
                  <c:v>0.52124042573307883</c:v>
                </c:pt>
                <c:pt idx="348">
                  <c:v>0.51970232781182812</c:v>
                </c:pt>
                <c:pt idx="349">
                  <c:v>0.51827552129958876</c:v>
                </c:pt>
                <c:pt idx="350">
                  <c:v>0.51695366275090715</c:v>
                </c:pt>
                <c:pt idx="351">
                  <c:v>0.51573042023871185</c:v>
                </c:pt>
                <c:pt idx="352">
                  <c:v>0.51459951068204202</c:v>
                </c:pt>
                <c:pt idx="353">
                  <c:v>0.51355473547198693</c:v>
                </c:pt>
                <c:pt idx="354">
                  <c:v>0.51259001415760874</c:v>
                </c:pt>
                <c:pt idx="355">
                  <c:v>0.51169941597441659</c:v>
                </c:pt>
                <c:pt idx="356">
                  <c:v>0.51087718902040757</c:v>
                </c:pt>
                <c:pt idx="357">
                  <c:v>0.51011778690856846</c:v>
                </c:pt>
                <c:pt idx="358">
                  <c:v>0.5094158927498017</c:v>
                </c:pt>
                <c:pt idx="359">
                  <c:v>0.50876644034625396</c:v>
                </c:pt>
                <c:pt idx="360">
                  <c:v>0.5081646325017376</c:v>
                </c:pt>
                <c:pt idx="361">
                  <c:v>0.50760595638308248</c:v>
                </c:pt>
                <c:pt idx="362">
                  <c:v>0.50708619589358506</c:v>
                </c:pt>
                <c:pt idx="363">
                  <c:v>0.50660144104696869</c:v>
                </c:pt>
                <c:pt idx="364">
                  <c:v>0.50614809435719088</c:v>
                </c:pt>
                <c:pt idx="365">
                  <c:v>0.50572287428576723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064592"/>
        <c:axId val="196253536"/>
      </c:lineChart>
      <c:dateAx>
        <c:axId val="197064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6253536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196253536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70645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3.3724300024351233E-4</c:v>
                </c:pt>
                <c:pt idx="1">
                  <c:v>3.3431531947300129E-4</c:v>
                </c:pt>
                <c:pt idx="2">
                  <c:v>3.3055156313649349E-4</c:v>
                </c:pt>
                <c:pt idx="3">
                  <c:v>3.2594963309293156E-4</c:v>
                </c:pt>
                <c:pt idx="4">
                  <c:v>3.2050745819759687E-4</c:v>
                </c:pt>
                <c:pt idx="5">
                  <c:v>3.1422301560718273E-4</c:v>
                </c:pt>
                <c:pt idx="6">
                  <c:v>3.0709435208889975E-4</c:v>
                </c:pt>
                <c:pt idx="7">
                  <c:v>2.9911960532238242E-4</c:v>
                </c:pt>
                <c:pt idx="8">
                  <c:v>2.9029702520619977E-4</c:v>
                </c:pt>
                <c:pt idx="9">
                  <c:v>2.8227717800223653E-4</c:v>
                </c:pt>
                <c:pt idx="10">
                  <c:v>2.755668608988671E-4</c:v>
                </c:pt>
                <c:pt idx="11">
                  <c:v>2.7016739364312963E-4</c:v>
                </c:pt>
                <c:pt idx="12">
                  <c:v>2.6608002486024036E-4</c:v>
                </c:pt>
                <c:pt idx="13">
                  <c:v>2.633058984854279E-4</c:v>
                </c:pt>
                <c:pt idx="14">
                  <c:v>2.6184602019128835E-4</c:v>
                </c:pt>
                <c:pt idx="15">
                  <c:v>2.6220152063838965E-4</c:v>
                </c:pt>
                <c:pt idx="16">
                  <c:v>2.6470633191215051E-4</c:v>
                </c:pt>
                <c:pt idx="17">
                  <c:v>2.6936144504040988E-4</c:v>
                </c:pt>
                <c:pt idx="18">
                  <c:v>2.7616740038995992E-4</c:v>
                </c:pt>
                <c:pt idx="19">
                  <c:v>2.8512582336074265E-4</c:v>
                </c:pt>
                <c:pt idx="20">
                  <c:v>2.962387736103174E-4</c:v>
                </c:pt>
                <c:pt idx="21">
                  <c:v>3.0950686129499081E-4</c:v>
                </c:pt>
                <c:pt idx="22">
                  <c:v>3.2493043714232795E-4</c:v>
                </c:pt>
                <c:pt idx="23">
                  <c:v>3.4270388045839025E-4</c:v>
                </c:pt>
                <c:pt idx="24">
                  <c:v>3.6116857541070707E-4</c:v>
                </c:pt>
                <c:pt idx="25">
                  <c:v>3.8032399695256912E-4</c:v>
                </c:pt>
                <c:pt idx="26">
                  <c:v>4.0016963175896895E-4</c:v>
                </c:pt>
                <c:pt idx="27">
                  <c:v>4.2070498691658723E-4</c:v>
                </c:pt>
                <c:pt idx="28">
                  <c:v>4.4192959862206227E-4</c:v>
                </c:pt>
                <c:pt idx="29">
                  <c:v>4.6382864154600312E-4</c:v>
                </c:pt>
                <c:pt idx="30">
                  <c:v>4.8590060891723087E-4</c:v>
                </c:pt>
                <c:pt idx="31">
                  <c:v>5.0814523192068979E-4</c:v>
                </c:pt>
                <c:pt idx="32">
                  <c:v>5.3056233944309195E-4</c:v>
                </c:pt>
                <c:pt idx="33">
                  <c:v>5.5315186032071483E-4</c:v>
                </c:pt>
                <c:pt idx="34">
                  <c:v>5.7591382558953462E-4</c:v>
                </c:pt>
                <c:pt idx="35">
                  <c:v>5.9884837073521133E-4</c:v>
                </c:pt>
                <c:pt idx="36">
                  <c:v>6.2195573794203093E-4</c:v>
                </c:pt>
                <c:pt idx="37">
                  <c:v>6.4372787887281217E-4</c:v>
                </c:pt>
                <c:pt idx="38">
                  <c:v>6.6397145371958487E-4</c:v>
                </c:pt>
                <c:pt idx="39">
                  <c:v>6.8268749891965577E-4</c:v>
                </c:pt>
                <c:pt idx="40">
                  <c:v>6.9987716881956771E-4</c:v>
                </c:pt>
                <c:pt idx="41">
                  <c:v>7.1554171663356151E-4</c:v>
                </c:pt>
                <c:pt idx="42">
                  <c:v>7.2968247539757737E-4</c:v>
                </c:pt>
                <c:pt idx="43">
                  <c:v>7.4338261698888154E-4</c:v>
                </c:pt>
                <c:pt idx="44">
                  <c:v>7.5665769956102954E-4</c:v>
                </c:pt>
                <c:pt idx="45">
                  <c:v>7.6950895108873502E-4</c:v>
                </c:pt>
                <c:pt idx="46">
                  <c:v>7.8193765168805326E-4</c:v>
                </c:pt>
                <c:pt idx="47">
                  <c:v>7.9394512829334524E-4</c:v>
                </c:pt>
                <c:pt idx="48">
                  <c:v>8.0553274932424965E-4</c:v>
                </c:pt>
                <c:pt idx="49">
                  <c:v>8.1670191935963787E-4</c:v>
                </c:pt>
                <c:pt idx="50">
                  <c:v>8.2745407380673268E-4</c:v>
                </c:pt>
                <c:pt idx="51">
                  <c:v>8.3974884420319159E-4</c:v>
                </c:pt>
                <c:pt idx="52">
                  <c:v>8.5508995478240078E-4</c:v>
                </c:pt>
                <c:pt idx="53">
                  <c:v>8.7347306911512816E-4</c:v>
                </c:pt>
                <c:pt idx="54">
                  <c:v>8.9489798608836956E-4</c:v>
                </c:pt>
                <c:pt idx="55">
                  <c:v>9.1936452751492388E-4</c:v>
                </c:pt>
                <c:pt idx="56">
                  <c:v>9.4687252688823733E-4</c:v>
                </c:pt>
                <c:pt idx="57">
                  <c:v>9.7605225575355336E-4</c:v>
                </c:pt>
                <c:pt idx="58">
                  <c:v>1.005822203620101E-3</c:v>
                </c:pt>
                <c:pt idx="59">
                  <c:v>1.0361821208626052E-3</c:v>
                </c:pt>
                <c:pt idx="60">
                  <c:v>1.0671317169850107E-3</c:v>
                </c:pt>
                <c:pt idx="61">
                  <c:v>1.0986706584433107E-3</c:v>
                </c:pt>
                <c:pt idx="62">
                  <c:v>1.1307985664667452E-3</c:v>
                </c:pt>
                <c:pt idx="63">
                  <c:v>1.1635150148822683E-3</c:v>
                </c:pt>
                <c:pt idx="64">
                  <c:v>1.1968195279346023E-3</c:v>
                </c:pt>
                <c:pt idx="65">
                  <c:v>1.2284896524690351E-3</c:v>
                </c:pt>
                <c:pt idx="66">
                  <c:v>1.256566531291831E-3</c:v>
                </c:pt>
                <c:pt idx="67">
                  <c:v>1.2810495248742788E-3</c:v>
                </c:pt>
                <c:pt idx="68">
                  <c:v>1.3019379965440881E-3</c:v>
                </c:pt>
                <c:pt idx="69">
                  <c:v>1.3192313257680941E-3</c:v>
                </c:pt>
                <c:pt idx="70">
                  <c:v>1.3329289214408166E-3</c:v>
                </c:pt>
                <c:pt idx="71">
                  <c:v>1.3427107763539022E-3</c:v>
                </c:pt>
                <c:pt idx="72">
                  <c:v>1.3499459993812036E-3</c:v>
                </c:pt>
                <c:pt idx="73">
                  <c:v>1.3546341140524072E-3</c:v>
                </c:pt>
                <c:pt idx="74">
                  <c:v>1.3567746984219143E-3</c:v>
                </c:pt>
                <c:pt idx="75">
                  <c:v>1.3563673944725679E-3</c:v>
                </c:pt>
                <c:pt idx="76">
                  <c:v>1.3534119175151751E-3</c:v>
                </c:pt>
                <c:pt idx="77">
                  <c:v>1.3479080655924318E-3</c:v>
                </c:pt>
                <c:pt idx="78">
                  <c:v>1.3398557733629128E-3</c:v>
                </c:pt>
                <c:pt idx="79">
                  <c:v>1.3314968597539717E-3</c:v>
                </c:pt>
                <c:pt idx="80">
                  <c:v>1.3250557894280003E-3</c:v>
                </c:pt>
                <c:pt idx="81">
                  <c:v>1.3205318701262638E-3</c:v>
                </c:pt>
                <c:pt idx="82">
                  <c:v>1.3179244122252303E-3</c:v>
                </c:pt>
                <c:pt idx="83">
                  <c:v>1.3172327225938647E-3</c:v>
                </c:pt>
                <c:pt idx="84">
                  <c:v>1.3184560984553337E-3</c:v>
                </c:pt>
                <c:pt idx="85">
                  <c:v>1.3224633031476514E-3</c:v>
                </c:pt>
                <c:pt idx="86">
                  <c:v>1.3295727244376338E-3</c:v>
                </c:pt>
                <c:pt idx="87">
                  <c:v>1.3397833867919977E-3</c:v>
                </c:pt>
                <c:pt idx="88">
                  <c:v>1.3530942606759249E-3</c:v>
                </c:pt>
                <c:pt idx="89">
                  <c:v>1.3695042526029721E-3</c:v>
                </c:pt>
                <c:pt idx="90">
                  <c:v>1.3890121951821341E-3</c:v>
                </c:pt>
                <c:pt idx="91">
                  <c:v>1.4116168371700721E-3</c:v>
                </c:pt>
                <c:pt idx="92">
                  <c:v>1.4373168335197828E-3</c:v>
                </c:pt>
                <c:pt idx="93">
                  <c:v>1.4636311602787963E-3</c:v>
                </c:pt>
                <c:pt idx="94">
                  <c:v>1.488324244070804E-3</c:v>
                </c:pt>
                <c:pt idx="95">
                  <c:v>1.5113956556176314E-3</c:v>
                </c:pt>
                <c:pt idx="96">
                  <c:v>1.5328449818433469E-3</c:v>
                </c:pt>
                <c:pt idx="97">
                  <c:v>1.5526718310460508E-3</c:v>
                </c:pt>
                <c:pt idx="98">
                  <c:v>1.5708758380564053E-3</c:v>
                </c:pt>
                <c:pt idx="99">
                  <c:v>1.5872438138097066E-3</c:v>
                </c:pt>
                <c:pt idx="100">
                  <c:v>1.6009070950452442E-3</c:v>
                </c:pt>
                <c:pt idx="101">
                  <c:v>1.611865828251101E-3</c:v>
                </c:pt>
                <c:pt idx="102">
                  <c:v>1.6201202535230312E-3</c:v>
                </c:pt>
                <c:pt idx="103">
                  <c:v>1.625670713180416E-3</c:v>
                </c:pt>
                <c:pt idx="104">
                  <c:v>1.6285176604199654E-3</c:v>
                </c:pt>
                <c:pt idx="105">
                  <c:v>1.6286616679345113E-3</c:v>
                </c:pt>
                <c:pt idx="106">
                  <c:v>1.6261034365511744E-3</c:v>
                </c:pt>
                <c:pt idx="107">
                  <c:v>1.62190977333798E-3</c:v>
                </c:pt>
                <c:pt idx="108">
                  <c:v>1.6185560067347913E-3</c:v>
                </c:pt>
                <c:pt idx="109">
                  <c:v>1.6160412424418673E-3</c:v>
                </c:pt>
                <c:pt idx="110">
                  <c:v>1.6143691393665522E-3</c:v>
                </c:pt>
                <c:pt idx="111">
                  <c:v>1.6135434139838078E-3</c:v>
                </c:pt>
                <c:pt idx="112">
                  <c:v>1.6135632093307046E-3</c:v>
                </c:pt>
                <c:pt idx="113">
                  <c:v>1.6141579040440746E-3</c:v>
                </c:pt>
                <c:pt idx="114">
                  <c:v>1.6155390861450907E-3</c:v>
                </c:pt>
                <c:pt idx="115">
                  <c:v>1.6177058665095801E-3</c:v>
                </c:pt>
                <c:pt idx="116">
                  <c:v>1.6206573296877391E-3</c:v>
                </c:pt>
                <c:pt idx="117">
                  <c:v>1.6243925321777829E-3</c:v>
                </c:pt>
                <c:pt idx="118">
                  <c:v>1.628910500683237E-3</c:v>
                </c:pt>
                <c:pt idx="119">
                  <c:v>1.6342102303748289E-3</c:v>
                </c:pt>
                <c:pt idx="120">
                  <c:v>1.6402906831497473E-3</c:v>
                </c:pt>
                <c:pt idx="121">
                  <c:v>1.648405253050773E-3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1.6785610234227202E-3</c:v>
                </c:pt>
                <c:pt idx="125">
                  <c:v>1.6905457046022298E-3</c:v>
                </c:pt>
                <c:pt idx="126">
                  <c:v>1.703494336498748E-3</c:v>
                </c:pt>
                <c:pt idx="127">
                  <c:v>1.7164891770370021E-3</c:v>
                </c:pt>
                <c:pt idx="128">
                  <c:v>1.7297981756858834E-3</c:v>
                </c:pt>
                <c:pt idx="129">
                  <c:v>1.7434203084099034E-3</c:v>
                </c:pt>
                <c:pt idx="130">
                  <c:v>1.7573545223177394E-3</c:v>
                </c:pt>
                <c:pt idx="131">
                  <c:v>1.7715997349066156E-3</c:v>
                </c:pt>
                <c:pt idx="132">
                  <c:v>1.7861548333230172E-3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1.8370717638415018E-3</c:v>
                </c:pt>
                <c:pt idx="137">
                  <c:v>1.8415395823417789E-3</c:v>
                </c:pt>
                <c:pt idx="138">
                  <c:v>1.8420307262733541E-3</c:v>
                </c:pt>
                <c:pt idx="139">
                  <c:v>1.8385494991408685E-3</c:v>
                </c:pt>
                <c:pt idx="140">
                  <c:v>1.8311004530456004E-3</c:v>
                </c:pt>
                <c:pt idx="141">
                  <c:v>1.8204964272176142E-3</c:v>
                </c:pt>
                <c:pt idx="142">
                  <c:v>1.8076425774788533E-3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1.7096856251768862E-3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1.6305679582467288E-3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1.5657678415056339E-3</c:v>
                </c:pt>
                <c:pt idx="154">
                  <c:v>1.5480193095918997E-3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1.4884594851640519E-3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1.4420844359101918E-3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1.4168269641249161E-3</c:v>
                </c:pt>
                <c:pt idx="166">
                  <c:v>1.4092431157080379E-3</c:v>
                </c:pt>
                <c:pt idx="167">
                  <c:v>1.4020786086699614E-3</c:v>
                </c:pt>
                <c:pt idx="168">
                  <c:v>1.3953344379903606E-3</c:v>
                </c:pt>
                <c:pt idx="169">
                  <c:v>1.3897039062771475E-3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1.3812724703610676E-3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1.3895233787006547E-3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1.4447432781675399E-3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1.5039072842542018E-3</c:v>
                </c:pt>
                <c:pt idx="190">
                  <c:v>1.5181278173925588E-3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1.5711651092595604E-3</c:v>
                </c:pt>
                <c:pt idx="194">
                  <c:v>1.5925941585806847E-3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1.6651752521072405E-3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1.7797375336453202E-3</c:v>
                </c:pt>
                <c:pt idx="206">
                  <c:v>1.781988203230231E-3</c:v>
                </c:pt>
                <c:pt idx="207">
                  <c:v>1.780438049723782E-3</c:v>
                </c:pt>
                <c:pt idx="208">
                  <c:v>1.7750888087607847E-3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1.6650127969371118E-3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1.5920999383566407E-3</c:v>
                </c:pt>
                <c:pt idx="223">
                  <c:v>1.5829177062707577E-3</c:v>
                </c:pt>
                <c:pt idx="224">
                  <c:v>1.5746952893697691E-3</c:v>
                </c:pt>
                <c:pt idx="225">
                  <c:v>1.5684524222077758E-3</c:v>
                </c:pt>
                <c:pt idx="226">
                  <c:v>1.5629838138978443E-3</c:v>
                </c:pt>
                <c:pt idx="227">
                  <c:v>1.558288846383368E-3</c:v>
                </c:pt>
                <c:pt idx="228">
                  <c:v>1.5543669421750014E-3</c:v>
                </c:pt>
                <c:pt idx="229">
                  <c:v>1.5512175619644551E-3</c:v>
                </c:pt>
                <c:pt idx="230">
                  <c:v>1.5488402022631929E-3</c:v>
                </c:pt>
                <c:pt idx="231">
                  <c:v>1.5472343930462559E-3</c:v>
                </c:pt>
                <c:pt idx="232">
                  <c:v>1.5463996953628731E-3</c:v>
                </c:pt>
                <c:pt idx="233">
                  <c:v>1.5461321223488762E-3</c:v>
                </c:pt>
                <c:pt idx="234">
                  <c:v>1.5466898519745135E-3</c:v>
                </c:pt>
                <c:pt idx="235">
                  <c:v>1.5480737794144783E-3</c:v>
                </c:pt>
                <c:pt idx="236">
                  <c:v>1.5502853336459618E-3</c:v>
                </c:pt>
                <c:pt idx="237">
                  <c:v>1.553324980690907E-3</c:v>
                </c:pt>
                <c:pt idx="238">
                  <c:v>1.5571932217066787E-3</c:v>
                </c:pt>
                <c:pt idx="239">
                  <c:v>1.5595195357119536E-3</c:v>
                </c:pt>
                <c:pt idx="240">
                  <c:v>1.5592827182112265E-3</c:v>
                </c:pt>
                <c:pt idx="241">
                  <c:v>1.5564823455029959E-3</c:v>
                </c:pt>
                <c:pt idx="242">
                  <c:v>1.551117876686879E-3</c:v>
                </c:pt>
                <c:pt idx="243">
                  <c:v>1.5431886491346139E-3</c:v>
                </c:pt>
                <c:pt idx="244">
                  <c:v>1.5326938739516887E-3</c:v>
                </c:pt>
                <c:pt idx="245">
                  <c:v>1.5196326314225609E-3</c:v>
                </c:pt>
                <c:pt idx="246">
                  <c:v>1.5040038664540459E-3</c:v>
                </c:pt>
                <c:pt idx="247">
                  <c:v>1.486638162804887E-3</c:v>
                </c:pt>
                <c:pt idx="248">
                  <c:v>1.4677384435161727E-3</c:v>
                </c:pt>
                <c:pt idx="249">
                  <c:v>1.4473037492229357E-3</c:v>
                </c:pt>
                <c:pt idx="250">
                  <c:v>1.4253330240693793E-3</c:v>
                </c:pt>
                <c:pt idx="251">
                  <c:v>1.4018251130300037E-3</c:v>
                </c:pt>
                <c:pt idx="252">
                  <c:v>1.3767787591681714E-3</c:v>
                </c:pt>
                <c:pt idx="253">
                  <c:v>1.3523338661945729E-3</c:v>
                </c:pt>
                <c:pt idx="254">
                  <c:v>1.3308666111347533E-3</c:v>
                </c:pt>
                <c:pt idx="255">
                  <c:v>1.3123784612960512E-3</c:v>
                </c:pt>
                <c:pt idx="256">
                  <c:v>1.2968710474489215E-3</c:v>
                </c:pt>
                <c:pt idx="257">
                  <c:v>1.2843461690536778E-3</c:v>
                </c:pt>
                <c:pt idx="258">
                  <c:v>1.2748057995001635E-3</c:v>
                </c:pt>
                <c:pt idx="259">
                  <c:v>1.2682520913646471E-3</c:v>
                </c:pt>
                <c:pt idx="260">
                  <c:v>1.2646873816275928E-3</c:v>
                </c:pt>
                <c:pt idx="261">
                  <c:v>1.2638078287434246E-3</c:v>
                </c:pt>
                <c:pt idx="262">
                  <c:v>1.2647813358657861E-3</c:v>
                </c:pt>
                <c:pt idx="263">
                  <c:v>1.2676097687885492E-3</c:v>
                </c:pt>
                <c:pt idx="264">
                  <c:v>1.2722951806713588E-3</c:v>
                </c:pt>
                <c:pt idx="265">
                  <c:v>1.2788466081419705E-3</c:v>
                </c:pt>
                <c:pt idx="266">
                  <c:v>1.2872700169638206E-3</c:v>
                </c:pt>
                <c:pt idx="267">
                  <c:v>1.2954313580662989E-3</c:v>
                </c:pt>
                <c:pt idx="268">
                  <c:v>1.301178739139149E-3</c:v>
                </c:pt>
                <c:pt idx="269">
                  <c:v>1.3045081441903795E-3</c:v>
                </c:pt>
                <c:pt idx="270">
                  <c:v>1.3054152937175545E-3</c:v>
                </c:pt>
                <c:pt idx="271">
                  <c:v>1.3038956715855287E-3</c:v>
                </c:pt>
                <c:pt idx="272">
                  <c:v>1.2999445519400409E-3</c:v>
                </c:pt>
                <c:pt idx="273">
                  <c:v>1.2935570261048976E-3</c:v>
                </c:pt>
                <c:pt idx="274">
                  <c:v>1.2847280294962368E-3</c:v>
                </c:pt>
                <c:pt idx="275">
                  <c:v>1.2721316371155783E-3</c:v>
                </c:pt>
                <c:pt idx="276">
                  <c:v>1.2560688135622752E-3</c:v>
                </c:pt>
                <c:pt idx="277">
                  <c:v>1.2365326372603138E-3</c:v>
                </c:pt>
                <c:pt idx="278">
                  <c:v>1.2135161025994593E-3</c:v>
                </c:pt>
                <c:pt idx="279">
                  <c:v>1.1870121579534156E-3</c:v>
                </c:pt>
                <c:pt idx="280">
                  <c:v>1.1570137437093998E-3</c:v>
                </c:pt>
                <c:pt idx="281">
                  <c:v>1.1254079230801758E-3</c:v>
                </c:pt>
                <c:pt idx="282">
                  <c:v>1.0943409512112604E-3</c:v>
                </c:pt>
                <c:pt idx="283">
                  <c:v>1.0638123245644753E-3</c:v>
                </c:pt>
                <c:pt idx="284">
                  <c:v>1.0338216814585286E-3</c:v>
                </c:pt>
                <c:pt idx="285">
                  <c:v>1.0043687958342863E-3</c:v>
                </c:pt>
                <c:pt idx="286">
                  <c:v>9.7545357102991491E-4</c:v>
                </c:pt>
                <c:pt idx="287">
                  <c:v>9.4707603354554073E-4</c:v>
                </c:pt>
                <c:pt idx="288">
                  <c:v>9.1923632681203331E-4</c:v>
                </c:pt>
                <c:pt idx="289">
                  <c:v>8.9298497852609315E-4</c:v>
                </c:pt>
                <c:pt idx="290">
                  <c:v>8.6965484374236599E-4</c:v>
                </c:pt>
                <c:pt idx="291">
                  <c:v>8.4924987215634199E-4</c:v>
                </c:pt>
                <c:pt idx="292">
                  <c:v>8.3177397988574162E-4</c:v>
                </c:pt>
                <c:pt idx="293">
                  <c:v>8.1723101729446346E-4</c:v>
                </c:pt>
                <c:pt idx="294">
                  <c:v>8.0562473681304765E-4</c:v>
                </c:pt>
                <c:pt idx="295">
                  <c:v>7.9549094471526483E-4</c:v>
                </c:pt>
                <c:pt idx="296">
                  <c:v>7.849324357343786E-4</c:v>
                </c:pt>
                <c:pt idx="297">
                  <c:v>7.7395435030180545E-4</c:v>
                </c:pt>
                <c:pt idx="298">
                  <c:v>7.6255518631349387E-4</c:v>
                </c:pt>
                <c:pt idx="299">
                  <c:v>7.5073346975718775E-4</c:v>
                </c:pt>
                <c:pt idx="300">
                  <c:v>7.3848775854540045E-4</c:v>
                </c:pt>
                <c:pt idx="301">
                  <c:v>7.2581664634605221E-4</c:v>
                </c:pt>
                <c:pt idx="302">
                  <c:v>7.127187664148026E-4</c:v>
                </c:pt>
                <c:pt idx="303">
                  <c:v>6.9917873678911036E-4</c:v>
                </c:pt>
                <c:pt idx="304">
                  <c:v>6.841375355534406E-4</c:v>
                </c:pt>
                <c:pt idx="305">
                  <c:v>6.6759240785799808E-4</c:v>
                </c:pt>
                <c:pt idx="306">
                  <c:v>6.4954066372867368E-4</c:v>
                </c:pt>
                <c:pt idx="307">
                  <c:v>6.2997969176302134E-4</c:v>
                </c:pt>
                <c:pt idx="308">
                  <c:v>6.0890697282086714E-4</c:v>
                </c:pt>
                <c:pt idx="309">
                  <c:v>5.8651033111177813E-4</c:v>
                </c:pt>
                <c:pt idx="310">
                  <c:v>5.6426596984641996E-4</c:v>
                </c:pt>
                <c:pt idx="311">
                  <c:v>5.4217398532959641E-4</c:v>
                </c:pt>
                <c:pt idx="312">
                  <c:v>5.2023454970300431E-4</c:v>
                </c:pt>
                <c:pt idx="313">
                  <c:v>4.984479093304541E-4</c:v>
                </c:pt>
                <c:pt idx="314">
                  <c:v>4.7681438317818666E-4</c:v>
                </c:pt>
                <c:pt idx="315">
                  <c:v>4.5533436120155711E-4</c:v>
                </c:pt>
                <c:pt idx="316">
                  <c:v>4.3400830272402548E-4</c:v>
                </c:pt>
                <c:pt idx="317">
                  <c:v>4.1332909117978794E-4</c:v>
                </c:pt>
                <c:pt idx="318">
                  <c:v>3.9331203603418306E-4</c:v>
                </c:pt>
                <c:pt idx="319">
                  <c:v>3.7395833489495104E-4</c:v>
                </c:pt>
                <c:pt idx="320">
                  <c:v>3.5526920288434465E-4</c:v>
                </c:pt>
                <c:pt idx="321">
                  <c:v>3.3724586638896568E-4</c:v>
                </c:pt>
                <c:pt idx="322">
                  <c:v>3.1988955681064106E-4</c:v>
                </c:pt>
                <c:pt idx="323">
                  <c:v>3.0483456166166664E-4</c:v>
                </c:pt>
                <c:pt idx="324">
                  <c:v>2.9189216725097482E-4</c:v>
                </c:pt>
                <c:pt idx="325">
                  <c:v>2.810646329027495E-4</c:v>
                </c:pt>
                <c:pt idx="326">
                  <c:v>2.7235232889874001E-4</c:v>
                </c:pt>
                <c:pt idx="327">
                  <c:v>2.6575667629879655E-4</c:v>
                </c:pt>
                <c:pt idx="328">
                  <c:v>2.6128015724026038E-4</c:v>
                </c:pt>
                <c:pt idx="329">
                  <c:v>2.5892486161186394E-4</c:v>
                </c:pt>
                <c:pt idx="330">
                  <c:v>2.5869253135443358E-4</c:v>
                </c:pt>
                <c:pt idx="331">
                  <c:v>2.6025591167624625E-4</c:v>
                </c:pt>
                <c:pt idx="332">
                  <c:v>2.6312186645644517E-4</c:v>
                </c:pt>
                <c:pt idx="333">
                  <c:v>2.6729117561066681E-4</c:v>
                </c:pt>
                <c:pt idx="334">
                  <c:v>2.7276451753137463E-4</c:v>
                </c:pt>
                <c:pt idx="335">
                  <c:v>2.79542496276619E-4</c:v>
                </c:pt>
                <c:pt idx="336">
                  <c:v>2.8762566875530722E-4</c:v>
                </c:pt>
                <c:pt idx="337">
                  <c:v>2.9651353565394122E-4</c:v>
                </c:pt>
                <c:pt idx="338">
                  <c:v>3.0457024376030794E-4</c:v>
                </c:pt>
                <c:pt idx="339">
                  <c:v>3.1179621797149229E-4</c:v>
                </c:pt>
                <c:pt idx="340">
                  <c:v>3.1819196743450209E-4</c:v>
                </c:pt>
                <c:pt idx="341">
                  <c:v>3.2375806829231803E-4</c:v>
                </c:pt>
                <c:pt idx="342">
                  <c:v>3.2849514642983412E-4</c:v>
                </c:pt>
                <c:pt idx="343">
                  <c:v>3.324038602158495E-4</c:v>
                </c:pt>
                <c:pt idx="344">
                  <c:v>3.3548488325011523E-4</c:v>
                </c:pt>
                <c:pt idx="345">
                  <c:v>3.3773888710696782E-4</c:v>
                </c:pt>
                <c:pt idx="346">
                  <c:v>3.3954660756103493E-4</c:v>
                </c:pt>
                <c:pt idx="347">
                  <c:v>3.4090873610210582E-4</c:v>
                </c:pt>
                <c:pt idx="348">
                  <c:v>3.4182594358689452E-4</c:v>
                </c:pt>
                <c:pt idx="349">
                  <c:v>3.4229887088186391E-4</c:v>
                </c:pt>
                <c:pt idx="350">
                  <c:v>3.4232811951403846E-4</c:v>
                </c:pt>
                <c:pt idx="351">
                  <c:v>3.4196543943264106E-4</c:v>
                </c:pt>
                <c:pt idx="352">
                  <c:v>3.417128596531426E-4</c:v>
                </c:pt>
                <c:pt idx="353">
                  <c:v>3.4157111764172301E-4</c:v>
                </c:pt>
                <c:pt idx="354">
                  <c:v>3.4154096405506645E-4</c:v>
                </c:pt>
                <c:pt idx="355">
                  <c:v>3.4162316485067163E-4</c:v>
                </c:pt>
                <c:pt idx="356">
                  <c:v>3.4181873963081897E-4</c:v>
                </c:pt>
                <c:pt idx="357">
                  <c:v>3.4212772959408254E-4</c:v>
                </c:pt>
                <c:pt idx="358">
                  <c:v>3.4254937042565563E-4</c:v>
                </c:pt>
                <c:pt idx="359">
                  <c:v>3.4308291307254913E-4</c:v>
                </c:pt>
                <c:pt idx="360">
                  <c:v>3.4322496224939241E-4</c:v>
                </c:pt>
                <c:pt idx="361">
                  <c:v>3.4292283823398933E-4</c:v>
                </c:pt>
                <c:pt idx="362">
                  <c:v>3.4217509016706762E-4</c:v>
                </c:pt>
                <c:pt idx="363">
                  <c:v>3.4098022304582254E-4</c:v>
                </c:pt>
                <c:pt idx="364">
                  <c:v>3.3933670927996644E-4</c:v>
                </c:pt>
                <c:pt idx="365" formatCode="0.0000">
                  <c:v>3.3724300024351233E-4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4.2346439432266124E-4</c:v>
                </c:pt>
                <c:pt idx="1">
                  <c:v>4.1526729726035981E-4</c:v>
                </c:pt>
                <c:pt idx="2">
                  <c:v>4.0626159062405204E-4</c:v>
                </c:pt>
                <c:pt idx="3">
                  <c:v>3.9644494727419309E-4</c:v>
                </c:pt>
                <c:pt idx="4">
                  <c:v>3.8581512145353399E-4</c:v>
                </c:pt>
                <c:pt idx="5">
                  <c:v>3.7436996927517704E-4</c:v>
                </c:pt>
                <c:pt idx="6">
                  <c:v>3.6210746921543573E-4</c:v>
                </c:pt>
                <c:pt idx="7">
                  <c:v>3.4902574259804858E-4</c:v>
                </c:pt>
                <c:pt idx="8">
                  <c:v>3.3512307408399355E-4</c:v>
                </c:pt>
                <c:pt idx="9">
                  <c:v>3.2223716496274237E-4</c:v>
                </c:pt>
                <c:pt idx="10">
                  <c:v>3.109179979294207E-4</c:v>
                </c:pt>
                <c:pt idx="11">
                  <c:v>3.0116735286057705E-4</c:v>
                </c:pt>
                <c:pt idx="12">
                  <c:v>2.9298695764629426E-4</c:v>
                </c:pt>
                <c:pt idx="13">
                  <c:v>2.8637844796091267E-4</c:v>
                </c:pt>
                <c:pt idx="14">
                  <c:v>2.8134332702890871E-4</c:v>
                </c:pt>
                <c:pt idx="15">
                  <c:v>2.7850469236213009E-4</c:v>
                </c:pt>
                <c:pt idx="16">
                  <c:v>2.7812196146163388E-4</c:v>
                </c:pt>
                <c:pt idx="17">
                  <c:v>2.8019662486078646E-4</c:v>
                </c:pt>
                <c:pt idx="18">
                  <c:v>2.8472969073304227E-4</c:v>
                </c:pt>
                <c:pt idx="19">
                  <c:v>2.9172324954815539E-4</c:v>
                </c:pt>
                <c:pt idx="20">
                  <c:v>3.0117975415036086E-4</c:v>
                </c:pt>
                <c:pt idx="21">
                  <c:v>3.1310010383217709E-4</c:v>
                </c:pt>
                <c:pt idx="22">
                  <c:v>3.2748488506042698E-4</c:v>
                </c:pt>
                <c:pt idx="23">
                  <c:v>3.4452866335203729E-4</c:v>
                </c:pt>
                <c:pt idx="24">
                  <c:v>3.623851899984979E-4</c:v>
                </c:pt>
                <c:pt idx="25">
                  <c:v>3.8105400691318159E-4</c:v>
                </c:pt>
                <c:pt idx="26">
                  <c:v>4.0053465060593238E-4</c:v>
                </c:pt>
                <c:pt idx="27">
                  <c:v>4.2082666239413202E-4</c:v>
                </c:pt>
                <c:pt idx="28">
                  <c:v>4.4192959862206227E-4</c:v>
                </c:pt>
                <c:pt idx="29">
                  <c:v>4.6382864154600312E-4</c:v>
                </c:pt>
                <c:pt idx="30">
                  <c:v>4.8590060891723076E-4</c:v>
                </c:pt>
                <c:pt idx="31">
                  <c:v>5.081452319206899E-4</c:v>
                </c:pt>
                <c:pt idx="32">
                  <c:v>5.3056233944309206E-4</c:v>
                </c:pt>
                <c:pt idx="33">
                  <c:v>5.5315186032071472E-4</c:v>
                </c:pt>
                <c:pt idx="34">
                  <c:v>5.7591382558953451E-4</c:v>
                </c:pt>
                <c:pt idx="35">
                  <c:v>5.9884837073521143E-4</c:v>
                </c:pt>
                <c:pt idx="36">
                  <c:v>6.2195573794203082E-4</c:v>
                </c:pt>
                <c:pt idx="37">
                  <c:v>6.4372787887281228E-4</c:v>
                </c:pt>
                <c:pt idx="38">
                  <c:v>6.6397145371958476E-4</c:v>
                </c:pt>
                <c:pt idx="39">
                  <c:v>6.8268749891965566E-4</c:v>
                </c:pt>
                <c:pt idx="40">
                  <c:v>6.9987716881956782E-4</c:v>
                </c:pt>
                <c:pt idx="41">
                  <c:v>7.1554171663356161E-4</c:v>
                </c:pt>
                <c:pt idx="42">
                  <c:v>7.2968247539757737E-4</c:v>
                </c:pt>
                <c:pt idx="43">
                  <c:v>7.4338261698888165E-4</c:v>
                </c:pt>
                <c:pt idx="44">
                  <c:v>7.5665769956102943E-4</c:v>
                </c:pt>
                <c:pt idx="45">
                  <c:v>7.6950895108873513E-4</c:v>
                </c:pt>
                <c:pt idx="46">
                  <c:v>7.8193765168805326E-4</c:v>
                </c:pt>
                <c:pt idx="47">
                  <c:v>7.9394512829334535E-4</c:v>
                </c:pt>
                <c:pt idx="48">
                  <c:v>8.0553274932424965E-4</c:v>
                </c:pt>
                <c:pt idx="49">
                  <c:v>8.1670191935963776E-4</c:v>
                </c:pt>
                <c:pt idx="50">
                  <c:v>8.2745407380673279E-4</c:v>
                </c:pt>
                <c:pt idx="51">
                  <c:v>8.3974884420319159E-4</c:v>
                </c:pt>
                <c:pt idx="52">
                  <c:v>8.5508995478240089E-4</c:v>
                </c:pt>
                <c:pt idx="53">
                  <c:v>8.7347306911512827E-4</c:v>
                </c:pt>
                <c:pt idx="54">
                  <c:v>8.9489798608836967E-4</c:v>
                </c:pt>
                <c:pt idx="55">
                  <c:v>9.1936452751492377E-4</c:v>
                </c:pt>
                <c:pt idx="56">
                  <c:v>9.4687252688823744E-4</c:v>
                </c:pt>
                <c:pt idx="57">
                  <c:v>9.7605225575355347E-4</c:v>
                </c:pt>
                <c:pt idx="58">
                  <c:v>1.0058222036201008E-3</c:v>
                </c:pt>
                <c:pt idx="59">
                  <c:v>1.0361821208626052E-3</c:v>
                </c:pt>
                <c:pt idx="60">
                  <c:v>1.0671317169850109E-3</c:v>
                </c:pt>
                <c:pt idx="61">
                  <c:v>1.0986706584433109E-3</c:v>
                </c:pt>
                <c:pt idx="62">
                  <c:v>1.130798566466745E-3</c:v>
                </c:pt>
                <c:pt idx="63">
                  <c:v>1.1635150148822683E-3</c:v>
                </c:pt>
                <c:pt idx="64">
                  <c:v>1.1968195279346023E-3</c:v>
                </c:pt>
                <c:pt idx="65">
                  <c:v>1.2284896524690351E-3</c:v>
                </c:pt>
                <c:pt idx="66">
                  <c:v>1.2565665312918313E-3</c:v>
                </c:pt>
                <c:pt idx="67">
                  <c:v>1.2810495248742788E-3</c:v>
                </c:pt>
                <c:pt idx="68">
                  <c:v>1.3019379965440883E-3</c:v>
                </c:pt>
                <c:pt idx="69">
                  <c:v>1.3192313257680938E-3</c:v>
                </c:pt>
                <c:pt idx="70">
                  <c:v>1.3329289214408166E-3</c:v>
                </c:pt>
                <c:pt idx="71">
                  <c:v>1.342710776353902E-3</c:v>
                </c:pt>
                <c:pt idx="72">
                  <c:v>1.3499459993812034E-3</c:v>
                </c:pt>
                <c:pt idx="73">
                  <c:v>1.3546341140524075E-3</c:v>
                </c:pt>
                <c:pt idx="74">
                  <c:v>1.3567746984219145E-3</c:v>
                </c:pt>
                <c:pt idx="75">
                  <c:v>1.3563673944725681E-3</c:v>
                </c:pt>
                <c:pt idx="76">
                  <c:v>1.3534119175151748E-3</c:v>
                </c:pt>
                <c:pt idx="77">
                  <c:v>1.3479080655924318E-3</c:v>
                </c:pt>
                <c:pt idx="78">
                  <c:v>1.3398557733629128E-3</c:v>
                </c:pt>
                <c:pt idx="79">
                  <c:v>1.3314968597539717E-3</c:v>
                </c:pt>
                <c:pt idx="80">
                  <c:v>1.3250557894280005E-3</c:v>
                </c:pt>
                <c:pt idx="81">
                  <c:v>1.320531870126264E-3</c:v>
                </c:pt>
                <c:pt idx="82">
                  <c:v>1.3179244122252303E-3</c:v>
                </c:pt>
                <c:pt idx="83">
                  <c:v>1.3172327225938647E-3</c:v>
                </c:pt>
                <c:pt idx="84">
                  <c:v>1.3184560984553339E-3</c:v>
                </c:pt>
                <c:pt idx="85">
                  <c:v>1.3224633031476516E-3</c:v>
                </c:pt>
                <c:pt idx="86">
                  <c:v>1.329572724437634E-3</c:v>
                </c:pt>
                <c:pt idx="87">
                  <c:v>1.3397833867919977E-3</c:v>
                </c:pt>
                <c:pt idx="88">
                  <c:v>1.3530942606759246E-3</c:v>
                </c:pt>
                <c:pt idx="89">
                  <c:v>1.3695042526029721E-3</c:v>
                </c:pt>
                <c:pt idx="90">
                  <c:v>1.3890121951821344E-3</c:v>
                </c:pt>
                <c:pt idx="91">
                  <c:v>1.4116168371700719E-3</c:v>
                </c:pt>
                <c:pt idx="92">
                  <c:v>1.4373168335197826E-3</c:v>
                </c:pt>
                <c:pt idx="93">
                  <c:v>1.4636311602787963E-3</c:v>
                </c:pt>
                <c:pt idx="94">
                  <c:v>1.4883242440708042E-3</c:v>
                </c:pt>
                <c:pt idx="95">
                  <c:v>1.5113956556176316E-3</c:v>
                </c:pt>
                <c:pt idx="96">
                  <c:v>1.5328449818433471E-3</c:v>
                </c:pt>
                <c:pt idx="97">
                  <c:v>1.552671831046051E-3</c:v>
                </c:pt>
                <c:pt idx="98">
                  <c:v>1.5708758380564051E-3</c:v>
                </c:pt>
                <c:pt idx="99">
                  <c:v>1.5872438138097064E-3</c:v>
                </c:pt>
                <c:pt idx="100">
                  <c:v>1.600907095045244E-3</c:v>
                </c:pt>
                <c:pt idx="101">
                  <c:v>1.6118658282511008E-3</c:v>
                </c:pt>
                <c:pt idx="102">
                  <c:v>1.620120253523031E-3</c:v>
                </c:pt>
                <c:pt idx="103">
                  <c:v>1.625670713180416E-3</c:v>
                </c:pt>
                <c:pt idx="104">
                  <c:v>1.6285176604199656E-3</c:v>
                </c:pt>
                <c:pt idx="105">
                  <c:v>1.6286616679345115E-3</c:v>
                </c:pt>
                <c:pt idx="106">
                  <c:v>1.6261034365511742E-3</c:v>
                </c:pt>
                <c:pt idx="107">
                  <c:v>1.6219097733379797E-3</c:v>
                </c:pt>
                <c:pt idx="108">
                  <c:v>1.6185560067347911E-3</c:v>
                </c:pt>
                <c:pt idx="109">
                  <c:v>1.6160412424418671E-3</c:v>
                </c:pt>
                <c:pt idx="110">
                  <c:v>1.6143691393665524E-3</c:v>
                </c:pt>
                <c:pt idx="111">
                  <c:v>1.6135434139838078E-3</c:v>
                </c:pt>
                <c:pt idx="112">
                  <c:v>1.6135632093307046E-3</c:v>
                </c:pt>
                <c:pt idx="113">
                  <c:v>1.6141579040440746E-3</c:v>
                </c:pt>
                <c:pt idx="114">
                  <c:v>1.6155390861450909E-3</c:v>
                </c:pt>
                <c:pt idx="115">
                  <c:v>1.6177058665095801E-3</c:v>
                </c:pt>
                <c:pt idx="116">
                  <c:v>1.6206573296877391E-3</c:v>
                </c:pt>
                <c:pt idx="117">
                  <c:v>1.6243925321777826E-3</c:v>
                </c:pt>
                <c:pt idx="118">
                  <c:v>1.628910500683237E-3</c:v>
                </c:pt>
                <c:pt idx="119">
                  <c:v>1.6342102303748289E-3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1.5684524222077756E-3</c:v>
                </c:pt>
                <c:pt idx="226">
                  <c:v>1.5629838138978443E-3</c:v>
                </c:pt>
                <c:pt idx="227">
                  <c:v>1.5582888463833678E-3</c:v>
                </c:pt>
                <c:pt idx="228">
                  <c:v>1.5543669421750012E-3</c:v>
                </c:pt>
                <c:pt idx="229">
                  <c:v>1.5512175619644549E-3</c:v>
                </c:pt>
                <c:pt idx="230">
                  <c:v>1.5488402022631931E-3</c:v>
                </c:pt>
                <c:pt idx="231">
                  <c:v>1.5472343930462559E-3</c:v>
                </c:pt>
                <c:pt idx="232">
                  <c:v>1.5463996953628729E-3</c:v>
                </c:pt>
                <c:pt idx="233">
                  <c:v>1.5461321223488764E-3</c:v>
                </c:pt>
                <c:pt idx="234">
                  <c:v>1.5466898519745133E-3</c:v>
                </c:pt>
                <c:pt idx="235">
                  <c:v>1.5480737794144786E-3</c:v>
                </c:pt>
                <c:pt idx="236">
                  <c:v>1.5502853336459618E-3</c:v>
                </c:pt>
                <c:pt idx="237">
                  <c:v>1.553324980690907E-3</c:v>
                </c:pt>
                <c:pt idx="238">
                  <c:v>1.5571932217066785E-3</c:v>
                </c:pt>
                <c:pt idx="239">
                  <c:v>1.5595195357119534E-3</c:v>
                </c:pt>
                <c:pt idx="240">
                  <c:v>1.5592827182112268E-3</c:v>
                </c:pt>
                <c:pt idx="241">
                  <c:v>1.5564823455029959E-3</c:v>
                </c:pt>
                <c:pt idx="242">
                  <c:v>1.551117876686879E-3</c:v>
                </c:pt>
                <c:pt idx="243">
                  <c:v>1.5431886491346139E-3</c:v>
                </c:pt>
                <c:pt idx="244">
                  <c:v>1.5326938739516887E-3</c:v>
                </c:pt>
                <c:pt idx="245">
                  <c:v>1.5196326314225606E-3</c:v>
                </c:pt>
                <c:pt idx="246">
                  <c:v>1.5040038664540459E-3</c:v>
                </c:pt>
                <c:pt idx="247">
                  <c:v>1.486638162804887E-3</c:v>
                </c:pt>
                <c:pt idx="248">
                  <c:v>1.4677384435161729E-3</c:v>
                </c:pt>
                <c:pt idx="249">
                  <c:v>1.4473037492229357E-3</c:v>
                </c:pt>
                <c:pt idx="250">
                  <c:v>1.4253330240693791E-3</c:v>
                </c:pt>
                <c:pt idx="251">
                  <c:v>1.4018251130300037E-3</c:v>
                </c:pt>
                <c:pt idx="252">
                  <c:v>1.3767787591681714E-3</c:v>
                </c:pt>
                <c:pt idx="253">
                  <c:v>1.3523338661945727E-3</c:v>
                </c:pt>
                <c:pt idx="254">
                  <c:v>1.3308666111347533E-3</c:v>
                </c:pt>
                <c:pt idx="255">
                  <c:v>1.3123784612960512E-3</c:v>
                </c:pt>
                <c:pt idx="256">
                  <c:v>1.2968710474489215E-3</c:v>
                </c:pt>
                <c:pt idx="257">
                  <c:v>1.2843461690536775E-3</c:v>
                </c:pt>
                <c:pt idx="258">
                  <c:v>1.2748057995001633E-3</c:v>
                </c:pt>
                <c:pt idx="259">
                  <c:v>1.2682520913646468E-3</c:v>
                </c:pt>
                <c:pt idx="260">
                  <c:v>1.2646873816275926E-3</c:v>
                </c:pt>
                <c:pt idx="261">
                  <c:v>1.2638078287434248E-3</c:v>
                </c:pt>
                <c:pt idx="262">
                  <c:v>1.2647813358657861E-3</c:v>
                </c:pt>
                <c:pt idx="263">
                  <c:v>1.2676097687885494E-3</c:v>
                </c:pt>
                <c:pt idx="264">
                  <c:v>1.2722951806713588E-3</c:v>
                </c:pt>
                <c:pt idx="265">
                  <c:v>1.2788466081419703E-3</c:v>
                </c:pt>
                <c:pt idx="266">
                  <c:v>1.2872700169638206E-3</c:v>
                </c:pt>
                <c:pt idx="267">
                  <c:v>1.2954313580662987E-3</c:v>
                </c:pt>
                <c:pt idx="268">
                  <c:v>1.301178739139149E-3</c:v>
                </c:pt>
                <c:pt idx="269">
                  <c:v>1.3045081441903795E-3</c:v>
                </c:pt>
                <c:pt idx="270">
                  <c:v>1.3054152937175543E-3</c:v>
                </c:pt>
                <c:pt idx="271">
                  <c:v>1.3038956715855287E-3</c:v>
                </c:pt>
                <c:pt idx="272">
                  <c:v>1.2999445519400411E-3</c:v>
                </c:pt>
                <c:pt idx="273">
                  <c:v>1.2935570261048974E-3</c:v>
                </c:pt>
                <c:pt idx="274">
                  <c:v>1.2847280294962366E-3</c:v>
                </c:pt>
                <c:pt idx="275">
                  <c:v>1.2721316371155783E-3</c:v>
                </c:pt>
                <c:pt idx="276">
                  <c:v>1.2560688135622754E-3</c:v>
                </c:pt>
                <c:pt idx="277">
                  <c:v>1.2365326372603138E-3</c:v>
                </c:pt>
                <c:pt idx="278">
                  <c:v>1.2135161025994595E-3</c:v>
                </c:pt>
                <c:pt idx="279">
                  <c:v>1.1870121579534156E-3</c:v>
                </c:pt>
                <c:pt idx="280">
                  <c:v>1.1570137437093998E-3</c:v>
                </c:pt>
                <c:pt idx="281">
                  <c:v>1.1254079230801756E-3</c:v>
                </c:pt>
                <c:pt idx="282">
                  <c:v>1.0943409512112607E-3</c:v>
                </c:pt>
                <c:pt idx="283">
                  <c:v>1.063812324564475E-3</c:v>
                </c:pt>
                <c:pt idx="284">
                  <c:v>1.0338216814585286E-3</c:v>
                </c:pt>
                <c:pt idx="285">
                  <c:v>1.0043687958342861E-3</c:v>
                </c:pt>
                <c:pt idx="286">
                  <c:v>9.7545357102991502E-4</c:v>
                </c:pt>
                <c:pt idx="287">
                  <c:v>9.4707603354554084E-4</c:v>
                </c:pt>
                <c:pt idx="288">
                  <c:v>9.1923632681203341E-4</c:v>
                </c:pt>
                <c:pt idx="289">
                  <c:v>8.9298497852609326E-4</c:v>
                </c:pt>
                <c:pt idx="290">
                  <c:v>8.696548437423661E-4</c:v>
                </c:pt>
                <c:pt idx="291">
                  <c:v>8.492498721563421E-4</c:v>
                </c:pt>
                <c:pt idx="292">
                  <c:v>8.3177397988574173E-4</c:v>
                </c:pt>
                <c:pt idx="293">
                  <c:v>8.1723101729446357E-4</c:v>
                </c:pt>
                <c:pt idx="294">
                  <c:v>8.0562473681304765E-4</c:v>
                </c:pt>
                <c:pt idx="295">
                  <c:v>7.9549094471526472E-4</c:v>
                </c:pt>
                <c:pt idx="296">
                  <c:v>7.8493243573437871E-4</c:v>
                </c:pt>
                <c:pt idx="297">
                  <c:v>7.7395435030180534E-4</c:v>
                </c:pt>
                <c:pt idx="298">
                  <c:v>7.6255518631349398E-4</c:v>
                </c:pt>
                <c:pt idx="299">
                  <c:v>7.5073346975718764E-4</c:v>
                </c:pt>
                <c:pt idx="300">
                  <c:v>7.3848775854540034E-4</c:v>
                </c:pt>
                <c:pt idx="301">
                  <c:v>7.2581664634605231E-4</c:v>
                </c:pt>
                <c:pt idx="302">
                  <c:v>7.127187664148026E-4</c:v>
                </c:pt>
                <c:pt idx="303">
                  <c:v>6.9917873678911025E-4</c:v>
                </c:pt>
                <c:pt idx="304">
                  <c:v>6.841375355534406E-4</c:v>
                </c:pt>
                <c:pt idx="305">
                  <c:v>6.6759240785799808E-4</c:v>
                </c:pt>
                <c:pt idx="306">
                  <c:v>6.4954066372867358E-4</c:v>
                </c:pt>
                <c:pt idx="307">
                  <c:v>6.2997969176302124E-4</c:v>
                </c:pt>
                <c:pt idx="308">
                  <c:v>6.0890697282086714E-4</c:v>
                </c:pt>
                <c:pt idx="309">
                  <c:v>5.8651033111177802E-4</c:v>
                </c:pt>
                <c:pt idx="310">
                  <c:v>5.6426596984641985E-4</c:v>
                </c:pt>
                <c:pt idx="311">
                  <c:v>5.4217398532959641E-4</c:v>
                </c:pt>
                <c:pt idx="312">
                  <c:v>5.2023454970300431E-4</c:v>
                </c:pt>
                <c:pt idx="313">
                  <c:v>4.984479093304542E-4</c:v>
                </c:pt>
                <c:pt idx="314">
                  <c:v>4.768143831781866E-4</c:v>
                </c:pt>
                <c:pt idx="315">
                  <c:v>4.5533436120155711E-4</c:v>
                </c:pt>
                <c:pt idx="316">
                  <c:v>4.3400830272402542E-4</c:v>
                </c:pt>
                <c:pt idx="317">
                  <c:v>4.1344863341512256E-4</c:v>
                </c:pt>
                <c:pt idx="318">
                  <c:v>3.9367079965464826E-4</c:v>
                </c:pt>
                <c:pt idx="319">
                  <c:v>3.7467612633465715E-4</c:v>
                </c:pt>
                <c:pt idx="320">
                  <c:v>3.5646594513782118E-4</c:v>
                </c:pt>
                <c:pt idx="321">
                  <c:v>3.3904158719351755E-4</c:v>
                </c:pt>
                <c:pt idx="322">
                  <c:v>3.2240437573497166E-4</c:v>
                </c:pt>
                <c:pt idx="323">
                  <c:v>3.0837356079462371E-4</c:v>
                </c:pt>
                <c:pt idx="324">
                  <c:v>2.9676065053762033E-4</c:v>
                </c:pt>
                <c:pt idx="325">
                  <c:v>2.8756808863191402E-4</c:v>
                </c:pt>
                <c:pt idx="326">
                  <c:v>2.8079633681695512E-4</c:v>
                </c:pt>
                <c:pt idx="327">
                  <c:v>2.7644685274825495E-4</c:v>
                </c:pt>
                <c:pt idx="328">
                  <c:v>2.7452214421067175E-4</c:v>
                </c:pt>
                <c:pt idx="329">
                  <c:v>2.7502429716100274E-4</c:v>
                </c:pt>
                <c:pt idx="330">
                  <c:v>2.7795502637625375E-4</c:v>
                </c:pt>
                <c:pt idx="331">
                  <c:v>2.8306120177030736E-4</c:v>
                </c:pt>
                <c:pt idx="332">
                  <c:v>2.8972966002908674E-4</c:v>
                </c:pt>
                <c:pt idx="333">
                  <c:v>2.9796110743100871E-4</c:v>
                </c:pt>
                <c:pt idx="334">
                  <c:v>3.0775615551306663E-4</c:v>
                </c:pt>
                <c:pt idx="335">
                  <c:v>3.1911535365452724E-4</c:v>
                </c:pt>
                <c:pt idx="336">
                  <c:v>3.3203922165677243E-4</c:v>
                </c:pt>
                <c:pt idx="337">
                  <c:v>3.4598486735916336E-4</c:v>
                </c:pt>
                <c:pt idx="338">
                  <c:v>3.591311901901953E-4</c:v>
                </c:pt>
                <c:pt idx="339">
                  <c:v>3.7147864651654669E-4</c:v>
                </c:pt>
                <c:pt idx="340">
                  <c:v>3.8302781860881455E-4</c:v>
                </c:pt>
                <c:pt idx="341">
                  <c:v>3.9377939804935484E-4</c:v>
                </c:pt>
                <c:pt idx="342">
                  <c:v>4.0373416914007515E-4</c:v>
                </c:pt>
                <c:pt idx="343">
                  <c:v>4.1289299230540889E-4</c:v>
                </c:pt>
                <c:pt idx="344">
                  <c:v>4.2125678750140849E-4</c:v>
                </c:pt>
                <c:pt idx="345">
                  <c:v>4.28826517620679E-4</c:v>
                </c:pt>
                <c:pt idx="346">
                  <c:v>4.3557184193435448E-4</c:v>
                </c:pt>
                <c:pt idx="347">
                  <c:v>4.4149375318601144E-4</c:v>
                </c:pt>
                <c:pt idx="348">
                  <c:v>4.4659323454468224E-4</c:v>
                </c:pt>
                <c:pt idx="349">
                  <c:v>4.5087124235639216E-4</c:v>
                </c:pt>
                <c:pt idx="350">
                  <c:v>4.5432868890611438E-4</c:v>
                </c:pt>
                <c:pt idx="351">
                  <c:v>4.5668025894735211E-4</c:v>
                </c:pt>
                <c:pt idx="352">
                  <c:v>4.5847051613592463E-4</c:v>
                </c:pt>
                <c:pt idx="353">
                  <c:v>4.5970025849634044E-4</c:v>
                </c:pt>
                <c:pt idx="354">
                  <c:v>4.6037021038024007E-4</c:v>
                </c:pt>
                <c:pt idx="355">
                  <c:v>4.6048101055225129E-4</c:v>
                </c:pt>
                <c:pt idx="356">
                  <c:v>4.6003351820864499E-4</c:v>
                </c:pt>
                <c:pt idx="357">
                  <c:v>4.5902714030320073E-4</c:v>
                </c:pt>
                <c:pt idx="358">
                  <c:v>4.5746007388286042E-4</c:v>
                </c:pt>
                <c:pt idx="359">
                  <c:v>4.5533043065119731E-4</c:v>
                </c:pt>
                <c:pt idx="360">
                  <c:v>4.5209107683711171E-4</c:v>
                </c:pt>
                <c:pt idx="361">
                  <c:v>4.4802631982563106E-4</c:v>
                </c:pt>
                <c:pt idx="362">
                  <c:v>4.4313374462593433E-4</c:v>
                </c:pt>
                <c:pt idx="363">
                  <c:v>4.3741089001620668E-4</c:v>
                </c:pt>
                <c:pt idx="364">
                  <c:v>4.3085526984430766E-4</c:v>
                </c:pt>
                <c:pt idx="365">
                  <c:v>4.2346439432266124E-4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6.1485364120560625E-4</c:v>
                </c:pt>
                <c:pt idx="1">
                  <c:v>5.9743915046085402E-4</c:v>
                </c:pt>
                <c:pt idx="2">
                  <c:v>5.7911404935763271E-4</c:v>
                </c:pt>
                <c:pt idx="3">
                  <c:v>5.5987528957904037E-4</c:v>
                </c:pt>
                <c:pt idx="4">
                  <c:v>5.3971999870623406E-4</c:v>
                </c:pt>
                <c:pt idx="5">
                  <c:v>5.1864550311083129E-4</c:v>
                </c:pt>
                <c:pt idx="6">
                  <c:v>4.9664935085397103E-4</c:v>
                </c:pt>
                <c:pt idx="7">
                  <c:v>4.7372933457330389E-4</c:v>
                </c:pt>
                <c:pt idx="8">
                  <c:v>4.4988351437789286E-4</c:v>
                </c:pt>
                <c:pt idx="9">
                  <c:v>4.2731558788929996E-4</c:v>
                </c:pt>
                <c:pt idx="10">
                  <c:v>4.0672992711426236E-4</c:v>
                </c:pt>
                <c:pt idx="11">
                  <c:v>3.8812904356788402E-4</c:v>
                </c:pt>
                <c:pt idx="12">
                  <c:v>3.7151544614855278E-4</c:v>
                </c:pt>
                <c:pt idx="13">
                  <c:v>3.5689159009186342E-4</c:v>
                </c:pt>
                <c:pt idx="14">
                  <c:v>3.4425982591854555E-4</c:v>
                </c:pt>
                <c:pt idx="15">
                  <c:v>3.3449854294591855E-4</c:v>
                </c:pt>
                <c:pt idx="16">
                  <c:v>3.2780881041134525E-4</c:v>
                </c:pt>
                <c:pt idx="17">
                  <c:v>3.2419311204320291E-4</c:v>
                </c:pt>
                <c:pt idx="18">
                  <c:v>3.2365339058910492E-4</c:v>
                </c:pt>
                <c:pt idx="19">
                  <c:v>3.2619278897546276E-4</c:v>
                </c:pt>
                <c:pt idx="20">
                  <c:v>3.3181471398502864E-4</c:v>
                </c:pt>
                <c:pt idx="21">
                  <c:v>3.4052071116679486E-4</c:v>
                </c:pt>
                <c:pt idx="22">
                  <c:v>3.5231190331411422E-4</c:v>
                </c:pt>
                <c:pt idx="23">
                  <c:v>3.6742309474763185E-4</c:v>
                </c:pt>
                <c:pt idx="24">
                  <c:v>3.8364085527661714E-4</c:v>
                </c:pt>
                <c:pt idx="25">
                  <c:v>4.0096492218007099E-4</c:v>
                </c:pt>
                <c:pt idx="26">
                  <c:v>4.1939498502336579E-4</c:v>
                </c:pt>
                <c:pt idx="27">
                  <c:v>4.3893069955282862E-4</c:v>
                </c:pt>
                <c:pt idx="28">
                  <c:v>4.5957170159904967E-4</c:v>
                </c:pt>
                <c:pt idx="29">
                  <c:v>4.8133477072908937E-4</c:v>
                </c:pt>
                <c:pt idx="30">
                  <c:v>5.0334189270653156E-4</c:v>
                </c:pt>
                <c:pt idx="31">
                  <c:v>5.2559281813415034E-4</c:v>
                </c:pt>
                <c:pt idx="32">
                  <c:v>5.4808738994625264E-4</c:v>
                </c:pt>
                <c:pt idx="33">
                  <c:v>5.7082554654854379E-4</c:v>
                </c:pt>
                <c:pt idx="34">
                  <c:v>5.9380732496040799E-4</c:v>
                </c:pt>
                <c:pt idx="35">
                  <c:v>6.1703286395702408E-4</c:v>
                </c:pt>
                <c:pt idx="36">
                  <c:v>6.4050240721040877E-4</c:v>
                </c:pt>
                <c:pt idx="37">
                  <c:v>6.6265511517846481E-4</c:v>
                </c:pt>
                <c:pt idx="38">
                  <c:v>6.8325787187048254E-4</c:v>
                </c:pt>
                <c:pt idx="39">
                  <c:v>7.023117400156159E-4</c:v>
                </c:pt>
                <c:pt idx="40">
                  <c:v>7.1981790228565319E-4</c:v>
                </c:pt>
                <c:pt idx="41">
                  <c:v>7.3577764198773214E-4</c:v>
                </c:pt>
                <c:pt idx="42">
                  <c:v>7.5019232375246462E-4</c:v>
                </c:pt>
                <c:pt idx="43">
                  <c:v>7.6413608859060274E-4</c:v>
                </c:pt>
                <c:pt idx="44">
                  <c:v>7.7759301509840617E-4</c:v>
                </c:pt>
                <c:pt idx="45">
                  <c:v>7.905643747722524E-4</c:v>
                </c:pt>
                <c:pt idx="46">
                  <c:v>8.0305149004740711E-4</c:v>
                </c:pt>
                <c:pt idx="47">
                  <c:v>8.1505572820146123E-4</c:v>
                </c:pt>
                <c:pt idx="48">
                  <c:v>8.2657849524749559E-4</c:v>
                </c:pt>
                <c:pt idx="49">
                  <c:v>8.3762122983442372E-4</c:v>
                </c:pt>
                <c:pt idx="50">
                  <c:v>8.4818539714236532E-4</c:v>
                </c:pt>
                <c:pt idx="51">
                  <c:v>8.6027350242592383E-4</c:v>
                </c:pt>
                <c:pt idx="52">
                  <c:v>8.7544191797079369E-4</c:v>
                </c:pt>
                <c:pt idx="53">
                  <c:v>8.9368619437616001E-4</c:v>
                </c:pt>
                <c:pt idx="54">
                  <c:v>9.1500612119663411E-4</c:v>
                </c:pt>
                <c:pt idx="55">
                  <c:v>9.3940151167528718E-4</c:v>
                </c:pt>
                <c:pt idx="56">
                  <c:v>9.6687219137348273E-4</c:v>
                </c:pt>
                <c:pt idx="57">
                  <c:v>9.9600546487223413E-4</c:v>
                </c:pt>
                <c:pt idx="58">
                  <c:v>1.0257288737565238E-3</c:v>
                </c:pt>
                <c:pt idx="59">
                  <c:v>1.0560421608570589E-3</c:v>
                </c:pt>
                <c:pt idx="60">
                  <c:v>1.0869450282021936E-3</c:v>
                </c:pt>
                <c:pt idx="61">
                  <c:v>1.1184371348411752E-3</c:v>
                </c:pt>
                <c:pt idx="62">
                  <c:v>1.1505180946657322E-3</c:v>
                </c:pt>
                <c:pt idx="63">
                  <c:v>1.1831874742349853E-3</c:v>
                </c:pt>
                <c:pt idx="64">
                  <c:v>1.2164447905958736E-3</c:v>
                </c:pt>
                <c:pt idx="65">
                  <c:v>1.2480257498555739E-3</c:v>
                </c:pt>
                <c:pt idx="66">
                  <c:v>1.2759286365125471E-3</c:v>
                </c:pt>
                <c:pt idx="67">
                  <c:v>1.3001528039946889E-3</c:v>
                </c:pt>
                <c:pt idx="68">
                  <c:v>1.3206976098920746E-3</c:v>
                </c:pt>
                <c:pt idx="69">
                  <c:v>1.3375624295532942E-3</c:v>
                </c:pt>
                <c:pt idx="70">
                  <c:v>1.3507466696877366E-3</c:v>
                </c:pt>
                <c:pt idx="71">
                  <c:v>1.3599586900874163E-3</c:v>
                </c:pt>
                <c:pt idx="72">
                  <c:v>1.3666105613949601E-3</c:v>
                </c:pt>
                <c:pt idx="73">
                  <c:v>1.370701808387302E-3</c:v>
                </c:pt>
                <c:pt idx="74">
                  <c:v>1.3722320115747725E-3</c:v>
                </c:pt>
                <c:pt idx="75">
                  <c:v>1.3712008166546696E-3</c:v>
                </c:pt>
                <c:pt idx="76">
                  <c:v>1.367607943960571E-3</c:v>
                </c:pt>
                <c:pt idx="77">
                  <c:v>1.3614531979161022E-3</c:v>
                </c:pt>
                <c:pt idx="78">
                  <c:v>1.3527365213963723E-3</c:v>
                </c:pt>
                <c:pt idx="79">
                  <c:v>1.343712213183942E-3</c:v>
                </c:pt>
                <c:pt idx="80">
                  <c:v>1.3366465908282461E-3</c:v>
                </c:pt>
                <c:pt idx="81">
                  <c:v>1.3315389528974705E-3</c:v>
                </c:pt>
                <c:pt idx="82">
                  <c:v>1.3283886012767615E-3</c:v>
                </c:pt>
                <c:pt idx="83">
                  <c:v>1.3271948348948656E-3</c:v>
                </c:pt>
                <c:pt idx="84">
                  <c:v>1.3279569434552208E-3</c:v>
                </c:pt>
                <c:pt idx="85">
                  <c:v>1.3315340362385917E-3</c:v>
                </c:pt>
                <c:pt idx="86">
                  <c:v>1.3382161453981516E-3</c:v>
                </c:pt>
                <c:pt idx="87">
                  <c:v>1.3480022948487616E-3</c:v>
                </c:pt>
                <c:pt idx="88">
                  <c:v>1.3608914550108512E-3</c:v>
                </c:pt>
                <c:pt idx="89">
                  <c:v>1.3768825328514505E-3</c:v>
                </c:pt>
                <c:pt idx="90">
                  <c:v>1.3959743619223577E-3</c:v>
                </c:pt>
                <c:pt idx="91">
                  <c:v>1.4181656924035005E-3</c:v>
                </c:pt>
                <c:pt idx="92">
                  <c:v>1.4434551811427206E-3</c:v>
                </c:pt>
                <c:pt idx="93">
                  <c:v>1.4693689699318546E-3</c:v>
                </c:pt>
                <c:pt idx="94">
                  <c:v>1.4936590747664997E-3</c:v>
                </c:pt>
                <c:pt idx="95">
                  <c:v>1.5163250708794635E-3</c:v>
                </c:pt>
                <c:pt idx="96">
                  <c:v>1.5373665502959051E-3</c:v>
                </c:pt>
                <c:pt idx="97">
                  <c:v>1.5567831270131029E-3</c:v>
                </c:pt>
                <c:pt idx="98">
                  <c:v>1.5745744421669105E-3</c:v>
                </c:pt>
                <c:pt idx="99">
                  <c:v>1.5905433213843528E-3</c:v>
                </c:pt>
                <c:pt idx="100">
                  <c:v>1.6038307386709678E-3</c:v>
                </c:pt>
                <c:pt idx="101">
                  <c:v>1.6144368389513365E-3</c:v>
                </c:pt>
                <c:pt idx="102">
                  <c:v>1.6223618602807608E-3</c:v>
                </c:pt>
                <c:pt idx="103">
                  <c:v>1.627606142386882E-3</c:v>
                </c:pt>
                <c:pt idx="104">
                  <c:v>1.6301701352490975E-3</c:v>
                </c:pt>
                <c:pt idx="105">
                  <c:v>1.630054407643018E-3</c:v>
                </c:pt>
                <c:pt idx="106">
                  <c:v>1.6272596557043307E-3</c:v>
                </c:pt>
                <c:pt idx="107">
                  <c:v>1.6228604927708207E-3</c:v>
                </c:pt>
                <c:pt idx="108">
                  <c:v>1.6193250866920698E-3</c:v>
                </c:pt>
                <c:pt idx="109">
                  <c:v>1.6166525351154909E-3</c:v>
                </c:pt>
                <c:pt idx="110">
                  <c:v>1.6148464891351793E-3</c:v>
                </c:pt>
                <c:pt idx="111">
                  <c:v>1.6139106549881317E-3</c:v>
                </c:pt>
                <c:pt idx="112">
                  <c:v>1.6138441628101173E-3</c:v>
                </c:pt>
                <c:pt idx="113">
                  <c:v>1.6143763777845307E-3</c:v>
                </c:pt>
                <c:pt idx="114">
                  <c:v>1.6157029064216768E-3</c:v>
                </c:pt>
                <c:pt idx="115">
                  <c:v>1.6178228553721261E-3</c:v>
                </c:pt>
                <c:pt idx="116">
                  <c:v>1.6207353047650965E-3</c:v>
                </c:pt>
                <c:pt idx="117">
                  <c:v>1.6244393064650453E-3</c:v>
                </c:pt>
                <c:pt idx="118">
                  <c:v>1.6289338823119004E-3</c:v>
                </c:pt>
                <c:pt idx="119">
                  <c:v>1.6342180223658908E-3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1.568459900662523E-3</c:v>
                </c:pt>
                <c:pt idx="226">
                  <c:v>1.5630062492048352E-3</c:v>
                </c:pt>
                <c:pt idx="227">
                  <c:v>1.5583337172188924E-3</c:v>
                </c:pt>
                <c:pt idx="228">
                  <c:v>1.5544417278069405E-3</c:v>
                </c:pt>
                <c:pt idx="229">
                  <c:v>1.5513297425418348E-3</c:v>
                </c:pt>
                <c:pt idx="230">
                  <c:v>1.5489972590824914E-3</c:v>
                </c:pt>
                <c:pt idx="231">
                  <c:v>1.5474438087944703E-3</c:v>
                </c:pt>
                <c:pt idx="232">
                  <c:v>1.5466689543373352E-3</c:v>
                </c:pt>
                <c:pt idx="233">
                  <c:v>1.5464840206049187E-3</c:v>
                </c:pt>
                <c:pt idx="234">
                  <c:v>1.5471471897821893E-3</c:v>
                </c:pt>
                <c:pt idx="235">
                  <c:v>1.5486593623406637E-3</c:v>
                </c:pt>
                <c:pt idx="236">
                  <c:v>1.5510219738198014E-3</c:v>
                </c:pt>
                <c:pt idx="237">
                  <c:v>1.5542354975821282E-3</c:v>
                </c:pt>
                <c:pt idx="238">
                  <c:v>1.558300443170967E-3</c:v>
                </c:pt>
                <c:pt idx="239">
                  <c:v>1.5608531489640738E-3</c:v>
                </c:pt>
                <c:pt idx="240">
                  <c:v>1.5608649395809843E-3</c:v>
                </c:pt>
                <c:pt idx="241">
                  <c:v>1.558335403054203E-3</c:v>
                </c:pt>
                <c:pt idx="242">
                  <c:v>1.5532640113993213E-3</c:v>
                </c:pt>
                <c:pt idx="243">
                  <c:v>1.5456501161251461E-3</c:v>
                </c:pt>
                <c:pt idx="244">
                  <c:v>1.5354929437344596E-3</c:v>
                </c:pt>
                <c:pt idx="245">
                  <c:v>1.5227915912083441E-3</c:v>
                </c:pt>
                <c:pt idx="246">
                  <c:v>1.5075450214886573E-3</c:v>
                </c:pt>
                <c:pt idx="247">
                  <c:v>1.4905746092329045E-3</c:v>
                </c:pt>
                <c:pt idx="248">
                  <c:v>1.4720679614527018E-3</c:v>
                </c:pt>
                <c:pt idx="249">
                  <c:v>1.4520241288028353E-3</c:v>
                </c:pt>
                <c:pt idx="250">
                  <c:v>1.4304420655962416E-3</c:v>
                </c:pt>
                <c:pt idx="251">
                  <c:v>1.4073206271210748E-3</c:v>
                </c:pt>
                <c:pt idx="252">
                  <c:v>1.3826585668950148E-3</c:v>
                </c:pt>
                <c:pt idx="253">
                  <c:v>1.3586076924084381E-3</c:v>
                </c:pt>
                <c:pt idx="254">
                  <c:v>1.3375373338885598E-3</c:v>
                </c:pt>
                <c:pt idx="255">
                  <c:v>1.3194489731700413E-3</c:v>
                </c:pt>
                <c:pt idx="256">
                  <c:v>1.3043442559889146E-3</c:v>
                </c:pt>
                <c:pt idx="257">
                  <c:v>1.2922249972139404E-3</c:v>
                </c:pt>
                <c:pt idx="258">
                  <c:v>1.283093186090957E-3</c:v>
                </c:pt>
                <c:pt idx="259">
                  <c:v>1.2769509915045709E-3</c:v>
                </c:pt>
                <c:pt idx="260">
                  <c:v>1.2738007672004861E-3</c:v>
                </c:pt>
                <c:pt idx="261">
                  <c:v>1.2733658933897643E-3</c:v>
                </c:pt>
                <c:pt idx="262">
                  <c:v>1.2748235741645679E-3</c:v>
                </c:pt>
                <c:pt idx="263">
                  <c:v>1.2781757278254272E-3</c:v>
                </c:pt>
                <c:pt idx="264">
                  <c:v>1.2834244635885844E-3</c:v>
                </c:pt>
                <c:pt idx="265">
                  <c:v>1.2905789402062452E-3</c:v>
                </c:pt>
                <c:pt idx="266">
                  <c:v>1.2996452300794244E-3</c:v>
                </c:pt>
                <c:pt idx="267">
                  <c:v>1.3084491517935941E-3</c:v>
                </c:pt>
                <c:pt idx="268">
                  <c:v>1.3148268883477947E-3</c:v>
                </c:pt>
                <c:pt idx="269">
                  <c:v>1.3187744264098E-3</c:v>
                </c:pt>
                <c:pt idx="270">
                  <c:v>1.3202874851086469E-3</c:v>
                </c:pt>
                <c:pt idx="271">
                  <c:v>1.3193615430546555E-3</c:v>
                </c:pt>
                <c:pt idx="272">
                  <c:v>1.3159918653956758E-3</c:v>
                </c:pt>
                <c:pt idx="273">
                  <c:v>1.3101735308567429E-3</c:v>
                </c:pt>
                <c:pt idx="274">
                  <c:v>1.3019014587970143E-3</c:v>
                </c:pt>
                <c:pt idx="275">
                  <c:v>1.289808276998902E-3</c:v>
                </c:pt>
                <c:pt idx="276">
                  <c:v>1.2741674982488271E-3</c:v>
                </c:pt>
                <c:pt idx="277">
                  <c:v>1.2549720712184962E-3</c:v>
                </c:pt>
                <c:pt idx="278">
                  <c:v>1.2322148550176126E-3</c:v>
                </c:pt>
                <c:pt idx="279">
                  <c:v>1.2058886581096657E-3</c:v>
                </c:pt>
                <c:pt idx="280">
                  <c:v>1.1759862772393161E-3</c:v>
                </c:pt>
                <c:pt idx="281">
                  <c:v>1.1444360759951262E-3</c:v>
                </c:pt>
                <c:pt idx="282">
                  <c:v>1.1134247101464564E-3</c:v>
                </c:pt>
                <c:pt idx="283">
                  <c:v>1.0829516553945669E-3</c:v>
                </c:pt>
                <c:pt idx="284">
                  <c:v>1.0530165290970951E-3</c:v>
                </c:pt>
                <c:pt idx="285">
                  <c:v>1.0236190840344388E-3</c:v>
                </c:pt>
                <c:pt idx="286">
                  <c:v>9.9475920218619683E-4</c:v>
                </c:pt>
                <c:pt idx="287">
                  <c:v>9.6643688849693422E-4</c:v>
                </c:pt>
                <c:pt idx="288">
                  <c:v>9.3865226464614484E-4</c:v>
                </c:pt>
                <c:pt idx="289">
                  <c:v>9.1244703664849472E-4</c:v>
                </c:pt>
                <c:pt idx="290">
                  <c:v>8.8919577172228575E-4</c:v>
                </c:pt>
                <c:pt idx="291">
                  <c:v>8.6890244606019622E-4</c:v>
                </c:pt>
                <c:pt idx="292">
                  <c:v>8.5157100045067788E-4</c:v>
                </c:pt>
                <c:pt idx="293">
                  <c:v>8.3720530774424734E-4</c:v>
                </c:pt>
                <c:pt idx="294">
                  <c:v>8.2580914031621562E-4</c:v>
                </c:pt>
                <c:pt idx="295">
                  <c:v>8.1586694929895341E-4</c:v>
                </c:pt>
                <c:pt idx="296">
                  <c:v>8.0543996770404507E-4</c:v>
                </c:pt>
                <c:pt idx="297">
                  <c:v>7.9453340552126191E-4</c:v>
                </c:pt>
                <c:pt idx="298">
                  <c:v>7.831456603866533E-4</c:v>
                </c:pt>
                <c:pt idx="299">
                  <c:v>7.7127515579835748E-4</c:v>
                </c:pt>
                <c:pt idx="300">
                  <c:v>7.5892034550593403E-4</c:v>
                </c:pt>
                <c:pt idx="301">
                  <c:v>7.4607971789729984E-4</c:v>
                </c:pt>
                <c:pt idx="302">
                  <c:v>7.3275180038740188E-4</c:v>
                </c:pt>
                <c:pt idx="303">
                  <c:v>7.189519077978574E-4</c:v>
                </c:pt>
                <c:pt idx="304">
                  <c:v>7.0362981914032349E-4</c:v>
                </c:pt>
                <c:pt idx="305">
                  <c:v>6.8678273196144234E-4</c:v>
                </c:pt>
                <c:pt idx="306">
                  <c:v>6.6840790986780283E-4</c:v>
                </c:pt>
                <c:pt idx="307">
                  <c:v>6.485026964131225E-4</c:v>
                </c:pt>
                <c:pt idx="308">
                  <c:v>6.2706452897990435E-4</c:v>
                </c:pt>
                <c:pt idx="309">
                  <c:v>6.0432017023270823E-4</c:v>
                </c:pt>
                <c:pt idx="310">
                  <c:v>5.8179757323537605E-4</c:v>
                </c:pt>
                <c:pt idx="311">
                  <c:v>5.5949691884020806E-4</c:v>
                </c:pt>
                <c:pt idx="312">
                  <c:v>5.3741846209038561E-4</c:v>
                </c:pt>
                <c:pt idx="313">
                  <c:v>5.1556252996379226E-4</c:v>
                </c:pt>
                <c:pt idx="314">
                  <c:v>4.9392951911177358E-4</c:v>
                </c:pt>
                <c:pt idx="315">
                  <c:v>4.7251989360447988E-4</c:v>
                </c:pt>
                <c:pt idx="316">
                  <c:v>4.5133418266824908E-4</c:v>
                </c:pt>
                <c:pt idx="317">
                  <c:v>4.3123526646725898E-4</c:v>
                </c:pt>
                <c:pt idx="318">
                  <c:v>4.1220792976469697E-4</c:v>
                </c:pt>
                <c:pt idx="319">
                  <c:v>3.9425378322484024E-4</c:v>
                </c:pt>
                <c:pt idx="320">
                  <c:v>3.773744177300079E-4</c:v>
                </c:pt>
                <c:pt idx="321">
                  <c:v>3.6157139438788773E-4</c:v>
                </c:pt>
                <c:pt idx="322">
                  <c:v>3.468462345400394E-4</c:v>
                </c:pt>
                <c:pt idx="323">
                  <c:v>3.3538022805353849E-4</c:v>
                </c:pt>
                <c:pt idx="324">
                  <c:v>3.2694611448215617E-4</c:v>
                </c:pt>
                <c:pt idx="325">
                  <c:v>3.2154666107852642E-4</c:v>
                </c:pt>
                <c:pt idx="326">
                  <c:v>3.1918233129054322E-4</c:v>
                </c:pt>
                <c:pt idx="327">
                  <c:v>3.1985455053762309E-4</c:v>
                </c:pt>
                <c:pt idx="328">
                  <c:v>3.2356588114198977E-4</c:v>
                </c:pt>
                <c:pt idx="329">
                  <c:v>3.3031840826388127E-4</c:v>
                </c:pt>
                <c:pt idx="330">
                  <c:v>3.4011380331633599E-4</c:v>
                </c:pt>
                <c:pt idx="331">
                  <c:v>3.527575594896273E-4</c:v>
                </c:pt>
                <c:pt idx="332">
                  <c:v>3.673851040090354E-4</c:v>
                </c:pt>
                <c:pt idx="333">
                  <c:v>3.8399699884191272E-4</c:v>
                </c:pt>
                <c:pt idx="334">
                  <c:v>4.0259373704448591E-4</c:v>
                </c:pt>
                <c:pt idx="335">
                  <c:v>4.2317578410656855E-4</c:v>
                </c:pt>
                <c:pt idx="336">
                  <c:v>4.4574361929136902E-4</c:v>
                </c:pt>
                <c:pt idx="337">
                  <c:v>4.6960198341371753E-4</c:v>
                </c:pt>
                <c:pt idx="338">
                  <c:v>4.9256722835854547E-4</c:v>
                </c:pt>
                <c:pt idx="339">
                  <c:v>5.1463991593804351E-4</c:v>
                </c:pt>
                <c:pt idx="340">
                  <c:v>5.3582081745569559E-4</c:v>
                </c:pt>
                <c:pt idx="341">
                  <c:v>5.5611089516714415E-4</c:v>
                </c:pt>
                <c:pt idx="342">
                  <c:v>5.7551128374109725E-4</c:v>
                </c:pt>
                <c:pt idx="343">
                  <c:v>5.9402327171340845E-4</c:v>
                </c:pt>
                <c:pt idx="344">
                  <c:v>6.1164828294976356E-4</c:v>
                </c:pt>
                <c:pt idx="345">
                  <c:v>6.2838785810248197E-4</c:v>
                </c:pt>
                <c:pt idx="346">
                  <c:v>6.4360373668495183E-4</c:v>
                </c:pt>
                <c:pt idx="347">
                  <c:v>6.5729750980228106E-4</c:v>
                </c:pt>
                <c:pt idx="348">
                  <c:v>6.6947077390665407E-4</c:v>
                </c:pt>
                <c:pt idx="349">
                  <c:v>6.8012509894928817E-4</c:v>
                </c:pt>
                <c:pt idx="350">
                  <c:v>6.8926199654798003E-4</c:v>
                </c:pt>
                <c:pt idx="351">
                  <c:v>6.9604661403995384E-4</c:v>
                </c:pt>
                <c:pt idx="352">
                  <c:v>7.0117630090078256E-4</c:v>
                </c:pt>
                <c:pt idx="353">
                  <c:v>7.0465206258686055E-4</c:v>
                </c:pt>
                <c:pt idx="354">
                  <c:v>7.064746892426957E-4</c:v>
                </c:pt>
                <c:pt idx="355">
                  <c:v>7.0664472091573757E-4</c:v>
                </c:pt>
                <c:pt idx="356">
                  <c:v>7.0516290011481966E-4</c:v>
                </c:pt>
                <c:pt idx="357">
                  <c:v>7.02027591574591E-4</c:v>
                </c:pt>
                <c:pt idx="358">
                  <c:v>6.9723516452971986E-4</c:v>
                </c:pt>
                <c:pt idx="359">
                  <c:v>6.9078173882290391E-4</c:v>
                </c:pt>
                <c:pt idx="360">
                  <c:v>6.8196518092605233E-4</c:v>
                </c:pt>
                <c:pt idx="361">
                  <c:v>6.7161905703747471E-4</c:v>
                </c:pt>
                <c:pt idx="362">
                  <c:v>6.5973913503883147E-4</c:v>
                </c:pt>
                <c:pt idx="363">
                  <c:v>6.463211258811106E-4</c:v>
                </c:pt>
                <c:pt idx="364">
                  <c:v>6.3136072291387478E-4</c:v>
                </c:pt>
                <c:pt idx="365">
                  <c:v>6.1485364120560625E-4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1.3412409514154567E-3</c:v>
                </c:pt>
                <c:pt idx="1">
                  <c:v>1.297644383710967E-3</c:v>
                </c:pt>
                <c:pt idx="2">
                  <c:v>1.2528696197267601E-3</c:v>
                </c:pt>
                <c:pt idx="3">
                  <c:v>1.2069111255861612E-3</c:v>
                </c:pt>
                <c:pt idx="4">
                  <c:v>1.1597638127779654E-3</c:v>
                </c:pt>
                <c:pt idx="5">
                  <c:v>1.1114230673388845E-3</c:v>
                </c:pt>
                <c:pt idx="6">
                  <c:v>1.0618847790502515E-3</c:v>
                </c:pt>
                <c:pt idx="7">
                  <c:v>1.011145370608814E-3</c:v>
                </c:pt>
                <c:pt idx="8">
                  <c:v>9.5920182681455716E-4</c:v>
                </c:pt>
                <c:pt idx="9">
                  <c:v>9.0847147077948841E-4</c:v>
                </c:pt>
                <c:pt idx="10">
                  <c:v>8.5998926434458238E-4</c:v>
                </c:pt>
                <c:pt idx="11">
                  <c:v>8.1375823364750546E-4</c:v>
                </c:pt>
                <c:pt idx="12">
                  <c:v>7.6978165624352619E-4</c:v>
                </c:pt>
                <c:pt idx="13">
                  <c:v>7.2806300249238264E-4</c:v>
                </c:pt>
                <c:pt idx="14">
                  <c:v>6.8860587693298826E-4</c:v>
                </c:pt>
                <c:pt idx="15">
                  <c:v>6.5321706174907644E-4</c:v>
                </c:pt>
                <c:pt idx="16">
                  <c:v>6.2201671764283001E-4</c:v>
                </c:pt>
                <c:pt idx="17">
                  <c:v>5.9500982227601634E-4</c:v>
                </c:pt>
                <c:pt idx="18">
                  <c:v>5.7220083633330277E-4</c:v>
                </c:pt>
                <c:pt idx="19">
                  <c:v>5.5359668414852554E-4</c:v>
                </c:pt>
                <c:pt idx="20">
                  <c:v>5.392045959650766E-4</c:v>
                </c:pt>
                <c:pt idx="21">
                  <c:v>5.2902849012952027E-4</c:v>
                </c:pt>
                <c:pt idx="22">
                  <c:v>5.2307159521901877E-4</c:v>
                </c:pt>
                <c:pt idx="23">
                  <c:v>5.2233557080251568E-4</c:v>
                </c:pt>
                <c:pt idx="24">
                  <c:v>5.2439354701180982E-4</c:v>
                </c:pt>
                <c:pt idx="25">
                  <c:v>5.2924669951904873E-4</c:v>
                </c:pt>
                <c:pt idx="26">
                  <c:v>5.3689588938590023E-4</c:v>
                </c:pt>
                <c:pt idx="27">
                  <c:v>5.4734169812909589E-4</c:v>
                </c:pt>
                <c:pt idx="28">
                  <c:v>5.6058446279744288E-4</c:v>
                </c:pt>
                <c:pt idx="29">
                  <c:v>5.7675854149363142E-4</c:v>
                </c:pt>
                <c:pt idx="30">
                  <c:v>5.9405777944357614E-4</c:v>
                </c:pt>
                <c:pt idx="31">
                  <c:v>6.1248216407968909E-4</c:v>
                </c:pt>
                <c:pt idx="32">
                  <c:v>6.3203168922704818E-4</c:v>
                </c:pt>
                <c:pt idx="33">
                  <c:v>6.5270636927202612E-4</c:v>
                </c:pt>
                <c:pt idx="34">
                  <c:v>6.745062533337116E-4</c:v>
                </c:pt>
                <c:pt idx="35">
                  <c:v>6.9743143943506709E-4</c:v>
                </c:pt>
                <c:pt idx="36">
                  <c:v>7.2148208867285624E-4</c:v>
                </c:pt>
                <c:pt idx="37">
                  <c:v>7.4489384685252121E-4</c:v>
                </c:pt>
                <c:pt idx="38">
                  <c:v>7.6666878920440449E-4</c:v>
                </c:pt>
                <c:pt idx="39">
                  <c:v>7.8680809421522357E-4</c:v>
                </c:pt>
                <c:pt idx="40">
                  <c:v>8.0531306714160195E-4</c:v>
                </c:pt>
                <c:pt idx="41">
                  <c:v>8.2218511962300379E-4</c:v>
                </c:pt>
                <c:pt idx="42">
                  <c:v>8.3742574928951025E-4</c:v>
                </c:pt>
                <c:pt idx="43">
                  <c:v>8.5207025311632555E-4</c:v>
                </c:pt>
                <c:pt idx="44">
                  <c:v>8.6598590196581518E-4</c:v>
                </c:pt>
                <c:pt idx="45">
                  <c:v>8.7917414243715477E-4</c:v>
                </c:pt>
                <c:pt idx="46">
                  <c:v>8.9163646608849724E-4</c:v>
                </c:pt>
                <c:pt idx="47">
                  <c:v>9.0337440030934023E-4</c:v>
                </c:pt>
                <c:pt idx="48">
                  <c:v>9.1438949918146368E-4</c:v>
                </c:pt>
                <c:pt idx="49">
                  <c:v>9.2468333434784502E-4</c:v>
                </c:pt>
                <c:pt idx="50">
                  <c:v>9.3425748587606895E-4</c:v>
                </c:pt>
                <c:pt idx="51">
                  <c:v>9.4528730451124852E-4</c:v>
                </c:pt>
                <c:pt idx="52">
                  <c:v>9.5953197569248992E-4</c:v>
                </c:pt>
                <c:pt idx="53">
                  <c:v>9.7698657914132236E-4</c:v>
                </c:pt>
                <c:pt idx="54">
                  <c:v>9.9765086400717688E-4</c:v>
                </c:pt>
                <c:pt idx="55">
                  <c:v>1.0215246065027337E-3</c:v>
                </c:pt>
                <c:pt idx="56">
                  <c:v>1.0486075980387628E-3</c:v>
                </c:pt>
                <c:pt idx="57">
                  <c:v>1.0773242812817704E-3</c:v>
                </c:pt>
                <c:pt idx="58">
                  <c:v>1.1066411291730317E-3</c:v>
                </c:pt>
                <c:pt idx="59">
                  <c:v>1.1365578532131716E-3</c:v>
                </c:pt>
                <c:pt idx="60">
                  <c:v>1.1670741247562775E-3</c:v>
                </c:pt>
                <c:pt idx="61">
                  <c:v>1.1981895727964729E-3</c:v>
                </c:pt>
                <c:pt idx="62">
                  <c:v>1.2299037817527106E-3</c:v>
                </c:pt>
                <c:pt idx="63">
                  <c:v>1.2622162892571376E-3</c:v>
                </c:pt>
                <c:pt idx="64">
                  <c:v>1.2951265839386457E-3</c:v>
                </c:pt>
                <c:pt idx="65">
                  <c:v>1.32620772908887E-3</c:v>
                </c:pt>
                <c:pt idx="66">
                  <c:v>1.3532852209946114E-3</c:v>
                </c:pt>
                <c:pt idx="67">
                  <c:v>1.3763583857239893E-3</c:v>
                </c:pt>
                <c:pt idx="68">
                  <c:v>1.3954265587521608E-3</c:v>
                </c:pt>
                <c:pt idx="69">
                  <c:v>1.4104890997614038E-3</c:v>
                </c:pt>
                <c:pt idx="70">
                  <c:v>1.4215454074474989E-3</c:v>
                </c:pt>
                <c:pt idx="71">
                  <c:v>1.4284178717898727E-3</c:v>
                </c:pt>
                <c:pt idx="72">
                  <c:v>1.4326814027000947E-3</c:v>
                </c:pt>
                <c:pt idx="73">
                  <c:v>1.4343355305813492E-3</c:v>
                </c:pt>
                <c:pt idx="74">
                  <c:v>1.4333798463506376E-3</c:v>
                </c:pt>
                <c:pt idx="75">
                  <c:v>1.4298140110721761E-3</c:v>
                </c:pt>
                <c:pt idx="76">
                  <c:v>1.4236377655863391E-3</c:v>
                </c:pt>
                <c:pt idx="77">
                  <c:v>1.4148509401432565E-3</c:v>
                </c:pt>
                <c:pt idx="78">
                  <c:v>1.4034535106277415E-3</c:v>
                </c:pt>
                <c:pt idx="79">
                  <c:v>1.3917509406433952E-3</c:v>
                </c:pt>
                <c:pt idx="80">
                  <c:v>1.3821722384126432E-3</c:v>
                </c:pt>
                <c:pt idx="81">
                  <c:v>1.3747166658311597E-3</c:v>
                </c:pt>
                <c:pt idx="82">
                  <c:v>1.3693834908524792E-3</c:v>
                </c:pt>
                <c:pt idx="83">
                  <c:v>1.3661719806862375E-3</c:v>
                </c:pt>
                <c:pt idx="84">
                  <c:v>1.3650813950009911E-3</c:v>
                </c:pt>
                <c:pt idx="85">
                  <c:v>1.3669352623660901E-3</c:v>
                </c:pt>
                <c:pt idx="86">
                  <c:v>1.3719096307627653E-3</c:v>
                </c:pt>
                <c:pt idx="87">
                  <c:v>1.3800035214753478E-3</c:v>
                </c:pt>
                <c:pt idx="88">
                  <c:v>1.3912159042584896E-3</c:v>
                </c:pt>
                <c:pt idx="89">
                  <c:v>1.4055456873289483E-3</c:v>
                </c:pt>
                <c:pt idx="90">
                  <c:v>1.4229917073544538E-3</c:v>
                </c:pt>
                <c:pt idx="91">
                  <c:v>1.4435527194478785E-3</c:v>
                </c:pt>
                <c:pt idx="92">
                  <c:v>1.467227387157742E-3</c:v>
                </c:pt>
                <c:pt idx="93">
                  <c:v>1.4915708847671645E-3</c:v>
                </c:pt>
                <c:pt idx="94">
                  <c:v>1.5142843370029085E-3</c:v>
                </c:pt>
                <c:pt idx="95">
                  <c:v>1.535367336046636E-3</c:v>
                </c:pt>
                <c:pt idx="96">
                  <c:v>1.5548194930861314E-3</c:v>
                </c:pt>
                <c:pt idx="97">
                  <c:v>1.5726404435160548E-3</c:v>
                </c:pt>
                <c:pt idx="98">
                  <c:v>1.5888298521252035E-3</c:v>
                </c:pt>
                <c:pt idx="99">
                  <c:v>1.6032523088712787E-3</c:v>
                </c:pt>
                <c:pt idx="100">
                  <c:v>1.6150843038406333E-3</c:v>
                </c:pt>
                <c:pt idx="101">
                  <c:v>1.6243259755653208E-3</c:v>
                </c:pt>
                <c:pt idx="102">
                  <c:v>1.6309775538183096E-3</c:v>
                </c:pt>
                <c:pt idx="103">
                  <c:v>1.6350393678639123E-3</c:v>
                </c:pt>
                <c:pt idx="104">
                  <c:v>1.6365118547462347E-3</c:v>
                </c:pt>
                <c:pt idx="105">
                  <c:v>1.6353955675424612E-3</c:v>
                </c:pt>
                <c:pt idx="106">
                  <c:v>1.6316911836356466E-3</c:v>
                </c:pt>
                <c:pt idx="107">
                  <c:v>1.6265031584201497E-3</c:v>
                </c:pt>
                <c:pt idx="108">
                  <c:v>1.622270648414998E-3</c:v>
                </c:pt>
                <c:pt idx="109">
                  <c:v>1.618992720263863E-3</c:v>
                </c:pt>
                <c:pt idx="110">
                  <c:v>1.616672994950404E-3</c:v>
                </c:pt>
                <c:pt idx="111">
                  <c:v>1.6153151392903329E-3</c:v>
                </c:pt>
                <c:pt idx="112">
                  <c:v>1.6149182337885056E-3</c:v>
                </c:pt>
                <c:pt idx="113">
                  <c:v>1.6152115918728362E-3</c:v>
                </c:pt>
                <c:pt idx="114">
                  <c:v>1.6163291830747391E-3</c:v>
                </c:pt>
                <c:pt idx="115">
                  <c:v>1.6182700978918411E-3</c:v>
                </c:pt>
                <c:pt idx="116">
                  <c:v>1.6210333995521839E-3</c:v>
                </c:pt>
                <c:pt idx="117">
                  <c:v>1.6246181222056035E-3</c:v>
                </c:pt>
                <c:pt idx="118">
                  <c:v>1.6290232690987358E-3</c:v>
                </c:pt>
                <c:pt idx="119">
                  <c:v>1.6342478107546339E-3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1.5684884904177512E-3</c:v>
                </c:pt>
                <c:pt idx="226">
                  <c:v>1.5630920182516559E-3</c:v>
                </c:pt>
                <c:pt idx="227">
                  <c:v>1.5585052561594807E-3</c:v>
                </c:pt>
                <c:pt idx="228">
                  <c:v>1.5547276295050951E-3</c:v>
                </c:pt>
                <c:pt idx="229">
                  <c:v>1.5517586032299253E-3</c:v>
                </c:pt>
                <c:pt idx="230">
                  <c:v>1.5495976793795429E-3</c:v>
                </c:pt>
                <c:pt idx="231">
                  <c:v>1.5482443946353878E-3</c:v>
                </c:pt>
                <c:pt idx="232">
                  <c:v>1.5476983178132585E-3</c:v>
                </c:pt>
                <c:pt idx="233">
                  <c:v>1.5478298277744986E-3</c:v>
                </c:pt>
                <c:pt idx="234">
                  <c:v>1.5488971228923383E-3</c:v>
                </c:pt>
                <c:pt idx="235">
                  <c:v>1.5509011239814097E-3</c:v>
                </c:pt>
                <c:pt idx="236">
                  <c:v>1.5538432917843346E-3</c:v>
                </c:pt>
                <c:pt idx="237">
                  <c:v>1.5577241278638002E-3</c:v>
                </c:pt>
                <c:pt idx="238">
                  <c:v>1.5625441739825104E-3</c:v>
                </c:pt>
                <c:pt idx="239">
                  <c:v>1.5659675587709344E-3</c:v>
                </c:pt>
                <c:pt idx="240">
                  <c:v>1.5669370466609156E-3</c:v>
                </c:pt>
                <c:pt idx="241">
                  <c:v>1.5654522712682493E-3</c:v>
                </c:pt>
                <c:pt idx="242">
                  <c:v>1.561512754810242E-3</c:v>
                </c:pt>
                <c:pt idx="243">
                  <c:v>1.5551179037691092E-3</c:v>
                </c:pt>
                <c:pt idx="244">
                  <c:v>1.5462670045460114E-3</c:v>
                </c:pt>
                <c:pt idx="245">
                  <c:v>1.5349592190985533E-3</c:v>
                </c:pt>
                <c:pt idx="246">
                  <c:v>1.5211935805763616E-3</c:v>
                </c:pt>
                <c:pt idx="247">
                  <c:v>1.5057575290241924E-3</c:v>
                </c:pt>
                <c:pt idx="248">
                  <c:v>1.4887796024791143E-3</c:v>
                </c:pt>
                <c:pt idx="249">
                  <c:v>1.4702588919290292E-3</c:v>
                </c:pt>
                <c:pt idx="250">
                  <c:v>1.4501943927606755E-3</c:v>
                </c:pt>
                <c:pt idx="251">
                  <c:v>1.4285850020661686E-3</c:v>
                </c:pt>
                <c:pt idx="252">
                  <c:v>1.405429515886061E-3</c:v>
                </c:pt>
                <c:pt idx="253">
                  <c:v>1.3829285530910975E-3</c:v>
                </c:pt>
                <c:pt idx="254">
                  <c:v>1.3634237034120152E-3</c:v>
                </c:pt>
                <c:pt idx="255">
                  <c:v>1.346916508592127E-3</c:v>
                </c:pt>
                <c:pt idx="256">
                  <c:v>1.3334086762603087E-3</c:v>
                </c:pt>
                <c:pt idx="257">
                  <c:v>1.3229020851880547E-3</c:v>
                </c:pt>
                <c:pt idx="258">
                  <c:v>1.3153987905597543E-3</c:v>
                </c:pt>
                <c:pt idx="259">
                  <c:v>1.3109010292607869E-3</c:v>
                </c:pt>
                <c:pt idx="260">
                  <c:v>1.3094112251253178E-3</c:v>
                </c:pt>
                <c:pt idx="261">
                  <c:v>1.3107621872627325E-3</c:v>
                </c:pt>
                <c:pt idx="262">
                  <c:v>1.3141654140457354E-3</c:v>
                </c:pt>
                <c:pt idx="263">
                  <c:v>1.3196230354950702E-3</c:v>
                </c:pt>
                <c:pt idx="264">
                  <c:v>1.3271373868335558E-3</c:v>
                </c:pt>
                <c:pt idx="265">
                  <c:v>1.3367181129883201E-3</c:v>
                </c:pt>
                <c:pt idx="266">
                  <c:v>1.3483717130980822E-3</c:v>
                </c:pt>
                <c:pt idx="267">
                  <c:v>1.3597680150727407E-3</c:v>
                </c:pt>
                <c:pt idx="268">
                  <c:v>1.3686943116456914E-3</c:v>
                </c:pt>
                <c:pt idx="269">
                  <c:v>1.3751466083025859E-3</c:v>
                </c:pt>
                <c:pt idx="270">
                  <c:v>1.3791206272559559E-3</c:v>
                </c:pt>
                <c:pt idx="271">
                  <c:v>1.3806118349784895E-3</c:v>
                </c:pt>
                <c:pt idx="272">
                  <c:v>1.37961546977398E-3</c:v>
                </c:pt>
                <c:pt idx="273">
                  <c:v>1.376126569330952E-3</c:v>
                </c:pt>
                <c:pt idx="274">
                  <c:v>1.3701399982943797E-3</c:v>
                </c:pt>
                <c:pt idx="275">
                  <c:v>1.360131292037387E-3</c:v>
                </c:pt>
                <c:pt idx="276">
                  <c:v>1.3462636367612621E-3</c:v>
                </c:pt>
                <c:pt idx="277">
                  <c:v>1.3285294841990254E-3</c:v>
                </c:pt>
                <c:pt idx="278">
                  <c:v>1.3069211746380889E-3</c:v>
                </c:pt>
                <c:pt idx="279">
                  <c:v>1.2814309792812503E-3</c:v>
                </c:pt>
                <c:pt idx="280">
                  <c:v>1.2520511426199756E-3</c:v>
                </c:pt>
                <c:pt idx="281">
                  <c:v>1.2208765631740279E-3</c:v>
                </c:pt>
                <c:pt idx="282">
                  <c:v>1.1902509556826267E-3</c:v>
                </c:pt>
                <c:pt idx="283">
                  <c:v>1.1601737289603795E-3</c:v>
                </c:pt>
                <c:pt idx="284">
                  <c:v>1.1306444320211533E-3</c:v>
                </c:pt>
                <c:pt idx="285">
                  <c:v>1.1016627477391857E-3</c:v>
                </c:pt>
                <c:pt idx="286">
                  <c:v>1.0732284865209928E-3</c:v>
                </c:pt>
                <c:pt idx="287">
                  <c:v>1.0453415799658379E-3</c:v>
                </c:pt>
                <c:pt idx="288">
                  <c:v>1.0180020745306896E-3</c:v>
                </c:pt>
                <c:pt idx="289">
                  <c:v>9.92213753632029E-4</c:v>
                </c:pt>
                <c:pt idx="290">
                  <c:v>9.695092845609807E-4</c:v>
                </c:pt>
                <c:pt idx="291">
                  <c:v>9.4989274056813582E-4</c:v>
                </c:pt>
                <c:pt idx="292">
                  <c:v>9.3336815125195959E-4</c:v>
                </c:pt>
                <c:pt idx="293">
                  <c:v>9.1993946860895583E-4</c:v>
                </c:pt>
                <c:pt idx="294">
                  <c:v>9.0961053307996118E-4</c:v>
                </c:pt>
                <c:pt idx="295">
                  <c:v>9.0066792028550868E-4</c:v>
                </c:pt>
                <c:pt idx="296">
                  <c:v>8.9100533454976479E-4</c:v>
                </c:pt>
                <c:pt idx="297">
                  <c:v>8.8062829804576943E-4</c:v>
                </c:pt>
                <c:pt idx="298">
                  <c:v>8.6953481528124175E-4</c:v>
                </c:pt>
                <c:pt idx="299">
                  <c:v>8.5772290697699123E-4</c:v>
                </c:pt>
                <c:pt idx="300">
                  <c:v>8.4519061663638074E-4</c:v>
                </c:pt>
                <c:pt idx="301">
                  <c:v>8.3193601711213162E-4</c:v>
                </c:pt>
                <c:pt idx="302">
                  <c:v>8.1795721717505996E-4</c:v>
                </c:pt>
                <c:pt idx="303">
                  <c:v>8.0338342263167615E-4</c:v>
                </c:pt>
                <c:pt idx="304">
                  <c:v>7.8720227155355978E-4</c:v>
                </c:pt>
                <c:pt idx="305">
                  <c:v>7.6941076403263902E-4</c:v>
                </c:pt>
                <c:pt idx="306">
                  <c:v>7.5000597000093405E-4</c:v>
                </c:pt>
                <c:pt idx="307">
                  <c:v>7.2898504389467416E-4</c:v>
                </c:pt>
                <c:pt idx="308">
                  <c:v>7.0634523931220909E-4</c:v>
                </c:pt>
                <c:pt idx="309">
                  <c:v>6.8306229833877644E-4</c:v>
                </c:pt>
                <c:pt idx="310">
                  <c:v>6.608643659756203E-4</c:v>
                </c:pt>
                <c:pt idx="311">
                  <c:v>6.3975273132598246E-4</c:v>
                </c:pt>
                <c:pt idx="312">
                  <c:v>6.1972872327914258E-4</c:v>
                </c:pt>
                <c:pt idx="313">
                  <c:v>6.0079370032416668E-4</c:v>
                </c:pt>
                <c:pt idx="314">
                  <c:v>5.8294904035784427E-4</c:v>
                </c:pt>
                <c:pt idx="315">
                  <c:v>5.6619613050027144E-4</c:v>
                </c:pt>
                <c:pt idx="316">
                  <c:v>5.5053635690115036E-4</c:v>
                </c:pt>
                <c:pt idx="317">
                  <c:v>5.3774557870253127E-4</c:v>
                </c:pt>
                <c:pt idx="318">
                  <c:v>5.2769525379662728E-4</c:v>
                </c:pt>
                <c:pt idx="319">
                  <c:v>5.2038844797235994E-4</c:v>
                </c:pt>
                <c:pt idx="320">
                  <c:v>5.1582803745515678E-4</c:v>
                </c:pt>
                <c:pt idx="321">
                  <c:v>5.1401668369044763E-4</c:v>
                </c:pt>
                <c:pt idx="322">
                  <c:v>5.149568081292249E-4</c:v>
                </c:pt>
                <c:pt idx="323">
                  <c:v>5.2104230329634918E-4</c:v>
                </c:pt>
                <c:pt idx="324">
                  <c:v>5.3129303834807294E-4</c:v>
                </c:pt>
                <c:pt idx="325">
                  <c:v>5.4571152823826579E-4</c:v>
                </c:pt>
                <c:pt idx="326">
                  <c:v>5.6429625710032729E-4</c:v>
                </c:pt>
                <c:pt idx="327">
                  <c:v>5.8704701673058376E-4</c:v>
                </c:pt>
                <c:pt idx="328">
                  <c:v>6.1396576582733911E-4</c:v>
                </c:pt>
                <c:pt idx="329">
                  <c:v>6.450539909306865E-4</c:v>
                </c:pt>
                <c:pt idx="330">
                  <c:v>6.8031279329431248E-4</c:v>
                </c:pt>
                <c:pt idx="331">
                  <c:v>7.1962953189173146E-4</c:v>
                </c:pt>
                <c:pt idx="332">
                  <c:v>7.6122356896621073E-4</c:v>
                </c:pt>
                <c:pt idx="333">
                  <c:v>8.0509491542053344E-4</c:v>
                </c:pt>
                <c:pt idx="334">
                  <c:v>8.5124370908010042E-4</c:v>
                </c:pt>
                <c:pt idx="335">
                  <c:v>8.9967026216968048E-4</c:v>
                </c:pt>
                <c:pt idx="336">
                  <c:v>9.5037510877998908E-4</c:v>
                </c:pt>
                <c:pt idx="337">
                  <c:v>1.0023358000094934E-3</c:v>
                </c:pt>
                <c:pt idx="338">
                  <c:v>1.0531568027896214E-3</c:v>
                </c:pt>
                <c:pt idx="339">
                  <c:v>1.1028393585139345E-3</c:v>
                </c:pt>
                <c:pt idx="340">
                  <c:v>1.151385154724388E-3</c:v>
                </c:pt>
                <c:pt idx="341">
                  <c:v>1.1987963014791208E-3</c:v>
                </c:pt>
                <c:pt idx="342">
                  <c:v>1.2450753077204114E-3</c:v>
                </c:pt>
                <c:pt idx="343">
                  <c:v>1.2902250576278989E-3</c:v>
                </c:pt>
                <c:pt idx="344">
                  <c:v>1.3342487869903363E-3</c:v>
                </c:pt>
                <c:pt idx="345">
                  <c:v>1.3771500595646368E-3</c:v>
                </c:pt>
                <c:pt idx="346">
                  <c:v>1.4165993184368291E-3</c:v>
                </c:pt>
                <c:pt idx="347">
                  <c:v>1.4526002474637596E-3</c:v>
                </c:pt>
                <c:pt idx="348">
                  <c:v>1.4851565840187113E-3</c:v>
                </c:pt>
                <c:pt idx="349">
                  <c:v>1.514272046838271E-3</c:v>
                </c:pt>
                <c:pt idx="350">
                  <c:v>1.5399502639037548E-3</c:v>
                </c:pt>
                <c:pt idx="351">
                  <c:v>1.5597465366692838E-3</c:v>
                </c:pt>
                <c:pt idx="352">
                  <c:v>1.5746871405717862E-3</c:v>
                </c:pt>
                <c:pt idx="353">
                  <c:v>1.5847740261255244E-3</c:v>
                </c:pt>
                <c:pt idx="354">
                  <c:v>1.5900085135154406E-3</c:v>
                </c:pt>
                <c:pt idx="355">
                  <c:v>1.5903911907886974E-3</c:v>
                </c:pt>
                <c:pt idx="356">
                  <c:v>1.5859229080899193E-3</c:v>
                </c:pt>
                <c:pt idx="357">
                  <c:v>1.5765989514461877E-3</c:v>
                </c:pt>
                <c:pt idx="358">
                  <c:v>1.5624099179323708E-3</c:v>
                </c:pt>
                <c:pt idx="359">
                  <c:v>1.5433456745444919E-3</c:v>
                </c:pt>
                <c:pt idx="360">
                  <c:v>1.5183689177016007E-3</c:v>
                </c:pt>
                <c:pt idx="361">
                  <c:v>1.489922343720896E-3</c:v>
                </c:pt>
                <c:pt idx="362">
                  <c:v>1.4579961380155034E-3</c:v>
                </c:pt>
                <c:pt idx="363">
                  <c:v>1.4225804081412395E-3</c:v>
                </c:pt>
                <c:pt idx="364">
                  <c:v>1.3836652728987237E-3</c:v>
                </c:pt>
                <c:pt idx="365">
                  <c:v>1.3412409514154567E-3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3.3517637055040348E-3</c:v>
                </c:pt>
                <c:pt idx="1">
                  <c:v>3.2086596858235893E-3</c:v>
                </c:pt>
                <c:pt idx="2">
                  <c:v>3.0660676740218995E-3</c:v>
                </c:pt>
                <c:pt idx="3">
                  <c:v>2.9239785209469438E-3</c:v>
                </c:pt>
                <c:pt idx="4">
                  <c:v>2.7823845580025584E-3</c:v>
                </c:pt>
                <c:pt idx="5">
                  <c:v>2.6412795810683257E-3</c:v>
                </c:pt>
                <c:pt idx="6">
                  <c:v>2.5006588344533274E-3</c:v>
                </c:pt>
                <c:pt idx="7">
                  <c:v>2.3605189947878825E-3</c:v>
                </c:pt>
                <c:pt idx="8">
                  <c:v>2.2208581549564795E-3</c:v>
                </c:pt>
                <c:pt idx="9">
                  <c:v>2.0856034882741508E-3</c:v>
                </c:pt>
                <c:pt idx="10">
                  <c:v>1.9560675074372746E-3</c:v>
                </c:pt>
                <c:pt idx="11">
                  <c:v>1.8322587800391084E-3</c:v>
                </c:pt>
                <c:pt idx="12">
                  <c:v>1.7141865751313518E-3</c:v>
                </c:pt>
                <c:pt idx="13">
                  <c:v>1.6018607140733728E-3</c:v>
                </c:pt>
                <c:pt idx="14">
                  <c:v>1.4952914213548279E-3</c:v>
                </c:pt>
                <c:pt idx="15">
                  <c:v>1.3980159076486393E-3</c:v>
                </c:pt>
                <c:pt idx="16">
                  <c:v>1.3081046836184139E-3</c:v>
                </c:pt>
                <c:pt idx="17">
                  <c:v>1.2255691843057863E-3</c:v>
                </c:pt>
                <c:pt idx="18">
                  <c:v>1.1504202864221077E-3</c:v>
                </c:pt>
                <c:pt idx="19">
                  <c:v>1.0826741580392439E-3</c:v>
                </c:pt>
                <c:pt idx="20">
                  <c:v>1.0223472600641057E-3</c:v>
                </c:pt>
                <c:pt idx="21">
                  <c:v>9.694492757828596E-4</c:v>
                </c:pt>
                <c:pt idx="22">
                  <c:v>9.2398849617157696E-4</c:v>
                </c:pt>
                <c:pt idx="23">
                  <c:v>8.8845082512592737E-4</c:v>
                </c:pt>
                <c:pt idx="24">
                  <c:v>8.588997442050731E-4</c:v>
                </c:pt>
                <c:pt idx="25">
                  <c:v>8.3533953364457768E-4</c:v>
                </c:pt>
                <c:pt idx="26">
                  <c:v>8.1777362970396155E-4</c:v>
                </c:pt>
                <c:pt idx="27">
                  <c:v>8.062046998162563E-4</c:v>
                </c:pt>
                <c:pt idx="28">
                  <c:v>8.0063471775556705E-4</c:v>
                </c:pt>
                <c:pt idx="29">
                  <c:v>8.016788078092004E-4</c:v>
                </c:pt>
                <c:pt idx="30">
                  <c:v>8.0580514556982468E-4</c:v>
                </c:pt>
                <c:pt idx="31">
                  <c:v>8.1301436355513937E-4</c:v>
                </c:pt>
                <c:pt idx="32">
                  <c:v>8.2330689620500289E-4</c:v>
                </c:pt>
                <c:pt idx="33">
                  <c:v>8.3668301854788617E-4</c:v>
                </c:pt>
                <c:pt idx="34">
                  <c:v>8.5314288487099179E-4</c:v>
                </c:pt>
                <c:pt idx="35">
                  <c:v>8.7268656738984877E-4</c:v>
                </c:pt>
                <c:pt idx="36">
                  <c:v>8.9531409491631388E-4</c:v>
                </c:pt>
                <c:pt idx="37">
                  <c:v>9.188906747735374E-4</c:v>
                </c:pt>
                <c:pt idx="38">
                  <c:v>9.4093889214813358E-4</c:v>
                </c:pt>
                <c:pt idx="39">
                  <c:v>9.6146011285694333E-4</c:v>
                </c:pt>
                <c:pt idx="40">
                  <c:v>9.8045582975679201E-4</c:v>
                </c:pt>
                <c:pt idx="41">
                  <c:v>9.979276437229118E-4</c:v>
                </c:pt>
                <c:pt idx="42">
                  <c:v>1.0138772446210041E-3</c:v>
                </c:pt>
                <c:pt idx="43">
                  <c:v>1.0292442667187219E-3</c:v>
                </c:pt>
                <c:pt idx="44">
                  <c:v>1.0434171775366113E-3</c:v>
                </c:pt>
                <c:pt idx="45">
                  <c:v>1.0563977613564461E-3</c:v>
                </c:pt>
                <c:pt idx="46">
                  <c:v>1.0681878327951002E-3</c:v>
                </c:pt>
                <c:pt idx="47">
                  <c:v>1.0787892218482944E-3</c:v>
                </c:pt>
                <c:pt idx="48">
                  <c:v>1.0882037589205933E-3</c:v>
                </c:pt>
                <c:pt idx="49">
                  <c:v>1.0964332598649867E-3</c:v>
                </c:pt>
                <c:pt idx="50">
                  <c:v>1.1034795110158846E-3</c:v>
                </c:pt>
                <c:pt idx="51">
                  <c:v>1.1118511568576123E-3</c:v>
                </c:pt>
                <c:pt idx="52">
                  <c:v>1.1236764616801048E-3</c:v>
                </c:pt>
                <c:pt idx="53">
                  <c:v>1.1389495742318467E-3</c:v>
                </c:pt>
                <c:pt idx="54">
                  <c:v>1.1576701594309662E-3</c:v>
                </c:pt>
                <c:pt idx="55">
                  <c:v>1.1798379164003427E-3</c:v>
                </c:pt>
                <c:pt idx="56">
                  <c:v>1.2054525657244361E-3</c:v>
                </c:pt>
                <c:pt idx="57">
                  <c:v>1.2326657888481526E-3</c:v>
                </c:pt>
                <c:pt idx="58">
                  <c:v>1.2605398114359011E-3</c:v>
                </c:pt>
                <c:pt idx="59">
                  <c:v>1.2890742834929909E-3</c:v>
                </c:pt>
                <c:pt idx="60">
                  <c:v>1.3182688173406796E-3</c:v>
                </c:pt>
                <c:pt idx="61">
                  <c:v>1.3481229851792251E-3</c:v>
                </c:pt>
                <c:pt idx="62">
                  <c:v>1.378636316648929E-3</c:v>
                </c:pt>
                <c:pt idx="63">
                  <c:v>1.4098082963952029E-3</c:v>
                </c:pt>
                <c:pt idx="64">
                  <c:v>1.4416383616282248E-3</c:v>
                </c:pt>
                <c:pt idx="65">
                  <c:v>1.471410802604399E-3</c:v>
                </c:pt>
                <c:pt idx="66">
                  <c:v>1.4966179183662361E-3</c:v>
                </c:pt>
                <c:pt idx="67">
                  <c:v>1.5172589863909015E-3</c:v>
                </c:pt>
                <c:pt idx="68">
                  <c:v>1.5333333032711849E-3</c:v>
                </c:pt>
                <c:pt idx="69">
                  <c:v>1.5448402015921022E-3</c:v>
                </c:pt>
                <c:pt idx="70">
                  <c:v>1.5517790668144738E-3</c:v>
                </c:pt>
                <c:pt idx="71">
                  <c:v>1.5541843515499804E-3</c:v>
                </c:pt>
                <c:pt idx="72">
                  <c:v>1.5539036783356879E-3</c:v>
                </c:pt>
                <c:pt idx="73">
                  <c:v>1.5509365892700199E-3</c:v>
                </c:pt>
                <c:pt idx="74">
                  <c:v>1.5452826956556529E-3</c:v>
                </c:pt>
                <c:pt idx="75">
                  <c:v>1.5369416879166869E-3</c:v>
                </c:pt>
                <c:pt idx="76">
                  <c:v>1.5259133455110018E-3</c:v>
                </c:pt>
                <c:pt idx="77">
                  <c:v>1.5121975468476313E-3</c:v>
                </c:pt>
                <c:pt idx="78">
                  <c:v>1.4957943288609183E-3</c:v>
                </c:pt>
                <c:pt idx="79">
                  <c:v>1.4791061314844364E-3</c:v>
                </c:pt>
                <c:pt idx="80">
                  <c:v>1.4648508243116619E-3</c:v>
                </c:pt>
                <c:pt idx="81">
                  <c:v>1.4530276014169672E-3</c:v>
                </c:pt>
                <c:pt idx="82">
                  <c:v>1.4436356680285478E-3</c:v>
                </c:pt>
                <c:pt idx="83">
                  <c:v>1.4366742327381219E-3</c:v>
                </c:pt>
                <c:pt idx="84">
                  <c:v>1.4321424997154459E-3</c:v>
                </c:pt>
                <c:pt idx="85">
                  <c:v>1.4308037461766634E-3</c:v>
                </c:pt>
                <c:pt idx="86">
                  <c:v>1.4326220435356147E-3</c:v>
                </c:pt>
                <c:pt idx="87">
                  <c:v>1.4375964074260688E-3</c:v>
                </c:pt>
                <c:pt idx="88">
                  <c:v>1.4457258054688907E-3</c:v>
                </c:pt>
                <c:pt idx="89">
                  <c:v>1.4570091471474151E-3</c:v>
                </c:pt>
                <c:pt idx="90">
                  <c:v>1.4714452736797872E-3</c:v>
                </c:pt>
                <c:pt idx="91">
                  <c:v>1.4890329478968115E-3</c:v>
                </c:pt>
                <c:pt idx="92">
                  <c:v>1.5097708441159819E-3</c:v>
                </c:pt>
                <c:pt idx="93">
                  <c:v>1.5312684566304126E-3</c:v>
                </c:pt>
                <c:pt idx="94">
                  <c:v>1.5511304333526859E-3</c:v>
                </c:pt>
                <c:pt idx="95">
                  <c:v>1.5693563958177816E-3</c:v>
                </c:pt>
                <c:pt idx="96">
                  <c:v>1.5859459883942916E-3</c:v>
                </c:pt>
                <c:pt idx="97">
                  <c:v>1.6008988835041666E-3</c:v>
                </c:pt>
                <c:pt idx="98">
                  <c:v>1.6142147868286535E-3</c:v>
                </c:pt>
                <c:pt idx="99">
                  <c:v>1.6258683400957334E-3</c:v>
                </c:pt>
                <c:pt idx="100">
                  <c:v>1.6350961698300855E-3</c:v>
                </c:pt>
                <c:pt idx="101">
                  <c:v>1.6418984025026206E-3</c:v>
                </c:pt>
                <c:pt idx="102">
                  <c:v>1.6462752523646474E-3</c:v>
                </c:pt>
                <c:pt idx="103">
                  <c:v>1.6482270291711546E-3</c:v>
                </c:pt>
                <c:pt idx="104">
                  <c:v>1.6477541459424972E-3</c:v>
                </c:pt>
                <c:pt idx="105">
                  <c:v>1.6448571266905558E-3</c:v>
                </c:pt>
                <c:pt idx="106">
                  <c:v>1.6395366141645975E-3</c:v>
                </c:pt>
                <c:pt idx="107">
                  <c:v>1.6329497522277097E-3</c:v>
                </c:pt>
                <c:pt idx="108">
                  <c:v>1.6274814174233102E-3</c:v>
                </c:pt>
                <c:pt idx="109">
                  <c:v>1.6231306212511635E-3</c:v>
                </c:pt>
                <c:pt idx="110">
                  <c:v>1.6199009310864552E-3</c:v>
                </c:pt>
                <c:pt idx="111">
                  <c:v>1.6177959436206475E-3</c:v>
                </c:pt>
                <c:pt idx="112">
                  <c:v>1.6168146511565198E-3</c:v>
                </c:pt>
                <c:pt idx="113">
                  <c:v>1.6166862751432569E-3</c:v>
                </c:pt>
                <c:pt idx="114">
                  <c:v>1.6174349590857733E-3</c:v>
                </c:pt>
                <c:pt idx="115">
                  <c:v>1.6190597649614934E-3</c:v>
                </c:pt>
                <c:pt idx="116">
                  <c:v>1.6215597261571505E-3</c:v>
                </c:pt>
                <c:pt idx="117">
                  <c:v>1.6249338455450212E-3</c:v>
                </c:pt>
                <c:pt idx="118">
                  <c:v>1.6291810935427774E-3</c:v>
                </c:pt>
                <c:pt idx="119">
                  <c:v>1.6343004061779483E-3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1.5685389694917163E-3</c:v>
                </c:pt>
                <c:pt idx="226">
                  <c:v>1.5632434550871181E-3</c:v>
                </c:pt>
                <c:pt idx="227">
                  <c:v>1.5588081313258042E-3</c:v>
                </c:pt>
                <c:pt idx="228">
                  <c:v>1.5552324275648454E-3</c:v>
                </c:pt>
                <c:pt idx="229">
                  <c:v>1.5525158146933371E-3</c:v>
                </c:pt>
                <c:pt idx="230">
                  <c:v>1.5506578025020819E-3</c:v>
                </c:pt>
                <c:pt idx="231">
                  <c:v>1.5496579370584233E-3</c:v>
                </c:pt>
                <c:pt idx="232">
                  <c:v>1.5495157980478227E-3</c:v>
                </c:pt>
                <c:pt idx="233">
                  <c:v>1.5502069880238723E-3</c:v>
                </c:pt>
                <c:pt idx="234">
                  <c:v>1.5519897340818781E-3</c:v>
                </c:pt>
                <c:pt idx="235">
                  <c:v>1.5548649931278271E-3</c:v>
                </c:pt>
                <c:pt idx="236">
                  <c:v>1.5588342706179311E-3</c:v>
                </c:pt>
                <c:pt idx="237">
                  <c:v>1.5638981181598458E-3</c:v>
                </c:pt>
                <c:pt idx="238">
                  <c:v>1.5700571346997962E-3</c:v>
                </c:pt>
                <c:pt idx="239">
                  <c:v>1.5750274431043463E-3</c:v>
                </c:pt>
                <c:pt idx="240">
                  <c:v>1.5777013821062613E-3</c:v>
                </c:pt>
                <c:pt idx="241">
                  <c:v>1.5780786671532061E-3</c:v>
                </c:pt>
                <c:pt idx="242">
                  <c:v>1.5761589106346584E-3</c:v>
                </c:pt>
                <c:pt idx="243">
                  <c:v>1.5719416178227854E-3</c:v>
                </c:pt>
                <c:pt idx="244">
                  <c:v>1.5654261828039534E-3</c:v>
                </c:pt>
                <c:pt idx="245">
                  <c:v>1.5566118843935359E-3</c:v>
                </c:pt>
                <c:pt idx="246">
                  <c:v>1.5454978820486603E-3</c:v>
                </c:pt>
                <c:pt idx="247">
                  <c:v>1.5328141642175783E-3</c:v>
                </c:pt>
                <c:pt idx="248">
                  <c:v>1.5185840212669638E-3</c:v>
                </c:pt>
                <c:pt idx="249">
                  <c:v>1.5028066192276359E-3</c:v>
                </c:pt>
                <c:pt idx="250">
                  <c:v>1.4854810301614979E-3</c:v>
                </c:pt>
                <c:pt idx="251">
                  <c:v>1.4666062294590139E-3</c:v>
                </c:pt>
                <c:pt idx="252">
                  <c:v>1.4461810930719021E-3</c:v>
                </c:pt>
                <c:pt idx="253">
                  <c:v>1.4264987709818521E-3</c:v>
                </c:pt>
                <c:pt idx="254">
                  <c:v>1.409848949955177E-3</c:v>
                </c:pt>
                <c:pt idx="255">
                  <c:v>1.3962332858720517E-3</c:v>
                </c:pt>
                <c:pt idx="256">
                  <c:v>1.3856536045949808E-3</c:v>
                </c:pt>
                <c:pt idx="257">
                  <c:v>1.3781119072867349E-3</c:v>
                </c:pt>
                <c:pt idx="258">
                  <c:v>1.373610375741913E-3</c:v>
                </c:pt>
                <c:pt idx="259">
                  <c:v>1.3721513777371899E-3</c:v>
                </c:pt>
                <c:pt idx="260">
                  <c:v>1.3737374723395712E-3</c:v>
                </c:pt>
                <c:pt idx="261">
                  <c:v>1.3784049785166251E-3</c:v>
                </c:pt>
                <c:pt idx="262">
                  <c:v>1.3854234975659626E-3</c:v>
                </c:pt>
                <c:pt idx="263">
                  <c:v>1.3947955543847877E-3</c:v>
                </c:pt>
                <c:pt idx="264">
                  <c:v>1.4065239056679467E-3</c:v>
                </c:pt>
                <c:pt idx="265">
                  <c:v>1.4206190915691498E-3</c:v>
                </c:pt>
                <c:pt idx="266">
                  <c:v>1.4370884011302035E-3</c:v>
                </c:pt>
                <c:pt idx="267">
                  <c:v>1.4533247272441813E-3</c:v>
                </c:pt>
                <c:pt idx="268">
                  <c:v>1.4670226981545282E-3</c:v>
                </c:pt>
                <c:pt idx="269">
                  <c:v>1.4781783735023097E-3</c:v>
                </c:pt>
                <c:pt idx="270">
                  <c:v>1.4867875015448452E-3</c:v>
                </c:pt>
                <c:pt idx="271">
                  <c:v>1.4928455474985669E-3</c:v>
                </c:pt>
                <c:pt idx="272">
                  <c:v>1.4963477219222115E-3</c:v>
                </c:pt>
                <c:pt idx="273">
                  <c:v>1.4972890090813326E-3</c:v>
                </c:pt>
                <c:pt idx="274">
                  <c:v>1.495664195332404E-3</c:v>
                </c:pt>
                <c:pt idx="275">
                  <c:v>1.4896857407392921E-3</c:v>
                </c:pt>
                <c:pt idx="276">
                  <c:v>1.4793117246349157E-3</c:v>
                </c:pt>
                <c:pt idx="277">
                  <c:v>1.464533743168887E-3</c:v>
                </c:pt>
                <c:pt idx="278">
                  <c:v>1.4453432414033591E-3</c:v>
                </c:pt>
                <c:pt idx="279">
                  <c:v>1.4217315616172346E-3</c:v>
                </c:pt>
                <c:pt idx="280">
                  <c:v>1.3936899916239514E-3</c:v>
                </c:pt>
                <c:pt idx="281">
                  <c:v>1.3636346815411482E-3</c:v>
                </c:pt>
                <c:pt idx="282">
                  <c:v>1.3341882655988895E-3</c:v>
                </c:pt>
                <c:pt idx="283">
                  <c:v>1.3053500934432302E-3</c:v>
                </c:pt>
                <c:pt idx="284">
                  <c:v>1.2771196504288986E-3</c:v>
                </c:pt>
                <c:pt idx="285">
                  <c:v>1.249496550640131E-3</c:v>
                </c:pt>
                <c:pt idx="286">
                  <c:v>1.2224805299237006E-3</c:v>
                </c:pt>
                <c:pt idx="287">
                  <c:v>1.196071438909067E-3</c:v>
                </c:pt>
                <c:pt idx="288">
                  <c:v>1.1702692360335682E-3</c:v>
                </c:pt>
                <c:pt idx="289">
                  <c:v>1.145984541397186E-3</c:v>
                </c:pt>
                <c:pt idx="290">
                  <c:v>1.1250147807414105E-3</c:v>
                </c:pt>
                <c:pt idx="291">
                  <c:v>1.1073641701269525E-3</c:v>
                </c:pt>
                <c:pt idx="292">
                  <c:v>1.093036864026116E-3</c:v>
                </c:pt>
                <c:pt idx="293">
                  <c:v>1.0820369188610777E-3</c:v>
                </c:pt>
                <c:pt idx="294">
                  <c:v>1.0743682565377071E-3</c:v>
                </c:pt>
                <c:pt idx="295">
                  <c:v>1.0679572424552584E-3</c:v>
                </c:pt>
                <c:pt idx="296">
                  <c:v>1.0603745506081489E-3</c:v>
                </c:pt>
                <c:pt idx="297">
                  <c:v>1.0516263423682064E-3</c:v>
                </c:pt>
                <c:pt idx="298">
                  <c:v>1.0417098730268499E-3</c:v>
                </c:pt>
                <c:pt idx="299">
                  <c:v>1.030622393287012E-3</c:v>
                </c:pt>
                <c:pt idx="300">
                  <c:v>1.0183611600249503E-3</c:v>
                </c:pt>
                <c:pt idx="301">
                  <c:v>1.0049234470488806E-3</c:v>
                </c:pt>
                <c:pt idx="302">
                  <c:v>9.9030655585992757E-4</c:v>
                </c:pt>
                <c:pt idx="303">
                  <c:v>9.7510707359978535E-4</c:v>
                </c:pt>
                <c:pt idx="304">
                  <c:v>9.5840622465246143E-4</c:v>
                </c:pt>
                <c:pt idx="305">
                  <c:v>9.402010038521727E-4</c:v>
                </c:pt>
                <c:pt idx="306">
                  <c:v>9.2048847749430594E-4</c:v>
                </c:pt>
                <c:pt idx="307">
                  <c:v>8.9926579701874853E-4</c:v>
                </c:pt>
                <c:pt idx="308">
                  <c:v>8.7653021268558316E-4</c:v>
                </c:pt>
                <c:pt idx="309">
                  <c:v>8.5470665465488553E-4</c:v>
                </c:pt>
                <c:pt idx="310">
                  <c:v>8.3588807206793096E-4</c:v>
                </c:pt>
                <c:pt idx="311">
                  <c:v>8.2007817231364438E-4</c:v>
                </c:pt>
                <c:pt idx="312">
                  <c:v>8.0728061638179734E-4</c:v>
                </c:pt>
                <c:pt idx="313">
                  <c:v>7.9749899106194638E-4</c:v>
                </c:pt>
                <c:pt idx="314">
                  <c:v>7.9073678113487054E-4</c:v>
                </c:pt>
                <c:pt idx="315">
                  <c:v>7.8699734157409464E-4</c:v>
                </c:pt>
                <c:pt idx="316">
                  <c:v>7.8628386973507349E-4</c:v>
                </c:pt>
                <c:pt idx="317">
                  <c:v>7.9207013523230655E-4</c:v>
                </c:pt>
                <c:pt idx="318">
                  <c:v>8.0375967036814113E-4</c:v>
                </c:pt>
                <c:pt idx="319">
                  <c:v>8.2135806201208232E-4</c:v>
                </c:pt>
                <c:pt idx="320">
                  <c:v>8.4487036873102711E-4</c:v>
                </c:pt>
                <c:pt idx="321">
                  <c:v>8.7430106674839453E-4</c:v>
                </c:pt>
                <c:pt idx="322">
                  <c:v>9.0965399590739893E-4</c:v>
                </c:pt>
                <c:pt idx="323">
                  <c:v>9.5481451945850953E-4</c:v>
                </c:pt>
                <c:pt idx="324">
                  <c:v>1.0073467216541794E-3</c:v>
                </c:pt>
                <c:pt idx="325">
                  <c:v>1.067253085658221E-3</c:v>
                </c:pt>
                <c:pt idx="326">
                  <c:v>1.134527984754885E-3</c:v>
                </c:pt>
                <c:pt idx="327">
                  <c:v>1.2091678263252213E-3</c:v>
                </c:pt>
                <c:pt idx="328">
                  <c:v>1.2911734863069655E-3</c:v>
                </c:pt>
                <c:pt idx="329">
                  <c:v>1.3805452940844219E-3</c:v>
                </c:pt>
                <c:pt idx="330">
                  <c:v>1.4772831858214321E-3</c:v>
                </c:pt>
                <c:pt idx="331">
                  <c:v>1.5833056643150007E-3</c:v>
                </c:pt>
                <c:pt idx="332">
                  <c:v>1.6951290174452335E-3</c:v>
                </c:pt>
                <c:pt idx="333">
                  <c:v>1.8127524448288423E-3</c:v>
                </c:pt>
                <c:pt idx="334">
                  <c:v>1.9361755190176429E-3</c:v>
                </c:pt>
                <c:pt idx="335">
                  <c:v>2.0653983063085644E-3</c:v>
                </c:pt>
                <c:pt idx="336">
                  <c:v>2.2004214875309472E-3</c:v>
                </c:pt>
                <c:pt idx="337">
                  <c:v>2.3399530511164003E-3</c:v>
                </c:pt>
                <c:pt idx="338">
                  <c:v>2.4801051064278017E-3</c:v>
                </c:pt>
                <c:pt idx="339">
                  <c:v>2.6208805309537188E-3</c:v>
                </c:pt>
                <c:pt idx="340">
                  <c:v>2.7622833541813968E-3</c:v>
                </c:pt>
                <c:pt idx="341">
                  <c:v>2.9043187706246291E-3</c:v>
                </c:pt>
                <c:pt idx="342">
                  <c:v>3.0469931528525553E-3</c:v>
                </c:pt>
                <c:pt idx="343">
                  <c:v>3.1903140644826793E-3</c:v>
                </c:pt>
                <c:pt idx="344">
                  <c:v>3.3342902732185812E-3</c:v>
                </c:pt>
                <c:pt idx="345">
                  <c:v>3.478931763856758E-3</c:v>
                </c:pt>
                <c:pt idx="346">
                  <c:v>3.6132135882824793E-3</c:v>
                </c:pt>
                <c:pt idx="347">
                  <c:v>3.7371460056055262E-3</c:v>
                </c:pt>
                <c:pt idx="348">
                  <c:v>3.8507395683892547E-3</c:v>
                </c:pt>
                <c:pt idx="349">
                  <c:v>3.9540049062295459E-3</c:v>
                </c:pt>
                <c:pt idx="350">
                  <c:v>4.0469525094232297E-3</c:v>
                </c:pt>
                <c:pt idx="351">
                  <c:v>4.120471890851911E-3</c:v>
                </c:pt>
                <c:pt idx="352">
                  <c:v>4.1758628899307747E-3</c:v>
                </c:pt>
                <c:pt idx="353">
                  <c:v>4.2131292613105135E-3</c:v>
                </c:pt>
                <c:pt idx="354">
                  <c:v>4.2322724113134196E-3</c:v>
                </c:pt>
                <c:pt idx="355">
                  <c:v>4.2332910187310993E-3</c:v>
                </c:pt>
                <c:pt idx="356">
                  <c:v>4.2161835694593018E-3</c:v>
                </c:pt>
                <c:pt idx="357">
                  <c:v>4.1809327605592233E-3</c:v>
                </c:pt>
                <c:pt idx="358">
                  <c:v>4.127507897902523E-3</c:v>
                </c:pt>
                <c:pt idx="359">
                  <c:v>4.0558755674824027E-3</c:v>
                </c:pt>
                <c:pt idx="360">
                  <c:v>3.9647024869764258E-3</c:v>
                </c:pt>
                <c:pt idx="361">
                  <c:v>3.8630963122209248E-3</c:v>
                </c:pt>
                <c:pt idx="362">
                  <c:v>3.7510281668245837E-3</c:v>
                </c:pt>
                <c:pt idx="363">
                  <c:v>3.6284691050058383E-3</c:v>
                </c:pt>
                <c:pt idx="364">
                  <c:v>3.4953903788485208E-3</c:v>
                </c:pt>
                <c:pt idx="365">
                  <c:v>3.3517637055040348E-3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6.8483318155271268E-3</c:v>
                </c:pt>
                <c:pt idx="1">
                  <c:v>6.6029330117225067E-3</c:v>
                </c:pt>
                <c:pt idx="2">
                  <c:v>6.3580114149908995E-3</c:v>
                </c:pt>
                <c:pt idx="3">
                  <c:v>6.1135479330984384E-3</c:v>
                </c:pt>
                <c:pt idx="4">
                  <c:v>5.8695260158109436E-3</c:v>
                </c:pt>
                <c:pt idx="5">
                  <c:v>5.625931637697759E-3</c:v>
                </c:pt>
                <c:pt idx="6">
                  <c:v>5.382753281007663E-3</c:v>
                </c:pt>
                <c:pt idx="7">
                  <c:v>5.1399819184137418E-3</c:v>
                </c:pt>
                <c:pt idx="8">
                  <c:v>4.8976109958442857E-3</c:v>
                </c:pt>
                <c:pt idx="9">
                  <c:v>4.6570105064414344E-3</c:v>
                </c:pt>
                <c:pt idx="10">
                  <c:v>4.4193005236337389E-3</c:v>
                </c:pt>
                <c:pt idx="11">
                  <c:v>4.1844848475415869E-3</c:v>
                </c:pt>
                <c:pt idx="12">
                  <c:v>3.9525693779457497E-3</c:v>
                </c:pt>
                <c:pt idx="13">
                  <c:v>3.7235620337036173E-3</c:v>
                </c:pt>
                <c:pt idx="14">
                  <c:v>3.4974726721032803E-3</c:v>
                </c:pt>
                <c:pt idx="15">
                  <c:v>3.2813251447713549E-3</c:v>
                </c:pt>
                <c:pt idx="16">
                  <c:v>3.0733391622485297E-3</c:v>
                </c:pt>
                <c:pt idx="17">
                  <c:v>2.8735333041884762E-3</c:v>
                </c:pt>
                <c:pt idx="18">
                  <c:v>2.6819266123601151E-3</c:v>
                </c:pt>
                <c:pt idx="19">
                  <c:v>2.498552314454637E-3</c:v>
                </c:pt>
                <c:pt idx="20">
                  <c:v>2.3234456217094608E-3</c:v>
                </c:pt>
                <c:pt idx="21">
                  <c:v>2.1566271298397769E-3</c:v>
                </c:pt>
                <c:pt idx="22">
                  <c:v>1.9981153316409751E-3</c:v>
                </c:pt>
                <c:pt idx="23">
                  <c:v>1.855401164752829E-3</c:v>
                </c:pt>
                <c:pt idx="24">
                  <c:v>1.7271215333199723E-3</c:v>
                </c:pt>
                <c:pt idx="25">
                  <c:v>1.6132898418514997E-3</c:v>
                </c:pt>
                <c:pt idx="26">
                  <c:v>1.5139171743696542E-3</c:v>
                </c:pt>
                <c:pt idx="27">
                  <c:v>1.4290124756586239E-3</c:v>
                </c:pt>
                <c:pt idx="28">
                  <c:v>1.3585827325479081E-3</c:v>
                </c:pt>
                <c:pt idx="29">
                  <c:v>1.3044314287033818E-3</c:v>
                </c:pt>
                <c:pt idx="30">
                  <c:v>1.2595382628212651E-3</c:v>
                </c:pt>
                <c:pt idx="31">
                  <c:v>1.223905926829149E-3</c:v>
                </c:pt>
                <c:pt idx="32">
                  <c:v>1.1975362322727788E-3</c:v>
                </c:pt>
                <c:pt idx="33">
                  <c:v>1.1804302262516933E-3</c:v>
                </c:pt>
                <c:pt idx="34">
                  <c:v>1.1725883073602584E-3</c:v>
                </c:pt>
                <c:pt idx="35">
                  <c:v>1.1740103416274545E-3</c:v>
                </c:pt>
                <c:pt idx="36">
                  <c:v>1.184695778454374E-3</c:v>
                </c:pt>
                <c:pt idx="37">
                  <c:v>1.202232658541895E-3</c:v>
                </c:pt>
                <c:pt idx="38">
                  <c:v>1.2191488029129022E-3</c:v>
                </c:pt>
                <c:pt idx="39">
                  <c:v>1.2354457388447529E-3</c:v>
                </c:pt>
                <c:pt idx="40">
                  <c:v>1.2511250853524311E-3</c:v>
                </c:pt>
                <c:pt idx="41">
                  <c:v>1.2661885455208485E-3</c:v>
                </c:pt>
                <c:pt idx="42">
                  <c:v>1.2806378988288374E-3</c:v>
                </c:pt>
                <c:pt idx="43">
                  <c:v>1.2951599887086088E-3</c:v>
                </c:pt>
                <c:pt idx="44">
                  <c:v>1.3079601968305754E-3</c:v>
                </c:pt>
                <c:pt idx="45">
                  <c:v>1.3190407476079769E-3</c:v>
                </c:pt>
                <c:pt idx="46">
                  <c:v>1.3284038708755242E-3</c:v>
                </c:pt>
                <c:pt idx="47">
                  <c:v>1.3360517803151022E-3</c:v>
                </c:pt>
                <c:pt idx="48">
                  <c:v>1.341986651864284E-3</c:v>
                </c:pt>
                <c:pt idx="49">
                  <c:v>1.3462106021367929E-3</c:v>
                </c:pt>
                <c:pt idx="50">
                  <c:v>1.3487256668348101E-3</c:v>
                </c:pt>
                <c:pt idx="51">
                  <c:v>1.3524443416417526E-3</c:v>
                </c:pt>
                <c:pt idx="52">
                  <c:v>1.3597697439218573E-3</c:v>
                </c:pt>
                <c:pt idx="53">
                  <c:v>1.3706946685226092E-3</c:v>
                </c:pt>
                <c:pt idx="54">
                  <c:v>1.3852186514650025E-3</c:v>
                </c:pt>
                <c:pt idx="55">
                  <c:v>1.4033412718965274E-3</c:v>
                </c:pt>
                <c:pt idx="56">
                  <c:v>1.4250621387896971E-3</c:v>
                </c:pt>
                <c:pt idx="57">
                  <c:v>1.4483628871640841E-3</c:v>
                </c:pt>
                <c:pt idx="58">
                  <c:v>1.472558413637111E-3</c:v>
                </c:pt>
                <c:pt idx="59">
                  <c:v>1.4976482793930695E-3</c:v>
                </c:pt>
                <c:pt idx="60">
                  <c:v>1.5236320146386978E-3</c:v>
                </c:pt>
                <c:pt idx="61">
                  <c:v>1.5505091153016541E-3</c:v>
                </c:pt>
                <c:pt idx="62">
                  <c:v>1.5782790397266763E-3</c:v>
                </c:pt>
                <c:pt idx="63">
                  <c:v>1.6069412053763734E-3</c:v>
                </c:pt>
                <c:pt idx="64">
                  <c:v>1.6364949855258032E-3</c:v>
                </c:pt>
                <c:pt idx="65">
                  <c:v>1.6638441051457177E-3</c:v>
                </c:pt>
                <c:pt idx="66">
                  <c:v>1.6860771224594927E-3</c:v>
                </c:pt>
                <c:pt idx="67">
                  <c:v>1.7031932549853356E-3</c:v>
                </c:pt>
                <c:pt idx="68">
                  <c:v>1.7151917505635337E-3</c:v>
                </c:pt>
                <c:pt idx="69">
                  <c:v>1.7220719062688173E-3</c:v>
                </c:pt>
                <c:pt idx="70">
                  <c:v>1.7238330873305858E-3</c:v>
                </c:pt>
                <c:pt idx="71">
                  <c:v>1.720740128045499E-3</c:v>
                </c:pt>
                <c:pt idx="72">
                  <c:v>1.7148106034496023E-3</c:v>
                </c:pt>
                <c:pt idx="73">
                  <c:v>1.7060440687286336E-3</c:v>
                </c:pt>
                <c:pt idx="74">
                  <c:v>1.694440160483094E-3</c:v>
                </c:pt>
                <c:pt idx="75">
                  <c:v>1.6799986072009948E-3</c:v>
                </c:pt>
                <c:pt idx="76">
                  <c:v>1.6627192397253125E-3</c:v>
                </c:pt>
                <c:pt idx="77">
                  <c:v>1.6426020017269391E-3</c:v>
                </c:pt>
                <c:pt idx="78">
                  <c:v>1.6196470139459792E-3</c:v>
                </c:pt>
                <c:pt idx="79">
                  <c:v>1.5963950264868637E-3</c:v>
                </c:pt>
                <c:pt idx="80">
                  <c:v>1.575944605506782E-3</c:v>
                </c:pt>
                <c:pt idx="81">
                  <c:v>1.5582948604820571E-3</c:v>
                </c:pt>
                <c:pt idx="82">
                  <c:v>1.5434449189109147E-3</c:v>
                </c:pt>
                <c:pt idx="83">
                  <c:v>1.5313939173439842E-3</c:v>
                </c:pt>
                <c:pt idx="84">
                  <c:v>1.522140992419942E-3</c:v>
                </c:pt>
                <c:pt idx="85">
                  <c:v>1.5163757259155067E-3</c:v>
                </c:pt>
                <c:pt idx="86">
                  <c:v>1.5138318912325914E-3</c:v>
                </c:pt>
                <c:pt idx="87">
                  <c:v>1.5145084948105802E-3</c:v>
                </c:pt>
                <c:pt idx="88">
                  <c:v>1.5184044997369167E-3</c:v>
                </c:pt>
                <c:pt idx="89">
                  <c:v>1.525518815417168E-3</c:v>
                </c:pt>
                <c:pt idx="90">
                  <c:v>1.5358502872419178E-3</c:v>
                </c:pt>
                <c:pt idx="91">
                  <c:v>1.5493976862594281E-3</c:v>
                </c:pt>
                <c:pt idx="92">
                  <c:v>1.5661596988442805E-3</c:v>
                </c:pt>
                <c:pt idx="93">
                  <c:v>1.5838219751527127E-3</c:v>
                </c:pt>
                <c:pt idx="94">
                  <c:v>1.5998515302030716E-3</c:v>
                </c:pt>
                <c:pt idx="95">
                  <c:v>1.6142480226888824E-3</c:v>
                </c:pt>
                <c:pt idx="96">
                  <c:v>1.627011138970718E-3</c:v>
                </c:pt>
                <c:pt idx="97">
                  <c:v>1.638140598288054E-3</c:v>
                </c:pt>
                <c:pt idx="98">
                  <c:v>1.6476361579568835E-3</c:v>
                </c:pt>
                <c:pt idx="99">
                  <c:v>1.6556174611749271E-3</c:v>
                </c:pt>
                <c:pt idx="100">
                  <c:v>1.6613946885277436E-3</c:v>
                </c:pt>
                <c:pt idx="101">
                  <c:v>1.6649679494090436E-3</c:v>
                </c:pt>
                <c:pt idx="102">
                  <c:v>1.6663374362685119E-3</c:v>
                </c:pt>
                <c:pt idx="103">
                  <c:v>1.6655034316258189E-3</c:v>
                </c:pt>
                <c:pt idx="104">
                  <c:v>1.6624663151235412E-3</c:v>
                </c:pt>
                <c:pt idx="105">
                  <c:v>1.6572265705440804E-3</c:v>
                </c:pt>
                <c:pt idx="106">
                  <c:v>1.6497847928465305E-3</c:v>
                </c:pt>
                <c:pt idx="107">
                  <c:v>1.6413666987634588E-3</c:v>
                </c:pt>
                <c:pt idx="108">
                  <c:v>1.634281065780745E-3</c:v>
                </c:pt>
                <c:pt idx="109">
                  <c:v>1.6285268329146235E-3</c:v>
                </c:pt>
                <c:pt idx="110">
                  <c:v>1.624107496981242E-3</c:v>
                </c:pt>
                <c:pt idx="111">
                  <c:v>1.6210265624824118E-3</c:v>
                </c:pt>
                <c:pt idx="112">
                  <c:v>1.6192829059115601E-3</c:v>
                </c:pt>
                <c:pt idx="113">
                  <c:v>1.6186056279480687E-3</c:v>
                </c:pt>
                <c:pt idx="114">
                  <c:v>1.6188741659519815E-3</c:v>
                </c:pt>
                <c:pt idx="115">
                  <c:v>1.6200875447806625E-3</c:v>
                </c:pt>
                <c:pt idx="116">
                  <c:v>1.6222447589813182E-3</c:v>
                </c:pt>
                <c:pt idx="117">
                  <c:v>1.6253447707173694E-3</c:v>
                </c:pt>
                <c:pt idx="118">
                  <c:v>1.6293865076784195E-3</c:v>
                </c:pt>
                <c:pt idx="119">
                  <c:v>1.6343688609948453E-3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1.5686046698045518E-3</c:v>
                </c:pt>
                <c:pt idx="226">
                  <c:v>1.5634405555226664E-3</c:v>
                </c:pt>
                <c:pt idx="227">
                  <c:v>1.5592023341432166E-3</c:v>
                </c:pt>
                <c:pt idx="228">
                  <c:v>1.5558894402205664E-3</c:v>
                </c:pt>
                <c:pt idx="229">
                  <c:v>1.5535013523849126E-3</c:v>
                </c:pt>
                <c:pt idx="230">
                  <c:v>1.5520375905077536E-3</c:v>
                </c:pt>
                <c:pt idx="231">
                  <c:v>1.5514977128725212E-3</c:v>
                </c:pt>
                <c:pt idx="232">
                  <c:v>1.5518813133119284E-3</c:v>
                </c:pt>
                <c:pt idx="233">
                  <c:v>1.5533026367395815E-3</c:v>
                </c:pt>
                <c:pt idx="234">
                  <c:v>1.556019947880242E-3</c:v>
                </c:pt>
                <c:pt idx="235">
                  <c:v>1.5600342509196335E-3</c:v>
                </c:pt>
                <c:pt idx="236">
                  <c:v>1.5653471098886259E-3</c:v>
                </c:pt>
                <c:pt idx="237">
                  <c:v>1.571959141978829E-3</c:v>
                </c:pt>
                <c:pt idx="238">
                  <c:v>1.5798710210858874E-3</c:v>
                </c:pt>
                <c:pt idx="239">
                  <c:v>1.586871762716736E-3</c:v>
                </c:pt>
                <c:pt idx="240">
                  <c:v>1.5917880768403459E-3</c:v>
                </c:pt>
                <c:pt idx="241">
                  <c:v>1.5946197878097268E-3</c:v>
                </c:pt>
                <c:pt idx="242">
                  <c:v>1.5953666281056267E-3</c:v>
                </c:pt>
                <c:pt idx="243">
                  <c:v>1.5940282346507493E-3</c:v>
                </c:pt>
                <c:pt idx="244">
                  <c:v>1.5906041451146057E-3</c:v>
                </c:pt>
                <c:pt idx="245">
                  <c:v>1.585093794201441E-3</c:v>
                </c:pt>
                <c:pt idx="246">
                  <c:v>1.5774965099359195E-3</c:v>
                </c:pt>
                <c:pt idx="247">
                  <c:v>1.5684720240041643E-3</c:v>
                </c:pt>
                <c:pt idx="248">
                  <c:v>1.5579049577633074E-3</c:v>
                </c:pt>
                <c:pt idx="249">
                  <c:v>1.5457945818023401E-3</c:v>
                </c:pt>
                <c:pt idx="250">
                  <c:v>1.5321400754511169E-3</c:v>
                </c:pt>
                <c:pt idx="251">
                  <c:v>1.5169405240832243E-3</c:v>
                </c:pt>
                <c:pt idx="252">
                  <c:v>1.5001949163523434E-3</c:v>
                </c:pt>
                <c:pt idx="253">
                  <c:v>1.4843284014185328E-3</c:v>
                </c:pt>
                <c:pt idx="254">
                  <c:v>1.4715578985424005E-3</c:v>
                </c:pt>
                <c:pt idx="255">
                  <c:v>1.4618852273369073E-3</c:v>
                </c:pt>
                <c:pt idx="256">
                  <c:v>1.4553123838107838E-3</c:v>
                </c:pt>
                <c:pt idx="257">
                  <c:v>1.4518415457940045E-3</c:v>
                </c:pt>
                <c:pt idx="258">
                  <c:v>1.4514750783774302E-3</c:v>
                </c:pt>
                <c:pt idx="259">
                  <c:v>1.4542155393722932E-3</c:v>
                </c:pt>
                <c:pt idx="260">
                  <c:v>1.4600656847254272E-3</c:v>
                </c:pt>
                <c:pt idx="261">
                  <c:v>1.4692829812322514E-3</c:v>
                </c:pt>
                <c:pt idx="262">
                  <c:v>1.4812081089532123E-3</c:v>
                </c:pt>
                <c:pt idx="263">
                  <c:v>1.4958440856192093E-3</c:v>
                </c:pt>
                <c:pt idx="264">
                  <c:v>1.5131941934738095E-3</c:v>
                </c:pt>
                <c:pt idx="265">
                  <c:v>1.5332701312225883E-3</c:v>
                </c:pt>
                <c:pt idx="266">
                  <c:v>1.5560801995013836E-3</c:v>
                </c:pt>
                <c:pt idx="267">
                  <c:v>1.5786522806541005E-3</c:v>
                </c:pt>
                <c:pt idx="268">
                  <c:v>1.598548746238544E-3</c:v>
                </c:pt>
                <c:pt idx="269">
                  <c:v>1.6157656651532813E-3</c:v>
                </c:pt>
                <c:pt idx="270">
                  <c:v>1.6302987536225503E-3</c:v>
                </c:pt>
                <c:pt idx="271">
                  <c:v>1.6421434051256806E-3</c:v>
                </c:pt>
                <c:pt idx="272">
                  <c:v>1.6512947203703998E-3</c:v>
                </c:pt>
                <c:pt idx="273">
                  <c:v>1.6577475372456651E-3</c:v>
                </c:pt>
                <c:pt idx="274">
                  <c:v>1.6614964607960692E-3</c:v>
                </c:pt>
                <c:pt idx="275">
                  <c:v>1.660589853016874E-3</c:v>
                </c:pt>
                <c:pt idx="276">
                  <c:v>1.6547630324031213E-3</c:v>
                </c:pt>
                <c:pt idx="277">
                  <c:v>1.6440067354598811E-3</c:v>
                </c:pt>
                <c:pt idx="278">
                  <c:v>1.628311503908712E-3</c:v>
                </c:pt>
                <c:pt idx="279">
                  <c:v>1.6076677388187192E-3</c:v>
                </c:pt>
                <c:pt idx="280">
                  <c:v>1.5820657547529029E-3</c:v>
                </c:pt>
                <c:pt idx="281">
                  <c:v>1.5543111531204181E-3</c:v>
                </c:pt>
                <c:pt idx="282">
                  <c:v>1.5273943890890835E-3</c:v>
                </c:pt>
                <c:pt idx="283">
                  <c:v>1.5013149696238744E-3</c:v>
                </c:pt>
                <c:pt idx="284">
                  <c:v>1.4760725280925648E-3</c:v>
                </c:pt>
                <c:pt idx="285">
                  <c:v>1.451666814811563E-3</c:v>
                </c:pt>
                <c:pt idx="286">
                  <c:v>1.4280976876058298E-3</c:v>
                </c:pt>
                <c:pt idx="287">
                  <c:v>1.4053651023539825E-3</c:v>
                </c:pt>
                <c:pt idx="288">
                  <c:v>1.3834691035391731E-3</c:v>
                </c:pt>
                <c:pt idx="289">
                  <c:v>1.3630748609984398E-3</c:v>
                </c:pt>
                <c:pt idx="290">
                  <c:v>1.3461446205219748E-3</c:v>
                </c:pt>
                <c:pt idx="291">
                  <c:v>1.3326824983710822E-3</c:v>
                </c:pt>
                <c:pt idx="292">
                  <c:v>1.3226925252769639E-3</c:v>
                </c:pt>
                <c:pt idx="293">
                  <c:v>1.3161786083823344E-3</c:v>
                </c:pt>
                <c:pt idx="294">
                  <c:v>1.313144493177737E-3</c:v>
                </c:pt>
                <c:pt idx="295">
                  <c:v>1.3112474922541825E-3</c:v>
                </c:pt>
                <c:pt idx="296">
                  <c:v>1.3076673198631746E-3</c:v>
                </c:pt>
                <c:pt idx="297">
                  <c:v>1.302411275985926E-3</c:v>
                </c:pt>
                <c:pt idx="298">
                  <c:v>1.2954757442210643E-3</c:v>
                </c:pt>
                <c:pt idx="299">
                  <c:v>1.2868570739843963E-3</c:v>
                </c:pt>
                <c:pt idx="300">
                  <c:v>1.276551596031311E-3</c:v>
                </c:pt>
                <c:pt idx="301">
                  <c:v>1.2645556379752331E-3</c:v>
                </c:pt>
                <c:pt idx="302">
                  <c:v>1.2508655398089669E-3</c:v>
                </c:pt>
                <c:pt idx="303">
                  <c:v>1.237233395642085E-3</c:v>
                </c:pt>
                <c:pt idx="304">
                  <c:v>1.2229883623804374E-3</c:v>
                </c:pt>
                <c:pt idx="305">
                  <c:v>1.2081284583040802E-3</c:v>
                </c:pt>
                <c:pt idx="306">
                  <c:v>1.192651759638001E-3</c:v>
                </c:pt>
                <c:pt idx="307">
                  <c:v>1.1765564060731077E-3</c:v>
                </c:pt>
                <c:pt idx="308">
                  <c:v>1.1598406062772724E-3</c:v>
                </c:pt>
                <c:pt idx="309">
                  <c:v>1.1498222719571025E-3</c:v>
                </c:pt>
                <c:pt idx="310">
                  <c:v>1.1488727116524904E-3</c:v>
                </c:pt>
                <c:pt idx="311">
                  <c:v>1.1570033585340011E-3</c:v>
                </c:pt>
                <c:pt idx="312">
                  <c:v>1.1742253006562751E-3</c:v>
                </c:pt>
                <c:pt idx="313">
                  <c:v>1.2005491975970305E-3</c:v>
                </c:pt>
                <c:pt idx="314">
                  <c:v>1.2359851970853316E-3</c:v>
                </c:pt>
                <c:pt idx="315">
                  <c:v>1.2805428516448781E-3</c:v>
                </c:pt>
                <c:pt idx="316">
                  <c:v>1.3342310352186717E-3</c:v>
                </c:pt>
                <c:pt idx="317">
                  <c:v>1.4039587031699861E-3</c:v>
                </c:pt>
                <c:pt idx="318">
                  <c:v>1.4879735966498678E-3</c:v>
                </c:pt>
                <c:pt idx="319">
                  <c:v>1.5862874491113553E-3</c:v>
                </c:pt>
                <c:pt idx="320">
                  <c:v>1.6989105149284348E-3</c:v>
                </c:pt>
                <c:pt idx="321">
                  <c:v>1.8258514390593172E-3</c:v>
                </c:pt>
                <c:pt idx="322">
                  <c:v>1.9671171267196578E-3</c:v>
                </c:pt>
                <c:pt idx="323">
                  <c:v>2.1240707977901179E-3</c:v>
                </c:pt>
                <c:pt idx="324">
                  <c:v>2.2893545289337613E-3</c:v>
                </c:pt>
                <c:pt idx="325">
                  <c:v>2.4629641776150574E-3</c:v>
                </c:pt>
                <c:pt idx="326">
                  <c:v>2.6448775553537078E-3</c:v>
                </c:pt>
                <c:pt idx="327">
                  <c:v>2.8350778265258526E-3</c:v>
                </c:pt>
                <c:pt idx="328">
                  <c:v>3.0335599974670893E-3</c:v>
                </c:pt>
                <c:pt idx="329">
                  <c:v>3.240319342713445E-3</c:v>
                </c:pt>
                <c:pt idx="330">
                  <c:v>3.4553515773445165E-3</c:v>
                </c:pt>
                <c:pt idx="331">
                  <c:v>3.6804303942253856E-3</c:v>
                </c:pt>
                <c:pt idx="332">
                  <c:v>3.9086264839682883E-3</c:v>
                </c:pt>
                <c:pt idx="333">
                  <c:v>4.1399365746624239E-3</c:v>
                </c:pt>
                <c:pt idx="334">
                  <c:v>4.3743589894051143E-3</c:v>
                </c:pt>
                <c:pt idx="335">
                  <c:v>4.6118937116013158E-3</c:v>
                </c:pt>
                <c:pt idx="336">
                  <c:v>4.8525424502110052E-3</c:v>
                </c:pt>
                <c:pt idx="337">
                  <c:v>5.0951999959467156E-3</c:v>
                </c:pt>
                <c:pt idx="338">
                  <c:v>5.3385106816406349E-3</c:v>
                </c:pt>
                <c:pt idx="339">
                  <c:v>5.5824816136104448E-3</c:v>
                </c:pt>
                <c:pt idx="340">
                  <c:v>5.8271219065593712E-3</c:v>
                </c:pt>
                <c:pt idx="341">
                  <c:v>6.0724426975137065E-3</c:v>
                </c:pt>
                <c:pt idx="342">
                  <c:v>6.3184571597610754E-3</c:v>
                </c:pt>
                <c:pt idx="343">
                  <c:v>6.5651805167141856E-3</c:v>
                </c:pt>
                <c:pt idx="344">
                  <c:v>6.8126300558683447E-3</c:v>
                </c:pt>
                <c:pt idx="345">
                  <c:v>7.0608251426945157E-3</c:v>
                </c:pt>
                <c:pt idx="346">
                  <c:v>7.2919248591568828E-3</c:v>
                </c:pt>
                <c:pt idx="347">
                  <c:v>7.5059492093983897E-3</c:v>
                </c:pt>
                <c:pt idx="348">
                  <c:v>7.70291875914583E-3</c:v>
                </c:pt>
                <c:pt idx="349">
                  <c:v>7.8828542782597658E-3</c:v>
                </c:pt>
                <c:pt idx="350">
                  <c:v>8.045776383463616E-3</c:v>
                </c:pt>
                <c:pt idx="351">
                  <c:v>8.1756133392241991E-3</c:v>
                </c:pt>
                <c:pt idx="352">
                  <c:v>8.2734864250429488E-3</c:v>
                </c:pt>
                <c:pt idx="353">
                  <c:v>8.3394041471532235E-3</c:v>
                </c:pt>
                <c:pt idx="354">
                  <c:v>8.3733708685691192E-3</c:v>
                </c:pt>
                <c:pt idx="355">
                  <c:v>8.37538613999988E-3</c:v>
                </c:pt>
                <c:pt idx="356">
                  <c:v>8.3454497983694344E-3</c:v>
                </c:pt>
                <c:pt idx="357">
                  <c:v>8.2835311767330329E-3</c:v>
                </c:pt>
                <c:pt idx="358">
                  <c:v>8.1895737968177978E-3</c:v>
                </c:pt>
                <c:pt idx="359">
                  <c:v>8.0635163815568969E-3</c:v>
                </c:pt>
                <c:pt idx="360">
                  <c:v>7.9041813813255004E-3</c:v>
                </c:pt>
                <c:pt idx="361">
                  <c:v>7.7276368664528751E-3</c:v>
                </c:pt>
                <c:pt idx="362">
                  <c:v>7.5338311270089471E-3</c:v>
                </c:pt>
                <c:pt idx="363">
                  <c:v>7.322712433407986E-3</c:v>
                </c:pt>
                <c:pt idx="364">
                  <c:v>7.0942294778283919E-3</c:v>
                </c:pt>
                <c:pt idx="365">
                  <c:v>6.8483318155271268E-3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1.2667552632118542E-2</c:v>
                </c:pt>
                <c:pt idx="1">
                  <c:v>1.236408753526593E-2</c:v>
                </c:pt>
                <c:pt idx="2">
                  <c:v>1.2047126409209949E-2</c:v>
                </c:pt>
                <c:pt idx="3">
                  <c:v>1.1716614544188535E-2</c:v>
                </c:pt>
                <c:pt idx="4">
                  <c:v>1.1372500317824698E-2</c:v>
                </c:pt>
                <c:pt idx="5">
                  <c:v>1.1014735533802609E-2</c:v>
                </c:pt>
                <c:pt idx="6">
                  <c:v>1.0643275760684906E-2</c:v>
                </c:pt>
                <c:pt idx="7">
                  <c:v>1.0258080670475402E-2</c:v>
                </c:pt>
                <c:pt idx="8">
                  <c:v>9.8591143773469597E-3</c:v>
                </c:pt>
                <c:pt idx="9">
                  <c:v>9.4458480136307092E-3</c:v>
                </c:pt>
                <c:pt idx="10">
                  <c:v>9.0233741059046208E-3</c:v>
                </c:pt>
                <c:pt idx="11">
                  <c:v>8.5916779082172694E-3</c:v>
                </c:pt>
                <c:pt idx="12">
                  <c:v>8.1507499378084946E-3</c:v>
                </c:pt>
                <c:pt idx="13">
                  <c:v>7.7005861963664246E-3</c:v>
                </c:pt>
                <c:pt idx="14">
                  <c:v>7.2411883911556946E-3</c:v>
                </c:pt>
                <c:pt idx="15">
                  <c:v>6.7871687294662275E-3</c:v>
                </c:pt>
                <c:pt idx="16">
                  <c:v>6.346778288010245E-3</c:v>
                </c:pt>
                <c:pt idx="17">
                  <c:v>5.9200536151324222E-3</c:v>
                </c:pt>
                <c:pt idx="18">
                  <c:v>5.5070329599222799E-3</c:v>
                </c:pt>
                <c:pt idx="19">
                  <c:v>5.1077844050031775E-3</c:v>
                </c:pt>
                <c:pt idx="20">
                  <c:v>4.7223803172768463E-3</c:v>
                </c:pt>
                <c:pt idx="21">
                  <c:v>4.3508633332301466E-3</c:v>
                </c:pt>
                <c:pt idx="22">
                  <c:v>3.9932720976001554E-3</c:v>
                </c:pt>
                <c:pt idx="23">
                  <c:v>3.6631624202353246E-3</c:v>
                </c:pt>
                <c:pt idx="24">
                  <c:v>3.3610682695744648E-3</c:v>
                </c:pt>
                <c:pt idx="25">
                  <c:v>3.0870189496438861E-3</c:v>
                </c:pt>
                <c:pt idx="26">
                  <c:v>2.8410389938138512E-3</c:v>
                </c:pt>
                <c:pt idx="27">
                  <c:v>2.6231485167102948E-3</c:v>
                </c:pt>
                <c:pt idx="28">
                  <c:v>2.4333635661925039E-3</c:v>
                </c:pt>
                <c:pt idx="29">
                  <c:v>2.2764991494715636E-3</c:v>
                </c:pt>
                <c:pt idx="30">
                  <c:v>2.1379350555958284E-3</c:v>
                </c:pt>
                <c:pt idx="31">
                  <c:v>2.0176781157292571E-3</c:v>
                </c:pt>
                <c:pt idx="32">
                  <c:v>1.9157331720215298E-3</c:v>
                </c:pt>
                <c:pt idx="33">
                  <c:v>1.8321033067046275E-3</c:v>
                </c:pt>
                <c:pt idx="34">
                  <c:v>1.7667900711981802E-3</c:v>
                </c:pt>
                <c:pt idx="35">
                  <c:v>1.7197937152120925E-3</c:v>
                </c:pt>
                <c:pt idx="36">
                  <c:v>1.6911134158454743E-3</c:v>
                </c:pt>
                <c:pt idx="37">
                  <c:v>1.6789156576098811E-3</c:v>
                </c:pt>
                <c:pt idx="38">
                  <c:v>1.6696824957225926E-3</c:v>
                </c:pt>
                <c:pt idx="39">
                  <c:v>1.663415339105458E-3</c:v>
                </c:pt>
                <c:pt idx="40">
                  <c:v>1.6601155193247882E-3</c:v>
                </c:pt>
                <c:pt idx="41">
                  <c:v>1.6597843277298798E-3</c:v>
                </c:pt>
                <c:pt idx="42">
                  <c:v>1.6624230525799633E-3</c:v>
                </c:pt>
                <c:pt idx="43">
                  <c:v>1.6681563011940665E-3</c:v>
                </c:pt>
                <c:pt idx="44">
                  <c:v>1.6721878681063608E-3</c:v>
                </c:pt>
                <c:pt idx="45">
                  <c:v>1.6745203123053277E-3</c:v>
                </c:pt>
                <c:pt idx="46">
                  <c:v>1.6751561550473392E-3</c:v>
                </c:pt>
                <c:pt idx="47">
                  <c:v>1.6740978585008089E-3</c:v>
                </c:pt>
                <c:pt idx="48">
                  <c:v>1.6713478043684598E-3</c:v>
                </c:pt>
                <c:pt idx="49">
                  <c:v>1.6669082725247455E-3</c:v>
                </c:pt>
                <c:pt idx="50">
                  <c:v>1.6607814196430294E-3</c:v>
                </c:pt>
                <c:pt idx="51">
                  <c:v>1.6562517728555784E-3</c:v>
                </c:pt>
                <c:pt idx="52">
                  <c:v>1.6551421525216759E-3</c:v>
                </c:pt>
                <c:pt idx="53">
                  <c:v>1.6574436142545463E-3</c:v>
                </c:pt>
                <c:pt idx="54">
                  <c:v>1.6631555104279032E-3</c:v>
                </c:pt>
                <c:pt idx="55">
                  <c:v>1.6722772461749526E-3</c:v>
                </c:pt>
                <c:pt idx="56">
                  <c:v>1.684808266787961E-3</c:v>
                </c:pt>
                <c:pt idx="57">
                  <c:v>1.6989773365762449E-3</c:v>
                </c:pt>
                <c:pt idx="58">
                  <c:v>1.7146606833010663E-3</c:v>
                </c:pt>
                <c:pt idx="59">
                  <c:v>1.7318577557755217E-3</c:v>
                </c:pt>
                <c:pt idx="60">
                  <c:v>1.7505679877754339E-3</c:v>
                </c:pt>
                <c:pt idx="61">
                  <c:v>1.7707907924469852E-3</c:v>
                </c:pt>
                <c:pt idx="62">
                  <c:v>1.7925255567117018E-3</c:v>
                </c:pt>
                <c:pt idx="63">
                  <c:v>1.8157716356767414E-3</c:v>
                </c:pt>
                <c:pt idx="64">
                  <c:v>1.8405283470380842E-3</c:v>
                </c:pt>
                <c:pt idx="65">
                  <c:v>1.8633609160040668E-3</c:v>
                </c:pt>
                <c:pt idx="66">
                  <c:v>1.8809858801656844E-3</c:v>
                </c:pt>
                <c:pt idx="67">
                  <c:v>1.893402407484885E-3</c:v>
                </c:pt>
                <c:pt idx="68">
                  <c:v>1.9006097041926208E-3</c:v>
                </c:pt>
                <c:pt idx="69">
                  <c:v>1.9026070340378053E-3</c:v>
                </c:pt>
                <c:pt idx="70">
                  <c:v>1.8993937375450462E-3</c:v>
                </c:pt>
                <c:pt idx="71">
                  <c:v>1.8913756965507338E-3</c:v>
                </c:pt>
                <c:pt idx="72">
                  <c:v>1.8803231871712227E-3</c:v>
                </c:pt>
                <c:pt idx="73">
                  <c:v>1.8662357718160045E-3</c:v>
                </c:pt>
                <c:pt idx="74">
                  <c:v>1.8491131069553624E-3</c:v>
                </c:pt>
                <c:pt idx="75">
                  <c:v>1.8289549543235642E-3</c:v>
                </c:pt>
                <c:pt idx="76">
                  <c:v>1.8057611921162677E-3</c:v>
                </c:pt>
                <c:pt idx="77">
                  <c:v>1.7795318261939275E-3</c:v>
                </c:pt>
                <c:pt idx="78">
                  <c:v>1.7502670593897696E-3</c:v>
                </c:pt>
                <c:pt idx="79">
                  <c:v>1.7206421973593154E-3</c:v>
                </c:pt>
                <c:pt idx="80">
                  <c:v>1.6940944833698532E-3</c:v>
                </c:pt>
                <c:pt idx="81">
                  <c:v>1.670622953141837E-3</c:v>
                </c:pt>
                <c:pt idx="82">
                  <c:v>1.6502266674288406E-3</c:v>
                </c:pt>
                <c:pt idx="83">
                  <c:v>1.6329047021670278E-3</c:v>
                </c:pt>
                <c:pt idx="84">
                  <c:v>1.6186561386301122E-3</c:v>
                </c:pt>
                <c:pt idx="85">
                  <c:v>1.6081016046710708E-3</c:v>
                </c:pt>
                <c:pt idx="86">
                  <c:v>1.6008338577690252E-3</c:v>
                </c:pt>
                <c:pt idx="87">
                  <c:v>1.596851895418515E-3</c:v>
                </c:pt>
                <c:pt idx="88">
                  <c:v>1.5961546768727252E-3</c:v>
                </c:pt>
                <c:pt idx="89">
                  <c:v>1.5987411126052095E-3</c:v>
                </c:pt>
                <c:pt idx="90">
                  <c:v>1.6046100537682828E-3</c:v>
                </c:pt>
                <c:pt idx="91">
                  <c:v>1.6137602816574748E-3</c:v>
                </c:pt>
                <c:pt idx="92">
                  <c:v>1.6261904971717406E-3</c:v>
                </c:pt>
                <c:pt idx="93">
                  <c:v>1.6396736737682577E-3</c:v>
                </c:pt>
                <c:pt idx="94">
                  <c:v>1.6515429721694803E-3</c:v>
                </c:pt>
                <c:pt idx="95">
                  <c:v>1.6617980879568789E-3</c:v>
                </c:pt>
                <c:pt idx="96">
                  <c:v>1.6704387491586232E-3</c:v>
                </c:pt>
                <c:pt idx="97">
                  <c:v>1.6774647214026189E-3</c:v>
                </c:pt>
                <c:pt idx="98">
                  <c:v>1.6828758130548486E-3</c:v>
                </c:pt>
                <c:pt idx="99">
                  <c:v>1.6869447065413334E-3</c:v>
                </c:pt>
                <c:pt idx="100">
                  <c:v>1.6890504100260234E-3</c:v>
                </c:pt>
                <c:pt idx="101">
                  <c:v>1.689193013087918E-3</c:v>
                </c:pt>
                <c:pt idx="102">
                  <c:v>1.6873726831263603E-3</c:v>
                </c:pt>
                <c:pt idx="103">
                  <c:v>1.6835896716041795E-3</c:v>
                </c:pt>
                <c:pt idx="104">
                  <c:v>1.677844320330285E-3</c:v>
                </c:pt>
                <c:pt idx="105">
                  <c:v>1.6701370677057539E-3</c:v>
                </c:pt>
                <c:pt idx="106">
                  <c:v>1.6604684549901307E-3</c:v>
                </c:pt>
                <c:pt idx="107">
                  <c:v>1.6501353059238447E-3</c:v>
                </c:pt>
                <c:pt idx="108">
                  <c:v>1.6413591463950788E-3</c:v>
                </c:pt>
                <c:pt idx="109">
                  <c:v>1.6341388391765607E-3</c:v>
                </c:pt>
                <c:pt idx="110">
                  <c:v>1.6284778067248717E-3</c:v>
                </c:pt>
                <c:pt idx="111">
                  <c:v>1.6243794565470478E-3</c:v>
                </c:pt>
                <c:pt idx="112">
                  <c:v>1.62184254351028E-3</c:v>
                </c:pt>
                <c:pt idx="113">
                  <c:v>1.6205960414555779E-3</c:v>
                </c:pt>
                <c:pt idx="114">
                  <c:v>1.6203666569517704E-3</c:v>
                </c:pt>
                <c:pt idx="115">
                  <c:v>1.6211533763618553E-3</c:v>
                </c:pt>
                <c:pt idx="116">
                  <c:v>1.6229551539555475E-3</c:v>
                </c:pt>
                <c:pt idx="117">
                  <c:v>1.6257709096802353E-3</c:v>
                </c:pt>
                <c:pt idx="118">
                  <c:v>1.6295995269155238E-3</c:v>
                </c:pt>
                <c:pt idx="119">
                  <c:v>1.6344398502323972E-3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1.5686728025573148E-3</c:v>
                </c:pt>
                <c:pt idx="226">
                  <c:v>1.5636449532593769E-3</c:v>
                </c:pt>
                <c:pt idx="227">
                  <c:v>1.5596111316350109E-3</c:v>
                </c:pt>
                <c:pt idx="228">
                  <c:v>1.556570777628297E-3</c:v>
                </c:pt>
                <c:pt idx="229">
                  <c:v>1.5545233778971339E-3</c:v>
                </c:pt>
                <c:pt idx="230">
                  <c:v>1.5534684627669354E-3</c:v>
                </c:pt>
                <c:pt idx="231">
                  <c:v>1.5534056031895011E-3</c:v>
                </c:pt>
                <c:pt idx="232">
                  <c:v>1.5543344076685737E-3</c:v>
                </c:pt>
                <c:pt idx="233">
                  <c:v>1.5565154521935936E-3</c:v>
                </c:pt>
                <c:pt idx="234">
                  <c:v>1.5602070408849498E-3</c:v>
                </c:pt>
                <c:pt idx="235">
                  <c:v>1.5654102274206335E-3</c:v>
                </c:pt>
                <c:pt idx="236">
                  <c:v>1.5721266371469401E-3</c:v>
                </c:pt>
                <c:pt idx="237">
                  <c:v>1.5803569559460391E-3</c:v>
                </c:pt>
                <c:pt idx="238">
                  <c:v>1.5901019362288399E-3</c:v>
                </c:pt>
                <c:pt idx="239">
                  <c:v>1.5992341661156672E-3</c:v>
                </c:pt>
                <c:pt idx="240">
                  <c:v>1.6065123001891143E-3</c:v>
                </c:pt>
                <c:pt idx="241">
                  <c:v>1.6119362793935452E-3</c:v>
                </c:pt>
                <c:pt idx="242">
                  <c:v>1.6155059649053359E-3</c:v>
                </c:pt>
                <c:pt idx="243">
                  <c:v>1.6172211348528486E-3</c:v>
                </c:pt>
                <c:pt idx="244">
                  <c:v>1.6170814810270492E-3</c:v>
                </c:pt>
                <c:pt idx="245">
                  <c:v>1.6150866055749562E-3</c:v>
                </c:pt>
                <c:pt idx="246">
                  <c:v>1.611236017690665E-3</c:v>
                </c:pt>
                <c:pt idx="247">
                  <c:v>1.6061237292595912E-3</c:v>
                </c:pt>
                <c:pt idx="248">
                  <c:v>1.5994880100209275E-3</c:v>
                </c:pt>
                <c:pt idx="249">
                  <c:v>1.5913282496294076E-3</c:v>
                </c:pt>
                <c:pt idx="250">
                  <c:v>1.581643750198071E-3</c:v>
                </c:pt>
                <c:pt idx="251">
                  <c:v>1.5704337236334034E-3</c:v>
                </c:pt>
                <c:pt idx="252">
                  <c:v>1.5576972889021446E-3</c:v>
                </c:pt>
                <c:pt idx="253">
                  <c:v>1.5459879928749864E-3</c:v>
                </c:pt>
                <c:pt idx="254">
                  <c:v>1.5374393053268537E-3</c:v>
                </c:pt>
                <c:pt idx="255">
                  <c:v>1.5320532209985251E-3</c:v>
                </c:pt>
                <c:pt idx="256">
                  <c:v>1.5298319177352616E-3</c:v>
                </c:pt>
                <c:pt idx="257">
                  <c:v>1.530777762021376E-3</c:v>
                </c:pt>
                <c:pt idx="258">
                  <c:v>1.5348933145295565E-3</c:v>
                </c:pt>
                <c:pt idx="259">
                  <c:v>1.5421813356912672E-3</c:v>
                </c:pt>
                <c:pt idx="260">
                  <c:v>1.5526447912204775E-3</c:v>
                </c:pt>
                <c:pt idx="261">
                  <c:v>1.5666766477884734E-3</c:v>
                </c:pt>
                <c:pt idx="262">
                  <c:v>1.5836840637832421E-3</c:v>
                </c:pt>
                <c:pt idx="263">
                  <c:v>1.6036704779889043E-3</c:v>
                </c:pt>
                <c:pt idx="264">
                  <c:v>1.6266396207542607E-3</c:v>
                </c:pt>
                <c:pt idx="265">
                  <c:v>1.6526043015418713E-3</c:v>
                </c:pt>
                <c:pt idx="266">
                  <c:v>1.6815737574327862E-3</c:v>
                </c:pt>
                <c:pt idx="267">
                  <c:v>1.7102511582015006E-3</c:v>
                </c:pt>
                <c:pt idx="268">
                  <c:v>1.7360701799183816E-3</c:v>
                </c:pt>
                <c:pt idx="269">
                  <c:v>1.7590268263564387E-3</c:v>
                </c:pt>
                <c:pt idx="270">
                  <c:v>1.7791167040782181E-3</c:v>
                </c:pt>
                <c:pt idx="271">
                  <c:v>1.7963350544520729E-3</c:v>
                </c:pt>
                <c:pt idx="272">
                  <c:v>1.810676785716025E-3</c:v>
                </c:pt>
                <c:pt idx="273">
                  <c:v>1.8221365050192972E-3</c:v>
                </c:pt>
                <c:pt idx="274">
                  <c:v>1.8307085504874669E-3</c:v>
                </c:pt>
                <c:pt idx="275">
                  <c:v>1.8346794483438467E-3</c:v>
                </c:pt>
                <c:pt idx="276">
                  <c:v>1.8336484398850793E-3</c:v>
                </c:pt>
                <c:pt idx="277">
                  <c:v>1.8276060580500045E-3</c:v>
                </c:pt>
                <c:pt idx="278">
                  <c:v>1.8165426163281693E-3</c:v>
                </c:pt>
                <c:pt idx="279">
                  <c:v>1.8004482638552721E-3</c:v>
                </c:pt>
                <c:pt idx="280">
                  <c:v>1.7793130405256638E-3</c:v>
                </c:pt>
                <c:pt idx="281">
                  <c:v>1.7563020323391589E-3</c:v>
                </c:pt>
                <c:pt idx="282">
                  <c:v>1.7347334715250246E-3</c:v>
                </c:pt>
                <c:pt idx="283">
                  <c:v>1.7146076076151042E-3</c:v>
                </c:pt>
                <c:pt idx="284">
                  <c:v>1.6959247971212656E-3</c:v>
                </c:pt>
                <c:pt idx="285">
                  <c:v>1.6786854875246134E-3</c:v>
                </c:pt>
                <c:pt idx="286">
                  <c:v>1.6628902012808906E-3</c:v>
                </c:pt>
                <c:pt idx="287">
                  <c:v>1.6485395198089414E-3</c:v>
                </c:pt>
                <c:pt idx="288">
                  <c:v>1.6356340674857455E-3</c:v>
                </c:pt>
                <c:pt idx="289">
                  <c:v>1.6242941902508568E-3</c:v>
                </c:pt>
                <c:pt idx="290">
                  <c:v>1.6162414800625182E-3</c:v>
                </c:pt>
                <c:pt idx="291">
                  <c:v>1.6114793086156297E-3</c:v>
                </c:pt>
                <c:pt idx="292">
                  <c:v>1.6100109325105387E-3</c:v>
                </c:pt>
                <c:pt idx="293">
                  <c:v>1.6118394572020526E-3</c:v>
                </c:pt>
                <c:pt idx="294">
                  <c:v>1.616967800942173E-3</c:v>
                </c:pt>
                <c:pt idx="295">
                  <c:v>1.6236161628028281E-3</c:v>
                </c:pt>
                <c:pt idx="296">
                  <c:v>1.6286055460101052E-3</c:v>
                </c:pt>
                <c:pt idx="297">
                  <c:v>1.6319456776601241E-3</c:v>
                </c:pt>
                <c:pt idx="298">
                  <c:v>1.6336328237406921E-3</c:v>
                </c:pt>
                <c:pt idx="299">
                  <c:v>1.6336631854083593E-3</c:v>
                </c:pt>
                <c:pt idx="300">
                  <c:v>1.6320329143562438E-3</c:v>
                </c:pt>
                <c:pt idx="301">
                  <c:v>1.6287381281768949E-3</c:v>
                </c:pt>
                <c:pt idx="302">
                  <c:v>1.6237749257288195E-3</c:v>
                </c:pt>
                <c:pt idx="303">
                  <c:v>1.62182844497778E-3</c:v>
                </c:pt>
                <c:pt idx="304">
                  <c:v>1.6227809546073121E-3</c:v>
                </c:pt>
                <c:pt idx="305">
                  <c:v>1.6266351050204771E-3</c:v>
                </c:pt>
                <c:pt idx="306">
                  <c:v>1.6333935298155592E-3</c:v>
                </c:pt>
                <c:pt idx="307">
                  <c:v>1.6430588190917237E-3</c:v>
                </c:pt>
                <c:pt idx="308">
                  <c:v>1.6556334927409243E-3</c:v>
                </c:pt>
                <c:pt idx="309">
                  <c:v>1.6843609010986169E-3</c:v>
                </c:pt>
                <c:pt idx="310">
                  <c:v>1.7310567462400274E-3</c:v>
                </c:pt>
                <c:pt idx="311">
                  <c:v>1.7957433077340791E-3</c:v>
                </c:pt>
                <c:pt idx="312">
                  <c:v>1.8784420039007065E-3</c:v>
                </c:pt>
                <c:pt idx="313">
                  <c:v>1.9791732270825024E-3</c:v>
                </c:pt>
                <c:pt idx="314">
                  <c:v>2.0979561788995269E-3</c:v>
                </c:pt>
                <c:pt idx="315">
                  <c:v>2.2348087055286217E-3</c:v>
                </c:pt>
                <c:pt idx="316">
                  <c:v>2.3897471329519756E-3</c:v>
                </c:pt>
                <c:pt idx="317">
                  <c:v>2.5771588789282479E-3</c:v>
                </c:pt>
                <c:pt idx="318">
                  <c:v>2.7923528984390212E-3</c:v>
                </c:pt>
                <c:pt idx="319">
                  <c:v>3.0353500579716453E-3</c:v>
                </c:pt>
                <c:pt idx="320">
                  <c:v>3.3061681615398487E-3</c:v>
                </c:pt>
                <c:pt idx="321">
                  <c:v>3.6048216976222957E-3</c:v>
                </c:pt>
                <c:pt idx="322">
                  <c:v>3.9313215861217568E-3</c:v>
                </c:pt>
                <c:pt idx="323">
                  <c:v>4.2851829244940067E-3</c:v>
                </c:pt>
                <c:pt idx="324">
                  <c:v>4.6530905073436241E-3</c:v>
                </c:pt>
                <c:pt idx="325">
                  <c:v>5.0350316636254165E-3</c:v>
                </c:pt>
                <c:pt idx="326">
                  <c:v>5.4309569117828513E-3</c:v>
                </c:pt>
                <c:pt idx="327">
                  <c:v>5.8408276360124231E-3</c:v>
                </c:pt>
                <c:pt idx="328">
                  <c:v>6.2646300036779306E-3</c:v>
                </c:pt>
                <c:pt idx="329">
                  <c:v>6.7023513812379948E-3</c:v>
                </c:pt>
                <c:pt idx="330">
                  <c:v>7.1539806240092244E-3</c:v>
                </c:pt>
                <c:pt idx="331">
                  <c:v>7.6113869552670715E-3</c:v>
                </c:pt>
                <c:pt idx="332">
                  <c:v>8.06013355486721E-3</c:v>
                </c:pt>
                <c:pt idx="333">
                  <c:v>8.5002103976657591E-3</c:v>
                </c:pt>
                <c:pt idx="334">
                  <c:v>8.9316120105075048E-3</c:v>
                </c:pt>
                <c:pt idx="335">
                  <c:v>9.3543372931089389E-3</c:v>
                </c:pt>
                <c:pt idx="336">
                  <c:v>9.7683893388340551E-3</c:v>
                </c:pt>
                <c:pt idx="337">
                  <c:v>1.0168707481904439E-2</c:v>
                </c:pt>
                <c:pt idx="338">
                  <c:v>1.0555795216649152E-2</c:v>
                </c:pt>
                <c:pt idx="339">
                  <c:v>1.0929666863388587E-2</c:v>
                </c:pt>
                <c:pt idx="340">
                  <c:v>1.1290340234601357E-2</c:v>
                </c:pt>
                <c:pt idx="341">
                  <c:v>1.1637836360658323E-2</c:v>
                </c:pt>
                <c:pt idx="342">
                  <c:v>1.1972179215555606E-2</c:v>
                </c:pt>
                <c:pt idx="343">
                  <c:v>1.22933954425052E-2</c:v>
                </c:pt>
                <c:pt idx="344">
                  <c:v>1.2601514079706189E-2</c:v>
                </c:pt>
                <c:pt idx="345">
                  <c:v>1.2896566285992809E-2</c:v>
                </c:pt>
                <c:pt idx="346">
                  <c:v>1.3169104977112841E-2</c:v>
                </c:pt>
                <c:pt idx="347">
                  <c:v>1.3419162841388424E-2</c:v>
                </c:pt>
                <c:pt idx="348">
                  <c:v>1.3646773037958512E-2</c:v>
                </c:pt>
                <c:pt idx="349">
                  <c:v>1.3851968725298397E-2</c:v>
                </c:pt>
                <c:pt idx="350">
                  <c:v>1.4034782590057368E-2</c:v>
                </c:pt>
                <c:pt idx="351">
                  <c:v>1.4177630697166071E-2</c:v>
                </c:pt>
                <c:pt idx="352">
                  <c:v>1.428560749145223E-2</c:v>
                </c:pt>
                <c:pt idx="353">
                  <c:v>1.435873314626987E-2</c:v>
                </c:pt>
                <c:pt idx="354">
                  <c:v>1.4397023299528898E-2</c:v>
                </c:pt>
                <c:pt idx="355">
                  <c:v>1.4400488320987869E-2</c:v>
                </c:pt>
                <c:pt idx="356">
                  <c:v>1.4369142510173717E-2</c:v>
                </c:pt>
                <c:pt idx="357">
                  <c:v>1.430295149525204E-2</c:v>
                </c:pt>
                <c:pt idx="358">
                  <c:v>1.420184003827763E-2</c:v>
                </c:pt>
                <c:pt idx="359">
                  <c:v>1.4065727648000936E-2</c:v>
                </c:pt>
                <c:pt idx="360">
                  <c:v>1.3889445298407516E-2</c:v>
                </c:pt>
                <c:pt idx="361">
                  <c:v>1.3690564542308293E-2</c:v>
                </c:pt>
                <c:pt idx="362">
                  <c:v>1.3469010233411511E-2</c:v>
                </c:pt>
                <c:pt idx="363">
                  <c:v>1.3224706866207222E-2</c:v>
                </c:pt>
                <c:pt idx="364">
                  <c:v>1.2957579158226202E-2</c:v>
                </c:pt>
                <c:pt idx="365">
                  <c:v>1.2667552632118542E-2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2.0341582489658092E-2</c:v>
                </c:pt>
                <c:pt idx="1">
                  <c:v>2.0028315637422175E-2</c:v>
                </c:pt>
                <c:pt idx="2">
                  <c:v>1.9680575836385373E-2</c:v>
                </c:pt>
                <c:pt idx="3">
                  <c:v>1.9298258327466285E-2</c:v>
                </c:pt>
                <c:pt idx="4">
                  <c:v>1.888126146234529E-2</c:v>
                </c:pt>
                <c:pt idx="5">
                  <c:v>1.842948757812006E-2</c:v>
                </c:pt>
                <c:pt idx="6">
                  <c:v>1.7942843872197429E-2</c:v>
                </c:pt>
                <c:pt idx="7">
                  <c:v>1.7421243276761755E-2</c:v>
                </c:pt>
                <c:pt idx="8">
                  <c:v>1.686460533351548E-2</c:v>
                </c:pt>
                <c:pt idx="9">
                  <c:v>1.6267537346664938E-2</c:v>
                </c:pt>
                <c:pt idx="10">
                  <c:v>1.5642571712466979E-2</c:v>
                </c:pt>
                <c:pt idx="11">
                  <c:v>1.4989662389076813E-2</c:v>
                </c:pt>
                <c:pt idx="12">
                  <c:v>1.4308772647978495E-2</c:v>
                </c:pt>
                <c:pt idx="13">
                  <c:v>1.3599875763621268E-2</c:v>
                </c:pt>
                <c:pt idx="14">
                  <c:v>1.2862955702827665E-2</c:v>
                </c:pt>
                <c:pt idx="15">
                  <c:v>1.2118816516323801E-2</c:v>
                </c:pt>
                <c:pt idx="16">
                  <c:v>1.13893414120691E-2</c:v>
                </c:pt>
                <c:pt idx="17">
                  <c:v>1.0674581839349039E-2</c:v>
                </c:pt>
                <c:pt idx="18">
                  <c:v>9.9745936257088618E-3</c:v>
                </c:pt>
                <c:pt idx="19">
                  <c:v>9.2894884000231989E-3</c:v>
                </c:pt>
                <c:pt idx="20">
                  <c:v>8.6193881500157676E-3</c:v>
                </c:pt>
                <c:pt idx="21">
                  <c:v>7.9643629583927827E-3</c:v>
                </c:pt>
                <c:pt idx="22">
                  <c:v>7.3244772881228999E-3</c:v>
                </c:pt>
                <c:pt idx="23">
                  <c:v>6.721616315489079E-3</c:v>
                </c:pt>
                <c:pt idx="24">
                  <c:v>6.161179129428148E-3</c:v>
                </c:pt>
                <c:pt idx="25">
                  <c:v>5.6432178062365912E-3</c:v>
                </c:pt>
                <c:pt idx="26">
                  <c:v>5.1677766776719166E-3</c:v>
                </c:pt>
                <c:pt idx="27">
                  <c:v>4.7348928643721772E-3</c:v>
                </c:pt>
                <c:pt idx="28">
                  <c:v>4.3445968093958551E-3</c:v>
                </c:pt>
                <c:pt idx="29">
                  <c:v>4.0074446823483286E-3</c:v>
                </c:pt>
                <c:pt idx="30">
                  <c:v>3.7026111498957254E-3</c:v>
                </c:pt>
                <c:pt idx="31">
                  <c:v>3.4301105370842335E-3</c:v>
                </c:pt>
                <c:pt idx="32">
                  <c:v>3.1899533558130372E-3</c:v>
                </c:pt>
                <c:pt idx="33">
                  <c:v>2.9821467093951292E-3</c:v>
                </c:pt>
                <c:pt idx="34">
                  <c:v>2.8066946971329223E-3</c:v>
                </c:pt>
                <c:pt idx="35">
                  <c:v>2.6635988188884407E-3</c:v>
                </c:pt>
                <c:pt idx="36">
                  <c:v>2.5528583796472905E-3</c:v>
                </c:pt>
                <c:pt idx="37">
                  <c:v>2.4743590811708988E-3</c:v>
                </c:pt>
                <c:pt idx="38">
                  <c:v>2.4062787605505023E-3</c:v>
                </c:pt>
                <c:pt idx="39">
                  <c:v>2.3486183716967218E-3</c:v>
                </c:pt>
                <c:pt idx="40">
                  <c:v>2.3013784171185946E-3</c:v>
                </c:pt>
                <c:pt idx="41">
                  <c:v>2.2645590782010409E-3</c:v>
                </c:pt>
                <c:pt idx="42">
                  <c:v>2.2381603454653199E-3</c:v>
                </c:pt>
                <c:pt idx="43">
                  <c:v>2.2214271333753943E-3</c:v>
                </c:pt>
                <c:pt idx="44">
                  <c:v>2.2038389482521652E-3</c:v>
                </c:pt>
                <c:pt idx="45">
                  <c:v>2.1853985231913725E-3</c:v>
                </c:pt>
                <c:pt idx="46">
                  <c:v>2.1661084743982567E-3</c:v>
                </c:pt>
                <c:pt idx="47">
                  <c:v>2.1459712903573579E-3</c:v>
                </c:pt>
                <c:pt idx="48">
                  <c:v>2.1249893209736542E-3</c:v>
                </c:pt>
                <c:pt idx="49">
                  <c:v>2.1031647667334348E-3</c:v>
                </c:pt>
                <c:pt idx="50">
                  <c:v>2.0804996678520133E-3</c:v>
                </c:pt>
                <c:pt idx="51">
                  <c:v>2.0606128469975275E-3</c:v>
                </c:pt>
                <c:pt idx="52">
                  <c:v>2.0436064300273418E-3</c:v>
                </c:pt>
                <c:pt idx="53">
                  <c:v>2.0294690964403833E-3</c:v>
                </c:pt>
                <c:pt idx="54">
                  <c:v>2.018199916111716E-3</c:v>
                </c:pt>
                <c:pt idx="55">
                  <c:v>2.00979802703492E-3</c:v>
                </c:pt>
                <c:pt idx="56">
                  <c:v>2.004262624732208E-3</c:v>
                </c:pt>
                <c:pt idx="57">
                  <c:v>2.0006275814217437E-3</c:v>
                </c:pt>
                <c:pt idx="58">
                  <c:v>1.9996468506092075E-3</c:v>
                </c:pt>
                <c:pt idx="59">
                  <c:v>2.0013197299113979E-3</c:v>
                </c:pt>
                <c:pt idx="60">
                  <c:v>2.0056455327211093E-3</c:v>
                </c:pt>
                <c:pt idx="61">
                  <c:v>2.0126235783981231E-3</c:v>
                </c:pt>
                <c:pt idx="62">
                  <c:v>2.0222531824571773E-3</c:v>
                </c:pt>
                <c:pt idx="63">
                  <c:v>2.0345336467619849E-3</c:v>
                </c:pt>
                <c:pt idx="64">
                  <c:v>2.0494642497111953E-3</c:v>
                </c:pt>
                <c:pt idx="65">
                  <c:v>2.0635096488156152E-3</c:v>
                </c:pt>
                <c:pt idx="66">
                  <c:v>2.0730519037314515E-3</c:v>
                </c:pt>
                <c:pt idx="67">
                  <c:v>2.0780901586982658E-3</c:v>
                </c:pt>
                <c:pt idx="68">
                  <c:v>2.078623599473878E-3</c:v>
                </c:pt>
                <c:pt idx="69">
                  <c:v>2.0746514699751966E-3</c:v>
                </c:pt>
                <c:pt idx="70">
                  <c:v>2.0661730889287287E-3</c:v>
                </c:pt>
                <c:pt idx="71">
                  <c:v>2.0536348818188141E-3</c:v>
                </c:pt>
                <c:pt idx="72">
                  <c:v>2.0380017362550454E-3</c:v>
                </c:pt>
                <c:pt idx="73">
                  <c:v>2.0192732125667271E-3</c:v>
                </c:pt>
                <c:pt idx="74">
                  <c:v>1.9974489734588849E-3</c:v>
                </c:pt>
                <c:pt idx="75">
                  <c:v>1.9725287954375408E-3</c:v>
                </c:pt>
                <c:pt idx="76">
                  <c:v>1.9445125802287208E-3</c:v>
                </c:pt>
                <c:pt idx="77">
                  <c:v>1.9134003662039476E-3</c:v>
                </c:pt>
                <c:pt idx="78">
                  <c:v>1.8791924021902733E-3</c:v>
                </c:pt>
                <c:pt idx="79">
                  <c:v>1.8446094429233955E-3</c:v>
                </c:pt>
                <c:pt idx="80">
                  <c:v>1.8131895577620048E-3</c:v>
                </c:pt>
                <c:pt idx="81">
                  <c:v>1.7849317345518276E-3</c:v>
                </c:pt>
                <c:pt idx="82">
                  <c:v>1.7598349921606083E-3</c:v>
                </c:pt>
                <c:pt idx="83">
                  <c:v>1.7378983703536816E-3</c:v>
                </c:pt>
                <c:pt idx="84">
                  <c:v>1.7191209196753983E-3</c:v>
                </c:pt>
                <c:pt idx="85">
                  <c:v>1.704060081353186E-3</c:v>
                </c:pt>
                <c:pt idx="86">
                  <c:v>1.6922680564924041E-3</c:v>
                </c:pt>
                <c:pt idx="87">
                  <c:v>1.6837438445070237E-3</c:v>
                </c:pt>
                <c:pt idx="88">
                  <c:v>1.678486412625615E-3</c:v>
                </c:pt>
                <c:pt idx="89">
                  <c:v>1.6764946854116352E-3</c:v>
                </c:pt>
                <c:pt idx="90">
                  <c:v>1.6777675342802183E-3</c:v>
                </c:pt>
                <c:pt idx="91">
                  <c:v>1.6823037670213332E-3</c:v>
                </c:pt>
                <c:pt idx="92">
                  <c:v>1.6901021173184592E-3</c:v>
                </c:pt>
                <c:pt idx="93">
                  <c:v>1.6990350067385377E-3</c:v>
                </c:pt>
                <c:pt idx="94">
                  <c:v>1.7063907455374847E-3</c:v>
                </c:pt>
                <c:pt idx="95">
                  <c:v>1.7121690657317535E-3</c:v>
                </c:pt>
                <c:pt idx="96">
                  <c:v>1.7163697364847696E-3</c:v>
                </c:pt>
                <c:pt idx="97">
                  <c:v>1.7189925691439643E-3</c:v>
                </c:pt>
                <c:pt idx="98">
                  <c:v>1.7200374222626259E-3</c:v>
                </c:pt>
                <c:pt idx="99">
                  <c:v>1.7199384936811694E-3</c:v>
                </c:pt>
                <c:pt idx="100">
                  <c:v>1.7181378797969749E-3</c:v>
                </c:pt>
                <c:pt idx="101">
                  <c:v>1.7146356474085375E-3</c:v>
                </c:pt>
                <c:pt idx="102">
                  <c:v>1.7094319353486067E-3</c:v>
                </c:pt>
                <c:pt idx="103">
                  <c:v>1.702526959890459E-3</c:v>
                </c:pt>
                <c:pt idx="104">
                  <c:v>1.6939210201941761E-3</c:v>
                </c:pt>
                <c:pt idx="105">
                  <c:v>1.6836145037158971E-3</c:v>
                </c:pt>
                <c:pt idx="106">
                  <c:v>1.6716078916375508E-3</c:v>
                </c:pt>
                <c:pt idx="107">
                  <c:v>1.6592717538803342E-3</c:v>
                </c:pt>
                <c:pt idx="108">
                  <c:v>1.648728273574443E-3</c:v>
                </c:pt>
                <c:pt idx="109">
                  <c:v>1.6399762332907006E-3</c:v>
                </c:pt>
                <c:pt idx="110">
                  <c:v>1.6330189771211097E-3</c:v>
                </c:pt>
                <c:pt idx="111">
                  <c:v>1.6278598105185869E-3</c:v>
                </c:pt>
                <c:pt idx="112">
                  <c:v>1.6244973606055759E-3</c:v>
                </c:pt>
                <c:pt idx="113">
                  <c:v>1.6226604680013856E-3</c:v>
                </c:pt>
                <c:pt idx="114">
                  <c:v>1.6219146458634811E-3</c:v>
                </c:pt>
                <c:pt idx="115">
                  <c:v>1.622258840629091E-3</c:v>
                </c:pt>
                <c:pt idx="116">
                  <c:v>1.6236919647927295E-3</c:v>
                </c:pt>
                <c:pt idx="117">
                  <c:v>1.6262128945159621E-3</c:v>
                </c:pt>
                <c:pt idx="118">
                  <c:v>1.6298204672207355E-3</c:v>
                </c:pt>
                <c:pt idx="119">
                  <c:v>1.6345134791873434E-3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1.5687434688097855E-3</c:v>
                </c:pt>
                <c:pt idx="226">
                  <c:v>1.5638569514758156E-3</c:v>
                </c:pt>
                <c:pt idx="227">
                  <c:v>1.5600351301613153E-3</c:v>
                </c:pt>
                <c:pt idx="228">
                  <c:v>1.5572774504004942E-3</c:v>
                </c:pt>
                <c:pt idx="229">
                  <c:v>1.5555834071774629E-3</c:v>
                </c:pt>
                <c:pt idx="230">
                  <c:v>1.5549525416602764E-3</c:v>
                </c:pt>
                <c:pt idx="231">
                  <c:v>1.5553844379401713E-3</c:v>
                </c:pt>
                <c:pt idx="232">
                  <c:v>1.55687871973746E-3</c:v>
                </c:pt>
                <c:pt idx="233">
                  <c:v>1.5598504024812061E-3</c:v>
                </c:pt>
                <c:pt idx="234">
                  <c:v>1.5645578315416049E-3</c:v>
                </c:pt>
                <c:pt idx="235">
                  <c:v>1.5710021124114854E-3</c:v>
                </c:pt>
                <c:pt idx="236">
                  <c:v>1.579184934629636E-3</c:v>
                </c:pt>
                <c:pt idx="237">
                  <c:v>1.58910705603107E-3</c:v>
                </c:pt>
                <c:pt idx="238">
                  <c:v>1.6007693112869623E-3</c:v>
                </c:pt>
                <c:pt idx="239">
                  <c:v>1.6121394399137429E-3</c:v>
                </c:pt>
                <c:pt idx="240">
                  <c:v>1.6219055138292846E-3</c:v>
                </c:pt>
                <c:pt idx="241">
                  <c:v>1.6300675987624164E-3</c:v>
                </c:pt>
                <c:pt idx="242">
                  <c:v>1.636625693761182E-3</c:v>
                </c:pt>
                <c:pt idx="243">
                  <c:v>1.6415797283533158E-3</c:v>
                </c:pt>
                <c:pt idx="244">
                  <c:v>1.6449295596973684E-3</c:v>
                </c:pt>
                <c:pt idx="245">
                  <c:v>1.6466749697164179E-3</c:v>
                </c:pt>
                <c:pt idx="246">
                  <c:v>1.6468156622291563E-3</c:v>
                </c:pt>
                <c:pt idx="247">
                  <c:v>1.6458854368123341E-3</c:v>
                </c:pt>
                <c:pt idx="248">
                  <c:v>1.6434681101913761E-3</c:v>
                </c:pt>
                <c:pt idx="249">
                  <c:v>1.6395632069780243E-3</c:v>
                </c:pt>
                <c:pt idx="250">
                  <c:v>1.6341701690812747E-3</c:v>
                </c:pt>
                <c:pt idx="251">
                  <c:v>1.6272883531049595E-3</c:v>
                </c:pt>
                <c:pt idx="252">
                  <c:v>1.6189170276750822E-3</c:v>
                </c:pt>
                <c:pt idx="253">
                  <c:v>1.6116528915385536E-3</c:v>
                </c:pt>
                <c:pt idx="254">
                  <c:v>1.6075343329340879E-3</c:v>
                </c:pt>
                <c:pt idx="255">
                  <c:v>1.6065634783022312E-3</c:v>
                </c:pt>
                <c:pt idx="256">
                  <c:v>1.6087426392475974E-3</c:v>
                </c:pt>
                <c:pt idx="257">
                  <c:v>1.6140743180420095E-3</c:v>
                </c:pt>
                <c:pt idx="258">
                  <c:v>1.6225612131430117E-3</c:v>
                </c:pt>
                <c:pt idx="259">
                  <c:v>1.6342062247347636E-3</c:v>
                </c:pt>
                <c:pt idx="260">
                  <c:v>1.6490124602197016E-3</c:v>
                </c:pt>
                <c:pt idx="261">
                  <c:v>1.6674119374201254E-3</c:v>
                </c:pt>
                <c:pt idx="262">
                  <c:v>1.6888726179144972E-3</c:v>
                </c:pt>
                <c:pt idx="263">
                  <c:v>1.7133981803273298E-3</c:v>
                </c:pt>
                <c:pt idx="264">
                  <c:v>1.7409926090584291E-3</c:v>
                </c:pt>
                <c:pt idx="265">
                  <c:v>1.7716696154019584E-3</c:v>
                </c:pt>
                <c:pt idx="266">
                  <c:v>1.8054391252681032E-3</c:v>
                </c:pt>
                <c:pt idx="267">
                  <c:v>1.8389079331064811E-3</c:v>
                </c:pt>
                <c:pt idx="268">
                  <c:v>1.8694666380857042E-3</c:v>
                </c:pt>
                <c:pt idx="269">
                  <c:v>1.8971112758862122E-3</c:v>
                </c:pt>
                <c:pt idx="270">
                  <c:v>1.9218374586484274E-3</c:v>
                </c:pt>
                <c:pt idx="271">
                  <c:v>1.9436404076211683E-3</c:v>
                </c:pt>
                <c:pt idx="272">
                  <c:v>1.9625149858612779E-3</c:v>
                </c:pt>
                <c:pt idx="273">
                  <c:v>1.9784557309091323E-3</c:v>
                </c:pt>
                <c:pt idx="274">
                  <c:v>1.9914568874897201E-3</c:v>
                </c:pt>
                <c:pt idx="275">
                  <c:v>2.0005814896846491E-3</c:v>
                </c:pt>
                <c:pt idx="276">
                  <c:v>2.0053906448418844E-3</c:v>
                </c:pt>
                <c:pt idx="277">
                  <c:v>2.0058758498443306E-3</c:v>
                </c:pt>
                <c:pt idx="278">
                  <c:v>2.0020283877179973E-3</c:v>
                </c:pt>
                <c:pt idx="279">
                  <c:v>1.9938393752649518E-3</c:v>
                </c:pt>
                <c:pt idx="280">
                  <c:v>1.9812998107150695E-3</c:v>
                </c:pt>
                <c:pt idx="281">
                  <c:v>1.9678992162132304E-3</c:v>
                </c:pt>
                <c:pt idx="282">
                  <c:v>1.9570545426096163E-3</c:v>
                </c:pt>
                <c:pt idx="283">
                  <c:v>1.9487675864963987E-3</c:v>
                </c:pt>
                <c:pt idx="284">
                  <c:v>1.9430402114799562E-3</c:v>
                </c:pt>
                <c:pt idx="285">
                  <c:v>1.9398743201023043E-3</c:v>
                </c:pt>
                <c:pt idx="286">
                  <c:v>1.9392718257810516E-3</c:v>
                </c:pt>
                <c:pt idx="287">
                  <c:v>1.9412346247300964E-3</c:v>
                </c:pt>
                <c:pt idx="288">
                  <c:v>1.9457645678877568E-3</c:v>
                </c:pt>
                <c:pt idx="289">
                  <c:v>1.9521304056234964E-3</c:v>
                </c:pt>
                <c:pt idx="290">
                  <c:v>1.9612708487128879E-3</c:v>
                </c:pt>
                <c:pt idx="291">
                  <c:v>1.9731877623236408E-3</c:v>
                </c:pt>
                <c:pt idx="292">
                  <c:v>1.9878828468479627E-3</c:v>
                </c:pt>
                <c:pt idx="293">
                  <c:v>2.0053576076067311E-3</c:v>
                </c:pt>
                <c:pt idx="294">
                  <c:v>2.0256133245461498E-3</c:v>
                </c:pt>
                <c:pt idx="295">
                  <c:v>2.0485424210738338E-3</c:v>
                </c:pt>
                <c:pt idx="296">
                  <c:v>2.0706458489994765E-3</c:v>
                </c:pt>
                <c:pt idx="297">
                  <c:v>2.0919377884024205E-3</c:v>
                </c:pt>
                <c:pt idx="298">
                  <c:v>2.1124155457972016E-3</c:v>
                </c:pt>
                <c:pt idx="299">
                  <c:v>2.1320763245137393E-3</c:v>
                </c:pt>
                <c:pt idx="300">
                  <c:v>2.1509172325002222E-3</c:v>
                </c:pt>
                <c:pt idx="301">
                  <c:v>2.1689352901196083E-3</c:v>
                </c:pt>
                <c:pt idx="302">
                  <c:v>2.1861274379508934E-3</c:v>
                </c:pt>
                <c:pt idx="303">
                  <c:v>2.2127732302318882E-3</c:v>
                </c:pt>
                <c:pt idx="304">
                  <c:v>2.2496224034839148E-3</c:v>
                </c:pt>
                <c:pt idx="305">
                  <c:v>2.2966874248931731E-3</c:v>
                </c:pt>
                <c:pt idx="306">
                  <c:v>2.3539805732435528E-3</c:v>
                </c:pt>
                <c:pt idx="307">
                  <c:v>2.4215138452548866E-3</c:v>
                </c:pt>
                <c:pt idx="308">
                  <c:v>2.4992988619011616E-3</c:v>
                </c:pt>
                <c:pt idx="309">
                  <c:v>2.6087208407985459E-3</c:v>
                </c:pt>
                <c:pt idx="310">
                  <c:v>2.7499293036060274E-3</c:v>
                </c:pt>
                <c:pt idx="311">
                  <c:v>2.9229629008801702E-3</c:v>
                </c:pt>
                <c:pt idx="312">
                  <c:v>3.1278585460417564E-3</c:v>
                </c:pt>
                <c:pt idx="313">
                  <c:v>3.3646511244817667E-3</c:v>
                </c:pt>
                <c:pt idx="314">
                  <c:v>3.6333732026397557E-3</c:v>
                </c:pt>
                <c:pt idx="315">
                  <c:v>3.9340547371235889E-3</c:v>
                </c:pt>
                <c:pt idx="316">
                  <c:v>4.2667227837768504E-3</c:v>
                </c:pt>
                <c:pt idx="317">
                  <c:v>4.6518796432822923E-3</c:v>
                </c:pt>
                <c:pt idx="318">
                  <c:v>5.0792179254855541E-3</c:v>
                </c:pt>
                <c:pt idx="319">
                  <c:v>5.5487646090681903E-3</c:v>
                </c:pt>
                <c:pt idx="320">
                  <c:v>6.0605416616063322E-3</c:v>
                </c:pt>
                <c:pt idx="321">
                  <c:v>6.6145656559805201E-3</c:v>
                </c:pt>
                <c:pt idx="322">
                  <c:v>7.2108473868237053E-3</c:v>
                </c:pt>
                <c:pt idx="323">
                  <c:v>7.8441333454709137E-3</c:v>
                </c:pt>
                <c:pt idx="324">
                  <c:v>8.4929189276047156E-3</c:v>
                </c:pt>
                <c:pt idx="325">
                  <c:v>9.1571735461627637E-3</c:v>
                </c:pt>
                <c:pt idx="326">
                  <c:v>9.836801157357378E-3</c:v>
                </c:pt>
                <c:pt idx="327">
                  <c:v>1.0531727694285682E-2</c:v>
                </c:pt>
                <c:pt idx="328">
                  <c:v>1.1241925697478295E-2</c:v>
                </c:pt>
                <c:pt idx="329">
                  <c:v>1.1967371057760709E-2</c:v>
                </c:pt>
                <c:pt idx="330">
                  <c:v>1.2708043334145524E-2</c:v>
                </c:pt>
                <c:pt idx="331">
                  <c:v>1.3442342484176528E-2</c:v>
                </c:pt>
                <c:pt idx="332">
                  <c:v>1.4149694129856567E-2</c:v>
                </c:pt>
                <c:pt idx="333">
                  <c:v>1.4830081557790628E-2</c:v>
                </c:pt>
                <c:pt idx="334">
                  <c:v>1.5483496499482477E-2</c:v>
                </c:pt>
                <c:pt idx="335">
                  <c:v>1.6109938572943409E-2</c:v>
                </c:pt>
                <c:pt idx="336">
                  <c:v>1.6709414724113112E-2</c:v>
                </c:pt>
                <c:pt idx="337">
                  <c:v>1.7269461270894324E-2</c:v>
                </c:pt>
                <c:pt idx="338">
                  <c:v>1.7795365804468832E-2</c:v>
                </c:pt>
                <c:pt idx="339">
                  <c:v>1.8287153520269002E-2</c:v>
                </c:pt>
                <c:pt idx="340">
                  <c:v>1.8744854694285981E-2</c:v>
                </c:pt>
                <c:pt idx="341">
                  <c:v>1.9168503974739143E-2</c:v>
                </c:pt>
                <c:pt idx="342">
                  <c:v>1.9558139673740732E-2</c:v>
                </c:pt>
                <c:pt idx="343">
                  <c:v>1.9913803058726542E-2</c:v>
                </c:pt>
                <c:pt idx="344">
                  <c:v>2.0235537644185144E-2</c:v>
                </c:pt>
                <c:pt idx="345">
                  <c:v>2.0523388483184645E-2</c:v>
                </c:pt>
                <c:pt idx="346">
                  <c:v>2.0784859502254446E-2</c:v>
                </c:pt>
                <c:pt idx="347">
                  <c:v>2.1019998192469691E-2</c:v>
                </c:pt>
                <c:pt idx="348">
                  <c:v>2.1228852108993709E-2</c:v>
                </c:pt>
                <c:pt idx="349">
                  <c:v>2.1411468317534248E-2</c:v>
                </c:pt>
                <c:pt idx="350">
                  <c:v>2.1567892841295178E-2</c:v>
                </c:pt>
                <c:pt idx="351">
                  <c:v>2.1684023152314491E-2</c:v>
                </c:pt>
                <c:pt idx="352">
                  <c:v>2.1772383932767533E-2</c:v>
                </c:pt>
                <c:pt idx="353">
                  <c:v>2.1833012779624697E-2</c:v>
                </c:pt>
                <c:pt idx="354">
                  <c:v>2.1865943647732828E-2</c:v>
                </c:pt>
                <c:pt idx="355">
                  <c:v>2.1871206260870541E-2</c:v>
                </c:pt>
                <c:pt idx="356">
                  <c:v>2.1848840622709836E-2</c:v>
                </c:pt>
                <c:pt idx="357">
                  <c:v>2.1798817552050914E-2</c:v>
                </c:pt>
                <c:pt idx="358">
                  <c:v>2.172105020742535E-2</c:v>
                </c:pt>
                <c:pt idx="359">
                  <c:v>2.16154475283316E-2</c:v>
                </c:pt>
                <c:pt idx="360">
                  <c:v>2.1469397155931793E-2</c:v>
                </c:pt>
                <c:pt idx="361">
                  <c:v>2.1296973954860576E-2</c:v>
                </c:pt>
                <c:pt idx="362">
                  <c:v>2.1098079970193778E-2</c:v>
                </c:pt>
                <c:pt idx="363">
                  <c:v>2.0872616221856516E-2</c:v>
                </c:pt>
                <c:pt idx="364">
                  <c:v>2.0620483388258785E-2</c:v>
                </c:pt>
                <c:pt idx="365">
                  <c:v>2.0341582489658092E-2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3.0466887600290538E-2</c:v>
                </c:pt>
                <c:pt idx="1">
                  <c:v>3.0150848795881171E-2</c:v>
                </c:pt>
                <c:pt idx="2">
                  <c:v>2.978372911894682E-2</c:v>
                </c:pt>
                <c:pt idx="3">
                  <c:v>2.9365373836894044E-2</c:v>
                </c:pt>
                <c:pt idx="4">
                  <c:v>2.8895631314832231E-2</c:v>
                </c:pt>
                <c:pt idx="5">
                  <c:v>2.8374354315263278E-2</c:v>
                </c:pt>
                <c:pt idx="6">
                  <c:v>2.7801401298135155E-2</c:v>
                </c:pt>
                <c:pt idx="7">
                  <c:v>2.717663772024646E-2</c:v>
                </c:pt>
                <c:pt idx="8">
                  <c:v>2.649993733506489E-2</c:v>
                </c:pt>
                <c:pt idx="9">
                  <c:v>2.5752500217394985E-2</c:v>
                </c:pt>
                <c:pt idx="10">
                  <c:v>2.4951186592326324E-2</c:v>
                </c:pt>
                <c:pt idx="11">
                  <c:v>2.4095901730561003E-2</c:v>
                </c:pt>
                <c:pt idx="12">
                  <c:v>2.3186564786962963E-2</c:v>
                </c:pt>
                <c:pt idx="13">
                  <c:v>2.2223110143580953E-2</c:v>
                </c:pt>
                <c:pt idx="14">
                  <c:v>2.120548875229733E-2</c:v>
                </c:pt>
                <c:pt idx="15">
                  <c:v>2.0156165878481524E-2</c:v>
                </c:pt>
                <c:pt idx="16">
                  <c:v>1.9109370826782417E-2</c:v>
                </c:pt>
                <c:pt idx="17">
                  <c:v>1.8065154378004714E-2</c:v>
                </c:pt>
                <c:pt idx="18">
                  <c:v>1.7023577246943644E-2</c:v>
                </c:pt>
                <c:pt idx="19">
                  <c:v>1.5984799148105706E-2</c:v>
                </c:pt>
                <c:pt idx="20">
                  <c:v>1.4949004092982873E-2</c:v>
                </c:pt>
                <c:pt idx="21">
                  <c:v>1.3916292297011334E-2</c:v>
                </c:pt>
                <c:pt idx="22">
                  <c:v>1.2886758229817946E-2</c:v>
                </c:pt>
                <c:pt idx="23">
                  <c:v>1.1893721385000911E-2</c:v>
                </c:pt>
                <c:pt idx="24">
                  <c:v>1.0956028012263112E-2</c:v>
                </c:pt>
                <c:pt idx="25">
                  <c:v>1.0073762465402989E-2</c:v>
                </c:pt>
                <c:pt idx="26">
                  <c:v>9.2469979491330428E-3</c:v>
                </c:pt>
                <c:pt idx="27">
                  <c:v>8.4757972161855627E-3</c:v>
                </c:pt>
                <c:pt idx="28">
                  <c:v>7.7602132646331689E-3</c:v>
                </c:pt>
                <c:pt idx="29">
                  <c:v>7.1199189421210646E-3</c:v>
                </c:pt>
                <c:pt idx="30">
                  <c:v>6.5324146670213594E-3</c:v>
                </c:pt>
                <c:pt idx="31">
                  <c:v>5.9977279475366225E-3</c:v>
                </c:pt>
                <c:pt idx="32">
                  <c:v>5.5158796151440819E-3</c:v>
                </c:pt>
                <c:pt idx="33">
                  <c:v>5.0868844854749873E-3</c:v>
                </c:pt>
                <c:pt idx="34">
                  <c:v>4.7107520192198006E-3</c:v>
                </c:pt>
                <c:pt idx="35">
                  <c:v>4.3874869830231701E-3</c:v>
                </c:pt>
                <c:pt idx="36">
                  <c:v>4.1170901103679504E-3</c:v>
                </c:pt>
                <c:pt idx="37">
                  <c:v>3.9033460219090655E-3</c:v>
                </c:pt>
                <c:pt idx="38">
                  <c:v>3.7130295713178208E-3</c:v>
                </c:pt>
                <c:pt idx="39">
                  <c:v>3.5461411241583421E-3</c:v>
                </c:pt>
                <c:pt idx="40">
                  <c:v>3.4026798441238772E-3</c:v>
                </c:pt>
                <c:pt idx="41">
                  <c:v>3.2826439858119629E-3</c:v>
                </c:pt>
                <c:pt idx="42">
                  <c:v>3.186031187472781E-3</c:v>
                </c:pt>
                <c:pt idx="43">
                  <c:v>3.1116370517835432E-3</c:v>
                </c:pt>
                <c:pt idx="44">
                  <c:v>3.03985111064438E-3</c:v>
                </c:pt>
                <c:pt idx="45">
                  <c:v>2.9706755886769729E-3</c:v>
                </c:pt>
                <c:pt idx="46">
                  <c:v>2.9041124410288197E-3</c:v>
                </c:pt>
                <c:pt idx="47">
                  <c:v>2.8401633857248771E-3</c:v>
                </c:pt>
                <c:pt idx="48">
                  <c:v>2.7788299359800123E-3</c:v>
                </c:pt>
                <c:pt idx="49">
                  <c:v>2.7201134325382371E-3</c:v>
                </c:pt>
                <c:pt idx="50">
                  <c:v>2.6640150759944148E-3</c:v>
                </c:pt>
                <c:pt idx="51">
                  <c:v>2.6146240204360451E-3</c:v>
                </c:pt>
                <c:pt idx="52">
                  <c:v>2.5681434776012413E-3</c:v>
                </c:pt>
                <c:pt idx="53">
                  <c:v>2.5245587317164215E-3</c:v>
                </c:pt>
                <c:pt idx="54">
                  <c:v>2.4838683935567512E-3</c:v>
                </c:pt>
                <c:pt idx="55">
                  <c:v>2.4460711859954107E-3</c:v>
                </c:pt>
                <c:pt idx="56">
                  <c:v>2.4111659333225354E-3</c:v>
                </c:pt>
                <c:pt idx="57">
                  <c:v>2.3794175641267032E-3</c:v>
                </c:pt>
                <c:pt idx="58">
                  <c:v>2.3520262717614125E-3</c:v>
                </c:pt>
                <c:pt idx="59">
                  <c:v>2.328991149336664E-3</c:v>
                </c:pt>
                <c:pt idx="60">
                  <c:v>2.3103113540122165E-3</c:v>
                </c:pt>
                <c:pt idx="61">
                  <c:v>2.2959860908901317E-3</c:v>
                </c:pt>
                <c:pt idx="62">
                  <c:v>2.2860145969038552E-3</c:v>
                </c:pt>
                <c:pt idx="63">
                  <c:v>2.2803961247142134E-3</c:v>
                </c:pt>
                <c:pt idx="64">
                  <c:v>2.2791299265962493E-3</c:v>
                </c:pt>
                <c:pt idx="65">
                  <c:v>2.2789105700902535E-3</c:v>
                </c:pt>
                <c:pt idx="66">
                  <c:v>2.2756489901252616E-3</c:v>
                </c:pt>
                <c:pt idx="67">
                  <c:v>2.2693443340702697E-3</c:v>
                </c:pt>
                <c:pt idx="68">
                  <c:v>2.2599957916965949E-3</c:v>
                </c:pt>
                <c:pt idx="69">
                  <c:v>2.247602606411834E-3</c:v>
                </c:pt>
                <c:pt idx="70">
                  <c:v>2.2321640865044542E-3</c:v>
                </c:pt>
                <c:pt idx="71">
                  <c:v>2.2141199225198132E-3</c:v>
                </c:pt>
                <c:pt idx="72">
                  <c:v>2.1932035491787202E-3</c:v>
                </c:pt>
                <c:pt idx="73">
                  <c:v>2.1694145218499141E-3</c:v>
                </c:pt>
                <c:pt idx="74">
                  <c:v>2.1427525003608135E-3</c:v>
                </c:pt>
                <c:pt idx="75">
                  <c:v>2.11321725959727E-3</c:v>
                </c:pt>
                <c:pt idx="76">
                  <c:v>2.0808087000965896E-3</c:v>
                </c:pt>
                <c:pt idx="77">
                  <c:v>2.0455268586475101E-3</c:v>
                </c:pt>
                <c:pt idx="78">
                  <c:v>2.0073719855299411E-3</c:v>
                </c:pt>
                <c:pt idx="79">
                  <c:v>1.9690121721312268E-3</c:v>
                </c:pt>
                <c:pt idx="80">
                  <c:v>1.9337559285264175E-3</c:v>
                </c:pt>
                <c:pt idx="81">
                  <c:v>1.9016022142454823E-3</c:v>
                </c:pt>
                <c:pt idx="82">
                  <c:v>1.8725500249218152E-3</c:v>
                </c:pt>
                <c:pt idx="83">
                  <c:v>1.8465983823594465E-3</c:v>
                </c:pt>
                <c:pt idx="84">
                  <c:v>1.8237463246064739E-3</c:v>
                </c:pt>
                <c:pt idx="85">
                  <c:v>1.8044949754514653E-3</c:v>
                </c:pt>
                <c:pt idx="86">
                  <c:v>1.7884032493246599E-3</c:v>
                </c:pt>
                <c:pt idx="87">
                  <c:v>1.7754701594626923E-3</c:v>
                </c:pt>
                <c:pt idx="88">
                  <c:v>1.7656946939998673E-3</c:v>
                </c:pt>
                <c:pt idx="89">
                  <c:v>1.7590758058391815E-3</c:v>
                </c:pt>
                <c:pt idx="90">
                  <c:v>1.7556124025196686E-3</c:v>
                </c:pt>
                <c:pt idx="91">
                  <c:v>1.7553033360904382E-3</c:v>
                </c:pt>
                <c:pt idx="92">
                  <c:v>1.7581473929799893E-3</c:v>
                </c:pt>
                <c:pt idx="93">
                  <c:v>1.7621295703933954E-3</c:v>
                </c:pt>
                <c:pt idx="94">
                  <c:v>1.7645913215519479E-3</c:v>
                </c:pt>
                <c:pt idx="95">
                  <c:v>1.7655324142533124E-3</c:v>
                </c:pt>
                <c:pt idx="96">
                  <c:v>1.7649526580348991E-3</c:v>
                </c:pt>
                <c:pt idx="97">
                  <c:v>1.7628519090309412E-3</c:v>
                </c:pt>
                <c:pt idx="98">
                  <c:v>1.7592300748138872E-3</c:v>
                </c:pt>
                <c:pt idx="99">
                  <c:v>1.7546918047561318E-3</c:v>
                </c:pt>
                <c:pt idx="100">
                  <c:v>1.7487354363019574E-3</c:v>
                </c:pt>
                <c:pt idx="101">
                  <c:v>1.7413610102606236E-3</c:v>
                </c:pt>
                <c:pt idx="102">
                  <c:v>1.7325686330974404E-3</c:v>
                </c:pt>
                <c:pt idx="103">
                  <c:v>1.7223584814324672E-3</c:v>
                </c:pt>
                <c:pt idx="104">
                  <c:v>1.7107308065798111E-3</c:v>
                </c:pt>
                <c:pt idx="105">
                  <c:v>1.6976859390493437E-3</c:v>
                </c:pt>
                <c:pt idx="106">
                  <c:v>1.6832242930691927E-3</c:v>
                </c:pt>
                <c:pt idx="107">
                  <c:v>1.6687929331760628E-3</c:v>
                </c:pt>
                <c:pt idx="108">
                  <c:v>1.6564016089585184E-3</c:v>
                </c:pt>
                <c:pt idx="109">
                  <c:v>1.6460490186191153E-3</c:v>
                </c:pt>
                <c:pt idx="110">
                  <c:v>1.6377384236658194E-3</c:v>
                </c:pt>
                <c:pt idx="111">
                  <c:v>1.6314730221716174E-3</c:v>
                </c:pt>
                <c:pt idx="112">
                  <c:v>1.6272513070796988E-3</c:v>
                </c:pt>
                <c:pt idx="113">
                  <c:v>1.6248019790745909E-3</c:v>
                </c:pt>
                <c:pt idx="114">
                  <c:v>1.6235204358114729E-3</c:v>
                </c:pt>
                <c:pt idx="115">
                  <c:v>1.6234055823110003E-3</c:v>
                </c:pt>
                <c:pt idx="116">
                  <c:v>1.6244562877326223E-3</c:v>
                </c:pt>
                <c:pt idx="117">
                  <c:v>1.6266713828171412E-3</c:v>
                </c:pt>
                <c:pt idx="118">
                  <c:v>1.6300496573128161E-3</c:v>
                </c:pt>
                <c:pt idx="119">
                  <c:v>1.6345898574061015E-3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1.5688167737004223E-3</c:v>
                </c:pt>
                <c:pt idx="226">
                  <c:v>1.5640768655865525E-3</c:v>
                </c:pt>
                <c:pt idx="227">
                  <c:v>1.5604749605543833E-3</c:v>
                </c:pt>
                <c:pt idx="228">
                  <c:v>1.5580105099369872E-3</c:v>
                </c:pt>
                <c:pt idx="229">
                  <c:v>1.5566830173555802E-3</c:v>
                </c:pt>
                <c:pt idx="230">
                  <c:v>1.5564920352257184E-3</c:v>
                </c:pt>
                <c:pt idx="231">
                  <c:v>1.5574371612686955E-3</c:v>
                </c:pt>
                <c:pt idx="232">
                  <c:v>1.5595180349895687E-3</c:v>
                </c:pt>
                <c:pt idx="233">
                  <c:v>1.5633126598665239E-3</c:v>
                </c:pt>
                <c:pt idx="234">
                  <c:v>1.5690794244658246E-3</c:v>
                </c:pt>
                <c:pt idx="235">
                  <c:v>1.5768194885328564E-3</c:v>
                </c:pt>
                <c:pt idx="236">
                  <c:v>1.5865346088185922E-3</c:v>
                </c:pt>
                <c:pt idx="237">
                  <c:v>1.5982256185360945E-3</c:v>
                </c:pt>
                <c:pt idx="238">
                  <c:v>1.6118934385493345E-3</c:v>
                </c:pt>
                <c:pt idx="239">
                  <c:v>1.6256134957781806E-3</c:v>
                </c:pt>
                <c:pt idx="240">
                  <c:v>1.6380006474867135E-3</c:v>
                </c:pt>
                <c:pt idx="241">
                  <c:v>1.6490550929174966E-3</c:v>
                </c:pt>
                <c:pt idx="242">
                  <c:v>1.6587769787708457E-3</c:v>
                </c:pt>
                <c:pt idx="243">
                  <c:v>1.6671663968430199E-3</c:v>
                </c:pt>
                <c:pt idx="244">
                  <c:v>1.6742233816550705E-3</c:v>
                </c:pt>
                <c:pt idx="245">
                  <c:v>1.679947908064014E-3</c:v>
                </c:pt>
                <c:pt idx="246">
                  <c:v>1.684339888871167E-3</c:v>
                </c:pt>
                <c:pt idx="247">
                  <c:v>1.6878794803491986E-3</c:v>
                </c:pt>
                <c:pt idx="248">
                  <c:v>1.6899875055001593E-3</c:v>
                </c:pt>
                <c:pt idx="249">
                  <c:v>1.6906636412681978E-3</c:v>
                </c:pt>
                <c:pt idx="250">
                  <c:v>1.6899074879778472E-3</c:v>
                </c:pt>
                <c:pt idx="251">
                  <c:v>1.6877185668277949E-3</c:v>
                </c:pt>
                <c:pt idx="252">
                  <c:v>1.6840963173123714E-3</c:v>
                </c:pt>
                <c:pt idx="253">
                  <c:v>1.6815867339739186E-3</c:v>
                </c:pt>
                <c:pt idx="254">
                  <c:v>1.6821205290433912E-3</c:v>
                </c:pt>
                <c:pt idx="255">
                  <c:v>1.6856999129301758E-3</c:v>
                </c:pt>
                <c:pt idx="256">
                  <c:v>1.6923272781740461E-3</c:v>
                </c:pt>
                <c:pt idx="257">
                  <c:v>1.7020052047630385E-3</c:v>
                </c:pt>
                <c:pt idx="258">
                  <c:v>1.7147364654673718E-3</c:v>
                </c:pt>
                <c:pt idx="259">
                  <c:v>1.7305240311971087E-3</c:v>
                </c:pt>
                <c:pt idx="260">
                  <c:v>1.7493710763078893E-3</c:v>
                </c:pt>
                <c:pt idx="261">
                  <c:v>1.7717032473770114E-3</c:v>
                </c:pt>
                <c:pt idx="262">
                  <c:v>1.7970426073201659E-3</c:v>
                </c:pt>
                <c:pt idx="263">
                  <c:v>1.8253929326953907E-3</c:v>
                </c:pt>
                <c:pt idx="264">
                  <c:v>1.8567583101696383E-3</c:v>
                </c:pt>
                <c:pt idx="265">
                  <c:v>1.8911531929452323E-3</c:v>
                </c:pt>
                <c:pt idx="266">
                  <c:v>1.9285880027072998E-3</c:v>
                </c:pt>
                <c:pt idx="267">
                  <c:v>1.9658904817771664E-3</c:v>
                </c:pt>
                <c:pt idx="268">
                  <c:v>2.0005025859033011E-3</c:v>
                </c:pt>
                <c:pt idx="269">
                  <c:v>2.0324206677500363E-3</c:v>
                </c:pt>
                <c:pt idx="270">
                  <c:v>2.0616406599238486E-3</c:v>
                </c:pt>
                <c:pt idx="271">
                  <c:v>2.0881581052560575E-3</c:v>
                </c:pt>
                <c:pt idx="272">
                  <c:v>2.1119681871403138E-3</c:v>
                </c:pt>
                <c:pt idx="273">
                  <c:v>2.1330657598442027E-3</c:v>
                </c:pt>
                <c:pt idx="274">
                  <c:v>2.1514453788483308E-3</c:v>
                </c:pt>
                <c:pt idx="275">
                  <c:v>2.1673578601654206E-3</c:v>
                </c:pt>
                <c:pt idx="276">
                  <c:v>2.1803728290189345E-3</c:v>
                </c:pt>
                <c:pt idx="277">
                  <c:v>2.1904838804222269E-3</c:v>
                </c:pt>
                <c:pt idx="278">
                  <c:v>2.1976844238738124E-3</c:v>
                </c:pt>
                <c:pt idx="279">
                  <c:v>2.2019677155187631E-3</c:v>
                </c:pt>
                <c:pt idx="280">
                  <c:v>2.2033268903307438E-3</c:v>
                </c:pt>
                <c:pt idx="281">
                  <c:v>2.2057092806613983E-3</c:v>
                </c:pt>
                <c:pt idx="282">
                  <c:v>2.2123121328984818E-3</c:v>
                </c:pt>
                <c:pt idx="283">
                  <c:v>2.2231396476704601E-3</c:v>
                </c:pt>
                <c:pt idx="284">
                  <c:v>2.2381960264903169E-3</c:v>
                </c:pt>
                <c:pt idx="285">
                  <c:v>2.2574854256514837E-3</c:v>
                </c:pt>
                <c:pt idx="286">
                  <c:v>2.2810119101451067E-3</c:v>
                </c:pt>
                <c:pt idx="287">
                  <c:v>2.3087794075553072E-3</c:v>
                </c:pt>
                <c:pt idx="288">
                  <c:v>2.3407916619628873E-3</c:v>
                </c:pt>
                <c:pt idx="289">
                  <c:v>2.3758854732014337E-3</c:v>
                </c:pt>
                <c:pt idx="290">
                  <c:v>2.4138038226201703E-3</c:v>
                </c:pt>
                <c:pt idx="291">
                  <c:v>2.4545475481382705E-3</c:v>
                </c:pt>
                <c:pt idx="292">
                  <c:v>2.4981171973018691E-3</c:v>
                </c:pt>
                <c:pt idx="293">
                  <c:v>2.544512996729371E-3</c:v>
                </c:pt>
                <c:pt idx="294">
                  <c:v>2.5937348215476618E-3</c:v>
                </c:pt>
                <c:pt idx="295">
                  <c:v>2.6494680040413548E-3</c:v>
                </c:pt>
                <c:pt idx="296">
                  <c:v>2.7077654533228753E-3</c:v>
                </c:pt>
                <c:pt idx="297">
                  <c:v>2.7686507916168022E-3</c:v>
                </c:pt>
                <c:pt idx="298">
                  <c:v>2.8321260637127373E-3</c:v>
                </c:pt>
                <c:pt idx="299">
                  <c:v>2.8981931776817875E-3</c:v>
                </c:pt>
                <c:pt idx="300">
                  <c:v>2.9668538816348213E-3</c:v>
                </c:pt>
                <c:pt idx="301">
                  <c:v>3.0381097404722176E-3</c:v>
                </c:pt>
                <c:pt idx="302">
                  <c:v>3.1119621126400828E-3</c:v>
                </c:pt>
                <c:pt idx="303">
                  <c:v>3.2075766122015743E-3</c:v>
                </c:pt>
                <c:pt idx="304">
                  <c:v>3.3261565122385366E-3</c:v>
                </c:pt>
                <c:pt idx="305">
                  <c:v>3.4677314223967473E-3</c:v>
                </c:pt>
                <c:pt idx="306">
                  <c:v>3.6323303941565698E-3</c:v>
                </c:pt>
                <c:pt idx="307">
                  <c:v>3.8199817103346922E-3</c:v>
                </c:pt>
                <c:pt idx="308">
                  <c:v>4.0307126745545586E-3</c:v>
                </c:pt>
                <c:pt idx="309">
                  <c:v>4.2970918331167278E-3</c:v>
                </c:pt>
                <c:pt idx="310">
                  <c:v>4.6154770709143124E-3</c:v>
                </c:pt>
                <c:pt idx="311">
                  <c:v>4.9859299628897688E-3</c:v>
                </c:pt>
                <c:pt idx="312">
                  <c:v>5.4085089243471442E-3</c:v>
                </c:pt>
                <c:pt idx="313">
                  <c:v>5.8832687357559766E-3</c:v>
                </c:pt>
                <c:pt idx="314">
                  <c:v>6.4102600675079629E-3</c:v>
                </c:pt>
                <c:pt idx="315">
                  <c:v>6.989529004745647E-3</c:v>
                </c:pt>
                <c:pt idx="316">
                  <c:v>7.6211165720995733E-3</c:v>
                </c:pt>
                <c:pt idx="317">
                  <c:v>8.3271976072029543E-3</c:v>
                </c:pt>
                <c:pt idx="318">
                  <c:v>9.0885347161177178E-3</c:v>
                </c:pt>
                <c:pt idx="319">
                  <c:v>9.9051531532972636E-3</c:v>
                </c:pt>
                <c:pt idx="320">
                  <c:v>1.0777070885165043E-2</c:v>
                </c:pt>
                <c:pt idx="321">
                  <c:v>1.1704298088800353E-2</c:v>
                </c:pt>
                <c:pt idx="322">
                  <c:v>1.2686836650691024E-2</c:v>
                </c:pt>
                <c:pt idx="323">
                  <c:v>1.3706212665417683E-2</c:v>
                </c:pt>
                <c:pt idx="324">
                  <c:v>1.4729662662877334E-2</c:v>
                </c:pt>
                <c:pt idx="325">
                  <c:v>1.5757119616984838E-2</c:v>
                </c:pt>
                <c:pt idx="326">
                  <c:v>1.678840769347105E-2</c:v>
                </c:pt>
                <c:pt idx="327">
                  <c:v>1.7823394820305278E-2</c:v>
                </c:pt>
                <c:pt idx="328">
                  <c:v>1.8862032420294255E-2</c:v>
                </c:pt>
                <c:pt idx="329">
                  <c:v>1.9904279914185533E-2</c:v>
                </c:pt>
                <c:pt idx="330">
                  <c:v>2.0950104797973462E-2</c:v>
                </c:pt>
                <c:pt idx="331">
                  <c:v>2.196569018760278E-2</c:v>
                </c:pt>
                <c:pt idx="332">
                  <c:v>2.2928786956719131E-2</c:v>
                </c:pt>
                <c:pt idx="333">
                  <c:v>2.3839375337307799E-2</c:v>
                </c:pt>
                <c:pt idx="334">
                  <c:v>2.4697448562905813E-2</c:v>
                </c:pt>
                <c:pt idx="335">
                  <c:v>2.5503011781128571E-2</c:v>
                </c:pt>
                <c:pt idx="336">
                  <c:v>2.6256080965892686E-2</c:v>
                </c:pt>
                <c:pt idx="337">
                  <c:v>2.6939862162935136E-2</c:v>
                </c:pt>
                <c:pt idx="338">
                  <c:v>2.7572892541507705E-2</c:v>
                </c:pt>
                <c:pt idx="339">
                  <c:v>2.8155214365143889E-2</c:v>
                </c:pt>
                <c:pt idx="340">
                  <c:v>2.8686876211972689E-2</c:v>
                </c:pt>
                <c:pt idx="341">
                  <c:v>2.9167931922181273E-2</c:v>
                </c:pt>
                <c:pt idx="342">
                  <c:v>2.9598439545466482E-2</c:v>
                </c:pt>
                <c:pt idx="343">
                  <c:v>2.9978460288131305E-2</c:v>
                </c:pt>
                <c:pt idx="344">
                  <c:v>3.0308057460636584E-2</c:v>
                </c:pt>
                <c:pt idx="345">
                  <c:v>3.0587295424844965E-2</c:v>
                </c:pt>
                <c:pt idx="346">
                  <c:v>3.0838254548545871E-2</c:v>
                </c:pt>
                <c:pt idx="347">
                  <c:v>3.1061002525187509E-2</c:v>
                </c:pt>
                <c:pt idx="348">
                  <c:v>3.1255606862384232E-2</c:v>
                </c:pt>
                <c:pt idx="349">
                  <c:v>3.1422134286659985E-2</c:v>
                </c:pt>
                <c:pt idx="350">
                  <c:v>3.1560650148922086E-2</c:v>
                </c:pt>
                <c:pt idx="351">
                  <c:v>3.1659412933286113E-2</c:v>
                </c:pt>
                <c:pt idx="352">
                  <c:v>3.1735313353564117E-2</c:v>
                </c:pt>
                <c:pt idx="353">
                  <c:v>3.178841096635663E-2</c:v>
                </c:pt>
                <c:pt idx="354">
                  <c:v>3.1818762289419746E-2</c:v>
                </c:pt>
                <c:pt idx="355">
                  <c:v>3.1826420309542164E-2</c:v>
                </c:pt>
                <c:pt idx="356">
                  <c:v>3.1811455975571806E-2</c:v>
                </c:pt>
                <c:pt idx="357">
                  <c:v>3.1773842859272691E-2</c:v>
                </c:pt>
                <c:pt idx="358">
                  <c:v>3.1713473695868043E-2</c:v>
                </c:pt>
                <c:pt idx="359">
                  <c:v>3.1630237699803478E-2</c:v>
                </c:pt>
                <c:pt idx="360">
                  <c:v>3.1507147033670302E-2</c:v>
                </c:pt>
                <c:pt idx="361">
                  <c:v>3.1355903836625836E-2</c:v>
                </c:pt>
                <c:pt idx="362">
                  <c:v>3.1176383043913142E-2</c:v>
                </c:pt>
                <c:pt idx="363">
                  <c:v>3.096845817379244E-2</c:v>
                </c:pt>
                <c:pt idx="364">
                  <c:v>3.0732002062746566E-2</c:v>
                </c:pt>
                <c:pt idx="365">
                  <c:v>3.0466887600290538E-2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4.2730496614132495E-2</c:v>
                </c:pt>
                <c:pt idx="1">
                  <c:v>4.2347469807102252E-2</c:v>
                </c:pt>
                <c:pt idx="2">
                  <c:v>4.1910055338845204E-2</c:v>
                </c:pt>
                <c:pt idx="3">
                  <c:v>4.141806162975855E-2</c:v>
                </c:pt>
                <c:pt idx="4">
                  <c:v>4.0871300923013477E-2</c:v>
                </c:pt>
                <c:pt idx="5">
                  <c:v>4.0269590668684796E-2</c:v>
                </c:pt>
                <c:pt idx="6">
                  <c:v>3.9612754908396414E-2</c:v>
                </c:pt>
                <c:pt idx="7">
                  <c:v>3.8900625659048789E-2</c:v>
                </c:pt>
                <c:pt idx="8">
                  <c:v>3.8133044297129007E-2</c:v>
                </c:pt>
                <c:pt idx="9">
                  <c:v>3.7275064280761466E-2</c:v>
                </c:pt>
                <c:pt idx="10">
                  <c:v>3.6344893541172048E-2</c:v>
                </c:pt>
                <c:pt idx="11">
                  <c:v>3.5342391145911915E-2</c:v>
                </c:pt>
                <c:pt idx="12">
                  <c:v>3.4267433328348813E-2</c:v>
                </c:pt>
                <c:pt idx="13">
                  <c:v>3.3119915289399372E-2</c:v>
                </c:pt>
                <c:pt idx="14">
                  <c:v>3.1899752998701833E-2</c:v>
                </c:pt>
                <c:pt idx="15">
                  <c:v>3.0618538345309448E-2</c:v>
                </c:pt>
                <c:pt idx="16">
                  <c:v>2.9312394764457721E-2</c:v>
                </c:pt>
                <c:pt idx="17">
                  <c:v>2.7981347495260531E-2</c:v>
                </c:pt>
                <c:pt idx="18">
                  <c:v>2.6625439706291578E-2</c:v>
                </c:pt>
                <c:pt idx="19">
                  <c:v>2.5244873897768822E-2</c:v>
                </c:pt>
                <c:pt idx="20">
                  <c:v>2.3839900395976759E-2</c:v>
                </c:pt>
                <c:pt idx="21">
                  <c:v>2.2410645338765311E-2</c:v>
                </c:pt>
                <c:pt idx="22">
                  <c:v>2.0957231204636717E-2</c:v>
                </c:pt>
                <c:pt idx="23">
                  <c:v>1.9522222343236393E-2</c:v>
                </c:pt>
                <c:pt idx="24">
                  <c:v>1.8140675994667604E-2</c:v>
                </c:pt>
                <c:pt idx="25">
                  <c:v>1.6812712507613351E-2</c:v>
                </c:pt>
                <c:pt idx="26">
                  <c:v>1.5538439049405698E-2</c:v>
                </c:pt>
                <c:pt idx="27">
                  <c:v>1.4317950282503737E-2</c:v>
                </c:pt>
                <c:pt idx="28">
                  <c:v>1.3151329041330111E-2</c:v>
                </c:pt>
                <c:pt idx="29">
                  <c:v>1.2073309735563335E-2</c:v>
                </c:pt>
                <c:pt idx="30">
                  <c:v>1.1072278431182322E-2</c:v>
                </c:pt>
                <c:pt idx="31">
                  <c:v>1.0148282817237035E-2</c:v>
                </c:pt>
                <c:pt idx="32">
                  <c:v>9.3013601232748676E-3</c:v>
                </c:pt>
                <c:pt idx="33">
                  <c:v>8.5315380833767811E-3</c:v>
                </c:pt>
                <c:pt idx="34">
                  <c:v>7.8388359002372759E-3</c:v>
                </c:pt>
                <c:pt idx="35">
                  <c:v>7.2232652092266694E-3</c:v>
                </c:pt>
                <c:pt idx="36">
                  <c:v>6.6848310424344635E-3</c:v>
                </c:pt>
                <c:pt idx="37">
                  <c:v>6.2344449575737516E-3</c:v>
                </c:pt>
                <c:pt idx="38">
                  <c:v>5.8296682394690831E-3</c:v>
                </c:pt>
                <c:pt idx="39">
                  <c:v>5.4705001663493411E-3</c:v>
                </c:pt>
                <c:pt idx="40">
                  <c:v>5.1569375047134398E-3</c:v>
                </c:pt>
                <c:pt idx="41">
                  <c:v>4.8889750791706278E-3</c:v>
                </c:pt>
                <c:pt idx="42">
                  <c:v>4.6666063422380081E-3</c:v>
                </c:pt>
                <c:pt idx="43">
                  <c:v>4.4884576094310537E-3</c:v>
                </c:pt>
                <c:pt idx="44">
                  <c:v>4.3198957470905281E-3</c:v>
                </c:pt>
                <c:pt idx="45">
                  <c:v>4.16092161417331E-3</c:v>
                </c:pt>
                <c:pt idx="46">
                  <c:v>4.0115355549161236E-3</c:v>
                </c:pt>
                <c:pt idx="47">
                  <c:v>3.8717375182473115E-3</c:v>
                </c:pt>
                <c:pt idx="48">
                  <c:v>3.7415271771434229E-3</c:v>
                </c:pt>
                <c:pt idx="49">
                  <c:v>3.6209040480232185E-3</c:v>
                </c:pt>
                <c:pt idx="50">
                  <c:v>3.5098676101176711E-3</c:v>
                </c:pt>
                <c:pt idx="51">
                  <c:v>3.4131074960601347E-3</c:v>
                </c:pt>
                <c:pt idx="52">
                  <c:v>3.3197034110945957E-3</c:v>
                </c:pt>
                <c:pt idx="53">
                  <c:v>3.2296356665136444E-3</c:v>
                </c:pt>
                <c:pt idx="54">
                  <c:v>3.1429021701097006E-3</c:v>
                </c:pt>
                <c:pt idx="55">
                  <c:v>3.0595010177711748E-3</c:v>
                </c:pt>
                <c:pt idx="56">
                  <c:v>2.979430481182781E-3</c:v>
                </c:pt>
                <c:pt idx="57">
                  <c:v>2.9046626166822063E-3</c:v>
                </c:pt>
                <c:pt idx="58">
                  <c:v>2.8365617878522375E-3</c:v>
                </c:pt>
                <c:pt idx="59">
                  <c:v>2.7751267893779386E-3</c:v>
                </c:pt>
                <c:pt idx="60">
                  <c:v>2.720356552705559E-3</c:v>
                </c:pt>
                <c:pt idx="61">
                  <c:v>2.6722501213905241E-3</c:v>
                </c:pt>
                <c:pt idx="62">
                  <c:v>2.6308066264413895E-3</c:v>
                </c:pt>
                <c:pt idx="63">
                  <c:v>2.5960252616718678E-3</c:v>
                </c:pt>
                <c:pt idx="64">
                  <c:v>2.5679052590422196E-3</c:v>
                </c:pt>
                <c:pt idx="65">
                  <c:v>2.543890152504091E-3</c:v>
                </c:pt>
                <c:pt idx="66">
                  <c:v>2.5192888793093443E-3</c:v>
                </c:pt>
                <c:pt idx="67">
                  <c:v>2.4941006270131536E-3</c:v>
                </c:pt>
                <c:pt idx="68">
                  <c:v>2.4683246267856863E-3</c:v>
                </c:pt>
                <c:pt idx="69">
                  <c:v>2.441960155557065E-3</c:v>
                </c:pt>
                <c:pt idx="70">
                  <c:v>2.4150065381741128E-3</c:v>
                </c:pt>
                <c:pt idx="71">
                  <c:v>2.3879024701170351E-3</c:v>
                </c:pt>
                <c:pt idx="72">
                  <c:v>2.358673702229995E-3</c:v>
                </c:pt>
                <c:pt idx="73">
                  <c:v>2.327319794343904E-3</c:v>
                </c:pt>
                <c:pt idx="74">
                  <c:v>2.2938404038382993E-3</c:v>
                </c:pt>
                <c:pt idx="75">
                  <c:v>2.2582352934742683E-3</c:v>
                </c:pt>
                <c:pt idx="76">
                  <c:v>2.2205043392201531E-3</c:v>
                </c:pt>
                <c:pt idx="77">
                  <c:v>2.1806475380847065E-3</c:v>
                </c:pt>
                <c:pt idx="78">
                  <c:v>2.1386650869485908E-3</c:v>
                </c:pt>
                <c:pt idx="79">
                  <c:v>2.097092574303456E-3</c:v>
                </c:pt>
                <c:pt idx="80">
                  <c:v>2.0584900188979991E-3</c:v>
                </c:pt>
                <c:pt idx="81">
                  <c:v>2.0228563608369731E-3</c:v>
                </c:pt>
                <c:pt idx="82">
                  <c:v>1.9901905809957422E-3</c:v>
                </c:pt>
                <c:pt idx="83">
                  <c:v>1.9604916915163637E-3</c:v>
                </c:pt>
                <c:pt idx="84">
                  <c:v>1.9337587263102776E-3</c:v>
                </c:pt>
                <c:pt idx="85">
                  <c:v>1.9104445591404586E-3</c:v>
                </c:pt>
                <c:pt idx="86">
                  <c:v>1.8901091054481919E-3</c:v>
                </c:pt>
                <c:pt idx="87">
                  <c:v>1.872751401805705E-3</c:v>
                </c:pt>
                <c:pt idx="88">
                  <c:v>1.8583704677281093E-3</c:v>
                </c:pt>
                <c:pt idx="89">
                  <c:v>1.8469652961248986E-3</c:v>
                </c:pt>
                <c:pt idx="90">
                  <c:v>1.8385348437475917E-3</c:v>
                </c:pt>
                <c:pt idx="91">
                  <c:v>1.8330780216444045E-3</c:v>
                </c:pt>
                <c:pt idx="92">
                  <c:v>1.8305936856099411E-3</c:v>
                </c:pt>
                <c:pt idx="93">
                  <c:v>1.8291935968058933E-3</c:v>
                </c:pt>
                <c:pt idx="94">
                  <c:v>1.8263520787497485E-3</c:v>
                </c:pt>
                <c:pt idx="95">
                  <c:v>1.822068934146444E-3</c:v>
                </c:pt>
                <c:pt idx="96">
                  <c:v>1.8163440118951519E-3</c:v>
                </c:pt>
                <c:pt idx="97">
                  <c:v>1.8091772116951739E-3</c:v>
                </c:pt>
                <c:pt idx="98">
                  <c:v>1.8005684886356066E-3</c:v>
                </c:pt>
                <c:pt idx="99">
                  <c:v>1.7913023619709723E-3</c:v>
                </c:pt>
                <c:pt idx="100">
                  <c:v>1.7809253555473945E-3</c:v>
                </c:pt>
                <c:pt idx="101">
                  <c:v>1.76943748071798E-3</c:v>
                </c:pt>
                <c:pt idx="102">
                  <c:v>1.7568388074773586E-3</c:v>
                </c:pt>
                <c:pt idx="103">
                  <c:v>1.7431294679771589E-3</c:v>
                </c:pt>
                <c:pt idx="104">
                  <c:v>1.7283096600826959E-3</c:v>
                </c:pt>
                <c:pt idx="105">
                  <c:v>1.712379650891498E-3</c:v>
                </c:pt>
                <c:pt idx="106">
                  <c:v>1.6953397802729122E-3</c:v>
                </c:pt>
                <c:pt idx="107">
                  <c:v>1.6787164694417357E-3</c:v>
                </c:pt>
                <c:pt idx="108">
                  <c:v>1.6643928804209497E-3</c:v>
                </c:pt>
                <c:pt idx="109">
                  <c:v>1.6523676226606072E-3</c:v>
                </c:pt>
                <c:pt idx="110">
                  <c:v>1.6426438706404151E-3</c:v>
                </c:pt>
                <c:pt idx="111">
                  <c:v>1.6352247094484473E-3</c:v>
                </c:pt>
                <c:pt idx="112">
                  <c:v>1.6301084910832449E-3</c:v>
                </c:pt>
                <c:pt idx="113">
                  <c:v>1.6270237692361915E-3</c:v>
                </c:pt>
                <c:pt idx="114">
                  <c:v>1.6251864222042998E-3</c:v>
                </c:pt>
                <c:pt idx="115">
                  <c:v>1.6245953120390608E-3</c:v>
                </c:pt>
                <c:pt idx="116">
                  <c:v>1.6252492629403555E-3</c:v>
                </c:pt>
                <c:pt idx="117">
                  <c:v>1.6271470585255297E-3</c:v>
                </c:pt>
                <c:pt idx="118">
                  <c:v>1.6302874390820038E-3</c:v>
                </c:pt>
                <c:pt idx="119">
                  <c:v>1.6346690988245187E-3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1.5688928265804897E-3</c:v>
                </c:pt>
                <c:pt idx="226">
                  <c:v>1.5643050236445455E-3</c:v>
                </c:pt>
                <c:pt idx="227">
                  <c:v>1.5609312789233703E-3</c:v>
                </c:pt>
                <c:pt idx="228">
                  <c:v>1.5587710497662812E-3</c:v>
                </c:pt>
                <c:pt idx="229">
                  <c:v>1.5578238487553829E-3</c:v>
                </c:pt>
                <c:pt idx="230">
                  <c:v>1.5580892399753663E-3</c:v>
                </c:pt>
                <c:pt idx="231">
                  <c:v>1.5595668352885339E-3</c:v>
                </c:pt>
                <c:pt idx="232">
                  <c:v>1.5622562905764157E-3</c:v>
                </c:pt>
                <c:pt idx="233">
                  <c:v>1.5669076075831101E-3</c:v>
                </c:pt>
                <c:pt idx="234">
                  <c:v>1.5737792201135435E-3</c:v>
                </c:pt>
                <c:pt idx="235">
                  <c:v>1.5828723447238013E-3</c:v>
                </c:pt>
                <c:pt idx="236">
                  <c:v>1.5941888085459056E-3</c:v>
                </c:pt>
                <c:pt idx="237">
                  <c:v>1.6077295237666165E-3</c:v>
                </c:pt>
                <c:pt idx="238">
                  <c:v>1.6234955015714259E-3</c:v>
                </c:pt>
                <c:pt idx="239">
                  <c:v>1.6396834104333363E-3</c:v>
                </c:pt>
                <c:pt idx="240">
                  <c:v>1.6548321520747245E-3</c:v>
                </c:pt>
                <c:pt idx="241">
                  <c:v>1.6689420685475395E-3</c:v>
                </c:pt>
                <c:pt idx="242">
                  <c:v>1.6820134646237546E-3</c:v>
                </c:pt>
                <c:pt idx="243">
                  <c:v>1.6940466059510986E-3</c:v>
                </c:pt>
                <c:pt idx="244">
                  <c:v>1.7050417171994498E-3</c:v>
                </c:pt>
                <c:pt idx="245">
                  <c:v>1.7149989801892843E-3</c:v>
                </c:pt>
                <c:pt idx="246">
                  <c:v>1.7239185320170622E-3</c:v>
                </c:pt>
                <c:pt idx="247">
                  <c:v>1.7322346115926995E-3</c:v>
                </c:pt>
                <c:pt idx="248">
                  <c:v>1.739196046884643E-3</c:v>
                </c:pt>
                <c:pt idx="249">
                  <c:v>1.7448026861339241E-3</c:v>
                </c:pt>
                <c:pt idx="250">
                  <c:v>1.7490543084212071E-3</c:v>
                </c:pt>
                <c:pt idx="251">
                  <c:v>1.7519506212943313E-3</c:v>
                </c:pt>
                <c:pt idx="252">
                  <c:v>1.7534912583214077E-3</c:v>
                </c:pt>
                <c:pt idx="253">
                  <c:v>1.756095154699557E-3</c:v>
                </c:pt>
                <c:pt idx="254">
                  <c:v>1.7615717453299091E-3</c:v>
                </c:pt>
                <c:pt idx="255">
                  <c:v>1.7699232907006591E-3</c:v>
                </c:pt>
                <c:pt idx="256">
                  <c:v>1.7811522264729509E-3</c:v>
                </c:pt>
                <c:pt idx="257">
                  <c:v>1.795261168492516E-3</c:v>
                </c:pt>
                <c:pt idx="258">
                  <c:v>1.8122529178180682E-3</c:v>
                </c:pt>
                <c:pt idx="259">
                  <c:v>1.8321304657748835E-3</c:v>
                </c:pt>
                <c:pt idx="260">
                  <c:v>1.8548969989535874E-3</c:v>
                </c:pt>
                <c:pt idx="261">
                  <c:v>1.8809772224955199E-3</c:v>
                </c:pt>
                <c:pt idx="262">
                  <c:v>1.9099395066286429E-3</c:v>
                </c:pt>
                <c:pt idx="263">
                  <c:v>1.9417876553087844E-3</c:v>
                </c:pt>
                <c:pt idx="264">
                  <c:v>1.9765257820839313E-3</c:v>
                </c:pt>
                <c:pt idx="265">
                  <c:v>2.0141690203484453E-3</c:v>
                </c:pt>
                <c:pt idx="266">
                  <c:v>2.0547282009662667E-3</c:v>
                </c:pt>
                <c:pt idx="267">
                  <c:v>2.0957506478629265E-3</c:v>
                </c:pt>
                <c:pt idx="268">
                  <c:v>2.1348068529380986E-3</c:v>
                </c:pt>
                <c:pt idx="269">
                  <c:v>2.1718940928839273E-3</c:v>
                </c:pt>
                <c:pt idx="270">
                  <c:v>2.2070092757483007E-3</c:v>
                </c:pt>
                <c:pt idx="271">
                  <c:v>2.2401489632963281E-3</c:v>
                </c:pt>
                <c:pt idx="272">
                  <c:v>2.2713093934302606E-3</c:v>
                </c:pt>
                <c:pt idx="273">
                  <c:v>2.3004865025816877E-3</c:v>
                </c:pt>
                <c:pt idx="274">
                  <c:v>2.3276759481332294E-3</c:v>
                </c:pt>
                <c:pt idx="275">
                  <c:v>2.3547763836271329E-3</c:v>
                </c:pt>
                <c:pt idx="276">
                  <c:v>2.3813619340421898E-3</c:v>
                </c:pt>
                <c:pt idx="277">
                  <c:v>2.4074298190898129E-3</c:v>
                </c:pt>
                <c:pt idx="278">
                  <c:v>2.432977121393357E-3</c:v>
                </c:pt>
                <c:pt idx="279">
                  <c:v>2.4580007926411382E-3</c:v>
                </c:pt>
                <c:pt idx="280">
                  <c:v>2.48249765976232E-3</c:v>
                </c:pt>
                <c:pt idx="281">
                  <c:v>2.5110010276037827E-3</c:v>
                </c:pt>
                <c:pt idx="282">
                  <c:v>2.5459878632746948E-3</c:v>
                </c:pt>
                <c:pt idx="283">
                  <c:v>2.5874656719075714E-3</c:v>
                </c:pt>
                <c:pt idx="284">
                  <c:v>2.6354418491380022E-3</c:v>
                </c:pt>
                <c:pt idx="285">
                  <c:v>2.6899236105470022E-3</c:v>
                </c:pt>
                <c:pt idx="286">
                  <c:v>2.7509179211284702E-3</c:v>
                </c:pt>
                <c:pt idx="287">
                  <c:v>2.8184314247310018E-3</c:v>
                </c:pt>
                <c:pt idx="288">
                  <c:v>2.8924703735094628E-3</c:v>
                </c:pt>
                <c:pt idx="289">
                  <c:v>2.9717140142875523E-3</c:v>
                </c:pt>
                <c:pt idx="290">
                  <c:v>3.0542476775385127E-3</c:v>
                </c:pt>
                <c:pt idx="291">
                  <c:v>3.1400712556333712E-3</c:v>
                </c:pt>
                <c:pt idx="292">
                  <c:v>3.2291841376958889E-3</c:v>
                </c:pt>
                <c:pt idx="293">
                  <c:v>3.3215851744187266E-3</c:v>
                </c:pt>
                <c:pt idx="294">
                  <c:v>3.4172726428683179E-3</c:v>
                </c:pt>
                <c:pt idx="295">
                  <c:v>3.5268637352337639E-3</c:v>
                </c:pt>
                <c:pt idx="296">
                  <c:v>3.6458431305061664E-3</c:v>
                </c:pt>
                <c:pt idx="297">
                  <c:v>3.7742508753918123E-3</c:v>
                </c:pt>
                <c:pt idx="298">
                  <c:v>3.9120986639771581E-3</c:v>
                </c:pt>
                <c:pt idx="299">
                  <c:v>4.0593980308824204E-3</c:v>
                </c:pt>
                <c:pt idx="300">
                  <c:v>4.216160265427104E-3</c:v>
                </c:pt>
                <c:pt idx="301">
                  <c:v>4.3823963257838619E-3</c:v>
                </c:pt>
                <c:pt idx="302">
                  <c:v>4.5581167531413766E-3</c:v>
                </c:pt>
                <c:pt idx="303">
                  <c:v>4.7771741892702257E-3</c:v>
                </c:pt>
                <c:pt idx="304">
                  <c:v>5.0409624326341104E-3</c:v>
                </c:pt>
                <c:pt idx="305">
                  <c:v>5.349540432511333E-3</c:v>
                </c:pt>
                <c:pt idx="306">
                  <c:v>5.7029659277820629E-3</c:v>
                </c:pt>
                <c:pt idx="307">
                  <c:v>6.1012950372184285E-3</c:v>
                </c:pt>
                <c:pt idx="308">
                  <c:v>6.5445818497249925E-3</c:v>
                </c:pt>
                <c:pt idx="309">
                  <c:v>7.0744446784926675E-3</c:v>
                </c:pt>
                <c:pt idx="310">
                  <c:v>7.6802954629306237E-3</c:v>
                </c:pt>
                <c:pt idx="311">
                  <c:v>8.3622208211931674E-3</c:v>
                </c:pt>
                <c:pt idx="312">
                  <c:v>9.1203022446646898E-3</c:v>
                </c:pt>
                <c:pt idx="313">
                  <c:v>9.954615404785443E-3</c:v>
                </c:pt>
                <c:pt idx="314">
                  <c:v>1.0865229459798112E-2</c:v>
                </c:pt>
                <c:pt idx="315">
                  <c:v>1.1852206361616055E-2</c:v>
                </c:pt>
                <c:pt idx="316">
                  <c:v>1.2915600162536659E-2</c:v>
                </c:pt>
                <c:pt idx="317">
                  <c:v>1.4066924714153719E-2</c:v>
                </c:pt>
                <c:pt idx="318">
                  <c:v>1.5272161139393699E-2</c:v>
                </c:pt>
                <c:pt idx="319">
                  <c:v>1.6531310211274155E-2</c:v>
                </c:pt>
                <c:pt idx="320">
                  <c:v>1.7844363931939316E-2</c:v>
                </c:pt>
                <c:pt idx="321">
                  <c:v>1.9211305046142185E-2</c:v>
                </c:pt>
                <c:pt idx="322">
                  <c:v>2.0632106554834228E-2</c:v>
                </c:pt>
                <c:pt idx="323">
                  <c:v>2.2072335391254735E-2</c:v>
                </c:pt>
                <c:pt idx="324">
                  <c:v>2.3490106000717909E-2</c:v>
                </c:pt>
                <c:pt idx="325">
                  <c:v>2.4885298466198236E-2</c:v>
                </c:pt>
                <c:pt idx="326">
                  <c:v>2.6257626721046996E-2</c:v>
                </c:pt>
                <c:pt idx="327">
                  <c:v>2.7606883039948436E-2</c:v>
                </c:pt>
                <c:pt idx="328">
                  <c:v>2.8932995511750156E-2</c:v>
                </c:pt>
                <c:pt idx="329">
                  <c:v>3.0235907040182326E-2</c:v>
                </c:pt>
                <c:pt idx="330">
                  <c:v>3.1515574866430279E-2</c:v>
                </c:pt>
                <c:pt idx="331">
                  <c:v>3.2736272897280795E-2</c:v>
                </c:pt>
                <c:pt idx="332">
                  <c:v>3.3886463370419832E-2</c:v>
                </c:pt>
                <c:pt idx="333">
                  <c:v>3.4966133961973206E-2</c:v>
                </c:pt>
                <c:pt idx="334">
                  <c:v>3.5975288607454338E-2</c:v>
                </c:pt>
                <c:pt idx="335">
                  <c:v>3.6913946042895947E-2</c:v>
                </c:pt>
                <c:pt idx="336">
                  <c:v>3.778213834553356E-2</c:v>
                </c:pt>
                <c:pt idx="337">
                  <c:v>3.8561705244573884E-2</c:v>
                </c:pt>
                <c:pt idx="338">
                  <c:v>3.9287164796098277E-2</c:v>
                </c:pt>
                <c:pt idx="339">
                  <c:v>3.9958581791005525E-2</c:v>
                </c:pt>
                <c:pt idx="340">
                  <c:v>4.0576028169315E-2</c:v>
                </c:pt>
                <c:pt idx="341">
                  <c:v>4.113958189926737E-2</c:v>
                </c:pt>
                <c:pt idx="342">
                  <c:v>4.164932585640669E-2</c:v>
                </c:pt>
                <c:pt idx="343">
                  <c:v>4.2105346702162462E-2</c:v>
                </c:pt>
                <c:pt idx="344">
                  <c:v>4.2507733763074478E-2</c:v>
                </c:pt>
                <c:pt idx="345">
                  <c:v>4.2856577909583367E-2</c:v>
                </c:pt>
                <c:pt idx="346">
                  <c:v>4.3171841138535692E-2</c:v>
                </c:pt>
                <c:pt idx="347">
                  <c:v>4.3453618004310246E-2</c:v>
                </c:pt>
                <c:pt idx="348">
                  <c:v>4.3702002975659175E-2</c:v>
                </c:pt>
                <c:pt idx="349">
                  <c:v>4.3917089727345322E-2</c:v>
                </c:pt>
                <c:pt idx="350">
                  <c:v>4.4098970432801275E-2</c:v>
                </c:pt>
                <c:pt idx="351">
                  <c:v>4.4231876907725926E-2</c:v>
                </c:pt>
                <c:pt idx="352">
                  <c:v>4.4334110025900125E-2</c:v>
                </c:pt>
                <c:pt idx="353">
                  <c:v>4.4405753329258953E-2</c:v>
                </c:pt>
                <c:pt idx="354">
                  <c:v>4.4446886277535014E-2</c:v>
                </c:pt>
                <c:pt idx="355">
                  <c:v>4.4457583587078242E-2</c:v>
                </c:pt>
                <c:pt idx="356">
                  <c:v>4.4437945281092045E-2</c:v>
                </c:pt>
                <c:pt idx="357">
                  <c:v>4.4387935596371005E-2</c:v>
                </c:pt>
                <c:pt idx="358">
                  <c:v>4.4307406071867422E-2</c:v>
                </c:pt>
                <c:pt idx="359">
                  <c:v>4.4196203516857824E-2</c:v>
                </c:pt>
                <c:pt idx="360">
                  <c:v>4.4035907640996887E-2</c:v>
                </c:pt>
                <c:pt idx="361">
                  <c:v>4.3842239531809081E-2</c:v>
                </c:pt>
                <c:pt idx="362">
                  <c:v>4.361503265864336E-2</c:v>
                </c:pt>
                <c:pt idx="363">
                  <c:v>4.3354118971931137E-2</c:v>
                </c:pt>
                <c:pt idx="364">
                  <c:v>4.3059329778132899E-2</c:v>
                </c:pt>
                <c:pt idx="365">
                  <c:v>4.2730496614132495E-2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5.6827921824269059E-2</c:v>
                </c:pt>
                <c:pt idx="1">
                  <c:v>5.6367423982251197E-2</c:v>
                </c:pt>
                <c:pt idx="2">
                  <c:v>5.585345921214982E-2</c:v>
                </c:pt>
                <c:pt idx="3">
                  <c:v>5.5285800386370057E-2</c:v>
                </c:pt>
                <c:pt idx="4">
                  <c:v>5.466422506389057E-2</c:v>
                </c:pt>
                <c:pt idx="5">
                  <c:v>5.3988516850984318E-2</c:v>
                </c:pt>
                <c:pt idx="6">
                  <c:v>5.3258466762630532E-2</c:v>
                </c:pt>
                <c:pt idx="7">
                  <c:v>5.2473874582698456E-2</c:v>
                </c:pt>
                <c:pt idx="8">
                  <c:v>5.1634550224907941E-2</c:v>
                </c:pt>
                <c:pt idx="9">
                  <c:v>5.0688793092673365E-2</c:v>
                </c:pt>
                <c:pt idx="10">
                  <c:v>4.9654112082601204E-2</c:v>
                </c:pt>
                <c:pt idx="11">
                  <c:v>4.8530316173260722E-2</c:v>
                </c:pt>
                <c:pt idx="12">
                  <c:v>4.7317234382350748E-2</c:v>
                </c:pt>
                <c:pt idx="13">
                  <c:v>4.6014717986759796E-2</c:v>
                </c:pt>
                <c:pt idx="14">
                  <c:v>4.4622642741846755E-2</c:v>
                </c:pt>
                <c:pt idx="15">
                  <c:v>4.3134522323653092E-2</c:v>
                </c:pt>
                <c:pt idx="16">
                  <c:v>4.1586159784052307E-2</c:v>
                </c:pt>
                <c:pt idx="17">
                  <c:v>3.9977541240574163E-2</c:v>
                </c:pt>
                <c:pt idx="18">
                  <c:v>3.8308680110701501E-2</c:v>
                </c:pt>
                <c:pt idx="19">
                  <c:v>3.657982262201076E-2</c:v>
                </c:pt>
                <c:pt idx="20">
                  <c:v>3.4791292999112086E-2</c:v>
                </c:pt>
                <c:pt idx="21">
                  <c:v>3.2943243068730553E-2</c:v>
                </c:pt>
                <c:pt idx="22">
                  <c:v>3.103582415104468E-2</c:v>
                </c:pt>
                <c:pt idx="23">
                  <c:v>2.9117460509388817E-2</c:v>
                </c:pt>
                <c:pt idx="24">
                  <c:v>2.7240032575587967E-2</c:v>
                </c:pt>
                <c:pt idx="25">
                  <c:v>2.5403699868208712E-2</c:v>
                </c:pt>
                <c:pt idx="26">
                  <c:v>2.3608607657978918E-2</c:v>
                </c:pt>
                <c:pt idx="27">
                  <c:v>2.1854887491123447E-2</c:v>
                </c:pt>
                <c:pt idx="28">
                  <c:v>2.0142657713241849E-2</c:v>
                </c:pt>
                <c:pt idx="29">
                  <c:v>1.8526475496470983E-2</c:v>
                </c:pt>
                <c:pt idx="30">
                  <c:v>1.7012829939934943E-2</c:v>
                </c:pt>
                <c:pt idx="31">
                  <c:v>1.560179444555887E-2</c:v>
                </c:pt>
                <c:pt idx="32">
                  <c:v>1.4293427580924091E-2</c:v>
                </c:pt>
                <c:pt idx="33">
                  <c:v>1.3087774363555342E-2</c:v>
                </c:pt>
                <c:pt idx="34">
                  <c:v>1.1984867545275644E-2</c:v>
                </c:pt>
                <c:pt idx="35">
                  <c:v>1.0984728896533749E-2</c:v>
                </c:pt>
                <c:pt idx="36">
                  <c:v>1.0087370490702208E-2</c:v>
                </c:pt>
                <c:pt idx="37">
                  <c:v>9.313789878092997E-3</c:v>
                </c:pt>
                <c:pt idx="38">
                  <c:v>8.615721288604208E-3</c:v>
                </c:pt>
                <c:pt idx="39">
                  <c:v>7.9931624888735908E-3</c:v>
                </c:pt>
                <c:pt idx="40">
                  <c:v>7.4461069470731743E-3</c:v>
                </c:pt>
                <c:pt idx="41">
                  <c:v>6.9745447762424671E-3</c:v>
                </c:pt>
                <c:pt idx="42">
                  <c:v>6.5784636775577726E-3</c:v>
                </c:pt>
                <c:pt idx="43">
                  <c:v>6.2566357209649552E-3</c:v>
                </c:pt>
                <c:pt idx="44">
                  <c:v>5.9546532833290571E-3</c:v>
                </c:pt>
                <c:pt idx="45">
                  <c:v>5.6725150246645078E-3</c:v>
                </c:pt>
                <c:pt idx="46">
                  <c:v>5.4102187739886801E-3</c:v>
                </c:pt>
                <c:pt idx="47">
                  <c:v>5.1677617767414055E-3</c:v>
                </c:pt>
                <c:pt idx="48">
                  <c:v>4.945140942128912E-3</c:v>
                </c:pt>
                <c:pt idx="49">
                  <c:v>4.7423530905187049E-3</c:v>
                </c:pt>
                <c:pt idx="50">
                  <c:v>4.5593952008022697E-3</c:v>
                </c:pt>
                <c:pt idx="51">
                  <c:v>4.4016629709729103E-3</c:v>
                </c:pt>
                <c:pt idx="52">
                  <c:v>4.2481571542270077E-3</c:v>
                </c:pt>
                <c:pt idx="53">
                  <c:v>4.0988518649980937E-3</c:v>
                </c:pt>
                <c:pt idx="54">
                  <c:v>3.953744121067547E-3</c:v>
                </c:pt>
                <c:pt idx="55">
                  <c:v>3.8128312301598313E-3</c:v>
                </c:pt>
                <c:pt idx="56">
                  <c:v>3.6761107744596065E-3</c:v>
                </c:pt>
                <c:pt idx="57">
                  <c:v>3.5475872108851553E-3</c:v>
                </c:pt>
                <c:pt idx="58">
                  <c:v>3.4284723271339641E-3</c:v>
                </c:pt>
                <c:pt idx="59">
                  <c:v>3.3187645472021235E-3</c:v>
                </c:pt>
                <c:pt idx="60">
                  <c:v>3.2184625221374982E-3</c:v>
                </c:pt>
                <c:pt idx="61">
                  <c:v>3.1275650952463725E-3</c:v>
                </c:pt>
                <c:pt idx="62">
                  <c:v>3.0460712672953603E-3</c:v>
                </c:pt>
                <c:pt idx="63">
                  <c:v>2.9739801617227907E-3</c:v>
                </c:pt>
                <c:pt idx="64">
                  <c:v>2.9112909898376706E-3</c:v>
                </c:pt>
                <c:pt idx="65">
                  <c:v>2.8565247699854838E-3</c:v>
                </c:pt>
                <c:pt idx="66">
                  <c:v>2.8042822254088469E-3</c:v>
                </c:pt>
                <c:pt idx="67">
                  <c:v>2.7545626063894798E-3</c:v>
                </c:pt>
                <c:pt idx="68">
                  <c:v>2.7073652092788839E-3</c:v>
                </c:pt>
                <c:pt idx="69">
                  <c:v>2.6626893671350795E-3</c:v>
                </c:pt>
                <c:pt idx="70">
                  <c:v>2.6205344403724593E-3</c:v>
                </c:pt>
                <c:pt idx="71">
                  <c:v>2.5813426697686419E-3</c:v>
                </c:pt>
                <c:pt idx="72">
                  <c:v>2.5411067336152905E-3</c:v>
                </c:pt>
                <c:pt idx="73">
                  <c:v>2.4998262073786313E-3</c:v>
                </c:pt>
                <c:pt idx="74">
                  <c:v>2.4575007525987741E-3</c:v>
                </c:pt>
                <c:pt idx="75">
                  <c:v>2.4141301207237895E-3</c:v>
                </c:pt>
                <c:pt idx="76">
                  <c:v>2.3697141569360338E-3</c:v>
                </c:pt>
                <c:pt idx="77">
                  <c:v>2.3242528039864509E-3</c:v>
                </c:pt>
                <c:pt idx="78">
                  <c:v>2.277746181644343E-3</c:v>
                </c:pt>
                <c:pt idx="79">
                  <c:v>2.2325957612663741E-3</c:v>
                </c:pt>
                <c:pt idx="80">
                  <c:v>2.1902846368851521E-3</c:v>
                </c:pt>
                <c:pt idx="81">
                  <c:v>2.1508117266811426E-3</c:v>
                </c:pt>
                <c:pt idx="82">
                  <c:v>2.1141759947279409E-3</c:v>
                </c:pt>
                <c:pt idx="83">
                  <c:v>2.0803764419078628E-3</c:v>
                </c:pt>
                <c:pt idx="84">
                  <c:v>2.0494120968345686E-3</c:v>
                </c:pt>
                <c:pt idx="85">
                  <c:v>2.0216933688638203E-3</c:v>
                </c:pt>
                <c:pt idx="86">
                  <c:v>1.9967766485113718E-3</c:v>
                </c:pt>
                <c:pt idx="87">
                  <c:v>1.9746609955245999E-3</c:v>
                </c:pt>
                <c:pt idx="88">
                  <c:v>1.9553454610109918E-3</c:v>
                </c:pt>
                <c:pt idx="89">
                  <c:v>1.9388290784567415E-3</c:v>
                </c:pt>
                <c:pt idx="90">
                  <c:v>1.9251108547412876E-3</c:v>
                </c:pt>
                <c:pt idx="91">
                  <c:v>1.9141897611592452E-3</c:v>
                </c:pt>
                <c:pt idx="92">
                  <c:v>1.9060647244370831E-3</c:v>
                </c:pt>
                <c:pt idx="93">
                  <c:v>1.8989840798688544E-3</c:v>
                </c:pt>
                <c:pt idx="94">
                  <c:v>1.8905566282726581E-3</c:v>
                </c:pt>
                <c:pt idx="95">
                  <c:v>1.8807822066025329E-3</c:v>
                </c:pt>
                <c:pt idx="96">
                  <c:v>1.8696607023584997E-3</c:v>
                </c:pt>
                <c:pt idx="97">
                  <c:v>1.8571920578912982E-3</c:v>
                </c:pt>
                <c:pt idx="98">
                  <c:v>1.8433762746903355E-3</c:v>
                </c:pt>
                <c:pt idx="99">
                  <c:v>1.8291841840142235E-3</c:v>
                </c:pt>
                <c:pt idx="100">
                  <c:v>1.8142047127853904E-3</c:v>
                </c:pt>
                <c:pt idx="101">
                  <c:v>1.7984378405017467E-3</c:v>
                </c:pt>
                <c:pt idx="102">
                  <c:v>1.7818835978489771E-3</c:v>
                </c:pt>
                <c:pt idx="103">
                  <c:v>1.7645420691806634E-3</c:v>
                </c:pt>
                <c:pt idx="104">
                  <c:v>1.7464133950402636E-3</c:v>
                </c:pt>
                <c:pt idx="105">
                  <c:v>1.7274977746443224E-3</c:v>
                </c:pt>
                <c:pt idx="106">
                  <c:v>1.7077954683870815E-3</c:v>
                </c:pt>
                <c:pt idx="107">
                  <c:v>1.6889142005641431E-3</c:v>
                </c:pt>
                <c:pt idx="108">
                  <c:v>1.6726007481338719E-3</c:v>
                </c:pt>
                <c:pt idx="109">
                  <c:v>1.6588536287972704E-3</c:v>
                </c:pt>
                <c:pt idx="110">
                  <c:v>1.6476759269669035E-3</c:v>
                </c:pt>
                <c:pt idx="111">
                  <c:v>1.6390706109148084E-3</c:v>
                </c:pt>
                <c:pt idx="112">
                  <c:v>1.6330358870726672E-3</c:v>
                </c:pt>
                <c:pt idx="113">
                  <c:v>1.6293001573163197E-3</c:v>
                </c:pt>
                <c:pt idx="114">
                  <c:v>1.6268933482821222E-3</c:v>
                </c:pt>
                <c:pt idx="115">
                  <c:v>1.6258142779964854E-3</c:v>
                </c:pt>
                <c:pt idx="116">
                  <c:v>1.62606172459489E-3</c:v>
                </c:pt>
                <c:pt idx="117">
                  <c:v>1.6276344234132216E-3</c:v>
                </c:pt>
                <c:pt idx="118">
                  <c:v>1.6305310640626187E-3</c:v>
                </c:pt>
                <c:pt idx="119">
                  <c:v>1.634750287508966E-3</c:v>
                </c:pt>
                <c:pt idx="120">
                  <c:v>1.6402906831497473E-3</c:v>
                </c:pt>
                <c:pt idx="121">
                  <c:v>1.648405253050773E-3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1.6785610234227202E-3</c:v>
                </c:pt>
                <c:pt idx="125">
                  <c:v>1.6905457046022298E-3</c:v>
                </c:pt>
                <c:pt idx="126">
                  <c:v>1.703494336498748E-3</c:v>
                </c:pt>
                <c:pt idx="127">
                  <c:v>1.7164891770370021E-3</c:v>
                </c:pt>
                <c:pt idx="128">
                  <c:v>1.7297981756858834E-3</c:v>
                </c:pt>
                <c:pt idx="129">
                  <c:v>1.7434203084099034E-3</c:v>
                </c:pt>
                <c:pt idx="130">
                  <c:v>1.7573545223177394E-3</c:v>
                </c:pt>
                <c:pt idx="131">
                  <c:v>1.7715997349066156E-3</c:v>
                </c:pt>
                <c:pt idx="132">
                  <c:v>1.7861548333230172E-3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1.8370717638415018E-3</c:v>
                </c:pt>
                <c:pt idx="137">
                  <c:v>1.8415395823417789E-3</c:v>
                </c:pt>
                <c:pt idx="138">
                  <c:v>1.8420307262733541E-3</c:v>
                </c:pt>
                <c:pt idx="139">
                  <c:v>1.8385494991408685E-3</c:v>
                </c:pt>
                <c:pt idx="140">
                  <c:v>1.8311004530456004E-3</c:v>
                </c:pt>
                <c:pt idx="141">
                  <c:v>1.8204964272176142E-3</c:v>
                </c:pt>
                <c:pt idx="142">
                  <c:v>1.8076425774788533E-3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1.7096856251768862E-3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1.6305679582467288E-3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1.5657678415056339E-3</c:v>
                </c:pt>
                <c:pt idx="154">
                  <c:v>1.5480193095918997E-3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1.4884594851640519E-3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1.4420844359101918E-3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1.4168269641249161E-3</c:v>
                </c:pt>
                <c:pt idx="166">
                  <c:v>1.4092431157080379E-3</c:v>
                </c:pt>
                <c:pt idx="167">
                  <c:v>1.4020786086699614E-3</c:v>
                </c:pt>
                <c:pt idx="168">
                  <c:v>1.3953344379903606E-3</c:v>
                </c:pt>
                <c:pt idx="169">
                  <c:v>1.3897039062771475E-3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1.3812724703610676E-3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1.3895233787006547E-3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1.4447432781675399E-3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1.5039072842542018E-3</c:v>
                </c:pt>
                <c:pt idx="190">
                  <c:v>1.5181278173925588E-3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1.5711651092595604E-3</c:v>
                </c:pt>
                <c:pt idx="194">
                  <c:v>1.5925941585806847E-3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1.6651752521072405E-3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1.7797375336453202E-3</c:v>
                </c:pt>
                <c:pt idx="206">
                  <c:v>1.781988203230231E-3</c:v>
                </c:pt>
                <c:pt idx="207">
                  <c:v>1.780438049723782E-3</c:v>
                </c:pt>
                <c:pt idx="208">
                  <c:v>1.7750888087607847E-3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1.6650127969371118E-3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1.5920999383566407E-3</c:v>
                </c:pt>
                <c:pt idx="223">
                  <c:v>1.5829177062707577E-3</c:v>
                </c:pt>
                <c:pt idx="224">
                  <c:v>1.5746952893697691E-3</c:v>
                </c:pt>
                <c:pt idx="225">
                  <c:v>1.5689707483719521E-3</c:v>
                </c:pt>
                <c:pt idx="226">
                  <c:v>1.5645387884224153E-3</c:v>
                </c:pt>
                <c:pt idx="227">
                  <c:v>1.5613988107874761E-3</c:v>
                </c:pt>
                <c:pt idx="228">
                  <c:v>1.5595502789805388E-3</c:v>
                </c:pt>
                <c:pt idx="229">
                  <c:v>1.5589927147647976E-3</c:v>
                </c:pt>
                <c:pt idx="230">
                  <c:v>1.5597256941808366E-3</c:v>
                </c:pt>
                <c:pt idx="231">
                  <c:v>1.5617488435794641E-3</c:v>
                </c:pt>
                <c:pt idx="232">
                  <c:v>1.5650618356211163E-3</c:v>
                </c:pt>
                <c:pt idx="233">
                  <c:v>1.5705928333694112E-3</c:v>
                </c:pt>
                <c:pt idx="234">
                  <c:v>1.5786003172622402E-3</c:v>
                </c:pt>
                <c:pt idx="235">
                  <c:v>1.5890855624125515E-3</c:v>
                </c:pt>
                <c:pt idx="236">
                  <c:v>1.6020504684964435E-3</c:v>
                </c:pt>
                <c:pt idx="237">
                  <c:v>1.6174960291291216E-3</c:v>
                </c:pt>
                <c:pt idx="238">
                  <c:v>1.6354233486364405E-3</c:v>
                </c:pt>
                <c:pt idx="239">
                  <c:v>1.6541597192947961E-3</c:v>
                </c:pt>
                <c:pt idx="240">
                  <c:v>1.6721662232613592E-3</c:v>
                </c:pt>
                <c:pt idx="241">
                  <c:v>1.6894433517867192E-3</c:v>
                </c:pt>
                <c:pt idx="242">
                  <c:v>1.7059915748774946E-3</c:v>
                </c:pt>
                <c:pt idx="243">
                  <c:v>1.7218113399970372E-3</c:v>
                </c:pt>
                <c:pt idx="244">
                  <c:v>1.7369030707568116E-3</c:v>
                </c:pt>
                <c:pt idx="245">
                  <c:v>1.751267165589545E-3</c:v>
                </c:pt>
                <c:pt idx="246">
                  <c:v>1.7649039964190796E-3</c:v>
                </c:pt>
                <c:pt idx="247">
                  <c:v>1.7782074316755345E-3</c:v>
                </c:pt>
                <c:pt idx="248">
                  <c:v>1.7902481475217218E-3</c:v>
                </c:pt>
                <c:pt idx="249">
                  <c:v>1.8010261766798989E-3</c:v>
                </c:pt>
                <c:pt idx="250">
                  <c:v>1.8105414911336239E-3</c:v>
                </c:pt>
                <c:pt idx="251">
                  <c:v>1.8187939999154304E-3</c:v>
                </c:pt>
                <c:pt idx="252">
                  <c:v>1.825783546817822E-3</c:v>
                </c:pt>
                <c:pt idx="253">
                  <c:v>1.8338004847888267E-3</c:v>
                </c:pt>
                <c:pt idx="254">
                  <c:v>1.8445235889180331E-3</c:v>
                </c:pt>
                <c:pt idx="255">
                  <c:v>1.8579551818586127E-3</c:v>
                </c:pt>
                <c:pt idx="256">
                  <c:v>1.8740977549332519E-3</c:v>
                </c:pt>
                <c:pt idx="257">
                  <c:v>1.8929539728465669E-3</c:v>
                </c:pt>
                <c:pt idx="258">
                  <c:v>1.9145266784150227E-3</c:v>
                </c:pt>
                <c:pt idx="259">
                  <c:v>1.9388188973235416E-3</c:v>
                </c:pt>
                <c:pt idx="260">
                  <c:v>1.9658338428243331E-3</c:v>
                </c:pt>
                <c:pt idx="261">
                  <c:v>1.9959996353865203E-3</c:v>
                </c:pt>
                <c:pt idx="262">
                  <c:v>2.0289254179248085E-3</c:v>
                </c:pt>
                <c:pt idx="263">
                  <c:v>2.0646150367467451E-3</c:v>
                </c:pt>
                <c:pt idx="264">
                  <c:v>2.1030726479905068E-3</c:v>
                </c:pt>
                <c:pt idx="265">
                  <c:v>2.1443141196556821E-3</c:v>
                </c:pt>
                <c:pt idx="266">
                  <c:v>2.1883507345909024E-3</c:v>
                </c:pt>
                <c:pt idx="267">
                  <c:v>2.2337650788032183E-3</c:v>
                </c:pt>
                <c:pt idx="268">
                  <c:v>2.2782581111767449E-3</c:v>
                </c:pt>
                <c:pt idx="269">
                  <c:v>2.3218284488798801E-3</c:v>
                </c:pt>
                <c:pt idx="270">
                  <c:v>2.364474418999841E-3</c:v>
                </c:pt>
                <c:pt idx="271">
                  <c:v>2.4061940694570191E-3</c:v>
                </c:pt>
                <c:pt idx="272">
                  <c:v>2.4469851799816694E-3</c:v>
                </c:pt>
                <c:pt idx="273">
                  <c:v>2.4868452730608765E-3</c:v>
                </c:pt>
                <c:pt idx="274">
                  <c:v>2.5257716249172234E-3</c:v>
                </c:pt>
                <c:pt idx="275">
                  <c:v>2.5676250385970895E-3</c:v>
                </c:pt>
                <c:pt idx="276">
                  <c:v>2.6119807666152191E-3</c:v>
                </c:pt>
                <c:pt idx="277">
                  <c:v>2.6588406599750295E-3</c:v>
                </c:pt>
                <c:pt idx="278">
                  <c:v>2.7082064912778928E-3</c:v>
                </c:pt>
                <c:pt idx="279">
                  <c:v>2.7600799279449521E-3</c:v>
                </c:pt>
                <c:pt idx="280">
                  <c:v>2.814462505464388E-3</c:v>
                </c:pt>
                <c:pt idx="281">
                  <c:v>2.8765772631002577E-3</c:v>
                </c:pt>
                <c:pt idx="282">
                  <c:v>2.9478641262562343E-3</c:v>
                </c:pt>
                <c:pt idx="283">
                  <c:v>3.028334531946938E-3</c:v>
                </c:pt>
                <c:pt idx="284">
                  <c:v>3.1179996652598626E-3</c:v>
                </c:pt>
                <c:pt idx="285">
                  <c:v>3.216870359774234E-3</c:v>
                </c:pt>
                <c:pt idx="286">
                  <c:v>3.3249569980095765E-3</c:v>
                </c:pt>
                <c:pt idx="287">
                  <c:v>3.4422694118442119E-3</c:v>
                </c:pt>
                <c:pt idx="288">
                  <c:v>3.5688167829451114E-3</c:v>
                </c:pt>
                <c:pt idx="289">
                  <c:v>3.703428740492302E-3</c:v>
                </c:pt>
                <c:pt idx="290">
                  <c:v>3.8422175256351068E-3</c:v>
                </c:pt>
                <c:pt idx="291">
                  <c:v>3.9851823088991063E-3</c:v>
                </c:pt>
                <c:pt idx="292">
                  <c:v>4.132321475172368E-3</c:v>
                </c:pt>
                <c:pt idx="293">
                  <c:v>4.2836325794158095E-3</c:v>
                </c:pt>
                <c:pt idx="294">
                  <c:v>4.4391123023595595E-3</c:v>
                </c:pt>
                <c:pt idx="295">
                  <c:v>4.6191870628980915E-3</c:v>
                </c:pt>
                <c:pt idx="296">
                  <c:v>4.8186762462622025E-3</c:v>
                </c:pt>
                <c:pt idx="297">
                  <c:v>5.0376424842229527E-3</c:v>
                </c:pt>
                <c:pt idx="298">
                  <c:v>5.2761116903494061E-3</c:v>
                </c:pt>
                <c:pt idx="299">
                  <c:v>5.5341096171668772E-3</c:v>
                </c:pt>
                <c:pt idx="300">
                  <c:v>5.8116616782883882E-3</c:v>
                </c:pt>
                <c:pt idx="301">
                  <c:v>6.1087927705304676E-3</c:v>
                </c:pt>
                <c:pt idx="302">
                  <c:v>6.425527096041217E-3</c:v>
                </c:pt>
                <c:pt idx="303">
                  <c:v>6.815051160503606E-3</c:v>
                </c:pt>
                <c:pt idx="304">
                  <c:v>7.2786504306604945E-3</c:v>
                </c:pt>
                <c:pt idx="305">
                  <c:v>7.8164234745645364E-3</c:v>
                </c:pt>
                <c:pt idx="306">
                  <c:v>8.4284667555372221E-3</c:v>
                </c:pt>
                <c:pt idx="307">
                  <c:v>9.114873953914731E-3</c:v>
                </c:pt>
                <c:pt idx="308">
                  <c:v>9.8757352887200358E-3</c:v>
                </c:pt>
                <c:pt idx="309">
                  <c:v>1.0758411138982344E-2</c:v>
                </c:pt>
                <c:pt idx="310">
                  <c:v>1.1742473627878697E-2</c:v>
                </c:pt>
                <c:pt idx="311">
                  <c:v>1.282803384529735E-2</c:v>
                </c:pt>
                <c:pt idx="312">
                  <c:v>1.4015195403955209E-2</c:v>
                </c:pt>
                <c:pt idx="313">
                  <c:v>1.5304053515956394E-2</c:v>
                </c:pt>
                <c:pt idx="314">
                  <c:v>1.6694694069229438E-2</c:v>
                </c:pt>
                <c:pt idx="315">
                  <c:v>1.8187192704151388E-2</c:v>
                </c:pt>
                <c:pt idx="316">
                  <c:v>1.9781613889933894E-2</c:v>
                </c:pt>
                <c:pt idx="317">
                  <c:v>2.1471722621471061E-2</c:v>
                </c:pt>
                <c:pt idx="318">
                  <c:v>2.3204033512180127E-2</c:v>
                </c:pt>
                <c:pt idx="319">
                  <c:v>2.4978506165813069E-2</c:v>
                </c:pt>
                <c:pt idx="320">
                  <c:v>2.6795090488334387E-2</c:v>
                </c:pt>
                <c:pt idx="321">
                  <c:v>2.8653726311475489E-2</c:v>
                </c:pt>
                <c:pt idx="322">
                  <c:v>3.0554343016446738E-2</c:v>
                </c:pt>
                <c:pt idx="323">
                  <c:v>3.2445933568493547E-2</c:v>
                </c:pt>
                <c:pt idx="324">
                  <c:v>3.428081270797162E-2</c:v>
                </c:pt>
                <c:pt idx="325">
                  <c:v>3.6058797816763175E-2</c:v>
                </c:pt>
                <c:pt idx="326">
                  <c:v>3.7779470822602225E-2</c:v>
                </c:pt>
                <c:pt idx="327">
                  <c:v>3.9442535976517312E-2</c:v>
                </c:pt>
                <c:pt idx="328">
                  <c:v>4.1047897452645046E-2</c:v>
                </c:pt>
                <c:pt idx="329">
                  <c:v>4.2595482269337029E-2</c:v>
                </c:pt>
                <c:pt idx="330">
                  <c:v>4.4085239096549517E-2</c:v>
                </c:pt>
                <c:pt idx="331">
                  <c:v>4.5481709483360867E-2</c:v>
                </c:pt>
                <c:pt idx="332">
                  <c:v>4.6791182587947837E-2</c:v>
                </c:pt>
                <c:pt idx="333">
                  <c:v>4.8013659560423722E-2</c:v>
                </c:pt>
                <c:pt idx="334">
                  <c:v>4.9149160684564729E-2</c:v>
                </c:pt>
                <c:pt idx="335">
                  <c:v>5.019772358027004E-2</c:v>
                </c:pt>
                <c:pt idx="336">
                  <c:v>5.115940140540394E-2</c:v>
                </c:pt>
                <c:pt idx="337">
                  <c:v>5.2016697685890997E-2</c:v>
                </c:pt>
                <c:pt idx="338">
                  <c:v>5.2820718107830573E-2</c:v>
                </c:pt>
                <c:pt idx="339">
                  <c:v>5.3571554379934175E-2</c:v>
                </c:pt>
                <c:pt idx="340">
                  <c:v>5.4269305991120856E-2</c:v>
                </c:pt>
                <c:pt idx="341">
                  <c:v>5.4914079108604519E-2</c:v>
                </c:pt>
                <c:pt idx="342">
                  <c:v>5.5505985475953479E-2</c:v>
                </c:pt>
                <c:pt idx="343">
                  <c:v>5.6045141310483389E-2</c:v>
                </c:pt>
                <c:pt idx="344">
                  <c:v>5.6531666201508769E-2</c:v>
                </c:pt>
                <c:pt idx="345">
                  <c:v>5.6965682008014759E-2</c:v>
                </c:pt>
                <c:pt idx="346">
                  <c:v>5.7361018578087994E-2</c:v>
                </c:pt>
                <c:pt idx="347">
                  <c:v>5.7717801734878796E-2</c:v>
                </c:pt>
                <c:pt idx="348">
                  <c:v>5.8036157460871547E-2</c:v>
                </c:pt>
                <c:pt idx="349">
                  <c:v>5.8316211080207556E-2</c:v>
                </c:pt>
                <c:pt idx="350">
                  <c:v>5.8558086442364793E-2</c:v>
                </c:pt>
                <c:pt idx="351">
                  <c:v>5.8740149931079823E-2</c:v>
                </c:pt>
                <c:pt idx="352">
                  <c:v>5.8880089530546804E-2</c:v>
                </c:pt>
                <c:pt idx="353">
                  <c:v>5.8978015818373065E-2</c:v>
                </c:pt>
                <c:pt idx="354">
                  <c:v>5.9034033771906455E-2</c:v>
                </c:pt>
                <c:pt idx="355">
                  <c:v>5.9048241861285308E-2</c:v>
                </c:pt>
                <c:pt idx="356">
                  <c:v>5.9020771932211696E-2</c:v>
                </c:pt>
                <c:pt idx="357">
                  <c:v>5.8951575219703671E-2</c:v>
                </c:pt>
                <c:pt idx="358">
                  <c:v>5.8840453032282053E-2</c:v>
                </c:pt>
                <c:pt idx="359">
                  <c:v>5.8687200190040992E-2</c:v>
                </c:pt>
                <c:pt idx="360">
                  <c:v>5.8473985891235161E-2</c:v>
                </c:pt>
                <c:pt idx="361">
                  <c:v>5.8222391278553075E-2</c:v>
                </c:pt>
                <c:pt idx="362">
                  <c:v>5.793220273170667E-2</c:v>
                </c:pt>
                <c:pt idx="363">
                  <c:v>5.7603205195846954E-2</c:v>
                </c:pt>
                <c:pt idx="364">
                  <c:v>5.7235183191583133E-2</c:v>
                </c:pt>
                <c:pt idx="365">
                  <c:v>5.6827921824269059E-2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497424"/>
        <c:axId val="197497808"/>
      </c:lineChart>
      <c:dateAx>
        <c:axId val="197497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7497808"/>
        <c:crosses val="autoZero"/>
        <c:auto val="1"/>
        <c:lblOffset val="100"/>
        <c:baseTimeUnit val="days"/>
      </c:dateAx>
      <c:valAx>
        <c:axId val="1974978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74974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323296"/>
        <c:axId val="182818768"/>
      </c:scatterChart>
      <c:valAx>
        <c:axId val="196323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2818768"/>
        <c:crosses val="autoZero"/>
        <c:crossBetween val="midCat"/>
      </c:valAx>
      <c:valAx>
        <c:axId val="18281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632329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28.690966248897645</c:v>
                </c:pt>
                <c:pt idx="1">
                  <c:v>28.842511354296885</c:v>
                </c:pt>
                <c:pt idx="2">
                  <c:v>29.00385078995906</c:v>
                </c:pt>
                <c:pt idx="3">
                  <c:v>29.17471926858456</c:v>
                </c:pt>
                <c:pt idx="4">
                  <c:v>29.354851504184051</c:v>
                </c:pt>
                <c:pt idx="5">
                  <c:v>29.543982210331432</c:v>
                </c:pt>
                <c:pt idx="6">
                  <c:v>29.74184609877652</c:v>
                </c:pt>
                <c:pt idx="7">
                  <c:v>29.94817788211693</c:v>
                </c:pt>
                <c:pt idx="8">
                  <c:v>30.164598913815702</c:v>
                </c:pt>
                <c:pt idx="9">
                  <c:v>30.392484812641957</c:v>
                </c:pt>
                <c:pt idx="10">
                  <c:v>30.631201701100313</c:v>
                </c:pt>
                <c:pt idx="11">
                  <c:v>30.880115698923909</c:v>
                </c:pt>
                <c:pt idx="12">
                  <c:v>31.138592926333914</c:v>
                </c:pt>
                <c:pt idx="13">
                  <c:v>31.405999506731735</c:v>
                </c:pt>
                <c:pt idx="14">
                  <c:v>31.681701556927173</c:v>
                </c:pt>
                <c:pt idx="15">
                  <c:v>31.965065200427738</c:v>
                </c:pt>
                <c:pt idx="16">
                  <c:v>32.255456554299116</c:v>
                </c:pt>
                <c:pt idx="17">
                  <c:v>32.552241743634013</c:v>
                </c:pt>
                <c:pt idx="18">
                  <c:v>32.854786886783259</c:v>
                </c:pt>
                <c:pt idx="19">
                  <c:v>33.162458102917526</c:v>
                </c:pt>
                <c:pt idx="20">
                  <c:v>33.47462151513534</c:v>
                </c:pt>
                <c:pt idx="21">
                  <c:v>33.790643243538213</c:v>
                </c:pt>
                <c:pt idx="22">
                  <c:v>34.112619164053882</c:v>
                </c:pt>
                <c:pt idx="23">
                  <c:v>34.442580340170693</c:v>
                </c:pt>
                <c:pt idx="24">
                  <c:v>34.779795667532433</c:v>
                </c:pt>
                <c:pt idx="25">
                  <c:v>35.12353404590727</c:v>
                </c:pt>
                <c:pt idx="26">
                  <c:v>35.473064373174154</c:v>
                </c:pt>
                <c:pt idx="27">
                  <c:v>35.827655545695279</c:v>
                </c:pt>
                <c:pt idx="28">
                  <c:v>36.186576462374063</c:v>
                </c:pt>
                <c:pt idx="29">
                  <c:v>36.549096021754664</c:v>
                </c:pt>
                <c:pt idx="30">
                  <c:v>36.914483119575635</c:v>
                </c:pt>
                <c:pt idx="31">
                  <c:v>37.28200665659471</c:v>
                </c:pt>
                <c:pt idx="32">
                  <c:v>37.650935527915138</c:v>
                </c:pt>
                <c:pt idx="33">
                  <c:v>38.020538632930922</c:v>
                </c:pt>
                <c:pt idx="34">
                  <c:v>38.390084869989991</c:v>
                </c:pt>
                <c:pt idx="35">
                  <c:v>38.758843135391359</c:v>
                </c:pt>
                <c:pt idx="36">
                  <c:v>39.128827899072455</c:v>
                </c:pt>
                <c:pt idx="37">
                  <c:v>39.502189717302102</c:v>
                </c:pt>
                <c:pt idx="38">
                  <c:v>39.878401621081863</c:v>
                </c:pt>
                <c:pt idx="39">
                  <c:v>40.256936641237033</c:v>
                </c:pt>
                <c:pt idx="40">
                  <c:v>40.637267808700976</c:v>
                </c:pt>
                <c:pt idx="41">
                  <c:v>41.018868153509018</c:v>
                </c:pt>
                <c:pt idx="42">
                  <c:v>41.401210707158313</c:v>
                </c:pt>
                <c:pt idx="43">
                  <c:v>41.783768499958597</c:v>
                </c:pt>
                <c:pt idx="44">
                  <c:v>42.166014562429126</c:v>
                </c:pt>
                <c:pt idx="45">
                  <c:v>42.547421925787674</c:v>
                </c:pt>
                <c:pt idx="46">
                  <c:v>42.927463620367263</c:v>
                </c:pt>
                <c:pt idx="47">
                  <c:v>43.305612677136168</c:v>
                </c:pt>
                <c:pt idx="48">
                  <c:v>43.68134212680161</c:v>
                </c:pt>
                <c:pt idx="49">
                  <c:v>44.054125000024214</c:v>
                </c:pt>
                <c:pt idx="50">
                  <c:v>44.425827663933987</c:v>
                </c:pt>
                <c:pt idx="51">
                  <c:v>44.798429983664704</c:v>
                </c:pt>
                <c:pt idx="52">
                  <c:v>45.171575238203104</c:v>
                </c:pt>
                <c:pt idx="53">
                  <c:v>45.544906705617905</c:v>
                </c:pt>
                <c:pt idx="54">
                  <c:v>45.918067664975695</c:v>
                </c:pt>
                <c:pt idx="55">
                  <c:v>46.290701394032553</c:v>
                </c:pt>
                <c:pt idx="56">
                  <c:v>46.662451171991421</c:v>
                </c:pt>
                <c:pt idx="57">
                  <c:v>47.032960277143864</c:v>
                </c:pt>
                <c:pt idx="58">
                  <c:v>47.401871988230525</c:v>
                </c:pt>
                <c:pt idx="59">
                  <c:v>47.7688295829509</c:v>
                </c:pt>
                <c:pt idx="60">
                  <c:v>48.133476340690898</c:v>
                </c:pt>
                <c:pt idx="61">
                  <c:v>48.495455539599057</c:v>
                </c:pt>
                <c:pt idx="62">
                  <c:v>48.854410458475883</c:v>
                </c:pt>
                <c:pt idx="63">
                  <c:v>49.209984375210482</c:v>
                </c:pt>
                <c:pt idx="64">
                  <c:v>49.563761223533326</c:v>
                </c:pt>
                <c:pt idx="65">
                  <c:v>49.917298013903206</c:v>
                </c:pt>
                <c:pt idx="66">
                  <c:v>50.270197641837868</c:v>
                </c:pt>
                <c:pt idx="67">
                  <c:v>50.622063001301804</c:v>
                </c:pt>
                <c:pt idx="68">
                  <c:v>50.972496987954116</c:v>
                </c:pt>
                <c:pt idx="69">
                  <c:v>51.321102496416174</c:v>
                </c:pt>
                <c:pt idx="70">
                  <c:v>51.667482422047755</c:v>
                </c:pt>
                <c:pt idx="71">
                  <c:v>52.011239659214127</c:v>
                </c:pt>
                <c:pt idx="72">
                  <c:v>52.351977103654221</c:v>
                </c:pt>
                <c:pt idx="73">
                  <c:v>52.689297649902954</c:v>
                </c:pt>
                <c:pt idx="74">
                  <c:v>53.022804192586676</c:v>
                </c:pt>
                <c:pt idx="75">
                  <c:v>53.352099626827325</c:v>
                </c:pt>
                <c:pt idx="76">
                  <c:v>53.676786847548954</c:v>
                </c:pt>
                <c:pt idx="77">
                  <c:v>53.996468750527129</c:v>
                </c:pt>
                <c:pt idx="78">
                  <c:v>54.312106687685343</c:v>
                </c:pt>
                <c:pt idx="79">
                  <c:v>54.624693422112614</c:v>
                </c:pt>
                <c:pt idx="80">
                  <c:v>54.933878963251068</c:v>
                </c:pt>
                <c:pt idx="81">
                  <c:v>55.239313320396462</c:v>
                </c:pt>
                <c:pt idx="82">
                  <c:v>55.540646501680442</c:v>
                </c:pt>
                <c:pt idx="83">
                  <c:v>55.837528516964184</c:v>
                </c:pt>
                <c:pt idx="84">
                  <c:v>56.129609375144355</c:v>
                </c:pt>
                <c:pt idx="85">
                  <c:v>56.416539085716266</c:v>
                </c:pt>
                <c:pt idx="86">
                  <c:v>56.697967656801588</c:v>
                </c:pt>
                <c:pt idx="87">
                  <c:v>56.973545098717196</c:v>
                </c:pt>
                <c:pt idx="88">
                  <c:v>57.242921419734401</c:v>
                </c:pt>
                <c:pt idx="89">
                  <c:v>57.505746629282044</c:v>
                </c:pt>
                <c:pt idx="90">
                  <c:v>57.761670736067131</c:v>
                </c:pt>
                <c:pt idx="91">
                  <c:v>58.010343749634927</c:v>
                </c:pt>
                <c:pt idx="92">
                  <c:v>58.252128000331247</c:v>
                </c:pt>
                <c:pt idx="93">
                  <c:v>58.487596711117241</c:v>
                </c:pt>
                <c:pt idx="94">
                  <c:v>58.716716227374434</c:v>
                </c:pt>
                <c:pt idx="95">
                  <c:v>58.939452897278322</c:v>
                </c:pt>
                <c:pt idx="96">
                  <c:v>59.155773067753756</c:v>
                </c:pt>
                <c:pt idx="97">
                  <c:v>59.365643084874108</c:v>
                </c:pt>
                <c:pt idx="98">
                  <c:v>59.56902929674834</c:v>
                </c:pt>
                <c:pt idx="99">
                  <c:v>59.765898050075137</c:v>
                </c:pt>
                <c:pt idx="100">
                  <c:v>59.956215692205092</c:v>
                </c:pt>
                <c:pt idx="101">
                  <c:v>60.139948569876807</c:v>
                </c:pt>
                <c:pt idx="102">
                  <c:v>60.3170630298821</c:v>
                </c:pt>
                <c:pt idx="103">
                  <c:v>60.487525418959557</c:v>
                </c:pt>
                <c:pt idx="104">
                  <c:v>60.651302085178237</c:v>
                </c:pt>
                <c:pt idx="105">
                  <c:v>60.808359375223517</c:v>
                </c:pt>
                <c:pt idx="106">
                  <c:v>60.958552580992027</c:v>
                </c:pt>
                <c:pt idx="107">
                  <c:v>61.101920964422497</c:v>
                </c:pt>
                <c:pt idx="108">
                  <c:v>61.238706826564986</c:v>
                </c:pt>
                <c:pt idx="109">
                  <c:v>61.36915246841631</c:v>
                </c:pt>
                <c:pt idx="110">
                  <c:v>61.493500193288284</c:v>
                </c:pt>
                <c:pt idx="111">
                  <c:v>61.611992301073457</c:v>
                </c:pt>
                <c:pt idx="112">
                  <c:v>61.724871093733235</c:v>
                </c:pt>
                <c:pt idx="113">
                  <c:v>61.832378872483972</c:v>
                </c:pt>
                <c:pt idx="114">
                  <c:v>61.934757938455533</c:v>
                </c:pt>
                <c:pt idx="115">
                  <c:v>62.032250591793229</c:v>
                </c:pt>
                <c:pt idx="116">
                  <c:v>62.125099136740239</c:v>
                </c:pt>
                <c:pt idx="117">
                  <c:v>62.213545872643586</c:v>
                </c:pt>
                <c:pt idx="118">
                  <c:v>62.297833101996886</c:v>
                </c:pt>
                <c:pt idx="119">
                  <c:v>62.378203125111753</c:v>
                </c:pt>
                <c:pt idx="120">
                  <c:v>62.454021023626296</c:v>
                </c:pt>
                <c:pt idx="121">
                  <c:v>62.524660850569077</c:v>
                </c:pt>
                <c:pt idx="122">
                  <c:v>62.590378371027427</c:v>
                </c:pt>
                <c:pt idx="123">
                  <c:v>62.651429345897796</c:v>
                </c:pt>
                <c:pt idx="124">
                  <c:v>62.708069538398249</c:v>
                </c:pt>
                <c:pt idx="125">
                  <c:v>62.760554710349865</c:v>
                </c:pt>
                <c:pt idx="126">
                  <c:v>62.809140625270082</c:v>
                </c:pt>
                <c:pt idx="127">
                  <c:v>62.854083044520976</c:v>
                </c:pt>
                <c:pt idx="128">
                  <c:v>62.895637732218688</c:v>
                </c:pt>
                <c:pt idx="129">
                  <c:v>62.934060449884939</c:v>
                </c:pt>
                <c:pt idx="130">
                  <c:v>62.969606960664635</c:v>
                </c:pt>
                <c:pt idx="131">
                  <c:v>63.00253302629239</c:v>
                </c:pt>
                <c:pt idx="132">
                  <c:v>63.033094410817796</c:v>
                </c:pt>
                <c:pt idx="133">
                  <c:v>63.061546874791389</c:v>
                </c:pt>
                <c:pt idx="134">
                  <c:v>63.087155663255331</c:v>
                </c:pt>
                <c:pt idx="135">
                  <c:v>63.109118713398594</c:v>
                </c:pt>
                <c:pt idx="136">
                  <c:v>63.127590828655023</c:v>
                </c:pt>
                <c:pt idx="137">
                  <c:v>63.142726812924124</c:v>
                </c:pt>
                <c:pt idx="138">
                  <c:v>63.154681469440199</c:v>
                </c:pt>
                <c:pt idx="139">
                  <c:v>63.163609602701449</c:v>
                </c:pt>
                <c:pt idx="140">
                  <c:v>63.169666015589613</c:v>
                </c:pt>
                <c:pt idx="141">
                  <c:v>63.173005512117278</c:v>
                </c:pt>
                <c:pt idx="142">
                  <c:v>63.173782895385685</c:v>
                </c:pt>
                <c:pt idx="143">
                  <c:v>63.1721529702656</c:v>
                </c:pt>
                <c:pt idx="144">
                  <c:v>63.168270539073276</c:v>
                </c:pt>
                <c:pt idx="145">
                  <c:v>63.162290406360157</c:v>
                </c:pt>
                <c:pt idx="146">
                  <c:v>63.154367375367187</c:v>
                </c:pt>
                <c:pt idx="147">
                  <c:v>63.144656249880789</c:v>
                </c:pt>
                <c:pt idx="148">
                  <c:v>63.132642139487771</c:v>
                </c:pt>
                <c:pt idx="149">
                  <c:v>63.117769770789891</c:v>
                </c:pt>
                <c:pt idx="150">
                  <c:v>63.100133370405196</c:v>
                </c:pt>
                <c:pt idx="151">
                  <c:v>63.079827168637088</c:v>
                </c:pt>
                <c:pt idx="152">
                  <c:v>63.056945392120241</c:v>
                </c:pt>
                <c:pt idx="153">
                  <c:v>63.031582270595919</c:v>
                </c:pt>
                <c:pt idx="154">
                  <c:v>63.003832030971537</c:v>
                </c:pt>
                <c:pt idx="155">
                  <c:v>62.973788903121445</c:v>
                </c:pt>
                <c:pt idx="156">
                  <c:v>62.941547114355487</c:v>
                </c:pt>
                <c:pt idx="157">
                  <c:v>62.907200892934839</c:v>
                </c:pt>
                <c:pt idx="158">
                  <c:v>62.870844467566343</c:v>
                </c:pt>
                <c:pt idx="159">
                  <c:v>62.832572066424675</c:v>
                </c:pt>
                <c:pt idx="160">
                  <c:v>62.792477917800923</c:v>
                </c:pt>
                <c:pt idx="161">
                  <c:v>62.750656250305475</c:v>
                </c:pt>
                <c:pt idx="162">
                  <c:v>62.706729028008084</c:v>
                </c:pt>
                <c:pt idx="163">
                  <c:v>62.660313730227891</c:v>
                </c:pt>
                <c:pt idx="164">
                  <c:v>62.611497853107622</c:v>
                </c:pt>
                <c:pt idx="165">
                  <c:v>62.560368895863313</c:v>
                </c:pt>
                <c:pt idx="166">
                  <c:v>62.50701435502684</c:v>
                </c:pt>
                <c:pt idx="167">
                  <c:v>62.451521729192294</c:v>
                </c:pt>
                <c:pt idx="168">
                  <c:v>62.393978515639901</c:v>
                </c:pt>
                <c:pt idx="169">
                  <c:v>62.334472212222003</c:v>
                </c:pt>
                <c:pt idx="170">
                  <c:v>62.273090316804257</c:v>
                </c:pt>
                <c:pt idx="171">
                  <c:v>62.209920326267763</c:v>
                </c:pt>
                <c:pt idx="172">
                  <c:v>62.145049739422809</c:v>
                </c:pt>
                <c:pt idx="173">
                  <c:v>62.078566053389977</c:v>
                </c:pt>
                <c:pt idx="174">
                  <c:v>62.010556766177928</c:v>
                </c:pt>
                <c:pt idx="175">
                  <c:v>61.941109375143427</c:v>
                </c:pt>
                <c:pt idx="176">
                  <c:v>61.869964752821915</c:v>
                </c:pt>
                <c:pt idx="177">
                  <c:v>61.796859284064595</c:v>
                </c:pt>
                <c:pt idx="178">
                  <c:v>61.721873735999026</c:v>
                </c:pt>
                <c:pt idx="179">
                  <c:v>61.645088875739432</c:v>
                </c:pt>
                <c:pt idx="180">
                  <c:v>61.566585470602973</c:v>
                </c:pt>
                <c:pt idx="181">
                  <c:v>61.486444287567537</c:v>
                </c:pt>
                <c:pt idx="182">
                  <c:v>61.404746093903668</c:v>
                </c:pt>
                <c:pt idx="183">
                  <c:v>61.321571656436262</c:v>
                </c:pt>
                <c:pt idx="184">
                  <c:v>61.237001742379341</c:v>
                </c:pt>
                <c:pt idx="185">
                  <c:v>61.151117119133204</c:v>
                </c:pt>
                <c:pt idx="186">
                  <c:v>61.06399855372895</c:v>
                </c:pt>
                <c:pt idx="187">
                  <c:v>60.975726813064618</c:v>
                </c:pt>
                <c:pt idx="188">
                  <c:v>60.88638266460039</c:v>
                </c:pt>
                <c:pt idx="189">
                  <c:v>60.796046875044709</c:v>
                </c:pt>
                <c:pt idx="190">
                  <c:v>60.704572493313549</c:v>
                </c:pt>
                <c:pt idx="191">
                  <c:v>60.61178115887035</c:v>
                </c:pt>
                <c:pt idx="192">
                  <c:v>60.517706524397781</c:v>
                </c:pt>
                <c:pt idx="193">
                  <c:v>60.422382243084058</c:v>
                </c:pt>
                <c:pt idx="194">
                  <c:v>60.325841967668381</c:v>
                </c:pt>
                <c:pt idx="195">
                  <c:v>60.228119351388884</c:v>
                </c:pt>
                <c:pt idx="196">
                  <c:v>60.129248046991414</c:v>
                </c:pt>
                <c:pt idx="197">
                  <c:v>60.029261707421398</c:v>
                </c:pt>
                <c:pt idx="198">
                  <c:v>59.928193985644199</c:v>
                </c:pt>
                <c:pt idx="199">
                  <c:v>59.826078534851376</c:v>
                </c:pt>
                <c:pt idx="200">
                  <c:v>59.72294900812475</c:v>
                </c:pt>
                <c:pt idx="201">
                  <c:v>59.618839057900814</c:v>
                </c:pt>
                <c:pt idx="202">
                  <c:v>59.513782337680453</c:v>
                </c:pt>
                <c:pt idx="203">
                  <c:v>59.407812499953437</c:v>
                </c:pt>
                <c:pt idx="204">
                  <c:v>59.300921692755736</c:v>
                </c:pt>
                <c:pt idx="205">
                  <c:v>59.193061679987501</c:v>
                </c:pt>
                <c:pt idx="206">
                  <c:v>59.084205539238511</c:v>
                </c:pt>
                <c:pt idx="207">
                  <c:v>58.97432634835797</c:v>
                </c:pt>
                <c:pt idx="208">
                  <c:v>58.86339718477268</c:v>
                </c:pt>
                <c:pt idx="209">
                  <c:v>58.751391126128979</c:v>
                </c:pt>
                <c:pt idx="210">
                  <c:v>58.638281249883583</c:v>
                </c:pt>
                <c:pt idx="211">
                  <c:v>58.524040634165118</c:v>
                </c:pt>
                <c:pt idx="212">
                  <c:v>58.408642356061115</c:v>
                </c:pt>
                <c:pt idx="213">
                  <c:v>58.292059493537195</c:v>
                </c:pt>
                <c:pt idx="214">
                  <c:v>58.174265123946995</c:v>
                </c:pt>
                <c:pt idx="215">
                  <c:v>58.055232325136402</c:v>
                </c:pt>
                <c:pt idx="216">
                  <c:v>57.934934174512243</c:v>
                </c:pt>
                <c:pt idx="217">
                  <c:v>57.813343749940394</c:v>
                </c:pt>
                <c:pt idx="218">
                  <c:v>57.690827868772416</c:v>
                </c:pt>
                <c:pt idx="219">
                  <c:v>57.567695016380668</c:v>
                </c:pt>
                <c:pt idx="220">
                  <c:v>57.4438307728186</c:v>
                </c:pt>
                <c:pt idx="221">
                  <c:v>57.319120717873531</c:v>
                </c:pt>
                <c:pt idx="222">
                  <c:v>57.193450431658761</c:v>
                </c:pt>
                <c:pt idx="223">
                  <c:v>57.066705493868461</c:v>
                </c:pt>
                <c:pt idx="224">
                  <c:v>56.938771484419703</c:v>
                </c:pt>
                <c:pt idx="225">
                  <c:v>56.809533983342618</c:v>
                </c:pt>
                <c:pt idx="226">
                  <c:v>56.678878570358002</c:v>
                </c:pt>
                <c:pt idx="227">
                  <c:v>56.546690825259844</c:v>
                </c:pt>
                <c:pt idx="228">
                  <c:v>56.412856328563905</c:v>
                </c:pt>
                <c:pt idx="229">
                  <c:v>56.277260659841289</c:v>
                </c:pt>
                <c:pt idx="230">
                  <c:v>56.139789398699733</c:v>
                </c:pt>
                <c:pt idx="231">
                  <c:v>56.000328125245872</c:v>
                </c:pt>
                <c:pt idx="232">
                  <c:v>55.859468009938226</c:v>
                </c:pt>
                <c:pt idx="233">
                  <c:v>55.717732917524074</c:v>
                </c:pt>
                <c:pt idx="234">
                  <c:v>55.574907468711686</c:v>
                </c:pt>
                <c:pt idx="235">
                  <c:v>55.430776284887855</c:v>
                </c:pt>
                <c:pt idx="236">
                  <c:v>55.28512398632509</c:v>
                </c:pt>
                <c:pt idx="237">
                  <c:v>55.137735195218454</c:v>
                </c:pt>
                <c:pt idx="238">
                  <c:v>54.988394531537779</c:v>
                </c:pt>
                <c:pt idx="239">
                  <c:v>54.836886616490247</c:v>
                </c:pt>
                <c:pt idx="240">
                  <c:v>54.682996071073489</c:v>
                </c:pt>
                <c:pt idx="241">
                  <c:v>54.526507516531268</c:v>
                </c:pt>
                <c:pt idx="242">
                  <c:v>54.367205573837936</c:v>
                </c:pt>
                <c:pt idx="243">
                  <c:v>54.204874863568691</c:v>
                </c:pt>
                <c:pt idx="244">
                  <c:v>54.039300006937367</c:v>
                </c:pt>
                <c:pt idx="245">
                  <c:v>53.870265625277533</c:v>
                </c:pt>
                <c:pt idx="246">
                  <c:v>53.698221546188663</c:v>
                </c:pt>
                <c:pt idx="247">
                  <c:v>53.523640033097138</c:v>
                </c:pt>
                <c:pt idx="248">
                  <c:v>53.346339360032502</c:v>
                </c:pt>
                <c:pt idx="249">
                  <c:v>53.166137800744863</c:v>
                </c:pt>
                <c:pt idx="250">
                  <c:v>52.982853629257129</c:v>
                </c:pt>
                <c:pt idx="251">
                  <c:v>52.796305120656527</c:v>
                </c:pt>
                <c:pt idx="252">
                  <c:v>52.606310546980239</c:v>
                </c:pt>
                <c:pt idx="253">
                  <c:v>52.41268818347848</c:v>
                </c:pt>
                <c:pt idx="254">
                  <c:v>52.215256303605358</c:v>
                </c:pt>
                <c:pt idx="255">
                  <c:v>52.013833181733006</c:v>
                </c:pt>
                <c:pt idx="256">
                  <c:v>51.808237091814441</c:v>
                </c:pt>
                <c:pt idx="257">
                  <c:v>51.598286306046482</c:v>
                </c:pt>
                <c:pt idx="258">
                  <c:v>51.383799101295878</c:v>
                </c:pt>
                <c:pt idx="259">
                  <c:v>51.164593749865887</c:v>
                </c:pt>
                <c:pt idx="260">
                  <c:v>50.940591728627417</c:v>
                </c:pt>
                <c:pt idx="261">
                  <c:v>50.711876047123226</c:v>
                </c:pt>
                <c:pt idx="262">
                  <c:v>50.478507283043918</c:v>
                </c:pt>
                <c:pt idx="263">
                  <c:v>50.240546009303728</c:v>
                </c:pt>
                <c:pt idx="264">
                  <c:v>49.998052802894797</c:v>
                </c:pt>
                <c:pt idx="265">
                  <c:v>49.751088238294635</c:v>
                </c:pt>
                <c:pt idx="266">
                  <c:v>49.499712890200314</c:v>
                </c:pt>
                <c:pt idx="267">
                  <c:v>49.24398733614278</c:v>
                </c:pt>
                <c:pt idx="268">
                  <c:v>48.983972149621692</c:v>
                </c:pt>
                <c:pt idx="269">
                  <c:v>48.719727905932814</c:v>
                </c:pt>
                <c:pt idx="270">
                  <c:v>48.451315181822117</c:v>
                </c:pt>
                <c:pt idx="271">
                  <c:v>48.178794551494398</c:v>
                </c:pt>
                <c:pt idx="272">
                  <c:v>47.902226590411743</c:v>
                </c:pt>
                <c:pt idx="273">
                  <c:v>47.621671874728051</c:v>
                </c:pt>
                <c:pt idx="274">
                  <c:v>47.336179146459997</c:v>
                </c:pt>
                <c:pt idx="275">
                  <c:v>47.045021501057114</c:v>
                </c:pt>
                <c:pt idx="276">
                  <c:v>46.74859604472627</c:v>
                </c:pt>
                <c:pt idx="277">
                  <c:v>46.447299881665302</c:v>
                </c:pt>
                <c:pt idx="278">
                  <c:v>46.141530117106484</c:v>
                </c:pt>
                <c:pt idx="279">
                  <c:v>45.831683855443927</c:v>
                </c:pt>
                <c:pt idx="280">
                  <c:v>45.518158202897759</c:v>
                </c:pt>
                <c:pt idx="281">
                  <c:v>45.201350264370973</c:v>
                </c:pt>
                <c:pt idx="282">
                  <c:v>44.881657143695548</c:v>
                </c:pt>
                <c:pt idx="283">
                  <c:v>44.55947594751737</c:v>
                </c:pt>
                <c:pt idx="284">
                  <c:v>44.235203779778182</c:v>
                </c:pt>
                <c:pt idx="285">
                  <c:v>43.909237745710243</c:v>
                </c:pt>
                <c:pt idx="286">
                  <c:v>43.581974951018182</c:v>
                </c:pt>
                <c:pt idx="287">
                  <c:v>43.253812500135979</c:v>
                </c:pt>
                <c:pt idx="288">
                  <c:v>42.92308008356153</c:v>
                </c:pt>
                <c:pt idx="289">
                  <c:v>42.588255466773575</c:v>
                </c:pt>
                <c:pt idx="290">
                  <c:v>42.249957862576203</c:v>
                </c:pt>
                <c:pt idx="291">
                  <c:v>41.908806486813617</c:v>
                </c:pt>
                <c:pt idx="292">
                  <c:v>41.565420553889794</c:v>
                </c:pt>
                <c:pt idx="293">
                  <c:v>41.220419278341744</c:v>
                </c:pt>
                <c:pt idx="294">
                  <c:v>40.87442187494598</c:v>
                </c:pt>
                <c:pt idx="295">
                  <c:v>40.52804755822622</c:v>
                </c:pt>
                <c:pt idx="296">
                  <c:v>40.181915542915732</c:v>
                </c:pt>
                <c:pt idx="297">
                  <c:v>39.836645043681244</c:v>
                </c:pt>
                <c:pt idx="298">
                  <c:v>39.492855275219441</c:v>
                </c:pt>
                <c:pt idx="299">
                  <c:v>39.151165451821214</c:v>
                </c:pt>
                <c:pt idx="300">
                  <c:v>38.812194788748656</c:v>
                </c:pt>
                <c:pt idx="301">
                  <c:v>38.476562500093131</c:v>
                </c:pt>
                <c:pt idx="302">
                  <c:v>38.142097969605985</c:v>
                </c:pt>
                <c:pt idx="303">
                  <c:v>37.806653015821105</c:v>
                </c:pt>
                <c:pt idx="304">
                  <c:v>37.470880506327376</c:v>
                </c:pt>
                <c:pt idx="305">
                  <c:v>37.135433309099511</c:v>
                </c:pt>
                <c:pt idx="306">
                  <c:v>36.800964291580023</c:v>
                </c:pt>
                <c:pt idx="307">
                  <c:v>36.468126321204807</c:v>
                </c:pt>
                <c:pt idx="308">
                  <c:v>36.137572265439672</c:v>
                </c:pt>
                <c:pt idx="309">
                  <c:v>35.809954992814788</c:v>
                </c:pt>
                <c:pt idx="310">
                  <c:v>35.485927370054249</c:v>
                </c:pt>
                <c:pt idx="311">
                  <c:v>35.166142265205934</c:v>
                </c:pt>
                <c:pt idx="312">
                  <c:v>34.851252545532773</c:v>
                </c:pt>
                <c:pt idx="313">
                  <c:v>34.541911078843157</c:v>
                </c:pt>
                <c:pt idx="314">
                  <c:v>34.238770733308044</c:v>
                </c:pt>
                <c:pt idx="315">
                  <c:v>33.942484375275669</c:v>
                </c:pt>
                <c:pt idx="316">
                  <c:v>33.650835858318686</c:v>
                </c:pt>
                <c:pt idx="317">
                  <c:v>33.361568751265963</c:v>
                </c:pt>
                <c:pt idx="318">
                  <c:v>33.075275491015049</c:v>
                </c:pt>
                <c:pt idx="319">
                  <c:v>32.79254851770321</c:v>
                </c:pt>
                <c:pt idx="320">
                  <c:v>32.513980269937647</c:v>
                </c:pt>
                <c:pt idx="321">
                  <c:v>32.240163185633719</c:v>
                </c:pt>
                <c:pt idx="322">
                  <c:v>31.971689704433086</c:v>
                </c:pt>
                <c:pt idx="323">
                  <c:v>31.709152265817728</c:v>
                </c:pt>
                <c:pt idx="324">
                  <c:v>31.453143307363749</c:v>
                </c:pt>
                <c:pt idx="325">
                  <c:v>31.204255267897885</c:v>
                </c:pt>
                <c:pt idx="326">
                  <c:v>30.963080588335707</c:v>
                </c:pt>
                <c:pt idx="327">
                  <c:v>30.730211705780988</c:v>
                </c:pt>
                <c:pt idx="328">
                  <c:v>30.506241058964015</c:v>
                </c:pt>
                <c:pt idx="329">
                  <c:v>30.291761087439955</c:v>
                </c:pt>
                <c:pt idx="330">
                  <c:v>30.085095496156384</c:v>
                </c:pt>
                <c:pt idx="331">
                  <c:v>29.884466694188973</c:v>
                </c:pt>
                <c:pt idx="332">
                  <c:v>29.690315174244876</c:v>
                </c:pt>
                <c:pt idx="333">
                  <c:v>29.503081431638982</c:v>
                </c:pt>
                <c:pt idx="334">
                  <c:v>29.323205958559576</c:v>
                </c:pt>
                <c:pt idx="335">
                  <c:v>29.151129247886793</c:v>
                </c:pt>
                <c:pt idx="336">
                  <c:v>28.987291794735938</c:v>
                </c:pt>
                <c:pt idx="337">
                  <c:v>28.832134092040359</c:v>
                </c:pt>
                <c:pt idx="338">
                  <c:v>28.686096632054877</c:v>
                </c:pt>
                <c:pt idx="339">
                  <c:v>28.549619910706365</c:v>
                </c:pt>
                <c:pt idx="340">
                  <c:v>28.423144420648793</c:v>
                </c:pt>
                <c:pt idx="341">
                  <c:v>28.307110654802194</c:v>
                </c:pt>
                <c:pt idx="342">
                  <c:v>28.201959109439379</c:v>
                </c:pt>
                <c:pt idx="343">
                  <c:v>28.108130272850396</c:v>
                </c:pt>
                <c:pt idx="344">
                  <c:v>28.024842140891501</c:v>
                </c:pt>
                <c:pt idx="345">
                  <c:v>27.951112637624806</c:v>
                </c:pt>
                <c:pt idx="346">
                  <c:v>27.887082159265951</c:v>
                </c:pt>
                <c:pt idx="347">
                  <c:v>27.83289110069278</c:v>
                </c:pt>
                <c:pt idx="348">
                  <c:v>27.788679859220174</c:v>
                </c:pt>
                <c:pt idx="349">
                  <c:v>27.754588828900179</c:v>
                </c:pt>
                <c:pt idx="350">
                  <c:v>27.730758405585998</c:v>
                </c:pt>
                <c:pt idx="351">
                  <c:v>27.717328986340185</c:v>
                </c:pt>
                <c:pt idx="352">
                  <c:v>27.714440965454273</c:v>
                </c:pt>
                <c:pt idx="353">
                  <c:v>27.722234741128577</c:v>
                </c:pt>
                <c:pt idx="354">
                  <c:v>27.740850706208555</c:v>
                </c:pt>
                <c:pt idx="355">
                  <c:v>27.770429257195207</c:v>
                </c:pt>
                <c:pt idx="356">
                  <c:v>27.811110790643681</c:v>
                </c:pt>
                <c:pt idx="357">
                  <c:v>27.863035702268625</c:v>
                </c:pt>
                <c:pt idx="358">
                  <c:v>27.926675842676698</c:v>
                </c:pt>
                <c:pt idx="359">
                  <c:v>28.002232606554852</c:v>
                </c:pt>
                <c:pt idx="360">
                  <c:v>28.089440708748739</c:v>
                </c:pt>
                <c:pt idx="361">
                  <c:v>28.188034860943922</c:v>
                </c:pt>
                <c:pt idx="362">
                  <c:v>28.297749777986056</c:v>
                </c:pt>
                <c:pt idx="363">
                  <c:v>28.418320173538966</c:v>
                </c:pt>
                <c:pt idx="364">
                  <c:v>28.54948075709158</c:v>
                </c:pt>
                <c:pt idx="365">
                  <c:v>28.690966246585393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28.58909287492434</c:v>
                </c:pt>
                <c:pt idx="1">
                  <c:v>28.739311035573486</c:v>
                </c:pt>
                <c:pt idx="2">
                  <c:v>28.899641215304534</c:v>
                </c:pt>
                <c:pt idx="3">
                  <c:v>29.069869918723903</c:v>
                </c:pt>
                <c:pt idx="4">
                  <c:v>29.249783646166328</c:v>
                </c:pt>
                <c:pt idx="5">
                  <c:v>29.43916890144348</c:v>
                </c:pt>
                <c:pt idx="6">
                  <c:v>29.637812185188135</c:v>
                </c:pt>
                <c:pt idx="7">
                  <c:v>29.845500001311301</c:v>
                </c:pt>
                <c:pt idx="8">
                  <c:v>30.064617318713239</c:v>
                </c:pt>
                <c:pt idx="9">
                  <c:v>30.297067097680912</c:v>
                </c:pt>
                <c:pt idx="10">
                  <c:v>30.541912798956037</c:v>
                </c:pt>
                <c:pt idx="11">
                  <c:v>30.798217906483579</c:v>
                </c:pt>
                <c:pt idx="12">
                  <c:v>31.06504588324044</c:v>
                </c:pt>
                <c:pt idx="13">
                  <c:v>31.341460209978482</c:v>
                </c:pt>
                <c:pt idx="14">
                  <c:v>31.626524353399873</c:v>
                </c:pt>
                <c:pt idx="15">
                  <c:v>31.919301790424754</c:v>
                </c:pt>
                <c:pt idx="16">
                  <c:v>32.218855988766464</c:v>
                </c:pt>
                <c:pt idx="17">
                  <c:v>32.524250427633525</c:v>
                </c:pt>
                <c:pt idx="18">
                  <c:v>32.834548573302371</c:v>
                </c:pt>
                <c:pt idx="19">
                  <c:v>33.148813903331757</c:v>
                </c:pt>
                <c:pt idx="20">
                  <c:v>33.466109887510541</c:v>
                </c:pt>
                <c:pt idx="21">
                  <c:v>33.785499998927115</c:v>
                </c:pt>
                <c:pt idx="22">
                  <c:v>34.110255648501749</c:v>
                </c:pt>
                <c:pt idx="23">
                  <c:v>34.44369825055557</c:v>
                </c:pt>
                <c:pt idx="24">
                  <c:v>34.78496629038294</c:v>
                </c:pt>
                <c:pt idx="25">
                  <c:v>35.133198250830176</c:v>
                </c:pt>
                <c:pt idx="26">
                  <c:v>35.487532615967623</c:v>
                </c:pt>
                <c:pt idx="27">
                  <c:v>35.847107871275924</c:v>
                </c:pt>
                <c:pt idx="28">
                  <c:v>36.211062499601397</c:v>
                </c:pt>
                <c:pt idx="29">
                  <c:v>36.578534985120811</c:v>
                </c:pt>
                <c:pt idx="30">
                  <c:v>36.948663812024257</c:v>
                </c:pt>
                <c:pt idx="31">
                  <c:v>37.320587463730149</c:v>
                </c:pt>
                <c:pt idx="32">
                  <c:v>37.693444424428577</c:v>
                </c:pt>
                <c:pt idx="33">
                  <c:v>38.066373178362845</c:v>
                </c:pt>
                <c:pt idx="34">
                  <c:v>38.438512208738494</c:v>
                </c:pt>
                <c:pt idx="35">
                  <c:v>38.809000000357628</c:v>
                </c:pt>
                <c:pt idx="36">
                  <c:v>39.180528790330783</c:v>
                </c:pt>
                <c:pt idx="37">
                  <c:v>39.555934402665919</c:v>
                </c:pt>
                <c:pt idx="38">
                  <c:v>39.934570700209591</c:v>
                </c:pt>
                <c:pt idx="39">
                  <c:v>40.315791545568835</c:v>
                </c:pt>
                <c:pt idx="40">
                  <c:v>40.698950802029245</c:v>
                </c:pt>
                <c:pt idx="41">
                  <c:v>41.083402332663539</c:v>
                </c:pt>
                <c:pt idx="42">
                  <c:v>41.468500000238421</c:v>
                </c:pt>
                <c:pt idx="43">
                  <c:v>41.853597667786687</c:v>
                </c:pt>
                <c:pt idx="44">
                  <c:v>42.238049198500811</c:v>
                </c:pt>
                <c:pt idx="45">
                  <c:v>42.621208455094269</c:v>
                </c:pt>
                <c:pt idx="46">
                  <c:v>43.002429300307156</c:v>
                </c:pt>
                <c:pt idx="47">
                  <c:v>43.381065597943959</c:v>
                </c:pt>
                <c:pt idx="48">
                  <c:v>43.7564712099731</c:v>
                </c:pt>
                <c:pt idx="49">
                  <c:v>44.128000000119208</c:v>
                </c:pt>
                <c:pt idx="50">
                  <c:v>44.496387846515113</c:v>
                </c:pt>
                <c:pt idx="51">
                  <c:v>44.862873178108472</c:v>
                </c:pt>
                <c:pt idx="52">
                  <c:v>45.227563684433697</c:v>
                </c:pt>
                <c:pt idx="53">
                  <c:v>45.590567055610677</c:v>
                </c:pt>
                <c:pt idx="54">
                  <c:v>45.951990980388857</c:v>
                </c:pt>
                <c:pt idx="55">
                  <c:v>46.311943148741761</c:v>
                </c:pt>
                <c:pt idx="56">
                  <c:v>46.670531249791381</c:v>
                </c:pt>
                <c:pt idx="57">
                  <c:v>47.027862973963579</c:v>
                </c:pt>
                <c:pt idx="58">
                  <c:v>47.384046009382494</c:v>
                </c:pt>
                <c:pt idx="59">
                  <c:v>47.739188046620356</c:v>
                </c:pt>
                <c:pt idx="60">
                  <c:v>48.093396774719338</c:v>
                </c:pt>
                <c:pt idx="61">
                  <c:v>48.446779883307002</c:v>
                </c:pt>
                <c:pt idx="62">
                  <c:v>48.799445061798075</c:v>
                </c:pt>
                <c:pt idx="63">
                  <c:v>49.151499999873337</c:v>
                </c:pt>
                <c:pt idx="64">
                  <c:v>49.503949799175771</c:v>
                </c:pt>
                <c:pt idx="65">
                  <c:v>49.857368804620847</c:v>
                </c:pt>
                <c:pt idx="66">
                  <c:v>50.211218567511864</c:v>
                </c:pt>
                <c:pt idx="67">
                  <c:v>50.564960641254274</c:v>
                </c:pt>
                <c:pt idx="68">
                  <c:v>50.918056577750079</c:v>
                </c:pt>
                <c:pt idx="69">
                  <c:v>51.269967929752809</c:v>
                </c:pt>
                <c:pt idx="70">
                  <c:v>51.620156249776485</c:v>
                </c:pt>
                <c:pt idx="71">
                  <c:v>51.968083090335128</c:v>
                </c:pt>
                <c:pt idx="72">
                  <c:v>52.313210003570248</c:v>
                </c:pt>
                <c:pt idx="73">
                  <c:v>52.654998542315198</c:v>
                </c:pt>
                <c:pt idx="74">
                  <c:v>52.992910258232484</c:v>
                </c:pt>
                <c:pt idx="75">
                  <c:v>53.326406705219838</c:v>
                </c:pt>
                <c:pt idx="76">
                  <c:v>53.654949434713593</c:v>
                </c:pt>
                <c:pt idx="77">
                  <c:v>53.977999999746679</c:v>
                </c:pt>
                <c:pt idx="78">
                  <c:v>54.297999361450124</c:v>
                </c:pt>
                <c:pt idx="79">
                  <c:v>54.617244897037743</c:v>
                </c:pt>
                <c:pt idx="80">
                  <c:v>54.934982779888173</c:v>
                </c:pt>
                <c:pt idx="81">
                  <c:v>55.250459182954259</c:v>
                </c:pt>
                <c:pt idx="82">
                  <c:v>55.562920279880721</c:v>
                </c:pt>
                <c:pt idx="83">
                  <c:v>55.871612244418692</c:v>
                </c:pt>
                <c:pt idx="84">
                  <c:v>56.17578124962747</c:v>
                </c:pt>
                <c:pt idx="85">
                  <c:v>56.474673469258207</c:v>
                </c:pt>
                <c:pt idx="86">
                  <c:v>56.767535076795944</c:v>
                </c:pt>
                <c:pt idx="87">
                  <c:v>57.053612245512866</c:v>
                </c:pt>
                <c:pt idx="88">
                  <c:v>57.332151148867389</c:v>
                </c:pt>
                <c:pt idx="89">
                  <c:v>57.602397959093956</c:v>
                </c:pt>
                <c:pt idx="90">
                  <c:v>57.863598851966003</c:v>
                </c:pt>
                <c:pt idx="91">
                  <c:v>58.115000000596048</c:v>
                </c:pt>
                <c:pt idx="92">
                  <c:v>58.357498815975021</c:v>
                </c:pt>
                <c:pt idx="93">
                  <c:v>58.592567056204601</c:v>
                </c:pt>
                <c:pt idx="94">
                  <c:v>58.820312409528661</c:v>
                </c:pt>
                <c:pt idx="95">
                  <c:v>59.040842566107003</c:v>
                </c:pt>
                <c:pt idx="96">
                  <c:v>59.254265214502809</c:v>
                </c:pt>
                <c:pt idx="97">
                  <c:v>59.460688046153109</c:v>
                </c:pt>
                <c:pt idx="98">
                  <c:v>59.660218749940398</c:v>
                </c:pt>
                <c:pt idx="99">
                  <c:v>59.852965015066523</c:v>
                </c:pt>
                <c:pt idx="100">
                  <c:v>60.039034530041477</c:v>
                </c:pt>
                <c:pt idx="101">
                  <c:v>60.21853498624904</c:v>
                </c:pt>
                <c:pt idx="102">
                  <c:v>60.391574070655871</c:v>
                </c:pt>
                <c:pt idx="103">
                  <c:v>60.558259475550493</c:v>
                </c:pt>
                <c:pt idx="104">
                  <c:v>60.718698887952733</c:v>
                </c:pt>
                <c:pt idx="105">
                  <c:v>60.872999999672174</c:v>
                </c:pt>
                <c:pt idx="106">
                  <c:v>61.0198346393449</c:v>
                </c:pt>
                <c:pt idx="107">
                  <c:v>61.158161807698868</c:v>
                </c:pt>
                <c:pt idx="108">
                  <c:v>61.288519952712321</c:v>
                </c:pt>
                <c:pt idx="109">
                  <c:v>61.411447522469928</c:v>
                </c:pt>
                <c:pt idx="110">
                  <c:v>61.527482962821203</c:v>
                </c:pt>
                <c:pt idx="111">
                  <c:v>61.637164722489459</c:v>
                </c:pt>
                <c:pt idx="112">
                  <c:v>61.741031249985099</c:v>
                </c:pt>
                <c:pt idx="113">
                  <c:v>61.83962099168982</c:v>
                </c:pt>
                <c:pt idx="114">
                  <c:v>61.933472394517494</c:v>
                </c:pt>
                <c:pt idx="115">
                  <c:v>62.023123907404283</c:v>
                </c:pt>
                <c:pt idx="116">
                  <c:v>62.109113976678678</c:v>
                </c:pt>
                <c:pt idx="117">
                  <c:v>62.191981049946364</c:v>
                </c:pt>
                <c:pt idx="118">
                  <c:v>62.272263574440572</c:v>
                </c:pt>
                <c:pt idx="119">
                  <c:v>62.35050000101328</c:v>
                </c:pt>
                <c:pt idx="120">
                  <c:v>62.425415998670665</c:v>
                </c:pt>
                <c:pt idx="121">
                  <c:v>62.495521865572258</c:v>
                </c:pt>
                <c:pt idx="122">
                  <c:v>62.56103298179805</c:v>
                </c:pt>
                <c:pt idx="123">
                  <c:v>62.622164723596406</c:v>
                </c:pt>
                <c:pt idx="124">
                  <c:v>62.679132471100559</c:v>
                </c:pt>
                <c:pt idx="125">
                  <c:v>62.732151604443786</c:v>
                </c:pt>
                <c:pt idx="126">
                  <c:v>62.781437500193718</c:v>
                </c:pt>
                <c:pt idx="127">
                  <c:v>62.82720553970762</c:v>
                </c:pt>
                <c:pt idx="128">
                  <c:v>62.869671101628661</c:v>
                </c:pt>
                <c:pt idx="129">
                  <c:v>62.909049563269534</c:v>
                </c:pt>
                <c:pt idx="130">
                  <c:v>62.945556305402093</c:v>
                </c:pt>
                <c:pt idx="131">
                  <c:v>62.979406706243765</c:v>
                </c:pt>
                <c:pt idx="132">
                  <c:v>63.010816144996454</c:v>
                </c:pt>
                <c:pt idx="133">
                  <c:v>63.040000000968575</c:v>
                </c:pt>
                <c:pt idx="134">
                  <c:v>63.066401877839645</c:v>
                </c:pt>
                <c:pt idx="135">
                  <c:v>63.089393586665402</c:v>
                </c:pt>
                <c:pt idx="136">
                  <c:v>63.109082817525731</c:v>
                </c:pt>
                <c:pt idx="137">
                  <c:v>63.125577259542681</c:v>
                </c:pt>
                <c:pt idx="138">
                  <c:v>63.138984603381587</c:v>
                </c:pt>
                <c:pt idx="139">
                  <c:v>63.149412536727525</c:v>
                </c:pt>
                <c:pt idx="140">
                  <c:v>63.156968750245866</c:v>
                </c:pt>
                <c:pt idx="141">
                  <c:v>63.161760932686072</c:v>
                </c:pt>
                <c:pt idx="142">
                  <c:v>63.163896774660259</c:v>
                </c:pt>
                <c:pt idx="143">
                  <c:v>63.163483965130787</c:v>
                </c:pt>
                <c:pt idx="144">
                  <c:v>63.16063019274069</c:v>
                </c:pt>
                <c:pt idx="145">
                  <c:v>63.155443148368178</c:v>
                </c:pt>
                <c:pt idx="146">
                  <c:v>63.148030521055418</c:v>
                </c:pt>
                <c:pt idx="147">
                  <c:v>63.138499999418855</c:v>
                </c:pt>
                <c:pt idx="148">
                  <c:v>63.12645672336221</c:v>
                </c:pt>
                <c:pt idx="149">
                  <c:v>63.1115058301815</c:v>
                </c:pt>
                <c:pt idx="150">
                  <c:v>63.093755010488835</c:v>
                </c:pt>
                <c:pt idx="151">
                  <c:v>63.073311953140163</c:v>
                </c:pt>
                <c:pt idx="152">
                  <c:v>63.050284347071184</c:v>
                </c:pt>
                <c:pt idx="153">
                  <c:v>63.02477988297386</c:v>
                </c:pt>
                <c:pt idx="154">
                  <c:v>62.996906249597671</c:v>
                </c:pt>
                <c:pt idx="155">
                  <c:v>62.966771137022533</c:v>
                </c:pt>
                <c:pt idx="156">
                  <c:v>62.934482233971359</c:v>
                </c:pt>
                <c:pt idx="157">
                  <c:v>62.900147230018455</c:v>
                </c:pt>
                <c:pt idx="158">
                  <c:v>62.863873815270402</c:v>
                </c:pt>
                <c:pt idx="159">
                  <c:v>62.825769679674089</c:v>
                </c:pt>
                <c:pt idx="160">
                  <c:v>62.785942510861375</c:v>
                </c:pt>
                <c:pt idx="161">
                  <c:v>62.744500000029802</c:v>
                </c:pt>
                <c:pt idx="162">
                  <c:v>62.701280612152608</c:v>
                </c:pt>
                <c:pt idx="163">
                  <c:v>62.656051020696772</c:v>
                </c:pt>
                <c:pt idx="164">
                  <c:v>62.608811224544681</c:v>
                </c:pt>
                <c:pt idx="165">
                  <c:v>62.559561224547885</c:v>
                </c:pt>
                <c:pt idx="166">
                  <c:v>62.508301020307201</c:v>
                </c:pt>
                <c:pt idx="167">
                  <c:v>62.455030612487874</c:v>
                </c:pt>
                <c:pt idx="168">
                  <c:v>62.399750000052151</c:v>
                </c:pt>
                <c:pt idx="169">
                  <c:v>62.342459183558823</c:v>
                </c:pt>
                <c:pt idx="170">
                  <c:v>62.283158162981273</c:v>
                </c:pt>
                <c:pt idx="171">
                  <c:v>62.221846938984733</c:v>
                </c:pt>
                <c:pt idx="172">
                  <c:v>62.158525510132314</c:v>
                </c:pt>
                <c:pt idx="173">
                  <c:v>62.093193877488375</c:v>
                </c:pt>
                <c:pt idx="174">
                  <c:v>62.025852040573952</c:v>
                </c:pt>
                <c:pt idx="175">
                  <c:v>61.956500000134113</c:v>
                </c:pt>
                <c:pt idx="176">
                  <c:v>61.884671100535023</c:v>
                </c:pt>
                <c:pt idx="177">
                  <c:v>61.810042273998263</c:v>
                </c:pt>
                <c:pt idx="178">
                  <c:v>61.732828899220166</c:v>
                </c:pt>
                <c:pt idx="179">
                  <c:v>61.653246355801819</c:v>
                </c:pt>
                <c:pt idx="180">
                  <c:v>61.571510022106985</c:v>
                </c:pt>
                <c:pt idx="181">
                  <c:v>61.487835277031579</c:v>
                </c:pt>
                <c:pt idx="182">
                  <c:v>61.402437499724329</c:v>
                </c:pt>
                <c:pt idx="183">
                  <c:v>61.315532069759705</c:v>
                </c:pt>
                <c:pt idx="184">
                  <c:v>61.227334365900603</c:v>
                </c:pt>
                <c:pt idx="185">
                  <c:v>61.138059766830075</c:v>
                </c:pt>
                <c:pt idx="186">
                  <c:v>61.04792365163032</c:v>
                </c:pt>
                <c:pt idx="187">
                  <c:v>60.957141399489977</c:v>
                </c:pt>
                <c:pt idx="188">
                  <c:v>60.865928389038892</c:v>
                </c:pt>
                <c:pt idx="189">
                  <c:v>60.774499999918042</c:v>
                </c:pt>
                <c:pt idx="190">
                  <c:v>60.682533163218089</c:v>
                </c:pt>
                <c:pt idx="191">
                  <c:v>60.589561224542557</c:v>
                </c:pt>
                <c:pt idx="192">
                  <c:v>60.495584183705169</c:v>
                </c:pt>
                <c:pt idx="193">
                  <c:v>60.400602040892203</c:v>
                </c:pt>
                <c:pt idx="194">
                  <c:v>60.304614795983902</c:v>
                </c:pt>
                <c:pt idx="195">
                  <c:v>60.207622448807307</c:v>
                </c:pt>
                <c:pt idx="196">
                  <c:v>60.109624999947847</c:v>
                </c:pt>
                <c:pt idx="197">
                  <c:v>60.010622448953129</c:v>
                </c:pt>
                <c:pt idx="198">
                  <c:v>59.910614795982838</c:v>
                </c:pt>
                <c:pt idx="199">
                  <c:v>59.809602040930521</c:v>
                </c:pt>
                <c:pt idx="200">
                  <c:v>59.70758418380948</c:v>
                </c:pt>
                <c:pt idx="201">
                  <c:v>59.604561224366932</c:v>
                </c:pt>
                <c:pt idx="202">
                  <c:v>59.500533163161684</c:v>
                </c:pt>
                <c:pt idx="203">
                  <c:v>59.395500000007452</c:v>
                </c:pt>
                <c:pt idx="204">
                  <c:v>59.289695061969439</c:v>
                </c:pt>
                <c:pt idx="205">
                  <c:v>59.183279883355965</c:v>
                </c:pt>
                <c:pt idx="206">
                  <c:v>59.076146774885373</c:v>
                </c:pt>
                <c:pt idx="207">
                  <c:v>58.968188046850265</c:v>
                </c:pt>
                <c:pt idx="208">
                  <c:v>58.859296009702874</c:v>
                </c:pt>
                <c:pt idx="209">
                  <c:v>58.749362973975281</c:v>
                </c:pt>
                <c:pt idx="210">
                  <c:v>58.638281250093129</c:v>
                </c:pt>
                <c:pt idx="211">
                  <c:v>58.525943148801367</c:v>
                </c:pt>
                <c:pt idx="212">
                  <c:v>58.412240980605453</c:v>
                </c:pt>
                <c:pt idx="213">
                  <c:v>58.297067055425472</c:v>
                </c:pt>
                <c:pt idx="214">
                  <c:v>58.180313684605061</c:v>
                </c:pt>
                <c:pt idx="215">
                  <c:v>58.061873178157427</c:v>
                </c:pt>
                <c:pt idx="216">
                  <c:v>57.941637846415063</c:v>
                </c:pt>
                <c:pt idx="217">
                  <c:v>57.819500000216067</c:v>
                </c:pt>
                <c:pt idx="218">
                  <c:v>57.695387846391114</c:v>
                </c:pt>
                <c:pt idx="219">
                  <c:v>57.569373177949878</c:v>
                </c:pt>
                <c:pt idx="220">
                  <c:v>57.441563684533222</c:v>
                </c:pt>
                <c:pt idx="221">
                  <c:v>57.312067055648996</c:v>
                </c:pt>
                <c:pt idx="222">
                  <c:v>57.180990980485717</c:v>
                </c:pt>
                <c:pt idx="223">
                  <c:v>57.048443148764115</c:v>
                </c:pt>
                <c:pt idx="224">
                  <c:v>56.914531250204888</c:v>
                </c:pt>
                <c:pt idx="225">
                  <c:v>56.77936297394335</c:v>
                </c:pt>
                <c:pt idx="226">
                  <c:v>56.643046009553856</c:v>
                </c:pt>
                <c:pt idx="227">
                  <c:v>56.505688046663998</c:v>
                </c:pt>
                <c:pt idx="228">
                  <c:v>56.367396774741692</c:v>
                </c:pt>
                <c:pt idx="229">
                  <c:v>56.228279883627387</c:v>
                </c:pt>
                <c:pt idx="230">
                  <c:v>56.088445062043945</c:v>
                </c:pt>
                <c:pt idx="231">
                  <c:v>55.948000000044701</c:v>
                </c:pt>
                <c:pt idx="232">
                  <c:v>55.807716472380399</c:v>
                </c:pt>
                <c:pt idx="233">
                  <c:v>55.668007288553881</c:v>
                </c:pt>
                <c:pt idx="234">
                  <c:v>55.528441691159138</c:v>
                </c:pt>
                <c:pt idx="235">
                  <c:v>55.388588921592699</c:v>
                </c:pt>
                <c:pt idx="236">
                  <c:v>55.248018221597057</c:v>
                </c:pt>
                <c:pt idx="237">
                  <c:v>55.106298833979032</c:v>
                </c:pt>
                <c:pt idx="238">
                  <c:v>54.962999999895693</c:v>
                </c:pt>
                <c:pt idx="239">
                  <c:v>54.817690962473193</c:v>
                </c:pt>
                <c:pt idx="240">
                  <c:v>54.669940962043725</c:v>
                </c:pt>
                <c:pt idx="241">
                  <c:v>54.519319242239</c:v>
                </c:pt>
                <c:pt idx="242">
                  <c:v>54.365395043617376</c:v>
                </c:pt>
                <c:pt idx="243">
                  <c:v>54.207737609690852</c:v>
                </c:pt>
                <c:pt idx="244">
                  <c:v>54.045916180552112</c:v>
                </c:pt>
                <c:pt idx="245">
                  <c:v>53.879500000551346</c:v>
                </c:pt>
                <c:pt idx="246">
                  <c:v>53.70983518564276</c:v>
                </c:pt>
                <c:pt idx="247">
                  <c:v>53.538339650205202</c:v>
                </c:pt>
                <c:pt idx="248">
                  <c:v>53.364690324185155</c:v>
                </c:pt>
                <c:pt idx="249">
                  <c:v>53.188564139817437</c:v>
                </c:pt>
                <c:pt idx="250">
                  <c:v>53.00963802811291</c:v>
                </c:pt>
                <c:pt idx="251">
                  <c:v>52.827588921040295</c:v>
                </c:pt>
                <c:pt idx="252">
                  <c:v>52.642093749716878</c:v>
                </c:pt>
                <c:pt idx="253">
                  <c:v>52.452829445685651</c:v>
                </c:pt>
                <c:pt idx="254">
                  <c:v>52.259472941208102</c:v>
                </c:pt>
                <c:pt idx="255">
                  <c:v>52.061701166204045</c:v>
                </c:pt>
                <c:pt idx="256">
                  <c:v>51.859191053413916</c:v>
                </c:pt>
                <c:pt idx="257">
                  <c:v>51.651619533609065</c:v>
                </c:pt>
                <c:pt idx="258">
                  <c:v>51.438663538838071</c:v>
                </c:pt>
                <c:pt idx="259">
                  <c:v>51.220000000298022</c:v>
                </c:pt>
                <c:pt idx="260">
                  <c:v>50.99588019363582</c:v>
                </c:pt>
                <c:pt idx="261">
                  <c:v>50.766842566111258</c:v>
                </c:pt>
                <c:pt idx="262">
                  <c:v>50.532994807618003</c:v>
                </c:pt>
                <c:pt idx="263">
                  <c:v>50.294444606878926</c:v>
                </c:pt>
                <c:pt idx="264">
                  <c:v>50.051299654160225</c:v>
                </c:pt>
                <c:pt idx="265">
                  <c:v>49.803667638663732</c:v>
                </c:pt>
                <c:pt idx="266">
                  <c:v>49.551656249538063</c:v>
                </c:pt>
                <c:pt idx="267">
                  <c:v>49.295373178166997</c:v>
                </c:pt>
                <c:pt idx="268">
                  <c:v>49.034926111038239</c:v>
                </c:pt>
                <c:pt idx="269">
                  <c:v>48.770422740387062</c:v>
                </c:pt>
                <c:pt idx="270">
                  <c:v>48.501970754883118</c:v>
                </c:pt>
                <c:pt idx="271">
                  <c:v>48.22967784330249</c:v>
                </c:pt>
                <c:pt idx="272">
                  <c:v>47.953651694634132</c:v>
                </c:pt>
                <c:pt idx="273">
                  <c:v>47.674000000208615</c:v>
                </c:pt>
                <c:pt idx="274">
                  <c:v>47.390094570709131</c:v>
                </c:pt>
                <c:pt idx="275">
                  <c:v>47.101379009655545</c:v>
                </c:pt>
                <c:pt idx="276">
                  <c:v>46.808068694945952</c:v>
                </c:pt>
                <c:pt idx="277">
                  <c:v>46.510379009161682</c:v>
                </c:pt>
                <c:pt idx="278">
                  <c:v>46.208525328684061</c:v>
                </c:pt>
                <c:pt idx="279">
                  <c:v>45.902723032821498</c:v>
                </c:pt>
                <c:pt idx="280">
                  <c:v>45.593187500163914</c:v>
                </c:pt>
                <c:pt idx="281">
                  <c:v>45.280134111536405</c:v>
                </c:pt>
                <c:pt idx="282">
                  <c:v>44.963778244225047</c:v>
                </c:pt>
                <c:pt idx="283">
                  <c:v>44.644335277325339</c:v>
                </c:pt>
                <c:pt idx="284">
                  <c:v>44.322020590810908</c:v>
                </c:pt>
                <c:pt idx="285">
                  <c:v>43.997049563271659</c:v>
                </c:pt>
                <c:pt idx="286">
                  <c:v>43.669637573563627</c:v>
                </c:pt>
                <c:pt idx="287">
                  <c:v>43.340000000968573</c:v>
                </c:pt>
                <c:pt idx="288">
                  <c:v>43.005247176385353</c:v>
                </c:pt>
                <c:pt idx="289">
                  <c:v>42.663135569329775</c:v>
                </c:pt>
                <c:pt idx="290">
                  <c:v>42.314849763416824</c:v>
                </c:pt>
                <c:pt idx="291">
                  <c:v>41.961574344177329</c:v>
                </c:pt>
                <c:pt idx="292">
                  <c:v>41.604493896397095</c:v>
                </c:pt>
                <c:pt idx="293">
                  <c:v>41.24479300331857</c:v>
                </c:pt>
                <c:pt idx="294">
                  <c:v>40.883656250312924</c:v>
                </c:pt>
                <c:pt idx="295">
                  <c:v>40.522268221899864</c:v>
                </c:pt>
                <c:pt idx="296">
                  <c:v>40.161813502146728</c:v>
                </c:pt>
                <c:pt idx="297">
                  <c:v>39.803476676877054</c:v>
                </c:pt>
                <c:pt idx="298">
                  <c:v>39.448442328375357</c:v>
                </c:pt>
                <c:pt idx="299">
                  <c:v>39.097895043609398</c:v>
                </c:pt>
                <c:pt idx="300">
                  <c:v>38.753019405954653</c:v>
                </c:pt>
                <c:pt idx="301">
                  <c:v>38.414999999850991</c:v>
                </c:pt>
                <c:pt idx="302">
                  <c:v>38.081593294388483</c:v>
                </c:pt>
                <c:pt idx="303">
                  <c:v>37.74990962147713</c:v>
                </c:pt>
                <c:pt idx="304">
                  <c:v>37.420164358775523</c:v>
                </c:pt>
                <c:pt idx="305">
                  <c:v>37.092572886603214</c:v>
                </c:pt>
                <c:pt idx="306">
                  <c:v>36.767350582778455</c:v>
                </c:pt>
                <c:pt idx="307">
                  <c:v>36.444712827886846</c:v>
                </c:pt>
                <c:pt idx="308">
                  <c:v>36.124875000119211</c:v>
                </c:pt>
                <c:pt idx="309">
                  <c:v>35.808052478251717</c:v>
                </c:pt>
                <c:pt idx="310">
                  <c:v>35.494460641246818</c:v>
                </c:pt>
                <c:pt idx="311">
                  <c:v>35.184314868971704</c:v>
                </c:pt>
                <c:pt idx="312">
                  <c:v>34.877830539484108</c:v>
                </c:pt>
                <c:pt idx="313">
                  <c:v>34.575223032385111</c:v>
                </c:pt>
                <c:pt idx="314">
                  <c:v>34.276707726371072</c:v>
                </c:pt>
                <c:pt idx="315">
                  <c:v>33.982499999925494</c:v>
                </c:pt>
                <c:pt idx="316">
                  <c:v>33.690176840871572</c:v>
                </c:pt>
                <c:pt idx="317">
                  <c:v>33.397817784441365</c:v>
                </c:pt>
                <c:pt idx="318">
                  <c:v>33.10639203736293</c:v>
                </c:pt>
                <c:pt idx="319">
                  <c:v>32.816868803756577</c:v>
                </c:pt>
                <c:pt idx="320">
                  <c:v>32.53021729255893</c:v>
                </c:pt>
                <c:pt idx="321">
                  <c:v>32.247406705362458</c:v>
                </c:pt>
                <c:pt idx="322">
                  <c:v>31.969406249560414</c:v>
                </c:pt>
                <c:pt idx="323">
                  <c:v>31.697185129672288</c:v>
                </c:pt>
                <c:pt idx="324">
                  <c:v>31.431712554501633</c:v>
                </c:pt>
                <c:pt idx="325">
                  <c:v>31.173957726040054</c:v>
                </c:pt>
                <c:pt idx="326">
                  <c:v>30.924889850270535</c:v>
                </c:pt>
                <c:pt idx="327">
                  <c:v>30.685478132697092</c:v>
                </c:pt>
                <c:pt idx="328">
                  <c:v>30.456691782788511</c:v>
                </c:pt>
                <c:pt idx="329">
                  <c:v>30.239499999582769</c:v>
                </c:pt>
                <c:pt idx="330">
                  <c:v>30.031748996994327</c:v>
                </c:pt>
                <c:pt idx="331">
                  <c:v>29.830854226648807</c:v>
                </c:pt>
                <c:pt idx="332">
                  <c:v>29.637138755087342</c:v>
                </c:pt>
                <c:pt idx="333">
                  <c:v>29.450925655875885</c:v>
                </c:pt>
                <c:pt idx="334">
                  <c:v>29.272537990872348</c:v>
                </c:pt>
                <c:pt idx="335">
                  <c:v>29.102298832578317</c:v>
                </c:pt>
                <c:pt idx="336">
                  <c:v>28.94053124934435</c:v>
                </c:pt>
                <c:pt idx="337">
                  <c:v>28.78755830739226</c:v>
                </c:pt>
                <c:pt idx="338">
                  <c:v>28.643703077839955</c:v>
                </c:pt>
                <c:pt idx="339">
                  <c:v>28.509288626696382</c:v>
                </c:pt>
                <c:pt idx="340">
                  <c:v>28.384638026037386</c:v>
                </c:pt>
                <c:pt idx="341">
                  <c:v>28.270074340701104</c:v>
                </c:pt>
                <c:pt idx="342">
                  <c:v>28.165920643295561</c:v>
                </c:pt>
                <c:pt idx="343">
                  <c:v>28.072499996423723</c:v>
                </c:pt>
                <c:pt idx="344">
                  <c:v>27.988669659623078</c:v>
                </c:pt>
                <c:pt idx="345">
                  <c:v>27.913274008461407</c:v>
                </c:pt>
                <c:pt idx="346">
                  <c:v>27.846616805664134</c:v>
                </c:pt>
                <c:pt idx="347">
                  <c:v>27.789001808847701</c:v>
                </c:pt>
                <c:pt idx="348">
                  <c:v>27.740732772435461</c:v>
                </c:pt>
                <c:pt idx="349">
                  <c:v>27.70211346000433</c:v>
                </c:pt>
                <c:pt idx="350">
                  <c:v>27.673447628319263</c:v>
                </c:pt>
                <c:pt idx="351">
                  <c:v>27.655039035635333</c:v>
                </c:pt>
                <c:pt idx="352">
                  <c:v>27.647191440314053</c:v>
                </c:pt>
                <c:pt idx="353">
                  <c:v>27.650208602419923</c:v>
                </c:pt>
                <c:pt idx="354">
                  <c:v>27.664394282230308</c:v>
                </c:pt>
                <c:pt idx="355">
                  <c:v>27.690052236403737</c:v>
                </c:pt>
                <c:pt idx="356">
                  <c:v>27.727486219789302</c:v>
                </c:pt>
                <c:pt idx="357">
                  <c:v>27.776999999582767</c:v>
                </c:pt>
                <c:pt idx="358">
                  <c:v>27.838636090060071</c:v>
                </c:pt>
                <c:pt idx="359">
                  <c:v>27.912092181245487</c:v>
                </c:pt>
                <c:pt idx="360">
                  <c:v>27.997154779434208</c:v>
                </c:pt>
                <c:pt idx="361">
                  <c:v>28.093610377609728</c:v>
                </c:pt>
                <c:pt idx="362">
                  <c:v>28.20124548226595</c:v>
                </c:pt>
                <c:pt idx="363">
                  <c:v>28.31984659999609</c:v>
                </c:pt>
                <c:pt idx="364">
                  <c:v>28.44920022964477</c:v>
                </c:pt>
                <c:pt idx="365">
                  <c:v>28.589092873434225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28.767141164856003</c:v>
                </c:pt>
                <c:pt idx="1">
                  <c:v>27.700774451172606</c:v>
                </c:pt>
                <c:pt idx="2">
                  <c:v>27.58667687662351</c:v>
                </c:pt>
                <c:pt idx="3">
                  <c:v>23.787440527034882</c:v>
                </c:pt>
                <c:pt idx="4">
                  <c:v>16.919002934899346</c:v>
                </c:pt>
                <c:pt idx="5">
                  <c:v>29.950318368832068</c:v>
                </c:pt>
                <c:pt idx="6">
                  <c:v>19.444347736940536</c:v>
                </c:pt>
                <c:pt idx="7">
                  <c:v>23.032683038014351</c:v>
                </c:pt>
                <c:pt idx="8">
                  <c:v>29.267673438612903</c:v>
                </c:pt>
                <c:pt idx="9">
                  <c:v>26.507126301272365</c:v>
                </c:pt>
                <c:pt idx="10">
                  <c:v>29.842314321550671</c:v>
                </c:pt>
                <c:pt idx="11">
                  <c:v>31.06915900574295</c:v>
                </c:pt>
                <c:pt idx="12">
                  <c:v>16.623085463395078</c:v>
                </c:pt>
                <c:pt idx="13">
                  <c:v>31.753841494972857</c:v>
                </c:pt>
                <c:pt idx="14">
                  <c:v>32.62432731925049</c:v>
                </c:pt>
                <c:pt idx="15">
                  <c:v>31.820475310957626</c:v>
                </c:pt>
                <c:pt idx="16">
                  <c:v>12.614398134606729</c:v>
                </c:pt>
                <c:pt idx="17">
                  <c:v>30.661484813289494</c:v>
                </c:pt>
                <c:pt idx="18">
                  <c:v>33.4781759439336</c:v>
                </c:pt>
                <c:pt idx="19">
                  <c:v>19.75459752863182</c:v>
                </c:pt>
                <c:pt idx="20">
                  <c:v>24.694624919253947</c:v>
                </c:pt>
                <c:pt idx="21">
                  <c:v>33.880643604916138</c:v>
                </c:pt>
                <c:pt idx="22">
                  <c:v>33.772529804178184</c:v>
                </c:pt>
                <c:pt idx="23">
                  <c:v>34.875269429553484</c:v>
                </c:pt>
                <c:pt idx="24">
                  <c:v>32.288114654998978</c:v>
                </c:pt>
                <c:pt idx="25">
                  <c:v>34.047521820123769</c:v>
                </c:pt>
                <c:pt idx="26">
                  <c:v>30.054040469475297</c:v>
                </c:pt>
                <c:pt idx="27">
                  <c:v>18.140123451777548</c:v>
                </c:pt>
                <c:pt idx="28">
                  <c:v>22.560776300734982</c:v>
                </c:pt>
                <c:pt idx="29">
                  <c:v>12.305895524222464</c:v>
                </c:pt>
                <c:pt idx="30">
                  <c:v>23.230245238916424</c:v>
                </c:pt>
                <c:pt idx="31">
                  <c:v>17.683006794963966</c:v>
                </c:pt>
                <c:pt idx="32">
                  <c:v>31.802968969314829</c:v>
                </c:pt>
                <c:pt idx="33">
                  <c:v>29.439960485046544</c:v>
                </c:pt>
                <c:pt idx="34">
                  <c:v>20.989724213200883</c:v>
                </c:pt>
                <c:pt idx="35">
                  <c:v>38.888374306898015</c:v>
                </c:pt>
                <c:pt idx="36">
                  <c:v>41.004542581463518</c:v>
                </c:pt>
                <c:pt idx="37">
                  <c:v>27.6544109096825</c:v>
                </c:pt>
                <c:pt idx="38">
                  <c:v>39.485093112915379</c:v>
                </c:pt>
                <c:pt idx="39">
                  <c:v>40.294311941413838</c:v>
                </c:pt>
                <c:pt idx="40">
                  <c:v>37.78219486426039</c:v>
                </c:pt>
                <c:pt idx="41">
                  <c:v>35.249540811228528</c:v>
                </c:pt>
                <c:pt idx="42">
                  <c:v>30.36203542631517</c:v>
                </c:pt>
                <c:pt idx="43">
                  <c:v>37.811432491234164</c:v>
                </c:pt>
                <c:pt idx="44">
                  <c:v>40.693105086860676</c:v>
                </c:pt>
                <c:pt idx="45">
                  <c:v>42.120737329566786</c:v>
                </c:pt>
                <c:pt idx="46">
                  <c:v>34.417893598161328</c:v>
                </c:pt>
                <c:pt idx="47">
                  <c:v>38.835369308971607</c:v>
                </c:pt>
                <c:pt idx="48">
                  <c:v>34.122699512103274</c:v>
                </c:pt>
                <c:pt idx="49">
                  <c:v>41.255245253729655</c:v>
                </c:pt>
                <c:pt idx="50">
                  <c:v>44.665553120035945</c:v>
                </c:pt>
                <c:pt idx="51">
                  <c:v>23.507922443525114</c:v>
                </c:pt>
                <c:pt idx="52">
                  <c:v>42.383788099046349</c:v>
                </c:pt>
                <c:pt idx="53">
                  <c:v>44.04907717434498</c:v>
                </c:pt>
                <c:pt idx="54">
                  <c:v>42.202501894458955</c:v>
                </c:pt>
                <c:pt idx="55">
                  <c:v>38.963373237809762</c:v>
                </c:pt>
                <c:pt idx="56">
                  <c:v>48.51160049177232</c:v>
                </c:pt>
                <c:pt idx="57">
                  <c:v>44.999579692306305</c:v>
                </c:pt>
                <c:pt idx="58">
                  <c:v>40.863117136509821</c:v>
                </c:pt>
                <c:pt idx="59">
                  <c:v>46.300334532075077</c:v>
                </c:pt>
                <c:pt idx="60">
                  <c:v>33.645098322767872</c:v>
                </c:pt>
                <c:pt idx="61">
                  <c:v>37.465231980084269</c:v>
                </c:pt>
                <c:pt idx="62">
                  <c:v>31.305227886602569</c:v>
                </c:pt>
                <c:pt idx="63">
                  <c:v>38.458441078302194</c:v>
                </c:pt>
                <c:pt idx="64">
                  <c:v>16.88749179346107</c:v>
                </c:pt>
                <c:pt idx="65">
                  <c:v>41.211792495970926</c:v>
                </c:pt>
                <c:pt idx="66">
                  <c:v>38.670808244768345</c:v>
                </c:pt>
                <c:pt idx="67">
                  <c:v>46.982445789324288</c:v>
                </c:pt>
                <c:pt idx="68">
                  <c:v>45.805582995042379</c:v>
                </c:pt>
                <c:pt idx="69">
                  <c:v>35.092284275887017</c:v>
                </c:pt>
                <c:pt idx="70">
                  <c:v>45.555962265985798</c:v>
                </c:pt>
                <c:pt idx="71">
                  <c:v>42.650905420994242</c:v>
                </c:pt>
                <c:pt idx="72">
                  <c:v>42.248499261755185</c:v>
                </c:pt>
                <c:pt idx="73">
                  <c:v>34.209482776257786</c:v>
                </c:pt>
                <c:pt idx="74">
                  <c:v>54.475764848808986</c:v>
                </c:pt>
                <c:pt idx="75">
                  <c:v>28.016167697203379</c:v>
                </c:pt>
                <c:pt idx="76">
                  <c:v>36.161356704838056</c:v>
                </c:pt>
                <c:pt idx="77">
                  <c:v>48.151919129153704</c:v>
                </c:pt>
                <c:pt idx="78">
                  <c:v>53.213779784597463</c:v>
                </c:pt>
                <c:pt idx="79">
                  <c:v>53.458089214511951</c:v>
                </c:pt>
                <c:pt idx="80">
                  <c:v>53.132913238257949</c:v>
                </c:pt>
                <c:pt idx="81">
                  <c:v>53.726378247452473</c:v>
                </c:pt>
                <c:pt idx="82">
                  <c:v>52.931336323355495</c:v>
                </c:pt>
                <c:pt idx="83">
                  <c:v>46.534768311108202</c:v>
                </c:pt>
                <c:pt idx="84">
                  <c:v>56.562989488883829</c:v>
                </c:pt>
                <c:pt idx="85">
                  <c:v>55.827090198915265</c:v>
                </c:pt>
                <c:pt idx="86">
                  <c:v>54.360653644959861</c:v>
                </c:pt>
                <c:pt idx="87">
                  <c:v>56.601597113397979</c:v>
                </c:pt>
                <c:pt idx="88">
                  <c:v>56.745534114329011</c:v>
                </c:pt>
                <c:pt idx="89">
                  <c:v>51.692988498313227</c:v>
                </c:pt>
                <c:pt idx="90">
                  <c:v>52.356654743992351</c:v>
                </c:pt>
                <c:pt idx="91">
                  <c:v>47.319485851291006</c:v>
                </c:pt>
                <c:pt idx="92">
                  <c:v>54.874354285186392</c:v>
                </c:pt>
                <c:pt idx="93">
                  <c:v>58.531654511187028</c:v>
                </c:pt>
                <c:pt idx="94">
                  <c:v>60.630362862646294</c:v>
                </c:pt>
                <c:pt idx="95">
                  <c:v>61.789879611435509</c:v>
                </c:pt>
                <c:pt idx="96">
                  <c:v>57.641590326418545</c:v>
                </c:pt>
                <c:pt idx="97">
                  <c:v>59.015866902452174</c:v>
                </c:pt>
                <c:pt idx="98">
                  <c:v>41.335283844945479</c:v>
                </c:pt>
                <c:pt idx="99">
                  <c:v>59.835762256445776</c:v>
                </c:pt>
                <c:pt idx="100">
                  <c:v>61.040326499043537</c:v>
                </c:pt>
                <c:pt idx="101">
                  <c:v>60.002961591028409</c:v>
                </c:pt>
                <c:pt idx="102">
                  <c:v>59.530054657867453</c:v>
                </c:pt>
                <c:pt idx="103">
                  <c:v>58.540655243985405</c:v>
                </c:pt>
                <c:pt idx="104">
                  <c:v>59.383919600806216</c:v>
                </c:pt>
                <c:pt idx="105">
                  <c:v>56.502985475141656</c:v>
                </c:pt>
                <c:pt idx="106">
                  <c:v>58.704491889636252</c:v>
                </c:pt>
                <c:pt idx="107">
                  <c:v>44.767493272933869</c:v>
                </c:pt>
                <c:pt idx="108">
                  <c:v>58.622323149510997</c:v>
                </c:pt>
                <c:pt idx="109">
                  <c:v>57.174498343837172</c:v>
                </c:pt>
                <c:pt idx="110">
                  <c:v>52.981756605548966</c:v>
                </c:pt>
                <c:pt idx="111">
                  <c:v>60.779702375651659</c:v>
                </c:pt>
                <c:pt idx="112">
                  <c:v>61.484717168911814</c:v>
                </c:pt>
                <c:pt idx="113">
                  <c:v>60.938970338666145</c:v>
                </c:pt>
                <c:pt idx="114">
                  <c:v>53.779346350507211</c:v>
                </c:pt>
                <c:pt idx="115">
                  <c:v>58.717250698812563</c:v>
                </c:pt>
                <c:pt idx="116">
                  <c:v>44.846932850316357</c:v>
                </c:pt>
                <c:pt idx="117">
                  <c:v>48.436349706395312</c:v>
                </c:pt>
                <c:pt idx="118">
                  <c:v>49.060314253198726</c:v>
                </c:pt>
                <c:pt idx="119">
                  <c:v>62.303261019981171</c:v>
                </c:pt>
                <c:pt idx="120">
                  <c:v>58.712576893324226</c:v>
                </c:pt>
                <c:pt idx="121">
                  <c:v>48.58732792238655</c:v>
                </c:pt>
                <c:pt idx="122">
                  <c:v>60.66641025918041</c:v>
                </c:pt>
                <c:pt idx="123">
                  <c:v>53.762353847555971</c:v>
                </c:pt>
                <c:pt idx="124">
                  <c:v>62.195002367063097</c:v>
                </c:pt>
                <c:pt idx="125">
                  <c:v>64.219243698545085</c:v>
                </c:pt>
                <c:pt idx="126">
                  <c:v>60.265273662889911</c:v>
                </c:pt>
                <c:pt idx="127">
                  <c:v>60.80360190588106</c:v>
                </c:pt>
                <c:pt idx="128">
                  <c:v>59.415493779908203</c:v>
                </c:pt>
                <c:pt idx="129">
                  <c:v>57.278927759846646</c:v>
                </c:pt>
                <c:pt idx="130">
                  <c:v>61.396232786922219</c:v>
                </c:pt>
                <c:pt idx="131">
                  <c:v>54.191031708919418</c:v>
                </c:pt>
                <c:pt idx="132">
                  <c:v>65.060121509053133</c:v>
                </c:pt>
                <c:pt idx="133">
                  <c:v>63.419199758926844</c:v>
                </c:pt>
                <c:pt idx="134">
                  <c:v>63.720230232595142</c:v>
                </c:pt>
                <c:pt idx="135">
                  <c:v>57.127425816284799</c:v>
                </c:pt>
                <c:pt idx="136">
                  <c:v>59.207432853837069</c:v>
                </c:pt>
                <c:pt idx="137">
                  <c:v>64.598562640471044</c:v>
                </c:pt>
                <c:pt idx="138">
                  <c:v>63.301181056084516</c:v>
                </c:pt>
                <c:pt idx="139">
                  <c:v>62.450618114879568</c:v>
                </c:pt>
                <c:pt idx="140">
                  <c:v>60.873954388671315</c:v>
                </c:pt>
                <c:pt idx="141">
                  <c:v>60.177941095555454</c:v>
                </c:pt>
                <c:pt idx="142">
                  <c:v>58.544637750972903</c:v>
                </c:pt>
                <c:pt idx="143">
                  <c:v>26.742649720256367</c:v>
                </c:pt>
                <c:pt idx="144">
                  <c:v>59.02247557748224</c:v>
                </c:pt>
                <c:pt idx="145">
                  <c:v>61.793070992258549</c:v>
                </c:pt>
                <c:pt idx="146">
                  <c:v>61.558653979625923</c:v>
                </c:pt>
                <c:pt idx="147">
                  <c:v>60.976736931549574</c:v>
                </c:pt>
                <c:pt idx="148">
                  <c:v>64.121433060958893</c:v>
                </c:pt>
                <c:pt idx="149">
                  <c:v>59.216456207612119</c:v>
                </c:pt>
                <c:pt idx="150">
                  <c:v>62.494074168087401</c:v>
                </c:pt>
                <c:pt idx="151">
                  <c:v>63.527407036379969</c:v>
                </c:pt>
                <c:pt idx="152">
                  <c:v>63.013679668505368</c:v>
                </c:pt>
                <c:pt idx="153">
                  <c:v>59.722823826763985</c:v>
                </c:pt>
                <c:pt idx="154">
                  <c:v>59.234814387524935</c:v>
                </c:pt>
                <c:pt idx="155">
                  <c:v>42.628678562631272</c:v>
                </c:pt>
                <c:pt idx="156">
                  <c:v>54.411394736000254</c:v>
                </c:pt>
                <c:pt idx="157">
                  <c:v>54.292344061536546</c:v>
                </c:pt>
                <c:pt idx="158">
                  <c:v>63.783632046651569</c:v>
                </c:pt>
                <c:pt idx="159">
                  <c:v>60.032633975701692</c:v>
                </c:pt>
                <c:pt idx="160">
                  <c:v>62.081644689027705</c:v>
                </c:pt>
                <c:pt idx="161">
                  <c:v>60.315252242082352</c:v>
                </c:pt>
                <c:pt idx="162">
                  <c:v>58.629383345992608</c:v>
                </c:pt>
                <c:pt idx="163">
                  <c:v>65.55404847482302</c:v>
                </c:pt>
                <c:pt idx="164">
                  <c:v>57.93177367847553</c:v>
                </c:pt>
                <c:pt idx="165">
                  <c:v>58.471371403840038</c:v>
                </c:pt>
                <c:pt idx="166">
                  <c:v>62.896396798110899</c:v>
                </c:pt>
                <c:pt idx="167">
                  <c:v>61.724084548861946</c:v>
                </c:pt>
                <c:pt idx="168">
                  <c:v>60.056691954059566</c:v>
                </c:pt>
                <c:pt idx="169">
                  <c:v>61.235074740567256</c:v>
                </c:pt>
                <c:pt idx="170">
                  <c:v>58.11759070939933</c:v>
                </c:pt>
                <c:pt idx="171">
                  <c:v>54.852267304881771</c:v>
                </c:pt>
                <c:pt idx="172">
                  <c:v>62.350039866865146</c:v>
                </c:pt>
                <c:pt idx="173">
                  <c:v>54.242625495320887</c:v>
                </c:pt>
                <c:pt idx="174">
                  <c:v>61.322953896057307</c:v>
                </c:pt>
                <c:pt idx="175">
                  <c:v>60.963352971258608</c:v>
                </c:pt>
                <c:pt idx="176">
                  <c:v>60.568355603676984</c:v>
                </c:pt>
                <c:pt idx="177">
                  <c:v>60.063496146867578</c:v>
                </c:pt>
                <c:pt idx="178">
                  <c:v>61.773732865744329</c:v>
                </c:pt>
                <c:pt idx="179">
                  <c:v>61.285763413908377</c:v>
                </c:pt>
                <c:pt idx="180">
                  <c:v>48.567329624942467</c:v>
                </c:pt>
                <c:pt idx="181">
                  <c:v>60.829668831248355</c:v>
                </c:pt>
                <c:pt idx="182">
                  <c:v>55.982473400012779</c:v>
                </c:pt>
                <c:pt idx="183">
                  <c:v>53.260020411249151</c:v>
                </c:pt>
                <c:pt idx="184">
                  <c:v>58.038793817867159</c:v>
                </c:pt>
                <c:pt idx="185">
                  <c:v>60.138519323498095</c:v>
                </c:pt>
                <c:pt idx="186">
                  <c:v>59.81714469792518</c:v>
                </c:pt>
                <c:pt idx="187">
                  <c:v>59.818398101836763</c:v>
                </c:pt>
                <c:pt idx="188">
                  <c:v>63.269155638139843</c:v>
                </c:pt>
                <c:pt idx="189">
                  <c:v>61.067654283520106</c:v>
                </c:pt>
                <c:pt idx="190">
                  <c:v>60.317768017858469</c:v>
                </c:pt>
                <c:pt idx="191">
                  <c:v>60.058702365360794</c:v>
                </c:pt>
                <c:pt idx="192">
                  <c:v>60.040514635762435</c:v>
                </c:pt>
                <c:pt idx="193">
                  <c:v>58.31890790849031</c:v>
                </c:pt>
                <c:pt idx="194">
                  <c:v>60.412493272450547</c:v>
                </c:pt>
                <c:pt idx="195">
                  <c:v>62.029169256698459</c:v>
                </c:pt>
                <c:pt idx="196">
                  <c:v>60.446549664611396</c:v>
                </c:pt>
                <c:pt idx="197">
                  <c:v>60.566791048252</c:v>
                </c:pt>
                <c:pt idx="198">
                  <c:v>59.709716377353324</c:v>
                </c:pt>
                <c:pt idx="199">
                  <c:v>60.093272883435894</c:v>
                </c:pt>
                <c:pt idx="200">
                  <c:v>59.221861562396249</c:v>
                </c:pt>
                <c:pt idx="201">
                  <c:v>56.773525960432131</c:v>
                </c:pt>
                <c:pt idx="202">
                  <c:v>55.683659624670192</c:v>
                </c:pt>
                <c:pt idx="203">
                  <c:v>57.020157721480658</c:v>
                </c:pt>
                <c:pt idx="204">
                  <c:v>57.130225133334037</c:v>
                </c:pt>
                <c:pt idx="205">
                  <c:v>58.039813998105629</c:v>
                </c:pt>
                <c:pt idx="206">
                  <c:v>59.521934873943664</c:v>
                </c:pt>
                <c:pt idx="207">
                  <c:v>61.041045203793381</c:v>
                </c:pt>
                <c:pt idx="208">
                  <c:v>56.607198272356136</c:v>
                </c:pt>
                <c:pt idx="209">
                  <c:v>59.144534762584179</c:v>
                </c:pt>
                <c:pt idx="210">
                  <c:v>51.485286251349898</c:v>
                </c:pt>
                <c:pt idx="211">
                  <c:v>58.548108667999664</c:v>
                </c:pt>
                <c:pt idx="212">
                  <c:v>58.177629280464245</c:v>
                </c:pt>
                <c:pt idx="213">
                  <c:v>58.260640586923572</c:v>
                </c:pt>
                <c:pt idx="214">
                  <c:v>57.582416608335059</c:v>
                </c:pt>
                <c:pt idx="215">
                  <c:v>55.96960592532713</c:v>
                </c:pt>
                <c:pt idx="216">
                  <c:v>54.752335956396053</c:v>
                </c:pt>
                <c:pt idx="217">
                  <c:v>57.804553829679008</c:v>
                </c:pt>
                <c:pt idx="218">
                  <c:v>56.930532447557674</c:v>
                </c:pt>
                <c:pt idx="219">
                  <c:v>57.743751717164187</c:v>
                </c:pt>
                <c:pt idx="220">
                  <c:v>56.250511188466319</c:v>
                </c:pt>
                <c:pt idx="221">
                  <c:v>54.321267794225101</c:v>
                </c:pt>
                <c:pt idx="222">
                  <c:v>52.572729783905686</c:v>
                </c:pt>
                <c:pt idx="223">
                  <c:v>52.081518877229691</c:v>
                </c:pt>
                <c:pt idx="224">
                  <c:v>50.157042918193603</c:v>
                </c:pt>
                <c:pt idx="225">
                  <c:v>57.247327740538942</c:v>
                </c:pt>
                <c:pt idx="226">
                  <c:v>50.015473109752712</c:v>
                </c:pt>
                <c:pt idx="227">
                  <c:v>56.868065915870055</c:v>
                </c:pt>
                <c:pt idx="228">
                  <c:v>54.878692753943</c:v>
                </c:pt>
                <c:pt idx="229">
                  <c:v>51.155268788996608</c:v>
                </c:pt>
                <c:pt idx="230">
                  <c:v>45.575246648150426</c:v>
                </c:pt>
                <c:pt idx="231">
                  <c:v>54.452136439558863</c:v>
                </c:pt>
                <c:pt idx="232">
                  <c:v>55.472998221971906</c:v>
                </c:pt>
                <c:pt idx="233">
                  <c:v>56.932210607769058</c:v>
                </c:pt>
                <c:pt idx="234">
                  <c:v>54.337170768740876</c:v>
                </c:pt>
                <c:pt idx="235">
                  <c:v>54.747664261265655</c:v>
                </c:pt>
                <c:pt idx="236">
                  <c:v>52.804588122486173</c:v>
                </c:pt>
                <c:pt idx="237">
                  <c:v>54.205725811203237</c:v>
                </c:pt>
                <c:pt idx="238">
                  <c:v>51.835560545336492</c:v>
                </c:pt>
                <c:pt idx="239">
                  <c:v>55.753732502644198</c:v>
                </c:pt>
                <c:pt idx="240">
                  <c:v>55.057615254458725</c:v>
                </c:pt>
                <c:pt idx="241">
                  <c:v>53.730779388968067</c:v>
                </c:pt>
                <c:pt idx="242">
                  <c:v>53.216072891494655</c:v>
                </c:pt>
                <c:pt idx="243">
                  <c:v>44.616826041056136</c:v>
                </c:pt>
                <c:pt idx="244">
                  <c:v>52.82794412076764</c:v>
                </c:pt>
                <c:pt idx="245">
                  <c:v>55.63834028982383</c:v>
                </c:pt>
                <c:pt idx="246">
                  <c:v>54.520522140500951</c:v>
                </c:pt>
                <c:pt idx="247">
                  <c:v>54.53002186266891</c:v>
                </c:pt>
                <c:pt idx="248">
                  <c:v>55.510997901314788</c:v>
                </c:pt>
                <c:pt idx="249">
                  <c:v>52.173352901498127</c:v>
                </c:pt>
                <c:pt idx="250">
                  <c:v>51.203240442877672</c:v>
                </c:pt>
                <c:pt idx="251">
                  <c:v>51.228956112547721</c:v>
                </c:pt>
                <c:pt idx="252">
                  <c:v>50.90303337020184</c:v>
                </c:pt>
                <c:pt idx="253">
                  <c:v>51.348594776222477</c:v>
                </c:pt>
                <c:pt idx="254">
                  <c:v>51.806611892360216</c:v>
                </c:pt>
                <c:pt idx="255">
                  <c:v>49.476808548086147</c:v>
                </c:pt>
                <c:pt idx="256">
                  <c:v>49.421570563132221</c:v>
                </c:pt>
                <c:pt idx="257">
                  <c:v>51.00676090295368</c:v>
                </c:pt>
                <c:pt idx="258">
                  <c:v>45.030086079266795</c:v>
                </c:pt>
                <c:pt idx="259">
                  <c:v>51.7558352691699</c:v>
                </c:pt>
                <c:pt idx="260">
                  <c:v>50.032297106703666</c:v>
                </c:pt>
                <c:pt idx="261">
                  <c:v>50.64039652855579</c:v>
                </c:pt>
                <c:pt idx="262">
                  <c:v>52.24702497422664</c:v>
                </c:pt>
                <c:pt idx="263">
                  <c:v>50.921191873462114</c:v>
                </c:pt>
                <c:pt idx="264">
                  <c:v>49.535355267430838</c:v>
                </c:pt>
                <c:pt idx="265">
                  <c:v>43.314137814675796</c:v>
                </c:pt>
                <c:pt idx="266">
                  <c:v>43.384541721518524</c:v>
                </c:pt>
                <c:pt idx="267">
                  <c:v>38.971690131300377</c:v>
                </c:pt>
                <c:pt idx="268">
                  <c:v>41.572893006475333</c:v>
                </c:pt>
                <c:pt idx="269">
                  <c:v>41.366659117573256</c:v>
                </c:pt>
                <c:pt idx="270">
                  <c:v>36.836006686533622</c:v>
                </c:pt>
                <c:pt idx="271">
                  <c:v>46.051965901147405</c:v>
                </c:pt>
                <c:pt idx="272">
                  <c:v>37.058781916389229</c:v>
                </c:pt>
                <c:pt idx="273">
                  <c:v>45.618686630492995</c:v>
                </c:pt>
                <c:pt idx="274">
                  <c:v>43.967860921635577</c:v>
                </c:pt>
                <c:pt idx="275">
                  <c:v>39.851429653028248</c:v>
                </c:pt>
                <c:pt idx="276">
                  <c:v>46.811239580800567</c:v>
                </c:pt>
                <c:pt idx="277">
                  <c:v>48.737288376896331</c:v>
                </c:pt>
                <c:pt idx="278">
                  <c:v>32.037742700397558</c:v>
                </c:pt>
                <c:pt idx="279">
                  <c:v>45.95674728395548</c:v>
                </c:pt>
                <c:pt idx="280">
                  <c:v>44.08585911576052</c:v>
                </c:pt>
                <c:pt idx="281">
                  <c:v>44.50891239902672</c:v>
                </c:pt>
                <c:pt idx="282">
                  <c:v>37.751152794670539</c:v>
                </c:pt>
                <c:pt idx="283">
                  <c:v>44.857995782913029</c:v>
                </c:pt>
                <c:pt idx="284">
                  <c:v>43.06156480177809</c:v>
                </c:pt>
                <c:pt idx="285">
                  <c:v>42.186291422825811</c:v>
                </c:pt>
                <c:pt idx="286">
                  <c:v>45.549482417186574</c:v>
                </c:pt>
                <c:pt idx="287">
                  <c:v>43.796338595835714</c:v>
                </c:pt>
                <c:pt idx="288">
                  <c:v>41.812215939762069</c:v>
                </c:pt>
                <c:pt idx="289">
                  <c:v>39.356868501239063</c:v>
                </c:pt>
                <c:pt idx="290">
                  <c:v>40.626836245820606</c:v>
                </c:pt>
                <c:pt idx="291">
                  <c:v>40.405295591154072</c:v>
                </c:pt>
                <c:pt idx="292">
                  <c:v>35.276334723455363</c:v>
                </c:pt>
                <c:pt idx="293">
                  <c:v>23.212774519208907</c:v>
                </c:pt>
                <c:pt idx="294">
                  <c:v>38.539741779187835</c:v>
                </c:pt>
                <c:pt idx="295">
                  <c:v>37.731513799556055</c:v>
                </c:pt>
                <c:pt idx="296">
                  <c:v>41.981963629803325</c:v>
                </c:pt>
                <c:pt idx="297">
                  <c:v>38.701357747255933</c:v>
                </c:pt>
                <c:pt idx="298">
                  <c:v>38.488384875395617</c:v>
                </c:pt>
                <c:pt idx="299">
                  <c:v>29.983519029323368</c:v>
                </c:pt>
                <c:pt idx="300">
                  <c:v>39.257780539476109</c:v>
                </c:pt>
                <c:pt idx="301">
                  <c:v>31.534576892719645</c:v>
                </c:pt>
                <c:pt idx="302">
                  <c:v>30.400555520503801</c:v>
                </c:pt>
                <c:pt idx="303">
                  <c:v>35.917509171902125</c:v>
                </c:pt>
                <c:pt idx="304">
                  <c:v>33.217100495865481</c:v>
                </c:pt>
                <c:pt idx="305">
                  <c:v>33.300423626379668</c:v>
                </c:pt>
                <c:pt idx="306">
                  <c:v>31.680473871325951</c:v>
                </c:pt>
                <c:pt idx="307">
                  <c:v>18.886875032481147</c:v>
                </c:pt>
                <c:pt idx="308">
                  <c:v>35.327686274356154</c:v>
                </c:pt>
                <c:pt idx="309">
                  <c:v>36.799919621138898</c:v>
                </c:pt>
                <c:pt idx="310">
                  <c:v>35.221815454766798</c:v>
                </c:pt>
                <c:pt idx="311">
                  <c:v>28.580031803596686</c:v>
                </c:pt>
                <c:pt idx="312">
                  <c:v>26.22479613054475</c:v>
                </c:pt>
                <c:pt idx="313">
                  <c:v>21.857548277600785</c:v>
                </c:pt>
                <c:pt idx="314">
                  <c:v>34.489541172073217</c:v>
                </c:pt>
                <c:pt idx="315">
                  <c:v>33.686357160072951</c:v>
                </c:pt>
                <c:pt idx="316">
                  <c:v>32.623038757538794</c:v>
                </c:pt>
                <c:pt idx="317">
                  <c:v>19.58493615154913</c:v>
                </c:pt>
                <c:pt idx="318">
                  <c:v>27.924813714733766</c:v>
                </c:pt>
                <c:pt idx="319">
                  <c:v>33.23954058727778</c:v>
                </c:pt>
                <c:pt idx="320">
                  <c:v>24.838157791635798</c:v>
                </c:pt>
                <c:pt idx="321">
                  <c:v>29.745287536442678</c:v>
                </c:pt>
                <c:pt idx="322">
                  <c:v>31.924931644225545</c:v>
                </c:pt>
                <c:pt idx="323">
                  <c:v>32.554516773217912</c:v>
                </c:pt>
                <c:pt idx="324">
                  <c:v>29.917682231011785</c:v>
                </c:pt>
                <c:pt idx="325">
                  <c:v>32.069171926586371</c:v>
                </c:pt>
                <c:pt idx="326">
                  <c:v>32.348955390885784</c:v>
                </c:pt>
                <c:pt idx="327">
                  <c:v>29.959800379951087</c:v>
                </c:pt>
                <c:pt idx="328">
                  <c:v>29.033907399331543</c:v>
                </c:pt>
                <c:pt idx="329">
                  <c:v>28.857430187211506</c:v>
                </c:pt>
                <c:pt idx="330">
                  <c:v>26.802315744867702</c:v>
                </c:pt>
                <c:pt idx="331">
                  <c:v>18.703888708428419</c:v>
                </c:pt>
                <c:pt idx="332">
                  <c:v>16.758916593732387</c:v>
                </c:pt>
                <c:pt idx="333">
                  <c:v>27.894604255922708</c:v>
                </c:pt>
                <c:pt idx="334">
                  <c:v>28.876381708820084</c:v>
                </c:pt>
                <c:pt idx="335">
                  <c:v>10.012976509324043</c:v>
                </c:pt>
                <c:pt idx="336">
                  <c:v>19.179192393399582</c:v>
                </c:pt>
                <c:pt idx="337">
                  <c:v>19.158831148998573</c:v>
                </c:pt>
                <c:pt idx="338">
                  <c:v>29.675148577196847</c:v>
                </c:pt>
                <c:pt idx="339">
                  <c:v>22.171647596043584</c:v>
                </c:pt>
                <c:pt idx="340">
                  <c:v>24.51491938242404</c:v>
                </c:pt>
                <c:pt idx="341">
                  <c:v>18.001380759086484</c:v>
                </c:pt>
                <c:pt idx="342">
                  <c:v>12.508888202524682</c:v>
                </c:pt>
                <c:pt idx="343">
                  <c:v>24.237624658257118</c:v>
                </c:pt>
                <c:pt idx="344">
                  <c:v>19.806310126672773</c:v>
                </c:pt>
                <c:pt idx="345">
                  <c:v>26.814406326002654</c:v>
                </c:pt>
                <c:pt idx="346">
                  <c:v>28.151976192045886</c:v>
                </c:pt>
                <c:pt idx="347">
                  <c:v>27.05277642016825</c:v>
                </c:pt>
                <c:pt idx="348">
                  <c:v>28.710535852153466</c:v>
                </c:pt>
                <c:pt idx="349">
                  <c:v>28.36247847047073</c:v>
                </c:pt>
                <c:pt idx="350">
                  <c:v>28.942207486281909</c:v>
                </c:pt>
                <c:pt idx="351">
                  <c:v>28.845869606100038</c:v>
                </c:pt>
                <c:pt idx="352">
                  <c:v>28.572996708311734</c:v>
                </c:pt>
                <c:pt idx="353">
                  <c:v>25.354958891522763</c:v>
                </c:pt>
                <c:pt idx="354">
                  <c:v>24.6464004878308</c:v>
                </c:pt>
                <c:pt idx="355">
                  <c:v>28.339103776749631</c:v>
                </c:pt>
                <c:pt idx="356">
                  <c:v>22.446630123759167</c:v>
                </c:pt>
                <c:pt idx="357">
                  <c:v>24.686219605998851</c:v>
                </c:pt>
                <c:pt idx="358">
                  <c:v>14.565704855109912</c:v>
                </c:pt>
                <c:pt idx="359">
                  <c:v>24.401144284830412</c:v>
                </c:pt>
                <c:pt idx="360">
                  <c:v>23.939485558369796</c:v>
                </c:pt>
                <c:pt idx="361">
                  <c:v>26.954334776843393</c:v>
                </c:pt>
                <c:pt idx="362">
                  <c:v>26.417584370860784</c:v>
                </c:pt>
                <c:pt idx="363">
                  <c:v>29.01951581106924</c:v>
                </c:pt>
                <c:pt idx="364">
                  <c:v>28.959989458050305</c:v>
                </c:pt>
                <c:pt idx="365">
                  <c:v>16.432050764210434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28.767141164856003</c:v>
                </c:pt>
                <c:pt idx="1">
                  <c:v>18.075052707468576</c:v>
                </c:pt>
                <c:pt idx="2">
                  <c:v>21.157328701116086</c:v>
                </c:pt>
                <c:pt idx="3">
                  <c:v>22.082872846879486</c:v>
                </c:pt>
                <c:pt idx="4">
                  <c:v>16.919002934899346</c:v>
                </c:pt>
                <c:pt idx="5">
                  <c:v>25.800666941081889</c:v>
                </c:pt>
                <c:pt idx="6">
                  <c:v>11.04566386997643</c:v>
                </c:pt>
                <c:pt idx="7">
                  <c:v>7.7565490624243933</c:v>
                </c:pt>
                <c:pt idx="8">
                  <c:v>2.3470064509342139</c:v>
                </c:pt>
                <c:pt idx="9">
                  <c:v>1.91596304294338</c:v>
                </c:pt>
                <c:pt idx="10">
                  <c:v>29.003742839255473</c:v>
                </c:pt>
                <c:pt idx="11">
                  <c:v>26.437401355737393</c:v>
                </c:pt>
                <c:pt idx="12">
                  <c:v>5.9362035582202575</c:v>
                </c:pt>
                <c:pt idx="13">
                  <c:v>31.753841494972857</c:v>
                </c:pt>
                <c:pt idx="14">
                  <c:v>32.62432731925049</c:v>
                </c:pt>
                <c:pt idx="15">
                  <c:v>31.820475310957626</c:v>
                </c:pt>
                <c:pt idx="16">
                  <c:v>12.614398134606729</c:v>
                </c:pt>
                <c:pt idx="17">
                  <c:v>4.0860629502729449</c:v>
                </c:pt>
                <c:pt idx="18">
                  <c:v>12.403926726402664</c:v>
                </c:pt>
                <c:pt idx="19">
                  <c:v>6.990488816807841</c:v>
                </c:pt>
                <c:pt idx="20">
                  <c:v>24.694624919253947</c:v>
                </c:pt>
                <c:pt idx="21">
                  <c:v>33.880643604916131</c:v>
                </c:pt>
                <c:pt idx="22">
                  <c:v>33.772529804178184</c:v>
                </c:pt>
                <c:pt idx="23">
                  <c:v>34.875269429553491</c:v>
                </c:pt>
                <c:pt idx="24">
                  <c:v>32.288114654998978</c:v>
                </c:pt>
                <c:pt idx="25">
                  <c:v>34.047521820123769</c:v>
                </c:pt>
                <c:pt idx="26">
                  <c:v>30.054040469475297</c:v>
                </c:pt>
                <c:pt idx="27">
                  <c:v>4.588868381262392</c:v>
                </c:pt>
                <c:pt idx="28">
                  <c:v>8.7304927751383499</c:v>
                </c:pt>
                <c:pt idx="29">
                  <c:v>5.0522537787017683</c:v>
                </c:pt>
                <c:pt idx="30">
                  <c:v>8.0576386679322987</c:v>
                </c:pt>
                <c:pt idx="31">
                  <c:v>17.683006794963966</c:v>
                </c:pt>
                <c:pt idx="32">
                  <c:v>5.8061453925679896</c:v>
                </c:pt>
                <c:pt idx="33">
                  <c:v>11.67673757194525</c:v>
                </c:pt>
                <c:pt idx="34">
                  <c:v>12.060602255327879</c:v>
                </c:pt>
                <c:pt idx="35">
                  <c:v>9.9519791913086575</c:v>
                </c:pt>
                <c:pt idx="36">
                  <c:v>27.228701626895671</c:v>
                </c:pt>
                <c:pt idx="37">
                  <c:v>9.7689911846394715</c:v>
                </c:pt>
                <c:pt idx="38">
                  <c:v>39.485093112915379</c:v>
                </c:pt>
                <c:pt idx="39">
                  <c:v>40.294311941413838</c:v>
                </c:pt>
                <c:pt idx="40">
                  <c:v>37.78219486426039</c:v>
                </c:pt>
                <c:pt idx="41">
                  <c:v>18.676056403593478</c:v>
                </c:pt>
                <c:pt idx="42">
                  <c:v>30.36203542631517</c:v>
                </c:pt>
                <c:pt idx="43">
                  <c:v>37.811432491234164</c:v>
                </c:pt>
                <c:pt idx="44">
                  <c:v>16.641609441650239</c:v>
                </c:pt>
                <c:pt idx="45">
                  <c:v>21.159527627749895</c:v>
                </c:pt>
                <c:pt idx="46">
                  <c:v>9.5347965928998004</c:v>
                </c:pt>
                <c:pt idx="47">
                  <c:v>12.026641368005238</c:v>
                </c:pt>
                <c:pt idx="48">
                  <c:v>34.122699512103274</c:v>
                </c:pt>
                <c:pt idx="49">
                  <c:v>20.537013384665521</c:v>
                </c:pt>
                <c:pt idx="50">
                  <c:v>22.330297010485058</c:v>
                </c:pt>
                <c:pt idx="51">
                  <c:v>23.507922443525114</c:v>
                </c:pt>
                <c:pt idx="52">
                  <c:v>37.156399467362718</c:v>
                </c:pt>
                <c:pt idx="53">
                  <c:v>39.486062325144545</c:v>
                </c:pt>
                <c:pt idx="54">
                  <c:v>27.220421977144728</c:v>
                </c:pt>
                <c:pt idx="55">
                  <c:v>32.253799830352605</c:v>
                </c:pt>
                <c:pt idx="56">
                  <c:v>48.511600491772313</c:v>
                </c:pt>
                <c:pt idx="57">
                  <c:v>28.578444490390428</c:v>
                </c:pt>
                <c:pt idx="58">
                  <c:v>40.863117136509821</c:v>
                </c:pt>
                <c:pt idx="59">
                  <c:v>46.300334532075077</c:v>
                </c:pt>
                <c:pt idx="60">
                  <c:v>13.58055888266464</c:v>
                </c:pt>
                <c:pt idx="61">
                  <c:v>37.465231980084269</c:v>
                </c:pt>
                <c:pt idx="62">
                  <c:v>4.011749536902208</c:v>
                </c:pt>
                <c:pt idx="63">
                  <c:v>13.742955042537705</c:v>
                </c:pt>
                <c:pt idx="64">
                  <c:v>16.88749179346107</c:v>
                </c:pt>
                <c:pt idx="65">
                  <c:v>41.211792495970926</c:v>
                </c:pt>
                <c:pt idx="66">
                  <c:v>38.670808244768345</c:v>
                </c:pt>
                <c:pt idx="67">
                  <c:v>33.801340473411372</c:v>
                </c:pt>
                <c:pt idx="68">
                  <c:v>28.586950773656881</c:v>
                </c:pt>
                <c:pt idx="69">
                  <c:v>18.21087482649542</c:v>
                </c:pt>
                <c:pt idx="70">
                  <c:v>14.97248431485143</c:v>
                </c:pt>
                <c:pt idx="71">
                  <c:v>8.6280535919231429</c:v>
                </c:pt>
                <c:pt idx="72">
                  <c:v>15.486840194269236</c:v>
                </c:pt>
                <c:pt idx="73">
                  <c:v>14.686914904262244</c:v>
                </c:pt>
                <c:pt idx="74">
                  <c:v>14.768096450196659</c:v>
                </c:pt>
                <c:pt idx="75">
                  <c:v>12.177462586602822</c:v>
                </c:pt>
                <c:pt idx="76">
                  <c:v>15.264263062726426</c:v>
                </c:pt>
                <c:pt idx="77">
                  <c:v>30.678563055353525</c:v>
                </c:pt>
                <c:pt idx="78">
                  <c:v>33.951470078383032</c:v>
                </c:pt>
                <c:pt idx="79">
                  <c:v>49.739265142364111</c:v>
                </c:pt>
                <c:pt idx="80">
                  <c:v>46.827802697380697</c:v>
                </c:pt>
                <c:pt idx="81">
                  <c:v>53.256901238281728</c:v>
                </c:pt>
                <c:pt idx="82">
                  <c:v>52.558735276974602</c:v>
                </c:pt>
                <c:pt idx="83">
                  <c:v>44.128244621381867</c:v>
                </c:pt>
                <c:pt idx="84">
                  <c:v>51.044484175438434</c:v>
                </c:pt>
                <c:pt idx="85">
                  <c:v>50.154635586562513</c:v>
                </c:pt>
                <c:pt idx="86">
                  <c:v>40.013104707036646</c:v>
                </c:pt>
                <c:pt idx="87">
                  <c:v>29.991189053342758</c:v>
                </c:pt>
                <c:pt idx="88">
                  <c:v>8.1542713327821481</c:v>
                </c:pt>
                <c:pt idx="89">
                  <c:v>27.685539335642911</c:v>
                </c:pt>
                <c:pt idx="90">
                  <c:v>32.902406578334187</c:v>
                </c:pt>
                <c:pt idx="91">
                  <c:v>21.138027471994604</c:v>
                </c:pt>
                <c:pt idx="92">
                  <c:v>26.195170780618355</c:v>
                </c:pt>
                <c:pt idx="93">
                  <c:v>49.509625163751778</c:v>
                </c:pt>
                <c:pt idx="94">
                  <c:v>56.844430963458578</c:v>
                </c:pt>
                <c:pt idx="95">
                  <c:v>12.016218291615191</c:v>
                </c:pt>
                <c:pt idx="96">
                  <c:v>43.593765169617761</c:v>
                </c:pt>
                <c:pt idx="97">
                  <c:v>37.389274076814218</c:v>
                </c:pt>
                <c:pt idx="98">
                  <c:v>36.859052779284241</c:v>
                </c:pt>
                <c:pt idx="99">
                  <c:v>59.835762256445776</c:v>
                </c:pt>
                <c:pt idx="100">
                  <c:v>50.051167997621299</c:v>
                </c:pt>
                <c:pt idx="101">
                  <c:v>41.62050038090841</c:v>
                </c:pt>
                <c:pt idx="102">
                  <c:v>8.4461102663290006</c:v>
                </c:pt>
                <c:pt idx="103">
                  <c:v>43.739473287746861</c:v>
                </c:pt>
                <c:pt idx="104">
                  <c:v>47.14099084903971</c:v>
                </c:pt>
                <c:pt idx="105">
                  <c:v>45.463712268272971</c:v>
                </c:pt>
                <c:pt idx="106">
                  <c:v>58.704491889636252</c:v>
                </c:pt>
                <c:pt idx="107">
                  <c:v>38.990998748693698</c:v>
                </c:pt>
                <c:pt idx="108">
                  <c:v>9.8408778770016028</c:v>
                </c:pt>
                <c:pt idx="109">
                  <c:v>10.195028304012483</c:v>
                </c:pt>
                <c:pt idx="110">
                  <c:v>9.7029591095045777</c:v>
                </c:pt>
                <c:pt idx="111">
                  <c:v>28.060113227050191</c:v>
                </c:pt>
                <c:pt idx="112">
                  <c:v>9.5615469188516826</c:v>
                </c:pt>
                <c:pt idx="113">
                  <c:v>31.397419807477387</c:v>
                </c:pt>
                <c:pt idx="114">
                  <c:v>47.751914670934042</c:v>
                </c:pt>
                <c:pt idx="115">
                  <c:v>58.717250698812563</c:v>
                </c:pt>
                <c:pt idx="116">
                  <c:v>44.846932850316357</c:v>
                </c:pt>
                <c:pt idx="117">
                  <c:v>25.270902365680808</c:v>
                </c:pt>
                <c:pt idx="118">
                  <c:v>45.861634108182514</c:v>
                </c:pt>
                <c:pt idx="119">
                  <c:v>47.004515109847631</c:v>
                </c:pt>
                <c:pt idx="120">
                  <c:v>50.954149693561234</c:v>
                </c:pt>
                <c:pt idx="121">
                  <c:v>31.57637706414117</c:v>
                </c:pt>
                <c:pt idx="122">
                  <c:v>41.322738805069307</c:v>
                </c:pt>
                <c:pt idx="123">
                  <c:v>22.109836084282311</c:v>
                </c:pt>
                <c:pt idx="124">
                  <c:v>46.309632245425448</c:v>
                </c:pt>
                <c:pt idx="125">
                  <c:v>44.039299471966501</c:v>
                </c:pt>
                <c:pt idx="126">
                  <c:v>54.75094564098449</c:v>
                </c:pt>
                <c:pt idx="127">
                  <c:v>53.886057948098731</c:v>
                </c:pt>
                <c:pt idx="128">
                  <c:v>59.415493779908196</c:v>
                </c:pt>
                <c:pt idx="129">
                  <c:v>57.278927759846646</c:v>
                </c:pt>
                <c:pt idx="130">
                  <c:v>61.396232786922219</c:v>
                </c:pt>
                <c:pt idx="131">
                  <c:v>43.896792045728127</c:v>
                </c:pt>
                <c:pt idx="132">
                  <c:v>45.064507963884282</c:v>
                </c:pt>
                <c:pt idx="133">
                  <c:v>55.902418915565725</c:v>
                </c:pt>
                <c:pt idx="134">
                  <c:v>58.313433366010017</c:v>
                </c:pt>
                <c:pt idx="135">
                  <c:v>55.771074903976235</c:v>
                </c:pt>
                <c:pt idx="136">
                  <c:v>59.207432853837069</c:v>
                </c:pt>
                <c:pt idx="137">
                  <c:v>56.112340323067961</c:v>
                </c:pt>
                <c:pt idx="138">
                  <c:v>59.81223470918551</c:v>
                </c:pt>
                <c:pt idx="139">
                  <c:v>54.422091483183401</c:v>
                </c:pt>
                <c:pt idx="140">
                  <c:v>55.515491980650339</c:v>
                </c:pt>
                <c:pt idx="141">
                  <c:v>44.15659837413051</c:v>
                </c:pt>
                <c:pt idx="142">
                  <c:v>20.699290012768348</c:v>
                </c:pt>
                <c:pt idx="143">
                  <c:v>18.083239349153256</c:v>
                </c:pt>
                <c:pt idx="144">
                  <c:v>45.999256538996697</c:v>
                </c:pt>
                <c:pt idx="145">
                  <c:v>30.014341148753509</c:v>
                </c:pt>
                <c:pt idx="146">
                  <c:v>47.618341654768791</c:v>
                </c:pt>
                <c:pt idx="147">
                  <c:v>59.263481800267343</c:v>
                </c:pt>
                <c:pt idx="148">
                  <c:v>64.121433060958907</c:v>
                </c:pt>
                <c:pt idx="149">
                  <c:v>51.755028824699089</c:v>
                </c:pt>
                <c:pt idx="150">
                  <c:v>57.987644397308202</c:v>
                </c:pt>
                <c:pt idx="151">
                  <c:v>60.141438553725308</c:v>
                </c:pt>
                <c:pt idx="152">
                  <c:v>45.49131553999112</c:v>
                </c:pt>
                <c:pt idx="153">
                  <c:v>59.722823826763985</c:v>
                </c:pt>
                <c:pt idx="154">
                  <c:v>27.027119219167947</c:v>
                </c:pt>
                <c:pt idx="155">
                  <c:v>37.410873393606138</c:v>
                </c:pt>
                <c:pt idx="156">
                  <c:v>53.619590788575124</c:v>
                </c:pt>
                <c:pt idx="157">
                  <c:v>27.586560283690957</c:v>
                </c:pt>
                <c:pt idx="158">
                  <c:v>22.781607288788567</c:v>
                </c:pt>
                <c:pt idx="159">
                  <c:v>53.747386544102199</c:v>
                </c:pt>
                <c:pt idx="160">
                  <c:v>62.081644689027698</c:v>
                </c:pt>
                <c:pt idx="161">
                  <c:v>60.315252242082352</c:v>
                </c:pt>
                <c:pt idx="162">
                  <c:v>47.513516440857693</c:v>
                </c:pt>
                <c:pt idx="163">
                  <c:v>57.176450407510856</c:v>
                </c:pt>
                <c:pt idx="164">
                  <c:v>54.991885212847144</c:v>
                </c:pt>
                <c:pt idx="165">
                  <c:v>58.471371403840045</c:v>
                </c:pt>
                <c:pt idx="166">
                  <c:v>56.396428549970572</c:v>
                </c:pt>
                <c:pt idx="167">
                  <c:v>56.312345635777717</c:v>
                </c:pt>
                <c:pt idx="168">
                  <c:v>60.056691954059566</c:v>
                </c:pt>
                <c:pt idx="169">
                  <c:v>61.235074740567256</c:v>
                </c:pt>
                <c:pt idx="170">
                  <c:v>32.372040628003944</c:v>
                </c:pt>
                <c:pt idx="171">
                  <c:v>24.136856138620903</c:v>
                </c:pt>
                <c:pt idx="172">
                  <c:v>45.641790308516818</c:v>
                </c:pt>
                <c:pt idx="173">
                  <c:v>46.36114337301678</c:v>
                </c:pt>
                <c:pt idx="174">
                  <c:v>42.608935336270079</c:v>
                </c:pt>
                <c:pt idx="175">
                  <c:v>40.323438774937273</c:v>
                </c:pt>
                <c:pt idx="176">
                  <c:v>13.067968648996214</c:v>
                </c:pt>
                <c:pt idx="177">
                  <c:v>16.09441363034896</c:v>
                </c:pt>
                <c:pt idx="178">
                  <c:v>61.77373286574435</c:v>
                </c:pt>
                <c:pt idx="179">
                  <c:v>61.28576341390837</c:v>
                </c:pt>
                <c:pt idx="180">
                  <c:v>15.080175638429735</c:v>
                </c:pt>
                <c:pt idx="181">
                  <c:v>51.234619809636143</c:v>
                </c:pt>
                <c:pt idx="182">
                  <c:v>37.47564541912508</c:v>
                </c:pt>
                <c:pt idx="183">
                  <c:v>53.260020411249144</c:v>
                </c:pt>
                <c:pt idx="184">
                  <c:v>48.236102227414889</c:v>
                </c:pt>
                <c:pt idx="185">
                  <c:v>60.138519323498087</c:v>
                </c:pt>
                <c:pt idx="186">
                  <c:v>49.046930919337697</c:v>
                </c:pt>
                <c:pt idx="187">
                  <c:v>59.818398101836763</c:v>
                </c:pt>
                <c:pt idx="188">
                  <c:v>61.791368480597036</c:v>
                </c:pt>
                <c:pt idx="189">
                  <c:v>61.067654283520113</c:v>
                </c:pt>
                <c:pt idx="190">
                  <c:v>60.317768017858462</c:v>
                </c:pt>
                <c:pt idx="191">
                  <c:v>59.284734181309368</c:v>
                </c:pt>
                <c:pt idx="192">
                  <c:v>58.860143794447758</c:v>
                </c:pt>
                <c:pt idx="193">
                  <c:v>58.31890790849031</c:v>
                </c:pt>
                <c:pt idx="194">
                  <c:v>57.987764622059281</c:v>
                </c:pt>
                <c:pt idx="195">
                  <c:v>55.630126027949636</c:v>
                </c:pt>
                <c:pt idx="196">
                  <c:v>57.163897369276832</c:v>
                </c:pt>
                <c:pt idx="197">
                  <c:v>57.324890866514217</c:v>
                </c:pt>
                <c:pt idx="198">
                  <c:v>59.70971637735331</c:v>
                </c:pt>
                <c:pt idx="199">
                  <c:v>46.814128941330075</c:v>
                </c:pt>
                <c:pt idx="200">
                  <c:v>46.926178940940723</c:v>
                </c:pt>
                <c:pt idx="201">
                  <c:v>56.773525960432131</c:v>
                </c:pt>
                <c:pt idx="202">
                  <c:v>47.725250698076486</c:v>
                </c:pt>
                <c:pt idx="203">
                  <c:v>47.681157440815845</c:v>
                </c:pt>
                <c:pt idx="204">
                  <c:v>57.064865907333974</c:v>
                </c:pt>
                <c:pt idx="205">
                  <c:v>28.028991426733498</c:v>
                </c:pt>
                <c:pt idx="206">
                  <c:v>59.521934873943657</c:v>
                </c:pt>
                <c:pt idx="207">
                  <c:v>61.041045203793374</c:v>
                </c:pt>
                <c:pt idx="208">
                  <c:v>46.230684500880947</c:v>
                </c:pt>
                <c:pt idx="209">
                  <c:v>32.007249468866618</c:v>
                </c:pt>
                <c:pt idx="210">
                  <c:v>51.485286251349898</c:v>
                </c:pt>
                <c:pt idx="211">
                  <c:v>58.548108667999671</c:v>
                </c:pt>
                <c:pt idx="212">
                  <c:v>58.177629280464245</c:v>
                </c:pt>
                <c:pt idx="213">
                  <c:v>58.260640586923572</c:v>
                </c:pt>
                <c:pt idx="214">
                  <c:v>57.582416608335059</c:v>
                </c:pt>
                <c:pt idx="215">
                  <c:v>55.96960592532713</c:v>
                </c:pt>
                <c:pt idx="216">
                  <c:v>46.118771983715554</c:v>
                </c:pt>
                <c:pt idx="217">
                  <c:v>54.303492783895877</c:v>
                </c:pt>
                <c:pt idx="218">
                  <c:v>56.930532447557674</c:v>
                </c:pt>
                <c:pt idx="219">
                  <c:v>57.743751717164187</c:v>
                </c:pt>
                <c:pt idx="220">
                  <c:v>55.459191357154921</c:v>
                </c:pt>
                <c:pt idx="221">
                  <c:v>53.422528844324901</c:v>
                </c:pt>
                <c:pt idx="222">
                  <c:v>51.794558810558392</c:v>
                </c:pt>
                <c:pt idx="223">
                  <c:v>52.081518877229684</c:v>
                </c:pt>
                <c:pt idx="224">
                  <c:v>40.686889093364208</c:v>
                </c:pt>
                <c:pt idx="225">
                  <c:v>36.676953572836929</c:v>
                </c:pt>
                <c:pt idx="226">
                  <c:v>39.217628439792236</c:v>
                </c:pt>
                <c:pt idx="227">
                  <c:v>40.605012973249941</c:v>
                </c:pt>
                <c:pt idx="228">
                  <c:v>31.40495432046259</c:v>
                </c:pt>
                <c:pt idx="229">
                  <c:v>39.870498383675908</c:v>
                </c:pt>
                <c:pt idx="230">
                  <c:v>41.632261015889071</c:v>
                </c:pt>
                <c:pt idx="231">
                  <c:v>54.452136439558863</c:v>
                </c:pt>
                <c:pt idx="232">
                  <c:v>40.675185001733915</c:v>
                </c:pt>
                <c:pt idx="233">
                  <c:v>29.38311920760297</c:v>
                </c:pt>
                <c:pt idx="234">
                  <c:v>52.650116822941889</c:v>
                </c:pt>
                <c:pt idx="235">
                  <c:v>53.244648617833462</c:v>
                </c:pt>
                <c:pt idx="236">
                  <c:v>32.030578816893147</c:v>
                </c:pt>
                <c:pt idx="237">
                  <c:v>42.80639221540558</c:v>
                </c:pt>
                <c:pt idx="238">
                  <c:v>51.835560545336492</c:v>
                </c:pt>
                <c:pt idx="239">
                  <c:v>53.004138362210199</c:v>
                </c:pt>
                <c:pt idx="240">
                  <c:v>36.449804661160208</c:v>
                </c:pt>
                <c:pt idx="241">
                  <c:v>52.312878751012029</c:v>
                </c:pt>
                <c:pt idx="242">
                  <c:v>27.110498064108</c:v>
                </c:pt>
                <c:pt idx="243">
                  <c:v>42.528119815696307</c:v>
                </c:pt>
                <c:pt idx="244">
                  <c:v>40.519932731083287</c:v>
                </c:pt>
                <c:pt idx="245">
                  <c:v>42.154561949851995</c:v>
                </c:pt>
                <c:pt idx="246">
                  <c:v>52.424036510392575</c:v>
                </c:pt>
                <c:pt idx="247">
                  <c:v>46.322398832064778</c:v>
                </c:pt>
                <c:pt idx="248">
                  <c:v>47.672407293417116</c:v>
                </c:pt>
                <c:pt idx="249">
                  <c:v>39.886494847761952</c:v>
                </c:pt>
                <c:pt idx="250">
                  <c:v>39.677872635341608</c:v>
                </c:pt>
                <c:pt idx="251">
                  <c:v>21.912466930324349</c:v>
                </c:pt>
                <c:pt idx="252">
                  <c:v>50.90303337020184</c:v>
                </c:pt>
                <c:pt idx="253">
                  <c:v>51.348594776222477</c:v>
                </c:pt>
                <c:pt idx="254">
                  <c:v>40.261453952754209</c:v>
                </c:pt>
                <c:pt idx="255">
                  <c:v>16.007346258294085</c:v>
                </c:pt>
                <c:pt idx="256">
                  <c:v>40.319327682459942</c:v>
                </c:pt>
                <c:pt idx="257">
                  <c:v>44.334981461629496</c:v>
                </c:pt>
                <c:pt idx="258">
                  <c:v>32.072070325435405</c:v>
                </c:pt>
                <c:pt idx="259">
                  <c:v>51.755835269169907</c:v>
                </c:pt>
                <c:pt idx="260">
                  <c:v>50.032297106703666</c:v>
                </c:pt>
                <c:pt idx="261">
                  <c:v>50.64039652855579</c:v>
                </c:pt>
                <c:pt idx="262">
                  <c:v>52.247024974226626</c:v>
                </c:pt>
                <c:pt idx="263">
                  <c:v>50.921191873462099</c:v>
                </c:pt>
                <c:pt idx="264">
                  <c:v>49.535355267430838</c:v>
                </c:pt>
                <c:pt idx="265">
                  <c:v>35.064969822917547</c:v>
                </c:pt>
                <c:pt idx="266">
                  <c:v>19.935003338820913</c:v>
                </c:pt>
                <c:pt idx="267">
                  <c:v>38.971690131300377</c:v>
                </c:pt>
                <c:pt idx="268">
                  <c:v>38.827431985342258</c:v>
                </c:pt>
                <c:pt idx="269">
                  <c:v>18.530373833954854</c:v>
                </c:pt>
                <c:pt idx="270">
                  <c:v>21.142667051916533</c:v>
                </c:pt>
                <c:pt idx="271">
                  <c:v>25.429969655657565</c:v>
                </c:pt>
                <c:pt idx="272">
                  <c:v>28.104190717732614</c:v>
                </c:pt>
                <c:pt idx="273">
                  <c:v>40.604730189969118</c:v>
                </c:pt>
                <c:pt idx="274">
                  <c:v>43.967860921635577</c:v>
                </c:pt>
                <c:pt idx="275">
                  <c:v>39.851429653028248</c:v>
                </c:pt>
                <c:pt idx="276">
                  <c:v>46.811239580800574</c:v>
                </c:pt>
                <c:pt idx="277">
                  <c:v>48.737288376896331</c:v>
                </c:pt>
                <c:pt idx="278">
                  <c:v>13.055742214743066</c:v>
                </c:pt>
                <c:pt idx="279">
                  <c:v>35.644940970110738</c:v>
                </c:pt>
                <c:pt idx="280">
                  <c:v>16.704480132638974</c:v>
                </c:pt>
                <c:pt idx="281">
                  <c:v>44.50891239902672</c:v>
                </c:pt>
                <c:pt idx="282">
                  <c:v>37.751152794670539</c:v>
                </c:pt>
                <c:pt idx="283">
                  <c:v>25.794408519304085</c:v>
                </c:pt>
                <c:pt idx="284">
                  <c:v>30.418614523541287</c:v>
                </c:pt>
                <c:pt idx="285">
                  <c:v>26.763515710459643</c:v>
                </c:pt>
                <c:pt idx="286">
                  <c:v>19.188526466446117</c:v>
                </c:pt>
                <c:pt idx="287">
                  <c:v>43.796338595835707</c:v>
                </c:pt>
                <c:pt idx="288">
                  <c:v>37.689232331907355</c:v>
                </c:pt>
                <c:pt idx="289">
                  <c:v>21.069879520217292</c:v>
                </c:pt>
                <c:pt idx="290">
                  <c:v>40.626836245820606</c:v>
                </c:pt>
                <c:pt idx="291">
                  <c:v>19.083952359236996</c:v>
                </c:pt>
                <c:pt idx="292">
                  <c:v>7.6551176035424886</c:v>
                </c:pt>
                <c:pt idx="293">
                  <c:v>19.771933425437503</c:v>
                </c:pt>
                <c:pt idx="294">
                  <c:v>38.539741779187835</c:v>
                </c:pt>
                <c:pt idx="295">
                  <c:v>18.737005071688571</c:v>
                </c:pt>
                <c:pt idx="296">
                  <c:v>31.824874769303964</c:v>
                </c:pt>
                <c:pt idx="297">
                  <c:v>25.904646219326629</c:v>
                </c:pt>
                <c:pt idx="298">
                  <c:v>14.303414530806471</c:v>
                </c:pt>
                <c:pt idx="299">
                  <c:v>18.453837872197962</c:v>
                </c:pt>
                <c:pt idx="300">
                  <c:v>19.238322738021694</c:v>
                </c:pt>
                <c:pt idx="301">
                  <c:v>31.534576892719645</c:v>
                </c:pt>
                <c:pt idx="302">
                  <c:v>28.945563468288999</c:v>
                </c:pt>
                <c:pt idx="303">
                  <c:v>27.248779762770805</c:v>
                </c:pt>
                <c:pt idx="304">
                  <c:v>21.566813212577582</c:v>
                </c:pt>
                <c:pt idx="305">
                  <c:v>33.300423626379668</c:v>
                </c:pt>
                <c:pt idx="306">
                  <c:v>10.52980039350544</c:v>
                </c:pt>
                <c:pt idx="307">
                  <c:v>18.886875032481147</c:v>
                </c:pt>
                <c:pt idx="308">
                  <c:v>35.327686274356154</c:v>
                </c:pt>
                <c:pt idx="309">
                  <c:v>36.799919621138898</c:v>
                </c:pt>
                <c:pt idx="310">
                  <c:v>35.221815454766798</c:v>
                </c:pt>
                <c:pt idx="311">
                  <c:v>26.09901523251013</c:v>
                </c:pt>
                <c:pt idx="312">
                  <c:v>11.650757929518294</c:v>
                </c:pt>
                <c:pt idx="313">
                  <c:v>21.857548277600785</c:v>
                </c:pt>
                <c:pt idx="314">
                  <c:v>34.489541172073224</c:v>
                </c:pt>
                <c:pt idx="315">
                  <c:v>33.686357160072951</c:v>
                </c:pt>
                <c:pt idx="316">
                  <c:v>32.623038757538794</c:v>
                </c:pt>
                <c:pt idx="317">
                  <c:v>12.356155087308435</c:v>
                </c:pt>
                <c:pt idx="318">
                  <c:v>14.17807127352037</c:v>
                </c:pt>
                <c:pt idx="319">
                  <c:v>33.239540587277787</c:v>
                </c:pt>
                <c:pt idx="320">
                  <c:v>14.941513169789804</c:v>
                </c:pt>
                <c:pt idx="321">
                  <c:v>19.05234810497808</c:v>
                </c:pt>
                <c:pt idx="322">
                  <c:v>7.5179013974032856</c:v>
                </c:pt>
                <c:pt idx="323">
                  <c:v>19.345334551067953</c:v>
                </c:pt>
                <c:pt idx="324">
                  <c:v>3.4568083250432</c:v>
                </c:pt>
                <c:pt idx="325">
                  <c:v>8.8580326032340526</c:v>
                </c:pt>
                <c:pt idx="326">
                  <c:v>14.603532831944131</c:v>
                </c:pt>
                <c:pt idx="327">
                  <c:v>15.660449809705749</c:v>
                </c:pt>
                <c:pt idx="328">
                  <c:v>4.9914450769354302</c:v>
                </c:pt>
                <c:pt idx="329">
                  <c:v>11.622206854507265</c:v>
                </c:pt>
                <c:pt idx="330">
                  <c:v>18.0792782652019</c:v>
                </c:pt>
                <c:pt idx="331">
                  <c:v>11.222649213316673</c:v>
                </c:pt>
                <c:pt idx="332">
                  <c:v>16.699506174583952</c:v>
                </c:pt>
                <c:pt idx="333">
                  <c:v>4.2779706641058199</c:v>
                </c:pt>
                <c:pt idx="334">
                  <c:v>4.0707212534728363</c:v>
                </c:pt>
                <c:pt idx="335">
                  <c:v>6.1018321927661026</c:v>
                </c:pt>
                <c:pt idx="336">
                  <c:v>11.822092415623212</c:v>
                </c:pt>
                <c:pt idx="337">
                  <c:v>19.158831148998573</c:v>
                </c:pt>
                <c:pt idx="338">
                  <c:v>29.675148577196847</c:v>
                </c:pt>
                <c:pt idx="339">
                  <c:v>13.339836229743399</c:v>
                </c:pt>
                <c:pt idx="340">
                  <c:v>24.51491938242404</c:v>
                </c:pt>
                <c:pt idx="341">
                  <c:v>4.5032348622609621</c:v>
                </c:pt>
                <c:pt idx="342">
                  <c:v>5.4420800869871684</c:v>
                </c:pt>
                <c:pt idx="343">
                  <c:v>12.583788632259081</c:v>
                </c:pt>
                <c:pt idx="344">
                  <c:v>19.806310126672773</c:v>
                </c:pt>
                <c:pt idx="345">
                  <c:v>7.6330573237688704</c:v>
                </c:pt>
                <c:pt idx="346">
                  <c:v>5.9248983254241798</c:v>
                </c:pt>
                <c:pt idx="347">
                  <c:v>19.256401714708687</c:v>
                </c:pt>
                <c:pt idx="348">
                  <c:v>6.4470662073143234</c:v>
                </c:pt>
                <c:pt idx="349">
                  <c:v>5.7565335117318668</c:v>
                </c:pt>
                <c:pt idx="350">
                  <c:v>3.7986221279309511</c:v>
                </c:pt>
                <c:pt idx="351">
                  <c:v>26.917209335131325</c:v>
                </c:pt>
                <c:pt idx="352">
                  <c:v>21.676945028717213</c:v>
                </c:pt>
                <c:pt idx="353">
                  <c:v>4.7769353118156621</c:v>
                </c:pt>
                <c:pt idx="354">
                  <c:v>24.6464004878308</c:v>
                </c:pt>
                <c:pt idx="355">
                  <c:v>22.061005368624308</c:v>
                </c:pt>
                <c:pt idx="356">
                  <c:v>22.446630123759167</c:v>
                </c:pt>
                <c:pt idx="357">
                  <c:v>24.686219605998851</c:v>
                </c:pt>
                <c:pt idx="358">
                  <c:v>14.565704855109912</c:v>
                </c:pt>
                <c:pt idx="359">
                  <c:v>24.401144284830412</c:v>
                </c:pt>
                <c:pt idx="360">
                  <c:v>7.9691689236308481</c:v>
                </c:pt>
                <c:pt idx="361">
                  <c:v>26.954334776843393</c:v>
                </c:pt>
                <c:pt idx="362">
                  <c:v>11.953216758040272</c:v>
                </c:pt>
                <c:pt idx="363">
                  <c:v>15.510303504815523</c:v>
                </c:pt>
                <c:pt idx="364">
                  <c:v>14.527172750696353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29.845499999999998</c:v>
                </c:pt>
                <c:pt idx="21">
                  <c:v>33.785499999999999</c:v>
                </c:pt>
                <c:pt idx="35">
                  <c:v>38.808999999999997</c:v>
                </c:pt>
                <c:pt idx="49">
                  <c:v>44.128</c:v>
                </c:pt>
                <c:pt idx="63">
                  <c:v>49.151499999999999</c:v>
                </c:pt>
                <c:pt idx="77">
                  <c:v>53.977999999999994</c:v>
                </c:pt>
                <c:pt idx="91">
                  <c:v>58.114999999999995</c:v>
                </c:pt>
                <c:pt idx="105">
                  <c:v>60.873000000000005</c:v>
                </c:pt>
                <c:pt idx="119">
                  <c:v>62.350499999999997</c:v>
                </c:pt>
                <c:pt idx="133">
                  <c:v>63.04</c:v>
                </c:pt>
                <c:pt idx="147">
                  <c:v>63.138500000000001</c:v>
                </c:pt>
                <c:pt idx="161">
                  <c:v>62.744499999999995</c:v>
                </c:pt>
                <c:pt idx="175">
                  <c:v>61.956499999999991</c:v>
                </c:pt>
                <c:pt idx="189">
                  <c:v>60.774500000000003</c:v>
                </c:pt>
                <c:pt idx="203">
                  <c:v>59.395500000000006</c:v>
                </c:pt>
                <c:pt idx="217">
                  <c:v>57.819499999999991</c:v>
                </c:pt>
                <c:pt idx="231">
                  <c:v>55.948</c:v>
                </c:pt>
                <c:pt idx="245">
                  <c:v>53.879499999999993</c:v>
                </c:pt>
                <c:pt idx="259">
                  <c:v>51.220000000000006</c:v>
                </c:pt>
                <c:pt idx="273">
                  <c:v>47.673999999999999</c:v>
                </c:pt>
                <c:pt idx="287">
                  <c:v>43.339999999999996</c:v>
                </c:pt>
                <c:pt idx="301">
                  <c:v>38.414999999999999</c:v>
                </c:pt>
                <c:pt idx="315">
                  <c:v>33.982500000000002</c:v>
                </c:pt>
                <c:pt idx="329">
                  <c:v>30.2395</c:v>
                </c:pt>
                <c:pt idx="343">
                  <c:v>28.072500000000002</c:v>
                </c:pt>
                <c:pt idx="357">
                  <c:v>27.776999999999997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819552"/>
        <c:axId val="182819944"/>
      </c:lineChart>
      <c:dateAx>
        <c:axId val="182819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2819944"/>
        <c:crosses val="autoZero"/>
        <c:auto val="1"/>
        <c:lblOffset val="100"/>
        <c:baseTimeUnit val="days"/>
        <c:majorUnit val="1"/>
        <c:majorTimeUnit val="months"/>
      </c:dateAx>
      <c:valAx>
        <c:axId val="18281994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28195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27.040154687202062</c:v>
                </c:pt>
                <c:pt idx="1">
                  <c:v>27.180468233725001</c:v>
                </c:pt>
                <c:pt idx="2">
                  <c:v>27.330340951226383</c:v>
                </c:pt>
                <c:pt idx="3">
                  <c:v>27.489568696434411</c:v>
                </c:pt>
                <c:pt idx="4">
                  <c:v>27.657947354351478</c:v>
                </c:pt>
                <c:pt idx="5">
                  <c:v>27.83527284673545</c:v>
                </c:pt>
                <c:pt idx="6">
                  <c:v>28.021341127173137</c:v>
                </c:pt>
                <c:pt idx="7">
                  <c:v>28.215948188761406</c:v>
                </c:pt>
                <c:pt idx="8">
                  <c:v>28.421347785986018</c:v>
                </c:pt>
                <c:pt idx="9">
                  <c:v>28.639344020944293</c:v>
                </c:pt>
                <c:pt idx="10">
                  <c:v>28.869043089969747</c:v>
                </c:pt>
                <c:pt idx="11">
                  <c:v>29.109556491489702</c:v>
                </c:pt>
                <c:pt idx="12">
                  <c:v>29.359995986937371</c:v>
                </c:pt>
                <c:pt idx="13">
                  <c:v>29.619473639299368</c:v>
                </c:pt>
                <c:pt idx="14">
                  <c:v>29.887101784940732</c:v>
                </c:pt>
                <c:pt idx="15">
                  <c:v>30.16197221849438</c:v>
                </c:pt>
                <c:pt idx="16">
                  <c:v>30.443187318776502</c:v>
                </c:pt>
                <c:pt idx="17">
                  <c:v>30.729860314993008</c:v>
                </c:pt>
                <c:pt idx="18">
                  <c:v>31.02110471939945</c:v>
                </c:pt>
                <c:pt idx="19">
                  <c:v>31.316034309730657</c:v>
                </c:pt>
                <c:pt idx="20">
                  <c:v>31.613763151954061</c:v>
                </c:pt>
                <c:pt idx="21">
                  <c:v>31.913405663200415</c:v>
                </c:pt>
                <c:pt idx="22">
                  <c:v>32.218051797182383</c:v>
                </c:pt>
                <c:pt idx="23">
                  <c:v>32.530815330299397</c:v>
                </c:pt>
                <c:pt idx="24">
                  <c:v>32.850873409113532</c:v>
                </c:pt>
                <c:pt idx="25">
                  <c:v>33.177410471893531</c:v>
                </c:pt>
                <c:pt idx="26">
                  <c:v>33.509611245991707</c:v>
                </c:pt>
                <c:pt idx="27">
                  <c:v>33.846660748120307</c:v>
                </c:pt>
                <c:pt idx="28">
                  <c:v>34.187744280606367</c:v>
                </c:pt>
                <c:pt idx="29">
                  <c:v>34.532039968573407</c:v>
                </c:pt>
                <c:pt idx="30">
                  <c:v>34.878754503405482</c:v>
                </c:pt>
                <c:pt idx="31">
                  <c:v>35.227074052980967</c:v>
                </c:pt>
                <c:pt idx="32">
                  <c:v>35.576185075700145</c:v>
                </c:pt>
                <c:pt idx="33">
                  <c:v>35.925274319698516</c:v>
                </c:pt>
                <c:pt idx="34">
                  <c:v>36.273528821579305</c:v>
                </c:pt>
                <c:pt idx="35">
                  <c:v>36.620135908515607</c:v>
                </c:pt>
                <c:pt idx="36">
                  <c:v>36.967636380526208</c:v>
                </c:pt>
                <c:pt idx="37">
                  <c:v>37.318706082901166</c:v>
                </c:pt>
                <c:pt idx="38">
                  <c:v>37.67275699372216</c:v>
                </c:pt>
                <c:pt idx="39">
                  <c:v>38.029178959712802</c:v>
                </c:pt>
                <c:pt idx="40">
                  <c:v>38.387362047163741</c:v>
                </c:pt>
                <c:pt idx="41">
                  <c:v>38.746696539634492</c:v>
                </c:pt>
                <c:pt idx="42">
                  <c:v>39.106572936183291</c:v>
                </c:pt>
                <c:pt idx="43">
                  <c:v>39.466383438687075</c:v>
                </c:pt>
                <c:pt idx="44">
                  <c:v>39.825526459610707</c:v>
                </c:pt>
                <c:pt idx="45">
                  <c:v>40.183393142026098</c:v>
                </c:pt>
                <c:pt idx="46">
                  <c:v>40.539374836864809</c:v>
                </c:pt>
                <c:pt idx="47">
                  <c:v>40.89286310119482</c:v>
                </c:pt>
                <c:pt idx="48">
                  <c:v>41.243249692659823</c:v>
                </c:pt>
                <c:pt idx="49">
                  <c:v>41.589926569943458</c:v>
                </c:pt>
                <c:pt idx="50">
                  <c:v>41.933588343175323</c:v>
                </c:pt>
                <c:pt idx="51">
                  <c:v>42.275401013445226</c:v>
                </c:pt>
                <c:pt idx="52">
                  <c:v>42.615466214088848</c:v>
                </c:pt>
                <c:pt idx="53">
                  <c:v>42.953885960993837</c:v>
                </c:pt>
                <c:pt idx="54">
                  <c:v>43.290762207083411</c:v>
                </c:pt>
                <c:pt idx="55">
                  <c:v>43.626196848617496</c:v>
                </c:pt>
                <c:pt idx="56">
                  <c:v>43.960291721013697</c:v>
                </c:pt>
                <c:pt idx="57">
                  <c:v>44.293149063520005</c:v>
                </c:pt>
                <c:pt idx="58">
                  <c:v>44.624869086412673</c:v>
                </c:pt>
                <c:pt idx="59">
                  <c:v>44.955553431741521</c:v>
                </c:pt>
                <c:pt idx="60">
                  <c:v>45.285303672318278</c:v>
                </c:pt>
                <c:pt idx="61">
                  <c:v>45.614221312170763</c:v>
                </c:pt>
                <c:pt idx="62">
                  <c:v>45.942407784424454</c:v>
                </c:pt>
                <c:pt idx="63">
                  <c:v>46.269964450565396</c:v>
                </c:pt>
                <c:pt idx="64">
                  <c:v>46.597837346166969</c:v>
                </c:pt>
                <c:pt idx="65">
                  <c:v>46.926568492151169</c:v>
                </c:pt>
                <c:pt idx="66">
                  <c:v>47.255652538175056</c:v>
                </c:pt>
                <c:pt idx="67">
                  <c:v>47.584582320810242</c:v>
                </c:pt>
                <c:pt idx="68">
                  <c:v>47.912850806109631</c:v>
                </c:pt>
                <c:pt idx="69">
                  <c:v>48.239951091846045</c:v>
                </c:pt>
                <c:pt idx="70">
                  <c:v>48.565376406809257</c:v>
                </c:pt>
                <c:pt idx="71">
                  <c:v>48.888619061852687</c:v>
                </c:pt>
                <c:pt idx="72">
                  <c:v>49.20917208549097</c:v>
                </c:pt>
                <c:pt idx="73">
                  <c:v>49.526529103593823</c:v>
                </c:pt>
                <c:pt idx="74">
                  <c:v>49.840183875977296</c:v>
                </c:pt>
                <c:pt idx="75">
                  <c:v>50.149630301340622</c:v>
                </c:pt>
                <c:pt idx="76">
                  <c:v>50.454362414863027</c:v>
                </c:pt>
                <c:pt idx="77">
                  <c:v>50.753874394306557</c:v>
                </c:pt>
                <c:pt idx="78">
                  <c:v>51.0504618057671</c:v>
                </c:pt>
                <c:pt idx="79">
                  <c:v>51.346283761608113</c:v>
                </c:pt>
                <c:pt idx="80">
                  <c:v>51.640629202923769</c:v>
                </c:pt>
                <c:pt idx="81">
                  <c:v>51.932789089724452</c:v>
                </c:pt>
                <c:pt idx="82">
                  <c:v>52.222054600709527</c:v>
                </c:pt>
                <c:pt idx="83">
                  <c:v>52.507717135775096</c:v>
                </c:pt>
                <c:pt idx="84">
                  <c:v>52.789068318554179</c:v>
                </c:pt>
                <c:pt idx="85">
                  <c:v>53.065400364931776</c:v>
                </c:pt>
                <c:pt idx="86">
                  <c:v>53.336006430505179</c:v>
                </c:pt>
                <c:pt idx="87">
                  <c:v>53.600178844340086</c:v>
                </c:pt>
                <c:pt idx="88">
                  <c:v>53.857210176893396</c:v>
                </c:pt>
                <c:pt idx="89">
                  <c:v>54.106393243112564</c:v>
                </c:pt>
                <c:pt idx="90">
                  <c:v>54.347021111511914</c:v>
                </c:pt>
                <c:pt idx="91">
                  <c:v>54.578387103120939</c:v>
                </c:pt>
                <c:pt idx="92">
                  <c:v>54.801335422588856</c:v>
                </c:pt>
                <c:pt idx="93">
                  <c:v>55.017248898964212</c:v>
                </c:pt>
                <c:pt idx="94">
                  <c:v>55.226230238463387</c:v>
                </c:pt>
                <c:pt idx="95">
                  <c:v>55.42838145324216</c:v>
                </c:pt>
                <c:pt idx="96">
                  <c:v>55.62380453746384</c:v>
                </c:pt>
                <c:pt idx="97">
                  <c:v>55.812601473716782</c:v>
                </c:pt>
                <c:pt idx="98">
                  <c:v>55.994874230096244</c:v>
                </c:pt>
                <c:pt idx="99">
                  <c:v>56.170723998831022</c:v>
                </c:pt>
                <c:pt idx="100">
                  <c:v>56.340252334232275</c:v>
                </c:pt>
                <c:pt idx="101">
                  <c:v>56.503561164055178</c:v>
                </c:pt>
                <c:pt idx="102">
                  <c:v>56.660752406418943</c:v>
                </c:pt>
                <c:pt idx="103">
                  <c:v>56.811927980972101</c:v>
                </c:pt>
                <c:pt idx="104">
                  <c:v>56.957189800992992</c:v>
                </c:pt>
                <c:pt idx="105">
                  <c:v>57.096639784881333</c:v>
                </c:pt>
                <c:pt idx="106">
                  <c:v>57.229033190929876</c:v>
                </c:pt>
                <c:pt idx="107">
                  <c:v>57.353394714587807</c:v>
                </c:pt>
                <c:pt idx="108">
                  <c:v>57.470231319410026</c:v>
                </c:pt>
                <c:pt idx="109">
                  <c:v>57.580049410020315</c:v>
                </c:pt>
                <c:pt idx="110">
                  <c:v>57.683355252298803</c:v>
                </c:pt>
                <c:pt idx="111">
                  <c:v>57.7806549786755</c:v>
                </c:pt>
                <c:pt idx="112">
                  <c:v>57.872454585592322</c:v>
                </c:pt>
                <c:pt idx="113">
                  <c:v>57.959259931920521</c:v>
                </c:pt>
                <c:pt idx="114">
                  <c:v>58.041577589874947</c:v>
                </c:pt>
                <c:pt idx="115">
                  <c:v>58.119913172391662</c:v>
                </c:pt>
                <c:pt idx="116">
                  <c:v>58.194772156681637</c:v>
                </c:pt>
                <c:pt idx="117">
                  <c:v>58.266659888107093</c:v>
                </c:pt>
                <c:pt idx="118">
                  <c:v>58.33608157883944</c:v>
                </c:pt>
                <c:pt idx="119">
                  <c:v>59.974818059867623</c:v>
                </c:pt>
                <c:pt idx="120">
                  <c:v>60.037916213271295</c:v>
                </c:pt>
                <c:pt idx="121">
                  <c:v>60.09636056907091</c:v>
                </c:pt>
                <c:pt idx="122">
                  <c:v>60.150360516245563</c:v>
                </c:pt>
                <c:pt idx="123">
                  <c:v>60.200124912896619</c:v>
                </c:pt>
                <c:pt idx="124">
                  <c:v>60.245862525739902</c:v>
                </c:pt>
                <c:pt idx="125">
                  <c:v>60.287782027836414</c:v>
                </c:pt>
                <c:pt idx="126">
                  <c:v>60.326091996570241</c:v>
                </c:pt>
                <c:pt idx="127">
                  <c:v>60.361000923008781</c:v>
                </c:pt>
                <c:pt idx="128">
                  <c:v>60.392717205936904</c:v>
                </c:pt>
                <c:pt idx="129">
                  <c:v>60.421449154337694</c:v>
                </c:pt>
                <c:pt idx="130">
                  <c:v>60.447404993035711</c:v>
                </c:pt>
                <c:pt idx="131">
                  <c:v>60.470792857845368</c:v>
                </c:pt>
                <c:pt idx="132">
                  <c:v>60.491820799766131</c:v>
                </c:pt>
                <c:pt idx="133">
                  <c:v>60.510696784796252</c:v>
                </c:pt>
                <c:pt idx="134">
                  <c:v>60.526887996032357</c:v>
                </c:pt>
                <c:pt idx="135">
                  <c:v>60.539793089280224</c:v>
                </c:pt>
                <c:pt idx="136">
                  <c:v>60.549517160366463</c:v>
                </c:pt>
                <c:pt idx="137">
                  <c:v>60.556165283597437</c:v>
                </c:pt>
                <c:pt idx="138">
                  <c:v>60.559842513978808</c:v>
                </c:pt>
                <c:pt idx="139">
                  <c:v>60.560653882482285</c:v>
                </c:pt>
                <c:pt idx="140">
                  <c:v>60.558704401149086</c:v>
                </c:pt>
                <c:pt idx="141">
                  <c:v>60.55409905755559</c:v>
                </c:pt>
                <c:pt idx="142">
                  <c:v>60.546942817371701</c:v>
                </c:pt>
                <c:pt idx="143">
                  <c:v>60.537340619700515</c:v>
                </c:pt>
                <c:pt idx="144">
                  <c:v>60.525397376835151</c:v>
                </c:pt>
                <c:pt idx="145">
                  <c:v>60.511217974963593</c:v>
                </c:pt>
                <c:pt idx="146">
                  <c:v>60.49490726830507</c:v>
                </c:pt>
                <c:pt idx="147">
                  <c:v>60.476570078288759</c:v>
                </c:pt>
                <c:pt idx="148">
                  <c:v>60.455829903689668</c:v>
                </c:pt>
                <c:pt idx="149">
                  <c:v>60.432310496524423</c:v>
                </c:pt>
                <c:pt idx="150">
                  <c:v>60.406117007411837</c:v>
                </c:pt>
                <c:pt idx="151">
                  <c:v>60.377354541985383</c:v>
                </c:pt>
                <c:pt idx="152">
                  <c:v>60.346128159458765</c:v>
                </c:pt>
                <c:pt idx="153">
                  <c:v>60.312542870903059</c:v>
                </c:pt>
                <c:pt idx="154">
                  <c:v>60.276703632265523</c:v>
                </c:pt>
                <c:pt idx="155">
                  <c:v>60.238715343969304</c:v>
                </c:pt>
                <c:pt idx="156">
                  <c:v>60.198682844740389</c:v>
                </c:pt>
                <c:pt idx="157">
                  <c:v>60.156710910074452</c:v>
                </c:pt>
                <c:pt idx="158">
                  <c:v>60.112904248265473</c:v>
                </c:pt>
                <c:pt idx="159">
                  <c:v>60.067367496084039</c:v>
                </c:pt>
                <c:pt idx="160">
                  <c:v>60.020205213089497</c:v>
                </c:pt>
                <c:pt idx="161">
                  <c:v>59.971521883683003</c:v>
                </c:pt>
                <c:pt idx="162">
                  <c:v>59.921164621226296</c:v>
                </c:pt>
                <c:pt idx="163">
                  <c:v>59.868912010836269</c:v>
                </c:pt>
                <c:pt idx="164">
                  <c:v>59.814765657658981</c:v>
                </c:pt>
                <c:pt idx="165">
                  <c:v>59.758727137992203</c:v>
                </c:pt>
                <c:pt idx="166">
                  <c:v>59.700797992981414</c:v>
                </c:pt>
                <c:pt idx="167">
                  <c:v>59.640979727790381</c:v>
                </c:pt>
                <c:pt idx="168">
                  <c:v>59.57927380612621</c:v>
                </c:pt>
                <c:pt idx="169">
                  <c:v>59.515681650789716</c:v>
                </c:pt>
                <c:pt idx="170">
                  <c:v>59.450204639241477</c:v>
                </c:pt>
                <c:pt idx="171">
                  <c:v>59.382844102740243</c:v>
                </c:pt>
                <c:pt idx="172">
                  <c:v>59.313601321880149</c:v>
                </c:pt>
                <c:pt idx="173">
                  <c:v>59.242477529486216</c:v>
                </c:pt>
                <c:pt idx="174">
                  <c:v>59.169473905565972</c:v>
                </c:pt>
                <c:pt idx="175">
                  <c:v>59.094591579079719</c:v>
                </c:pt>
                <c:pt idx="176">
                  <c:v>59.017386591301729</c:v>
                </c:pt>
                <c:pt idx="177">
                  <c:v>58.937552107070609</c:v>
                </c:pt>
                <c:pt idx="178">
                  <c:v>58.855294766162572</c:v>
                </c:pt>
                <c:pt idx="179">
                  <c:v>58.770821035020646</c:v>
                </c:pt>
                <c:pt idx="180">
                  <c:v>58.684337206171215</c:v>
                </c:pt>
                <c:pt idx="181">
                  <c:v>58.596049401694501</c:v>
                </c:pt>
                <c:pt idx="182">
                  <c:v>58.506163575049364</c:v>
                </c:pt>
                <c:pt idx="183">
                  <c:v>58.414885513618252</c:v>
                </c:pt>
                <c:pt idx="184">
                  <c:v>58.322420840176683</c:v>
                </c:pt>
                <c:pt idx="185">
                  <c:v>58.22897501648383</c:v>
                </c:pt>
                <c:pt idx="186">
                  <c:v>58.134753346851966</c:v>
                </c:pt>
                <c:pt idx="187">
                  <c:v>58.03996098117441</c:v>
                </c:pt>
                <c:pt idx="188">
                  <c:v>57.944802917765266</c:v>
                </c:pt>
                <c:pt idx="189">
                  <c:v>57.849484008465275</c:v>
                </c:pt>
                <c:pt idx="190">
                  <c:v>57.753696501016286</c:v>
                </c:pt>
                <c:pt idx="191">
                  <c:v>57.656996159410795</c:v>
                </c:pt>
                <c:pt idx="192">
                  <c:v>57.559382984476045</c:v>
                </c:pt>
                <c:pt idx="193">
                  <c:v>57.460856959342586</c:v>
                </c:pt>
                <c:pt idx="194">
                  <c:v>57.36141805210945</c:v>
                </c:pt>
                <c:pt idx="195">
                  <c:v>57.261066219390884</c:v>
                </c:pt>
                <c:pt idx="196">
                  <c:v>57.159801410362256</c:v>
                </c:pt>
                <c:pt idx="197">
                  <c:v>57.057623568268198</c:v>
                </c:pt>
                <c:pt idx="198">
                  <c:v>56.954532635125567</c:v>
                </c:pt>
                <c:pt idx="199">
                  <c:v>56.850528553915595</c:v>
                </c:pt>
                <c:pt idx="200">
                  <c:v>56.745611271849491</c:v>
                </c:pt>
                <c:pt idx="201">
                  <c:v>56.639780742751149</c:v>
                </c:pt>
                <c:pt idx="202">
                  <c:v>56.533036930662867</c:v>
                </c:pt>
                <c:pt idx="203">
                  <c:v>56.425379810763204</c:v>
                </c:pt>
                <c:pt idx="204">
                  <c:v>56.317031000973842</c:v>
                </c:pt>
                <c:pt idx="205">
                  <c:v>56.208143828381466</c:v>
                </c:pt>
                <c:pt idx="206">
                  <c:v>56.098615898783002</c:v>
                </c:pt>
                <c:pt idx="207">
                  <c:v>55.98834489405052</c:v>
                </c:pt>
                <c:pt idx="208">
                  <c:v>55.877228573753342</c:v>
                </c:pt>
                <c:pt idx="209">
                  <c:v>55.765164775925697</c:v>
                </c:pt>
                <c:pt idx="210">
                  <c:v>55.652051417510577</c:v>
                </c:pt>
                <c:pt idx="211">
                  <c:v>55.537786495163246</c:v>
                </c:pt>
                <c:pt idx="212">
                  <c:v>55.422268084903457</c:v>
                </c:pt>
                <c:pt idx="213">
                  <c:v>55.305394341759779</c:v>
                </c:pt>
                <c:pt idx="214">
                  <c:v>55.187063501446019</c:v>
                </c:pt>
                <c:pt idx="215">
                  <c:v>55.067173877328159</c:v>
                </c:pt>
                <c:pt idx="216">
                  <c:v>54.945623861391034</c:v>
                </c:pt>
                <c:pt idx="217">
                  <c:v>54.822311923652542</c:v>
                </c:pt>
                <c:pt idx="218">
                  <c:v>54.697170641383636</c:v>
                </c:pt>
                <c:pt idx="219">
                  <c:v>54.570268754899651</c:v>
                </c:pt>
                <c:pt idx="220">
                  <c:v>54.441709008359446</c:v>
                </c:pt>
                <c:pt idx="221">
                  <c:v>54.311594108286741</c:v>
                </c:pt>
                <c:pt idx="222">
                  <c:v>54.180026722479788</c:v>
                </c:pt>
                <c:pt idx="223">
                  <c:v>54.047109479857149</c:v>
                </c:pt>
                <c:pt idx="224">
                  <c:v>53.912944968967061</c:v>
                </c:pt>
                <c:pt idx="225">
                  <c:v>53.777634937653765</c:v>
                </c:pt>
                <c:pt idx="226">
                  <c:v>53.641281890826363</c:v>
                </c:pt>
                <c:pt idx="227">
                  <c:v>53.503988290362081</c:v>
                </c:pt>
                <c:pt idx="228">
                  <c:v>53.365856554031126</c:v>
                </c:pt>
                <c:pt idx="229">
                  <c:v>53.22698905520101</c:v>
                </c:pt>
                <c:pt idx="230">
                  <c:v>53.087488120715577</c:v>
                </c:pt>
                <c:pt idx="231">
                  <c:v>52.947456032604443</c:v>
                </c:pt>
                <c:pt idx="232">
                  <c:v>52.807623411718843</c:v>
                </c:pt>
                <c:pt idx="233">
                  <c:v>52.668379181764188</c:v>
                </c:pt>
                <c:pt idx="234">
                  <c:v>52.52931575363079</c:v>
                </c:pt>
                <c:pt idx="235">
                  <c:v>52.390025762800406</c:v>
                </c:pt>
                <c:pt idx="236">
                  <c:v>52.250102069647475</c:v>
                </c:pt>
                <c:pt idx="237">
                  <c:v>52.109137759124579</c:v>
                </c:pt>
                <c:pt idx="238">
                  <c:v>51.966726137208788</c:v>
                </c:pt>
                <c:pt idx="239">
                  <c:v>51.822459823787334</c:v>
                </c:pt>
                <c:pt idx="240">
                  <c:v>51.675933362802446</c:v>
                </c:pt>
                <c:pt idx="241">
                  <c:v>51.526740725625636</c:v>
                </c:pt>
                <c:pt idx="242">
                  <c:v>51.374476100175769</c:v>
                </c:pt>
                <c:pt idx="243">
                  <c:v>51.218733895920018</c:v>
                </c:pt>
                <c:pt idx="244">
                  <c:v>51.059108737158525</c:v>
                </c:pt>
                <c:pt idx="245">
                  <c:v>50.895195469566254</c:v>
                </c:pt>
                <c:pt idx="246">
                  <c:v>50.728267401196774</c:v>
                </c:pt>
                <c:pt idx="247">
                  <c:v>50.559665805160769</c:v>
                </c:pt>
                <c:pt idx="248">
                  <c:v>50.389088193725229</c:v>
                </c:pt>
                <c:pt idx="249">
                  <c:v>50.216230570123663</c:v>
                </c:pt>
                <c:pt idx="250">
                  <c:v>50.040789102509606</c:v>
                </c:pt>
                <c:pt idx="251">
                  <c:v>49.862460125232424</c:v>
                </c:pt>
                <c:pt idx="252">
                  <c:v>49.68094013617371</c:v>
                </c:pt>
                <c:pt idx="253">
                  <c:v>49.495924292342544</c:v>
                </c:pt>
                <c:pt idx="254">
                  <c:v>49.307110319760376</c:v>
                </c:pt>
                <c:pt idx="255">
                  <c:v>49.114195203782799</c:v>
                </c:pt>
                <c:pt idx="256">
                  <c:v>48.916876091054085</c:v>
                </c:pt>
                <c:pt idx="257">
                  <c:v>48.714850282847657</c:v>
                </c:pt>
                <c:pt idx="258">
                  <c:v>48.507815235692014</c:v>
                </c:pt>
                <c:pt idx="259">
                  <c:v>48.295468556616541</c:v>
                </c:pt>
                <c:pt idx="260">
                  <c:v>48.078049494582565</c:v>
                </c:pt>
                <c:pt idx="261">
                  <c:v>47.856065671157594</c:v>
                </c:pt>
                <c:pt idx="262">
                  <c:v>47.629619858007565</c:v>
                </c:pt>
                <c:pt idx="263">
                  <c:v>47.39881556965684</c:v>
                </c:pt>
                <c:pt idx="264">
                  <c:v>47.163756260455337</c:v>
                </c:pt>
                <c:pt idx="265">
                  <c:v>46.924545312768032</c:v>
                </c:pt>
                <c:pt idx="266">
                  <c:v>46.681286044533699</c:v>
                </c:pt>
                <c:pt idx="267">
                  <c:v>46.434085647446331</c:v>
                </c:pt>
                <c:pt idx="268">
                  <c:v>46.183048719696743</c:v>
                </c:pt>
                <c:pt idx="269">
                  <c:v>45.92827831866262</c:v>
                </c:pt>
                <c:pt idx="270">
                  <c:v>45.66987741613157</c:v>
                </c:pt>
                <c:pt idx="271">
                  <c:v>45.40794889835842</c:v>
                </c:pt>
                <c:pt idx="272">
                  <c:v>45.142595562734812</c:v>
                </c:pt>
                <c:pt idx="273">
                  <c:v>44.873920116370265</c:v>
                </c:pt>
                <c:pt idx="274">
                  <c:v>44.601332565667924</c:v>
                </c:pt>
                <c:pt idx="275">
                  <c:v>44.32431097677722</c:v>
                </c:pt>
                <c:pt idx="276">
                  <c:v>44.04306165730042</c:v>
                </c:pt>
                <c:pt idx="277">
                  <c:v>43.757788624775493</c:v>
                </c:pt>
                <c:pt idx="278">
                  <c:v>43.468695728759485</c:v>
                </c:pt>
                <c:pt idx="279">
                  <c:v>43.175986657359459</c:v>
                </c:pt>
                <c:pt idx="280">
                  <c:v>42.879864932069218</c:v>
                </c:pt>
                <c:pt idx="281">
                  <c:v>42.580529849009316</c:v>
                </c:pt>
                <c:pt idx="282">
                  <c:v>42.278180957883748</c:v>
                </c:pt>
                <c:pt idx="283">
                  <c:v>41.973021407347247</c:v>
                </c:pt>
                <c:pt idx="284">
                  <c:v>41.665254185909873</c:v>
                </c:pt>
                <c:pt idx="285">
                  <c:v>41.355082120087388</c:v>
                </c:pt>
                <c:pt idx="286">
                  <c:v>41.042707876643355</c:v>
                </c:pt>
                <c:pt idx="287">
                  <c:v>40.728333963853167</c:v>
                </c:pt>
                <c:pt idx="288">
                  <c:v>40.409244953449395</c:v>
                </c:pt>
                <c:pt idx="289">
                  <c:v>40.08333717687259</c:v>
                </c:pt>
                <c:pt idx="290">
                  <c:v>39.751724611171554</c:v>
                </c:pt>
                <c:pt idx="291">
                  <c:v>39.415520918867202</c:v>
                </c:pt>
                <c:pt idx="292">
                  <c:v>39.075839204712501</c:v>
                </c:pt>
                <c:pt idx="293">
                  <c:v>38.733792024752283</c:v>
                </c:pt>
                <c:pt idx="294">
                  <c:v>38.390491399804752</c:v>
                </c:pt>
                <c:pt idx="295">
                  <c:v>38.047048367788854</c:v>
                </c:pt>
                <c:pt idx="296">
                  <c:v>37.704577548318362</c:v>
                </c:pt>
                <c:pt idx="297">
                  <c:v>37.364189307304713</c:v>
                </c:pt>
                <c:pt idx="298">
                  <c:v>37.02699353009271</c:v>
                </c:pt>
                <c:pt idx="299">
                  <c:v>36.694099618349718</c:v>
                </c:pt>
                <c:pt idx="300">
                  <c:v>36.36661649217929</c:v>
                </c:pt>
                <c:pt idx="301">
                  <c:v>36.045652604001802</c:v>
                </c:pt>
                <c:pt idx="302">
                  <c:v>35.729099358956518</c:v>
                </c:pt>
                <c:pt idx="303">
                  <c:v>35.414226676432875</c:v>
                </c:pt>
                <c:pt idx="304">
                  <c:v>35.101231930605287</c:v>
                </c:pt>
                <c:pt idx="305">
                  <c:v>34.790315630558311</c:v>
                </c:pt>
                <c:pt idx="306">
                  <c:v>34.481678212155195</c:v>
                </c:pt>
                <c:pt idx="307">
                  <c:v>34.175520046651393</c:v>
                </c:pt>
                <c:pt idx="308">
                  <c:v>33.872041439319169</c:v>
                </c:pt>
                <c:pt idx="309">
                  <c:v>33.571402072241568</c:v>
                </c:pt>
                <c:pt idx="310">
                  <c:v>33.273803728409256</c:v>
                </c:pt>
                <c:pt idx="311">
                  <c:v>32.979447710693648</c:v>
                </c:pt>
                <c:pt idx="312">
                  <c:v>32.688535245304053</c:v>
                </c:pt>
                <c:pt idx="313">
                  <c:v>32.401267481578813</c:v>
                </c:pt>
                <c:pt idx="314">
                  <c:v>32.117845486267896</c:v>
                </c:pt>
                <c:pt idx="315">
                  <c:v>31.838470240744119</c:v>
                </c:pt>
                <c:pt idx="316">
                  <c:v>31.560870559454099</c:v>
                </c:pt>
                <c:pt idx="317">
                  <c:v>31.283208954694405</c:v>
                </c:pt>
                <c:pt idx="318">
                  <c:v>31.006408707241462</c:v>
                </c:pt>
                <c:pt idx="319">
                  <c:v>30.731378327044162</c:v>
                </c:pt>
                <c:pt idx="320">
                  <c:v>30.459025915270917</c:v>
                </c:pt>
                <c:pt idx="321">
                  <c:v>30.190259147485769</c:v>
                </c:pt>
                <c:pt idx="322">
                  <c:v>29.92598528073291</c:v>
                </c:pt>
                <c:pt idx="323">
                  <c:v>29.667122217492217</c:v>
                </c:pt>
                <c:pt idx="324">
                  <c:v>29.414611176404744</c:v>
                </c:pt>
                <c:pt idx="325">
                  <c:v>29.16935692188471</c:v>
                </c:pt>
                <c:pt idx="326">
                  <c:v>28.932263939439718</c:v>
                </c:pt>
                <c:pt idx="327">
                  <c:v>28.704236309324916</c:v>
                </c:pt>
                <c:pt idx="328">
                  <c:v>28.4861776755262</c:v>
                </c:pt>
                <c:pt idx="329">
                  <c:v>28.27899129149754</c:v>
                </c:pt>
                <c:pt idx="330">
                  <c:v>28.080658118937631</c:v>
                </c:pt>
                <c:pt idx="331">
                  <c:v>27.888782731587145</c:v>
                </c:pt>
                <c:pt idx="332">
                  <c:v>27.703697706523805</c:v>
                </c:pt>
                <c:pt idx="333">
                  <c:v>27.525701436484116</c:v>
                </c:pt>
                <c:pt idx="334">
                  <c:v>27.355092300639807</c:v>
                </c:pt>
                <c:pt idx="335">
                  <c:v>27.192168686270684</c:v>
                </c:pt>
                <c:pt idx="336">
                  <c:v>27.03722897461811</c:v>
                </c:pt>
                <c:pt idx="337">
                  <c:v>26.89058226867137</c:v>
                </c:pt>
                <c:pt idx="338">
                  <c:v>26.752516841663542</c:v>
                </c:pt>
                <c:pt idx="339">
                  <c:v>26.623331052546966</c:v>
                </c:pt>
                <c:pt idx="340">
                  <c:v>26.503323253994136</c:v>
                </c:pt>
                <c:pt idx="341">
                  <c:v>26.392791775090942</c:v>
                </c:pt>
                <c:pt idx="342">
                  <c:v>26.29203492981862</c:v>
                </c:pt>
                <c:pt idx="343">
                  <c:v>26.201350994309706</c:v>
                </c:pt>
                <c:pt idx="344">
                  <c:v>26.119668860655786</c:v>
                </c:pt>
                <c:pt idx="345">
                  <c:v>26.045905952553902</c:v>
                </c:pt>
                <c:pt idx="346">
                  <c:v>25.980350727547251</c:v>
                </c:pt>
                <c:pt idx="347">
                  <c:v>25.923284108279407</c:v>
                </c:pt>
                <c:pt idx="348">
                  <c:v>25.874986972390225</c:v>
                </c:pt>
                <c:pt idx="349">
                  <c:v>25.835740155016232</c:v>
                </c:pt>
                <c:pt idx="350">
                  <c:v>25.805824424852457</c:v>
                </c:pt>
                <c:pt idx="351">
                  <c:v>25.785551251921206</c:v>
                </c:pt>
                <c:pt idx="352">
                  <c:v>25.775190921075215</c:v>
                </c:pt>
                <c:pt idx="353">
                  <c:v>25.775023867815939</c:v>
                </c:pt>
                <c:pt idx="354">
                  <c:v>25.785330454782336</c:v>
                </c:pt>
                <c:pt idx="355">
                  <c:v>25.806390958575676</c:v>
                </c:pt>
                <c:pt idx="356">
                  <c:v>25.838485645450945</c:v>
                </c:pt>
                <c:pt idx="357">
                  <c:v>25.881894567942378</c:v>
                </c:pt>
                <c:pt idx="358">
                  <c:v>25.93665417046277</c:v>
                </c:pt>
                <c:pt idx="359">
                  <c:v>26.002479298735292</c:v>
                </c:pt>
                <c:pt idx="360">
                  <c:v>26.079177777404389</c:v>
                </c:pt>
                <c:pt idx="361">
                  <c:v>26.166517113615775</c:v>
                </c:pt>
                <c:pt idx="362">
                  <c:v>26.26429531094265</c:v>
                </c:pt>
                <c:pt idx="363">
                  <c:v>26.372310432868467</c:v>
                </c:pt>
                <c:pt idx="364">
                  <c:v>26.49036059213411</c:v>
                </c:pt>
                <c:pt idx="365">
                  <c:v>26.765257639668086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9.9359999999999999</c:v>
                </c:pt>
                <c:pt idx="1">
                  <c:v>1.591</c:v>
                </c:pt>
                <c:pt idx="2">
                  <c:v>16.375</c:v>
                </c:pt>
                <c:pt idx="3">
                  <c:v>14.668000000000001</c:v>
                </c:pt>
                <c:pt idx="4">
                  <c:v>14.482000000000001</c:v>
                </c:pt>
                <c:pt idx="5">
                  <c:v>4.7560000000000002</c:v>
                </c:pt>
                <c:pt idx="6">
                  <c:v>18.388999999999999</c:v>
                </c:pt>
                <c:pt idx="7">
                  <c:v>6.867</c:v>
                </c:pt>
                <c:pt idx="8">
                  <c:v>8.7880000000000003</c:v>
                </c:pt>
                <c:pt idx="9">
                  <c:v>25.059000000000001</c:v>
                </c:pt>
                <c:pt idx="10">
                  <c:v>4.5570000000000004</c:v>
                </c:pt>
                <c:pt idx="11">
                  <c:v>24.36</c:v>
                </c:pt>
                <c:pt idx="12">
                  <c:v>13.774000000000001</c:v>
                </c:pt>
                <c:pt idx="13">
                  <c:v>18.599</c:v>
                </c:pt>
                <c:pt idx="14">
                  <c:v>6.0609999999999999</c:v>
                </c:pt>
                <c:pt idx="15">
                  <c:v>3.6760000000000002</c:v>
                </c:pt>
                <c:pt idx="16">
                  <c:v>6.9169999999999998</c:v>
                </c:pt>
                <c:pt idx="17">
                  <c:v>19.811</c:v>
                </c:pt>
                <c:pt idx="18">
                  <c:v>10.411</c:v>
                </c:pt>
                <c:pt idx="19">
                  <c:v>18.664999999999999</c:v>
                </c:pt>
                <c:pt idx="20">
                  <c:v>6.7889999999999997</c:v>
                </c:pt>
                <c:pt idx="21">
                  <c:v>32.003277249954607</c:v>
                </c:pt>
                <c:pt idx="22">
                  <c:v>31.899106246266054</c:v>
                </c:pt>
                <c:pt idx="23">
                  <c:v>32.938418550596289</c:v>
                </c:pt>
                <c:pt idx="24">
                  <c:v>30.493101796902614</c:v>
                </c:pt>
                <c:pt idx="25">
                  <c:v>32.152272915041863</c:v>
                </c:pt>
                <c:pt idx="26">
                  <c:v>28.379353943709276</c:v>
                </c:pt>
                <c:pt idx="27">
                  <c:v>4.3330324697028209</c:v>
                </c:pt>
                <c:pt idx="28">
                  <c:v>8.2430876832062712</c:v>
                </c:pt>
                <c:pt idx="29">
                  <c:v>4.7698073202994289</c:v>
                </c:pt>
                <c:pt idx="30">
                  <c:v>7.6065514644231973</c:v>
                </c:pt>
                <c:pt idx="31">
                  <c:v>16.691536235602147</c:v>
                </c:pt>
                <c:pt idx="32">
                  <c:v>5.4801961761168707</c:v>
                </c:pt>
                <c:pt idx="33">
                  <c:v>11.020300482659934</c:v>
                </c:pt>
                <c:pt idx="34">
                  <c:v>11.381630688720486</c:v>
                </c:pt>
                <c:pt idx="35">
                  <c:v>9.3909330647058749</c:v>
                </c:pt>
                <c:pt idx="36">
                  <c:v>25.691132382516358</c:v>
                </c:pt>
                <c:pt idx="37">
                  <c:v>9.2167045094038453</c:v>
                </c:pt>
                <c:pt idx="38">
                  <c:v>37.248751762844009</c:v>
                </c:pt>
                <c:pt idx="39">
                  <c:v>38.008918328823995</c:v>
                </c:pt>
                <c:pt idx="40">
                  <c:v>35.636356945675558</c:v>
                </c:pt>
                <c:pt idx="41">
                  <c:v>17.61413880196508</c:v>
                </c:pt>
                <c:pt idx="42">
                  <c:v>28.632955344599829</c:v>
                </c:pt>
                <c:pt idx="43">
                  <c:v>35.654885401646958</c:v>
                </c:pt>
                <c:pt idx="44">
                  <c:v>15.691394515082296</c:v>
                </c:pt>
                <c:pt idx="45">
                  <c:v>19.949582565421192</c:v>
                </c:pt>
                <c:pt idx="46">
                  <c:v>8.9888691614541347</c:v>
                </c:pt>
                <c:pt idx="47">
                  <c:v>11.337076006953069</c:v>
                </c:pt>
                <c:pt idx="48">
                  <c:v>32.163023133898982</c:v>
                </c:pt>
                <c:pt idx="49">
                  <c:v>19.356109244547152</c:v>
                </c:pt>
                <c:pt idx="50">
                  <c:v>21.044470909681397</c:v>
                </c:pt>
                <c:pt idx="51">
                  <c:v>22.152396283081838</c:v>
                </c:pt>
                <c:pt idx="52">
                  <c:v>35.010619641231784</c:v>
                </c:pt>
                <c:pt idx="53">
                  <c:v>37.202561815594194</c:v>
                </c:pt>
                <c:pt idx="54">
                  <c:v>25.644271877743666</c:v>
                </c:pt>
                <c:pt idx="55">
                  <c:v>30.383555797118582</c:v>
                </c:pt>
                <c:pt idx="56">
                  <c:v>45.694446846073035</c:v>
                </c:pt>
                <c:pt idx="57">
                  <c:v>26.916838558833295</c:v>
                </c:pt>
                <c:pt idx="58">
                  <c:v>38.483780579653939</c:v>
                </c:pt>
                <c:pt idx="59">
                  <c:v>43.60062897112541</c:v>
                </c:pt>
                <c:pt idx="60">
                  <c:v>12.787817141472225</c:v>
                </c:pt>
                <c:pt idx="61">
                  <c:v>35.27491526278029</c:v>
                </c:pt>
                <c:pt idx="62">
                  <c:v>3.7769336738499719</c:v>
                </c:pt>
                <c:pt idx="63">
                  <c:v>12.937461617902914</c:v>
                </c:pt>
                <c:pt idx="64">
                  <c:v>15.896339488590373</c:v>
                </c:pt>
                <c:pt idx="65">
                  <c:v>38.789351186741541</c:v>
                </c:pt>
                <c:pt idx="66">
                  <c:v>36.394712030523017</c:v>
                </c:pt>
                <c:pt idx="67">
                  <c:v>31.809246033753507</c:v>
                </c:pt>
                <c:pt idx="68">
                  <c:v>26.899964642386525</c:v>
                </c:pt>
                <c:pt idx="69">
                  <c:v>17.134832598602145</c:v>
                </c:pt>
                <c:pt idx="70">
                  <c:v>14.086620087489498</c:v>
                </c:pt>
                <c:pt idx="71">
                  <c:v>8.1168811584624851</c:v>
                </c:pt>
                <c:pt idx="72">
                  <c:v>14.568088643546321</c:v>
                </c:pt>
                <c:pt idx="73">
                  <c:v>13.814453977385723</c:v>
                </c:pt>
                <c:pt idx="74">
                  <c:v>13.889641264077641</c:v>
                </c:pt>
                <c:pt idx="75">
                  <c:v>11.452139992221307</c:v>
                </c:pt>
                <c:pt idx="76">
                  <c:v>14.353869308476602</c:v>
                </c:pt>
                <c:pt idx="77">
                  <c:v>28.846284971828585</c:v>
                </c:pt>
                <c:pt idx="78">
                  <c:v>31.920997396141892</c:v>
                </c:pt>
                <c:pt idx="79">
                  <c:v>46.760489268726772</c:v>
                </c:pt>
                <c:pt idx="80">
                  <c:v>44.019694114459178</c:v>
                </c:pt>
                <c:pt idx="81">
                  <c:v>50.058958804248029</c:v>
                </c:pt>
                <c:pt idx="82">
                  <c:v>49.398530376617508</c:v>
                </c:pt>
                <c:pt idx="83">
                  <c:v>41.471470596692832</c:v>
                </c:pt>
                <c:pt idx="84">
                  <c:v>47.967164417101017</c:v>
                </c:pt>
                <c:pt idx="85">
                  <c:v>47.126935815151619</c:v>
                </c:pt>
                <c:pt idx="86">
                  <c:v>37.594449051057872</c:v>
                </c:pt>
                <c:pt idx="87">
                  <c:v>28.175934012671739</c:v>
                </c:pt>
                <c:pt idx="88">
                  <c:v>7.6600732918970529</c:v>
                </c:pt>
                <c:pt idx="89">
                  <c:v>26.005338558769648</c:v>
                </c:pt>
                <c:pt idx="90">
                  <c:v>30.902893132314507</c:v>
                </c:pt>
                <c:pt idx="91">
                  <c:v>19.851737921276243</c:v>
                </c:pt>
                <c:pt idx="92">
                  <c:v>24.598975316062369</c:v>
                </c:pt>
                <c:pt idx="93">
                  <c:v>46.488584866704898</c:v>
                </c:pt>
                <c:pt idx="94">
                  <c:v>53.371089050198208</c:v>
                </c:pt>
                <c:pt idx="95">
                  <c:v>11.281030868487042</c:v>
                </c:pt>
                <c:pt idx="96">
                  <c:v>40.922853875447686</c:v>
                </c:pt>
                <c:pt idx="97">
                  <c:v>35.095380448459181</c:v>
                </c:pt>
                <c:pt idx="98">
                  <c:v>34.594586574838225</c:v>
                </c:pt>
                <c:pt idx="99">
                  <c:v>56.154579625878384</c:v>
                </c:pt>
                <c:pt idx="100">
                  <c:v>46.967721405006337</c:v>
                </c:pt>
                <c:pt idx="101">
                  <c:v>39.052895285577655</c:v>
                </c:pt>
                <c:pt idx="102">
                  <c:v>7.9243443304405057</c:v>
                </c:pt>
                <c:pt idx="103">
                  <c:v>41.033626332610936</c:v>
                </c:pt>
                <c:pt idx="104">
                  <c:v>44.220632087213737</c:v>
                </c:pt>
                <c:pt idx="105">
                  <c:v>42.643306838329238</c:v>
                </c:pt>
                <c:pt idx="106">
                  <c:v>55.057531149046227</c:v>
                </c:pt>
                <c:pt idx="107">
                  <c:v>36.565304876245953</c:v>
                </c:pt>
                <c:pt idx="108">
                  <c:v>9.2277934342733445</c:v>
                </c:pt>
                <c:pt idx="109">
                  <c:v>9.5589744951831754</c:v>
                </c:pt>
                <c:pt idx="110">
                  <c:v>9.0967382417319431</c:v>
                </c:pt>
                <c:pt idx="111">
                  <c:v>26.30445485984712</c:v>
                </c:pt>
                <c:pt idx="112">
                  <c:v>8.9624400263613424</c:v>
                </c:pt>
                <c:pt idx="113">
                  <c:v>29.427272800681592</c:v>
                </c:pt>
                <c:pt idx="114">
                  <c:v>44.751189464482941</c:v>
                </c:pt>
                <c:pt idx="115">
                  <c:v>55.022083979808883</c:v>
                </c:pt>
                <c:pt idx="116">
                  <c:v>42.020517209277145</c:v>
                </c:pt>
                <c:pt idx="117">
                  <c:v>23.675899808866937</c:v>
                </c:pt>
                <c:pt idx="118">
                  <c:v>42.962755663386055</c:v>
                </c:pt>
                <c:pt idx="119">
                  <c:v>45.213546754472397</c:v>
                </c:pt>
                <c:pt idx="120">
                  <c:v>49.005375792540292</c:v>
                </c:pt>
                <c:pt idx="121">
                  <c:v>30.364181062338456</c:v>
                </c:pt>
                <c:pt idx="122">
                  <c:v>39.730444306550069</c:v>
                </c:pt>
                <c:pt idx="123">
                  <c:v>21.25469312586586</c:v>
                </c:pt>
                <c:pt idx="124">
                  <c:v>44.511843541578067</c:v>
                </c:pt>
                <c:pt idx="125">
                  <c:v>42.323300242685313</c:v>
                </c:pt>
                <c:pt idx="126">
                  <c:v>52.609668003015315</c:v>
                </c:pt>
                <c:pt idx="127">
                  <c:v>51.770827074057848</c:v>
                </c:pt>
                <c:pt idx="128">
                  <c:v>57.074628364138903</c:v>
                </c:pt>
                <c:pt idx="129">
                  <c:v>55.013958171087111</c:v>
                </c:pt>
                <c:pt idx="130">
                  <c:v>58.95957024053309</c:v>
                </c:pt>
                <c:pt idx="131">
                  <c:v>42.148282394949518</c:v>
                </c:pt>
                <c:pt idx="132">
                  <c:v>43.262955583815113</c:v>
                </c:pt>
                <c:pt idx="133">
                  <c:v>53.659491124436599</c:v>
                </c:pt>
                <c:pt idx="134">
                  <c:v>55.965308705026914</c:v>
                </c:pt>
                <c:pt idx="135">
                  <c:v>53.517226004326361</c:v>
                </c:pt>
                <c:pt idx="136">
                  <c:v>56.80610954163771</c:v>
                </c:pt>
                <c:pt idx="137">
                  <c:v>53.82838941943308</c:v>
                </c:pt>
                <c:pt idx="138">
                  <c:v>57.368985851625702</c:v>
                </c:pt>
                <c:pt idx="139">
                  <c:v>52.19110223641443</c:v>
                </c:pt>
                <c:pt idx="140">
                  <c:v>53.231596371183954</c:v>
                </c:pt>
                <c:pt idx="141">
                  <c:v>42.333573233359282</c:v>
                </c:pt>
                <c:pt idx="142">
                  <c:v>19.841694270928226</c:v>
                </c:pt>
                <c:pt idx="143">
                  <c:v>17.331393888779065</c:v>
                </c:pt>
                <c:pt idx="144">
                  <c:v>44.080042782438049</c:v>
                </c:pt>
                <c:pt idx="145">
                  <c:v>28.757684992573285</c:v>
                </c:pt>
                <c:pt idx="146">
                  <c:v>45.617688135423435</c:v>
                </c:pt>
                <c:pt idx="147">
                  <c:v>56.764923306861057</c:v>
                </c:pt>
                <c:pt idx="148">
                  <c:v>61.408712789031142</c:v>
                </c:pt>
                <c:pt idx="149">
                  <c:v>49.557936077561536</c:v>
                </c:pt>
                <c:pt idx="150">
                  <c:v>55.517514084645534</c:v>
                </c:pt>
                <c:pt idx="151">
                  <c:v>57.570798897020971</c:v>
                </c:pt>
                <c:pt idx="152">
                  <c:v>43.54024388862576</c:v>
                </c:pt>
                <c:pt idx="153">
                  <c:v>57.152684691822031</c:v>
                </c:pt>
                <c:pt idx="154">
                  <c:v>25.86008983922283</c:v>
                </c:pt>
                <c:pt idx="155">
                  <c:v>35.790035163509877</c:v>
                </c:pt>
                <c:pt idx="156">
                  <c:v>51.28871527291043</c:v>
                </c:pt>
                <c:pt idx="157">
                  <c:v>26.3833521075981</c:v>
                </c:pt>
                <c:pt idx="158">
                  <c:v>21.784667320960953</c:v>
                </c:pt>
                <c:pt idx="159">
                  <c:v>51.387576084772881</c:v>
                </c:pt>
                <c:pt idx="160">
                  <c:v>59.346931895733846</c:v>
                </c:pt>
                <c:pt idx="161">
                  <c:v>57.649634147282775</c:v>
                </c:pt>
                <c:pt idx="162">
                  <c:v>45.406811672585917</c:v>
                </c:pt>
                <c:pt idx="163">
                  <c:v>54.633061336860877</c:v>
                </c:pt>
                <c:pt idx="164">
                  <c:v>52.537760464453783</c:v>
                </c:pt>
                <c:pt idx="165">
                  <c:v>55.853568354875065</c:v>
                </c:pt>
                <c:pt idx="166">
                  <c:v>53.863434670758167</c:v>
                </c:pt>
                <c:pt idx="167">
                  <c:v>53.775067141128062</c:v>
                </c:pt>
                <c:pt idx="168">
                  <c:v>57.34212226520301</c:v>
                </c:pt>
                <c:pt idx="169">
                  <c:v>58.458509045838895</c:v>
                </c:pt>
                <c:pt idx="170">
                  <c:v>30.899596242191475</c:v>
                </c:pt>
                <c:pt idx="171">
                  <c:v>23.03556123326771</c:v>
                </c:pt>
                <c:pt idx="172">
                  <c:v>43.55281808502567</c:v>
                </c:pt>
                <c:pt idx="173">
                  <c:v>44.232689977846114</c:v>
                </c:pt>
                <c:pt idx="174">
                  <c:v>40.646733653480197</c:v>
                </c:pt>
                <c:pt idx="175">
                  <c:v>38.460809527067973</c:v>
                </c:pt>
                <c:pt idx="176">
                  <c:v>12.462494249470979</c:v>
                </c:pt>
                <c:pt idx="177">
                  <c:v>15.346460009953331</c:v>
                </c:pt>
                <c:pt idx="178">
                  <c:v>58.894292088167944</c:v>
                </c:pt>
                <c:pt idx="179">
                  <c:v>58.42051873160576</c:v>
                </c:pt>
                <c:pt idx="180">
                  <c:v>14.37304545521385</c:v>
                </c:pt>
                <c:pt idx="181">
                  <c:v>48.825044822547348</c:v>
                </c:pt>
                <c:pt idx="182">
                  <c:v>35.70796747249203</c:v>
                </c:pt>
                <c:pt idx="183">
                  <c:v>50.7404549835179</c:v>
                </c:pt>
                <c:pt idx="184">
                  <c:v>45.947554028480759</c:v>
                </c:pt>
                <c:pt idx="185">
                  <c:v>57.276994928716626</c:v>
                </c:pt>
                <c:pt idx="186">
                  <c:v>46.706440790466395</c:v>
                </c:pt>
                <c:pt idx="187">
                  <c:v>56.955713671573385</c:v>
                </c:pt>
                <c:pt idx="188">
                  <c:v>58.825828561123274</c:v>
                </c:pt>
                <c:pt idx="189">
                  <c:v>58.128529069161353</c:v>
                </c:pt>
                <c:pt idx="190">
                  <c:v>57.406536710527874</c:v>
                </c:pt>
                <c:pt idx="191">
                  <c:v>56.415323397636158</c:v>
                </c:pt>
                <c:pt idx="192">
                  <c:v>56.003319992709727</c:v>
                </c:pt>
                <c:pt idx="193">
                  <c:v>55.480480527099971</c:v>
                </c:pt>
                <c:pt idx="194">
                  <c:v>55.157642904217397</c:v>
                </c:pt>
                <c:pt idx="195">
                  <c:v>52.907592107427362</c:v>
                </c:pt>
                <c:pt idx="196">
                  <c:v>54.35863260622618</c:v>
                </c:pt>
                <c:pt idx="197">
                  <c:v>54.504051294183547</c:v>
                </c:pt>
                <c:pt idx="198">
                  <c:v>56.763546854406329</c:v>
                </c:pt>
                <c:pt idx="199">
                  <c:v>44.498005057523123</c:v>
                </c:pt>
                <c:pt idx="200">
                  <c:v>44.598265782422018</c:v>
                </c:pt>
                <c:pt idx="201">
                  <c:v>53.949563528993501</c:v>
                </c:pt>
                <c:pt idx="202">
                  <c:v>45.345028301526817</c:v>
                </c:pt>
                <c:pt idx="203">
                  <c:v>45.296822459857971</c:v>
                </c:pt>
                <c:pt idx="204">
                  <c:v>54.203750230301686</c:v>
                </c:pt>
                <c:pt idx="205">
                  <c:v>26.619977544052457</c:v>
                </c:pt>
                <c:pt idx="206">
                  <c:v>56.521935575278071</c:v>
                </c:pt>
                <c:pt idx="207">
                  <c:v>57.956454230000027</c:v>
                </c:pt>
                <c:pt idx="208">
                  <c:v>43.888437343031704</c:v>
                </c:pt>
                <c:pt idx="209">
                  <c:v>30.381427990056256</c:v>
                </c:pt>
                <c:pt idx="210">
                  <c:v>48.86333188186385</c:v>
                </c:pt>
                <c:pt idx="211">
                  <c:v>55.558820310366528</c:v>
                </c:pt>
                <c:pt idx="212">
                  <c:v>55.199665556344449</c:v>
                </c:pt>
                <c:pt idx="213">
                  <c:v>55.270837196662583</c:v>
                </c:pt>
                <c:pt idx="214">
                  <c:v>54.619926925072207</c:v>
                </c:pt>
                <c:pt idx="215">
                  <c:v>53.082821008520114</c:v>
                </c:pt>
                <c:pt idx="216">
                  <c:v>43.734088171331834</c:v>
                </c:pt>
                <c:pt idx="217">
                  <c:v>51.488563891618391</c:v>
                </c:pt>
                <c:pt idx="218">
                  <c:v>53.972061965845143</c:v>
                </c:pt>
                <c:pt idx="219">
                  <c:v>54.735562959521225</c:v>
                </c:pt>
                <c:pt idx="220">
                  <c:v>52.56286500637394</c:v>
                </c:pt>
                <c:pt idx="221">
                  <c:v>50.625685861477407</c:v>
                </c:pt>
                <c:pt idx="222">
                  <c:v>49.076284483995614</c:v>
                </c:pt>
                <c:pt idx="223">
                  <c:v>49.341496406740418</c:v>
                </c:pt>
                <c:pt idx="224">
                  <c:v>38.541124111271927</c:v>
                </c:pt>
                <c:pt idx="225">
                  <c:v>34.737970420172303</c:v>
                </c:pt>
                <c:pt idx="226">
                  <c:v>37.139314404248893</c:v>
                </c:pt>
                <c:pt idx="227">
                  <c:v>38.447991255406492</c:v>
                </c:pt>
                <c:pt idx="228">
                  <c:v>29.732655887879158</c:v>
                </c:pt>
                <c:pt idx="229">
                  <c:v>37.742337857532128</c:v>
                </c:pt>
                <c:pt idx="230">
                  <c:v>39.40477153442805</c:v>
                </c:pt>
                <c:pt idx="231">
                  <c:v>51.531817695323369</c:v>
                </c:pt>
                <c:pt idx="232">
                  <c:v>38.488587995896459</c:v>
                </c:pt>
                <c:pt idx="233">
                  <c:v>27.799842725485053</c:v>
                </c:pt>
                <c:pt idx="234">
                  <c:v>49.806453705955349</c:v>
                </c:pt>
                <c:pt idx="235">
                  <c:v>50.362154223384302</c:v>
                </c:pt>
                <c:pt idx="236">
                  <c:v>30.292529151513506</c:v>
                </c:pt>
                <c:pt idx="237">
                  <c:v>40.478226285671887</c:v>
                </c:pt>
                <c:pt idx="238">
                  <c:v>49.009784247512236</c:v>
                </c:pt>
                <c:pt idx="239">
                  <c:v>50.108004625561698</c:v>
                </c:pt>
                <c:pt idx="240">
                  <c:v>34.453667994762718</c:v>
                </c:pt>
                <c:pt idx="241">
                  <c:v>49.441420980265391</c:v>
                </c:pt>
                <c:pt idx="242">
                  <c:v>25.61907563578611</c:v>
                </c:pt>
                <c:pt idx="243">
                  <c:v>40.183178358154024</c:v>
                </c:pt>
                <c:pt idx="244">
                  <c:v>38.280692561056341</c:v>
                </c:pt>
                <c:pt idx="245">
                  <c:v>39.819749588149755</c:v>
                </c:pt>
                <c:pt idx="246">
                  <c:v>49.513856723908468</c:v>
                </c:pt>
                <c:pt idx="247">
                  <c:v>43.745249097930937</c:v>
                </c:pt>
                <c:pt idx="248">
                  <c:v>45.014255917727844</c:v>
                </c:pt>
                <c:pt idx="249">
                  <c:v>37.657628489500688</c:v>
                </c:pt>
                <c:pt idx="250">
                  <c:v>37.455798306537183</c:v>
                </c:pt>
                <c:pt idx="251">
                  <c:v>20.682718811686147</c:v>
                </c:pt>
                <c:pt idx="252">
                  <c:v>48.039726202402321</c:v>
                </c:pt>
                <c:pt idx="253">
                  <c:v>48.453954203338519</c:v>
                </c:pt>
                <c:pt idx="254">
                  <c:v>37.987056844876534</c:v>
                </c:pt>
                <c:pt idx="255">
                  <c:v>15.101266634004181</c:v>
                </c:pt>
                <c:pt idx="256">
                  <c:v>38.031905842198093</c:v>
                </c:pt>
                <c:pt idx="257">
                  <c:v>41.814335176018524</c:v>
                </c:pt>
                <c:pt idx="258">
                  <c:v>30.244924907577158</c:v>
                </c:pt>
                <c:pt idx="259">
                  <c:v>48.800708997443905</c:v>
                </c:pt>
                <c:pt idx="260">
                  <c:v>47.169620824957299</c:v>
                </c:pt>
                <c:pt idx="261">
                  <c:v>47.736872534225121</c:v>
                </c:pt>
                <c:pt idx="262">
                  <c:v>49.24517036261409</c:v>
                </c:pt>
                <c:pt idx="263">
                  <c:v>47.989478779674656</c:v>
                </c:pt>
                <c:pt idx="264">
                  <c:v>46.677591728561559</c:v>
                </c:pt>
                <c:pt idx="265">
                  <c:v>33.038187602749105</c:v>
                </c:pt>
                <c:pt idx="266">
                  <c:v>18.780601143636193</c:v>
                </c:pt>
                <c:pt idx="267">
                  <c:v>36.709894405527642</c:v>
                </c:pt>
                <c:pt idx="268">
                  <c:v>36.569501183314841</c:v>
                </c:pt>
                <c:pt idx="269">
                  <c:v>17.450911100588296</c:v>
                </c:pt>
                <c:pt idx="270">
                  <c:v>19.908566839762528</c:v>
                </c:pt>
                <c:pt idx="271">
                  <c:v>23.942632030293534</c:v>
                </c:pt>
                <c:pt idx="272">
                  <c:v>26.457187909497723</c:v>
                </c:pt>
                <c:pt idx="273">
                  <c:v>38.220109604392114</c:v>
                </c:pt>
                <c:pt idx="274">
                  <c:v>41.38062520224296</c:v>
                </c:pt>
                <c:pt idx="275">
                  <c:v>37.502089898971306</c:v>
                </c:pt>
                <c:pt idx="276">
                  <c:v>44.046045235241081</c:v>
                </c:pt>
                <c:pt idx="277">
                  <c:v>45.852904413461509</c:v>
                </c:pt>
                <c:pt idx="278">
                  <c:v>12.282074473124323</c:v>
                </c:pt>
                <c:pt idx="279">
                  <c:v>33.527935855591771</c:v>
                </c:pt>
                <c:pt idx="280">
                  <c:v>15.710901482550049</c:v>
                </c:pt>
                <c:pt idx="281">
                  <c:v>41.855327078038172</c:v>
                </c:pt>
                <c:pt idx="282">
                  <c:v>35.49666539946351</c:v>
                </c:pt>
                <c:pt idx="283">
                  <c:v>24.251563690772699</c:v>
                </c:pt>
                <c:pt idx="284">
                  <c:v>28.595764779012111</c:v>
                </c:pt>
                <c:pt idx="285">
                  <c:v>25.156976209662904</c:v>
                </c:pt>
                <c:pt idx="286">
                  <c:v>18.03485190818148</c:v>
                </c:pt>
                <c:pt idx="287">
                  <c:v>41.157173619873682</c:v>
                </c:pt>
                <c:pt idx="288">
                  <c:v>35.414403621168766</c:v>
                </c:pt>
                <c:pt idx="289">
                  <c:v>19.796444532511565</c:v>
                </c:pt>
                <c:pt idx="290">
                  <c:v>38.166058140192284</c:v>
                </c:pt>
                <c:pt idx="291">
                  <c:v>17.926670860284919</c:v>
                </c:pt>
                <c:pt idx="292">
                  <c:v>7.1901957545669397</c:v>
                </c:pt>
                <c:pt idx="293">
                  <c:v>18.568884994334972</c:v>
                </c:pt>
                <c:pt idx="294">
                  <c:v>36.189661594118576</c:v>
                </c:pt>
                <c:pt idx="295">
                  <c:v>17.593183728225476</c:v>
                </c:pt>
                <c:pt idx="296">
                  <c:v>29.878182534643038</c:v>
                </c:pt>
                <c:pt idx="297">
                  <c:v>24.317767718214096</c:v>
                </c:pt>
                <c:pt idx="298">
                  <c:v>13.426091712247104</c:v>
                </c:pt>
                <c:pt idx="299">
                  <c:v>17.319982252019816</c:v>
                </c:pt>
                <c:pt idx="300">
                  <c:v>18.054348307273056</c:v>
                </c:pt>
                <c:pt idx="301">
                  <c:v>29.590020441353062</c:v>
                </c:pt>
                <c:pt idx="302">
                  <c:v>27.157972495851531</c:v>
                </c:pt>
                <c:pt idx="303">
                  <c:v>25.56340726667144</c:v>
                </c:pt>
                <c:pt idx="304">
                  <c:v>20.231024557884641</c:v>
                </c:pt>
                <c:pt idx="305">
                  <c:v>31.233807063254602</c:v>
                </c:pt>
                <c:pt idx="306">
                  <c:v>9.8758064399212575</c:v>
                </c:pt>
                <c:pt idx="307">
                  <c:v>17.71166518816392</c:v>
                </c:pt>
                <c:pt idx="308">
                  <c:v>33.124634762587448</c:v>
                </c:pt>
                <c:pt idx="309">
                  <c:v>34.501314992703662</c:v>
                </c:pt>
                <c:pt idx="310">
                  <c:v>33.01824236015463</c:v>
                </c:pt>
                <c:pt idx="311">
                  <c:v>24.464192176761117</c:v>
                </c:pt>
                <c:pt idx="312">
                  <c:v>10.920315057041332</c:v>
                </c:pt>
                <c:pt idx="313">
                  <c:v>20.484228001763551</c:v>
                </c:pt>
                <c:pt idx="314">
                  <c:v>32.317273966329083</c:v>
                </c:pt>
                <c:pt idx="315">
                  <c:v>31.561055745248467</c:v>
                </c:pt>
                <c:pt idx="316">
                  <c:v>30.561349275784981</c:v>
                </c:pt>
                <c:pt idx="317">
                  <c:v>11.575243672870581</c:v>
                </c:pt>
                <c:pt idx="318">
                  <c:v>13.280388862461679</c:v>
                </c:pt>
                <c:pt idx="319">
                  <c:v>31.127189596097036</c:v>
                </c:pt>
                <c:pt idx="320">
                  <c:v>13.992220498923334</c:v>
                </c:pt>
                <c:pt idx="321">
                  <c:v>17.839119002208996</c:v>
                </c:pt>
                <c:pt idx="322">
                  <c:v>7.038992661380326</c:v>
                </c:pt>
                <c:pt idx="323">
                  <c:v>18.108909775394384</c:v>
                </c:pt>
                <c:pt idx="324">
                  <c:v>3.2358694885557049</c:v>
                </c:pt>
                <c:pt idx="325">
                  <c:v>8.2909344301621406</c:v>
                </c:pt>
                <c:pt idx="326">
                  <c:v>13.665935624365867</c:v>
                </c:pt>
                <c:pt idx="327">
                  <c:v>14.652932263899457</c:v>
                </c:pt>
                <c:pt idx="328">
                  <c:v>4.6702741073940679</c:v>
                </c:pt>
                <c:pt idx="329">
                  <c:v>10.872585029648246</c:v>
                </c:pt>
                <c:pt idx="330">
                  <c:v>16.908868842925301</c:v>
                </c:pt>
                <c:pt idx="331">
                  <c:v>10.496323125818625</c:v>
                </c:pt>
                <c:pt idx="332">
                  <c:v>15.614812608063003</c:v>
                </c:pt>
                <c:pt idx="333">
                  <c:v>4.0003654505035868</c:v>
                </c:pt>
                <c:pt idx="334">
                  <c:v>3.8061201014673753</c:v>
                </c:pt>
                <c:pt idx="335">
                  <c:v>5.7045411896779408</c:v>
                </c:pt>
                <c:pt idx="336">
                  <c:v>11.050063277499298</c:v>
                </c:pt>
                <c:pt idx="337">
                  <c:v>17.901545265393896</c:v>
                </c:pt>
                <c:pt idx="338">
                  <c:v>27.715861665404262</c:v>
                </c:pt>
                <c:pt idx="339">
                  <c:v>12.463544761615431</c:v>
                </c:pt>
                <c:pt idx="340">
                  <c:v>22.893083738345229</c:v>
                </c:pt>
                <c:pt idx="341">
                  <c:v>4.2071094664235575</c:v>
                </c:pt>
                <c:pt idx="342">
                  <c:v>5.0836361583501608</c:v>
                </c:pt>
                <c:pt idx="343">
                  <c:v>11.751792184615766</c:v>
                </c:pt>
                <c:pt idx="344">
                  <c:v>18.489482337881359</c:v>
                </c:pt>
                <c:pt idx="345">
                  <c:v>7.1278740725880736</c:v>
                </c:pt>
                <c:pt idx="346">
                  <c:v>5.5321407076332392</c:v>
                </c:pt>
                <c:pt idx="347">
                  <c:v>17.969828200318737</c:v>
                </c:pt>
                <c:pt idx="348">
                  <c:v>6.0183316424572402</c:v>
                </c:pt>
                <c:pt idx="349">
                  <c:v>5.3731119956419064</c:v>
                </c:pt>
                <c:pt idx="350">
                  <c:v>3.5452091100220482</c:v>
                </c:pt>
                <c:pt idx="351">
                  <c:v>25.098401505487548</c:v>
                </c:pt>
                <c:pt idx="352">
                  <c:v>20.214455649146966</c:v>
                </c:pt>
                <c:pt idx="353">
                  <c:v>4.4567483684076183</c:v>
                </c:pt>
                <c:pt idx="354">
                  <c:v>22.97536327258889</c:v>
                </c:pt>
                <c:pt idx="355">
                  <c:v>20.56531723248807</c:v>
                </c:pt>
                <c:pt idx="356">
                  <c:v>20.922186317075379</c:v>
                </c:pt>
                <c:pt idx="357">
                  <c:v>23.005034159980301</c:v>
                </c:pt>
                <c:pt idx="358">
                  <c:v>13.578177611557335</c:v>
                </c:pt>
                <c:pt idx="359">
                  <c:v>22.735054873011677</c:v>
                </c:pt>
                <c:pt idx="360">
                  <c:v>7.429167949145782</c:v>
                </c:pt>
                <c:pt idx="361">
                  <c:v>25.106529707710493</c:v>
                </c:pt>
                <c:pt idx="362">
                  <c:v>11.139257071442705</c:v>
                </c:pt>
                <c:pt idx="363">
                  <c:v>14.450654295333621</c:v>
                </c:pt>
                <c:pt idx="364">
                  <c:v>13.533810320608785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32.003277249954607</c:v>
                </c:pt>
                <c:pt idx="22">
                  <c:v>31.899106246266054</c:v>
                </c:pt>
                <c:pt idx="23">
                  <c:v>32.938418550596289</c:v>
                </c:pt>
                <c:pt idx="24">
                  <c:v>30.493101796902614</c:v>
                </c:pt>
                <c:pt idx="25">
                  <c:v>32.152272915041863</c:v>
                </c:pt>
                <c:pt idx="26">
                  <c:v>28.379353943709276</c:v>
                </c:pt>
                <c:pt idx="27">
                  <c:v>4.3330324697028209</c:v>
                </c:pt>
                <c:pt idx="28">
                  <c:v>8.2430876832062712</c:v>
                </c:pt>
                <c:pt idx="29">
                  <c:v>4.7698073202994289</c:v>
                </c:pt>
                <c:pt idx="30">
                  <c:v>7.6065514644231973</c:v>
                </c:pt>
                <c:pt idx="31">
                  <c:v>16.691536235602147</c:v>
                </c:pt>
                <c:pt idx="32">
                  <c:v>5.4801961761168707</c:v>
                </c:pt>
                <c:pt idx="33">
                  <c:v>11.020300482659934</c:v>
                </c:pt>
                <c:pt idx="34">
                  <c:v>11.381630688720486</c:v>
                </c:pt>
                <c:pt idx="35">
                  <c:v>9.3909330647058749</c:v>
                </c:pt>
                <c:pt idx="36">
                  <c:v>25.691132382516358</c:v>
                </c:pt>
                <c:pt idx="37">
                  <c:v>9.2167045094038453</c:v>
                </c:pt>
                <c:pt idx="38">
                  <c:v>37.248751762844009</c:v>
                </c:pt>
                <c:pt idx="39">
                  <c:v>38.008918328823995</c:v>
                </c:pt>
                <c:pt idx="40">
                  <c:v>35.636356945675558</c:v>
                </c:pt>
                <c:pt idx="41">
                  <c:v>17.61413880196508</c:v>
                </c:pt>
                <c:pt idx="42">
                  <c:v>28.632955344599829</c:v>
                </c:pt>
                <c:pt idx="43">
                  <c:v>35.654885401646958</c:v>
                </c:pt>
                <c:pt idx="44">
                  <c:v>15.691394515082296</c:v>
                </c:pt>
                <c:pt idx="45">
                  <c:v>19.949582565421192</c:v>
                </c:pt>
                <c:pt idx="46">
                  <c:v>8.9888691614541347</c:v>
                </c:pt>
                <c:pt idx="47">
                  <c:v>11.337076006953069</c:v>
                </c:pt>
                <c:pt idx="48">
                  <c:v>32.163023133898982</c:v>
                </c:pt>
                <c:pt idx="49">
                  <c:v>19.356109244547152</c:v>
                </c:pt>
                <c:pt idx="50">
                  <c:v>21.044470909681397</c:v>
                </c:pt>
                <c:pt idx="51">
                  <c:v>22.152396283081838</c:v>
                </c:pt>
                <c:pt idx="52">
                  <c:v>35.010619641231784</c:v>
                </c:pt>
                <c:pt idx="53">
                  <c:v>37.202561815594194</c:v>
                </c:pt>
                <c:pt idx="54">
                  <c:v>25.644271877743666</c:v>
                </c:pt>
                <c:pt idx="55">
                  <c:v>30.383555797118582</c:v>
                </c:pt>
                <c:pt idx="56">
                  <c:v>45.694446846073035</c:v>
                </c:pt>
                <c:pt idx="57">
                  <c:v>26.916838558833295</c:v>
                </c:pt>
                <c:pt idx="58">
                  <c:v>38.483780579653939</c:v>
                </c:pt>
                <c:pt idx="59">
                  <c:v>43.60062897112541</c:v>
                </c:pt>
                <c:pt idx="60">
                  <c:v>12.787817141472225</c:v>
                </c:pt>
                <c:pt idx="61">
                  <c:v>35.27491526278029</c:v>
                </c:pt>
                <c:pt idx="62">
                  <c:v>3.7769336738499719</c:v>
                </c:pt>
                <c:pt idx="63">
                  <c:v>12.937461617902914</c:v>
                </c:pt>
                <c:pt idx="64">
                  <c:v>15.896339488590373</c:v>
                </c:pt>
                <c:pt idx="65">
                  <c:v>38.789351186741541</c:v>
                </c:pt>
                <c:pt idx="66">
                  <c:v>36.394712030523017</c:v>
                </c:pt>
                <c:pt idx="67">
                  <c:v>31.809246033753507</c:v>
                </c:pt>
                <c:pt idx="68">
                  <c:v>26.899964642386525</c:v>
                </c:pt>
                <c:pt idx="69">
                  <c:v>17.134832598602145</c:v>
                </c:pt>
                <c:pt idx="70">
                  <c:v>14.086620087489498</c:v>
                </c:pt>
                <c:pt idx="71">
                  <c:v>8.1168811584624851</c:v>
                </c:pt>
                <c:pt idx="72">
                  <c:v>14.568088643546321</c:v>
                </c:pt>
                <c:pt idx="73">
                  <c:v>13.814453977385723</c:v>
                </c:pt>
                <c:pt idx="74">
                  <c:v>13.889641264077641</c:v>
                </c:pt>
                <c:pt idx="75">
                  <c:v>11.452139992221307</c:v>
                </c:pt>
                <c:pt idx="76">
                  <c:v>14.353869308476602</c:v>
                </c:pt>
                <c:pt idx="77">
                  <c:v>28.846284971828585</c:v>
                </c:pt>
                <c:pt idx="78">
                  <c:v>31.920997396141892</c:v>
                </c:pt>
                <c:pt idx="79">
                  <c:v>46.760489268726772</c:v>
                </c:pt>
                <c:pt idx="80">
                  <c:v>44.019694114459178</c:v>
                </c:pt>
                <c:pt idx="81">
                  <c:v>50.058958804248029</c:v>
                </c:pt>
                <c:pt idx="82">
                  <c:v>49.398530376617508</c:v>
                </c:pt>
                <c:pt idx="83">
                  <c:v>41.471470596692832</c:v>
                </c:pt>
                <c:pt idx="84">
                  <c:v>47.967164417101017</c:v>
                </c:pt>
                <c:pt idx="85">
                  <c:v>47.126935815151619</c:v>
                </c:pt>
                <c:pt idx="86">
                  <c:v>37.594449051057872</c:v>
                </c:pt>
                <c:pt idx="87">
                  <c:v>28.175934012671739</c:v>
                </c:pt>
                <c:pt idx="88">
                  <c:v>7.6600732918970529</c:v>
                </c:pt>
                <c:pt idx="89">
                  <c:v>26.005338558769648</c:v>
                </c:pt>
                <c:pt idx="90">
                  <c:v>30.902893132314507</c:v>
                </c:pt>
                <c:pt idx="91">
                  <c:v>19.851737921276243</c:v>
                </c:pt>
                <c:pt idx="92">
                  <c:v>24.598975316062369</c:v>
                </c:pt>
                <c:pt idx="93">
                  <c:v>46.488584866704898</c:v>
                </c:pt>
                <c:pt idx="94">
                  <c:v>53.371089050198208</c:v>
                </c:pt>
                <c:pt idx="95">
                  <c:v>11.281030868487042</c:v>
                </c:pt>
                <c:pt idx="96">
                  <c:v>40.922853875447686</c:v>
                </c:pt>
                <c:pt idx="97">
                  <c:v>35.095380448459181</c:v>
                </c:pt>
                <c:pt idx="98">
                  <c:v>34.594586574838225</c:v>
                </c:pt>
                <c:pt idx="99">
                  <c:v>56.154579625878384</c:v>
                </c:pt>
                <c:pt idx="100">
                  <c:v>46.967721405006337</c:v>
                </c:pt>
                <c:pt idx="101">
                  <c:v>39.052895285577655</c:v>
                </c:pt>
                <c:pt idx="102">
                  <c:v>7.9243443304405057</c:v>
                </c:pt>
                <c:pt idx="103">
                  <c:v>41.033626332610936</c:v>
                </c:pt>
                <c:pt idx="104">
                  <c:v>44.220632087213737</c:v>
                </c:pt>
                <c:pt idx="105">
                  <c:v>42.643306838329238</c:v>
                </c:pt>
                <c:pt idx="106">
                  <c:v>55.057531149046227</c:v>
                </c:pt>
                <c:pt idx="107">
                  <c:v>36.565304876245953</c:v>
                </c:pt>
                <c:pt idx="108">
                  <c:v>9.2277934342733445</c:v>
                </c:pt>
                <c:pt idx="109">
                  <c:v>9.5589744951831754</c:v>
                </c:pt>
                <c:pt idx="110">
                  <c:v>9.0967382417319431</c:v>
                </c:pt>
                <c:pt idx="111">
                  <c:v>26.30445485984712</c:v>
                </c:pt>
                <c:pt idx="112">
                  <c:v>8.9624400263613424</c:v>
                </c:pt>
                <c:pt idx="113">
                  <c:v>29.427272800681592</c:v>
                </c:pt>
                <c:pt idx="114">
                  <c:v>44.751189464482941</c:v>
                </c:pt>
                <c:pt idx="115">
                  <c:v>55.022083979808883</c:v>
                </c:pt>
                <c:pt idx="116">
                  <c:v>42.020517209277145</c:v>
                </c:pt>
                <c:pt idx="117">
                  <c:v>23.675899808866937</c:v>
                </c:pt>
                <c:pt idx="118">
                  <c:v>42.962755663386055</c:v>
                </c:pt>
                <c:pt idx="119">
                  <c:v>45.213546754472397</c:v>
                </c:pt>
                <c:pt idx="120">
                  <c:v>49.005375792540292</c:v>
                </c:pt>
                <c:pt idx="121">
                  <c:v>30.364181062338456</c:v>
                </c:pt>
                <c:pt idx="122">
                  <c:v>39.730444306550069</c:v>
                </c:pt>
                <c:pt idx="123">
                  <c:v>21.25469312586586</c:v>
                </c:pt>
                <c:pt idx="124">
                  <c:v>44.511843541578067</c:v>
                </c:pt>
                <c:pt idx="125">
                  <c:v>42.323300242685313</c:v>
                </c:pt>
                <c:pt idx="126">
                  <c:v>52.609668003015315</c:v>
                </c:pt>
                <c:pt idx="127">
                  <c:v>51.770827074057848</c:v>
                </c:pt>
                <c:pt idx="128">
                  <c:v>57.074628364138903</c:v>
                </c:pt>
                <c:pt idx="129">
                  <c:v>55.013958171087111</c:v>
                </c:pt>
                <c:pt idx="130">
                  <c:v>58.95957024053309</c:v>
                </c:pt>
                <c:pt idx="131">
                  <c:v>42.148282394949518</c:v>
                </c:pt>
                <c:pt idx="132">
                  <c:v>43.262955583815113</c:v>
                </c:pt>
                <c:pt idx="133">
                  <c:v>53.659491124436599</c:v>
                </c:pt>
                <c:pt idx="134">
                  <c:v>55.965308705026914</c:v>
                </c:pt>
                <c:pt idx="135">
                  <c:v>53.517226004326361</c:v>
                </c:pt>
                <c:pt idx="136">
                  <c:v>56.80610954163771</c:v>
                </c:pt>
                <c:pt idx="137">
                  <c:v>53.82838941943308</c:v>
                </c:pt>
                <c:pt idx="138">
                  <c:v>57.368985851625702</c:v>
                </c:pt>
                <c:pt idx="139">
                  <c:v>52.19110223641443</c:v>
                </c:pt>
                <c:pt idx="140">
                  <c:v>53.231596371183954</c:v>
                </c:pt>
                <c:pt idx="141">
                  <c:v>42.333573233359282</c:v>
                </c:pt>
                <c:pt idx="142">
                  <c:v>19.841694270928226</c:v>
                </c:pt>
                <c:pt idx="143">
                  <c:v>17.331393888779065</c:v>
                </c:pt>
                <c:pt idx="144">
                  <c:v>44.080042782438049</c:v>
                </c:pt>
                <c:pt idx="145">
                  <c:v>28.757684992573285</c:v>
                </c:pt>
                <c:pt idx="146">
                  <c:v>45.617688135423435</c:v>
                </c:pt>
                <c:pt idx="147">
                  <c:v>56.764923306861057</c:v>
                </c:pt>
                <c:pt idx="148">
                  <c:v>61.408712789031142</c:v>
                </c:pt>
                <c:pt idx="149">
                  <c:v>49.557936077561536</c:v>
                </c:pt>
                <c:pt idx="150">
                  <c:v>55.517514084645534</c:v>
                </c:pt>
                <c:pt idx="151">
                  <c:v>57.570798897020971</c:v>
                </c:pt>
                <c:pt idx="152">
                  <c:v>43.54024388862576</c:v>
                </c:pt>
                <c:pt idx="153">
                  <c:v>57.152684691822031</c:v>
                </c:pt>
                <c:pt idx="154">
                  <c:v>25.86008983922283</c:v>
                </c:pt>
                <c:pt idx="155">
                  <c:v>35.790035163509877</c:v>
                </c:pt>
                <c:pt idx="156">
                  <c:v>51.28871527291043</c:v>
                </c:pt>
                <c:pt idx="157">
                  <c:v>26.3833521075981</c:v>
                </c:pt>
                <c:pt idx="158">
                  <c:v>21.784667320960953</c:v>
                </c:pt>
                <c:pt idx="159">
                  <c:v>51.387576084772881</c:v>
                </c:pt>
                <c:pt idx="160">
                  <c:v>59.346931895733846</c:v>
                </c:pt>
                <c:pt idx="161">
                  <c:v>57.649634147282775</c:v>
                </c:pt>
                <c:pt idx="162">
                  <c:v>45.406811672585917</c:v>
                </c:pt>
                <c:pt idx="163">
                  <c:v>54.633061336860877</c:v>
                </c:pt>
                <c:pt idx="164">
                  <c:v>52.537760464453783</c:v>
                </c:pt>
                <c:pt idx="165">
                  <c:v>55.853568354875065</c:v>
                </c:pt>
                <c:pt idx="166">
                  <c:v>53.863434670758167</c:v>
                </c:pt>
                <c:pt idx="167">
                  <c:v>53.775067141128062</c:v>
                </c:pt>
                <c:pt idx="168">
                  <c:v>57.34212226520301</c:v>
                </c:pt>
                <c:pt idx="169">
                  <c:v>58.458509045838895</c:v>
                </c:pt>
                <c:pt idx="170">
                  <c:v>30.899596242191475</c:v>
                </c:pt>
                <c:pt idx="171">
                  <c:v>23.03556123326771</c:v>
                </c:pt>
                <c:pt idx="172">
                  <c:v>43.55281808502567</c:v>
                </c:pt>
                <c:pt idx="173">
                  <c:v>44.232689977846114</c:v>
                </c:pt>
                <c:pt idx="174">
                  <c:v>40.646733653480197</c:v>
                </c:pt>
                <c:pt idx="175">
                  <c:v>38.460809527067973</c:v>
                </c:pt>
                <c:pt idx="176">
                  <c:v>12.462494249470979</c:v>
                </c:pt>
                <c:pt idx="177">
                  <c:v>15.346460009953331</c:v>
                </c:pt>
                <c:pt idx="178">
                  <c:v>58.894292088167944</c:v>
                </c:pt>
                <c:pt idx="179">
                  <c:v>58.42051873160576</c:v>
                </c:pt>
                <c:pt idx="180">
                  <c:v>14.37304545521385</c:v>
                </c:pt>
                <c:pt idx="181">
                  <c:v>48.825044822547348</c:v>
                </c:pt>
                <c:pt idx="182">
                  <c:v>35.70796747249203</c:v>
                </c:pt>
                <c:pt idx="183">
                  <c:v>50.7404549835179</c:v>
                </c:pt>
                <c:pt idx="184">
                  <c:v>45.947554028480759</c:v>
                </c:pt>
                <c:pt idx="185">
                  <c:v>57.276994928716626</c:v>
                </c:pt>
                <c:pt idx="186">
                  <c:v>46.706440790466395</c:v>
                </c:pt>
                <c:pt idx="187">
                  <c:v>56.955713671573385</c:v>
                </c:pt>
                <c:pt idx="188">
                  <c:v>58.825828561123274</c:v>
                </c:pt>
                <c:pt idx="189">
                  <c:v>58.128529069161353</c:v>
                </c:pt>
                <c:pt idx="190">
                  <c:v>57.406536710527874</c:v>
                </c:pt>
                <c:pt idx="191">
                  <c:v>56.415323397636158</c:v>
                </c:pt>
                <c:pt idx="192">
                  <c:v>56.003319992709727</c:v>
                </c:pt>
                <c:pt idx="193">
                  <c:v>55.480480527099971</c:v>
                </c:pt>
                <c:pt idx="194">
                  <c:v>55.157642904217397</c:v>
                </c:pt>
                <c:pt idx="195">
                  <c:v>52.907592107427362</c:v>
                </c:pt>
                <c:pt idx="196">
                  <c:v>54.35863260622618</c:v>
                </c:pt>
                <c:pt idx="197">
                  <c:v>54.504051294183547</c:v>
                </c:pt>
                <c:pt idx="198">
                  <c:v>56.763546854406329</c:v>
                </c:pt>
                <c:pt idx="199">
                  <c:v>44.498005057523123</c:v>
                </c:pt>
                <c:pt idx="200">
                  <c:v>44.598265782422018</c:v>
                </c:pt>
                <c:pt idx="201">
                  <c:v>53.949563528993501</c:v>
                </c:pt>
                <c:pt idx="202">
                  <c:v>45.345028301526817</c:v>
                </c:pt>
                <c:pt idx="203">
                  <c:v>45.296822459857971</c:v>
                </c:pt>
                <c:pt idx="204">
                  <c:v>54.203750230301686</c:v>
                </c:pt>
                <c:pt idx="205">
                  <c:v>26.619977544052457</c:v>
                </c:pt>
                <c:pt idx="206">
                  <c:v>56.521935575278071</c:v>
                </c:pt>
                <c:pt idx="207">
                  <c:v>57.956454230000027</c:v>
                </c:pt>
                <c:pt idx="208">
                  <c:v>43.888437343031704</c:v>
                </c:pt>
                <c:pt idx="209">
                  <c:v>30.381427990056256</c:v>
                </c:pt>
                <c:pt idx="210">
                  <c:v>48.86333188186385</c:v>
                </c:pt>
                <c:pt idx="211">
                  <c:v>55.558820310366528</c:v>
                </c:pt>
                <c:pt idx="212">
                  <c:v>55.199665556344449</c:v>
                </c:pt>
                <c:pt idx="213">
                  <c:v>55.270837196662583</c:v>
                </c:pt>
                <c:pt idx="214">
                  <c:v>54.619926925072207</c:v>
                </c:pt>
                <c:pt idx="215">
                  <c:v>53.082821008520114</c:v>
                </c:pt>
                <c:pt idx="216">
                  <c:v>43.734088171331834</c:v>
                </c:pt>
                <c:pt idx="217">
                  <c:v>51.488563891618391</c:v>
                </c:pt>
                <c:pt idx="218">
                  <c:v>53.972061965845143</c:v>
                </c:pt>
                <c:pt idx="219">
                  <c:v>54.735562959521225</c:v>
                </c:pt>
                <c:pt idx="220">
                  <c:v>52.56286500637394</c:v>
                </c:pt>
                <c:pt idx="221">
                  <c:v>50.625685861477407</c:v>
                </c:pt>
                <c:pt idx="222">
                  <c:v>49.076284483995614</c:v>
                </c:pt>
                <c:pt idx="223">
                  <c:v>49.341496406740418</c:v>
                </c:pt>
                <c:pt idx="224">
                  <c:v>38.541124111271927</c:v>
                </c:pt>
                <c:pt idx="225">
                  <c:v>34.737970420172303</c:v>
                </c:pt>
                <c:pt idx="226">
                  <c:v>37.139314404248893</c:v>
                </c:pt>
                <c:pt idx="227">
                  <c:v>38.447991255406492</c:v>
                </c:pt>
                <c:pt idx="228">
                  <c:v>29.732655887879158</c:v>
                </c:pt>
                <c:pt idx="229">
                  <c:v>37.742337857532128</c:v>
                </c:pt>
                <c:pt idx="230">
                  <c:v>39.40477153442805</c:v>
                </c:pt>
                <c:pt idx="231">
                  <c:v>51.531817695323369</c:v>
                </c:pt>
                <c:pt idx="232">
                  <c:v>38.488587995896459</c:v>
                </c:pt>
                <c:pt idx="233">
                  <c:v>27.799842725485053</c:v>
                </c:pt>
                <c:pt idx="234">
                  <c:v>49.806453705955349</c:v>
                </c:pt>
                <c:pt idx="235">
                  <c:v>50.362154223384302</c:v>
                </c:pt>
                <c:pt idx="236">
                  <c:v>30.292529151513506</c:v>
                </c:pt>
                <c:pt idx="237">
                  <c:v>40.478226285671887</c:v>
                </c:pt>
                <c:pt idx="238">
                  <c:v>49.009784247512236</c:v>
                </c:pt>
                <c:pt idx="239">
                  <c:v>50.108004625561698</c:v>
                </c:pt>
                <c:pt idx="240">
                  <c:v>34.453667994762718</c:v>
                </c:pt>
                <c:pt idx="241">
                  <c:v>49.441420980265391</c:v>
                </c:pt>
                <c:pt idx="242">
                  <c:v>25.61907563578611</c:v>
                </c:pt>
                <c:pt idx="243">
                  <c:v>40.183178358154024</c:v>
                </c:pt>
                <c:pt idx="244">
                  <c:v>38.280692561056341</c:v>
                </c:pt>
                <c:pt idx="245">
                  <c:v>39.819749588149755</c:v>
                </c:pt>
                <c:pt idx="246">
                  <c:v>49.513856723908468</c:v>
                </c:pt>
                <c:pt idx="247">
                  <c:v>43.745249097930937</c:v>
                </c:pt>
                <c:pt idx="248">
                  <c:v>45.014255917727844</c:v>
                </c:pt>
                <c:pt idx="249">
                  <c:v>37.657628489500688</c:v>
                </c:pt>
                <c:pt idx="250">
                  <c:v>37.455798306537183</c:v>
                </c:pt>
                <c:pt idx="251">
                  <c:v>20.682718811686147</c:v>
                </c:pt>
                <c:pt idx="252">
                  <c:v>48.039726202402321</c:v>
                </c:pt>
                <c:pt idx="253">
                  <c:v>48.453954203338519</c:v>
                </c:pt>
                <c:pt idx="254">
                  <c:v>37.987056844876534</c:v>
                </c:pt>
                <c:pt idx="255">
                  <c:v>15.101266634004181</c:v>
                </c:pt>
                <c:pt idx="256">
                  <c:v>38.031905842198093</c:v>
                </c:pt>
                <c:pt idx="257">
                  <c:v>41.814335176018524</c:v>
                </c:pt>
                <c:pt idx="258">
                  <c:v>30.244924907577158</c:v>
                </c:pt>
                <c:pt idx="259">
                  <c:v>48.800708997443905</c:v>
                </c:pt>
                <c:pt idx="260">
                  <c:v>47.169620824957299</c:v>
                </c:pt>
                <c:pt idx="261">
                  <c:v>47.736872534225121</c:v>
                </c:pt>
                <c:pt idx="262">
                  <c:v>49.24517036261409</c:v>
                </c:pt>
                <c:pt idx="263">
                  <c:v>47.989478779674656</c:v>
                </c:pt>
                <c:pt idx="264">
                  <c:v>46.677591728561559</c:v>
                </c:pt>
                <c:pt idx="265">
                  <c:v>33.038187602749105</c:v>
                </c:pt>
                <c:pt idx="266">
                  <c:v>18.780601143636193</c:v>
                </c:pt>
                <c:pt idx="267">
                  <c:v>36.709894405527642</c:v>
                </c:pt>
                <c:pt idx="268">
                  <c:v>36.569501183314841</c:v>
                </c:pt>
                <c:pt idx="269">
                  <c:v>17.450911100588296</c:v>
                </c:pt>
                <c:pt idx="270">
                  <c:v>19.908566839762528</c:v>
                </c:pt>
                <c:pt idx="271">
                  <c:v>23.942632030293534</c:v>
                </c:pt>
                <c:pt idx="272">
                  <c:v>26.457187909497723</c:v>
                </c:pt>
                <c:pt idx="273">
                  <c:v>38.220109604392114</c:v>
                </c:pt>
                <c:pt idx="274">
                  <c:v>41.38062520224296</c:v>
                </c:pt>
                <c:pt idx="275">
                  <c:v>37.502089898971306</c:v>
                </c:pt>
                <c:pt idx="276">
                  <c:v>44.046045235241081</c:v>
                </c:pt>
                <c:pt idx="277">
                  <c:v>45.852904413461509</c:v>
                </c:pt>
                <c:pt idx="278">
                  <c:v>12.282074473124323</c:v>
                </c:pt>
                <c:pt idx="279">
                  <c:v>33.527935855591771</c:v>
                </c:pt>
                <c:pt idx="280">
                  <c:v>15.710901482550049</c:v>
                </c:pt>
                <c:pt idx="281">
                  <c:v>41.855327078038172</c:v>
                </c:pt>
                <c:pt idx="282">
                  <c:v>35.49666539946351</c:v>
                </c:pt>
                <c:pt idx="283">
                  <c:v>24.251563690772699</c:v>
                </c:pt>
                <c:pt idx="284">
                  <c:v>28.595764779012111</c:v>
                </c:pt>
                <c:pt idx="285">
                  <c:v>25.156976209662904</c:v>
                </c:pt>
                <c:pt idx="286">
                  <c:v>18.03485190818148</c:v>
                </c:pt>
                <c:pt idx="287">
                  <c:v>41.157173619873682</c:v>
                </c:pt>
                <c:pt idx="288">
                  <c:v>35.414403621168766</c:v>
                </c:pt>
                <c:pt idx="289">
                  <c:v>19.796444532511565</c:v>
                </c:pt>
                <c:pt idx="290">
                  <c:v>38.166058140192284</c:v>
                </c:pt>
                <c:pt idx="291">
                  <c:v>17.926670860284919</c:v>
                </c:pt>
                <c:pt idx="292">
                  <c:v>7.1901957545669397</c:v>
                </c:pt>
                <c:pt idx="293">
                  <c:v>18.568884994334972</c:v>
                </c:pt>
                <c:pt idx="294">
                  <c:v>36.189661594118576</c:v>
                </c:pt>
                <c:pt idx="295">
                  <c:v>17.593183728225476</c:v>
                </c:pt>
                <c:pt idx="296">
                  <c:v>29.878182534643038</c:v>
                </c:pt>
                <c:pt idx="297">
                  <c:v>24.317767718214096</c:v>
                </c:pt>
                <c:pt idx="298">
                  <c:v>13.426091712247104</c:v>
                </c:pt>
                <c:pt idx="299">
                  <c:v>17.319982252019816</c:v>
                </c:pt>
                <c:pt idx="300">
                  <c:v>18.054348307273056</c:v>
                </c:pt>
                <c:pt idx="301">
                  <c:v>29.590020441353062</c:v>
                </c:pt>
                <c:pt idx="302">
                  <c:v>27.157972495851531</c:v>
                </c:pt>
                <c:pt idx="303">
                  <c:v>25.56340726667144</c:v>
                </c:pt>
                <c:pt idx="304">
                  <c:v>20.231024557884641</c:v>
                </c:pt>
                <c:pt idx="305">
                  <c:v>31.233807063254602</c:v>
                </c:pt>
                <c:pt idx="306">
                  <c:v>9.8758064399212575</c:v>
                </c:pt>
                <c:pt idx="307">
                  <c:v>17.71166518816392</c:v>
                </c:pt>
                <c:pt idx="308">
                  <c:v>33.124634762587448</c:v>
                </c:pt>
                <c:pt idx="309">
                  <c:v>34.501314992703662</c:v>
                </c:pt>
                <c:pt idx="310">
                  <c:v>33.01824236015463</c:v>
                </c:pt>
                <c:pt idx="311">
                  <c:v>24.464192176761117</c:v>
                </c:pt>
                <c:pt idx="312">
                  <c:v>10.920315057041332</c:v>
                </c:pt>
                <c:pt idx="313">
                  <c:v>20.484228001763551</c:v>
                </c:pt>
                <c:pt idx="314">
                  <c:v>32.317273966329083</c:v>
                </c:pt>
                <c:pt idx="315">
                  <c:v>31.561055745248467</c:v>
                </c:pt>
                <c:pt idx="316">
                  <c:v>30.561349275784981</c:v>
                </c:pt>
                <c:pt idx="317">
                  <c:v>11.575243672870581</c:v>
                </c:pt>
                <c:pt idx="318">
                  <c:v>13.280388862461679</c:v>
                </c:pt>
                <c:pt idx="319">
                  <c:v>31.127189596097036</c:v>
                </c:pt>
                <c:pt idx="320">
                  <c:v>13.992220498923334</c:v>
                </c:pt>
                <c:pt idx="321">
                  <c:v>17.839119002208996</c:v>
                </c:pt>
                <c:pt idx="322">
                  <c:v>7.038992661380326</c:v>
                </c:pt>
                <c:pt idx="323">
                  <c:v>18.108909775394384</c:v>
                </c:pt>
                <c:pt idx="324">
                  <c:v>3.2358694885557049</c:v>
                </c:pt>
                <c:pt idx="325">
                  <c:v>8.2909344301621406</c:v>
                </c:pt>
                <c:pt idx="326">
                  <c:v>13.665935624365867</c:v>
                </c:pt>
                <c:pt idx="327">
                  <c:v>14.652932263899457</c:v>
                </c:pt>
                <c:pt idx="328">
                  <c:v>4.6702741073940679</c:v>
                </c:pt>
                <c:pt idx="329">
                  <c:v>10.872585029648246</c:v>
                </c:pt>
                <c:pt idx="330">
                  <c:v>16.908868842925301</c:v>
                </c:pt>
                <c:pt idx="331">
                  <c:v>10.496323125818625</c:v>
                </c:pt>
                <c:pt idx="332">
                  <c:v>15.614812608063003</c:v>
                </c:pt>
                <c:pt idx="333">
                  <c:v>4.0003654505035868</c:v>
                </c:pt>
                <c:pt idx="334">
                  <c:v>3.8061201014673753</c:v>
                </c:pt>
                <c:pt idx="335">
                  <c:v>5.7045411896779408</c:v>
                </c:pt>
                <c:pt idx="336">
                  <c:v>11.050063277499298</c:v>
                </c:pt>
                <c:pt idx="337">
                  <c:v>17.901545265393896</c:v>
                </c:pt>
                <c:pt idx="338">
                  <c:v>27.715861665404262</c:v>
                </c:pt>
                <c:pt idx="339">
                  <c:v>12.463544761615431</c:v>
                </c:pt>
                <c:pt idx="340">
                  <c:v>22.893083738345229</c:v>
                </c:pt>
                <c:pt idx="341">
                  <c:v>4.2071094664235575</c:v>
                </c:pt>
                <c:pt idx="342">
                  <c:v>5.0836361583501608</c:v>
                </c:pt>
                <c:pt idx="343">
                  <c:v>11.751792184615766</c:v>
                </c:pt>
                <c:pt idx="344">
                  <c:v>18.489482337881359</c:v>
                </c:pt>
                <c:pt idx="345">
                  <c:v>7.1278740725880736</c:v>
                </c:pt>
                <c:pt idx="346">
                  <c:v>5.5321407076332392</c:v>
                </c:pt>
                <c:pt idx="347">
                  <c:v>17.969828200318737</c:v>
                </c:pt>
                <c:pt idx="348">
                  <c:v>6.0183316424572402</c:v>
                </c:pt>
                <c:pt idx="349">
                  <c:v>5.3731119956419064</c:v>
                </c:pt>
                <c:pt idx="350">
                  <c:v>3.5452091100220482</c:v>
                </c:pt>
                <c:pt idx="351">
                  <c:v>25.098401505487548</c:v>
                </c:pt>
                <c:pt idx="352">
                  <c:v>20.214455649146966</c:v>
                </c:pt>
                <c:pt idx="353">
                  <c:v>4.4567483684076183</c:v>
                </c:pt>
                <c:pt idx="354">
                  <c:v>22.97536327258889</c:v>
                </c:pt>
                <c:pt idx="355">
                  <c:v>20.56531723248807</c:v>
                </c:pt>
                <c:pt idx="356">
                  <c:v>20.922186317075379</c:v>
                </c:pt>
                <c:pt idx="357">
                  <c:v>23.005034159980301</c:v>
                </c:pt>
                <c:pt idx="358">
                  <c:v>13.578177611557335</c:v>
                </c:pt>
                <c:pt idx="359">
                  <c:v>22.735054873011677</c:v>
                </c:pt>
                <c:pt idx="360">
                  <c:v>7.429167949145782</c:v>
                </c:pt>
                <c:pt idx="361">
                  <c:v>25.106529707710493</c:v>
                </c:pt>
                <c:pt idx="362">
                  <c:v>11.139257071442705</c:v>
                </c:pt>
                <c:pt idx="363">
                  <c:v>14.450654295333621</c:v>
                </c:pt>
                <c:pt idx="364">
                  <c:v>13.533810320608785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820336"/>
        <c:axId val="182817984"/>
      </c:lineChart>
      <c:dateAx>
        <c:axId val="182820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2817984"/>
        <c:crosses val="autoZero"/>
        <c:auto val="1"/>
        <c:lblOffset val="100"/>
        <c:baseTimeUnit val="days"/>
        <c:majorUnit val="1"/>
        <c:majorTimeUnit val="months"/>
      </c:dateAx>
      <c:valAx>
        <c:axId val="18281798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282033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25.071856494718933</c:v>
                </c:pt>
                <c:pt idx="1">
                  <c:v>25.200734082017508</c:v>
                </c:pt>
                <c:pt idx="2">
                  <c:v>25.338444069340582</c:v>
                </c:pt>
                <c:pt idx="3">
                  <c:v>25.484796543638019</c:v>
                </c:pt>
                <c:pt idx="4">
                  <c:v>25.639601598589792</c:v>
                </c:pt>
                <c:pt idx="5">
                  <c:v>25.802669344603956</c:v>
                </c:pt>
                <c:pt idx="6">
                  <c:v>25.973809906434536</c:v>
                </c:pt>
                <c:pt idx="7">
                  <c:v>26.15283343255771</c:v>
                </c:pt>
                <c:pt idx="8">
                  <c:v>26.341827483488043</c:v>
                </c:pt>
                <c:pt idx="9">
                  <c:v>26.542460345380601</c:v>
                </c:pt>
                <c:pt idx="10">
                  <c:v>26.753907226072251</c:v>
                </c:pt>
                <c:pt idx="11">
                  <c:v>26.975343605974036</c:v>
                </c:pt>
                <c:pt idx="12">
                  <c:v>27.205945321790292</c:v>
                </c:pt>
                <c:pt idx="13">
                  <c:v>27.4448886046317</c:v>
                </c:pt>
                <c:pt idx="14">
                  <c:v>27.69135005648976</c:v>
                </c:pt>
                <c:pt idx="15">
                  <c:v>27.944496368383337</c:v>
                </c:pt>
                <c:pt idx="16">
                  <c:v>28.203507032174812</c:v>
                </c:pt>
                <c:pt idx="17">
                  <c:v>28.467559842799293</c:v>
                </c:pt>
                <c:pt idx="18">
                  <c:v>28.735832986911543</c:v>
                </c:pt>
                <c:pt idx="19">
                  <c:v>29.007505047308438</c:v>
                </c:pt>
                <c:pt idx="20">
                  <c:v>29.281755012045309</c:v>
                </c:pt>
                <c:pt idx="21">
                  <c:v>29.557762159007176</c:v>
                </c:pt>
                <c:pt idx="22">
                  <c:v>29.838387849991065</c:v>
                </c:pt>
                <c:pt idx="23">
                  <c:v>30.126521991672508</c:v>
                </c:pt>
                <c:pt idx="24">
                  <c:v>30.42140381470719</c:v>
                </c:pt>
                <c:pt idx="25">
                  <c:v>30.72227722717437</c:v>
                </c:pt>
                <c:pt idx="26">
                  <c:v>31.028386554140045</c:v>
                </c:pt>
                <c:pt idx="27">
                  <c:v>31.338976541473269</c:v>
                </c:pt>
                <c:pt idx="28">
                  <c:v>31.653292355625986</c:v>
                </c:pt>
                <c:pt idx="29">
                  <c:v>31.97057622269892</c:v>
                </c:pt>
                <c:pt idx="30">
                  <c:v>32.290084457031462</c:v>
                </c:pt>
                <c:pt idx="31">
                  <c:v>32.611063510477727</c:v>
                </c:pt>
                <c:pt idx="32">
                  <c:v>32.932760267883147</c:v>
                </c:pt>
                <c:pt idx="33">
                  <c:v>33.254422047010287</c:v>
                </c:pt>
                <c:pt idx="34">
                  <c:v>33.575296597354104</c:v>
                </c:pt>
                <c:pt idx="35">
                  <c:v>33.894632101372231</c:v>
                </c:pt>
                <c:pt idx="36">
                  <c:v>34.214780600887458</c:v>
                </c:pt>
                <c:pt idx="37">
                  <c:v>34.538219443007513</c:v>
                </c:pt>
                <c:pt idx="38">
                  <c:v>34.864397265065179</c:v>
                </c:pt>
                <c:pt idx="39">
                  <c:v>35.192749479391061</c:v>
                </c:pt>
                <c:pt idx="40">
                  <c:v>35.522711823744224</c:v>
                </c:pt>
                <c:pt idx="41">
                  <c:v>35.853720354982507</c:v>
                </c:pt>
                <c:pt idx="42">
                  <c:v>36.185211442612975</c:v>
                </c:pt>
                <c:pt idx="43">
                  <c:v>36.516622476148676</c:v>
                </c:pt>
                <c:pt idx="44">
                  <c:v>36.847393810976136</c:v>
                </c:pt>
                <c:pt idx="45">
                  <c:v>37.176962715395902</c:v>
                </c:pt>
                <c:pt idx="46">
                  <c:v>37.504766738514945</c:v>
                </c:pt>
                <c:pt idx="47">
                  <c:v>37.830243701488371</c:v>
                </c:pt>
                <c:pt idx="48">
                  <c:v>38.152831684916009</c:v>
                </c:pt>
                <c:pt idx="49">
                  <c:v>38.471969021595569</c:v>
                </c:pt>
                <c:pt idx="50">
                  <c:v>38.788299035483284</c:v>
                </c:pt>
                <c:pt idx="51">
                  <c:v>39.102901360925998</c:v>
                </c:pt>
                <c:pt idx="52">
                  <c:v>39.415869844229732</c:v>
                </c:pt>
                <c:pt idx="53">
                  <c:v>39.727299304596833</c:v>
                </c:pt>
                <c:pt idx="54">
                  <c:v>40.03728443374056</c:v>
                </c:pt>
                <c:pt idx="55">
                  <c:v>40.345919794073495</c:v>
                </c:pt>
                <c:pt idx="56">
                  <c:v>40.653299809329454</c:v>
                </c:pt>
                <c:pt idx="57">
                  <c:v>40.959519481840076</c:v>
                </c:pt>
                <c:pt idx="58">
                  <c:v>41.264672217486215</c:v>
                </c:pt>
                <c:pt idx="59">
                  <c:v>41.568851985010923</c:v>
                </c:pt>
                <c:pt idx="60">
                  <c:v>41.872152588494558</c:v>
                </c:pt>
                <c:pt idx="61">
                  <c:v>42.174667664366538</c:v>
                </c:pt>
                <c:pt idx="62">
                  <c:v>42.47649067654315</c:v>
                </c:pt>
                <c:pt idx="63">
                  <c:v>42.777714913361905</c:v>
                </c:pt>
                <c:pt idx="64">
                  <c:v>43.079214439952516</c:v>
                </c:pt>
                <c:pt idx="65">
                  <c:v>43.381489199417715</c:v>
                </c:pt>
                <c:pt idx="66">
                  <c:v>43.684070715025626</c:v>
                </c:pt>
                <c:pt idx="67">
                  <c:v>43.986489245183812</c:v>
                </c:pt>
                <c:pt idx="68">
                  <c:v>44.288275138350549</c:v>
                </c:pt>
                <c:pt idx="69">
                  <c:v>44.588958835523528</c:v>
                </c:pt>
                <c:pt idx="70">
                  <c:v>44.888070870756906</c:v>
                </c:pt>
                <c:pt idx="71">
                  <c:v>45.185141071043063</c:v>
                </c:pt>
                <c:pt idx="72">
                  <c:v>45.479699442422167</c:v>
                </c:pt>
                <c:pt idx="73">
                  <c:v>45.771276816345157</c:v>
                </c:pt>
                <c:pt idx="74">
                  <c:v>46.05940413210002</c:v>
                </c:pt>
                <c:pt idx="75">
                  <c:v>46.343612446196133</c:v>
                </c:pt>
                <c:pt idx="76">
                  <c:v>46.623432935643002</c:v>
                </c:pt>
                <c:pt idx="77">
                  <c:v>46.89839690973848</c:v>
                </c:pt>
                <c:pt idx="78">
                  <c:v>47.17062415922787</c:v>
                </c:pt>
                <c:pt idx="79">
                  <c:v>47.442108168956786</c:v>
                </c:pt>
                <c:pt idx="80">
                  <c:v>47.712190476631086</c:v>
                </c:pt>
                <c:pt idx="81">
                  <c:v>47.980214131158576</c:v>
                </c:pt>
                <c:pt idx="82">
                  <c:v>48.245522440495137</c:v>
                </c:pt>
                <c:pt idx="83">
                  <c:v>48.507458982325971</c:v>
                </c:pt>
                <c:pt idx="84">
                  <c:v>48.765367615299709</c:v>
                </c:pt>
                <c:pt idx="85">
                  <c:v>49.018592745931592</c:v>
                </c:pt>
                <c:pt idx="86">
                  <c:v>49.266479654756502</c:v>
                </c:pt>
                <c:pt idx="87">
                  <c:v>49.508373131360742</c:v>
                </c:pt>
                <c:pt idx="88">
                  <c:v>49.743618302528603</c:v>
                </c:pt>
                <c:pt idx="89">
                  <c:v>49.971560646144503</c:v>
                </c:pt>
                <c:pt idx="90">
                  <c:v>50.19154601096669</c:v>
                </c:pt>
                <c:pt idx="91">
                  <c:v>50.402920627373959</c:v>
                </c:pt>
                <c:pt idx="92">
                  <c:v>50.606463052412956</c:v>
                </c:pt>
                <c:pt idx="93">
                  <c:v>50.803449223214407</c:v>
                </c:pt>
                <c:pt idx="94">
                  <c:v>50.993972594823916</c:v>
                </c:pt>
                <c:pt idx="95">
                  <c:v>51.17812617903072</c:v>
                </c:pt>
                <c:pt idx="96">
                  <c:v>51.356003010823862</c:v>
                </c:pt>
                <c:pt idx="97">
                  <c:v>51.527696159489629</c:v>
                </c:pt>
                <c:pt idx="98">
                  <c:v>51.693298730943035</c:v>
                </c:pt>
                <c:pt idx="99">
                  <c:v>51.852903361590357</c:v>
                </c:pt>
                <c:pt idx="100">
                  <c:v>52.006602979259661</c:v>
                </c:pt>
                <c:pt idx="101">
                  <c:v>52.154490835738045</c:v>
                </c:pt>
                <c:pt idx="102">
                  <c:v>52.296660243373246</c:v>
                </c:pt>
                <c:pt idx="103">
                  <c:v>52.433204589999853</c:v>
                </c:pt>
                <c:pt idx="104">
                  <c:v>52.564217336247076</c:v>
                </c:pt>
                <c:pt idx="105">
                  <c:v>52.689792030741174</c:v>
                </c:pt>
                <c:pt idx="106">
                  <c:v>52.808779663480422</c:v>
                </c:pt>
                <c:pt idx="107">
                  <c:v>52.92028032651654</c:v>
                </c:pt>
                <c:pt idx="108">
                  <c:v>53.024761871686572</c:v>
                </c:pt>
                <c:pt idx="109">
                  <c:v>53.122691770215724</c:v>
                </c:pt>
                <c:pt idx="110">
                  <c:v>53.214537388417469</c:v>
                </c:pt>
                <c:pt idx="111">
                  <c:v>53.30076599297788</c:v>
                </c:pt>
                <c:pt idx="112">
                  <c:v>53.381844748960617</c:v>
                </c:pt>
                <c:pt idx="113">
                  <c:v>53.458240718648923</c:v>
                </c:pt>
                <c:pt idx="114">
                  <c:v>53.530421437583279</c:v>
                </c:pt>
                <c:pt idx="115">
                  <c:v>53.598853785249553</c:v>
                </c:pt>
                <c:pt idx="116">
                  <c:v>53.664004540177537</c:v>
                </c:pt>
                <c:pt idx="117">
                  <c:v>53.726340383518512</c:v>
                </c:pt>
                <c:pt idx="118">
                  <c:v>53.786327897731141</c:v>
                </c:pt>
                <c:pt idx="119">
                  <c:v>53.844433570019206</c:v>
                </c:pt>
                <c:pt idx="120">
                  <c:v>53.89955859097698</c:v>
                </c:pt>
                <c:pt idx="121">
                  <c:v>60.533402308182616</c:v>
                </c:pt>
                <c:pt idx="122">
                  <c:v>60.590250631146191</c:v>
                </c:pt>
                <c:pt idx="123">
                  <c:v>60.642836237491963</c:v>
                </c:pt>
                <c:pt idx="124">
                  <c:v>60.691369005942725</c:v>
                </c:pt>
                <c:pt idx="125">
                  <c:v>60.736058751636556</c:v>
                </c:pt>
                <c:pt idx="126">
                  <c:v>60.77711522359256</c:v>
                </c:pt>
                <c:pt idx="127">
                  <c:v>60.814748113649586</c:v>
                </c:pt>
                <c:pt idx="128">
                  <c:v>60.84916704997287</c:v>
                </c:pt>
                <c:pt idx="129">
                  <c:v>60.880581599080081</c:v>
                </c:pt>
                <c:pt idx="130">
                  <c:v>60.909201271067168</c:v>
                </c:pt>
                <c:pt idx="131">
                  <c:v>60.935235514274737</c:v>
                </c:pt>
                <c:pt idx="132">
                  <c:v>60.958893719087861</c:v>
                </c:pt>
                <c:pt idx="133">
                  <c:v>60.980385217341151</c:v>
                </c:pt>
                <c:pt idx="134">
                  <c:v>60.999172804448044</c:v>
                </c:pt>
                <c:pt idx="135">
                  <c:v>61.014650116441686</c:v>
                </c:pt>
                <c:pt idx="136">
                  <c:v>61.026922693211375</c:v>
                </c:pt>
                <c:pt idx="137">
                  <c:v>61.036096061894433</c:v>
                </c:pt>
                <c:pt idx="138">
                  <c:v>61.042275738853803</c:v>
                </c:pt>
                <c:pt idx="139">
                  <c:v>61.045567224686266</c:v>
                </c:pt>
                <c:pt idx="140">
                  <c:v>61.046076009187033</c:v>
                </c:pt>
                <c:pt idx="141">
                  <c:v>61.043907565635436</c:v>
                </c:pt>
                <c:pt idx="142">
                  <c:v>61.039167353284093</c:v>
                </c:pt>
                <c:pt idx="143">
                  <c:v>61.031960812618927</c:v>
                </c:pt>
                <c:pt idx="144">
                  <c:v>61.022393365121239</c:v>
                </c:pt>
                <c:pt idx="145">
                  <c:v>61.010570414036373</c:v>
                </c:pt>
                <c:pt idx="146">
                  <c:v>60.99659733857164</c:v>
                </c:pt>
                <c:pt idx="147">
                  <c:v>60.980579493229065</c:v>
                </c:pt>
                <c:pt idx="148">
                  <c:v>60.962136887436273</c:v>
                </c:pt>
                <c:pt idx="149">
                  <c:v>60.940889716172592</c:v>
                </c:pt>
                <c:pt idx="150">
                  <c:v>60.916943574555937</c:v>
                </c:pt>
                <c:pt idx="151">
                  <c:v>60.890404021978327</c:v>
                </c:pt>
                <c:pt idx="152">
                  <c:v>60.861376581089964</c:v>
                </c:pt>
                <c:pt idx="153">
                  <c:v>60.829966736539511</c:v>
                </c:pt>
                <c:pt idx="154">
                  <c:v>60.796279928454837</c:v>
                </c:pt>
                <c:pt idx="155">
                  <c:v>60.760421552601528</c:v>
                </c:pt>
                <c:pt idx="156">
                  <c:v>60.722496954755862</c:v>
                </c:pt>
                <c:pt idx="157">
                  <c:v>60.682611429790569</c:v>
                </c:pt>
                <c:pt idx="158">
                  <c:v>60.640870218329738</c:v>
                </c:pt>
                <c:pt idx="159">
                  <c:v>60.597378503073948</c:v>
                </c:pt>
                <c:pt idx="160">
                  <c:v>60.552241403765528</c:v>
                </c:pt>
                <c:pt idx="161">
                  <c:v>60.505563979976479</c:v>
                </c:pt>
                <c:pt idx="162">
                  <c:v>60.457191634303165</c:v>
                </c:pt>
                <c:pt idx="163">
                  <c:v>60.406900600656755</c:v>
                </c:pt>
                <c:pt idx="164">
                  <c:v>60.354692111194936</c:v>
                </c:pt>
                <c:pt idx="165">
                  <c:v>60.300567371059856</c:v>
                </c:pt>
                <c:pt idx="166">
                  <c:v>60.244527552792178</c:v>
                </c:pt>
                <c:pt idx="167">
                  <c:v>60.186573796253683</c:v>
                </c:pt>
                <c:pt idx="168">
                  <c:v>60.126707203841079</c:v>
                </c:pt>
                <c:pt idx="169">
                  <c:v>60.06492884175308</c:v>
                </c:pt>
                <c:pt idx="170">
                  <c:v>60.001239736195771</c:v>
                </c:pt>
                <c:pt idx="171">
                  <c:v>59.935640873155243</c:v>
                </c:pt>
                <c:pt idx="172">
                  <c:v>59.868133194493261</c:v>
                </c:pt>
                <c:pt idx="173">
                  <c:v>59.798717601422716</c:v>
                </c:pt>
                <c:pt idx="174">
                  <c:v>59.727394949913986</c:v>
                </c:pt>
                <c:pt idx="175">
                  <c:v>59.654166052928581</c:v>
                </c:pt>
                <c:pt idx="176">
                  <c:v>59.578582412319705</c:v>
                </c:pt>
                <c:pt idx="177">
                  <c:v>59.500333901278758</c:v>
                </c:pt>
                <c:pt idx="178">
                  <c:v>59.419628752177779</c:v>
                </c:pt>
                <c:pt idx="179">
                  <c:v>59.336675065044268</c:v>
                </c:pt>
                <c:pt idx="180">
                  <c:v>59.251680806939028</c:v>
                </c:pt>
                <c:pt idx="181">
                  <c:v>59.164853815354341</c:v>
                </c:pt>
                <c:pt idx="182">
                  <c:v>59.076401799879854</c:v>
                </c:pt>
                <c:pt idx="183">
                  <c:v>58.986532344526289</c:v>
                </c:pt>
                <c:pt idx="184">
                  <c:v>58.895452908896317</c:v>
                </c:pt>
                <c:pt idx="185">
                  <c:v>58.803370831433462</c:v>
                </c:pt>
                <c:pt idx="186">
                  <c:v>58.710493332589444</c:v>
                </c:pt>
                <c:pt idx="187">
                  <c:v>58.617027517388443</c:v>
                </c:pt>
                <c:pt idx="188">
                  <c:v>58.523180377749533</c:v>
                </c:pt>
                <c:pt idx="189">
                  <c:v>58.429158797050668</c:v>
                </c:pt>
                <c:pt idx="190">
                  <c:v>58.334651936959446</c:v>
                </c:pt>
                <c:pt idx="191">
                  <c:v>58.239211055939677</c:v>
                </c:pt>
                <c:pt idx="192">
                  <c:v>58.142836089693816</c:v>
                </c:pt>
                <c:pt idx="193">
                  <c:v>58.045526961745097</c:v>
                </c:pt>
                <c:pt idx="194">
                  <c:v>57.947283585557358</c:v>
                </c:pt>
                <c:pt idx="195">
                  <c:v>57.84810586752792</c:v>
                </c:pt>
                <c:pt idx="196">
                  <c:v>57.747993710473224</c:v>
                </c:pt>
                <c:pt idx="197">
                  <c:v>57.646947014544693</c:v>
                </c:pt>
                <c:pt idx="198">
                  <c:v>57.544965681371259</c:v>
                </c:pt>
                <c:pt idx="199">
                  <c:v>57.442049615670477</c:v>
                </c:pt>
                <c:pt idx="200">
                  <c:v>57.338198727954023</c:v>
                </c:pt>
                <c:pt idx="201">
                  <c:v>57.233412936356416</c:v>
                </c:pt>
                <c:pt idx="202">
                  <c:v>57.12769216971931</c:v>
                </c:pt>
                <c:pt idx="203">
                  <c:v>57.021036367984209</c:v>
                </c:pt>
                <c:pt idx="204">
                  <c:v>56.913669461320133</c:v>
                </c:pt>
                <c:pt idx="205">
                  <c:v>56.805746395259497</c:v>
                </c:pt>
                <c:pt idx="206">
                  <c:v>56.697163687006544</c:v>
                </c:pt>
                <c:pt idx="207">
                  <c:v>56.587817913145578</c:v>
                </c:pt>
                <c:pt idx="208">
                  <c:v>56.477605711000571</c:v>
                </c:pt>
                <c:pt idx="209">
                  <c:v>56.366423779171782</c:v>
                </c:pt>
                <c:pt idx="210">
                  <c:v>56.254168877786185</c:v>
                </c:pt>
                <c:pt idx="211">
                  <c:v>56.140737829153899</c:v>
                </c:pt>
                <c:pt idx="212">
                  <c:v>56.026027517303383</c:v>
                </c:pt>
                <c:pt idx="213">
                  <c:v>55.909934887550833</c:v>
                </c:pt>
                <c:pt idx="214">
                  <c:v>55.792356948165562</c:v>
                </c:pt>
                <c:pt idx="215">
                  <c:v>55.673190767314878</c:v>
                </c:pt>
                <c:pt idx="216">
                  <c:v>55.552333474091057</c:v>
                </c:pt>
                <c:pt idx="217">
                  <c:v>55.429682258005606</c:v>
                </c:pt>
                <c:pt idx="218">
                  <c:v>55.305168776589042</c:v>
                </c:pt>
                <c:pt idx="219">
                  <c:v>55.178862355764004</c:v>
                </c:pt>
                <c:pt idx="220">
                  <c:v>55.050866712695786</c:v>
                </c:pt>
                <c:pt idx="221">
                  <c:v>54.921285538480809</c:v>
                </c:pt>
                <c:pt idx="222">
                  <c:v>54.790222497117377</c:v>
                </c:pt>
                <c:pt idx="223">
                  <c:v>54.657781225438789</c:v>
                </c:pt>
                <c:pt idx="224">
                  <c:v>54.524065331706481</c:v>
                </c:pt>
                <c:pt idx="225">
                  <c:v>54.38917776173345</c:v>
                </c:pt>
                <c:pt idx="226">
                  <c:v>54.253222063641402</c:v>
                </c:pt>
                <c:pt idx="227">
                  <c:v>54.116301754594822</c:v>
                </c:pt>
                <c:pt idx="228">
                  <c:v>53.978520319814329</c:v>
                </c:pt>
                <c:pt idx="229">
                  <c:v>53.839981212368897</c:v>
                </c:pt>
                <c:pt idx="230">
                  <c:v>53.700787851108579</c:v>
                </c:pt>
                <c:pt idx="231">
                  <c:v>53.561043622455458</c:v>
                </c:pt>
                <c:pt idx="232">
                  <c:v>53.421487568676255</c:v>
                </c:pt>
                <c:pt idx="233">
                  <c:v>53.28251352839591</c:v>
                </c:pt>
                <c:pt idx="234">
                  <c:v>53.143709189502339</c:v>
                </c:pt>
                <c:pt idx="235">
                  <c:v>53.004662406845426</c:v>
                </c:pt>
                <c:pt idx="236">
                  <c:v>52.864961202904844</c:v>
                </c:pt>
                <c:pt idx="237">
                  <c:v>52.724193767802142</c:v>
                </c:pt>
                <c:pt idx="238">
                  <c:v>52.581948456037033</c:v>
                </c:pt>
                <c:pt idx="239">
                  <c:v>52.437813081566809</c:v>
                </c:pt>
                <c:pt idx="240">
                  <c:v>52.291376959765479</c:v>
                </c:pt>
                <c:pt idx="241">
                  <c:v>52.142228942277136</c:v>
                </c:pt>
                <c:pt idx="242">
                  <c:v>51.989958041758491</c:v>
                </c:pt>
                <c:pt idx="243">
                  <c:v>51.834153437213772</c:v>
                </c:pt>
                <c:pt idx="244">
                  <c:v>51.67440446747262</c:v>
                </c:pt>
                <c:pt idx="245">
                  <c:v>51.510300638088374</c:v>
                </c:pt>
                <c:pt idx="246">
                  <c:v>51.343130201288481</c:v>
                </c:pt>
                <c:pt idx="247">
                  <c:v>51.174250210429967</c:v>
                </c:pt>
                <c:pt idx="248">
                  <c:v>51.003353905635109</c:v>
                </c:pt>
                <c:pt idx="249">
                  <c:v>50.830133326257005</c:v>
                </c:pt>
                <c:pt idx="250">
                  <c:v>50.654280634849407</c:v>
                </c:pt>
                <c:pt idx="251">
                  <c:v>50.475488118715191</c:v>
                </c:pt>
                <c:pt idx="252">
                  <c:v>50.293448187504005</c:v>
                </c:pt>
                <c:pt idx="253">
                  <c:v>50.10785217081402</c:v>
                </c:pt>
                <c:pt idx="254">
                  <c:v>49.918393425972923</c:v>
                </c:pt>
                <c:pt idx="255">
                  <c:v>49.724764727998732</c:v>
                </c:pt>
                <c:pt idx="256">
                  <c:v>49.526658973587331</c:v>
                </c:pt>
                <c:pt idx="257">
                  <c:v>49.323769174925879</c:v>
                </c:pt>
                <c:pt idx="258">
                  <c:v>49.115788460948515</c:v>
                </c:pt>
                <c:pt idx="259">
                  <c:v>48.902410073215307</c:v>
                </c:pt>
                <c:pt idx="260">
                  <c:v>48.683875678818765</c:v>
                </c:pt>
                <c:pt idx="261">
                  <c:v>48.460699072508049</c:v>
                </c:pt>
                <c:pt idx="262">
                  <c:v>48.232983969981618</c:v>
                </c:pt>
                <c:pt idx="263">
                  <c:v>48.000834692236467</c:v>
                </c:pt>
                <c:pt idx="264">
                  <c:v>47.764355515797106</c:v>
                </c:pt>
                <c:pt idx="265">
                  <c:v>47.523650662803639</c:v>
                </c:pt>
                <c:pt idx="266">
                  <c:v>47.278824307173409</c:v>
                </c:pt>
                <c:pt idx="267">
                  <c:v>47.029983780006106</c:v>
                </c:pt>
                <c:pt idx="268">
                  <c:v>46.777234286095563</c:v>
                </c:pt>
                <c:pt idx="269">
                  <c:v>46.520679801830674</c:v>
                </c:pt>
                <c:pt idx="270">
                  <c:v>46.260424237784804</c:v>
                </c:pt>
                <c:pt idx="271">
                  <c:v>45.996571439534634</c:v>
                </c:pt>
                <c:pt idx="272">
                  <c:v>45.729225185059533</c:v>
                </c:pt>
                <c:pt idx="273">
                  <c:v>45.458489184080342</c:v>
                </c:pt>
                <c:pt idx="274">
                  <c:v>45.18376543001142</c:v>
                </c:pt>
                <c:pt idx="275">
                  <c:v>44.904525360515706</c:v>
                </c:pt>
                <c:pt idx="276">
                  <c:v>44.620977272731004</c:v>
                </c:pt>
                <c:pt idx="277">
                  <c:v>44.333327503585075</c:v>
                </c:pt>
                <c:pt idx="278">
                  <c:v>44.041782260182167</c:v>
                </c:pt>
                <c:pt idx="279">
                  <c:v>43.746547626866139</c:v>
                </c:pt>
                <c:pt idx="280">
                  <c:v>43.4478295603707</c:v>
                </c:pt>
                <c:pt idx="281">
                  <c:v>43.145830590675168</c:v>
                </c:pt>
                <c:pt idx="282">
                  <c:v>42.840753455593727</c:v>
                </c:pt>
                <c:pt idx="283">
                  <c:v>42.532803832275015</c:v>
                </c:pt>
                <c:pt idx="284">
                  <c:v>42.222187275979095</c:v>
                </c:pt>
                <c:pt idx="285">
                  <c:v>41.909109218163678</c:v>
                </c:pt>
                <c:pt idx="286">
                  <c:v>41.593774968626832</c:v>
                </c:pt>
                <c:pt idx="287">
                  <c:v>41.276389716566101</c:v>
                </c:pt>
                <c:pt idx="288">
                  <c:v>40.954201442552481</c:v>
                </c:pt>
                <c:pt idx="289">
                  <c:v>40.625076679602081</c:v>
                </c:pt>
                <c:pt idx="290">
                  <c:v>40.290143600514938</c:v>
                </c:pt>
                <c:pt idx="291">
                  <c:v>39.950530730301729</c:v>
                </c:pt>
                <c:pt idx="292">
                  <c:v>39.607366175400756</c:v>
                </c:pt>
                <c:pt idx="293">
                  <c:v>39.261777630283483</c:v>
                </c:pt>
                <c:pt idx="294">
                  <c:v>38.914892388474627</c:v>
                </c:pt>
                <c:pt idx="295">
                  <c:v>38.56783803732754</c:v>
                </c:pt>
                <c:pt idx="296">
                  <c:v>38.221744025405471</c:v>
                </c:pt>
                <c:pt idx="297">
                  <c:v>37.877736372724996</c:v>
                </c:pt>
                <c:pt idx="298">
                  <c:v>37.536940737442833</c:v>
                </c:pt>
                <c:pt idx="299">
                  <c:v>37.200482415244082</c:v>
                </c:pt>
                <c:pt idx="300">
                  <c:v>36.86948633890573</c:v>
                </c:pt>
                <c:pt idx="301">
                  <c:v>36.545077089869231</c:v>
                </c:pt>
                <c:pt idx="302">
                  <c:v>36.225117725527802</c:v>
                </c:pt>
                <c:pt idx="303">
                  <c:v>35.90684651897665</c:v>
                </c:pt>
                <c:pt idx="304">
                  <c:v>35.590464958033394</c:v>
                </c:pt>
                <c:pt idx="305">
                  <c:v>35.276176669350654</c:v>
                </c:pt>
                <c:pt idx="306">
                  <c:v>34.964185225492862</c:v>
                </c:pt>
                <c:pt idx="307">
                  <c:v>34.654694153096052</c:v>
                </c:pt>
                <c:pt idx="308">
                  <c:v>34.347906930939928</c:v>
                </c:pt>
                <c:pt idx="309">
                  <c:v>34.043996425930793</c:v>
                </c:pt>
                <c:pt idx="310">
                  <c:v>33.743166334818731</c:v>
                </c:pt>
                <c:pt idx="311">
                  <c:v>33.445620921811937</c:v>
                </c:pt>
                <c:pt idx="312">
                  <c:v>33.151564396332255</c:v>
                </c:pt>
                <c:pt idx="313">
                  <c:v>32.861200913788281</c:v>
                </c:pt>
                <c:pt idx="314">
                  <c:v>32.574734570750735</c:v>
                </c:pt>
                <c:pt idx="315">
                  <c:v>32.292369403070374</c:v>
                </c:pt>
                <c:pt idx="316">
                  <c:v>32.011802122137475</c:v>
                </c:pt>
                <c:pt idx="317">
                  <c:v>31.731181365789777</c:v>
                </c:pt>
                <c:pt idx="318">
                  <c:v>31.451438359300152</c:v>
                </c:pt>
                <c:pt idx="319">
                  <c:v>31.17349440368649</c:v>
                </c:pt>
                <c:pt idx="320">
                  <c:v>30.89827049785433</c:v>
                </c:pt>
                <c:pt idx="321">
                  <c:v>30.626687322641651</c:v>
                </c:pt>
                <c:pt idx="322">
                  <c:v>30.359665249005598</c:v>
                </c:pt>
                <c:pt idx="323">
                  <c:v>30.09813269489862</c:v>
                </c:pt>
                <c:pt idx="324">
                  <c:v>29.843035645803784</c:v>
                </c:pt>
                <c:pt idx="325">
                  <c:v>29.595292604683593</c:v>
                </c:pt>
                <c:pt idx="326">
                  <c:v>29.355821863304485</c:v>
                </c:pt>
                <c:pt idx="327">
                  <c:v>29.125541411154323</c:v>
                </c:pt>
                <c:pt idx="328">
                  <c:v>28.905368914126562</c:v>
                </c:pt>
                <c:pt idx="329">
                  <c:v>28.696221741959221</c:v>
                </c:pt>
                <c:pt idx="330">
                  <c:v>28.496052405329987</c:v>
                </c:pt>
                <c:pt idx="331">
                  <c:v>28.302416960291247</c:v>
                </c:pt>
                <c:pt idx="332">
                  <c:v>28.11564304835693</c:v>
                </c:pt>
                <c:pt idx="333">
                  <c:v>27.936034648548748</c:v>
                </c:pt>
                <c:pt idx="334">
                  <c:v>27.763895710130512</c:v>
                </c:pt>
                <c:pt idx="335">
                  <c:v>27.599530174028935</c:v>
                </c:pt>
                <c:pt idx="336">
                  <c:v>27.443241958334205</c:v>
                </c:pt>
                <c:pt idx="337">
                  <c:v>27.295340327329889</c:v>
                </c:pt>
                <c:pt idx="338">
                  <c:v>27.156121570733927</c:v>
                </c:pt>
                <c:pt idx="339">
                  <c:v>27.025889577915375</c:v>
                </c:pt>
                <c:pt idx="340">
                  <c:v>26.904948213295853</c:v>
                </c:pt>
                <c:pt idx="341">
                  <c:v>26.793601300619159</c:v>
                </c:pt>
                <c:pt idx="342">
                  <c:v>26.6921526336833</c:v>
                </c:pt>
                <c:pt idx="343">
                  <c:v>26.600905955633191</c:v>
                </c:pt>
                <c:pt idx="344">
                  <c:v>26.518775101002326</c:v>
                </c:pt>
                <c:pt idx="345">
                  <c:v>26.444662105287705</c:v>
                </c:pt>
                <c:pt idx="346">
                  <c:v>26.378871715116841</c:v>
                </c:pt>
                <c:pt idx="347">
                  <c:v>26.321689699363755</c:v>
                </c:pt>
                <c:pt idx="348">
                  <c:v>26.273401796733921</c:v>
                </c:pt>
                <c:pt idx="349">
                  <c:v>26.234293720305864</c:v>
                </c:pt>
                <c:pt idx="350">
                  <c:v>26.204651135202312</c:v>
                </c:pt>
                <c:pt idx="351">
                  <c:v>26.184788884424592</c:v>
                </c:pt>
                <c:pt idx="352">
                  <c:v>26.174987267102598</c:v>
                </c:pt>
                <c:pt idx="353">
                  <c:v>26.17553166175643</c:v>
                </c:pt>
                <c:pt idx="354">
                  <c:v>26.186707403196667</c:v>
                </c:pt>
                <c:pt idx="355">
                  <c:v>26.208799770389064</c:v>
                </c:pt>
                <c:pt idx="356">
                  <c:v>26.242094069877073</c:v>
                </c:pt>
                <c:pt idx="357">
                  <c:v>26.286875401905142</c:v>
                </c:pt>
                <c:pt idx="358">
                  <c:v>26.343181529780189</c:v>
                </c:pt>
                <c:pt idx="359">
                  <c:v>26.41072367409047</c:v>
                </c:pt>
                <c:pt idx="360">
                  <c:v>26.489302281949509</c:v>
                </c:pt>
                <c:pt idx="361">
                  <c:v>26.578683999744285</c:v>
                </c:pt>
                <c:pt idx="362">
                  <c:v>26.678664433123334</c:v>
                </c:pt>
                <c:pt idx="363">
                  <c:v>26.789039231883368</c:v>
                </c:pt>
                <c:pt idx="364">
                  <c:v>26.909604079945286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25.228000000000002</c:v>
                </c:pt>
                <c:pt idx="1">
                  <c:v>15.853</c:v>
                </c:pt>
                <c:pt idx="2">
                  <c:v>18.553000000000001</c:v>
                </c:pt>
                <c:pt idx="3">
                  <c:v>19.362000000000002</c:v>
                </c:pt>
                <c:pt idx="4">
                  <c:v>14.834</c:v>
                </c:pt>
                <c:pt idx="5">
                  <c:v>22.615000000000002</c:v>
                </c:pt>
                <c:pt idx="6">
                  <c:v>9.6829999999999998</c:v>
                </c:pt>
                <c:pt idx="7">
                  <c:v>6.7990000000000004</c:v>
                </c:pt>
                <c:pt idx="8">
                  <c:v>2.0569999999999999</c:v>
                </c:pt>
                <c:pt idx="9">
                  <c:v>1.679</c:v>
                </c:pt>
                <c:pt idx="10">
                  <c:v>25.407</c:v>
                </c:pt>
                <c:pt idx="11">
                  <c:v>23.157</c:v>
                </c:pt>
                <c:pt idx="12">
                  <c:v>5.2</c:v>
                </c:pt>
                <c:pt idx="13">
                  <c:v>27.806000000000001</c:v>
                </c:pt>
                <c:pt idx="14">
                  <c:v>28.565000000000001</c:v>
                </c:pt>
                <c:pt idx="15">
                  <c:v>27.858000000000001</c:v>
                </c:pt>
                <c:pt idx="16">
                  <c:v>11.044</c:v>
                </c:pt>
                <c:pt idx="17">
                  <c:v>3.577</c:v>
                </c:pt>
                <c:pt idx="18">
                  <c:v>10.857000000000001</c:v>
                </c:pt>
                <c:pt idx="19">
                  <c:v>6.1180000000000003</c:v>
                </c:pt>
                <c:pt idx="20">
                  <c:v>21.608000000000001</c:v>
                </c:pt>
                <c:pt idx="21">
                  <c:v>29.641000000000002</c:v>
                </c:pt>
                <c:pt idx="22">
                  <c:v>29.542999999999999</c:v>
                </c:pt>
                <c:pt idx="23">
                  <c:v>30.504000000000001</c:v>
                </c:pt>
                <c:pt idx="24">
                  <c:v>28.238</c:v>
                </c:pt>
                <c:pt idx="25">
                  <c:v>29.773</c:v>
                </c:pt>
                <c:pt idx="26">
                  <c:v>26.278000000000002</c:v>
                </c:pt>
                <c:pt idx="27">
                  <c:v>4.0120000000000005</c:v>
                </c:pt>
                <c:pt idx="28">
                  <c:v>7.6320000000000006</c:v>
                </c:pt>
                <c:pt idx="29">
                  <c:v>4.4160000000000004</c:v>
                </c:pt>
                <c:pt idx="30">
                  <c:v>7.0419999999999998</c:v>
                </c:pt>
                <c:pt idx="31">
                  <c:v>15.452</c:v>
                </c:pt>
                <c:pt idx="32">
                  <c:v>5.0730000000000004</c:v>
                </c:pt>
                <c:pt idx="33">
                  <c:v>10.201000000000001</c:v>
                </c:pt>
                <c:pt idx="34">
                  <c:v>10.535</c:v>
                </c:pt>
                <c:pt idx="35">
                  <c:v>8.6920000000000002</c:v>
                </c:pt>
                <c:pt idx="36">
                  <c:v>23.778000000000002</c:v>
                </c:pt>
                <c:pt idx="37">
                  <c:v>8.5299999999999994</c:v>
                </c:pt>
                <c:pt idx="38">
                  <c:v>34.472000000000001</c:v>
                </c:pt>
                <c:pt idx="39">
                  <c:v>35.173999999999999</c:v>
                </c:pt>
                <c:pt idx="40">
                  <c:v>32.977000000000004</c:v>
                </c:pt>
                <c:pt idx="41">
                  <c:v>16.298999999999999</c:v>
                </c:pt>
                <c:pt idx="42">
                  <c:v>26.494</c:v>
                </c:pt>
                <c:pt idx="43">
                  <c:v>32.99</c:v>
                </c:pt>
                <c:pt idx="44">
                  <c:v>14.518000000000001</c:v>
                </c:pt>
                <c:pt idx="45">
                  <c:v>18.457000000000001</c:v>
                </c:pt>
                <c:pt idx="46">
                  <c:v>8.3160000000000007</c:v>
                </c:pt>
                <c:pt idx="47">
                  <c:v>10.488</c:v>
                </c:pt>
                <c:pt idx="48">
                  <c:v>29.753</c:v>
                </c:pt>
                <c:pt idx="49">
                  <c:v>17.905000000000001</c:v>
                </c:pt>
                <c:pt idx="50">
                  <c:v>19.466000000000001</c:v>
                </c:pt>
                <c:pt idx="51">
                  <c:v>20.490000000000002</c:v>
                </c:pt>
                <c:pt idx="52">
                  <c:v>32.381999999999998</c:v>
                </c:pt>
                <c:pt idx="53">
                  <c:v>34.408000000000001</c:v>
                </c:pt>
                <c:pt idx="54">
                  <c:v>23.716999999999999</c:v>
                </c:pt>
                <c:pt idx="55">
                  <c:v>28.099</c:v>
                </c:pt>
                <c:pt idx="56">
                  <c:v>42.256999999999998</c:v>
                </c:pt>
                <c:pt idx="57">
                  <c:v>24.891000000000002</c:v>
                </c:pt>
                <c:pt idx="58">
                  <c:v>35.585999999999999</c:v>
                </c:pt>
                <c:pt idx="59">
                  <c:v>40.316000000000003</c:v>
                </c:pt>
                <c:pt idx="60">
                  <c:v>11.824</c:v>
                </c:pt>
                <c:pt idx="61">
                  <c:v>32.615000000000002</c:v>
                </c:pt>
                <c:pt idx="62">
                  <c:v>3.492</c:v>
                </c:pt>
                <c:pt idx="63">
                  <c:v>11.961</c:v>
                </c:pt>
                <c:pt idx="64">
                  <c:v>14.696</c:v>
                </c:pt>
                <c:pt idx="65">
                  <c:v>35.859000000000002</c:v>
                </c:pt>
                <c:pt idx="66">
                  <c:v>33.643999999999998</c:v>
                </c:pt>
                <c:pt idx="67">
                  <c:v>29.404</c:v>
                </c:pt>
                <c:pt idx="68">
                  <c:v>24.865000000000002</c:v>
                </c:pt>
                <c:pt idx="69">
                  <c:v>15.838000000000001</c:v>
                </c:pt>
                <c:pt idx="70">
                  <c:v>13.02</c:v>
                </c:pt>
                <c:pt idx="71">
                  <c:v>7.5019999999999998</c:v>
                </c:pt>
                <c:pt idx="72">
                  <c:v>13.464</c:v>
                </c:pt>
                <c:pt idx="73">
                  <c:v>12.766999999999999</c:v>
                </c:pt>
                <c:pt idx="74">
                  <c:v>12.836</c:v>
                </c:pt>
                <c:pt idx="75">
                  <c:v>10.583</c:v>
                </c:pt>
                <c:pt idx="76">
                  <c:v>13.264000000000001</c:v>
                </c:pt>
                <c:pt idx="77">
                  <c:v>26.655000000000001</c:v>
                </c:pt>
                <c:pt idx="78">
                  <c:v>29.495000000000001</c:v>
                </c:pt>
                <c:pt idx="79">
                  <c:v>43.204999999999998</c:v>
                </c:pt>
                <c:pt idx="80">
                  <c:v>40.670999999999999</c:v>
                </c:pt>
                <c:pt idx="81">
                  <c:v>46.249000000000002</c:v>
                </c:pt>
                <c:pt idx="82">
                  <c:v>45.637</c:v>
                </c:pt>
                <c:pt idx="83">
                  <c:v>38.311999999999998</c:v>
                </c:pt>
                <c:pt idx="84">
                  <c:v>44.311</c:v>
                </c:pt>
                <c:pt idx="85">
                  <c:v>43.533000000000001</c:v>
                </c:pt>
                <c:pt idx="86">
                  <c:v>34.725999999999999</c:v>
                </c:pt>
                <c:pt idx="87">
                  <c:v>26.025000000000002</c:v>
                </c:pt>
                <c:pt idx="88">
                  <c:v>7.0750000000000002</c:v>
                </c:pt>
                <c:pt idx="89">
                  <c:v>24.018000000000001</c:v>
                </c:pt>
                <c:pt idx="90">
                  <c:v>28.54</c:v>
                </c:pt>
                <c:pt idx="91">
                  <c:v>18.333000000000002</c:v>
                </c:pt>
                <c:pt idx="92">
                  <c:v>22.716000000000001</c:v>
                </c:pt>
                <c:pt idx="93">
                  <c:v>42.928000000000004</c:v>
                </c:pt>
                <c:pt idx="94">
                  <c:v>49.280999999999999</c:v>
                </c:pt>
                <c:pt idx="95">
                  <c:v>10.416</c:v>
                </c:pt>
                <c:pt idx="96">
                  <c:v>37.783000000000001</c:v>
                </c:pt>
                <c:pt idx="97">
                  <c:v>32.401000000000003</c:v>
                </c:pt>
                <c:pt idx="98">
                  <c:v>31.937000000000001</c:v>
                </c:pt>
                <c:pt idx="99">
                  <c:v>51.838000000000001</c:v>
                </c:pt>
                <c:pt idx="100">
                  <c:v>43.355000000000004</c:v>
                </c:pt>
                <c:pt idx="101">
                  <c:v>36.047000000000004</c:v>
                </c:pt>
                <c:pt idx="102">
                  <c:v>7.3140000000000001</c:v>
                </c:pt>
                <c:pt idx="103">
                  <c:v>37.871000000000002</c:v>
                </c:pt>
                <c:pt idx="104">
                  <c:v>40.81</c:v>
                </c:pt>
                <c:pt idx="105">
                  <c:v>39.352000000000004</c:v>
                </c:pt>
                <c:pt idx="106">
                  <c:v>50.805</c:v>
                </c:pt>
                <c:pt idx="107">
                  <c:v>33.738999999999997</c:v>
                </c:pt>
                <c:pt idx="108">
                  <c:v>8.5139999999999993</c:v>
                </c:pt>
                <c:pt idx="109">
                  <c:v>8.8190000000000008</c:v>
                </c:pt>
                <c:pt idx="110">
                  <c:v>8.3919999999999995</c:v>
                </c:pt>
                <c:pt idx="111">
                  <c:v>24.265000000000001</c:v>
                </c:pt>
                <c:pt idx="112">
                  <c:v>8.2669999999999995</c:v>
                </c:pt>
                <c:pt idx="113">
                  <c:v>27.141999999999999</c:v>
                </c:pt>
                <c:pt idx="114">
                  <c:v>41.273000000000003</c:v>
                </c:pt>
                <c:pt idx="115">
                  <c:v>50.742000000000004</c:v>
                </c:pt>
                <c:pt idx="116">
                  <c:v>38.749000000000002</c:v>
                </c:pt>
                <c:pt idx="117">
                  <c:v>21.831</c:v>
                </c:pt>
                <c:pt idx="118">
                  <c:v>39.612000000000002</c:v>
                </c:pt>
                <c:pt idx="119">
                  <c:v>40.591999999999999</c:v>
                </c:pt>
                <c:pt idx="120">
                  <c:v>43.994999999999997</c:v>
                </c:pt>
                <c:pt idx="121">
                  <c:v>30.585000000000001</c:v>
                </c:pt>
                <c:pt idx="122">
                  <c:v>40.021000000000001</c:v>
                </c:pt>
                <c:pt idx="123">
                  <c:v>21.411000000000001</c:v>
                </c:pt>
                <c:pt idx="124">
                  <c:v>44.841000000000001</c:v>
                </c:pt>
                <c:pt idx="125">
                  <c:v>42.637999999999998</c:v>
                </c:pt>
                <c:pt idx="126">
                  <c:v>53.003</c:v>
                </c:pt>
                <c:pt idx="127">
                  <c:v>52.160000000000004</c:v>
                </c:pt>
                <c:pt idx="128">
                  <c:v>57.506</c:v>
                </c:pt>
                <c:pt idx="129">
                  <c:v>55.432000000000002</c:v>
                </c:pt>
                <c:pt idx="130">
                  <c:v>59.410000000000004</c:v>
                </c:pt>
                <c:pt idx="131">
                  <c:v>42.472000000000001</c:v>
                </c:pt>
                <c:pt idx="132">
                  <c:v>43.597000000000001</c:v>
                </c:pt>
                <c:pt idx="133">
                  <c:v>54.076000000000001</c:v>
                </c:pt>
                <c:pt idx="134">
                  <c:v>56.402000000000001</c:v>
                </c:pt>
                <c:pt idx="135">
                  <c:v>53.936999999999998</c:v>
                </c:pt>
                <c:pt idx="136">
                  <c:v>57.253999999999998</c:v>
                </c:pt>
                <c:pt idx="137">
                  <c:v>54.255000000000003</c:v>
                </c:pt>
                <c:pt idx="138">
                  <c:v>57.826000000000001</c:v>
                </c:pt>
                <c:pt idx="139">
                  <c:v>52.609000000000002</c:v>
                </c:pt>
                <c:pt idx="140">
                  <c:v>53.660000000000004</c:v>
                </c:pt>
                <c:pt idx="141">
                  <c:v>42.676000000000002</c:v>
                </c:pt>
                <c:pt idx="142">
                  <c:v>20.003</c:v>
                </c:pt>
                <c:pt idx="143">
                  <c:v>17.472999999999999</c:v>
                </c:pt>
                <c:pt idx="144">
                  <c:v>44.442</c:v>
                </c:pt>
                <c:pt idx="145">
                  <c:v>28.995000000000001</c:v>
                </c:pt>
                <c:pt idx="146">
                  <c:v>45.996000000000002</c:v>
                </c:pt>
                <c:pt idx="147">
                  <c:v>57.238</c:v>
                </c:pt>
                <c:pt idx="148">
                  <c:v>61.923000000000002</c:v>
                </c:pt>
                <c:pt idx="149">
                  <c:v>49.975000000000001</c:v>
                </c:pt>
                <c:pt idx="150">
                  <c:v>55.987000000000002</c:v>
                </c:pt>
                <c:pt idx="151">
                  <c:v>58.06</c:v>
                </c:pt>
                <c:pt idx="152">
                  <c:v>43.911999999999999</c:v>
                </c:pt>
                <c:pt idx="153">
                  <c:v>57.643000000000001</c:v>
                </c:pt>
                <c:pt idx="154">
                  <c:v>26.083000000000002</c:v>
                </c:pt>
                <c:pt idx="155">
                  <c:v>36.1</c:v>
                </c:pt>
                <c:pt idx="156">
                  <c:v>51.734999999999999</c:v>
                </c:pt>
                <c:pt idx="157">
                  <c:v>26.614000000000001</c:v>
                </c:pt>
                <c:pt idx="158">
                  <c:v>21.975999999999999</c:v>
                </c:pt>
                <c:pt idx="159">
                  <c:v>51.841000000000001</c:v>
                </c:pt>
                <c:pt idx="160">
                  <c:v>59.873000000000005</c:v>
                </c:pt>
                <c:pt idx="161">
                  <c:v>58.163000000000004</c:v>
                </c:pt>
                <c:pt idx="162">
                  <c:v>45.813000000000002</c:v>
                </c:pt>
                <c:pt idx="163">
                  <c:v>55.124000000000002</c:v>
                </c:pt>
                <c:pt idx="164">
                  <c:v>53.012</c:v>
                </c:pt>
                <c:pt idx="165">
                  <c:v>56.36</c:v>
                </c:pt>
                <c:pt idx="166">
                  <c:v>54.353999999999999</c:v>
                </c:pt>
                <c:pt idx="167">
                  <c:v>54.267000000000003</c:v>
                </c:pt>
                <c:pt idx="168">
                  <c:v>57.869</c:v>
                </c:pt>
                <c:pt idx="169">
                  <c:v>58.998000000000005</c:v>
                </c:pt>
                <c:pt idx="170">
                  <c:v>31.186</c:v>
                </c:pt>
                <c:pt idx="171">
                  <c:v>23.25</c:v>
                </c:pt>
                <c:pt idx="172">
                  <c:v>43.96</c:v>
                </c:pt>
                <c:pt idx="173">
                  <c:v>44.648000000000003</c:v>
                </c:pt>
                <c:pt idx="174">
                  <c:v>41.03</c:v>
                </c:pt>
                <c:pt idx="175">
                  <c:v>38.825000000000003</c:v>
                </c:pt>
                <c:pt idx="176">
                  <c:v>12.581</c:v>
                </c:pt>
                <c:pt idx="177">
                  <c:v>15.493</c:v>
                </c:pt>
                <c:pt idx="178">
                  <c:v>59.459000000000003</c:v>
                </c:pt>
                <c:pt idx="179">
                  <c:v>58.983000000000004</c:v>
                </c:pt>
                <c:pt idx="180">
                  <c:v>14.512</c:v>
                </c:pt>
                <c:pt idx="181">
                  <c:v>49.298999999999999</c:v>
                </c:pt>
                <c:pt idx="182">
                  <c:v>36.055999999999997</c:v>
                </c:pt>
                <c:pt idx="183">
                  <c:v>51.237000000000002</c:v>
                </c:pt>
                <c:pt idx="184">
                  <c:v>46.399000000000001</c:v>
                </c:pt>
                <c:pt idx="185">
                  <c:v>57.841999999999999</c:v>
                </c:pt>
                <c:pt idx="186">
                  <c:v>47.169000000000004</c:v>
                </c:pt>
                <c:pt idx="187">
                  <c:v>57.521999999999998</c:v>
                </c:pt>
                <c:pt idx="188">
                  <c:v>59.413000000000004</c:v>
                </c:pt>
                <c:pt idx="189">
                  <c:v>58.710999999999999</c:v>
                </c:pt>
                <c:pt idx="190">
                  <c:v>57.984000000000002</c:v>
                </c:pt>
                <c:pt idx="191">
                  <c:v>56.984999999999999</c:v>
                </c:pt>
                <c:pt idx="192">
                  <c:v>56.570999999999998</c:v>
                </c:pt>
                <c:pt idx="193">
                  <c:v>56.045000000000002</c:v>
                </c:pt>
                <c:pt idx="194">
                  <c:v>55.721000000000004</c:v>
                </c:pt>
                <c:pt idx="195">
                  <c:v>53.45</c:v>
                </c:pt>
                <c:pt idx="196">
                  <c:v>54.917999999999999</c:v>
                </c:pt>
                <c:pt idx="197">
                  <c:v>55.067</c:v>
                </c:pt>
                <c:pt idx="198">
                  <c:v>57.352000000000004</c:v>
                </c:pt>
                <c:pt idx="199">
                  <c:v>44.960999999999999</c:v>
                </c:pt>
                <c:pt idx="200">
                  <c:v>45.064</c:v>
                </c:pt>
                <c:pt idx="201">
                  <c:v>54.515000000000001</c:v>
                </c:pt>
                <c:pt idx="202">
                  <c:v>45.822000000000003</c:v>
                </c:pt>
                <c:pt idx="203">
                  <c:v>45.774999999999999</c:v>
                </c:pt>
                <c:pt idx="204">
                  <c:v>54.777999999999999</c:v>
                </c:pt>
                <c:pt idx="205">
                  <c:v>26.903000000000002</c:v>
                </c:pt>
                <c:pt idx="206">
                  <c:v>57.125</c:v>
                </c:pt>
                <c:pt idx="207">
                  <c:v>58.576999999999998</c:v>
                </c:pt>
                <c:pt idx="208">
                  <c:v>44.36</c:v>
                </c:pt>
                <c:pt idx="209">
                  <c:v>30.709</c:v>
                </c:pt>
                <c:pt idx="210">
                  <c:v>49.392000000000003</c:v>
                </c:pt>
                <c:pt idx="211">
                  <c:v>56.161999999999999</c:v>
                </c:pt>
                <c:pt idx="212">
                  <c:v>55.801000000000002</c:v>
                </c:pt>
                <c:pt idx="213">
                  <c:v>55.875</c:v>
                </c:pt>
                <c:pt idx="214">
                  <c:v>55.219000000000001</c:v>
                </c:pt>
                <c:pt idx="215">
                  <c:v>53.667000000000002</c:v>
                </c:pt>
                <c:pt idx="216">
                  <c:v>44.216999999999999</c:v>
                </c:pt>
                <c:pt idx="217">
                  <c:v>52.059000000000005</c:v>
                </c:pt>
                <c:pt idx="218">
                  <c:v>54.572000000000003</c:v>
                </c:pt>
                <c:pt idx="219">
                  <c:v>55.346000000000004</c:v>
                </c:pt>
                <c:pt idx="220">
                  <c:v>53.151000000000003</c:v>
                </c:pt>
                <c:pt idx="221">
                  <c:v>51.194000000000003</c:v>
                </c:pt>
                <c:pt idx="222">
                  <c:v>49.628999999999998</c:v>
                </c:pt>
                <c:pt idx="223">
                  <c:v>49.899000000000001</c:v>
                </c:pt>
                <c:pt idx="224">
                  <c:v>38.978000000000002</c:v>
                </c:pt>
                <c:pt idx="225">
                  <c:v>35.133000000000003</c:v>
                </c:pt>
                <c:pt idx="226">
                  <c:v>37.563000000000002</c:v>
                </c:pt>
                <c:pt idx="227">
                  <c:v>38.887999999999998</c:v>
                </c:pt>
                <c:pt idx="228">
                  <c:v>30.074000000000002</c:v>
                </c:pt>
                <c:pt idx="229">
                  <c:v>38.177</c:v>
                </c:pt>
                <c:pt idx="230">
                  <c:v>39.86</c:v>
                </c:pt>
                <c:pt idx="231">
                  <c:v>52.128999999999998</c:v>
                </c:pt>
                <c:pt idx="232">
                  <c:v>38.936</c:v>
                </c:pt>
                <c:pt idx="233">
                  <c:v>28.124000000000002</c:v>
                </c:pt>
                <c:pt idx="234">
                  <c:v>50.389000000000003</c:v>
                </c:pt>
                <c:pt idx="235">
                  <c:v>50.953000000000003</c:v>
                </c:pt>
                <c:pt idx="236">
                  <c:v>30.649000000000001</c:v>
                </c:pt>
                <c:pt idx="237">
                  <c:v>40.956000000000003</c:v>
                </c:pt>
                <c:pt idx="238">
                  <c:v>49.59</c:v>
                </c:pt>
                <c:pt idx="239">
                  <c:v>50.703000000000003</c:v>
                </c:pt>
                <c:pt idx="240">
                  <c:v>34.863999999999997</c:v>
                </c:pt>
                <c:pt idx="241">
                  <c:v>50.032000000000004</c:v>
                </c:pt>
                <c:pt idx="242">
                  <c:v>25.926000000000002</c:v>
                </c:pt>
                <c:pt idx="243">
                  <c:v>40.666000000000004</c:v>
                </c:pt>
                <c:pt idx="244">
                  <c:v>38.741999999999997</c:v>
                </c:pt>
                <c:pt idx="245">
                  <c:v>40.301000000000002</c:v>
                </c:pt>
                <c:pt idx="246">
                  <c:v>50.114000000000004</c:v>
                </c:pt>
                <c:pt idx="247">
                  <c:v>44.277000000000001</c:v>
                </c:pt>
                <c:pt idx="248">
                  <c:v>45.563000000000002</c:v>
                </c:pt>
                <c:pt idx="249">
                  <c:v>38.118000000000002</c:v>
                </c:pt>
                <c:pt idx="250">
                  <c:v>37.914999999999999</c:v>
                </c:pt>
                <c:pt idx="251">
                  <c:v>20.937000000000001</c:v>
                </c:pt>
                <c:pt idx="252">
                  <c:v>48.631999999999998</c:v>
                </c:pt>
                <c:pt idx="253">
                  <c:v>49.053000000000004</c:v>
                </c:pt>
                <c:pt idx="254">
                  <c:v>38.457999999999998</c:v>
                </c:pt>
                <c:pt idx="255">
                  <c:v>15.289</c:v>
                </c:pt>
                <c:pt idx="256">
                  <c:v>38.506</c:v>
                </c:pt>
                <c:pt idx="257">
                  <c:v>42.337000000000003</c:v>
                </c:pt>
                <c:pt idx="258">
                  <c:v>30.624000000000002</c:v>
                </c:pt>
                <c:pt idx="259">
                  <c:v>49.414000000000001</c:v>
                </c:pt>
                <c:pt idx="260">
                  <c:v>47.764000000000003</c:v>
                </c:pt>
                <c:pt idx="261">
                  <c:v>48.34</c:v>
                </c:pt>
                <c:pt idx="262">
                  <c:v>49.869</c:v>
                </c:pt>
                <c:pt idx="263">
                  <c:v>48.599000000000004</c:v>
                </c:pt>
                <c:pt idx="264">
                  <c:v>47.271999999999998</c:v>
                </c:pt>
                <c:pt idx="265">
                  <c:v>33.46</c:v>
                </c:pt>
                <c:pt idx="266">
                  <c:v>19.021000000000001</c:v>
                </c:pt>
                <c:pt idx="267">
                  <c:v>37.180999999999997</c:v>
                </c:pt>
                <c:pt idx="268">
                  <c:v>37.04</c:v>
                </c:pt>
                <c:pt idx="269">
                  <c:v>17.676000000000002</c:v>
                </c:pt>
                <c:pt idx="270">
                  <c:v>20.166</c:v>
                </c:pt>
                <c:pt idx="271">
                  <c:v>24.253</c:v>
                </c:pt>
                <c:pt idx="272">
                  <c:v>26.801000000000002</c:v>
                </c:pt>
                <c:pt idx="273">
                  <c:v>38.718000000000004</c:v>
                </c:pt>
                <c:pt idx="274">
                  <c:v>41.920999999999999</c:v>
                </c:pt>
                <c:pt idx="275">
                  <c:v>37.993000000000002</c:v>
                </c:pt>
                <c:pt idx="276">
                  <c:v>44.624000000000002</c:v>
                </c:pt>
                <c:pt idx="277">
                  <c:v>46.456000000000003</c:v>
                </c:pt>
                <c:pt idx="278">
                  <c:v>12.444000000000001</c:v>
                </c:pt>
                <c:pt idx="279">
                  <c:v>33.971000000000004</c:v>
                </c:pt>
                <c:pt idx="280">
                  <c:v>15.919</c:v>
                </c:pt>
                <c:pt idx="281">
                  <c:v>42.411000000000001</c:v>
                </c:pt>
                <c:pt idx="282">
                  <c:v>35.969000000000001</c:v>
                </c:pt>
                <c:pt idx="283">
                  <c:v>24.574999999999999</c:v>
                </c:pt>
                <c:pt idx="284">
                  <c:v>28.978000000000002</c:v>
                </c:pt>
                <c:pt idx="285">
                  <c:v>25.494</c:v>
                </c:pt>
                <c:pt idx="286">
                  <c:v>18.277000000000001</c:v>
                </c:pt>
                <c:pt idx="287">
                  <c:v>41.710999999999999</c:v>
                </c:pt>
                <c:pt idx="288">
                  <c:v>35.892000000000003</c:v>
                </c:pt>
                <c:pt idx="289">
                  <c:v>20.064</c:v>
                </c:pt>
                <c:pt idx="290">
                  <c:v>38.683</c:v>
                </c:pt>
                <c:pt idx="291">
                  <c:v>18.170000000000002</c:v>
                </c:pt>
                <c:pt idx="292">
                  <c:v>7.2880000000000003</c:v>
                </c:pt>
                <c:pt idx="293">
                  <c:v>18.821999999999999</c:v>
                </c:pt>
                <c:pt idx="294">
                  <c:v>36.683999999999997</c:v>
                </c:pt>
                <c:pt idx="295">
                  <c:v>17.834</c:v>
                </c:pt>
                <c:pt idx="296">
                  <c:v>30.288</c:v>
                </c:pt>
                <c:pt idx="297">
                  <c:v>24.652000000000001</c:v>
                </c:pt>
                <c:pt idx="298">
                  <c:v>13.611000000000001</c:v>
                </c:pt>
                <c:pt idx="299">
                  <c:v>17.559000000000001</c:v>
                </c:pt>
                <c:pt idx="300">
                  <c:v>18.304000000000002</c:v>
                </c:pt>
                <c:pt idx="301">
                  <c:v>30</c:v>
                </c:pt>
                <c:pt idx="302">
                  <c:v>27.535</c:v>
                </c:pt>
                <c:pt idx="303">
                  <c:v>25.919</c:v>
                </c:pt>
                <c:pt idx="304">
                  <c:v>20.513000000000002</c:v>
                </c:pt>
                <c:pt idx="305">
                  <c:v>31.67</c:v>
                </c:pt>
                <c:pt idx="306">
                  <c:v>10.013999999999999</c:v>
                </c:pt>
                <c:pt idx="307">
                  <c:v>17.96</c:v>
                </c:pt>
                <c:pt idx="308">
                  <c:v>33.590000000000003</c:v>
                </c:pt>
                <c:pt idx="309">
                  <c:v>34.987000000000002</c:v>
                </c:pt>
                <c:pt idx="310">
                  <c:v>33.484000000000002</c:v>
                </c:pt>
                <c:pt idx="311">
                  <c:v>24.810000000000002</c:v>
                </c:pt>
                <c:pt idx="312">
                  <c:v>11.075000000000001</c:v>
                </c:pt>
                <c:pt idx="313">
                  <c:v>20.775000000000002</c:v>
                </c:pt>
                <c:pt idx="314">
                  <c:v>32.777000000000001</c:v>
                </c:pt>
                <c:pt idx="315">
                  <c:v>32.011000000000003</c:v>
                </c:pt>
                <c:pt idx="316">
                  <c:v>30.998000000000001</c:v>
                </c:pt>
                <c:pt idx="317">
                  <c:v>11.741</c:v>
                </c:pt>
                <c:pt idx="318">
                  <c:v>13.471</c:v>
                </c:pt>
                <c:pt idx="319">
                  <c:v>31.574999999999999</c:v>
                </c:pt>
                <c:pt idx="320">
                  <c:v>14.194000000000001</c:v>
                </c:pt>
                <c:pt idx="321">
                  <c:v>18.097000000000001</c:v>
                </c:pt>
                <c:pt idx="322">
                  <c:v>7.141</c:v>
                </c:pt>
                <c:pt idx="323">
                  <c:v>18.372</c:v>
                </c:pt>
                <c:pt idx="324">
                  <c:v>3.2829999999999999</c:v>
                </c:pt>
                <c:pt idx="325">
                  <c:v>8.4120000000000008</c:v>
                </c:pt>
                <c:pt idx="326">
                  <c:v>13.866</c:v>
                </c:pt>
                <c:pt idx="327">
                  <c:v>14.868</c:v>
                </c:pt>
                <c:pt idx="328">
                  <c:v>4.7389999999999999</c:v>
                </c:pt>
                <c:pt idx="329">
                  <c:v>11.032999999999999</c:v>
                </c:pt>
                <c:pt idx="330">
                  <c:v>17.158999999999999</c:v>
                </c:pt>
                <c:pt idx="331">
                  <c:v>10.652000000000001</c:v>
                </c:pt>
                <c:pt idx="332">
                  <c:v>15.847</c:v>
                </c:pt>
                <c:pt idx="333">
                  <c:v>4.0600000000000005</c:v>
                </c:pt>
                <c:pt idx="334">
                  <c:v>3.863</c:v>
                </c:pt>
                <c:pt idx="335">
                  <c:v>5.79</c:v>
                </c:pt>
                <c:pt idx="336">
                  <c:v>11.216000000000001</c:v>
                </c:pt>
                <c:pt idx="337">
                  <c:v>18.170999999999999</c:v>
                </c:pt>
                <c:pt idx="338">
                  <c:v>28.134</c:v>
                </c:pt>
                <c:pt idx="339">
                  <c:v>12.652000000000001</c:v>
                </c:pt>
                <c:pt idx="340">
                  <c:v>23.240000000000002</c:v>
                </c:pt>
                <c:pt idx="341">
                  <c:v>4.2709999999999999</c:v>
                </c:pt>
                <c:pt idx="342">
                  <c:v>5.1610000000000005</c:v>
                </c:pt>
                <c:pt idx="343">
                  <c:v>11.931000000000001</c:v>
                </c:pt>
                <c:pt idx="344">
                  <c:v>18.772000000000002</c:v>
                </c:pt>
                <c:pt idx="345">
                  <c:v>7.2370000000000001</c:v>
                </c:pt>
                <c:pt idx="346">
                  <c:v>5.617</c:v>
                </c:pt>
                <c:pt idx="347">
                  <c:v>18.245999999999999</c:v>
                </c:pt>
                <c:pt idx="348">
                  <c:v>6.1109999999999998</c:v>
                </c:pt>
                <c:pt idx="349">
                  <c:v>5.4560000000000004</c:v>
                </c:pt>
                <c:pt idx="350">
                  <c:v>3.6</c:v>
                </c:pt>
                <c:pt idx="351">
                  <c:v>25.487000000000002</c:v>
                </c:pt>
                <c:pt idx="352">
                  <c:v>20.527999999999999</c:v>
                </c:pt>
                <c:pt idx="353">
                  <c:v>4.5259999999999998</c:v>
                </c:pt>
                <c:pt idx="354">
                  <c:v>23.333000000000002</c:v>
                </c:pt>
                <c:pt idx="355">
                  <c:v>20.885999999999999</c:v>
                </c:pt>
                <c:pt idx="356">
                  <c:v>21.248999999999999</c:v>
                </c:pt>
                <c:pt idx="357">
                  <c:v>23.365000000000002</c:v>
                </c:pt>
                <c:pt idx="358">
                  <c:v>13.791</c:v>
                </c:pt>
                <c:pt idx="359">
                  <c:v>23.091999999999999</c:v>
                </c:pt>
                <c:pt idx="360">
                  <c:v>7.5460000000000003</c:v>
                </c:pt>
                <c:pt idx="361">
                  <c:v>25.501999999999999</c:v>
                </c:pt>
                <c:pt idx="362">
                  <c:v>11.315</c:v>
                </c:pt>
                <c:pt idx="363">
                  <c:v>14.679</c:v>
                </c:pt>
                <c:pt idx="364">
                  <c:v>13.748000000000001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819160"/>
        <c:axId val="198499352"/>
      </c:lineChart>
      <c:dateAx>
        <c:axId val="182819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8499352"/>
        <c:crosses val="autoZero"/>
        <c:auto val="1"/>
        <c:lblOffset val="100"/>
        <c:baseTimeUnit val="days"/>
        <c:majorUnit val="1"/>
        <c:majorTimeUnit val="months"/>
      </c:dateAx>
      <c:valAx>
        <c:axId val="19849935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281916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338851742978585"/>
          <c:h val="0.1367757748342214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68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682" name="Groupe 2"/>
        <xdr:cNvGrpSpPr>
          <a:grpSpLocks/>
        </xdr:cNvGrpSpPr>
      </xdr:nvGrpSpPr>
      <xdr:grpSpPr bwMode="auto">
        <a:xfrm>
          <a:off x="7791450" y="1095375"/>
          <a:ext cx="8763000" cy="4895850"/>
          <a:chOff x="6638925" y="1095374"/>
          <a:chExt cx="8277225" cy="4924425"/>
        </a:xfrm>
      </xdr:grpSpPr>
      <xdr:graphicFrame macro="">
        <xdr:nvGraphicFramePr>
          <xdr:cNvPr id="45849683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9122093" y="1095374"/>
            <a:ext cx="5757634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690972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2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0679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9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05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160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263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3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859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86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861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02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02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02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50502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52</xdr:col>
      <xdr:colOff>200025</xdr:colOff>
      <xdr:row>58</xdr:row>
      <xdr:rowOff>39375</xdr:rowOff>
    </xdr:to>
    <xdr:grpSp>
      <xdr:nvGrpSpPr>
        <xdr:cNvPr id="2" name="Groupe 1"/>
        <xdr:cNvGrpSpPr/>
      </xdr:nvGrpSpPr>
      <xdr:grpSpPr>
        <a:xfrm>
          <a:off x="0" y="4467225"/>
          <a:ext cx="17811750" cy="5040000"/>
          <a:chOff x="0" y="4467225"/>
          <a:chExt cx="17811750" cy="5040000"/>
        </a:xfrm>
      </xdr:grpSpPr>
      <xdr:graphicFrame macro="">
        <xdr:nvGraphicFramePr>
          <xdr:cNvPr id="9" name="Graphique 1"/>
          <xdr:cNvGraphicFramePr>
            <a:graphicFrameLocks/>
          </xdr:cNvGraphicFramePr>
        </xdr:nvGraphicFramePr>
        <xdr:xfrm>
          <a:off x="8810625" y="4467225"/>
          <a:ext cx="9001125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0" name="Graphique 1"/>
          <xdr:cNvGraphicFramePr>
            <a:graphicFrameLocks/>
          </xdr:cNvGraphicFramePr>
        </xdr:nvGraphicFramePr>
        <xdr:xfrm>
          <a:off x="0" y="4467225"/>
          <a:ext cx="9184651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436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7" cy="1438275"/>
        </a:xfrm>
      </xdr:grpSpPr>
      <xdr:graphicFrame macro="">
        <xdr:nvGraphicFramePr>
          <xdr:cNvPr id="42998440" name="Graphique 1"/>
          <xdr:cNvGraphicFramePr>
            <a:graphicFrameLocks/>
          </xdr:cNvGraphicFramePr>
        </xdr:nvGraphicFramePr>
        <xdr:xfrm>
          <a:off x="9986051" y="3257550"/>
          <a:ext cx="10039146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2998441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3140708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619125</xdr:colOff>
      <xdr:row>27</xdr:row>
      <xdr:rowOff>87000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ug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Sep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Oct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Nov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De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a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Fev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v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n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toyages"/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/>
      <sheetData sheetId="1">
        <row r="4">
          <cell r="M4">
            <v>1.2374153780807874E-4</v>
          </cell>
          <cell r="N4">
            <v>9.7389982502581092E-6</v>
          </cell>
        </row>
      </sheetData>
      <sheetData sheetId="2">
        <row r="4">
          <cell r="M4">
            <v>0.16773844333462143</v>
          </cell>
          <cell r="N4">
            <v>1.4052753730939343E-2</v>
          </cell>
        </row>
      </sheetData>
      <sheetData sheetId="3">
        <row r="4">
          <cell r="M4">
            <v>1.0422793311830363</v>
          </cell>
          <cell r="N4">
            <v>1.0723286917245025</v>
          </cell>
        </row>
      </sheetData>
      <sheetData sheetId="4">
        <row r="4">
          <cell r="M4">
            <v>1</v>
          </cell>
          <cell r="N4">
            <v>7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>
        <row r="4">
          <cell r="M4" t="str">
            <v>Gymnase Ayguesviv.</v>
          </cell>
          <cell r="N4" t="str">
            <v>Ecole Montbrun L</v>
          </cell>
        </row>
      </sheetData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242">
          <cell r="B242">
            <v>30000</v>
          </cell>
        </row>
        <row r="243">
          <cell r="B243">
            <v>29000</v>
          </cell>
        </row>
        <row r="244">
          <cell r="B244">
            <v>28000</v>
          </cell>
        </row>
        <row r="245">
          <cell r="B245">
            <v>27000</v>
          </cell>
        </row>
        <row r="246">
          <cell r="B246">
            <v>26000</v>
          </cell>
        </row>
        <row r="247">
          <cell r="B247">
            <v>25000</v>
          </cell>
        </row>
        <row r="248">
          <cell r="B248">
            <v>24000</v>
          </cell>
        </row>
        <row r="249">
          <cell r="B249">
            <v>23000</v>
          </cell>
        </row>
        <row r="250">
          <cell r="B250">
            <v>22000</v>
          </cell>
        </row>
        <row r="251">
          <cell r="B251">
            <v>21000</v>
          </cell>
        </row>
        <row r="252">
          <cell r="B252">
            <v>20000</v>
          </cell>
        </row>
        <row r="253">
          <cell r="B253">
            <v>19000</v>
          </cell>
        </row>
        <row r="254">
          <cell r="B254">
            <v>18000</v>
          </cell>
        </row>
        <row r="255">
          <cell r="B255">
            <v>17000</v>
          </cell>
        </row>
        <row r="256">
          <cell r="B256">
            <v>16000</v>
          </cell>
        </row>
        <row r="257">
          <cell r="B257">
            <v>15000</v>
          </cell>
        </row>
        <row r="258">
          <cell r="B258">
            <v>14000</v>
          </cell>
        </row>
        <row r="259">
          <cell r="B259">
            <v>13000</v>
          </cell>
        </row>
        <row r="260">
          <cell r="B260">
            <v>12000</v>
          </cell>
        </row>
        <row r="261">
          <cell r="B261">
            <v>11000</v>
          </cell>
        </row>
        <row r="262">
          <cell r="B262">
            <v>10000</v>
          </cell>
        </row>
        <row r="263">
          <cell r="B263">
            <v>9000</v>
          </cell>
        </row>
        <row r="264">
          <cell r="B264">
            <v>8000</v>
          </cell>
        </row>
        <row r="265">
          <cell r="B265">
            <v>7000</v>
          </cell>
        </row>
        <row r="266">
          <cell r="B266">
            <v>6000</v>
          </cell>
        </row>
        <row r="267">
          <cell r="B267">
            <v>5000</v>
          </cell>
        </row>
        <row r="268">
          <cell r="B268">
            <v>4000</v>
          </cell>
        </row>
        <row r="269">
          <cell r="B269">
            <v>3000</v>
          </cell>
        </row>
        <row r="270">
          <cell r="B270">
            <v>2000</v>
          </cell>
        </row>
        <row r="271">
          <cell r="B271">
            <v>1000</v>
          </cell>
        </row>
        <row r="272">
          <cell r="B272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235">
          <cell r="B235">
            <v>0</v>
          </cell>
        </row>
        <row r="236">
          <cell r="B236">
            <v>1000</v>
          </cell>
        </row>
        <row r="237">
          <cell r="B237">
            <v>2000</v>
          </cell>
        </row>
        <row r="238">
          <cell r="B238">
            <v>3000</v>
          </cell>
        </row>
        <row r="239">
          <cell r="B239">
            <v>4000</v>
          </cell>
        </row>
        <row r="240">
          <cell r="B240">
            <v>5000</v>
          </cell>
        </row>
        <row r="241">
          <cell r="B241">
            <v>6000</v>
          </cell>
        </row>
        <row r="242">
          <cell r="B242">
            <v>7000</v>
          </cell>
        </row>
        <row r="243">
          <cell r="B243">
            <v>8000</v>
          </cell>
        </row>
        <row r="244">
          <cell r="B244">
            <v>9000</v>
          </cell>
        </row>
        <row r="245">
          <cell r="B245">
            <v>10000</v>
          </cell>
        </row>
        <row r="246">
          <cell r="B246">
            <v>11000</v>
          </cell>
        </row>
        <row r="247">
          <cell r="B247">
            <v>12000</v>
          </cell>
        </row>
        <row r="248">
          <cell r="B248">
            <v>13000</v>
          </cell>
        </row>
        <row r="249">
          <cell r="B249">
            <v>14000</v>
          </cell>
        </row>
        <row r="250">
          <cell r="B250">
            <v>15000</v>
          </cell>
        </row>
        <row r="251">
          <cell r="B251">
            <v>16000</v>
          </cell>
        </row>
        <row r="252">
          <cell r="B252">
            <v>17000</v>
          </cell>
        </row>
        <row r="253">
          <cell r="B253">
            <v>18000</v>
          </cell>
        </row>
        <row r="254">
          <cell r="B254">
            <v>19000</v>
          </cell>
        </row>
        <row r="255">
          <cell r="B255">
            <v>20000</v>
          </cell>
        </row>
        <row r="256">
          <cell r="B256">
            <v>21000</v>
          </cell>
        </row>
        <row r="257">
          <cell r="B257">
            <v>22000</v>
          </cell>
        </row>
        <row r="258">
          <cell r="B258">
            <v>23000</v>
          </cell>
        </row>
        <row r="259">
          <cell r="B259">
            <v>24000</v>
          </cell>
        </row>
        <row r="260">
          <cell r="B260">
            <v>25000</v>
          </cell>
        </row>
        <row r="261">
          <cell r="B261">
            <v>26000</v>
          </cell>
        </row>
        <row r="262">
          <cell r="B262">
            <v>27000</v>
          </cell>
        </row>
        <row r="263">
          <cell r="B263">
            <v>28000</v>
          </cell>
        </row>
        <row r="264">
          <cell r="B264">
            <v>29000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242">
          <cell r="B242">
            <v>30000</v>
          </cell>
        </row>
        <row r="243">
          <cell r="B243">
            <v>29000</v>
          </cell>
        </row>
        <row r="244">
          <cell r="B244">
            <v>28000</v>
          </cell>
        </row>
        <row r="245">
          <cell r="B245">
            <v>27000</v>
          </cell>
        </row>
        <row r="246">
          <cell r="B246">
            <v>26000</v>
          </cell>
        </row>
        <row r="247">
          <cell r="B247">
            <v>25000</v>
          </cell>
        </row>
        <row r="248">
          <cell r="B248">
            <v>24000</v>
          </cell>
        </row>
        <row r="249">
          <cell r="B249">
            <v>23000</v>
          </cell>
        </row>
        <row r="250">
          <cell r="B250">
            <v>22000</v>
          </cell>
        </row>
        <row r="251">
          <cell r="B251">
            <v>21000</v>
          </cell>
        </row>
        <row r="252">
          <cell r="B252">
            <v>20000</v>
          </cell>
        </row>
        <row r="253">
          <cell r="B253">
            <v>19000</v>
          </cell>
        </row>
        <row r="254">
          <cell r="B254">
            <v>18000</v>
          </cell>
        </row>
        <row r="255">
          <cell r="B255">
            <v>17000</v>
          </cell>
        </row>
        <row r="256">
          <cell r="B256">
            <v>16000</v>
          </cell>
        </row>
        <row r="257">
          <cell r="B257">
            <v>15000</v>
          </cell>
        </row>
        <row r="258">
          <cell r="B258">
            <v>14000</v>
          </cell>
        </row>
        <row r="259">
          <cell r="B259">
            <v>13000</v>
          </cell>
        </row>
        <row r="260">
          <cell r="B260">
            <v>12000</v>
          </cell>
        </row>
        <row r="261">
          <cell r="B261">
            <v>11000</v>
          </cell>
        </row>
        <row r="262">
          <cell r="B262">
            <v>10000</v>
          </cell>
        </row>
        <row r="263">
          <cell r="B263">
            <v>9000</v>
          </cell>
        </row>
        <row r="264">
          <cell r="B264">
            <v>8000</v>
          </cell>
        </row>
        <row r="265">
          <cell r="B265">
            <v>7000</v>
          </cell>
        </row>
        <row r="266">
          <cell r="B266">
            <v>6000</v>
          </cell>
        </row>
        <row r="267">
          <cell r="B267">
            <v>5000</v>
          </cell>
        </row>
        <row r="268">
          <cell r="B268">
            <v>4000</v>
          </cell>
        </row>
        <row r="269">
          <cell r="B269">
            <v>3000</v>
          </cell>
        </row>
        <row r="270">
          <cell r="B270">
            <v>2000</v>
          </cell>
        </row>
        <row r="271">
          <cell r="B271">
            <v>1000</v>
          </cell>
        </row>
        <row r="272">
          <cell r="B272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235">
          <cell r="B235">
            <v>0</v>
          </cell>
        </row>
        <row r="236">
          <cell r="B236">
            <v>1000</v>
          </cell>
        </row>
        <row r="237">
          <cell r="B237">
            <v>2000</v>
          </cell>
        </row>
        <row r="238">
          <cell r="B238">
            <v>3000</v>
          </cell>
        </row>
        <row r="239">
          <cell r="B239">
            <v>4000</v>
          </cell>
        </row>
        <row r="240">
          <cell r="B240">
            <v>5000</v>
          </cell>
        </row>
        <row r="241">
          <cell r="B241">
            <v>6000</v>
          </cell>
        </row>
        <row r="242">
          <cell r="B242">
            <v>7000</v>
          </cell>
        </row>
        <row r="243">
          <cell r="B243">
            <v>8000</v>
          </cell>
        </row>
        <row r="244">
          <cell r="B244">
            <v>9000</v>
          </cell>
        </row>
        <row r="245">
          <cell r="B245">
            <v>10000</v>
          </cell>
        </row>
        <row r="246">
          <cell r="B246">
            <v>11000</v>
          </cell>
        </row>
        <row r="247">
          <cell r="B247">
            <v>12000</v>
          </cell>
        </row>
        <row r="248">
          <cell r="B248">
            <v>13000</v>
          </cell>
        </row>
        <row r="249">
          <cell r="B249">
            <v>14000</v>
          </cell>
        </row>
        <row r="250">
          <cell r="B250">
            <v>15000</v>
          </cell>
        </row>
        <row r="251">
          <cell r="B251">
            <v>16000</v>
          </cell>
        </row>
        <row r="252">
          <cell r="B252">
            <v>17000</v>
          </cell>
        </row>
        <row r="253">
          <cell r="B253">
            <v>18000</v>
          </cell>
        </row>
        <row r="254">
          <cell r="B254">
            <v>19000</v>
          </cell>
        </row>
        <row r="255">
          <cell r="B255">
            <v>20000</v>
          </cell>
        </row>
        <row r="256">
          <cell r="B256">
            <v>21000</v>
          </cell>
        </row>
        <row r="257">
          <cell r="B257">
            <v>22000</v>
          </cell>
        </row>
        <row r="258">
          <cell r="B258">
            <v>23000</v>
          </cell>
        </row>
        <row r="259">
          <cell r="B259">
            <v>24000</v>
          </cell>
        </row>
        <row r="260">
          <cell r="B260">
            <v>25000</v>
          </cell>
        </row>
        <row r="261">
          <cell r="B261">
            <v>26000</v>
          </cell>
        </row>
        <row r="262">
          <cell r="B262">
            <v>27000</v>
          </cell>
        </row>
        <row r="263">
          <cell r="B263">
            <v>28000</v>
          </cell>
        </row>
        <row r="264">
          <cell r="B264">
            <v>29000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20000</v>
          </cell>
        </row>
        <row r="242">
          <cell r="B242">
            <v>30000</v>
          </cell>
        </row>
        <row r="243">
          <cell r="B243">
            <v>29000</v>
          </cell>
        </row>
        <row r="244">
          <cell r="B244">
            <v>28000</v>
          </cell>
        </row>
        <row r="245">
          <cell r="B245">
            <v>27000</v>
          </cell>
        </row>
        <row r="246">
          <cell r="B246">
            <v>26000</v>
          </cell>
        </row>
        <row r="247">
          <cell r="B247">
            <v>25000</v>
          </cell>
        </row>
        <row r="248">
          <cell r="B248">
            <v>24000</v>
          </cell>
        </row>
        <row r="249">
          <cell r="B249">
            <v>23000</v>
          </cell>
        </row>
        <row r="250">
          <cell r="B250">
            <v>22000</v>
          </cell>
        </row>
        <row r="251">
          <cell r="B251">
            <v>21000</v>
          </cell>
        </row>
        <row r="252">
          <cell r="B252">
            <v>20000</v>
          </cell>
        </row>
        <row r="253">
          <cell r="B253">
            <v>19000</v>
          </cell>
        </row>
        <row r="254">
          <cell r="B254">
            <v>18000</v>
          </cell>
        </row>
        <row r="255">
          <cell r="B255">
            <v>17000</v>
          </cell>
        </row>
        <row r="256">
          <cell r="B256">
            <v>16000</v>
          </cell>
        </row>
        <row r="257">
          <cell r="B257">
            <v>15000</v>
          </cell>
        </row>
        <row r="258">
          <cell r="B258">
            <v>14000</v>
          </cell>
        </row>
        <row r="259">
          <cell r="B259">
            <v>13000</v>
          </cell>
        </row>
        <row r="260">
          <cell r="B260">
            <v>12000</v>
          </cell>
        </row>
        <row r="261">
          <cell r="B261">
            <v>11000</v>
          </cell>
        </row>
        <row r="262">
          <cell r="B262">
            <v>10000</v>
          </cell>
        </row>
        <row r="263">
          <cell r="B263">
            <v>9000</v>
          </cell>
        </row>
        <row r="264">
          <cell r="B264">
            <v>8000</v>
          </cell>
        </row>
        <row r="265">
          <cell r="B265">
            <v>7000</v>
          </cell>
        </row>
        <row r="266">
          <cell r="B266">
            <v>6000</v>
          </cell>
        </row>
        <row r="267">
          <cell r="B267">
            <v>5000</v>
          </cell>
        </row>
        <row r="268">
          <cell r="B268">
            <v>4000</v>
          </cell>
        </row>
        <row r="269">
          <cell r="B269">
            <v>3000</v>
          </cell>
        </row>
        <row r="270">
          <cell r="B270">
            <v>2000</v>
          </cell>
        </row>
        <row r="271">
          <cell r="B271">
            <v>1000</v>
          </cell>
        </row>
        <row r="272">
          <cell r="B272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4597</v>
          </cell>
        </row>
        <row r="242">
          <cell r="B242">
            <v>9936</v>
          </cell>
        </row>
        <row r="243">
          <cell r="B243">
            <v>1591</v>
          </cell>
        </row>
        <row r="244">
          <cell r="B244">
            <v>16375</v>
          </cell>
        </row>
        <row r="245">
          <cell r="B245">
            <v>14668</v>
          </cell>
        </row>
        <row r="246">
          <cell r="B246">
            <v>14482</v>
          </cell>
        </row>
        <row r="247">
          <cell r="B247">
            <v>4756</v>
          </cell>
        </row>
        <row r="248">
          <cell r="B248">
            <v>18389</v>
          </cell>
        </row>
        <row r="249">
          <cell r="B249">
            <v>6867</v>
          </cell>
        </row>
        <row r="250">
          <cell r="B250">
            <v>8788</v>
          </cell>
        </row>
        <row r="251">
          <cell r="B251">
            <v>25059</v>
          </cell>
        </row>
        <row r="252">
          <cell r="B252">
            <v>4557</v>
          </cell>
        </row>
        <row r="253">
          <cell r="B253">
            <v>24360</v>
          </cell>
        </row>
        <row r="254">
          <cell r="B254">
            <v>13774</v>
          </cell>
        </row>
        <row r="255">
          <cell r="B255">
            <v>18599</v>
          </cell>
        </row>
        <row r="256">
          <cell r="B256">
            <v>6061</v>
          </cell>
        </row>
        <row r="257">
          <cell r="B257">
            <v>3676</v>
          </cell>
        </row>
        <row r="258">
          <cell r="B258">
            <v>6917</v>
          </cell>
        </row>
        <row r="259">
          <cell r="B259">
            <v>19811</v>
          </cell>
        </row>
        <row r="260">
          <cell r="B260">
            <v>10411</v>
          </cell>
        </row>
        <row r="261">
          <cell r="B261">
            <v>18665</v>
          </cell>
        </row>
        <row r="262">
          <cell r="B262">
            <v>6789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18000</v>
          </cell>
        </row>
        <row r="221">
          <cell r="B221">
            <v>27000</v>
          </cell>
        </row>
        <row r="222">
          <cell r="B222">
            <v>26000</v>
          </cell>
        </row>
        <row r="223">
          <cell r="B223">
            <v>25000</v>
          </cell>
        </row>
        <row r="224">
          <cell r="B224">
            <v>24000</v>
          </cell>
        </row>
        <row r="225">
          <cell r="B225">
            <v>23000</v>
          </cell>
        </row>
        <row r="226">
          <cell r="B226">
            <v>22000</v>
          </cell>
        </row>
        <row r="227">
          <cell r="B227">
            <v>21000</v>
          </cell>
        </row>
        <row r="228">
          <cell r="B228">
            <v>20000</v>
          </cell>
        </row>
        <row r="229">
          <cell r="B229">
            <v>19000</v>
          </cell>
        </row>
        <row r="230">
          <cell r="B230">
            <v>18000</v>
          </cell>
        </row>
        <row r="231">
          <cell r="B231">
            <v>17000</v>
          </cell>
        </row>
        <row r="232">
          <cell r="B232">
            <v>16000</v>
          </cell>
        </row>
        <row r="233">
          <cell r="B233">
            <v>15000</v>
          </cell>
        </row>
        <row r="234">
          <cell r="B234">
            <v>14000</v>
          </cell>
        </row>
        <row r="235">
          <cell r="B235">
            <v>13000</v>
          </cell>
        </row>
        <row r="236">
          <cell r="B236">
            <v>12000</v>
          </cell>
        </row>
        <row r="237">
          <cell r="B237">
            <v>11000</v>
          </cell>
        </row>
        <row r="238">
          <cell r="B238">
            <v>10000</v>
          </cell>
        </row>
        <row r="239">
          <cell r="B239">
            <v>9000</v>
          </cell>
        </row>
        <row r="240">
          <cell r="B240">
            <v>8000</v>
          </cell>
        </row>
        <row r="241">
          <cell r="B241">
            <v>7000</v>
          </cell>
        </row>
        <row r="242">
          <cell r="B242">
            <v>6000</v>
          </cell>
        </row>
        <row r="243">
          <cell r="B243">
            <v>5000</v>
          </cell>
        </row>
        <row r="244">
          <cell r="B244">
            <v>4000</v>
          </cell>
        </row>
        <row r="245">
          <cell r="B245">
            <v>3000</v>
          </cell>
        </row>
        <row r="246">
          <cell r="B246">
            <v>2000</v>
          </cell>
        </row>
        <row r="247">
          <cell r="B247">
            <v>1000</v>
          </cell>
        </row>
        <row r="248">
          <cell r="B248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0</v>
          </cell>
        </row>
        <row r="242">
          <cell r="B242">
            <v>0</v>
          </cell>
        </row>
        <row r="243">
          <cell r="B243">
            <v>1000</v>
          </cell>
        </row>
        <row r="244">
          <cell r="B244">
            <v>2000</v>
          </cell>
        </row>
        <row r="245">
          <cell r="B245">
            <v>3000</v>
          </cell>
        </row>
        <row r="246">
          <cell r="B246">
            <v>4000</v>
          </cell>
        </row>
        <row r="247">
          <cell r="B247">
            <v>5000</v>
          </cell>
        </row>
        <row r="248">
          <cell r="B248">
            <v>6000</v>
          </cell>
        </row>
        <row r="249">
          <cell r="B249">
            <v>7000</v>
          </cell>
        </row>
        <row r="250">
          <cell r="B250">
            <v>8000</v>
          </cell>
        </row>
        <row r="251">
          <cell r="B251">
            <v>9000</v>
          </cell>
        </row>
        <row r="252">
          <cell r="B252">
            <v>10000</v>
          </cell>
        </row>
        <row r="253">
          <cell r="B253">
            <v>11000</v>
          </cell>
        </row>
        <row r="254">
          <cell r="B254">
            <v>12000</v>
          </cell>
        </row>
        <row r="255">
          <cell r="B255">
            <v>13000</v>
          </cell>
        </row>
        <row r="256">
          <cell r="B256">
            <v>14000</v>
          </cell>
        </row>
        <row r="257">
          <cell r="B257">
            <v>15000</v>
          </cell>
        </row>
        <row r="258">
          <cell r="B258">
            <v>16000</v>
          </cell>
        </row>
        <row r="259">
          <cell r="B259">
            <v>17000</v>
          </cell>
        </row>
        <row r="260">
          <cell r="B260">
            <v>18000</v>
          </cell>
        </row>
        <row r="261">
          <cell r="B261">
            <v>19000</v>
          </cell>
        </row>
        <row r="262">
          <cell r="B262">
            <v>20000</v>
          </cell>
        </row>
        <row r="263">
          <cell r="B263">
            <v>21000</v>
          </cell>
        </row>
        <row r="264">
          <cell r="B264">
            <v>22000</v>
          </cell>
        </row>
        <row r="265">
          <cell r="B265">
            <v>23000</v>
          </cell>
        </row>
        <row r="266">
          <cell r="B266">
            <v>24000</v>
          </cell>
        </row>
        <row r="267">
          <cell r="B267">
            <v>25000</v>
          </cell>
        </row>
        <row r="268">
          <cell r="B268">
            <v>26000</v>
          </cell>
        </row>
        <row r="269">
          <cell r="B269">
            <v>27000</v>
          </cell>
        </row>
        <row r="270">
          <cell r="B270">
            <v>28000</v>
          </cell>
        </row>
        <row r="271">
          <cell r="B271">
            <v>29000</v>
          </cell>
        </row>
        <row r="272">
          <cell r="B272">
            <v>30000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235">
          <cell r="B235">
            <v>29000</v>
          </cell>
        </row>
        <row r="236">
          <cell r="B236">
            <v>28000</v>
          </cell>
        </row>
        <row r="237">
          <cell r="B237">
            <v>27000</v>
          </cell>
        </row>
        <row r="238">
          <cell r="B238">
            <v>26000</v>
          </cell>
        </row>
        <row r="239">
          <cell r="B239">
            <v>25000</v>
          </cell>
        </row>
        <row r="240">
          <cell r="B240">
            <v>24000</v>
          </cell>
        </row>
        <row r="241">
          <cell r="B241">
            <v>23000</v>
          </cell>
        </row>
        <row r="242">
          <cell r="B242">
            <v>22000</v>
          </cell>
        </row>
        <row r="243">
          <cell r="B243">
            <v>21000</v>
          </cell>
        </row>
        <row r="244">
          <cell r="B244">
            <v>20000</v>
          </cell>
        </row>
        <row r="245">
          <cell r="B245">
            <v>19000</v>
          </cell>
        </row>
        <row r="246">
          <cell r="B246">
            <v>18000</v>
          </cell>
        </row>
        <row r="247">
          <cell r="B247">
            <v>17000</v>
          </cell>
        </row>
        <row r="248">
          <cell r="B248">
            <v>16000</v>
          </cell>
        </row>
        <row r="249">
          <cell r="B249">
            <v>15000</v>
          </cell>
        </row>
        <row r="250">
          <cell r="B250">
            <v>14000</v>
          </cell>
        </row>
        <row r="251">
          <cell r="B251">
            <v>13000</v>
          </cell>
        </row>
        <row r="252">
          <cell r="B252">
            <v>12000</v>
          </cell>
        </row>
        <row r="253">
          <cell r="B253">
            <v>11000</v>
          </cell>
        </row>
        <row r="254">
          <cell r="B254">
            <v>10000</v>
          </cell>
        </row>
        <row r="255">
          <cell r="B255">
            <v>9000</v>
          </cell>
        </row>
        <row r="256">
          <cell r="B256">
            <v>8000</v>
          </cell>
        </row>
        <row r="257">
          <cell r="B257">
            <v>7000</v>
          </cell>
        </row>
        <row r="258">
          <cell r="B258">
            <v>6000</v>
          </cell>
        </row>
        <row r="259">
          <cell r="B259">
            <v>5000</v>
          </cell>
        </row>
        <row r="260">
          <cell r="B260">
            <v>4000</v>
          </cell>
        </row>
        <row r="261">
          <cell r="B261">
            <v>3000</v>
          </cell>
        </row>
        <row r="262">
          <cell r="B262">
            <v>2000</v>
          </cell>
        </row>
        <row r="263">
          <cell r="B263">
            <v>1000</v>
          </cell>
        </row>
        <row r="264">
          <cell r="B264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242">
          <cell r="B242">
            <v>0</v>
          </cell>
        </row>
        <row r="243">
          <cell r="B243">
            <v>1000</v>
          </cell>
        </row>
        <row r="244">
          <cell r="B244">
            <v>2000</v>
          </cell>
        </row>
        <row r="245">
          <cell r="B245">
            <v>3000</v>
          </cell>
        </row>
        <row r="246">
          <cell r="B246">
            <v>4000</v>
          </cell>
        </row>
        <row r="247">
          <cell r="B247">
            <v>5000</v>
          </cell>
        </row>
        <row r="248">
          <cell r="B248">
            <v>6000</v>
          </cell>
        </row>
        <row r="249">
          <cell r="B249">
            <v>7000</v>
          </cell>
        </row>
        <row r="250">
          <cell r="B250">
            <v>8000</v>
          </cell>
        </row>
        <row r="251">
          <cell r="B251">
            <v>9000</v>
          </cell>
        </row>
        <row r="252">
          <cell r="B252">
            <v>10000</v>
          </cell>
        </row>
        <row r="253">
          <cell r="B253">
            <v>11000</v>
          </cell>
        </row>
        <row r="254">
          <cell r="B254">
            <v>12000</v>
          </cell>
        </row>
        <row r="255">
          <cell r="B255">
            <v>13000</v>
          </cell>
        </row>
        <row r="256">
          <cell r="B256">
            <v>14000</v>
          </cell>
        </row>
        <row r="257">
          <cell r="B257">
            <v>15000</v>
          </cell>
        </row>
        <row r="258">
          <cell r="B258">
            <v>16000</v>
          </cell>
        </row>
        <row r="259">
          <cell r="B259">
            <v>17000</v>
          </cell>
        </row>
        <row r="260">
          <cell r="B260">
            <v>18000</v>
          </cell>
        </row>
        <row r="261">
          <cell r="B261">
            <v>19000</v>
          </cell>
        </row>
        <row r="262">
          <cell r="B262">
            <v>20000</v>
          </cell>
        </row>
        <row r="263">
          <cell r="B263">
            <v>21000</v>
          </cell>
        </row>
        <row r="264">
          <cell r="B264">
            <v>22000</v>
          </cell>
        </row>
        <row r="265">
          <cell r="B265">
            <v>23000</v>
          </cell>
        </row>
        <row r="266">
          <cell r="B266">
            <v>24000</v>
          </cell>
        </row>
        <row r="267">
          <cell r="B267">
            <v>25000</v>
          </cell>
        </row>
        <row r="268">
          <cell r="B268">
            <v>26000</v>
          </cell>
        </row>
        <row r="269">
          <cell r="B269">
            <v>27000</v>
          </cell>
        </row>
        <row r="270">
          <cell r="B270">
            <v>28000</v>
          </cell>
        </row>
        <row r="271">
          <cell r="B271">
            <v>29000</v>
          </cell>
        </row>
        <row r="272">
          <cell r="B272">
            <v>30000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235">
          <cell r="B235">
            <v>29000</v>
          </cell>
        </row>
        <row r="236">
          <cell r="B236">
            <v>28000</v>
          </cell>
        </row>
        <row r="237">
          <cell r="B237">
            <v>27000</v>
          </cell>
        </row>
        <row r="238">
          <cell r="B238">
            <v>26000</v>
          </cell>
        </row>
        <row r="239">
          <cell r="B239">
            <v>25000</v>
          </cell>
        </row>
        <row r="240">
          <cell r="B240">
            <v>24000</v>
          </cell>
        </row>
        <row r="241">
          <cell r="B241">
            <v>23000</v>
          </cell>
        </row>
        <row r="242">
          <cell r="B242">
            <v>22000</v>
          </cell>
        </row>
        <row r="243">
          <cell r="B243">
            <v>21000</v>
          </cell>
        </row>
        <row r="244">
          <cell r="B244">
            <v>20000</v>
          </cell>
        </row>
        <row r="245">
          <cell r="B245">
            <v>19000</v>
          </cell>
        </row>
        <row r="246">
          <cell r="B246">
            <v>18000</v>
          </cell>
        </row>
        <row r="247">
          <cell r="B247">
            <v>17000</v>
          </cell>
        </row>
        <row r="248">
          <cell r="B248">
            <v>16000</v>
          </cell>
        </row>
        <row r="249">
          <cell r="B249">
            <v>15000</v>
          </cell>
        </row>
        <row r="250">
          <cell r="B250">
            <v>14000</v>
          </cell>
        </row>
        <row r="251">
          <cell r="B251">
            <v>13000</v>
          </cell>
        </row>
        <row r="252">
          <cell r="B252">
            <v>12000</v>
          </cell>
        </row>
        <row r="253">
          <cell r="B253">
            <v>11000</v>
          </cell>
        </row>
        <row r="254">
          <cell r="B254">
            <v>10000</v>
          </cell>
        </row>
        <row r="255">
          <cell r="B255">
            <v>9000</v>
          </cell>
        </row>
        <row r="256">
          <cell r="B256">
            <v>8000</v>
          </cell>
        </row>
        <row r="257">
          <cell r="B257">
            <v>7000</v>
          </cell>
        </row>
        <row r="258">
          <cell r="B258">
            <v>6000</v>
          </cell>
        </row>
        <row r="259">
          <cell r="B259">
            <v>5000</v>
          </cell>
        </row>
        <row r="260">
          <cell r="B260">
            <v>4000</v>
          </cell>
        </row>
        <row r="261">
          <cell r="B261">
            <v>3000</v>
          </cell>
        </row>
        <row r="262">
          <cell r="B262">
            <v>2000</v>
          </cell>
        </row>
        <row r="263">
          <cell r="B263">
            <v>1000</v>
          </cell>
        </row>
        <row r="264">
          <cell r="B264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242">
          <cell r="B242">
            <v>0</v>
          </cell>
        </row>
        <row r="243">
          <cell r="B243">
            <v>1000</v>
          </cell>
        </row>
        <row r="244">
          <cell r="B244">
            <v>2000</v>
          </cell>
        </row>
        <row r="245">
          <cell r="B245">
            <v>3000</v>
          </cell>
        </row>
        <row r="246">
          <cell r="B246">
            <v>4000</v>
          </cell>
        </row>
        <row r="247">
          <cell r="B247">
            <v>5000</v>
          </cell>
        </row>
        <row r="248">
          <cell r="B248">
            <v>6000</v>
          </cell>
        </row>
        <row r="249">
          <cell r="B249">
            <v>7000</v>
          </cell>
        </row>
        <row r="250">
          <cell r="B250">
            <v>8000</v>
          </cell>
        </row>
        <row r="251">
          <cell r="B251">
            <v>9000</v>
          </cell>
        </row>
        <row r="252">
          <cell r="B252">
            <v>10000</v>
          </cell>
        </row>
        <row r="253">
          <cell r="B253">
            <v>11000</v>
          </cell>
        </row>
        <row r="254">
          <cell r="B254">
            <v>12000</v>
          </cell>
        </row>
        <row r="255">
          <cell r="B255">
            <v>13000</v>
          </cell>
        </row>
        <row r="256">
          <cell r="B256">
            <v>14000</v>
          </cell>
        </row>
        <row r="257">
          <cell r="B257">
            <v>15000</v>
          </cell>
        </row>
        <row r="258">
          <cell r="B258">
            <v>16000</v>
          </cell>
        </row>
        <row r="259">
          <cell r="B259">
            <v>17000</v>
          </cell>
        </row>
        <row r="260">
          <cell r="B260">
            <v>18000</v>
          </cell>
        </row>
        <row r="261">
          <cell r="B261">
            <v>19000</v>
          </cell>
        </row>
        <row r="262">
          <cell r="B262">
            <v>20000</v>
          </cell>
        </row>
        <row r="263">
          <cell r="B263">
            <v>21000</v>
          </cell>
        </row>
        <row r="264">
          <cell r="B264">
            <v>22000</v>
          </cell>
        </row>
        <row r="265">
          <cell r="B265">
            <v>23000</v>
          </cell>
        </row>
        <row r="266">
          <cell r="B266">
            <v>24000</v>
          </cell>
        </row>
        <row r="267">
          <cell r="B267">
            <v>25000</v>
          </cell>
        </row>
        <row r="268">
          <cell r="B268">
            <v>26000</v>
          </cell>
        </row>
        <row r="269">
          <cell r="B269">
            <v>27000</v>
          </cell>
        </row>
        <row r="270">
          <cell r="B270">
            <v>28000</v>
          </cell>
        </row>
        <row r="271">
          <cell r="B271">
            <v>29000</v>
          </cell>
        </row>
        <row r="272">
          <cell r="B272">
            <v>30000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workbookViewId="0">
      <pane ySplit="5" topLeftCell="A6" activePane="bottomLeft" state="frozen"/>
      <selection activeCell="B15" sqref="B15:B380"/>
      <selection pane="bottomLeft" activeCell="A65" sqref="A65:XFD65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6" width="7.85546875" style="3" customWidth="1"/>
    <col min="17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7" t="s">
        <v>50</v>
      </c>
      <c r="M1" s="237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19">
        <f>Tmaj</f>
        <v>44947</v>
      </c>
      <c r="D2" s="1219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7.0000000000000001E-3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20" t="str">
        <f>Station</f>
        <v>Esp. Berjean Escalquens</v>
      </c>
      <c r="D3" s="1221"/>
      <c r="E3" s="1221"/>
      <c r="F3" s="1221"/>
      <c r="G3" s="1221"/>
      <c r="H3" s="1222"/>
      <c r="K3" s="21"/>
      <c r="L3" s="30"/>
      <c r="M3" s="30"/>
      <c r="N3" s="209" t="s">
        <v>164</v>
      </c>
      <c r="O3" s="706">
        <f>Salim_i</f>
        <v>0.12</v>
      </c>
      <c r="P3" s="448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23">
        <f>T0</f>
        <v>43496</v>
      </c>
      <c r="D4" s="1224"/>
      <c r="H4" s="33" t="s">
        <v>299</v>
      </c>
      <c r="I4" s="648">
        <f>Azi_pvG</f>
        <v>-9</v>
      </c>
      <c r="J4" s="648">
        <f>Azi_pvD</f>
        <v>-9</v>
      </c>
      <c r="K4" s="21"/>
      <c r="L4" s="30"/>
      <c r="M4" s="30"/>
      <c r="N4" s="82" t="s">
        <v>22</v>
      </c>
      <c r="O4" s="160">
        <f>Persistant</f>
        <v>0.5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17">
        <f>Tservice</f>
        <v>43535</v>
      </c>
      <c r="D5" s="1218"/>
      <c r="E5" s="95"/>
      <c r="H5" s="33" t="s">
        <v>15</v>
      </c>
      <c r="I5" s="649">
        <f>Ram_pv</f>
        <v>0.33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12">
        <f>Pc</f>
        <v>9</v>
      </c>
      <c r="D6" s="559"/>
      <c r="E6" s="132"/>
      <c r="F6" s="560"/>
      <c r="G6" s="560"/>
      <c r="H6" s="561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14"/>
      <c r="B7" s="533"/>
      <c r="C7" s="52"/>
      <c r="D7" s="815"/>
      <c r="E7" s="29"/>
      <c r="F7" s="533"/>
      <c r="G7" s="533"/>
      <c r="H7" s="684"/>
      <c r="I7" s="533"/>
      <c r="J7" s="22" t="s">
        <v>358</v>
      </c>
      <c r="K7" s="1215" t="s">
        <v>359</v>
      </c>
      <c r="L7" s="1216"/>
      <c r="M7" s="1209" t="b">
        <f>IF(K7="début",TRUE,FALSE)</f>
        <v>0</v>
      </c>
      <c r="N7" s="790"/>
      <c r="O7" s="30"/>
      <c r="P7" s="30"/>
      <c r="Q7" s="533"/>
      <c r="R7" s="533"/>
      <c r="S7" s="533"/>
      <c r="T7" s="533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2" t="str">
        <f>"Bilan ICEA "&amp;C3&amp;" (kWh)"</f>
        <v>Bilan ICEA Esp. Berjean Escalquens (kWh)</v>
      </c>
      <c r="B8" s="132"/>
      <c r="C8" s="133"/>
      <c r="D8" s="562"/>
      <c r="E8" s="559"/>
      <c r="F8" s="132"/>
      <c r="G8" s="132"/>
      <c r="H8" s="62"/>
      <c r="I8" s="132"/>
      <c r="J8" s="22" t="s">
        <v>115</v>
      </c>
      <c r="K8" s="556">
        <f>[1]!Inter_net</f>
        <v>1</v>
      </c>
      <c r="L8" s="557">
        <f>[1]!Inter_tai</f>
        <v>7</v>
      </c>
      <c r="N8" s="15"/>
    </row>
    <row r="9" spans="1:29" ht="15.75" x14ac:dyDescent="0.25">
      <c r="A9" s="29" t="s">
        <v>277</v>
      </c>
      <c r="B9" s="149">
        <f>AVERAGE(B11:B30)</f>
        <v>11274.312884084398</v>
      </c>
      <c r="C9" s="866">
        <f t="shared" ref="C9:J9" si="0">AVERAGE(C11:C30)</f>
        <v>397.42767757619572</v>
      </c>
      <c r="D9" s="867">
        <f t="shared" si="0"/>
        <v>0.32508157940444649</v>
      </c>
      <c r="E9" s="149">
        <f t="shared" si="0"/>
        <v>397.75275915560013</v>
      </c>
      <c r="F9" s="149">
        <f t="shared" si="0"/>
        <v>11672.065643240001</v>
      </c>
      <c r="G9" s="149">
        <f t="shared" si="0"/>
        <v>12084.467967761228</v>
      </c>
      <c r="H9" s="873">
        <f t="shared" si="0"/>
        <v>319.20564550815084</v>
      </c>
      <c r="I9" s="874">
        <f t="shared" si="0"/>
        <v>0.32508726036223778</v>
      </c>
      <c r="J9" s="149">
        <f t="shared" si="0"/>
        <v>10954.794527995091</v>
      </c>
      <c r="K9" s="341" t="s">
        <v>6</v>
      </c>
      <c r="L9" s="21"/>
      <c r="P9" s="15"/>
    </row>
    <row r="10" spans="1:29" s="239" customFormat="1" ht="51" customHeight="1" x14ac:dyDescent="0.25">
      <c r="A10" s="174" t="s">
        <v>52</v>
      </c>
      <c r="B10" s="174" t="s">
        <v>107</v>
      </c>
      <c r="C10" s="331" t="s">
        <v>61</v>
      </c>
      <c r="D10" s="332" t="s">
        <v>98</v>
      </c>
      <c r="E10" s="174" t="s">
        <v>97</v>
      </c>
      <c r="F10" s="174" t="s">
        <v>110</v>
      </c>
      <c r="G10" s="174" t="s">
        <v>109</v>
      </c>
      <c r="H10" s="331" t="s">
        <v>62</v>
      </c>
      <c r="I10" s="332" t="s">
        <v>63</v>
      </c>
      <c r="J10" s="174" t="s">
        <v>108</v>
      </c>
      <c r="K10" s="331" t="s">
        <v>55</v>
      </c>
      <c r="L10" s="332" t="s">
        <v>56</v>
      </c>
      <c r="M10" s="331" t="s">
        <v>271</v>
      </c>
      <c r="N10" s="332" t="s">
        <v>272</v>
      </c>
      <c r="O10" s="100" t="s">
        <v>273</v>
      </c>
      <c r="P10" s="100" t="s">
        <v>274</v>
      </c>
      <c r="Q10" s="100" t="s">
        <v>275</v>
      </c>
      <c r="R10" s="100" t="s">
        <v>276</v>
      </c>
      <c r="S10" s="100"/>
      <c r="T10" s="100"/>
      <c r="U10" s="240"/>
      <c r="V10" s="240"/>
      <c r="W10" s="240"/>
      <c r="X10" s="241"/>
      <c r="Y10" s="238"/>
      <c r="Z10" s="238"/>
      <c r="AA10" s="238"/>
      <c r="AB10" s="238"/>
    </row>
    <row r="11" spans="1:29" s="19" customFormat="1" ht="12.75" x14ac:dyDescent="0.2">
      <c r="A11" s="142">
        <f>'2019'!An</f>
        <v>2019</v>
      </c>
      <c r="B11" s="139">
        <f>'2019'!Prod_an</f>
        <v>10361.953000000012</v>
      </c>
      <c r="C11" s="143">
        <f>'2019'!Wh_Psa</f>
        <v>180.06133510994408</v>
      </c>
      <c r="D11" s="328">
        <f>'2019'!Wh_Pvg</f>
        <v>3.4087965084989458E-2</v>
      </c>
      <c r="E11" s="139">
        <f t="shared" ref="E11:E16" si="1">C11+D11</f>
        <v>180.09542307502906</v>
      </c>
      <c r="F11" s="139">
        <f t="shared" ref="F11:F16" si="2">B11+E11</f>
        <v>10542.048423075041</v>
      </c>
      <c r="G11" s="139">
        <f>'2019'!F$9</f>
        <v>10575.251860749995</v>
      </c>
      <c r="H11" s="145">
        <f>'2019'!Wh_gain_sa</f>
        <v>0</v>
      </c>
      <c r="I11" s="328">
        <f>'2019'!Wh_gain_vg</f>
        <v>0</v>
      </c>
      <c r="J11" s="139">
        <f>'2019'!Prod_an_s</f>
        <v>10361.953000000012</v>
      </c>
      <c r="K11" s="844" t="str">
        <f>IF('2019'!Acti_net,'2019'!Tnet,"")</f>
        <v/>
      </c>
      <c r="L11" s="845" t="str">
        <f>IF('2019'!Acti_tai,'2019'!Ttai,"")</f>
        <v/>
      </c>
      <c r="M11" s="856">
        <v>0</v>
      </c>
      <c r="N11" s="857">
        <v>0</v>
      </c>
      <c r="O11" s="369">
        <f>+'2019'!$AJ$3</f>
        <v>0</v>
      </c>
      <c r="P11" s="369">
        <f>+'2019'!$AJ$4</f>
        <v>0</v>
      </c>
      <c r="Q11" s="369">
        <f>+'2019'!$AK$3</f>
        <v>0</v>
      </c>
      <c r="R11" s="369">
        <f>+'2019'!$AK$4</f>
        <v>0</v>
      </c>
      <c r="S11" s="850"/>
      <c r="T11" s="850"/>
    </row>
    <row r="12" spans="1:29" s="19" customFormat="1" ht="12.75" x14ac:dyDescent="0.2">
      <c r="A12" s="144">
        <f>'2020'!An</f>
        <v>2020</v>
      </c>
      <c r="B12" s="137">
        <f>'2020'!Prod_an</f>
        <v>11502.094999999998</v>
      </c>
      <c r="C12" s="145">
        <f>'2020'!Wh_Psa</f>
        <v>512.71335922203446</v>
      </c>
      <c r="D12" s="329">
        <f>'2020'!Wh_Pvg</f>
        <v>9.5251793757527042E-2</v>
      </c>
      <c r="E12" s="137">
        <f t="shared" si="1"/>
        <v>512.80861101579194</v>
      </c>
      <c r="F12" s="137">
        <f t="shared" si="2"/>
        <v>12014.90361101579</v>
      </c>
      <c r="G12" s="137">
        <f>'2020'!F$9</f>
        <v>12132.671611542868</v>
      </c>
      <c r="H12" s="145">
        <f>'2020'!Wh_gain_sa</f>
        <v>0</v>
      </c>
      <c r="I12" s="329">
        <f>'2020'!Wh_gain_vg</f>
        <v>0</v>
      </c>
      <c r="J12" s="137">
        <f>'2020'!Prod_an_s</f>
        <v>11502.094999999998</v>
      </c>
      <c r="K12" s="846" t="str">
        <f>IF('2020'!Acti_net,'2020'!Tnet,"")</f>
        <v/>
      </c>
      <c r="L12" s="847" t="str">
        <f>IF('2020'!Acti_tai,'2020'!Ttai,"")</f>
        <v/>
      </c>
      <c r="M12" s="858">
        <f>O12+P11+(K11="")*M11</f>
        <v>0</v>
      </c>
      <c r="N12" s="859">
        <f>Q12+R11+(L11="")*N11</f>
        <v>0</v>
      </c>
      <c r="O12" s="369">
        <f>+'2020'!$AJ$3</f>
        <v>0</v>
      </c>
      <c r="P12" s="369">
        <f>+'2020'!$AJ$4</f>
        <v>0</v>
      </c>
      <c r="Q12" s="369">
        <f>+'2020'!$AK$3</f>
        <v>0</v>
      </c>
      <c r="R12" s="369">
        <f>+'2020'!$AK$4</f>
        <v>0</v>
      </c>
      <c r="S12" s="850"/>
      <c r="T12" s="850"/>
    </row>
    <row r="13" spans="1:29" s="19" customFormat="1" ht="12.75" x14ac:dyDescent="0.2">
      <c r="A13" s="144">
        <f>'2021'!An</f>
        <v>2021</v>
      </c>
      <c r="B13" s="137">
        <f>'2021'!Prod_an</f>
        <v>10754.463999999993</v>
      </c>
      <c r="C13" s="145">
        <f>'2021'!Wh_Psa</f>
        <v>947.64458872461057</v>
      </c>
      <c r="D13" s="329">
        <f>'2021'!Wh_Pvg</f>
        <v>0.23705846887630638</v>
      </c>
      <c r="E13" s="137">
        <f t="shared" si="1"/>
        <v>947.88164719348686</v>
      </c>
      <c r="F13" s="137">
        <f t="shared" si="2"/>
        <v>11702.345647193479</v>
      </c>
      <c r="G13" s="137">
        <f>'2021'!F$9</f>
        <v>11900.555161014861</v>
      </c>
      <c r="H13" s="145">
        <f>'2021'!Wh_gain_sa</f>
        <v>0</v>
      </c>
      <c r="I13" s="329">
        <f>'2021'!Wh_gain_vg</f>
        <v>0</v>
      </c>
      <c r="J13" s="137">
        <f>'2021'!Prod_an_s</f>
        <v>10754.463999999993</v>
      </c>
      <c r="K13" s="846" t="str">
        <f>IF('2021'!Acti_net,'2021'!Tnet,"")</f>
        <v/>
      </c>
      <c r="L13" s="847" t="str">
        <f>IF('2021'!Acti_tai,'2021'!Ttai,"")</f>
        <v/>
      </c>
      <c r="M13" s="858">
        <f t="shared" ref="M13:M20" si="3">O13+P12+(K12="")*M12</f>
        <v>0</v>
      </c>
      <c r="N13" s="859">
        <f>Q13+R12+(L12="")*N12</f>
        <v>0</v>
      </c>
      <c r="O13" s="369">
        <f>+'2021'!$AJ$3</f>
        <v>0</v>
      </c>
      <c r="P13" s="369">
        <f>+'2021'!$AJ$4</f>
        <v>0</v>
      </c>
      <c r="Q13" s="369">
        <f>+'2021'!$AK$3</f>
        <v>0</v>
      </c>
      <c r="R13" s="369">
        <f>+'2021'!$AK$4</f>
        <v>0</v>
      </c>
      <c r="S13" s="850"/>
      <c r="T13" s="850"/>
    </row>
    <row r="14" spans="1:29" s="19" customFormat="1" ht="12.75" x14ac:dyDescent="0.2">
      <c r="A14" s="144">
        <f>'2022'!An</f>
        <v>2022</v>
      </c>
      <c r="B14" s="137">
        <f>'2022'!Prod_an</f>
        <v>11594.666999999994</v>
      </c>
      <c r="C14" s="145">
        <f>'2022'!Wh_Psa</f>
        <v>516.19061622073082</v>
      </c>
      <c r="D14" s="329">
        <f>'2022'!Wh_Pvg</f>
        <v>0.36553857003624107</v>
      </c>
      <c r="E14" s="137">
        <f t="shared" si="1"/>
        <v>516.5561547907671</v>
      </c>
      <c r="F14" s="137">
        <f t="shared" si="2"/>
        <v>12111.223154790761</v>
      </c>
      <c r="G14" s="137">
        <f>'2022'!F$9</f>
        <v>12404.1602454972</v>
      </c>
      <c r="H14" s="145">
        <f>'2022'!Wh_gain_sa</f>
        <v>894.20117184713649</v>
      </c>
      <c r="I14" s="329">
        <f>'2022'!Wh_gain_vg</f>
        <v>-2.816996816921663E-2</v>
      </c>
      <c r="J14" s="137">
        <f>'2022'!Prod_an_s</f>
        <v>10701.132289585485</v>
      </c>
      <c r="K14" s="846">
        <f>IF('2022'!Acti_net,'2022'!Tnet,"")</f>
        <v>44683</v>
      </c>
      <c r="L14" s="847" t="str">
        <f>IF('2022'!Acti_tai,'2022'!Ttai,"")</f>
        <v/>
      </c>
      <c r="M14" s="858">
        <f t="shared" si="3"/>
        <v>0</v>
      </c>
      <c r="N14" s="859">
        <f>Q14+R13+(L13="")*N13</f>
        <v>0</v>
      </c>
      <c r="O14" s="369">
        <f>+'2022'!$AJ$3</f>
        <v>0</v>
      </c>
      <c r="P14" s="369">
        <f>+'2022'!$AJ$4</f>
        <v>893.47013448181565</v>
      </c>
      <c r="Q14" s="369">
        <f>+'2022'!$AK$3</f>
        <v>0</v>
      </c>
      <c r="R14" s="369">
        <f>+'2022'!$AK$4</f>
        <v>-2.816996816921663E-2</v>
      </c>
      <c r="S14" s="850"/>
      <c r="T14" s="850"/>
    </row>
    <row r="15" spans="1:29" s="19" customFormat="1" ht="12.75" x14ac:dyDescent="0.2">
      <c r="A15" s="363">
        <f>'2023'!An</f>
        <v>2023</v>
      </c>
      <c r="B15" s="364">
        <f>'2023'!Prod_an</f>
        <v>11641.924471291417</v>
      </c>
      <c r="C15" s="365">
        <f>'2023'!Wh_Psa</f>
        <v>282.77249932944187</v>
      </c>
      <c r="D15" s="366">
        <f>'2023'!Wh_Pvg</f>
        <v>0.4682116749139808</v>
      </c>
      <c r="E15" s="364">
        <f t="shared" si="1"/>
        <v>283.24071100435583</v>
      </c>
      <c r="F15" s="364">
        <f t="shared" si="2"/>
        <v>11925.165182295772</v>
      </c>
      <c r="G15" s="364">
        <f>'2023'!F$9</f>
        <v>12299.041610916822</v>
      </c>
      <c r="H15" s="365">
        <f>'2023'!Wh_gain_sa</f>
        <v>456.11935643642539</v>
      </c>
      <c r="I15" s="366">
        <f>'2023'!Wh_gain_vg</f>
        <v>-1.8360694764684604E-2</v>
      </c>
      <c r="J15" s="364">
        <f>'2023'!Prod_an_s</f>
        <v>11185.392024230663</v>
      </c>
      <c r="K15" s="848">
        <f>IF('2023'!Acti_net,'2023'!Tnet,"")</f>
        <v>45046</v>
      </c>
      <c r="L15" s="849" t="str">
        <f>IF('2023'!Acti_tai,'2023'!Ttai,"")</f>
        <v/>
      </c>
      <c r="M15" s="860">
        <f t="shared" si="3"/>
        <v>1138.5637853898277</v>
      </c>
      <c r="N15" s="861">
        <f t="shared" ref="N15:N20" si="4">Q15+R14+(L14="")*N14</f>
        <v>-2.816996816921663E-2</v>
      </c>
      <c r="O15" s="369">
        <f>+'2023'!$AJ$3</f>
        <v>245.09365090801202</v>
      </c>
      <c r="P15" s="369">
        <f>+'2023'!$AJ$4</f>
        <v>211.41726033613517</v>
      </c>
      <c r="Q15" s="369">
        <f>+'2023'!$AK$3</f>
        <v>0</v>
      </c>
      <c r="R15" s="369">
        <f>+'2023'!$AK$4</f>
        <v>-1.8360694764684604E-2</v>
      </c>
      <c r="S15" s="850"/>
      <c r="T15" s="850"/>
    </row>
    <row r="16" spans="1:29" s="19" customFormat="1" ht="12.75" x14ac:dyDescent="0.2">
      <c r="A16" s="361">
        <f>'2024'!An</f>
        <v>2024</v>
      </c>
      <c r="B16" s="362">
        <f>'2024'!Prod_an</f>
        <v>11547.135097140801</v>
      </c>
      <c r="C16" s="145">
        <f>'2024'!Wh_Psa</f>
        <v>312.06836373388603</v>
      </c>
      <c r="D16" s="329">
        <f>'2024'!Wh_Pvg</f>
        <v>0.64887939096305236</v>
      </c>
      <c r="E16" s="362">
        <f t="shared" si="1"/>
        <v>312.71724312484906</v>
      </c>
      <c r="F16" s="362">
        <f t="shared" si="2"/>
        <v>11859.85234026565</v>
      </c>
      <c r="G16" s="362">
        <f>'2024'!F$9</f>
        <v>12317.685290716588</v>
      </c>
      <c r="H16" s="145">
        <f>'2024'!Wh_gain_sa</f>
        <v>355.21273202749398</v>
      </c>
      <c r="I16" s="329">
        <f>'2024'!Wh_gain_vg</f>
        <v>-1.9956268206066885E-2</v>
      </c>
      <c r="J16" s="362">
        <f>'2024'!Prod_an_s</f>
        <v>11192.003267991135</v>
      </c>
      <c r="K16" s="846">
        <f>IF('2024'!Acti_net,'2024'!Tnet,"")</f>
        <v>45412</v>
      </c>
      <c r="L16" s="847" t="str">
        <f>IF('2024'!Acti_tai,'2024'!Ttai,"")</f>
        <v/>
      </c>
      <c r="M16" s="858">
        <f t="shared" si="3"/>
        <v>266.72713868688481</v>
      </c>
      <c r="N16" s="859">
        <f t="shared" si="4"/>
        <v>-4.6530662933901235E-2</v>
      </c>
      <c r="O16" s="369">
        <f>+'2024'!$AJ$3</f>
        <v>55.309878350749614</v>
      </c>
      <c r="P16" s="369">
        <f>+'2024'!$AJ$4</f>
        <v>299.79586714869282</v>
      </c>
      <c r="Q16" s="369">
        <f>+'2024'!$AK$3</f>
        <v>0</v>
      </c>
      <c r="R16" s="369">
        <f>+'2024'!$AK$4</f>
        <v>-1.9956268206066885E-2</v>
      </c>
      <c r="S16" s="850"/>
      <c r="T16" s="850"/>
    </row>
    <row r="17" spans="1:30" s="19" customFormat="1" ht="12.75" x14ac:dyDescent="0.2">
      <c r="A17" s="361">
        <f>'2025'!An</f>
        <v>2025</v>
      </c>
      <c r="B17" s="362">
        <f>'2025'!Prod_an</f>
        <v>11449.483921547353</v>
      </c>
      <c r="C17" s="145">
        <f>'2025'!Wh_Psa</f>
        <v>308.56914614988716</v>
      </c>
      <c r="D17" s="329">
        <f>'2025'!Wh_Pvg</f>
        <v>0.82269474741760173</v>
      </c>
      <c r="E17" s="362">
        <f>C17+D17</f>
        <v>309.39184089730475</v>
      </c>
      <c r="F17" s="362">
        <f>B17+E17</f>
        <v>11758.875762444657</v>
      </c>
      <c r="G17" s="362">
        <f>'2025'!F$9</f>
        <v>12298.713043228721</v>
      </c>
      <c r="H17" s="145">
        <f>'2025'!Wh_gain_sa</f>
        <v>375.4693150846831</v>
      </c>
      <c r="I17" s="329">
        <f>'2025'!Wh_gain_vg</f>
        <v>-2.69772510053361E-2</v>
      </c>
      <c r="J17" s="362">
        <f>'2025'!Prod_an_s</f>
        <v>11074.040170869854</v>
      </c>
      <c r="K17" s="846">
        <f>IF('2025'!Acti_net,'2025'!Tnet,"")</f>
        <v>45777</v>
      </c>
      <c r="L17" s="847" t="str">
        <f>IF('2025'!Acti_tai,'2025'!Ttai,"")</f>
        <v/>
      </c>
      <c r="M17" s="858">
        <f t="shared" si="3"/>
        <v>377.34182625828169</v>
      </c>
      <c r="N17" s="859">
        <f t="shared" si="4"/>
        <v>-6.648693113996812E-2</v>
      </c>
      <c r="O17" s="369">
        <f>+'2025'!$AJ$3</f>
        <v>77.545959109588864</v>
      </c>
      <c r="P17" s="369">
        <f>+'2025'!$AJ$4</f>
        <v>297.87158546586357</v>
      </c>
      <c r="Q17" s="369">
        <f>+'2025'!$AK$3</f>
        <v>0</v>
      </c>
      <c r="R17" s="369">
        <f>+'2025'!$AK$4</f>
        <v>-2.69772510053361E-2</v>
      </c>
      <c r="S17" s="850"/>
      <c r="T17" s="850"/>
    </row>
    <row r="18" spans="1:30" s="19" customFormat="1" ht="12.75" x14ac:dyDescent="0.2">
      <c r="A18" s="361">
        <f>'2026'!An</f>
        <v>2026</v>
      </c>
      <c r="B18" s="362">
        <f>'2026'!Prod_an</f>
        <v>11370.622183383275</v>
      </c>
      <c r="C18" s="145">
        <f>'2026'!Wh_Psa</f>
        <v>306.45017488853767</v>
      </c>
      <c r="D18" s="329">
        <f>'2026'!Wh_Pvg</f>
        <v>0.27372910538385098</v>
      </c>
      <c r="E18" s="362">
        <f>C18+D18</f>
        <v>306.72390399392151</v>
      </c>
      <c r="F18" s="362">
        <f>B18+E18</f>
        <v>11677.346087377196</v>
      </c>
      <c r="G18" s="362">
        <f>'2026'!F$9</f>
        <v>12299.163892074239</v>
      </c>
      <c r="H18" s="145">
        <f>'2026'!Wh_gain_sa</f>
        <v>372.661444763475</v>
      </c>
      <c r="I18" s="329">
        <f>'2026'!Wh_gain_vg</f>
        <v>0.75223145367926325</v>
      </c>
      <c r="J18" s="362">
        <f>'2026'!Prod_an_s</f>
        <v>10997.18069808765</v>
      </c>
      <c r="K18" s="846">
        <f>IF('2026'!Acti_net,'2026'!Tnet,"")</f>
        <v>46142</v>
      </c>
      <c r="L18" s="847">
        <f>IF('2026'!Acti_tai,'2026'!Ttai,"")</f>
        <v>46112</v>
      </c>
      <c r="M18" s="858">
        <f t="shared" si="3"/>
        <v>374.70430711082787</v>
      </c>
      <c r="N18" s="859">
        <f t="shared" si="4"/>
        <v>-9.9848765355705721E-2</v>
      </c>
      <c r="O18" s="369">
        <f>+'2026'!$AJ$3</f>
        <v>76.83272164496428</v>
      </c>
      <c r="P18" s="369">
        <f>+'2026'!$AJ$4</f>
        <v>295.77692593669479</v>
      </c>
      <c r="Q18" s="369">
        <f>+'2026'!$AK$3</f>
        <v>-6.384583210401501E-3</v>
      </c>
      <c r="R18" s="369">
        <f>+'2026'!$AK$4</f>
        <v>0.76089735676430981</v>
      </c>
      <c r="S18" s="850"/>
      <c r="T18" s="850"/>
    </row>
    <row r="19" spans="1:30" s="19" customFormat="1" ht="12.75" x14ac:dyDescent="0.2">
      <c r="A19" s="361">
        <f>'2027'!An</f>
        <v>2027</v>
      </c>
      <c r="B19" s="362">
        <f>'2027'!Prod_an</f>
        <v>11291.692254265119</v>
      </c>
      <c r="C19" s="145">
        <f>'2027'!Wh_Psa</f>
        <v>304.3272060374432</v>
      </c>
      <c r="D19" s="329">
        <f>'2027'!Wh_Pvg</f>
        <v>0.1090568363154861</v>
      </c>
      <c r="E19" s="362">
        <f>C19+D19</f>
        <v>304.43626287375866</v>
      </c>
      <c r="F19" s="362">
        <f>B19+E19</f>
        <v>11596.128517138877</v>
      </c>
      <c r="G19" s="362">
        <f>'2027'!F$9</f>
        <v>12299.351351894291</v>
      </c>
      <c r="H19" s="145">
        <f>'2027'!Wh_gain_sa</f>
        <v>370.04456219073523</v>
      </c>
      <c r="I19" s="329">
        <f>'2027'!Wh_gain_vg</f>
        <v>1.1715308112500016</v>
      </c>
      <c r="J19" s="362">
        <f>'2027'!Prod_an_s</f>
        <v>10920.427419525933</v>
      </c>
      <c r="K19" s="846">
        <f>IF('2027'!Acti_net,'2027'!Tnet,"")</f>
        <v>46507</v>
      </c>
      <c r="L19" s="847" t="str">
        <f>IF('2027'!Acti_tai,'2027'!Ttai,"")</f>
        <v/>
      </c>
      <c r="M19" s="858">
        <f t="shared" si="3"/>
        <v>372.06599140705117</v>
      </c>
      <c r="N19" s="859">
        <f t="shared" si="4"/>
        <v>0.76089735676430981</v>
      </c>
      <c r="O19" s="369">
        <f>+'2027'!$AJ$3</f>
        <v>76.289065470356377</v>
      </c>
      <c r="P19" s="369">
        <f>+'2027'!$AJ$4</f>
        <v>293.70404572855955</v>
      </c>
      <c r="Q19" s="369">
        <f>+'2027'!$AK$3</f>
        <v>0</v>
      </c>
      <c r="R19" s="369">
        <f>+'2027'!$AK$4</f>
        <v>1.1715308112500016</v>
      </c>
      <c r="S19" s="850"/>
      <c r="T19" s="850"/>
    </row>
    <row r="20" spans="1:30" s="19" customFormat="1" ht="12.75" x14ac:dyDescent="0.2">
      <c r="A20" s="361">
        <f>'2028'!An</f>
        <v>2028</v>
      </c>
      <c r="B20" s="362">
        <f>'2028'!Prod_an</f>
        <v>11229.091913216043</v>
      </c>
      <c r="C20" s="145">
        <f>'2028'!Wh_Psa</f>
        <v>303.47948634544139</v>
      </c>
      <c r="D20" s="329">
        <f>'2028'!Wh_Pvg</f>
        <v>0.19630724129542906</v>
      </c>
      <c r="E20" s="362">
        <f>C20+D20</f>
        <v>303.6757935867368</v>
      </c>
      <c r="F20" s="362">
        <f>B20+E20</f>
        <v>11532.767706802781</v>
      </c>
      <c r="G20" s="362">
        <f>'2028'!F$9</f>
        <v>12318.085609976701</v>
      </c>
      <c r="H20" s="145">
        <f>'2028'!Wh_gain_sa</f>
        <v>368.34787273155916</v>
      </c>
      <c r="I20" s="329">
        <f>'2028'!Wh_gain_vg</f>
        <v>1.4205745208384171</v>
      </c>
      <c r="J20" s="362">
        <f>'2028'!Prod_an_s</f>
        <v>10859.257409660186</v>
      </c>
      <c r="K20" s="846">
        <f>IF('2028'!Acti_net,'2028'!Tnet,"")</f>
        <v>46873</v>
      </c>
      <c r="L20" s="847" t="str">
        <f>IF('2028'!Acti_tai,'2028'!Ttai,"")</f>
        <v/>
      </c>
      <c r="M20" s="858">
        <f t="shared" si="3"/>
        <v>370.53342052643455</v>
      </c>
      <c r="N20" s="859">
        <f t="shared" si="4"/>
        <v>1.9324281680143114</v>
      </c>
      <c r="O20" s="369">
        <f>+'2028'!$AJ$3</f>
        <v>76.829374797875005</v>
      </c>
      <c r="P20" s="369">
        <f>+'2028'!$AJ$4</f>
        <v>291.46617930759135</v>
      </c>
      <c r="Q20" s="369">
        <f>+'2028'!$AK$3</f>
        <v>0</v>
      </c>
      <c r="R20" s="369">
        <f>+'2028'!$AK$4</f>
        <v>1.4205745208384171</v>
      </c>
      <c r="S20" s="850"/>
      <c r="T20" s="850"/>
    </row>
    <row r="21" spans="1:30" s="19" customFormat="1" ht="12.75" x14ac:dyDescent="0.2">
      <c r="A21" s="699"/>
      <c r="B21" s="700"/>
      <c r="C21" s="701"/>
      <c r="D21" s="698"/>
      <c r="E21" s="700"/>
      <c r="F21" s="700"/>
      <c r="G21" s="700"/>
      <c r="H21" s="701"/>
      <c r="I21" s="698"/>
      <c r="J21" s="700"/>
      <c r="K21" s="862"/>
      <c r="L21" s="863"/>
      <c r="M21" s="852"/>
      <c r="N21" s="853"/>
      <c r="O21" s="10"/>
      <c r="P21" s="10"/>
      <c r="Q21" s="10"/>
      <c r="R21" s="10"/>
      <c r="S21" s="850"/>
      <c r="T21" s="850"/>
    </row>
    <row r="22" spans="1:30" s="19" customFormat="1" ht="12.75" x14ac:dyDescent="0.2">
      <c r="A22" s="699"/>
      <c r="B22" s="700"/>
      <c r="C22" s="701"/>
      <c r="D22" s="698"/>
      <c r="E22" s="700"/>
      <c r="F22" s="700"/>
      <c r="G22" s="700"/>
      <c r="H22" s="701"/>
      <c r="I22" s="698"/>
      <c r="J22" s="700"/>
      <c r="K22" s="862"/>
      <c r="L22" s="863"/>
      <c r="M22" s="852"/>
      <c r="N22" s="853"/>
      <c r="O22" s="10"/>
      <c r="P22" s="851"/>
      <c r="Q22" s="10"/>
      <c r="R22" s="851"/>
      <c r="S22" s="850"/>
      <c r="T22" s="850"/>
    </row>
    <row r="23" spans="1:30" s="19" customFormat="1" ht="12.75" x14ac:dyDescent="0.2">
      <c r="A23" s="699"/>
      <c r="B23" s="700"/>
      <c r="C23" s="701"/>
      <c r="D23" s="698"/>
      <c r="E23" s="700"/>
      <c r="F23" s="700"/>
      <c r="G23" s="700"/>
      <c r="H23" s="701"/>
      <c r="I23" s="698"/>
      <c r="J23" s="700"/>
      <c r="K23" s="862"/>
      <c r="L23" s="863"/>
      <c r="M23" s="852"/>
      <c r="N23" s="853"/>
      <c r="O23" s="10"/>
      <c r="P23" s="851"/>
      <c r="Q23" s="10"/>
      <c r="S23" s="850"/>
      <c r="T23" s="850"/>
    </row>
    <row r="24" spans="1:30" s="19" customFormat="1" ht="12.75" x14ac:dyDescent="0.2">
      <c r="A24" s="699"/>
      <c r="B24" s="700"/>
      <c r="C24" s="701"/>
      <c r="D24" s="698"/>
      <c r="E24" s="700"/>
      <c r="F24" s="700"/>
      <c r="G24" s="700"/>
      <c r="H24" s="701"/>
      <c r="I24" s="698"/>
      <c r="J24" s="700"/>
      <c r="K24" s="862"/>
      <c r="L24" s="863"/>
      <c r="M24" s="852"/>
      <c r="N24" s="853"/>
      <c r="O24" s="10"/>
      <c r="P24" s="851"/>
      <c r="Q24" s="10"/>
      <c r="R24" s="851"/>
      <c r="S24" s="850"/>
      <c r="T24" s="850"/>
    </row>
    <row r="25" spans="1:30" s="19" customFormat="1" ht="12.75" x14ac:dyDescent="0.2">
      <c r="A25" s="699"/>
      <c r="B25" s="700"/>
      <c r="C25" s="701"/>
      <c r="D25" s="698"/>
      <c r="E25" s="700"/>
      <c r="F25" s="700"/>
      <c r="G25" s="700"/>
      <c r="H25" s="701"/>
      <c r="I25" s="698"/>
      <c r="J25" s="700"/>
      <c r="K25" s="862"/>
      <c r="L25" s="863"/>
      <c r="M25" s="852"/>
      <c r="N25" s="853"/>
      <c r="O25" s="10"/>
      <c r="P25" s="851"/>
      <c r="Q25" s="10"/>
      <c r="R25" s="851"/>
      <c r="S25" s="850"/>
      <c r="T25" s="850"/>
    </row>
    <row r="26" spans="1:30" s="19" customFormat="1" ht="12.75" x14ac:dyDescent="0.2">
      <c r="A26" s="699"/>
      <c r="B26" s="700"/>
      <c r="C26" s="701"/>
      <c r="D26" s="698"/>
      <c r="E26" s="700"/>
      <c r="F26" s="700"/>
      <c r="G26" s="700"/>
      <c r="H26" s="701"/>
      <c r="I26" s="698"/>
      <c r="J26" s="700"/>
      <c r="K26" s="862"/>
      <c r="L26" s="863"/>
      <c r="M26" s="852"/>
      <c r="N26" s="853"/>
      <c r="O26" s="10"/>
      <c r="P26" s="851"/>
      <c r="Q26" s="10"/>
      <c r="R26" s="851"/>
      <c r="S26" s="850"/>
      <c r="T26" s="850"/>
    </row>
    <row r="27" spans="1:30" s="19" customFormat="1" ht="12.75" x14ac:dyDescent="0.2">
      <c r="A27" s="699"/>
      <c r="B27" s="700"/>
      <c r="C27" s="701"/>
      <c r="D27" s="698"/>
      <c r="E27" s="700"/>
      <c r="F27" s="700"/>
      <c r="G27" s="700"/>
      <c r="H27" s="701"/>
      <c r="I27" s="698"/>
      <c r="J27" s="700"/>
      <c r="K27" s="862"/>
      <c r="L27" s="863"/>
      <c r="M27" s="852"/>
      <c r="N27" s="853"/>
      <c r="O27" s="10"/>
      <c r="P27" s="851"/>
      <c r="Q27" s="10"/>
      <c r="R27" s="851"/>
      <c r="S27" s="850"/>
      <c r="T27" s="850"/>
    </row>
    <row r="28" spans="1:30" s="19" customFormat="1" ht="12.75" x14ac:dyDescent="0.2">
      <c r="A28" s="699"/>
      <c r="B28" s="700"/>
      <c r="C28" s="701"/>
      <c r="D28" s="698"/>
      <c r="E28" s="700"/>
      <c r="F28" s="700"/>
      <c r="G28" s="700"/>
      <c r="H28" s="701"/>
      <c r="I28" s="698"/>
      <c r="J28" s="700"/>
      <c r="K28" s="862"/>
      <c r="L28" s="863"/>
      <c r="M28" s="852"/>
      <c r="N28" s="853"/>
      <c r="O28" s="10"/>
      <c r="P28" s="10"/>
      <c r="Q28" s="10"/>
      <c r="R28" s="10"/>
      <c r="S28" s="850"/>
      <c r="T28" s="850"/>
    </row>
    <row r="29" spans="1:30" s="19" customFormat="1" ht="12.75" x14ac:dyDescent="0.2">
      <c r="A29" s="699"/>
      <c r="B29" s="700"/>
      <c r="C29" s="701"/>
      <c r="D29" s="698"/>
      <c r="E29" s="700"/>
      <c r="F29" s="700"/>
      <c r="G29" s="700"/>
      <c r="H29" s="701"/>
      <c r="I29" s="698"/>
      <c r="J29" s="700"/>
      <c r="K29" s="862"/>
      <c r="L29" s="863"/>
      <c r="M29" s="852"/>
      <c r="N29" s="853"/>
      <c r="O29" s="10"/>
      <c r="P29" s="10"/>
      <c r="Q29" s="10"/>
      <c r="R29" s="10"/>
      <c r="S29" s="850"/>
      <c r="T29" s="850"/>
    </row>
    <row r="30" spans="1:30" s="19" customFormat="1" ht="12.75" x14ac:dyDescent="0.2">
      <c r="A30" s="702"/>
      <c r="B30" s="703"/>
      <c r="C30" s="704"/>
      <c r="D30" s="705"/>
      <c r="E30" s="703"/>
      <c r="F30" s="703"/>
      <c r="G30" s="703"/>
      <c r="H30" s="704"/>
      <c r="I30" s="705"/>
      <c r="J30" s="703"/>
      <c r="K30" s="864"/>
      <c r="L30" s="865"/>
      <c r="M30" s="854"/>
      <c r="N30" s="855"/>
      <c r="O30" s="10"/>
      <c r="P30" s="10"/>
      <c r="Q30" s="10"/>
      <c r="R30" s="10"/>
      <c r="S30" s="850"/>
      <c r="T30" s="850"/>
      <c r="AD30" s="30"/>
    </row>
    <row r="31" spans="1:30" s="4" customFormat="1" x14ac:dyDescent="0.25">
      <c r="A31" s="868" t="s">
        <v>360</v>
      </c>
      <c r="B31" s="869">
        <f>SUM(B11:B15)/1000</f>
        <v>55.855103471291415</v>
      </c>
      <c r="C31" s="870">
        <f t="shared" ref="C31:J31" si="5">SUM(C11:C15)/1000</f>
        <v>2.4393823986067615</v>
      </c>
      <c r="D31" s="871">
        <f t="shared" si="5"/>
        <v>1.2001484726690448E-3</v>
      </c>
      <c r="E31" s="869">
        <f t="shared" si="5"/>
        <v>2.4405825470794307</v>
      </c>
      <c r="F31" s="869">
        <f t="shared" si="5"/>
        <v>58.295686018370844</v>
      </c>
      <c r="G31" s="869">
        <f t="shared" si="5"/>
        <v>59.311680489721745</v>
      </c>
      <c r="H31" s="870">
        <f t="shared" si="5"/>
        <v>1.350320528283562</v>
      </c>
      <c r="I31" s="871">
        <f t="shared" si="5"/>
        <v>-4.6530662933901232E-5</v>
      </c>
      <c r="J31" s="869">
        <f t="shared" si="5"/>
        <v>54.505036313816149</v>
      </c>
      <c r="K31" s="1199" t="s">
        <v>10</v>
      </c>
      <c r="L31" s="3"/>
      <c r="M31" s="1200" t="s">
        <v>355</v>
      </c>
      <c r="N31" s="1200" t="s">
        <v>356</v>
      </c>
      <c r="O31" s="1200" t="s">
        <v>356</v>
      </c>
      <c r="P31" s="3"/>
      <c r="Q31" s="3"/>
      <c r="R31" s="77"/>
      <c r="S31" s="134"/>
      <c r="T31" s="77"/>
      <c r="U31" s="77"/>
      <c r="V31" s="77"/>
      <c r="W31" s="77"/>
      <c r="X31" s="872"/>
      <c r="Y31" s="3"/>
      <c r="Z31" s="3"/>
      <c r="AA31" s="3"/>
      <c r="AB31" s="3"/>
    </row>
    <row r="32" spans="1:30" ht="15.75" x14ac:dyDescent="0.25">
      <c r="A32" s="1207" t="s">
        <v>361</v>
      </c>
      <c r="B32" s="1208">
        <f>IF(K16&lt;&gt;"",B15-H16-C16+C15-D16+D15,B16)</f>
        <v>11257.235207143429</v>
      </c>
      <c r="J32" s="355" t="s">
        <v>251</v>
      </c>
      <c r="K32" s="68">
        <f>[1]!Inter_net</f>
        <v>1</v>
      </c>
      <c r="L32" s="68">
        <f>[1]!Inter_tai</f>
        <v>7</v>
      </c>
      <c r="M32" s="1201">
        <f>Inter_net</f>
        <v>1</v>
      </c>
      <c r="N32" s="1201">
        <f>CHOOSE(Inter_net,N33,N34,N35,N36)</f>
        <v>369.09271245972332</v>
      </c>
      <c r="O32" s="1202">
        <f>CHOOSE(Inter_net,O33,O34,O35,O36)</f>
        <v>3.2787154720326943E-2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277</v>
      </c>
      <c r="B33" s="1154">
        <f t="shared" ref="B33:J33" si="6">AVERAGE(B35:B54)</f>
        <v>3.6998610061075479E-2</v>
      </c>
      <c r="C33" s="1155">
        <f t="shared" si="6"/>
        <v>4.2568341600941757E-2</v>
      </c>
      <c r="D33" s="1156">
        <f t="shared" si="6"/>
        <v>6.4860940005406396E-4</v>
      </c>
      <c r="E33" s="1154">
        <f t="shared" si="6"/>
        <v>3.5191846731144893E-2</v>
      </c>
      <c r="F33" s="1155">
        <f t="shared" si="6"/>
        <v>3.4322451806585733E-2</v>
      </c>
      <c r="G33" s="1156">
        <f t="shared" si="6"/>
        <v>2.6517452465277936E-5</v>
      </c>
      <c r="H33" s="1157">
        <f t="shared" si="6"/>
        <v>2.7998547606062584E-2</v>
      </c>
      <c r="I33" s="1158">
        <f t="shared" si="6"/>
        <v>2.6419307808835568E-5</v>
      </c>
      <c r="J33" s="1159">
        <f t="shared" si="6"/>
        <v>6.6457377649968272E-2</v>
      </c>
      <c r="K33" s="341"/>
      <c r="L33" s="21"/>
      <c r="M33" s="369">
        <v>1</v>
      </c>
      <c r="N33" s="1203">
        <f>O33*$B$32</f>
        <v>369.09271245972332</v>
      </c>
      <c r="O33" s="1204">
        <f>AVERAGE(H19:H20)/AVERAGE(B19:B20)</f>
        <v>3.2787154720326943E-2</v>
      </c>
      <c r="P33" s="15"/>
    </row>
    <row r="34" spans="1:28" s="239" customFormat="1" ht="41.25" customHeight="1" x14ac:dyDescent="0.2">
      <c r="A34" s="174" t="s">
        <v>52</v>
      </c>
      <c r="B34" s="1160" t="s">
        <v>342</v>
      </c>
      <c r="C34" s="1161" t="s">
        <v>343</v>
      </c>
      <c r="D34" s="1162" t="s">
        <v>344</v>
      </c>
      <c r="E34" s="1160" t="s">
        <v>345</v>
      </c>
      <c r="F34" s="331" t="s">
        <v>346</v>
      </c>
      <c r="G34" s="332" t="s">
        <v>347</v>
      </c>
      <c r="H34" s="331" t="s">
        <v>348</v>
      </c>
      <c r="I34" s="332" t="s">
        <v>349</v>
      </c>
      <c r="J34" s="174" t="s">
        <v>350</v>
      </c>
      <c r="K34" s="331" t="s">
        <v>351</v>
      </c>
      <c r="L34" s="331" t="s">
        <v>352</v>
      </c>
      <c r="M34" s="369">
        <v>2</v>
      </c>
      <c r="N34" s="1205">
        <f>O34*$B$32</f>
        <v>369.09271245972332</v>
      </c>
      <c r="O34" s="1206">
        <f>AVERAGE(H19:H20)/AVERAGE(B19:B20)</f>
        <v>3.2787154720326943E-2</v>
      </c>
      <c r="P34" s="100"/>
      <c r="Q34" s="100"/>
      <c r="R34" s="100"/>
      <c r="S34" s="100"/>
      <c r="T34" s="100"/>
      <c r="U34" s="240"/>
      <c r="V34" s="240"/>
      <c r="W34" s="240"/>
      <c r="X34" s="241"/>
      <c r="Y34" s="238"/>
      <c r="Z34" s="238"/>
      <c r="AA34" s="238"/>
      <c r="AB34" s="238"/>
    </row>
    <row r="35" spans="1:28" s="19" customFormat="1" ht="12.75" x14ac:dyDescent="0.2">
      <c r="A35" s="142">
        <f>A11</f>
        <v>2019</v>
      </c>
      <c r="B35" s="1154">
        <f>'2019'!L$379</f>
        <v>6.3806517740526703E-3</v>
      </c>
      <c r="C35" s="1155">
        <f>'2019'!O$379</f>
        <v>3.1566610091231094E-2</v>
      </c>
      <c r="D35" s="1156">
        <f>'2019'!P$379</f>
        <v>1.0143985603346814E-4</v>
      </c>
      <c r="E35" s="1154">
        <f>'2019'!Wh_Ppv/Recap!B11</f>
        <v>3.1495627912824331E-3</v>
      </c>
      <c r="F35" s="1155">
        <f>'2019'!Wh_Psa/'2019'!D$9</f>
        <v>1.7322603295289271E-2</v>
      </c>
      <c r="G35" s="1156">
        <f>'2019'!Wh_Pvg/'2019'!E$9</f>
        <v>3.2233820691782102E-6</v>
      </c>
      <c r="H35" s="1163">
        <f>H11/'2019'!Z$9</f>
        <v>0</v>
      </c>
      <c r="I35" s="1164">
        <f>I11/'2019'!AA$9</f>
        <v>0</v>
      </c>
      <c r="J35" s="1165">
        <f>1-B11/G11</f>
        <v>2.0169624663185615E-2</v>
      </c>
      <c r="K35" s="846" t="str">
        <f>K11</f>
        <v/>
      </c>
      <c r="L35" s="1166">
        <f>(K35&lt;&gt;"")*('2019'!O$383-'2019'!O$381)</f>
        <v>0</v>
      </c>
      <c r="M35" s="369">
        <v>3</v>
      </c>
      <c r="N35" s="1205">
        <f>O35*$B$32</f>
        <v>369.04325308745791</v>
      </c>
      <c r="O35" s="1206">
        <f>AVERAGE(H18:H20)/AVERAGE(B18:B20)</f>
        <v>3.278276115731122E-2</v>
      </c>
      <c r="P35" s="369"/>
      <c r="Q35" s="369"/>
      <c r="R35" s="369"/>
      <c r="S35" s="850"/>
      <c r="T35" s="850"/>
    </row>
    <row r="36" spans="1:28" s="19" customFormat="1" ht="12.75" x14ac:dyDescent="0.2">
      <c r="A36" s="144">
        <f t="shared" ref="A36:A44" si="7">A12</f>
        <v>2020</v>
      </c>
      <c r="B36" s="1154">
        <f>'2020'!L$379</f>
        <v>1.3306972769577596E-2</v>
      </c>
      <c r="C36" s="1155">
        <f>'2020'!O$379</f>
        <v>5.0995862721693569E-2</v>
      </c>
      <c r="D36" s="1156">
        <f>'2020'!P$379</f>
        <v>2.7418864024674741E-4</v>
      </c>
      <c r="E36" s="1154">
        <f>'2020'!Wh_Ppv/Recap!B12</f>
        <v>9.8014696424478989E-3</v>
      </c>
      <c r="F36" s="1155">
        <f>'2020'!Wh_Psa/'2020'!D$9</f>
        <v>4.4142983731602067E-2</v>
      </c>
      <c r="G36" s="1156">
        <f>'2020'!Wh_Pvg/'2020'!E$9</f>
        <v>7.8509157431903034E-6</v>
      </c>
      <c r="H36" s="1163">
        <f>H12/'2020'!Z$9</f>
        <v>0</v>
      </c>
      <c r="I36" s="1164">
        <f>I12/'2020'!AA$9</f>
        <v>0</v>
      </c>
      <c r="J36" s="1165">
        <f t="shared" ref="J36:J43" si="8">1-B12/G12</f>
        <v>5.1973434354140813E-2</v>
      </c>
      <c r="K36" s="846" t="str">
        <f t="shared" ref="K36:K43" si="9">K12</f>
        <v/>
      </c>
      <c r="L36" s="1166">
        <f>(K36&lt;&gt;"")*('2020'!O$383-'2020'!O$381)</f>
        <v>0</v>
      </c>
      <c r="M36" s="369">
        <v>4</v>
      </c>
      <c r="N36" s="1205">
        <f>O36*$B$32</f>
        <v>369.07394503868744</v>
      </c>
      <c r="O36" s="1206">
        <f>AVERAGE(H17:H20)/AVERAGE(B17:B20)</f>
        <v>3.2785487577312644E-2</v>
      </c>
      <c r="P36" s="369"/>
      <c r="Q36" s="369"/>
      <c r="R36" s="369"/>
      <c r="S36" s="850"/>
      <c r="T36" s="850"/>
    </row>
    <row r="37" spans="1:28" s="19" customFormat="1" ht="12.75" x14ac:dyDescent="0.2">
      <c r="A37" s="144">
        <f t="shared" si="7"/>
        <v>2021</v>
      </c>
      <c r="B37" s="1154">
        <f>'2021'!L$379</f>
        <v>2.020378970270198E-2</v>
      </c>
      <c r="C37" s="1155">
        <f>'2021'!O$379</f>
        <v>0.10444190719585474</v>
      </c>
      <c r="D37" s="1156">
        <f>'2021'!P$379</f>
        <v>4.4706422857950873E-4</v>
      </c>
      <c r="E37" s="1154">
        <f>'2021'!Wh_Ppv/Recap!B13</f>
        <v>1.6935773159675226E-2</v>
      </c>
      <c r="F37" s="1155">
        <f>'2021'!Wh_Psa/'2021'!D$9</f>
        <v>8.6648927570793649E-2</v>
      </c>
      <c r="G37" s="1156">
        <f>'2021'!Wh_Pvg/'2021'!E$9</f>
        <v>1.9920389519697197E-5</v>
      </c>
      <c r="H37" s="1163">
        <f>H13/'2021'!Z$9</f>
        <v>0</v>
      </c>
      <c r="I37" s="1164">
        <f>I13/'2021'!AA$9</f>
        <v>0</v>
      </c>
      <c r="J37" s="1165">
        <f t="shared" si="8"/>
        <v>9.6305688726972982E-2</v>
      </c>
      <c r="K37" s="846" t="str">
        <f t="shared" si="9"/>
        <v/>
      </c>
      <c r="L37" s="1166">
        <f>(K37&lt;&gt;"")*('2021'!O$383-'2021'!O$381)</f>
        <v>0</v>
      </c>
      <c r="M37" s="369"/>
      <c r="N37" s="1213" t="s">
        <v>357</v>
      </c>
      <c r="O37" s="1214"/>
      <c r="P37" s="369"/>
      <c r="Q37" s="369"/>
      <c r="R37" s="369"/>
      <c r="S37" s="850"/>
      <c r="T37" s="850"/>
    </row>
    <row r="38" spans="1:28" s="19" customFormat="1" ht="12.75" x14ac:dyDescent="0.2">
      <c r="A38" s="144">
        <f t="shared" si="7"/>
        <v>2022</v>
      </c>
      <c r="B38" s="1154">
        <f>'2022'!L$379</f>
        <v>2.7033752378886389E-2</v>
      </c>
      <c r="C38" s="1155">
        <f>'2022'!O$379</f>
        <v>2.7127379112340089E-2</v>
      </c>
      <c r="D38" s="1156">
        <f>'2022'!P$379</f>
        <v>7.2852582511155487E-4</v>
      </c>
      <c r="E38" s="1154">
        <f>'2022'!Wh_Ppv/Recap!B14</f>
        <v>2.4185866259582075E-2</v>
      </c>
      <c r="F38" s="1155">
        <f>'2022'!Wh_Psa/'2022'!D$9</f>
        <v>4.3468339145651673E-2</v>
      </c>
      <c r="G38" s="1156">
        <f>'2022'!Wh_Pvg/'2022'!E$9</f>
        <v>2.9469959024322126E-5</v>
      </c>
      <c r="H38" s="1163">
        <f>H14/'2022'!Z$9</f>
        <v>8.1592571751474635E-2</v>
      </c>
      <c r="I38" s="1164">
        <f>I14/'2022'!AA$9</f>
        <v>-2.2710812913148021E-6</v>
      </c>
      <c r="J38" s="1165">
        <f t="shared" si="8"/>
        <v>6.5259818438016204E-2</v>
      </c>
      <c r="K38" s="846">
        <f t="shared" si="9"/>
        <v>44683</v>
      </c>
      <c r="L38" s="1166">
        <f>(K38&lt;&gt;"")*('2022'!O$383-'2022'!O$381)</f>
        <v>0.1076176218294741</v>
      </c>
      <c r="M38" s="369"/>
      <c r="N38" s="369"/>
      <c r="O38" s="369"/>
      <c r="P38" s="369"/>
      <c r="Q38" s="369"/>
      <c r="R38" s="369"/>
      <c r="S38" s="850"/>
      <c r="T38" s="850"/>
    </row>
    <row r="39" spans="1:28" s="19" customFormat="1" ht="12.75" x14ac:dyDescent="0.2">
      <c r="A39" s="363">
        <f t="shared" si="7"/>
        <v>2023</v>
      </c>
      <c r="B39" s="1167">
        <f>'2023'!L$379</f>
        <v>3.3816104756451693E-2</v>
      </c>
      <c r="C39" s="1168">
        <f>'2023'!O$379</f>
        <v>3.5289619862392631E-2</v>
      </c>
      <c r="D39" s="1169">
        <f>'2023'!P$379</f>
        <v>1.0101805470152942E-3</v>
      </c>
      <c r="E39" s="1167">
        <f>'2023'!Wh_Ppv/Recap!B15</f>
        <v>3.1350903228864899E-2</v>
      </c>
      <c r="F39" s="1168">
        <f>'2023'!Wh_Psa/'2023'!D$9</f>
        <v>2.3550814936775976E-2</v>
      </c>
      <c r="G39" s="1169">
        <f>'2023'!Wh_Pvg/'2023'!E$9</f>
        <v>3.807048712682366E-5</v>
      </c>
      <c r="H39" s="1170">
        <f>H15/'2023'!Z$9</f>
        <v>3.9537189558026382E-2</v>
      </c>
      <c r="I39" s="1171">
        <f>I15/'2023'!AA$9</f>
        <v>-1.4929157710706024E-6</v>
      </c>
      <c r="J39" s="1172">
        <f t="shared" si="8"/>
        <v>5.3428320710951827E-2</v>
      </c>
      <c r="K39" s="848">
        <f t="shared" si="9"/>
        <v>45046</v>
      </c>
      <c r="L39" s="1173">
        <f>(K39&lt;&gt;"")*('2023'!O$383-'2023'!O$381)</f>
        <v>2.6190045852224092E-2</v>
      </c>
      <c r="M39" s="369"/>
      <c r="N39" s="369"/>
      <c r="O39" s="369"/>
      <c r="P39" s="369"/>
      <c r="Q39" s="369"/>
      <c r="R39" s="369"/>
      <c r="S39" s="850"/>
      <c r="T39" s="850"/>
    </row>
    <row r="40" spans="1:28" s="19" customFormat="1" ht="12.75" x14ac:dyDescent="0.2">
      <c r="A40" s="1174">
        <f t="shared" si="7"/>
        <v>2024</v>
      </c>
      <c r="B40" s="1175">
        <f>'2024'!L$379</f>
        <v>4.055117871723124E-2</v>
      </c>
      <c r="C40" s="1176">
        <f>'2024'!O$379</f>
        <v>3.5196588719363743E-2</v>
      </c>
      <c r="D40" s="1177">
        <f>'2024'!P$379</f>
        <v>1.3781260489099543E-3</v>
      </c>
      <c r="E40" s="1175">
        <f>'2024'!Wh_Ppv/Recap!B16</f>
        <v>3.8602060465450644E-2</v>
      </c>
      <c r="F40" s="1176">
        <f>'2024'!Wh_Psa/'2024'!D$9</f>
        <v>2.60211398643432E-2</v>
      </c>
      <c r="G40" s="1177">
        <f>'2024'!Wh_Pvg/'2024'!E$9</f>
        <v>5.2681639346858881E-5</v>
      </c>
      <c r="H40" s="1175">
        <f>H16/'2024'!Z$9</f>
        <v>3.0558672108367109E-2</v>
      </c>
      <c r="I40" s="1178">
        <f>I16/'2024'!AA$9</f>
        <v>-1.6202224003151696E-6</v>
      </c>
      <c r="J40" s="1177">
        <f t="shared" si="8"/>
        <v>6.255641180867999E-2</v>
      </c>
      <c r="K40" s="846">
        <f t="shared" si="9"/>
        <v>45412</v>
      </c>
      <c r="L40" s="1166">
        <f>(K40&lt;&gt;"")*('2024'!O$383-'2024'!O$381)</f>
        <v>3.7089663875633491E-2</v>
      </c>
      <c r="M40" s="369"/>
      <c r="N40" s="369"/>
      <c r="O40" s="369"/>
      <c r="P40" s="369"/>
      <c r="Q40" s="369"/>
      <c r="R40" s="369"/>
      <c r="S40" s="850"/>
      <c r="T40" s="850"/>
    </row>
    <row r="41" spans="1:28" s="19" customFormat="1" ht="12.75" x14ac:dyDescent="0.2">
      <c r="A41" s="1174">
        <f t="shared" si="7"/>
        <v>2025</v>
      </c>
      <c r="B41" s="1175">
        <f>'2025'!L$379</f>
        <v>4.7257563270959313E-2</v>
      </c>
      <c r="C41" s="1176">
        <f>'2025'!O$379</f>
        <v>3.5289619862392631E-2</v>
      </c>
      <c r="D41" s="1177">
        <f>'2025'!P$379</f>
        <v>1.7462250499128053E-3</v>
      </c>
      <c r="E41" s="1175">
        <f>'2025'!Wh_Ppv/Recap!B17</f>
        <v>4.5906947383157731E-2</v>
      </c>
      <c r="F41" s="1176">
        <f>'2025'!Wh_Psa/'2025'!D$9</f>
        <v>2.5767574443728458E-2</v>
      </c>
      <c r="G41" s="1177">
        <f>'2025'!Wh_Pvg/'2025'!E$9</f>
        <v>6.6897557385696565E-5</v>
      </c>
      <c r="H41" s="1175">
        <f>H17/'2025'!Z$9</f>
        <v>3.2417256124216871E-2</v>
      </c>
      <c r="I41" s="1178">
        <f>I17/'2025'!AA$9</f>
        <v>-2.1936595595179312E-6</v>
      </c>
      <c r="J41" s="1177">
        <f t="shared" si="8"/>
        <v>6.9050242793405658E-2</v>
      </c>
      <c r="K41" s="846">
        <f t="shared" si="9"/>
        <v>45777</v>
      </c>
      <c r="L41" s="1166">
        <f>(K41&lt;&gt;"")*('2025'!O$383-'2025'!O$381)</f>
        <v>3.6989306501174907E-2</v>
      </c>
      <c r="M41" s="369"/>
      <c r="N41" s="369"/>
      <c r="O41" s="369"/>
      <c r="P41" s="369"/>
      <c r="Q41" s="369"/>
      <c r="R41" s="369"/>
      <c r="S41" s="850"/>
      <c r="T41" s="850"/>
    </row>
    <row r="42" spans="1:28" s="19" customFormat="1" ht="12.75" x14ac:dyDescent="0.2">
      <c r="A42" s="1174">
        <f t="shared" si="7"/>
        <v>2026</v>
      </c>
      <c r="B42" s="1175">
        <f>'2026'!L$379</f>
        <v>5.3898939522967759E-2</v>
      </c>
      <c r="C42" s="1176">
        <f>'2026'!O$379</f>
        <v>3.5289619862392631E-2</v>
      </c>
      <c r="D42" s="1177">
        <f>'2026'!P$379</f>
        <v>9.6370274859965097E-5</v>
      </c>
      <c r="E42" s="1175">
        <f>'2026'!Wh_Ppv/Recap!B18</f>
        <v>5.324925971391261E-2</v>
      </c>
      <c r="F42" s="1176">
        <f>'2026'!Wh_Psa/'2026'!D$9</f>
        <v>2.5588479581410955E-2</v>
      </c>
      <c r="G42" s="1177">
        <f>'2026'!Wh_Pvg/'2026'!E$9</f>
        <v>2.2256447459825115E-5</v>
      </c>
      <c r="H42" s="1175">
        <f>H18/'2026'!Z$9</f>
        <v>3.217384663616172E-2</v>
      </c>
      <c r="I42" s="1178">
        <f>I18/'2026'!AA$9</f>
        <v>6.1166892176528541E-5</v>
      </c>
      <c r="J42" s="1177">
        <f t="shared" si="8"/>
        <v>7.5496327786096828E-2</v>
      </c>
      <c r="K42" s="846">
        <f t="shared" si="9"/>
        <v>46142</v>
      </c>
      <c r="L42" s="1166">
        <f>(K42&lt;&gt;"")*('2026'!O$383-'2026'!O$381)</f>
        <v>3.6989306501174907E-2</v>
      </c>
      <c r="M42" s="369"/>
      <c r="N42" s="369"/>
      <c r="O42" s="369"/>
      <c r="P42" s="369"/>
      <c r="Q42" s="369"/>
      <c r="R42" s="369"/>
      <c r="S42" s="850"/>
      <c r="T42" s="850"/>
    </row>
    <row r="43" spans="1:28" s="19" customFormat="1" ht="12.75" x14ac:dyDescent="0.2">
      <c r="A43" s="1174">
        <f t="shared" si="7"/>
        <v>2027</v>
      </c>
      <c r="B43" s="1175">
        <f>'2027'!L$379</f>
        <v>6.0494020074459032E-2</v>
      </c>
      <c r="C43" s="1176">
        <f>'2027'!O$379</f>
        <v>3.5289619862392631E-2</v>
      </c>
      <c r="D43" s="1177">
        <f>'2027'!P$379</f>
        <v>2.6554897076929004E-4</v>
      </c>
      <c r="E43" s="1175">
        <f>'2027'!Wh_Ppv/Recap!B19</f>
        <v>6.0642628808033748E-2</v>
      </c>
      <c r="F43" s="1176">
        <f>'2027'!Wh_Psa/'2027'!D$9</f>
        <v>2.5410468216118195E-2</v>
      </c>
      <c r="G43" s="1177">
        <f>'2027'!Wh_Pvg/'2027'!E$9</f>
        <v>8.8669626943999863E-6</v>
      </c>
      <c r="H43" s="1175">
        <f>H19/'2027'!Z$9</f>
        <v>3.1948195839925253E-2</v>
      </c>
      <c r="I43" s="1178">
        <f>I19/'2027'!AA$9</f>
        <v>9.5262600253294806E-5</v>
      </c>
      <c r="J43" s="1177">
        <f t="shared" si="8"/>
        <v>8.1927824386769488E-2</v>
      </c>
      <c r="K43" s="846">
        <f t="shared" si="9"/>
        <v>46507</v>
      </c>
      <c r="L43" s="1166">
        <f>(K43&lt;&gt;"")*('2027'!O$383-'2027'!O$381)</f>
        <v>3.6989306501174907E-2</v>
      </c>
      <c r="M43" s="369"/>
      <c r="N43" s="369"/>
      <c r="O43" s="369"/>
      <c r="P43" s="369"/>
      <c r="Q43" s="369"/>
      <c r="R43" s="369"/>
      <c r="S43" s="850"/>
      <c r="T43" s="850"/>
    </row>
    <row r="44" spans="1:28" s="19" customFormat="1" ht="12.75" x14ac:dyDescent="0.2">
      <c r="A44" s="1174">
        <f t="shared" si="7"/>
        <v>2028</v>
      </c>
      <c r="B44" s="1175">
        <f>'2028'!L$379</f>
        <v>6.7043127643467093E-2</v>
      </c>
      <c r="C44" s="1176">
        <f>'2028'!O$379</f>
        <v>3.5196588719363743E-2</v>
      </c>
      <c r="D44" s="1177">
        <f>'2028'!P$379</f>
        <v>4.3842455910205142E-4</v>
      </c>
      <c r="E44" s="1175">
        <f>'2028'!Wh_Ppv/Recap!B20</f>
        <v>6.8093995859041717E-2</v>
      </c>
      <c r="F44" s="1176">
        <f>'2028'!Wh_Psa/'2028'!D$9</f>
        <v>2.5303187280143909E-2</v>
      </c>
      <c r="G44" s="1177">
        <f>'2028'!Wh_Pvg/'2028'!E$9</f>
        <v>1.5936784282787292E-5</v>
      </c>
      <c r="H44" s="1175">
        <f>H20/'2028'!Z$9</f>
        <v>3.1757744042453913E-2</v>
      </c>
      <c r="I44" s="1178">
        <f>I20/'2028'!AA$9</f>
        <v>1.1534146468075083E-4</v>
      </c>
      <c r="J44" s="1177">
        <f>1-B20/G20</f>
        <v>8.840608283146334E-2</v>
      </c>
      <c r="K44" s="846">
        <f>K20</f>
        <v>46873</v>
      </c>
      <c r="L44" s="1166">
        <f>(K44&lt;&gt;"")*('2028'!O$383-'2028'!O$381)</f>
        <v>3.7089663875633491E-2</v>
      </c>
      <c r="M44" s="369"/>
      <c r="N44" s="369"/>
      <c r="O44" s="369"/>
      <c r="P44" s="369"/>
      <c r="Q44" s="369"/>
      <c r="R44" s="369"/>
      <c r="S44" s="850"/>
      <c r="T44" s="850"/>
    </row>
    <row r="45" spans="1:28" s="19" customFormat="1" ht="12.75" x14ac:dyDescent="0.2">
      <c r="A45" s="699"/>
      <c r="B45" s="852"/>
      <c r="C45" s="1179"/>
      <c r="D45" s="1180"/>
      <c r="E45" s="852"/>
      <c r="F45" s="1179"/>
      <c r="G45" s="1180"/>
      <c r="H45" s="1181"/>
      <c r="I45" s="700"/>
      <c r="J45" s="1180"/>
      <c r="K45" s="862"/>
      <c r="L45" s="1180"/>
      <c r="M45" s="10"/>
      <c r="N45" s="10"/>
      <c r="O45" s="10"/>
      <c r="P45" s="10"/>
      <c r="Q45" s="10"/>
      <c r="R45" s="10"/>
      <c r="S45" s="850"/>
      <c r="T45" s="850"/>
    </row>
    <row r="46" spans="1:28" s="19" customFormat="1" ht="12.75" x14ac:dyDescent="0.2">
      <c r="A46" s="699"/>
      <c r="B46" s="852"/>
      <c r="C46" s="1179"/>
      <c r="D46" s="1180"/>
      <c r="E46" s="852"/>
      <c r="F46" s="1179"/>
      <c r="G46" s="1180"/>
      <c r="H46" s="1181"/>
      <c r="I46" s="700"/>
      <c r="J46" s="1180"/>
      <c r="K46" s="862"/>
      <c r="L46" s="1180"/>
      <c r="M46" s="10"/>
      <c r="N46" s="10"/>
      <c r="O46" s="10"/>
      <c r="P46" s="851"/>
      <c r="Q46" s="10"/>
      <c r="R46" s="851"/>
      <c r="S46" s="850"/>
      <c r="T46" s="850"/>
    </row>
    <row r="47" spans="1:28" s="19" customFormat="1" ht="12.75" x14ac:dyDescent="0.2">
      <c r="A47" s="699"/>
      <c r="B47" s="852"/>
      <c r="C47" s="1179"/>
      <c r="D47" s="1180"/>
      <c r="E47" s="852"/>
      <c r="F47" s="1179"/>
      <c r="G47" s="1180"/>
      <c r="H47" s="1181"/>
      <c r="I47" s="700"/>
      <c r="J47" s="1180"/>
      <c r="K47" s="862"/>
      <c r="L47" s="1180"/>
      <c r="M47" s="10"/>
      <c r="N47" s="10"/>
      <c r="O47" s="10"/>
      <c r="P47" s="851"/>
      <c r="Q47" s="10"/>
      <c r="S47" s="850"/>
      <c r="T47" s="850"/>
    </row>
    <row r="48" spans="1:28" s="19" customFormat="1" ht="12.75" x14ac:dyDescent="0.2">
      <c r="A48" s="699"/>
      <c r="B48" s="852"/>
      <c r="C48" s="1179"/>
      <c r="D48" s="1180"/>
      <c r="E48" s="852"/>
      <c r="F48" s="1179"/>
      <c r="G48" s="1180"/>
      <c r="H48" s="1181"/>
      <c r="I48" s="700"/>
      <c r="J48" s="1180"/>
      <c r="K48" s="862"/>
      <c r="L48" s="1180"/>
      <c r="M48" s="10"/>
      <c r="N48" s="10"/>
      <c r="O48" s="10"/>
      <c r="P48" s="851"/>
      <c r="Q48" s="10"/>
      <c r="R48" s="851"/>
      <c r="S48" s="850"/>
      <c r="T48" s="850"/>
    </row>
    <row r="49" spans="1:30" s="19" customFormat="1" ht="12.75" x14ac:dyDescent="0.2">
      <c r="A49" s="699"/>
      <c r="B49" s="852"/>
      <c r="C49" s="1179"/>
      <c r="D49" s="1180"/>
      <c r="E49" s="852"/>
      <c r="F49" s="1179"/>
      <c r="G49" s="1180"/>
      <c r="H49" s="1181"/>
      <c r="I49" s="700"/>
      <c r="J49" s="1180"/>
      <c r="K49" s="862"/>
      <c r="L49" s="1180"/>
      <c r="M49" s="10"/>
      <c r="N49" s="10"/>
      <c r="O49" s="10"/>
      <c r="P49" s="851"/>
      <c r="Q49" s="10"/>
      <c r="R49" s="851"/>
      <c r="S49" s="850"/>
      <c r="T49" s="850"/>
    </row>
    <row r="50" spans="1:30" s="19" customFormat="1" ht="12.75" x14ac:dyDescent="0.2">
      <c r="A50" s="699"/>
      <c r="B50" s="852"/>
      <c r="C50" s="1179"/>
      <c r="D50" s="1180"/>
      <c r="E50" s="852"/>
      <c r="F50" s="1179"/>
      <c r="G50" s="1180"/>
      <c r="H50" s="1181"/>
      <c r="I50" s="700"/>
      <c r="J50" s="1180"/>
      <c r="K50" s="862"/>
      <c r="L50" s="1180"/>
      <c r="M50" s="10"/>
      <c r="N50" s="10"/>
      <c r="O50" s="10"/>
      <c r="P50" s="851"/>
      <c r="Q50" s="10"/>
      <c r="R50" s="851"/>
      <c r="S50" s="850"/>
      <c r="T50" s="850"/>
    </row>
    <row r="51" spans="1:30" s="19" customFormat="1" ht="12.75" x14ac:dyDescent="0.2">
      <c r="A51" s="699"/>
      <c r="B51" s="852"/>
      <c r="C51" s="1179"/>
      <c r="D51" s="1180"/>
      <c r="E51" s="852"/>
      <c r="F51" s="1179"/>
      <c r="G51" s="1180"/>
      <c r="H51" s="1181"/>
      <c r="I51" s="700"/>
      <c r="J51" s="1180"/>
      <c r="K51" s="862"/>
      <c r="L51" s="1180"/>
      <c r="M51" s="10"/>
      <c r="N51" s="10"/>
      <c r="O51" s="10"/>
      <c r="P51" s="851"/>
      <c r="Q51" s="10"/>
      <c r="R51" s="851"/>
      <c r="S51" s="850"/>
      <c r="T51" s="850"/>
    </row>
    <row r="52" spans="1:30" s="19" customFormat="1" ht="12.75" x14ac:dyDescent="0.2">
      <c r="A52" s="699"/>
      <c r="B52" s="852"/>
      <c r="C52" s="1179"/>
      <c r="D52" s="1180"/>
      <c r="E52" s="852"/>
      <c r="F52" s="1179"/>
      <c r="G52" s="1180"/>
      <c r="H52" s="1181"/>
      <c r="I52" s="700"/>
      <c r="J52" s="1180"/>
      <c r="K52" s="862"/>
      <c r="L52" s="1180"/>
      <c r="M52" s="10"/>
      <c r="N52" s="10"/>
      <c r="O52" s="10"/>
      <c r="P52" s="10"/>
      <c r="Q52" s="10"/>
      <c r="R52" s="10"/>
      <c r="S52" s="850"/>
      <c r="T52" s="850"/>
    </row>
    <row r="53" spans="1:30" s="19" customFormat="1" ht="12.75" x14ac:dyDescent="0.2">
      <c r="A53" s="699"/>
      <c r="B53" s="852"/>
      <c r="C53" s="1179"/>
      <c r="D53" s="1180"/>
      <c r="E53" s="852"/>
      <c r="F53" s="1179"/>
      <c r="G53" s="1180"/>
      <c r="H53" s="1181"/>
      <c r="I53" s="700"/>
      <c r="J53" s="1180"/>
      <c r="K53" s="862"/>
      <c r="L53" s="1180"/>
      <c r="M53" s="10"/>
      <c r="N53" s="10"/>
      <c r="O53" s="10"/>
      <c r="P53" s="10"/>
      <c r="Q53" s="10"/>
      <c r="R53" s="10"/>
      <c r="S53" s="850"/>
      <c r="T53" s="850"/>
    </row>
    <row r="54" spans="1:30" s="19" customFormat="1" ht="12.75" x14ac:dyDescent="0.2">
      <c r="A54" s="702"/>
      <c r="B54" s="854"/>
      <c r="C54" s="703"/>
      <c r="D54" s="1182"/>
      <c r="E54" s="854"/>
      <c r="F54" s="703"/>
      <c r="G54" s="1182"/>
      <c r="H54" s="1183"/>
      <c r="I54" s="703"/>
      <c r="J54" s="1182"/>
      <c r="K54" s="864"/>
      <c r="L54" s="1182"/>
      <c r="M54" s="10"/>
      <c r="N54" s="10"/>
      <c r="O54" s="10"/>
      <c r="P54" s="10"/>
      <c r="Q54" s="10"/>
      <c r="R54" s="10"/>
      <c r="S54" s="850"/>
      <c r="T54" s="850"/>
      <c r="AD54" s="30"/>
    </row>
    <row r="55" spans="1:30" s="19" customFormat="1" ht="12.75" x14ac:dyDescent="0.2">
      <c r="A55" s="1184"/>
      <c r="B55" s="700"/>
      <c r="C55" s="701"/>
      <c r="D55" s="698"/>
      <c r="E55" s="700"/>
      <c r="F55" s="700"/>
      <c r="G55" s="700"/>
      <c r="H55" s="701"/>
      <c r="I55" s="698"/>
      <c r="J55" s="700"/>
      <c r="K55" s="1185"/>
      <c r="L55" s="1185"/>
      <c r="M55" s="700"/>
      <c r="N55" s="1186"/>
      <c r="O55" s="10"/>
      <c r="P55" s="10"/>
      <c r="Q55" s="10"/>
      <c r="R55" s="10"/>
      <c r="S55" s="850"/>
      <c r="T55" s="850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8">
        <f>MIN(B$61:B$80)</f>
        <v>3.1333648515371775</v>
      </c>
      <c r="C57" s="368">
        <f t="shared" ref="C57:N57" si="10">MIN(C$61:C$80)</f>
        <v>4.1088723030338477</v>
      </c>
      <c r="D57" s="368">
        <f t="shared" si="10"/>
        <v>5.1055896791408335</v>
      </c>
      <c r="E57" s="368">
        <f t="shared" si="10"/>
        <v>5.8227171520785639</v>
      </c>
      <c r="F57" s="368">
        <f t="shared" si="10"/>
        <v>6.3725709125120877</v>
      </c>
      <c r="G57" s="368">
        <f t="shared" si="10"/>
        <v>6.263383580747746</v>
      </c>
      <c r="H57" s="368">
        <f t="shared" si="10"/>
        <v>5.9783482620441006</v>
      </c>
      <c r="I57" s="368">
        <f t="shared" si="10"/>
        <v>5.5827565179534373</v>
      </c>
      <c r="J57" s="368">
        <f t="shared" si="10"/>
        <v>5.044032203172133</v>
      </c>
      <c r="K57" s="368">
        <f t="shared" si="10"/>
        <v>4.1792421915253399</v>
      </c>
      <c r="L57" s="368">
        <f t="shared" si="10"/>
        <v>3.2174583082206123</v>
      </c>
      <c r="M57" s="368">
        <f t="shared" si="10"/>
        <v>2.740631876022543</v>
      </c>
      <c r="N57" s="368">
        <f t="shared" si="10"/>
        <v>4.8984713200118035</v>
      </c>
      <c r="P57" s="369"/>
      <c r="Q57" s="370"/>
      <c r="R57" s="369"/>
      <c r="S57" s="369"/>
      <c r="T57" s="369"/>
      <c r="U57" s="369"/>
      <c r="V57" s="369"/>
    </row>
    <row r="58" spans="1:30" s="10" customFormat="1" ht="11.25" x14ac:dyDescent="0.2">
      <c r="A58" s="75" t="s">
        <v>58</v>
      </c>
      <c r="B58" s="368">
        <f>AVERAGE(B$61:B$80)</f>
        <v>3.3015518217169415</v>
      </c>
      <c r="C58" s="368">
        <f t="shared" ref="C58:N58" si="11">AVERAGE(C$61:C$80)</f>
        <v>4.3339958416951028</v>
      </c>
      <c r="D58" s="368">
        <f t="shared" si="11"/>
        <v>5.3869501841176604</v>
      </c>
      <c r="E58" s="368">
        <f t="shared" si="11"/>
        <v>6.1465249157865758</v>
      </c>
      <c r="F58" s="368">
        <f t="shared" si="11"/>
        <v>6.5955554154008169</v>
      </c>
      <c r="G58" s="368">
        <f t="shared" si="11"/>
        <v>6.544047147268425</v>
      </c>
      <c r="H58" s="368">
        <f t="shared" si="11"/>
        <v>6.2664300125833021</v>
      </c>
      <c r="I58" s="368">
        <f t="shared" si="11"/>
        <v>5.8663147623719087</v>
      </c>
      <c r="J58" s="368">
        <f t="shared" si="11"/>
        <v>5.3159817704860641</v>
      </c>
      <c r="K58" s="368">
        <f t="shared" si="11"/>
        <v>4.4207368587925586</v>
      </c>
      <c r="L58" s="368">
        <f t="shared" si="11"/>
        <v>3.403929522594936</v>
      </c>
      <c r="M58" s="368">
        <f t="shared" si="11"/>
        <v>2.8816037100717997</v>
      </c>
      <c r="N58" s="368">
        <f t="shared" si="11"/>
        <v>5.0394705098360744</v>
      </c>
      <c r="P58" s="369"/>
      <c r="Q58" s="370"/>
      <c r="R58" s="369"/>
      <c r="S58" s="369"/>
      <c r="T58" s="369"/>
      <c r="U58" s="369"/>
      <c r="V58" s="369"/>
    </row>
    <row r="59" spans="1:30" s="10" customFormat="1" ht="11.25" x14ac:dyDescent="0.2">
      <c r="A59" s="75" t="s">
        <v>59</v>
      </c>
      <c r="B59" s="368">
        <f>MAX(B$61:B$80)</f>
        <v>3.4393534676244095</v>
      </c>
      <c r="C59" s="368">
        <f t="shared" ref="C59:N59" si="12">MAX(C$61:C$80)</f>
        <v>4.5155630601281125</v>
      </c>
      <c r="D59" s="368">
        <f t="shared" si="12"/>
        <v>5.6179110691763965</v>
      </c>
      <c r="E59" s="368">
        <f t="shared" si="12"/>
        <v>6.4166725734590591</v>
      </c>
      <c r="F59" s="368">
        <f t="shared" si="12"/>
        <v>6.7432068473219617</v>
      </c>
      <c r="G59" s="368">
        <f t="shared" si="12"/>
        <v>6.8214095666167216</v>
      </c>
      <c r="H59" s="368">
        <f t="shared" si="12"/>
        <v>6.535762587378958</v>
      </c>
      <c r="I59" s="368">
        <f t="shared" si="12"/>
        <v>6.1211763519909805</v>
      </c>
      <c r="J59" s="368">
        <f t="shared" si="12"/>
        <v>5.5495218254218619</v>
      </c>
      <c r="K59" s="368">
        <f t="shared" si="12"/>
        <v>4.6172298083790642</v>
      </c>
      <c r="L59" s="368">
        <f t="shared" si="12"/>
        <v>3.5559315949875443</v>
      </c>
      <c r="M59" s="368">
        <f t="shared" si="12"/>
        <v>3.0097158874840186</v>
      </c>
      <c r="N59" s="368">
        <f t="shared" si="12"/>
        <v>5.1729639460370214</v>
      </c>
      <c r="P59" s="369"/>
      <c r="Q59" s="370"/>
      <c r="R59" s="369"/>
      <c r="S59" s="369"/>
      <c r="T59" s="369"/>
      <c r="U59" s="369"/>
      <c r="V59" s="369"/>
    </row>
    <row r="60" spans="1:30" s="19" customFormat="1" ht="12.75" x14ac:dyDescent="0.2">
      <c r="A60" s="107" t="s">
        <v>52</v>
      </c>
      <c r="B60" s="343">
        <v>15</v>
      </c>
      <c r="C60" s="343">
        <v>46</v>
      </c>
      <c r="D60" s="343">
        <v>75</v>
      </c>
      <c r="E60" s="343">
        <v>106</v>
      </c>
      <c r="F60" s="343">
        <v>136</v>
      </c>
      <c r="G60" s="343">
        <v>167</v>
      </c>
      <c r="H60" s="343">
        <v>197</v>
      </c>
      <c r="I60" s="343">
        <v>228</v>
      </c>
      <c r="J60" s="343">
        <v>259</v>
      </c>
      <c r="K60" s="343">
        <v>289</v>
      </c>
      <c r="L60" s="343">
        <v>320</v>
      </c>
      <c r="M60" s="343">
        <v>350</v>
      </c>
      <c r="N60" s="343" t="s">
        <v>60</v>
      </c>
      <c r="O60" s="30"/>
      <c r="P60" s="149"/>
      <c r="Q60" s="342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'2019'!An</f>
        <v>2019</v>
      </c>
      <c r="B61" s="344"/>
      <c r="C61" s="344"/>
      <c r="D61" s="344"/>
      <c r="E61" s="345"/>
      <c r="F61" s="344"/>
      <c r="G61" s="344">
        <f>AVERAGE('2019'!$V$166:$V$195)/Pc</f>
        <v>6.8214095666167216</v>
      </c>
      <c r="H61" s="344">
        <f>AVERAGE('2019'!$V$196:$V$226)/Pc</f>
        <v>6.535762587378958</v>
      </c>
      <c r="I61" s="344">
        <f>AVERAGE('2019'!$V$227:$V$257)/Pc</f>
        <v>6.1211763519909805</v>
      </c>
      <c r="J61" s="346">
        <f>AVERAGE('2019'!$V$258:$V$287)/Pc</f>
        <v>5.5495218254218619</v>
      </c>
      <c r="K61" s="347">
        <f>AVERAGE('2019'!$V$288:$V$318)/Pc</f>
        <v>4.6172298083790642</v>
      </c>
      <c r="L61" s="344">
        <f>AVERAGE('2019'!$V$319:$V$348)/Pc</f>
        <v>3.5559315949875443</v>
      </c>
      <c r="M61" s="348">
        <f>AVERAGE('2019'!$V$349:$V$379)/Pc</f>
        <v>3.0097158874840186</v>
      </c>
      <c r="N61" s="352">
        <f t="shared" ref="N61:N66" si="13">AVERAGE(B61:M61)</f>
        <v>5.1729639460370214</v>
      </c>
      <c r="O61" s="30"/>
      <c r="P61" s="149"/>
      <c r="Q61" s="342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'2020'!An</f>
        <v>2020</v>
      </c>
      <c r="B62" s="349">
        <f>AVERAGE('2020'!$V$15:$V$45)/Pc</f>
        <v>3.4393534676244095</v>
      </c>
      <c r="C62" s="349">
        <f>AVERAGE('2020'!$V$46:$V$73)/Pc</f>
        <v>4.5155630601281125</v>
      </c>
      <c r="D62" s="349">
        <f>AVERAGE('2020'!$V$74:$V$104)/Pc</f>
        <v>5.6179110691763965</v>
      </c>
      <c r="E62" s="350">
        <f>AVERAGE('2020'!$V$105:$V$134)/Pc</f>
        <v>6.4166725734590591</v>
      </c>
      <c r="F62" s="349">
        <f>AVERAGE('2020'!$V$135:$V$165)/Pc</f>
        <v>6.6540579799225315</v>
      </c>
      <c r="G62" s="349">
        <f>AVERAGE('2020'!$V$166:$V$195)/Pc</f>
        <v>6.5789233259309601</v>
      </c>
      <c r="H62" s="349">
        <f>AVERAGE('2020'!$V$196:$V$226)/Pc</f>
        <v>6.3102335509772685</v>
      </c>
      <c r="I62" s="349">
        <f>AVERAGE('2020'!$V$227:$V$257)/Pc</f>
        <v>5.9177512628486557</v>
      </c>
      <c r="J62" s="347">
        <f>AVERAGE('2020'!$V$258:$V$287)/Pc</f>
        <v>5.372382675315448</v>
      </c>
      <c r="K62" s="347">
        <f>AVERAGE('2020'!$V$288:$V$318)/Pc</f>
        <v>4.4765761764614282</v>
      </c>
      <c r="L62" s="349">
        <f>AVERAGE('2020'!$V$319:$V$348)/Pc</f>
        <v>3.4531882776855909</v>
      </c>
      <c r="M62" s="351">
        <f>AVERAGE('2020'!$V$349:$V$379)/Pc</f>
        <v>2.9265294303424598</v>
      </c>
      <c r="N62" s="353">
        <f t="shared" si="13"/>
        <v>5.1399285708226934</v>
      </c>
      <c r="O62" s="30"/>
      <c r="P62" s="149"/>
      <c r="Q62" s="342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'2021'!An</f>
        <v>2021</v>
      </c>
      <c r="B63" s="349">
        <f>AVERAGE('2021'!$V$15:$V$45)/Pc</f>
        <v>3.347425411413079</v>
      </c>
      <c r="C63" s="349">
        <f>AVERAGE('2021'!$V$46:$V$74)/Pc</f>
        <v>4.4044117655585797</v>
      </c>
      <c r="D63" s="349">
        <f>AVERAGE('2021'!$V$75:$V$105)/Pc</f>
        <v>5.4631409735227612</v>
      </c>
      <c r="E63" s="350">
        <f>AVERAGE('2021'!$V$106:$V$135)/Pc</f>
        <v>6.1882538374492242</v>
      </c>
      <c r="F63" s="349">
        <f>AVERAGE('2021'!$V$136:$V$166)/Pc</f>
        <v>6.3725709125120877</v>
      </c>
      <c r="G63" s="349">
        <f>AVERAGE('2021'!$V$167:$V$196)/Pc</f>
        <v>6.263383580747746</v>
      </c>
      <c r="H63" s="349">
        <f>AVERAGE('2021'!$V$197:$V$227)/Pc</f>
        <v>5.9783482620441006</v>
      </c>
      <c r="I63" s="349">
        <f>AVERAGE('2021'!$V$228:$V$258)/Pc</f>
        <v>5.5827565179534373</v>
      </c>
      <c r="J63" s="347">
        <f>AVERAGE('2021'!$V$259:$V$288)/Pc</f>
        <v>5.044032203172133</v>
      </c>
      <c r="K63" s="347">
        <f>AVERAGE('2021'!$V$289:$V$319)/Pc</f>
        <v>4.1792421915253399</v>
      </c>
      <c r="L63" s="349">
        <f>AVERAGE('2021'!$V$320:$V$349)/Pc</f>
        <v>3.2174583082206123</v>
      </c>
      <c r="M63" s="351">
        <f>AVERAGE('2021'!$V$350:$V$380)/Pc</f>
        <v>2.740631876022543</v>
      </c>
      <c r="N63" s="354">
        <f t="shared" si="13"/>
        <v>4.8984713200118035</v>
      </c>
      <c r="O63" s="30"/>
      <c r="P63" s="149"/>
      <c r="Q63" s="342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'2022'!An</f>
        <v>2022</v>
      </c>
      <c r="B64" s="349">
        <f>AVERAGE('2022'!$V$15:$V$45)/Pc</f>
        <v>3.1333648515371775</v>
      </c>
      <c r="C64" s="349">
        <f>AVERAGE('2022'!$V$46:$V$73)/Pc</f>
        <v>4.1088723030338477</v>
      </c>
      <c r="D64" s="349">
        <f>AVERAGE('2022'!$V$74:$V$104)/Pc</f>
        <v>5.1055896791408335</v>
      </c>
      <c r="E64" s="350">
        <f>AVERAGE('2022'!$V$105:$V$134)/Pc</f>
        <v>5.8227171520785639</v>
      </c>
      <c r="F64" s="349">
        <f>AVERAGE('2022'!$V$135:$V$165)/Pc</f>
        <v>6.7432068473219617</v>
      </c>
      <c r="G64" s="349">
        <f>AVERAGE('2022'!$V$166:$V$195)/Pc</f>
        <v>6.6890884954373337</v>
      </c>
      <c r="H64" s="349">
        <f>AVERAGE('2022'!$V$196:$V$226)/Pc</f>
        <v>6.4125796311835455</v>
      </c>
      <c r="I64" s="349">
        <f>AVERAGE('2022'!$V$227:$V$257)/Pc</f>
        <v>6.0090884086791121</v>
      </c>
      <c r="J64" s="347">
        <f>AVERAGE('2022'!$V$258:$V$287)/Pc</f>
        <v>5.450636750979803</v>
      </c>
      <c r="K64" s="347">
        <f>AVERAGE('2022'!$V$288:$V$318)/Pc</f>
        <v>4.5369654163612063</v>
      </c>
      <c r="L64" s="349">
        <f>AVERAGE('2022'!$V$319:$V$348)/Pc</f>
        <v>3.495067341341811</v>
      </c>
      <c r="M64" s="351">
        <f>AVERAGE('2022'!$V$349:$V$379)/Pc</f>
        <v>2.9581037863221691</v>
      </c>
      <c r="N64" s="353">
        <f t="shared" si="13"/>
        <v>5.0387733886181136</v>
      </c>
      <c r="O64" s="30"/>
      <c r="P64" s="149"/>
      <c r="Q64" s="342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140">
        <f>'2023'!An</f>
        <v>2023</v>
      </c>
      <c r="B65" s="349">
        <f>AVERAGE('2023'!$V$15:$V$45)/Pc</f>
        <v>3.3821082234297886</v>
      </c>
      <c r="C65" s="349">
        <f>AVERAGE('2023'!$V$46:$V$73)/Pc</f>
        <v>4.4411326818160948</v>
      </c>
      <c r="D65" s="349">
        <f>AVERAGE('2023'!$V$74:$V$104)/Pc</f>
        <v>5.5248273615253005</v>
      </c>
      <c r="E65" s="350">
        <f>AVERAGE('2023'!$V$105:$V$134)/Pc</f>
        <v>6.3156784732175923</v>
      </c>
      <c r="F65" s="349">
        <f>AVERAGE('2023'!$V$135:$V$165)/Pc</f>
        <v>6.7140956215336569</v>
      </c>
      <c r="G65" s="349">
        <f>AVERAGE('2023'!$V$166:$V$195)/Pc</f>
        <v>6.6288804612357071</v>
      </c>
      <c r="H65" s="349">
        <f>AVERAGE('2023'!$V$196:$V$226)/Pc</f>
        <v>6.3473174705565079</v>
      </c>
      <c r="I65" s="349">
        <f>AVERAGE('2023'!$V$227:$V$257)/Pc</f>
        <v>5.9411551048186189</v>
      </c>
      <c r="J65" s="347">
        <f>AVERAGE('2023'!$V$258:$V$287)/Pc</f>
        <v>5.3833358970113165</v>
      </c>
      <c r="K65" s="347">
        <f>AVERAGE('2023'!$V$288:$V$318)/Pc</f>
        <v>4.4767043921608209</v>
      </c>
      <c r="L65" s="349">
        <f>AVERAGE('2023'!$V$319:$V$348)/Pc</f>
        <v>3.4455566505242787</v>
      </c>
      <c r="M65" s="351">
        <f>AVERAGE('2023'!$V$349:$V$379)/Pc</f>
        <v>2.9132109126976573</v>
      </c>
      <c r="N65" s="353">
        <f t="shared" si="13"/>
        <v>5.1261669375439451</v>
      </c>
      <c r="O65" s="30"/>
      <c r="P65" s="149"/>
      <c r="Q65" s="342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4">
        <v>2023</v>
      </c>
      <c r="B66" s="545">
        <f>AVERAGE('2024'!$V$15:$V$45)/Pc</f>
        <v>3.3283569621026885</v>
      </c>
      <c r="C66" s="545">
        <f>AVERAGE('2024'!$V$46:$V$73)/Pc</f>
        <v>4.367717042782215</v>
      </c>
      <c r="D66" s="545">
        <f>AVERAGE('2024'!$V$74:$V$104)/Pc</f>
        <v>5.4294511872659585</v>
      </c>
      <c r="E66" s="547">
        <f>AVERAGE('2024'!$V$105:$V$134)/Pc</f>
        <v>6.1960644195909591</v>
      </c>
      <c r="F66" s="545">
        <f>AVERAGE('2024'!$V$135:$V$165)/Pc</f>
        <v>6.6681243405285775</v>
      </c>
      <c r="G66" s="545">
        <f>AVERAGE('2024'!$V$166:$V$195)/Pc</f>
        <v>6.5834830241717697</v>
      </c>
      <c r="H66" s="545">
        <f>AVERAGE('2024'!$V$196:$V$226)/Pc</f>
        <v>6.3038309843719214</v>
      </c>
      <c r="I66" s="545">
        <f>AVERAGE('2024'!$V$227:$V$257)/Pc</f>
        <v>5.9004282082641764</v>
      </c>
      <c r="J66" s="545">
        <f>AVERAGE('2024'!$V$258:$V$287)/Pc</f>
        <v>5.3463895468661553</v>
      </c>
      <c r="K66" s="545">
        <f>AVERAGE('2024'!$V$288:$V$318)/Pc</f>
        <v>4.4459035796335504</v>
      </c>
      <c r="L66" s="545">
        <f>AVERAGE('2024'!$V$319:$V$348)/Pc</f>
        <v>3.4214130289116529</v>
      </c>
      <c r="M66" s="546">
        <f>AVERAGE('2024'!$V$349:$V$379)/Pc</f>
        <v>2.8921062945670721</v>
      </c>
      <c r="N66" s="552">
        <f t="shared" si="13"/>
        <v>5.0736057182547247</v>
      </c>
      <c r="O66" s="30"/>
      <c r="P66" s="149"/>
      <c r="Q66" s="342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4">
        <v>2024</v>
      </c>
      <c r="B67" s="545">
        <f>AVERAGE('2025'!$V$15:$V$45)/Pc</f>
        <v>3.3043860937891725</v>
      </c>
      <c r="C67" s="545">
        <f>AVERAGE('2025'!$V$46:$V$73)/Pc</f>
        <v>4.3371016059165308</v>
      </c>
      <c r="D67" s="545">
        <f>AVERAGE('2025'!$V$74:$V$104)/Pc</f>
        <v>5.3914786715206118</v>
      </c>
      <c r="E67" s="547">
        <f>AVERAGE('2025'!$V$105:$V$134)/Pc</f>
        <v>6.1609512660559282</v>
      </c>
      <c r="F67" s="545">
        <f>AVERAGE('2025'!$V$135:$V$165)/Pc</f>
        <v>6.6206897614240434</v>
      </c>
      <c r="G67" s="545">
        <f>AVERAGE('2025'!$V$166:$V$195)/Pc</f>
        <v>6.5366601063364236</v>
      </c>
      <c r="H67" s="545">
        <f>AVERAGE('2025'!$V$196:$V$226)/Pc</f>
        <v>6.259014193220894</v>
      </c>
      <c r="I67" s="545">
        <f>AVERAGE('2025'!$V$227:$V$257)/Pc</f>
        <v>5.8585002602429217</v>
      </c>
      <c r="J67" s="545">
        <f>AVERAGE('2025'!$V$258:$V$287)/Pc</f>
        <v>5.308397897728744</v>
      </c>
      <c r="K67" s="545">
        <f>AVERAGE('2025'!$V$288:$V$318)/Pc</f>
        <v>4.4142762296152744</v>
      </c>
      <c r="L67" s="545">
        <f>AVERAGE('2025'!$V$319:$V$348)/Pc</f>
        <v>3.3966759533062847</v>
      </c>
      <c r="M67" s="546">
        <f>AVERAGE('2025'!$V$349:$V$379)/Pc</f>
        <v>2.870535208346225</v>
      </c>
      <c r="N67" s="552">
        <f>AVERAGE(B67:M67)</f>
        <v>5.0382222706252549</v>
      </c>
      <c r="O67" s="30"/>
      <c r="P67" s="149"/>
      <c r="Q67" s="342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4">
        <v>2025</v>
      </c>
      <c r="B68" s="545">
        <f>AVERAGE('2026'!$V$15:$V$45)/Pc</f>
        <v>3.2806503440882775</v>
      </c>
      <c r="C68" s="545">
        <f>AVERAGE('2026'!$V$46:$V$73)/Pc</f>
        <v>4.306783090424978</v>
      </c>
      <c r="D68" s="545">
        <f>AVERAGE('2026'!$V$74:$V$104)/Pc</f>
        <v>5.3538765665689372</v>
      </c>
      <c r="E68" s="547">
        <f>AVERAGE('2026'!$V$105:$V$134)/Pc</f>
        <v>6.1180229264239721</v>
      </c>
      <c r="F68" s="545">
        <f>AVERAGE('2026'!$V$135:$V$165)/Pc</f>
        <v>6.5745382622797477</v>
      </c>
      <c r="G68" s="545">
        <f>AVERAGE('2026'!$V$166:$V$195)/Pc</f>
        <v>6.4910943610477858</v>
      </c>
      <c r="H68" s="545">
        <f>AVERAGE('2026'!$V$196:$V$226)/Pc</f>
        <v>6.2153838618518469</v>
      </c>
      <c r="I68" s="545">
        <f>AVERAGE('2026'!$V$227:$V$257)/Pc</f>
        <v>5.817667740437809</v>
      </c>
      <c r="J68" s="545">
        <f>AVERAGE('2026'!$V$258:$V$287)/Pc</f>
        <v>5.2715269753081317</v>
      </c>
      <c r="K68" s="545">
        <f>AVERAGE('2026'!$V$288:$V$318)/Pc</f>
        <v>4.3838707502629308</v>
      </c>
      <c r="L68" s="545">
        <f>AVERAGE('2026'!$V$319:$V$348)/Pc</f>
        <v>3.374844751238085</v>
      </c>
      <c r="M68" s="546">
        <f>AVERAGE('2026'!$V$349:$V$379)/Pc</f>
        <v>2.8553321387568955</v>
      </c>
      <c r="N68" s="552">
        <f>AVERAGE(B68:M68)</f>
        <v>5.0036326473907833</v>
      </c>
      <c r="O68" s="30"/>
      <c r="P68" s="149"/>
      <c r="Q68" s="342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4">
        <v>2026</v>
      </c>
      <c r="B69" s="545">
        <f>AVERAGE('2027'!$V$15:$V$45)/Pc</f>
        <v>3.2606511179193158</v>
      </c>
      <c r="C69" s="545">
        <f>AVERAGE('2027'!$V$46:$V$73)/Pc</f>
        <v>4.2771159585682419</v>
      </c>
      <c r="D69" s="545">
        <f>AVERAGE('2027'!$V$74:$V$104)/Pc</f>
        <v>5.3166786264371702</v>
      </c>
      <c r="E69" s="547">
        <f>AVERAGE('2027'!$V$105:$V$134)/Pc</f>
        <v>6.0753731139341962</v>
      </c>
      <c r="F69" s="545">
        <f>AVERAGE('2027'!$V$135:$V$165)/Pc</f>
        <v>6.5287084759705154</v>
      </c>
      <c r="G69" s="545">
        <f>AVERAGE('2027'!$V$166:$V$195)/Pc</f>
        <v>6.4458462454216852</v>
      </c>
      <c r="H69" s="545">
        <f>AVERAGE('2027'!$V$196:$V$226)/Pc</f>
        <v>6.1720576687634638</v>
      </c>
      <c r="I69" s="545">
        <f>AVERAGE('2027'!$V$227:$V$257)/Pc</f>
        <v>5.7771130337734817</v>
      </c>
      <c r="J69" s="545">
        <f>AVERAGE('2027'!$V$258:$V$287)/Pc</f>
        <v>5.2347595742384847</v>
      </c>
      <c r="K69" s="545">
        <f>AVERAGE('2027'!$V$288:$V$318)/Pc</f>
        <v>4.3532636380013336</v>
      </c>
      <c r="L69" s="545">
        <f>AVERAGE('2027'!$V$319:$V$348)/Pc</f>
        <v>3.3511671102035487</v>
      </c>
      <c r="M69" s="546">
        <f>AVERAGE('2027'!$V$349:$V$379)/Pc</f>
        <v>2.8349308595360543</v>
      </c>
      <c r="N69" s="552">
        <f>AVERAGE(B69:M69)</f>
        <v>4.9689721185639568</v>
      </c>
      <c r="O69" s="30"/>
      <c r="P69" s="149"/>
      <c r="Q69" s="342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4">
        <v>2027</v>
      </c>
      <c r="B70" s="545">
        <f>AVERAGE('2028'!$V$15:$V$45)/Pc</f>
        <v>3.237669923548566</v>
      </c>
      <c r="C70" s="545">
        <f>AVERAGE('2028'!$V$46:$V$73)/Pc</f>
        <v>4.247265067027322</v>
      </c>
      <c r="D70" s="545">
        <f>AVERAGE('2028'!$V$74:$V$104)/Pc</f>
        <v>5.2795975219009765</v>
      </c>
      <c r="E70" s="547">
        <f>AVERAGE('2028'!$V$105:$V$134)/Pc</f>
        <v>6.0249904798696754</v>
      </c>
      <c r="F70" s="545">
        <f>AVERAGE('2028'!$V$135:$V$165)/Pc</f>
        <v>6.484006537114225</v>
      </c>
      <c r="G70" s="545">
        <f>AVERAGE('2028'!$V$166:$V$195)/Pc</f>
        <v>6.401702305738123</v>
      </c>
      <c r="H70" s="545">
        <f>AVERAGE('2028'!$V$196:$V$226)/Pc</f>
        <v>6.1297719154845094</v>
      </c>
      <c r="I70" s="545">
        <f>AVERAGE('2028'!$V$227:$V$257)/Pc</f>
        <v>5.7375107347098995</v>
      </c>
      <c r="J70" s="545">
        <f>AVERAGE('2028'!$V$258:$V$287)/Pc</f>
        <v>5.1988343588185577</v>
      </c>
      <c r="K70" s="545">
        <f>AVERAGE('2028'!$V$288:$V$318)/Pc</f>
        <v>4.3233364055246426</v>
      </c>
      <c r="L70" s="545">
        <f>AVERAGE('2028'!$V$319:$V$348)/Pc</f>
        <v>3.3279922095299552</v>
      </c>
      <c r="M70" s="546">
        <f>AVERAGE('2028'!$V$349:$V$379)/Pc</f>
        <v>2.8149407066429006</v>
      </c>
      <c r="N70" s="552">
        <f>AVERAGE(B70:M70)</f>
        <v>4.933968180492446</v>
      </c>
      <c r="O70" s="30"/>
      <c r="P70" s="149"/>
      <c r="Q70" s="342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4"/>
      <c r="B71" s="545"/>
      <c r="C71" s="545"/>
      <c r="D71" s="545"/>
      <c r="E71" s="547"/>
      <c r="F71" s="545"/>
      <c r="G71" s="545"/>
      <c r="H71" s="545"/>
      <c r="I71" s="545"/>
      <c r="J71" s="545"/>
      <c r="K71" s="545"/>
      <c r="L71" s="545"/>
      <c r="M71" s="546"/>
      <c r="N71" s="552"/>
      <c r="O71" s="30"/>
      <c r="P71" s="149"/>
      <c r="Q71" s="342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4"/>
      <c r="B72" s="545"/>
      <c r="C72" s="545"/>
      <c r="D72" s="545"/>
      <c r="E72" s="547"/>
      <c r="F72" s="545"/>
      <c r="G72" s="545"/>
      <c r="H72" s="545"/>
      <c r="I72" s="545"/>
      <c r="J72" s="545"/>
      <c r="K72" s="545"/>
      <c r="L72" s="545"/>
      <c r="M72" s="546"/>
      <c r="N72" s="552"/>
      <c r="O72" s="30"/>
      <c r="P72" s="149"/>
      <c r="Q72" s="342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4"/>
      <c r="B73" s="545"/>
      <c r="C73" s="545"/>
      <c r="D73" s="545"/>
      <c r="E73" s="547"/>
      <c r="F73" s="545"/>
      <c r="G73" s="545"/>
      <c r="H73" s="545"/>
      <c r="I73" s="545"/>
      <c r="J73" s="545"/>
      <c r="K73" s="545"/>
      <c r="L73" s="545"/>
      <c r="M73" s="546"/>
      <c r="N73" s="552"/>
      <c r="O73" s="30"/>
      <c r="P73" s="149"/>
      <c r="Q73" s="342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4"/>
      <c r="B74" s="545"/>
      <c r="C74" s="545"/>
      <c r="D74" s="545"/>
      <c r="E74" s="547"/>
      <c r="F74" s="545"/>
      <c r="G74" s="545"/>
      <c r="H74" s="545"/>
      <c r="I74" s="545"/>
      <c r="J74" s="545"/>
      <c r="K74" s="545"/>
      <c r="L74" s="545"/>
      <c r="M74" s="546"/>
      <c r="N74" s="552"/>
      <c r="O74" s="30"/>
      <c r="P74" s="149"/>
      <c r="Q74" s="342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4"/>
      <c r="B75" s="545"/>
      <c r="C75" s="545"/>
      <c r="D75" s="545"/>
      <c r="E75" s="547"/>
      <c r="F75" s="545"/>
      <c r="G75" s="545"/>
      <c r="H75" s="545"/>
      <c r="I75" s="545"/>
      <c r="J75" s="545"/>
      <c r="K75" s="545"/>
      <c r="L75" s="545"/>
      <c r="M75" s="546"/>
      <c r="N75" s="552"/>
      <c r="O75" s="30"/>
      <c r="P75" s="149"/>
      <c r="Q75" s="342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4"/>
      <c r="B76" s="545"/>
      <c r="C76" s="545"/>
      <c r="D76" s="545"/>
      <c r="E76" s="547"/>
      <c r="F76" s="545"/>
      <c r="G76" s="545"/>
      <c r="H76" s="545"/>
      <c r="I76" s="545"/>
      <c r="J76" s="545"/>
      <c r="K76" s="545"/>
      <c r="L76" s="545"/>
      <c r="M76" s="546"/>
      <c r="N76" s="552"/>
      <c r="O76" s="30"/>
      <c r="P76" s="149"/>
      <c r="Q76" s="342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4"/>
      <c r="B77" s="545"/>
      <c r="C77" s="545"/>
      <c r="D77" s="545"/>
      <c r="E77" s="547"/>
      <c r="F77" s="545"/>
      <c r="G77" s="545"/>
      <c r="H77" s="545"/>
      <c r="I77" s="545"/>
      <c r="J77" s="545"/>
      <c r="K77" s="545"/>
      <c r="L77" s="545"/>
      <c r="M77" s="546"/>
      <c r="N77" s="552"/>
      <c r="O77" s="30"/>
      <c r="P77" s="149"/>
      <c r="Q77" s="342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4"/>
      <c r="B78" s="545"/>
      <c r="C78" s="545"/>
      <c r="D78" s="545"/>
      <c r="E78" s="547"/>
      <c r="F78" s="545"/>
      <c r="G78" s="545"/>
      <c r="H78" s="545"/>
      <c r="I78" s="545"/>
      <c r="J78" s="545"/>
      <c r="K78" s="545"/>
      <c r="L78" s="545"/>
      <c r="M78" s="546"/>
      <c r="N78" s="552"/>
      <c r="O78" s="30"/>
      <c r="P78" s="149"/>
      <c r="Q78" s="342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4"/>
      <c r="B79" s="545"/>
      <c r="C79" s="545"/>
      <c r="D79" s="545"/>
      <c r="E79" s="547"/>
      <c r="F79" s="545"/>
      <c r="G79" s="545"/>
      <c r="H79" s="545"/>
      <c r="I79" s="545"/>
      <c r="J79" s="545"/>
      <c r="K79" s="545"/>
      <c r="L79" s="545"/>
      <c r="M79" s="546"/>
      <c r="N79" s="552"/>
      <c r="O79" s="30"/>
      <c r="P79" s="149"/>
      <c r="Q79" s="342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48"/>
      <c r="B80" s="549"/>
      <c r="C80" s="549"/>
      <c r="D80" s="549"/>
      <c r="E80" s="550"/>
      <c r="F80" s="549"/>
      <c r="G80" s="549"/>
      <c r="H80" s="549"/>
      <c r="I80" s="549"/>
      <c r="J80" s="549"/>
      <c r="K80" s="549"/>
      <c r="L80" s="549"/>
      <c r="M80" s="551"/>
      <c r="N80" s="553"/>
      <c r="O80" s="30"/>
      <c r="P80" s="149"/>
      <c r="Q80" s="342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K7:L7"/>
    <mergeCell ref="C5:D5"/>
    <mergeCell ref="C2:D2"/>
    <mergeCell ref="C3:H3"/>
    <mergeCell ref="C4:D4"/>
  </mergeCells>
  <conditionalFormatting sqref="M12:M30">
    <cfRule type="expression" dxfId="51" priority="7" stopIfTrue="1">
      <formula>K12&lt;&gt;""</formula>
    </cfRule>
  </conditionalFormatting>
  <conditionalFormatting sqref="N12:N30">
    <cfRule type="expression" dxfId="50" priority="6" stopIfTrue="1">
      <formula>$L12&lt;&gt;""</formula>
    </cfRule>
  </conditionalFormatting>
  <conditionalFormatting sqref="M55">
    <cfRule type="expression" dxfId="49" priority="5" stopIfTrue="1">
      <formula>K55&lt;&gt;""</formula>
    </cfRule>
  </conditionalFormatting>
  <conditionalFormatting sqref="N55">
    <cfRule type="expression" dxfId="48" priority="4" stopIfTrue="1">
      <formula>$L55&lt;&gt;""</formula>
    </cfRule>
  </conditionalFormatting>
  <conditionalFormatting sqref="L45:L54 L35:L42">
    <cfRule type="expression" dxfId="47" priority="3" stopIfTrue="1">
      <formula>K35&lt;&gt;""</formula>
    </cfRule>
  </conditionalFormatting>
  <conditionalFormatting sqref="L43">
    <cfRule type="expression" dxfId="46" priority="2" stopIfTrue="1">
      <formula>K43&lt;&gt;""</formula>
    </cfRule>
  </conditionalFormatting>
  <conditionalFormatting sqref="L44">
    <cfRule type="expression" dxfId="45" priority="1" stopIfTrue="1">
      <formula>K44&lt;&gt;""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7">
        <f>'2023'!An+1</f>
        <v>2024</v>
      </c>
      <c r="K1" s="1278"/>
      <c r="L1" s="113" t="str">
        <f>"Calcul pertes et enveloppes en "&amp;TEXT(An,0)</f>
        <v>Calcul pertes et enveloppes en 2024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2024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7">
        <f>Tmaj</f>
        <v>44947</v>
      </c>
      <c r="F3" s="1287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55.309878350749614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0" t="str">
        <f>Station</f>
        <v>Esp. Berjean Escalquens</v>
      </c>
      <c r="F4" s="1221"/>
      <c r="G4" s="1221"/>
      <c r="H4" s="1221"/>
      <c r="I4" s="1222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299.79586714869282</v>
      </c>
      <c r="AK4" s="822">
        <f>AM12-AK12</f>
        <v>-1.9956268206066885E-2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88">
        <f>T0</f>
        <v>43496</v>
      </c>
      <c r="F5" s="1288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355.21273202749398</v>
      </c>
      <c r="AA5" s="236">
        <f>Wh_Pvg_s-Wh_Pvg</f>
        <v>-1.9956268206066885E-2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2951.8507883980565</v>
      </c>
      <c r="AK5" s="514">
        <f>SUMIF(AK15:AK380,"VRAI",Wh)</f>
        <v>0</v>
      </c>
      <c r="AL5" s="514">
        <f>SUMIF(AJ15:AJ380,"VRAI",Wh_s)</f>
        <v>2896.5397431621122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89">
        <f>Tservice</f>
        <v>43535</v>
      </c>
      <c r="F6" s="1289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8595.2843087427536</v>
      </c>
      <c r="AK6" s="514">
        <f>SUMIF(AK15:AK380,"FAUX",Wh)</f>
        <v>11547.135097140801</v>
      </c>
      <c r="AL6" s="514">
        <f>SUMIF(AJ15:AJ380,"FAUX",Wh_s)</f>
        <v>8295.4635248290124</v>
      </c>
      <c r="AM6" s="514">
        <f>SUMIF(AK15:AK380,"FAUX",Wh_s)</f>
        <v>11192.003267991135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AND(YEAR(Tnet)=An,Resal_2024="I")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3059.3002931329488</v>
      </c>
      <c r="AK7" s="514">
        <f>SUMIF(AK15:AK380,"VRAI",Wh_sa)</f>
        <v>0</v>
      </c>
      <c r="AL7" s="514">
        <f>SUMIF(AJ15:AJ380,"VRAI",Wh_pvt_s)</f>
        <v>3001.9770231295015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AND(YEAR(Tnet)=An,Resal_2024&lt;&gt;"I")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5" t="s">
        <v>102</v>
      </c>
      <c r="Y8" s="1276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8933.5780112304146</v>
      </c>
      <c r="AK8" s="514">
        <f>SUMIF(AK15:AK380,"FAUX",Wh_sa)</f>
        <v>12316.993149943453</v>
      </c>
      <c r="AL8" s="514">
        <f>SUMIF(AJ15:AJ380,"FAUX",Wh_pvt_s)</f>
        <v>8621.9813336943607</v>
      </c>
      <c r="AM8" s="514">
        <f>SUMIF(AK15:AK380,"FAUX",Wh_sa_s)</f>
        <v>12316.993149943453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11992.878304363358</v>
      </c>
      <c r="E9" s="184">
        <f>SUM(E$15:E$380)</f>
        <v>12316.993149943453</v>
      </c>
      <c r="F9" s="184">
        <f>SUM(F$15:F$380)</f>
        <v>12317.685290716588</v>
      </c>
      <c r="H9" s="1279">
        <f>+SUM(Wh)</f>
        <v>11547.135097140801</v>
      </c>
      <c r="I9" s="1280"/>
      <c r="J9" s="1281"/>
      <c r="K9" s="191"/>
      <c r="L9" s="231"/>
      <c r="M9" s="231"/>
      <c r="N9" s="231"/>
      <c r="O9" s="222">
        <f>Tnet_2024</f>
        <v>45412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3">
        <f>+SUM(Wh_s)</f>
        <v>11192.003267991135</v>
      </c>
      <c r="Y9" s="1274"/>
      <c r="Z9" s="514">
        <f>SUM(Z$15:Z$380)</f>
        <v>11623.958356823858</v>
      </c>
      <c r="AA9" s="514">
        <f>SUM(AA$15:AA$380)</f>
        <v>12316.993149943453</v>
      </c>
      <c r="AB9" s="514">
        <f>F9</f>
        <v>12317.685290716588</v>
      </c>
      <c r="AC9" s="324">
        <f>IF(An_Tnet,Tnet,'2023'!Tnet_s)</f>
        <v>45412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3192.175646514544</v>
      </c>
      <c r="AK9" s="514">
        <f>SUMIF(AK15:AK380,"VRAI",Wh_hp)</f>
        <v>0</v>
      </c>
      <c r="AL9" s="514">
        <f>SUMIF(AJ15:AJ380,"VRAI",Wh_sa_s)</f>
        <v>3192.175646514544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IF(Inflex,'2023'!Resal+('2023'!Salim-'2023'!Resal)*(1-EXP(-(Tnet-'2023'!Tnet)/('2023'!Tau_j))),IF(An_Tnet,Resal_2024,'2023'!Resal))</f>
        <v>8.9999999999999993E-3</v>
      </c>
      <c r="P10" s="419" t="b">
        <f>NOT(Acti_tai)</f>
        <v>1</v>
      </c>
      <c r="Q10" s="256">
        <f>IF(Acti_tai,'2023'!PousD,Dens-Dd)</f>
        <v>0</v>
      </c>
      <c r="R10" s="273"/>
      <c r="S10" s="274"/>
      <c r="T10" s="275"/>
      <c r="U10" s="265">
        <f>IF(Acti_tai,'2023'!PousH,Hdtf-Hdd)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IF(OR(Inflex,GainD),'2023'!Resal_s+('2023'!Salim-'2023'!Resal_s)*(1-EXP(('2023'!Tnet_s-Tnet)/('2023'!Tau_j))),IF(Acti_net,'2023'!Resal+('2023'!Salim-'2023'!Resal)*(1-EXP(('2023'!Tnet-Tnet)/'2023'!Tau_j)),'2023'!Resal_s))</f>
        <v>4.57694046414572E-2</v>
      </c>
      <c r="AD10" s="426"/>
      <c r="AE10" s="426"/>
      <c r="AF10" s="259"/>
      <c r="AG10" s="260"/>
      <c r="AH10" s="261"/>
      <c r="AI10" s="471"/>
      <c r="AJ10" s="514">
        <f>SUMIF(AJ15:AJ380,"FAUX",Wh_sa)</f>
        <v>9124.8175034289106</v>
      </c>
      <c r="AK10" s="514">
        <f>SUMIF(AK15:AK380,"FAUX",Wh_hp)</f>
        <v>12317.685290716588</v>
      </c>
      <c r="AL10" s="514">
        <f>SUMIF(AJ15:AJ380,"FAUX",Wh_sa_s)</f>
        <v>9124.8175034289106</v>
      </c>
      <c r="AM10" s="514">
        <f>SUMIF(AK15:AK380,"FAUX",Wh_hp)</f>
        <v>12317.685290716588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445.74320722255652</v>
      </c>
      <c r="E11" s="51">
        <f>(E$9-D$9)*Prod_an/D$9</f>
        <v>312.06836373388603</v>
      </c>
      <c r="F11" s="186">
        <f>(F$9-E$9)*Prod_an/E$9</f>
        <v>0.64887939096305236</v>
      </c>
      <c r="G11" s="185" t="s">
        <v>6</v>
      </c>
      <c r="K11" s="194"/>
      <c r="L11" s="211">
        <f>Tvie_2024</f>
        <v>43496</v>
      </c>
      <c r="M11" s="831"/>
      <c r="N11" s="831"/>
      <c r="O11" s="202">
        <f>IF(An_Tnet,Salim_2024,'2023'!Salim)</f>
        <v>0.11666666666666665</v>
      </c>
      <c r="P11" s="255">
        <f>Ttai_2024</f>
        <v>43466</v>
      </c>
      <c r="Q11" s="271">
        <f>Dens_2024</f>
        <v>0.6</v>
      </c>
      <c r="R11" s="276"/>
      <c r="S11" s="229"/>
      <c r="T11" s="229"/>
      <c r="U11" s="265">
        <f>Htf_2024</f>
        <v>1.499112150127309</v>
      </c>
      <c r="V11" s="426"/>
      <c r="W11" s="517"/>
      <c r="X11" s="524" t="s">
        <v>43</v>
      </c>
      <c r="Y11" s="50">
        <f>Z$9-Prod_an_s</f>
        <v>431.95508883272305</v>
      </c>
      <c r="Z11" s="51">
        <f>(AA$9-Z$9)*Prod_an_s/Z$9</f>
        <v>667.28109576138002</v>
      </c>
      <c r="AA11" s="186">
        <f>(AB$9-AA$9)*Prod_an_s/AA$9</f>
        <v>0.62892312275698548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128.20847221782915</v>
      </c>
      <c r="AK11" s="822">
        <f>IF($AK7=0,0,($AK9-$AK7)*$AK5/$AK7)</f>
        <v>0</v>
      </c>
      <c r="AL11" s="821">
        <f>IF($AL7=0,0,($AL9-$AL7)*$AL5/$AL7)</f>
        <v>183.51835056857877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4.7879837042308138E-2</v>
      </c>
      <c r="K12" s="191"/>
      <c r="L12" s="212">
        <f>Pspv_2024</f>
        <v>0</v>
      </c>
      <c r="M12" s="212"/>
      <c r="N12" s="212"/>
      <c r="O12" s="205">
        <f>IF(An_Tnet,Tau_2024*365,'2023'!Tau_j)</f>
        <v>876</v>
      </c>
      <c r="P12" s="280">
        <f>INDEX(Croivg,MIN(MAX(Ttai-$A$15,0)+1,366))</f>
        <v>2.3909964587625958E-6</v>
      </c>
      <c r="Q12" s="279">
        <f>'2023'!Df</f>
        <v>0.6</v>
      </c>
      <c r="R12" s="277"/>
      <c r="S12" s="278"/>
      <c r="T12" s="278"/>
      <c r="U12" s="266">
        <f>'2023'!Hdf</f>
        <v>0.99911215012730903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'2023'!Df_s</f>
        <v>0.6</v>
      </c>
      <c r="AF12" s="203"/>
      <c r="AG12" s="203"/>
      <c r="AH12" s="203"/>
      <c r="AI12" s="296">
        <f>'2023'!Hdf_s</f>
        <v>0.99911215012730903</v>
      </c>
      <c r="AJ12" s="821">
        <f>IF($AJ8=0,0,($AJ10-$AJ8)*$AJ6/$AJ8)</f>
        <v>183.99769996291457</v>
      </c>
      <c r="AK12" s="822">
        <f>IF($AK8=0,0,($AK10-$AK8)*$AK6/$AK8)</f>
        <v>0.64887939096305236</v>
      </c>
      <c r="AL12" s="821">
        <f>IF($AL8=0,0,($AL10-$AL8)*$AL6/$AL8)</f>
        <v>483.79356711160739</v>
      </c>
      <c r="AM12" s="822">
        <f>IF($AM8=0,0,($AM10-$AM8)*$AM6/$AM8)</f>
        <v>0.62892312275698548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200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312.20617218074369</v>
      </c>
      <c r="AK13" s="73">
        <f>+AK11+AK12</f>
        <v>0.64887939096305236</v>
      </c>
      <c r="AL13" s="73">
        <f>+AL11+AL12</f>
        <v>667.31191768018618</v>
      </c>
      <c r="AM13" s="73">
        <f>+AM11+AM12</f>
        <v>0.62892312275698548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414" t="s">
        <v>365</v>
      </c>
      <c r="C14" s="414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199</v>
      </c>
      <c r="V14" s="45" t="str">
        <f>"Enveloppe "&amp; TEXT(An,0)</f>
        <v>Enveloppe 2024</v>
      </c>
      <c r="W14" s="826" t="s">
        <v>116</v>
      </c>
      <c r="X14" s="257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129">
        <f>DATE(An,1,1)</f>
        <v>45292</v>
      </c>
      <c r="B15" s="408">
        <f>IF(t&gt;Tmaj,'2023'!Wh/'2023'!Env_an*'2024'!Env_an,0.001*'[3]mon-tableau (2)'!$B$242)</f>
        <v>9.7809674118984553</v>
      </c>
      <c r="C15" s="829"/>
      <c r="D15" s="391">
        <f t="shared" ref="D15:D78" si="0">Wh/(1-Ppv)</f>
        <v>10.123491929074696</v>
      </c>
      <c r="E15" s="398">
        <f t="shared" ref="E15:E79" si="1">Wh_pvt/(1-Psa)</f>
        <v>10.494809206561653</v>
      </c>
      <c r="F15" s="398">
        <f t="shared" ref="F15:F78" si="2">Wh_sa/(1-Pvg*MEDIAN((-Sdif+Wh/Env_an)/Csdif,0,1))</f>
        <v>10.495806011522621</v>
      </c>
      <c r="G15" s="123">
        <f>+Wh_hp/MaxiM</f>
        <v>0.36712623438040431</v>
      </c>
      <c r="H15" s="412" t="b">
        <f>Wh_hp&gt;='2023'!Maxi_hp</f>
        <v>0</v>
      </c>
      <c r="I15" s="394">
        <f>IF(H15,Wh_hp,'2023'!Maxi_hp)</f>
        <v>28.767141164856003</v>
      </c>
      <c r="J15" s="84">
        <f>IF(H15,An,'2023'!An_max)</f>
        <v>2022</v>
      </c>
      <c r="K15" s="197">
        <f t="shared" ref="K15:K78" si="3">t</f>
        <v>45292</v>
      </c>
      <c r="L15" s="146">
        <f>IF(t&lt;Tvie,1-EXP((T0-t)*PertePVj)+'2023'!Pspv,1-EXP((T0-t)*PertePVj)+Pspv)</f>
        <v>3.3834621450382074E-2</v>
      </c>
      <c r="M15" s="832"/>
      <c r="N15" s="832"/>
      <c r="O15" s="48">
        <f>IF(t&lt;Tnet,'2023'!Resal+('2023'!Salim-'2023'!Resal)*(1-EXP(('2023'!Tnet-t)/('2023'!Tau_j))),Resal+(Salim-Resal)*(1-EXP((Tnet-t)/(Tau_j))))*Salcycl</f>
        <v>3.5381041253689453E-2</v>
      </c>
      <c r="P15" s="301">
        <f>(INDEX(Models!$BJ15:$BT15,,T15)*(1-R15)+INDEX(Models!$BJ15:$BT15,,T15+1)*R15-ERP_i)*Q15*Ramure*Pc/MaxiM</f>
        <v>9.8557078802141446E-4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0.99911334562553844</v>
      </c>
      <c r="S15" s="798">
        <f t="shared" ref="S15:S78" si="6">INDEX(Echel_vg,T15)</f>
        <v>0</v>
      </c>
      <c r="T15" s="248">
        <f t="shared" ref="T15:T78" si="7">MIN(MATCH(Hp_vg,Echel_vg),10)</f>
        <v>6</v>
      </c>
      <c r="U15" s="250">
        <f t="shared" ref="U15:U78" si="8">IF(OR(t&lt;Ttai,Notai),Hdd+PousH*Croivg,Hdtf+PousH*(Croivg-Croi_tai))</f>
        <v>0.99911334562553844</v>
      </c>
      <c r="V15" s="381">
        <f t="shared" ref="V15:V78" si="9">MaxiM*(1-Ppv)*(1-Pvg)*(1-Psa)</f>
        <v>26.618243942050789</v>
      </c>
      <c r="W15" s="400">
        <f t="shared" ref="W15:W78" si="10">Wh*(A15&gt;Tmaj)</f>
        <v>9.7809674118984553</v>
      </c>
      <c r="X15" s="156">
        <f t="shared" ref="X15:X78" si="11">t</f>
        <v>45292</v>
      </c>
      <c r="Y15" s="383">
        <f t="shared" ref="Y15:Y78" si="12">Wh_pvt_s*(1-Ppv)</f>
        <v>9.5842467347479481</v>
      </c>
      <c r="Z15" s="383">
        <f>Wh_sa_s*(1-Psa_s)</f>
        <v>9.9198821936008166</v>
      </c>
      <c r="AA15" s="384">
        <f t="shared" ref="AA15:AA78" si="13">Wh_hp*(1-Pvg_s*MEDIAN((-Sdif+Wh/Env_an)/Csdif,0,1))</f>
        <v>10.494809206561653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5.478203573261483E-2</v>
      </c>
      <c r="AD15" s="230">
        <f>(INDEX(Models!$BJ15:$BT15,,AH15)*(1-AF15)+INDEX(Models!$BJ15:$BT15,,AH15+1)*AF15-ERP_i)*AE15*Ramure*Pc/MaxiM</f>
        <v>9.8557078802141446E-4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0.99911334562553844</v>
      </c>
      <c r="AG15" s="798">
        <f>INDEX(Echel_vg,AH15)</f>
        <v>0</v>
      </c>
      <c r="AH15" s="248">
        <f t="shared" ref="AH15:AH78" si="16">MIN(MATCH(Hp_vg_s,Echel_vg),10)</f>
        <v>6</v>
      </c>
      <c r="AI15" s="223">
        <f t="shared" ref="AI15:AI78" si="17">IF(OR(t&lt;Ttai,Notai),Hdd_s+PousH*Croivg,Hdtai_s+PousH*(Croivg-Croi_tai))</f>
        <v>0.99911334562553844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45293</v>
      </c>
      <c r="B16" s="409">
        <f>IF(t&gt;Tmaj,'2023'!Wh/'2023'!Env_an*'2024'!Env_an,0.001*'[3]mon-tableau (2)'!$B$243)</f>
        <v>1.566139319960244</v>
      </c>
      <c r="C16" s="829"/>
      <c r="D16" s="391">
        <f t="shared" si="0"/>
        <v>1.6210157908880418</v>
      </c>
      <c r="E16" s="383">
        <f t="shared" si="1"/>
        <v>1.6806319017301041</v>
      </c>
      <c r="F16" s="383">
        <f t="shared" si="2"/>
        <v>1.6806319017301041</v>
      </c>
      <c r="G16" s="110">
        <f t="shared" ref="G16:G79" si="21">+Wh_hp/MaxiM</f>
        <v>5.8478503526052515E-2</v>
      </c>
      <c r="H16" s="412" t="b">
        <f>Wh_hp&gt;='2023'!Maxi_hp</f>
        <v>0</v>
      </c>
      <c r="I16" s="388">
        <f>IF(H16,Wh_hp,'2023'!Maxi_hp)</f>
        <v>27.700774451172606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3.385313778944421E-2</v>
      </c>
      <c r="M16" s="832"/>
      <c r="N16" s="832"/>
      <c r="O16" s="48">
        <f>IF(t&lt;Tnet,'2023'!Resal+('2023'!Salim-'2023'!Resal)*(1-EXP(('2023'!Tnet-t)/('2023'!Tau_j))),Resal+(Salim-Resal)*(1-EXP((Tnet-t)/(Tau_j))))*Salcycl</f>
        <v>3.5472437944734536E-2</v>
      </c>
      <c r="P16" s="169">
        <f>(INDEX(Models!$BJ16:$BT16,,T16)*(1-R16)+INDEX(Models!$BJ16:$BT16,,T16+1)*R16-ERP_i)*Q16*Ramure*Pc/MaxiM</f>
        <v>9.5970619381132349E-4</v>
      </c>
      <c r="Q16" s="304">
        <f t="shared" si="4"/>
        <v>0.6</v>
      </c>
      <c r="R16" s="177">
        <f t="shared" si="5"/>
        <v>0.99914256023953263</v>
      </c>
      <c r="S16" s="799">
        <f t="shared" si="6"/>
        <v>0</v>
      </c>
      <c r="T16" s="176">
        <f t="shared" si="7"/>
        <v>6</v>
      </c>
      <c r="U16" s="250">
        <f t="shared" si="8"/>
        <v>0.99914256023953263</v>
      </c>
      <c r="V16" s="382">
        <f t="shared" si="9"/>
        <v>26.755751122418033</v>
      </c>
      <c r="W16" s="400">
        <f t="shared" si="10"/>
        <v>1.566139319960244</v>
      </c>
      <c r="X16" s="157">
        <f t="shared" si="11"/>
        <v>45293</v>
      </c>
      <c r="Y16" s="383">
        <f t="shared" si="12"/>
        <v>1.5346744016770475</v>
      </c>
      <c r="Z16" s="383">
        <f t="shared" ref="Z16:Z78" si="22">Wh_sa_s*(1-Psa_s)</f>
        <v>1.5884483629804416</v>
      </c>
      <c r="AA16" s="384">
        <f t="shared" si="13"/>
        <v>1.6806319017301041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5.4850522981722175E-2</v>
      </c>
      <c r="AD16" s="230">
        <f>(INDEX(Models!$BJ16:$BT16,,AH16)*(1-AF16)+INDEX(Models!$BJ16:$BT16,,AH16+1)*AF16-ERP_i)*AE16*Ramure*Pc/MaxiM</f>
        <v>9.5970619381132349E-4</v>
      </c>
      <c r="AE16" s="304">
        <f t="shared" si="15"/>
        <v>0.6</v>
      </c>
      <c r="AF16" s="177">
        <f t="shared" ref="AF16:AF78" si="23">(Hp_vg_s-AG16)/(INDEX(Echel_vg,AH16+1)-AG16)</f>
        <v>0.99914256023953263</v>
      </c>
      <c r="AG16" s="799">
        <f t="shared" ref="AG16:AG79" si="24">INDEX(Echel_vg,AH16)</f>
        <v>0</v>
      </c>
      <c r="AH16" s="176">
        <f t="shared" si="16"/>
        <v>6</v>
      </c>
      <c r="AI16" s="224">
        <f t="shared" si="17"/>
        <v>0.99914256023953263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45294</v>
      </c>
      <c r="B17" s="409">
        <f>IF(t&gt;Tmaj,'2023'!Wh/'2023'!Env_an*'2024'!Env_an,0.001*'[3]mon-tableau (2)'!$B$244)</f>
        <v>16.118767020914337</v>
      </c>
      <c r="C17" s="829"/>
      <c r="D17" s="391">
        <f t="shared" si="0"/>
        <v>16.683877544710668</v>
      </c>
      <c r="E17" s="383">
        <f t="shared" si="1"/>
        <v>17.299099274803929</v>
      </c>
      <c r="F17" s="383">
        <f t="shared" si="2"/>
        <v>17.305996779795915</v>
      </c>
      <c r="G17" s="110">
        <f t="shared" si="21"/>
        <v>0.5988308522886121</v>
      </c>
      <c r="H17" s="412" t="b">
        <f>Wh_hp&gt;='2023'!Maxi_hp</f>
        <v>0</v>
      </c>
      <c r="I17" s="388">
        <f>IF(H17,Wh_hp,'2023'!Maxi_hp)</f>
        <v>27.58667687662351</v>
      </c>
      <c r="J17" s="85">
        <f>IF(H17,An,'2023'!An_max)</f>
        <v>2021</v>
      </c>
      <c r="K17" s="197">
        <f t="shared" si="3"/>
        <v>45294</v>
      </c>
      <c r="L17" s="147">
        <f>IF(t&lt;Tvie,1-EXP((T0-t)*PertePVj)+'2023'!Pspv,1-EXP((T0-t)*PertePVj)+Pspv)</f>
        <v>3.3871653773644983E-2</v>
      </c>
      <c r="M17" s="832"/>
      <c r="N17" s="832"/>
      <c r="O17" s="48">
        <f>IF(t&lt;Tnet,'2023'!Resal+('2023'!Salim-'2023'!Resal)*(1-EXP(('2023'!Tnet-t)/('2023'!Tau_j))),Resal+(Salim-Resal)*(1-EXP((Tnet-t)/(Tau_j))))*Salcycl</f>
        <v>3.5563801347121581E-2</v>
      </c>
      <c r="P17" s="169">
        <f>(INDEX(Models!$BJ17:$BT17,,T17)*(1-R17)+INDEX(Models!$BJ17:$BT17,,T17+1)*R17-ERP_i)*Q17*Ramure*Pc/MaxiM</f>
        <v>9.3261639308253401E-4</v>
      </c>
      <c r="Q17" s="304">
        <f t="shared" si="4"/>
        <v>0.6</v>
      </c>
      <c r="R17" s="177">
        <f t="shared" si="5"/>
        <v>0.99917299683502225</v>
      </c>
      <c r="S17" s="799">
        <f t="shared" si="6"/>
        <v>0</v>
      </c>
      <c r="T17" s="176">
        <f t="shared" si="7"/>
        <v>6</v>
      </c>
      <c r="U17" s="250">
        <f t="shared" si="8"/>
        <v>0.99917299683502225</v>
      </c>
      <c r="V17" s="382">
        <f t="shared" si="9"/>
        <v>26.902680818013579</v>
      </c>
      <c r="W17" s="400">
        <f t="shared" si="10"/>
        <v>16.118767020914337</v>
      </c>
      <c r="X17" s="157">
        <f t="shared" si="11"/>
        <v>45294</v>
      </c>
      <c r="Y17" s="383">
        <f t="shared" si="12"/>
        <v>15.795279885107226</v>
      </c>
      <c r="Z17" s="383">
        <f t="shared" si="22"/>
        <v>16.349049219808872</v>
      </c>
      <c r="AA17" s="384">
        <f t="shared" si="13"/>
        <v>17.299099274803929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5.491904751242177E-2</v>
      </c>
      <c r="AD17" s="230">
        <f>(INDEX(Models!$BJ17:$BT17,,AH17)*(1-AF17)+INDEX(Models!$BJ17:$BT17,,AH17+1)*AF17-ERP_i)*AE17*Ramure*Pc/MaxiM</f>
        <v>9.3261639308253401E-4</v>
      </c>
      <c r="AE17" s="304">
        <f t="shared" si="15"/>
        <v>0.6</v>
      </c>
      <c r="AF17" s="177">
        <f>(Hp_vg_s-AG17)/(INDEX(Echel_vg,AH17+1)-AG17)</f>
        <v>0.99917299683502225</v>
      </c>
      <c r="AG17" s="799">
        <f>INDEX(Echel_vg,AH17)</f>
        <v>0</v>
      </c>
      <c r="AH17" s="176">
        <f t="shared" si="16"/>
        <v>6</v>
      </c>
      <c r="AI17" s="224">
        <f t="shared" si="17"/>
        <v>0.99917299683502225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45295</v>
      </c>
      <c r="B18" s="409">
        <f>IF(t&gt;Tmaj,'2023'!Wh/'2023'!Env_an*'2024'!Env_an,0.001*'[3]mon-tableau (2)'!$B$245)</f>
        <v>14.438165355881392</v>
      </c>
      <c r="C18" s="829"/>
      <c r="D18" s="391">
        <f t="shared" si="0"/>
        <v>14.944641798085531</v>
      </c>
      <c r="E18" s="383">
        <f t="shared" si="1"/>
        <v>15.497196250103134</v>
      </c>
      <c r="F18" s="383">
        <f t="shared" si="2"/>
        <v>15.50187430318713</v>
      </c>
      <c r="G18" s="110">
        <f t="shared" si="21"/>
        <v>0.53326259617014571</v>
      </c>
      <c r="H18" s="412" t="b">
        <f>Wh_hp&gt;='2023'!Maxi_hp</f>
        <v>0</v>
      </c>
      <c r="I18" s="388">
        <f>IF(H18,Wh_hp,'2023'!Maxi_hp)</f>
        <v>23.787440527034882</v>
      </c>
      <c r="J18" s="85">
        <f>IF(H18,An,'2023'!An_max)</f>
        <v>2021</v>
      </c>
      <c r="K18" s="197">
        <f t="shared" si="3"/>
        <v>45295</v>
      </c>
      <c r="L18" s="147">
        <f>IF(t&lt;Tvie,1-EXP((T0-t)*PertePVj)+'2023'!Pspv,1-EXP((T0-t)*PertePVj)+Pspv)</f>
        <v>3.3890169402991055E-2</v>
      </c>
      <c r="M18" s="832"/>
      <c r="N18" s="832"/>
      <c r="O18" s="48">
        <f>IF(t&lt;Tnet,'2023'!Resal+('2023'!Salim-'2023'!Resal)*(1-EXP(('2023'!Tnet-t)/('2023'!Tau_j))),Resal+(Salim-Resal)*(1-EXP((Tnet-t)/(Tau_j))))*Salcycl</f>
        <v>3.5655123875321937E-2</v>
      </c>
      <c r="P18" s="169">
        <f>(INDEX(Models!$BJ18:$BT18,,T18)*(1-R18)+INDEX(Models!$BJ18:$BT18,,T18+1)*R18-ERP_i)*Q18*Ramure*Pc/MaxiM</f>
        <v>9.0434778476171211E-4</v>
      </c>
      <c r="Q18" s="304">
        <f t="shared" si="4"/>
        <v>0.6</v>
      </c>
      <c r="R18" s="177">
        <f t="shared" si="5"/>
        <v>0.99920470636631731</v>
      </c>
      <c r="S18" s="799">
        <f t="shared" si="6"/>
        <v>0</v>
      </c>
      <c r="T18" s="176">
        <f t="shared" si="7"/>
        <v>6</v>
      </c>
      <c r="U18" s="250">
        <f t="shared" si="8"/>
        <v>0.99920470636631731</v>
      </c>
      <c r="V18" s="382">
        <f t="shared" si="9"/>
        <v>27.058831360852253</v>
      </c>
      <c r="W18" s="400">
        <f t="shared" si="10"/>
        <v>14.438165355881392</v>
      </c>
      <c r="X18" s="157">
        <f t="shared" si="11"/>
        <v>45295</v>
      </c>
      <c r="Y18" s="383">
        <f t="shared" si="12"/>
        <v>14.148719690627164</v>
      </c>
      <c r="Z18" s="383">
        <f>Wh_sa_s*(1-Psa_s)</f>
        <v>14.645042667544271</v>
      </c>
      <c r="AA18" s="384">
        <f t="shared" si="13"/>
        <v>15.497196250103134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5.4987597034088745E-2</v>
      </c>
      <c r="AD18" s="230">
        <f>(INDEX(Models!$BJ18:$BT18,,AH18)*(1-AF18)+INDEX(Models!$BJ18:$BT18,,AH18+1)*AF18-ERP_i)*AE18*Ramure*Pc/MaxiM</f>
        <v>9.0434778476171211E-4</v>
      </c>
      <c r="AE18" s="304">
        <f t="shared" si="15"/>
        <v>0.6</v>
      </c>
      <c r="AF18" s="177">
        <f t="shared" si="23"/>
        <v>0.99920470636631731</v>
      </c>
      <c r="AG18" s="799">
        <f t="shared" si="24"/>
        <v>0</v>
      </c>
      <c r="AH18" s="176">
        <f t="shared" si="16"/>
        <v>6</v>
      </c>
      <c r="AI18" s="224">
        <f t="shared" si="17"/>
        <v>0.99920470636631731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45296</v>
      </c>
      <c r="B19" s="409">
        <f>IF(t&gt;Tmaj,'2023'!Wh/'2023'!Env_an*'2024'!Env_an,0.001*'[3]mon-tableau (2)'!$B$246)</f>
        <v>14.254781067486938</v>
      </c>
      <c r="C19" s="829"/>
      <c r="D19" s="391">
        <f t="shared" si="0"/>
        <v>14.755107350000616</v>
      </c>
      <c r="E19" s="383">
        <f t="shared" si="1"/>
        <v>15.30210240718891</v>
      </c>
      <c r="F19" s="383">
        <f t="shared" si="2"/>
        <v>15.306380493603685</v>
      </c>
      <c r="G19" s="110">
        <f t="shared" si="21"/>
        <v>0.52329893030199703</v>
      </c>
      <c r="H19" s="412" t="b">
        <f>Wh_hp&gt;='2023'!Maxi_hp</f>
        <v>0</v>
      </c>
      <c r="I19" s="388">
        <f>IF(H19,Wh_hp,'2023'!Maxi_hp)</f>
        <v>16.919002934899346</v>
      </c>
      <c r="J19" s="85">
        <f>IF(H19,An,'2023'!An_max)</f>
        <v>2022</v>
      </c>
      <c r="K19" s="197">
        <f t="shared" si="3"/>
        <v>45296</v>
      </c>
      <c r="L19" s="147">
        <f>IF(t&lt;Tvie,1-EXP((T0-t)*PertePVj)+'2023'!Pspv,1-EXP((T0-t)*PertePVj)+Pspv)</f>
        <v>3.390868467748942E-2</v>
      </c>
      <c r="M19" s="832"/>
      <c r="N19" s="832"/>
      <c r="O19" s="48">
        <f>IF(t&lt;Tnet,'2023'!Resal+('2023'!Salim-'2023'!Resal)*(1-EXP(('2023'!Tnet-t)/('2023'!Tau_j))),Resal+(Salim-Resal)*(1-EXP((Tnet-t)/(Tau_j))))*Salcycl</f>
        <v>3.574639893478402E-2</v>
      </c>
      <c r="P19" s="169">
        <f>(INDEX(Models!$BJ19:$BT19,,T19)*(1-R19)+INDEX(Models!$BJ19:$BT19,,T19+1)*R19-ERP_i)*Q19*Ramure*Pc/MaxiM</f>
        <v>8.7494813195541183E-4</v>
      </c>
      <c r="Q19" s="304">
        <f t="shared" si="4"/>
        <v>0.6</v>
      </c>
      <c r="R19" s="177">
        <f t="shared" si="5"/>
        <v>0.99923774189887904</v>
      </c>
      <c r="S19" s="799">
        <f t="shared" si="6"/>
        <v>0</v>
      </c>
      <c r="T19" s="176">
        <f t="shared" si="7"/>
        <v>6</v>
      </c>
      <c r="U19" s="250">
        <f t="shared" si="8"/>
        <v>0.99923774189887904</v>
      </c>
      <c r="V19" s="382">
        <f t="shared" si="9"/>
        <v>27.224001126388611</v>
      </c>
      <c r="W19" s="400">
        <f t="shared" si="10"/>
        <v>14.254781067486938</v>
      </c>
      <c r="X19" s="157">
        <f t="shared" si="11"/>
        <v>45296</v>
      </c>
      <c r="Y19" s="383">
        <f t="shared" si="12"/>
        <v>13.969320449784929</v>
      </c>
      <c r="Z19" s="383">
        <f t="shared" si="22"/>
        <v>14.459627395699698</v>
      </c>
      <c r="AA19" s="384">
        <f t="shared" si="13"/>
        <v>15.30210240718891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5.5056160851035582E-2</v>
      </c>
      <c r="AD19" s="230">
        <f>(INDEX(Models!$BJ19:$BT19,,AH19)*(1-AF19)+INDEX(Models!$BJ19:$BT19,,AH19+1)*AF19-ERP_i)*AE19*Ramure*Pc/MaxiM</f>
        <v>8.7494813195541183E-4</v>
      </c>
      <c r="AE19" s="304">
        <f t="shared" si="15"/>
        <v>0.6</v>
      </c>
      <c r="AF19" s="177">
        <f t="shared" si="23"/>
        <v>0.99923774189887904</v>
      </c>
      <c r="AG19" s="799">
        <f t="shared" si="24"/>
        <v>0</v>
      </c>
      <c r="AH19" s="176">
        <f t="shared" si="16"/>
        <v>6</v>
      </c>
      <c r="AI19" s="224">
        <f t="shared" si="17"/>
        <v>0.99923774189887904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45297</v>
      </c>
      <c r="B20" s="409">
        <f>IF(t&gt;Tmaj,'2023'!Wh/'2023'!Env_an*'2024'!Env_an,0.001*'[3]mon-tableau (2)'!$B$247)</f>
        <v>4.681284578001419</v>
      </c>
      <c r="C20" s="829"/>
      <c r="D20" s="391">
        <f t="shared" si="0"/>
        <v>4.8456851036995543</v>
      </c>
      <c r="E20" s="383">
        <f t="shared" si="1"/>
        <v>5.0257977377504721</v>
      </c>
      <c r="F20" s="383">
        <f t="shared" si="2"/>
        <v>5.0257977377504721</v>
      </c>
      <c r="G20" s="110">
        <f t="shared" si="21"/>
        <v>0.17071805778810706</v>
      </c>
      <c r="H20" s="412" t="b">
        <f>Wh_hp&gt;='2023'!Maxi_hp</f>
        <v>0</v>
      </c>
      <c r="I20" s="388">
        <f>IF(H20,Wh_hp,'2023'!Maxi_hp)</f>
        <v>29.950318368832068</v>
      </c>
      <c r="J20" s="85">
        <f>IF(H20,An,'2023'!An_max)</f>
        <v>2020</v>
      </c>
      <c r="K20" s="197">
        <f t="shared" si="3"/>
        <v>45297</v>
      </c>
      <c r="L20" s="147">
        <f>IF(t&lt;Tvie,1-EXP((T0-t)*PertePVj)+'2023'!Pspv,1-EXP((T0-t)*PertePVj)+Pspv)</f>
        <v>3.392719959714674E-2</v>
      </c>
      <c r="M20" s="832"/>
      <c r="N20" s="832"/>
      <c r="O20" s="48">
        <f>IF(t&lt;Tnet,'2023'!Resal+('2023'!Salim-'2023'!Resal)*(1-EXP(('2023'!Tnet-t)/('2023'!Tau_j))),Resal+(Salim-Resal)*(1-EXP((Tnet-t)/(Tau_j))))*Salcycl</f>
        <v>3.5837620901062364E-2</v>
      </c>
      <c r="P20" s="169">
        <f>(INDEX(Models!$BJ20:$BT20,,T20)*(1-R20)+INDEX(Models!$BJ20:$BT20,,T20+1)*R20-ERP_i)*Q20*Ramure*Pc/MaxiM</f>
        <v>8.4446627487157753E-4</v>
      </c>
      <c r="Q20" s="304">
        <f t="shared" si="4"/>
        <v>0.6</v>
      </c>
      <c r="R20" s="177">
        <f t="shared" si="5"/>
        <v>0.99927215869562969</v>
      </c>
      <c r="S20" s="799">
        <f t="shared" si="6"/>
        <v>0</v>
      </c>
      <c r="T20" s="176">
        <f t="shared" si="7"/>
        <v>6</v>
      </c>
      <c r="U20" s="250">
        <f t="shared" si="8"/>
        <v>0.99927215869562969</v>
      </c>
      <c r="V20" s="382">
        <f t="shared" si="9"/>
        <v>27.397988541186781</v>
      </c>
      <c r="W20" s="400">
        <f t="shared" si="10"/>
        <v>4.681284578001419</v>
      </c>
      <c r="X20" s="157">
        <f t="shared" si="11"/>
        <v>45297</v>
      </c>
      <c r="Y20" s="383">
        <f t="shared" si="12"/>
        <v>4.5876401385471883</v>
      </c>
      <c r="Z20" s="383">
        <f t="shared" si="22"/>
        <v>4.7487519953301014</v>
      </c>
      <c r="AA20" s="384">
        <f t="shared" si="13"/>
        <v>5.0257977377504721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5.5124729819385009E-2</v>
      </c>
      <c r="AD20" s="230">
        <f>(INDEX(Models!$BJ20:$BT20,,AH20)*(1-AF20)+INDEX(Models!$BJ20:$BT20,,AH20+1)*AF20-ERP_i)*AE20*Ramure*Pc/MaxiM</f>
        <v>8.4446627487157753E-4</v>
      </c>
      <c r="AE20" s="304">
        <f t="shared" si="15"/>
        <v>0.6</v>
      </c>
      <c r="AF20" s="177">
        <f t="shared" si="23"/>
        <v>0.99927215869562969</v>
      </c>
      <c r="AG20" s="799">
        <f t="shared" si="24"/>
        <v>0</v>
      </c>
      <c r="AH20" s="176">
        <f t="shared" si="16"/>
        <v>6</v>
      </c>
      <c r="AI20" s="224">
        <f t="shared" si="17"/>
        <v>0.99927215869562969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45298</v>
      </c>
      <c r="B21" s="409">
        <f>IF(t&gt;Tmaj,'2023'!Wh/'2023'!Env_an*'2024'!Env_an,0.001*'[3]mon-tableau (2)'!$B$248)</f>
        <v>18.099758516655751</v>
      </c>
      <c r="C21" s="829"/>
      <c r="D21" s="391">
        <f t="shared" si="0"/>
        <v>18.735757174302705</v>
      </c>
      <c r="E21" s="383">
        <f t="shared" si="1"/>
        <v>19.433997078795226</v>
      </c>
      <c r="F21" s="383">
        <f t="shared" si="2"/>
        <v>19.442040916215376</v>
      </c>
      <c r="G21" s="110">
        <f t="shared" si="21"/>
        <v>0.65598772253276427</v>
      </c>
      <c r="H21" s="412" t="b">
        <f>Wh_hp&gt;='2023'!Maxi_hp</f>
        <v>0</v>
      </c>
      <c r="I21" s="388">
        <f>IF(H21,Wh_hp,'2023'!Maxi_hp)</f>
        <v>19.444347736940536</v>
      </c>
      <c r="J21" s="85">
        <f>IF(H21,An,'2023'!An_max)</f>
        <v>2023</v>
      </c>
      <c r="K21" s="197">
        <f t="shared" si="3"/>
        <v>45298</v>
      </c>
      <c r="L21" s="147">
        <f>IF(t&lt;Tvie,1-EXP((T0-t)*PertePVj)+'2023'!Pspv,1-EXP((T0-t)*PertePVj)+Pspv)</f>
        <v>3.3945714161969787E-2</v>
      </c>
      <c r="M21" s="832"/>
      <c r="N21" s="832"/>
      <c r="O21" s="48">
        <f>IF(t&lt;Tnet,'2023'!Resal+('2023'!Salim-'2023'!Resal)*(1-EXP(('2023'!Tnet-t)/('2023'!Tau_j))),Resal+(Salim-Resal)*(1-EXP((Tnet-t)/(Tau_j))))*Salcycl</f>
        <v>3.5928785090452747E-2</v>
      </c>
      <c r="P21" s="169">
        <f>(INDEX(Models!$BJ21:$BT21,,T21)*(1-R21)+INDEX(Models!$BJ21:$BT21,,T21+1)*R21-ERP_i)*Q21*Ramure*Pc/MaxiM</f>
        <v>8.1295184476996179E-4</v>
      </c>
      <c r="Q21" s="304">
        <f t="shared" si="4"/>
        <v>0.6</v>
      </c>
      <c r="R21" s="177">
        <f t="shared" si="5"/>
        <v>0.99930801430669292</v>
      </c>
      <c r="S21" s="799">
        <f t="shared" si="6"/>
        <v>0</v>
      </c>
      <c r="T21" s="176">
        <f t="shared" si="7"/>
        <v>6</v>
      </c>
      <c r="U21" s="250">
        <f t="shared" si="8"/>
        <v>0.99930801430669292</v>
      </c>
      <c r="V21" s="382">
        <f t="shared" si="9"/>
        <v>27.580592077582686</v>
      </c>
      <c r="W21" s="400">
        <f t="shared" si="10"/>
        <v>18.099758516655751</v>
      </c>
      <c r="X21" s="157">
        <f t="shared" si="11"/>
        <v>45298</v>
      </c>
      <c r="Y21" s="383">
        <f t="shared" si="12"/>
        <v>17.73808087782033</v>
      </c>
      <c r="Z21" s="383">
        <f t="shared" si="22"/>
        <v>18.361370719900016</v>
      </c>
      <c r="AA21" s="384">
        <f t="shared" si="13"/>
        <v>19.433997078795226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5.5193296291351834E-2</v>
      </c>
      <c r="AD21" s="230">
        <f>(INDEX(Models!$BJ21:$BT21,,AH21)*(1-AF21)+INDEX(Models!$BJ21:$BT21,,AH21+1)*AF21-ERP_i)*AE21*Ramure*Pc/MaxiM</f>
        <v>8.1295184476996179E-4</v>
      </c>
      <c r="AE21" s="304">
        <f t="shared" si="15"/>
        <v>0.6</v>
      </c>
      <c r="AF21" s="177">
        <f t="shared" si="23"/>
        <v>0.99930801430669292</v>
      </c>
      <c r="AG21" s="799">
        <f t="shared" si="24"/>
        <v>0</v>
      </c>
      <c r="AH21" s="176">
        <f t="shared" si="16"/>
        <v>6</v>
      </c>
      <c r="AI21" s="224">
        <f t="shared" si="17"/>
        <v>0.99930801430669292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45299</v>
      </c>
      <c r="B22" s="409">
        <f>IF(t&gt;Tmaj,'2023'!Wh/'2023'!Env_an*'2024'!Env_an,0.001*'[3]mon-tableau (2)'!$B$249)</f>
        <v>6.7588601448395726</v>
      </c>
      <c r="C22" s="829"/>
      <c r="D22" s="391">
        <f t="shared" si="0"/>
        <v>6.996490547600577</v>
      </c>
      <c r="E22" s="383">
        <f t="shared" si="1"/>
        <v>7.2579200115155773</v>
      </c>
      <c r="F22" s="383">
        <f t="shared" si="2"/>
        <v>7.2579200115155773</v>
      </c>
      <c r="G22" s="110">
        <f t="shared" si="21"/>
        <v>0.24318305979784863</v>
      </c>
      <c r="H22" s="412" t="b">
        <f>Wh_hp&gt;='2023'!Maxi_hp</f>
        <v>0</v>
      </c>
      <c r="I22" s="388">
        <f>IF(H22,Wh_hp,'2023'!Maxi_hp)</f>
        <v>23.032683038014351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3.3964228371965555E-2</v>
      </c>
      <c r="M22" s="832"/>
      <c r="N22" s="832"/>
      <c r="O22" s="48">
        <f>IF(t&lt;Tnet,'2023'!Resal+('2023'!Salim-'2023'!Resal)*(1-EXP(('2023'!Tnet-t)/('2023'!Tau_j))),Resal+(Salim-Resal)*(1-EXP((Tnet-t)/(Tau_j))))*Salcycl</f>
        <v>3.6019887722682338E-2</v>
      </c>
      <c r="P22" s="169">
        <f>(INDEX(Models!$BJ22:$BT22,,T22)*(1-R22)+INDEX(Models!$BJ22:$BT22,,T22+1)*R22-ERP_i)*Q22*Ramure*Pc/MaxiM</f>
        <v>7.8045498171483093E-4</v>
      </c>
      <c r="Q22" s="304">
        <f t="shared" si="4"/>
        <v>0.6</v>
      </c>
      <c r="R22" s="177">
        <f t="shared" si="5"/>
        <v>0.99934536866269008</v>
      </c>
      <c r="S22" s="799">
        <f t="shared" si="6"/>
        <v>0</v>
      </c>
      <c r="T22" s="176">
        <f t="shared" si="7"/>
        <v>6</v>
      </c>
      <c r="U22" s="250">
        <f t="shared" si="8"/>
        <v>0.99934536866269008</v>
      </c>
      <c r="V22" s="382">
        <f t="shared" si="9"/>
        <v>27.77161026094041</v>
      </c>
      <c r="W22" s="400">
        <f t="shared" si="10"/>
        <v>6.7588601448395726</v>
      </c>
      <c r="X22" s="157">
        <f t="shared" si="11"/>
        <v>45299</v>
      </c>
      <c r="Y22" s="383">
        <f t="shared" si="12"/>
        <v>6.6239468228245499</v>
      </c>
      <c r="Z22" s="383">
        <f t="shared" si="22"/>
        <v>6.8568338951479904</v>
      </c>
      <c r="AA22" s="384">
        <f t="shared" si="13"/>
        <v>7.2579200115155773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5.526185404788353E-2</v>
      </c>
      <c r="AD22" s="230">
        <f>(INDEX(Models!$BJ22:$BT22,,AH22)*(1-AF22)+INDEX(Models!$BJ22:$BT22,,AH22+1)*AF22-ERP_i)*AE22*Ramure*Pc/MaxiM</f>
        <v>7.8045498171483093E-4</v>
      </c>
      <c r="AE22" s="304">
        <f t="shared" si="15"/>
        <v>0.6</v>
      </c>
      <c r="AF22" s="177">
        <f t="shared" si="23"/>
        <v>0.99934536866269008</v>
      </c>
      <c r="AG22" s="799">
        <f t="shared" si="24"/>
        <v>0</v>
      </c>
      <c r="AH22" s="176">
        <f t="shared" si="16"/>
        <v>6</v>
      </c>
      <c r="AI22" s="224">
        <f t="shared" si="17"/>
        <v>0.99934536866269008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45300</v>
      </c>
      <c r="B23" s="409">
        <f>IF(t&gt;Tmaj,'2023'!Wh/'2023'!Env_an*'2024'!Env_an,0.001*'[3]mon-tableau (2)'!$B$250)</f>
        <v>8.6494497429549035</v>
      </c>
      <c r="C23" s="829"/>
      <c r="D23" s="391">
        <f t="shared" si="0"/>
        <v>8.9537217615512379</v>
      </c>
      <c r="E23" s="383">
        <f t="shared" si="1"/>
        <v>9.2891620020602961</v>
      </c>
      <c r="F23" s="383">
        <f t="shared" si="2"/>
        <v>9.2892532381892146</v>
      </c>
      <c r="G23" s="110">
        <f t="shared" si="21"/>
        <v>0.3089762673415859</v>
      </c>
      <c r="H23" s="412" t="b">
        <f>Wh_hp&gt;='2023'!Maxi_hp</f>
        <v>0</v>
      </c>
      <c r="I23" s="388">
        <f>IF(H23,Wh_hp,'2023'!Maxi_hp)</f>
        <v>29.267673438612903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3.3982742227140594E-2</v>
      </c>
      <c r="M23" s="832"/>
      <c r="N23" s="832"/>
      <c r="O23" s="48">
        <f>IF(t&lt;Tnet,'2023'!Resal+('2023'!Salim-'2023'!Resal)*(1-EXP(('2023'!Tnet-t)/('2023'!Tau_j))),Resal+(Salim-Resal)*(1-EXP((Tnet-t)/(Tau_j))))*Salcycl</f>
        <v>3.6110925876269372E-2</v>
      </c>
      <c r="P23" s="169">
        <f>(INDEX(Models!$BJ23:$BT23,,T23)*(1-R23)+INDEX(Models!$BJ23:$BT23,,T23+1)*R23-ERP_i)*Q23*Ramure*Pc/MaxiM</f>
        <v>7.4696149529132237E-4</v>
      </c>
      <c r="Q23" s="304">
        <f t="shared" si="4"/>
        <v>0.6</v>
      </c>
      <c r="R23" s="177">
        <f t="shared" si="5"/>
        <v>0.9993842841717252</v>
      </c>
      <c r="S23" s="799">
        <f t="shared" si="6"/>
        <v>0</v>
      </c>
      <c r="T23" s="176">
        <f t="shared" si="7"/>
        <v>6</v>
      </c>
      <c r="U23" s="250">
        <f t="shared" si="8"/>
        <v>0.9993842841717252</v>
      </c>
      <c r="V23" s="382">
        <f t="shared" si="9"/>
        <v>27.973261185927253</v>
      </c>
      <c r="W23" s="400">
        <f t="shared" si="10"/>
        <v>8.6494497429549035</v>
      </c>
      <c r="X23" s="157">
        <f t="shared" si="11"/>
        <v>45300</v>
      </c>
      <c r="Y23" s="383">
        <f t="shared" si="12"/>
        <v>8.4769839846098556</v>
      </c>
      <c r="Z23" s="383">
        <f t="shared" si="22"/>
        <v>8.7751889693497152</v>
      </c>
      <c r="AA23" s="384">
        <f t="shared" si="13"/>
        <v>9.2891620020602961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5.5330398220698893E-2</v>
      </c>
      <c r="AD23" s="230">
        <f>(INDEX(Models!$BJ23:$BT23,,AH23)*(1-AF23)+INDEX(Models!$BJ23:$BT23,,AH23+1)*AF23-ERP_i)*AE23*Ramure*Pc/MaxiM</f>
        <v>7.4696149529132237E-4</v>
      </c>
      <c r="AE23" s="304">
        <f t="shared" si="15"/>
        <v>0.6</v>
      </c>
      <c r="AF23" s="177">
        <f t="shared" si="23"/>
        <v>0.9993842841717252</v>
      </c>
      <c r="AG23" s="799">
        <f t="shared" si="24"/>
        <v>0</v>
      </c>
      <c r="AH23" s="176">
        <f t="shared" si="16"/>
        <v>6</v>
      </c>
      <c r="AI23" s="224">
        <f t="shared" si="17"/>
        <v>0.9993842841717252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45301</v>
      </c>
      <c r="B24" s="409">
        <f>IF(t&gt;Tmaj,'2023'!Wh/'2023'!Env_an*'2024'!Env_an,0.001*'[3]mon-tableau (2)'!$B$251)</f>
        <v>24.663487816746393</v>
      </c>
      <c r="C24" s="829"/>
      <c r="D24" s="391">
        <f t="shared" si="0"/>
        <v>25.531594076057182</v>
      </c>
      <c r="E24" s="383">
        <f t="shared" si="1"/>
        <v>26.490604212819832</v>
      </c>
      <c r="F24" s="383">
        <f t="shared" si="2"/>
        <v>26.5061094405219</v>
      </c>
      <c r="G24" s="110">
        <f t="shared" si="21"/>
        <v>0.87487377425225454</v>
      </c>
      <c r="H24" s="412" t="b">
        <f>Wh_hp&gt;='2023'!Maxi_hp</f>
        <v>0</v>
      </c>
      <c r="I24" s="388">
        <f>IF(H24,Wh_hp,'2023'!Maxi_hp)</f>
        <v>26.507126301272365</v>
      </c>
      <c r="J24" s="85">
        <f>IF(H24,An,'2023'!An_max)</f>
        <v>2023</v>
      </c>
      <c r="K24" s="197">
        <f t="shared" si="3"/>
        <v>45301</v>
      </c>
      <c r="L24" s="147">
        <f>IF(t&lt;Tvie,1-EXP((T0-t)*PertePVj)+'2023'!Pspv,1-EXP((T0-t)*PertePVj)+Pspv)</f>
        <v>3.4001255727501789E-2</v>
      </c>
      <c r="M24" s="832"/>
      <c r="N24" s="832"/>
      <c r="O24" s="48">
        <f>IF(t&lt;Tnet,'2023'!Resal+('2023'!Salim-'2023'!Resal)*(1-EXP(('2023'!Tnet-t)/('2023'!Tau_j))),Resal+(Salim-Resal)*(1-EXP((Tnet-t)/(Tau_j))))*Salcycl</f>
        <v>3.6201897437226023E-2</v>
      </c>
      <c r="P24" s="169">
        <f>(INDEX(Models!$BJ24:$BT24,,T24)*(1-R24)+INDEX(Models!$BJ24:$BT24,,T24+1)*R24-ERP_i)*Q24*Ramure*Pc/MaxiM</f>
        <v>7.1215346608199308E-4</v>
      </c>
      <c r="Q24" s="304">
        <f t="shared" si="4"/>
        <v>0.6</v>
      </c>
      <c r="R24" s="177">
        <f t="shared" si="5"/>
        <v>0.99942482582019476</v>
      </c>
      <c r="S24" s="799">
        <f t="shared" si="6"/>
        <v>0</v>
      </c>
      <c r="T24" s="176">
        <f t="shared" si="7"/>
        <v>6</v>
      </c>
      <c r="U24" s="250">
        <f t="shared" si="8"/>
        <v>0.99942482582019476</v>
      </c>
      <c r="V24" s="382">
        <f t="shared" si="9"/>
        <v>28.187322412712724</v>
      </c>
      <c r="W24" s="400">
        <f t="shared" si="10"/>
        <v>24.663487816746393</v>
      </c>
      <c r="X24" s="157">
        <f t="shared" si="11"/>
        <v>45301</v>
      </c>
      <c r="Y24" s="383">
        <f t="shared" si="12"/>
        <v>24.17223798007895</v>
      </c>
      <c r="Z24" s="383">
        <f t="shared" si="22"/>
        <v>25.02305321140274</v>
      </c>
      <c r="AA24" s="384">
        <f t="shared" si="13"/>
        <v>26.490604212819832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5.5398925204842533E-2</v>
      </c>
      <c r="AD24" s="230">
        <f>(INDEX(Models!$BJ24:$BT24,,AH24)*(1-AF24)+INDEX(Models!$BJ24:$BT24,,AH24+1)*AF24-ERP_i)*AE24*Ramure*Pc/MaxiM</f>
        <v>7.1215346608199308E-4</v>
      </c>
      <c r="AE24" s="304">
        <f t="shared" si="15"/>
        <v>0.6</v>
      </c>
      <c r="AF24" s="177">
        <f t="shared" si="23"/>
        <v>0.99942482582019476</v>
      </c>
      <c r="AG24" s="799">
        <f t="shared" si="24"/>
        <v>0</v>
      </c>
      <c r="AH24" s="176">
        <f t="shared" si="16"/>
        <v>6</v>
      </c>
      <c r="AI24" s="224">
        <f t="shared" si="17"/>
        <v>0.99942482582019476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45302</v>
      </c>
      <c r="B25" s="409">
        <f>IF(t&gt;Tmaj,'2023'!Wh/'2023'!Env_an*'2024'!Env_an,0.001*'[3]mon-tableau (2)'!$B$252)</f>
        <v>4.4849987451361066</v>
      </c>
      <c r="C25" s="829"/>
      <c r="D25" s="391">
        <f t="shared" si="0"/>
        <v>4.6429508602922045</v>
      </c>
      <c r="E25" s="383">
        <f t="shared" si="1"/>
        <v>4.8178024044144685</v>
      </c>
      <c r="F25" s="383">
        <f t="shared" si="2"/>
        <v>4.8178024044144685</v>
      </c>
      <c r="G25" s="110">
        <f t="shared" si="21"/>
        <v>0.15774396437210531</v>
      </c>
      <c r="H25" s="412" t="b">
        <f>Wh_hp&gt;='2023'!Maxi_hp</f>
        <v>0</v>
      </c>
      <c r="I25" s="388">
        <f>IF(H25,Wh_hp,'2023'!Maxi_hp)</f>
        <v>29.842314321550671</v>
      </c>
      <c r="J25" s="85">
        <f>IF(H25,An,'2023'!An_max)</f>
        <v>2020</v>
      </c>
      <c r="K25" s="197">
        <f t="shared" si="3"/>
        <v>45302</v>
      </c>
      <c r="L25" s="147">
        <f>IF(t&lt;Tvie,1-EXP((T0-t)*PertePVj)+'2023'!Pspv,1-EXP((T0-t)*PertePVj)+Pspv)</f>
        <v>3.4019768873056133E-2</v>
      </c>
      <c r="M25" s="832"/>
      <c r="N25" s="832"/>
      <c r="O25" s="48">
        <f>IF(t&lt;Tnet,'2023'!Resal+('2023'!Salim-'2023'!Resal)*(1-EXP(('2023'!Tnet-t)/('2023'!Tau_j))),Resal+(Salim-Resal)*(1-EXP((Tnet-t)/(Tau_j))))*Salcycl</f>
        <v>3.6292801041829845E-2</v>
      </c>
      <c r="P25" s="169">
        <f>(INDEX(Models!$BJ25:$BT25,,T25)*(1-R25)+INDEX(Models!$BJ25:$BT25,,T25+1)*R25-ERP_i)*Q25*Ramure*Pc/MaxiM</f>
        <v>6.7647473316640068E-4</v>
      </c>
      <c r="Q25" s="304">
        <f t="shared" si="4"/>
        <v>0.6</v>
      </c>
      <c r="R25" s="177">
        <f t="shared" si="5"/>
        <v>0.9994670612775608</v>
      </c>
      <c r="S25" s="799">
        <f t="shared" si="6"/>
        <v>0</v>
      </c>
      <c r="T25" s="176">
        <f t="shared" si="7"/>
        <v>6</v>
      </c>
      <c r="U25" s="250">
        <f t="shared" si="8"/>
        <v>0.9994670612775608</v>
      </c>
      <c r="V25" s="382">
        <f t="shared" si="9"/>
        <v>28.412908060521065</v>
      </c>
      <c r="W25" s="400">
        <f t="shared" si="10"/>
        <v>4.4849987451361066</v>
      </c>
      <c r="X25" s="157">
        <f t="shared" si="11"/>
        <v>45302</v>
      </c>
      <c r="Y25" s="383">
        <f t="shared" si="12"/>
        <v>4.3957618914490197</v>
      </c>
      <c r="Z25" s="383">
        <f t="shared" si="22"/>
        <v>4.5505712744460425</v>
      </c>
      <c r="AA25" s="384">
        <f t="shared" si="13"/>
        <v>4.8178024044144685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5.5467432562939137E-2</v>
      </c>
      <c r="AD25" s="230">
        <f>(INDEX(Models!$BJ25:$BT25,,AH25)*(1-AF25)+INDEX(Models!$BJ25:$BT25,,AH25+1)*AF25-ERP_i)*AE25*Ramure*Pc/MaxiM</f>
        <v>6.7647473316640068E-4</v>
      </c>
      <c r="AE25" s="304">
        <f t="shared" si="15"/>
        <v>0.6</v>
      </c>
      <c r="AF25" s="177">
        <f t="shared" si="23"/>
        <v>0.9994670612775608</v>
      </c>
      <c r="AG25" s="799">
        <f t="shared" si="24"/>
        <v>0</v>
      </c>
      <c r="AH25" s="176">
        <f t="shared" si="16"/>
        <v>6</v>
      </c>
      <c r="AI25" s="224">
        <f t="shared" si="17"/>
        <v>0.9994670612775608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45303</v>
      </c>
      <c r="B26" s="409">
        <f>IF(t&gt;Tmaj,'2023'!Wh/'2023'!Env_an*'2024'!Env_an,0.001*'[3]mon-tableau (2)'!$B$253)</f>
        <v>23.974707900919839</v>
      </c>
      <c r="C26" s="829"/>
      <c r="D26" s="391">
        <f t="shared" si="0"/>
        <v>24.819521773818131</v>
      </c>
      <c r="E26" s="383">
        <f t="shared" si="1"/>
        <v>25.756642063609377</v>
      </c>
      <c r="F26" s="383">
        <f t="shared" si="2"/>
        <v>25.76929036395406</v>
      </c>
      <c r="G26" s="110">
        <f t="shared" si="21"/>
        <v>0.83671368396056323</v>
      </c>
      <c r="H26" s="412" t="b">
        <f>Wh_hp&gt;='2023'!Maxi_hp</f>
        <v>0</v>
      </c>
      <c r="I26" s="388">
        <f>IF(H26,Wh_hp,'2023'!Maxi_hp)</f>
        <v>31.06915900574295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3.4038281663810177E-2</v>
      </c>
      <c r="M26" s="832"/>
      <c r="N26" s="832"/>
      <c r="O26" s="48">
        <f>IF(t&lt;Tnet,'2023'!Resal+('2023'!Salim-'2023'!Resal)*(1-EXP(('2023'!Tnet-t)/('2023'!Tau_j))),Resal+(Salim-Resal)*(1-EXP((Tnet-t)/(Tau_j))))*Salcycl</f>
        <v>3.6383636014232897E-2</v>
      </c>
      <c r="P26" s="169">
        <f>(INDEX(Models!$BJ26:$BT26,,T26)*(1-R26)+INDEX(Models!$BJ26:$BT26,,T26+1)*R26-ERP_i)*Q26*Ramure*Pc/MaxiM</f>
        <v>6.4000597641602455E-4</v>
      </c>
      <c r="Q26" s="304">
        <f t="shared" si="4"/>
        <v>0.6</v>
      </c>
      <c r="R26" s="177">
        <f t="shared" si="5"/>
        <v>0.9995110610052319</v>
      </c>
      <c r="S26" s="799">
        <f t="shared" si="6"/>
        <v>0</v>
      </c>
      <c r="T26" s="176">
        <f t="shared" si="7"/>
        <v>6</v>
      </c>
      <c r="U26" s="250">
        <f t="shared" si="8"/>
        <v>0.9995110610052319</v>
      </c>
      <c r="V26" s="382">
        <f t="shared" si="9"/>
        <v>28.6491426111983</v>
      </c>
      <c r="W26" s="400">
        <f t="shared" si="10"/>
        <v>23.974707900919839</v>
      </c>
      <c r="X26" s="157">
        <f t="shared" si="11"/>
        <v>45303</v>
      </c>
      <c r="Y26" s="383">
        <f t="shared" si="12"/>
        <v>23.498200438489999</v>
      </c>
      <c r="Z26" s="383">
        <f t="shared" si="22"/>
        <v>24.32622327825187</v>
      </c>
      <c r="AA26" s="384">
        <f t="shared" si="13"/>
        <v>25.756642063609377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5.553591892238513E-2</v>
      </c>
      <c r="AD26" s="230">
        <f>(INDEX(Models!$BJ26:$BT26,,AH26)*(1-AF26)+INDEX(Models!$BJ26:$BT26,,AH26+1)*AF26-ERP_i)*AE26*Ramure*Pc/MaxiM</f>
        <v>6.4000597641602455E-4</v>
      </c>
      <c r="AE26" s="304">
        <f t="shared" si="15"/>
        <v>0.6</v>
      </c>
      <c r="AF26" s="177">
        <f t="shared" si="23"/>
        <v>0.9995110610052319</v>
      </c>
      <c r="AG26" s="799">
        <f t="shared" si="24"/>
        <v>0</v>
      </c>
      <c r="AH26" s="176">
        <f t="shared" si="16"/>
        <v>6</v>
      </c>
      <c r="AI26" s="224">
        <f t="shared" si="17"/>
        <v>0.9995110610052319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45304</v>
      </c>
      <c r="B27" s="409">
        <f>IF(t&gt;Tmaj,'2023'!Wh/'2023'!Env_an*'2024'!Env_an,0.001*'[3]mon-tableau (2)'!$B$254)</f>
        <v>13.555921758057712</v>
      </c>
      <c r="C27" s="829"/>
      <c r="D27" s="391">
        <f t="shared" si="0"/>
        <v>14.033870392435768</v>
      </c>
      <c r="E27" s="383">
        <f t="shared" si="1"/>
        <v>14.565124606893036</v>
      </c>
      <c r="F27" s="383">
        <f t="shared" si="2"/>
        <v>14.567246483975561</v>
      </c>
      <c r="G27" s="110">
        <f t="shared" si="21"/>
        <v>0.46892724828823046</v>
      </c>
      <c r="H27" s="412" t="b">
        <f>Wh_hp&gt;='2023'!Maxi_hp</f>
        <v>0</v>
      </c>
      <c r="I27" s="388">
        <f>IF(H27,Wh_hp,'2023'!Maxi_hp)</f>
        <v>16.623085463395078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3.4056794099770804E-2</v>
      </c>
      <c r="M27" s="832"/>
      <c r="N27" s="832"/>
      <c r="O27" s="48">
        <f>IF(t&lt;Tnet,'2023'!Resal+('2023'!Salim-'2023'!Resal)*(1-EXP(('2023'!Tnet-t)/('2023'!Tau_j))),Resal+(Salim-Resal)*(1-EXP((Tnet-t)/(Tau_j))))*Salcycl</f>
        <v>3.647440229971316E-2</v>
      </c>
      <c r="P27" s="169">
        <f>(INDEX(Models!$BJ27:$BT27,,T27)*(1-R27)+INDEX(Models!$BJ27:$BT27,,T27+1)*R27-ERP_i)*Q27*Ramure*Pc/MaxiM</f>
        <v>6.0282320946467753E-4</v>
      </c>
      <c r="Q27" s="304">
        <f t="shared" si="4"/>
        <v>0.6</v>
      </c>
      <c r="R27" s="177">
        <f t="shared" si="5"/>
        <v>0.99955689836970096</v>
      </c>
      <c r="S27" s="799">
        <f t="shared" si="6"/>
        <v>0</v>
      </c>
      <c r="T27" s="176">
        <f t="shared" si="7"/>
        <v>6</v>
      </c>
      <c r="U27" s="250">
        <f t="shared" si="8"/>
        <v>0.99955689836970096</v>
      </c>
      <c r="V27" s="382">
        <f t="shared" si="9"/>
        <v>28.895150894134705</v>
      </c>
      <c r="W27" s="400">
        <f t="shared" si="10"/>
        <v>13.555921758057712</v>
      </c>
      <c r="X27" s="157">
        <f t="shared" si="11"/>
        <v>45304</v>
      </c>
      <c r="Y27" s="383">
        <f t="shared" si="12"/>
        <v>13.286780456596833</v>
      </c>
      <c r="Z27" s="383">
        <f t="shared" si="22"/>
        <v>13.755239827184214</v>
      </c>
      <c r="AA27" s="384">
        <f t="shared" si="13"/>
        <v>14.565124606893036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5.5604383866756583E-2</v>
      </c>
      <c r="AD27" s="230">
        <f>(INDEX(Models!$BJ27:$BT27,,AH27)*(1-AF27)+INDEX(Models!$BJ27:$BT27,,AH27+1)*AF27-ERP_i)*AE27*Ramure*Pc/MaxiM</f>
        <v>6.0282320946467753E-4</v>
      </c>
      <c r="AE27" s="304">
        <f t="shared" si="15"/>
        <v>0.6</v>
      </c>
      <c r="AF27" s="177">
        <f t="shared" si="23"/>
        <v>0.99955689836970096</v>
      </c>
      <c r="AG27" s="799">
        <f t="shared" si="24"/>
        <v>0</v>
      </c>
      <c r="AH27" s="176">
        <f t="shared" si="16"/>
        <v>6</v>
      </c>
      <c r="AI27" s="224">
        <f t="shared" si="17"/>
        <v>0.99955689836970096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45305</v>
      </c>
      <c r="B28" s="409">
        <f>IF(t&gt;Tmaj,'2023'!Wh/'2023'!Env_an*'2024'!Env_an,0.001*'[3]mon-tableau (2)'!$B$255)</f>
        <v>18.304239219725336</v>
      </c>
      <c r="C28" s="829"/>
      <c r="D28" s="391">
        <f t="shared" si="0"/>
        <v>18.949965082013147</v>
      </c>
      <c r="E28" s="383">
        <f t="shared" si="1"/>
        <v>19.669170267519558</v>
      </c>
      <c r="F28" s="383">
        <f t="shared" si="2"/>
        <v>19.674377806774682</v>
      </c>
      <c r="G28" s="110">
        <f t="shared" si="21"/>
        <v>0.62774285802136176</v>
      </c>
      <c r="H28" s="412" t="b">
        <f>Wh_hp&gt;='2023'!Maxi_hp</f>
        <v>0</v>
      </c>
      <c r="I28" s="388">
        <f>IF(H28,Wh_hp,'2023'!Maxi_hp)</f>
        <v>31.753841494972857</v>
      </c>
      <c r="J28" s="85">
        <f>IF(H28,An,'2023'!An_max)</f>
        <v>2022</v>
      </c>
      <c r="K28" s="197">
        <f t="shared" si="3"/>
        <v>45305</v>
      </c>
      <c r="L28" s="147">
        <f>IF(t&lt;Tvie,1-EXP((T0-t)*PertePVj)+'2023'!Pspv,1-EXP((T0-t)*PertePVj)+Pspv)</f>
        <v>3.4075306180944787E-2</v>
      </c>
      <c r="M28" s="832"/>
      <c r="N28" s="832"/>
      <c r="O28" s="48">
        <f>IF(t&lt;Tnet,'2023'!Resal+('2023'!Salim-'2023'!Resal)*(1-EXP(('2023'!Tnet-t)/('2023'!Tau_j))),Resal+(Salim-Resal)*(1-EXP((Tnet-t)/(Tau_j))))*Salcycl</f>
        <v>3.6565100394400522E-2</v>
      </c>
      <c r="P28" s="169">
        <f>(INDEX(Models!$BJ28:$BT28,,T28)*(1-R28)+INDEX(Models!$BJ28:$BT28,,T28+1)*R28-ERP_i)*Q28*Ramure*Pc/MaxiM</f>
        <v>5.6499743066156806E-4</v>
      </c>
      <c r="Q28" s="304">
        <f t="shared" si="4"/>
        <v>0.6</v>
      </c>
      <c r="R28" s="177">
        <f t="shared" si="5"/>
        <v>0.99960464976009045</v>
      </c>
      <c r="S28" s="799">
        <f t="shared" si="6"/>
        <v>0</v>
      </c>
      <c r="T28" s="176">
        <f t="shared" si="7"/>
        <v>6</v>
      </c>
      <c r="U28" s="250">
        <f t="shared" si="8"/>
        <v>0.99960464976009045</v>
      </c>
      <c r="V28" s="382">
        <f t="shared" si="9"/>
        <v>29.150058124419822</v>
      </c>
      <c r="W28" s="400">
        <f t="shared" si="10"/>
        <v>18.304239219725336</v>
      </c>
      <c r="X28" s="157">
        <f t="shared" si="11"/>
        <v>45305</v>
      </c>
      <c r="Y28" s="383">
        <f t="shared" si="12"/>
        <v>17.941212704973992</v>
      </c>
      <c r="Z28" s="383">
        <f t="shared" si="22"/>
        <v>18.574131937799784</v>
      </c>
      <c r="AA28" s="384">
        <f t="shared" si="13"/>
        <v>19.669170267519558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5.5672827822739919E-2</v>
      </c>
      <c r="AD28" s="230">
        <f>(INDEX(Models!$BJ28:$BT28,,AH28)*(1-AF28)+INDEX(Models!$BJ28:$BT28,,AH28+1)*AF28-ERP_i)*AE28*Ramure*Pc/MaxiM</f>
        <v>5.6499743066156806E-4</v>
      </c>
      <c r="AE28" s="304">
        <f t="shared" si="15"/>
        <v>0.6</v>
      </c>
      <c r="AF28" s="177">
        <f t="shared" si="23"/>
        <v>0.99960464976009045</v>
      </c>
      <c r="AG28" s="799">
        <f t="shared" si="24"/>
        <v>0</v>
      </c>
      <c r="AH28" s="176">
        <f t="shared" si="16"/>
        <v>6</v>
      </c>
      <c r="AI28" s="224">
        <f t="shared" si="17"/>
        <v>0.99960464976009045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45306</v>
      </c>
      <c r="B29" s="409">
        <f>IF(t&gt;Tmaj,'2023'!Wh/'2023'!Env_an*'2024'!Env_an,0.001*'[3]mon-tableau (2)'!$B$256)</f>
        <v>5.9648517583707932</v>
      </c>
      <c r="C29" s="829"/>
      <c r="D29" s="391">
        <f t="shared" si="0"/>
        <v>6.1753945351584623</v>
      </c>
      <c r="E29" s="383">
        <f t="shared" si="1"/>
        <v>6.4103713860409997</v>
      </c>
      <c r="F29" s="383">
        <f t="shared" si="2"/>
        <v>6.4103713860409997</v>
      </c>
      <c r="G29" s="110">
        <f t="shared" si="21"/>
        <v>0.20268972064114532</v>
      </c>
      <c r="H29" s="412" t="b">
        <f>Wh_hp&gt;='2023'!Maxi_hp</f>
        <v>0</v>
      </c>
      <c r="I29" s="388">
        <f>IF(H29,Wh_hp,'2023'!Maxi_hp)</f>
        <v>32.62432731925049</v>
      </c>
      <c r="J29" s="85">
        <f>IF(H29,An,'2023'!An_max)</f>
        <v>2022</v>
      </c>
      <c r="K29" s="197">
        <f t="shared" si="3"/>
        <v>45306</v>
      </c>
      <c r="L29" s="147">
        <f>IF(t&lt;Tvie,1-EXP((T0-t)*PertePVj)+'2023'!Pspv,1-EXP((T0-t)*PertePVj)+Pspv)</f>
        <v>3.4093817907339008E-2</v>
      </c>
      <c r="M29" s="832"/>
      <c r="N29" s="832"/>
      <c r="O29" s="48">
        <f>IF(t&lt;Tnet,'2023'!Resal+('2023'!Salim-'2023'!Resal)*(1-EXP(('2023'!Tnet-t)/('2023'!Tau_j))),Resal+(Salim-Resal)*(1-EXP((Tnet-t)/(Tau_j))))*Salcycl</f>
        <v>3.6655731272327727E-2</v>
      </c>
      <c r="P29" s="169">
        <f>(INDEX(Models!$BJ29:$BT29,,T29)*(1-R29)+INDEX(Models!$BJ29:$BT29,,T29+1)*R29-ERP_i)*Q29*Ramure*Pc/MaxiM</f>
        <v>5.2659436345274904E-4</v>
      </c>
      <c r="Q29" s="304">
        <f t="shared" si="4"/>
        <v>0.6</v>
      </c>
      <c r="R29" s="177">
        <f t="shared" si="5"/>
        <v>0.99965439471026274</v>
      </c>
      <c r="S29" s="799">
        <f t="shared" si="6"/>
        <v>0</v>
      </c>
      <c r="T29" s="176">
        <f t="shared" si="7"/>
        <v>6</v>
      </c>
      <c r="U29" s="250">
        <f t="shared" si="8"/>
        <v>0.99965439471026274</v>
      </c>
      <c r="V29" s="382">
        <f t="shared" si="9"/>
        <v>29.412989875352352</v>
      </c>
      <c r="W29" s="400">
        <f t="shared" si="10"/>
        <v>5.9648517583707932</v>
      </c>
      <c r="X29" s="157">
        <f t="shared" si="11"/>
        <v>45306</v>
      </c>
      <c r="Y29" s="383">
        <f t="shared" si="12"/>
        <v>5.8466777003181658</v>
      </c>
      <c r="Z29" s="383">
        <f t="shared" si="22"/>
        <v>6.0530492595576781</v>
      </c>
      <c r="AA29" s="384">
        <f t="shared" si="13"/>
        <v>6.4103713860409997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5.5741251943906618E-2</v>
      </c>
      <c r="AD29" s="230">
        <f>(INDEX(Models!$BJ29:$BT29,,AH29)*(1-AF29)+INDEX(Models!$BJ29:$BT29,,AH29+1)*AF29-ERP_i)*AE29*Ramure*Pc/MaxiM</f>
        <v>5.2659436345274904E-4</v>
      </c>
      <c r="AE29" s="304">
        <f t="shared" si="15"/>
        <v>0.6</v>
      </c>
      <c r="AF29" s="177">
        <f t="shared" si="23"/>
        <v>0.99965439471026274</v>
      </c>
      <c r="AG29" s="799">
        <f t="shared" si="24"/>
        <v>0</v>
      </c>
      <c r="AH29" s="176">
        <f t="shared" si="16"/>
        <v>6</v>
      </c>
      <c r="AI29" s="224">
        <f t="shared" si="17"/>
        <v>0.99965439471026274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45307</v>
      </c>
      <c r="B30" s="409">
        <f>IF(t&gt;Tmaj,'2023'!Wh/'2023'!Env_an*'2024'!Env_an,0.001*'[3]mon-tableau (2)'!$B$257)</f>
        <v>3.6176302300457759</v>
      </c>
      <c r="C30" s="829"/>
      <c r="D30" s="391">
        <f t="shared" si="0"/>
        <v>3.7453943555829814</v>
      </c>
      <c r="E30" s="383">
        <f t="shared" si="1"/>
        <v>3.8882740250443315</v>
      </c>
      <c r="F30" s="383">
        <f t="shared" si="2"/>
        <v>3.8882740250443315</v>
      </c>
      <c r="G30" s="110">
        <f t="shared" si="21"/>
        <v>0.12181576058818265</v>
      </c>
      <c r="H30" s="412" t="b">
        <f>Wh_hp&gt;='2023'!Maxi_hp</f>
        <v>0</v>
      </c>
      <c r="I30" s="388">
        <f>IF(H30,Wh_hp,'2023'!Maxi_hp)</f>
        <v>31.820475310957626</v>
      </c>
      <c r="J30" s="85">
        <f>IF(H30,An,'2023'!An_max)</f>
        <v>2022</v>
      </c>
      <c r="K30" s="197">
        <f t="shared" si="3"/>
        <v>45307</v>
      </c>
      <c r="L30" s="147">
        <f>IF(t&lt;Tvie,1-EXP((T0-t)*PertePVj)+'2023'!Pspv,1-EXP((T0-t)*PertePVj)+Pspv)</f>
        <v>3.411232927896013E-2</v>
      </c>
      <c r="M30" s="832"/>
      <c r="N30" s="832"/>
      <c r="O30" s="48">
        <f>IF(t&lt;Tnet,'2023'!Resal+('2023'!Salim-'2023'!Resal)*(1-EXP(('2023'!Tnet-t)/('2023'!Tau_j))),Resal+(Salim-Resal)*(1-EXP((Tnet-t)/(Tau_j))))*Salcycl</f>
        <v>3.6746296310667226E-2</v>
      </c>
      <c r="P30" s="169">
        <f>(INDEX(Models!$BJ30:$BT30,,T30)*(1-R30)+INDEX(Models!$BJ30:$BT30,,T30+1)*R30-ERP_i)*Q30*Ramure*Pc/MaxiM</f>
        <v>4.8868698707090364E-4</v>
      </c>
      <c r="Q30" s="304">
        <f t="shared" si="4"/>
        <v>0.6</v>
      </c>
      <c r="R30" s="177">
        <f t="shared" si="5"/>
        <v>0.99970621602565601</v>
      </c>
      <c r="S30" s="799">
        <f t="shared" si="6"/>
        <v>0</v>
      </c>
      <c r="T30" s="176">
        <f t="shared" si="7"/>
        <v>6</v>
      </c>
      <c r="U30" s="250">
        <f t="shared" si="8"/>
        <v>0.99970621602565601</v>
      </c>
      <c r="V30" s="382">
        <f t="shared" si="9"/>
        <v>29.683042028135507</v>
      </c>
      <c r="W30" s="400">
        <f t="shared" si="10"/>
        <v>3.6176302300457759</v>
      </c>
      <c r="X30" s="157">
        <f t="shared" si="11"/>
        <v>45307</v>
      </c>
      <c r="Y30" s="383">
        <f t="shared" si="12"/>
        <v>3.5460351837532804</v>
      </c>
      <c r="Z30" s="383">
        <f t="shared" si="22"/>
        <v>3.6712707815248824</v>
      </c>
      <c r="AA30" s="384">
        <f t="shared" si="13"/>
        <v>3.8882740250443315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5.5809657992655276E-2</v>
      </c>
      <c r="AD30" s="230">
        <f>(INDEX(Models!$BJ30:$BT30,,AH30)*(1-AF30)+INDEX(Models!$BJ30:$BT30,,AH30+1)*AF30-ERP_i)*AE30*Ramure*Pc/MaxiM</f>
        <v>4.8868698707090364E-4</v>
      </c>
      <c r="AE30" s="304">
        <f t="shared" si="15"/>
        <v>0.6</v>
      </c>
      <c r="AF30" s="177">
        <f t="shared" si="23"/>
        <v>0.99970621602565601</v>
      </c>
      <c r="AG30" s="799">
        <f t="shared" si="24"/>
        <v>0</v>
      </c>
      <c r="AH30" s="176">
        <f t="shared" si="16"/>
        <v>6</v>
      </c>
      <c r="AI30" s="224">
        <f t="shared" si="17"/>
        <v>0.99970621602565601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45308</v>
      </c>
      <c r="B31" s="409">
        <f>IF(t&gt;Tmaj,'2023'!Wh/'2023'!Env_an*'2024'!Env_an,0.001*'[3]mon-tableau (2)'!$B$258)</f>
        <v>6.8070599801739355</v>
      </c>
      <c r="C31" s="829"/>
      <c r="D31" s="391">
        <f t="shared" si="0"/>
        <v>7.0476005075663899</v>
      </c>
      <c r="E31" s="383">
        <f t="shared" si="1"/>
        <v>7.3171405294356662</v>
      </c>
      <c r="F31" s="383">
        <f t="shared" si="2"/>
        <v>7.3171405294356662</v>
      </c>
      <c r="G31" s="110">
        <f t="shared" si="21"/>
        <v>0.22710739735721483</v>
      </c>
      <c r="H31" s="412" t="b">
        <f>Wh_hp&gt;='2023'!Maxi_hp</f>
        <v>0</v>
      </c>
      <c r="I31" s="388">
        <f>IF(H31,Wh_hp,'2023'!Maxi_hp)</f>
        <v>12.614398134606729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3.4130840295815146E-2</v>
      </c>
      <c r="M31" s="832"/>
      <c r="N31" s="832"/>
      <c r="O31" s="48">
        <f>IF(t&lt;Tnet,'2023'!Resal+('2023'!Salim-'2023'!Resal)*(1-EXP(('2023'!Tnet-t)/('2023'!Tau_j))),Resal+(Salim-Resal)*(1-EXP((Tnet-t)/(Tau_j))))*Salcycl</f>
        <v>3.6836797214015511E-2</v>
      </c>
      <c r="P31" s="169">
        <f>(INDEX(Models!$BJ31:$BT31,,T31)*(1-R31)+INDEX(Models!$BJ31:$BT31,,T31+1)*R31-ERP_i)*Q31*Ramure*Pc/MaxiM</f>
        <v>4.520689279313597E-4</v>
      </c>
      <c r="Q31" s="304">
        <f t="shared" si="4"/>
        <v>0.6</v>
      </c>
      <c r="R31" s="177">
        <f t="shared" si="5"/>
        <v>0.99976019991501019</v>
      </c>
      <c r="S31" s="799">
        <f t="shared" si="6"/>
        <v>0</v>
      </c>
      <c r="T31" s="176">
        <f t="shared" si="7"/>
        <v>6</v>
      </c>
      <c r="U31" s="250">
        <f t="shared" si="8"/>
        <v>0.99976019991501019</v>
      </c>
      <c r="V31" s="382">
        <f t="shared" si="9"/>
        <v>29.959317922015639</v>
      </c>
      <c r="W31" s="400">
        <f t="shared" si="10"/>
        <v>6.8070599801739355</v>
      </c>
      <c r="X31" s="157">
        <f t="shared" si="11"/>
        <v>45308</v>
      </c>
      <c r="Y31" s="383">
        <f t="shared" si="12"/>
        <v>6.6724878356697879</v>
      </c>
      <c r="Z31" s="383">
        <f t="shared" si="22"/>
        <v>6.9082729980874014</v>
      </c>
      <c r="AA31" s="384">
        <f t="shared" si="13"/>
        <v>7.3171405294356662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5.5878048221632171E-2</v>
      </c>
      <c r="AD31" s="230">
        <f>(INDEX(Models!$BJ31:$BT31,,AH31)*(1-AF31)+INDEX(Models!$BJ31:$BT31,,AH31+1)*AF31-ERP_i)*AE31*Ramure*Pc/MaxiM</f>
        <v>4.520689279313597E-4</v>
      </c>
      <c r="AE31" s="304">
        <f t="shared" si="15"/>
        <v>0.6</v>
      </c>
      <c r="AF31" s="177">
        <f t="shared" si="23"/>
        <v>0.99976019991501019</v>
      </c>
      <c r="AG31" s="799">
        <f t="shared" si="24"/>
        <v>0</v>
      </c>
      <c r="AH31" s="176">
        <f t="shared" si="16"/>
        <v>6</v>
      </c>
      <c r="AI31" s="224">
        <f t="shared" si="17"/>
        <v>0.99976019991501019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45309</v>
      </c>
      <c r="B32" s="409">
        <f>IF(t&gt;Tmaj,'2023'!Wh/'2023'!Env_an*'2024'!Env_an,0.001*'[3]mon-tableau (2)'!$B$259)</f>
        <v>19.495804448152324</v>
      </c>
      <c r="C32" s="829"/>
      <c r="D32" s="391">
        <f t="shared" si="0"/>
        <v>20.185112954562758</v>
      </c>
      <c r="E32" s="383">
        <f t="shared" si="1"/>
        <v>20.95907361084447</v>
      </c>
      <c r="F32" s="383">
        <f t="shared" si="2"/>
        <v>20.963375374638662</v>
      </c>
      <c r="G32" s="110">
        <f t="shared" si="21"/>
        <v>0.64454599564968251</v>
      </c>
      <c r="H32" s="412" t="b">
        <f>Wh_hp&gt;='2023'!Maxi_hp</f>
        <v>0</v>
      </c>
      <c r="I32" s="388">
        <f>IF(H32,Wh_hp,'2023'!Maxi_hp)</f>
        <v>30.661484813289494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3.4149350957910718E-2</v>
      </c>
      <c r="M32" s="832"/>
      <c r="N32" s="832"/>
      <c r="O32" s="48">
        <f>IF(t&lt;Tnet,'2023'!Resal+('2023'!Salim-'2023'!Resal)*(1-EXP(('2023'!Tnet-t)/('2023'!Tau_j))),Resal+(Salim-Resal)*(1-EXP((Tnet-t)/(Tau_j))))*Salcycl</f>
        <v>3.6927235938579731E-2</v>
      </c>
      <c r="P32" s="169">
        <f>(INDEX(Models!$BJ32:$BT32,,T32)*(1-R32)+INDEX(Models!$BJ32:$BT32,,T32+1)*R32-ERP_i)*Q32*Ramure*Pc/MaxiM</f>
        <v>4.1673913396994853E-4</v>
      </c>
      <c r="Q32" s="304">
        <f t="shared" si="4"/>
        <v>0.6</v>
      </c>
      <c r="R32" s="177">
        <f t="shared" si="5"/>
        <v>0.99981643612715188</v>
      </c>
      <c r="S32" s="799">
        <f t="shared" si="6"/>
        <v>0</v>
      </c>
      <c r="T32" s="176">
        <f t="shared" si="7"/>
        <v>6</v>
      </c>
      <c r="U32" s="250">
        <f t="shared" si="8"/>
        <v>0.99981643612715188</v>
      </c>
      <c r="V32" s="382">
        <f t="shared" si="9"/>
        <v>30.240944294590896</v>
      </c>
      <c r="W32" s="400">
        <f t="shared" si="10"/>
        <v>19.495804448152324</v>
      </c>
      <c r="X32" s="157">
        <f t="shared" si="11"/>
        <v>45309</v>
      </c>
      <c r="Y32" s="383">
        <f t="shared" si="12"/>
        <v>19.110792630219144</v>
      </c>
      <c r="Z32" s="383">
        <f t="shared" si="22"/>
        <v>19.786488365642072</v>
      </c>
      <c r="AA32" s="384">
        <f t="shared" si="13"/>
        <v>20.95907361084447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5.5946425255918177E-2</v>
      </c>
      <c r="AD32" s="230">
        <f>(INDEX(Models!$BJ32:$BT32,,AH32)*(1-AF32)+INDEX(Models!$BJ32:$BT32,,AH32+1)*AF32-ERP_i)*AE32*Ramure*Pc/MaxiM</f>
        <v>4.1673913396994853E-4</v>
      </c>
      <c r="AE32" s="304">
        <f t="shared" si="15"/>
        <v>0.6</v>
      </c>
      <c r="AF32" s="177">
        <f t="shared" si="23"/>
        <v>0.99981643612715188</v>
      </c>
      <c r="AG32" s="799">
        <f t="shared" si="24"/>
        <v>0</v>
      </c>
      <c r="AH32" s="176">
        <f t="shared" si="16"/>
        <v>6</v>
      </c>
      <c r="AI32" s="224">
        <f t="shared" si="17"/>
        <v>0.99981643612715188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45310</v>
      </c>
      <c r="B33" s="409">
        <f>IF(t&gt;Tmaj,'2023'!Wh/'2023'!Env_an*'2024'!Env_an,0.001*'[3]mon-tableau (2)'!$B$260)</f>
        <v>10.245189597275182</v>
      </c>
      <c r="C33" s="829"/>
      <c r="D33" s="391">
        <f t="shared" si="0"/>
        <v>10.60762961428942</v>
      </c>
      <c r="E33" s="383">
        <f t="shared" si="1"/>
        <v>11.015393194416207</v>
      </c>
      <c r="F33" s="383">
        <f t="shared" si="2"/>
        <v>11.015607648231406</v>
      </c>
      <c r="G33" s="110">
        <f t="shared" si="21"/>
        <v>0.33548832333233747</v>
      </c>
      <c r="H33" s="412" t="b">
        <f>Wh_hp&gt;='2023'!Maxi_hp</f>
        <v>0</v>
      </c>
      <c r="I33" s="388">
        <f>IF(H33,Wh_hp,'2023'!Maxi_hp)</f>
        <v>33.4781759439336</v>
      </c>
      <c r="J33" s="85">
        <f>IF(H33,An,'2023'!An_max)</f>
        <v>2021</v>
      </c>
      <c r="K33" s="197">
        <f t="shared" si="3"/>
        <v>45310</v>
      </c>
      <c r="L33" s="147">
        <f>IF(t&lt;Tvie,1-EXP((T0-t)*PertePVj)+'2023'!Pspv,1-EXP((T0-t)*PertePVj)+Pspv)</f>
        <v>3.4167861265253729E-2</v>
      </c>
      <c r="M33" s="832"/>
      <c r="N33" s="832"/>
      <c r="O33" s="48">
        <f>IF(t&lt;Tnet,'2023'!Resal+('2023'!Salim-'2023'!Resal)*(1-EXP(('2023'!Tnet-t)/('2023'!Tau_j))),Resal+(Salim-Resal)*(1-EXP((Tnet-t)/(Tau_j))))*Salcycl</f>
        <v>3.7017614617105621E-2</v>
      </c>
      <c r="P33" s="169">
        <f>(INDEX(Models!$BJ33:$BT33,,T33)*(1-R33)+INDEX(Models!$BJ33:$BT33,,T33+1)*R33-ERP_i)*Q33*Ramure*Pc/MaxiM</f>
        <v>3.8269132232983589E-4</v>
      </c>
      <c r="Q33" s="304">
        <f t="shared" si="4"/>
        <v>0.6</v>
      </c>
      <c r="R33" s="177">
        <f t="shared" si="5"/>
        <v>0.99987501809301271</v>
      </c>
      <c r="S33" s="799">
        <f t="shared" si="6"/>
        <v>0</v>
      </c>
      <c r="T33" s="176">
        <f t="shared" si="7"/>
        <v>6</v>
      </c>
      <c r="U33" s="250">
        <f t="shared" si="8"/>
        <v>0.99987501809301271</v>
      </c>
      <c r="V33" s="382">
        <f t="shared" si="9"/>
        <v>30.527048253498734</v>
      </c>
      <c r="W33" s="400">
        <f t="shared" si="10"/>
        <v>10.245189597275182</v>
      </c>
      <c r="X33" s="157">
        <f t="shared" si="11"/>
        <v>45310</v>
      </c>
      <c r="Y33" s="383">
        <f t="shared" si="12"/>
        <v>10.043078232808025</v>
      </c>
      <c r="Z33" s="383">
        <f t="shared" si="22"/>
        <v>10.398368236083549</v>
      </c>
      <c r="AA33" s="384">
        <f t="shared" si="13"/>
        <v>11.015393194416207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5.6014791977233573E-2</v>
      </c>
      <c r="AD33" s="230">
        <f>(INDEX(Models!$BJ33:$BT33,,AH33)*(1-AF33)+INDEX(Models!$BJ33:$BT33,,AH33+1)*AF33-ERP_i)*AE33*Ramure*Pc/MaxiM</f>
        <v>3.8269132232983589E-4</v>
      </c>
      <c r="AE33" s="304">
        <f t="shared" si="15"/>
        <v>0.6</v>
      </c>
      <c r="AF33" s="177">
        <f t="shared" si="23"/>
        <v>0.99987501809301271</v>
      </c>
      <c r="AG33" s="799">
        <f t="shared" si="24"/>
        <v>0</v>
      </c>
      <c r="AH33" s="176">
        <f t="shared" si="16"/>
        <v>6</v>
      </c>
      <c r="AI33" s="224">
        <f t="shared" si="17"/>
        <v>0.99987501809301271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45311</v>
      </c>
      <c r="B34" s="409">
        <f>IF(t&gt;Tmaj,'2023'!Wh/'2023'!Env_an*'2024'!Env_an,0.001*'[3]mon-tableau (2)'!$B$261)</f>
        <v>18.367420606993516</v>
      </c>
      <c r="C34" s="829"/>
      <c r="D34" s="391">
        <f t="shared" si="0"/>
        <v>19.017562042641778</v>
      </c>
      <c r="E34" s="383">
        <f t="shared" si="1"/>
        <v>19.750460870427769</v>
      </c>
      <c r="F34" s="383">
        <f t="shared" si="2"/>
        <v>19.753383876747346</v>
      </c>
      <c r="G34" s="110">
        <f t="shared" si="21"/>
        <v>0.59590017109969518</v>
      </c>
      <c r="H34" s="412" t="b">
        <f>Wh_hp&gt;='2023'!Maxi_hp</f>
        <v>0</v>
      </c>
      <c r="I34" s="388">
        <f>IF(H34,Wh_hp,'2023'!Maxi_hp)</f>
        <v>19.75459752863182</v>
      </c>
      <c r="J34" s="85">
        <f>IF(H34,An,'2023'!An_max)</f>
        <v>2023</v>
      </c>
      <c r="K34" s="197">
        <f t="shared" si="3"/>
        <v>45311</v>
      </c>
      <c r="L34" s="147">
        <f>IF(t&lt;Tvie,1-EXP((T0-t)*PertePVj)+'2023'!Pspv,1-EXP((T0-t)*PertePVj)+Pspv)</f>
        <v>3.4186371217850842E-2</v>
      </c>
      <c r="M34" s="832"/>
      <c r="N34" s="832"/>
      <c r="O34" s="48">
        <f>IF(t&lt;Tnet,'2023'!Resal+('2023'!Salim-'2023'!Resal)*(1-EXP(('2023'!Tnet-t)/('2023'!Tau_j))),Resal+(Salim-Resal)*(1-EXP((Tnet-t)/(Tau_j))))*Salcycl</f>
        <v>3.7107935485361634E-2</v>
      </c>
      <c r="P34" s="169">
        <f>(INDEX(Models!$BJ34:$BT34,,T34)*(1-R34)+INDEX(Models!$BJ34:$BT34,,T34+1)*R34-ERP_i)*Q34*Ramure*Pc/MaxiM</f>
        <v>3.4991650596297348E-4</v>
      </c>
      <c r="Q34" s="304">
        <f t="shared" si="4"/>
        <v>0.6</v>
      </c>
      <c r="R34" s="177">
        <f t="shared" si="5"/>
        <v>0.99993604307305539</v>
      </c>
      <c r="S34" s="799">
        <f t="shared" si="6"/>
        <v>0</v>
      </c>
      <c r="T34" s="176">
        <f t="shared" si="7"/>
        <v>6</v>
      </c>
      <c r="U34" s="250">
        <f t="shared" si="8"/>
        <v>0.99993604307305539</v>
      </c>
      <c r="V34" s="382">
        <f t="shared" si="9"/>
        <v>30.816757241353489</v>
      </c>
      <c r="W34" s="400">
        <f t="shared" si="10"/>
        <v>18.367420606993516</v>
      </c>
      <c r="X34" s="157">
        <f t="shared" si="11"/>
        <v>45311</v>
      </c>
      <c r="Y34" s="383">
        <f t="shared" si="12"/>
        <v>18.005463348370675</v>
      </c>
      <c r="Z34" s="383">
        <f t="shared" si="22"/>
        <v>18.642792782987353</v>
      </c>
      <c r="AA34" s="384">
        <f t="shared" si="13"/>
        <v>19.750460870427769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5.6083151411363788E-2</v>
      </c>
      <c r="AD34" s="230">
        <f>(INDEX(Models!$BJ34:$BT34,,AH34)*(1-AF34)+INDEX(Models!$BJ34:$BT34,,AH34+1)*AF34-ERP_i)*AE34*Ramure*Pc/MaxiM</f>
        <v>3.4991650596297348E-4</v>
      </c>
      <c r="AE34" s="304">
        <f t="shared" si="15"/>
        <v>0.6</v>
      </c>
      <c r="AF34" s="177">
        <f t="shared" si="23"/>
        <v>0.99993604307305539</v>
      </c>
      <c r="AG34" s="799">
        <f t="shared" si="24"/>
        <v>0</v>
      </c>
      <c r="AH34" s="176">
        <f t="shared" si="16"/>
        <v>6</v>
      </c>
      <c r="AI34" s="224">
        <f t="shared" si="17"/>
        <v>0.99993604307305539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45312</v>
      </c>
      <c r="B35" s="409">
        <f>IF(t&gt;Tmaj,'2023'!Wh/'2023'!Env_an*'2024'!Env_an,0.001*'[3]mon-tableau (2)'!$B$262)</f>
        <v>6.6806457525048781</v>
      </c>
      <c r="C35" s="829"/>
      <c r="D35" s="391">
        <f t="shared" si="0"/>
        <v>6.917249445355802</v>
      </c>
      <c r="E35" s="383">
        <f t="shared" si="1"/>
        <v>7.1844999159558736</v>
      </c>
      <c r="F35" s="383">
        <f t="shared" si="2"/>
        <v>7.1844999159558736</v>
      </c>
      <c r="G35" s="110">
        <f t="shared" si="21"/>
        <v>0.21467986390127491</v>
      </c>
      <c r="H35" s="412" t="b">
        <f>Wh_hp&gt;='2023'!Maxi_hp</f>
        <v>0</v>
      </c>
      <c r="I35" s="388">
        <f>IF(H35,Wh_hp,'2023'!Maxi_hp)</f>
        <v>24.694624919253947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3.4204880815708938E-2</v>
      </c>
      <c r="M35" s="832"/>
      <c r="N35" s="832"/>
      <c r="O35" s="48">
        <f>IF(t&lt;Tnet,'2023'!Resal+('2023'!Salim-'2023'!Resal)*(1-EXP(('2023'!Tnet-t)/('2023'!Tau_j))),Resal+(Salim-Resal)*(1-EXP((Tnet-t)/(Tau_j))))*Salcycl</f>
        <v>3.7198200810962728E-2</v>
      </c>
      <c r="P35" s="169">
        <f>(INDEX(Models!$BJ35:$BT35,,T35)*(1-R35)+INDEX(Models!$BJ35:$BT35,,T35+1)*R35-ERP_i)*Q35*Ramure*Pc/MaxiM</f>
        <v>3.1840169853638629E-4</v>
      </c>
      <c r="Q35" s="304">
        <f t="shared" si="4"/>
        <v>0.6</v>
      </c>
      <c r="R35" s="177">
        <f t="shared" si="5"/>
        <v>0.99999961231029155</v>
      </c>
      <c r="S35" s="799">
        <f t="shared" si="6"/>
        <v>0</v>
      </c>
      <c r="T35" s="176">
        <f t="shared" si="7"/>
        <v>6</v>
      </c>
      <c r="U35" s="250">
        <f t="shared" si="8"/>
        <v>0.99999961231029155</v>
      </c>
      <c r="V35" s="382">
        <f t="shared" si="9"/>
        <v>31.109199075238934</v>
      </c>
      <c r="W35" s="400">
        <f t="shared" si="10"/>
        <v>6.6806457525048781</v>
      </c>
      <c r="X35" s="157">
        <f t="shared" si="11"/>
        <v>45312</v>
      </c>
      <c r="Y35" s="383">
        <f t="shared" si="12"/>
        <v>6.5491334079544279</v>
      </c>
      <c r="Z35" s="383">
        <f t="shared" si="22"/>
        <v>6.7810794213640415</v>
      </c>
      <c r="AA35" s="384">
        <f t="shared" si="13"/>
        <v>7.1844999159558736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5.6151506619950671E-2</v>
      </c>
      <c r="AD35" s="230">
        <f>(INDEX(Models!$BJ35:$BT35,,AH35)*(1-AF35)+INDEX(Models!$BJ35:$BT35,,AH35+1)*AF35-ERP_i)*AE35*Ramure*Pc/MaxiM</f>
        <v>3.1840169853638629E-4</v>
      </c>
      <c r="AE35" s="304">
        <f t="shared" si="15"/>
        <v>0.6</v>
      </c>
      <c r="AF35" s="177">
        <f t="shared" si="23"/>
        <v>0.99999961231029155</v>
      </c>
      <c r="AG35" s="799">
        <f t="shared" si="24"/>
        <v>0</v>
      </c>
      <c r="AH35" s="176">
        <f t="shared" si="16"/>
        <v>6</v>
      </c>
      <c r="AI35" s="224">
        <f t="shared" si="17"/>
        <v>0.99999961231029155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45313</v>
      </c>
      <c r="B36" s="409">
        <f>IF(t&gt;Tmaj,'2023'!Wh/'2023'!Env_an*'2024'!Env_an,0.001*'[3]mon-tableau (2)'!$B$263)</f>
        <v>31.491937438550341</v>
      </c>
      <c r="C36" s="829"/>
      <c r="D36" s="391">
        <f t="shared" si="0"/>
        <v>32.607889976201456</v>
      </c>
      <c r="E36" s="383">
        <f t="shared" si="1"/>
        <v>33.87088138400425</v>
      </c>
      <c r="F36" s="383">
        <f t="shared" si="2"/>
        <v>33.880643604916145</v>
      </c>
      <c r="G36" s="110">
        <f t="shared" si="21"/>
        <v>1.0028161076790947</v>
      </c>
      <c r="H36" s="412" t="b">
        <f>Wh_hp&gt;='2023'!Maxi_hp</f>
        <v>1</v>
      </c>
      <c r="I36" s="388">
        <f>IF(H36,Wh_hp,'2023'!Maxi_hp)</f>
        <v>33.880643604916145</v>
      </c>
      <c r="J36" s="85">
        <f>IF(H36,An,'2023'!An_max)</f>
        <v>2024</v>
      </c>
      <c r="K36" s="197">
        <f t="shared" si="3"/>
        <v>45313</v>
      </c>
      <c r="L36" s="147">
        <f>IF(t&lt;Tvie,1-EXP((T0-t)*PertePVj)+'2023'!Pspv,1-EXP((T0-t)*PertePVj)+Pspv)</f>
        <v>3.4223390058834791E-2</v>
      </c>
      <c r="M36" s="832"/>
      <c r="N36" s="832"/>
      <c r="O36" s="48">
        <f>IF(t&lt;Tnet,'2023'!Resal+('2023'!Salim-'2023'!Resal)*(1-EXP(('2023'!Tnet-t)/('2023'!Tau_j))),Resal+(Salim-Resal)*(1-EXP((Tnet-t)/(Tau_j))))*Salcycl</f>
        <v>3.7288412825278519E-2</v>
      </c>
      <c r="P36" s="169">
        <f>(INDEX(Models!$BJ36:$BT36,,T36)*(1-R36)+INDEX(Models!$BJ36:$BT36,,T36+1)*R36-ERP_i)*Q36*Ramure*Pc/MaxiM</f>
        <v>2.8813563950346881E-4</v>
      </c>
      <c r="Q36" s="304">
        <f t="shared" si="4"/>
        <v>0.6</v>
      </c>
      <c r="R36" s="177">
        <f t="shared" si="5"/>
        <v>6.5831189073772833E-5</v>
      </c>
      <c r="S36" s="799">
        <f t="shared" si="6"/>
        <v>1</v>
      </c>
      <c r="T36" s="176">
        <f t="shared" si="7"/>
        <v>7</v>
      </c>
      <c r="U36" s="250">
        <f t="shared" si="8"/>
        <v>1.0000658311890738</v>
      </c>
      <c r="V36" s="382">
        <f t="shared" si="9"/>
        <v>31.403501795992192</v>
      </c>
      <c r="W36" s="400">
        <f t="shared" si="10"/>
        <v>31.491937438550341</v>
      </c>
      <c r="X36" s="157">
        <f t="shared" si="11"/>
        <v>45313</v>
      </c>
      <c r="Y36" s="383">
        <f t="shared" si="12"/>
        <v>30.872657503818608</v>
      </c>
      <c r="Z36" s="383">
        <f t="shared" si="22"/>
        <v>31.966665154273471</v>
      </c>
      <c r="AA36" s="384">
        <f t="shared" si="13"/>
        <v>33.87088138400425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5.6219860597724484E-2</v>
      </c>
      <c r="AD36" s="230">
        <f>(INDEX(Models!$BJ36:$BT36,,AH36)*(1-AF36)+INDEX(Models!$BJ36:$BT36,,AH36+1)*AF36-ERP_i)*AE36*Ramure*Pc/MaxiM</f>
        <v>2.8813563950346881E-4</v>
      </c>
      <c r="AE36" s="304">
        <f t="shared" si="15"/>
        <v>0.6</v>
      </c>
      <c r="AF36" s="177">
        <f t="shared" si="23"/>
        <v>6.5831189073772833E-5</v>
      </c>
      <c r="AG36" s="799">
        <f t="shared" si="24"/>
        <v>1</v>
      </c>
      <c r="AH36" s="176">
        <f t="shared" si="16"/>
        <v>7</v>
      </c>
      <c r="AI36" s="224">
        <f t="shared" si="17"/>
        <v>1.0000658311890738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45314</v>
      </c>
      <c r="B37" s="409">
        <f>IF(t&gt;Tmaj,'2023'!Wh/'2023'!Env_an*'2024'!Env_an,0.001*'[3]mon-tableau (2)'!$B$264)</f>
        <v>31.388862441619331</v>
      </c>
      <c r="C37" s="829"/>
      <c r="D37" s="391">
        <f t="shared" si="0"/>
        <v>32.501785289093199</v>
      </c>
      <c r="E37" s="383">
        <f t="shared" si="1"/>
        <v>33.763829060650792</v>
      </c>
      <c r="F37" s="383">
        <f t="shared" si="2"/>
        <v>33.772454290226307</v>
      </c>
      <c r="G37" s="110">
        <f t="shared" si="21"/>
        <v>0.99009678022479786</v>
      </c>
      <c r="H37" s="412" t="b">
        <f>Wh_hp&gt;='2023'!Maxi_hp</f>
        <v>0</v>
      </c>
      <c r="I37" s="388">
        <f>IF(H37,Wh_hp,'2023'!Maxi_hp)</f>
        <v>33.772529804178184</v>
      </c>
      <c r="J37" s="85">
        <f>IF(H37,An,'2023'!An_max)</f>
        <v>2022</v>
      </c>
      <c r="K37" s="197">
        <f t="shared" si="3"/>
        <v>45314</v>
      </c>
      <c r="L37" s="147">
        <f>IF(t&lt;Tvie,1-EXP((T0-t)*PertePVj)+'2023'!Pspv,1-EXP((T0-t)*PertePVj)+Pspv)</f>
        <v>3.4241898947235283E-2</v>
      </c>
      <c r="M37" s="832"/>
      <c r="N37" s="832"/>
      <c r="O37" s="48">
        <f>IF(t&lt;Tnet,'2023'!Resal+('2023'!Salim-'2023'!Resal)*(1-EXP(('2023'!Tnet-t)/('2023'!Tau_j))),Resal+(Salim-Resal)*(1-EXP((Tnet-t)/(Tau_j))))*Salcycl</f>
        <v>3.7378573659123726E-2</v>
      </c>
      <c r="P37" s="169">
        <f>(INDEX(Models!$BJ37:$BT37,,T37)*(1-R37)+INDEX(Models!$BJ37:$BT37,,T37+1)*R37-ERP_i)*Q37*Ramure*Pc/MaxiM</f>
        <v>2.5905608406122957E-4</v>
      </c>
      <c r="Q37" s="304">
        <f t="shared" si="4"/>
        <v>0.6</v>
      </c>
      <c r="R37" s="177">
        <f t="shared" si="5"/>
        <v>1.3480939985099916E-4</v>
      </c>
      <c r="S37" s="799">
        <f t="shared" si="6"/>
        <v>1</v>
      </c>
      <c r="T37" s="176">
        <f t="shared" si="7"/>
        <v>7</v>
      </c>
      <c r="U37" s="250">
        <f t="shared" si="8"/>
        <v>1.000134809399851</v>
      </c>
      <c r="V37" s="382">
        <f t="shared" si="9"/>
        <v>31.702706282471485</v>
      </c>
      <c r="W37" s="400">
        <f t="shared" si="10"/>
        <v>31.388862441619331</v>
      </c>
      <c r="X37" s="157">
        <f t="shared" si="11"/>
        <v>45314</v>
      </c>
      <c r="Y37" s="383">
        <f t="shared" si="12"/>
        <v>30.7722626532227</v>
      </c>
      <c r="Z37" s="383">
        <f t="shared" si="22"/>
        <v>31.863323351549543</v>
      </c>
      <c r="AA37" s="384">
        <f t="shared" si="13"/>
        <v>33.763829060650792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5.6288216176172509E-2</v>
      </c>
      <c r="AD37" s="230">
        <f>(INDEX(Models!$BJ37:$BT37,,AH37)*(1-AF37)+INDEX(Models!$BJ37:$BT37,,AH37+1)*AF37-ERP_i)*AE37*Ramure*Pc/MaxiM</f>
        <v>2.5905608406122957E-4</v>
      </c>
      <c r="AE37" s="304">
        <f t="shared" si="15"/>
        <v>0.6</v>
      </c>
      <c r="AF37" s="177">
        <f t="shared" si="23"/>
        <v>1.3480939985099916E-4</v>
      </c>
      <c r="AG37" s="799">
        <f t="shared" si="24"/>
        <v>1</v>
      </c>
      <c r="AH37" s="176">
        <f t="shared" si="16"/>
        <v>7</v>
      </c>
      <c r="AI37" s="224">
        <f t="shared" si="17"/>
        <v>1.000134809399851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45315</v>
      </c>
      <c r="B38" s="409">
        <f>IF(t&gt;Tmaj,'2023'!Wh/'2023'!Env_an*'2024'!Env_an,0.001*'[3]mon-tableau (2)'!$B$265)</f>
        <v>32.410944579195558</v>
      </c>
      <c r="C38" s="829"/>
      <c r="D38" s="391">
        <f t="shared" si="0"/>
        <v>33.560749533581046</v>
      </c>
      <c r="E38" s="383">
        <f t="shared" si="1"/>
        <v>34.867176808106443</v>
      </c>
      <c r="F38" s="383">
        <f t="shared" si="2"/>
        <v>34.875269429553491</v>
      </c>
      <c r="G38" s="110">
        <f t="shared" si="21"/>
        <v>1.012529757282697</v>
      </c>
      <c r="H38" s="412" t="b">
        <f>Wh_hp&gt;='2023'!Maxi_hp</f>
        <v>1</v>
      </c>
      <c r="I38" s="388">
        <f>IF(H38,Wh_hp,'2023'!Maxi_hp)</f>
        <v>34.875269429553491</v>
      </c>
      <c r="J38" s="85">
        <f>IF(H38,An,'2023'!An_max)</f>
        <v>2024</v>
      </c>
      <c r="K38" s="197">
        <f t="shared" si="3"/>
        <v>45315</v>
      </c>
      <c r="L38" s="147">
        <f>IF(t&lt;Tvie,1-EXP((T0-t)*PertePVj)+'2023'!Pspv,1-EXP((T0-t)*PertePVj)+Pspv)</f>
        <v>3.4260407480917188E-2</v>
      </c>
      <c r="M38" s="832"/>
      <c r="N38" s="832"/>
      <c r="O38" s="48">
        <f>IF(t&lt;Tnet,'2023'!Resal+('2023'!Salim-'2023'!Resal)*(1-EXP(('2023'!Tnet-t)/('2023'!Tau_j))),Resal+(Salim-Resal)*(1-EXP((Tnet-t)/(Tau_j))))*Salcycl</f>
        <v>3.7468685282877848E-2</v>
      </c>
      <c r="P38" s="169">
        <f>(INDEX(Models!$BJ38:$BT38,,T38)*(1-R38)+INDEX(Models!$BJ38:$BT38,,T38+1)*R38-ERP_i)*Q38*Ramure*Pc/MaxiM</f>
        <v>2.3204470042576287E-4</v>
      </c>
      <c r="Q38" s="304">
        <f t="shared" si="4"/>
        <v>0.6</v>
      </c>
      <c r="R38" s="177">
        <f t="shared" si="5"/>
        <v>2.0666111008038612E-4</v>
      </c>
      <c r="S38" s="799">
        <f t="shared" si="6"/>
        <v>1</v>
      </c>
      <c r="T38" s="176">
        <f t="shared" si="7"/>
        <v>7</v>
      </c>
      <c r="U38" s="250">
        <f t="shared" si="8"/>
        <v>1.0002066611100804</v>
      </c>
      <c r="V38" s="382">
        <f t="shared" si="9"/>
        <v>32.0098686938111</v>
      </c>
      <c r="W38" s="400">
        <f t="shared" si="10"/>
        <v>32.410944579195558</v>
      </c>
      <c r="X38" s="157">
        <f t="shared" si="11"/>
        <v>45315</v>
      </c>
      <c r="Y38" s="383">
        <f t="shared" si="12"/>
        <v>31.774939944573067</v>
      </c>
      <c r="Z38" s="383">
        <f t="shared" si="22"/>
        <v>32.902182110696884</v>
      </c>
      <c r="AA38" s="384">
        <f t="shared" si="13"/>
        <v>34.867176808106443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5.6356575934553697E-2</v>
      </c>
      <c r="AD38" s="230">
        <f>(INDEX(Models!$BJ38:$BT38,,AH38)*(1-AF38)+INDEX(Models!$BJ38:$BT38,,AH38+1)*AF38-ERP_i)*AE38*Ramure*Pc/MaxiM</f>
        <v>2.3204470042576287E-4</v>
      </c>
      <c r="AE38" s="304">
        <f t="shared" si="15"/>
        <v>0.6</v>
      </c>
      <c r="AF38" s="177">
        <f t="shared" si="23"/>
        <v>2.0666111008038612E-4</v>
      </c>
      <c r="AG38" s="799">
        <f t="shared" si="24"/>
        <v>1</v>
      </c>
      <c r="AH38" s="176">
        <f t="shared" si="16"/>
        <v>7</v>
      </c>
      <c r="AI38" s="224">
        <f t="shared" si="17"/>
        <v>1.0002066611100804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45316</v>
      </c>
      <c r="B39" s="409">
        <f>IF(t&gt;Tmaj,'2023'!Wh/'2023'!Env_an*'2024'!Env_an,0.001*'[3]mon-tableau (2)'!$B$266)</f>
        <v>30.004206808299806</v>
      </c>
      <c r="C39" s="829"/>
      <c r="D39" s="391">
        <f t="shared" si="0"/>
        <v>31.069226192572973</v>
      </c>
      <c r="E39" s="383">
        <f t="shared" si="1"/>
        <v>32.281685946929642</v>
      </c>
      <c r="F39" s="383">
        <f t="shared" si="2"/>
        <v>32.287694454167841</v>
      </c>
      <c r="G39" s="110">
        <f t="shared" si="21"/>
        <v>0.92820830081110284</v>
      </c>
      <c r="H39" s="412" t="b">
        <f>Wh_hp&gt;='2023'!Maxi_hp</f>
        <v>0</v>
      </c>
      <c r="I39" s="388">
        <f>IF(H39,Wh_hp,'2023'!Maxi_hp)</f>
        <v>32.288114654998978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3.4278915659887166E-2</v>
      </c>
      <c r="M39" s="832"/>
      <c r="N39" s="832"/>
      <c r="O39" s="48">
        <f>IF(t&lt;Tnet,'2023'!Resal+('2023'!Salim-'2023'!Resal)*(1-EXP(('2023'!Tnet-t)/('2023'!Tau_j))),Resal+(Salim-Resal)*(1-EXP((Tnet-t)/(Tau_j))))*Salcycl</f>
        <v>3.7558749451621722E-2</v>
      </c>
      <c r="P39" s="169">
        <f>(INDEX(Models!$BJ39:$BT39,,T39)*(1-R39)+INDEX(Models!$BJ39:$BT39,,T39+1)*R39-ERP_i)*Q39*Ramure*Pc/MaxiM</f>
        <v>2.073529785488906E-4</v>
      </c>
      <c r="Q39" s="304">
        <f t="shared" si="4"/>
        <v>0.6</v>
      </c>
      <c r="R39" s="177">
        <f t="shared" si="5"/>
        <v>2.8150514148861383E-4</v>
      </c>
      <c r="S39" s="799">
        <f t="shared" si="6"/>
        <v>1</v>
      </c>
      <c r="T39" s="176">
        <f t="shared" si="7"/>
        <v>7</v>
      </c>
      <c r="U39" s="250">
        <f t="shared" si="8"/>
        <v>1.0002815051414886</v>
      </c>
      <c r="V39" s="382">
        <f t="shared" si="9"/>
        <v>32.324176338808527</v>
      </c>
      <c r="W39" s="400">
        <f t="shared" si="10"/>
        <v>30.004206808299806</v>
      </c>
      <c r="X39" s="157">
        <f t="shared" si="11"/>
        <v>45316</v>
      </c>
      <c r="Y39" s="383">
        <f t="shared" si="12"/>
        <v>29.416051275526346</v>
      </c>
      <c r="Z39" s="383">
        <f t="shared" si="22"/>
        <v>30.460193685868045</v>
      </c>
      <c r="AA39" s="384">
        <f t="shared" si="13"/>
        <v>32.281685946929642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5.6424942119073028E-2</v>
      </c>
      <c r="AD39" s="230">
        <f>(INDEX(Models!$BJ39:$BT39,,AH39)*(1-AF39)+INDEX(Models!$BJ39:$BT39,,AH39+1)*AF39-ERP_i)*AE39*Ramure*Pc/MaxiM</f>
        <v>2.073529785488906E-4</v>
      </c>
      <c r="AE39" s="304">
        <f t="shared" si="15"/>
        <v>0.6</v>
      </c>
      <c r="AF39" s="177">
        <f t="shared" si="23"/>
        <v>2.8150514148861383E-4</v>
      </c>
      <c r="AG39" s="799">
        <f t="shared" si="24"/>
        <v>1</v>
      </c>
      <c r="AH39" s="176">
        <f t="shared" si="16"/>
        <v>7</v>
      </c>
      <c r="AI39" s="224">
        <f t="shared" si="17"/>
        <v>1.0002815051414886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45317</v>
      </c>
      <c r="B40" s="409">
        <f>IF(t&gt;Tmaj,'2023'!Wh/'2023'!Env_an*'2024'!Env_an,0.001*'[3]mon-tableau (2)'!$B$267)</f>
        <v>31.63614473795144</v>
      </c>
      <c r="C40" s="829"/>
      <c r="D40" s="391">
        <f t="shared" si="0"/>
        <v>32.759718682838439</v>
      </c>
      <c r="E40" s="383">
        <f t="shared" si="1"/>
        <v>34.041332916506285</v>
      </c>
      <c r="F40" s="383">
        <f t="shared" si="2"/>
        <v>34.04735148555789</v>
      </c>
      <c r="G40" s="110">
        <f t="shared" si="21"/>
        <v>0.96909342674925336</v>
      </c>
      <c r="H40" s="412" t="b">
        <f>Wh_hp&gt;='2023'!Maxi_hp</f>
        <v>0</v>
      </c>
      <c r="I40" s="388">
        <f>IF(H40,Wh_hp,'2023'!Maxi_hp)</f>
        <v>34.047521820123769</v>
      </c>
      <c r="J40" s="85">
        <f>IF(H40,An,'2023'!An_max)</f>
        <v>2022</v>
      </c>
      <c r="K40" s="197">
        <f t="shared" si="3"/>
        <v>45317</v>
      </c>
      <c r="L40" s="147">
        <f>IF(t&lt;Tvie,1-EXP((T0-t)*PertePVj)+'2023'!Pspv,1-EXP((T0-t)*PertePVj)+Pspv)</f>
        <v>3.4297423484152101E-2</v>
      </c>
      <c r="M40" s="832"/>
      <c r="N40" s="832"/>
      <c r="O40" s="48">
        <f>IF(t&lt;Tnet,'2023'!Resal+('2023'!Salim-'2023'!Resal)*(1-EXP(('2023'!Tnet-t)/('2023'!Tau_j))),Resal+(Salim-Resal)*(1-EXP((Tnet-t)/(Tau_j))))*Salcycl</f>
        <v>3.7648767655816644E-2</v>
      </c>
      <c r="P40" s="169">
        <f>(INDEX(Models!$BJ40:$BT40,,T40)*(1-R40)+INDEX(Models!$BJ40:$BT40,,T40+1)*R40-ERP_i)*Q40*Ramure*Pc/MaxiM</f>
        <v>1.8493369815097266E-4</v>
      </c>
      <c r="Q40" s="304">
        <f t="shared" si="4"/>
        <v>0.6</v>
      </c>
      <c r="R40" s="177">
        <f t="shared" si="5"/>
        <v>3.5946515388141087E-4</v>
      </c>
      <c r="S40" s="799">
        <f t="shared" si="6"/>
        <v>1</v>
      </c>
      <c r="T40" s="176">
        <f t="shared" si="7"/>
        <v>7</v>
      </c>
      <c r="U40" s="250">
        <f t="shared" si="8"/>
        <v>1.0003594651538814</v>
      </c>
      <c r="V40" s="382">
        <f t="shared" si="9"/>
        <v>32.644826152499178</v>
      </c>
      <c r="W40" s="400">
        <f t="shared" si="10"/>
        <v>31.63614473795144</v>
      </c>
      <c r="X40" s="157">
        <f t="shared" si="11"/>
        <v>45317</v>
      </c>
      <c r="Y40" s="383">
        <f t="shared" si="12"/>
        <v>31.016652751072911</v>
      </c>
      <c r="Z40" s="383">
        <f t="shared" si="22"/>
        <v>32.118225119557714</v>
      </c>
      <c r="AA40" s="384">
        <f t="shared" si="13"/>
        <v>34.041332916506285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5.6493316570928882E-2</v>
      </c>
      <c r="AD40" s="230">
        <f>(INDEX(Models!$BJ40:$BT40,,AH40)*(1-AF40)+INDEX(Models!$BJ40:$BT40,,AH40+1)*AF40-ERP_i)*AE40*Ramure*Pc/MaxiM</f>
        <v>1.8493369815097266E-4</v>
      </c>
      <c r="AE40" s="304">
        <f t="shared" si="15"/>
        <v>0.6</v>
      </c>
      <c r="AF40" s="177">
        <f t="shared" si="23"/>
        <v>3.5946515388141087E-4</v>
      </c>
      <c r="AG40" s="799">
        <f t="shared" si="24"/>
        <v>1</v>
      </c>
      <c r="AH40" s="176">
        <f t="shared" si="16"/>
        <v>7</v>
      </c>
      <c r="AI40" s="224">
        <f t="shared" si="17"/>
        <v>1.0003594651538814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45318</v>
      </c>
      <c r="B41" s="409">
        <f>IF(t&gt;Tmaj,'2023'!Wh/'2023'!Env_an*'2024'!Env_an,0.001*'[3]mon-tableau (2)'!$B$268)</f>
        <v>27.9232161274874</v>
      </c>
      <c r="C41" s="829"/>
      <c r="D41" s="391">
        <f t="shared" si="0"/>
        <v>28.915477662445689</v>
      </c>
      <c r="E41" s="383">
        <f t="shared" si="1"/>
        <v>30.049508274747097</v>
      </c>
      <c r="F41" s="383">
        <f t="shared" si="2"/>
        <v>30.053376345588287</v>
      </c>
      <c r="G41" s="110">
        <f t="shared" si="21"/>
        <v>0.84687139764869879</v>
      </c>
      <c r="H41" s="412" t="b">
        <f>Wh_hp&gt;='2023'!Maxi_hp</f>
        <v>0</v>
      </c>
      <c r="I41" s="388">
        <f>IF(H41,Wh_hp,'2023'!Maxi_hp)</f>
        <v>30.054040469475297</v>
      </c>
      <c r="J41" s="85">
        <f>IF(H41,An,'2023'!An_max)</f>
        <v>2022</v>
      </c>
      <c r="K41" s="197">
        <f t="shared" si="3"/>
        <v>45318</v>
      </c>
      <c r="L41" s="147">
        <f>IF(t&lt;Tvie,1-EXP((T0-t)*PertePVj)+'2023'!Pspv,1-EXP((T0-t)*PertePVj)+Pspv)</f>
        <v>3.4315930953718876E-2</v>
      </c>
      <c r="M41" s="832"/>
      <c r="N41" s="832"/>
      <c r="O41" s="48">
        <f>IF(t&lt;Tnet,'2023'!Resal+('2023'!Salim-'2023'!Resal)*(1-EXP(('2023'!Tnet-t)/('2023'!Tau_j))),Resal+(Salim-Resal)*(1-EXP((Tnet-t)/(Tau_j))))*Salcycl</f>
        <v>3.7738741077983723E-2</v>
      </c>
      <c r="P41" s="169">
        <f>(INDEX(Models!$BJ41:$BT41,,T41)*(1-R41)+INDEX(Models!$BJ41:$BT41,,T41+1)*R41-ERP_i)*Q41*Ramure*Pc/MaxiM</f>
        <v>1.647364660336207E-4</v>
      </c>
      <c r="Q41" s="304">
        <f t="shared" si="4"/>
        <v>0.6</v>
      </c>
      <c r="R41" s="177">
        <f t="shared" si="5"/>
        <v>4.4066983570312246E-4</v>
      </c>
      <c r="S41" s="799">
        <f t="shared" si="6"/>
        <v>1</v>
      </c>
      <c r="T41" s="176">
        <f t="shared" si="7"/>
        <v>7</v>
      </c>
      <c r="U41" s="250">
        <f t="shared" si="8"/>
        <v>1.0004406698357031</v>
      </c>
      <c r="V41" s="382">
        <f t="shared" si="9"/>
        <v>32.971015444039743</v>
      </c>
      <c r="W41" s="400">
        <f t="shared" si="10"/>
        <v>27.9232161274874</v>
      </c>
      <c r="X41" s="157">
        <f t="shared" si="11"/>
        <v>45318</v>
      </c>
      <c r="Y41" s="383">
        <f t="shared" si="12"/>
        <v>27.377005247852061</v>
      </c>
      <c r="Z41" s="383">
        <f t="shared" si="22"/>
        <v>28.349856982615293</v>
      </c>
      <c r="AA41" s="384">
        <f t="shared" si="13"/>
        <v>30.049508274747097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5.6561700663839254E-2</v>
      </c>
      <c r="AD41" s="230">
        <f>(INDEX(Models!$BJ41:$BT41,,AH41)*(1-AF41)+INDEX(Models!$BJ41:$BT41,,AH41+1)*AF41-ERP_i)*AE41*Ramure*Pc/MaxiM</f>
        <v>1.647364660336207E-4</v>
      </c>
      <c r="AE41" s="304">
        <f t="shared" si="15"/>
        <v>0.6</v>
      </c>
      <c r="AF41" s="177">
        <f t="shared" si="23"/>
        <v>4.4066983570312246E-4</v>
      </c>
      <c r="AG41" s="799">
        <f t="shared" si="24"/>
        <v>1</v>
      </c>
      <c r="AH41" s="176">
        <f t="shared" si="16"/>
        <v>7</v>
      </c>
      <c r="AI41" s="224">
        <f t="shared" si="17"/>
        <v>1.0004406698357031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45319</v>
      </c>
      <c r="B42" s="409">
        <f>IF(t&gt;Tmaj,'2023'!Wh/'2023'!Env_an*'2024'!Env_an,0.001*'[3]mon-tableau (2)'!$B$269)</f>
        <v>4.2632978365717573</v>
      </c>
      <c r="C42" s="829"/>
      <c r="D42" s="391">
        <f t="shared" si="0"/>
        <v>4.4148802697745921</v>
      </c>
      <c r="E42" s="383">
        <f t="shared" si="1"/>
        <v>4.5884554389338543</v>
      </c>
      <c r="F42" s="383">
        <f t="shared" si="2"/>
        <v>4.5884554389338543</v>
      </c>
      <c r="G42" s="110">
        <f t="shared" si="21"/>
        <v>0.12800071502031984</v>
      </c>
      <c r="H42" s="412" t="b">
        <f>Wh_hp&gt;='2023'!Maxi_hp</f>
        <v>0</v>
      </c>
      <c r="I42" s="388">
        <f>IF(H42,Wh_hp,'2023'!Maxi_hp)</f>
        <v>18.140123451777548</v>
      </c>
      <c r="J42" s="85">
        <f>IF(H42,An,'2023'!An_max)</f>
        <v>2021</v>
      </c>
      <c r="K42" s="197">
        <f t="shared" si="3"/>
        <v>45319</v>
      </c>
      <c r="L42" s="147">
        <f>IF(t&lt;Tvie,1-EXP((T0-t)*PertePVj)+'2023'!Pspv,1-EXP((T0-t)*PertePVj)+Pspv)</f>
        <v>3.4334438068594264E-2</v>
      </c>
      <c r="M42" s="832"/>
      <c r="N42" s="832"/>
      <c r="O42" s="48">
        <f>IF(t&lt;Tnet,'2023'!Resal+('2023'!Salim-'2023'!Resal)*(1-EXP(('2023'!Tnet-t)/('2023'!Tau_j))),Resal+(Salim-Resal)*(1-EXP((Tnet-t)/(Tau_j))))*Salcycl</f>
        <v>3.7828670555770494E-2</v>
      </c>
      <c r="P42" s="169">
        <f>(INDEX(Models!$BJ42:$BT42,,T42)*(1-R42)+INDEX(Models!$BJ42:$BT42,,T42+1)*R42-ERP_i)*Q42*Ramure*Pc/MaxiM</f>
        <v>1.4670854596017361E-4</v>
      </c>
      <c r="Q42" s="304">
        <f t="shared" si="4"/>
        <v>0.6</v>
      </c>
      <c r="R42" s="177">
        <f t="shared" si="5"/>
        <v>5.2525310154916127E-4</v>
      </c>
      <c r="S42" s="799">
        <f t="shared" si="6"/>
        <v>1</v>
      </c>
      <c r="T42" s="176">
        <f t="shared" si="7"/>
        <v>7</v>
      </c>
      <c r="U42" s="250">
        <f t="shared" si="8"/>
        <v>1.0005252531015492</v>
      </c>
      <c r="V42" s="382">
        <f t="shared" si="9"/>
        <v>33.301941896718851</v>
      </c>
      <c r="W42" s="400">
        <f t="shared" si="10"/>
        <v>4.2632978365717573</v>
      </c>
      <c r="X42" s="157">
        <f t="shared" si="11"/>
        <v>45319</v>
      </c>
      <c r="Y42" s="383">
        <f t="shared" si="12"/>
        <v>4.1799903519512673</v>
      </c>
      <c r="Z42" s="383">
        <f t="shared" si="22"/>
        <v>4.3286107703695711</v>
      </c>
      <c r="AA42" s="384">
        <f t="shared" si="13"/>
        <v>4.5884554389338543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5.6630095251542771E-2</v>
      </c>
      <c r="AD42" s="230">
        <f>(INDEX(Models!$BJ42:$BT42,,AH42)*(1-AF42)+INDEX(Models!$BJ42:$BT42,,AH42+1)*AF42-ERP_i)*AE42*Ramure*Pc/MaxiM</f>
        <v>1.4670854596017361E-4</v>
      </c>
      <c r="AE42" s="304">
        <f t="shared" si="15"/>
        <v>0.6</v>
      </c>
      <c r="AF42" s="177">
        <f t="shared" si="23"/>
        <v>5.2525310154916127E-4</v>
      </c>
      <c r="AG42" s="799">
        <f t="shared" si="24"/>
        <v>1</v>
      </c>
      <c r="AH42" s="176">
        <f t="shared" si="16"/>
        <v>7</v>
      </c>
      <c r="AI42" s="224">
        <f t="shared" si="17"/>
        <v>1.0005252531015492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45320</v>
      </c>
      <c r="B43" s="409">
        <f>IF(t&gt;Tmaj,'2023'!Wh/'2023'!Env_an*'2024'!Env_an,0.001*'[3]mon-tableau (2)'!$B$270)</f>
        <v>8.1102490671840108</v>
      </c>
      <c r="C43" s="829"/>
      <c r="D43" s="391">
        <f t="shared" si="0"/>
        <v>8.3987716047516088</v>
      </c>
      <c r="E43" s="383">
        <f t="shared" si="1"/>
        <v>8.7297927446233885</v>
      </c>
      <c r="F43" s="383">
        <f t="shared" si="2"/>
        <v>8.7297927446233885</v>
      </c>
      <c r="G43" s="110">
        <f t="shared" si="21"/>
        <v>0.2410808228761441</v>
      </c>
      <c r="H43" s="412" t="b">
        <f>Wh_hp&gt;='2023'!Maxi_hp</f>
        <v>0</v>
      </c>
      <c r="I43" s="388">
        <f>IF(H43,Wh_hp,'2023'!Maxi_hp)</f>
        <v>22.560776300734982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3.4352944828784926E-2</v>
      </c>
      <c r="M43" s="832"/>
      <c r="N43" s="832"/>
      <c r="O43" s="48">
        <f>IF(t&lt;Tnet,'2023'!Resal+('2023'!Salim-'2023'!Resal)*(1-EXP(('2023'!Tnet-t)/('2023'!Tau_j))),Resal+(Salim-Resal)*(1-EXP((Tnet-t)/(Tau_j))))*Salcycl</f>
        <v>3.7918556551717955E-2</v>
      </c>
      <c r="P43" s="169">
        <f>(INDEX(Models!$BJ43:$BT43,,T43)*(1-R43)+INDEX(Models!$BJ43:$BT43,,T43+1)*R43-ERP_i)*Q43*Ramure*Pc/MaxiM</f>
        <v>1.3079561930378714E-4</v>
      </c>
      <c r="Q43" s="304">
        <f t="shared" si="4"/>
        <v>0.6</v>
      </c>
      <c r="R43" s="177">
        <f t="shared" si="5"/>
        <v>6.1335429683428977E-4</v>
      </c>
      <c r="S43" s="799">
        <f t="shared" si="6"/>
        <v>1</v>
      </c>
      <c r="T43" s="176">
        <f t="shared" si="7"/>
        <v>7</v>
      </c>
      <c r="U43" s="250">
        <f t="shared" si="8"/>
        <v>1.0006133542968343</v>
      </c>
      <c r="V43" s="382">
        <f t="shared" si="9"/>
        <v>33.636803564009227</v>
      </c>
      <c r="W43" s="400">
        <f t="shared" si="10"/>
        <v>8.1102490671840108</v>
      </c>
      <c r="X43" s="157">
        <f t="shared" si="11"/>
        <v>45320</v>
      </c>
      <c r="Y43" s="383">
        <f t="shared" si="12"/>
        <v>7.9519360418734797</v>
      </c>
      <c r="Z43" s="383">
        <f t="shared" si="22"/>
        <v>8.2348265852305147</v>
      </c>
      <c r="AA43" s="384">
        <f t="shared" si="13"/>
        <v>8.7297927446233885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5.6698500625655783E-2</v>
      </c>
      <c r="AD43" s="230">
        <f>(INDEX(Models!$BJ43:$BT43,,AH43)*(1-AF43)+INDEX(Models!$BJ43:$BT43,,AH43+1)*AF43-ERP_i)*AE43*Ramure*Pc/MaxiM</f>
        <v>1.3079561930378714E-4</v>
      </c>
      <c r="AE43" s="304">
        <f t="shared" si="15"/>
        <v>0.6</v>
      </c>
      <c r="AF43" s="177">
        <f t="shared" si="23"/>
        <v>6.1335429683428977E-4</v>
      </c>
      <c r="AG43" s="799">
        <f t="shared" si="24"/>
        <v>1</v>
      </c>
      <c r="AH43" s="176">
        <f t="shared" si="16"/>
        <v>7</v>
      </c>
      <c r="AI43" s="224">
        <f t="shared" si="17"/>
        <v>1.0006133542968343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45321</v>
      </c>
      <c r="B44" s="409">
        <f>IF(t&gt;Tmaj,'2023'!Wh/'2023'!Env_an*'2024'!Env_an,0.001*'[3]mon-tableau (2)'!$B$271)</f>
        <v>4.6928357398708087</v>
      </c>
      <c r="C44" s="829"/>
      <c r="D44" s="391">
        <f t="shared" si="0"/>
        <v>4.8598767568226355</v>
      </c>
      <c r="E44" s="383">
        <f t="shared" si="1"/>
        <v>5.0518910481414974</v>
      </c>
      <c r="F44" s="383">
        <f t="shared" si="2"/>
        <v>5.0518910481414974</v>
      </c>
      <c r="G44" s="110">
        <f t="shared" si="21"/>
        <v>0.13811080870779746</v>
      </c>
      <c r="H44" s="412" t="b">
        <f>Wh_hp&gt;='2023'!Maxi_hp</f>
        <v>0</v>
      </c>
      <c r="I44" s="388">
        <f>IF(H44,Wh_hp,'2023'!Maxi_hp)</f>
        <v>12.305895524222464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3.4371451234297856E-2</v>
      </c>
      <c r="M44" s="832"/>
      <c r="N44" s="832"/>
      <c r="O44" s="48">
        <f>IF(t&lt;Tnet,'2023'!Resal+('2023'!Salim-'2023'!Resal)*(1-EXP(('2023'!Tnet-t)/('2023'!Tau_j))),Resal+(Salim-Resal)*(1-EXP((Tnet-t)/(Tau_j))))*Salcycl</f>
        <v>3.8008399129965516E-2</v>
      </c>
      <c r="P44" s="169">
        <f>(INDEX(Models!$BJ44:$BT44,,T44)*(1-R44)+INDEX(Models!$BJ44:$BT44,,T44+1)*R44-ERP_i)*Q44*Ramure*Pc/MaxiM</f>
        <v>1.1726970760233138E-4</v>
      </c>
      <c r="Q44" s="304">
        <f t="shared" si="4"/>
        <v>0.6</v>
      </c>
      <c r="R44" s="177">
        <f t="shared" si="5"/>
        <v>7.0511840982789842E-4</v>
      </c>
      <c r="S44" s="799">
        <f t="shared" si="6"/>
        <v>1</v>
      </c>
      <c r="T44" s="176">
        <f t="shared" si="7"/>
        <v>7</v>
      </c>
      <c r="U44" s="250">
        <f t="shared" si="8"/>
        <v>1.0007051184098279</v>
      </c>
      <c r="V44" s="382">
        <f t="shared" si="9"/>
        <v>33.974787754109009</v>
      </c>
      <c r="W44" s="400">
        <f t="shared" si="10"/>
        <v>4.6928357398708087</v>
      </c>
      <c r="X44" s="157">
        <f t="shared" si="11"/>
        <v>45321</v>
      </c>
      <c r="Y44" s="383">
        <f t="shared" si="12"/>
        <v>4.6013269984357485</v>
      </c>
      <c r="Z44" s="383">
        <f t="shared" si="22"/>
        <v>4.7651107709246112</v>
      </c>
      <c r="AA44" s="384">
        <f t="shared" si="13"/>
        <v>5.0518910481414974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5.6766916484152413E-2</v>
      </c>
      <c r="AD44" s="230">
        <f>(INDEX(Models!$BJ44:$BT44,,AH44)*(1-AF44)+INDEX(Models!$BJ44:$BT44,,AH44+1)*AF44-ERP_i)*AE44*Ramure*Pc/MaxiM</f>
        <v>1.1726970760233138E-4</v>
      </c>
      <c r="AE44" s="304">
        <f t="shared" si="15"/>
        <v>0.6</v>
      </c>
      <c r="AF44" s="177">
        <f t="shared" si="23"/>
        <v>7.0511840982789842E-4</v>
      </c>
      <c r="AG44" s="799">
        <f t="shared" si="24"/>
        <v>1</v>
      </c>
      <c r="AH44" s="176">
        <f t="shared" si="16"/>
        <v>7</v>
      </c>
      <c r="AI44" s="224">
        <f t="shared" si="17"/>
        <v>1.0007051184098279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45322</v>
      </c>
      <c r="B45" s="409">
        <f>IF(t&gt;Tmaj,'2023'!Wh/'2023'!Env_an*'2024'!Env_an,0.001*'[3]mon-tableau (2)'!$B$272)</f>
        <v>7.4836316525819493</v>
      </c>
      <c r="C45" s="829"/>
      <c r="D45" s="391">
        <f t="shared" si="0"/>
        <v>7.750159299857061</v>
      </c>
      <c r="E45" s="383">
        <f t="shared" si="1"/>
        <v>8.0571210941281421</v>
      </c>
      <c r="F45" s="383">
        <f t="shared" si="2"/>
        <v>8.0571210941281421</v>
      </c>
      <c r="G45" s="110">
        <f t="shared" si="21"/>
        <v>0.21806258367335335</v>
      </c>
      <c r="H45" s="412" t="b">
        <f>Wh_hp&gt;='2023'!Maxi_hp</f>
        <v>0</v>
      </c>
      <c r="I45" s="388">
        <f>IF(H45,Wh_hp,'2023'!Maxi_hp)</f>
        <v>23.230245238916424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3.4389957285139605E-2</v>
      </c>
      <c r="M45" s="832"/>
      <c r="N45" s="832"/>
      <c r="O45" s="48">
        <f>IF(t&lt;Tnet,'2023'!Resal+('2023'!Salim-'2023'!Resal)*(1-EXP(('2023'!Tnet-t)/('2023'!Tau_j))),Resal+(Salim-Resal)*(1-EXP((Tnet-t)/(Tau_j))))*Salcycl</f>
        <v>3.8098197940054264E-2</v>
      </c>
      <c r="P45" s="169">
        <f>(INDEX(Models!$BJ45:$BT45,,T45)*(1-R45)+INDEX(Models!$BJ45:$BT45,,T45+1)*R45-ERP_i)*Q45*Ramure*Pc/MaxiM</f>
        <v>1.0519117707041697E-4</v>
      </c>
      <c r="Q45" s="304">
        <f t="shared" si="4"/>
        <v>0.6</v>
      </c>
      <c r="R45" s="177">
        <f t="shared" si="5"/>
        <v>8.0069629125789632E-4</v>
      </c>
      <c r="S45" s="799">
        <f t="shared" si="6"/>
        <v>1</v>
      </c>
      <c r="T45" s="176">
        <f t="shared" si="7"/>
        <v>7</v>
      </c>
      <c r="U45" s="250">
        <f t="shared" si="8"/>
        <v>1.0008006962912579</v>
      </c>
      <c r="V45" s="382">
        <f t="shared" si="9"/>
        <v>34.315123275658209</v>
      </c>
      <c r="W45" s="400">
        <f t="shared" si="10"/>
        <v>7.4836316525819493</v>
      </c>
      <c r="X45" s="157">
        <f t="shared" si="11"/>
        <v>45322</v>
      </c>
      <c r="Y45" s="383">
        <f t="shared" si="12"/>
        <v>7.3378559783948329</v>
      </c>
      <c r="Z45" s="383">
        <f t="shared" si="22"/>
        <v>7.5991918619281211</v>
      </c>
      <c r="AA45" s="384">
        <f t="shared" si="13"/>
        <v>8.0571210941281421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5.6835341910617461E-2</v>
      </c>
      <c r="AD45" s="230">
        <f>(INDEX(Models!$BJ45:$BT45,,AH45)*(1-AF45)+INDEX(Models!$BJ45:$BT45,,AH45+1)*AF45-ERP_i)*AE45*Ramure*Pc/MaxiM</f>
        <v>1.0519117707041697E-4</v>
      </c>
      <c r="AE45" s="304">
        <f t="shared" si="15"/>
        <v>0.6</v>
      </c>
      <c r="AF45" s="177">
        <f t="shared" si="23"/>
        <v>8.0069629125789632E-4</v>
      </c>
      <c r="AG45" s="799">
        <f t="shared" si="24"/>
        <v>1</v>
      </c>
      <c r="AH45" s="176">
        <f t="shared" si="16"/>
        <v>7</v>
      </c>
      <c r="AI45" s="224">
        <f t="shared" si="17"/>
        <v>1.0008006962912579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45323</v>
      </c>
      <c r="B46" s="409">
        <f>IF(t&gt;Tmaj,'2023'!Wh/'2023'!Env_an*'2024'!Env_an,0.001*'[4]mon-tableau'!$B$221)</f>
        <v>16.421424202707062</v>
      </c>
      <c r="C46" s="829"/>
      <c r="D46" s="391">
        <f t="shared" si="0"/>
        <v>17.006594997103139</v>
      </c>
      <c r="E46" s="383">
        <f t="shared" si="1"/>
        <v>17.681827791763531</v>
      </c>
      <c r="F46" s="383">
        <f t="shared" si="2"/>
        <v>17.682242828514045</v>
      </c>
      <c r="G46" s="110">
        <f t="shared" si="21"/>
        <v>0.47379326077593115</v>
      </c>
      <c r="H46" s="412" t="b">
        <f>Wh_hp&gt;='2023'!Maxi_hp</f>
        <v>0</v>
      </c>
      <c r="I46" s="388">
        <f>IF(H46,Wh_hp,'2023'!Maxi_hp)</f>
        <v>17.683006794963966</v>
      </c>
      <c r="J46" s="85">
        <f>IF(H46,An,'2023'!An_max)</f>
        <v>2022</v>
      </c>
      <c r="K46" s="197">
        <f t="shared" si="3"/>
        <v>45323</v>
      </c>
      <c r="L46" s="147">
        <f>IF(t&lt;Tvie,1-EXP((T0-t)*PertePVj)+'2023'!Pspv,1-EXP((T0-t)*PertePVj)+Pspv)</f>
        <v>3.4408462981317167E-2</v>
      </c>
      <c r="M46" s="832"/>
      <c r="N46" s="832"/>
      <c r="O46" s="48">
        <f>IF(t&lt;Tnet,'2023'!Resal+('2023'!Salim-'2023'!Resal)*(1-EXP(('2023'!Tnet-t)/('2023'!Tau_j))),Resal+(Salim-Resal)*(1-EXP((Tnet-t)/(Tau_j))))*Salcycl</f>
        <v>3.8187952207911727E-2</v>
      </c>
      <c r="P46" s="169">
        <f>(INDEX(Models!$BJ46:$BT46,,T46)*(1-R46)+INDEX(Models!$BJ46:$BT46,,T46+1)*R46-ERP_i)*Q46*Ramure*Pc/MaxiM</f>
        <v>9.4521410095467755E-5</v>
      </c>
      <c r="Q46" s="304">
        <f t="shared" si="4"/>
        <v>0.6</v>
      </c>
      <c r="R46" s="177">
        <f t="shared" si="5"/>
        <v>9.0024488169837547E-4</v>
      </c>
      <c r="S46" s="799">
        <f t="shared" si="6"/>
        <v>1</v>
      </c>
      <c r="T46" s="176">
        <f t="shared" si="7"/>
        <v>7</v>
      </c>
      <c r="U46" s="250">
        <f t="shared" si="8"/>
        <v>1.0009002448816984</v>
      </c>
      <c r="V46" s="382">
        <f t="shared" si="9"/>
        <v>34.657009293746832</v>
      </c>
      <c r="W46" s="400">
        <f t="shared" si="10"/>
        <v>16.421424202707062</v>
      </c>
      <c r="X46" s="157">
        <f t="shared" si="11"/>
        <v>45323</v>
      </c>
      <c r="Y46" s="383">
        <f t="shared" si="12"/>
        <v>16.101881032022579</v>
      </c>
      <c r="Z46" s="383">
        <f t="shared" si="22"/>
        <v>16.675665035070654</v>
      </c>
      <c r="AA46" s="384">
        <f t="shared" si="13"/>
        <v>17.681827791763531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5.6903775364307227E-2</v>
      </c>
      <c r="AD46" s="230">
        <f>(INDEX(Models!$BJ46:$BT46,,AH46)*(1-AF46)+INDEX(Models!$BJ46:$BT46,,AH46+1)*AF46-ERP_i)*AE46*Ramure*Pc/MaxiM</f>
        <v>9.4521410095467755E-5</v>
      </c>
      <c r="AE46" s="304">
        <f t="shared" si="15"/>
        <v>0.6</v>
      </c>
      <c r="AF46" s="177">
        <f t="shared" si="23"/>
        <v>9.0024488169837547E-4</v>
      </c>
      <c r="AG46" s="799">
        <f t="shared" si="24"/>
        <v>1</v>
      </c>
      <c r="AH46" s="176">
        <f t="shared" si="16"/>
        <v>7</v>
      </c>
      <c r="AI46" s="224">
        <f t="shared" si="17"/>
        <v>1.0009002448816984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45324</v>
      </c>
      <c r="B47" s="409">
        <f>IF(t&gt;Tmaj,'2023'!Wh/'2023'!Env_an*'2024'!Env_an,0.001*'[4]mon-tableau'!$B$222)</f>
        <v>5.391385338037475</v>
      </c>
      <c r="C47" s="829"/>
      <c r="D47" s="391">
        <f t="shared" si="0"/>
        <v>5.5836121776028156</v>
      </c>
      <c r="E47" s="383">
        <f t="shared" si="1"/>
        <v>5.8058463962316278</v>
      </c>
      <c r="F47" s="383">
        <f t="shared" si="2"/>
        <v>5.8058463962316278</v>
      </c>
      <c r="G47" s="110">
        <f t="shared" si="21"/>
        <v>0.15402801428433383</v>
      </c>
      <c r="H47" s="412" t="b">
        <f>Wh_hp&gt;='2023'!Maxi_hp</f>
        <v>0</v>
      </c>
      <c r="I47" s="388">
        <f>IF(H47,Wh_hp,'2023'!Maxi_hp)</f>
        <v>31.802968969314829</v>
      </c>
      <c r="J47" s="85">
        <f>IF(H47,An,'2023'!An_max)</f>
        <v>2021</v>
      </c>
      <c r="K47" s="197">
        <f t="shared" si="3"/>
        <v>45324</v>
      </c>
      <c r="L47" s="147">
        <f>IF(t&lt;Tvie,1-EXP((T0-t)*PertePVj)+'2023'!Pspv,1-EXP((T0-t)*PertePVj)+Pspv)</f>
        <v>3.4426968322837315E-2</v>
      </c>
      <c r="M47" s="832"/>
      <c r="N47" s="832"/>
      <c r="O47" s="48">
        <f>IF(t&lt;Tnet,'2023'!Resal+('2023'!Salim-'2023'!Resal)*(1-EXP(('2023'!Tnet-t)/('2023'!Tau_j))),Resal+(Salim-Resal)*(1-EXP((Tnet-t)/(Tau_j))))*Salcycl</f>
        <v>3.8277660734024381E-2</v>
      </c>
      <c r="P47" s="169">
        <f>(INDEX(Models!$BJ47:$BT47,,T47)*(1-R47)+INDEX(Models!$BJ47:$BT47,,T47+1)*R47-ERP_i)*Q47*Ramure*Pc/MaxiM</f>
        <v>8.5221966479980752E-5</v>
      </c>
      <c r="Q47" s="304">
        <f t="shared" si="4"/>
        <v>0.6</v>
      </c>
      <c r="R47" s="177">
        <f t="shared" si="5"/>
        <v>1.0039274469431092E-3</v>
      </c>
      <c r="S47" s="799">
        <f t="shared" si="6"/>
        <v>1</v>
      </c>
      <c r="T47" s="176">
        <f t="shared" si="7"/>
        <v>7</v>
      </c>
      <c r="U47" s="250">
        <f t="shared" si="8"/>
        <v>1.0010039274469431</v>
      </c>
      <c r="V47" s="382">
        <f t="shared" si="9"/>
        <v>34.999645347795841</v>
      </c>
      <c r="W47" s="400">
        <f t="shared" si="10"/>
        <v>5.391385338037475</v>
      </c>
      <c r="X47" s="157">
        <f t="shared" si="11"/>
        <v>45324</v>
      </c>
      <c r="Y47" s="383">
        <f t="shared" si="12"/>
        <v>5.2865842536335528</v>
      </c>
      <c r="Z47" s="383">
        <f t="shared" si="22"/>
        <v>5.4750744689409583</v>
      </c>
      <c r="AA47" s="384">
        <f t="shared" si="13"/>
        <v>5.8058463962316278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5.6972214680939819E-2</v>
      </c>
      <c r="AD47" s="230">
        <f>(INDEX(Models!$BJ47:$BT47,,AH47)*(1-AF47)+INDEX(Models!$BJ47:$BT47,,AH47+1)*AF47-ERP_i)*AE47*Ramure*Pc/MaxiM</f>
        <v>8.5221966479980752E-5</v>
      </c>
      <c r="AE47" s="304">
        <f t="shared" si="15"/>
        <v>0.6</v>
      </c>
      <c r="AF47" s="177">
        <f t="shared" si="23"/>
        <v>1.0039274469431092E-3</v>
      </c>
      <c r="AG47" s="799">
        <f t="shared" si="24"/>
        <v>1</v>
      </c>
      <c r="AH47" s="176">
        <f t="shared" si="16"/>
        <v>7</v>
      </c>
      <c r="AI47" s="224">
        <f t="shared" si="17"/>
        <v>1.0010039274469431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45325</v>
      </c>
      <c r="B48" s="409">
        <f>IF(t&gt;Tmaj,'2023'!Wh/'2023'!Env_an*'2024'!Env_an,0.001*'[4]mon-tableau'!$B$223)</f>
        <v>10.841448439452693</v>
      </c>
      <c r="C48" s="829"/>
      <c r="D48" s="391">
        <f t="shared" si="0"/>
        <v>11.228209427607133</v>
      </c>
      <c r="E48" s="383">
        <f t="shared" si="1"/>
        <v>11.676193710239813</v>
      </c>
      <c r="F48" s="383">
        <f t="shared" si="2"/>
        <v>11.676202416506037</v>
      </c>
      <c r="G48" s="110">
        <f t="shared" si="21"/>
        <v>0.30673272606760604</v>
      </c>
      <c r="H48" s="412" t="b">
        <f>Wh_hp&gt;='2023'!Maxi_hp</f>
        <v>0</v>
      </c>
      <c r="I48" s="388">
        <f>IF(H48,Wh_hp,'2023'!Maxi_hp)</f>
        <v>29.439960485046544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3.444547330970682E-2</v>
      </c>
      <c r="M48" s="832"/>
      <c r="N48" s="832"/>
      <c r="O48" s="48">
        <f>IF(t&lt;Tnet,'2023'!Resal+('2023'!Salim-'2023'!Resal)*(1-EXP(('2023'!Tnet-t)/('2023'!Tau_j))),Resal+(Salim-Resal)*(1-EXP((Tnet-t)/(Tau_j))))*Salcycl</f>
        <v>3.8367321898728442E-2</v>
      </c>
      <c r="P48" s="169">
        <f>(INDEX(Models!$BJ48:$BT48,,T48)*(1-R48)+INDEX(Models!$BJ48:$BT48,,T48+1)*R48-ERP_i)*Q48*Ramure*Pc/MaxiM</f>
        <v>7.7254919058537136E-5</v>
      </c>
      <c r="Q48" s="304">
        <f t="shared" si="4"/>
        <v>0.6</v>
      </c>
      <c r="R48" s="177">
        <f t="shared" si="5"/>
        <v>1.1119138215762714E-3</v>
      </c>
      <c r="S48" s="799">
        <f t="shared" si="6"/>
        <v>1</v>
      </c>
      <c r="T48" s="176">
        <f t="shared" si="7"/>
        <v>7</v>
      </c>
      <c r="U48" s="250">
        <f t="shared" si="8"/>
        <v>1.0011119138215763</v>
      </c>
      <c r="V48" s="382">
        <f t="shared" si="9"/>
        <v>35.342231350501017</v>
      </c>
      <c r="W48" s="400">
        <f t="shared" si="10"/>
        <v>10.841448439452693</v>
      </c>
      <c r="X48" s="157">
        <f t="shared" si="11"/>
        <v>45325</v>
      </c>
      <c r="Y48" s="383">
        <f t="shared" si="12"/>
        <v>10.630925226988925</v>
      </c>
      <c r="Z48" s="383">
        <f t="shared" si="22"/>
        <v>11.010175948767367</v>
      </c>
      <c r="AA48" s="384">
        <f t="shared" si="13"/>
        <v>11.676193710239813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5.7040657084025587E-2</v>
      </c>
      <c r="AD48" s="230">
        <f>(INDEX(Models!$BJ48:$BT48,,AH48)*(1-AF48)+INDEX(Models!$BJ48:$BT48,,AH48+1)*AF48-ERP_i)*AE48*Ramure*Pc/MaxiM</f>
        <v>7.7254919058537136E-5</v>
      </c>
      <c r="AE48" s="304">
        <f t="shared" si="15"/>
        <v>0.6</v>
      </c>
      <c r="AF48" s="177">
        <f t="shared" si="23"/>
        <v>1.1119138215762714E-3</v>
      </c>
      <c r="AG48" s="799">
        <f t="shared" si="24"/>
        <v>1</v>
      </c>
      <c r="AH48" s="176">
        <f t="shared" si="16"/>
        <v>7</v>
      </c>
      <c r="AI48" s="224">
        <f t="shared" si="17"/>
        <v>1.0011119138215763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45326</v>
      </c>
      <c r="B49" s="409">
        <f>IF(t&gt;Tmaj,'2023'!Wh/'2023'!Env_an*'2024'!Env_an,0.001*'[4]mon-tableau'!$B$224)</f>
        <v>11.196642669449666</v>
      </c>
      <c r="C49" s="829"/>
      <c r="D49" s="391">
        <f t="shared" si="0"/>
        <v>11.596297200371358</v>
      </c>
      <c r="E49" s="383">
        <f t="shared" si="1"/>
        <v>12.060091332867566</v>
      </c>
      <c r="F49" s="383">
        <f t="shared" si="2"/>
        <v>12.060108080850448</v>
      </c>
      <c r="G49" s="110">
        <f t="shared" si="21"/>
        <v>0.31375064714676287</v>
      </c>
      <c r="H49" s="412" t="b">
        <f>Wh_hp&gt;='2023'!Maxi_hp</f>
        <v>0</v>
      </c>
      <c r="I49" s="388">
        <f>IF(H49,Wh_hp,'2023'!Maxi_hp)</f>
        <v>20.989724213200883</v>
      </c>
      <c r="J49" s="85">
        <f>IF(H49,An,'2023'!An_max)</f>
        <v>2020</v>
      </c>
      <c r="K49" s="197">
        <f t="shared" si="3"/>
        <v>45326</v>
      </c>
      <c r="L49" s="147">
        <f>IF(t&lt;Tvie,1-EXP((T0-t)*PertePVj)+'2023'!Pspv,1-EXP((T0-t)*PertePVj)+Pspv)</f>
        <v>3.4463977941932455E-2</v>
      </c>
      <c r="M49" s="832"/>
      <c r="N49" s="832"/>
      <c r="O49" s="48">
        <f>IF(t&lt;Tnet,'2023'!Resal+('2023'!Salim-'2023'!Resal)*(1-EXP(('2023'!Tnet-t)/('2023'!Tau_j))),Resal+(Salim-Resal)*(1-EXP((Tnet-t)/(Tau_j))))*Salcycl</f>
        <v>3.8456933674475752E-2</v>
      </c>
      <c r="P49" s="169">
        <f>(INDEX(Models!$BJ49:$BT49,,T49)*(1-R49)+INDEX(Models!$BJ49:$BT49,,T49+1)*R49-ERP_i)*Q49*Ramure*Pc/MaxiM</f>
        <v>7.0583148989803376E-5</v>
      </c>
      <c r="Q49" s="304">
        <f t="shared" si="4"/>
        <v>0.6</v>
      </c>
      <c r="R49" s="177">
        <f t="shared" si="5"/>
        <v>1.2243806609422148E-3</v>
      </c>
      <c r="S49" s="799">
        <f t="shared" si="6"/>
        <v>1</v>
      </c>
      <c r="T49" s="176">
        <f t="shared" si="7"/>
        <v>7</v>
      </c>
      <c r="U49" s="250">
        <f t="shared" si="8"/>
        <v>1.0012243806609422</v>
      </c>
      <c r="V49" s="382">
        <f t="shared" si="9"/>
        <v>35.683967586270825</v>
      </c>
      <c r="W49" s="400">
        <f t="shared" si="10"/>
        <v>11.196642669449666</v>
      </c>
      <c r="X49" s="157">
        <f t="shared" si="11"/>
        <v>45326</v>
      </c>
      <c r="Y49" s="383">
        <f t="shared" si="12"/>
        <v>10.979448411816541</v>
      </c>
      <c r="Z49" s="383">
        <f t="shared" si="22"/>
        <v>11.371350380500081</v>
      </c>
      <c r="AA49" s="384">
        <f t="shared" si="13"/>
        <v>12.060091332867566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5.7109099206442075E-2</v>
      </c>
      <c r="AD49" s="230">
        <f>(INDEX(Models!$BJ49:$BT49,,AH49)*(1-AF49)+INDEX(Models!$BJ49:$BT49,,AH49+1)*AF49-ERP_i)*AE49*Ramure*Pc/MaxiM</f>
        <v>7.0583148989803376E-5</v>
      </c>
      <c r="AE49" s="304">
        <f t="shared" si="15"/>
        <v>0.6</v>
      </c>
      <c r="AF49" s="177">
        <f t="shared" si="23"/>
        <v>1.2243806609422148E-3</v>
      </c>
      <c r="AG49" s="799">
        <f t="shared" si="24"/>
        <v>1</v>
      </c>
      <c r="AH49" s="176">
        <f t="shared" si="16"/>
        <v>7</v>
      </c>
      <c r="AI49" s="224">
        <f t="shared" si="17"/>
        <v>1.0012243806609422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45327</v>
      </c>
      <c r="B50" s="409">
        <f>IF(t&gt;Tmaj,'2023'!Wh/'2023'!Env_an*'2024'!Env_an,0.001*'[4]mon-tableau'!$B$225)</f>
        <v>9.2380729381690099</v>
      </c>
      <c r="C50" s="829"/>
      <c r="D50" s="391">
        <f t="shared" si="0"/>
        <v>9.5680013754751858</v>
      </c>
      <c r="E50" s="383">
        <f t="shared" si="1"/>
        <v>9.9516006881574377</v>
      </c>
      <c r="F50" s="383">
        <f t="shared" si="2"/>
        <v>9.9516006881574377</v>
      </c>
      <c r="G50" s="110">
        <f t="shared" si="21"/>
        <v>0.25642507377324159</v>
      </c>
      <c r="H50" s="412" t="b">
        <f>Wh_hp&gt;='2023'!Maxi_hp</f>
        <v>0</v>
      </c>
      <c r="I50" s="388">
        <f>IF(H50,Wh_hp,'2023'!Maxi_hp)</f>
        <v>38.888374306898015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3.4482482219520993E-2</v>
      </c>
      <c r="M50" s="832"/>
      <c r="N50" s="832"/>
      <c r="O50" s="48">
        <f>IF(t&lt;Tnet,'2023'!Resal+('2023'!Salim-'2023'!Resal)*(1-EXP(('2023'!Tnet-t)/('2023'!Tau_j))),Resal+(Salim-Resal)*(1-EXP((Tnet-t)/(Tau_j))))*Salcycl</f>
        <v>3.8546493644860673E-2</v>
      </c>
      <c r="P50" s="169">
        <f>(INDEX(Models!$BJ50:$BT50,,T50)*(1-R50)+INDEX(Models!$BJ50:$BT50,,T50+1)*R50-ERP_i)*Q50*Ramure*Pc/MaxiM</f>
        <v>6.5170603859127525E-5</v>
      </c>
      <c r="Q50" s="304">
        <f t="shared" si="4"/>
        <v>0.6</v>
      </c>
      <c r="R50" s="177">
        <f t="shared" si="5"/>
        <v>1.3415117017230305E-3</v>
      </c>
      <c r="S50" s="799">
        <f t="shared" si="6"/>
        <v>1</v>
      </c>
      <c r="T50" s="176">
        <f t="shared" si="7"/>
        <v>7</v>
      </c>
      <c r="U50" s="250">
        <f t="shared" si="8"/>
        <v>1.001341511701723</v>
      </c>
      <c r="V50" s="382">
        <f t="shared" si="9"/>
        <v>36.024054712940796</v>
      </c>
      <c r="W50" s="400">
        <f t="shared" si="10"/>
        <v>9.2380729381690099</v>
      </c>
      <c r="X50" s="157">
        <f t="shared" si="11"/>
        <v>45327</v>
      </c>
      <c r="Y50" s="383">
        <f t="shared" si="12"/>
        <v>9.0590575854587456</v>
      </c>
      <c r="Z50" s="383">
        <f t="shared" si="22"/>
        <v>9.3825926703884228</v>
      </c>
      <c r="AA50" s="384">
        <f t="shared" si="13"/>
        <v>9.9516006881574377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5.717753712185647E-2</v>
      </c>
      <c r="AD50" s="230">
        <f>(INDEX(Models!$BJ50:$BT50,,AH50)*(1-AF50)+INDEX(Models!$BJ50:$BT50,,AH50+1)*AF50-ERP_i)*AE50*Ramure*Pc/MaxiM</f>
        <v>6.5170603859127525E-5</v>
      </c>
      <c r="AE50" s="304">
        <f t="shared" si="15"/>
        <v>0.6</v>
      </c>
      <c r="AF50" s="177">
        <f t="shared" si="23"/>
        <v>1.3415117017230305E-3</v>
      </c>
      <c r="AG50" s="799">
        <f t="shared" si="24"/>
        <v>1</v>
      </c>
      <c r="AH50" s="176">
        <f t="shared" si="16"/>
        <v>7</v>
      </c>
      <c r="AI50" s="224">
        <f t="shared" si="17"/>
        <v>1.001341511701723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45328</v>
      </c>
      <c r="B51" s="409">
        <f>IF(t&gt;Tmaj,'2023'!Wh/'2023'!Env_an*'2024'!Env_an,0.001*'[4]mon-tableau'!$B$226)</f>
        <v>25.272317186533865</v>
      </c>
      <c r="C51" s="829"/>
      <c r="D51" s="391">
        <f t="shared" si="0"/>
        <v>26.175394095496525</v>
      </c>
      <c r="E51" s="383">
        <f t="shared" si="1"/>
        <v>27.227349962230161</v>
      </c>
      <c r="F51" s="383">
        <f t="shared" si="2"/>
        <v>27.228286757017088</v>
      </c>
      <c r="G51" s="110">
        <f t="shared" si="21"/>
        <v>0.69494434091804946</v>
      </c>
      <c r="H51" s="412" t="b">
        <f>Wh_hp&gt;='2023'!Maxi_hp</f>
        <v>0</v>
      </c>
      <c r="I51" s="388">
        <f>IF(H51,Wh_hp,'2023'!Maxi_hp)</f>
        <v>41.004542581463518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3.4500986142479317E-2</v>
      </c>
      <c r="M51" s="832"/>
      <c r="N51" s="832"/>
      <c r="O51" s="48">
        <f>IF(t&lt;Tnet,'2023'!Resal+('2023'!Salim-'2023'!Resal)*(1-EXP(('2023'!Tnet-t)/('2023'!Tau_j))),Resal+(Salim-Resal)*(1-EXP((Tnet-t)/(Tau_j))))*Salcycl</f>
        <v>3.8635999030126385E-2</v>
      </c>
      <c r="P51" s="169">
        <f>(INDEX(Models!$BJ51:$BT51,,T51)*(1-R51)+INDEX(Models!$BJ51:$BT51,,T51+1)*R51-ERP_i)*Q51*Ramure*Pc/MaxiM</f>
        <v>6.0976990733496802E-5</v>
      </c>
      <c r="Q51" s="304">
        <f t="shared" si="4"/>
        <v>0.6</v>
      </c>
      <c r="R51" s="177">
        <f t="shared" si="5"/>
        <v>1.4634980313170676E-3</v>
      </c>
      <c r="S51" s="799">
        <f t="shared" si="6"/>
        <v>1</v>
      </c>
      <c r="T51" s="176">
        <f t="shared" si="7"/>
        <v>7</v>
      </c>
      <c r="U51" s="250">
        <f t="shared" si="8"/>
        <v>1.0014634980313171</v>
      </c>
      <c r="V51" s="382">
        <f t="shared" si="9"/>
        <v>36.364992338013856</v>
      </c>
      <c r="W51" s="400">
        <f t="shared" si="10"/>
        <v>25.272317186533865</v>
      </c>
      <c r="X51" s="157">
        <f t="shared" si="11"/>
        <v>45328</v>
      </c>
      <c r="Y51" s="383">
        <f t="shared" si="12"/>
        <v>24.783098745483816</v>
      </c>
      <c r="Z51" s="383">
        <f t="shared" si="22"/>
        <v>25.668694001526006</v>
      </c>
      <c r="AA51" s="384">
        <f t="shared" si="13"/>
        <v>27.227349962230161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5.7245966385502889E-2</v>
      </c>
      <c r="AD51" s="230">
        <f>(INDEX(Models!$BJ51:$BT51,,AH51)*(1-AF51)+INDEX(Models!$BJ51:$BT51,,AH51+1)*AF51-ERP_i)*AE51*Ramure*Pc/MaxiM</f>
        <v>6.0976990733496802E-5</v>
      </c>
      <c r="AE51" s="304">
        <f t="shared" si="15"/>
        <v>0.6</v>
      </c>
      <c r="AF51" s="177">
        <f t="shared" si="23"/>
        <v>1.4634980313170676E-3</v>
      </c>
      <c r="AG51" s="799">
        <f t="shared" si="24"/>
        <v>1</v>
      </c>
      <c r="AH51" s="176">
        <f t="shared" si="16"/>
        <v>7</v>
      </c>
      <c r="AI51" s="224">
        <f t="shared" si="17"/>
        <v>1.0014634980313171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45329</v>
      </c>
      <c r="B52" s="409">
        <f>IF(t&gt;Tmaj,'2023'!Wh/'2023'!Env_an*'2024'!Env_an,0.001*'[4]mon-tableau'!$B$227)</f>
        <v>9.0662254370605204</v>
      </c>
      <c r="C52" s="829"/>
      <c r="D52" s="391">
        <f t="shared" si="0"/>
        <v>9.3903764399604057</v>
      </c>
      <c r="E52" s="383">
        <f t="shared" si="1"/>
        <v>9.7686726522693128</v>
      </c>
      <c r="F52" s="383">
        <f t="shared" si="2"/>
        <v>9.7686726522693128</v>
      </c>
      <c r="G52" s="110">
        <f t="shared" si="21"/>
        <v>0.24695846021048468</v>
      </c>
      <c r="H52" s="412" t="b">
        <f>Wh_hp&gt;='2023'!Maxi_hp</f>
        <v>0</v>
      </c>
      <c r="I52" s="388">
        <f>IF(H52,Wh_hp,'2023'!Maxi_hp)</f>
        <v>27.6544109096825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3.45194897108142E-2</v>
      </c>
      <c r="M52" s="832"/>
      <c r="N52" s="832"/>
      <c r="O52" s="48">
        <f>IF(t&lt;Tnet,'2023'!Resal+('2023'!Salim-'2023'!Resal)*(1-EXP(('2023'!Tnet-t)/('2023'!Tau_j))),Resal+(Salim-Resal)*(1-EXP((Tnet-t)/(Tau_j))))*Salcycl</f>
        <v>3.8725446718805547E-2</v>
      </c>
      <c r="P52" s="169">
        <f>(INDEX(Models!$BJ52:$BT52,,T52)*(1-R52)+INDEX(Models!$BJ52:$BT52,,T52+1)*R52-ERP_i)*Q52*Ramure*Pc/MaxiM</f>
        <v>5.7972795198303371E-5</v>
      </c>
      <c r="Q52" s="304">
        <f t="shared" si="4"/>
        <v>0.6</v>
      </c>
      <c r="R52" s="177">
        <f t="shared" si="5"/>
        <v>1.5905383662186967E-3</v>
      </c>
      <c r="S52" s="799">
        <f t="shared" si="6"/>
        <v>1</v>
      </c>
      <c r="T52" s="176">
        <f t="shared" si="7"/>
        <v>7</v>
      </c>
      <c r="U52" s="250">
        <f t="shared" si="8"/>
        <v>1.0015905383662187</v>
      </c>
      <c r="V52" s="382">
        <f t="shared" si="9"/>
        <v>36.709411918519692</v>
      </c>
      <c r="W52" s="400">
        <f t="shared" si="10"/>
        <v>9.0662254370605204</v>
      </c>
      <c r="X52" s="157">
        <f t="shared" si="11"/>
        <v>45329</v>
      </c>
      <c r="Y52" s="383">
        <f t="shared" si="12"/>
        <v>8.8909045798942419</v>
      </c>
      <c r="Z52" s="383">
        <f t="shared" si="22"/>
        <v>9.2087872154262254</v>
      </c>
      <c r="AA52" s="384">
        <f t="shared" si="13"/>
        <v>9.7686726522693128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5.7314382083734038E-2</v>
      </c>
      <c r="AD52" s="230">
        <f>(INDEX(Models!$BJ52:$BT52,,AH52)*(1-AF52)+INDEX(Models!$BJ52:$BT52,,AH52+1)*AF52-ERP_i)*AE52*Ramure*Pc/MaxiM</f>
        <v>5.7972795198303371E-5</v>
      </c>
      <c r="AE52" s="304">
        <f t="shared" si="15"/>
        <v>0.6</v>
      </c>
      <c r="AF52" s="177">
        <f t="shared" si="23"/>
        <v>1.5905383662186967E-3</v>
      </c>
      <c r="AG52" s="799">
        <f t="shared" si="24"/>
        <v>1</v>
      </c>
      <c r="AH52" s="176">
        <f t="shared" si="16"/>
        <v>7</v>
      </c>
      <c r="AI52" s="224">
        <f t="shared" si="17"/>
        <v>1.0015905383662187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45330</v>
      </c>
      <c r="B53" s="409">
        <f>IF(t&gt;Tmaj,'2023'!Wh/'2023'!Env_an*'2024'!Env_an,0.001*'[4]mon-tableau'!$B$228)</f>
        <v>36.639670397428155</v>
      </c>
      <c r="C53" s="829"/>
      <c r="D53" s="391">
        <f t="shared" si="0"/>
        <v>37.950401081462886</v>
      </c>
      <c r="E53" s="383">
        <f t="shared" si="1"/>
        <v>39.482924202791807</v>
      </c>
      <c r="F53" s="383">
        <f t="shared" si="2"/>
        <v>39.485073727210029</v>
      </c>
      <c r="G53" s="110">
        <f t="shared" si="21"/>
        <v>0.98874416413853672</v>
      </c>
      <c r="H53" s="412" t="b">
        <f>Wh_hp&gt;='2023'!Maxi_hp</f>
        <v>0</v>
      </c>
      <c r="I53" s="388">
        <f>IF(H53,Wh_hp,'2023'!Maxi_hp)</f>
        <v>39.485093112915379</v>
      </c>
      <c r="J53" s="85">
        <f>IF(H53,An,'2023'!An_max)</f>
        <v>2022</v>
      </c>
      <c r="K53" s="197">
        <f t="shared" si="3"/>
        <v>45330</v>
      </c>
      <c r="L53" s="147">
        <f>IF(t&lt;Tvie,1-EXP((T0-t)*PertePVj)+'2023'!Pspv,1-EXP((T0-t)*PertePVj)+Pspv)</f>
        <v>3.4537992924532412E-2</v>
      </c>
      <c r="M53" s="832"/>
      <c r="N53" s="832"/>
      <c r="O53" s="48">
        <f>IF(t&lt;Tnet,'2023'!Resal+('2023'!Salim-'2023'!Resal)*(1-EXP(('2023'!Tnet-t)/('2023'!Tau_j))),Resal+(Salim-Resal)*(1-EXP((Tnet-t)/(Tau_j))))*Salcycl</f>
        <v>3.8814833305091404E-2</v>
      </c>
      <c r="P53" s="169">
        <f>(INDEX(Models!$BJ53:$BT53,,T53)*(1-R53)+INDEX(Models!$BJ53:$BT53,,T53+1)*R53-ERP_i)*Q53*Ramure*Pc/MaxiM</f>
        <v>5.5328511052171802E-5</v>
      </c>
      <c r="Q53" s="304">
        <f t="shared" si="4"/>
        <v>0.6</v>
      </c>
      <c r="R53" s="177">
        <f t="shared" si="5"/>
        <v>1.7228393395849473E-3</v>
      </c>
      <c r="S53" s="799">
        <f t="shared" si="6"/>
        <v>1</v>
      </c>
      <c r="T53" s="176">
        <f t="shared" si="7"/>
        <v>7</v>
      </c>
      <c r="U53" s="250">
        <f t="shared" si="8"/>
        <v>1.0017228393395849</v>
      </c>
      <c r="V53" s="382">
        <f t="shared" si="9"/>
        <v>37.056742411144803</v>
      </c>
      <c r="W53" s="400">
        <f t="shared" si="10"/>
        <v>36.639670397428155</v>
      </c>
      <c r="X53" s="157">
        <f t="shared" si="11"/>
        <v>45330</v>
      </c>
      <c r="Y53" s="383">
        <f t="shared" si="12"/>
        <v>35.931873991674713</v>
      </c>
      <c r="Z53" s="383">
        <f t="shared" si="22"/>
        <v>37.217284293265841</v>
      </c>
      <c r="AA53" s="384">
        <f t="shared" si="13"/>
        <v>39.482924202791807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5.7382778891685117E-2</v>
      </c>
      <c r="AD53" s="230">
        <f>(INDEX(Models!$BJ53:$BT53,,AH53)*(1-AF53)+INDEX(Models!$BJ53:$BT53,,AH53+1)*AF53-ERP_i)*AE53*Ramure*Pc/MaxiM</f>
        <v>5.5328511052171802E-5</v>
      </c>
      <c r="AE53" s="304">
        <f t="shared" si="15"/>
        <v>0.6</v>
      </c>
      <c r="AF53" s="177">
        <f t="shared" si="23"/>
        <v>1.7228393395849473E-3</v>
      </c>
      <c r="AG53" s="799">
        <f t="shared" si="24"/>
        <v>1</v>
      </c>
      <c r="AH53" s="176">
        <f t="shared" si="16"/>
        <v>7</v>
      </c>
      <c r="AI53" s="224">
        <f t="shared" si="17"/>
        <v>1.0017228393395849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45331</v>
      </c>
      <c r="B54" s="409">
        <f>IF(t&gt;Tmaj,'2023'!Wh/'2023'!Env_an*'2024'!Env_an,0.001*'[4]mon-tableau'!$B$229)</f>
        <v>37.386454651839806</v>
      </c>
      <c r="C54" s="829"/>
      <c r="D54" s="391">
        <f t="shared" si="0"/>
        <v>38.724642600590094</v>
      </c>
      <c r="E54" s="383">
        <f t="shared" si="1"/>
        <v>40.29217565277041</v>
      </c>
      <c r="F54" s="383">
        <f t="shared" si="2"/>
        <v>40.294311060033522</v>
      </c>
      <c r="G54" s="110">
        <f t="shared" si="21"/>
        <v>0.9994671942503961</v>
      </c>
      <c r="H54" s="412" t="b">
        <f>Wh_hp&gt;='2023'!Maxi_hp</f>
        <v>0</v>
      </c>
      <c r="I54" s="388">
        <f>IF(H54,Wh_hp,'2023'!Maxi_hp)</f>
        <v>40.294311941413838</v>
      </c>
      <c r="J54" s="85">
        <f>IF(H54,An,'2023'!An_max)</f>
        <v>2022</v>
      </c>
      <c r="K54" s="197">
        <f t="shared" si="3"/>
        <v>45331</v>
      </c>
      <c r="L54" s="147">
        <f>IF(t&lt;Tvie,1-EXP((T0-t)*PertePVj)+'2023'!Pspv,1-EXP((T0-t)*PertePVj)+Pspv)</f>
        <v>3.4556495783640728E-2</v>
      </c>
      <c r="M54" s="832"/>
      <c r="N54" s="832"/>
      <c r="O54" s="48">
        <f>IF(t&lt;Tnet,'2023'!Resal+('2023'!Salim-'2023'!Resal)*(1-EXP(('2023'!Tnet-t)/('2023'!Tau_j))),Resal+(Salim-Resal)*(1-EXP((Tnet-t)/(Tau_j))))*Salcycl</f>
        <v>3.8904155131482321E-2</v>
      </c>
      <c r="P54" s="169">
        <f>(INDEX(Models!$BJ54:$BT54,,T54)*(1-R54)+INDEX(Models!$BJ54:$BT54,,T54+1)*R54-ERP_i)*Q54*Ramure*Pc/MaxiM</f>
        <v>5.3035619402493356E-5</v>
      </c>
      <c r="Q54" s="304">
        <f t="shared" si="4"/>
        <v>0.6</v>
      </c>
      <c r="R54" s="177">
        <f t="shared" si="5"/>
        <v>1.8606157981759797E-3</v>
      </c>
      <c r="S54" s="799">
        <f t="shared" si="6"/>
        <v>1</v>
      </c>
      <c r="T54" s="176">
        <f t="shared" si="7"/>
        <v>7</v>
      </c>
      <c r="U54" s="250">
        <f t="shared" si="8"/>
        <v>1.001860615798176</v>
      </c>
      <c r="V54" s="382">
        <f t="shared" si="9"/>
        <v>37.406383478842692</v>
      </c>
      <c r="W54" s="400">
        <f t="shared" si="10"/>
        <v>37.386454651839806</v>
      </c>
      <c r="X54" s="157">
        <f t="shared" si="11"/>
        <v>45331</v>
      </c>
      <c r="Y54" s="383">
        <f t="shared" si="12"/>
        <v>36.664979859456089</v>
      </c>
      <c r="Z54" s="383">
        <f t="shared" si="22"/>
        <v>37.977343779651491</v>
      </c>
      <c r="AA54" s="384">
        <f t="shared" si="13"/>
        <v>40.29217565277041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5.7451151138316815E-2</v>
      </c>
      <c r="AD54" s="230">
        <f>(INDEX(Models!$BJ54:$BT54,,AH54)*(1-AF54)+INDEX(Models!$BJ54:$BT54,,AH54+1)*AF54-ERP_i)*AE54*Ramure*Pc/MaxiM</f>
        <v>5.3035619402493356E-5</v>
      </c>
      <c r="AE54" s="304">
        <f t="shared" si="15"/>
        <v>0.6</v>
      </c>
      <c r="AF54" s="177">
        <f t="shared" si="23"/>
        <v>1.8606157981759797E-3</v>
      </c>
      <c r="AG54" s="799">
        <f t="shared" si="24"/>
        <v>1</v>
      </c>
      <c r="AH54" s="176">
        <f t="shared" si="16"/>
        <v>7</v>
      </c>
      <c r="AI54" s="224">
        <f t="shared" si="17"/>
        <v>1.001860615798176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45332</v>
      </c>
      <c r="B55" s="409">
        <f>IF(t&gt;Tmaj,'2023'!Wh/'2023'!Env_an*'2024'!Env_an,0.001*'[4]mon-tableau'!$B$230)</f>
        <v>35.051851769602635</v>
      </c>
      <c r="C55" s="829"/>
      <c r="D55" s="391">
        <f t="shared" si="0"/>
        <v>36.307172185773162</v>
      </c>
      <c r="E55" s="383">
        <f t="shared" si="1"/>
        <v>37.780357076338042</v>
      </c>
      <c r="F55" s="383">
        <f t="shared" si="2"/>
        <v>37.782089598314137</v>
      </c>
      <c r="G55" s="110">
        <f t="shared" si="21"/>
        <v>0.92833080100999377</v>
      </c>
      <c r="H55" s="412" t="b">
        <f>Wh_hp&gt;='2023'!Maxi_hp</f>
        <v>0</v>
      </c>
      <c r="I55" s="388">
        <f>IF(H55,Wh_hp,'2023'!Maxi_hp)</f>
        <v>37.78219486426039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3.4574998288145919E-2</v>
      </c>
      <c r="M55" s="832"/>
      <c r="N55" s="832"/>
      <c r="O55" s="48">
        <f>IF(t&lt;Tnet,'2023'!Resal+('2023'!Salim-'2023'!Resal)*(1-EXP(('2023'!Tnet-t)/('2023'!Tau_j))),Resal+(Salim-Resal)*(1-EXP((Tnet-t)/(Tau_j))))*Salcycl</f>
        <v>3.8993408336194468E-2</v>
      </c>
      <c r="P55" s="169">
        <f>(INDEX(Models!$BJ55:$BT55,,T55)*(1-R55)+INDEX(Models!$BJ55:$BT55,,T55+1)*R55-ERP_i)*Q55*Ramure*Pc/MaxiM</f>
        <v>5.1085672279127417E-5</v>
      </c>
      <c r="Q55" s="304">
        <f t="shared" si="4"/>
        <v>0.6</v>
      </c>
      <c r="R55" s="177">
        <f t="shared" si="5"/>
        <v>2.0040911088385904E-3</v>
      </c>
      <c r="S55" s="799">
        <f t="shared" si="6"/>
        <v>1</v>
      </c>
      <c r="T55" s="176">
        <f t="shared" si="7"/>
        <v>7</v>
      </c>
      <c r="U55" s="250">
        <f t="shared" si="8"/>
        <v>1.0020040911088386</v>
      </c>
      <c r="V55" s="382">
        <f t="shared" si="9"/>
        <v>37.757735066870644</v>
      </c>
      <c r="W55" s="400">
        <f t="shared" si="10"/>
        <v>35.051851769602635</v>
      </c>
      <c r="X55" s="157">
        <f t="shared" si="11"/>
        <v>45332</v>
      </c>
      <c r="Y55" s="383">
        <f t="shared" si="12"/>
        <v>34.376129485421799</v>
      </c>
      <c r="Z55" s="383">
        <f t="shared" si="22"/>
        <v>35.607250096555802</v>
      </c>
      <c r="AA55" s="384">
        <f t="shared" si="13"/>
        <v>37.780357076338042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5.7519492878040139E-2</v>
      </c>
      <c r="AD55" s="230">
        <f>(INDEX(Models!$BJ55:$BT55,,AH55)*(1-AF55)+INDEX(Models!$BJ55:$BT55,,AH55+1)*AF55-ERP_i)*AE55*Ramure*Pc/MaxiM</f>
        <v>5.1085672279127417E-5</v>
      </c>
      <c r="AE55" s="304">
        <f t="shared" si="15"/>
        <v>0.6</v>
      </c>
      <c r="AF55" s="177">
        <f t="shared" si="23"/>
        <v>2.0040911088385904E-3</v>
      </c>
      <c r="AG55" s="799">
        <f t="shared" si="24"/>
        <v>1</v>
      </c>
      <c r="AH55" s="176">
        <f t="shared" si="16"/>
        <v>7</v>
      </c>
      <c r="AI55" s="224">
        <f t="shared" si="17"/>
        <v>1.0020040911088386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45333</v>
      </c>
      <c r="B56" s="409">
        <f>IF(t&gt;Tmaj,'2023'!Wh/'2023'!Env_an*'2024'!Env_an,0.001*'[4]mon-tableau'!$B$231)</f>
        <v>17.324788090923231</v>
      </c>
      <c r="C56" s="829"/>
      <c r="D56" s="391">
        <f t="shared" si="0"/>
        <v>17.945588825830761</v>
      </c>
      <c r="E56" s="383">
        <f t="shared" si="1"/>
        <v>18.675474727195663</v>
      </c>
      <c r="F56" s="383">
        <f t="shared" si="2"/>
        <v>18.675678771691437</v>
      </c>
      <c r="G56" s="110">
        <f t="shared" si="21"/>
        <v>0.45457965288437802</v>
      </c>
      <c r="H56" s="412" t="b">
        <f>Wh_hp&gt;='2023'!Maxi_hp</f>
        <v>0</v>
      </c>
      <c r="I56" s="388">
        <f>IF(H56,Wh_hp,'2023'!Maxi_hp)</f>
        <v>35.249540811228528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3.459350043805498E-2</v>
      </c>
      <c r="M56" s="832"/>
      <c r="N56" s="832"/>
      <c r="O56" s="48">
        <f>IF(t&lt;Tnet,'2023'!Resal+('2023'!Salim-'2023'!Resal)*(1-EXP(('2023'!Tnet-t)/('2023'!Tau_j))),Resal+(Salim-Resal)*(1-EXP((Tnet-t)/(Tau_j))))*Salcycl</f>
        <v>3.9082588904796309E-2</v>
      </c>
      <c r="P56" s="169">
        <f>(INDEX(Models!$BJ56:$BT56,,T56)*(1-R56)+INDEX(Models!$BJ56:$BT56,,T56+1)*R56-ERP_i)*Q56*Ramure*Pc/MaxiM</f>
        <v>4.9470348965934687E-5</v>
      </c>
      <c r="Q56" s="304">
        <f t="shared" si="4"/>
        <v>0.6</v>
      </c>
      <c r="R56" s="177">
        <f t="shared" si="5"/>
        <v>2.1534974746997282E-3</v>
      </c>
      <c r="S56" s="799">
        <f t="shared" si="6"/>
        <v>1</v>
      </c>
      <c r="T56" s="176">
        <f t="shared" si="7"/>
        <v>7</v>
      </c>
      <c r="U56" s="250">
        <f t="shared" si="8"/>
        <v>1.0021534974746997</v>
      </c>
      <c r="V56" s="382">
        <f t="shared" si="9"/>
        <v>38.110197399919798</v>
      </c>
      <c r="W56" s="400">
        <f t="shared" si="10"/>
        <v>17.324788090923231</v>
      </c>
      <c r="X56" s="157">
        <f t="shared" si="11"/>
        <v>45333</v>
      </c>
      <c r="Y56" s="383">
        <f t="shared" si="12"/>
        <v>16.991149817854485</v>
      </c>
      <c r="Z56" s="383">
        <f t="shared" si="22"/>
        <v>17.599995261648072</v>
      </c>
      <c r="AA56" s="384">
        <f t="shared" si="13"/>
        <v>18.675474727195663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5.7587797968072674E-2</v>
      </c>
      <c r="AD56" s="230">
        <f>(INDEX(Models!$BJ56:$BT56,,AH56)*(1-AF56)+INDEX(Models!$BJ56:$BT56,,AH56+1)*AF56-ERP_i)*AE56*Ramure*Pc/MaxiM</f>
        <v>4.9470348965934687E-5</v>
      </c>
      <c r="AE56" s="304">
        <f t="shared" si="15"/>
        <v>0.6</v>
      </c>
      <c r="AF56" s="177">
        <f t="shared" si="23"/>
        <v>2.1534974746997282E-3</v>
      </c>
      <c r="AG56" s="799">
        <f t="shared" si="24"/>
        <v>1</v>
      </c>
      <c r="AH56" s="176">
        <f t="shared" si="16"/>
        <v>7</v>
      </c>
      <c r="AI56" s="224">
        <f t="shared" si="17"/>
        <v>1.0021534974746997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45334</v>
      </c>
      <c r="B57" s="409">
        <f>IF(t&gt;Tmaj,'2023'!Wh/'2023'!Env_an*'2024'!Env_an,0.001*'[4]mon-tableau'!$B$232)</f>
        <v>28.16187086683777</v>
      </c>
      <c r="C57" s="829"/>
      <c r="D57" s="391">
        <f t="shared" si="0"/>
        <v>29.171556857956364</v>
      </c>
      <c r="E57" s="383">
        <f t="shared" si="1"/>
        <v>30.360842449265803</v>
      </c>
      <c r="F57" s="383">
        <f t="shared" si="2"/>
        <v>30.361745622975373</v>
      </c>
      <c r="G57" s="110">
        <f t="shared" si="21"/>
        <v>0.73216406725106553</v>
      </c>
      <c r="H57" s="412" t="b">
        <f>Wh_hp&gt;='2023'!Maxi_hp</f>
        <v>0</v>
      </c>
      <c r="I57" s="388">
        <f>IF(H57,Wh_hp,'2023'!Maxi_hp)</f>
        <v>30.36203542631517</v>
      </c>
      <c r="J57" s="85">
        <f>IF(H57,An,'2023'!An_max)</f>
        <v>2022</v>
      </c>
      <c r="K57" s="197">
        <f t="shared" si="3"/>
        <v>45334</v>
      </c>
      <c r="L57" s="147">
        <f>IF(t&lt;Tvie,1-EXP((T0-t)*PertePVj)+'2023'!Pspv,1-EXP((T0-t)*PertePVj)+Pspv)</f>
        <v>3.4612002233374461E-2</v>
      </c>
      <c r="M57" s="832"/>
      <c r="N57" s="832"/>
      <c r="O57" s="48">
        <f>IF(t&lt;Tnet,'2023'!Resal+('2023'!Salim-'2023'!Resal)*(1-EXP(('2023'!Tnet-t)/('2023'!Tau_j))),Resal+(Salim-Resal)*(1-EXP((Tnet-t)/(Tau_j))))*Salcycl</f>
        <v>3.9171692725482883E-2</v>
      </c>
      <c r="P57" s="169">
        <f>(INDEX(Models!$BJ57:$BT57,,T57)*(1-R57)+INDEX(Models!$BJ57:$BT57,,T57+1)*R57-ERP_i)*Q57*Ramure*Pc/MaxiM</f>
        <v>4.8181506137503286E-5</v>
      </c>
      <c r="Q57" s="304">
        <f t="shared" si="4"/>
        <v>0.6</v>
      </c>
      <c r="R57" s="177">
        <f t="shared" si="5"/>
        <v>2.3090762612225646E-3</v>
      </c>
      <c r="S57" s="799">
        <f t="shared" si="6"/>
        <v>1</v>
      </c>
      <c r="T57" s="176">
        <f t="shared" si="7"/>
        <v>7</v>
      </c>
      <c r="U57" s="250">
        <f t="shared" si="8"/>
        <v>1.0023090762612226</v>
      </c>
      <c r="V57" s="382">
        <f t="shared" si="9"/>
        <v>38.463170979696805</v>
      </c>
      <c r="W57" s="400">
        <f t="shared" si="10"/>
        <v>28.16187086683777</v>
      </c>
      <c r="X57" s="157">
        <f t="shared" si="11"/>
        <v>45334</v>
      </c>
      <c r="Y57" s="383">
        <f t="shared" si="12"/>
        <v>27.620094188797509</v>
      </c>
      <c r="Z57" s="383">
        <f t="shared" si="22"/>
        <v>28.610355890787069</v>
      </c>
      <c r="AA57" s="384">
        <f t="shared" si="13"/>
        <v>30.360842449265803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5.7656060150632106E-2</v>
      </c>
      <c r="AD57" s="230">
        <f>(INDEX(Models!$BJ57:$BT57,,AH57)*(1-AF57)+INDEX(Models!$BJ57:$BT57,,AH57+1)*AF57-ERP_i)*AE57*Ramure*Pc/MaxiM</f>
        <v>4.8181506137503286E-5</v>
      </c>
      <c r="AE57" s="304">
        <f t="shared" si="15"/>
        <v>0.6</v>
      </c>
      <c r="AF57" s="177">
        <f t="shared" si="23"/>
        <v>2.3090762612225646E-3</v>
      </c>
      <c r="AG57" s="799">
        <f t="shared" si="24"/>
        <v>1</v>
      </c>
      <c r="AH57" s="176">
        <f t="shared" si="16"/>
        <v>7</v>
      </c>
      <c r="AI57" s="224">
        <f t="shared" si="17"/>
        <v>1.0023090762612226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45335</v>
      </c>
      <c r="B58" s="409">
        <f>IF(t&gt;Tmaj,'2023'!Wh/'2023'!Env_an*'2024'!Env_an,0.001*'[4]mon-tableau'!$B$233)</f>
        <v>35.067366351749286</v>
      </c>
      <c r="C58" s="829"/>
      <c r="D58" s="391">
        <f t="shared" si="0"/>
        <v>36.325330855400537</v>
      </c>
      <c r="E58" s="383">
        <f t="shared" si="1"/>
        <v>37.809769462979567</v>
      </c>
      <c r="F58" s="383">
        <f t="shared" si="2"/>
        <v>37.811306473161416</v>
      </c>
      <c r="G58" s="110">
        <f t="shared" si="21"/>
        <v>0.90341831001695494</v>
      </c>
      <c r="H58" s="412" t="b">
        <f>Wh_hp&gt;='2023'!Maxi_hp</f>
        <v>0</v>
      </c>
      <c r="I58" s="388">
        <f>IF(H58,Wh_hp,'2023'!Maxi_hp)</f>
        <v>37.811432491234164</v>
      </c>
      <c r="J58" s="85">
        <f>IF(H58,An,'2023'!An_max)</f>
        <v>2022</v>
      </c>
      <c r="K58" s="197">
        <f t="shared" si="3"/>
        <v>45335</v>
      </c>
      <c r="L58" s="147">
        <f>IF(t&lt;Tvie,1-EXP((T0-t)*PertePVj)+'2023'!Pspv,1-EXP((T0-t)*PertePVj)+Pspv)</f>
        <v>3.4630503674111246E-2</v>
      </c>
      <c r="M58" s="832"/>
      <c r="N58" s="832"/>
      <c r="O58" s="48">
        <f>IF(t&lt;Tnet,'2023'!Resal+('2023'!Salim-'2023'!Resal)*(1-EXP(('2023'!Tnet-t)/('2023'!Tau_j))),Resal+(Salim-Resal)*(1-EXP((Tnet-t)/(Tau_j))))*Salcycl</f>
        <v>3.9260715647380005E-2</v>
      </c>
      <c r="P58" s="169">
        <f>(INDEX(Models!$BJ58:$BT58,,T58)*(1-R58)+INDEX(Models!$BJ58:$BT58,,T58+1)*R58-ERP_i)*Q58*Ramure*Pc/MaxiM</f>
        <v>4.7155286345846467E-5</v>
      </c>
      <c r="Q58" s="304">
        <f t="shared" si="4"/>
        <v>0.6</v>
      </c>
      <c r="R58" s="177">
        <f t="shared" si="5"/>
        <v>2.4710783322616781E-3</v>
      </c>
      <c r="S58" s="799">
        <f t="shared" si="6"/>
        <v>1</v>
      </c>
      <c r="T58" s="176">
        <f t="shared" si="7"/>
        <v>7</v>
      </c>
      <c r="U58" s="250">
        <f t="shared" si="8"/>
        <v>1.0024710783322617</v>
      </c>
      <c r="V58" s="382">
        <f t="shared" si="9"/>
        <v>38.81605875415665</v>
      </c>
      <c r="W58" s="400">
        <f t="shared" si="10"/>
        <v>35.067366351749286</v>
      </c>
      <c r="X58" s="157">
        <f t="shared" si="11"/>
        <v>45335</v>
      </c>
      <c r="Y58" s="383">
        <f t="shared" si="12"/>
        <v>34.39343915291208</v>
      </c>
      <c r="Z58" s="383">
        <f t="shared" si="22"/>
        <v>35.627228003174409</v>
      </c>
      <c r="AA58" s="384">
        <f t="shared" si="13"/>
        <v>37.809769462979567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5.7724273139039772E-2</v>
      </c>
      <c r="AD58" s="230">
        <f>(INDEX(Models!$BJ58:$BT58,,AH58)*(1-AF58)+INDEX(Models!$BJ58:$BT58,,AH58+1)*AF58-ERP_i)*AE58*Ramure*Pc/MaxiM</f>
        <v>4.7155286345846467E-5</v>
      </c>
      <c r="AE58" s="304">
        <f t="shared" si="15"/>
        <v>0.6</v>
      </c>
      <c r="AF58" s="177">
        <f t="shared" si="23"/>
        <v>2.4710783322616781E-3</v>
      </c>
      <c r="AG58" s="799">
        <f t="shared" si="24"/>
        <v>1</v>
      </c>
      <c r="AH58" s="176">
        <f t="shared" si="16"/>
        <v>7</v>
      </c>
      <c r="AI58" s="224">
        <f t="shared" si="17"/>
        <v>1.0024710783322617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45336</v>
      </c>
      <c r="B59" s="409">
        <f>IF(t&gt;Tmaj,'2023'!Wh/'2023'!Env_an*'2024'!Env_an,0.001*'[4]mon-tableau'!$B$234)</f>
        <v>15.432434359157661</v>
      </c>
      <c r="C59" s="829"/>
      <c r="D59" s="391">
        <f t="shared" si="0"/>
        <v>15.9863453140433</v>
      </c>
      <c r="E59" s="383">
        <f t="shared" si="1"/>
        <v>16.641169571190794</v>
      </c>
      <c r="F59" s="383">
        <f t="shared" si="2"/>
        <v>16.641272595866258</v>
      </c>
      <c r="G59" s="110">
        <f t="shared" si="21"/>
        <v>0.39398771751174816</v>
      </c>
      <c r="H59" s="412" t="b">
        <f>Wh_hp&gt;='2023'!Maxi_hp</f>
        <v>0</v>
      </c>
      <c r="I59" s="388">
        <f>IF(H59,Wh_hp,'2023'!Maxi_hp)</f>
        <v>40.693105086860676</v>
      </c>
      <c r="J59" s="85">
        <f>IF(H59,An,'2023'!An_max)</f>
        <v>2021</v>
      </c>
      <c r="K59" s="197">
        <f t="shared" si="3"/>
        <v>45336</v>
      </c>
      <c r="L59" s="147">
        <f>IF(t&lt;Tvie,1-EXP((T0-t)*PertePVj)+'2023'!Pspv,1-EXP((T0-t)*PertePVj)+Pspv)</f>
        <v>3.4649004760272106E-2</v>
      </c>
      <c r="M59" s="832"/>
      <c r="N59" s="832"/>
      <c r="O59" s="48">
        <f>IF(t&lt;Tnet,'2023'!Resal+('2023'!Salim-'2023'!Resal)*(1-EXP(('2023'!Tnet-t)/('2023'!Tau_j))),Resal+(Salim-Resal)*(1-EXP((Tnet-t)/(Tau_j))))*Salcycl</f>
        <v>3.9349653541246712E-2</v>
      </c>
      <c r="P59" s="169">
        <f>(INDEX(Models!$BJ59:$BT59,,T59)*(1-R59)+INDEX(Models!$BJ59:$BT59,,T59+1)*R59-ERP_i)*Q59*Ramure*Pc/MaxiM</f>
        <v>4.6100857476203793E-5</v>
      </c>
      <c r="Q59" s="304">
        <f t="shared" si="4"/>
        <v>0.6</v>
      </c>
      <c r="R59" s="177">
        <f t="shared" si="5"/>
        <v>2.6397643962434714E-3</v>
      </c>
      <c r="S59" s="799">
        <f t="shared" si="6"/>
        <v>1</v>
      </c>
      <c r="T59" s="176">
        <f t="shared" si="7"/>
        <v>7</v>
      </c>
      <c r="U59" s="250">
        <f t="shared" si="8"/>
        <v>1.0026397643962435</v>
      </c>
      <c r="V59" s="382">
        <f t="shared" si="9"/>
        <v>39.168272922848978</v>
      </c>
      <c r="W59" s="400">
        <f t="shared" si="10"/>
        <v>15.432434359157661</v>
      </c>
      <c r="X59" s="157">
        <f t="shared" si="11"/>
        <v>45336</v>
      </c>
      <c r="Y59" s="383">
        <f t="shared" si="12"/>
        <v>15.136159081626248</v>
      </c>
      <c r="Z59" s="383">
        <f t="shared" si="22"/>
        <v>15.679435931867921</v>
      </c>
      <c r="AA59" s="384">
        <f t="shared" si="13"/>
        <v>16.641169571190794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5.7792430706783249E-2</v>
      </c>
      <c r="AD59" s="230">
        <f>(INDEX(Models!$BJ59:$BT59,,AH59)*(1-AF59)+INDEX(Models!$BJ59:$BT59,,AH59+1)*AF59-ERP_i)*AE59*Ramure*Pc/MaxiM</f>
        <v>4.6100857476203793E-5</v>
      </c>
      <c r="AE59" s="304">
        <f t="shared" si="15"/>
        <v>0.6</v>
      </c>
      <c r="AF59" s="177">
        <f t="shared" si="23"/>
        <v>2.6397643962434714E-3</v>
      </c>
      <c r="AG59" s="799">
        <f t="shared" si="24"/>
        <v>1</v>
      </c>
      <c r="AH59" s="176">
        <f t="shared" si="16"/>
        <v>7</v>
      </c>
      <c r="AI59" s="224">
        <f t="shared" si="17"/>
        <v>1.0026397643962435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45337</v>
      </c>
      <c r="B60" s="409">
        <f>IF(t&gt;Tmaj,'2023'!Wh/'2023'!Env_an*'2024'!Env_an,0.001*'[4]mon-tableau'!$B$235)</f>
        <v>19.619842359102375</v>
      </c>
      <c r="C60" s="829"/>
      <c r="D60" s="391">
        <f t="shared" si="0"/>
        <v>20.324439994221095</v>
      </c>
      <c r="E60" s="383">
        <f t="shared" si="1"/>
        <v>21.158915950927639</v>
      </c>
      <c r="F60" s="383">
        <f t="shared" si="2"/>
        <v>21.159183302919732</v>
      </c>
      <c r="G60" s="110">
        <f t="shared" si="21"/>
        <v>0.49644728692320073</v>
      </c>
      <c r="H60" s="412" t="b">
        <f>Wh_hp&gt;='2023'!Maxi_hp</f>
        <v>0</v>
      </c>
      <c r="I60" s="388">
        <f>IF(H60,Wh_hp,'2023'!Maxi_hp)</f>
        <v>42.120737329566786</v>
      </c>
      <c r="J60" s="85">
        <f>IF(H60,An,'2023'!An_max)</f>
        <v>2020</v>
      </c>
      <c r="K60" s="197">
        <f t="shared" si="3"/>
        <v>45337</v>
      </c>
      <c r="L60" s="147">
        <f>IF(t&lt;Tvie,1-EXP((T0-t)*PertePVj)+'2023'!Pspv,1-EXP((T0-t)*PertePVj)+Pspv)</f>
        <v>3.4667505491863926E-2</v>
      </c>
      <c r="M60" s="832"/>
      <c r="N60" s="832"/>
      <c r="O60" s="48">
        <f>IF(t&lt;Tnet,'2023'!Resal+('2023'!Salim-'2023'!Resal)*(1-EXP(('2023'!Tnet-t)/('2023'!Tau_j))),Resal+(Salim-Resal)*(1-EXP((Tnet-t)/(Tau_j))))*Salcycl</f>
        <v>3.9438502361930243E-2</v>
      </c>
      <c r="P60" s="169">
        <f>(INDEX(Models!$BJ60:$BT60,,T60)*(1-R60)+INDEX(Models!$BJ60:$BT60,,T60+1)*R60-ERP_i)*Q60*Ramure*Pc/MaxiM</f>
        <v>4.5019533024604127E-5</v>
      </c>
      <c r="Q60" s="304">
        <f t="shared" si="4"/>
        <v>0.6</v>
      </c>
      <c r="R60" s="177">
        <f t="shared" si="5"/>
        <v>2.8154053625739639E-3</v>
      </c>
      <c r="S60" s="799">
        <f t="shared" si="6"/>
        <v>1</v>
      </c>
      <c r="T60" s="176">
        <f t="shared" si="7"/>
        <v>7</v>
      </c>
      <c r="U60" s="250">
        <f t="shared" si="8"/>
        <v>1.002815405362574</v>
      </c>
      <c r="V60" s="382">
        <f t="shared" si="9"/>
        <v>39.519214816399959</v>
      </c>
      <c r="W60" s="400">
        <f t="shared" si="10"/>
        <v>19.619842359102375</v>
      </c>
      <c r="X60" s="157">
        <f t="shared" si="11"/>
        <v>45337</v>
      </c>
      <c r="Y60" s="383">
        <f t="shared" si="12"/>
        <v>19.243565342088004</v>
      </c>
      <c r="Z60" s="383">
        <f t="shared" si="22"/>
        <v>19.934649927943365</v>
      </c>
      <c r="AA60" s="384">
        <f t="shared" si="13"/>
        <v>21.158915950927639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5.7860526778575297E-2</v>
      </c>
      <c r="AD60" s="230">
        <f>(INDEX(Models!$BJ60:$BT60,,AH60)*(1-AF60)+INDEX(Models!$BJ60:$BT60,,AH60+1)*AF60-ERP_i)*AE60*Ramure*Pc/MaxiM</f>
        <v>4.5019533024604127E-5</v>
      </c>
      <c r="AE60" s="304">
        <f t="shared" si="15"/>
        <v>0.6</v>
      </c>
      <c r="AF60" s="177">
        <f t="shared" si="23"/>
        <v>2.8154053625739639E-3</v>
      </c>
      <c r="AG60" s="799">
        <f t="shared" si="24"/>
        <v>1</v>
      </c>
      <c r="AH60" s="176">
        <f t="shared" si="16"/>
        <v>7</v>
      </c>
      <c r="AI60" s="224">
        <f t="shared" si="17"/>
        <v>1.002815405362574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45338</v>
      </c>
      <c r="B61" s="409">
        <f>IF(t&gt;Tmaj,'2023'!Wh/'2023'!Env_an*'2024'!Env_an,0.001*'[4]mon-tableau'!$B$236)</f>
        <v>8.84006742275694</v>
      </c>
      <c r="C61" s="829"/>
      <c r="D61" s="391">
        <f t="shared" si="0"/>
        <v>9.1577118704406804</v>
      </c>
      <c r="E61" s="383">
        <f t="shared" si="1"/>
        <v>9.5345879919424625</v>
      </c>
      <c r="F61" s="383">
        <f t="shared" si="2"/>
        <v>9.5345879919424625</v>
      </c>
      <c r="G61" s="110">
        <f t="shared" si="21"/>
        <v>0.22172207819604181</v>
      </c>
      <c r="H61" s="412" t="b">
        <f>Wh_hp&gt;='2023'!Maxi_hp</f>
        <v>0</v>
      </c>
      <c r="I61" s="388">
        <f>IF(H61,Wh_hp,'2023'!Maxi_hp)</f>
        <v>34.417893598161328</v>
      </c>
      <c r="J61" s="85">
        <f>IF(H61,An,'2023'!An_max)</f>
        <v>2021</v>
      </c>
      <c r="K61" s="197">
        <f t="shared" si="3"/>
        <v>45338</v>
      </c>
      <c r="L61" s="147">
        <f>IF(t&lt;Tvie,1-EXP((T0-t)*PertePVj)+'2023'!Pspv,1-EXP((T0-t)*PertePVj)+Pspv)</f>
        <v>3.4686005868893477E-2</v>
      </c>
      <c r="M61" s="832"/>
      <c r="N61" s="832"/>
      <c r="O61" s="48">
        <f>IF(t&lt;Tnet,'2023'!Resal+('2023'!Salim-'2023'!Resal)*(1-EXP(('2023'!Tnet-t)/('2023'!Tau_j))),Resal+(Salim-Resal)*(1-EXP((Tnet-t)/(Tau_j))))*Salcycl</f>
        <v>3.9527258211920109E-2</v>
      </c>
      <c r="P61" s="169">
        <f>(INDEX(Models!$BJ61:$BT61,,T61)*(1-R61)+INDEX(Models!$BJ61:$BT61,,T61+1)*R61-ERP_i)*Q61*Ramure*Pc/MaxiM</f>
        <v>4.3912515473971615E-5</v>
      </c>
      <c r="Q61" s="304">
        <f t="shared" si="4"/>
        <v>0.6</v>
      </c>
      <c r="R61" s="177">
        <f t="shared" si="5"/>
        <v>2.9982827083618879E-3</v>
      </c>
      <c r="S61" s="799">
        <f t="shared" si="6"/>
        <v>1</v>
      </c>
      <c r="T61" s="176">
        <f t="shared" si="7"/>
        <v>7</v>
      </c>
      <c r="U61" s="250">
        <f t="shared" si="8"/>
        <v>1.0029982827083619</v>
      </c>
      <c r="V61" s="382">
        <f t="shared" si="9"/>
        <v>39.868286032136119</v>
      </c>
      <c r="W61" s="400">
        <f t="shared" si="10"/>
        <v>8.84006742275694</v>
      </c>
      <c r="X61" s="157">
        <f t="shared" si="11"/>
        <v>45338</v>
      </c>
      <c r="Y61" s="383">
        <f t="shared" si="12"/>
        <v>8.6707042520870559</v>
      </c>
      <c r="Z61" s="383">
        <f t="shared" si="22"/>
        <v>8.9822630820675986</v>
      </c>
      <c r="AA61" s="384">
        <f t="shared" si="13"/>
        <v>9.5345879919424625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5.7928555522443644E-2</v>
      </c>
      <c r="AD61" s="230">
        <f>(INDEX(Models!$BJ61:$BT61,,AH61)*(1-AF61)+INDEX(Models!$BJ61:$BT61,,AH61+1)*AF61-ERP_i)*AE61*Ramure*Pc/MaxiM</f>
        <v>4.3912515473971615E-5</v>
      </c>
      <c r="AE61" s="304">
        <f t="shared" si="15"/>
        <v>0.6</v>
      </c>
      <c r="AF61" s="177">
        <f t="shared" si="23"/>
        <v>2.9982827083618879E-3</v>
      </c>
      <c r="AG61" s="799">
        <f t="shared" si="24"/>
        <v>1</v>
      </c>
      <c r="AH61" s="176">
        <f t="shared" si="16"/>
        <v>7</v>
      </c>
      <c r="AI61" s="224">
        <f t="shared" si="17"/>
        <v>1.0029982827083619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45339</v>
      </c>
      <c r="B62" s="409">
        <f>IF(t&gt;Tmaj,'2023'!Wh/'2023'!Env_an*'2024'!Env_an,0.001*'[4]mon-tableau'!$B$237)</f>
        <v>11.149115326786859</v>
      </c>
      <c r="C62" s="829"/>
      <c r="D62" s="391">
        <f t="shared" si="0"/>
        <v>11.549950657422379</v>
      </c>
      <c r="E62" s="383">
        <f t="shared" si="1"/>
        <v>12.026387011973473</v>
      </c>
      <c r="F62" s="383">
        <f t="shared" si="2"/>
        <v>12.026387011973473</v>
      </c>
      <c r="G62" s="110">
        <f t="shared" si="21"/>
        <v>0.27722663900039057</v>
      </c>
      <c r="H62" s="412" t="b">
        <f>Wh_hp&gt;='2023'!Maxi_hp</f>
        <v>0</v>
      </c>
      <c r="I62" s="388">
        <f>IF(H62,Wh_hp,'2023'!Maxi_hp)</f>
        <v>38.835369308971607</v>
      </c>
      <c r="J62" s="85">
        <f>IF(H62,An,'2023'!An_max)</f>
        <v>2021</v>
      </c>
      <c r="K62" s="197">
        <f t="shared" si="3"/>
        <v>45339</v>
      </c>
      <c r="L62" s="147">
        <f>IF(t&lt;Tvie,1-EXP((T0-t)*PertePVj)+'2023'!Pspv,1-EXP((T0-t)*PertePVj)+Pspv)</f>
        <v>3.4704505891367532E-2</v>
      </c>
      <c r="M62" s="832"/>
      <c r="N62" s="832"/>
      <c r="O62" s="48">
        <f>IF(t&lt;Tnet,'2023'!Resal+('2023'!Salim-'2023'!Resal)*(1-EXP(('2023'!Tnet-t)/('2023'!Tau_j))),Resal+(Salim-Resal)*(1-EXP((Tnet-t)/(Tau_j))))*Salcycl</f>
        <v>3.9615917405348158E-2</v>
      </c>
      <c r="P62" s="169">
        <f>(INDEX(Models!$BJ62:$BT62,,T62)*(1-R62)+INDEX(Models!$BJ62:$BT62,,T62+1)*R62-ERP_i)*Q62*Ramure*Pc/MaxiM</f>
        <v>4.2780899188089188E-5</v>
      </c>
      <c r="Q62" s="304">
        <f t="shared" si="4"/>
        <v>0.6</v>
      </c>
      <c r="R62" s="177">
        <f t="shared" si="5"/>
        <v>3.1886888555183734E-3</v>
      </c>
      <c r="S62" s="799">
        <f t="shared" si="6"/>
        <v>1</v>
      </c>
      <c r="T62" s="176">
        <f t="shared" si="7"/>
        <v>7</v>
      </c>
      <c r="U62" s="250">
        <f t="shared" si="8"/>
        <v>1.0031886888555184</v>
      </c>
      <c r="V62" s="382">
        <f t="shared" si="9"/>
        <v>40.214888431383109</v>
      </c>
      <c r="W62" s="400">
        <f t="shared" si="10"/>
        <v>11.149115326786859</v>
      </c>
      <c r="X62" s="157">
        <f t="shared" si="11"/>
        <v>45339</v>
      </c>
      <c r="Y62" s="383">
        <f t="shared" si="12"/>
        <v>10.935734694597855</v>
      </c>
      <c r="Z62" s="383">
        <f t="shared" si="22"/>
        <v>11.328898520028902</v>
      </c>
      <c r="AA62" s="384">
        <f t="shared" si="13"/>
        <v>12.026387011973473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5.7996511441894473E-2</v>
      </c>
      <c r="AD62" s="230">
        <f>(INDEX(Models!$BJ62:$BT62,,AH62)*(1-AF62)+INDEX(Models!$BJ62:$BT62,,AH62+1)*AF62-ERP_i)*AE62*Ramure*Pc/MaxiM</f>
        <v>4.2780899188089188E-5</v>
      </c>
      <c r="AE62" s="304">
        <f t="shared" si="15"/>
        <v>0.6</v>
      </c>
      <c r="AF62" s="177">
        <f t="shared" si="23"/>
        <v>3.1886888555183734E-3</v>
      </c>
      <c r="AG62" s="799">
        <f t="shared" si="24"/>
        <v>1</v>
      </c>
      <c r="AH62" s="176">
        <f t="shared" si="16"/>
        <v>7</v>
      </c>
      <c r="AI62" s="224">
        <f t="shared" si="17"/>
        <v>1.0031886888555184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45340</v>
      </c>
      <c r="B63" s="409">
        <f>IF(t&gt;Tmaj,'2023'!Wh/'2023'!Env_an*'2024'!Env_an,0.001*'[4]mon-tableau'!$B$238)</f>
        <v>31.628970640853403</v>
      </c>
      <c r="C63" s="829"/>
      <c r="D63" s="391">
        <f t="shared" si="0"/>
        <v>32.766729988400478</v>
      </c>
      <c r="E63" s="383">
        <f t="shared" si="1"/>
        <v>34.121506544214483</v>
      </c>
      <c r="F63" s="383">
        <f t="shared" si="2"/>
        <v>34.12248018284199</v>
      </c>
      <c r="G63" s="110">
        <f t="shared" si="21"/>
        <v>0.77982705733054403</v>
      </c>
      <c r="H63" s="412" t="b">
        <f>Wh_hp&gt;='2023'!Maxi_hp</f>
        <v>0</v>
      </c>
      <c r="I63" s="388">
        <f>IF(H63,Wh_hp,'2023'!Maxi_hp)</f>
        <v>34.122699512103274</v>
      </c>
      <c r="J63" s="85">
        <f>IF(H63,An,'2023'!An_max)</f>
        <v>2022</v>
      </c>
      <c r="K63" s="197">
        <f t="shared" si="3"/>
        <v>45340</v>
      </c>
      <c r="L63" s="147">
        <f>IF(t&lt;Tvie,1-EXP((T0-t)*PertePVj)+'2023'!Pspv,1-EXP((T0-t)*PertePVj)+Pspv)</f>
        <v>3.4723005559292752E-2</v>
      </c>
      <c r="M63" s="832"/>
      <c r="N63" s="832"/>
      <c r="O63" s="48">
        <f>IF(t&lt;Tnet,'2023'!Resal+('2023'!Salim-'2023'!Resal)*(1-EXP(('2023'!Tnet-t)/('2023'!Tau_j))),Resal+(Salim-Resal)*(1-EXP((Tnet-t)/(Tau_j))))*Salcycl</f>
        <v>3.9704476531787616E-2</v>
      </c>
      <c r="P63" s="169">
        <f>(INDEX(Models!$BJ63:$BT63,,T63)*(1-R63)+INDEX(Models!$BJ63:$BT63,,T63+1)*R63-ERP_i)*Q63*Ramure*Pc/MaxiM</f>
        <v>4.1625673192532245E-5</v>
      </c>
      <c r="Q63" s="304">
        <f t="shared" si="4"/>
        <v>0.6</v>
      </c>
      <c r="R63" s="177">
        <f t="shared" si="5"/>
        <v>3.3869275582665281E-3</v>
      </c>
      <c r="S63" s="799">
        <f t="shared" si="6"/>
        <v>1</v>
      </c>
      <c r="T63" s="176">
        <f t="shared" si="7"/>
        <v>7</v>
      </c>
      <c r="U63" s="250">
        <f t="shared" si="8"/>
        <v>1.0033869275582665</v>
      </c>
      <c r="V63" s="382">
        <f t="shared" si="9"/>
        <v>40.558424132948943</v>
      </c>
      <c r="W63" s="400">
        <f t="shared" si="10"/>
        <v>31.628970640853403</v>
      </c>
      <c r="X63" s="157">
        <f t="shared" si="11"/>
        <v>45340</v>
      </c>
      <c r="Y63" s="383">
        <f t="shared" si="12"/>
        <v>31.024255599481744</v>
      </c>
      <c r="Z63" s="383">
        <f t="shared" si="22"/>
        <v>32.140262099023253</v>
      </c>
      <c r="AA63" s="384">
        <f t="shared" si="13"/>
        <v>34.121506544214483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5.806438946721016E-2</v>
      </c>
      <c r="AD63" s="230">
        <f>(INDEX(Models!$BJ63:$BT63,,AH63)*(1-AF63)+INDEX(Models!$BJ63:$BT63,,AH63+1)*AF63-ERP_i)*AE63*Ramure*Pc/MaxiM</f>
        <v>4.1625673192532245E-5</v>
      </c>
      <c r="AE63" s="304">
        <f t="shared" si="15"/>
        <v>0.6</v>
      </c>
      <c r="AF63" s="177">
        <f t="shared" si="23"/>
        <v>3.3869275582665281E-3</v>
      </c>
      <c r="AG63" s="799">
        <f t="shared" si="24"/>
        <v>1</v>
      </c>
      <c r="AH63" s="176">
        <f t="shared" si="16"/>
        <v>7</v>
      </c>
      <c r="AI63" s="224">
        <f t="shared" si="17"/>
        <v>1.0033869275582665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45341</v>
      </c>
      <c r="B64" s="409">
        <f>IF(t&gt;Tmaj,'2023'!Wh/'2023'!Env_an*'2024'!Env_an,0.001*'[4]mon-tableau'!$B$239)</f>
        <v>19.034221532572285</v>
      </c>
      <c r="C64" s="829"/>
      <c r="D64" s="391">
        <f t="shared" si="0"/>
        <v>19.719299678436446</v>
      </c>
      <c r="E64" s="383">
        <f t="shared" si="1"/>
        <v>20.536507537038219</v>
      </c>
      <c r="F64" s="383">
        <f t="shared" si="2"/>
        <v>20.536703815311771</v>
      </c>
      <c r="G64" s="110">
        <f t="shared" si="21"/>
        <v>0.46538940843129745</v>
      </c>
      <c r="H64" s="412" t="b">
        <f>Wh_hp&gt;='2023'!Maxi_hp</f>
        <v>0</v>
      </c>
      <c r="I64" s="388">
        <f>IF(H64,Wh_hp,'2023'!Maxi_hp)</f>
        <v>41.255245253729655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3.4741504872676132E-2</v>
      </c>
      <c r="M64" s="832"/>
      <c r="N64" s="832"/>
      <c r="O64" s="48">
        <f>IF(t&lt;Tnet,'2023'!Resal+('2023'!Salim-'2023'!Resal)*(1-EXP(('2023'!Tnet-t)/('2023'!Tau_j))),Resal+(Salim-Resal)*(1-EXP((Tnet-t)/(Tau_j))))*Salcycl</f>
        <v>3.9792932519218033E-2</v>
      </c>
      <c r="P64" s="169">
        <f>(INDEX(Models!$BJ64:$BT64,,T64)*(1-R64)+INDEX(Models!$BJ64:$BT64,,T64+1)*R64-ERP_i)*Q64*Ramure*Pc/MaxiM</f>
        <v>4.044772375022658E-5</v>
      </c>
      <c r="Q64" s="304">
        <f t="shared" si="4"/>
        <v>0.6</v>
      </c>
      <c r="R64" s="177">
        <f t="shared" si="5"/>
        <v>3.5933143010755675E-3</v>
      </c>
      <c r="S64" s="799">
        <f t="shared" si="6"/>
        <v>1</v>
      </c>
      <c r="T64" s="176">
        <f t="shared" si="7"/>
        <v>7</v>
      </c>
      <c r="U64" s="250">
        <f t="shared" si="8"/>
        <v>1.0035933143010756</v>
      </c>
      <c r="V64" s="382">
        <f t="shared" si="9"/>
        <v>40.898295512499757</v>
      </c>
      <c r="W64" s="400">
        <f t="shared" si="10"/>
        <v>19.034221532572285</v>
      </c>
      <c r="X64" s="157">
        <f t="shared" si="11"/>
        <v>45341</v>
      </c>
      <c r="Y64" s="383">
        <f t="shared" si="12"/>
        <v>18.670681826253759</v>
      </c>
      <c r="Z64" s="383">
        <f t="shared" si="22"/>
        <v>19.342675480717705</v>
      </c>
      <c r="AA64" s="384">
        <f t="shared" si="13"/>
        <v>20.536507537038219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5.8132185044969399E-2</v>
      </c>
      <c r="AD64" s="230">
        <f>(INDEX(Models!$BJ64:$BT64,,AH64)*(1-AF64)+INDEX(Models!$BJ64:$BT64,,AH64+1)*AF64-ERP_i)*AE64*Ramure*Pc/MaxiM</f>
        <v>4.044772375022658E-5</v>
      </c>
      <c r="AE64" s="304">
        <f t="shared" si="15"/>
        <v>0.6</v>
      </c>
      <c r="AF64" s="177">
        <f t="shared" si="23"/>
        <v>3.5933143010755675E-3</v>
      </c>
      <c r="AG64" s="799">
        <f t="shared" si="24"/>
        <v>1</v>
      </c>
      <c r="AH64" s="176">
        <f t="shared" si="16"/>
        <v>7</v>
      </c>
      <c r="AI64" s="224">
        <f t="shared" si="17"/>
        <v>1.0035933143010756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45342</v>
      </c>
      <c r="B65" s="409">
        <f>IF(t&gt;Tmaj,'2023'!Wh/'2023'!Env_an*'2024'!Env_an,0.001*'[4]mon-tableau'!$B$240)</f>
        <v>20.693976020785414</v>
      </c>
      <c r="C65" s="829"/>
      <c r="D65" s="391">
        <f t="shared" si="0"/>
        <v>21.439202791979447</v>
      </c>
      <c r="E65" s="383">
        <f t="shared" si="1"/>
        <v>22.329741526308549</v>
      </c>
      <c r="F65" s="383">
        <f t="shared" si="2"/>
        <v>22.32999423877688</v>
      </c>
      <c r="G65" s="110">
        <f t="shared" si="21"/>
        <v>0.50183835856073267</v>
      </c>
      <c r="H65" s="412" t="b">
        <f>Wh_hp&gt;='2023'!Maxi_hp</f>
        <v>0</v>
      </c>
      <c r="I65" s="388">
        <f>IF(H65,Wh_hp,'2023'!Maxi_hp)</f>
        <v>44.665553120035945</v>
      </c>
      <c r="J65" s="85">
        <f>IF(H65,An,'2023'!An_max)</f>
        <v>2020</v>
      </c>
      <c r="K65" s="197">
        <f t="shared" si="3"/>
        <v>45342</v>
      </c>
      <c r="L65" s="147">
        <f>IF(t&lt;Tvie,1-EXP((T0-t)*PertePVj)+'2023'!Pspv,1-EXP((T0-t)*PertePVj)+Pspv)</f>
        <v>3.4760003831524444E-2</v>
      </c>
      <c r="M65" s="832"/>
      <c r="N65" s="832"/>
      <c r="O65" s="48">
        <f>IF(t&lt;Tnet,'2023'!Resal+('2023'!Salim-'2023'!Resal)*(1-EXP(('2023'!Tnet-t)/('2023'!Tau_j))),Resal+(Salim-Resal)*(1-EXP((Tnet-t)/(Tau_j))))*Salcycl</f>
        <v>3.9881282695542419E-2</v>
      </c>
      <c r="P65" s="169">
        <f>(INDEX(Models!$BJ65:$BT65,,T65)*(1-R65)+INDEX(Models!$BJ65:$BT65,,T65+1)*R65-ERP_i)*Q65*Ramure*Pc/MaxiM</f>
        <v>3.9246617671642556E-5</v>
      </c>
      <c r="Q65" s="304">
        <f t="shared" si="4"/>
        <v>0.6</v>
      </c>
      <c r="R65" s="177">
        <f t="shared" si="5"/>
        <v>3.8081767069857442E-3</v>
      </c>
      <c r="S65" s="799">
        <f t="shared" si="6"/>
        <v>1</v>
      </c>
      <c r="T65" s="176">
        <f t="shared" si="7"/>
        <v>7</v>
      </c>
      <c r="U65" s="250">
        <f t="shared" si="8"/>
        <v>1.0038081767069857</v>
      </c>
      <c r="V65" s="382">
        <f t="shared" si="9"/>
        <v>41.235185971814701</v>
      </c>
      <c r="W65" s="400">
        <f t="shared" si="10"/>
        <v>20.693976020785414</v>
      </c>
      <c r="X65" s="157">
        <f t="shared" si="11"/>
        <v>45342</v>
      </c>
      <c r="Y65" s="383">
        <f t="shared" si="12"/>
        <v>20.29914473493444</v>
      </c>
      <c r="Z65" s="383">
        <f t="shared" si="22"/>
        <v>21.030152931407716</v>
      </c>
      <c r="AA65" s="384">
        <f t="shared" si="13"/>
        <v>22.329741526308549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5.8199894224914277E-2</v>
      </c>
      <c r="AD65" s="230">
        <f>(INDEX(Models!$BJ65:$BT65,,AH65)*(1-AF65)+INDEX(Models!$BJ65:$BT65,,AH65+1)*AF65-ERP_i)*AE65*Ramure*Pc/MaxiM</f>
        <v>3.9246617671642556E-5</v>
      </c>
      <c r="AE65" s="304">
        <f t="shared" si="15"/>
        <v>0.6</v>
      </c>
      <c r="AF65" s="177">
        <f t="shared" si="23"/>
        <v>3.8081767069857442E-3</v>
      </c>
      <c r="AG65" s="799">
        <f t="shared" si="24"/>
        <v>1</v>
      </c>
      <c r="AH65" s="176">
        <f t="shared" si="16"/>
        <v>7</v>
      </c>
      <c r="AI65" s="224">
        <f t="shared" si="17"/>
        <v>1.0038081767069857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45343</v>
      </c>
      <c r="B66" s="409">
        <f>IF(t&gt;Tmaj,'2023'!Wh/'2023'!Env_an*'2024'!Env_an,0.001*'[4]mon-tableau'!$B$241)</f>
        <v>21.782891471603232</v>
      </c>
      <c r="C66" s="829"/>
      <c r="D66" s="391">
        <f t="shared" si="0"/>
        <v>22.567764525111379</v>
      </c>
      <c r="E66" s="383">
        <f t="shared" si="1"/>
        <v>23.507341807602398</v>
      </c>
      <c r="F66" s="383">
        <f t="shared" si="2"/>
        <v>23.50762825485862</v>
      </c>
      <c r="G66" s="110">
        <f t="shared" si="21"/>
        <v>0.52398846951981504</v>
      </c>
      <c r="H66" s="412" t="b">
        <f>Wh_hp&gt;='2023'!Maxi_hp</f>
        <v>0</v>
      </c>
      <c r="I66" s="388">
        <f>IF(H66,Wh_hp,'2023'!Maxi_hp)</f>
        <v>23.507922443525114</v>
      </c>
      <c r="J66" s="85">
        <f>IF(H66,An,'2023'!An_max)</f>
        <v>2022</v>
      </c>
      <c r="K66" s="197">
        <f t="shared" si="3"/>
        <v>45343</v>
      </c>
      <c r="L66" s="147">
        <f>IF(t&lt;Tvie,1-EXP((T0-t)*PertePVj)+'2023'!Pspv,1-EXP((T0-t)*PertePVj)+Pspv)</f>
        <v>3.477850243584435E-2</v>
      </c>
      <c r="M66" s="832"/>
      <c r="N66" s="832"/>
      <c r="O66" s="48">
        <f>IF(t&lt;Tnet,'2023'!Resal+('2023'!Salim-'2023'!Resal)*(1-EXP(('2023'!Tnet-t)/('2023'!Tau_j))),Resal+(Salim-Resal)*(1-EXP((Tnet-t)/(Tau_j))))*Salcycl</f>
        <v>3.9969524848069177E-2</v>
      </c>
      <c r="P66" s="169">
        <f>(INDEX(Models!$BJ66:$BT66,,T66)*(1-R66)+INDEX(Models!$BJ66:$BT66,,T66+1)*R66-ERP_i)*Q66*Ramure*Pc/MaxiM</f>
        <v>3.8078683324200213E-5</v>
      </c>
      <c r="Q66" s="304">
        <f t="shared" si="4"/>
        <v>0.6</v>
      </c>
      <c r="R66" s="177">
        <f t="shared" si="5"/>
        <v>4.0318549562725625E-3</v>
      </c>
      <c r="S66" s="799">
        <f t="shared" si="6"/>
        <v>1</v>
      </c>
      <c r="T66" s="176">
        <f t="shared" si="7"/>
        <v>7</v>
      </c>
      <c r="U66" s="250">
        <f t="shared" si="8"/>
        <v>1.0040318549562726</v>
      </c>
      <c r="V66" s="382">
        <f t="shared" si="9"/>
        <v>41.570241901896402</v>
      </c>
      <c r="W66" s="400">
        <f t="shared" si="10"/>
        <v>21.782891471603232</v>
      </c>
      <c r="X66" s="157">
        <f t="shared" si="11"/>
        <v>45343</v>
      </c>
      <c r="Y66" s="383">
        <f t="shared" si="12"/>
        <v>21.367713915712553</v>
      </c>
      <c r="Z66" s="383">
        <f t="shared" si="22"/>
        <v>22.137627445758685</v>
      </c>
      <c r="AA66" s="384">
        <f t="shared" si="13"/>
        <v>23.507341807602398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5.8267513743333617E-2</v>
      </c>
      <c r="AD66" s="230">
        <f>(INDEX(Models!$BJ66:$BT66,,AH66)*(1-AF66)+INDEX(Models!$BJ66:$BT66,,AH66+1)*AF66-ERP_i)*AE66*Ramure*Pc/MaxiM</f>
        <v>3.8078683324200213E-5</v>
      </c>
      <c r="AE66" s="304">
        <f t="shared" si="15"/>
        <v>0.6</v>
      </c>
      <c r="AF66" s="177">
        <f t="shared" si="23"/>
        <v>4.0318549562725625E-3</v>
      </c>
      <c r="AG66" s="799">
        <f t="shared" si="24"/>
        <v>1</v>
      </c>
      <c r="AH66" s="176">
        <f t="shared" si="16"/>
        <v>7</v>
      </c>
      <c r="AI66" s="224">
        <f t="shared" si="17"/>
        <v>1.0040318549562726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45344</v>
      </c>
      <c r="B67" s="409">
        <f>IF(t&gt;Tmaj,'2023'!Wh/'2023'!Env_an*'2024'!Env_an,0.001*'[4]mon-tableau'!$B$242)</f>
        <v>34.425758475137762</v>
      </c>
      <c r="C67" s="829"/>
      <c r="D67" s="391">
        <f t="shared" si="0"/>
        <v>35.666858163093657</v>
      </c>
      <c r="E67" s="383">
        <f t="shared" si="1"/>
        <v>37.155208782692569</v>
      </c>
      <c r="F67" s="383">
        <f t="shared" si="2"/>
        <v>37.156231293817832</v>
      </c>
      <c r="G67" s="110">
        <f t="shared" si="21"/>
        <v>0.82153952737910052</v>
      </c>
      <c r="H67" s="412" t="b">
        <f>Wh_hp&gt;='2023'!Maxi_hp</f>
        <v>0</v>
      </c>
      <c r="I67" s="388">
        <f>IF(H67,Wh_hp,'2023'!Maxi_hp)</f>
        <v>42.383788099046349</v>
      </c>
      <c r="J67" s="85">
        <f>IF(H67,An,'2023'!An_max)</f>
        <v>2020</v>
      </c>
      <c r="K67" s="197">
        <f t="shared" si="3"/>
        <v>45344</v>
      </c>
      <c r="L67" s="147">
        <f>IF(t&lt;Tvie,1-EXP((T0-t)*PertePVj)+'2023'!Pspv,1-EXP((T0-t)*PertePVj)+Pspv)</f>
        <v>3.4797000685642732E-2</v>
      </c>
      <c r="M67" s="832"/>
      <c r="N67" s="832"/>
      <c r="O67" s="48">
        <f>IF(t&lt;Tnet,'2023'!Resal+('2023'!Salim-'2023'!Resal)*(1-EXP(('2023'!Tnet-t)/('2023'!Tau_j))),Resal+(Salim-Resal)*(1-EXP((Tnet-t)/(Tau_j))))*Salcycl</f>
        <v>4.0057657280402802E-2</v>
      </c>
      <c r="P67" s="169">
        <f>(INDEX(Models!$BJ67:$BT67,,T67)*(1-R67)+INDEX(Models!$BJ67:$BT67,,T67+1)*R67-ERP_i)*Q67*Ramure*Pc/MaxiM</f>
        <v>3.6935225382536247E-5</v>
      </c>
      <c r="Q67" s="304">
        <f t="shared" si="4"/>
        <v>0.6</v>
      </c>
      <c r="R67" s="177">
        <f t="shared" si="5"/>
        <v>4.264702215341698E-3</v>
      </c>
      <c r="S67" s="799">
        <f t="shared" si="6"/>
        <v>1</v>
      </c>
      <c r="T67" s="176">
        <f t="shared" si="7"/>
        <v>7</v>
      </c>
      <c r="U67" s="250">
        <f t="shared" si="8"/>
        <v>1.0042647022153417</v>
      </c>
      <c r="V67" s="382">
        <f t="shared" si="9"/>
        <v>41.90356418210483</v>
      </c>
      <c r="W67" s="400">
        <f t="shared" si="10"/>
        <v>34.425758475137762</v>
      </c>
      <c r="X67" s="157">
        <f t="shared" si="11"/>
        <v>45344</v>
      </c>
      <c r="Y67" s="383">
        <f t="shared" si="12"/>
        <v>33.770289106817742</v>
      </c>
      <c r="Z67" s="383">
        <f t="shared" si="22"/>
        <v>34.987758151193937</v>
      </c>
      <c r="AA67" s="384">
        <f t="shared" si="13"/>
        <v>37.155208782692569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5.8335041102184897E-2</v>
      </c>
      <c r="AD67" s="230">
        <f>(INDEX(Models!$BJ67:$BT67,,AH67)*(1-AF67)+INDEX(Models!$BJ67:$BT67,,AH67+1)*AF67-ERP_i)*AE67*Ramure*Pc/MaxiM</f>
        <v>3.6935225382536247E-5</v>
      </c>
      <c r="AE67" s="304">
        <f t="shared" si="15"/>
        <v>0.6</v>
      </c>
      <c r="AF67" s="177">
        <f t="shared" si="23"/>
        <v>4.264702215341698E-3</v>
      </c>
      <c r="AG67" s="799">
        <f t="shared" si="24"/>
        <v>1</v>
      </c>
      <c r="AH67" s="176">
        <f t="shared" si="16"/>
        <v>7</v>
      </c>
      <c r="AI67" s="224">
        <f t="shared" si="17"/>
        <v>1.0042647022153417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45345</v>
      </c>
      <c r="B68" s="409">
        <f>IF(t&gt;Tmaj,'2023'!Wh/'2023'!Env_an*'2024'!Env_an,0.001*'[4]mon-tableau'!$B$243)</f>
        <v>36.580150714170934</v>
      </c>
      <c r="C68" s="829"/>
      <c r="D68" s="391">
        <f t="shared" si="0"/>
        <v>37.899645777971514</v>
      </c>
      <c r="E68" s="383">
        <f t="shared" si="1"/>
        <v>39.484789455554704</v>
      </c>
      <c r="F68" s="383">
        <f t="shared" si="2"/>
        <v>39.485933145463555</v>
      </c>
      <c r="G68" s="110">
        <f t="shared" si="21"/>
        <v>0.86609875014932847</v>
      </c>
      <c r="H68" s="412" t="b">
        <f>Wh_hp&gt;='2023'!Maxi_hp</f>
        <v>0</v>
      </c>
      <c r="I68" s="388">
        <f>IF(H68,Wh_hp,'2023'!Maxi_hp)</f>
        <v>44.04907717434498</v>
      </c>
      <c r="J68" s="85">
        <f>IF(H68,An,'2023'!An_max)</f>
        <v>2020</v>
      </c>
      <c r="K68" s="197">
        <f t="shared" si="3"/>
        <v>45345</v>
      </c>
      <c r="L68" s="147">
        <f>IF(t&lt;Tvie,1-EXP((T0-t)*PertePVj)+'2023'!Pspv,1-EXP((T0-t)*PertePVj)+Pspv)</f>
        <v>3.4815498580926474E-2</v>
      </c>
      <c r="M68" s="832"/>
      <c r="N68" s="832"/>
      <c r="O68" s="48">
        <f>IF(t&lt;Tnet,'2023'!Resal+('2023'!Salim-'2023'!Resal)*(1-EXP(('2023'!Tnet-t)/('2023'!Tau_j))),Resal+(Salim-Resal)*(1-EXP((Tnet-t)/(Tau_j))))*Salcycl</f>
        <v>4.0145678866224659E-2</v>
      </c>
      <c r="P68" s="169">
        <f>(INDEX(Models!$BJ68:$BT68,,T68)*(1-R68)+INDEX(Models!$BJ68:$BT68,,T68+1)*R68-ERP_i)*Q68*Ramure*Pc/MaxiM</f>
        <v>3.5815183057794653E-5</v>
      </c>
      <c r="Q68" s="304">
        <f t="shared" si="4"/>
        <v>0.6</v>
      </c>
      <c r="R68" s="177">
        <f t="shared" si="5"/>
        <v>4.507085075719619E-3</v>
      </c>
      <c r="S68" s="799">
        <f t="shared" si="6"/>
        <v>1</v>
      </c>
      <c r="T68" s="176">
        <f t="shared" si="7"/>
        <v>7</v>
      </c>
      <c r="U68" s="250">
        <f t="shared" si="8"/>
        <v>1.0045070850757196</v>
      </c>
      <c r="V68" s="382">
        <f t="shared" si="9"/>
        <v>42.235253314029592</v>
      </c>
      <c r="W68" s="400">
        <f t="shared" si="10"/>
        <v>36.580150714170934</v>
      </c>
      <c r="X68" s="157">
        <f t="shared" si="11"/>
        <v>45345</v>
      </c>
      <c r="Y68" s="383">
        <f t="shared" si="12"/>
        <v>35.884382276839638</v>
      </c>
      <c r="Z68" s="383">
        <f t="shared" si="22"/>
        <v>37.178780040583135</v>
      </c>
      <c r="AA68" s="384">
        <f t="shared" si="13"/>
        <v>39.484789455554704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5.8402474643236529E-2</v>
      </c>
      <c r="AD68" s="230">
        <f>(INDEX(Models!$BJ68:$BT68,,AH68)*(1-AF68)+INDEX(Models!$BJ68:$BT68,,AH68+1)*AF68-ERP_i)*AE68*Ramure*Pc/MaxiM</f>
        <v>3.5815183057794653E-5</v>
      </c>
      <c r="AE68" s="304">
        <f t="shared" si="15"/>
        <v>0.6</v>
      </c>
      <c r="AF68" s="177">
        <f t="shared" si="23"/>
        <v>4.507085075719619E-3</v>
      </c>
      <c r="AG68" s="799">
        <f t="shared" si="24"/>
        <v>1</v>
      </c>
      <c r="AH68" s="176">
        <f t="shared" si="16"/>
        <v>7</v>
      </c>
      <c r="AI68" s="224">
        <f t="shared" si="17"/>
        <v>1.0045070850757196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45346</v>
      </c>
      <c r="B69" s="409">
        <f>IF(t&gt;Tmaj,'2023'!Wh/'2023'!Env_an*'2024'!Env_an,0.001*'[4]mon-tableau'!$B$244)</f>
        <v>25.214592761823464</v>
      </c>
      <c r="C69" s="829"/>
      <c r="D69" s="391">
        <f t="shared" si="0"/>
        <v>26.124617589621284</v>
      </c>
      <c r="E69" s="383">
        <f t="shared" si="1"/>
        <v>27.219766489962389</v>
      </c>
      <c r="F69" s="383">
        <f t="shared" si="2"/>
        <v>27.220161202736222</v>
      </c>
      <c r="G69" s="110">
        <f t="shared" si="21"/>
        <v>0.59236086667829246</v>
      </c>
      <c r="H69" s="412" t="b">
        <f>Wh_hp&gt;='2023'!Maxi_hp</f>
        <v>0</v>
      </c>
      <c r="I69" s="388">
        <f>IF(H69,Wh_hp,'2023'!Maxi_hp)</f>
        <v>42.202501894458955</v>
      </c>
      <c r="J69" s="85">
        <f>IF(H69,An,'2023'!An_max)</f>
        <v>2021</v>
      </c>
      <c r="K69" s="197">
        <f t="shared" si="3"/>
        <v>45346</v>
      </c>
      <c r="L69" s="147">
        <f>IF(t&lt;Tvie,1-EXP((T0-t)*PertePVj)+'2023'!Pspv,1-EXP((T0-t)*PertePVj)+Pspv)</f>
        <v>3.4833996121702127E-2</v>
      </c>
      <c r="M69" s="832"/>
      <c r="N69" s="832"/>
      <c r="O69" s="48">
        <f>IF(t&lt;Tnet,'2023'!Resal+('2023'!Salim-'2023'!Resal)*(1-EXP(('2023'!Tnet-t)/('2023'!Tau_j))),Resal+(Salim-Resal)*(1-EXP((Tnet-t)/(Tau_j))))*Salcycl</f>
        <v>4.0233589099486045E-2</v>
      </c>
      <c r="P69" s="169">
        <f>(INDEX(Models!$BJ69:$BT69,,T69)*(1-R69)+INDEX(Models!$BJ69:$BT69,,T69+1)*R69-ERP_i)*Q69*Ramure*Pc/MaxiM</f>
        <v>3.4717744124676462E-5</v>
      </c>
      <c r="Q69" s="304">
        <f t="shared" si="4"/>
        <v>0.6</v>
      </c>
      <c r="R69" s="177">
        <f t="shared" si="5"/>
        <v>4.7593840029378498E-3</v>
      </c>
      <c r="S69" s="799">
        <f t="shared" si="6"/>
        <v>1</v>
      </c>
      <c r="T69" s="176">
        <f t="shared" si="7"/>
        <v>7</v>
      </c>
      <c r="U69" s="250">
        <f t="shared" si="8"/>
        <v>1.0047593840029378</v>
      </c>
      <c r="V69" s="382">
        <f t="shared" si="9"/>
        <v>42.565409718179446</v>
      </c>
      <c r="W69" s="400">
        <f t="shared" si="10"/>
        <v>25.214592761823464</v>
      </c>
      <c r="X69" s="157">
        <f t="shared" si="11"/>
        <v>45346</v>
      </c>
      <c r="Y69" s="383">
        <f t="shared" si="12"/>
        <v>24.735498088901718</v>
      </c>
      <c r="Z69" s="383">
        <f t="shared" si="22"/>
        <v>25.628231816607506</v>
      </c>
      <c r="AA69" s="384">
        <f t="shared" si="13"/>
        <v>27.219766489962389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5.8469813616578187E-2</v>
      </c>
      <c r="AD69" s="230">
        <f>(INDEX(Models!$BJ69:$BT69,,AH69)*(1-AF69)+INDEX(Models!$BJ69:$BT69,,AH69+1)*AF69-ERP_i)*AE69*Ramure*Pc/MaxiM</f>
        <v>3.4717744124676462E-5</v>
      </c>
      <c r="AE69" s="304">
        <f t="shared" si="15"/>
        <v>0.6</v>
      </c>
      <c r="AF69" s="177">
        <f t="shared" si="23"/>
        <v>4.7593840029378498E-3</v>
      </c>
      <c r="AG69" s="799">
        <f t="shared" si="24"/>
        <v>1</v>
      </c>
      <c r="AH69" s="176">
        <f t="shared" si="16"/>
        <v>7</v>
      </c>
      <c r="AI69" s="224">
        <f t="shared" si="17"/>
        <v>1.0047593840029378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45347</v>
      </c>
      <c r="B70" s="409">
        <f>IF(t&gt;Tmaj,'2023'!Wh/'2023'!Env_an*'2024'!Env_an,0.001*'[4]mon-tableau'!$B$245)</f>
        <v>29.87370891905741</v>
      </c>
      <c r="C70" s="829"/>
      <c r="D70" s="391">
        <f t="shared" si="0"/>
        <v>30.95248002188546</v>
      </c>
      <c r="E70" s="383">
        <f t="shared" si="1"/>
        <v>32.25296431470295</v>
      </c>
      <c r="F70" s="383">
        <f t="shared" si="2"/>
        <v>32.253578860534937</v>
      </c>
      <c r="G70" s="110">
        <f t="shared" si="21"/>
        <v>0.69644192550817696</v>
      </c>
      <c r="H70" s="412" t="b">
        <f>Wh_hp&gt;='2023'!Maxi_hp</f>
        <v>0</v>
      </c>
      <c r="I70" s="388">
        <f>IF(H70,Wh_hp,'2023'!Maxi_hp)</f>
        <v>38.963373237809762</v>
      </c>
      <c r="J70" s="85">
        <f>IF(H70,An,'2023'!An_max)</f>
        <v>2021</v>
      </c>
      <c r="K70" s="197">
        <f t="shared" si="3"/>
        <v>45347</v>
      </c>
      <c r="L70" s="147">
        <f>IF(t&lt;Tvie,1-EXP((T0-t)*PertePVj)+'2023'!Pspv,1-EXP((T0-t)*PertePVj)+Pspv)</f>
        <v>3.4852493307976795E-2</v>
      </c>
      <c r="M70" s="832"/>
      <c r="N70" s="832"/>
      <c r="O70" s="48">
        <f>IF(t&lt;Tnet,'2023'!Resal+('2023'!Salim-'2023'!Resal)*(1-EXP(('2023'!Tnet-t)/('2023'!Tau_j))),Resal+(Salim-Resal)*(1-EXP((Tnet-t)/(Tau_j))))*Salcycl</f>
        <v>4.0321388140582365E-2</v>
      </c>
      <c r="P70" s="169">
        <f>(INDEX(Models!$BJ70:$BT70,,T70)*(1-R70)+INDEX(Models!$BJ70:$BT70,,T70+1)*R70-ERP_i)*Q70*Ramure*Pc/MaxiM</f>
        <v>3.3642146622716919E-5</v>
      </c>
      <c r="Q70" s="304">
        <f t="shared" si="4"/>
        <v>0.6</v>
      </c>
      <c r="R70" s="177">
        <f t="shared" si="5"/>
        <v>5.0219937950739535E-3</v>
      </c>
      <c r="S70" s="799">
        <f t="shared" si="6"/>
        <v>1</v>
      </c>
      <c r="T70" s="176">
        <f t="shared" si="7"/>
        <v>7</v>
      </c>
      <c r="U70" s="250">
        <f t="shared" si="8"/>
        <v>1.005021993795074</v>
      </c>
      <c r="V70" s="382">
        <f t="shared" si="9"/>
        <v>42.894133741406748</v>
      </c>
      <c r="W70" s="400">
        <f t="shared" si="10"/>
        <v>29.87370891905741</v>
      </c>
      <c r="X70" s="157">
        <f t="shared" si="11"/>
        <v>45347</v>
      </c>
      <c r="Y70" s="383">
        <f t="shared" si="12"/>
        <v>29.30667572723873</v>
      </c>
      <c r="Z70" s="383">
        <f t="shared" si="22"/>
        <v>30.364970664106412</v>
      </c>
      <c r="AA70" s="384">
        <f t="shared" si="13"/>
        <v>32.25296431470295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5.8537058242918438E-2</v>
      </c>
      <c r="AD70" s="230">
        <f>(INDEX(Models!$BJ70:$BT70,,AH70)*(1-AF70)+INDEX(Models!$BJ70:$BT70,,AH70+1)*AF70-ERP_i)*AE70*Ramure*Pc/MaxiM</f>
        <v>3.3642146622716919E-5</v>
      </c>
      <c r="AE70" s="304">
        <f t="shared" si="15"/>
        <v>0.6</v>
      </c>
      <c r="AF70" s="177">
        <f t="shared" si="23"/>
        <v>5.0219937950739535E-3</v>
      </c>
      <c r="AG70" s="799">
        <f t="shared" si="24"/>
        <v>1</v>
      </c>
      <c r="AH70" s="176">
        <f t="shared" si="16"/>
        <v>7</v>
      </c>
      <c r="AI70" s="224">
        <f t="shared" si="17"/>
        <v>1.005021993795074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45348</v>
      </c>
      <c r="B71" s="409">
        <f>IF(t&gt;Tmaj,'2023'!Wh/'2023'!Env_an*'2024'!Env_an,0.001*'[4]mon-tableau'!$B$246)</f>
        <v>44.92653777300486</v>
      </c>
      <c r="C71" s="829"/>
      <c r="D71" s="391">
        <f t="shared" si="0"/>
        <v>46.549774500624025</v>
      </c>
      <c r="E71" s="383">
        <f t="shared" si="1"/>
        <v>48.510019611494087</v>
      </c>
      <c r="F71" s="383">
        <f t="shared" si="2"/>
        <v>48.511600491772313</v>
      </c>
      <c r="G71" s="110">
        <f t="shared" si="21"/>
        <v>1.0394482169514443</v>
      </c>
      <c r="H71" s="412" t="b">
        <f>Wh_hp&gt;='2023'!Maxi_hp</f>
        <v>1</v>
      </c>
      <c r="I71" s="388">
        <f>IF(H71,Wh_hp,'2023'!Maxi_hp)</f>
        <v>48.511600491772313</v>
      </c>
      <c r="J71" s="85">
        <f>IF(H71,An,'2023'!An_max)</f>
        <v>2024</v>
      </c>
      <c r="K71" s="197">
        <f t="shared" si="3"/>
        <v>45348</v>
      </c>
      <c r="L71" s="147">
        <f>IF(t&lt;Tvie,1-EXP((T0-t)*PertePVj)+'2023'!Pspv,1-EXP((T0-t)*PertePVj)+Pspv)</f>
        <v>3.4870990139756919E-2</v>
      </c>
      <c r="M71" s="832"/>
      <c r="N71" s="832"/>
      <c r="O71" s="48">
        <f>IF(t&lt;Tnet,'2023'!Resal+('2023'!Salim-'2023'!Resal)*(1-EXP(('2023'!Tnet-t)/('2023'!Tau_j))),Resal+(Salim-Resal)*(1-EXP((Tnet-t)/(Tau_j))))*Salcycl</f>
        <v>4.0409076858125989E-2</v>
      </c>
      <c r="P71" s="169">
        <f>(INDEX(Models!$BJ71:$BT71,,T71)*(1-R71)+INDEX(Models!$BJ71:$BT71,,T71+1)*R71-ERP_i)*Q71*Ramure*Pc/MaxiM</f>
        <v>3.258767515808259E-5</v>
      </c>
      <c r="Q71" s="304">
        <f t="shared" si="4"/>
        <v>0.6</v>
      </c>
      <c r="R71" s="177">
        <f t="shared" si="5"/>
        <v>5.2953240506392607E-3</v>
      </c>
      <c r="S71" s="799">
        <f t="shared" si="6"/>
        <v>1</v>
      </c>
      <c r="T71" s="176">
        <f t="shared" si="7"/>
        <v>7</v>
      </c>
      <c r="U71" s="250">
        <f t="shared" si="8"/>
        <v>1.0052953240506393</v>
      </c>
      <c r="V71" s="382">
        <f t="shared" si="9"/>
        <v>43.221525652108078</v>
      </c>
      <c r="W71" s="400">
        <f t="shared" si="10"/>
        <v>44.92653777300486</v>
      </c>
      <c r="X71" s="157">
        <f t="shared" si="11"/>
        <v>45348</v>
      </c>
      <c r="Y71" s="383">
        <f t="shared" si="12"/>
        <v>44.074670267488912</v>
      </c>
      <c r="Z71" s="383">
        <f t="shared" si="22"/>
        <v>45.667128246275809</v>
      </c>
      <c r="AA71" s="384">
        <f t="shared" si="13"/>
        <v>48.510019611494087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5.8604209769164306E-2</v>
      </c>
      <c r="AD71" s="230">
        <f>(INDEX(Models!$BJ71:$BT71,,AH71)*(1-AF71)+INDEX(Models!$BJ71:$BT71,,AH71+1)*AF71-ERP_i)*AE71*Ramure*Pc/MaxiM</f>
        <v>3.258767515808259E-5</v>
      </c>
      <c r="AE71" s="304">
        <f t="shared" si="15"/>
        <v>0.6</v>
      </c>
      <c r="AF71" s="177">
        <f t="shared" si="23"/>
        <v>5.2953240506392607E-3</v>
      </c>
      <c r="AG71" s="799">
        <f t="shared" si="24"/>
        <v>1</v>
      </c>
      <c r="AH71" s="176">
        <f t="shared" si="16"/>
        <v>7</v>
      </c>
      <c r="AI71" s="224">
        <f t="shared" si="17"/>
        <v>1.0052953240506393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45349</v>
      </c>
      <c r="B72" s="409">
        <f>IF(t&gt;Tmaj,'2023'!Wh/'2023'!Env_an*'2024'!Env_an,0.001*'[4]mon-tableau'!$B$247)</f>
        <v>26.463822339621522</v>
      </c>
      <c r="C72" s="829"/>
      <c r="D72" s="391">
        <f t="shared" si="0"/>
        <v>27.420509851104303</v>
      </c>
      <c r="E72" s="383">
        <f t="shared" si="1"/>
        <v>28.577815853711449</v>
      </c>
      <c r="F72" s="383">
        <f t="shared" si="2"/>
        <v>28.57821219307127</v>
      </c>
      <c r="G72" s="110">
        <f t="shared" si="21"/>
        <v>0.60768681343001407</v>
      </c>
      <c r="H72" s="412" t="b">
        <f>Wh_hp&gt;='2023'!Maxi_hp</f>
        <v>0</v>
      </c>
      <c r="I72" s="388">
        <f>IF(H72,Wh_hp,'2023'!Maxi_hp)</f>
        <v>44.999579692306305</v>
      </c>
      <c r="J72" s="85">
        <f>IF(H72,An,'2023'!An_max)</f>
        <v>2021</v>
      </c>
      <c r="K72" s="197">
        <f t="shared" si="3"/>
        <v>45349</v>
      </c>
      <c r="L72" s="147">
        <f>IF(t&lt;Tvie,1-EXP((T0-t)*PertePVj)+'2023'!Pspv,1-EXP((T0-t)*PertePVj)+Pspv)</f>
        <v>3.4889486617049603E-2</v>
      </c>
      <c r="M72" s="832"/>
      <c r="N72" s="832"/>
      <c r="O72" s="48">
        <f>IF(t&lt;Tnet,'2023'!Resal+('2023'!Salim-'2023'!Resal)*(1-EXP(('2023'!Tnet-t)/('2023'!Tau_j))),Resal+(Salim-Resal)*(1-EXP((Tnet-t)/(Tau_j))))*Salcycl</f>
        <v>4.04966568659881E-2</v>
      </c>
      <c r="P72" s="169">
        <f>(INDEX(Models!$BJ72:$BT72,,T72)*(1-R72)+INDEX(Models!$BJ72:$BT72,,T72+1)*R72-ERP_i)*Q72*Ramure*Pc/MaxiM</f>
        <v>3.1550492019782272E-5</v>
      </c>
      <c r="Q72" s="304">
        <f t="shared" si="4"/>
        <v>0.6</v>
      </c>
      <c r="R72" s="177">
        <f t="shared" si="5"/>
        <v>5.5797996454494125E-3</v>
      </c>
      <c r="S72" s="799">
        <f t="shared" si="6"/>
        <v>1</v>
      </c>
      <c r="T72" s="176">
        <f t="shared" si="7"/>
        <v>7</v>
      </c>
      <c r="U72" s="250">
        <f t="shared" si="8"/>
        <v>1.0055797996454494</v>
      </c>
      <c r="V72" s="382">
        <f t="shared" si="9"/>
        <v>43.547685777336483</v>
      </c>
      <c r="W72" s="400">
        <f t="shared" si="10"/>
        <v>26.463822339621522</v>
      </c>
      <c r="X72" s="157">
        <f t="shared" si="11"/>
        <v>45349</v>
      </c>
      <c r="Y72" s="383">
        <f t="shared" si="12"/>
        <v>25.962552854538881</v>
      </c>
      <c r="Z72" s="383">
        <f t="shared" si="22"/>
        <v>26.901119088977417</v>
      </c>
      <c r="AA72" s="384">
        <f t="shared" si="13"/>
        <v>28.577815853711449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5.8671270516857173E-2</v>
      </c>
      <c r="AD72" s="230">
        <f>(INDEX(Models!$BJ72:$BT72,,AH72)*(1-AF72)+INDEX(Models!$BJ72:$BT72,,AH72+1)*AF72-ERP_i)*AE72*Ramure*Pc/MaxiM</f>
        <v>3.1550492019782272E-5</v>
      </c>
      <c r="AE72" s="304">
        <f t="shared" si="15"/>
        <v>0.6</v>
      </c>
      <c r="AF72" s="177">
        <f t="shared" si="23"/>
        <v>5.5797996454494125E-3</v>
      </c>
      <c r="AG72" s="799">
        <f t="shared" si="24"/>
        <v>1</v>
      </c>
      <c r="AH72" s="176">
        <f t="shared" si="16"/>
        <v>7</v>
      </c>
      <c r="AI72" s="224">
        <f t="shared" si="17"/>
        <v>1.0055797996454494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45350</v>
      </c>
      <c r="B73" s="409">
        <f>IF(t&gt;Tmaj,'2023'!Wh/'2023'!Env_an*'2024'!Env_an,0.001*'[4]mon-tableau'!$B$248)</f>
        <v>37.835132247516981</v>
      </c>
      <c r="C73" s="829"/>
      <c r="D73" s="391">
        <f t="shared" si="0"/>
        <v>39.203652678559671</v>
      </c>
      <c r="E73" s="383">
        <f t="shared" si="1"/>
        <v>40.862001481434461</v>
      </c>
      <c r="F73" s="383">
        <f t="shared" si="2"/>
        <v>40.863005405124731</v>
      </c>
      <c r="G73" s="110">
        <f t="shared" si="21"/>
        <v>0.86237898293939408</v>
      </c>
      <c r="H73" s="412" t="b">
        <f>Wh_hp&gt;='2023'!Maxi_hp</f>
        <v>0</v>
      </c>
      <c r="I73" s="388">
        <f>IF(H73,Wh_hp,'2023'!Maxi_hp)</f>
        <v>40.863117136509821</v>
      </c>
      <c r="J73" s="85">
        <f>IF(H73,An,'2023'!An_max)</f>
        <v>2022</v>
      </c>
      <c r="K73" s="197">
        <f t="shared" si="3"/>
        <v>45350</v>
      </c>
      <c r="L73" s="147">
        <f>IF(t&lt;Tvie,1-EXP((T0-t)*PertePVj)+'2023'!Pspv,1-EXP((T0-t)*PertePVj)+Pspv)</f>
        <v>3.4907982739861509E-2</v>
      </c>
      <c r="M73" s="832"/>
      <c r="N73" s="832"/>
      <c r="O73" s="48">
        <f>IF(t&lt;Tnet,'2023'!Resal+('2023'!Salim-'2023'!Resal)*(1-EXP(('2023'!Tnet-t)/('2023'!Tau_j))),Resal+(Salim-Resal)*(1-EXP((Tnet-t)/(Tau_j))))*Salcycl</f>
        <v>4.0584130555334004E-2</v>
      </c>
      <c r="P73" s="169">
        <f>(INDEX(Models!$BJ73:$BT73,,T73)*(1-R73)+INDEX(Models!$BJ73:$BT73,,T73+1)*R73-ERP_i)*Q73*Ramure*Pc/MaxiM</f>
        <v>3.0579850074287139E-5</v>
      </c>
      <c r="Q73" s="304">
        <f t="shared" si="4"/>
        <v>0.6</v>
      </c>
      <c r="R73" s="177">
        <f t="shared" si="5"/>
        <v>5.8758612180369596E-3</v>
      </c>
      <c r="S73" s="799">
        <f t="shared" si="6"/>
        <v>1</v>
      </c>
      <c r="T73" s="176">
        <f t="shared" si="7"/>
        <v>7</v>
      </c>
      <c r="U73" s="250">
        <f t="shared" si="8"/>
        <v>1.005875861218037</v>
      </c>
      <c r="V73" s="382">
        <f t="shared" si="9"/>
        <v>43.872712035604756</v>
      </c>
      <c r="W73" s="400">
        <f t="shared" si="10"/>
        <v>37.835132247516981</v>
      </c>
      <c r="X73" s="157">
        <f t="shared" si="11"/>
        <v>45350</v>
      </c>
      <c r="Y73" s="383">
        <f t="shared" si="12"/>
        <v>37.119214049807596</v>
      </c>
      <c r="Z73" s="383">
        <f t="shared" si="22"/>
        <v>38.461839271231057</v>
      </c>
      <c r="AA73" s="384">
        <f t="shared" si="13"/>
        <v>40.862001481434461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5.8738243923120402E-2</v>
      </c>
      <c r="AD73" s="230">
        <f>(INDEX(Models!$BJ73:$BT73,,AH73)*(1-AF73)+INDEX(Models!$BJ73:$BT73,,AH73+1)*AF73-ERP_i)*AE73*Ramure*Pc/MaxiM</f>
        <v>3.0579850074287139E-5</v>
      </c>
      <c r="AE73" s="304">
        <f t="shared" si="15"/>
        <v>0.6</v>
      </c>
      <c r="AF73" s="177">
        <f t="shared" si="23"/>
        <v>5.8758612180369596E-3</v>
      </c>
      <c r="AG73" s="799">
        <f t="shared" si="24"/>
        <v>1</v>
      </c>
      <c r="AH73" s="176">
        <f t="shared" si="16"/>
        <v>7</v>
      </c>
      <c r="AI73" s="224">
        <f t="shared" si="17"/>
        <v>1.005875861218037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45351</v>
      </c>
      <c r="B74" s="409">
        <f>IF(t&gt;Tmaj,'2023'!Wh/'2023'!Env_an*'2024'!Env_an,0.001*'[5]mon-tableau'!$B$242)</f>
        <v>42.864651084644009</v>
      </c>
      <c r="C74" s="829"/>
      <c r="D74" s="391">
        <f t="shared" si="0"/>
        <v>44.41594358363939</v>
      </c>
      <c r="E74" s="383">
        <f t="shared" si="1"/>
        <v>46.29899313484443</v>
      </c>
      <c r="F74" s="383">
        <f t="shared" si="2"/>
        <v>46.300307905329959</v>
      </c>
      <c r="G74" s="110">
        <f t="shared" si="21"/>
        <v>0.96985955982566696</v>
      </c>
      <c r="H74" s="412" t="b">
        <f>Wh_hp&gt;='2023'!Maxi_hp</f>
        <v>0</v>
      </c>
      <c r="I74" s="388">
        <f>IF(H74,Wh_hp,'2023'!Maxi_hp)</f>
        <v>46.300334532075077</v>
      </c>
      <c r="J74" s="85">
        <f>IF(H74,An,'2023'!An_max)</f>
        <v>2022</v>
      </c>
      <c r="K74" s="197">
        <f t="shared" si="3"/>
        <v>45351</v>
      </c>
      <c r="L74" s="147">
        <f>IF(t&lt;Tvie,1-EXP((T0-t)*PertePVj)+'2023'!Pspv,1-EXP((T0-t)*PertePVj)+Pspv)</f>
        <v>3.492647850819941E-2</v>
      </c>
      <c r="M74" s="832"/>
      <c r="N74" s="832"/>
      <c r="O74" s="48">
        <f>IF(t&lt;Tnet,'2023'!Resal+('2023'!Salim-'2023'!Resal)*(1-EXP(('2023'!Tnet-t)/('2023'!Tau_j))),Resal+(Salim-Resal)*(1-EXP((Tnet-t)/(Tau_j))))*Salcycl</f>
        <v>4.067150112143296E-2</v>
      </c>
      <c r="P74" s="169">
        <f>(INDEX(Models!$BJ74:$BT74,,T74)*(1-R74)+INDEX(Models!$BJ74:$BT74,,T74+1)*R74-ERP_i)*Q74*Ramure*Pc/MaxiM</f>
        <v>2.9674235842680828E-5</v>
      </c>
      <c r="Q74" s="304">
        <f t="shared" si="4"/>
        <v>0.6</v>
      </c>
      <c r="R74" s="177">
        <f t="shared" si="5"/>
        <v>6.1839656630957585E-3</v>
      </c>
      <c r="S74" s="799">
        <f t="shared" si="6"/>
        <v>1</v>
      </c>
      <c r="T74" s="176">
        <f t="shared" si="7"/>
        <v>7</v>
      </c>
      <c r="U74" s="250">
        <f t="shared" si="8"/>
        <v>1.0061839656630958</v>
      </c>
      <c r="V74" s="382">
        <f t="shared" si="9"/>
        <v>44.196704443067382</v>
      </c>
      <c r="W74" s="400">
        <f t="shared" si="10"/>
        <v>42.864651084644009</v>
      </c>
      <c r="X74" s="157">
        <f t="shared" si="11"/>
        <v>45351</v>
      </c>
      <c r="Y74" s="383">
        <f t="shared" si="12"/>
        <v>42.054405301532519</v>
      </c>
      <c r="Z74" s="383">
        <f t="shared" si="22"/>
        <v>43.576374612915771</v>
      </c>
      <c r="AA74" s="384">
        <f t="shared" si="13"/>
        <v>46.29899313484443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5.8805134573858116E-2</v>
      </c>
      <c r="AD74" s="230">
        <f>(INDEX(Models!$BJ74:$BT74,,AH74)*(1-AF74)+INDEX(Models!$BJ74:$BT74,,AH74+1)*AF74-ERP_i)*AE74*Ramure*Pc/MaxiM</f>
        <v>2.9674235842680828E-5</v>
      </c>
      <c r="AE74" s="304">
        <f t="shared" si="15"/>
        <v>0.6</v>
      </c>
      <c r="AF74" s="177">
        <f t="shared" si="23"/>
        <v>6.1839656630957585E-3</v>
      </c>
      <c r="AG74" s="799">
        <f t="shared" si="24"/>
        <v>1</v>
      </c>
      <c r="AH74" s="176">
        <f t="shared" si="16"/>
        <v>7</v>
      </c>
      <c r="AI74" s="224">
        <f t="shared" si="17"/>
        <v>1.0061839656630958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45352</v>
      </c>
      <c r="B75" s="409">
        <f>IF(t&gt;Tmaj,'2023'!Wh/'2023'!Env_an*'2024'!Env_an,0.001*'[5]mon-tableau'!$B$243)</f>
        <v>12.57164115774369</v>
      </c>
      <c r="C75" s="829"/>
      <c r="D75" s="391">
        <f t="shared" si="0"/>
        <v>13.026864601530512</v>
      </c>
      <c r="E75" s="383">
        <f t="shared" si="1"/>
        <v>13.580384400946674</v>
      </c>
      <c r="F75" s="383">
        <f t="shared" si="2"/>
        <v>13.580384400946674</v>
      </c>
      <c r="G75" s="110">
        <f t="shared" si="21"/>
        <v>0.28237523884121463</v>
      </c>
      <c r="H75" s="412" t="b">
        <f>Wh_hp&gt;='2023'!Maxi_hp</f>
        <v>0</v>
      </c>
      <c r="I75" s="388">
        <f>IF(H75,Wh_hp,'2023'!Maxi_hp)</f>
        <v>33.645098322767872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3.4944973922070188E-2</v>
      </c>
      <c r="M75" s="832"/>
      <c r="N75" s="832"/>
      <c r="O75" s="48">
        <f>IF(t&lt;Tnet,'2023'!Resal+('2023'!Salim-'2023'!Resal)*(1-EXP(('2023'!Tnet-t)/('2023'!Tau_j))),Resal+(Salim-Resal)*(1-EXP((Tnet-t)/(Tau_j))))*Salcycl</f>
        <v>4.0758772585080497E-2</v>
      </c>
      <c r="P75" s="169">
        <f>(INDEX(Models!$BJ75:$BT75,,T75)*(1-R75)+INDEX(Models!$BJ75:$BT75,,T75+1)*R75-ERP_i)*Q75*Ramure*Pc/MaxiM</f>
        <v>2.883220805690324E-5</v>
      </c>
      <c r="Q75" s="304">
        <f t="shared" si="4"/>
        <v>0.6</v>
      </c>
      <c r="R75" s="177">
        <f t="shared" si="5"/>
        <v>6.5045866323574231E-3</v>
      </c>
      <c r="S75" s="799">
        <f t="shared" si="6"/>
        <v>1</v>
      </c>
      <c r="T75" s="176">
        <f t="shared" si="7"/>
        <v>7</v>
      </c>
      <c r="U75" s="250">
        <f t="shared" si="8"/>
        <v>1.0065045866323574</v>
      </c>
      <c r="V75" s="382">
        <f t="shared" si="9"/>
        <v>44.519762926661215</v>
      </c>
      <c r="W75" s="400">
        <f t="shared" si="10"/>
        <v>12.57164115774369</v>
      </c>
      <c r="X75" s="157">
        <f t="shared" si="11"/>
        <v>45352</v>
      </c>
      <c r="Y75" s="383">
        <f t="shared" si="12"/>
        <v>12.334253170327262</v>
      </c>
      <c r="Z75" s="383">
        <f t="shared" si="22"/>
        <v>12.780880713563841</v>
      </c>
      <c r="AA75" s="384">
        <f t="shared" si="13"/>
        <v>13.580384400946674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5.8871948229028116E-2</v>
      </c>
      <c r="AD75" s="230">
        <f>(INDEX(Models!$BJ75:$BT75,,AH75)*(1-AF75)+INDEX(Models!$BJ75:$BT75,,AH75+1)*AF75-ERP_i)*AE75*Ramure*Pc/MaxiM</f>
        <v>2.883220805690324E-5</v>
      </c>
      <c r="AE75" s="304">
        <f t="shared" si="15"/>
        <v>0.6</v>
      </c>
      <c r="AF75" s="177">
        <f t="shared" si="23"/>
        <v>6.5045866323574231E-3</v>
      </c>
      <c r="AG75" s="799">
        <f t="shared" si="24"/>
        <v>1</v>
      </c>
      <c r="AH75" s="176">
        <f t="shared" si="16"/>
        <v>7</v>
      </c>
      <c r="AI75" s="224">
        <f t="shared" si="17"/>
        <v>1.0065045866323574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45353</v>
      </c>
      <c r="B76" s="409">
        <f>IF(t&gt;Tmaj,'2023'!Wh/'2023'!Env_an*'2024'!Env_an,0.001*'[5]mon-tableau'!$B$244)</f>
        <v>34.677722376223301</v>
      </c>
      <c r="C76" s="829"/>
      <c r="D76" s="391">
        <f t="shared" si="0"/>
        <v>35.934103281689985</v>
      </c>
      <c r="E76" s="383">
        <f t="shared" si="1"/>
        <v>37.464371103387016</v>
      </c>
      <c r="F76" s="383">
        <f t="shared" si="2"/>
        <v>37.465081766853238</v>
      </c>
      <c r="G76" s="110">
        <f t="shared" si="21"/>
        <v>0.7733244986992901</v>
      </c>
      <c r="H76" s="412" t="b">
        <f>Wh_hp&gt;='2023'!Maxi_hp</f>
        <v>0</v>
      </c>
      <c r="I76" s="388">
        <f>IF(H76,Wh_hp,'2023'!Maxi_hp)</f>
        <v>37.465231980084269</v>
      </c>
      <c r="J76" s="85">
        <f>IF(H76,An,'2023'!An_max)</f>
        <v>2022</v>
      </c>
      <c r="K76" s="197">
        <f t="shared" si="3"/>
        <v>45353</v>
      </c>
      <c r="L76" s="147">
        <f>IF(t&lt;Tvie,1-EXP((T0-t)*PertePVj)+'2023'!Pspv,1-EXP((T0-t)*PertePVj)+Pspv)</f>
        <v>3.4963468981480506E-2</v>
      </c>
      <c r="M76" s="832"/>
      <c r="N76" s="832"/>
      <c r="O76" s="48">
        <f>IF(t&lt;Tnet,'2023'!Resal+('2023'!Salim-'2023'!Resal)*(1-EXP(('2023'!Tnet-t)/('2023'!Tau_j))),Resal+(Salim-Resal)*(1-EXP((Tnet-t)/(Tau_j))))*Salcycl</f>
        <v>4.0845949808528556E-2</v>
      </c>
      <c r="P76" s="169">
        <f>(INDEX(Models!$BJ76:$BT76,,T76)*(1-R76)+INDEX(Models!$BJ76:$BT76,,T76+1)*R76-ERP_i)*Q76*Ramure*Pc/MaxiM</f>
        <v>2.8052393090037085E-5</v>
      </c>
      <c r="Q76" s="304">
        <f t="shared" si="4"/>
        <v>0.6</v>
      </c>
      <c r="R76" s="177">
        <f t="shared" si="5"/>
        <v>6.8382150422152677E-3</v>
      </c>
      <c r="S76" s="799">
        <f t="shared" si="6"/>
        <v>1</v>
      </c>
      <c r="T76" s="176">
        <f t="shared" si="7"/>
        <v>7</v>
      </c>
      <c r="U76" s="250">
        <f t="shared" si="8"/>
        <v>1.0068382150422153</v>
      </c>
      <c r="V76" s="382">
        <f t="shared" si="9"/>
        <v>44.841987324065151</v>
      </c>
      <c r="W76" s="400">
        <f t="shared" si="10"/>
        <v>34.677722376223301</v>
      </c>
      <c r="X76" s="157">
        <f t="shared" si="11"/>
        <v>45353</v>
      </c>
      <c r="Y76" s="383">
        <f t="shared" si="12"/>
        <v>34.023588574606023</v>
      </c>
      <c r="Z76" s="383">
        <f t="shared" si="22"/>
        <v>35.256270079949019</v>
      </c>
      <c r="AA76" s="384">
        <f t="shared" si="13"/>
        <v>37.464371103387016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5.8938691839895099E-2</v>
      </c>
      <c r="AD76" s="230">
        <f>(INDEX(Models!$BJ76:$BT76,,AH76)*(1-AF76)+INDEX(Models!$BJ76:$BT76,,AH76+1)*AF76-ERP_i)*AE76*Ramure*Pc/MaxiM</f>
        <v>2.8052393090037085E-5</v>
      </c>
      <c r="AE76" s="304">
        <f t="shared" si="15"/>
        <v>0.6</v>
      </c>
      <c r="AF76" s="177">
        <f t="shared" si="23"/>
        <v>6.8382150422152677E-3</v>
      </c>
      <c r="AG76" s="799">
        <f t="shared" si="24"/>
        <v>1</v>
      </c>
      <c r="AH76" s="176">
        <f t="shared" si="16"/>
        <v>7</v>
      </c>
      <c r="AI76" s="224">
        <f t="shared" si="17"/>
        <v>1.0068382150422153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45354</v>
      </c>
      <c r="B77" s="409">
        <f>IF(t&gt;Tmaj,'2023'!Wh/'2023'!Env_an*'2024'!Env_an,0.001*'[5]mon-tableau'!$B$245)</f>
        <v>3.7128976641703013</v>
      </c>
      <c r="C77" s="829"/>
      <c r="D77" s="391">
        <f t="shared" si="0"/>
        <v>3.8474904348459988</v>
      </c>
      <c r="E77" s="383">
        <f t="shared" si="1"/>
        <v>4.011701569671442</v>
      </c>
      <c r="F77" s="383">
        <f t="shared" si="2"/>
        <v>4.011701569671442</v>
      </c>
      <c r="G77" s="110">
        <f t="shared" si="21"/>
        <v>8.2207934221201692E-2</v>
      </c>
      <c r="H77" s="412" t="b">
        <f>Wh_hp&gt;='2023'!Maxi_hp</f>
        <v>0</v>
      </c>
      <c r="I77" s="388">
        <f>IF(H77,Wh_hp,'2023'!Maxi_hp)</f>
        <v>31.305227886602569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3.4981963686437245E-2</v>
      </c>
      <c r="M77" s="832"/>
      <c r="N77" s="832"/>
      <c r="O77" s="48">
        <f>IF(t&lt;Tnet,'2023'!Resal+('2023'!Salim-'2023'!Resal)*(1-EXP(('2023'!Tnet-t)/('2023'!Tau_j))),Resal+(Salim-Resal)*(1-EXP((Tnet-t)/(Tau_j))))*Salcycl</f>
        <v>4.0933038505875763E-2</v>
      </c>
      <c r="P77" s="169">
        <f>(INDEX(Models!$BJ77:$BT77,,T77)*(1-R77)+INDEX(Models!$BJ77:$BT77,,T77+1)*R77-ERP_i)*Q77*Ramure*Pc/MaxiM</f>
        <v>2.7333480886146066E-5</v>
      </c>
      <c r="Q77" s="304">
        <f t="shared" si="4"/>
        <v>0.6</v>
      </c>
      <c r="R77" s="177">
        <f t="shared" si="5"/>
        <v>7.1853595873134779E-3</v>
      </c>
      <c r="S77" s="799">
        <f t="shared" si="6"/>
        <v>1</v>
      </c>
      <c r="T77" s="176">
        <f t="shared" si="7"/>
        <v>7</v>
      </c>
      <c r="U77" s="250">
        <f t="shared" si="8"/>
        <v>1.0071853595873135</v>
      </c>
      <c r="V77" s="382">
        <f t="shared" si="9"/>
        <v>45.163477381182311</v>
      </c>
      <c r="W77" s="400">
        <f t="shared" si="10"/>
        <v>3.7128976641703013</v>
      </c>
      <c r="X77" s="157">
        <f t="shared" si="11"/>
        <v>45354</v>
      </c>
      <c r="Y77" s="383">
        <f t="shared" si="12"/>
        <v>3.6429330701470248</v>
      </c>
      <c r="Z77" s="383">
        <f t="shared" si="22"/>
        <v>3.7749896199487494</v>
      </c>
      <c r="AA77" s="384">
        <f t="shared" si="13"/>
        <v>4.011701569671442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5.9005373558252895E-2</v>
      </c>
      <c r="AD77" s="230">
        <f>(INDEX(Models!$BJ77:$BT77,,AH77)*(1-AF77)+INDEX(Models!$BJ77:$BT77,,AH77+1)*AF77-ERP_i)*AE77*Ramure*Pc/MaxiM</f>
        <v>2.7333480886146066E-5</v>
      </c>
      <c r="AE77" s="304">
        <f t="shared" si="15"/>
        <v>0.6</v>
      </c>
      <c r="AF77" s="177">
        <f t="shared" si="23"/>
        <v>7.1853595873134779E-3</v>
      </c>
      <c r="AG77" s="799">
        <f t="shared" si="24"/>
        <v>1</v>
      </c>
      <c r="AH77" s="176">
        <f t="shared" si="16"/>
        <v>7</v>
      </c>
      <c r="AI77" s="224">
        <f t="shared" si="17"/>
        <v>1.0071853595873135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45355</v>
      </c>
      <c r="B78" s="409">
        <f>IF(t&gt;Tmaj,'2023'!Wh/'2023'!Env_an*'2024'!Env_an,0.001*'[5]mon-tableau'!$B$246)</f>
        <v>12.717792550092311</v>
      </c>
      <c r="C78" s="829"/>
      <c r="D78" s="391">
        <f t="shared" si="0"/>
        <v>13.17906589284085</v>
      </c>
      <c r="E78" s="383">
        <f t="shared" si="1"/>
        <v>13.742796006875915</v>
      </c>
      <c r="F78" s="383">
        <f t="shared" si="2"/>
        <v>13.742796006875915</v>
      </c>
      <c r="G78" s="110">
        <f t="shared" si="21"/>
        <v>0.2796007447770939</v>
      </c>
      <c r="H78" s="412" t="b">
        <f>Wh_hp&gt;='2023'!Maxi_hp</f>
        <v>0</v>
      </c>
      <c r="I78" s="388">
        <f>IF(H78,Wh_hp,'2023'!Maxi_hp)</f>
        <v>38.458441078302194</v>
      </c>
      <c r="J78" s="85">
        <f>IF(H78,An,'2023'!An_max)</f>
        <v>2021</v>
      </c>
      <c r="K78" s="197">
        <f t="shared" si="3"/>
        <v>45355</v>
      </c>
      <c r="L78" s="147">
        <f>IF(t&lt;Tvie,1-EXP((T0-t)*PertePVj)+'2023'!Pspv,1-EXP((T0-t)*PertePVj)+Pspv)</f>
        <v>3.5000458036947291E-2</v>
      </c>
      <c r="M78" s="832"/>
      <c r="N78" s="832"/>
      <c r="O78" s="48">
        <f>IF(t&lt;Tnet,'2023'!Resal+('2023'!Salim-'2023'!Resal)*(1-EXP(('2023'!Tnet-t)/('2023'!Tau_j))),Resal+(Salim-Resal)*(1-EXP((Tnet-t)/(Tau_j))))*Salcycl</f>
        <v>4.10200452479259E-2</v>
      </c>
      <c r="P78" s="169">
        <f>(INDEX(Models!$BJ78:$BT78,,T78)*(1-R78)+INDEX(Models!$BJ78:$BT78,,T78+1)*R78-ERP_i)*Q78*Ramure*Pc/MaxiM</f>
        <v>2.6674221370664044E-5</v>
      </c>
      <c r="Q78" s="304">
        <f t="shared" si="4"/>
        <v>0.6</v>
      </c>
      <c r="R78" s="177">
        <f t="shared" si="5"/>
        <v>7.5465472592091132E-3</v>
      </c>
      <c r="S78" s="799">
        <f t="shared" si="6"/>
        <v>1</v>
      </c>
      <c r="T78" s="176">
        <f t="shared" si="7"/>
        <v>7</v>
      </c>
      <c r="U78" s="250">
        <f t="shared" si="8"/>
        <v>1.0075465472592091</v>
      </c>
      <c r="V78" s="382">
        <f t="shared" si="9"/>
        <v>45.484332751034756</v>
      </c>
      <c r="W78" s="400">
        <f t="shared" si="10"/>
        <v>12.717792550092311</v>
      </c>
      <c r="X78" s="157">
        <f t="shared" si="11"/>
        <v>45355</v>
      </c>
      <c r="Y78" s="383">
        <f t="shared" si="12"/>
        <v>12.478391247343312</v>
      </c>
      <c r="Z78" s="383">
        <f t="shared" si="22"/>
        <v>12.930981523534316</v>
      </c>
      <c r="AA78" s="384">
        <f t="shared" si="13"/>
        <v>13.742796006875915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5.9072002737683586E-2</v>
      </c>
      <c r="AD78" s="230">
        <f>(INDEX(Models!$BJ78:$BT78,,AH78)*(1-AF78)+INDEX(Models!$BJ78:$BT78,,AH78+1)*AF78-ERP_i)*AE78*Ramure*Pc/MaxiM</f>
        <v>2.6674221370664044E-5</v>
      </c>
      <c r="AE78" s="304">
        <f t="shared" si="15"/>
        <v>0.6</v>
      </c>
      <c r="AF78" s="177">
        <f t="shared" si="23"/>
        <v>7.5465472592091132E-3</v>
      </c>
      <c r="AG78" s="799">
        <f t="shared" si="24"/>
        <v>1</v>
      </c>
      <c r="AH78" s="176">
        <f t="shared" si="16"/>
        <v>7</v>
      </c>
      <c r="AI78" s="224">
        <f t="shared" si="17"/>
        <v>1.0075465472592091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45356</v>
      </c>
      <c r="B79" s="409">
        <f>IF(t&gt;Tmaj,'2023'!Wh/'2023'!Env_an*'2024'!Env_an,0.001*'[5]mon-tableau'!$B$247)</f>
        <v>15.626036651301396</v>
      </c>
      <c r="C79" s="829"/>
      <c r="D79" s="391">
        <f t="shared" ref="D79:D142" si="25">Wh/(1-Ppv)</f>
        <v>16.193102117624228</v>
      </c>
      <c r="E79" s="383">
        <f t="shared" si="1"/>
        <v>16.88728746274235</v>
      </c>
      <c r="F79" s="383">
        <f t="shared" ref="F79:F142" si="26">Wh_sa/(1-Pvg*MEDIAN((-Sdif+Wh/Env_an)/Csdif,0,1))</f>
        <v>16.887313339292081</v>
      </c>
      <c r="G79" s="110">
        <f t="shared" si="21"/>
        <v>0.34113062508748043</v>
      </c>
      <c r="H79" s="412" t="b">
        <f>Wh_hp&gt;='2023'!Maxi_hp</f>
        <v>0</v>
      </c>
      <c r="I79" s="388">
        <f>IF(H79,Wh_hp,'2023'!Maxi_hp)</f>
        <v>16.88749179346107</v>
      </c>
      <c r="J79" s="85">
        <f>IF(H79,An,'2023'!An_max)</f>
        <v>2022</v>
      </c>
      <c r="K79" s="197">
        <f t="shared" ref="K79:K142" si="27">t</f>
        <v>45356</v>
      </c>
      <c r="L79" s="147">
        <f>IF(t&lt;Tvie,1-EXP((T0-t)*PertePVj)+'2023'!Pspv,1-EXP((T0-t)*PertePVj)+Pspv)</f>
        <v>3.5018952033017192E-2</v>
      </c>
      <c r="M79" s="832"/>
      <c r="N79" s="832"/>
      <c r="O79" s="48">
        <f>IF(t&lt;Tnet,'2023'!Resal+('2023'!Salim-'2023'!Resal)*(1-EXP(('2023'!Tnet-t)/('2023'!Tau_j))),Resal+(Salim-Resal)*(1-EXP((Tnet-t)/(Tau_j))))*Salcycl</f>
        <v>4.1106977461576953E-2</v>
      </c>
      <c r="P79" s="169">
        <f>(INDEX(Models!$BJ79:$BT79,,T79)*(1-R79)+INDEX(Models!$BJ79:$BT79,,T79+1)*R79-ERP_i)*Q79*Ramure*Pc/MaxiM</f>
        <v>2.6072948663247439E-5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7.922323869107295E-3</v>
      </c>
      <c r="S79" s="799">
        <f t="shared" ref="S79:S142" si="30">INDEX(Echel_vg,T79)</f>
        <v>1</v>
      </c>
      <c r="T79" s="176">
        <f t="shared" ref="T79:T142" si="31">MIN(MATCH(Hp_vg,Echel_vg),10)</f>
        <v>7</v>
      </c>
      <c r="U79" s="250">
        <f t="shared" ref="U79:U142" si="32">IF(OR(t&lt;Ttai,Notai),Hdd+PousH*Croivg,Hdtf+PousH*(Croivg-Croi_tai))</f>
        <v>1.0079223238691073</v>
      </c>
      <c r="V79" s="382">
        <f t="shared" ref="V79:V142" si="33">MaxiM*(1-Ppv)*(1-Pvg)*(1-Psa)</f>
        <v>45.805483379693136</v>
      </c>
      <c r="W79" s="400">
        <f t="shared" ref="W79:W142" si="34">Wh*(A79&gt;Tmaj)</f>
        <v>15.626036651301396</v>
      </c>
      <c r="X79" s="157">
        <f t="shared" ref="X79:X142" si="35">t</f>
        <v>45356</v>
      </c>
      <c r="Y79" s="383">
        <f t="shared" ref="Y79:Y142" si="36">Wh_pvt_s*(1-Ppv)</f>
        <v>15.332195074979518</v>
      </c>
      <c r="Z79" s="383">
        <f t="shared" ref="Z79:Z142" si="37">Wh_sa_s*(1-Psa_s)</f>
        <v>15.888597094503886</v>
      </c>
      <c r="AA79" s="384">
        <f t="shared" ref="AA79:AA142" si="38">Wh_hp*(1-Pvg_s*MEDIAN((-Sdif+Wh/Env_an)/Csdif,0,1))</f>
        <v>16.88728746274235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5.9138589926998456E-2</v>
      </c>
      <c r="AD79" s="230">
        <f>(INDEX(Models!$BJ79:$BT79,,AH79)*(1-AF79)+INDEX(Models!$BJ79:$BT79,,AH79+1)*AF79-ERP_i)*AE79*Ramure*Pc/MaxiM</f>
        <v>2.6072948663247439E-5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7.922323869107295E-3</v>
      </c>
      <c r="AG79" s="799">
        <f t="shared" si="24"/>
        <v>1</v>
      </c>
      <c r="AH79" s="176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1.0079223238691073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45357</v>
      </c>
      <c r="B80" s="409">
        <f>IF(t&gt;Tmaj,'2023'!Wh/'2023'!Env_an*'2024'!Env_an,0.001*'[5]mon-tableau'!$B$248)</f>
        <v>38.128812643103551</v>
      </c>
      <c r="C80" s="829"/>
      <c r="D80" s="391">
        <f t="shared" si="25"/>
        <v>39.513256211026061</v>
      </c>
      <c r="E80" s="383">
        <f t="shared" ref="E80:E143" si="47">Wh_pvt/(1-Psa)</f>
        <v>41.210891210926469</v>
      </c>
      <c r="F80" s="383">
        <f t="shared" si="26"/>
        <v>41.211681195401582</v>
      </c>
      <c r="G80" s="110">
        <f t="shared" ref="G80:G143" si="48">+Wh_hp/MaxiM</f>
        <v>0.82659157880754486</v>
      </c>
      <c r="H80" s="412" t="b">
        <f>Wh_hp&gt;='2023'!Maxi_hp</f>
        <v>0</v>
      </c>
      <c r="I80" s="388">
        <f>IF(H80,Wh_hp,'2023'!Maxi_hp)</f>
        <v>41.211792495970926</v>
      </c>
      <c r="J80" s="85">
        <f>IF(H80,An,'2023'!An_max)</f>
        <v>2022</v>
      </c>
      <c r="K80" s="197">
        <f t="shared" si="27"/>
        <v>45357</v>
      </c>
      <c r="L80" s="147">
        <f>IF(t&lt;Tvie,1-EXP((T0-t)*PertePVj)+'2023'!Pspv,1-EXP((T0-t)*PertePVj)+Pspv)</f>
        <v>3.5037445674653944E-2</v>
      </c>
      <c r="M80" s="832"/>
      <c r="N80" s="832"/>
      <c r="O80" s="48">
        <f>IF(t&lt;Tnet,'2023'!Resal+('2023'!Salim-'2023'!Resal)*(1-EXP(('2023'!Tnet-t)/('2023'!Tau_j))),Resal+(Salim-Resal)*(1-EXP((Tnet-t)/(Tau_j))))*Salcycl</f>
        <v>4.1193843423854619E-2</v>
      </c>
      <c r="P80" s="169">
        <f>(INDEX(Models!$BJ80:$BT80,,T80)*(1-R80)+INDEX(Models!$BJ80:$BT80,,T80+1)*R80-ERP_i)*Q80*Ramure*Pc/MaxiM</f>
        <v>2.5481092958067129E-5</v>
      </c>
      <c r="Q80" s="304">
        <f t="shared" si="28"/>
        <v>0.6</v>
      </c>
      <c r="R80" s="177">
        <f t="shared" si="29"/>
        <v>8.3132545735429275E-3</v>
      </c>
      <c r="S80" s="799">
        <f t="shared" si="30"/>
        <v>1</v>
      </c>
      <c r="T80" s="176">
        <f t="shared" si="31"/>
        <v>7</v>
      </c>
      <c r="U80" s="250">
        <f t="shared" si="32"/>
        <v>1.0083132545735429</v>
      </c>
      <c r="V80" s="382">
        <f t="shared" si="33"/>
        <v>46.127462390569121</v>
      </c>
      <c r="W80" s="400">
        <f t="shared" si="34"/>
        <v>38.128812643103551</v>
      </c>
      <c r="X80" s="157">
        <f t="shared" si="35"/>
        <v>45357</v>
      </c>
      <c r="Y80" s="383">
        <f t="shared" si="36"/>
        <v>37.412557736608491</v>
      </c>
      <c r="Z80" s="383">
        <f t="shared" si="37"/>
        <v>38.770994344713714</v>
      </c>
      <c r="AA80" s="384">
        <f t="shared" si="38"/>
        <v>41.210891210926469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5.9205146856077862E-2</v>
      </c>
      <c r="AD80" s="230">
        <f>(INDEX(Models!$BJ80:$BT80,,AH80)*(1-AF80)+INDEX(Models!$BJ80:$BT80,,AH80+1)*AF80-ERP_i)*AE80*Ramure*Pc/MaxiM</f>
        <v>2.5481092958067129E-5</v>
      </c>
      <c r="AE80" s="304">
        <f t="shared" si="40"/>
        <v>0.6</v>
      </c>
      <c r="AF80" s="177">
        <f t="shared" si="41"/>
        <v>8.3132545735429275E-3</v>
      </c>
      <c r="AG80" s="799">
        <f t="shared" ref="AG80:AG143" si="49">INDEX(Echel_vg,AH80)</f>
        <v>1</v>
      </c>
      <c r="AH80" s="176">
        <f t="shared" si="42"/>
        <v>7</v>
      </c>
      <c r="AI80" s="224">
        <f t="shared" si="43"/>
        <v>1.0083132545735429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45358</v>
      </c>
      <c r="B81" s="409">
        <f>IF(t&gt;Tmaj,'2023'!Wh/'2023'!Env_an*'2024'!Env_an,0.001*'[5]mon-tableau'!$B$249)</f>
        <v>35.77405103756071</v>
      </c>
      <c r="C81" s="829"/>
      <c r="D81" s="391">
        <f t="shared" si="25"/>
        <v>37.073704561768245</v>
      </c>
      <c r="E81" s="383">
        <f t="shared" si="47"/>
        <v>38.670028563421539</v>
      </c>
      <c r="F81" s="383">
        <f t="shared" si="26"/>
        <v>38.67067394903853</v>
      </c>
      <c r="G81" s="110">
        <f t="shared" si="48"/>
        <v>0.77016003698543167</v>
      </c>
      <c r="H81" s="412" t="b">
        <f>Wh_hp&gt;='2023'!Maxi_hp</f>
        <v>0</v>
      </c>
      <c r="I81" s="388">
        <f>IF(H81,Wh_hp,'2023'!Maxi_hp)</f>
        <v>38.670808244768345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3.5055938961864208E-2</v>
      </c>
      <c r="M81" s="832"/>
      <c r="N81" s="832"/>
      <c r="O81" s="48">
        <f>IF(t&lt;Tnet,'2023'!Resal+('2023'!Salim-'2023'!Resal)*(1-EXP(('2023'!Tnet-t)/('2023'!Tau_j))),Resal+(Salim-Resal)*(1-EXP((Tnet-t)/(Tau_j))))*Salcycl</f>
        <v>4.1280652250753058E-2</v>
      </c>
      <c r="P81" s="169">
        <f>(INDEX(Models!$BJ81:$BT81,,T81)*(1-R81)+INDEX(Models!$BJ81:$BT81,,T81+1)*R81-ERP_i)*Q81*Ramure*Pc/MaxiM</f>
        <v>2.4847578177442183E-5</v>
      </c>
      <c r="Q81" s="304">
        <f t="shared" si="28"/>
        <v>0.6</v>
      </c>
      <c r="R81" s="177">
        <f t="shared" si="29"/>
        <v>8.7199244017530653E-3</v>
      </c>
      <c r="S81" s="799">
        <f t="shared" si="30"/>
        <v>1</v>
      </c>
      <c r="T81" s="176">
        <f t="shared" si="31"/>
        <v>7</v>
      </c>
      <c r="U81" s="250">
        <f t="shared" si="32"/>
        <v>1.0087199244017531</v>
      </c>
      <c r="V81" s="382">
        <f t="shared" si="33"/>
        <v>46.449773370816139</v>
      </c>
      <c r="W81" s="400">
        <f t="shared" si="34"/>
        <v>35.77405103756071</v>
      </c>
      <c r="X81" s="157">
        <f t="shared" si="35"/>
        <v>45358</v>
      </c>
      <c r="Y81" s="383">
        <f t="shared" si="36"/>
        <v>35.102726133249966</v>
      </c>
      <c r="Z81" s="383">
        <f t="shared" si="37"/>
        <v>36.377990756774722</v>
      </c>
      <c r="AA81" s="384">
        <f t="shared" si="38"/>
        <v>38.670028563421539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5.9271686414394988E-2</v>
      </c>
      <c r="AD81" s="230">
        <f>(INDEX(Models!$BJ81:$BT81,,AH81)*(1-AF81)+INDEX(Models!$BJ81:$BT81,,AH81+1)*AF81-ERP_i)*AE81*Ramure*Pc/MaxiM</f>
        <v>2.4847578177442183E-5</v>
      </c>
      <c r="AE81" s="304">
        <f t="shared" si="40"/>
        <v>0.6</v>
      </c>
      <c r="AF81" s="177">
        <f t="shared" si="41"/>
        <v>8.7199244017530653E-3</v>
      </c>
      <c r="AG81" s="799">
        <f t="shared" si="49"/>
        <v>1</v>
      </c>
      <c r="AH81" s="176">
        <f t="shared" si="42"/>
        <v>7</v>
      </c>
      <c r="AI81" s="224">
        <f t="shared" si="43"/>
        <v>1.0087199244017531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45359</v>
      </c>
      <c r="B82" s="409">
        <f>IF(t&gt;Tmaj,'2023'!Wh/'2023'!Env_an*'2024'!Env_an,0.001*'[5]mon-tableau'!$B$250)</f>
        <v>31.265997616449713</v>
      </c>
      <c r="C82" s="829"/>
      <c r="D82" s="391">
        <f t="shared" si="25"/>
        <v>32.402496783084793</v>
      </c>
      <c r="E82" s="383">
        <f t="shared" si="47"/>
        <v>33.800746242383198</v>
      </c>
      <c r="F82" s="383">
        <f t="shared" si="26"/>
        <v>33.801176359729673</v>
      </c>
      <c r="G82" s="110">
        <f t="shared" si="48"/>
        <v>0.66847033857181359</v>
      </c>
      <c r="H82" s="412" t="b">
        <f>Wh_hp&gt;='2023'!Maxi_hp</f>
        <v>0</v>
      </c>
      <c r="I82" s="388">
        <f>IF(H82,Wh_hp,'2023'!Maxi_hp)</f>
        <v>46.982445789324288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3.5074431894654867E-2</v>
      </c>
      <c r="M82" s="832"/>
      <c r="N82" s="832"/>
      <c r="O82" s="48">
        <f>IF(t&lt;Tnet,'2023'!Resal+('2023'!Salim-'2023'!Resal)*(1-EXP(('2023'!Tnet-t)/('2023'!Tau_j))),Resal+(Salim-Resal)*(1-EXP((Tnet-t)/(Tau_j))))*Salcycl</f>
        <v>4.1367413881091386E-2</v>
      </c>
      <c r="P82" s="169">
        <f>(INDEX(Models!$BJ82:$BT82,,T82)*(1-R82)+INDEX(Models!$BJ82:$BT82,,T82+1)*R82-ERP_i)*Q82*Ramure*Pc/MaxiM</f>
        <v>2.4173616558352283E-5</v>
      </c>
      <c r="Q82" s="304">
        <f t="shared" si="28"/>
        <v>0.6</v>
      </c>
      <c r="R82" s="177">
        <f t="shared" si="29"/>
        <v>9.1429387833399378E-3</v>
      </c>
      <c r="S82" s="799">
        <f t="shared" si="30"/>
        <v>1</v>
      </c>
      <c r="T82" s="176">
        <f t="shared" si="31"/>
        <v>7</v>
      </c>
      <c r="U82" s="250">
        <f t="shared" si="32"/>
        <v>1.0091429387833399</v>
      </c>
      <c r="V82" s="382">
        <f t="shared" si="33"/>
        <v>46.771917694732281</v>
      </c>
      <c r="W82" s="400">
        <f t="shared" si="34"/>
        <v>31.265997616449713</v>
      </c>
      <c r="X82" s="157">
        <f t="shared" si="35"/>
        <v>45359</v>
      </c>
      <c r="Y82" s="383">
        <f t="shared" si="36"/>
        <v>30.679876018443579</v>
      </c>
      <c r="Z82" s="383">
        <f t="shared" si="37"/>
        <v>31.795070037043647</v>
      </c>
      <c r="AA82" s="384">
        <f t="shared" si="38"/>
        <v>33.800746242383198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5.9338222622570623E-2</v>
      </c>
      <c r="AD82" s="230">
        <f>(INDEX(Models!$BJ82:$BT82,,AH82)*(1-AF82)+INDEX(Models!$BJ82:$BT82,,AH82+1)*AF82-ERP_i)*AE82*Ramure*Pc/MaxiM</f>
        <v>2.4173616558352283E-5</v>
      </c>
      <c r="AE82" s="304">
        <f t="shared" si="40"/>
        <v>0.6</v>
      </c>
      <c r="AF82" s="177">
        <f t="shared" si="41"/>
        <v>9.1429387833399378E-3</v>
      </c>
      <c r="AG82" s="799">
        <f t="shared" si="49"/>
        <v>1</v>
      </c>
      <c r="AH82" s="176">
        <f t="shared" si="42"/>
        <v>7</v>
      </c>
      <c r="AI82" s="224">
        <f t="shared" si="43"/>
        <v>1.0091429387833399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45360</v>
      </c>
      <c r="B83" s="409">
        <f>IF(t&gt;Tmaj,'2023'!Wh/'2023'!Env_an*'2024'!Env_an,0.001*'[5]mon-tableau'!$B$251)</f>
        <v>26.439894312541298</v>
      </c>
      <c r="C83" s="829"/>
      <c r="D83" s="391">
        <f t="shared" si="25"/>
        <v>27.401492830904584</v>
      </c>
      <c r="E83" s="383">
        <f t="shared" si="47"/>
        <v>28.586522510157714</v>
      </c>
      <c r="F83" s="383">
        <f t="shared" si="26"/>
        <v>28.58677298601015</v>
      </c>
      <c r="G83" s="110">
        <f t="shared" si="48"/>
        <v>0.56142702426906566</v>
      </c>
      <c r="H83" s="412" t="b">
        <f>Wh_hp&gt;='2023'!Maxi_hp</f>
        <v>0</v>
      </c>
      <c r="I83" s="388">
        <f>IF(H83,Wh_hp,'2023'!Maxi_hp)</f>
        <v>45.805582995042379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3.5092924473032805E-2</v>
      </c>
      <c r="M83" s="832"/>
      <c r="N83" s="832"/>
      <c r="O83" s="48">
        <f>IF(t&lt;Tnet,'2023'!Resal+('2023'!Salim-'2023'!Resal)*(1-EXP(('2023'!Tnet-t)/('2023'!Tau_j))),Resal+(Salim-Resal)*(1-EXP((Tnet-t)/(Tau_j))))*Salcycl</f>
        <v>4.1454139055635469E-2</v>
      </c>
      <c r="P83" s="169">
        <f>(INDEX(Models!$BJ83:$BT83,,T83)*(1-R83)+INDEX(Models!$BJ83:$BT83,,T83+1)*R83-ERP_i)*Q83*Ramure*Pc/MaxiM</f>
        <v>2.3460355139140175E-5</v>
      </c>
      <c r="Q83" s="304">
        <f t="shared" si="28"/>
        <v>0.6</v>
      </c>
      <c r="R83" s="177">
        <f t="shared" si="29"/>
        <v>9.5829240746767574E-3</v>
      </c>
      <c r="S83" s="799">
        <f t="shared" si="30"/>
        <v>1</v>
      </c>
      <c r="T83" s="176">
        <f t="shared" si="31"/>
        <v>7</v>
      </c>
      <c r="U83" s="250">
        <f t="shared" si="32"/>
        <v>1.0095829240746768</v>
      </c>
      <c r="V83" s="382">
        <f t="shared" si="33"/>
        <v>47.093396900974817</v>
      </c>
      <c r="W83" s="400">
        <f t="shared" si="34"/>
        <v>26.439894312541298</v>
      </c>
      <c r="X83" s="157">
        <f t="shared" si="35"/>
        <v>45360</v>
      </c>
      <c r="Y83" s="383">
        <f t="shared" si="36"/>
        <v>25.944755978378502</v>
      </c>
      <c r="Z83" s="383">
        <f t="shared" si="37"/>
        <v>26.888346698265455</v>
      </c>
      <c r="AA83" s="384">
        <f t="shared" si="38"/>
        <v>28.586522510157714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5.9404770597362461E-2</v>
      </c>
      <c r="AD83" s="230">
        <f>(INDEX(Models!$BJ83:$BT83,,AH83)*(1-AF83)+INDEX(Models!$BJ83:$BT83,,AH83+1)*AF83-ERP_i)*AE83*Ramure*Pc/MaxiM</f>
        <v>2.3460355139140175E-5</v>
      </c>
      <c r="AE83" s="304">
        <f t="shared" si="40"/>
        <v>0.6</v>
      </c>
      <c r="AF83" s="177">
        <f t="shared" si="41"/>
        <v>9.5829240746767574E-3</v>
      </c>
      <c r="AG83" s="799">
        <f t="shared" si="49"/>
        <v>1</v>
      </c>
      <c r="AH83" s="176">
        <f t="shared" si="42"/>
        <v>7</v>
      </c>
      <c r="AI83" s="224">
        <f t="shared" si="43"/>
        <v>1.0095829240746768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45361</v>
      </c>
      <c r="B84" s="409">
        <f>IF(t&gt;Tmaj,'2023'!Wh/'2023'!Env_an*'2024'!Env_an,0.001*'[5]mon-tableau'!$B$252)</f>
        <v>16.841352686140656</v>
      </c>
      <c r="C84" s="829"/>
      <c r="D84" s="391">
        <f t="shared" si="25"/>
        <v>17.454194170781388</v>
      </c>
      <c r="E84" s="383">
        <f t="shared" si="47"/>
        <v>18.210681149819756</v>
      </c>
      <c r="F84" s="383">
        <f t="shared" si="26"/>
        <v>18.210713760800797</v>
      </c>
      <c r="G84" s="110">
        <f t="shared" si="48"/>
        <v>0.35519261072587521</v>
      </c>
      <c r="H84" s="412" t="b">
        <f>Wh_hp&gt;='2023'!Maxi_hp</f>
        <v>0</v>
      </c>
      <c r="I84" s="388">
        <f>IF(H84,Wh_hp,'2023'!Maxi_hp)</f>
        <v>35.092284275887017</v>
      </c>
      <c r="J84" s="85">
        <f>IF(H84,An,'2023'!An_max)</f>
        <v>2021</v>
      </c>
      <c r="K84" s="197">
        <f t="shared" si="27"/>
        <v>45361</v>
      </c>
      <c r="L84" s="147">
        <f>IF(t&lt;Tvie,1-EXP((T0-t)*PertePVj)+'2023'!Pspv,1-EXP((T0-t)*PertePVj)+Pspv)</f>
        <v>3.5111416697004572E-2</v>
      </c>
      <c r="M84" s="832"/>
      <c r="N84" s="832"/>
      <c r="O84" s="48">
        <f>IF(t&lt;Tnet,'2023'!Resal+('2023'!Salim-'2023'!Resal)*(1-EXP(('2023'!Tnet-t)/('2023'!Tau_j))),Resal+(Salim-Resal)*(1-EXP((Tnet-t)/(Tau_j))))*Salcycl</f>
        <v>4.154083929177213E-2</v>
      </c>
      <c r="P84" s="169">
        <f>(INDEX(Models!$BJ84:$BT84,,T84)*(1-R84)+INDEX(Models!$BJ84:$BT84,,T84+1)*R84-ERP_i)*Q84*Ramure*Pc/MaxiM</f>
        <v>2.2708870657185328E-5</v>
      </c>
      <c r="Q84" s="304">
        <f t="shared" si="28"/>
        <v>0.6</v>
      </c>
      <c r="R84" s="177">
        <f t="shared" si="29"/>
        <v>1.004052808234146E-2</v>
      </c>
      <c r="S84" s="799">
        <f t="shared" si="30"/>
        <v>1</v>
      </c>
      <c r="T84" s="176">
        <f t="shared" si="31"/>
        <v>7</v>
      </c>
      <c r="U84" s="250">
        <f t="shared" si="32"/>
        <v>1.0100405280823415</v>
      </c>
      <c r="V84" s="382">
        <f t="shared" si="33"/>
        <v>47.413712694586394</v>
      </c>
      <c r="W84" s="400">
        <f t="shared" si="34"/>
        <v>16.841352686140656</v>
      </c>
      <c r="X84" s="157">
        <f t="shared" si="35"/>
        <v>45361</v>
      </c>
      <c r="Y84" s="383">
        <f t="shared" si="36"/>
        <v>16.526290753100596</v>
      </c>
      <c r="Z84" s="383">
        <f t="shared" si="37"/>
        <v>17.127667420965839</v>
      </c>
      <c r="AA84" s="384">
        <f t="shared" si="38"/>
        <v>18.210681149819756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5.9471346510541478E-2</v>
      </c>
      <c r="AD84" s="230">
        <f>(INDEX(Models!$BJ84:$BT84,,AH84)*(1-AF84)+INDEX(Models!$BJ84:$BT84,,AH84+1)*AF84-ERP_i)*AE84*Ramure*Pc/MaxiM</f>
        <v>2.2708870657185328E-5</v>
      </c>
      <c r="AE84" s="304">
        <f t="shared" si="40"/>
        <v>0.6</v>
      </c>
      <c r="AF84" s="177">
        <f t="shared" si="41"/>
        <v>1.004052808234146E-2</v>
      </c>
      <c r="AG84" s="799">
        <f t="shared" si="49"/>
        <v>1</v>
      </c>
      <c r="AH84" s="176">
        <f t="shared" si="42"/>
        <v>7</v>
      </c>
      <c r="AI84" s="224">
        <f t="shared" si="43"/>
        <v>1.0100405280823415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45362</v>
      </c>
      <c r="B85" s="409">
        <f>IF(t&gt;Tmaj,'2023'!Wh/'2023'!Env_an*'2024'!Env_an,0.001*'[5]mon-tableau'!$B$253)</f>
        <v>13.84500170277307</v>
      </c>
      <c r="C85" s="829"/>
      <c r="D85" s="391">
        <f t="shared" si="25"/>
        <v>14.349083701210764</v>
      </c>
      <c r="E85" s="383">
        <f t="shared" si="47"/>
        <v>14.972345411913379</v>
      </c>
      <c r="F85" s="383">
        <f t="shared" si="26"/>
        <v>14.972345411913379</v>
      </c>
      <c r="G85" s="110">
        <f t="shared" si="48"/>
        <v>0.29004843262128266</v>
      </c>
      <c r="H85" s="412" t="b">
        <f>Wh_hp&gt;='2023'!Maxi_hp</f>
        <v>0</v>
      </c>
      <c r="I85" s="388">
        <f>IF(H85,Wh_hp,'2023'!Maxi_hp)</f>
        <v>45.555962265985798</v>
      </c>
      <c r="J85" s="85">
        <f>IF(H85,An,'2023'!An_max)</f>
        <v>2018</v>
      </c>
      <c r="K85" s="197">
        <f t="shared" si="27"/>
        <v>45362</v>
      </c>
      <c r="L85" s="147">
        <f>IF(t&lt;Tvie,1-EXP((T0-t)*PertePVj)+'2023'!Pspv,1-EXP((T0-t)*PertePVj)+Pspv)</f>
        <v>3.5129908566577051E-2</v>
      </c>
      <c r="M85" s="832"/>
      <c r="N85" s="832"/>
      <c r="O85" s="48">
        <f>IF(t&lt;Tnet,'2023'!Resal+('2023'!Salim-'2023'!Resal)*(1-EXP(('2023'!Tnet-t)/('2023'!Tau_j))),Resal+(Salim-Resal)*(1-EXP((Tnet-t)/(Tau_j))))*Salcycl</f>
        <v>4.1627526854055207E-2</v>
      </c>
      <c r="P85" s="169">
        <f>(INDEX(Models!$BJ85:$BT85,,T85)*(1-R85)+INDEX(Models!$BJ85:$BT85,,T85+1)*R85-ERP_i)*Q85*Ramure*Pc/MaxiM</f>
        <v>2.1920164662038226E-5</v>
      </c>
      <c r="Q85" s="304">
        <f t="shared" si="28"/>
        <v>0.6</v>
      </c>
      <c r="R85" s="177">
        <f t="shared" si="29"/>
        <v>1.0516420581696773E-2</v>
      </c>
      <c r="S85" s="799">
        <f t="shared" si="30"/>
        <v>1</v>
      </c>
      <c r="T85" s="176">
        <f t="shared" si="31"/>
        <v>7</v>
      </c>
      <c r="U85" s="250">
        <f t="shared" si="32"/>
        <v>1.0105164205816968</v>
      </c>
      <c r="V85" s="382">
        <f t="shared" si="33"/>
        <v>47.732366946223323</v>
      </c>
      <c r="W85" s="400">
        <f t="shared" si="34"/>
        <v>13.84500170277307</v>
      </c>
      <c r="X85" s="157">
        <f t="shared" si="35"/>
        <v>45362</v>
      </c>
      <c r="Y85" s="383">
        <f t="shared" si="36"/>
        <v>13.586260880418148</v>
      </c>
      <c r="Z85" s="383">
        <f t="shared" si="37"/>
        <v>14.080922396749008</v>
      </c>
      <c r="AA85" s="384">
        <f t="shared" si="38"/>
        <v>14.972345411913379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5.9537967542150891E-2</v>
      </c>
      <c r="AD85" s="230">
        <f>(INDEX(Models!$BJ85:$BT85,,AH85)*(1-AF85)+INDEX(Models!$BJ85:$BT85,,AH85+1)*AF85-ERP_i)*AE85*Ramure*Pc/MaxiM</f>
        <v>2.1920164662038226E-5</v>
      </c>
      <c r="AE85" s="304">
        <f t="shared" si="40"/>
        <v>0.6</v>
      </c>
      <c r="AF85" s="177">
        <f t="shared" si="41"/>
        <v>1.0516420581696773E-2</v>
      </c>
      <c r="AG85" s="799">
        <f t="shared" si="49"/>
        <v>1</v>
      </c>
      <c r="AH85" s="176">
        <f t="shared" si="42"/>
        <v>7</v>
      </c>
      <c r="AI85" s="224">
        <f t="shared" si="43"/>
        <v>1.0105164205816968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45363</v>
      </c>
      <c r="B86" s="409">
        <f>IF(t&gt;Tmaj,'2023'!Wh/'2023'!Env_an*'2024'!Env_an,0.001*'[5]mon-tableau'!$B$254)</f>
        <v>7.9774576956376047</v>
      </c>
      <c r="C86" s="829"/>
      <c r="D86" s="391">
        <f t="shared" si="25"/>
        <v>8.2680670232744369</v>
      </c>
      <c r="E86" s="383">
        <f t="shared" si="47"/>
        <v>8.62797627835727</v>
      </c>
      <c r="F86" s="383">
        <f t="shared" si="26"/>
        <v>8.62797627835727</v>
      </c>
      <c r="G86" s="110">
        <f t="shared" si="48"/>
        <v>0.1660245243866206</v>
      </c>
      <c r="H86" s="412" t="b">
        <f>Wh_hp&gt;='2023'!Maxi_hp</f>
        <v>0</v>
      </c>
      <c r="I86" s="388">
        <f>IF(H86,Wh_hp,'2023'!Maxi_hp)</f>
        <v>42.650905420994242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3.5148400081757125E-2</v>
      </c>
      <c r="M86" s="832"/>
      <c r="N86" s="832"/>
      <c r="O86" s="48">
        <f>IF(t&lt;Tnet,'2023'!Resal+('2023'!Salim-'2023'!Resal)*(1-EXP(('2023'!Tnet-t)/('2023'!Tau_j))),Resal+(Salim-Resal)*(1-EXP((Tnet-t)/(Tau_j))))*Salcycl</f>
        <v>4.1714214720970207E-2</v>
      </c>
      <c r="P86" s="169">
        <f>(INDEX(Models!$BJ86:$BT86,,T86)*(1-R86)+INDEX(Models!$BJ86:$BT86,,T86+1)*R86-ERP_i)*Q86*Ramure*Pc/MaxiM</f>
        <v>2.1120279621151697E-5</v>
      </c>
      <c r="Q86" s="304">
        <f t="shared" si="28"/>
        <v>0.6</v>
      </c>
      <c r="R86" s="177">
        <f t="shared" si="29"/>
        <v>1.101129382854249E-2</v>
      </c>
      <c r="S86" s="799">
        <f t="shared" si="30"/>
        <v>1</v>
      </c>
      <c r="T86" s="176">
        <f t="shared" si="31"/>
        <v>7</v>
      </c>
      <c r="U86" s="250">
        <f t="shared" si="32"/>
        <v>1.0110112938285425</v>
      </c>
      <c r="V86" s="382">
        <f t="shared" si="33"/>
        <v>48.048860485958848</v>
      </c>
      <c r="W86" s="400">
        <f t="shared" si="34"/>
        <v>7.9774576956376047</v>
      </c>
      <c r="X86" s="157">
        <f t="shared" si="35"/>
        <v>45363</v>
      </c>
      <c r="Y86" s="383">
        <f t="shared" si="36"/>
        <v>7.8285248747864182</v>
      </c>
      <c r="Z86" s="383">
        <f t="shared" si="37"/>
        <v>8.1137087562996957</v>
      </c>
      <c r="AA86" s="384">
        <f t="shared" si="38"/>
        <v>8.62797627835727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5.9604651828677573E-2</v>
      </c>
      <c r="AD86" s="230">
        <f>(INDEX(Models!$BJ86:$BT86,,AH86)*(1-AF86)+INDEX(Models!$BJ86:$BT86,,AH86+1)*AF86-ERP_i)*AE86*Ramure*Pc/MaxiM</f>
        <v>2.1120279621151697E-5</v>
      </c>
      <c r="AE86" s="304">
        <f t="shared" si="40"/>
        <v>0.6</v>
      </c>
      <c r="AF86" s="177">
        <f t="shared" si="41"/>
        <v>1.101129382854249E-2</v>
      </c>
      <c r="AG86" s="799">
        <f t="shared" si="49"/>
        <v>1</v>
      </c>
      <c r="AH86" s="176">
        <f t="shared" si="42"/>
        <v>7</v>
      </c>
      <c r="AI86" s="224">
        <f t="shared" si="43"/>
        <v>1.0110112938285425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45364</v>
      </c>
      <c r="B87" s="409">
        <f>IF(t&gt;Tmaj,'2023'!Wh/'2023'!Env_an*'2024'!Env_an,0.001*'[5]mon-tableau'!$B$255)</f>
        <v>14.317494150518971</v>
      </c>
      <c r="C87" s="829"/>
      <c r="D87" s="391">
        <f t="shared" si="25"/>
        <v>14.839347883653813</v>
      </c>
      <c r="E87" s="383">
        <f t="shared" si="47"/>
        <v>15.486706405727448</v>
      </c>
      <c r="F87" s="383">
        <f t="shared" si="26"/>
        <v>15.486706405727448</v>
      </c>
      <c r="G87" s="110">
        <f t="shared" si="48"/>
        <v>0.29603815947579049</v>
      </c>
      <c r="H87" s="412" t="b">
        <f>Wh_hp&gt;='2023'!Maxi_hp</f>
        <v>0</v>
      </c>
      <c r="I87" s="388">
        <f>IF(H87,Wh_hp,'2023'!Maxi_hp)</f>
        <v>42.248499261755185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3.5166891242551568E-2</v>
      </c>
      <c r="M87" s="832"/>
      <c r="N87" s="832"/>
      <c r="O87" s="48">
        <f>IF(t&lt;Tnet,'2023'!Resal+('2023'!Salim-'2023'!Resal)*(1-EXP(('2023'!Tnet-t)/('2023'!Tau_j))),Resal+(Salim-Resal)*(1-EXP((Tnet-t)/(Tau_j))))*Salcycl</f>
        <v>4.1800916548287027E-2</v>
      </c>
      <c r="P87" s="169">
        <f>(INDEX(Models!$BJ87:$BT87,,T87)*(1-R87)+INDEX(Models!$BJ87:$BT87,,T87+1)*R87-ERP_i)*Q87*Ramure*Pc/MaxiM</f>
        <v>2.0312206863237892E-5</v>
      </c>
      <c r="Q87" s="304">
        <f t="shared" si="28"/>
        <v>0.6</v>
      </c>
      <c r="R87" s="177">
        <f t="shared" si="29"/>
        <v>1.152586306158021E-2</v>
      </c>
      <c r="S87" s="799">
        <f t="shared" si="30"/>
        <v>1</v>
      </c>
      <c r="T87" s="176">
        <f t="shared" si="31"/>
        <v>7</v>
      </c>
      <c r="U87" s="250">
        <f t="shared" si="32"/>
        <v>1.0115258630615802</v>
      </c>
      <c r="V87" s="382">
        <f t="shared" si="33"/>
        <v>48.362695390243637</v>
      </c>
      <c r="W87" s="400">
        <f t="shared" si="34"/>
        <v>14.317494150518971</v>
      </c>
      <c r="X87" s="157">
        <f t="shared" si="35"/>
        <v>45364</v>
      </c>
      <c r="Y87" s="383">
        <f t="shared" si="36"/>
        <v>14.050471555482783</v>
      </c>
      <c r="Z87" s="383">
        <f t="shared" si="37"/>
        <v>14.562592668049664</v>
      </c>
      <c r="AA87" s="384">
        <f t="shared" si="38"/>
        <v>15.486706405727448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5.9671418406693599E-2</v>
      </c>
      <c r="AD87" s="230">
        <f>(INDEX(Models!$BJ87:$BT87,,AH87)*(1-AF87)+INDEX(Models!$BJ87:$BT87,,AH87+1)*AF87-ERP_i)*AE87*Ramure*Pc/MaxiM</f>
        <v>2.0312206863237892E-5</v>
      </c>
      <c r="AE87" s="304">
        <f t="shared" si="40"/>
        <v>0.6</v>
      </c>
      <c r="AF87" s="177">
        <f t="shared" si="41"/>
        <v>1.152586306158021E-2</v>
      </c>
      <c r="AG87" s="799">
        <f t="shared" si="49"/>
        <v>1</v>
      </c>
      <c r="AH87" s="176">
        <f t="shared" si="42"/>
        <v>7</v>
      </c>
      <c r="AI87" s="224">
        <f t="shared" si="43"/>
        <v>1.0115258630615802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45365</v>
      </c>
      <c r="B88" s="409">
        <f>IF(t&gt;Tmaj,'2023'!Wh/'2023'!Env_an*'2024'!Env_an,0.001*'[5]mon-tableau'!$B$256)</f>
        <v>13.57648310282689</v>
      </c>
      <c r="C88" s="829"/>
      <c r="D88" s="391">
        <f t="shared" si="25"/>
        <v>14.071597641896359</v>
      </c>
      <c r="E88" s="383">
        <f t="shared" si="47"/>
        <v>14.686792830081833</v>
      </c>
      <c r="F88" s="383">
        <f t="shared" si="26"/>
        <v>14.686792830081833</v>
      </c>
      <c r="G88" s="110">
        <f t="shared" si="48"/>
        <v>0.27892494989396055</v>
      </c>
      <c r="H88" s="412" t="b">
        <f>Wh_hp&gt;='2023'!Maxi_hp</f>
        <v>0</v>
      </c>
      <c r="I88" s="388">
        <f>IF(H88,Wh_hp,'2023'!Maxi_hp)</f>
        <v>34.209482776257786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3.5185382048967151E-2</v>
      </c>
      <c r="M88" s="832"/>
      <c r="N88" s="832"/>
      <c r="O88" s="48">
        <f>IF(t&lt;Tnet,'2023'!Resal+('2023'!Salim-'2023'!Resal)*(1-EXP(('2023'!Tnet-t)/('2023'!Tau_j))),Resal+(Salim-Resal)*(1-EXP((Tnet-t)/(Tau_j))))*Salcycl</f>
        <v>4.1887646629386481E-2</v>
      </c>
      <c r="P88" s="169">
        <f>(INDEX(Models!$BJ88:$BT88,,T88)*(1-R88)+INDEX(Models!$BJ88:$BT88,,T88+1)*R88-ERP_i)*Q88*Ramure*Pc/MaxiM</f>
        <v>1.9496155582905586E-5</v>
      </c>
      <c r="Q88" s="304">
        <f t="shared" si="28"/>
        <v>0.6</v>
      </c>
      <c r="R88" s="177">
        <f t="shared" si="29"/>
        <v>1.206086699321185E-2</v>
      </c>
      <c r="S88" s="799">
        <f t="shared" si="30"/>
        <v>1</v>
      </c>
      <c r="T88" s="176">
        <f t="shared" si="31"/>
        <v>7</v>
      </c>
      <c r="U88" s="250">
        <f t="shared" si="32"/>
        <v>1.0120608669932118</v>
      </c>
      <c r="V88" s="382">
        <f t="shared" si="33"/>
        <v>48.673374033987798</v>
      </c>
      <c r="W88" s="400">
        <f t="shared" si="34"/>
        <v>13.57648310282689</v>
      </c>
      <c r="X88" s="157">
        <f t="shared" si="35"/>
        <v>45365</v>
      </c>
      <c r="Y88" s="383">
        <f t="shared" si="36"/>
        <v>13.323538948015909</v>
      </c>
      <c r="Z88" s="383">
        <f t="shared" si="37"/>
        <v>13.809428982648475</v>
      </c>
      <c r="AA88" s="384">
        <f t="shared" si="38"/>
        <v>14.686792830081833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5.973828715254436E-2</v>
      </c>
      <c r="AD88" s="230">
        <f>(INDEX(Models!$BJ88:$BT88,,AH88)*(1-AF88)+INDEX(Models!$BJ88:$BT88,,AH88+1)*AF88-ERP_i)*AE88*Ramure*Pc/MaxiM</f>
        <v>1.9496155582905586E-5</v>
      </c>
      <c r="AE88" s="304">
        <f t="shared" si="40"/>
        <v>0.6</v>
      </c>
      <c r="AF88" s="177">
        <f t="shared" si="41"/>
        <v>1.206086699321185E-2</v>
      </c>
      <c r="AG88" s="799">
        <f t="shared" si="49"/>
        <v>1</v>
      </c>
      <c r="AH88" s="176">
        <f t="shared" si="42"/>
        <v>7</v>
      </c>
      <c r="AI88" s="224">
        <f t="shared" si="43"/>
        <v>1.0120608669932118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45366</v>
      </c>
      <c r="B89" s="409">
        <f>IF(t&gt;Tmaj,'2023'!Wh/'2023'!Env_an*'2024'!Env_an,0.001*'[5]mon-tableau'!$B$257)</f>
        <v>13.650033319288683</v>
      </c>
      <c r="C89" s="829"/>
      <c r="D89" s="391">
        <f t="shared" si="25"/>
        <v>14.148101272621433</v>
      </c>
      <c r="E89" s="383">
        <f t="shared" si="47"/>
        <v>14.767978607053395</v>
      </c>
      <c r="F89" s="383">
        <f t="shared" si="26"/>
        <v>14.767978607053395</v>
      </c>
      <c r="G89" s="110">
        <f t="shared" si="48"/>
        <v>0.2786783842421483</v>
      </c>
      <c r="H89" s="412" t="b">
        <f>Wh_hp&gt;='2023'!Maxi_hp</f>
        <v>0</v>
      </c>
      <c r="I89" s="388">
        <f>IF(H89,Wh_hp,'2023'!Maxi_hp)</f>
        <v>54.475764848808986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3.5203872501010536E-2</v>
      </c>
      <c r="M89" s="832"/>
      <c r="N89" s="832"/>
      <c r="O89" s="48">
        <f>IF(t&lt;Tnet,'2023'!Resal+('2023'!Salim-'2023'!Resal)*(1-EXP(('2023'!Tnet-t)/('2023'!Tau_j))),Resal+(Salim-Resal)*(1-EXP((Tnet-t)/(Tau_j))))*Salcycl</f>
        <v>4.1974419852958043E-2</v>
      </c>
      <c r="P89" s="169">
        <f>(INDEX(Models!$BJ89:$BT89,,T89)*(1-R89)+INDEX(Models!$BJ89:$BT89,,T89+1)*R89-ERP_i)*Q89*Ramure*Pc/MaxiM</f>
        <v>1.8672274091626647E-5</v>
      </c>
      <c r="Q89" s="304">
        <f t="shared" si="28"/>
        <v>0.6</v>
      </c>
      <c r="R89" s="177">
        <f t="shared" si="29"/>
        <v>1.2617068285983635E-2</v>
      </c>
      <c r="S89" s="799">
        <f t="shared" si="30"/>
        <v>1</v>
      </c>
      <c r="T89" s="176">
        <f t="shared" si="31"/>
        <v>7</v>
      </c>
      <c r="U89" s="250">
        <f t="shared" si="32"/>
        <v>1.0126170682859836</v>
      </c>
      <c r="V89" s="382">
        <f t="shared" si="33"/>
        <v>48.980398961494863</v>
      </c>
      <c r="W89" s="400">
        <f t="shared" si="34"/>
        <v>13.650033319288683</v>
      </c>
      <c r="X89" s="157">
        <f t="shared" si="35"/>
        <v>45366</v>
      </c>
      <c r="Y89" s="383">
        <f t="shared" si="36"/>
        <v>13.395977662871688</v>
      </c>
      <c r="Z89" s="383">
        <f t="shared" si="37"/>
        <v>13.884775530347182</v>
      </c>
      <c r="AA89" s="384">
        <f t="shared" si="38"/>
        <v>14.767978607053395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5.9805278718671868E-2</v>
      </c>
      <c r="AD89" s="230">
        <f>(INDEX(Models!$BJ89:$BT89,,AH89)*(1-AF89)+INDEX(Models!$BJ89:$BT89,,AH89+1)*AF89-ERP_i)*AE89*Ramure*Pc/MaxiM</f>
        <v>1.8672274091626647E-5</v>
      </c>
      <c r="AE89" s="304">
        <f t="shared" si="40"/>
        <v>0.6</v>
      </c>
      <c r="AF89" s="177">
        <f t="shared" si="41"/>
        <v>1.2617068285983635E-2</v>
      </c>
      <c r="AG89" s="799">
        <f t="shared" si="49"/>
        <v>1</v>
      </c>
      <c r="AH89" s="176">
        <f t="shared" si="42"/>
        <v>7</v>
      </c>
      <c r="AI89" s="224">
        <f t="shared" si="43"/>
        <v>1.0126170682859836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45367</v>
      </c>
      <c r="B90" s="409">
        <f>IF(t&gt;Tmaj,'2023'!Wh/'2023'!Env_an*'2024'!Env_an,0.001*'[5]mon-tableau'!$B$258)</f>
        <v>11.254299125229625</v>
      </c>
      <c r="C90" s="829"/>
      <c r="D90" s="391">
        <f t="shared" si="25"/>
        <v>11.665174117783017</v>
      </c>
      <c r="E90" s="383">
        <f t="shared" si="47"/>
        <v>12.177369521776674</v>
      </c>
      <c r="F90" s="383">
        <f t="shared" si="26"/>
        <v>12.177369521776674</v>
      </c>
      <c r="G90" s="110">
        <f t="shared" si="48"/>
        <v>0.22835533601750624</v>
      </c>
      <c r="H90" s="412" t="b">
        <f>Wh_hp&gt;='2023'!Maxi_hp</f>
        <v>0</v>
      </c>
      <c r="I90" s="388">
        <f>IF(H90,Wh_hp,'2023'!Maxi_hp)</f>
        <v>28.016167697203379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3.5222362598688717E-2</v>
      </c>
      <c r="M90" s="832"/>
      <c r="N90" s="832"/>
      <c r="O90" s="48">
        <f>IF(t&lt;Tnet,'2023'!Resal+('2023'!Salim-'2023'!Resal)*(1-EXP(('2023'!Tnet-t)/('2023'!Tau_j))),Resal+(Salim-Resal)*(1-EXP((Tnet-t)/(Tau_j))))*Salcycl</f>
        <v>4.2061251658472083E-2</v>
      </c>
      <c r="P90" s="169">
        <f>(INDEX(Models!$BJ90:$BT90,,T90)*(1-R90)+INDEX(Models!$BJ90:$BT90,,T90+1)*R90-ERP_i)*Q90*Ramure*Pc/MaxiM</f>
        <v>1.7840648568305946E-5</v>
      </c>
      <c r="Q90" s="304">
        <f t="shared" si="28"/>
        <v>0.6</v>
      </c>
      <c r="R90" s="177">
        <f t="shared" si="29"/>
        <v>1.3195254011747926E-2</v>
      </c>
      <c r="S90" s="799">
        <f t="shared" si="30"/>
        <v>1</v>
      </c>
      <c r="T90" s="176">
        <f t="shared" si="31"/>
        <v>7</v>
      </c>
      <c r="U90" s="250">
        <f t="shared" si="32"/>
        <v>1.0131952540117479</v>
      </c>
      <c r="V90" s="382">
        <f t="shared" si="33"/>
        <v>49.28327289173258</v>
      </c>
      <c r="W90" s="400">
        <f t="shared" si="34"/>
        <v>11.254299125229625</v>
      </c>
      <c r="X90" s="157">
        <f t="shared" si="35"/>
        <v>45367</v>
      </c>
      <c r="Y90" s="383">
        <f t="shared" si="36"/>
        <v>11.04504550190117</v>
      </c>
      <c r="Z90" s="383">
        <f t="shared" si="37"/>
        <v>11.448281006649044</v>
      </c>
      <c r="AA90" s="384">
        <f t="shared" si="38"/>
        <v>12.177369521776674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5.9872414467164514E-2</v>
      </c>
      <c r="AD90" s="230">
        <f>(INDEX(Models!$BJ90:$BT90,,AH90)*(1-AF90)+INDEX(Models!$BJ90:$BT90,,AH90+1)*AF90-ERP_i)*AE90*Ramure*Pc/MaxiM</f>
        <v>1.7840648568305946E-5</v>
      </c>
      <c r="AE90" s="304">
        <f t="shared" si="40"/>
        <v>0.6</v>
      </c>
      <c r="AF90" s="177">
        <f t="shared" si="41"/>
        <v>1.3195254011747926E-2</v>
      </c>
      <c r="AG90" s="799">
        <f t="shared" si="49"/>
        <v>1</v>
      </c>
      <c r="AH90" s="176">
        <f t="shared" si="42"/>
        <v>7</v>
      </c>
      <c r="AI90" s="224">
        <f t="shared" si="43"/>
        <v>1.0131952540117479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45368</v>
      </c>
      <c r="B91" s="409">
        <f>IF(t&gt;Tmaj,'2023'!Wh/'2023'!Env_an*'2024'!Env_an,0.001*'[5]mon-tableau'!$B$259)</f>
        <v>14.105546450927815</v>
      </c>
      <c r="C91" s="829"/>
      <c r="D91" s="391">
        <f t="shared" si="25"/>
        <v>14.620795755261653</v>
      </c>
      <c r="E91" s="383">
        <f t="shared" si="47"/>
        <v>15.264151629732334</v>
      </c>
      <c r="F91" s="383">
        <f t="shared" si="26"/>
        <v>15.264151629732334</v>
      </c>
      <c r="G91" s="110">
        <f t="shared" si="48"/>
        <v>0.2844872987589987</v>
      </c>
      <c r="H91" s="412" t="b">
        <f>Wh_hp&gt;='2023'!Maxi_hp</f>
        <v>0</v>
      </c>
      <c r="I91" s="388">
        <f>IF(H91,Wh_hp,'2023'!Maxi_hp)</f>
        <v>36.161356704838056</v>
      </c>
      <c r="J91" s="85">
        <f>IF(H91,An,'2023'!An_max)</f>
        <v>2018</v>
      </c>
      <c r="K91" s="197">
        <f t="shared" si="27"/>
        <v>45368</v>
      </c>
      <c r="L91" s="147">
        <f>IF(t&lt;Tvie,1-EXP((T0-t)*PertePVj)+'2023'!Pspv,1-EXP((T0-t)*PertePVj)+Pspv)</f>
        <v>3.5240852342008355E-2</v>
      </c>
      <c r="M91" s="832"/>
      <c r="N91" s="832"/>
      <c r="O91" s="48">
        <f>IF(t&lt;Tnet,'2023'!Resal+('2023'!Salim-'2023'!Resal)*(1-EXP(('2023'!Tnet-t)/('2023'!Tau_j))),Resal+(Salim-Resal)*(1-EXP((Tnet-t)/(Tau_j))))*Salcycl</f>
        <v>4.2148157989830036E-2</v>
      </c>
      <c r="P91" s="169">
        <f>(INDEX(Models!$BJ91:$BT91,,T91)*(1-R91)+INDEX(Models!$BJ91:$BT91,,T91+1)*R91-ERP_i)*Q91*Ramure*Pc/MaxiM</f>
        <v>1.7001301838888812E-5</v>
      </c>
      <c r="Q91" s="304">
        <f t="shared" si="28"/>
        <v>0.6</v>
      </c>
      <c r="R91" s="177">
        <f t="shared" si="29"/>
        <v>1.3796236090373393E-2</v>
      </c>
      <c r="S91" s="799">
        <f t="shared" si="30"/>
        <v>1</v>
      </c>
      <c r="T91" s="176">
        <f t="shared" si="31"/>
        <v>7</v>
      </c>
      <c r="U91" s="250">
        <f t="shared" si="32"/>
        <v>1.0137962360903734</v>
      </c>
      <c r="V91" s="382">
        <f t="shared" si="33"/>
        <v>49.581498716482969</v>
      </c>
      <c r="W91" s="400">
        <f t="shared" si="34"/>
        <v>14.105546450927815</v>
      </c>
      <c r="X91" s="157">
        <f t="shared" si="35"/>
        <v>45368</v>
      </c>
      <c r="Y91" s="383">
        <f t="shared" si="36"/>
        <v>13.84354387119879</v>
      </c>
      <c r="Z91" s="383">
        <f t="shared" si="37"/>
        <v>14.349222709942465</v>
      </c>
      <c r="AA91" s="384">
        <f t="shared" si="38"/>
        <v>15.264151629732334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5.9939716401121335E-2</v>
      </c>
      <c r="AD91" s="230">
        <f>(INDEX(Models!$BJ91:$BT91,,AH91)*(1-AF91)+INDEX(Models!$BJ91:$BT91,,AH91+1)*AF91-ERP_i)*AE91*Ramure*Pc/MaxiM</f>
        <v>1.7001301838888812E-5</v>
      </c>
      <c r="AE91" s="304">
        <f t="shared" si="40"/>
        <v>0.6</v>
      </c>
      <c r="AF91" s="177">
        <f t="shared" si="41"/>
        <v>1.3796236090373393E-2</v>
      </c>
      <c r="AG91" s="799">
        <f t="shared" si="49"/>
        <v>1</v>
      </c>
      <c r="AH91" s="176">
        <f t="shared" si="42"/>
        <v>7</v>
      </c>
      <c r="AI91" s="224">
        <f t="shared" si="43"/>
        <v>1.0137962360903734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45369</v>
      </c>
      <c r="B92" s="409">
        <f>IF(t&gt;Tmaj,'2023'!Wh/'2023'!Env_an*'2024'!Env_an,0.001*'[5]mon-tableau'!$B$260)</f>
        <v>28.346532170728985</v>
      </c>
      <c r="C92" s="829"/>
      <c r="D92" s="391">
        <f t="shared" si="25"/>
        <v>29.382541232987389</v>
      </c>
      <c r="E92" s="383">
        <f t="shared" si="47"/>
        <v>30.67824152658584</v>
      </c>
      <c r="F92" s="383">
        <f t="shared" si="26"/>
        <v>30.67843151721231</v>
      </c>
      <c r="G92" s="110">
        <f t="shared" si="48"/>
        <v>0.56835065243907301</v>
      </c>
      <c r="H92" s="412" t="b">
        <f>Wh_hp&gt;='2023'!Maxi_hp</f>
        <v>0</v>
      </c>
      <c r="I92" s="388">
        <f>IF(H92,Wh_hp,'2023'!Maxi_hp)</f>
        <v>48.151919129153704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3.5259341730976335E-2</v>
      </c>
      <c r="M92" s="832"/>
      <c r="N92" s="832"/>
      <c r="O92" s="48">
        <f>IF(t&lt;Tnet,'2023'!Resal+('2023'!Salim-'2023'!Resal)*(1-EXP(('2023'!Tnet-t)/('2023'!Tau_j))),Resal+(Salim-Resal)*(1-EXP((Tnet-t)/(Tau_j))))*Salcycl</f>
        <v>4.2235155247591145E-2</v>
      </c>
      <c r="P92" s="169">
        <f>(INDEX(Models!$BJ92:$BT92,,T92)*(1-R92)+INDEX(Models!$BJ92:$BT92,,T92+1)*R92-ERP_i)*Q92*Ramure*Pc/MaxiM</f>
        <v>1.615419216986227E-5</v>
      </c>
      <c r="Q92" s="304">
        <f t="shared" si="28"/>
        <v>0.6</v>
      </c>
      <c r="R92" s="177">
        <f t="shared" si="29"/>
        <v>1.4420851704579851E-2</v>
      </c>
      <c r="S92" s="799">
        <f t="shared" si="30"/>
        <v>1</v>
      </c>
      <c r="T92" s="176">
        <f t="shared" si="31"/>
        <v>7</v>
      </c>
      <c r="U92" s="250">
        <f t="shared" si="32"/>
        <v>1.0144208517045799</v>
      </c>
      <c r="V92" s="382">
        <f t="shared" si="33"/>
        <v>49.874579506941231</v>
      </c>
      <c r="W92" s="400">
        <f t="shared" si="34"/>
        <v>28.346532170728985</v>
      </c>
      <c r="X92" s="157">
        <f t="shared" si="35"/>
        <v>45369</v>
      </c>
      <c r="Y92" s="383">
        <f t="shared" si="36"/>
        <v>27.82054080429306</v>
      </c>
      <c r="Z92" s="383">
        <f t="shared" si="37"/>
        <v>28.837325934007787</v>
      </c>
      <c r="AA92" s="384">
        <f t="shared" si="38"/>
        <v>30.67824152658584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6.0007207094406365E-2</v>
      </c>
      <c r="AD92" s="230">
        <f>(INDEX(Models!$BJ92:$BT92,,AH92)*(1-AF92)+INDEX(Models!$BJ92:$BT92,,AH92+1)*AF92-ERP_i)*AE92*Ramure*Pc/MaxiM</f>
        <v>1.615419216986227E-5</v>
      </c>
      <c r="AE92" s="304">
        <f t="shared" si="40"/>
        <v>0.6</v>
      </c>
      <c r="AF92" s="177">
        <f t="shared" si="41"/>
        <v>1.4420851704579851E-2</v>
      </c>
      <c r="AG92" s="799">
        <f t="shared" si="49"/>
        <v>1</v>
      </c>
      <c r="AH92" s="176">
        <f t="shared" si="42"/>
        <v>7</v>
      </c>
      <c r="AI92" s="224">
        <f t="shared" si="43"/>
        <v>1.0144208517045799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45370</v>
      </c>
      <c r="B93" s="409">
        <f>IF(t&gt;Tmaj,'2023'!Wh/'2023'!Env_an*'2024'!Env_an,0.001*'[5]mon-tableau'!$B$261)</f>
        <v>31.367189898756308</v>
      </c>
      <c r="C93" s="829"/>
      <c r="D93" s="391">
        <f t="shared" si="25"/>
        <v>32.51422108776579</v>
      </c>
      <c r="E93" s="383">
        <f t="shared" si="47"/>
        <v>33.951108747624872</v>
      </c>
      <c r="F93" s="383">
        <f t="shared" si="26"/>
        <v>33.951350107973383</v>
      </c>
      <c r="G93" s="110">
        <f t="shared" si="48"/>
        <v>0.62527810429932296</v>
      </c>
      <c r="H93" s="412" t="b">
        <f>Wh_hp&gt;='2023'!Maxi_hp</f>
        <v>0</v>
      </c>
      <c r="I93" s="388">
        <f>IF(H93,Wh_hp,'2023'!Maxi_hp)</f>
        <v>53.213779784597463</v>
      </c>
      <c r="J93" s="85">
        <f>IF(H93,An,'2023'!An_max)</f>
        <v>2018</v>
      </c>
      <c r="K93" s="197">
        <f t="shared" si="27"/>
        <v>45370</v>
      </c>
      <c r="L93" s="147">
        <f>IF(t&lt;Tvie,1-EXP((T0-t)*PertePVj)+'2023'!Pspv,1-EXP((T0-t)*PertePVj)+Pspv)</f>
        <v>3.5277830765599316E-2</v>
      </c>
      <c r="M93" s="832"/>
      <c r="N93" s="832"/>
      <c r="O93" s="48">
        <f>IF(t&lt;Tnet,'2023'!Resal+('2023'!Salim-'2023'!Resal)*(1-EXP(('2023'!Tnet-t)/('2023'!Tau_j))),Resal+(Salim-Resal)*(1-EXP((Tnet-t)/(Tau_j))))*Salcycl</f>
        <v>4.232226024016382E-2</v>
      </c>
      <c r="P93" s="169">
        <f>(INDEX(Models!$BJ93:$BT93,,T93)*(1-R93)+INDEX(Models!$BJ93:$BT93,,T93+1)*R93-ERP_i)*Q93*Ramure*Pc/MaxiM</f>
        <v>1.5298373088800622E-5</v>
      </c>
      <c r="Q93" s="304">
        <f t="shared" si="28"/>
        <v>0.6</v>
      </c>
      <c r="R93" s="177">
        <f t="shared" si="29"/>
        <v>1.5069963687201371E-2</v>
      </c>
      <c r="S93" s="799">
        <f t="shared" si="30"/>
        <v>1</v>
      </c>
      <c r="T93" s="176">
        <f t="shared" si="31"/>
        <v>7</v>
      </c>
      <c r="U93" s="250">
        <f t="shared" si="32"/>
        <v>1.0150699636872014</v>
      </c>
      <c r="V93" s="382">
        <f t="shared" si="33"/>
        <v>50.164771169532557</v>
      </c>
      <c r="W93" s="400">
        <f t="shared" si="34"/>
        <v>31.367189898756308</v>
      </c>
      <c r="X93" s="157">
        <f t="shared" si="35"/>
        <v>45370</v>
      </c>
      <c r="Y93" s="383">
        <f t="shared" si="36"/>
        <v>30.785730498380158</v>
      </c>
      <c r="Z93" s="383">
        <f t="shared" si="37"/>
        <v>31.91149895810063</v>
      </c>
      <c r="AA93" s="384">
        <f t="shared" si="38"/>
        <v>33.951108747624872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6.0074909620350156E-2</v>
      </c>
      <c r="AD93" s="230">
        <f>(INDEX(Models!$BJ93:$BT93,,AH93)*(1-AF93)+INDEX(Models!$BJ93:$BT93,,AH93+1)*AF93-ERP_i)*AE93*Ramure*Pc/MaxiM</f>
        <v>1.5298373088800622E-5</v>
      </c>
      <c r="AE93" s="304">
        <f t="shared" si="40"/>
        <v>0.6</v>
      </c>
      <c r="AF93" s="177">
        <f t="shared" si="41"/>
        <v>1.5069963687201371E-2</v>
      </c>
      <c r="AG93" s="799">
        <f t="shared" si="49"/>
        <v>1</v>
      </c>
      <c r="AH93" s="176">
        <f t="shared" si="42"/>
        <v>7</v>
      </c>
      <c r="AI93" s="224">
        <f t="shared" si="43"/>
        <v>1.0150699636872014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45371</v>
      </c>
      <c r="B94" s="409">
        <f>IF(t&gt;Tmaj,'2023'!Wh/'2023'!Env_an*'2024'!Env_an,0.001*'[5]mon-tableau'!$B$262)</f>
        <v>45.948074072065232</v>
      </c>
      <c r="C94" s="829"/>
      <c r="D94" s="391">
        <f t="shared" si="25"/>
        <v>47.629209878906167</v>
      </c>
      <c r="E94" s="383">
        <f t="shared" si="47"/>
        <v>49.738598480458855</v>
      </c>
      <c r="F94" s="383">
        <f t="shared" si="26"/>
        <v>49.739225479555053</v>
      </c>
      <c r="G94" s="110">
        <f t="shared" si="48"/>
        <v>0.91068719363859274</v>
      </c>
      <c r="H94" s="412" t="b">
        <f>Wh_hp&gt;='2023'!Maxi_hp</f>
        <v>0</v>
      </c>
      <c r="I94" s="388">
        <f>IF(H94,Wh_hp,'2023'!Maxi_hp)</f>
        <v>53.458089214511951</v>
      </c>
      <c r="J94" s="85">
        <f>IF(H94,An,'2023'!An_max)</f>
        <v>2020</v>
      </c>
      <c r="K94" s="197">
        <f t="shared" si="27"/>
        <v>45371</v>
      </c>
      <c r="L94" s="147">
        <f>IF(t&lt;Tvie,1-EXP((T0-t)*PertePVj)+'2023'!Pspv,1-EXP((T0-t)*PertePVj)+Pspv)</f>
        <v>3.5296319445884183E-2</v>
      </c>
      <c r="M94" s="832"/>
      <c r="N94" s="832"/>
      <c r="O94" s="48">
        <f>IF(t&lt;Tnet,'2023'!Resal+('2023'!Salim-'2023'!Resal)*(1-EXP(('2023'!Tnet-t)/('2023'!Tau_j))),Resal+(Salim-Resal)*(1-EXP((Tnet-t)/(Tau_j))))*Salcycl</f>
        <v>4.2409490134335349E-2</v>
      </c>
      <c r="P94" s="169">
        <f>(INDEX(Models!$BJ94:$BT94,,T94)*(1-R94)+INDEX(Models!$BJ94:$BT94,,T94+1)*R94-ERP_i)*Q94*Ramure*Pc/MaxiM</f>
        <v>1.4449270777806766E-5</v>
      </c>
      <c r="Q94" s="304">
        <f t="shared" si="28"/>
        <v>0.6</v>
      </c>
      <c r="R94" s="177">
        <f t="shared" si="29"/>
        <v>1.5744460876901734E-2</v>
      </c>
      <c r="S94" s="799">
        <f t="shared" si="30"/>
        <v>1</v>
      </c>
      <c r="T94" s="176">
        <f t="shared" si="31"/>
        <v>7</v>
      </c>
      <c r="U94" s="250">
        <f t="shared" si="32"/>
        <v>1.0157444608769017</v>
      </c>
      <c r="V94" s="382">
        <f t="shared" si="33"/>
        <v>50.454195122836651</v>
      </c>
      <c r="W94" s="400">
        <f t="shared" si="34"/>
        <v>45.948074072065232</v>
      </c>
      <c r="X94" s="157">
        <f t="shared" si="35"/>
        <v>45371</v>
      </c>
      <c r="Y94" s="383">
        <f t="shared" si="36"/>
        <v>45.097174226601972</v>
      </c>
      <c r="Z94" s="383">
        <f t="shared" si="37"/>
        <v>46.747177538183145</v>
      </c>
      <c r="AA94" s="384">
        <f t="shared" si="38"/>
        <v>49.738598480458855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6.0142847479929873E-2</v>
      </c>
      <c r="AD94" s="230">
        <f>(INDEX(Models!$BJ94:$BT94,,AH94)*(1-AF94)+INDEX(Models!$BJ94:$BT94,,AH94+1)*AF94-ERP_i)*AE94*Ramure*Pc/MaxiM</f>
        <v>1.4449270777806766E-5</v>
      </c>
      <c r="AE94" s="304">
        <f t="shared" si="40"/>
        <v>0.6</v>
      </c>
      <c r="AF94" s="177">
        <f t="shared" si="41"/>
        <v>1.5744460876901734E-2</v>
      </c>
      <c r="AG94" s="799">
        <f t="shared" si="49"/>
        <v>1</v>
      </c>
      <c r="AH94" s="176">
        <f t="shared" si="42"/>
        <v>7</v>
      </c>
      <c r="AI94" s="224">
        <f t="shared" si="43"/>
        <v>1.0157444608769017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45372</v>
      </c>
      <c r="B95" s="409">
        <f>IF(t&gt;Tmaj,'2023'!Wh/'2023'!Env_an*'2024'!Env_an,0.001*'[5]mon-tableau'!$B$263)</f>
        <v>43.253810945770319</v>
      </c>
      <c r="C95" s="829"/>
      <c r="D95" s="391">
        <f t="shared" si="25"/>
        <v>44.837229071450444</v>
      </c>
      <c r="E95" s="383">
        <f t="shared" si="47"/>
        <v>46.827239839749289</v>
      </c>
      <c r="F95" s="383">
        <f t="shared" si="26"/>
        <v>46.827744284642115</v>
      </c>
      <c r="G95" s="110">
        <f t="shared" si="48"/>
        <v>0.85242120621517448</v>
      </c>
      <c r="H95" s="412" t="b">
        <f>Wh_hp&gt;='2023'!Maxi_hp</f>
        <v>0</v>
      </c>
      <c r="I95" s="388">
        <f>IF(H95,Wh_hp,'2023'!Maxi_hp)</f>
        <v>53.132913238257949</v>
      </c>
      <c r="J95" s="85">
        <f>IF(H95,An,'2023'!An_max)</f>
        <v>2020</v>
      </c>
      <c r="K95" s="197">
        <f t="shared" si="27"/>
        <v>45372</v>
      </c>
      <c r="L95" s="147">
        <f>IF(t&lt;Tvie,1-EXP((T0-t)*PertePVj)+'2023'!Pspv,1-EXP((T0-t)*PertePVj)+Pspv)</f>
        <v>3.5314807771837708E-2</v>
      </c>
      <c r="M95" s="832"/>
      <c r="N95" s="832"/>
      <c r="O95" s="48">
        <f>IF(t&lt;Tnet,'2023'!Resal+('2023'!Salim-'2023'!Resal)*(1-EXP(('2023'!Tnet-t)/('2023'!Tau_j))),Resal+(Salim-Resal)*(1-EXP((Tnet-t)/(Tau_j))))*Salcycl</f>
        <v>4.2496862405492969E-2</v>
      </c>
      <c r="P95" s="169">
        <f>(INDEX(Models!$BJ95:$BT95,,T95)*(1-R95)+INDEX(Models!$BJ95:$BT95,,T95+1)*R95-ERP_i)*Q95*Ramure*Pc/MaxiM</f>
        <v>1.36501134516627E-5</v>
      </c>
      <c r="Q95" s="304">
        <f t="shared" si="28"/>
        <v>0.6</v>
      </c>
      <c r="R95" s="177">
        <f t="shared" si="29"/>
        <v>1.6445258438076316E-2</v>
      </c>
      <c r="S95" s="799">
        <f t="shared" si="30"/>
        <v>1</v>
      </c>
      <c r="T95" s="176">
        <f t="shared" si="31"/>
        <v>7</v>
      </c>
      <c r="U95" s="250">
        <f t="shared" si="32"/>
        <v>1.0164452584380763</v>
      </c>
      <c r="V95" s="382">
        <f t="shared" si="33"/>
        <v>50.742152066208945</v>
      </c>
      <c r="W95" s="400">
        <f t="shared" si="34"/>
        <v>43.253810945770319</v>
      </c>
      <c r="X95" s="157">
        <f t="shared" si="35"/>
        <v>45372</v>
      </c>
      <c r="Y95" s="383">
        <f t="shared" si="36"/>
        <v>42.45359854480197</v>
      </c>
      <c r="Z95" s="383">
        <f t="shared" si="37"/>
        <v>44.007722816544558</v>
      </c>
      <c r="AA95" s="384">
        <f t="shared" si="38"/>
        <v>46.827239839749289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6.0211044529927343E-2</v>
      </c>
      <c r="AD95" s="230">
        <f>(INDEX(Models!$BJ95:$BT95,,AH95)*(1-AF95)+INDEX(Models!$BJ95:$BT95,,AH95+1)*AF95-ERP_i)*AE95*Ramure*Pc/MaxiM</f>
        <v>1.36501134516627E-5</v>
      </c>
      <c r="AE95" s="304">
        <f t="shared" si="40"/>
        <v>0.6</v>
      </c>
      <c r="AF95" s="177">
        <f t="shared" si="41"/>
        <v>1.6445258438076316E-2</v>
      </c>
      <c r="AG95" s="799">
        <f t="shared" si="49"/>
        <v>1</v>
      </c>
      <c r="AH95" s="176">
        <f t="shared" si="42"/>
        <v>7</v>
      </c>
      <c r="AI95" s="224">
        <f t="shared" si="43"/>
        <v>1.0164452584380763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45373</v>
      </c>
      <c r="B96" s="409">
        <f>IF(t&gt;Tmaj,'2023'!Wh/'2023'!Env_an*'2024'!Env_an,0.001*'[5]mon-tableau'!$B$264)</f>
        <v>49.186763308008942</v>
      </c>
      <c r="C96" s="829"/>
      <c r="D96" s="391">
        <f t="shared" si="25"/>
        <v>50.988349749167597</v>
      </c>
      <c r="E96" s="383">
        <f t="shared" si="47"/>
        <v>53.256234253535212</v>
      </c>
      <c r="F96" s="383">
        <f t="shared" si="26"/>
        <v>53.256885861948525</v>
      </c>
      <c r="G96" s="110">
        <f t="shared" si="48"/>
        <v>0.96391752484075666</v>
      </c>
      <c r="H96" s="412" t="b">
        <f>Wh_hp&gt;='2023'!Maxi_hp</f>
        <v>0</v>
      </c>
      <c r="I96" s="388">
        <f>IF(H96,Wh_hp,'2023'!Maxi_hp)</f>
        <v>53.726378247452473</v>
      </c>
      <c r="J96" s="85">
        <f>IF(H96,An,'2023'!An_max)</f>
        <v>2021</v>
      </c>
      <c r="K96" s="197">
        <f t="shared" si="27"/>
        <v>45373</v>
      </c>
      <c r="L96" s="147">
        <f>IF(t&lt;Tvie,1-EXP((T0-t)*PertePVj)+'2023'!Pspv,1-EXP((T0-t)*PertePVj)+Pspv)</f>
        <v>3.5333295743466664E-2</v>
      </c>
      <c r="M96" s="832"/>
      <c r="N96" s="832"/>
      <c r="O96" s="48">
        <f>IF(t&lt;Tnet,'2023'!Resal+('2023'!Salim-'2023'!Resal)*(1-EXP(('2023'!Tnet-t)/('2023'!Tau_j))),Resal+(Salim-Resal)*(1-EXP((Tnet-t)/(Tau_j))))*Salcycl</f>
        <v>4.2584394787866055E-2</v>
      </c>
      <c r="P96" s="169">
        <f>(INDEX(Models!$BJ96:$BT96,,T96)*(1-R96)+INDEX(Models!$BJ96:$BT96,,T96+1)*R96-ERP_i)*Q96*Ramure*Pc/MaxiM</f>
        <v>1.290013940203048E-5</v>
      </c>
      <c r="Q96" s="304">
        <f t="shared" si="28"/>
        <v>0.6</v>
      </c>
      <c r="R96" s="177">
        <f t="shared" si="29"/>
        <v>1.7173298140370941E-2</v>
      </c>
      <c r="S96" s="799">
        <f t="shared" si="30"/>
        <v>1</v>
      </c>
      <c r="T96" s="176">
        <f t="shared" si="31"/>
        <v>7</v>
      </c>
      <c r="U96" s="250">
        <f t="shared" si="32"/>
        <v>1.0171732981403709</v>
      </c>
      <c r="V96" s="382">
        <f t="shared" si="33"/>
        <v>51.02794516501725</v>
      </c>
      <c r="W96" s="400">
        <f t="shared" si="34"/>
        <v>49.186763308008942</v>
      </c>
      <c r="X96" s="157">
        <f t="shared" si="35"/>
        <v>45373</v>
      </c>
      <c r="Y96" s="383">
        <f t="shared" si="36"/>
        <v>48.277684562729789</v>
      </c>
      <c r="Z96" s="383">
        <f t="shared" si="37"/>
        <v>50.045973754155121</v>
      </c>
      <c r="AA96" s="384">
        <f t="shared" si="38"/>
        <v>53.256234253535212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6.0279524911526952E-2</v>
      </c>
      <c r="AD96" s="230">
        <f>(INDEX(Models!$BJ96:$BT96,,AH96)*(1-AF96)+INDEX(Models!$BJ96:$BT96,,AH96+1)*AF96-ERP_i)*AE96*Ramure*Pc/MaxiM</f>
        <v>1.290013940203048E-5</v>
      </c>
      <c r="AE96" s="304">
        <f t="shared" si="40"/>
        <v>0.6</v>
      </c>
      <c r="AF96" s="177">
        <f t="shared" si="41"/>
        <v>1.7173298140370941E-2</v>
      </c>
      <c r="AG96" s="799">
        <f t="shared" si="49"/>
        <v>1</v>
      </c>
      <c r="AH96" s="176">
        <f t="shared" si="42"/>
        <v>7</v>
      </c>
      <c r="AI96" s="224">
        <f t="shared" si="43"/>
        <v>1.0171732981403709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45374</v>
      </c>
      <c r="B97" s="409">
        <f>IF(t&gt;Tmaj,'2023'!Wh/'2023'!Env_an*'2024'!Env_an,0.001*'[5]mon-tableau'!$B$265)</f>
        <v>48.536618830762386</v>
      </c>
      <c r="C97" s="829"/>
      <c r="D97" s="391">
        <f t="shared" si="25"/>
        <v>50.315356410299628</v>
      </c>
      <c r="E97" s="383">
        <f t="shared" si="47"/>
        <v>52.55812212818681</v>
      </c>
      <c r="F97" s="383">
        <f t="shared" si="26"/>
        <v>52.558713748448476</v>
      </c>
      <c r="G97" s="110">
        <f t="shared" si="48"/>
        <v>0.94593145003359258</v>
      </c>
      <c r="H97" s="412" t="b">
        <f>Wh_hp&gt;='2023'!Maxi_hp</f>
        <v>0</v>
      </c>
      <c r="I97" s="388">
        <f>IF(H97,Wh_hp,'2023'!Maxi_hp)</f>
        <v>52.931336323355495</v>
      </c>
      <c r="J97" s="85">
        <f>IF(H97,An,'2023'!An_max)</f>
        <v>2018</v>
      </c>
      <c r="K97" s="197">
        <f t="shared" si="27"/>
        <v>45374</v>
      </c>
      <c r="L97" s="147">
        <f>IF(t&lt;Tvie,1-EXP((T0-t)*PertePVj)+'2023'!Pspv,1-EXP((T0-t)*PertePVj)+Pspv)</f>
        <v>3.5351783360777933E-2</v>
      </c>
      <c r="M97" s="832"/>
      <c r="N97" s="832"/>
      <c r="O97" s="48">
        <f>IF(t&lt;Tnet,'2023'!Resal+('2023'!Salim-'2023'!Resal)*(1-EXP(('2023'!Tnet-t)/('2023'!Tau_j))),Resal+(Salim-Resal)*(1-EXP((Tnet-t)/(Tau_j))))*Salcycl</f>
        <v>4.267210522509126E-2</v>
      </c>
      <c r="P97" s="169">
        <f>(INDEX(Models!$BJ97:$BT97,,T97)*(1-R97)+INDEX(Models!$BJ97:$BT97,,T97+1)*R97-ERP_i)*Q97*Ramure*Pc/MaxiM</f>
        <v>1.2198581188099145E-5</v>
      </c>
      <c r="Q97" s="304">
        <f t="shared" si="28"/>
        <v>0.6</v>
      </c>
      <c r="R97" s="177">
        <f t="shared" si="29"/>
        <v>1.7929548592930722E-2</v>
      </c>
      <c r="S97" s="799">
        <f t="shared" si="30"/>
        <v>1</v>
      </c>
      <c r="T97" s="176">
        <f t="shared" si="31"/>
        <v>7</v>
      </c>
      <c r="U97" s="250">
        <f t="shared" si="32"/>
        <v>1.0179295485929307</v>
      </c>
      <c r="V97" s="382">
        <f t="shared" si="33"/>
        <v>51.310877861938899</v>
      </c>
      <c r="W97" s="400">
        <f t="shared" si="34"/>
        <v>48.536618830762386</v>
      </c>
      <c r="X97" s="157">
        <f t="shared" si="35"/>
        <v>45374</v>
      </c>
      <c r="Y97" s="383">
        <f t="shared" si="36"/>
        <v>47.640433351529005</v>
      </c>
      <c r="Z97" s="383">
        <f t="shared" si="37"/>
        <v>49.386328124365882</v>
      </c>
      <c r="AA97" s="384">
        <f t="shared" si="38"/>
        <v>52.55812212818681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6.0348312979772473E-2</v>
      </c>
      <c r="AD97" s="230">
        <f>(INDEX(Models!$BJ97:$BT97,,AH97)*(1-AF97)+INDEX(Models!$BJ97:$BT97,,AH97+1)*AF97-ERP_i)*AE97*Ramure*Pc/MaxiM</f>
        <v>1.2198581188099145E-5</v>
      </c>
      <c r="AE97" s="304">
        <f t="shared" si="40"/>
        <v>0.6</v>
      </c>
      <c r="AF97" s="177">
        <f t="shared" si="41"/>
        <v>1.7929548592930722E-2</v>
      </c>
      <c r="AG97" s="799">
        <f t="shared" si="49"/>
        <v>1</v>
      </c>
      <c r="AH97" s="176">
        <f t="shared" si="42"/>
        <v>7</v>
      </c>
      <c r="AI97" s="224">
        <f t="shared" si="43"/>
        <v>1.0179295485929307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45375</v>
      </c>
      <c r="B98" s="409">
        <f>IF(t&gt;Tmaj,'2023'!Wh/'2023'!Env_an*'2024'!Env_an,0.001*'[5]mon-tableau'!$B$266)</f>
        <v>40.746842818155272</v>
      </c>
      <c r="C98" s="829"/>
      <c r="D98" s="391">
        <f t="shared" si="25"/>
        <v>42.240915428248549</v>
      </c>
      <c r="E98" s="383">
        <f t="shared" si="47"/>
        <v>44.127821601583612</v>
      </c>
      <c r="F98" s="383">
        <f t="shared" si="26"/>
        <v>44.1281780799793</v>
      </c>
      <c r="G98" s="110">
        <f t="shared" si="48"/>
        <v>0.78981393783544329</v>
      </c>
      <c r="H98" s="412" t="b">
        <f>Wh_hp&gt;='2023'!Maxi_hp</f>
        <v>0</v>
      </c>
      <c r="I98" s="388">
        <f>IF(H98,Wh_hp,'2023'!Maxi_hp)</f>
        <v>46.534768311108202</v>
      </c>
      <c r="J98" s="85">
        <f>IF(H98,An,'2023'!An_max)</f>
        <v>2020</v>
      </c>
      <c r="K98" s="197">
        <f t="shared" si="27"/>
        <v>45375</v>
      </c>
      <c r="L98" s="147">
        <f>IF(t&lt;Tvie,1-EXP((T0-t)*PertePVj)+'2023'!Pspv,1-EXP((T0-t)*PertePVj)+Pspv)</f>
        <v>3.5370270623778177E-2</v>
      </c>
      <c r="M98" s="832"/>
      <c r="N98" s="832"/>
      <c r="O98" s="48">
        <f>IF(t&lt;Tnet,'2023'!Resal+('2023'!Salim-'2023'!Resal)*(1-EXP(('2023'!Tnet-t)/('2023'!Tau_j))),Resal+(Salim-Resal)*(1-EXP((Tnet-t)/(Tau_j))))*Salcycl</f>
        <v>4.2760011821370902E-2</v>
      </c>
      <c r="P98" s="169">
        <f>(INDEX(Models!$BJ98:$BT98,,T98)*(1-R98)+INDEX(Models!$BJ98:$BT98,,T98+1)*R98-ERP_i)*Q98*Ramure*Pc/MaxiM</f>
        <v>1.1544674459727546E-5</v>
      </c>
      <c r="Q98" s="304">
        <f t="shared" si="28"/>
        <v>0.6</v>
      </c>
      <c r="R98" s="177">
        <f t="shared" si="29"/>
        <v>1.8715005428177944E-2</v>
      </c>
      <c r="S98" s="799">
        <f t="shared" si="30"/>
        <v>1</v>
      </c>
      <c r="T98" s="176">
        <f t="shared" si="31"/>
        <v>7</v>
      </c>
      <c r="U98" s="250">
        <f t="shared" si="32"/>
        <v>1.0187150054281779</v>
      </c>
      <c r="V98" s="382">
        <f t="shared" si="33"/>
        <v>51.590253880271213</v>
      </c>
      <c r="W98" s="400">
        <f t="shared" si="34"/>
        <v>40.746842818155272</v>
      </c>
      <c r="X98" s="157">
        <f t="shared" si="35"/>
        <v>45375</v>
      </c>
      <c r="Y98" s="383">
        <f t="shared" si="36"/>
        <v>39.995219208851495</v>
      </c>
      <c r="Z98" s="383">
        <f t="shared" si="37"/>
        <v>41.461731886196809</v>
      </c>
      <c r="AA98" s="384">
        <f t="shared" si="38"/>
        <v>44.127821601583612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6.0417433234255268E-2</v>
      </c>
      <c r="AD98" s="230">
        <f>(INDEX(Models!$BJ98:$BT98,,AH98)*(1-AF98)+INDEX(Models!$BJ98:$BT98,,AH98+1)*AF98-ERP_i)*AE98*Ramure*Pc/MaxiM</f>
        <v>1.1544674459727546E-5</v>
      </c>
      <c r="AE98" s="304">
        <f t="shared" si="40"/>
        <v>0.6</v>
      </c>
      <c r="AF98" s="177">
        <f t="shared" si="41"/>
        <v>1.8715005428177944E-2</v>
      </c>
      <c r="AG98" s="799">
        <f t="shared" si="49"/>
        <v>1</v>
      </c>
      <c r="AH98" s="176">
        <f t="shared" si="42"/>
        <v>7</v>
      </c>
      <c r="AI98" s="224">
        <f t="shared" si="43"/>
        <v>1.0187150054281779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45376</v>
      </c>
      <c r="B99" s="409">
        <f>IF(t&gt;Tmaj,'2023'!Wh/'2023'!Env_an*'2024'!Env_an,0.001*'[5]mon-tableau'!$B$267)</f>
        <v>47.127845901856247</v>
      </c>
      <c r="C99" s="829"/>
      <c r="D99" s="391">
        <f t="shared" si="25"/>
        <v>48.856828354291999</v>
      </c>
      <c r="E99" s="383">
        <f t="shared" si="47"/>
        <v>51.043967031983478</v>
      </c>
      <c r="F99" s="383">
        <f t="shared" si="26"/>
        <v>51.044452485790558</v>
      </c>
      <c r="G99" s="110">
        <f t="shared" si="48"/>
        <v>0.90865585400521798</v>
      </c>
      <c r="H99" s="412" t="b">
        <f>Wh_hp&gt;='2023'!Maxi_hp</f>
        <v>0</v>
      </c>
      <c r="I99" s="388">
        <f>IF(H99,Wh_hp,'2023'!Maxi_hp)</f>
        <v>56.562989488883829</v>
      </c>
      <c r="J99" s="85">
        <f>IF(H99,An,'2023'!An_max)</f>
        <v>2020</v>
      </c>
      <c r="K99" s="197">
        <f t="shared" si="27"/>
        <v>45376</v>
      </c>
      <c r="L99" s="147">
        <f>IF(t&lt;Tvie,1-EXP((T0-t)*PertePVj)+'2023'!Pspv,1-EXP((T0-t)*PertePVj)+Pspv)</f>
        <v>3.538875753247428E-2</v>
      </c>
      <c r="M99" s="832"/>
      <c r="N99" s="832"/>
      <c r="O99" s="48">
        <f>IF(t&lt;Tnet,'2023'!Resal+('2023'!Salim-'2023'!Resal)*(1-EXP(('2023'!Tnet-t)/('2023'!Tau_j))),Resal+(Salim-Resal)*(1-EXP((Tnet-t)/(Tau_j))))*Salcycl</f>
        <v>4.2848132793461134E-2</v>
      </c>
      <c r="P99" s="169">
        <f>(INDEX(Models!$BJ99:$BT99,,T99)*(1-R99)+INDEX(Models!$BJ99:$BT99,,T99+1)*R99-ERP_i)*Q99*Ramure*Pc/MaxiM</f>
        <v>1.0937666387759614E-5</v>
      </c>
      <c r="Q99" s="304">
        <f t="shared" si="28"/>
        <v>0.6</v>
      </c>
      <c r="R99" s="177">
        <f t="shared" si="29"/>
        <v>1.9530691429581637E-2</v>
      </c>
      <c r="S99" s="799">
        <f t="shared" si="30"/>
        <v>1</v>
      </c>
      <c r="T99" s="176">
        <f t="shared" si="31"/>
        <v>7</v>
      </c>
      <c r="U99" s="250">
        <f t="shared" si="32"/>
        <v>1.0195306914295816</v>
      </c>
      <c r="V99" s="382">
        <f t="shared" si="33"/>
        <v>51.865377227352468</v>
      </c>
      <c r="W99" s="400">
        <f t="shared" si="34"/>
        <v>47.127845901856247</v>
      </c>
      <c r="X99" s="157">
        <f t="shared" si="35"/>
        <v>45376</v>
      </c>
      <c r="Y99" s="383">
        <f t="shared" si="36"/>
        <v>46.259355107016283</v>
      </c>
      <c r="Z99" s="383">
        <f t="shared" si="37"/>
        <v>47.956475179246766</v>
      </c>
      <c r="AA99" s="384">
        <f t="shared" si="38"/>
        <v>51.043967031983478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6.0486910251354963E-2</v>
      </c>
      <c r="AD99" s="230">
        <f>(INDEX(Models!$BJ99:$BT99,,AH99)*(1-AF99)+INDEX(Models!$BJ99:$BT99,,AH99+1)*AF99-ERP_i)*AE99*Ramure*Pc/MaxiM</f>
        <v>1.0937666387759614E-5</v>
      </c>
      <c r="AE99" s="304">
        <f t="shared" si="40"/>
        <v>0.6</v>
      </c>
      <c r="AF99" s="177">
        <f t="shared" si="41"/>
        <v>1.9530691429581637E-2</v>
      </c>
      <c r="AG99" s="799">
        <f t="shared" si="49"/>
        <v>1</v>
      </c>
      <c r="AH99" s="176">
        <f t="shared" si="42"/>
        <v>7</v>
      </c>
      <c r="AI99" s="224">
        <f t="shared" si="43"/>
        <v>1.0195306914295816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45377</v>
      </c>
      <c r="B100" s="409">
        <f>IF(t&gt;Tmaj,'2023'!Wh/'2023'!Env_an*'2024'!Env_an,0.001*'[5]mon-tableau'!$B$268)</f>
        <v>46.301145874982936</v>
      </c>
      <c r="C100" s="829"/>
      <c r="D100" s="391">
        <f t="shared" si="25"/>
        <v>48.000719050758562</v>
      </c>
      <c r="E100" s="383">
        <f t="shared" si="47"/>
        <v>50.154162571083447</v>
      </c>
      <c r="F100" s="383">
        <f t="shared" si="26"/>
        <v>50.154599453545551</v>
      </c>
      <c r="G100" s="110">
        <f t="shared" si="48"/>
        <v>0.88809011849970299</v>
      </c>
      <c r="H100" s="412" t="b">
        <f>Wh_hp&gt;='2023'!Maxi_hp</f>
        <v>0</v>
      </c>
      <c r="I100" s="388">
        <f>IF(H100,Wh_hp,'2023'!Maxi_hp)</f>
        <v>55.827090198915265</v>
      </c>
      <c r="J100" s="85">
        <f>IF(H100,An,'2023'!An_max)</f>
        <v>2018</v>
      </c>
      <c r="K100" s="197">
        <f t="shared" si="27"/>
        <v>45377</v>
      </c>
      <c r="L100" s="147">
        <f>IF(t&lt;Tvie,1-EXP((T0-t)*PertePVj)+'2023'!Pspv,1-EXP((T0-t)*PertePVj)+Pspv)</f>
        <v>3.5407244086873013E-2</v>
      </c>
      <c r="M100" s="832"/>
      <c r="N100" s="832"/>
      <c r="O100" s="48">
        <f>IF(t&lt;Tnet,'2023'!Resal+('2023'!Salim-'2023'!Resal)*(1-EXP(('2023'!Tnet-t)/('2023'!Tau_j))),Resal+(Salim-Resal)*(1-EXP((Tnet-t)/(Tau_j))))*Salcycl</f>
        <v>4.2936486423690447E-2</v>
      </c>
      <c r="P100" s="169">
        <f>(INDEX(Models!$BJ100:$BT100,,T100)*(1-R100)+INDEX(Models!$BJ100:$BT100,,T100+1)*R100-ERP_i)*Q100*Ramure*Pc/MaxiM</f>
        <v>1.0368284737261721E-5</v>
      </c>
      <c r="Q100" s="304">
        <f t="shared" si="28"/>
        <v>0.6</v>
      </c>
      <c r="R100" s="177">
        <f t="shared" si="29"/>
        <v>2.0377656597546201E-2</v>
      </c>
      <c r="S100" s="799">
        <f t="shared" si="30"/>
        <v>1</v>
      </c>
      <c r="T100" s="176">
        <f t="shared" si="31"/>
        <v>7</v>
      </c>
      <c r="U100" s="250">
        <f t="shared" si="32"/>
        <v>1.0203776565975462</v>
      </c>
      <c r="V100" s="382">
        <f t="shared" si="33"/>
        <v>52.135552645481795</v>
      </c>
      <c r="W100" s="400">
        <f t="shared" si="34"/>
        <v>46.301145874982936</v>
      </c>
      <c r="X100" s="157">
        <f t="shared" si="35"/>
        <v>45377</v>
      </c>
      <c r="Y100" s="383">
        <f t="shared" si="36"/>
        <v>45.448705838686436</v>
      </c>
      <c r="Z100" s="383">
        <f t="shared" si="37"/>
        <v>47.116988553021677</v>
      </c>
      <c r="AA100" s="384">
        <f t="shared" si="38"/>
        <v>50.154162571083447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6.0556768618301296E-2</v>
      </c>
      <c r="AD100" s="230">
        <f>(INDEX(Models!$BJ100:$BT100,,AH100)*(1-AF100)+INDEX(Models!$BJ100:$BT100,,AH100+1)*AF100-ERP_i)*AE100*Ramure*Pc/MaxiM</f>
        <v>1.0368284737261721E-5</v>
      </c>
      <c r="AE100" s="304">
        <f t="shared" si="40"/>
        <v>0.6</v>
      </c>
      <c r="AF100" s="177">
        <f t="shared" si="41"/>
        <v>2.0377656597546201E-2</v>
      </c>
      <c r="AG100" s="799">
        <f t="shared" si="49"/>
        <v>1</v>
      </c>
      <c r="AH100" s="176">
        <f t="shared" si="42"/>
        <v>7</v>
      </c>
      <c r="AI100" s="224">
        <f t="shared" si="43"/>
        <v>1.0203776565975462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45378</v>
      </c>
      <c r="B101" s="409">
        <f>IF(t&gt;Tmaj,'2023'!Wh/'2023'!Env_an*'2024'!Env_an,0.001*'[5]mon-tableau'!$B$269)</f>
        <v>36.934755590397948</v>
      </c>
      <c r="C101" s="829"/>
      <c r="D101" s="391">
        <f t="shared" si="25"/>
        <v>38.291251125107053</v>
      </c>
      <c r="E101" s="383">
        <f t="shared" si="47"/>
        <v>40.012805733524239</v>
      </c>
      <c r="F101" s="383">
        <f t="shared" si="26"/>
        <v>40.013032818638344</v>
      </c>
      <c r="G101" s="110">
        <f t="shared" si="48"/>
        <v>0.70485767550956957</v>
      </c>
      <c r="H101" s="412" t="b">
        <f>Wh_hp&gt;='2023'!Maxi_hp</f>
        <v>0</v>
      </c>
      <c r="I101" s="388">
        <f>IF(H101,Wh_hp,'2023'!Maxi_hp)</f>
        <v>54.360653644959861</v>
      </c>
      <c r="J101" s="85">
        <f>IF(H101,An,'2023'!An_max)</f>
        <v>2018</v>
      </c>
      <c r="K101" s="197">
        <f t="shared" si="27"/>
        <v>45378</v>
      </c>
      <c r="L101" s="147">
        <f>IF(t&lt;Tvie,1-EXP((T0-t)*PertePVj)+'2023'!Pspv,1-EXP((T0-t)*PertePVj)+Pspv)</f>
        <v>3.542573028698115E-2</v>
      </c>
      <c r="M101" s="832"/>
      <c r="N101" s="832"/>
      <c r="O101" s="48">
        <f>IF(t&lt;Tnet,'2023'!Resal+('2023'!Salim-'2023'!Resal)*(1-EXP(('2023'!Tnet-t)/('2023'!Tau_j))),Resal+(Salim-Resal)*(1-EXP((Tnet-t)/(Tau_j))))*Salcycl</f>
        <v>4.3025091014170062E-2</v>
      </c>
      <c r="P101" s="169">
        <f>(INDEX(Models!$BJ101:$BT101,,T101)*(1-R101)+INDEX(Models!$BJ101:$BT101,,T101+1)*R101-ERP_i)*Q101*Ramure*Pc/MaxiM</f>
        <v>9.8125013722768578E-6</v>
      </c>
      <c r="Q101" s="304">
        <f t="shared" si="28"/>
        <v>0.6</v>
      </c>
      <c r="R101" s="177">
        <f t="shared" si="29"/>
        <v>2.1256978147210503E-2</v>
      </c>
      <c r="S101" s="799">
        <f t="shared" si="30"/>
        <v>1</v>
      </c>
      <c r="T101" s="176">
        <f t="shared" si="31"/>
        <v>7</v>
      </c>
      <c r="U101" s="250">
        <f t="shared" si="32"/>
        <v>1.0212569781472105</v>
      </c>
      <c r="V101" s="382">
        <f t="shared" si="33"/>
        <v>52.400085954263233</v>
      </c>
      <c r="W101" s="400">
        <f t="shared" si="34"/>
        <v>36.934755590397948</v>
      </c>
      <c r="X101" s="157">
        <f t="shared" si="35"/>
        <v>45378</v>
      </c>
      <c r="Y101" s="383">
        <f t="shared" si="36"/>
        <v>36.255402961368759</v>
      </c>
      <c r="Z101" s="383">
        <f t="shared" si="37"/>
        <v>37.586948045126171</v>
      </c>
      <c r="AA101" s="384">
        <f t="shared" si="38"/>
        <v>40.012805733524239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6.0627032869269397E-2</v>
      </c>
      <c r="AD101" s="230">
        <f>(INDEX(Models!$BJ101:$BT101,,AH101)*(1-AF101)+INDEX(Models!$BJ101:$BT101,,AH101+1)*AF101-ERP_i)*AE101*Ramure*Pc/MaxiM</f>
        <v>9.8125013722768578E-6</v>
      </c>
      <c r="AE101" s="304">
        <f t="shared" si="40"/>
        <v>0.6</v>
      </c>
      <c r="AF101" s="177">
        <f t="shared" si="41"/>
        <v>2.1256978147210503E-2</v>
      </c>
      <c r="AG101" s="799">
        <f t="shared" si="49"/>
        <v>1</v>
      </c>
      <c r="AH101" s="176">
        <f t="shared" si="42"/>
        <v>7</v>
      </c>
      <c r="AI101" s="224">
        <f t="shared" si="43"/>
        <v>1.0212569781472105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45379</v>
      </c>
      <c r="B102" s="409">
        <f>IF(t&gt;Tmaj,'2023'!Wh/'2023'!Env_an*'2024'!Env_an,0.001*'[5]mon-tableau'!$B$270)</f>
        <v>27.680808392022957</v>
      </c>
      <c r="C102" s="829"/>
      <c r="D102" s="391">
        <f t="shared" si="25"/>
        <v>28.697986010764726</v>
      </c>
      <c r="E102" s="383">
        <f t="shared" si="47"/>
        <v>29.991017693173593</v>
      </c>
      <c r="F102" s="383">
        <f t="shared" si="26"/>
        <v>29.991107320637877</v>
      </c>
      <c r="G102" s="110">
        <f t="shared" si="48"/>
        <v>0.52566535474704512</v>
      </c>
      <c r="H102" s="412" t="b">
        <f>Wh_hp&gt;='2023'!Maxi_hp</f>
        <v>0</v>
      </c>
      <c r="I102" s="388">
        <f>IF(H102,Wh_hp,'2023'!Maxi_hp)</f>
        <v>56.601597113397979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3.5444216132805351E-2</v>
      </c>
      <c r="M102" s="832"/>
      <c r="N102" s="832"/>
      <c r="O102" s="48">
        <f>IF(t&lt;Tnet,'2023'!Resal+('2023'!Salim-'2023'!Resal)*(1-EXP(('2023'!Tnet-t)/('2023'!Tau_j))),Resal+(Salim-Resal)*(1-EXP((Tnet-t)/(Tau_j))))*Salcycl</f>
        <v>4.3113964842319406E-2</v>
      </c>
      <c r="P102" s="169">
        <f>(INDEX(Models!$BJ102:$BT102,,T102)*(1-R102)+INDEX(Models!$BJ102:$BT102,,T102+1)*R102-ERP_i)*Q102*Ramure*Pc/MaxiM</f>
        <v>9.2699075944205207E-6</v>
      </c>
      <c r="Q102" s="304">
        <f t="shared" si="28"/>
        <v>0.6</v>
      </c>
      <c r="R102" s="177">
        <f t="shared" si="29"/>
        <v>2.2169760431596908E-2</v>
      </c>
      <c r="S102" s="799">
        <f t="shared" si="30"/>
        <v>1</v>
      </c>
      <c r="T102" s="176">
        <f t="shared" si="31"/>
        <v>7</v>
      </c>
      <c r="U102" s="250">
        <f t="shared" si="32"/>
        <v>1.0221697604315969</v>
      </c>
      <c r="V102" s="382">
        <f t="shared" si="33"/>
        <v>52.658282053793442</v>
      </c>
      <c r="W102" s="400">
        <f t="shared" si="34"/>
        <v>27.680808392022957</v>
      </c>
      <c r="X102" s="157">
        <f t="shared" si="35"/>
        <v>45379</v>
      </c>
      <c r="Y102" s="383">
        <f t="shared" si="36"/>
        <v>27.172145139617108</v>
      </c>
      <c r="Z102" s="383">
        <f t="shared" si="37"/>
        <v>28.170631076075033</v>
      </c>
      <c r="AA102" s="384">
        <f t="shared" si="38"/>
        <v>29.991017693173593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6.0697727423664888E-2</v>
      </c>
      <c r="AD102" s="230">
        <f>(INDEX(Models!$BJ102:$BT102,,AH102)*(1-AF102)+INDEX(Models!$BJ102:$BT102,,AH102+1)*AF102-ERP_i)*AE102*Ramure*Pc/MaxiM</f>
        <v>9.2699075944205207E-6</v>
      </c>
      <c r="AE102" s="304">
        <f t="shared" si="40"/>
        <v>0.6</v>
      </c>
      <c r="AF102" s="177">
        <f t="shared" si="41"/>
        <v>2.2169760431596908E-2</v>
      </c>
      <c r="AG102" s="799">
        <f t="shared" si="49"/>
        <v>1</v>
      </c>
      <c r="AH102" s="176">
        <f t="shared" si="42"/>
        <v>7</v>
      </c>
      <c r="AI102" s="224">
        <f t="shared" si="43"/>
        <v>1.0221697604315969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45380</v>
      </c>
      <c r="B103" s="409">
        <f>IF(t&gt;Tmaj,'2023'!Wh/'2023'!Env_an*'2024'!Env_an,0.001*'[5]mon-tableau'!$B$271)</f>
        <v>7.5252734780151203</v>
      </c>
      <c r="C103" s="829"/>
      <c r="D103" s="391">
        <f t="shared" si="25"/>
        <v>7.801951765564942</v>
      </c>
      <c r="E103" s="383">
        <f t="shared" si="47"/>
        <v>8.1542404438556186</v>
      </c>
      <c r="F103" s="383">
        <f t="shared" si="26"/>
        <v>8.1542404438556186</v>
      </c>
      <c r="G103" s="110">
        <f t="shared" si="48"/>
        <v>0.14222805669165456</v>
      </c>
      <c r="H103" s="412" t="b">
        <f>Wh_hp&gt;='2023'!Maxi_hp</f>
        <v>0</v>
      </c>
      <c r="I103" s="388">
        <f>IF(H103,Wh_hp,'2023'!Maxi_hp)</f>
        <v>56.745534114329011</v>
      </c>
      <c r="J103" s="85">
        <f>IF(H103,An,'2023'!An_max)</f>
        <v>2018</v>
      </c>
      <c r="K103" s="197">
        <f t="shared" si="27"/>
        <v>45380</v>
      </c>
      <c r="L103" s="147">
        <f>IF(t&lt;Tvie,1-EXP((T0-t)*PertePVj)+'2023'!Pspv,1-EXP((T0-t)*PertePVj)+Pspv)</f>
        <v>3.5462701624352722E-2</v>
      </c>
      <c r="M103" s="832"/>
      <c r="N103" s="832"/>
      <c r="O103" s="48">
        <f>IF(t&lt;Tnet,'2023'!Resal+('2023'!Salim-'2023'!Resal)*(1-EXP(('2023'!Tnet-t)/('2023'!Tau_j))),Resal+(Salim-Resal)*(1-EXP((Tnet-t)/(Tau_j))))*Salcycl</f>
        <v>4.32031261177898E-2</v>
      </c>
      <c r="P103" s="169">
        <f>(INDEX(Models!$BJ103:$BT103,,T103)*(1-R103)+INDEX(Models!$BJ103:$BT103,,T103+1)*R103-ERP_i)*Q103*Ramure*Pc/MaxiM</f>
        <v>8.7400734893787934E-6</v>
      </c>
      <c r="Q103" s="304">
        <f t="shared" si="28"/>
        <v>0.6</v>
      </c>
      <c r="R103" s="177">
        <f t="shared" si="29"/>
        <v>2.3117134783215088E-2</v>
      </c>
      <c r="S103" s="799">
        <f t="shared" si="30"/>
        <v>1</v>
      </c>
      <c r="T103" s="176">
        <f t="shared" si="31"/>
        <v>7</v>
      </c>
      <c r="U103" s="250">
        <f t="shared" si="32"/>
        <v>1.0231171347832151</v>
      </c>
      <c r="V103" s="382">
        <f t="shared" si="33"/>
        <v>52.909446150180358</v>
      </c>
      <c r="W103" s="400">
        <f t="shared" si="34"/>
        <v>7.5252734780151203</v>
      </c>
      <c r="X103" s="157">
        <f t="shared" si="35"/>
        <v>45380</v>
      </c>
      <c r="Y103" s="383">
        <f t="shared" si="36"/>
        <v>7.3871176381687373</v>
      </c>
      <c r="Z103" s="383">
        <f t="shared" si="37"/>
        <v>7.6587164131539485</v>
      </c>
      <c r="AA103" s="384">
        <f t="shared" si="38"/>
        <v>8.1542404438556186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6.0768876526698164E-2</v>
      </c>
      <c r="AD103" s="230">
        <f>(INDEX(Models!$BJ103:$BT103,,AH103)*(1-AF103)+INDEX(Models!$BJ103:$BT103,,AH103+1)*AF103-ERP_i)*AE103*Ramure*Pc/MaxiM</f>
        <v>8.7400734893787934E-6</v>
      </c>
      <c r="AE103" s="304">
        <f t="shared" si="40"/>
        <v>0.6</v>
      </c>
      <c r="AF103" s="177">
        <f t="shared" si="41"/>
        <v>2.3117134783215088E-2</v>
      </c>
      <c r="AG103" s="799">
        <f t="shared" si="49"/>
        <v>1</v>
      </c>
      <c r="AH103" s="176">
        <f t="shared" si="42"/>
        <v>7</v>
      </c>
      <c r="AI103" s="224">
        <f t="shared" si="43"/>
        <v>1.0231171347832151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45381</v>
      </c>
      <c r="B104" s="409">
        <f>IF(t&gt;Tmaj,'2023'!Wh/'2023'!Env_an*'2024'!Env_an,0.001*'[5]mon-tableau'!$B$272)</f>
        <v>25.547050074835777</v>
      </c>
      <c r="C104" s="829"/>
      <c r="D104" s="391">
        <f t="shared" si="25"/>
        <v>26.486834392645591</v>
      </c>
      <c r="E104" s="383">
        <f t="shared" si="47"/>
        <v>27.685407468583996</v>
      </c>
      <c r="F104" s="383">
        <f t="shared" si="26"/>
        <v>27.685466211883</v>
      </c>
      <c r="G104" s="110">
        <f t="shared" si="48"/>
        <v>0.48063044582872555</v>
      </c>
      <c r="H104" s="412" t="b">
        <f>Wh_hp&gt;='2023'!Maxi_hp</f>
        <v>0</v>
      </c>
      <c r="I104" s="388">
        <f>IF(H104,Wh_hp,'2023'!Maxi_hp)</f>
        <v>51.692988498313227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3.5481186761629702E-2</v>
      </c>
      <c r="M104" s="832"/>
      <c r="N104" s="832"/>
      <c r="O104" s="48">
        <f>IF(t&lt;Tnet,'2023'!Resal+('2023'!Salim-'2023'!Resal)*(1-EXP(('2023'!Tnet-t)/('2023'!Tau_j))),Resal+(Salim-Resal)*(1-EXP((Tnet-t)/(Tau_j))))*Salcycl</f>
        <v>4.3292592940829447E-2</v>
      </c>
      <c r="P104" s="169">
        <f>(INDEX(Models!$BJ104:$BT104,,T104)*(1-R104)+INDEX(Models!$BJ104:$BT104,,T104+1)*R104-ERP_i)*Q104*Ramure*Pc/MaxiM</f>
        <v>8.2225500869846879E-6</v>
      </c>
      <c r="Q104" s="304">
        <f t="shared" si="28"/>
        <v>0.6</v>
      </c>
      <c r="R104" s="177">
        <f t="shared" si="29"/>
        <v>2.4100259266879531E-2</v>
      </c>
      <c r="S104" s="799">
        <f t="shared" si="30"/>
        <v>1</v>
      </c>
      <c r="T104" s="176">
        <f t="shared" si="31"/>
        <v>7</v>
      </c>
      <c r="U104" s="250">
        <f t="shared" si="32"/>
        <v>1.0241002592668795</v>
      </c>
      <c r="V104" s="382">
        <f t="shared" si="33"/>
        <v>53.152883759877867</v>
      </c>
      <c r="W104" s="400">
        <f t="shared" si="34"/>
        <v>25.547050074835777</v>
      </c>
      <c r="X104" s="157">
        <f t="shared" si="35"/>
        <v>45381</v>
      </c>
      <c r="Y104" s="383">
        <f t="shared" si="36"/>
        <v>25.078466509848148</v>
      </c>
      <c r="Z104" s="383">
        <f t="shared" si="37"/>
        <v>26.001013319426335</v>
      </c>
      <c r="AA104" s="384">
        <f t="shared" si="38"/>
        <v>27.685407468583996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6.084050419229068E-2</v>
      </c>
      <c r="AD104" s="230">
        <f>(INDEX(Models!$BJ104:$BT104,,AH104)*(1-AF104)+INDEX(Models!$BJ104:$BT104,,AH104+1)*AF104-ERP_i)*AE104*Ramure*Pc/MaxiM</f>
        <v>8.2225500869846879E-6</v>
      </c>
      <c r="AE104" s="304">
        <f t="shared" si="40"/>
        <v>0.6</v>
      </c>
      <c r="AF104" s="177">
        <f t="shared" si="41"/>
        <v>2.4100259266879531E-2</v>
      </c>
      <c r="AG104" s="799">
        <f t="shared" si="49"/>
        <v>1</v>
      </c>
      <c r="AH104" s="176">
        <f t="shared" si="42"/>
        <v>7</v>
      </c>
      <c r="AI104" s="224">
        <f t="shared" si="43"/>
        <v>1.0241002592668795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45382</v>
      </c>
      <c r="B105" s="409">
        <f>IF(t&gt;Tmaj,'2023'!Wh/'2023'!Env_an*'2024'!Env_an,0.001*'[6]mon-tableau'!$B$235)</f>
        <v>30.357516507153225</v>
      </c>
      <c r="C105" s="829"/>
      <c r="D105" s="391">
        <f t="shared" si="25"/>
        <v>31.474863835215761</v>
      </c>
      <c r="E105" s="383">
        <f t="shared" si="47"/>
        <v>32.902241485522687</v>
      </c>
      <c r="F105" s="383">
        <f t="shared" si="26"/>
        <v>32.902338919630658</v>
      </c>
      <c r="G105" s="110">
        <f t="shared" si="48"/>
        <v>0.56861895167989107</v>
      </c>
      <c r="H105" s="412" t="b">
        <f>Wh_hp&gt;='2023'!Maxi_hp</f>
        <v>0</v>
      </c>
      <c r="I105" s="388">
        <f>IF(H105,Wh_hp,'2023'!Maxi_hp)</f>
        <v>52.356654743992351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3.5499671544643396E-2</v>
      </c>
      <c r="M105" s="832"/>
      <c r="N105" s="832"/>
      <c r="O105" s="48">
        <f>IF(t&lt;Tnet,'2023'!Resal+('2023'!Salim-'2023'!Resal)*(1-EXP(('2023'!Tnet-t)/('2023'!Tau_j))),Resal+(Salim-Resal)*(1-EXP((Tnet-t)/(Tau_j))))*Salcycl</f>
        <v>4.3382383262094336E-2</v>
      </c>
      <c r="P105" s="169">
        <f>(INDEX(Models!$BJ105:$BT105,,T105)*(1-R105)+INDEX(Models!$BJ105:$BT105,,T105+1)*R105-ERP_i)*Q105*Ramure*Pc/MaxiM</f>
        <v>7.7168713497948336E-6</v>
      </c>
      <c r="Q105" s="304">
        <f t="shared" si="28"/>
        <v>0.6</v>
      </c>
      <c r="R105" s="177">
        <f t="shared" si="29"/>
        <v>2.5120318336164793E-2</v>
      </c>
      <c r="S105" s="799">
        <f t="shared" si="30"/>
        <v>1</v>
      </c>
      <c r="T105" s="176">
        <f t="shared" si="31"/>
        <v>7</v>
      </c>
      <c r="U105" s="250">
        <f t="shared" si="32"/>
        <v>1.0251203183361648</v>
      </c>
      <c r="V105" s="382">
        <f t="shared" si="33"/>
        <v>53.387900719953109</v>
      </c>
      <c r="W105" s="400">
        <f t="shared" si="34"/>
        <v>30.357516507153225</v>
      </c>
      <c r="X105" s="157">
        <f t="shared" si="35"/>
        <v>45382</v>
      </c>
      <c r="Y105" s="383">
        <f t="shared" si="36"/>
        <v>29.801207621198035</v>
      </c>
      <c r="Z105" s="383">
        <f t="shared" si="37"/>
        <v>30.898079287255971</v>
      </c>
      <c r="AA105" s="384">
        <f t="shared" si="38"/>
        <v>32.902241485522687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6.091263414830158E-2</v>
      </c>
      <c r="AD105" s="230">
        <f>(INDEX(Models!$BJ105:$BT105,,AH105)*(1-AF105)+INDEX(Models!$BJ105:$BT105,,AH105+1)*AF105-ERP_i)*AE105*Ramure*Pc/MaxiM</f>
        <v>7.7168713497948336E-6</v>
      </c>
      <c r="AE105" s="304">
        <f t="shared" si="40"/>
        <v>0.6</v>
      </c>
      <c r="AF105" s="177">
        <f t="shared" si="41"/>
        <v>2.5120318336164793E-2</v>
      </c>
      <c r="AG105" s="799">
        <f t="shared" si="49"/>
        <v>1</v>
      </c>
      <c r="AH105" s="176">
        <f t="shared" si="42"/>
        <v>7</v>
      </c>
      <c r="AI105" s="224">
        <f t="shared" si="43"/>
        <v>1.0251203183361648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45383</v>
      </c>
      <c r="B106" s="409">
        <f>IF(t&gt;Tmaj,'2023'!Wh/'2023'!Env_an*'2024'!Env_an,0.001*'[6]mon-tableau'!$B$236)</f>
        <v>19.500890853540628</v>
      </c>
      <c r="C106" s="829"/>
      <c r="D106" s="391">
        <f t="shared" si="25"/>
        <v>20.219033644144794</v>
      </c>
      <c r="E106" s="383">
        <f t="shared" si="47"/>
        <v>21.13795364787093</v>
      </c>
      <c r="F106" s="383">
        <f t="shared" si="26"/>
        <v>21.137967547162912</v>
      </c>
      <c r="G106" s="110">
        <f t="shared" si="48"/>
        <v>0.36372653440499209</v>
      </c>
      <c r="H106" s="412" t="b">
        <f>Wh_hp&gt;='2023'!Maxi_hp</f>
        <v>0</v>
      </c>
      <c r="I106" s="388">
        <f>IF(H106,Wh_hp,'2023'!Maxi_hp)</f>
        <v>47.319485851291006</v>
      </c>
      <c r="J106" s="85">
        <f>IF(H106,An,'2023'!An_max)</f>
        <v>2021</v>
      </c>
      <c r="K106" s="197">
        <f t="shared" si="27"/>
        <v>45383</v>
      </c>
      <c r="L106" s="147">
        <f>IF(t&lt;Tvie,1-EXP((T0-t)*PertePVj)+'2023'!Pspv,1-EXP((T0-t)*PertePVj)+Pspv)</f>
        <v>3.5518155973400356E-2</v>
      </c>
      <c r="M106" s="832"/>
      <c r="N106" s="832"/>
      <c r="O106" s="48">
        <f>IF(t&lt;Tnet,'2023'!Resal+('2023'!Salim-'2023'!Resal)*(1-EXP(('2023'!Tnet-t)/('2023'!Tau_j))),Resal+(Salim-Resal)*(1-EXP((Tnet-t)/(Tau_j))))*Salcycl</f>
        <v>4.3472514843871407E-2</v>
      </c>
      <c r="P106" s="169">
        <f>(INDEX(Models!$BJ106:$BT106,,T106)*(1-R106)+INDEX(Models!$BJ106:$BT106,,T106+1)*R106-ERP_i)*Q106*Ramure*Pc/MaxiM</f>
        <v>7.2225559902322809E-6</v>
      </c>
      <c r="Q106" s="304">
        <f t="shared" si="28"/>
        <v>0.6</v>
      </c>
      <c r="R106" s="177">
        <f t="shared" si="29"/>
        <v>2.6178522385604142E-2</v>
      </c>
      <c r="S106" s="799">
        <f t="shared" si="30"/>
        <v>1</v>
      </c>
      <c r="T106" s="176">
        <f t="shared" si="31"/>
        <v>7</v>
      </c>
      <c r="U106" s="250">
        <f t="shared" si="32"/>
        <v>1.0261785223856041</v>
      </c>
      <c r="V106" s="382">
        <f t="shared" si="33"/>
        <v>53.613803188462946</v>
      </c>
      <c r="W106" s="400">
        <f t="shared" si="34"/>
        <v>19.500890853540628</v>
      </c>
      <c r="X106" s="157">
        <f t="shared" si="35"/>
        <v>45383</v>
      </c>
      <c r="Y106" s="383">
        <f t="shared" si="36"/>
        <v>19.143854889650353</v>
      </c>
      <c r="Z106" s="383">
        <f t="shared" si="37"/>
        <v>19.848849419214552</v>
      </c>
      <c r="AA106" s="384">
        <f t="shared" si="38"/>
        <v>21.13795364787093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6.0985289784009897E-2</v>
      </c>
      <c r="AD106" s="230">
        <f>(INDEX(Models!$BJ106:$BT106,,AH106)*(1-AF106)+INDEX(Models!$BJ106:$BT106,,AH106+1)*AF106-ERP_i)*AE106*Ramure*Pc/MaxiM</f>
        <v>7.2225559902322809E-6</v>
      </c>
      <c r="AE106" s="304">
        <f t="shared" si="40"/>
        <v>0.6</v>
      </c>
      <c r="AF106" s="177">
        <f t="shared" si="41"/>
        <v>2.6178522385604142E-2</v>
      </c>
      <c r="AG106" s="799">
        <f t="shared" si="49"/>
        <v>1</v>
      </c>
      <c r="AH106" s="176">
        <f t="shared" si="42"/>
        <v>7</v>
      </c>
      <c r="AI106" s="224">
        <f t="shared" si="43"/>
        <v>1.0261785223856041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45384</v>
      </c>
      <c r="B107" s="409">
        <f>IF(t&gt;Tmaj,'2023'!Wh/'2023'!Env_an*'2024'!Env_an,0.001*'[6]mon-tableau'!$B$237)</f>
        <v>24.163604447557393</v>
      </c>
      <c r="C107" s="829"/>
      <c r="D107" s="391">
        <f t="shared" si="25"/>
        <v>25.053937195455159</v>
      </c>
      <c r="E107" s="383">
        <f t="shared" si="47"/>
        <v>26.195073310905705</v>
      </c>
      <c r="F107" s="383">
        <f t="shared" si="26"/>
        <v>26.195110854474404</v>
      </c>
      <c r="G107" s="110">
        <f t="shared" si="48"/>
        <v>0.44887309062162284</v>
      </c>
      <c r="H107" s="412" t="b">
        <f>Wh_hp&gt;='2023'!Maxi_hp</f>
        <v>0</v>
      </c>
      <c r="I107" s="388">
        <f>IF(H107,Wh_hp,'2023'!Maxi_hp)</f>
        <v>54.874354285186392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3.5536640047907353E-2</v>
      </c>
      <c r="M107" s="832"/>
      <c r="N107" s="832"/>
      <c r="O107" s="48">
        <f>IF(t&lt;Tnet,'2023'!Resal+('2023'!Salim-'2023'!Resal)*(1-EXP(('2023'!Tnet-t)/('2023'!Tau_j))),Resal+(Salim-Resal)*(1-EXP((Tnet-t)/(Tau_j))))*Salcycl</f>
        <v>4.3563005222644627E-2</v>
      </c>
      <c r="P107" s="169">
        <f>(INDEX(Models!$BJ107:$BT107,,T107)*(1-R107)+INDEX(Models!$BJ107:$BT107,,T107+1)*R107-ERP_i)*Q107*Ramure*Pc/MaxiM</f>
        <v>6.7389184271603654E-6</v>
      </c>
      <c r="Q107" s="304">
        <f t="shared" si="28"/>
        <v>0.6</v>
      </c>
      <c r="R107" s="177">
        <f t="shared" si="29"/>
        <v>2.7276107190417509E-2</v>
      </c>
      <c r="S107" s="799">
        <f t="shared" si="30"/>
        <v>1</v>
      </c>
      <c r="T107" s="176">
        <f t="shared" si="31"/>
        <v>7</v>
      </c>
      <c r="U107" s="250">
        <f t="shared" si="32"/>
        <v>1.0272761071904175</v>
      </c>
      <c r="V107" s="382">
        <f t="shared" si="33"/>
        <v>53.831420835025284</v>
      </c>
      <c r="W107" s="400">
        <f t="shared" si="34"/>
        <v>24.163604447557393</v>
      </c>
      <c r="X107" s="157">
        <f t="shared" si="35"/>
        <v>45384</v>
      </c>
      <c r="Y107" s="383">
        <f t="shared" si="36"/>
        <v>23.721595120073005</v>
      </c>
      <c r="Z107" s="383">
        <f t="shared" si="37"/>
        <v>24.595641581709561</v>
      </c>
      <c r="AA107" s="384">
        <f t="shared" si="38"/>
        <v>26.195073310905705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6.1058494099738223E-2</v>
      </c>
      <c r="AD107" s="230">
        <f>(INDEX(Models!$BJ107:$BT107,,AH107)*(1-AF107)+INDEX(Models!$BJ107:$BT107,,AH107+1)*AF107-ERP_i)*AE107*Ramure*Pc/MaxiM</f>
        <v>6.7389184271603654E-6</v>
      </c>
      <c r="AE107" s="304">
        <f t="shared" si="40"/>
        <v>0.6</v>
      </c>
      <c r="AF107" s="177">
        <f t="shared" si="41"/>
        <v>2.7276107190417509E-2</v>
      </c>
      <c r="AG107" s="799">
        <f t="shared" si="49"/>
        <v>1</v>
      </c>
      <c r="AH107" s="176">
        <f t="shared" si="42"/>
        <v>7</v>
      </c>
      <c r="AI107" s="224">
        <f t="shared" si="43"/>
        <v>1.0272761071904175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45385</v>
      </c>
      <c r="B108" s="409">
        <f>IF(t&gt;Tmaj,'2023'!Wh/'2023'!Env_an*'2024'!Env_an,0.001*'[6]mon-tableau'!$B$238)</f>
        <v>45.664611919774053</v>
      </c>
      <c r="C108" s="829"/>
      <c r="D108" s="391">
        <f t="shared" si="25"/>
        <v>47.348078718806342</v>
      </c>
      <c r="E108" s="383">
        <f t="shared" si="47"/>
        <v>49.509353691461676</v>
      </c>
      <c r="F108" s="383">
        <f t="shared" si="26"/>
        <v>49.509595548785903</v>
      </c>
      <c r="G108" s="110">
        <f t="shared" si="48"/>
        <v>0.84498082327224366</v>
      </c>
      <c r="H108" s="412" t="b">
        <f>Wh_hp&gt;='2023'!Maxi_hp</f>
        <v>0</v>
      </c>
      <c r="I108" s="388">
        <f>IF(H108,Wh_hp,'2023'!Maxi_hp)</f>
        <v>58.531654511187028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3.5555123768171493E-2</v>
      </c>
      <c r="M108" s="832"/>
      <c r="N108" s="832"/>
      <c r="O108" s="48">
        <f>IF(t&lt;Tnet,'2023'!Resal+('2023'!Salim-'2023'!Resal)*(1-EXP(('2023'!Tnet-t)/('2023'!Tau_j))),Resal+(Salim-Resal)*(1-EXP((Tnet-t)/(Tau_j))))*Salcycl</f>
        <v>4.3653871672901016E-2</v>
      </c>
      <c r="P108" s="169">
        <f>(INDEX(Models!$BJ108:$BT108,,T108)*(1-R108)+INDEX(Models!$BJ108:$BT108,,T108+1)*R108-ERP_i)*Q108*Ramure*Pc/MaxiM</f>
        <v>6.2745957204269154E-6</v>
      </c>
      <c r="Q108" s="304">
        <f t="shared" si="28"/>
        <v>0.6</v>
      </c>
      <c r="R108" s="177">
        <f t="shared" si="29"/>
        <v>2.8414333225270205E-2</v>
      </c>
      <c r="S108" s="799">
        <f t="shared" si="30"/>
        <v>1</v>
      </c>
      <c r="T108" s="176">
        <f t="shared" si="31"/>
        <v>7</v>
      </c>
      <c r="U108" s="250">
        <f t="shared" si="32"/>
        <v>1.0284143332252702</v>
      </c>
      <c r="V108" s="382">
        <f t="shared" si="33"/>
        <v>54.042112210306378</v>
      </c>
      <c r="W108" s="400">
        <f t="shared" si="34"/>
        <v>45.664611919774053</v>
      </c>
      <c r="X108" s="157">
        <f t="shared" si="35"/>
        <v>45385</v>
      </c>
      <c r="Y108" s="383">
        <f t="shared" si="36"/>
        <v>44.830035151647273</v>
      </c>
      <c r="Z108" s="383">
        <f t="shared" si="37"/>
        <v>46.4827345309793</v>
      </c>
      <c r="AA108" s="384">
        <f t="shared" si="38"/>
        <v>49.509353691461676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6.1132269658457306E-2</v>
      </c>
      <c r="AD108" s="230">
        <f>(INDEX(Models!$BJ108:$BT108,,AH108)*(1-AF108)+INDEX(Models!$BJ108:$BT108,,AH108+1)*AF108-ERP_i)*AE108*Ramure*Pc/MaxiM</f>
        <v>6.2745957204269154E-6</v>
      </c>
      <c r="AE108" s="304">
        <f t="shared" si="40"/>
        <v>0.6</v>
      </c>
      <c r="AF108" s="177">
        <f t="shared" si="41"/>
        <v>2.8414333225270205E-2</v>
      </c>
      <c r="AG108" s="799">
        <f t="shared" si="49"/>
        <v>1</v>
      </c>
      <c r="AH108" s="176">
        <f t="shared" si="42"/>
        <v>7</v>
      </c>
      <c r="AI108" s="224">
        <f t="shared" si="43"/>
        <v>1.0284143332252702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45386</v>
      </c>
      <c r="B109" s="409">
        <f>IF(t&gt;Tmaj,'2023'!Wh/'2023'!Env_an*'2024'!Env_an,0.001*'[6]mon-tableau'!$B$239)</f>
        <v>52.42376570573883</v>
      </c>
      <c r="C109" s="829"/>
      <c r="D109" s="391">
        <f t="shared" si="25"/>
        <v>54.357456508382342</v>
      </c>
      <c r="E109" s="383">
        <f t="shared" si="47"/>
        <v>56.844109536410606</v>
      </c>
      <c r="F109" s="383">
        <f t="shared" si="26"/>
        <v>56.844424147677117</v>
      </c>
      <c r="G109" s="110">
        <f t="shared" si="48"/>
        <v>0.96640806243777344</v>
      </c>
      <c r="H109" s="412" t="b">
        <f>Wh_hp&gt;='2023'!Maxi_hp</f>
        <v>0</v>
      </c>
      <c r="I109" s="388">
        <f>IF(H109,Wh_hp,'2023'!Maxi_hp)</f>
        <v>60.630362862646294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3.5573607134199214E-2</v>
      </c>
      <c r="M109" s="832"/>
      <c r="N109" s="832"/>
      <c r="O109" s="48">
        <f>IF(t&lt;Tnet,'2023'!Resal+('2023'!Salim-'2023'!Resal)*(1-EXP(('2023'!Tnet-t)/('2023'!Tau_j))),Resal+(Salim-Resal)*(1-EXP((Tnet-t)/(Tau_j))))*Salcycl</f>
        <v>4.3745131172043053E-2</v>
      </c>
      <c r="P109" s="169">
        <f>(INDEX(Models!$BJ109:$BT109,,T109)*(1-R109)+INDEX(Models!$BJ109:$BT109,,T109+1)*R109-ERP_i)*Q109*Ramure*Pc/MaxiM</f>
        <v>5.8135849295970705E-6</v>
      </c>
      <c r="Q109" s="304">
        <f t="shared" si="28"/>
        <v>0.6</v>
      </c>
      <c r="R109" s="177">
        <f t="shared" si="29"/>
        <v>2.9594484853288971E-2</v>
      </c>
      <c r="S109" s="799">
        <f t="shared" si="30"/>
        <v>1</v>
      </c>
      <c r="T109" s="176">
        <f t="shared" si="31"/>
        <v>7</v>
      </c>
      <c r="U109" s="250">
        <f t="shared" si="32"/>
        <v>1.029594484853289</v>
      </c>
      <c r="V109" s="382">
        <f t="shared" si="33"/>
        <v>54.245978606682407</v>
      </c>
      <c r="W109" s="400">
        <f t="shared" si="34"/>
        <v>52.42376570573883</v>
      </c>
      <c r="X109" s="157">
        <f t="shared" si="35"/>
        <v>45386</v>
      </c>
      <c r="Y109" s="383">
        <f t="shared" si="36"/>
        <v>51.466491655772131</v>
      </c>
      <c r="Z109" s="383">
        <f t="shared" si="37"/>
        <v>53.364872670934517</v>
      </c>
      <c r="AA109" s="384">
        <f t="shared" si="38"/>
        <v>56.844109536410606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6.1206638539170334E-2</v>
      </c>
      <c r="AD109" s="230">
        <f>(INDEX(Models!$BJ109:$BT109,,AH109)*(1-AF109)+INDEX(Models!$BJ109:$BT109,,AH109+1)*AF109-ERP_i)*AE109*Ramure*Pc/MaxiM</f>
        <v>5.8135849295970705E-6</v>
      </c>
      <c r="AE109" s="304">
        <f t="shared" si="40"/>
        <v>0.6</v>
      </c>
      <c r="AF109" s="177">
        <f t="shared" si="41"/>
        <v>2.9594484853288971E-2</v>
      </c>
      <c r="AG109" s="799">
        <f t="shared" si="49"/>
        <v>1</v>
      </c>
      <c r="AH109" s="176">
        <f t="shared" si="42"/>
        <v>7</v>
      </c>
      <c r="AI109" s="224">
        <f t="shared" si="43"/>
        <v>1.029594484853289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45387</v>
      </c>
      <c r="B110" s="409">
        <f>IF(t&gt;Tmaj,'2023'!Wh/'2023'!Env_an*'2024'!Env_an,0.001*'[6]mon-tableau'!$B$240)</f>
        <v>11.080506166613686</v>
      </c>
      <c r="C110" s="829"/>
      <c r="D110" s="391">
        <f t="shared" si="25"/>
        <v>11.489439326862339</v>
      </c>
      <c r="E110" s="383">
        <f t="shared" si="47"/>
        <v>12.016190678812182</v>
      </c>
      <c r="F110" s="383">
        <f t="shared" si="26"/>
        <v>12.016190678812182</v>
      </c>
      <c r="G110" s="110">
        <f t="shared" si="48"/>
        <v>0.2035233603815505</v>
      </c>
      <c r="H110" s="412" t="b">
        <f>Wh_hp&gt;='2023'!Maxi_hp</f>
        <v>0</v>
      </c>
      <c r="I110" s="388">
        <f>IF(H110,Wh_hp,'2023'!Maxi_hp)</f>
        <v>61.789879611435509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3.5592090145997402E-2</v>
      </c>
      <c r="M110" s="832"/>
      <c r="N110" s="832"/>
      <c r="O110" s="48">
        <f>IF(t&lt;Tnet,'2023'!Resal+('2023'!Salim-'2023'!Resal)*(1-EXP(('2023'!Tnet-t)/('2023'!Tau_j))),Resal+(Salim-Resal)*(1-EXP((Tnet-t)/(Tau_j))))*Salcycl</f>
        <v>4.3836800366246542E-2</v>
      </c>
      <c r="P110" s="169">
        <f>(INDEX(Models!$BJ110:$BT110,,T110)*(1-R110)+INDEX(Models!$BJ110:$BT110,,T110+1)*R110-ERP_i)*Q110*Ramure*Pc/MaxiM</f>
        <v>5.3554159626403659E-6</v>
      </c>
      <c r="Q110" s="304">
        <f t="shared" si="28"/>
        <v>0.6</v>
      </c>
      <c r="R110" s="177">
        <f t="shared" si="29"/>
        <v>3.0817869376329243E-2</v>
      </c>
      <c r="S110" s="799">
        <f t="shared" si="30"/>
        <v>1</v>
      </c>
      <c r="T110" s="176">
        <f t="shared" si="31"/>
        <v>7</v>
      </c>
      <c r="U110" s="250">
        <f t="shared" si="32"/>
        <v>1.0308178693763292</v>
      </c>
      <c r="V110" s="382">
        <f t="shared" si="33"/>
        <v>54.443120461067899</v>
      </c>
      <c r="W110" s="400">
        <f t="shared" si="34"/>
        <v>11.080506166613686</v>
      </c>
      <c r="X110" s="157">
        <f t="shared" si="35"/>
        <v>45387</v>
      </c>
      <c r="Y110" s="383">
        <f t="shared" si="36"/>
        <v>10.87834668484736</v>
      </c>
      <c r="Z110" s="383">
        <f t="shared" si="37"/>
        <v>11.27981902024651</v>
      </c>
      <c r="AA110" s="384">
        <f t="shared" si="38"/>
        <v>12.016190678812182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6.1281622291837937E-2</v>
      </c>
      <c r="AD110" s="230">
        <f>(INDEX(Models!$BJ110:$BT110,,AH110)*(1-AF110)+INDEX(Models!$BJ110:$BT110,,AH110+1)*AF110-ERP_i)*AE110*Ramure*Pc/MaxiM</f>
        <v>5.3554159626403659E-6</v>
      </c>
      <c r="AE110" s="304">
        <f t="shared" si="40"/>
        <v>0.6</v>
      </c>
      <c r="AF110" s="177">
        <f t="shared" si="41"/>
        <v>3.0817869376329243E-2</v>
      </c>
      <c r="AG110" s="799">
        <f t="shared" si="49"/>
        <v>1</v>
      </c>
      <c r="AH110" s="176">
        <f t="shared" si="42"/>
        <v>7</v>
      </c>
      <c r="AI110" s="224">
        <f t="shared" si="43"/>
        <v>1.0308178693763292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45388</v>
      </c>
      <c r="B111" s="409">
        <f>IF(t&gt;Tmaj,'2023'!Wh/'2023'!Env_an*'2024'!Env_an,0.001*'[6]mon-tableau'!$B$241)</f>
        <v>40.194380999611127</v>
      </c>
      <c r="C111" s="829"/>
      <c r="D111" s="391">
        <f t="shared" si="25"/>
        <v>41.678579074078058</v>
      </c>
      <c r="E111" s="383">
        <f t="shared" si="47"/>
        <v>43.593597672310473</v>
      </c>
      <c r="F111" s="383">
        <f t="shared" si="26"/>
        <v>43.59373062081962</v>
      </c>
      <c r="G111" s="110">
        <f t="shared" si="48"/>
        <v>0.73570620550282029</v>
      </c>
      <c r="H111" s="412" t="b">
        <f>Wh_hp&gt;='2023'!Maxi_hp</f>
        <v>0</v>
      </c>
      <c r="I111" s="388">
        <f>IF(H111,Wh_hp,'2023'!Maxi_hp)</f>
        <v>57.641590326418545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3.5610572803572937E-2</v>
      </c>
      <c r="M111" s="832"/>
      <c r="N111" s="832"/>
      <c r="O111" s="48">
        <f>IF(t&lt;Tnet,'2023'!Resal+('2023'!Salim-'2023'!Resal)*(1-EXP(('2023'!Tnet-t)/('2023'!Tau_j))),Resal+(Salim-Resal)*(1-EXP((Tnet-t)/(Tau_j))))*Salcycl</f>
        <v>4.3928895537079841E-2</v>
      </c>
      <c r="P111" s="169">
        <f>(INDEX(Models!$BJ111:$BT111,,T111)*(1-R111)+INDEX(Models!$BJ111:$BT111,,T111+1)*R111-ERP_i)*Q111*Ramure*Pc/MaxiM</f>
        <v>4.8996197148232379E-6</v>
      </c>
      <c r="Q111" s="304">
        <f t="shared" si="28"/>
        <v>0.6</v>
      </c>
      <c r="R111" s="177">
        <f t="shared" si="29"/>
        <v>3.2085815937278328E-2</v>
      </c>
      <c r="S111" s="799">
        <f t="shared" si="30"/>
        <v>1</v>
      </c>
      <c r="T111" s="176">
        <f t="shared" si="31"/>
        <v>7</v>
      </c>
      <c r="U111" s="250">
        <f t="shared" si="32"/>
        <v>1.0320858159372783</v>
      </c>
      <c r="V111" s="382">
        <f t="shared" si="33"/>
        <v>54.633638187391966</v>
      </c>
      <c r="W111" s="400">
        <f t="shared" si="34"/>
        <v>40.194380999611127</v>
      </c>
      <c r="X111" s="157">
        <f t="shared" si="35"/>
        <v>45388</v>
      </c>
      <c r="Y111" s="383">
        <f t="shared" si="36"/>
        <v>39.461672323053349</v>
      </c>
      <c r="Z111" s="383">
        <f t="shared" si="37"/>
        <v>40.918814754919318</v>
      </c>
      <c r="AA111" s="384">
        <f t="shared" si="38"/>
        <v>43.593597672310473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6.1357241893575429E-2</v>
      </c>
      <c r="AD111" s="230">
        <f>(INDEX(Models!$BJ111:$BT111,,AH111)*(1-AF111)+INDEX(Models!$BJ111:$BT111,,AH111+1)*AF111-ERP_i)*AE111*Ramure*Pc/MaxiM</f>
        <v>4.8996197148232379E-6</v>
      </c>
      <c r="AE111" s="304">
        <f t="shared" si="40"/>
        <v>0.6</v>
      </c>
      <c r="AF111" s="177">
        <f t="shared" si="41"/>
        <v>3.2085815937278328E-2</v>
      </c>
      <c r="AG111" s="799">
        <f t="shared" si="49"/>
        <v>1</v>
      </c>
      <c r="AH111" s="176">
        <f t="shared" si="42"/>
        <v>7</v>
      </c>
      <c r="AI111" s="224">
        <f t="shared" si="43"/>
        <v>1.0320858159372783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45389</v>
      </c>
      <c r="B112" s="409">
        <f>IF(t&gt;Tmaj,'2023'!Wh/'2023'!Env_an*'2024'!Env_an,0.001*'[6]mon-tableau'!$B$242)</f>
        <v>34.469736331413117</v>
      </c>
      <c r="C112" s="829"/>
      <c r="D112" s="391">
        <f t="shared" si="25"/>
        <v>35.743233984755975</v>
      </c>
      <c r="E112" s="383">
        <f t="shared" si="47"/>
        <v>37.389158295459268</v>
      </c>
      <c r="F112" s="383">
        <f t="shared" si="26"/>
        <v>37.389236374253272</v>
      </c>
      <c r="G112" s="110">
        <f t="shared" si="48"/>
        <v>0.62880598262219778</v>
      </c>
      <c r="H112" s="412" t="b">
        <f>Wh_hp&gt;='2023'!Maxi_hp</f>
        <v>0</v>
      </c>
      <c r="I112" s="388">
        <f>IF(H112,Wh_hp,'2023'!Maxi_hp)</f>
        <v>59.015866902452174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3.5629055106932594E-2</v>
      </c>
      <c r="M112" s="832"/>
      <c r="N112" s="832"/>
      <c r="O112" s="48">
        <f>IF(t&lt;Tnet,'2023'!Resal+('2023'!Salim-'2023'!Resal)*(1-EXP(('2023'!Tnet-t)/('2023'!Tau_j))),Resal+(Salim-Resal)*(1-EXP((Tnet-t)/(Tau_j))))*Salcycl</f>
        <v>4.4021432568680775E-2</v>
      </c>
      <c r="P112" s="169">
        <f>(INDEX(Models!$BJ112:$BT112,,T112)*(1-R112)+INDEX(Models!$BJ112:$BT112,,T112+1)*R112-ERP_i)*Q112*Ramure*Pc/MaxiM</f>
        <v>4.4457278404163885E-6</v>
      </c>
      <c r="Q112" s="304">
        <f t="shared" si="28"/>
        <v>0.6</v>
      </c>
      <c r="R112" s="177">
        <f t="shared" si="29"/>
        <v>3.3399674265021773E-2</v>
      </c>
      <c r="S112" s="799">
        <f t="shared" si="30"/>
        <v>1</v>
      </c>
      <c r="T112" s="176">
        <f t="shared" si="31"/>
        <v>7</v>
      </c>
      <c r="U112" s="250">
        <f t="shared" si="32"/>
        <v>1.0333996742650218</v>
      </c>
      <c r="V112" s="382">
        <f t="shared" si="33"/>
        <v>54.817632183660251</v>
      </c>
      <c r="W112" s="400">
        <f t="shared" si="34"/>
        <v>34.469736331413117</v>
      </c>
      <c r="X112" s="157">
        <f t="shared" si="35"/>
        <v>45389</v>
      </c>
      <c r="Y112" s="383">
        <f t="shared" si="36"/>
        <v>33.841908465700335</v>
      </c>
      <c r="Z112" s="383">
        <f t="shared" si="37"/>
        <v>35.092210777309177</v>
      </c>
      <c r="AA112" s="384">
        <f t="shared" si="38"/>
        <v>37.389158295459268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6.1433517705827743E-2</v>
      </c>
      <c r="AD112" s="230">
        <f>(INDEX(Models!$BJ112:$BT112,,AH112)*(1-AF112)+INDEX(Models!$BJ112:$BT112,,AH112+1)*AF112-ERP_i)*AE112*Ramure*Pc/MaxiM</f>
        <v>4.4457278404163885E-6</v>
      </c>
      <c r="AE112" s="304">
        <f t="shared" si="40"/>
        <v>0.6</v>
      </c>
      <c r="AF112" s="177">
        <f t="shared" si="41"/>
        <v>3.3399674265021773E-2</v>
      </c>
      <c r="AG112" s="799">
        <f t="shared" si="49"/>
        <v>1</v>
      </c>
      <c r="AH112" s="176">
        <f t="shared" si="42"/>
        <v>7</v>
      </c>
      <c r="AI112" s="224">
        <f t="shared" si="43"/>
        <v>1.0333996742650218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45390</v>
      </c>
      <c r="B113" s="409">
        <f>IF(t&gt;Tmaj,'2023'!Wh/'2023'!Env_an*'2024'!Env_an,0.001*'[6]mon-tableau'!$B$243)</f>
        <v>33.976972565016027</v>
      </c>
      <c r="C113" s="829"/>
      <c r="D113" s="391">
        <f t="shared" si="25"/>
        <v>35.23294010292998</v>
      </c>
      <c r="E113" s="383">
        <f t="shared" si="47"/>
        <v>36.858951630821451</v>
      </c>
      <c r="F113" s="383">
        <f t="shared" si="26"/>
        <v>36.859018457802065</v>
      </c>
      <c r="G113" s="110">
        <f t="shared" si="48"/>
        <v>0.61781567734930387</v>
      </c>
      <c r="H113" s="412" t="b">
        <f>Wh_hp&gt;='2023'!Maxi_hp</f>
        <v>0</v>
      </c>
      <c r="I113" s="388">
        <f>IF(H113,Wh_hp,'2023'!Maxi_hp)</f>
        <v>41.335283844945479</v>
      </c>
      <c r="J113" s="85">
        <f>IF(H113,An,'2023'!An_max)</f>
        <v>2020</v>
      </c>
      <c r="K113" s="197">
        <f t="shared" si="27"/>
        <v>45390</v>
      </c>
      <c r="L113" s="147">
        <f>IF(t&lt;Tvie,1-EXP((T0-t)*PertePVj)+'2023'!Pspv,1-EXP((T0-t)*PertePVj)+Pspv)</f>
        <v>3.5647537056083145E-2</v>
      </c>
      <c r="M113" s="832"/>
      <c r="N113" s="832"/>
      <c r="O113" s="48">
        <f>IF(t&lt;Tnet,'2023'!Resal+('2023'!Salim-'2023'!Resal)*(1-EXP(('2023'!Tnet-t)/('2023'!Tau_j))),Resal+(Salim-Resal)*(1-EXP((Tnet-t)/(Tau_j))))*Salcycl</f>
        <v>4.4114426915273446E-2</v>
      </c>
      <c r="P113" s="169">
        <f>(INDEX(Models!$BJ113:$BT113,,T113)*(1-R113)+INDEX(Models!$BJ113:$BT113,,T113+1)*R113-ERP_i)*Q113*Ramure*Pc/MaxiM</f>
        <v>3.9932725810103989E-6</v>
      </c>
      <c r="Q113" s="304">
        <f t="shared" si="28"/>
        <v>0.6</v>
      </c>
      <c r="R113" s="177">
        <f t="shared" si="29"/>
        <v>3.4760813252587841E-2</v>
      </c>
      <c r="S113" s="799">
        <f t="shared" si="30"/>
        <v>1</v>
      </c>
      <c r="T113" s="176">
        <f t="shared" si="31"/>
        <v>7</v>
      </c>
      <c r="U113" s="250">
        <f t="shared" si="32"/>
        <v>1.0347608132525878</v>
      </c>
      <c r="V113" s="382">
        <f t="shared" si="33"/>
        <v>54.995202829834646</v>
      </c>
      <c r="W113" s="400">
        <f t="shared" si="34"/>
        <v>33.976972565016027</v>
      </c>
      <c r="X113" s="157">
        <f t="shared" si="35"/>
        <v>45390</v>
      </c>
      <c r="Y113" s="383">
        <f t="shared" si="36"/>
        <v>33.358629872144952</v>
      </c>
      <c r="Z113" s="383">
        <f t="shared" si="37"/>
        <v>34.591740213230487</v>
      </c>
      <c r="AA113" s="384">
        <f t="shared" si="38"/>
        <v>36.858951630821451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6.1510469432210439E-2</v>
      </c>
      <c r="AD113" s="230">
        <f>(INDEX(Models!$BJ113:$BT113,,AH113)*(1-AF113)+INDEX(Models!$BJ113:$BT113,,AH113+1)*AF113-ERP_i)*AE113*Ramure*Pc/MaxiM</f>
        <v>3.9932725810103989E-6</v>
      </c>
      <c r="AE113" s="304">
        <f t="shared" si="40"/>
        <v>0.6</v>
      </c>
      <c r="AF113" s="177">
        <f t="shared" si="41"/>
        <v>3.4760813252587841E-2</v>
      </c>
      <c r="AG113" s="799">
        <f t="shared" si="49"/>
        <v>1</v>
      </c>
      <c r="AH113" s="176">
        <f t="shared" si="42"/>
        <v>7</v>
      </c>
      <c r="AI113" s="224">
        <f t="shared" si="43"/>
        <v>1.0347608132525878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45391</v>
      </c>
      <c r="B114" s="409">
        <f>IF(t&gt;Tmaj,'2023'!Wh/'2023'!Env_an*'2024'!Env_an,0.001*'[6]mon-tableau'!$B$244)</f>
        <v>55.150593807665132</v>
      </c>
      <c r="C114" s="829"/>
      <c r="D114" s="391">
        <f t="shared" si="25"/>
        <v>57.190345745689832</v>
      </c>
      <c r="E114" s="383">
        <f t="shared" si="47"/>
        <v>59.835549342660663</v>
      </c>
      <c r="F114" s="383">
        <f t="shared" si="26"/>
        <v>59.835762219153985</v>
      </c>
      <c r="G114" s="110">
        <f t="shared" si="48"/>
        <v>0.99971258239406835</v>
      </c>
      <c r="H114" s="412" t="b">
        <f>Wh_hp&gt;='2023'!Maxi_hp</f>
        <v>0</v>
      </c>
      <c r="I114" s="388">
        <f>IF(H114,Wh_hp,'2023'!Maxi_hp)</f>
        <v>59.835762256445776</v>
      </c>
      <c r="J114" s="85">
        <f>IF(H114,An,'2023'!An_max)</f>
        <v>2022</v>
      </c>
      <c r="K114" s="197">
        <f t="shared" si="27"/>
        <v>45391</v>
      </c>
      <c r="L114" s="147">
        <f>IF(t&lt;Tvie,1-EXP((T0-t)*PertePVj)+'2023'!Pspv,1-EXP((T0-t)*PertePVj)+Pspv)</f>
        <v>3.566601865103125E-2</v>
      </c>
      <c r="M114" s="832"/>
      <c r="N114" s="832"/>
      <c r="O114" s="48">
        <f>IF(t&lt;Tnet,'2023'!Resal+('2023'!Salim-'2023'!Resal)*(1-EXP(('2023'!Tnet-t)/('2023'!Tau_j))),Resal+(Salim-Resal)*(1-EXP((Tnet-t)/(Tau_j))))*Salcycl</f>
        <v>4.4207893568796772E-2</v>
      </c>
      <c r="P114" s="169">
        <f>(INDEX(Models!$BJ114:$BT114,,T114)*(1-R114)+INDEX(Models!$BJ114:$BT114,,T114+1)*R114-ERP_i)*Q114*Ramure*Pc/MaxiM</f>
        <v>3.5591413435212214E-6</v>
      </c>
      <c r="Q114" s="304">
        <f t="shared" si="28"/>
        <v>0.6</v>
      </c>
      <c r="R114" s="177">
        <f t="shared" si="29"/>
        <v>3.61706193589304E-2</v>
      </c>
      <c r="S114" s="799">
        <f t="shared" si="30"/>
        <v>1</v>
      </c>
      <c r="T114" s="176">
        <f t="shared" si="31"/>
        <v>7</v>
      </c>
      <c r="U114" s="250">
        <f t="shared" si="32"/>
        <v>1.0361706193589304</v>
      </c>
      <c r="V114" s="382">
        <f t="shared" si="33"/>
        <v>55.166449535923135</v>
      </c>
      <c r="W114" s="400">
        <f t="shared" si="34"/>
        <v>55.150593807665132</v>
      </c>
      <c r="X114" s="157">
        <f t="shared" si="35"/>
        <v>45391</v>
      </c>
      <c r="Y114" s="383">
        <f t="shared" si="36"/>
        <v>54.147729706392298</v>
      </c>
      <c r="Z114" s="383">
        <f t="shared" si="37"/>
        <v>56.150390584232213</v>
      </c>
      <c r="AA114" s="384">
        <f t="shared" si="38"/>
        <v>59.835549342660663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6.1588116076692595E-2</v>
      </c>
      <c r="AD114" s="230">
        <f>(INDEX(Models!$BJ114:$BT114,,AH114)*(1-AF114)+INDEX(Models!$BJ114:$BT114,,AH114+1)*AF114-ERP_i)*AE114*Ramure*Pc/MaxiM</f>
        <v>3.5591413435212214E-6</v>
      </c>
      <c r="AE114" s="304">
        <f t="shared" si="40"/>
        <v>0.6</v>
      </c>
      <c r="AF114" s="177">
        <f t="shared" si="41"/>
        <v>3.61706193589304E-2</v>
      </c>
      <c r="AG114" s="799">
        <f t="shared" si="49"/>
        <v>1</v>
      </c>
      <c r="AH114" s="176">
        <f t="shared" si="42"/>
        <v>7</v>
      </c>
      <c r="AI114" s="224">
        <f t="shared" si="43"/>
        <v>1.0361706193589304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45392</v>
      </c>
      <c r="B115" s="409">
        <f>IF(t&gt;Tmaj,'2023'!Wh/'2023'!Env_an*'2024'!Env_an,0.001*'[6]mon-tableau'!$B$245)</f>
        <v>46.126757733755881</v>
      </c>
      <c r="C115" s="829"/>
      <c r="D115" s="391">
        <f t="shared" si="25"/>
        <v>47.833678633786874</v>
      </c>
      <c r="E115" s="383">
        <f t="shared" si="47"/>
        <v>50.051031787553136</v>
      </c>
      <c r="F115" s="383">
        <f t="shared" si="26"/>
        <v>50.051152035240463</v>
      </c>
      <c r="G115" s="110">
        <f t="shared" si="48"/>
        <v>0.83364351920410351</v>
      </c>
      <c r="H115" s="412" t="b">
        <f>Wh_hp&gt;='2023'!Maxi_hp</f>
        <v>0</v>
      </c>
      <c r="I115" s="388">
        <f>IF(H115,Wh_hp,'2023'!Maxi_hp)</f>
        <v>61.040326499043537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3.5684499891783905E-2</v>
      </c>
      <c r="M115" s="832"/>
      <c r="N115" s="832"/>
      <c r="O115" s="48">
        <f>IF(t&lt;Tnet,'2023'!Resal+('2023'!Salim-'2023'!Resal)*(1-EXP(('2023'!Tnet-t)/('2023'!Tau_j))),Resal+(Salim-Resal)*(1-EXP((Tnet-t)/(Tau_j))))*Salcycl</f>
        <v>4.4301847026411961E-2</v>
      </c>
      <c r="P115" s="169">
        <f>(INDEX(Models!$BJ115:$BT115,,T115)*(1-R115)+INDEX(Models!$BJ115:$BT115,,T115+1)*R115-ERP_i)*Q115*Ramure*Pc/MaxiM</f>
        <v>3.1514393011685936E-6</v>
      </c>
      <c r="Q115" s="304">
        <f t="shared" si="28"/>
        <v>0.6</v>
      </c>
      <c r="R115" s="177">
        <f t="shared" si="29"/>
        <v>3.7630494824827387E-2</v>
      </c>
      <c r="S115" s="799">
        <f t="shared" si="30"/>
        <v>1</v>
      </c>
      <c r="T115" s="176">
        <f t="shared" si="31"/>
        <v>7</v>
      </c>
      <c r="U115" s="250">
        <f t="shared" si="32"/>
        <v>1.0376304948248274</v>
      </c>
      <c r="V115" s="382">
        <f t="shared" si="33"/>
        <v>55.331472175756822</v>
      </c>
      <c r="W115" s="400">
        <f t="shared" si="34"/>
        <v>46.126757733755881</v>
      </c>
      <c r="X115" s="157">
        <f t="shared" si="35"/>
        <v>45392</v>
      </c>
      <c r="Y115" s="383">
        <f t="shared" si="36"/>
        <v>45.288654168546365</v>
      </c>
      <c r="Z115" s="383">
        <f t="shared" si="37"/>
        <v>46.964561041966085</v>
      </c>
      <c r="AA115" s="384">
        <f t="shared" si="38"/>
        <v>50.051031787553136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6.1666475901793687E-2</v>
      </c>
      <c r="AD115" s="230">
        <f>(INDEX(Models!$BJ115:$BT115,,AH115)*(1-AF115)+INDEX(Models!$BJ115:$BT115,,AH115+1)*AF115-ERP_i)*AE115*Ramure*Pc/MaxiM</f>
        <v>3.1514393011685936E-6</v>
      </c>
      <c r="AE115" s="304">
        <f t="shared" si="40"/>
        <v>0.6</v>
      </c>
      <c r="AF115" s="177">
        <f t="shared" si="41"/>
        <v>3.7630494824827387E-2</v>
      </c>
      <c r="AG115" s="799">
        <f t="shared" si="49"/>
        <v>1</v>
      </c>
      <c r="AH115" s="176">
        <f t="shared" si="42"/>
        <v>7</v>
      </c>
      <c r="AI115" s="224">
        <f t="shared" si="43"/>
        <v>1.0376304948248274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45393</v>
      </c>
      <c r="B116" s="409">
        <f>IF(t&gt;Tmaj,'2023'!Wh/'2023'!Env_an*'2024'!Env_an,0.001*'[6]mon-tableau'!$B$246)</f>
        <v>38.352620727648024</v>
      </c>
      <c r="C116" s="829"/>
      <c r="D116" s="391">
        <f t="shared" si="25"/>
        <v>39.772621882213173</v>
      </c>
      <c r="E116" s="383">
        <f t="shared" si="47"/>
        <v>41.620414335521481</v>
      </c>
      <c r="F116" s="383">
        <f t="shared" si="26"/>
        <v>41.620478756148088</v>
      </c>
      <c r="G116" s="110">
        <f t="shared" si="48"/>
        <v>0.69115727849659847</v>
      </c>
      <c r="H116" s="412" t="b">
        <f>Wh_hp&gt;='2023'!Maxi_hp</f>
        <v>0</v>
      </c>
      <c r="I116" s="388">
        <f>IF(H116,Wh_hp,'2023'!Maxi_hp)</f>
        <v>60.002961591028409</v>
      </c>
      <c r="J116" s="85">
        <f>IF(H116,An,'2023'!An_max)</f>
        <v>2020</v>
      </c>
      <c r="K116" s="197">
        <f t="shared" si="27"/>
        <v>45393</v>
      </c>
      <c r="L116" s="147">
        <f>IF(t&lt;Tvie,1-EXP((T0-t)*PertePVj)+'2023'!Pspv,1-EXP((T0-t)*PertePVj)+Pspv)</f>
        <v>3.570298077834777E-2</v>
      </c>
      <c r="M116" s="832"/>
      <c r="N116" s="832"/>
      <c r="O116" s="48">
        <f>IF(t&lt;Tnet,'2023'!Resal+('2023'!Salim-'2023'!Resal)*(1-EXP(('2023'!Tnet-t)/('2023'!Tau_j))),Resal+(Salim-Resal)*(1-EXP((Tnet-t)/(Tau_j))))*Salcycl</f>
        <v>4.4396301257656791E-2</v>
      </c>
      <c r="P116" s="169">
        <f>(INDEX(Models!$BJ116:$BT116,,T116)*(1-R116)+INDEX(Models!$BJ116:$BT116,,T116+1)*R116-ERP_i)*Q116*Ramure*Pc/MaxiM</f>
        <v>2.7698966154696663E-6</v>
      </c>
      <c r="Q116" s="304">
        <f t="shared" si="28"/>
        <v>0.6</v>
      </c>
      <c r="R116" s="177">
        <f t="shared" si="29"/>
        <v>3.914185569345574E-2</v>
      </c>
      <c r="S116" s="799">
        <f t="shared" si="30"/>
        <v>1</v>
      </c>
      <c r="T116" s="176">
        <f t="shared" si="31"/>
        <v>7</v>
      </c>
      <c r="U116" s="250">
        <f t="shared" si="32"/>
        <v>1.0391418556934557</v>
      </c>
      <c r="V116" s="382">
        <f t="shared" si="33"/>
        <v>55.490371078499059</v>
      </c>
      <c r="W116" s="400">
        <f t="shared" si="34"/>
        <v>38.352620727648024</v>
      </c>
      <c r="X116" s="157">
        <f t="shared" si="35"/>
        <v>45393</v>
      </c>
      <c r="Y116" s="383">
        <f t="shared" si="36"/>
        <v>37.656317661571101</v>
      </c>
      <c r="Z116" s="383">
        <f t="shared" si="37"/>
        <v>39.050538279135196</v>
      </c>
      <c r="AA116" s="384">
        <f t="shared" si="38"/>
        <v>41.620414335521481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6.1745566386469039E-2</v>
      </c>
      <c r="AD116" s="230">
        <f>(INDEX(Models!$BJ116:$BT116,,AH116)*(1-AF116)+INDEX(Models!$BJ116:$BT116,,AH116+1)*AF116-ERP_i)*AE116*Ramure*Pc/MaxiM</f>
        <v>2.7698966154696663E-6</v>
      </c>
      <c r="AE116" s="304">
        <f t="shared" si="40"/>
        <v>0.6</v>
      </c>
      <c r="AF116" s="177">
        <f t="shared" si="41"/>
        <v>3.914185569345574E-2</v>
      </c>
      <c r="AG116" s="799">
        <f t="shared" si="49"/>
        <v>1</v>
      </c>
      <c r="AH116" s="176">
        <f t="shared" si="42"/>
        <v>7</v>
      </c>
      <c r="AI116" s="224">
        <f t="shared" si="43"/>
        <v>1.0391418556934557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45394</v>
      </c>
      <c r="B117" s="409">
        <f>IF(t&gt;Tmaj,'2023'!Wh/'2023'!Env_an*'2024'!Env_an,0.001*'[6]mon-tableau'!$B$247)</f>
        <v>7.7820400665058562</v>
      </c>
      <c r="C117" s="829"/>
      <c r="D117" s="391">
        <f t="shared" si="25"/>
        <v>8.0703238268518032</v>
      </c>
      <c r="E117" s="383">
        <f t="shared" si="47"/>
        <v>8.4461016113094001</v>
      </c>
      <c r="F117" s="383">
        <f t="shared" si="26"/>
        <v>8.4461016113094001</v>
      </c>
      <c r="G117" s="110">
        <f t="shared" si="48"/>
        <v>0.13985562955235739</v>
      </c>
      <c r="H117" s="412" t="b">
        <f>Wh_hp&gt;='2023'!Maxi_hp</f>
        <v>0</v>
      </c>
      <c r="I117" s="388">
        <f>IF(H117,Wh_hp,'2023'!Maxi_hp)</f>
        <v>59.530054657867453</v>
      </c>
      <c r="J117" s="85">
        <f>IF(H117,An,'2023'!An_max)</f>
        <v>2018</v>
      </c>
      <c r="K117" s="197">
        <f t="shared" si="27"/>
        <v>45394</v>
      </c>
      <c r="L117" s="147">
        <f>IF(t&lt;Tvie,1-EXP((T0-t)*PertePVj)+'2023'!Pspv,1-EXP((T0-t)*PertePVj)+Pspv)</f>
        <v>3.5721461310729619E-2</v>
      </c>
      <c r="M117" s="832"/>
      <c r="N117" s="832"/>
      <c r="O117" s="48">
        <f>IF(t&lt;Tnet,'2023'!Resal+('2023'!Salim-'2023'!Resal)*(1-EXP(('2023'!Tnet-t)/('2023'!Tau_j))),Resal+(Salim-Resal)*(1-EXP((Tnet-t)/(Tau_j))))*Salcycl</f>
        <v>4.4491269671019323E-2</v>
      </c>
      <c r="P117" s="169">
        <f>(INDEX(Models!$BJ117:$BT117,,T117)*(1-R117)+INDEX(Models!$BJ117:$BT117,,T117+1)*R117-ERP_i)*Q117*Ramure*Pc/MaxiM</f>
        <v>2.4142982356364292E-6</v>
      </c>
      <c r="Q117" s="304">
        <f t="shared" si="28"/>
        <v>0.6</v>
      </c>
      <c r="R117" s="177">
        <f t="shared" si="29"/>
        <v>4.0706129626377319E-2</v>
      </c>
      <c r="S117" s="799">
        <f t="shared" si="30"/>
        <v>1</v>
      </c>
      <c r="T117" s="176">
        <f t="shared" si="31"/>
        <v>7</v>
      </c>
      <c r="U117" s="250">
        <f t="shared" si="32"/>
        <v>1.0407061296263773</v>
      </c>
      <c r="V117" s="382">
        <f t="shared" si="33"/>
        <v>55.64324656253411</v>
      </c>
      <c r="W117" s="400">
        <f t="shared" si="34"/>
        <v>7.7820400665058562</v>
      </c>
      <c r="X117" s="157">
        <f t="shared" si="35"/>
        <v>45394</v>
      </c>
      <c r="Y117" s="383">
        <f t="shared" si="36"/>
        <v>7.6408640363853806</v>
      </c>
      <c r="Z117" s="383">
        <f t="shared" si="37"/>
        <v>7.9239179654163978</v>
      </c>
      <c r="AA117" s="384">
        <f t="shared" si="38"/>
        <v>8.4461016113094001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6.18254041833683E-2</v>
      </c>
      <c r="AD117" s="230">
        <f>(INDEX(Models!$BJ117:$BT117,,AH117)*(1-AF117)+INDEX(Models!$BJ117:$BT117,,AH117+1)*AF117-ERP_i)*AE117*Ramure*Pc/MaxiM</f>
        <v>2.4142982356364292E-6</v>
      </c>
      <c r="AE117" s="304">
        <f t="shared" si="40"/>
        <v>0.6</v>
      </c>
      <c r="AF117" s="177">
        <f t="shared" si="41"/>
        <v>4.0706129626377319E-2</v>
      </c>
      <c r="AG117" s="799">
        <f t="shared" si="49"/>
        <v>1</v>
      </c>
      <c r="AH117" s="176">
        <f t="shared" si="42"/>
        <v>7</v>
      </c>
      <c r="AI117" s="224">
        <f t="shared" si="43"/>
        <v>1.0407061296263773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45395</v>
      </c>
      <c r="B118" s="409">
        <f>IF(t&gt;Tmaj,'2023'!Wh/'2023'!Env_an*'2024'!Env_an,0.001*'[6]mon-tableau'!$B$248)</f>
        <v>40.295660752540755</v>
      </c>
      <c r="C118" s="829"/>
      <c r="D118" s="391">
        <f t="shared" si="25"/>
        <v>41.789204475359291</v>
      </c>
      <c r="E118" s="383">
        <f t="shared" si="47"/>
        <v>43.739402959857458</v>
      </c>
      <c r="F118" s="383">
        <f t="shared" si="26"/>
        <v>43.73945796022015</v>
      </c>
      <c r="G118" s="110">
        <f t="shared" si="48"/>
        <v>0.72227072473704956</v>
      </c>
      <c r="H118" s="412" t="b">
        <f>Wh_hp&gt;='2023'!Maxi_hp</f>
        <v>0</v>
      </c>
      <c r="I118" s="388">
        <f>IF(H118,Wh_hp,'2023'!Maxi_hp)</f>
        <v>58.540655243985405</v>
      </c>
      <c r="J118" s="85">
        <f>IF(H118,An,'2023'!An_max)</f>
        <v>2021</v>
      </c>
      <c r="K118" s="197">
        <f t="shared" si="27"/>
        <v>45395</v>
      </c>
      <c r="L118" s="147">
        <f>IF(t&lt;Tvie,1-EXP((T0-t)*PertePVj)+'2023'!Pspv,1-EXP((T0-t)*PertePVj)+Pspv)</f>
        <v>3.5739941488936333E-2</v>
      </c>
      <c r="M118" s="832"/>
      <c r="N118" s="832"/>
      <c r="O118" s="48">
        <f>IF(t&lt;Tnet,'2023'!Resal+('2023'!Salim-'2023'!Resal)*(1-EXP(('2023'!Tnet-t)/('2023'!Tau_j))),Resal+(Salim-Resal)*(1-EXP((Tnet-t)/(Tau_j))))*Salcycl</f>
        <v>4.4586765079715221E-2</v>
      </c>
      <c r="P118" s="169">
        <f>(INDEX(Models!$BJ118:$BT118,,T118)*(1-R118)+INDEX(Models!$BJ118:$BT118,,T118+1)*R118-ERP_i)*Q118*Ramure*Pc/MaxiM</f>
        <v>2.0844842052914859E-6</v>
      </c>
      <c r="Q118" s="304">
        <f t="shared" si="28"/>
        <v>0.6</v>
      </c>
      <c r="R118" s="177">
        <f t="shared" si="29"/>
        <v>4.2324753505941004E-2</v>
      </c>
      <c r="S118" s="799">
        <f t="shared" si="30"/>
        <v>1</v>
      </c>
      <c r="T118" s="176">
        <f t="shared" si="31"/>
        <v>7</v>
      </c>
      <c r="U118" s="250">
        <f t="shared" si="32"/>
        <v>1.042324753505941</v>
      </c>
      <c r="V118" s="382">
        <f t="shared" si="33"/>
        <v>55.790198947141526</v>
      </c>
      <c r="W118" s="400">
        <f t="shared" si="34"/>
        <v>40.295660752540755</v>
      </c>
      <c r="X118" s="157">
        <f t="shared" si="35"/>
        <v>45395</v>
      </c>
      <c r="Y118" s="383">
        <f t="shared" si="36"/>
        <v>39.565201728276932</v>
      </c>
      <c r="Z118" s="383">
        <f t="shared" si="37"/>
        <v>41.03167125823969</v>
      </c>
      <c r="AA118" s="384">
        <f t="shared" si="38"/>
        <v>43.739402959857458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6.1906005075168358E-2</v>
      </c>
      <c r="AD118" s="230">
        <f>(INDEX(Models!$BJ118:$BT118,,AH118)*(1-AF118)+INDEX(Models!$BJ118:$BT118,,AH118+1)*AF118-ERP_i)*AE118*Ramure*Pc/MaxiM</f>
        <v>2.0844842052914859E-6</v>
      </c>
      <c r="AE118" s="304">
        <f t="shared" si="40"/>
        <v>0.6</v>
      </c>
      <c r="AF118" s="177">
        <f t="shared" si="41"/>
        <v>4.2324753505941004E-2</v>
      </c>
      <c r="AG118" s="799">
        <f t="shared" si="49"/>
        <v>1</v>
      </c>
      <c r="AH118" s="176">
        <f t="shared" si="42"/>
        <v>7</v>
      </c>
      <c r="AI118" s="224">
        <f t="shared" si="43"/>
        <v>1.042324753505941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45396</v>
      </c>
      <c r="B119" s="409">
        <f>IF(t&gt;Tmaj,'2023'!Wh/'2023'!Env_an*'2024'!Env_an,0.001*'[6]mon-tableau'!$B$249)</f>
        <v>43.42417016006592</v>
      </c>
      <c r="C119" s="829"/>
      <c r="D119" s="391">
        <f t="shared" si="25"/>
        <v>45.034534000488883</v>
      </c>
      <c r="E119" s="383">
        <f t="shared" si="47"/>
        <v>47.140922391814868</v>
      </c>
      <c r="F119" s="383">
        <f t="shared" si="26"/>
        <v>47.140979508476484</v>
      </c>
      <c r="G119" s="110">
        <f t="shared" si="48"/>
        <v>0.7763832290851308</v>
      </c>
      <c r="H119" s="412" t="b">
        <f>Wh_hp&gt;='2023'!Maxi_hp</f>
        <v>0</v>
      </c>
      <c r="I119" s="388">
        <f>IF(H119,Wh_hp,'2023'!Maxi_hp)</f>
        <v>59.383919600806216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3.5758421312974686E-2</v>
      </c>
      <c r="M119" s="832"/>
      <c r="N119" s="832"/>
      <c r="O119" s="48">
        <f>IF(t&lt;Tnet,'2023'!Resal+('2023'!Salim-'2023'!Resal)*(1-EXP(('2023'!Tnet-t)/('2023'!Tau_j))),Resal+(Salim-Resal)*(1-EXP((Tnet-t)/(Tau_j))))*Salcycl</f>
        <v>4.468279966646814E-2</v>
      </c>
      <c r="P119" s="169">
        <f>(INDEX(Models!$BJ119:$BT119,,T119)*(1-R119)+INDEX(Models!$BJ119:$BT119,,T119+1)*R119-ERP_i)*Q119*Ramure*Pc/MaxiM</f>
        <v>1.780349992452856E-6</v>
      </c>
      <c r="Q119" s="304">
        <f t="shared" si="28"/>
        <v>0.6</v>
      </c>
      <c r="R119" s="177">
        <f t="shared" si="29"/>
        <v>4.3999170815472333E-2</v>
      </c>
      <c r="S119" s="799">
        <f t="shared" si="30"/>
        <v>1</v>
      </c>
      <c r="T119" s="176">
        <f t="shared" si="31"/>
        <v>7</v>
      </c>
      <c r="U119" s="250">
        <f t="shared" si="32"/>
        <v>1.0439991708154723</v>
      </c>
      <c r="V119" s="382">
        <f t="shared" si="33"/>
        <v>55.931328545451606</v>
      </c>
      <c r="W119" s="400">
        <f t="shared" si="34"/>
        <v>43.42417016006592</v>
      </c>
      <c r="X119" s="157">
        <f t="shared" si="35"/>
        <v>45396</v>
      </c>
      <c r="Y119" s="383">
        <f t="shared" si="36"/>
        <v>42.637586173790261</v>
      </c>
      <c r="Z119" s="383">
        <f t="shared" si="37"/>
        <v>44.218779936712956</v>
      </c>
      <c r="AA119" s="384">
        <f t="shared" si="38"/>
        <v>47.140922391814868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6.1987383929706277E-2</v>
      </c>
      <c r="AD119" s="230">
        <f>(INDEX(Models!$BJ119:$BT119,,AH119)*(1-AF119)+INDEX(Models!$BJ119:$BT119,,AH119+1)*AF119-ERP_i)*AE119*Ramure*Pc/MaxiM</f>
        <v>1.780349992452856E-6</v>
      </c>
      <c r="AE119" s="304">
        <f t="shared" si="40"/>
        <v>0.6</v>
      </c>
      <c r="AF119" s="177">
        <f t="shared" si="41"/>
        <v>4.3999170815472333E-2</v>
      </c>
      <c r="AG119" s="799">
        <f t="shared" si="49"/>
        <v>1</v>
      </c>
      <c r="AH119" s="176">
        <f t="shared" si="42"/>
        <v>7</v>
      </c>
      <c r="AI119" s="224">
        <f t="shared" si="43"/>
        <v>1.0439991708154723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45397</v>
      </c>
      <c r="B120" s="409">
        <f>IF(t&gt;Tmaj,'2023'!Wh/'2023'!Env_an*'2024'!Env_an,0.001*'[6]mon-tableau'!$B$250)</f>
        <v>41.874110663644245</v>
      </c>
      <c r="C120" s="829"/>
      <c r="D120" s="391">
        <f t="shared" si="25"/>
        <v>43.427823599789072</v>
      </c>
      <c r="E120" s="383">
        <f t="shared" si="47"/>
        <v>45.463658253841885</v>
      </c>
      <c r="F120" s="383">
        <f t="shared" si="26"/>
        <v>45.463701841723115</v>
      </c>
      <c r="G120" s="110">
        <f t="shared" si="48"/>
        <v>0.74686152878892043</v>
      </c>
      <c r="H120" s="412" t="b">
        <f>Wh_hp&gt;='2023'!Maxi_hp</f>
        <v>0</v>
      </c>
      <c r="I120" s="388">
        <f>IF(H120,Wh_hp,'2023'!Maxi_hp)</f>
        <v>56.502985475141656</v>
      </c>
      <c r="J120" s="85">
        <f>IF(H120,An,'2023'!An_max)</f>
        <v>2020</v>
      </c>
      <c r="K120" s="197">
        <f t="shared" si="27"/>
        <v>45397</v>
      </c>
      <c r="L120" s="147">
        <f>IF(t&lt;Tvie,1-EXP((T0-t)*PertePVj)+'2023'!Pspv,1-EXP((T0-t)*PertePVj)+Pspv)</f>
        <v>3.577690078285134E-2</v>
      </c>
      <c r="M120" s="832"/>
      <c r="N120" s="832"/>
      <c r="O120" s="48">
        <f>IF(t&lt;Tnet,'2023'!Resal+('2023'!Salim-'2023'!Resal)*(1-EXP(('2023'!Tnet-t)/('2023'!Tau_j))),Resal+(Salim-Resal)*(1-EXP((Tnet-t)/(Tau_j))))*Salcycl</f>
        <v>4.4779384947113782E-2</v>
      </c>
      <c r="P120" s="169">
        <f>(INDEX(Models!$BJ120:$BT120,,T120)*(1-R120)+INDEX(Models!$BJ120:$BT120,,T120+1)*R120-ERP_i)*Q120*Ramure*Pc/MaxiM</f>
        <v>1.5018468318330867E-6</v>
      </c>
      <c r="Q120" s="304">
        <f t="shared" si="28"/>
        <v>0.6</v>
      </c>
      <c r="R120" s="177">
        <f t="shared" si="29"/>
        <v>4.5730828789114719E-2</v>
      </c>
      <c r="S120" s="799">
        <f t="shared" si="30"/>
        <v>1</v>
      </c>
      <c r="T120" s="176">
        <f t="shared" si="31"/>
        <v>7</v>
      </c>
      <c r="U120" s="250">
        <f t="shared" si="32"/>
        <v>1.0457308287891147</v>
      </c>
      <c r="V120" s="382">
        <f t="shared" si="33"/>
        <v>56.066735676449895</v>
      </c>
      <c r="W120" s="400">
        <f t="shared" si="34"/>
        <v>41.874110663644245</v>
      </c>
      <c r="X120" s="157">
        <f t="shared" si="35"/>
        <v>45397</v>
      </c>
      <c r="Y120" s="383">
        <f t="shared" si="36"/>
        <v>41.116159601579511</v>
      </c>
      <c r="Z120" s="383">
        <f t="shared" si="37"/>
        <v>42.641749233099333</v>
      </c>
      <c r="AA120" s="384">
        <f t="shared" si="38"/>
        <v>45.463658253841885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6.2069554653668577E-2</v>
      </c>
      <c r="AD120" s="230">
        <f>(INDEX(Models!$BJ120:$BT120,,AH120)*(1-AF120)+INDEX(Models!$BJ120:$BT120,,AH120+1)*AF120-ERP_i)*AE120*Ramure*Pc/MaxiM</f>
        <v>1.5018468318330867E-6</v>
      </c>
      <c r="AE120" s="304">
        <f t="shared" si="40"/>
        <v>0.6</v>
      </c>
      <c r="AF120" s="177">
        <f t="shared" si="41"/>
        <v>4.5730828789114719E-2</v>
      </c>
      <c r="AG120" s="799">
        <f t="shared" si="49"/>
        <v>1</v>
      </c>
      <c r="AH120" s="176">
        <f t="shared" si="42"/>
        <v>7</v>
      </c>
      <c r="AI120" s="224">
        <f t="shared" si="43"/>
        <v>1.0457308287891147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45398</v>
      </c>
      <c r="B121" s="409">
        <f>IF(t&gt;Tmaj,'2023'!Wh/'2023'!Env_an*'2024'!Env_an,0.001*'[6]mon-tableau'!$B$251)</f>
        <v>54.062924180782083</v>
      </c>
      <c r="C121" s="829"/>
      <c r="D121" s="391">
        <f t="shared" si="25"/>
        <v>56.069970059980719</v>
      </c>
      <c r="E121" s="383">
        <f t="shared" si="47"/>
        <v>58.704420865825931</v>
      </c>
      <c r="F121" s="383">
        <f t="shared" si="26"/>
        <v>58.704490213897586</v>
      </c>
      <c r="G121" s="110">
        <f t="shared" si="48"/>
        <v>0.96205587184671904</v>
      </c>
      <c r="H121" s="412" t="b">
        <f>Wh_hp&gt;='2023'!Maxi_hp</f>
        <v>0</v>
      </c>
      <c r="I121" s="388">
        <f>IF(H121,Wh_hp,'2023'!Maxi_hp)</f>
        <v>58.704491889636252</v>
      </c>
      <c r="J121" s="85">
        <f>IF(H121,An,'2023'!An_max)</f>
        <v>2022</v>
      </c>
      <c r="K121" s="197">
        <f t="shared" si="27"/>
        <v>45398</v>
      </c>
      <c r="L121" s="147">
        <f>IF(t&lt;Tvie,1-EXP((T0-t)*PertePVj)+'2023'!Pspv,1-EXP((T0-t)*PertePVj)+Pspv)</f>
        <v>3.5795379898573176E-2</v>
      </c>
      <c r="M121" s="832"/>
      <c r="N121" s="832"/>
      <c r="O121" s="48">
        <f>IF(t&lt;Tnet,'2023'!Resal+('2023'!Salim-'2023'!Resal)*(1-EXP(('2023'!Tnet-t)/('2023'!Tau_j))),Resal+(Salim-Resal)*(1-EXP((Tnet-t)/(Tau_j))))*Salcycl</f>
        <v>4.487653173287371E-2</v>
      </c>
      <c r="P121" s="169">
        <f>(INDEX(Models!$BJ121:$BT121,,T121)*(1-R121)+INDEX(Models!$BJ121:$BT121,,T121+1)*R121-ERP_i)*Q121*Ramure*Pc/MaxiM</f>
        <v>1.249011461831208E-6</v>
      </c>
      <c r="Q121" s="304">
        <f t="shared" si="28"/>
        <v>0.6</v>
      </c>
      <c r="R121" s="177">
        <f t="shared" si="29"/>
        <v>4.7521175323791631E-2</v>
      </c>
      <c r="S121" s="799">
        <f t="shared" si="30"/>
        <v>1</v>
      </c>
      <c r="T121" s="176">
        <f t="shared" si="31"/>
        <v>7</v>
      </c>
      <c r="U121" s="250">
        <f t="shared" si="32"/>
        <v>1.0475211753237916</v>
      </c>
      <c r="V121" s="382">
        <f t="shared" si="33"/>
        <v>56.195198327455344</v>
      </c>
      <c r="W121" s="400">
        <f t="shared" si="34"/>
        <v>54.062924180782083</v>
      </c>
      <c r="X121" s="157">
        <f t="shared" si="35"/>
        <v>45398</v>
      </c>
      <c r="Y121" s="383">
        <f t="shared" si="36"/>
        <v>53.085049567380956</v>
      </c>
      <c r="Z121" s="383">
        <f t="shared" si="37"/>
        <v>55.05579257833967</v>
      </c>
      <c r="AA121" s="384">
        <f t="shared" si="38"/>
        <v>58.704420865825931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6.2152530144629563E-2</v>
      </c>
      <c r="AD121" s="230">
        <f>(INDEX(Models!$BJ121:$BT121,,AH121)*(1-AF121)+INDEX(Models!$BJ121:$BT121,,AH121+1)*AF121-ERP_i)*AE121*Ramure*Pc/MaxiM</f>
        <v>1.249011461831208E-6</v>
      </c>
      <c r="AE121" s="304">
        <f t="shared" si="40"/>
        <v>0.6</v>
      </c>
      <c r="AF121" s="177">
        <f t="shared" si="41"/>
        <v>4.7521175323791631E-2</v>
      </c>
      <c r="AG121" s="799">
        <f t="shared" si="49"/>
        <v>1</v>
      </c>
      <c r="AH121" s="176">
        <f t="shared" si="42"/>
        <v>7</v>
      </c>
      <c r="AI121" s="224">
        <f t="shared" si="43"/>
        <v>1.0475211753237916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45399</v>
      </c>
      <c r="B122" s="409">
        <f>IF(t&gt;Tmaj,'2023'!Wh/'2023'!Env_an*'2024'!Env_an,0.001*'[6]mon-tableau'!$B$252)</f>
        <v>35.903766655597146</v>
      </c>
      <c r="C122" s="829"/>
      <c r="D122" s="391">
        <f t="shared" si="25"/>
        <v>37.237380953956183</v>
      </c>
      <c r="E122" s="383">
        <f t="shared" si="47"/>
        <v>38.99097061781967</v>
      </c>
      <c r="F122" s="383">
        <f t="shared" si="26"/>
        <v>38.990989989137724</v>
      </c>
      <c r="G122" s="110">
        <f t="shared" si="48"/>
        <v>0.6375435238184245</v>
      </c>
      <c r="H122" s="412" t="b">
        <f>Wh_hp&gt;='2023'!Maxi_hp</f>
        <v>0</v>
      </c>
      <c r="I122" s="388">
        <f>IF(H122,Wh_hp,'2023'!Maxi_hp)</f>
        <v>44.767493272933869</v>
      </c>
      <c r="J122" s="85">
        <f>IF(H122,An,'2023'!An_max)</f>
        <v>2021</v>
      </c>
      <c r="K122" s="197">
        <f t="shared" si="27"/>
        <v>45399</v>
      </c>
      <c r="L122" s="147">
        <f>IF(t&lt;Tvie,1-EXP((T0-t)*PertePVj)+'2023'!Pspv,1-EXP((T0-t)*PertePVj)+Pspv)</f>
        <v>3.5813858660146969E-2</v>
      </c>
      <c r="M122" s="832"/>
      <c r="N122" s="832"/>
      <c r="O122" s="48">
        <f>IF(t&lt;Tnet,'2023'!Resal+('2023'!Salim-'2023'!Resal)*(1-EXP(('2023'!Tnet-t)/('2023'!Tau_j))),Resal+(Salim-Resal)*(1-EXP((Tnet-t)/(Tau_j))))*Salcycl</f>
        <v>4.4974250091175123E-2</v>
      </c>
      <c r="P122" s="169">
        <f>(INDEX(Models!$BJ122:$BT122,,T122)*(1-R122)+INDEX(Models!$BJ122:$BT122,,T122+1)*R122-ERP_i)*Q122*Ramure*Pc/MaxiM</f>
        <v>1.0302977042129869E-6</v>
      </c>
      <c r="Q122" s="304">
        <f t="shared" si="28"/>
        <v>0.6</v>
      </c>
      <c r="R122" s="177">
        <f t="shared" si="29"/>
        <v>4.9371655646514467E-2</v>
      </c>
      <c r="S122" s="799">
        <f t="shared" si="30"/>
        <v>1</v>
      </c>
      <c r="T122" s="176">
        <f t="shared" si="31"/>
        <v>7</v>
      </c>
      <c r="U122" s="250">
        <f t="shared" si="32"/>
        <v>1.0493716556465145</v>
      </c>
      <c r="V122" s="382">
        <f t="shared" si="33"/>
        <v>56.315759097544039</v>
      </c>
      <c r="W122" s="400">
        <f t="shared" si="34"/>
        <v>35.903766655597146</v>
      </c>
      <c r="X122" s="157">
        <f t="shared" si="35"/>
        <v>45399</v>
      </c>
      <c r="Y122" s="383">
        <f t="shared" si="36"/>
        <v>35.254806760506938</v>
      </c>
      <c r="Z122" s="383">
        <f t="shared" si="37"/>
        <v>36.564316005948946</v>
      </c>
      <c r="AA122" s="384">
        <f t="shared" si="38"/>
        <v>38.99097061781967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6.2236322241275448E-2</v>
      </c>
      <c r="AD122" s="230">
        <f>(INDEX(Models!$BJ122:$BT122,,AH122)*(1-AF122)+INDEX(Models!$BJ122:$BT122,,AH122+1)*AF122-ERP_i)*AE122*Ramure*Pc/MaxiM</f>
        <v>1.0302977042129869E-6</v>
      </c>
      <c r="AE122" s="304">
        <f t="shared" si="40"/>
        <v>0.6</v>
      </c>
      <c r="AF122" s="177">
        <f t="shared" si="41"/>
        <v>4.9371655646514467E-2</v>
      </c>
      <c r="AG122" s="799">
        <f t="shared" si="49"/>
        <v>1</v>
      </c>
      <c r="AH122" s="176">
        <f t="shared" si="42"/>
        <v>7</v>
      </c>
      <c r="AI122" s="224">
        <f t="shared" si="43"/>
        <v>1.0493716556465145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45400</v>
      </c>
      <c r="B123" s="409">
        <f>IF(t&gt;Tmaj,'2023'!Wh/'2023'!Env_an*'2024'!Env_an,0.001*'[6]mon-tableau'!$B$253)</f>
        <v>9.0605931409341078</v>
      </c>
      <c r="C123" s="829"/>
      <c r="D123" s="391">
        <f t="shared" si="25"/>
        <v>9.3973211187950572</v>
      </c>
      <c r="E123" s="383">
        <f t="shared" si="47"/>
        <v>9.840874416119183</v>
      </c>
      <c r="F123" s="383">
        <f t="shared" si="26"/>
        <v>9.840874416119183</v>
      </c>
      <c r="G123" s="110">
        <f t="shared" si="48"/>
        <v>0.16056635767533617</v>
      </c>
      <c r="H123" s="412" t="b">
        <f>Wh_hp&gt;='2023'!Maxi_hp</f>
        <v>0</v>
      </c>
      <c r="I123" s="388">
        <f>IF(H123,Wh_hp,'2023'!Maxi_hp)</f>
        <v>58.622323149510997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3.58323370675796E-2</v>
      </c>
      <c r="M123" s="832"/>
      <c r="N123" s="832"/>
      <c r="O123" s="48">
        <f>IF(t&lt;Tnet,'2023'!Resal+('2023'!Salim-'2023'!Resal)*(1-EXP(('2023'!Tnet-t)/('2023'!Tau_j))),Resal+(Salim-Resal)*(1-EXP((Tnet-t)/(Tau_j))))*Salcycl</f>
        <v>4.5072549304926886E-2</v>
      </c>
      <c r="P123" s="169">
        <f>(INDEX(Models!$BJ123:$BT123,,T123)*(1-R123)+INDEX(Models!$BJ123:$BT123,,T123+1)*R123-ERP_i)*Q123*Ramure*Pc/MaxiM</f>
        <v>8.3622988572075275E-7</v>
      </c>
      <c r="Q123" s="304">
        <f t="shared" si="28"/>
        <v>0.6</v>
      </c>
      <c r="R123" s="177">
        <f t="shared" si="29"/>
        <v>5.128370873115129E-2</v>
      </c>
      <c r="S123" s="799">
        <f t="shared" si="30"/>
        <v>1</v>
      </c>
      <c r="T123" s="176">
        <f t="shared" si="31"/>
        <v>7</v>
      </c>
      <c r="U123" s="250">
        <f t="shared" si="32"/>
        <v>1.0512837087311513</v>
      </c>
      <c r="V123" s="382">
        <f t="shared" si="33"/>
        <v>56.428916339472373</v>
      </c>
      <c r="W123" s="400">
        <f t="shared" si="34"/>
        <v>9.0605931409341078</v>
      </c>
      <c r="X123" s="157">
        <f t="shared" si="35"/>
        <v>45400</v>
      </c>
      <c r="Y123" s="383">
        <f t="shared" si="36"/>
        <v>8.8969360322639659</v>
      </c>
      <c r="Z123" s="383">
        <f t="shared" si="37"/>
        <v>9.2275818556337139</v>
      </c>
      <c r="AA123" s="384">
        <f t="shared" si="38"/>
        <v>9.840874416119183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6.2320941671698021E-2</v>
      </c>
      <c r="AD123" s="230">
        <f>(INDEX(Models!$BJ123:$BT123,,AH123)*(1-AF123)+INDEX(Models!$BJ123:$BT123,,AH123+1)*AF123-ERP_i)*AE123*Ramure*Pc/MaxiM</f>
        <v>8.3622988572075275E-7</v>
      </c>
      <c r="AE123" s="304">
        <f t="shared" si="40"/>
        <v>0.6</v>
      </c>
      <c r="AF123" s="177">
        <f t="shared" si="41"/>
        <v>5.128370873115129E-2</v>
      </c>
      <c r="AG123" s="799">
        <f t="shared" si="49"/>
        <v>1</v>
      </c>
      <c r="AH123" s="176">
        <f t="shared" si="42"/>
        <v>7</v>
      </c>
      <c r="AI123" s="224">
        <f t="shared" si="43"/>
        <v>1.0512837087311513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45401</v>
      </c>
      <c r="B124" s="409">
        <f>IF(t&gt;Tmaj,'2023'!Wh/'2023'!Env_an*'2024'!Env_an,0.001*'[6]mon-tableau'!$B$254)</f>
        <v>9.3855116769969644</v>
      </c>
      <c r="C124" s="829"/>
      <c r="D124" s="391">
        <f t="shared" si="25"/>
        <v>9.7345014902166298</v>
      </c>
      <c r="E124" s="383">
        <f t="shared" si="47"/>
        <v>10.195025448438061</v>
      </c>
      <c r="F124" s="383">
        <f t="shared" si="26"/>
        <v>10.195025448438061</v>
      </c>
      <c r="G124" s="110">
        <f t="shared" si="48"/>
        <v>0.16601180821715344</v>
      </c>
      <c r="H124" s="412" t="b">
        <f>Wh_hp&gt;='2023'!Maxi_hp</f>
        <v>0</v>
      </c>
      <c r="I124" s="388">
        <f>IF(H124,Wh_hp,'2023'!Maxi_hp)</f>
        <v>57.174498343837172</v>
      </c>
      <c r="J124" s="85">
        <f>IF(H124,An,'2023'!An_max)</f>
        <v>2018</v>
      </c>
      <c r="K124" s="197">
        <f t="shared" si="27"/>
        <v>45401</v>
      </c>
      <c r="L124" s="147">
        <f>IF(t&lt;Tvie,1-EXP((T0-t)*PertePVj)+'2023'!Pspv,1-EXP((T0-t)*PertePVj)+Pspv)</f>
        <v>3.5850815120877733E-2</v>
      </c>
      <c r="M124" s="832"/>
      <c r="N124" s="832"/>
      <c r="O124" s="48">
        <f>IF(t&lt;Tnet,'2023'!Resal+('2023'!Salim-'2023'!Resal)*(1-EXP(('2023'!Tnet-t)/('2023'!Tau_j))),Resal+(Salim-Resal)*(1-EXP((Tnet-t)/(Tau_j))))*Salcycl</f>
        <v>4.5171437830200445E-2</v>
      </c>
      <c r="P124" s="169">
        <f>(INDEX(Models!$BJ124:$BT124,,T124)*(1-R124)+INDEX(Models!$BJ124:$BT124,,T124+1)*R124-ERP_i)*Q124*Ramure*Pc/MaxiM</f>
        <v>6.6695362221719633E-7</v>
      </c>
      <c r="Q124" s="304">
        <f t="shared" si="28"/>
        <v>0.6</v>
      </c>
      <c r="R124" s="177">
        <f t="shared" si="29"/>
        <v>5.3258763459820502E-2</v>
      </c>
      <c r="S124" s="799">
        <f t="shared" si="30"/>
        <v>1</v>
      </c>
      <c r="T124" s="176">
        <f t="shared" si="31"/>
        <v>7</v>
      </c>
      <c r="U124" s="250">
        <f t="shared" si="32"/>
        <v>1.0532587634598205</v>
      </c>
      <c r="V124" s="382">
        <f t="shared" si="33"/>
        <v>56.535167697343248</v>
      </c>
      <c r="W124" s="400">
        <f t="shared" si="34"/>
        <v>9.3855116769969644</v>
      </c>
      <c r="X124" s="157">
        <f t="shared" si="35"/>
        <v>45401</v>
      </c>
      <c r="Y124" s="383">
        <f t="shared" si="36"/>
        <v>9.2161001969342102</v>
      </c>
      <c r="Z124" s="383">
        <f t="shared" si="37"/>
        <v>9.5587906326858079</v>
      </c>
      <c r="AA124" s="384">
        <f t="shared" si="38"/>
        <v>10.195025448438061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6.2406397999695794E-2</v>
      </c>
      <c r="AD124" s="230">
        <f>(INDEX(Models!$BJ124:$BT124,,AH124)*(1-AF124)+INDEX(Models!$BJ124:$BT124,,AH124+1)*AF124-ERP_i)*AE124*Ramure*Pc/MaxiM</f>
        <v>6.6695362221719633E-7</v>
      </c>
      <c r="AE124" s="304">
        <f t="shared" si="40"/>
        <v>0.6</v>
      </c>
      <c r="AF124" s="177">
        <f t="shared" si="41"/>
        <v>5.3258763459820502E-2</v>
      </c>
      <c r="AG124" s="799">
        <f t="shared" si="49"/>
        <v>1</v>
      </c>
      <c r="AH124" s="176">
        <f t="shared" si="42"/>
        <v>7</v>
      </c>
      <c r="AI124" s="224">
        <f t="shared" si="43"/>
        <v>1.0532587634598205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45402</v>
      </c>
      <c r="B125" s="409">
        <f>IF(t&gt;Tmaj,'2023'!Wh/'2023'!Env_an*'2024'!Env_an,0.001*'[6]mon-tableau'!$B$255)</f>
        <v>8.9314129676352056</v>
      </c>
      <c r="C125" s="829"/>
      <c r="D125" s="391">
        <f t="shared" si="25"/>
        <v>9.2636951619965213</v>
      </c>
      <c r="E125" s="383">
        <f t="shared" si="47"/>
        <v>9.702956982889317</v>
      </c>
      <c r="F125" s="383">
        <f t="shared" si="26"/>
        <v>9.702956982889317</v>
      </c>
      <c r="G125" s="110">
        <f t="shared" si="48"/>
        <v>0.15770118515578571</v>
      </c>
      <c r="H125" s="412" t="b">
        <f>Wh_hp&gt;='2023'!Maxi_hp</f>
        <v>0</v>
      </c>
      <c r="I125" s="388">
        <f>IF(H125,Wh_hp,'2023'!Maxi_hp)</f>
        <v>52.981756605548966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3.5869292820048138E-2</v>
      </c>
      <c r="M125" s="832"/>
      <c r="N125" s="832"/>
      <c r="O125" s="48">
        <f>IF(t&lt;Tnet,'2023'!Resal+('2023'!Salim-'2023'!Resal)*(1-EXP(('2023'!Tnet-t)/('2023'!Tau_j))),Resal+(Salim-Resal)*(1-EXP((Tnet-t)/(Tau_j))))*Salcycl</f>
        <v>4.5270923252304598E-2</v>
      </c>
      <c r="P125" s="169">
        <f>(INDEX(Models!$BJ125:$BT125,,T125)*(1-R125)+INDEX(Models!$BJ125:$BT125,,T125+1)*R125-ERP_i)*Q125*Ramure*Pc/MaxiM</f>
        <v>5.2267989692476644E-7</v>
      </c>
      <c r="Q125" s="304">
        <f t="shared" si="28"/>
        <v>0.6</v>
      </c>
      <c r="R125" s="177">
        <f t="shared" si="29"/>
        <v>5.5298234525293699E-2</v>
      </c>
      <c r="S125" s="799">
        <f t="shared" si="30"/>
        <v>1</v>
      </c>
      <c r="T125" s="176">
        <f t="shared" si="31"/>
        <v>7</v>
      </c>
      <c r="U125" s="250">
        <f t="shared" si="32"/>
        <v>1.0552982345252937</v>
      </c>
      <c r="V125" s="382">
        <f t="shared" si="33"/>
        <v>56.635010640803181</v>
      </c>
      <c r="W125" s="400">
        <f t="shared" si="34"/>
        <v>8.9314129676352056</v>
      </c>
      <c r="X125" s="157">
        <f t="shared" si="35"/>
        <v>45402</v>
      </c>
      <c r="Y125" s="383">
        <f t="shared" si="36"/>
        <v>8.7703046489849523</v>
      </c>
      <c r="Z125" s="383">
        <f t="shared" si="37"/>
        <v>9.0965930072259411</v>
      </c>
      <c r="AA125" s="384">
        <f t="shared" si="38"/>
        <v>9.702956982889317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6.2492699569076701E-2</v>
      </c>
      <c r="AD125" s="230">
        <f>(INDEX(Models!$BJ125:$BT125,,AH125)*(1-AF125)+INDEX(Models!$BJ125:$BT125,,AH125+1)*AF125-ERP_i)*AE125*Ramure*Pc/MaxiM</f>
        <v>5.2267989692476644E-7</v>
      </c>
      <c r="AE125" s="304">
        <f t="shared" si="40"/>
        <v>0.6</v>
      </c>
      <c r="AF125" s="177">
        <f t="shared" si="41"/>
        <v>5.5298234525293699E-2</v>
      </c>
      <c r="AG125" s="799">
        <f t="shared" si="49"/>
        <v>1</v>
      </c>
      <c r="AH125" s="176">
        <f t="shared" si="42"/>
        <v>7</v>
      </c>
      <c r="AI125" s="224">
        <f t="shared" si="43"/>
        <v>1.0552982345252937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45403</v>
      </c>
      <c r="B126" s="409">
        <f>IF(t&gt;Tmaj,'2023'!Wh/'2023'!Env_an*'2024'!Env_an,0.001*'[6]mon-tableau'!$B$256)</f>
        <v>25.82566616826454</v>
      </c>
      <c r="C126" s="829"/>
      <c r="D126" s="391">
        <f t="shared" si="25"/>
        <v>26.786991564962317</v>
      </c>
      <c r="E126" s="383">
        <f t="shared" si="47"/>
        <v>28.060107024222088</v>
      </c>
      <c r="F126" s="383">
        <f t="shared" si="26"/>
        <v>28.060109536407971</v>
      </c>
      <c r="G126" s="110">
        <f t="shared" si="48"/>
        <v>0.45524659777495768</v>
      </c>
      <c r="H126" s="412" t="b">
        <f>Wh_hp&gt;='2023'!Maxi_hp</f>
        <v>0</v>
      </c>
      <c r="I126" s="388">
        <f>IF(H126,Wh_hp,'2023'!Maxi_hp)</f>
        <v>60.779702375651659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3.5887770165097699E-2</v>
      </c>
      <c r="M126" s="832"/>
      <c r="N126" s="832"/>
      <c r="O126" s="48">
        <f>IF(t&lt;Tnet,'2023'!Resal+('2023'!Salim-'2023'!Resal)*(1-EXP(('2023'!Tnet-t)/('2023'!Tau_j))),Resal+(Salim-Resal)*(1-EXP((Tnet-t)/(Tau_j))))*Salcycl</f>
        <v>4.5371012240287931E-2</v>
      </c>
      <c r="P126" s="169">
        <f>(INDEX(Models!$BJ126:$BT126,,T126)*(1-R126)+INDEX(Models!$BJ126:$BT126,,T126+1)*R126-ERP_i)*Q126*Ramure*Pc/MaxiM</f>
        <v>4.0368067300630789E-7</v>
      </c>
      <c r="Q126" s="304">
        <f t="shared" si="28"/>
        <v>0.6</v>
      </c>
      <c r="R126" s="177">
        <f t="shared" si="29"/>
        <v>5.7403518072176141E-2</v>
      </c>
      <c r="S126" s="799">
        <f t="shared" si="30"/>
        <v>1</v>
      </c>
      <c r="T126" s="176">
        <f t="shared" si="31"/>
        <v>7</v>
      </c>
      <c r="U126" s="250">
        <f t="shared" si="32"/>
        <v>1.0574035180721761</v>
      </c>
      <c r="V126" s="382">
        <f t="shared" si="33"/>
        <v>56.728942470530967</v>
      </c>
      <c r="W126" s="400">
        <f t="shared" si="34"/>
        <v>25.82566616826454</v>
      </c>
      <c r="X126" s="157">
        <f t="shared" si="35"/>
        <v>45403</v>
      </c>
      <c r="Y126" s="383">
        <f t="shared" si="36"/>
        <v>25.36011379784593</v>
      </c>
      <c r="Z126" s="383">
        <f t="shared" si="37"/>
        <v>26.304109638966697</v>
      </c>
      <c r="AA126" s="384">
        <f t="shared" si="38"/>
        <v>28.060107024222088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6.2579853446017672E-2</v>
      </c>
      <c r="AD126" s="230">
        <f>(INDEX(Models!$BJ126:$BT126,,AH126)*(1-AF126)+INDEX(Models!$BJ126:$BT126,,AH126+1)*AF126-ERP_i)*AE126*Ramure*Pc/MaxiM</f>
        <v>4.0368067300630789E-7</v>
      </c>
      <c r="AE126" s="304">
        <f t="shared" si="40"/>
        <v>0.6</v>
      </c>
      <c r="AF126" s="177">
        <f t="shared" si="41"/>
        <v>5.7403518072176141E-2</v>
      </c>
      <c r="AG126" s="799">
        <f t="shared" si="49"/>
        <v>1</v>
      </c>
      <c r="AH126" s="176">
        <f t="shared" si="42"/>
        <v>7</v>
      </c>
      <c r="AI126" s="224">
        <f t="shared" si="43"/>
        <v>1.0574035180721761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45404</v>
      </c>
      <c r="B127" s="409">
        <f>IF(t&gt;Tmaj,'2023'!Wh/'2023'!Env_an*'2024'!Env_an,0.001*'[6]mon-tableau'!$B$257)</f>
        <v>8.7990579314230306</v>
      </c>
      <c r="C127" s="829"/>
      <c r="D127" s="391">
        <f t="shared" si="25"/>
        <v>9.1267658414617987</v>
      </c>
      <c r="E127" s="383">
        <f t="shared" si="47"/>
        <v>9.5615456784859418</v>
      </c>
      <c r="F127" s="383">
        <f t="shared" si="26"/>
        <v>9.5615456784859418</v>
      </c>
      <c r="G127" s="110">
        <f t="shared" si="48"/>
        <v>0.15486533808889449</v>
      </c>
      <c r="H127" s="412" t="b">
        <f>Wh_hp&gt;='2023'!Maxi_hp</f>
        <v>0</v>
      </c>
      <c r="I127" s="388">
        <f>IF(H127,Wh_hp,'2023'!Maxi_hp)</f>
        <v>61.484717168911814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3.5906247156033078E-2</v>
      </c>
      <c r="M127" s="832"/>
      <c r="N127" s="832"/>
      <c r="O127" s="48">
        <f>IF(t&lt;Tnet,'2023'!Resal+('2023'!Salim-'2023'!Resal)*(1-EXP(('2023'!Tnet-t)/('2023'!Tau_j))),Resal+(Salim-Resal)*(1-EXP((Tnet-t)/(Tau_j))))*Salcycl</f>
        <v>4.5471710499948151E-2</v>
      </c>
      <c r="P127" s="169">
        <f>(INDEX(Models!$BJ127:$BT127,,T127)*(1-R127)+INDEX(Models!$BJ127:$BT127,,T127+1)*R127-ERP_i)*Q127*Ramure*Pc/MaxiM</f>
        <v>3.1028708576355602E-7</v>
      </c>
      <c r="Q127" s="304">
        <f t="shared" si="28"/>
        <v>0.6</v>
      </c>
      <c r="R127" s="177">
        <f t="shared" si="29"/>
        <v>5.9575987076209591E-2</v>
      </c>
      <c r="S127" s="799">
        <f t="shared" si="30"/>
        <v>1</v>
      </c>
      <c r="T127" s="176">
        <f t="shared" si="31"/>
        <v>7</v>
      </c>
      <c r="U127" s="250">
        <f t="shared" si="32"/>
        <v>1.0595759870762096</v>
      </c>
      <c r="V127" s="382">
        <f t="shared" si="33"/>
        <v>56.817460315995497</v>
      </c>
      <c r="W127" s="400">
        <f t="shared" si="34"/>
        <v>8.7990579314230306</v>
      </c>
      <c r="X127" s="157">
        <f t="shared" si="35"/>
        <v>45404</v>
      </c>
      <c r="Y127" s="383">
        <f t="shared" si="36"/>
        <v>8.6405398817515646</v>
      </c>
      <c r="Z127" s="383">
        <f t="shared" si="37"/>
        <v>8.9623440212769303</v>
      </c>
      <c r="AA127" s="384">
        <f t="shared" si="38"/>
        <v>9.5615456784859418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6.2667865359598951E-2</v>
      </c>
      <c r="AD127" s="230">
        <f>(INDEX(Models!$BJ127:$BT127,,AH127)*(1-AF127)+INDEX(Models!$BJ127:$BT127,,AH127+1)*AF127-ERP_i)*AE127*Ramure*Pc/MaxiM</f>
        <v>3.1028708576355602E-7</v>
      </c>
      <c r="AE127" s="304">
        <f t="shared" si="40"/>
        <v>0.6</v>
      </c>
      <c r="AF127" s="177">
        <f t="shared" si="41"/>
        <v>5.9575987076209591E-2</v>
      </c>
      <c r="AG127" s="799">
        <f t="shared" si="49"/>
        <v>1</v>
      </c>
      <c r="AH127" s="176">
        <f t="shared" si="42"/>
        <v>7</v>
      </c>
      <c r="AI127" s="224">
        <f t="shared" si="43"/>
        <v>1.0595759870762096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45405</v>
      </c>
      <c r="B128" s="409">
        <f>IF(t&gt;Tmaj,'2023'!Wh/'2023'!Env_an*'2024'!Env_an,0.001*'[6]mon-tableau'!$B$258)</f>
        <v>28.890000503950354</v>
      </c>
      <c r="C128" s="829"/>
      <c r="D128" s="391">
        <f t="shared" si="25"/>
        <v>29.966540183054256</v>
      </c>
      <c r="E128" s="383">
        <f t="shared" si="47"/>
        <v>31.397415304235359</v>
      </c>
      <c r="F128" s="383">
        <f t="shared" si="26"/>
        <v>31.397417567270264</v>
      </c>
      <c r="G128" s="110">
        <f t="shared" si="48"/>
        <v>0.50772331821842076</v>
      </c>
      <c r="H128" s="412" t="b">
        <f>Wh_hp&gt;='2023'!Maxi_hp</f>
        <v>0</v>
      </c>
      <c r="I128" s="388">
        <f>IF(H128,Wh_hp,'2023'!Maxi_hp)</f>
        <v>60.938970338666145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3.5924723792861268E-2</v>
      </c>
      <c r="M128" s="832"/>
      <c r="N128" s="832"/>
      <c r="O128" s="48">
        <f>IF(t&lt;Tnet,'2023'!Resal+('2023'!Salim-'2023'!Resal)*(1-EXP(('2023'!Tnet-t)/('2023'!Tau_j))),Resal+(Salim-Resal)*(1-EXP((Tnet-t)/(Tau_j))))*Salcycl</f>
        <v>4.5573022725475261E-2</v>
      </c>
      <c r="P128" s="169">
        <f>(INDEX(Models!$BJ128:$BT128,,T128)*(1-R128)+INDEX(Models!$BJ128:$BT128,,T128+1)*R128-ERP_i)*Q128*Ramure*Pc/MaxiM</f>
        <v>2.4289016543662033E-7</v>
      </c>
      <c r="Q128" s="304">
        <f t="shared" si="28"/>
        <v>0.6</v>
      </c>
      <c r="R128" s="177">
        <f t="shared" si="29"/>
        <v>6.1816986462791101E-2</v>
      </c>
      <c r="S128" s="799">
        <f t="shared" si="30"/>
        <v>1</v>
      </c>
      <c r="T128" s="176">
        <f t="shared" si="31"/>
        <v>7</v>
      </c>
      <c r="U128" s="250">
        <f t="shared" si="32"/>
        <v>1.0618169864627911</v>
      </c>
      <c r="V128" s="382">
        <f t="shared" si="33"/>
        <v>56.901061134111963</v>
      </c>
      <c r="W128" s="400">
        <f t="shared" si="34"/>
        <v>28.890000503950354</v>
      </c>
      <c r="X128" s="157">
        <f t="shared" si="35"/>
        <v>45405</v>
      </c>
      <c r="Y128" s="383">
        <f t="shared" si="36"/>
        <v>28.369858468822542</v>
      </c>
      <c r="Z128" s="383">
        <f t="shared" si="37"/>
        <v>29.427015886596667</v>
      </c>
      <c r="AA128" s="384">
        <f t="shared" si="38"/>
        <v>31.397415304235359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6.2756739640695697E-2</v>
      </c>
      <c r="AD128" s="230">
        <f>(INDEX(Models!$BJ128:$BT128,,AH128)*(1-AF128)+INDEX(Models!$BJ128:$BT128,,AH128+1)*AF128-ERP_i)*AE128*Ramure*Pc/MaxiM</f>
        <v>2.4289016543662033E-7</v>
      </c>
      <c r="AE128" s="304">
        <f t="shared" si="40"/>
        <v>0.6</v>
      </c>
      <c r="AF128" s="177">
        <f t="shared" si="41"/>
        <v>6.1816986462791101E-2</v>
      </c>
      <c r="AG128" s="799">
        <f t="shared" si="49"/>
        <v>1</v>
      </c>
      <c r="AH128" s="176">
        <f t="shared" si="42"/>
        <v>7</v>
      </c>
      <c r="AI128" s="224">
        <f t="shared" si="43"/>
        <v>1.0618169864627911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45406</v>
      </c>
      <c r="B129" s="409">
        <f>IF(t&gt;Tmaj,'2023'!Wh/'2023'!Env_an*'2024'!Env_an,0.001*'[6]mon-tableau'!$B$259)</f>
        <v>43.932879597066787</v>
      </c>
      <c r="C129" s="829"/>
      <c r="D129" s="391">
        <f t="shared" si="25"/>
        <v>45.570841469622366</v>
      </c>
      <c r="E129" s="383">
        <f t="shared" si="47"/>
        <v>47.751907582626231</v>
      </c>
      <c r="F129" s="383">
        <f t="shared" si="26"/>
        <v>47.751913475413339</v>
      </c>
      <c r="G129" s="110">
        <f t="shared" si="48"/>
        <v>0.77101947669319537</v>
      </c>
      <c r="H129" s="412" t="b">
        <f>Wh_hp&gt;='2023'!Maxi_hp</f>
        <v>0</v>
      </c>
      <c r="I129" s="388">
        <f>IF(H129,Wh_hp,'2023'!Maxi_hp)</f>
        <v>53.779346350507211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3.5943200075588821E-2</v>
      </c>
      <c r="M129" s="832"/>
      <c r="N129" s="832"/>
      <c r="O129" s="48">
        <f>IF(t&lt;Tnet,'2023'!Resal+('2023'!Salim-'2023'!Resal)*(1-EXP(('2023'!Tnet-t)/('2023'!Tau_j))),Resal+(Salim-Resal)*(1-EXP((Tnet-t)/(Tau_j))))*Salcycl</f>
        <v>4.5674952549904266E-2</v>
      </c>
      <c r="P129" s="169">
        <f>(INDEX(Models!$BJ129:$BT129,,T129)*(1-R129)+INDEX(Models!$BJ129:$BT129,,T129+1)*R129-ERP_i)*Q129*Ramure*Pc/MaxiM</f>
        <v>1.8339568117256816E-7</v>
      </c>
      <c r="Q129" s="304">
        <f t="shared" si="28"/>
        <v>0.6</v>
      </c>
      <c r="R129" s="177">
        <f t="shared" si="29"/>
        <v>6.4127827967756845E-2</v>
      </c>
      <c r="S129" s="799">
        <f t="shared" si="30"/>
        <v>1</v>
      </c>
      <c r="T129" s="176">
        <f t="shared" si="31"/>
        <v>7</v>
      </c>
      <c r="U129" s="250">
        <f t="shared" si="32"/>
        <v>1.0641278279677568</v>
      </c>
      <c r="V129" s="382">
        <f t="shared" si="33"/>
        <v>56.980242768821959</v>
      </c>
      <c r="W129" s="400">
        <f t="shared" si="34"/>
        <v>43.932879597066787</v>
      </c>
      <c r="X129" s="157">
        <f t="shared" si="35"/>
        <v>45406</v>
      </c>
      <c r="Y129" s="383">
        <f t="shared" si="36"/>
        <v>43.142378904402577</v>
      </c>
      <c r="Z129" s="383">
        <f t="shared" si="37"/>
        <v>44.750868317909529</v>
      </c>
      <c r="AA129" s="384">
        <f t="shared" si="38"/>
        <v>47.751907582626231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6.2846479159475138E-2</v>
      </c>
      <c r="AD129" s="230">
        <f>(INDEX(Models!$BJ129:$BT129,,AH129)*(1-AF129)+INDEX(Models!$BJ129:$BT129,,AH129+1)*AF129-ERP_i)*AE129*Ramure*Pc/MaxiM</f>
        <v>1.8339568117256816E-7</v>
      </c>
      <c r="AE129" s="304">
        <f t="shared" si="40"/>
        <v>0.6</v>
      </c>
      <c r="AF129" s="177">
        <f t="shared" si="41"/>
        <v>6.4127827967756845E-2</v>
      </c>
      <c r="AG129" s="799">
        <f t="shared" si="49"/>
        <v>1</v>
      </c>
      <c r="AH129" s="176">
        <f t="shared" si="42"/>
        <v>7</v>
      </c>
      <c r="AI129" s="224">
        <f t="shared" si="43"/>
        <v>1.0641278279677568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45407</v>
      </c>
      <c r="B130" s="409">
        <f>IF(t&gt;Tmaj,'2023'!Wh/'2023'!Env_an*'2024'!Env_an,0.001*'[6]mon-tableau'!$B$260)</f>
        <v>54.014406488986012</v>
      </c>
      <c r="C130" s="829"/>
      <c r="D130" s="391">
        <f t="shared" si="25"/>
        <v>56.029314545406599</v>
      </c>
      <c r="E130" s="383">
        <f t="shared" si="47"/>
        <v>58.717243296906886</v>
      </c>
      <c r="F130" s="383">
        <f t="shared" si="26"/>
        <v>58.71725045290659</v>
      </c>
      <c r="G130" s="110">
        <f t="shared" si="48"/>
        <v>0.94669933975861797</v>
      </c>
      <c r="H130" s="412" t="b">
        <f>Wh_hp&gt;='2023'!Maxi_hp</f>
        <v>0</v>
      </c>
      <c r="I130" s="388">
        <f>IF(H130,Wh_hp,'2023'!Maxi_hp)</f>
        <v>58.717250698812563</v>
      </c>
      <c r="J130" s="85">
        <f>IF(H130,An,'2023'!An_max)</f>
        <v>2022</v>
      </c>
      <c r="K130" s="197">
        <f t="shared" si="27"/>
        <v>45407</v>
      </c>
      <c r="L130" s="147">
        <f>IF(t&lt;Tvie,1-EXP((T0-t)*PertePVj)+'2023'!Pspv,1-EXP((T0-t)*PertePVj)+Pspv)</f>
        <v>3.596167600422262E-2</v>
      </c>
      <c r="M130" s="832"/>
      <c r="N130" s="832"/>
      <c r="O130" s="48">
        <f>IF(t&lt;Tnet,'2023'!Resal+('2023'!Salim-'2023'!Resal)*(1-EXP(('2023'!Tnet-t)/('2023'!Tau_j))),Resal+(Salim-Resal)*(1-EXP((Tnet-t)/(Tau_j))))*Salcycl</f>
        <v>4.5777502494601621E-2</v>
      </c>
      <c r="P130" s="169">
        <f>(INDEX(Models!$BJ130:$BT130,,T130)*(1-R130)+INDEX(Models!$BJ130:$BT130,,T130+1)*R130-ERP_i)*Q130*Ramure*Pc/MaxiM</f>
        <v>1.3191683379282541E-7</v>
      </c>
      <c r="Q130" s="304">
        <f t="shared" si="28"/>
        <v>0.6</v>
      </c>
      <c r="R130" s="177">
        <f t="shared" si="29"/>
        <v>6.6509784745615752E-2</v>
      </c>
      <c r="S130" s="799">
        <f t="shared" si="30"/>
        <v>1</v>
      </c>
      <c r="T130" s="176">
        <f t="shared" si="31"/>
        <v>7</v>
      </c>
      <c r="U130" s="250">
        <f t="shared" si="32"/>
        <v>1.0665097847456158</v>
      </c>
      <c r="V130" s="382">
        <f t="shared" si="33"/>
        <v>57.0555018663079</v>
      </c>
      <c r="W130" s="400">
        <f t="shared" si="34"/>
        <v>54.014406488986012</v>
      </c>
      <c r="X130" s="157">
        <f t="shared" si="35"/>
        <v>45407</v>
      </c>
      <c r="Y130" s="383">
        <f t="shared" si="36"/>
        <v>53.043076761178682</v>
      </c>
      <c r="Z130" s="383">
        <f t="shared" si="37"/>
        <v>55.021751149190848</v>
      </c>
      <c r="AA130" s="384">
        <f t="shared" si="38"/>
        <v>58.717243296906886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6.2937085261812895E-2</v>
      </c>
      <c r="AD130" s="230">
        <f>(INDEX(Models!$BJ130:$BT130,,AH130)*(1-AF130)+INDEX(Models!$BJ130:$BT130,,AH130+1)*AF130-ERP_i)*AE130*Ramure*Pc/MaxiM</f>
        <v>1.3191683379282541E-7</v>
      </c>
      <c r="AE130" s="304">
        <f t="shared" si="40"/>
        <v>0.6</v>
      </c>
      <c r="AF130" s="177">
        <f t="shared" si="41"/>
        <v>6.6509784745615752E-2</v>
      </c>
      <c r="AG130" s="799">
        <f t="shared" si="49"/>
        <v>1</v>
      </c>
      <c r="AH130" s="176">
        <f t="shared" si="42"/>
        <v>7</v>
      </c>
      <c r="AI130" s="224">
        <f t="shared" si="43"/>
        <v>1.0665097847456158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45408</v>
      </c>
      <c r="B131" s="409">
        <f>IF(t&gt;Tmaj,'2023'!Wh/'2023'!Env_an*'2024'!Env_an,0.001*'[6]mon-tableau'!$B$261)</f>
        <v>41.249756128409594</v>
      </c>
      <c r="C131" s="829"/>
      <c r="D131" s="391">
        <f t="shared" si="25"/>
        <v>42.789322435595153</v>
      </c>
      <c r="E131" s="383">
        <f t="shared" si="47"/>
        <v>44.846929797877621</v>
      </c>
      <c r="F131" s="383">
        <f t="shared" si="26"/>
        <v>44.846932193283855</v>
      </c>
      <c r="G131" s="110">
        <f t="shared" si="48"/>
        <v>0.72206684851636116</v>
      </c>
      <c r="H131" s="412" t="b">
        <f>Wh_hp&gt;='2023'!Maxi_hp</f>
        <v>0</v>
      </c>
      <c r="I131" s="388">
        <f>IF(H131,Wh_hp,'2023'!Maxi_hp)</f>
        <v>44.846932850316357</v>
      </c>
      <c r="J131" s="85">
        <f>IF(H131,An,'2023'!An_max)</f>
        <v>2022</v>
      </c>
      <c r="K131" s="197">
        <f t="shared" si="27"/>
        <v>45408</v>
      </c>
      <c r="L131" s="147">
        <f>IF(t&lt;Tvie,1-EXP((T0-t)*PertePVj)+'2023'!Pspv,1-EXP((T0-t)*PertePVj)+Pspv)</f>
        <v>3.5980151578769548E-2</v>
      </c>
      <c r="M131" s="832"/>
      <c r="N131" s="832"/>
      <c r="O131" s="48">
        <f>IF(t&lt;Tnet,'2023'!Resal+('2023'!Salim-'2023'!Resal)*(1-EXP(('2023'!Tnet-t)/('2023'!Tau_j))),Resal+(Salim-Resal)*(1-EXP((Tnet-t)/(Tau_j))))*Salcycl</f>
        <v>4.5880673918058203E-2</v>
      </c>
      <c r="P131" s="169">
        <f>(INDEX(Models!$BJ131:$BT131,,T131)*(1-R131)+INDEX(Models!$BJ131:$BT131,,T131+1)*R131-ERP_i)*Q131*Ramure*Pc/MaxiM</f>
        <v>8.8585615572424763E-8</v>
      </c>
      <c r="Q131" s="304">
        <f t="shared" si="28"/>
        <v>0.6</v>
      </c>
      <c r="R131" s="177">
        <f t="shared" si="29"/>
        <v>6.8964085732750702E-2</v>
      </c>
      <c r="S131" s="799">
        <f t="shared" si="30"/>
        <v>1</v>
      </c>
      <c r="T131" s="176">
        <f t="shared" si="31"/>
        <v>7</v>
      </c>
      <c r="U131" s="250">
        <f t="shared" si="32"/>
        <v>1.0689640857327507</v>
      </c>
      <c r="V131" s="382">
        <f t="shared" si="33"/>
        <v>57.127334902995912</v>
      </c>
      <c r="W131" s="400">
        <f t="shared" si="34"/>
        <v>41.249756128409594</v>
      </c>
      <c r="X131" s="157">
        <f t="shared" si="35"/>
        <v>45408</v>
      </c>
      <c r="Y131" s="383">
        <f t="shared" si="36"/>
        <v>40.508396001857491</v>
      </c>
      <c r="Z131" s="383">
        <f t="shared" si="37"/>
        <v>42.020292495219728</v>
      </c>
      <c r="AA131" s="384">
        <f t="shared" si="38"/>
        <v>44.846929797877621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6.3028557705006205E-2</v>
      </c>
      <c r="AD131" s="230">
        <f>(INDEX(Models!$BJ131:$BT131,,AH131)*(1-AF131)+INDEX(Models!$BJ131:$BT131,,AH131+1)*AF131-ERP_i)*AE131*Ramure*Pc/MaxiM</f>
        <v>8.8585615572424763E-8</v>
      </c>
      <c r="AE131" s="304">
        <f t="shared" si="40"/>
        <v>0.6</v>
      </c>
      <c r="AF131" s="177">
        <f t="shared" si="41"/>
        <v>6.8964085732750702E-2</v>
      </c>
      <c r="AG131" s="799">
        <f t="shared" si="49"/>
        <v>1</v>
      </c>
      <c r="AH131" s="176">
        <f t="shared" si="42"/>
        <v>7</v>
      </c>
      <c r="AI131" s="224">
        <f t="shared" si="43"/>
        <v>1.0689640857327507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45409</v>
      </c>
      <c r="B132" s="409">
        <f>IF(t&gt;Tmaj,'2023'!Wh/'2023'!Env_an*'2024'!Env_an,0.001*'[6]mon-tableau'!$B$262)</f>
        <v>23.240947866595935</v>
      </c>
      <c r="C132" s="829"/>
      <c r="D132" s="391">
        <f t="shared" si="25"/>
        <v>24.10883273892988</v>
      </c>
      <c r="E132" s="383">
        <f t="shared" si="47"/>
        <v>25.270901682507439</v>
      </c>
      <c r="F132" s="383">
        <f t="shared" si="26"/>
        <v>25.270901888089206</v>
      </c>
      <c r="G132" s="110">
        <f t="shared" si="48"/>
        <v>0.40633698205873442</v>
      </c>
      <c r="H132" s="412" t="b">
        <f>Wh_hp&gt;='2023'!Maxi_hp</f>
        <v>0</v>
      </c>
      <c r="I132" s="388">
        <f>IF(H132,Wh_hp,'2023'!Maxi_hp)</f>
        <v>48.436349706395312</v>
      </c>
      <c r="J132" s="85">
        <f>IF(H132,An,'2023'!An_max)</f>
        <v>2018</v>
      </c>
      <c r="K132" s="197">
        <f t="shared" si="27"/>
        <v>45409</v>
      </c>
      <c r="L132" s="147">
        <f>IF(t&lt;Tvie,1-EXP((T0-t)*PertePVj)+'2023'!Pspv,1-EXP((T0-t)*PertePVj)+Pspv)</f>
        <v>3.5998626799236266E-2</v>
      </c>
      <c r="M132" s="832"/>
      <c r="N132" s="832"/>
      <c r="O132" s="48">
        <f>IF(t&lt;Tnet,'2023'!Resal+('2023'!Salim-'2023'!Resal)*(1-EXP(('2023'!Tnet-t)/('2023'!Tau_j))),Resal+(Salim-Resal)*(1-EXP((Tnet-t)/(Tau_j))))*Salcycl</f>
        <v>4.5984466964308801E-2</v>
      </c>
      <c r="P132" s="169">
        <f>(INDEX(Models!$BJ132:$BT132,,T132)*(1-R132)+INDEX(Models!$BJ132:$BT132,,T132+1)*R132-ERP_i)*Q132*Ramure*Pc/MaxiM</f>
        <v>5.3552220750862996E-8</v>
      </c>
      <c r="Q132" s="304">
        <f t="shared" si="28"/>
        <v>0.6</v>
      </c>
      <c r="R132" s="177">
        <f t="shared" si="29"/>
        <v>7.1491909775628137E-2</v>
      </c>
      <c r="S132" s="799">
        <f t="shared" si="30"/>
        <v>1</v>
      </c>
      <c r="T132" s="176">
        <f t="shared" si="31"/>
        <v>7</v>
      </c>
      <c r="U132" s="250">
        <f t="shared" si="32"/>
        <v>1.0714919097756281</v>
      </c>
      <c r="V132" s="382">
        <f t="shared" si="33"/>
        <v>57.196238189562621</v>
      </c>
      <c r="W132" s="400">
        <f t="shared" si="34"/>
        <v>23.240947866595935</v>
      </c>
      <c r="X132" s="157">
        <f t="shared" si="35"/>
        <v>45409</v>
      </c>
      <c r="Y132" s="383">
        <f t="shared" si="36"/>
        <v>22.823484201328306</v>
      </c>
      <c r="Z132" s="383">
        <f t="shared" si="37"/>
        <v>23.675779761130141</v>
      </c>
      <c r="AA132" s="384">
        <f t="shared" si="38"/>
        <v>25.270901682507439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6.3120894593224772E-2</v>
      </c>
      <c r="AD132" s="230">
        <f>(INDEX(Models!$BJ132:$BT132,,AH132)*(1-AF132)+INDEX(Models!$BJ132:$BT132,,AH132+1)*AF132-ERP_i)*AE132*Ramure*Pc/MaxiM</f>
        <v>5.3552220750862996E-8</v>
      </c>
      <c r="AE132" s="304">
        <f t="shared" si="40"/>
        <v>0.6</v>
      </c>
      <c r="AF132" s="177">
        <f t="shared" si="41"/>
        <v>7.1491909775628137E-2</v>
      </c>
      <c r="AG132" s="799">
        <f t="shared" si="49"/>
        <v>1</v>
      </c>
      <c r="AH132" s="176">
        <f t="shared" si="42"/>
        <v>7</v>
      </c>
      <c r="AI132" s="224">
        <f t="shared" si="43"/>
        <v>1.0714919097756281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45410</v>
      </c>
      <c r="B133" s="409">
        <f>IF(t&gt;Tmaj,'2023'!Wh/'2023'!Env_an*'2024'!Env_an,0.001*'[6]mon-tableau'!$B$263)</f>
        <v>42.17224846529264</v>
      </c>
      <c r="C133" s="829"/>
      <c r="D133" s="391">
        <f t="shared" si="25"/>
        <v>43.747921812887427</v>
      </c>
      <c r="E133" s="383">
        <f t="shared" si="47"/>
        <v>45.861633142863951</v>
      </c>
      <c r="F133" s="383">
        <f t="shared" si="26"/>
        <v>45.861633914510428</v>
      </c>
      <c r="G133" s="110">
        <f t="shared" si="48"/>
        <v>0.73646967818485032</v>
      </c>
      <c r="H133" s="412" t="b">
        <f>Wh_hp&gt;='2023'!Maxi_hp</f>
        <v>0</v>
      </c>
      <c r="I133" s="388">
        <f>IF(H133,Wh_hp,'2023'!Maxi_hp)</f>
        <v>49.060314253198726</v>
      </c>
      <c r="J133" s="85">
        <f>IF(H133,An,'2023'!An_max)</f>
        <v>2018</v>
      </c>
      <c r="K133" s="197">
        <f t="shared" si="27"/>
        <v>45410</v>
      </c>
      <c r="L133" s="147">
        <f>IF(t&lt;Tvie,1-EXP((T0-t)*PertePVj)+'2023'!Pspv,1-EXP((T0-t)*PertePVj)+Pspv)</f>
        <v>3.6017101665629658E-2</v>
      </c>
      <c r="M133" s="832"/>
      <c r="N133" s="832"/>
      <c r="O133" s="48">
        <f>IF(t&lt;Tnet,'2023'!Resal+('2023'!Salim-'2023'!Resal)*(1-EXP(('2023'!Tnet-t)/('2023'!Tau_j))),Resal+(Salim-Resal)*(1-EXP((Tnet-t)/(Tau_j))))*Salcycl</f>
        <v>4.6088880511343445E-2</v>
      </c>
      <c r="P133" s="169">
        <f>(INDEX(Models!$BJ133:$BT133,,T133)*(1-R133)+INDEX(Models!$BJ133:$BT133,,T133+1)*R133-ERP_i)*Q133*Ramure*Pc/MaxiM</f>
        <v>2.6984402640623354E-8</v>
      </c>
      <c r="Q133" s="304">
        <f t="shared" si="28"/>
        <v>0.6</v>
      </c>
      <c r="R133" s="177">
        <f t="shared" si="29"/>
        <v>7.4094379536760124E-2</v>
      </c>
      <c r="S133" s="799">
        <f t="shared" si="30"/>
        <v>1</v>
      </c>
      <c r="T133" s="176">
        <f t="shared" si="31"/>
        <v>7</v>
      </c>
      <c r="U133" s="250">
        <f t="shared" si="32"/>
        <v>1.0740943795367601</v>
      </c>
      <c r="V133" s="382">
        <f t="shared" si="33"/>
        <v>57.262707869807599</v>
      </c>
      <c r="W133" s="400">
        <f t="shared" si="34"/>
        <v>42.17224846529264</v>
      </c>
      <c r="X133" s="157">
        <f t="shared" si="35"/>
        <v>45410</v>
      </c>
      <c r="Y133" s="383">
        <f t="shared" si="36"/>
        <v>41.415145762143794</v>
      </c>
      <c r="Z133" s="383">
        <f t="shared" si="37"/>
        <v>42.962531631736894</v>
      </c>
      <c r="AA133" s="384">
        <f t="shared" si="38"/>
        <v>45.861633142863951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6.321409231319873E-2</v>
      </c>
      <c r="AD133" s="230">
        <f>(INDEX(Models!$BJ133:$BT133,,AH133)*(1-AF133)+INDEX(Models!$BJ133:$BT133,,AH133+1)*AF133-ERP_i)*AE133*Ramure*Pc/MaxiM</f>
        <v>2.6984402640623354E-8</v>
      </c>
      <c r="AE133" s="304">
        <f t="shared" si="40"/>
        <v>0.6</v>
      </c>
      <c r="AF133" s="177">
        <f t="shared" si="41"/>
        <v>7.4094379536760124E-2</v>
      </c>
      <c r="AG133" s="799">
        <f t="shared" si="49"/>
        <v>1</v>
      </c>
      <c r="AH133" s="176">
        <f t="shared" si="42"/>
        <v>7</v>
      </c>
      <c r="AI133" s="224">
        <f t="shared" si="43"/>
        <v>1.0740943795367601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45411</v>
      </c>
      <c r="B134" s="409">
        <f>IF(t&gt;Tmaj,'2023'!Wh/'2023'!Env_an*'2024'!Env_an,0.001*'[6]mon-tableau'!$B$264)</f>
        <v>43.217602428595775</v>
      </c>
      <c r="C134" s="829"/>
      <c r="D134" s="391">
        <f t="shared" si="25"/>
        <v>44.83319234670649</v>
      </c>
      <c r="E134" s="383">
        <f t="shared" si="47"/>
        <v>47.004514771290957</v>
      </c>
      <c r="F134" s="383">
        <f t="shared" si="26"/>
        <v>47.004515047622711</v>
      </c>
      <c r="G134" s="110">
        <f t="shared" si="48"/>
        <v>0.75387551097198613</v>
      </c>
      <c r="H134" s="412" t="b">
        <f>Wh_hp&gt;='2023'!Maxi_hp</f>
        <v>0</v>
      </c>
      <c r="I134" s="388">
        <f>IF(H134,Wh_hp,'2023'!Maxi_hp)</f>
        <v>62.303261019981171</v>
      </c>
      <c r="J134" s="85">
        <f>IF(H134,An,'2023'!An_max)</f>
        <v>2018</v>
      </c>
      <c r="K134" s="197">
        <f t="shared" si="27"/>
        <v>45411</v>
      </c>
      <c r="L134" s="147">
        <f>IF(t&lt;Tvie,1-EXP((T0-t)*PertePVj)+'2023'!Pspv,1-EXP((T0-t)*PertePVj)+Pspv)</f>
        <v>3.6035576177956385E-2</v>
      </c>
      <c r="M134" s="832"/>
      <c r="N134" s="832"/>
      <c r="O134" s="48">
        <f>IF(t&lt;Tnet,'2023'!Resal+('2023'!Salim-'2023'!Resal)*(1-EXP(('2023'!Tnet-t)/('2023'!Tau_j))),Resal+(Salim-Resal)*(1-EXP((Tnet-t)/(Tau_j))))*Salcycl</f>
        <v>4.6193912119919384E-2</v>
      </c>
      <c r="P134" s="169">
        <f>(INDEX(Models!$BJ134:$BT134,,T134)*(1-R134)+INDEX(Models!$BJ134:$BT134,,T134+1)*R134-ERP_i)*Q134*Ramure*Pc/MaxiM</f>
        <v>9.0667680498255649E-9</v>
      </c>
      <c r="Q134" s="304">
        <f t="shared" si="28"/>
        <v>0.6</v>
      </c>
      <c r="R134" s="177">
        <f t="shared" si="29"/>
        <v>7.6772555194039249E-2</v>
      </c>
      <c r="S134" s="799">
        <f t="shared" si="30"/>
        <v>1</v>
      </c>
      <c r="T134" s="176">
        <f t="shared" si="31"/>
        <v>7</v>
      </c>
      <c r="U134" s="250">
        <f t="shared" si="32"/>
        <v>1.0767725551940392</v>
      </c>
      <c r="V134" s="382">
        <f t="shared" si="33"/>
        <v>57.327239924665598</v>
      </c>
      <c r="W134" s="400">
        <f t="shared" si="34"/>
        <v>43.217602428595775</v>
      </c>
      <c r="X134" s="157">
        <f t="shared" si="35"/>
        <v>45411</v>
      </c>
      <c r="Y134" s="383">
        <f t="shared" si="36"/>
        <v>42.442144877818173</v>
      </c>
      <c r="Z134" s="383">
        <f t="shared" si="37"/>
        <v>44.028746112370399</v>
      </c>
      <c r="AA134" s="384">
        <f t="shared" si="38"/>
        <v>47.004514771290957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6.3308145470700114E-2</v>
      </c>
      <c r="AD134" s="230">
        <f>(INDEX(Models!$BJ134:$BT134,,AH134)*(1-AF134)+INDEX(Models!$BJ134:$BT134,,AH134+1)*AF134-ERP_i)*AE134*Ramure*Pc/MaxiM</f>
        <v>9.0667680498255649E-9</v>
      </c>
      <c r="AE134" s="304">
        <f t="shared" si="40"/>
        <v>0.6</v>
      </c>
      <c r="AF134" s="177">
        <f t="shared" si="41"/>
        <v>7.6772555194039249E-2</v>
      </c>
      <c r="AG134" s="799">
        <f t="shared" si="49"/>
        <v>1</v>
      </c>
      <c r="AH134" s="176">
        <f t="shared" si="42"/>
        <v>7</v>
      </c>
      <c r="AI134" s="224">
        <f t="shared" si="43"/>
        <v>1.0767725551940392</v>
      </c>
      <c r="AJ134" s="264" t="b">
        <f t="shared" si="44"/>
        <v>1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45412</v>
      </c>
      <c r="B135" s="409">
        <f>IF(t&gt;Tmaj,'2023'!Wh/'2023'!Env_an*'2024'!Env_an,0.001*[7]mois!$B$242)</f>
        <v>48.669872433896593</v>
      </c>
      <c r="C135" s="829"/>
      <c r="D135" s="391">
        <f t="shared" si="25"/>
        <v>50.490250465674549</v>
      </c>
      <c r="E135" s="383">
        <f t="shared" si="47"/>
        <v>50.954149693561234</v>
      </c>
      <c r="F135" s="383">
        <f t="shared" si="26"/>
        <v>50.954149693561234</v>
      </c>
      <c r="G135" s="110">
        <f t="shared" si="48"/>
        <v>0.81624045075881102</v>
      </c>
      <c r="H135" s="412" t="b">
        <f>Wh_hp&gt;='2023'!Maxi_hp</f>
        <v>0</v>
      </c>
      <c r="I135" s="388">
        <f>IF(H135,Wh_hp,'2023'!Maxi_hp)</f>
        <v>58.712576893324226</v>
      </c>
      <c r="J135" s="85">
        <f>IF(H135,An,'2023'!An_max)</f>
        <v>2018</v>
      </c>
      <c r="K135" s="197">
        <f t="shared" si="27"/>
        <v>45412</v>
      </c>
      <c r="L135" s="147">
        <f>IF(t&lt;Tvie,1-EXP((T0-t)*PertePVj)+'2023'!Pspv,1-EXP((T0-t)*PertePVj)+Pspv)</f>
        <v>3.6054050336223331E-2</v>
      </c>
      <c r="M135" s="832"/>
      <c r="N135" s="832"/>
      <c r="O135" s="48">
        <f>IF(t&lt;Tnet,'2023'!Resal+('2023'!Salim-'2023'!Resal)*(1-EXP(('2023'!Tnet-t)/('2023'!Tau_j))),Resal+(Salim-Resal)*(1-EXP((Tnet-t)/(Tau_j))))*Salcycl</f>
        <v>9.1042482442858959E-3</v>
      </c>
      <c r="P135" s="169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7.9527427952099217E-2</v>
      </c>
      <c r="S135" s="799">
        <f t="shared" si="30"/>
        <v>1</v>
      </c>
      <c r="T135" s="176">
        <f t="shared" si="31"/>
        <v>7</v>
      </c>
      <c r="U135" s="250">
        <f t="shared" si="32"/>
        <v>1.0795274279520992</v>
      </c>
      <c r="V135" s="382">
        <f t="shared" si="33"/>
        <v>59.626881256192412</v>
      </c>
      <c r="W135" s="400">
        <f t="shared" si="34"/>
        <v>48.669872433896593</v>
      </c>
      <c r="X135" s="157">
        <f t="shared" si="35"/>
        <v>45412</v>
      </c>
      <c r="Y135" s="383">
        <f t="shared" si="36"/>
        <v>46.842948686443108</v>
      </c>
      <c r="Z135" s="383">
        <f t="shared" si="37"/>
        <v>48.594995085338425</v>
      </c>
      <c r="AA135" s="384">
        <f t="shared" si="38"/>
        <v>50.954149693561234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4.6299557983221946E-2</v>
      </c>
      <c r="AD135" s="230">
        <f>(INDEX(Models!$BJ135:$BT135,,AH135)*(1-AF135)+INDEX(Models!$BJ135:$BT135,,AH135+1)*AF135-ERP_i)*AE135*Ramure*Pc/MaxiM</f>
        <v>0</v>
      </c>
      <c r="AE135" s="304">
        <f t="shared" si="40"/>
        <v>0.6</v>
      </c>
      <c r="AF135" s="177">
        <f t="shared" si="41"/>
        <v>7.9527427952099217E-2</v>
      </c>
      <c r="AG135" s="799">
        <f t="shared" si="49"/>
        <v>1</v>
      </c>
      <c r="AH135" s="176">
        <f t="shared" si="42"/>
        <v>7</v>
      </c>
      <c r="AI135" s="224">
        <f t="shared" si="43"/>
        <v>1.0795274279520992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45413</v>
      </c>
      <c r="B136" s="409">
        <f>IF(t&gt;Tmaj,'2023'!Wh/'2023'!Env_an*'2024'!Env_an,0.001*[7]mois!$B$243)</f>
        <v>30.156298266509168</v>
      </c>
      <c r="C136" s="829"/>
      <c r="D136" s="391">
        <f t="shared" si="25"/>
        <v>31.284820717054359</v>
      </c>
      <c r="E136" s="383">
        <f t="shared" si="47"/>
        <v>31.576377064141163</v>
      </c>
      <c r="F136" s="383">
        <f t="shared" si="26"/>
        <v>31.576377064141163</v>
      </c>
      <c r="G136" s="110">
        <f t="shared" si="48"/>
        <v>0.5052582348550011</v>
      </c>
      <c r="H136" s="412" t="b">
        <f>Wh_hp&gt;='2023'!Maxi_hp</f>
        <v>0</v>
      </c>
      <c r="I136" s="388">
        <f>IF(H136,Wh_hp,'2023'!Maxi_hp)</f>
        <v>48.58732792238655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3.6072524140437157E-2</v>
      </c>
      <c r="M136" s="832"/>
      <c r="N136" s="832"/>
      <c r="O136" s="48">
        <f>IF(t&lt;Tnet,'2023'!Resal+('2023'!Salim-'2023'!Resal)*(1-EXP(('2023'!Tnet-t)/('2023'!Tau_j))),Resal+(Salim-Resal)*(1-EXP((Tnet-t)/(Tau_j))))*Salcycl</f>
        <v>9.2333691890796443E-3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8.2359913387534345E-2</v>
      </c>
      <c r="S136" s="799">
        <f t="shared" si="30"/>
        <v>1</v>
      </c>
      <c r="T136" s="176">
        <f t="shared" si="31"/>
        <v>7</v>
      </c>
      <c r="U136" s="250">
        <f t="shared" si="32"/>
        <v>1.0823599133875343</v>
      </c>
      <c r="V136" s="382">
        <f t="shared" si="33"/>
        <v>59.684921860132405</v>
      </c>
      <c r="W136" s="400">
        <f t="shared" si="34"/>
        <v>30.156298266509168</v>
      </c>
      <c r="X136" s="157">
        <f t="shared" si="35"/>
        <v>45413</v>
      </c>
      <c r="Y136" s="383">
        <f t="shared" si="36"/>
        <v>29.024868054475949</v>
      </c>
      <c r="Z136" s="383">
        <f t="shared" si="37"/>
        <v>30.111049618741916</v>
      </c>
      <c r="AA136" s="384">
        <f t="shared" si="38"/>
        <v>31.576377064141163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4.6405812877858867E-2</v>
      </c>
      <c r="AD136" s="230">
        <f>(INDEX(Models!$BJ136:$BT136,,AH136)*(1-AF136)+INDEX(Models!$BJ136:$BT136,,AH136+1)*AF136-ERP_i)*AE136*Ramure*Pc/MaxiM</f>
        <v>0</v>
      </c>
      <c r="AE136" s="304">
        <f t="shared" si="40"/>
        <v>0.6</v>
      </c>
      <c r="AF136" s="177">
        <f t="shared" si="41"/>
        <v>8.2359913387534345E-2</v>
      </c>
      <c r="AG136" s="799">
        <f t="shared" si="49"/>
        <v>1</v>
      </c>
      <c r="AH136" s="176">
        <f t="shared" si="42"/>
        <v>7</v>
      </c>
      <c r="AI136" s="224">
        <f t="shared" si="43"/>
        <v>1.0823599133875343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45414</v>
      </c>
      <c r="B137" s="409">
        <f>IF(t&gt;Tmaj,'2023'!Wh/'2023'!Env_an*'2024'!Env_an,0.001*[7]mois!$B$244)</f>
        <v>39.45843477499826</v>
      </c>
      <c r="C137" s="829"/>
      <c r="D137" s="391">
        <f t="shared" si="25"/>
        <v>40.935850455144234</v>
      </c>
      <c r="E137" s="383">
        <f t="shared" si="47"/>
        <v>41.322738805069314</v>
      </c>
      <c r="F137" s="383">
        <f t="shared" si="26"/>
        <v>41.322738805069314</v>
      </c>
      <c r="G137" s="110">
        <f t="shared" si="48"/>
        <v>0.66051880596492141</v>
      </c>
      <c r="H137" s="412" t="b">
        <f>Wh_hp&gt;='2023'!Maxi_hp</f>
        <v>0</v>
      </c>
      <c r="I137" s="388">
        <f>IF(H137,Wh_hp,'2023'!Maxi_hp)</f>
        <v>60.66641025918041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3.6090997590604856E-2</v>
      </c>
      <c r="M137" s="832"/>
      <c r="N137" s="832"/>
      <c r="O137" s="48">
        <f>IF(t&lt;Tnet,'2023'!Resal+('2023'!Salim-'2023'!Resal)*(1-EXP(('2023'!Tnet-t)/('2023'!Tau_j))),Resal+(Salim-Resal)*(1-EXP((Tnet-t)/(Tau_j))))*Salcycl</f>
        <v>9.3626018292286457E-3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8.5270844653098088E-2</v>
      </c>
      <c r="S137" s="799">
        <f t="shared" si="30"/>
        <v>1</v>
      </c>
      <c r="T137" s="176">
        <f t="shared" si="31"/>
        <v>7</v>
      </c>
      <c r="U137" s="250">
        <f t="shared" si="32"/>
        <v>1.0852708446530981</v>
      </c>
      <c r="V137" s="382">
        <f t="shared" si="33"/>
        <v>59.73854857524497</v>
      </c>
      <c r="W137" s="400">
        <f t="shared" si="34"/>
        <v>39.45843477499826</v>
      </c>
      <c r="X137" s="157">
        <f t="shared" si="35"/>
        <v>45414</v>
      </c>
      <c r="Y137" s="383">
        <f t="shared" si="36"/>
        <v>37.978697033302979</v>
      </c>
      <c r="Z137" s="383">
        <f t="shared" si="37"/>
        <v>39.400707886710371</v>
      </c>
      <c r="AA137" s="384">
        <f t="shared" si="38"/>
        <v>41.322738805069314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4.6512670116704645E-2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8.5270844653098088E-2</v>
      </c>
      <c r="AG137" s="799">
        <f t="shared" si="49"/>
        <v>1</v>
      </c>
      <c r="AH137" s="176">
        <f t="shared" si="42"/>
        <v>7</v>
      </c>
      <c r="AI137" s="224">
        <f t="shared" si="43"/>
        <v>1.0852708446530981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45415</v>
      </c>
      <c r="B138" s="409">
        <f>IF(t&gt;Tmaj,'2023'!Wh/'2023'!Env_an*'2024'!Env_an,0.001*[7]mois!$B$245)</f>
        <v>21.109174306704286</v>
      </c>
      <c r="C138" s="829"/>
      <c r="D138" s="391">
        <f t="shared" si="25"/>
        <v>21.899970655115492</v>
      </c>
      <c r="E138" s="383">
        <f t="shared" si="47"/>
        <v>22.109836084282311</v>
      </c>
      <c r="F138" s="383">
        <f t="shared" si="26"/>
        <v>22.109836084282311</v>
      </c>
      <c r="G138" s="110">
        <f t="shared" si="48"/>
        <v>0.35306725952179024</v>
      </c>
      <c r="H138" s="412" t="b">
        <f>Wh_hp&gt;='2023'!Maxi_hp</f>
        <v>0</v>
      </c>
      <c r="I138" s="388">
        <f>IF(H138,Wh_hp,'2023'!Maxi_hp)</f>
        <v>53.762353847555971</v>
      </c>
      <c r="J138" s="85">
        <f>IF(H138,An,'2023'!An_max)</f>
        <v>2021</v>
      </c>
      <c r="K138" s="197">
        <f t="shared" si="27"/>
        <v>45415</v>
      </c>
      <c r="L138" s="147">
        <f>IF(t&lt;Tvie,1-EXP((T0-t)*PertePVj)+'2023'!Pspv,1-EXP((T0-t)*PertePVj)+Pspv)</f>
        <v>3.6109470686732981E-2</v>
      </c>
      <c r="M138" s="832"/>
      <c r="N138" s="832"/>
      <c r="O138" s="48">
        <f>IF(t&lt;Tnet,'2023'!Resal+('2023'!Salim-'2023'!Resal)*(1-EXP(('2023'!Tnet-t)/('2023'!Tau_j))),Resal+(Salim-Resal)*(1-EXP((Tnet-t)/(Tau_j))))*Salcycl</f>
        <v>9.4919486678605083E-3</v>
      </c>
      <c r="P138" s="169">
        <f>(INDEX(Models!$BJ138:$BT138,,T138)*(1-R138)+INDEX(Models!$BJ138:$BT138,,T138+1)*R138-ERP_i)*Q138*Ramure*Pc/MaxiM</f>
        <v>-1.1821402979228665E-20</v>
      </c>
      <c r="Q138" s="304">
        <f t="shared" si="28"/>
        <v>0.6</v>
      </c>
      <c r="R138" s="177">
        <f t="shared" si="29"/>
        <v>8.826096556938845E-2</v>
      </c>
      <c r="S138" s="799">
        <f t="shared" si="30"/>
        <v>1</v>
      </c>
      <c r="T138" s="176">
        <f t="shared" si="31"/>
        <v>7</v>
      </c>
      <c r="U138" s="250">
        <f t="shared" si="32"/>
        <v>1.0882609655693884</v>
      </c>
      <c r="V138" s="382">
        <f t="shared" si="33"/>
        <v>59.787968828646065</v>
      </c>
      <c r="W138" s="400">
        <f t="shared" si="34"/>
        <v>21.109174306704286</v>
      </c>
      <c r="X138" s="157">
        <f t="shared" si="35"/>
        <v>45415</v>
      </c>
      <c r="Y138" s="383">
        <f t="shared" si="36"/>
        <v>20.317918676791571</v>
      </c>
      <c r="Z138" s="383">
        <f t="shared" si="37"/>
        <v>21.079072839596488</v>
      </c>
      <c r="AA138" s="384">
        <f t="shared" si="38"/>
        <v>22.109836084282311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4.6620121504138252E-2</v>
      </c>
      <c r="AD138" s="230">
        <f>(INDEX(Models!$BJ138:$BT138,,AH138)*(1-AF138)+INDEX(Models!$BJ138:$BT138,,AH138+1)*AF138-ERP_i)*AE138*Ramure*Pc/MaxiM</f>
        <v>-1.1821402979228665E-20</v>
      </c>
      <c r="AE138" s="304">
        <f t="shared" si="40"/>
        <v>0.6</v>
      </c>
      <c r="AF138" s="177">
        <f t="shared" si="41"/>
        <v>8.826096556938845E-2</v>
      </c>
      <c r="AG138" s="799">
        <f t="shared" si="49"/>
        <v>1</v>
      </c>
      <c r="AH138" s="176">
        <f t="shared" si="42"/>
        <v>7</v>
      </c>
      <c r="AI138" s="224">
        <f t="shared" si="43"/>
        <v>1.0882609655693884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45416</v>
      </c>
      <c r="B139" s="409">
        <f>IF(t&gt;Tmaj,'2023'!Wh/'2023'!Env_an*'2024'!Env_an,0.001*[7]mois!$B$246)</f>
        <v>44.207093742945133</v>
      </c>
      <c r="C139" s="829"/>
      <c r="D139" s="391">
        <f t="shared" si="25"/>
        <v>45.864068204451492</v>
      </c>
      <c r="E139" s="383">
        <f t="shared" si="47"/>
        <v>46.309632245425455</v>
      </c>
      <c r="F139" s="383">
        <f t="shared" si="26"/>
        <v>46.309632245425455</v>
      </c>
      <c r="G139" s="110">
        <f t="shared" si="48"/>
        <v>0.73883652213561535</v>
      </c>
      <c r="H139" s="412" t="b">
        <f>Wh_hp&gt;='2023'!Maxi_hp</f>
        <v>0</v>
      </c>
      <c r="I139" s="388">
        <f>IF(H139,Wh_hp,'2023'!Maxi_hp)</f>
        <v>62.195002367063097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3.6127943428828524E-2</v>
      </c>
      <c r="M139" s="832"/>
      <c r="N139" s="832"/>
      <c r="O139" s="48">
        <f>IF(t&lt;Tnet,'2023'!Resal+('2023'!Salim-'2023'!Resal)*(1-EXP(('2023'!Tnet-t)/('2023'!Tau_j))),Resal+(Salim-Resal)*(1-EXP((Tnet-t)/(Tau_j))))*Salcycl</f>
        <v>9.6214117748252507E-3</v>
      </c>
      <c r="P139" s="169">
        <f>(INDEX(Models!$BJ139:$BT139,,T139)*(1-R139)+INDEX(Models!$BJ139:$BT139,,T139+1)*R139-ERP_i)*Q139*Ramure*Pc/MaxiM</f>
        <v>0</v>
      </c>
      <c r="Q139" s="304">
        <f t="shared" si="28"/>
        <v>0.6</v>
      </c>
      <c r="R139" s="177">
        <f t="shared" si="29"/>
        <v>9.1330923635964956E-2</v>
      </c>
      <c r="S139" s="799">
        <f t="shared" si="30"/>
        <v>1</v>
      </c>
      <c r="T139" s="176">
        <f t="shared" si="31"/>
        <v>7</v>
      </c>
      <c r="U139" s="250">
        <f t="shared" si="32"/>
        <v>1.091330923635965</v>
      </c>
      <c r="V139" s="382">
        <f t="shared" si="33"/>
        <v>59.833389956365487</v>
      </c>
      <c r="W139" s="400">
        <f t="shared" si="34"/>
        <v>44.207093742945133</v>
      </c>
      <c r="X139" s="157">
        <f t="shared" si="35"/>
        <v>45416</v>
      </c>
      <c r="Y139" s="383">
        <f t="shared" si="36"/>
        <v>42.550776252669017</v>
      </c>
      <c r="Z139" s="383">
        <f t="shared" si="37"/>
        <v>44.145668465622862</v>
      </c>
      <c r="AA139" s="384">
        <f t="shared" si="38"/>
        <v>46.309632245425455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4.6728157294238862E-2</v>
      </c>
      <c r="AD139" s="230">
        <f>(INDEX(Models!$BJ139:$BT139,,AH139)*(1-AF139)+INDEX(Models!$BJ139:$BT139,,AH139+1)*AF139-ERP_i)*AE139*Ramure*Pc/MaxiM</f>
        <v>0</v>
      </c>
      <c r="AE139" s="304">
        <f t="shared" si="40"/>
        <v>0.6</v>
      </c>
      <c r="AF139" s="177">
        <f t="shared" si="41"/>
        <v>9.1330923635964956E-2</v>
      </c>
      <c r="AG139" s="799">
        <f t="shared" si="49"/>
        <v>1</v>
      </c>
      <c r="AH139" s="176">
        <f t="shared" si="42"/>
        <v>7</v>
      </c>
      <c r="AI139" s="224">
        <f t="shared" si="43"/>
        <v>1.091330923635965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45417</v>
      </c>
      <c r="B140" s="409">
        <f>IF(t&gt;Tmaj,'2023'!Wh/'2023'!Env_an*'2024'!Env_an,0.001*[7]mois!$B$247)</f>
        <v>42.033531993503864</v>
      </c>
      <c r="C140" s="829"/>
      <c r="D140" s="391">
        <f t="shared" si="25"/>
        <v>43.609872581558832</v>
      </c>
      <c r="E140" s="383">
        <f t="shared" si="47"/>
        <v>44.039299471966494</v>
      </c>
      <c r="F140" s="383">
        <f t="shared" si="26"/>
        <v>44.039299471966494</v>
      </c>
      <c r="G140" s="110">
        <f t="shared" si="48"/>
        <v>0.70202118603639385</v>
      </c>
      <c r="H140" s="412" t="b">
        <f>Wh_hp&gt;='2023'!Maxi_hp</f>
        <v>0</v>
      </c>
      <c r="I140" s="388">
        <f>IF(H140,Wh_hp,'2023'!Maxi_hp)</f>
        <v>64.219243698545085</v>
      </c>
      <c r="J140" s="85">
        <f>IF(H140,An,'2023'!An_max)</f>
        <v>2018</v>
      </c>
      <c r="K140" s="197">
        <f t="shared" si="27"/>
        <v>45417</v>
      </c>
      <c r="L140" s="147">
        <f>IF(t&lt;Tvie,1-EXP((T0-t)*PertePVj)+'2023'!Pspv,1-EXP((T0-t)*PertePVj)+Pspv)</f>
        <v>3.6146415816898148E-2</v>
      </c>
      <c r="M140" s="832"/>
      <c r="N140" s="832"/>
      <c r="O140" s="48">
        <f>IF(t&lt;Tnet,'2023'!Resal+('2023'!Salim-'2023'!Resal)*(1-EXP(('2023'!Tnet-t)/('2023'!Tau_j))),Resal+(Salim-Resal)*(1-EXP((Tnet-t)/(Tau_j))))*Salcycl</f>
        <v>9.7509927622944532E-3</v>
      </c>
      <c r="P140" s="169">
        <f>(INDEX(Models!$BJ140:$BT140,,T140)*(1-R140)+INDEX(Models!$BJ140:$BT140,,T140+1)*R140-ERP_i)*Q140*Ramure*Pc/MaxiM</f>
        <v>0</v>
      </c>
      <c r="Q140" s="304">
        <f t="shared" si="28"/>
        <v>0.6</v>
      </c>
      <c r="R140" s="177">
        <f t="shared" si="29"/>
        <v>9.4481262997306192E-2</v>
      </c>
      <c r="S140" s="799">
        <f t="shared" si="30"/>
        <v>1</v>
      </c>
      <c r="T140" s="176">
        <f t="shared" si="31"/>
        <v>7</v>
      </c>
      <c r="U140" s="250">
        <f t="shared" si="32"/>
        <v>1.0944812629973062</v>
      </c>
      <c r="V140" s="382">
        <f t="shared" si="33"/>
        <v>59.875019201093991</v>
      </c>
      <c r="W140" s="400">
        <f t="shared" si="34"/>
        <v>42.033531993503864</v>
      </c>
      <c r="X140" s="157">
        <f t="shared" si="35"/>
        <v>45417</v>
      </c>
      <c r="Y140" s="383">
        <f t="shared" si="36"/>
        <v>40.459335977240976</v>
      </c>
      <c r="Z140" s="383">
        <f t="shared" si="37"/>
        <v>41.976641101077206</v>
      </c>
      <c r="AA140" s="384">
        <f t="shared" si="38"/>
        <v>44.039299471966494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4.6836766152519992E-2</v>
      </c>
      <c r="AD140" s="230">
        <f>(INDEX(Models!$BJ140:$BT140,,AH140)*(1-AF140)+INDEX(Models!$BJ140:$BT140,,AH140+1)*AF140-ERP_i)*AE140*Ramure*Pc/MaxiM</f>
        <v>0</v>
      </c>
      <c r="AE140" s="304">
        <f t="shared" si="40"/>
        <v>0.6</v>
      </c>
      <c r="AF140" s="177">
        <f t="shared" si="41"/>
        <v>9.4481262997306192E-2</v>
      </c>
      <c r="AG140" s="799">
        <f t="shared" si="49"/>
        <v>1</v>
      </c>
      <c r="AH140" s="176">
        <f t="shared" si="42"/>
        <v>7</v>
      </c>
      <c r="AI140" s="224">
        <f t="shared" si="43"/>
        <v>1.0944812629973062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45418</v>
      </c>
      <c r="B141" s="409">
        <f>IF(t&gt;Tmaj,'2023'!Wh/'2023'!Env_an*'2024'!Env_an,0.001*[7]mois!$B$248)</f>
        <v>52.249470942276531</v>
      </c>
      <c r="C141" s="829"/>
      <c r="D141" s="391">
        <f t="shared" si="25"/>
        <v>54.209968368735325</v>
      </c>
      <c r="E141" s="383">
        <f t="shared" si="47"/>
        <v>54.750945640984504</v>
      </c>
      <c r="F141" s="383">
        <f t="shared" si="26"/>
        <v>54.750945640984504</v>
      </c>
      <c r="G141" s="110">
        <f t="shared" si="48"/>
        <v>0.87208811746012604</v>
      </c>
      <c r="H141" s="412" t="b">
        <f>Wh_hp&gt;='2023'!Maxi_hp</f>
        <v>0</v>
      </c>
      <c r="I141" s="388">
        <f>IF(H141,Wh_hp,'2023'!Maxi_hp)</f>
        <v>60.265273662889911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3.6164887850948735E-2</v>
      </c>
      <c r="M141" s="832"/>
      <c r="N141" s="832"/>
      <c r="O141" s="48">
        <f>IF(t&lt;Tnet,'2023'!Resal+('2023'!Salim-'2023'!Resal)*(1-EXP(('2023'!Tnet-t)/('2023'!Tau_j))),Resal+(Salim-Resal)*(1-EXP((Tnet-t)/(Tau_j))))*Salcycl</f>
        <v>9.8806927609341611E-3</v>
      </c>
      <c r="P141" s="169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9.7712417402458618E-2</v>
      </c>
      <c r="S141" s="799">
        <f t="shared" si="30"/>
        <v>1</v>
      </c>
      <c r="T141" s="176">
        <f t="shared" si="31"/>
        <v>7</v>
      </c>
      <c r="U141" s="250">
        <f t="shared" si="32"/>
        <v>1.0977124174024586</v>
      </c>
      <c r="V141" s="382">
        <f t="shared" si="33"/>
        <v>59.91306371017663</v>
      </c>
      <c r="W141" s="400">
        <f t="shared" si="34"/>
        <v>52.249470942276531</v>
      </c>
      <c r="X141" s="157">
        <f t="shared" si="35"/>
        <v>45418</v>
      </c>
      <c r="Y141" s="383">
        <f t="shared" si="36"/>
        <v>50.29350534344141</v>
      </c>
      <c r="Z141" s="383">
        <f t="shared" si="37"/>
        <v>52.180611299066086</v>
      </c>
      <c r="AA141" s="384">
        <f t="shared" si="38"/>
        <v>54.750945640984504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4.694593512179205E-2</v>
      </c>
      <c r="AD141" s="230">
        <f>(INDEX(Models!$BJ141:$BT141,,AH141)*(1-AF141)+INDEX(Models!$BJ141:$BT141,,AH141+1)*AF141-ERP_i)*AE141*Ramure*Pc/MaxiM</f>
        <v>0</v>
      </c>
      <c r="AE141" s="304">
        <f t="shared" si="40"/>
        <v>0.6</v>
      </c>
      <c r="AF141" s="177">
        <f t="shared" si="41"/>
        <v>9.7712417402458618E-2</v>
      </c>
      <c r="AG141" s="799">
        <f t="shared" si="49"/>
        <v>1</v>
      </c>
      <c r="AH141" s="176">
        <f t="shared" si="42"/>
        <v>7</v>
      </c>
      <c r="AI141" s="224">
        <f t="shared" si="43"/>
        <v>1.0977124174024586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45419</v>
      </c>
      <c r="B142" s="409">
        <f>IF(t&gt;Tmaj,'2023'!Wh/'2023'!Env_an*'2024'!Env_an,0.001*[7]mois!$B$249)</f>
        <v>51.41637057147932</v>
      </c>
      <c r="C142" s="829"/>
      <c r="D142" s="391">
        <f t="shared" si="25"/>
        <v>53.346630896992039</v>
      </c>
      <c r="E142" s="383">
        <f t="shared" si="47"/>
        <v>53.886057948098731</v>
      </c>
      <c r="F142" s="383">
        <f t="shared" si="26"/>
        <v>53.886057948098731</v>
      </c>
      <c r="G142" s="110">
        <f t="shared" si="48"/>
        <v>0.85768668978985596</v>
      </c>
      <c r="H142" s="412" t="b">
        <f>Wh_hp&gt;='2023'!Maxi_hp</f>
        <v>0</v>
      </c>
      <c r="I142" s="388">
        <f>IF(H142,Wh_hp,'2023'!Maxi_hp)</f>
        <v>60.80360190588106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3.6183359530986947E-2</v>
      </c>
      <c r="M142" s="832"/>
      <c r="N142" s="832"/>
      <c r="O142" s="48">
        <f>IF(t&lt;Tnet,'2023'!Resal+('2023'!Salim-'2023'!Resal)*(1-EXP(('2023'!Tnet-t)/('2023'!Tau_j))),Resal+(Salim-Resal)*(1-EXP((Tnet-t)/(Tau_j))))*Salcycl</f>
        <v>1.0010512396847656E-2</v>
      </c>
      <c r="P142" s="169">
        <f>(INDEX(Models!$BJ142:$BT142,,T142)*(1-R142)+INDEX(Models!$BJ142:$BT142,,T142+1)*R142-ERP_i)*Q142*Ramure*Pc/MaxiM</f>
        <v>0</v>
      </c>
      <c r="Q142" s="304">
        <f t="shared" si="28"/>
        <v>0.6</v>
      </c>
      <c r="R142" s="177">
        <f t="shared" si="29"/>
        <v>0.10102470320059154</v>
      </c>
      <c r="S142" s="799">
        <f t="shared" si="30"/>
        <v>1</v>
      </c>
      <c r="T142" s="176">
        <f t="shared" si="31"/>
        <v>7</v>
      </c>
      <c r="U142" s="250">
        <f t="shared" si="32"/>
        <v>1.1010247032005915</v>
      </c>
      <c r="V142" s="382">
        <f t="shared" si="33"/>
        <v>59.947730544911416</v>
      </c>
      <c r="W142" s="400">
        <f t="shared" si="34"/>
        <v>51.41637057147932</v>
      </c>
      <c r="X142" s="157">
        <f t="shared" si="35"/>
        <v>45419</v>
      </c>
      <c r="Y142" s="383">
        <f t="shared" si="36"/>
        <v>49.492383977897333</v>
      </c>
      <c r="Z142" s="383">
        <f t="shared" si="37"/>
        <v>51.350414487358634</v>
      </c>
      <c r="AA142" s="384">
        <f t="shared" si="38"/>
        <v>53.886057948098731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4.7055649592745177E-2</v>
      </c>
      <c r="AD142" s="230">
        <f>(INDEX(Models!$BJ142:$BT142,,AH142)*(1-AF142)+INDEX(Models!$BJ142:$BT142,,AH142+1)*AF142-ERP_i)*AE142*Ramure*Pc/MaxiM</f>
        <v>0</v>
      </c>
      <c r="AE142" s="304">
        <f t="shared" si="40"/>
        <v>0.6</v>
      </c>
      <c r="AF142" s="177">
        <f t="shared" si="41"/>
        <v>0.10102470320059154</v>
      </c>
      <c r="AG142" s="799">
        <f t="shared" si="49"/>
        <v>1</v>
      </c>
      <c r="AH142" s="176">
        <f t="shared" si="42"/>
        <v>7</v>
      </c>
      <c r="AI142" s="224">
        <f t="shared" si="43"/>
        <v>1.1010247032005915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45420</v>
      </c>
      <c r="B143" s="409">
        <f>IF(t&gt;Tmaj,'2023'!Wh/'2023'!Env_an*'2024'!Env_an,0.001*[7]mois!$B$250)</f>
        <v>56.68385577601223</v>
      </c>
      <c r="C143" s="829"/>
      <c r="D143" s="391">
        <f t="shared" ref="D143:D206" si="50">Wh/(1-Ppv)</f>
        <v>58.812993830872408</v>
      </c>
      <c r="E143" s="383">
        <f t="shared" si="47"/>
        <v>59.415493779908203</v>
      </c>
      <c r="F143" s="383">
        <f t="shared" ref="F143:F206" si="51">Wh_sa/(1-Pvg*MEDIAN((-Sdif+Wh/Env_an)/Csdif,0,1))</f>
        <v>59.415493779908203</v>
      </c>
      <c r="G143" s="110">
        <f t="shared" si="48"/>
        <v>0.94505812960057023</v>
      </c>
      <c r="H143" s="412" t="b">
        <f>Wh_hp&gt;='2023'!Maxi_hp</f>
        <v>1</v>
      </c>
      <c r="I143" s="388">
        <f>IF(H143,Wh_hp,'2023'!Maxi_hp)</f>
        <v>59.415493779908203</v>
      </c>
      <c r="J143" s="85">
        <f>IF(H143,An,'2023'!An_max)</f>
        <v>2024</v>
      </c>
      <c r="K143" s="197">
        <f t="shared" ref="K143:K206" si="52">t</f>
        <v>45420</v>
      </c>
      <c r="L143" s="147">
        <f>IF(t&lt;Tvie,1-EXP((T0-t)*PertePVj)+'2023'!Pspv,1-EXP((T0-t)*PertePVj)+Pspv)</f>
        <v>3.6201830857019557E-2</v>
      </c>
      <c r="M143" s="832"/>
      <c r="N143" s="832"/>
      <c r="O143" s="48">
        <f>IF(t&lt;Tnet,'2023'!Resal+('2023'!Salim-'2023'!Resal)*(1-EXP(('2023'!Tnet-t)/('2023'!Tau_j))),Resal+(Salim-Resal)*(1-EXP((Tnet-t)/(Tau_j))))*Salcycl</f>
        <v>1.0140451769493372E-2</v>
      </c>
      <c r="P143" s="169">
        <f>(INDEX(Models!$BJ143:$BT143,,T143)*(1-R143)+INDEX(Models!$BJ143:$BT143,,T143+1)*R143-ERP_i)*Q143*Ramure*Pc/MaxiM</f>
        <v>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0.10441831241793698</v>
      </c>
      <c r="S143" s="799">
        <f t="shared" ref="S143:S206" si="55">INDEX(Echel_vg,T143)</f>
        <v>1</v>
      </c>
      <c r="T143" s="176">
        <f t="shared" ref="T143:T206" si="56">MIN(MATCH(Hp_vg,Echel_vg),10)</f>
        <v>7</v>
      </c>
      <c r="U143" s="250">
        <f t="shared" ref="U143:U206" si="57">IF(OR(t&lt;Ttai,Notai),Hdd+PousH*Croivg,Hdtf+PousH*(Croivg-Croi_tai))</f>
        <v>1.104418312417937</v>
      </c>
      <c r="V143" s="382">
        <f t="shared" ref="V143:V206" si="58">MaxiM*(1-Ppv)*(1-Pvg)*(1-Psa)</f>
        <v>59.979226674627647</v>
      </c>
      <c r="W143" s="400">
        <f t="shared" ref="W143:W206" si="59">Wh*(A143&gt;Tmaj)</f>
        <v>56.68385577601223</v>
      </c>
      <c r="X143" s="157">
        <f t="shared" ref="X143:X206" si="60">t</f>
        <v>45420</v>
      </c>
      <c r="Y143" s="383">
        <f t="shared" ref="Y143:Y206" si="61">Wh_pvt_s*(1-Ppv)</f>
        <v>54.563610746939702</v>
      </c>
      <c r="Z143" s="383">
        <f t="shared" ref="Z143:Z206" si="62">Wh_sa_s*(1-Psa_s)</f>
        <v>56.613108941116003</v>
      </c>
      <c r="AA143" s="384">
        <f t="shared" ref="AA143:AA206" si="63">Wh_hp*(1-Pvg_s*MEDIAN((-Sdif+Wh/Env_an)/Csdif,0,1))</f>
        <v>59.415493779908203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4.7165893279840887E-2</v>
      </c>
      <c r="AD143" s="230">
        <f>(INDEX(Models!$BJ143:$BT143,,AH143)*(1-AF143)+INDEX(Models!$BJ143:$BT143,,AH143+1)*AF143-ERP_i)*AE143*Ramure*Pc/MaxiM</f>
        <v>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0.10441831241793698</v>
      </c>
      <c r="AG143" s="799">
        <f t="shared" si="49"/>
        <v>1</v>
      </c>
      <c r="AH143" s="176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1.104418312417937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45421</v>
      </c>
      <c r="B144" s="409">
        <f>IF(t&gt;Tmaj,'2023'!Wh/'2023'!Env_an*'2024'!Env_an,0.001*[7]mois!$B$251)</f>
        <v>54.637291700621958</v>
      </c>
      <c r="C144" s="829"/>
      <c r="D144" s="391">
        <f t="shared" si="50"/>
        <v>56.690643934824713</v>
      </c>
      <c r="E144" s="383">
        <f t="shared" ref="E144:E169" si="72">Wh_pvt/(1-Psa)</f>
        <v>57.278927759846646</v>
      </c>
      <c r="F144" s="383">
        <f t="shared" si="51"/>
        <v>57.278927759846646</v>
      </c>
      <c r="G144" s="110">
        <f t="shared" ref="G144:G169" si="73">+Wh_hp/MaxiM</f>
        <v>0.91050378534553278</v>
      </c>
      <c r="H144" s="412" t="b">
        <f>Wh_hp&gt;='2023'!Maxi_hp</f>
        <v>1</v>
      </c>
      <c r="I144" s="388">
        <f>IF(H144,Wh_hp,'2023'!Maxi_hp)</f>
        <v>57.278927759846646</v>
      </c>
      <c r="J144" s="85">
        <f>IF(H144,An,'2023'!An_max)</f>
        <v>2024</v>
      </c>
      <c r="K144" s="197">
        <f t="shared" si="52"/>
        <v>45421</v>
      </c>
      <c r="L144" s="147">
        <f>IF(t&lt;Tvie,1-EXP((T0-t)*PertePVj)+'2023'!Pspv,1-EXP((T0-t)*PertePVj)+Pspv)</f>
        <v>3.6220301829053558E-2</v>
      </c>
      <c r="M144" s="832"/>
      <c r="N144" s="832"/>
      <c r="O144" s="48">
        <f>IF(t&lt;Tnet,'2023'!Resal+('2023'!Salim-'2023'!Resal)*(1-EXP(('2023'!Tnet-t)/('2023'!Tau_j))),Resal+(Salim-Resal)*(1-EXP((Tnet-t)/(Tau_j))))*Salcycl</f>
        <v>1.0270510430789343E-2</v>
      </c>
      <c r="P144" s="169">
        <f>(INDEX(Models!$BJ144:$BT144,,T144)*(1-R144)+INDEX(Models!$BJ144:$BT144,,T144+1)*R144-ERP_i)*Q144*Ramure*Pc/MaxiM</f>
        <v>0</v>
      </c>
      <c r="Q144" s="304">
        <f t="shared" si="53"/>
        <v>0.6</v>
      </c>
      <c r="R144" s="177">
        <f t="shared" si="54"/>
        <v>0.10789330596465518</v>
      </c>
      <c r="S144" s="799">
        <f t="shared" si="55"/>
        <v>1</v>
      </c>
      <c r="T144" s="176">
        <f t="shared" si="56"/>
        <v>7</v>
      </c>
      <c r="U144" s="250">
        <f t="shared" si="57"/>
        <v>1.1078933059646552</v>
      </c>
      <c r="V144" s="382">
        <f t="shared" si="58"/>
        <v>60.007758979153841</v>
      </c>
      <c r="W144" s="400">
        <f t="shared" si="59"/>
        <v>54.637291700621958</v>
      </c>
      <c r="X144" s="157">
        <f t="shared" si="60"/>
        <v>45421</v>
      </c>
      <c r="Y144" s="383">
        <f t="shared" si="61"/>
        <v>52.594394964202969</v>
      </c>
      <c r="Z144" s="383">
        <f t="shared" si="62"/>
        <v>54.570972042694194</v>
      </c>
      <c r="AA144" s="384">
        <f t="shared" si="63"/>
        <v>57.278927759846646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4.7276648203089612E-2</v>
      </c>
      <c r="AD144" s="230">
        <f>(INDEX(Models!$BJ144:$BT144,,AH144)*(1-AF144)+INDEX(Models!$BJ144:$BT144,,AH144+1)*AF144-ERP_i)*AE144*Ramure*Pc/MaxiM</f>
        <v>0</v>
      </c>
      <c r="AE144" s="304">
        <f t="shared" si="65"/>
        <v>0.6</v>
      </c>
      <c r="AF144" s="177">
        <f t="shared" si="66"/>
        <v>0.10789330596465518</v>
      </c>
      <c r="AG144" s="799">
        <f t="shared" ref="AG144:AG207" si="74">INDEX(Echel_vg,AH144)</f>
        <v>1</v>
      </c>
      <c r="AH144" s="176">
        <f t="shared" si="67"/>
        <v>7</v>
      </c>
      <c r="AI144" s="224">
        <f t="shared" si="68"/>
        <v>1.1078933059646552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45422</v>
      </c>
      <c r="B145" s="409">
        <f>IF(t&gt;Tmaj,'2023'!Wh/'2023'!Env_an*'2024'!Env_an,0.001*[7]mois!$B$252)</f>
        <v>58.555886395275117</v>
      </c>
      <c r="C145" s="829"/>
      <c r="D145" s="391">
        <f t="shared" si="50"/>
        <v>60.757669764278582</v>
      </c>
      <c r="E145" s="383">
        <f t="shared" si="72"/>
        <v>61.396232786922219</v>
      </c>
      <c r="F145" s="383">
        <f t="shared" si="51"/>
        <v>61.396232786922219</v>
      </c>
      <c r="G145" s="110">
        <f t="shared" si="73"/>
        <v>0.97538629238634744</v>
      </c>
      <c r="H145" s="412" t="b">
        <f>Wh_hp&gt;='2023'!Maxi_hp</f>
        <v>1</v>
      </c>
      <c r="I145" s="388">
        <f>IF(H145,Wh_hp,'2023'!Maxi_hp)</f>
        <v>61.396232786922219</v>
      </c>
      <c r="J145" s="85">
        <f>IF(H145,An,'2023'!An_max)</f>
        <v>2024</v>
      </c>
      <c r="K145" s="197">
        <f t="shared" si="52"/>
        <v>45422</v>
      </c>
      <c r="L145" s="147">
        <f>IF(t&lt;Tvie,1-EXP((T0-t)*PertePVj)+'2023'!Pspv,1-EXP((T0-t)*PertePVj)+Pspv)</f>
        <v>3.6238772447095502E-2</v>
      </c>
      <c r="M145" s="832"/>
      <c r="N145" s="832"/>
      <c r="O145" s="48">
        <f>IF(t&lt;Tnet,'2023'!Resal+('2023'!Salim-'2023'!Resal)*(1-EXP(('2023'!Tnet-t)/('2023'!Tau_j))),Resal+(Salim-Resal)*(1-EXP((Tnet-t)/(Tau_j))))*Salcycl</f>
        <v>1.040068736562051E-2</v>
      </c>
      <c r="P145" s="169">
        <f>(INDEX(Models!$BJ145:$BT145,,T145)*(1-R145)+INDEX(Models!$BJ145:$BT145,,T145+1)*R145-ERP_i)*Q145*Ramure*Pc/MaxiM</f>
        <v>0</v>
      </c>
      <c r="Q145" s="304">
        <f t="shared" si="53"/>
        <v>0.6</v>
      </c>
      <c r="R145" s="177">
        <f t="shared" si="54"/>
        <v>0.11144960702301954</v>
      </c>
      <c r="S145" s="799">
        <f t="shared" si="55"/>
        <v>1</v>
      </c>
      <c r="T145" s="176">
        <f t="shared" si="56"/>
        <v>7</v>
      </c>
      <c r="U145" s="250">
        <f t="shared" si="57"/>
        <v>1.1114496070230195</v>
      </c>
      <c r="V145" s="382">
        <f t="shared" si="58"/>
        <v>60.033534254427799</v>
      </c>
      <c r="W145" s="400">
        <f t="shared" si="59"/>
        <v>58.555886395275117</v>
      </c>
      <c r="X145" s="157">
        <f t="shared" si="60"/>
        <v>45422</v>
      </c>
      <c r="Y145" s="383">
        <f t="shared" si="61"/>
        <v>56.367304934364988</v>
      </c>
      <c r="Z145" s="383">
        <f t="shared" si="62"/>
        <v>58.486794574095661</v>
      </c>
      <c r="AA145" s="384">
        <f t="shared" si="63"/>
        <v>61.396232786922219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4.7387894676272156E-2</v>
      </c>
      <c r="AD145" s="230">
        <f>(INDEX(Models!$BJ145:$BT145,,AH145)*(1-AF145)+INDEX(Models!$BJ145:$BT145,,AH145+1)*AF145-ERP_i)*AE145*Ramure*Pc/MaxiM</f>
        <v>0</v>
      </c>
      <c r="AE145" s="304">
        <f t="shared" si="65"/>
        <v>0.6</v>
      </c>
      <c r="AF145" s="177">
        <f t="shared" si="66"/>
        <v>0.11144960702301954</v>
      </c>
      <c r="AG145" s="799">
        <f t="shared" si="74"/>
        <v>1</v>
      </c>
      <c r="AH145" s="176">
        <f t="shared" si="67"/>
        <v>7</v>
      </c>
      <c r="AI145" s="224">
        <f t="shared" si="68"/>
        <v>1.1114496070230195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45423</v>
      </c>
      <c r="B146" s="409">
        <f>IF(t&gt;Tmaj,'2023'!Wh/'2023'!Env_an*'2024'!Env_an,0.001*[7]mois!$B$253)</f>
        <v>41.859699983784104</v>
      </c>
      <c r="C146" s="829"/>
      <c r="D146" s="391">
        <f t="shared" si="50"/>
        <v>43.434515763876341</v>
      </c>
      <c r="E146" s="383">
        <f t="shared" si="72"/>
        <v>43.896792045728127</v>
      </c>
      <c r="F146" s="383">
        <f t="shared" si="51"/>
        <v>43.896792045728127</v>
      </c>
      <c r="G146" s="110">
        <f t="shared" si="73"/>
        <v>0.69700231141390234</v>
      </c>
      <c r="H146" s="412" t="b">
        <f>Wh_hp&gt;='2023'!Maxi_hp</f>
        <v>0</v>
      </c>
      <c r="I146" s="388">
        <f>IF(H146,Wh_hp,'2023'!Maxi_hp)</f>
        <v>54.191031708919418</v>
      </c>
      <c r="J146" s="85">
        <f>IF(H146,An,'2023'!An_max)</f>
        <v>2018</v>
      </c>
      <c r="K146" s="197">
        <f t="shared" si="52"/>
        <v>45423</v>
      </c>
      <c r="L146" s="147">
        <f>IF(t&lt;Tvie,1-EXP((T0-t)*PertePVj)+'2023'!Pspv,1-EXP((T0-t)*PertePVj)+Pspv)</f>
        <v>3.6257242711152271E-2</v>
      </c>
      <c r="M146" s="832"/>
      <c r="N146" s="832"/>
      <c r="O146" s="48">
        <f>IF(t&lt;Tnet,'2023'!Resal+('2023'!Salim-'2023'!Resal)*(1-EXP(('2023'!Tnet-t)/('2023'!Tau_j))),Resal+(Salim-Resal)*(1-EXP((Tnet-t)/(Tau_j))))*Salcycl</f>
        <v>1.0530980973967836E-2</v>
      </c>
      <c r="P146" s="169">
        <f>(INDEX(Models!$BJ146:$BT146,,T146)*(1-R146)+INDEX(Models!$BJ146:$BT146,,T146+1)*R146-ERP_i)*Q146*Ramure*Pc/MaxiM</f>
        <v>0</v>
      </c>
      <c r="Q146" s="304">
        <f t="shared" si="53"/>
        <v>0.6</v>
      </c>
      <c r="R146" s="177">
        <f t="shared" si="54"/>
        <v>0.11508699467084815</v>
      </c>
      <c r="S146" s="799">
        <f t="shared" si="55"/>
        <v>1</v>
      </c>
      <c r="T146" s="176">
        <f t="shared" si="56"/>
        <v>7</v>
      </c>
      <c r="U146" s="250">
        <f t="shared" si="57"/>
        <v>1.1150869946708482</v>
      </c>
      <c r="V146" s="382">
        <f t="shared" si="58"/>
        <v>60.05675920768428</v>
      </c>
      <c r="W146" s="400">
        <f t="shared" si="59"/>
        <v>41.859699983784104</v>
      </c>
      <c r="X146" s="157">
        <f t="shared" si="60"/>
        <v>45423</v>
      </c>
      <c r="Y146" s="383">
        <f t="shared" si="61"/>
        <v>40.295734114623379</v>
      </c>
      <c r="Z146" s="383">
        <f t="shared" si="62"/>
        <v>41.811711486145221</v>
      </c>
      <c r="AA146" s="384">
        <f t="shared" si="63"/>
        <v>43.896792045728127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4.7499611302138742E-2</v>
      </c>
      <c r="AD146" s="230">
        <f>(INDEX(Models!$BJ146:$BT146,,AH146)*(1-AF146)+INDEX(Models!$BJ146:$BT146,,AH146+1)*AF146-ERP_i)*AE146*Ramure*Pc/MaxiM</f>
        <v>0</v>
      </c>
      <c r="AE146" s="304">
        <f t="shared" si="65"/>
        <v>0.6</v>
      </c>
      <c r="AF146" s="177">
        <f t="shared" si="66"/>
        <v>0.11508699467084815</v>
      </c>
      <c r="AG146" s="799">
        <f t="shared" si="74"/>
        <v>1</v>
      </c>
      <c r="AH146" s="176">
        <f t="shared" si="67"/>
        <v>7</v>
      </c>
      <c r="AI146" s="224">
        <f t="shared" si="68"/>
        <v>1.1150869946708482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45424</v>
      </c>
      <c r="B147" s="409">
        <f>IF(t&gt;Tmaj,'2023'!Wh/'2023'!Env_an*'2024'!Env_an,0.001*[7]mois!$B$254)</f>
        <v>42.966739246868876</v>
      </c>
      <c r="C147" s="829"/>
      <c r="D147" s="391">
        <f t="shared" si="50"/>
        <v>44.584057711914653</v>
      </c>
      <c r="E147" s="383">
        <f t="shared" si="72"/>
        <v>45.064507963884289</v>
      </c>
      <c r="F147" s="383">
        <f t="shared" si="51"/>
        <v>45.064507963884289</v>
      </c>
      <c r="G147" s="110">
        <f t="shared" si="73"/>
        <v>0.71518686347729143</v>
      </c>
      <c r="H147" s="412" t="b">
        <f>Wh_hp&gt;='2023'!Maxi_hp</f>
        <v>0</v>
      </c>
      <c r="I147" s="388">
        <f>IF(H147,Wh_hp,'2023'!Maxi_hp)</f>
        <v>65.060121509053133</v>
      </c>
      <c r="J147" s="85">
        <f>IF(H147,An,'2023'!An_max)</f>
        <v>2018</v>
      </c>
      <c r="K147" s="197">
        <f t="shared" si="52"/>
        <v>45424</v>
      </c>
      <c r="L147" s="147">
        <f>IF(t&lt;Tvie,1-EXP((T0-t)*PertePVj)+'2023'!Pspv,1-EXP((T0-t)*PertePVj)+Pspv)</f>
        <v>3.6275712621230638E-2</v>
      </c>
      <c r="M147" s="832"/>
      <c r="N147" s="832"/>
      <c r="O147" s="48">
        <f>IF(t&lt;Tnet,'2023'!Resal+('2023'!Salim-'2023'!Resal)*(1-EXP(('2023'!Tnet-t)/('2023'!Tau_j))),Resal+(Salim-Resal)*(1-EXP((Tnet-t)/(Tau_j))))*Salcycl</f>
        <v>1.0661389054878357E-2</v>
      </c>
      <c r="P147" s="169">
        <f>(INDEX(Models!$BJ147:$BT147,,T147)*(1-R147)+INDEX(Models!$BJ147:$BT147,,T147+1)*R147-ERP_i)*Q147*Ramure*Pc/MaxiM</f>
        <v>0</v>
      </c>
      <c r="Q147" s="304">
        <f t="shared" si="53"/>
        <v>0.6</v>
      </c>
      <c r="R147" s="177">
        <f t="shared" si="54"/>
        <v>0.11880509779630022</v>
      </c>
      <c r="S147" s="799">
        <f t="shared" si="55"/>
        <v>1</v>
      </c>
      <c r="T147" s="176">
        <f t="shared" si="56"/>
        <v>7</v>
      </c>
      <c r="U147" s="250">
        <f t="shared" si="57"/>
        <v>1.1188050977963002</v>
      </c>
      <c r="V147" s="382">
        <f t="shared" si="58"/>
        <v>60.077640461629031</v>
      </c>
      <c r="W147" s="400">
        <f t="shared" si="59"/>
        <v>42.966739246868876</v>
      </c>
      <c r="X147" s="157">
        <f t="shared" si="60"/>
        <v>45424</v>
      </c>
      <c r="Y147" s="383">
        <f t="shared" si="61"/>
        <v>41.361992824015694</v>
      </c>
      <c r="Z147" s="383">
        <f t="shared" si="62"/>
        <v>42.918906751344878</v>
      </c>
      <c r="AA147" s="384">
        <f t="shared" si="63"/>
        <v>45.064507963884289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4.7611774975085466E-2</v>
      </c>
      <c r="AD147" s="230">
        <f>(INDEX(Models!$BJ147:$BT147,,AH147)*(1-AF147)+INDEX(Models!$BJ147:$BT147,,AH147+1)*AF147-ERP_i)*AE147*Ramure*Pc/MaxiM</f>
        <v>0</v>
      </c>
      <c r="AE147" s="304">
        <f t="shared" si="65"/>
        <v>0.6</v>
      </c>
      <c r="AF147" s="177">
        <f t="shared" si="66"/>
        <v>0.11880509779630022</v>
      </c>
      <c r="AG147" s="799">
        <f t="shared" si="74"/>
        <v>1</v>
      </c>
      <c r="AH147" s="176">
        <f t="shared" si="67"/>
        <v>7</v>
      </c>
      <c r="AI147" s="224">
        <f t="shared" si="68"/>
        <v>1.1188050977963002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45425</v>
      </c>
      <c r="B148" s="409">
        <f>IF(t&gt;Tmaj,'2023'!Wh/'2023'!Env_an*'2024'!Env_an,0.001*[7]mois!$B$255)</f>
        <v>53.292088588383102</v>
      </c>
      <c r="C148" s="829"/>
      <c r="D148" s="391">
        <f t="shared" si="50"/>
        <v>55.299125109349191</v>
      </c>
      <c r="E148" s="383">
        <f t="shared" si="72"/>
        <v>55.902418915565725</v>
      </c>
      <c r="F148" s="383">
        <f t="shared" si="51"/>
        <v>55.902418915565725</v>
      </c>
      <c r="G148" s="110">
        <f t="shared" si="73"/>
        <v>0.88677694978913091</v>
      </c>
      <c r="H148" s="412" t="b">
        <f>Wh_hp&gt;='2023'!Maxi_hp</f>
        <v>0</v>
      </c>
      <c r="I148" s="388">
        <f>IF(H148,Wh_hp,'2023'!Maxi_hp)</f>
        <v>63.419199758926844</v>
      </c>
      <c r="J148" s="85">
        <f>IF(H148,An,'2023'!An_max)</f>
        <v>2018</v>
      </c>
      <c r="K148" s="197">
        <f t="shared" si="52"/>
        <v>45425</v>
      </c>
      <c r="L148" s="147">
        <f>IF(t&lt;Tvie,1-EXP((T0-t)*PertePVj)+'2023'!Pspv,1-EXP((T0-t)*PertePVj)+Pspv)</f>
        <v>3.6294182177337375E-2</v>
      </c>
      <c r="M148" s="832"/>
      <c r="N148" s="832"/>
      <c r="O148" s="48">
        <f>IF(t&lt;Tnet,'2023'!Resal+('2023'!Salim-'2023'!Resal)*(1-EXP(('2023'!Tnet-t)/('2023'!Tau_j))),Resal+(Salim-Resal)*(1-EXP((Tnet-t)/(Tau_j))))*Salcycl</f>
        <v>1.0791908792493282E-2</v>
      </c>
      <c r="P148" s="169">
        <f>(INDEX(Models!$BJ148:$BT148,,T148)*(1-R148)+INDEX(Models!$BJ148:$BT148,,T148+1)*R148-ERP_i)*Q148*Ramure*Pc/MaxiM</f>
        <v>0</v>
      </c>
      <c r="Q148" s="304">
        <f t="shared" si="53"/>
        <v>0.6</v>
      </c>
      <c r="R148" s="177">
        <f t="shared" si="54"/>
        <v>0.12260338936190274</v>
      </c>
      <c r="S148" s="799">
        <f t="shared" si="55"/>
        <v>1</v>
      </c>
      <c r="T148" s="176">
        <f t="shared" si="56"/>
        <v>7</v>
      </c>
      <c r="U148" s="250">
        <f t="shared" si="57"/>
        <v>1.1226033893619027</v>
      </c>
      <c r="V148" s="382">
        <f t="shared" si="58"/>
        <v>60.096384554262002</v>
      </c>
      <c r="W148" s="400">
        <f t="shared" si="59"/>
        <v>53.292088588383102</v>
      </c>
      <c r="X148" s="157">
        <f t="shared" si="60"/>
        <v>45425</v>
      </c>
      <c r="Y148" s="383">
        <f t="shared" si="61"/>
        <v>51.302408634736281</v>
      </c>
      <c r="Z148" s="383">
        <f t="shared" si="62"/>
        <v>53.234511700516421</v>
      </c>
      <c r="AA148" s="384">
        <f t="shared" si="63"/>
        <v>55.902418915565725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4.7724360891768951E-2</v>
      </c>
      <c r="AD148" s="230">
        <f>(INDEX(Models!$BJ148:$BT148,,AH148)*(1-AF148)+INDEX(Models!$BJ148:$BT148,,AH148+1)*AF148-ERP_i)*AE148*Ramure*Pc/MaxiM</f>
        <v>0</v>
      </c>
      <c r="AE148" s="304">
        <f t="shared" si="65"/>
        <v>0.6</v>
      </c>
      <c r="AF148" s="177">
        <f t="shared" si="66"/>
        <v>0.12260338936190274</v>
      </c>
      <c r="AG148" s="799">
        <f t="shared" si="74"/>
        <v>1</v>
      </c>
      <c r="AH148" s="176">
        <f t="shared" si="67"/>
        <v>7</v>
      </c>
      <c r="AI148" s="224">
        <f t="shared" si="68"/>
        <v>1.1226033893619027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45426</v>
      </c>
      <c r="B149" s="409">
        <f>IF(t&gt;Tmaj,'2023'!Wh/'2023'!Env_an*'2024'!Env_an,0.001*[7]mois!$B$256)</f>
        <v>55.582116010327546</v>
      </c>
      <c r="C149" s="829"/>
      <c r="D149" s="391">
        <f t="shared" si="50"/>
        <v>57.676502747380766</v>
      </c>
      <c r="E149" s="383">
        <f t="shared" si="72"/>
        <v>58.313433366010017</v>
      </c>
      <c r="F149" s="383">
        <f t="shared" si="51"/>
        <v>58.313433366010017</v>
      </c>
      <c r="G149" s="110">
        <f t="shared" si="73"/>
        <v>0.92463548941580365</v>
      </c>
      <c r="H149" s="412" t="b">
        <f>Wh_hp&gt;='2023'!Maxi_hp</f>
        <v>0</v>
      </c>
      <c r="I149" s="388">
        <f>IF(H149,Wh_hp,'2023'!Maxi_hp)</f>
        <v>63.720230232595142</v>
      </c>
      <c r="J149" s="85">
        <f>IF(H149,An,'2023'!An_max)</f>
        <v>2018</v>
      </c>
      <c r="K149" s="197">
        <f t="shared" si="52"/>
        <v>45426</v>
      </c>
      <c r="L149" s="147">
        <f>IF(t&lt;Tvie,1-EXP((T0-t)*PertePVj)+'2023'!Pspv,1-EXP((T0-t)*PertePVj)+Pspv)</f>
        <v>3.6312651379479366E-2</v>
      </c>
      <c r="M149" s="832"/>
      <c r="N149" s="832"/>
      <c r="O149" s="48">
        <f>IF(t&lt;Tnet,'2023'!Resal+('2023'!Salim-'2023'!Resal)*(1-EXP(('2023'!Tnet-t)/('2023'!Tau_j))),Resal+(Salim-Resal)*(1-EXP((Tnet-t)/(Tau_j))))*Salcycl</f>
        <v>1.0922536744346628E-2</v>
      </c>
      <c r="P149" s="169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0.12648118107694239</v>
      </c>
      <c r="S149" s="799">
        <f t="shared" si="55"/>
        <v>1</v>
      </c>
      <c r="T149" s="176">
        <f t="shared" si="56"/>
        <v>7</v>
      </c>
      <c r="U149" s="250">
        <f t="shared" si="57"/>
        <v>1.1264811810769424</v>
      </c>
      <c r="V149" s="382">
        <f t="shared" si="58"/>
        <v>60.112462312521686</v>
      </c>
      <c r="W149" s="400">
        <f t="shared" si="59"/>
        <v>55.582116010327546</v>
      </c>
      <c r="X149" s="157">
        <f t="shared" si="60"/>
        <v>45426</v>
      </c>
      <c r="Y149" s="383">
        <f t="shared" si="61"/>
        <v>53.507654609548538</v>
      </c>
      <c r="Z149" s="383">
        <f t="shared" si="62"/>
        <v>55.523873677643039</v>
      </c>
      <c r="AA149" s="384">
        <f t="shared" si="63"/>
        <v>58.313433366010017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4.78373425700735E-2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0.12648118107694239</v>
      </c>
      <c r="AG149" s="799">
        <f t="shared" si="74"/>
        <v>1</v>
      </c>
      <c r="AH149" s="176">
        <f t="shared" si="67"/>
        <v>7</v>
      </c>
      <c r="AI149" s="224">
        <f t="shared" si="68"/>
        <v>1.1264811810769424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45427</v>
      </c>
      <c r="B150" s="409">
        <f>IF(t&gt;Tmaj,'2023'!Wh/'2023'!Env_an*'2024'!Env_an,0.001*[7]mois!$B$257)</f>
        <v>53.15079300901882</v>
      </c>
      <c r="C150" s="829"/>
      <c r="D150" s="391">
        <f t="shared" si="50"/>
        <v>55.154622220005173</v>
      </c>
      <c r="E150" s="383">
        <f t="shared" si="72"/>
        <v>55.771074903976235</v>
      </c>
      <c r="F150" s="383">
        <f t="shared" si="51"/>
        <v>55.771074903976235</v>
      </c>
      <c r="G150" s="110">
        <f t="shared" si="73"/>
        <v>0.88400080795457237</v>
      </c>
      <c r="H150" s="412" t="b">
        <f>Wh_hp&gt;='2023'!Maxi_hp</f>
        <v>0</v>
      </c>
      <c r="I150" s="388">
        <f>IF(H150,Wh_hp,'2023'!Maxi_hp)</f>
        <v>57.127425816284799</v>
      </c>
      <c r="J150" s="85">
        <f>IF(H150,An,'2023'!An_max)</f>
        <v>2018</v>
      </c>
      <c r="K150" s="197">
        <f t="shared" si="52"/>
        <v>45427</v>
      </c>
      <c r="L150" s="147">
        <f>IF(t&lt;Tvie,1-EXP((T0-t)*PertePVj)+'2023'!Pspv,1-EXP((T0-t)*PertePVj)+Pspv)</f>
        <v>3.6331120227663272E-2</v>
      </c>
      <c r="M150" s="832"/>
      <c r="N150" s="832"/>
      <c r="O150" s="48">
        <f>IF(t&lt;Tnet,'2023'!Resal+('2023'!Salim-'2023'!Resal)*(1-EXP(('2023'!Tnet-t)/('2023'!Tau_j))),Resal+(Salim-Resal)*(1-EXP((Tnet-t)/(Tau_j))))*Salcycl</f>
        <v>1.1053268832140011E-2</v>
      </c>
      <c r="P150" s="169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0.13043761853806846</v>
      </c>
      <c r="S150" s="799">
        <f t="shared" si="55"/>
        <v>1</v>
      </c>
      <c r="T150" s="176">
        <f t="shared" si="56"/>
        <v>7</v>
      </c>
      <c r="U150" s="250">
        <f t="shared" si="57"/>
        <v>1.1304376185380685</v>
      </c>
      <c r="V150" s="382">
        <f t="shared" si="58"/>
        <v>60.125276505120752</v>
      </c>
      <c r="W150" s="400">
        <f t="shared" si="59"/>
        <v>53.15079300901882</v>
      </c>
      <c r="X150" s="157">
        <f t="shared" si="60"/>
        <v>45427</v>
      </c>
      <c r="Y150" s="383">
        <f t="shared" si="61"/>
        <v>51.167746568795906</v>
      </c>
      <c r="Z150" s="383">
        <f t="shared" si="62"/>
        <v>53.096813275618175</v>
      </c>
      <c r="AA150" s="384">
        <f t="shared" si="63"/>
        <v>55.771074903976235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4.7950691876792108E-2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0.13043761853806846</v>
      </c>
      <c r="AG150" s="799">
        <f t="shared" si="74"/>
        <v>1</v>
      </c>
      <c r="AH150" s="176">
        <f t="shared" si="67"/>
        <v>7</v>
      </c>
      <c r="AI150" s="224">
        <f t="shared" si="68"/>
        <v>1.1304376185380685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45428</v>
      </c>
      <c r="B151" s="409">
        <f>IF(t&gt;Tmaj,'2023'!Wh/'2023'!Env_an*'2024'!Env_an,0.001*[7]mois!$B$258)</f>
        <v>56.417155189314549</v>
      </c>
      <c r="C151" s="829"/>
      <c r="D151" s="391">
        <f t="shared" si="50"/>
        <v>58.545250984210782</v>
      </c>
      <c r="E151" s="383">
        <f t="shared" si="72"/>
        <v>59.207432853837069</v>
      </c>
      <c r="F151" s="383">
        <f t="shared" si="51"/>
        <v>59.207432853837069</v>
      </c>
      <c r="G151" s="110">
        <f t="shared" si="73"/>
        <v>0.93817609463648943</v>
      </c>
      <c r="H151" s="412" t="b">
        <f>Wh_hp&gt;='2023'!Maxi_hp</f>
        <v>1</v>
      </c>
      <c r="I151" s="388">
        <f>IF(H151,Wh_hp,'2023'!Maxi_hp)</f>
        <v>59.207432853837069</v>
      </c>
      <c r="J151" s="85">
        <f>IF(H151,An,'2023'!An_max)</f>
        <v>2024</v>
      </c>
      <c r="K151" s="197">
        <f t="shared" si="52"/>
        <v>45428</v>
      </c>
      <c r="L151" s="147">
        <f>IF(t&lt;Tvie,1-EXP((T0-t)*PertePVj)+'2023'!Pspv,1-EXP((T0-t)*PertePVj)+Pspv)</f>
        <v>3.6349588721895865E-2</v>
      </c>
      <c r="M151" s="832"/>
      <c r="N151" s="832"/>
      <c r="O151" s="48">
        <f>IF(t&lt;Tnet,'2023'!Resal+('2023'!Salim-'2023'!Resal)*(1-EXP(('2023'!Tnet-t)/('2023'!Tau_j))),Resal+(Salim-Resal)*(1-EXP((Tnet-t)/(Tau_j))))*Salcycl</f>
        <v>1.1184100335189177E-2</v>
      </c>
      <c r="P151" s="169">
        <f>(INDEX(Models!$BJ151:$BT151,,T151)*(1-R151)+INDEX(Models!$BJ151:$BT151,,T151+1)*R151-ERP_i)*Q151*Ramure*Pc/MaxiM</f>
        <v>0</v>
      </c>
      <c r="Q151" s="304">
        <f t="shared" si="53"/>
        <v>0.6</v>
      </c>
      <c r="R151" s="177">
        <f t="shared" si="54"/>
        <v>0.13447167689804229</v>
      </c>
      <c r="S151" s="799">
        <f t="shared" si="55"/>
        <v>1</v>
      </c>
      <c r="T151" s="176">
        <f t="shared" si="56"/>
        <v>7</v>
      </c>
      <c r="U151" s="250">
        <f t="shared" si="57"/>
        <v>1.1344716768980423</v>
      </c>
      <c r="V151" s="382">
        <f t="shared" si="58"/>
        <v>60.134931503636565</v>
      </c>
      <c r="W151" s="400">
        <f t="shared" si="59"/>
        <v>56.417155189314549</v>
      </c>
      <c r="X151" s="157">
        <f t="shared" si="60"/>
        <v>45428</v>
      </c>
      <c r="Y151" s="383">
        <f t="shared" si="61"/>
        <v>54.31294103863992</v>
      </c>
      <c r="Z151" s="383">
        <f t="shared" si="62"/>
        <v>56.361664357724749</v>
      </c>
      <c r="AA151" s="384">
        <f t="shared" si="63"/>
        <v>59.207432853837069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4.8064379064323676E-2</v>
      </c>
      <c r="AD151" s="230">
        <f>(INDEX(Models!$BJ151:$BT151,,AH151)*(1-AF151)+INDEX(Models!$BJ151:$BT151,,AH151+1)*AF151-ERP_i)*AE151*Ramure*Pc/MaxiM</f>
        <v>0</v>
      </c>
      <c r="AE151" s="304">
        <f t="shared" si="65"/>
        <v>0.6</v>
      </c>
      <c r="AF151" s="177">
        <f t="shared" si="66"/>
        <v>0.13447167689804229</v>
      </c>
      <c r="AG151" s="799">
        <f t="shared" si="74"/>
        <v>1</v>
      </c>
      <c r="AH151" s="176">
        <f t="shared" si="67"/>
        <v>7</v>
      </c>
      <c r="AI151" s="224">
        <f t="shared" si="68"/>
        <v>1.1344716768980423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45429</v>
      </c>
      <c r="B152" s="409">
        <f>IF(t&gt;Tmaj,'2023'!Wh/'2023'!Env_an*'2024'!Env_an,0.001*[7]mois!$B$259)</f>
        <v>53.459821493140801</v>
      </c>
      <c r="C152" s="829"/>
      <c r="D152" s="391">
        <f t="shared" si="50"/>
        <v>55.477427739747647</v>
      </c>
      <c r="E152" s="383">
        <f t="shared" si="72"/>
        <v>56.112340323067954</v>
      </c>
      <c r="F152" s="383">
        <f t="shared" si="51"/>
        <v>56.112340323067954</v>
      </c>
      <c r="G152" s="110">
        <f t="shared" si="73"/>
        <v>0.88890023282259112</v>
      </c>
      <c r="H152" s="412" t="b">
        <f>Wh_hp&gt;='2023'!Maxi_hp</f>
        <v>0</v>
      </c>
      <c r="I152" s="388">
        <f>IF(H152,Wh_hp,'2023'!Maxi_hp)</f>
        <v>64.598562640471044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3.6368056862184028E-2</v>
      </c>
      <c r="M152" s="832"/>
      <c r="N152" s="832"/>
      <c r="O152" s="48">
        <f>IF(t&lt;Tnet,'2023'!Resal+('2023'!Salim-'2023'!Resal)*(1-EXP(('2023'!Tnet-t)/('2023'!Tau_j))),Resal+(Salim-Resal)*(1-EXP((Tnet-t)/(Tau_j))))*Salcycl</f>
        <v>1.1315025886726239E-2</v>
      </c>
      <c r="P152" s="169">
        <f>(INDEX(Models!$BJ152:$BT152,,T152)*(1-R152)+INDEX(Models!$BJ152:$BT152,,T152+1)*R152-ERP_i)*Q152*Ramure*Pc/MaxiM</f>
        <v>0</v>
      </c>
      <c r="Q152" s="304">
        <f t="shared" si="53"/>
        <v>0.6</v>
      </c>
      <c r="R152" s="177">
        <f t="shared" si="54"/>
        <v>0.13858215712199939</v>
      </c>
      <c r="S152" s="799">
        <f t="shared" si="55"/>
        <v>1</v>
      </c>
      <c r="T152" s="176">
        <f t="shared" si="56"/>
        <v>7</v>
      </c>
      <c r="U152" s="250">
        <f t="shared" si="57"/>
        <v>1.1385821571219994</v>
      </c>
      <c r="V152" s="382">
        <f t="shared" si="58"/>
        <v>60.141531658042027</v>
      </c>
      <c r="W152" s="400">
        <f t="shared" si="59"/>
        <v>53.459821493140801</v>
      </c>
      <c r="X152" s="157">
        <f t="shared" si="60"/>
        <v>45429</v>
      </c>
      <c r="Y152" s="383">
        <f t="shared" si="61"/>
        <v>51.466559738273354</v>
      </c>
      <c r="Z152" s="383">
        <f t="shared" si="62"/>
        <v>53.408939071369858</v>
      </c>
      <c r="AA152" s="384">
        <f t="shared" si="63"/>
        <v>56.112340323067954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4.8178372816624862E-2</v>
      </c>
      <c r="AD152" s="230">
        <f>(INDEX(Models!$BJ152:$BT152,,AH152)*(1-AF152)+INDEX(Models!$BJ152:$BT152,,AH152+1)*AF152-ERP_i)*AE152*Ramure*Pc/MaxiM</f>
        <v>0</v>
      </c>
      <c r="AE152" s="304">
        <f t="shared" si="65"/>
        <v>0.6</v>
      </c>
      <c r="AF152" s="177">
        <f t="shared" si="66"/>
        <v>0.13858215712199939</v>
      </c>
      <c r="AG152" s="799">
        <f t="shared" si="74"/>
        <v>1</v>
      </c>
      <c r="AH152" s="176">
        <f t="shared" si="67"/>
        <v>7</v>
      </c>
      <c r="AI152" s="224">
        <f t="shared" si="68"/>
        <v>1.1385821571219994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45430</v>
      </c>
      <c r="B153" s="409">
        <f>IF(t&gt;Tmaj,'2023'!Wh/'2023'!Env_an*'2024'!Env_an,0.001*[7]mois!$B$260)</f>
        <v>56.976172852249547</v>
      </c>
      <c r="C153" s="829"/>
      <c r="D153" s="391">
        <f t="shared" si="50"/>
        <v>59.127621509722275</v>
      </c>
      <c r="E153" s="383">
        <f t="shared" si="72"/>
        <v>59.812234709185503</v>
      </c>
      <c r="F153" s="383">
        <f t="shared" si="51"/>
        <v>59.812234709185503</v>
      </c>
      <c r="G153" s="110">
        <f t="shared" si="73"/>
        <v>0.94731068427701781</v>
      </c>
      <c r="H153" s="412" t="b">
        <f>Wh_hp&gt;='2023'!Maxi_hp</f>
        <v>0</v>
      </c>
      <c r="I153" s="388">
        <f>IF(H153,Wh_hp,'2023'!Maxi_hp)</f>
        <v>63.301181056084516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3.6386524648534535E-2</v>
      </c>
      <c r="M153" s="832"/>
      <c r="N153" s="832"/>
      <c r="O153" s="48">
        <f>IF(t&lt;Tnet,'2023'!Resal+('2023'!Salim-'2023'!Resal)*(1-EXP(('2023'!Tnet-t)/('2023'!Tau_j))),Resal+(Salim-Resal)*(1-EXP((Tnet-t)/(Tau_j))))*Salcycl</f>
        <v>1.1446039473226501E-2</v>
      </c>
      <c r="P153" s="169">
        <f>(INDEX(Models!$BJ153:$BT153,,T153)*(1-R153)+INDEX(Models!$BJ153:$BT153,,T153+1)*R153-ERP_i)*Q153*Ramure*Pc/MaxiM</f>
        <v>-1.3520264305328438E-20</v>
      </c>
      <c r="Q153" s="304">
        <f t="shared" si="53"/>
        <v>0.6</v>
      </c>
      <c r="R153" s="177">
        <f t="shared" si="54"/>
        <v>0.14276768288929587</v>
      </c>
      <c r="S153" s="799">
        <f t="shared" si="55"/>
        <v>1</v>
      </c>
      <c r="T153" s="176">
        <f t="shared" si="56"/>
        <v>7</v>
      </c>
      <c r="U153" s="250">
        <f t="shared" si="57"/>
        <v>1.1427676828892959</v>
      </c>
      <c r="V153" s="382">
        <f t="shared" si="58"/>
        <v>60.145181298924591</v>
      </c>
      <c r="W153" s="400">
        <f t="shared" si="59"/>
        <v>56.976172852249547</v>
      </c>
      <c r="X153" s="157">
        <f t="shared" si="60"/>
        <v>45430</v>
      </c>
      <c r="Y153" s="383">
        <f t="shared" si="61"/>
        <v>54.852486759416934</v>
      </c>
      <c r="Z153" s="383">
        <f t="shared" si="62"/>
        <v>56.923743972561411</v>
      </c>
      <c r="AA153" s="384">
        <f t="shared" si="63"/>
        <v>59.812234709185503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4.8292640304584744E-2</v>
      </c>
      <c r="AD153" s="230">
        <f>(INDEX(Models!$BJ153:$BT153,,AH153)*(1-AF153)+INDEX(Models!$BJ153:$BT153,,AH153+1)*AF153-ERP_i)*AE153*Ramure*Pc/MaxiM</f>
        <v>-1.3520264305328438E-20</v>
      </c>
      <c r="AE153" s="304">
        <f t="shared" si="65"/>
        <v>0.6</v>
      </c>
      <c r="AF153" s="177">
        <f t="shared" si="66"/>
        <v>0.14276768288929587</v>
      </c>
      <c r="AG153" s="799">
        <f t="shared" si="74"/>
        <v>1</v>
      </c>
      <c r="AH153" s="176">
        <f t="shared" si="67"/>
        <v>7</v>
      </c>
      <c r="AI153" s="224">
        <f t="shared" si="68"/>
        <v>1.1427676828892959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45431</v>
      </c>
      <c r="B154" s="409">
        <f>IF(t&gt;Tmaj,'2023'!Wh/'2023'!Env_an*'2024'!Env_an,0.001*[7]mois!$B$261)</f>
        <v>51.833740837587946</v>
      </c>
      <c r="C154" s="829"/>
      <c r="D154" s="391">
        <f t="shared" si="50"/>
        <v>53.792039613744691</v>
      </c>
      <c r="E154" s="383">
        <f t="shared" si="72"/>
        <v>54.422091483183415</v>
      </c>
      <c r="F154" s="383">
        <f t="shared" si="51"/>
        <v>54.422091483183415</v>
      </c>
      <c r="G154" s="110">
        <f t="shared" si="73"/>
        <v>0.86179885603103079</v>
      </c>
      <c r="H154" s="412" t="b">
        <f>Wh_hp&gt;='2023'!Maxi_hp</f>
        <v>0</v>
      </c>
      <c r="I154" s="388">
        <f>IF(H154,Wh_hp,'2023'!Maxi_hp)</f>
        <v>62.450618114879568</v>
      </c>
      <c r="J154" s="85">
        <f>IF(H154,An,'2023'!An_max)</f>
        <v>2020</v>
      </c>
      <c r="K154" s="197">
        <f t="shared" si="52"/>
        <v>45431</v>
      </c>
      <c r="L154" s="147">
        <f>IF(t&lt;Tvie,1-EXP((T0-t)*PertePVj)+'2023'!Pspv,1-EXP((T0-t)*PertePVj)+Pspv)</f>
        <v>3.6404992080954046E-2</v>
      </c>
      <c r="M154" s="832"/>
      <c r="N154" s="832"/>
      <c r="O154" s="48">
        <f>IF(t&lt;Tnet,'2023'!Resal+('2023'!Salim-'2023'!Resal)*(1-EXP(('2023'!Tnet-t)/('2023'!Tau_j))),Resal+(Salim-Resal)*(1-EXP((Tnet-t)/(Tau_j))))*Salcycl</f>
        <v>1.1577134436911763E-2</v>
      </c>
      <c r="P154" s="169">
        <f>(INDEX(Models!$BJ154:$BT154,,T154)*(1-R154)+INDEX(Models!$BJ154:$BT154,,T154+1)*R154-ERP_i)*Q154*Ramure*Pc/MaxiM</f>
        <v>-1.3649188508928938E-20</v>
      </c>
      <c r="Q154" s="304">
        <f t="shared" si="53"/>
        <v>0.6</v>
      </c>
      <c r="R154" s="177">
        <f t="shared" si="54"/>
        <v>0.14702669819695657</v>
      </c>
      <c r="S154" s="799">
        <f t="shared" si="55"/>
        <v>1</v>
      </c>
      <c r="T154" s="176">
        <f t="shared" si="56"/>
        <v>7</v>
      </c>
      <c r="U154" s="250">
        <f t="shared" si="57"/>
        <v>1.1470266981969566</v>
      </c>
      <c r="V154" s="382">
        <f t="shared" si="58"/>
        <v>60.145984732801239</v>
      </c>
      <c r="W154" s="400">
        <f t="shared" si="59"/>
        <v>51.833740837587946</v>
      </c>
      <c r="X154" s="157">
        <f t="shared" si="60"/>
        <v>45431</v>
      </c>
      <c r="Y154" s="383">
        <f t="shared" si="61"/>
        <v>49.902343451147829</v>
      </c>
      <c r="Z154" s="383">
        <f t="shared" si="62"/>
        <v>51.787673287054069</v>
      </c>
      <c r="AA154" s="384">
        <f t="shared" si="63"/>
        <v>54.422091483183415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4.8407147250917215E-2</v>
      </c>
      <c r="AD154" s="230">
        <f>(INDEX(Models!$BJ154:$BT154,,AH154)*(1-AF154)+INDEX(Models!$BJ154:$BT154,,AH154+1)*AF154-ERP_i)*AE154*Ramure*Pc/MaxiM</f>
        <v>-1.3649188508928938E-20</v>
      </c>
      <c r="AE154" s="304">
        <f t="shared" si="65"/>
        <v>0.6</v>
      </c>
      <c r="AF154" s="177">
        <f t="shared" si="66"/>
        <v>0.14702669819695657</v>
      </c>
      <c r="AG154" s="799">
        <f t="shared" si="74"/>
        <v>1</v>
      </c>
      <c r="AH154" s="176">
        <f t="shared" si="67"/>
        <v>7</v>
      </c>
      <c r="AI154" s="224">
        <f t="shared" si="68"/>
        <v>1.1470266981969566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45432</v>
      </c>
      <c r="B155" s="409">
        <f>IF(t&gt;Tmaj,'2023'!Wh/'2023'!Env_an*'2024'!Env_an,0.001*[7]mois!$B$262)</f>
        <v>52.867108463110554</v>
      </c>
      <c r="C155" s="829"/>
      <c r="D155" s="391">
        <f t="shared" si="50"/>
        <v>54.865499752612621</v>
      </c>
      <c r="E155" s="383">
        <f t="shared" si="72"/>
        <v>55.515491980650339</v>
      </c>
      <c r="F155" s="383">
        <f t="shared" si="51"/>
        <v>55.515491980650339</v>
      </c>
      <c r="G155" s="110">
        <f t="shared" si="73"/>
        <v>0.87900817723197366</v>
      </c>
      <c r="H155" s="412" t="b">
        <f>Wh_hp&gt;='2023'!Maxi_hp</f>
        <v>0</v>
      </c>
      <c r="I155" s="388">
        <f>IF(H155,Wh_hp,'2023'!Maxi_hp)</f>
        <v>60.873954388671315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3.6423459159449445E-2</v>
      </c>
      <c r="M155" s="832"/>
      <c r="N155" s="832"/>
      <c r="O155" s="48">
        <f>IF(t&lt;Tnet,'2023'!Resal+('2023'!Salim-'2023'!Resal)*(1-EXP(('2023'!Tnet-t)/('2023'!Tau_j))),Resal+(Salim-Resal)*(1-EXP((Tnet-t)/(Tau_j))))*Salcycl</f>
        <v>1.1708303481562723E-2</v>
      </c>
      <c r="P155" s="169">
        <f>(INDEX(Models!$BJ155:$BT155,,T155)*(1-R155)+INDEX(Models!$BJ155:$BT155,,T155+1)*R155-ERP_i)*Q155*Ramure*Pc/MaxiM</f>
        <v>-1.3779418004803794E-20</v>
      </c>
      <c r="Q155" s="304">
        <f t="shared" si="53"/>
        <v>0.6</v>
      </c>
      <c r="R155" s="177">
        <f t="shared" si="54"/>
        <v>0.15135746571789932</v>
      </c>
      <c r="S155" s="799">
        <f t="shared" si="55"/>
        <v>1</v>
      </c>
      <c r="T155" s="176">
        <f t="shared" si="56"/>
        <v>7</v>
      </c>
      <c r="U155" s="250">
        <f t="shared" si="57"/>
        <v>1.1513574657178993</v>
      </c>
      <c r="V155" s="382">
        <f t="shared" si="58"/>
        <v>60.14404624720428</v>
      </c>
      <c r="W155" s="400">
        <f t="shared" si="59"/>
        <v>52.867108463110554</v>
      </c>
      <c r="X155" s="157">
        <f t="shared" si="60"/>
        <v>45432</v>
      </c>
      <c r="Y155" s="383">
        <f t="shared" si="61"/>
        <v>50.897825318531282</v>
      </c>
      <c r="Z155" s="383">
        <f t="shared" si="62"/>
        <v>52.821777161710379</v>
      </c>
      <c r="AA155" s="384">
        <f t="shared" si="63"/>
        <v>55.515491980650339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4.8521858004588019E-2</v>
      </c>
      <c r="AD155" s="230">
        <f>(INDEX(Models!$BJ155:$BT155,,AH155)*(1-AF155)+INDEX(Models!$BJ155:$BT155,,AH155+1)*AF155-ERP_i)*AE155*Ramure*Pc/MaxiM</f>
        <v>-1.3779418004803794E-20</v>
      </c>
      <c r="AE155" s="304">
        <f t="shared" si="65"/>
        <v>0.6</v>
      </c>
      <c r="AF155" s="177">
        <f t="shared" si="66"/>
        <v>0.15135746571789932</v>
      </c>
      <c r="AG155" s="799">
        <f t="shared" si="74"/>
        <v>1</v>
      </c>
      <c r="AH155" s="176">
        <f t="shared" si="67"/>
        <v>7</v>
      </c>
      <c r="AI155" s="224">
        <f t="shared" si="68"/>
        <v>1.1513574657178993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45433</v>
      </c>
      <c r="B156" s="409">
        <f>IF(t&gt;Tmaj,'2023'!Wh/'2023'!Env_an*'2024'!Env_an,0.001*[7]mois!$B$263)</f>
        <v>42.043704745638912</v>
      </c>
      <c r="C156" s="829"/>
      <c r="D156" s="391">
        <f t="shared" si="50"/>
        <v>43.633804619625444</v>
      </c>
      <c r="E156" s="383">
        <f t="shared" si="72"/>
        <v>44.15659837413051</v>
      </c>
      <c r="F156" s="383">
        <f t="shared" si="51"/>
        <v>44.15659837413051</v>
      </c>
      <c r="G156" s="110">
        <f t="shared" si="73"/>
        <v>0.69910334547496078</v>
      </c>
      <c r="H156" s="412" t="b">
        <f>Wh_hp&gt;='2023'!Maxi_hp</f>
        <v>0</v>
      </c>
      <c r="I156" s="388">
        <f>IF(H156,Wh_hp,'2023'!Maxi_hp)</f>
        <v>60.177941095555454</v>
      </c>
      <c r="J156" s="85">
        <f>IF(H156,An,'2023'!An_max)</f>
        <v>2018</v>
      </c>
      <c r="K156" s="197">
        <f t="shared" si="52"/>
        <v>45433</v>
      </c>
      <c r="L156" s="147">
        <f>IF(t&lt;Tvie,1-EXP((T0-t)*PertePVj)+'2023'!Pspv,1-EXP((T0-t)*PertePVj)+Pspv)</f>
        <v>3.6441925884027615E-2</v>
      </c>
      <c r="M156" s="832"/>
      <c r="N156" s="832"/>
      <c r="O156" s="48">
        <f>IF(t&lt;Tnet,'2023'!Resal+('2023'!Salim-'2023'!Resal)*(1-EXP(('2023'!Tnet-t)/('2023'!Tau_j))),Resal+(Salim-Resal)*(1-EXP((Tnet-t)/(Tau_j))))*Salcycl</f>
        <v>1.1839538681751135E-2</v>
      </c>
      <c r="P156" s="169">
        <f>(INDEX(Models!$BJ156:$BT156,,T156)*(1-R156)+INDEX(Models!$BJ156:$BT156,,T156+1)*R156-ERP_i)*Q156*Ramure*Pc/MaxiM</f>
        <v>0</v>
      </c>
      <c r="Q156" s="304">
        <f t="shared" si="53"/>
        <v>0.6</v>
      </c>
      <c r="R156" s="177">
        <f t="shared" si="54"/>
        <v>0.15575806596345498</v>
      </c>
      <c r="S156" s="799">
        <f t="shared" si="55"/>
        <v>1</v>
      </c>
      <c r="T156" s="176">
        <f t="shared" si="56"/>
        <v>7</v>
      </c>
      <c r="U156" s="250">
        <f t="shared" si="57"/>
        <v>1.155758065963455</v>
      </c>
      <c r="V156" s="382">
        <f t="shared" si="58"/>
        <v>60.139470105203145</v>
      </c>
      <c r="W156" s="400">
        <f t="shared" si="59"/>
        <v>42.043704745638912</v>
      </c>
      <c r="X156" s="157">
        <f t="shared" si="60"/>
        <v>45433</v>
      </c>
      <c r="Y156" s="383">
        <f t="shared" si="61"/>
        <v>40.478077963048243</v>
      </c>
      <c r="Z156" s="383">
        <f t="shared" si="62"/>
        <v>42.008965572921312</v>
      </c>
      <c r="AA156" s="384">
        <f t="shared" si="63"/>
        <v>44.15659837413051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4.8636735624712657E-2</v>
      </c>
      <c r="AD156" s="230">
        <f>(INDEX(Models!$BJ156:$BT156,,AH156)*(1-AF156)+INDEX(Models!$BJ156:$BT156,,AH156+1)*AF156-ERP_i)*AE156*Ramure*Pc/MaxiM</f>
        <v>0</v>
      </c>
      <c r="AE156" s="304">
        <f t="shared" si="65"/>
        <v>0.6</v>
      </c>
      <c r="AF156" s="177">
        <f t="shared" si="66"/>
        <v>0.15575806596345498</v>
      </c>
      <c r="AG156" s="799">
        <f t="shared" si="74"/>
        <v>1</v>
      </c>
      <c r="AH156" s="176">
        <f t="shared" si="67"/>
        <v>7</v>
      </c>
      <c r="AI156" s="224">
        <f t="shared" si="68"/>
        <v>1.155758065963455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45434</v>
      </c>
      <c r="B157" s="409">
        <f>IF(t&gt;Tmaj,'2023'!Wh/'2023'!Env_an*'2024'!Env_an,0.001*[7]mois!$B$264)</f>
        <v>19.705832503893497</v>
      </c>
      <c r="C157" s="829"/>
      <c r="D157" s="391">
        <f t="shared" si="50"/>
        <v>20.451502299947379</v>
      </c>
      <c r="E157" s="383">
        <f t="shared" si="72"/>
        <v>20.699290012768348</v>
      </c>
      <c r="F157" s="383">
        <f t="shared" si="51"/>
        <v>20.699290012768348</v>
      </c>
      <c r="G157" s="110">
        <f t="shared" si="73"/>
        <v>0.32770761573836865</v>
      </c>
      <c r="H157" s="412" t="b">
        <f>Wh_hp&gt;='2023'!Maxi_hp</f>
        <v>0</v>
      </c>
      <c r="I157" s="388">
        <f>IF(H157,Wh_hp,'2023'!Maxi_hp)</f>
        <v>58.544637750972903</v>
      </c>
      <c r="J157" s="85">
        <f>IF(H157,An,'2023'!An_max)</f>
        <v>2020</v>
      </c>
      <c r="K157" s="197">
        <f t="shared" si="52"/>
        <v>45434</v>
      </c>
      <c r="L157" s="147">
        <f>IF(t&lt;Tvie,1-EXP((T0-t)*PertePVj)+'2023'!Pspv,1-EXP((T0-t)*PertePVj)+Pspv)</f>
        <v>3.6460392254695106E-2</v>
      </c>
      <c r="M157" s="832"/>
      <c r="N157" s="832"/>
      <c r="O157" s="48">
        <f>IF(t&lt;Tnet,'2023'!Resal+('2023'!Salim-'2023'!Resal)*(1-EXP(('2023'!Tnet-t)/('2023'!Tau_j))),Resal+(Salim-Resal)*(1-EXP((Tnet-t)/(Tau_j))))*Salcycl</f>
        <v>1.1970831495578899E-2</v>
      </c>
      <c r="P157" s="169">
        <f>(INDEX(Models!$BJ157:$BT157,,T157)*(1-R157)+INDEX(Models!$BJ157:$BT157,,T157+1)*R157-ERP_i)*Q157*Ramure*Pc/MaxiM</f>
        <v>0</v>
      </c>
      <c r="Q157" s="304">
        <f t="shared" si="53"/>
        <v>0.6</v>
      </c>
      <c r="R157" s="177">
        <f t="shared" si="54"/>
        <v>0.16022639729522736</v>
      </c>
      <c r="S157" s="799">
        <f t="shared" si="55"/>
        <v>1</v>
      </c>
      <c r="T157" s="176">
        <f t="shared" si="56"/>
        <v>7</v>
      </c>
      <c r="U157" s="250">
        <f t="shared" si="57"/>
        <v>1.1602263972952274</v>
      </c>
      <c r="V157" s="382">
        <f t="shared" si="58"/>
        <v>60.132360547964829</v>
      </c>
      <c r="W157" s="400">
        <f t="shared" si="59"/>
        <v>19.705832503893497</v>
      </c>
      <c r="X157" s="157">
        <f t="shared" si="60"/>
        <v>45434</v>
      </c>
      <c r="Y157" s="383">
        <f t="shared" si="61"/>
        <v>18.972252479812596</v>
      </c>
      <c r="Z157" s="383">
        <f t="shared" si="62"/>
        <v>19.690163567025451</v>
      </c>
      <c r="AA157" s="384">
        <f t="shared" si="63"/>
        <v>20.699290012768348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4.8751741973778642E-2</v>
      </c>
      <c r="AD157" s="230">
        <f>(INDEX(Models!$BJ157:$BT157,,AH157)*(1-AF157)+INDEX(Models!$BJ157:$BT157,,AH157+1)*AF157-ERP_i)*AE157*Ramure*Pc/MaxiM</f>
        <v>0</v>
      </c>
      <c r="AE157" s="304">
        <f t="shared" si="65"/>
        <v>0.6</v>
      </c>
      <c r="AF157" s="177">
        <f t="shared" si="66"/>
        <v>0.16022639729522736</v>
      </c>
      <c r="AG157" s="799">
        <f t="shared" si="74"/>
        <v>1</v>
      </c>
      <c r="AH157" s="176">
        <f t="shared" si="67"/>
        <v>7</v>
      </c>
      <c r="AI157" s="224">
        <f t="shared" si="68"/>
        <v>1.1602263972952274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45435</v>
      </c>
      <c r="B158" s="409">
        <f>IF(t&gt;Tmaj,'2023'!Wh/'2023'!Env_an*'2024'!Env_an,0.001*[7]mois!$B$265)</f>
        <v>17.212720206787317</v>
      </c>
      <c r="C158" s="829"/>
      <c r="D158" s="391">
        <f t="shared" si="50"/>
        <v>17.864392862109884</v>
      </c>
      <c r="E158" s="383">
        <f t="shared" si="72"/>
        <v>18.08323934915326</v>
      </c>
      <c r="F158" s="383">
        <f t="shared" si="51"/>
        <v>18.08323934915326</v>
      </c>
      <c r="G158" s="110">
        <f t="shared" si="73"/>
        <v>0.28629262057704191</v>
      </c>
      <c r="H158" s="412" t="b">
        <f>Wh_hp&gt;='2023'!Maxi_hp</f>
        <v>0</v>
      </c>
      <c r="I158" s="388">
        <f>IF(H158,Wh_hp,'2023'!Maxi_hp)</f>
        <v>26.742649720256367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3.6478858271458803E-2</v>
      </c>
      <c r="M158" s="832"/>
      <c r="N158" s="832"/>
      <c r="O158" s="48">
        <f>IF(t&lt;Tnet,'2023'!Resal+('2023'!Salim-'2023'!Resal)*(1-EXP(('2023'!Tnet-t)/('2023'!Tau_j))),Resal+(Salim-Resal)*(1-EXP((Tnet-t)/(Tau_j))))*Salcycl</f>
        <v>1.2102172780985767E-2</v>
      </c>
      <c r="P158" s="169">
        <f>(INDEX(Models!$BJ158:$BT158,,T158)*(1-R158)+INDEX(Models!$BJ158:$BT158,,T158+1)*R158-ERP_i)*Q158*Ramure*Pc/MaxiM</f>
        <v>0</v>
      </c>
      <c r="Q158" s="304">
        <f t="shared" si="53"/>
        <v>0.6</v>
      </c>
      <c r="R158" s="177">
        <f t="shared" si="54"/>
        <v>0.1647601768260567</v>
      </c>
      <c r="S158" s="799">
        <f t="shared" si="55"/>
        <v>1</v>
      </c>
      <c r="T158" s="176">
        <f t="shared" si="56"/>
        <v>7</v>
      </c>
      <c r="U158" s="250">
        <f t="shared" si="57"/>
        <v>1.1647601768260567</v>
      </c>
      <c r="V158" s="382">
        <f t="shared" si="58"/>
        <v>60.1228217901458</v>
      </c>
      <c r="W158" s="400">
        <f t="shared" si="59"/>
        <v>17.212720206787317</v>
      </c>
      <c r="X158" s="157">
        <f t="shared" si="60"/>
        <v>45435</v>
      </c>
      <c r="Y158" s="383">
        <f t="shared" si="61"/>
        <v>16.57214799843096</v>
      </c>
      <c r="Z158" s="383">
        <f t="shared" si="62"/>
        <v>17.199568624618653</v>
      </c>
      <c r="AA158" s="384">
        <f t="shared" si="63"/>
        <v>18.08323934915326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4.8866837819960929E-2</v>
      </c>
      <c r="AD158" s="230">
        <f>(INDEX(Models!$BJ158:$BT158,,AH158)*(1-AF158)+INDEX(Models!$BJ158:$BT158,,AH158+1)*AF158-ERP_i)*AE158*Ramure*Pc/MaxiM</f>
        <v>0</v>
      </c>
      <c r="AE158" s="304">
        <f t="shared" si="65"/>
        <v>0.6</v>
      </c>
      <c r="AF158" s="177">
        <f t="shared" si="66"/>
        <v>0.1647601768260567</v>
      </c>
      <c r="AG158" s="799">
        <f t="shared" si="74"/>
        <v>1</v>
      </c>
      <c r="AH158" s="176">
        <f t="shared" si="67"/>
        <v>7</v>
      </c>
      <c r="AI158" s="224">
        <f t="shared" si="68"/>
        <v>1.1647601768260567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45436</v>
      </c>
      <c r="B159" s="409">
        <f>IF(t&gt;Tmaj,'2023'!Wh/'2023'!Env_an*'2024'!Env_an,0.001*[7]mois!$B$266)</f>
        <v>43.778210735293676</v>
      </c>
      <c r="C159" s="829"/>
      <c r="D159" s="391">
        <f t="shared" si="50"/>
        <v>45.436522204645804</v>
      </c>
      <c r="E159" s="383">
        <f t="shared" si="72"/>
        <v>45.999256538996697</v>
      </c>
      <c r="F159" s="383">
        <f t="shared" si="51"/>
        <v>45.999256538996697</v>
      </c>
      <c r="G159" s="110">
        <f t="shared" si="73"/>
        <v>0.72829001861801534</v>
      </c>
      <c r="H159" s="412" t="b">
        <f>Wh_hp&gt;='2023'!Maxi_hp</f>
        <v>0</v>
      </c>
      <c r="I159" s="388">
        <f>IF(H159,Wh_hp,'2023'!Maxi_hp)</f>
        <v>59.02247557748224</v>
      </c>
      <c r="J159" s="85">
        <f>IF(H159,An,'2023'!An_max)</f>
        <v>2020</v>
      </c>
      <c r="K159" s="197">
        <f t="shared" si="52"/>
        <v>45436</v>
      </c>
      <c r="L159" s="147">
        <f>IF(t&lt;Tvie,1-EXP((T0-t)*PertePVj)+'2023'!Pspv,1-EXP((T0-t)*PertePVj)+Pspv)</f>
        <v>3.6497323934325476E-2</v>
      </c>
      <c r="M159" s="832"/>
      <c r="N159" s="832"/>
      <c r="O159" s="48">
        <f>IF(t&lt;Tnet,'2023'!Resal+('2023'!Salim-'2023'!Resal)*(1-EXP(('2023'!Tnet-t)/('2023'!Tau_j))),Resal+(Salim-Resal)*(1-EXP((Tnet-t)/(Tau_j))))*Salcycl</f>
        <v>1.223355281565968E-2</v>
      </c>
      <c r="P159" s="169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0.16935694224377396</v>
      </c>
      <c r="S159" s="799">
        <f t="shared" si="55"/>
        <v>1</v>
      </c>
      <c r="T159" s="176">
        <f t="shared" si="56"/>
        <v>7</v>
      </c>
      <c r="U159" s="250">
        <f t="shared" si="57"/>
        <v>1.169356942243774</v>
      </c>
      <c r="V159" s="382">
        <f t="shared" si="58"/>
        <v>60.110958019672026</v>
      </c>
      <c r="W159" s="400">
        <f t="shared" si="59"/>
        <v>43.778210735293676</v>
      </c>
      <c r="X159" s="157">
        <f t="shared" si="60"/>
        <v>45436</v>
      </c>
      <c r="Y159" s="383">
        <f t="shared" si="61"/>
        <v>42.149505363573375</v>
      </c>
      <c r="Z159" s="383">
        <f t="shared" si="62"/>
        <v>43.746121739573013</v>
      </c>
      <c r="AA159" s="384">
        <f t="shared" si="63"/>
        <v>45.999256538996697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4.89819829482145E-2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0.16935694224377396</v>
      </c>
      <c r="AG159" s="799">
        <f t="shared" si="74"/>
        <v>1</v>
      </c>
      <c r="AH159" s="176">
        <f t="shared" si="67"/>
        <v>7</v>
      </c>
      <c r="AI159" s="224">
        <f t="shared" si="68"/>
        <v>1.169356942243774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45437</v>
      </c>
      <c r="B160" s="409">
        <f>IF(t&gt;Tmaj,'2023'!Wh/'2023'!Env_an*'2024'!Env_an,0.001*[7]mois!$B$267)</f>
        <v>28.560769590632987</v>
      </c>
      <c r="C160" s="829"/>
      <c r="D160" s="391">
        <f t="shared" si="50"/>
        <v>29.643214981387214</v>
      </c>
      <c r="E160" s="383">
        <f t="shared" si="72"/>
        <v>30.014341148753509</v>
      </c>
      <c r="F160" s="383">
        <f t="shared" si="51"/>
        <v>30.014341148753509</v>
      </c>
      <c r="G160" s="110">
        <f t="shared" si="73"/>
        <v>0.47524551570704993</v>
      </c>
      <c r="H160" s="412" t="b">
        <f>Wh_hp&gt;='2023'!Maxi_hp</f>
        <v>0</v>
      </c>
      <c r="I160" s="388">
        <f>IF(H160,Wh_hp,'2023'!Maxi_hp)</f>
        <v>61.793070992258549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3.651578924330201E-2</v>
      </c>
      <c r="M160" s="832"/>
      <c r="N160" s="832"/>
      <c r="O160" s="48">
        <f>IF(t&lt;Tnet,'2023'!Resal+('2023'!Salim-'2023'!Resal)*(1-EXP(('2023'!Tnet-t)/('2023'!Tau_j))),Resal+(Salim-Resal)*(1-EXP((Tnet-t)/(Tau_j))))*Salcycl</f>
        <v>1.2364961320555583E-2</v>
      </c>
      <c r="P160" s="169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0.17401405458460628</v>
      </c>
      <c r="S160" s="799">
        <f t="shared" si="55"/>
        <v>1</v>
      </c>
      <c r="T160" s="176">
        <f t="shared" si="56"/>
        <v>7</v>
      </c>
      <c r="U160" s="250">
        <f t="shared" si="57"/>
        <v>1.1740140545846063</v>
      </c>
      <c r="V160" s="382">
        <f t="shared" si="58"/>
        <v>60.096873398461199</v>
      </c>
      <c r="W160" s="400">
        <f t="shared" si="59"/>
        <v>28.560769590632987</v>
      </c>
      <c r="X160" s="157">
        <f t="shared" si="60"/>
        <v>45437</v>
      </c>
      <c r="Y160" s="383">
        <f t="shared" si="61"/>
        <v>27.498535926895293</v>
      </c>
      <c r="Z160" s="383">
        <f t="shared" si="62"/>
        <v>28.540722951026449</v>
      </c>
      <c r="AA160" s="384">
        <f t="shared" si="63"/>
        <v>30.014341148753509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4.9097136279743284E-2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0.17401405458460628</v>
      </c>
      <c r="AG160" s="799">
        <f t="shared" si="74"/>
        <v>1</v>
      </c>
      <c r="AH160" s="176">
        <f t="shared" si="67"/>
        <v>7</v>
      </c>
      <c r="AI160" s="224">
        <f t="shared" si="68"/>
        <v>1.1740140545846063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45438</v>
      </c>
      <c r="B161" s="409">
        <f>IF(t&gt;Tmaj,'2023'!Wh/'2023'!Env_an*'2024'!Env_an,0.001*[7]mois!$B$268)</f>
        <v>45.305323780231653</v>
      </c>
      <c r="C161" s="829"/>
      <c r="D161" s="391">
        <f t="shared" si="50"/>
        <v>47.023284405962521</v>
      </c>
      <c r="E161" s="383">
        <f t="shared" si="72"/>
        <v>47.618341654768798</v>
      </c>
      <c r="F161" s="383">
        <f t="shared" si="51"/>
        <v>47.618341654768798</v>
      </c>
      <c r="G161" s="110">
        <f t="shared" si="73"/>
        <v>0.75407485018699727</v>
      </c>
      <c r="H161" s="412" t="b">
        <f>Wh_hp&gt;='2023'!Maxi_hp</f>
        <v>0</v>
      </c>
      <c r="I161" s="388">
        <f>IF(H161,Wh_hp,'2023'!Maxi_hp)</f>
        <v>61.558653979625923</v>
      </c>
      <c r="J161" s="85">
        <f>IF(H161,An,'2023'!An_max)</f>
        <v>2020</v>
      </c>
      <c r="K161" s="197">
        <f t="shared" si="52"/>
        <v>45438</v>
      </c>
      <c r="L161" s="147">
        <f>IF(t&lt;Tvie,1-EXP((T0-t)*PertePVj)+'2023'!Pspv,1-EXP((T0-t)*PertePVj)+Pspv)</f>
        <v>3.6534254198395177E-2</v>
      </c>
      <c r="M161" s="832"/>
      <c r="N161" s="832"/>
      <c r="O161" s="48">
        <f>IF(t&lt;Tnet,'2023'!Resal+('2023'!Salim-'2023'!Resal)*(1-EXP(('2023'!Tnet-t)/('2023'!Tau_j))),Resal+(Salim-Resal)*(1-EXP((Tnet-t)/(Tau_j))))*Salcycl</f>
        <v>1.2496387486998599E-2</v>
      </c>
      <c r="P161" s="169">
        <f>(INDEX(Models!$BJ161:$BT161,,T161)*(1-R161)+INDEX(Models!$BJ161:$BT161,,T161+1)*R161-ERP_i)*Q161*Ramure*Pc/MaxiM</f>
        <v>1.4579306235209561E-20</v>
      </c>
      <c r="Q161" s="304">
        <f t="shared" si="53"/>
        <v>0.6</v>
      </c>
      <c r="R161" s="177">
        <f t="shared" si="54"/>
        <v>0.1787287019755821</v>
      </c>
      <c r="S161" s="799">
        <f t="shared" si="55"/>
        <v>1</v>
      </c>
      <c r="T161" s="176">
        <f t="shared" si="56"/>
        <v>7</v>
      </c>
      <c r="U161" s="250">
        <f t="shared" si="57"/>
        <v>1.1787287019755821</v>
      </c>
      <c r="V161" s="382">
        <f t="shared" si="58"/>
        <v>60.080672056622404</v>
      </c>
      <c r="W161" s="400">
        <f t="shared" si="59"/>
        <v>45.305323780231653</v>
      </c>
      <c r="X161" s="157">
        <f t="shared" si="60"/>
        <v>45438</v>
      </c>
      <c r="Y161" s="383">
        <f t="shared" si="61"/>
        <v>43.620849627684599</v>
      </c>
      <c r="Z161" s="383">
        <f t="shared" si="62"/>
        <v>45.274935634989276</v>
      </c>
      <c r="AA161" s="384">
        <f t="shared" si="63"/>
        <v>47.618341654768798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4.9212255999361021E-2</v>
      </c>
      <c r="AD161" s="230">
        <f>(INDEX(Models!$BJ161:$BT161,,AH161)*(1-AF161)+INDEX(Models!$BJ161:$BT161,,AH161+1)*AF161-ERP_i)*AE161*Ramure*Pc/MaxiM</f>
        <v>1.4579306235209561E-20</v>
      </c>
      <c r="AE161" s="304">
        <f t="shared" si="65"/>
        <v>0.6</v>
      </c>
      <c r="AF161" s="177">
        <f t="shared" si="66"/>
        <v>0.1787287019755821</v>
      </c>
      <c r="AG161" s="799">
        <f t="shared" si="74"/>
        <v>1</v>
      </c>
      <c r="AH161" s="176">
        <f t="shared" si="67"/>
        <v>7</v>
      </c>
      <c r="AI161" s="224">
        <f t="shared" si="68"/>
        <v>1.1787287019755821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45439</v>
      </c>
      <c r="B162" s="409">
        <f>IF(t&gt;Tmaj,'2023'!Wh/'2023'!Env_an*'2024'!Env_an,0.001*[7]mois!$B$269)</f>
        <v>56.376226740061959</v>
      </c>
      <c r="C162" s="829"/>
      <c r="D162" s="391">
        <f t="shared" si="50"/>
        <v>58.515113219086665</v>
      </c>
      <c r="E162" s="383">
        <f t="shared" si="72"/>
        <v>59.263481800267336</v>
      </c>
      <c r="F162" s="383">
        <f t="shared" si="51"/>
        <v>59.263481800267336</v>
      </c>
      <c r="G162" s="110">
        <f t="shared" si="73"/>
        <v>0.93862669846152214</v>
      </c>
      <c r="H162" s="412" t="b">
        <f>Wh_hp&gt;='2023'!Maxi_hp</f>
        <v>0</v>
      </c>
      <c r="I162" s="388">
        <f>IF(H162,Wh_hp,'2023'!Maxi_hp)</f>
        <v>60.976736931549574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3.6552718799611528E-2</v>
      </c>
      <c r="M162" s="832"/>
      <c r="N162" s="832"/>
      <c r="O162" s="48">
        <f>IF(t&lt;Tnet,'2023'!Resal+('2023'!Salim-'2023'!Resal)*(1-EXP(('2023'!Tnet-t)/('2023'!Tau_j))),Resal+(Salim-Resal)*(1-EXP((Tnet-t)/(Tau_j))))*Salcycl</f>
        <v>1.2627820007316767E-2</v>
      </c>
      <c r="P162" s="169">
        <f>(INDEX(Models!$BJ162:$BT162,,T162)*(1-R162)+INDEX(Models!$BJ162:$BT162,,T162+1)*R162-ERP_i)*Q162*Ramure*Pc/MaxiM</f>
        <v>-1.4714150153140091E-20</v>
      </c>
      <c r="Q162" s="304">
        <f t="shared" si="53"/>
        <v>0.6</v>
      </c>
      <c r="R162" s="177">
        <f t="shared" si="54"/>
        <v>0.18349790435712432</v>
      </c>
      <c r="S162" s="799">
        <f t="shared" si="55"/>
        <v>1</v>
      </c>
      <c r="T162" s="176">
        <f t="shared" si="56"/>
        <v>7</v>
      </c>
      <c r="U162" s="250">
        <f t="shared" si="57"/>
        <v>1.1834979043571243</v>
      </c>
      <c r="V162" s="382">
        <f t="shared" si="58"/>
        <v>60.062458091663835</v>
      </c>
      <c r="W162" s="400">
        <f t="shared" si="59"/>
        <v>56.376226740061959</v>
      </c>
      <c r="X162" s="157">
        <f t="shared" si="60"/>
        <v>45439</v>
      </c>
      <c r="Y162" s="383">
        <f t="shared" si="61"/>
        <v>54.280787725506535</v>
      </c>
      <c r="Z162" s="383">
        <f t="shared" si="62"/>
        <v>56.340174272822111</v>
      </c>
      <c r="AA162" s="384">
        <f t="shared" si="63"/>
        <v>59.263481800267336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4.9327299690178433E-2</v>
      </c>
      <c r="AD162" s="230">
        <f>(INDEX(Models!$BJ162:$BT162,,AH162)*(1-AF162)+INDEX(Models!$BJ162:$BT162,,AH162+1)*AF162-ERP_i)*AE162*Ramure*Pc/MaxiM</f>
        <v>-1.4714150153140091E-20</v>
      </c>
      <c r="AE162" s="304">
        <f t="shared" si="65"/>
        <v>0.6</v>
      </c>
      <c r="AF162" s="177">
        <f t="shared" si="66"/>
        <v>0.18349790435712432</v>
      </c>
      <c r="AG162" s="799">
        <f t="shared" si="74"/>
        <v>1</v>
      </c>
      <c r="AH162" s="176">
        <f t="shared" si="67"/>
        <v>7</v>
      </c>
      <c r="AI162" s="224">
        <f t="shared" si="68"/>
        <v>1.1834979043571243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45440</v>
      </c>
      <c r="B163" s="409">
        <f>IF(t&gt;Tmaj,'2023'!Wh/'2023'!Env_an*'2024'!Env_an,0.001*[7]mois!$B$270)</f>
        <v>60.98821557777795</v>
      </c>
      <c r="C163" s="829"/>
      <c r="D163" s="391">
        <f t="shared" si="50"/>
        <v>63.303291851556224</v>
      </c>
      <c r="E163" s="383">
        <f t="shared" si="72"/>
        <v>64.121433060958893</v>
      </c>
      <c r="F163" s="383">
        <f t="shared" si="51"/>
        <v>64.121433060958893</v>
      </c>
      <c r="G163" s="110">
        <f t="shared" si="73"/>
        <v>1.0157616376594198</v>
      </c>
      <c r="H163" s="412" t="b">
        <f>Wh_hp&gt;='2023'!Maxi_hp</f>
        <v>1</v>
      </c>
      <c r="I163" s="388">
        <f>IF(H163,Wh_hp,'2023'!Maxi_hp)</f>
        <v>64.121433060958893</v>
      </c>
      <c r="J163" s="85">
        <f>IF(H163,An,'2023'!An_max)</f>
        <v>2024</v>
      </c>
      <c r="K163" s="197">
        <f t="shared" si="52"/>
        <v>45440</v>
      </c>
      <c r="L163" s="147">
        <f>IF(t&lt;Tvie,1-EXP((T0-t)*PertePVj)+'2023'!Pspv,1-EXP((T0-t)*PertePVj)+Pspv)</f>
        <v>3.6571183046958056E-2</v>
      </c>
      <c r="M163" s="832"/>
      <c r="N163" s="832"/>
      <c r="O163" s="48">
        <f>IF(t&lt;Tnet,'2023'!Resal+('2023'!Salim-'2023'!Resal)*(1-EXP(('2023'!Tnet-t)/('2023'!Tau_j))),Resal+(Salim-Resal)*(1-EXP((Tnet-t)/(Tau_j))))*Salcycl</f>
        <v>1.2759247108917141E-2</v>
      </c>
      <c r="P163" s="169">
        <f>(INDEX(Models!$BJ163:$BT163,,T163)*(1-R163)+INDEX(Models!$BJ163:$BT163,,T163+1)*R163-ERP_i)*Q163*Ramure*Pc/MaxiM</f>
        <v>0</v>
      </c>
      <c r="Q163" s="304">
        <f t="shared" si="53"/>
        <v>0.6</v>
      </c>
      <c r="R163" s="177">
        <f t="shared" si="54"/>
        <v>0.1883185191883463</v>
      </c>
      <c r="S163" s="799">
        <f t="shared" si="55"/>
        <v>1</v>
      </c>
      <c r="T163" s="176">
        <f t="shared" si="56"/>
        <v>7</v>
      </c>
      <c r="U163" s="250">
        <f t="shared" si="57"/>
        <v>1.1883185191883463</v>
      </c>
      <c r="V163" s="382">
        <f t="shared" si="58"/>
        <v>60.041857574293445</v>
      </c>
      <c r="W163" s="400">
        <f t="shared" si="59"/>
        <v>60.98821557777795</v>
      </c>
      <c r="X163" s="157">
        <f t="shared" si="60"/>
        <v>45440</v>
      </c>
      <c r="Y163" s="383">
        <f t="shared" si="61"/>
        <v>58.722071959735374</v>
      </c>
      <c r="Z163" s="383">
        <f t="shared" si="62"/>
        <v>60.951126773902097</v>
      </c>
      <c r="AA163" s="384">
        <f t="shared" si="63"/>
        <v>64.121433060958893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4.9442224474971611E-2</v>
      </c>
      <c r="AD163" s="230">
        <f>(INDEX(Models!$BJ163:$BT163,,AH163)*(1-AF163)+INDEX(Models!$BJ163:$BT163,,AH163+1)*AF163-ERP_i)*AE163*Ramure*Pc/MaxiM</f>
        <v>0</v>
      </c>
      <c r="AE163" s="304">
        <f t="shared" si="65"/>
        <v>0.6</v>
      </c>
      <c r="AF163" s="177">
        <f t="shared" si="66"/>
        <v>0.1883185191883463</v>
      </c>
      <c r="AG163" s="799">
        <f t="shared" si="74"/>
        <v>1</v>
      </c>
      <c r="AH163" s="176">
        <f t="shared" si="67"/>
        <v>7</v>
      </c>
      <c r="AI163" s="224">
        <f t="shared" si="68"/>
        <v>1.1883185191883463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45441</v>
      </c>
      <c r="B164" s="409">
        <f>IF(t&gt;Tmaj,'2023'!Wh/'2023'!Env_an*'2024'!Env_an,0.001*[7]mois!$B$271)</f>
        <v>49.21858530273699</v>
      </c>
      <c r="C164" s="829"/>
      <c r="D164" s="391">
        <f t="shared" si="50"/>
        <v>51.08787252122697</v>
      </c>
      <c r="E164" s="383">
        <f t="shared" si="72"/>
        <v>51.755028824699082</v>
      </c>
      <c r="F164" s="383">
        <f t="shared" si="51"/>
        <v>51.755028824699082</v>
      </c>
      <c r="G164" s="110">
        <f t="shared" si="73"/>
        <v>0.82005694752332359</v>
      </c>
      <c r="H164" s="412" t="b">
        <f>Wh_hp&gt;='2023'!Maxi_hp</f>
        <v>0</v>
      </c>
      <c r="I164" s="388">
        <f>IF(H164,Wh_hp,'2023'!Maxi_hp)</f>
        <v>59.216456207612119</v>
      </c>
      <c r="J164" s="85">
        <f>IF(H164,An,'2023'!An_max)</f>
        <v>2020</v>
      </c>
      <c r="K164" s="197">
        <f t="shared" si="52"/>
        <v>45441</v>
      </c>
      <c r="L164" s="147">
        <f>IF(t&lt;Tvie,1-EXP((T0-t)*PertePVj)+'2023'!Pspv,1-EXP((T0-t)*PertePVj)+Pspv)</f>
        <v>3.6589646940441534E-2</v>
      </c>
      <c r="M164" s="832"/>
      <c r="N164" s="832"/>
      <c r="O164" s="48">
        <f>IF(t&lt;Tnet,'2023'!Resal+('2023'!Salim-'2023'!Resal)*(1-EXP(('2023'!Tnet-t)/('2023'!Tau_j))),Resal+(Salim-Resal)*(1-EXP((Tnet-t)/(Tau_j))))*Salcycl</f>
        <v>1.2890656591688122E-2</v>
      </c>
      <c r="P164" s="169">
        <f>(INDEX(Models!$BJ164:$BT164,,T164)*(1-R164)+INDEX(Models!$BJ164:$BT164,,T164+1)*R164-ERP_i)*Q164*Ramure*Pc/MaxiM</f>
        <v>0</v>
      </c>
      <c r="Q164" s="304">
        <f t="shared" si="53"/>
        <v>0.6</v>
      </c>
      <c r="R164" s="177">
        <f t="shared" si="54"/>
        <v>0.19318724812843402</v>
      </c>
      <c r="S164" s="799">
        <f t="shared" si="55"/>
        <v>1</v>
      </c>
      <c r="T164" s="176">
        <f t="shared" si="56"/>
        <v>7</v>
      </c>
      <c r="U164" s="250">
        <f t="shared" si="57"/>
        <v>1.193187248128434</v>
      </c>
      <c r="V164" s="382">
        <f t="shared" si="58"/>
        <v>60.018496826815969</v>
      </c>
      <c r="W164" s="400">
        <f t="shared" si="59"/>
        <v>49.21858530273699</v>
      </c>
      <c r="X164" s="157">
        <f t="shared" si="60"/>
        <v>45441</v>
      </c>
      <c r="Y164" s="383">
        <f t="shared" si="61"/>
        <v>47.39035327247727</v>
      </c>
      <c r="Z164" s="383">
        <f t="shared" si="62"/>
        <v>49.190205525586229</v>
      </c>
      <c r="AA164" s="384">
        <f t="shared" si="63"/>
        <v>51.755028824699082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4.9556987163512922E-2</v>
      </c>
      <c r="AD164" s="230">
        <f>(INDEX(Models!$BJ164:$BT164,,AH164)*(1-AF164)+INDEX(Models!$BJ164:$BT164,,AH164+1)*AF164-ERP_i)*AE164*Ramure*Pc/MaxiM</f>
        <v>0</v>
      </c>
      <c r="AE164" s="304">
        <f t="shared" si="65"/>
        <v>0.6</v>
      </c>
      <c r="AF164" s="177">
        <f t="shared" si="66"/>
        <v>0.19318724812843402</v>
      </c>
      <c r="AG164" s="799">
        <f t="shared" si="74"/>
        <v>1</v>
      </c>
      <c r="AH164" s="176">
        <f t="shared" si="67"/>
        <v>7</v>
      </c>
      <c r="AI164" s="224">
        <f t="shared" si="68"/>
        <v>1.193187248128434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45442</v>
      </c>
      <c r="B165" s="409">
        <f>IF(t&gt;Tmaj,'2023'!Wh/'2023'!Env_an*'2024'!Env_an,0.001*[7]mois!$B$272)</f>
        <v>55.137352532800456</v>
      </c>
      <c r="C165" s="829"/>
      <c r="D165" s="391">
        <f t="shared" si="50"/>
        <v>57.232527212032068</v>
      </c>
      <c r="E165" s="383">
        <f t="shared" si="72"/>
        <v>57.987644397308202</v>
      </c>
      <c r="F165" s="383">
        <f t="shared" si="51"/>
        <v>57.987644397308202</v>
      </c>
      <c r="G165" s="110">
        <f t="shared" si="73"/>
        <v>0.91907106159188368</v>
      </c>
      <c r="H165" s="412" t="b">
        <f>Wh_hp&gt;='2023'!Maxi_hp</f>
        <v>0</v>
      </c>
      <c r="I165" s="388">
        <f>IF(H165,Wh_hp,'2023'!Maxi_hp)</f>
        <v>62.494074168087401</v>
      </c>
      <c r="J165" s="85">
        <f>IF(H165,An,'2023'!An_max)</f>
        <v>2020</v>
      </c>
      <c r="K165" s="197">
        <f t="shared" si="52"/>
        <v>45442</v>
      </c>
      <c r="L165" s="147">
        <f>IF(t&lt;Tvie,1-EXP((T0-t)*PertePVj)+'2023'!Pspv,1-EXP((T0-t)*PertePVj)+Pspv)</f>
        <v>3.6608110480068734E-2</v>
      </c>
      <c r="M165" s="832"/>
      <c r="N165" s="832"/>
      <c r="O165" s="48">
        <f>IF(t&lt;Tnet,'2023'!Resal+('2023'!Salim-'2023'!Resal)*(1-EXP(('2023'!Tnet-t)/('2023'!Tau_j))),Resal+(Salim-Resal)*(1-EXP((Tnet-t)/(Tau_j))))*Salcycl</f>
        <v>1.3022035868578698E-2</v>
      </c>
      <c r="P165" s="169">
        <f>(INDEX(Models!$BJ165:$BT165,,T165)*(1-R165)+INDEX(Models!$BJ165:$BT165,,T165+1)*R165-ERP_i)*Q165*Ramure*Pc/MaxiM</f>
        <v>0</v>
      </c>
      <c r="Q165" s="304">
        <f t="shared" si="53"/>
        <v>0.6</v>
      </c>
      <c r="R165" s="177">
        <f t="shared" si="54"/>
        <v>0.19810064467806066</v>
      </c>
      <c r="S165" s="799">
        <f t="shared" si="55"/>
        <v>1</v>
      </c>
      <c r="T165" s="176">
        <f t="shared" si="56"/>
        <v>7</v>
      </c>
      <c r="U165" s="250">
        <f t="shared" si="57"/>
        <v>1.1981006446780607</v>
      </c>
      <c r="V165" s="382">
        <f t="shared" si="58"/>
        <v>59.992480273831497</v>
      </c>
      <c r="W165" s="400">
        <f t="shared" si="59"/>
        <v>55.137352532800456</v>
      </c>
      <c r="X165" s="157">
        <f t="shared" si="60"/>
        <v>45442</v>
      </c>
      <c r="Y165" s="383">
        <f t="shared" si="61"/>
        <v>53.089934104255313</v>
      </c>
      <c r="Z165" s="383">
        <f t="shared" si="62"/>
        <v>55.107308543681647</v>
      </c>
      <c r="AA165" s="384">
        <f t="shared" si="63"/>
        <v>57.987644397308202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4.9671544405074368E-2</v>
      </c>
      <c r="AD165" s="230">
        <f>(INDEX(Models!$BJ165:$BT165,,AH165)*(1-AF165)+INDEX(Models!$BJ165:$BT165,,AH165+1)*AF165-ERP_i)*AE165*Ramure*Pc/MaxiM</f>
        <v>0</v>
      </c>
      <c r="AE165" s="304">
        <f t="shared" si="65"/>
        <v>0.6</v>
      </c>
      <c r="AF165" s="177">
        <f t="shared" si="66"/>
        <v>0.19810064467806066</v>
      </c>
      <c r="AG165" s="799">
        <f t="shared" si="74"/>
        <v>1</v>
      </c>
      <c r="AH165" s="176">
        <f t="shared" si="67"/>
        <v>7</v>
      </c>
      <c r="AI165" s="224">
        <f t="shared" si="68"/>
        <v>1.1981006446780607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45443</v>
      </c>
      <c r="B166" s="409">
        <f>IF(t&gt;Tmaj,'2023'!Wh/'2023'!Env_an*'2024'!Env_an,0.001*'[8]mon-tableau'!$B$235)</f>
        <v>57.176574926488826</v>
      </c>
      <c r="C166" s="829"/>
      <c r="D166" s="391">
        <f t="shared" si="50"/>
        <v>59.350375839261197</v>
      </c>
      <c r="E166" s="383">
        <f t="shared" si="72"/>
        <v>60.141438553725294</v>
      </c>
      <c r="F166" s="383">
        <f t="shared" si="51"/>
        <v>60.141438553725294</v>
      </c>
      <c r="G166" s="110">
        <f t="shared" si="73"/>
        <v>0.95351641909032647</v>
      </c>
      <c r="H166" s="412" t="b">
        <f>Wh_hp&gt;='2023'!Maxi_hp</f>
        <v>0</v>
      </c>
      <c r="I166" s="388">
        <f>IF(H166,Wh_hp,'2023'!Maxi_hp)</f>
        <v>63.527407036379969</v>
      </c>
      <c r="J166" s="85">
        <f>IF(H166,An,'2023'!An_max)</f>
        <v>2018</v>
      </c>
      <c r="K166" s="197">
        <f t="shared" si="52"/>
        <v>45443</v>
      </c>
      <c r="L166" s="147">
        <f>IF(t&lt;Tvie,1-EXP((T0-t)*PertePVj)+'2023'!Pspv,1-EXP((T0-t)*PertePVj)+Pspv)</f>
        <v>3.6626573665846429E-2</v>
      </c>
      <c r="M166" s="832"/>
      <c r="N166" s="832"/>
      <c r="O166" s="48">
        <f>IF(t&lt;Tnet,'2023'!Resal+('2023'!Salim-'2023'!Resal)*(1-EXP(('2023'!Tnet-t)/('2023'!Tau_j))),Resal+(Salim-Resal)*(1-EXP((Tnet-t)/(Tau_j))))*Salcycl</f>
        <v>1.315337200917507E-2</v>
      </c>
      <c r="P166" s="169">
        <f>(INDEX(Models!$BJ166:$BT166,,T166)*(1-R166)+INDEX(Models!$BJ166:$BT166,,T166+1)*R166-ERP_i)*Q166*Ramure*Pc/MaxiM</f>
        <v>0</v>
      </c>
      <c r="Q166" s="304">
        <f t="shared" si="53"/>
        <v>0.6</v>
      </c>
      <c r="R166" s="177">
        <f t="shared" si="54"/>
        <v>0.20305512275514292</v>
      </c>
      <c r="S166" s="799">
        <f t="shared" si="55"/>
        <v>1</v>
      </c>
      <c r="T166" s="176">
        <f t="shared" si="56"/>
        <v>7</v>
      </c>
      <c r="U166" s="250">
        <f t="shared" si="57"/>
        <v>1.2030551227551429</v>
      </c>
      <c r="V166" s="382">
        <f t="shared" si="58"/>
        <v>59.96391229532933</v>
      </c>
      <c r="W166" s="400">
        <f t="shared" si="59"/>
        <v>57.176574926488826</v>
      </c>
      <c r="X166" s="157">
        <f t="shared" si="60"/>
        <v>45443</v>
      </c>
      <c r="Y166" s="383">
        <f t="shared" si="61"/>
        <v>55.054137937945519</v>
      </c>
      <c r="Z166" s="383">
        <f t="shared" si="62"/>
        <v>57.147245743987924</v>
      </c>
      <c r="AA166" s="384">
        <f t="shared" si="63"/>
        <v>60.141438553725294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4.9785852845249244E-2</v>
      </c>
      <c r="AD166" s="230">
        <f>(INDEX(Models!$BJ166:$BT166,,AH166)*(1-AF166)+INDEX(Models!$BJ166:$BT166,,AH166+1)*AF166-ERP_i)*AE166*Ramure*Pc/MaxiM</f>
        <v>0</v>
      </c>
      <c r="AE166" s="304">
        <f t="shared" si="65"/>
        <v>0.6</v>
      </c>
      <c r="AF166" s="177">
        <f t="shared" si="66"/>
        <v>0.20305512275514292</v>
      </c>
      <c r="AG166" s="799">
        <f t="shared" si="74"/>
        <v>1</v>
      </c>
      <c r="AH166" s="176">
        <f t="shared" si="67"/>
        <v>7</v>
      </c>
      <c r="AI166" s="224">
        <f t="shared" si="68"/>
        <v>1.2030551227551429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45444</v>
      </c>
      <c r="B167" s="409">
        <f>IF(t&gt;Tmaj,'2023'!Wh/'2023'!Env_an*'2024'!Env_an,0.001*'[8]mon-tableau'!$B$236)</f>
        <v>43.242094260723462</v>
      </c>
      <c r="C167" s="829"/>
      <c r="D167" s="391">
        <f t="shared" si="50"/>
        <v>44.886979253752372</v>
      </c>
      <c r="E167" s="383">
        <f t="shared" si="72"/>
        <v>45.491315539991128</v>
      </c>
      <c r="F167" s="383">
        <f t="shared" si="51"/>
        <v>45.491315539991128</v>
      </c>
      <c r="G167" s="110">
        <f t="shared" si="73"/>
        <v>0.72150849137454043</v>
      </c>
      <c r="H167" s="412" t="b">
        <f>Wh_hp&gt;='2023'!Maxi_hp</f>
        <v>0</v>
      </c>
      <c r="I167" s="388">
        <f>IF(H167,Wh_hp,'2023'!Maxi_hp)</f>
        <v>63.013679668505368</v>
      </c>
      <c r="J167" s="85">
        <f>IF(H167,An,'2023'!An_max)</f>
        <v>2018</v>
      </c>
      <c r="K167" s="197">
        <f t="shared" si="52"/>
        <v>45444</v>
      </c>
      <c r="L167" s="147">
        <f>IF(t&lt;Tvie,1-EXP((T0-t)*PertePVj)+'2023'!Pspv,1-EXP((T0-t)*PertePVj)+Pspv)</f>
        <v>3.664503649778128E-2</v>
      </c>
      <c r="M167" s="832"/>
      <c r="N167" s="832"/>
      <c r="O167" s="48">
        <f>IF(t&lt;Tnet,'2023'!Resal+('2023'!Salim-'2023'!Resal)*(1-EXP(('2023'!Tnet-t)/('2023'!Tau_j))),Resal+(Salim-Resal)*(1-EXP((Tnet-t)/(Tau_j))))*Salcycl</f>
        <v>1.328465178606422E-2</v>
      </c>
      <c r="P167" s="169">
        <f>(INDEX(Models!$BJ167:$BT167,,T167)*(1-R167)+INDEX(Models!$BJ167:$BT167,,T167+1)*R167-ERP_i)*Q167*Ramure*Pc/MaxiM</f>
        <v>0</v>
      </c>
      <c r="Q167" s="304">
        <f t="shared" si="53"/>
        <v>0.6</v>
      </c>
      <c r="R167" s="177">
        <f t="shared" si="54"/>
        <v>0.20804696616955543</v>
      </c>
      <c r="S167" s="799">
        <f t="shared" si="55"/>
        <v>1</v>
      </c>
      <c r="T167" s="176">
        <f t="shared" si="56"/>
        <v>7</v>
      </c>
      <c r="U167" s="250">
        <f t="shared" si="57"/>
        <v>1.2080469661695554</v>
      </c>
      <c r="V167" s="382">
        <f t="shared" si="58"/>
        <v>59.932897225288755</v>
      </c>
      <c r="W167" s="400">
        <f t="shared" si="59"/>
        <v>43.242094260723462</v>
      </c>
      <c r="X167" s="157">
        <f t="shared" si="60"/>
        <v>45444</v>
      </c>
      <c r="Y167" s="383">
        <f t="shared" si="61"/>
        <v>41.637458547513113</v>
      </c>
      <c r="Z167" s="383">
        <f t="shared" si="62"/>
        <v>43.221304840889232</v>
      </c>
      <c r="AA167" s="384">
        <f t="shared" si="63"/>
        <v>45.491315539991128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4.989986928617926E-2</v>
      </c>
      <c r="AD167" s="230">
        <f>(INDEX(Models!$BJ167:$BT167,,AH167)*(1-AF167)+INDEX(Models!$BJ167:$BT167,,AH167+1)*AF167-ERP_i)*AE167*Ramure*Pc/MaxiM</f>
        <v>0</v>
      </c>
      <c r="AE167" s="304">
        <f t="shared" si="65"/>
        <v>0.6</v>
      </c>
      <c r="AF167" s="177">
        <f t="shared" si="66"/>
        <v>0.20804696616955543</v>
      </c>
      <c r="AG167" s="799">
        <f t="shared" si="74"/>
        <v>1</v>
      </c>
      <c r="AH167" s="176">
        <f t="shared" si="67"/>
        <v>7</v>
      </c>
      <c r="AI167" s="224">
        <f t="shared" si="68"/>
        <v>1.2080469661695554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45445</v>
      </c>
      <c r="B168" s="409">
        <f>IF(t&gt;Tmaj,'2023'!Wh/'2023'!Env_an*'2024'!Env_an,0.001*'[8]mon-tableau'!$B$237)</f>
        <v>56.761319000978858</v>
      </c>
      <c r="C168" s="829"/>
      <c r="D168" s="391">
        <f t="shared" si="50"/>
        <v>58.921590680552526</v>
      </c>
      <c r="E168" s="383">
        <f t="shared" si="72"/>
        <v>59.722823826763985</v>
      </c>
      <c r="F168" s="383">
        <f t="shared" si="51"/>
        <v>59.722823826763985</v>
      </c>
      <c r="G168" s="110">
        <f t="shared" si="73"/>
        <v>0.94760860629198485</v>
      </c>
      <c r="H168" s="412" t="b">
        <f>Wh_hp&gt;='2023'!Maxi_hp</f>
        <v>1</v>
      </c>
      <c r="I168" s="388">
        <f>IF(H168,Wh_hp,'2023'!Maxi_hp)</f>
        <v>59.722823826763985</v>
      </c>
      <c r="J168" s="85">
        <f>IF(H168,An,'2023'!An_max)</f>
        <v>2024</v>
      </c>
      <c r="K168" s="197">
        <f t="shared" si="52"/>
        <v>45445</v>
      </c>
      <c r="L168" s="147">
        <f>IF(t&lt;Tvie,1-EXP((T0-t)*PertePVj)+'2023'!Pspv,1-EXP((T0-t)*PertePVj)+Pspv)</f>
        <v>3.6663498975880171E-2</v>
      </c>
      <c r="M168" s="832"/>
      <c r="N168" s="832"/>
      <c r="O168" s="48">
        <f>IF(t&lt;Tnet,'2023'!Resal+('2023'!Salim-'2023'!Resal)*(1-EXP(('2023'!Tnet-t)/('2023'!Tau_j))),Resal+(Salim-Resal)*(1-EXP((Tnet-t)/(Tau_j))))*Salcycl</f>
        <v>1.3415861723745148E-2</v>
      </c>
      <c r="P168" s="169">
        <f>(INDEX(Models!$BJ168:$BT168,,T168)*(1-R168)+INDEX(Models!$BJ168:$BT168,,T168+1)*R168-ERP_i)*Q168*Ramure*Pc/MaxiM</f>
        <v>-1.5520991147887432E-20</v>
      </c>
      <c r="Q168" s="304">
        <f t="shared" si="53"/>
        <v>0.6</v>
      </c>
      <c r="R168" s="177">
        <f t="shared" si="54"/>
        <v>0.21307233895182742</v>
      </c>
      <c r="S168" s="799">
        <f t="shared" si="55"/>
        <v>1</v>
      </c>
      <c r="T168" s="176">
        <f t="shared" si="56"/>
        <v>7</v>
      </c>
      <c r="U168" s="250">
        <f t="shared" si="57"/>
        <v>1.2130723389518274</v>
      </c>
      <c r="V168" s="382">
        <f t="shared" si="58"/>
        <v>59.899539349993091</v>
      </c>
      <c r="W168" s="400">
        <f t="shared" si="59"/>
        <v>56.761319000978858</v>
      </c>
      <c r="X168" s="157">
        <f t="shared" si="60"/>
        <v>45445</v>
      </c>
      <c r="Y168" s="383">
        <f t="shared" si="61"/>
        <v>54.655737706331912</v>
      </c>
      <c r="Z168" s="383">
        <f t="shared" si="62"/>
        <v>56.735873340444982</v>
      </c>
      <c r="AA168" s="384">
        <f t="shared" si="63"/>
        <v>59.722823826763985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5.0013550849222238E-2</v>
      </c>
      <c r="AD168" s="230">
        <f>(INDEX(Models!$BJ168:$BT168,,AH168)*(1-AF168)+INDEX(Models!$BJ168:$BT168,,AH168+1)*AF168-ERP_i)*AE168*Ramure*Pc/MaxiM</f>
        <v>-1.5520991147887432E-20</v>
      </c>
      <c r="AE168" s="304">
        <f t="shared" si="65"/>
        <v>0.6</v>
      </c>
      <c r="AF168" s="177">
        <f t="shared" si="66"/>
        <v>0.21307233895182742</v>
      </c>
      <c r="AG168" s="799">
        <f t="shared" si="74"/>
        <v>1</v>
      </c>
      <c r="AH168" s="176">
        <f t="shared" si="67"/>
        <v>7</v>
      </c>
      <c r="AI168" s="224">
        <f t="shared" si="68"/>
        <v>1.2130723389518274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45446</v>
      </c>
      <c r="B169" s="409">
        <f>IF(t&gt;Tmaj,'2023'!Wh/'2023'!Env_an*'2024'!Env_an,0.001*'[8]mon-tableau'!$B$238)</f>
        <v>25.683006008384609</v>
      </c>
      <c r="C169" s="829"/>
      <c r="D169" s="391">
        <f t="shared" si="50"/>
        <v>26.660983155382088</v>
      </c>
      <c r="E169" s="383">
        <f t="shared" si="72"/>
        <v>27.02711921916795</v>
      </c>
      <c r="F169" s="383">
        <f t="shared" si="51"/>
        <v>27.02711921916795</v>
      </c>
      <c r="G169" s="110">
        <f t="shared" si="73"/>
        <v>0.42902296046229349</v>
      </c>
      <c r="H169" s="412" t="b">
        <f>Wh_hp&gt;='2023'!Maxi_hp</f>
        <v>0</v>
      </c>
      <c r="I169" s="388">
        <f>IF(H169,Wh_hp,'2023'!Maxi_hp)</f>
        <v>59.234814387524935</v>
      </c>
      <c r="J169" s="85">
        <f>IF(H169,An,'2023'!An_max)</f>
        <v>2018</v>
      </c>
      <c r="K169" s="197">
        <f t="shared" si="52"/>
        <v>45446</v>
      </c>
      <c r="L169" s="147">
        <f>IF(t&lt;Tvie,1-EXP((T0-t)*PertePVj)+'2023'!Pspv,1-EXP((T0-t)*PertePVj)+Pspv)</f>
        <v>3.6681961100149985E-2</v>
      </c>
      <c r="M169" s="832"/>
      <c r="N169" s="832"/>
      <c r="O169" s="48">
        <f>IF(t&lt;Tnet,'2023'!Resal+('2023'!Salim-'2023'!Resal)*(1-EXP(('2023'!Tnet-t)/('2023'!Tau_j))),Resal+(Salim-Resal)*(1-EXP((Tnet-t)/(Tau_j))))*Salcycl</f>
        <v>1.3546988149820752E-2</v>
      </c>
      <c r="P169" s="169">
        <f>(INDEX(Models!$BJ169:$BT169,,T169)*(1-R169)+INDEX(Models!$BJ169:$BT169,,T169+1)*R169-ERP_i)*Q169*Ramure*Pc/MaxiM</f>
        <v>0</v>
      </c>
      <c r="Q169" s="304">
        <f t="shared" si="53"/>
        <v>0.6</v>
      </c>
      <c r="R169" s="177">
        <f t="shared" si="54"/>
        <v>0.21812729648148732</v>
      </c>
      <c r="S169" s="799">
        <f t="shared" si="55"/>
        <v>1</v>
      </c>
      <c r="T169" s="176">
        <f t="shared" si="56"/>
        <v>7</v>
      </c>
      <c r="U169" s="250">
        <f t="shared" si="57"/>
        <v>1.2181272964814873</v>
      </c>
      <c r="V169" s="382">
        <f t="shared" si="58"/>
        <v>59.863942901120957</v>
      </c>
      <c r="W169" s="400">
        <f t="shared" si="59"/>
        <v>25.683006008384609</v>
      </c>
      <c r="X169" s="157">
        <f t="shared" si="60"/>
        <v>45446</v>
      </c>
      <c r="Y169" s="383">
        <f t="shared" si="61"/>
        <v>24.73062314535472</v>
      </c>
      <c r="Z169" s="383">
        <f t="shared" si="62"/>
        <v>25.672334729242834</v>
      </c>
      <c r="AA169" s="384">
        <f t="shared" si="63"/>
        <v>27.02711921916795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5.0126855139051935E-2</v>
      </c>
      <c r="AD169" s="230">
        <f>(INDEX(Models!$BJ169:$BT169,,AH169)*(1-AF169)+INDEX(Models!$BJ169:$BT169,,AH169+1)*AF169-ERP_i)*AE169*Ramure*Pc/MaxiM</f>
        <v>0</v>
      </c>
      <c r="AE169" s="304">
        <f t="shared" si="65"/>
        <v>0.6</v>
      </c>
      <c r="AF169" s="177">
        <f t="shared" si="66"/>
        <v>0.21812729648148732</v>
      </c>
      <c r="AG169" s="799">
        <f t="shared" si="74"/>
        <v>1</v>
      </c>
      <c r="AH169" s="176">
        <f t="shared" si="67"/>
        <v>7</v>
      </c>
      <c r="AI169" s="224">
        <f t="shared" si="68"/>
        <v>1.2181272964814873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45447</v>
      </c>
      <c r="B170" s="409">
        <f>IF(t&gt;Tmaj,'2023'!Wh/'2023'!Env_an*'2024'!Env_an,0.001*'[8]mon-tableau'!$B$239)</f>
        <v>35.544951796116749</v>
      </c>
      <c r="C170" s="829"/>
      <c r="D170" s="391">
        <f t="shared" si="50"/>
        <v>36.89916682205903</v>
      </c>
      <c r="E170" s="383">
        <f t="shared" ref="E170:E232" si="75">Wh_pvt/(1-Psa)</f>
        <v>37.410873393606138</v>
      </c>
      <c r="F170" s="383">
        <f t="shared" si="51"/>
        <v>37.410873393606138</v>
      </c>
      <c r="G170" s="110">
        <f t="shared" ref="G170:G232" si="76">+Wh_hp/MaxiM</f>
        <v>0.5941367600411972</v>
      </c>
      <c r="H170" s="412" t="b">
        <f>Wh_hp&gt;='2023'!Maxi_hp</f>
        <v>0</v>
      </c>
      <c r="I170" s="388">
        <f>IF(H170,Wh_hp,'2023'!Maxi_hp)</f>
        <v>42.628678562631272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3.6700422870597382E-2</v>
      </c>
      <c r="M170" s="832"/>
      <c r="N170" s="832"/>
      <c r="O170" s="48">
        <f>IF(t&lt;Tnet,'2023'!Resal+('2023'!Salim-'2023'!Resal)*(1-EXP(('2023'!Tnet-t)/('2023'!Tau_j))),Resal+(Salim-Resal)*(1-EXP((Tnet-t)/(Tau_j))))*Salcycl</f>
        <v>1.3678017248176929E-2</v>
      </c>
      <c r="P170" s="169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0.22320779735175922</v>
      </c>
      <c r="S170" s="799">
        <f t="shared" si="55"/>
        <v>1</v>
      </c>
      <c r="T170" s="176">
        <f t="shared" si="56"/>
        <v>7</v>
      </c>
      <c r="U170" s="250">
        <f t="shared" si="57"/>
        <v>1.2232077973517592</v>
      </c>
      <c r="V170" s="382">
        <f t="shared" si="58"/>
        <v>59.8262120553727</v>
      </c>
      <c r="W170" s="400">
        <f t="shared" si="59"/>
        <v>35.544951796116749</v>
      </c>
      <c r="X170" s="157">
        <f t="shared" si="60"/>
        <v>45447</v>
      </c>
      <c r="Y170" s="383">
        <f t="shared" si="61"/>
        <v>34.2273448583922</v>
      </c>
      <c r="Z170" s="383">
        <f t="shared" si="62"/>
        <v>35.531360825869385</v>
      </c>
      <c r="AA170" s="384">
        <f t="shared" si="63"/>
        <v>37.410873393606138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5.0239740408145099E-2</v>
      </c>
      <c r="AD170" s="230">
        <f>(INDEX(Models!$BJ170:$BT170,,AH170)*(1-AF170)+INDEX(Models!$BJ170:$BT170,,AH170+1)*AF170-ERP_i)*AE170*Ramure*Pc/MaxiM</f>
        <v>0</v>
      </c>
      <c r="AE170" s="304">
        <f t="shared" si="65"/>
        <v>0.6</v>
      </c>
      <c r="AF170" s="177">
        <f t="shared" si="66"/>
        <v>0.22320779735175922</v>
      </c>
      <c r="AG170" s="799">
        <f t="shared" si="74"/>
        <v>1</v>
      </c>
      <c r="AH170" s="176">
        <f t="shared" si="67"/>
        <v>7</v>
      </c>
      <c r="AI170" s="224">
        <f t="shared" si="68"/>
        <v>1.2232077973517592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45448</v>
      </c>
      <c r="B171" s="409">
        <f>IF(t&gt;Tmaj,'2023'!Wh/'2023'!Env_an*'2024'!Env_an,0.001*'[8]mon-tableau'!$B$240)</f>
        <v>50.937497532149699</v>
      </c>
      <c r="C171" s="829"/>
      <c r="D171" s="391">
        <f t="shared" si="50"/>
        <v>52.879161338545465</v>
      </c>
      <c r="E171" s="383">
        <f t="shared" si="75"/>
        <v>53.619590788575124</v>
      </c>
      <c r="F171" s="383">
        <f t="shared" si="51"/>
        <v>53.619590788575124</v>
      </c>
      <c r="G171" s="110">
        <f t="shared" si="76"/>
        <v>0.85199065576218946</v>
      </c>
      <c r="H171" s="412" t="b">
        <f>Wh_hp&gt;='2023'!Maxi_hp</f>
        <v>0</v>
      </c>
      <c r="I171" s="388">
        <f>IF(H171,Wh_hp,'2023'!Maxi_hp)</f>
        <v>54.411394736000254</v>
      </c>
      <c r="J171" s="85">
        <f>IF(H171,An,'2023'!An_max)</f>
        <v>2018</v>
      </c>
      <c r="K171" s="197">
        <f t="shared" si="52"/>
        <v>45448</v>
      </c>
      <c r="L171" s="147">
        <f>IF(t&lt;Tvie,1-EXP((T0-t)*PertePVj)+'2023'!Pspv,1-EXP((T0-t)*PertePVj)+Pspv)</f>
        <v>3.6718884287229026E-2</v>
      </c>
      <c r="M171" s="832"/>
      <c r="N171" s="832"/>
      <c r="O171" s="48">
        <f>IF(t&lt;Tnet,'2023'!Resal+('2023'!Salim-'2023'!Resal)*(1-EXP(('2023'!Tnet-t)/('2023'!Tau_j))),Resal+(Salim-Resal)*(1-EXP((Tnet-t)/(Tau_j))))*Salcycl</f>
        <v>1.3808935113831912E-2</v>
      </c>
      <c r="P171" s="169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0.22830971589889915</v>
      </c>
      <c r="S171" s="799">
        <f t="shared" si="55"/>
        <v>1</v>
      </c>
      <c r="T171" s="176">
        <f t="shared" si="56"/>
        <v>7</v>
      </c>
      <c r="U171" s="250">
        <f t="shared" si="57"/>
        <v>1.2283097158988991</v>
      </c>
      <c r="V171" s="382">
        <f t="shared" si="58"/>
        <v>59.786450928362704</v>
      </c>
      <c r="W171" s="400">
        <f t="shared" si="59"/>
        <v>50.937497532149699</v>
      </c>
      <c r="X171" s="157">
        <f t="shared" si="60"/>
        <v>45448</v>
      </c>
      <c r="Y171" s="383">
        <f t="shared" si="61"/>
        <v>49.050012657134076</v>
      </c>
      <c r="Z171" s="383">
        <f t="shared" si="62"/>
        <v>50.919728267318902</v>
      </c>
      <c r="AA171" s="384">
        <f t="shared" si="63"/>
        <v>53.619590788575124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5.0352165720583771E-2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0.22830971589889915</v>
      </c>
      <c r="AG171" s="799">
        <f t="shared" si="74"/>
        <v>1</v>
      </c>
      <c r="AH171" s="176">
        <f t="shared" si="67"/>
        <v>7</v>
      </c>
      <c r="AI171" s="224">
        <f t="shared" si="68"/>
        <v>1.2283097158988991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45449</v>
      </c>
      <c r="B172" s="409">
        <f>IF(t&gt;Tmaj,'2023'!Wh/'2023'!Env_an*'2024'!Env_an,0.001*'[8]mon-tableau'!$B$241)</f>
        <v>26.202681464601511</v>
      </c>
      <c r="C172" s="829"/>
      <c r="D172" s="391">
        <f t="shared" si="50"/>
        <v>27.202011142146507</v>
      </c>
      <c r="E172" s="383">
        <f t="shared" si="75"/>
        <v>27.586560283690954</v>
      </c>
      <c r="F172" s="383">
        <f t="shared" si="51"/>
        <v>27.586560283690954</v>
      </c>
      <c r="G172" s="110">
        <f t="shared" si="76"/>
        <v>0.43857703834635142</v>
      </c>
      <c r="H172" s="412" t="b">
        <f>Wh_hp&gt;='2023'!Maxi_hp</f>
        <v>0</v>
      </c>
      <c r="I172" s="388">
        <f>IF(H172,Wh_hp,'2023'!Maxi_hp)</f>
        <v>54.292344061536546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3.6737345350051909E-2</v>
      </c>
      <c r="M172" s="832"/>
      <c r="N172" s="832"/>
      <c r="O172" s="48">
        <f>IF(t&lt;Tnet,'2023'!Resal+('2023'!Salim-'2023'!Resal)*(1-EXP(('2023'!Tnet-t)/('2023'!Tau_j))),Resal+(Salim-Resal)*(1-EXP((Tnet-t)/(Tau_j))))*Salcycl</f>
        <v>1.3939727809116897E-2</v>
      </c>
      <c r="P172" s="169">
        <f>(INDEX(Models!$BJ172:$BT172,,T172)*(1-R172)+INDEX(Models!$BJ172:$BT172,,T172+1)*R172-ERP_i)*Q172*Ramure*Pc/MaxiM</f>
        <v>-1.6045048105090494E-20</v>
      </c>
      <c r="Q172" s="304">
        <f t="shared" si="53"/>
        <v>0.6</v>
      </c>
      <c r="R172" s="177">
        <f t="shared" si="54"/>
        <v>0.23342885531672519</v>
      </c>
      <c r="S172" s="799">
        <f t="shared" si="55"/>
        <v>1</v>
      </c>
      <c r="T172" s="176">
        <f t="shared" si="56"/>
        <v>7</v>
      </c>
      <c r="U172" s="250">
        <f t="shared" si="57"/>
        <v>1.2334288553167252</v>
      </c>
      <c r="V172" s="382">
        <f t="shared" si="58"/>
        <v>59.744763573119002</v>
      </c>
      <c r="W172" s="400">
        <f t="shared" si="59"/>
        <v>26.202681464601511</v>
      </c>
      <c r="X172" s="157">
        <f t="shared" si="60"/>
        <v>45449</v>
      </c>
      <c r="Y172" s="383">
        <f t="shared" si="61"/>
        <v>25.23211578584133</v>
      </c>
      <c r="Z172" s="383">
        <f t="shared" si="62"/>
        <v>26.194429592010643</v>
      </c>
      <c r="AA172" s="384">
        <f t="shared" si="63"/>
        <v>27.586560283690954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5.0464091114082531E-2</v>
      </c>
      <c r="AD172" s="230">
        <f>(INDEX(Models!$BJ172:$BT172,,AH172)*(1-AF172)+INDEX(Models!$BJ172:$BT172,,AH172+1)*AF172-ERP_i)*AE172*Ramure*Pc/MaxiM</f>
        <v>-1.6045048105090494E-20</v>
      </c>
      <c r="AE172" s="304">
        <f t="shared" si="65"/>
        <v>0.6</v>
      </c>
      <c r="AF172" s="177">
        <f t="shared" si="66"/>
        <v>0.23342885531672519</v>
      </c>
      <c r="AG172" s="799">
        <f t="shared" si="74"/>
        <v>1</v>
      </c>
      <c r="AH172" s="176">
        <f t="shared" si="67"/>
        <v>7</v>
      </c>
      <c r="AI172" s="224">
        <f t="shared" si="68"/>
        <v>1.2334288553167252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45450</v>
      </c>
      <c r="B173" s="409">
        <f>IF(t&gt;Tmaj,'2023'!Wh/'2023'!Env_an*'2024'!Env_an,0.001*'[8]mon-tableau'!$B$242)</f>
        <v>21.635486968713067</v>
      </c>
      <c r="C173" s="829"/>
      <c r="D173" s="391">
        <f t="shared" si="50"/>
        <v>22.461061384855753</v>
      </c>
      <c r="E173" s="383">
        <f t="shared" si="75"/>
        <v>22.781607288788567</v>
      </c>
      <c r="F173" s="383">
        <f t="shared" si="51"/>
        <v>22.781607288788567</v>
      </c>
      <c r="G173" s="110">
        <f t="shared" si="76"/>
        <v>0.3623958548232934</v>
      </c>
      <c r="H173" s="412" t="b">
        <f>Wh_hp&gt;='2023'!Maxi_hp</f>
        <v>0</v>
      </c>
      <c r="I173" s="388">
        <f>IF(H173,Wh_hp,'2023'!Maxi_hp)</f>
        <v>63.783632046651569</v>
      </c>
      <c r="J173" s="85">
        <f>IF(H173,An,'2023'!An_max)</f>
        <v>2018</v>
      </c>
      <c r="K173" s="197">
        <f t="shared" si="52"/>
        <v>45450</v>
      </c>
      <c r="L173" s="147">
        <f>IF(t&lt;Tvie,1-EXP((T0-t)*PertePVj)+'2023'!Pspv,1-EXP((T0-t)*PertePVj)+Pspv)</f>
        <v>3.6755806059072804E-2</v>
      </c>
      <c r="M173" s="832"/>
      <c r="N173" s="832"/>
      <c r="O173" s="48">
        <f>IF(t&lt;Tnet,'2023'!Resal+('2023'!Salim-'2023'!Resal)*(1-EXP(('2023'!Tnet-t)/('2023'!Tau_j))),Resal+(Salim-Resal)*(1-EXP((Tnet-t)/(Tau_j))))*Salcycl</f>
        <v>1.4070381420829977E-2</v>
      </c>
      <c r="P173" s="169">
        <f>(INDEX(Models!$BJ173:$BT173,,T173)*(1-R173)+INDEX(Models!$BJ173:$BT173,,T173+1)*R173-ERP_i)*Q173*Ramure*Pc/MaxiM</f>
        <v>0</v>
      </c>
      <c r="Q173" s="304">
        <f t="shared" si="53"/>
        <v>0.6</v>
      </c>
      <c r="R173" s="177">
        <f t="shared" si="54"/>
        <v>0.23856096126999171</v>
      </c>
      <c r="S173" s="799">
        <f t="shared" si="55"/>
        <v>1</v>
      </c>
      <c r="T173" s="176">
        <f t="shared" si="56"/>
        <v>7</v>
      </c>
      <c r="U173" s="250">
        <f t="shared" si="57"/>
        <v>1.2385609612699917</v>
      </c>
      <c r="V173" s="382">
        <f t="shared" si="58"/>
        <v>59.701253976160046</v>
      </c>
      <c r="W173" s="400">
        <f t="shared" si="59"/>
        <v>21.635486968713067</v>
      </c>
      <c r="X173" s="157">
        <f t="shared" si="60"/>
        <v>45450</v>
      </c>
      <c r="Y173" s="383">
        <f t="shared" si="61"/>
        <v>20.834409973727009</v>
      </c>
      <c r="Z173" s="383">
        <f t="shared" si="62"/>
        <v>21.629416616036949</v>
      </c>
      <c r="AA173" s="384">
        <f t="shared" si="63"/>
        <v>22.781607288788567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5.0575477759141368E-2</v>
      </c>
      <c r="AD173" s="230">
        <f>(INDEX(Models!$BJ173:$BT173,,AH173)*(1-AF173)+INDEX(Models!$BJ173:$BT173,,AH173+1)*AF173-ERP_i)*AE173*Ramure*Pc/MaxiM</f>
        <v>0</v>
      </c>
      <c r="AE173" s="304">
        <f t="shared" si="65"/>
        <v>0.6</v>
      </c>
      <c r="AF173" s="177">
        <f t="shared" si="66"/>
        <v>0.23856096126999171</v>
      </c>
      <c r="AG173" s="799">
        <f t="shared" si="74"/>
        <v>1</v>
      </c>
      <c r="AH173" s="176">
        <f t="shared" si="67"/>
        <v>7</v>
      </c>
      <c r="AI173" s="224">
        <f t="shared" si="68"/>
        <v>1.2385609612699917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45451</v>
      </c>
      <c r="B174" s="409">
        <f>IF(t&gt;Tmaj,'2023'!Wh/'2023'!Env_an*'2024'!Env_an,0.001*'[8]mon-tableau'!$B$243)</f>
        <v>51.035673869426979</v>
      </c>
      <c r="C174" s="829"/>
      <c r="D174" s="391">
        <f t="shared" si="50"/>
        <v>52.984126243639395</v>
      </c>
      <c r="E174" s="383">
        <f t="shared" si="75"/>
        <v>53.747386544102199</v>
      </c>
      <c r="F174" s="383">
        <f t="shared" si="51"/>
        <v>53.747386544102199</v>
      </c>
      <c r="G174" s="110">
        <f t="shared" si="76"/>
        <v>0.85549905425975226</v>
      </c>
      <c r="H174" s="412" t="b">
        <f>Wh_hp&gt;='2023'!Maxi_hp</f>
        <v>0</v>
      </c>
      <c r="I174" s="388">
        <f>IF(H174,Wh_hp,'2023'!Maxi_hp)</f>
        <v>60.032633975701692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3.6774266414298373E-2</v>
      </c>
      <c r="M174" s="832"/>
      <c r="N174" s="832"/>
      <c r="O174" s="48">
        <f>IF(t&lt;Tnet,'2023'!Resal+('2023'!Salim-'2023'!Resal)*(1-EXP(('2023'!Tnet-t)/('2023'!Tau_j))),Resal+(Salim-Resal)*(1-EXP((Tnet-t)/(Tau_j))))*Salcycl</f>
        <v>1.4200882117989434E-2</v>
      </c>
      <c r="P174" s="169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0.24370173591429745</v>
      </c>
      <c r="S174" s="799">
        <f t="shared" si="55"/>
        <v>1</v>
      </c>
      <c r="T174" s="176">
        <f t="shared" si="56"/>
        <v>7</v>
      </c>
      <c r="U174" s="250">
        <f t="shared" si="57"/>
        <v>1.2437017359142974</v>
      </c>
      <c r="V174" s="382">
        <f t="shared" si="58"/>
        <v>59.65602605322249</v>
      </c>
      <c r="W174" s="400">
        <f t="shared" si="59"/>
        <v>51.035673869426979</v>
      </c>
      <c r="X174" s="157">
        <f t="shared" si="60"/>
        <v>45451</v>
      </c>
      <c r="Y174" s="383">
        <f t="shared" si="61"/>
        <v>49.146792810760388</v>
      </c>
      <c r="Z174" s="383">
        <f t="shared" si="62"/>
        <v>51.023131024341161</v>
      </c>
      <c r="AA174" s="384">
        <f t="shared" si="63"/>
        <v>53.747386544102199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5.0686288114226E-2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0.24370173591429745</v>
      </c>
      <c r="AG174" s="799">
        <f t="shared" si="74"/>
        <v>1</v>
      </c>
      <c r="AH174" s="176">
        <f t="shared" si="67"/>
        <v>7</v>
      </c>
      <c r="AI174" s="224">
        <f t="shared" si="68"/>
        <v>1.2437017359142974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45452</v>
      </c>
      <c r="B175" s="409">
        <f>IF(t&gt;Tmaj,'2023'!Wh/'2023'!Env_an*'2024'!Env_an,0.001*'[8]mon-tableau'!$B$244)</f>
        <v>58.940520937894604</v>
      </c>
      <c r="C175" s="829"/>
      <c r="D175" s="391">
        <f t="shared" si="50"/>
        <v>61.191939216329317</v>
      </c>
      <c r="E175" s="383">
        <f t="shared" si="75"/>
        <v>62.081644689027698</v>
      </c>
      <c r="F175" s="383">
        <f t="shared" si="51"/>
        <v>62.081644689027698</v>
      </c>
      <c r="G175" s="110">
        <f t="shared" si="76"/>
        <v>0.98878255555832673</v>
      </c>
      <c r="H175" s="412" t="b">
        <f>Wh_hp&gt;='2023'!Maxi_hp</f>
        <v>1</v>
      </c>
      <c r="I175" s="388">
        <f>IF(H175,Wh_hp,'2023'!Maxi_hp)</f>
        <v>62.081644689027698</v>
      </c>
      <c r="J175" s="85">
        <f>IF(H175,An,'2023'!An_max)</f>
        <v>2024</v>
      </c>
      <c r="K175" s="197">
        <f t="shared" si="52"/>
        <v>45452</v>
      </c>
      <c r="L175" s="147">
        <f>IF(t&lt;Tvie,1-EXP((T0-t)*PertePVj)+'2023'!Pspv,1-EXP((T0-t)*PertePVj)+Pspv)</f>
        <v>3.6792726415735388E-2</v>
      </c>
      <c r="M175" s="832"/>
      <c r="N175" s="832"/>
      <c r="O175" s="48">
        <f>IF(t&lt;Tnet,'2023'!Resal+('2023'!Salim-'2023'!Resal)*(1-EXP(('2023'!Tnet-t)/('2023'!Tau_j))),Resal+(Salim-Resal)*(1-EXP((Tnet-t)/(Tau_j))))*Salcycl</f>
        <v>1.4331216209798991E-2</v>
      </c>
      <c r="P175" s="169">
        <f>(INDEX(Models!$BJ175:$BT175,,T175)*(1-R175)+INDEX(Models!$BJ175:$BT175,,T175+1)*R175-ERP_i)*Q175*Ramure*Pc/MaxiM</f>
        <v>0</v>
      </c>
      <c r="Q175" s="304">
        <f t="shared" si="53"/>
        <v>0.6</v>
      </c>
      <c r="R175" s="177">
        <f t="shared" si="54"/>
        <v>0.24884685222530911</v>
      </c>
      <c r="S175" s="799">
        <f t="shared" si="55"/>
        <v>1</v>
      </c>
      <c r="T175" s="176">
        <f t="shared" si="56"/>
        <v>7</v>
      </c>
      <c r="U175" s="250">
        <f t="shared" si="57"/>
        <v>1.2488468522253091</v>
      </c>
      <c r="V175" s="382">
        <f t="shared" si="58"/>
        <v>59.609183643630523</v>
      </c>
      <c r="W175" s="400">
        <f t="shared" si="59"/>
        <v>58.940520937894604</v>
      </c>
      <c r="X175" s="157">
        <f t="shared" si="60"/>
        <v>45452</v>
      </c>
      <c r="Y175" s="383">
        <f t="shared" si="61"/>
        <v>56.75998926498972</v>
      </c>
      <c r="Z175" s="383">
        <f t="shared" si="62"/>
        <v>58.928115289013299</v>
      </c>
      <c r="AA175" s="384">
        <f t="shared" si="63"/>
        <v>62.081644689027698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5.0796486075887617E-2</v>
      </c>
      <c r="AD175" s="230">
        <f>(INDEX(Models!$BJ175:$BT175,,AH175)*(1-AF175)+INDEX(Models!$BJ175:$BT175,,AH175+1)*AF175-ERP_i)*AE175*Ramure*Pc/MaxiM</f>
        <v>0</v>
      </c>
      <c r="AE175" s="304">
        <f t="shared" si="65"/>
        <v>0.6</v>
      </c>
      <c r="AF175" s="177">
        <f t="shared" si="66"/>
        <v>0.24884685222530911</v>
      </c>
      <c r="AG175" s="799">
        <f t="shared" si="74"/>
        <v>1</v>
      </c>
      <c r="AH175" s="176">
        <f t="shared" si="67"/>
        <v>7</v>
      </c>
      <c r="AI175" s="224">
        <f t="shared" si="68"/>
        <v>1.2488468522253091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45453</v>
      </c>
      <c r="B176" s="409">
        <f>IF(t&gt;Tmaj,'2023'!Wh/'2023'!Env_an*'2024'!Env_an,0.001*'[8]mon-tableau'!$B$245)</f>
        <v>57.254843310548424</v>
      </c>
      <c r="C176" s="829"/>
      <c r="D176" s="391">
        <f t="shared" si="50"/>
        <v>59.443011050496438</v>
      </c>
      <c r="E176" s="383">
        <f t="shared" si="75"/>
        <v>60.315252242082359</v>
      </c>
      <c r="F176" s="383">
        <f t="shared" si="51"/>
        <v>60.315252242082359</v>
      </c>
      <c r="G176" s="110">
        <f t="shared" si="76"/>
        <v>0.96128349484104125</v>
      </c>
      <c r="H176" s="412" t="b">
        <f>Wh_hp&gt;='2023'!Maxi_hp</f>
        <v>1</v>
      </c>
      <c r="I176" s="388">
        <f>IF(H176,Wh_hp,'2023'!Maxi_hp)</f>
        <v>60.315252242082359</v>
      </c>
      <c r="J176" s="85">
        <f>IF(H176,An,'2023'!An_max)</f>
        <v>2024</v>
      </c>
      <c r="K176" s="197">
        <f t="shared" si="52"/>
        <v>45453</v>
      </c>
      <c r="L176" s="147">
        <f>IF(t&lt;Tvie,1-EXP((T0-t)*PertePVj)+'2023'!Pspv,1-EXP((T0-t)*PertePVj)+Pspv)</f>
        <v>3.6811186063390733E-2</v>
      </c>
      <c r="M176" s="832"/>
      <c r="N176" s="832"/>
      <c r="O176" s="48">
        <f>IF(t&lt;Tnet,'2023'!Resal+('2023'!Salim-'2023'!Resal)*(1-EXP(('2023'!Tnet-t)/('2023'!Tau_j))),Resal+(Salim-Resal)*(1-EXP((Tnet-t)/(Tau_j))))*Salcycl</f>
        <v>1.4461370203428371E-2</v>
      </c>
      <c r="P176" s="169">
        <f>(INDEX(Models!$BJ176:$BT176,,T176)*(1-R176)+INDEX(Models!$BJ176:$BT176,,T176+1)*R176-ERP_i)*Q176*Ramure*Pc/MaxiM</f>
        <v>0</v>
      </c>
      <c r="Q176" s="304">
        <f t="shared" si="53"/>
        <v>0.6</v>
      </c>
      <c r="R176" s="177">
        <f t="shared" si="54"/>
        <v>0.25399196853632056</v>
      </c>
      <c r="S176" s="799">
        <f t="shared" si="55"/>
        <v>1</v>
      </c>
      <c r="T176" s="176">
        <f t="shared" si="56"/>
        <v>7</v>
      </c>
      <c r="U176" s="250">
        <f t="shared" si="57"/>
        <v>1.2539919685363206</v>
      </c>
      <c r="V176" s="382">
        <f t="shared" si="58"/>
        <v>59.560830512351764</v>
      </c>
      <c r="W176" s="400">
        <f t="shared" si="59"/>
        <v>57.254843310548424</v>
      </c>
      <c r="X176" s="157">
        <f t="shared" si="60"/>
        <v>45453</v>
      </c>
      <c r="Y176" s="383">
        <f t="shared" si="61"/>
        <v>55.137591250726203</v>
      </c>
      <c r="Z176" s="383">
        <f t="shared" si="62"/>
        <v>57.244841772378592</v>
      </c>
      <c r="AA176" s="384">
        <f t="shared" si="63"/>
        <v>60.315252242082359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5.0906037122754905E-2</v>
      </c>
      <c r="AD176" s="230">
        <f>(INDEX(Models!$BJ176:$BT176,,AH176)*(1-AF176)+INDEX(Models!$BJ176:$BT176,,AH176+1)*AF176-ERP_i)*AE176*Ramure*Pc/MaxiM</f>
        <v>0</v>
      </c>
      <c r="AE176" s="304">
        <f t="shared" si="65"/>
        <v>0.6</v>
      </c>
      <c r="AF176" s="177">
        <f t="shared" si="66"/>
        <v>0.25399196853632056</v>
      </c>
      <c r="AG176" s="799">
        <f t="shared" si="74"/>
        <v>1</v>
      </c>
      <c r="AH176" s="176">
        <f t="shared" si="67"/>
        <v>7</v>
      </c>
      <c r="AI176" s="224">
        <f t="shared" si="68"/>
        <v>1.2539919685363206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45454</v>
      </c>
      <c r="B177" s="409">
        <f>IF(t&gt;Tmaj,'2023'!Wh/'2023'!Env_an*'2024'!Env_an,0.001*'[8]mon-tableau'!$B$246)</f>
        <v>45.095858498737343</v>
      </c>
      <c r="C177" s="829"/>
      <c r="D177" s="391">
        <f t="shared" si="50"/>
        <v>46.820231002089827</v>
      </c>
      <c r="E177" s="383">
        <f t="shared" si="75"/>
        <v>47.5135164408577</v>
      </c>
      <c r="F177" s="383">
        <f t="shared" si="51"/>
        <v>47.5135164408577</v>
      </c>
      <c r="G177" s="110">
        <f t="shared" si="76"/>
        <v>0.75777585365056721</v>
      </c>
      <c r="H177" s="412" t="b">
        <f>Wh_hp&gt;='2023'!Maxi_hp</f>
        <v>0</v>
      </c>
      <c r="I177" s="388">
        <f>IF(H177,Wh_hp,'2023'!Maxi_hp)</f>
        <v>58.629383345992608</v>
      </c>
      <c r="J177" s="85">
        <f>IF(H177,An,'2023'!An_max)</f>
        <v>2018</v>
      </c>
      <c r="K177" s="197">
        <f t="shared" si="52"/>
        <v>45454</v>
      </c>
      <c r="L177" s="147">
        <f>IF(t&lt;Tvie,1-EXP((T0-t)*PertePVj)+'2023'!Pspv,1-EXP((T0-t)*PertePVj)+Pspv)</f>
        <v>3.6829645357271179E-2</v>
      </c>
      <c r="M177" s="832"/>
      <c r="N177" s="832"/>
      <c r="O177" s="48">
        <f>IF(t&lt;Tnet,'2023'!Resal+('2023'!Salim-'2023'!Resal)*(1-EXP(('2023'!Tnet-t)/('2023'!Tau_j))),Resal+(Salim-Resal)*(1-EXP((Tnet-t)/(Tau_j))))*Salcycl</f>
        <v>1.4591330861205393E-2</v>
      </c>
      <c r="P177" s="169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0.25913274318062651</v>
      </c>
      <c r="S177" s="799">
        <f t="shared" si="55"/>
        <v>1</v>
      </c>
      <c r="T177" s="176">
        <f t="shared" si="56"/>
        <v>7</v>
      </c>
      <c r="U177" s="250">
        <f t="shared" si="57"/>
        <v>1.2591327431806265</v>
      </c>
      <c r="V177" s="382">
        <f t="shared" si="58"/>
        <v>59.510814816134769</v>
      </c>
      <c r="W177" s="400">
        <f t="shared" si="59"/>
        <v>45.095858498737343</v>
      </c>
      <c r="X177" s="157">
        <f t="shared" si="60"/>
        <v>45454</v>
      </c>
      <c r="Y177" s="383">
        <f t="shared" si="61"/>
        <v>43.428984081543447</v>
      </c>
      <c r="Z177" s="383">
        <f t="shared" si="62"/>
        <v>45.089618749377593</v>
      </c>
      <c r="AA177" s="384">
        <f t="shared" si="63"/>
        <v>47.5135164408577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5.1014908452360987E-2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0.25913274318062651</v>
      </c>
      <c r="AG177" s="799">
        <f t="shared" si="74"/>
        <v>1</v>
      </c>
      <c r="AH177" s="176">
        <f t="shared" si="67"/>
        <v>7</v>
      </c>
      <c r="AI177" s="224">
        <f t="shared" si="68"/>
        <v>1.2591327431806265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45455</v>
      </c>
      <c r="B178" s="409">
        <f>IF(t&gt;Tmaj,'2023'!Wh/'2023'!Env_an*'2024'!Env_an,0.001*'[8]mon-tableau'!$B$247)</f>
        <v>54.25892222572967</v>
      </c>
      <c r="C178" s="829"/>
      <c r="D178" s="391">
        <f t="shared" si="50"/>
        <v>56.334751006379889</v>
      </c>
      <c r="E178" s="383">
        <f t="shared" si="75"/>
        <v>57.176450407510863</v>
      </c>
      <c r="F178" s="383">
        <f t="shared" si="51"/>
        <v>57.176450407510863</v>
      </c>
      <c r="G178" s="110">
        <f t="shared" si="76"/>
        <v>0.9125447498857554</v>
      </c>
      <c r="H178" s="412" t="b">
        <f>Wh_hp&gt;='2023'!Maxi_hp</f>
        <v>0</v>
      </c>
      <c r="I178" s="388">
        <f>IF(H178,Wh_hp,'2023'!Maxi_hp)</f>
        <v>65.55404847482302</v>
      </c>
      <c r="J178" s="85">
        <f>IF(H178,An,'2023'!An_max)</f>
        <v>2018</v>
      </c>
      <c r="K178" s="197">
        <f t="shared" si="52"/>
        <v>45455</v>
      </c>
      <c r="L178" s="147">
        <f>IF(t&lt;Tvie,1-EXP((T0-t)*PertePVj)+'2023'!Pspv,1-EXP((T0-t)*PertePVj)+Pspv)</f>
        <v>3.6848104297383499E-2</v>
      </c>
      <c r="M178" s="832"/>
      <c r="N178" s="832"/>
      <c r="O178" s="48">
        <f>IF(t&lt;Tnet,'2023'!Resal+('2023'!Salim-'2023'!Resal)*(1-EXP(('2023'!Tnet-t)/('2023'!Tau_j))),Resal+(Salim-Resal)*(1-EXP((Tnet-t)/(Tau_j))))*Salcycl</f>
        <v>1.4721085256814103E-2</v>
      </c>
      <c r="P178" s="169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0.26426484913389303</v>
      </c>
      <c r="S178" s="799">
        <f t="shared" si="55"/>
        <v>1</v>
      </c>
      <c r="T178" s="176">
        <f t="shared" si="56"/>
        <v>7</v>
      </c>
      <c r="U178" s="250">
        <f t="shared" si="57"/>
        <v>1.264264849133893</v>
      </c>
      <c r="V178" s="382">
        <f t="shared" si="58"/>
        <v>59.458916653153217</v>
      </c>
      <c r="W178" s="400">
        <f t="shared" si="59"/>
        <v>54.25892222572967</v>
      </c>
      <c r="X178" s="157">
        <f t="shared" si="60"/>
        <v>45455</v>
      </c>
      <c r="Y178" s="383">
        <f t="shared" si="61"/>
        <v>52.25427929550245</v>
      </c>
      <c r="Z178" s="383">
        <f t="shared" si="62"/>
        <v>54.253414781874156</v>
      </c>
      <c r="AA178" s="384">
        <f t="shared" si="63"/>
        <v>57.176450407510863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5.1123069109808392E-2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0.26426484913389303</v>
      </c>
      <c r="AG178" s="799">
        <f t="shared" si="74"/>
        <v>1</v>
      </c>
      <c r="AH178" s="176">
        <f t="shared" si="67"/>
        <v>7</v>
      </c>
      <c r="AI178" s="224">
        <f t="shared" si="68"/>
        <v>1.264264849133893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45456</v>
      </c>
      <c r="B179" s="409">
        <f>IF(t&gt;Tmaj,'2023'!Wh/'2023'!Env_an*'2024'!Env_an,0.001*'[8]mon-tableau'!$B$248)</f>
        <v>52.177967363817082</v>
      </c>
      <c r="C179" s="829"/>
      <c r="D179" s="391">
        <f t="shared" si="50"/>
        <v>54.175221576819126</v>
      </c>
      <c r="E179" s="383">
        <f t="shared" si="75"/>
        <v>54.991885212847144</v>
      </c>
      <c r="F179" s="383">
        <f t="shared" si="51"/>
        <v>54.991885212847144</v>
      </c>
      <c r="G179" s="110">
        <f t="shared" si="76"/>
        <v>0.87834098966709884</v>
      </c>
      <c r="H179" s="412" t="b">
        <f>Wh_hp&gt;='2023'!Maxi_hp</f>
        <v>0</v>
      </c>
      <c r="I179" s="388">
        <f>IF(H179,Wh_hp,'2023'!Maxi_hp)</f>
        <v>57.93177367847553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3.6866562883734355E-2</v>
      </c>
      <c r="M179" s="832"/>
      <c r="N179" s="832"/>
      <c r="O179" s="48">
        <f>IF(t&lt;Tnet,'2023'!Resal+('2023'!Salim-'2023'!Resal)*(1-EXP(('2023'!Tnet-t)/('2023'!Tau_j))),Resal+(Salim-Resal)*(1-EXP((Tnet-t)/(Tau_j))))*Salcycl</f>
        <v>1.4850620830093437E-2</v>
      </c>
      <c r="P179" s="169">
        <f>(INDEX(Models!$BJ179:$BT179,,T179)*(1-R179)+INDEX(Models!$BJ179:$BT179,,T179+1)*R179-ERP_i)*Q179*Ramure*Pc/MaxiM</f>
        <v>0</v>
      </c>
      <c r="Q179" s="304">
        <f t="shared" si="53"/>
        <v>0.6</v>
      </c>
      <c r="R179" s="177">
        <f t="shared" si="54"/>
        <v>0.26938398855171886</v>
      </c>
      <c r="S179" s="799">
        <f t="shared" si="55"/>
        <v>1</v>
      </c>
      <c r="T179" s="176">
        <f t="shared" si="56"/>
        <v>7</v>
      </c>
      <c r="U179" s="250">
        <f t="shared" si="57"/>
        <v>1.2693839885517189</v>
      </c>
      <c r="V179" s="382">
        <f t="shared" si="58"/>
        <v>59.405137614712849</v>
      </c>
      <c r="W179" s="400">
        <f t="shared" si="59"/>
        <v>52.177967363817082</v>
      </c>
      <c r="X179" s="157">
        <f t="shared" si="60"/>
        <v>45456</v>
      </c>
      <c r="Y179" s="383">
        <f t="shared" si="61"/>
        <v>50.251124925519328</v>
      </c>
      <c r="Z179" s="383">
        <f t="shared" si="62"/>
        <v>52.174623981467285</v>
      </c>
      <c r="AA179" s="384">
        <f t="shared" si="63"/>
        <v>54.991885212847144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5.1230490107323973E-2</v>
      </c>
      <c r="AD179" s="230">
        <f>(INDEX(Models!$BJ179:$BT179,,AH179)*(1-AF179)+INDEX(Models!$BJ179:$BT179,,AH179+1)*AF179-ERP_i)*AE179*Ramure*Pc/MaxiM</f>
        <v>0</v>
      </c>
      <c r="AE179" s="304">
        <f t="shared" si="65"/>
        <v>0.6</v>
      </c>
      <c r="AF179" s="177">
        <f t="shared" si="66"/>
        <v>0.26938398855171886</v>
      </c>
      <c r="AG179" s="799">
        <f t="shared" si="74"/>
        <v>1</v>
      </c>
      <c r="AH179" s="176">
        <f t="shared" si="67"/>
        <v>7</v>
      </c>
      <c r="AI179" s="224">
        <f t="shared" si="68"/>
        <v>1.2693839885517189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45457</v>
      </c>
      <c r="B180" s="409">
        <f>IF(t&gt;Tmaj,'2023'!Wh/'2023'!Env_an*'2024'!Env_an,0.001*'[8]mon-tableau'!$B$249)</f>
        <v>55.471064322276192</v>
      </c>
      <c r="C180" s="829"/>
      <c r="D180" s="391">
        <f t="shared" si="50"/>
        <v>57.595474619833851</v>
      </c>
      <c r="E180" s="383">
        <f t="shared" si="75"/>
        <v>58.471371403840045</v>
      </c>
      <c r="F180" s="383">
        <f t="shared" si="51"/>
        <v>58.471371403840045</v>
      </c>
      <c r="G180" s="110">
        <f t="shared" si="76"/>
        <v>0.93465123890441126</v>
      </c>
      <c r="H180" s="412" t="b">
        <f>Wh_hp&gt;='2023'!Maxi_hp</f>
        <v>1</v>
      </c>
      <c r="I180" s="388">
        <f>IF(H180,Wh_hp,'2023'!Maxi_hp)</f>
        <v>58.471371403840045</v>
      </c>
      <c r="J180" s="85">
        <f>IF(H180,An,'2023'!An_max)</f>
        <v>2024</v>
      </c>
      <c r="K180" s="197">
        <f t="shared" si="52"/>
        <v>45457</v>
      </c>
      <c r="L180" s="147">
        <f>IF(t&lt;Tvie,1-EXP((T0-t)*PertePVj)+'2023'!Pspv,1-EXP((T0-t)*PertePVj)+Pspv)</f>
        <v>3.688502111633063E-2</v>
      </c>
      <c r="M180" s="832"/>
      <c r="N180" s="832"/>
      <c r="O180" s="48">
        <f>IF(t&lt;Tnet,'2023'!Resal+('2023'!Salim-'2023'!Resal)*(1-EXP(('2023'!Tnet-t)/('2023'!Tau_j))),Resal+(Salim-Resal)*(1-EXP((Tnet-t)/(Tau_j))))*Salcycl</f>
        <v>1.4979925440036254E-2</v>
      </c>
      <c r="P180" s="169">
        <f>(INDEX(Models!$BJ180:$BT180,,T180)*(1-R180)+INDEX(Models!$BJ180:$BT180,,T180+1)*R180-ERP_i)*Q180*Ramure*Pc/MaxiM</f>
        <v>-1.7016021344672509E-20</v>
      </c>
      <c r="Q180" s="304">
        <f t="shared" si="53"/>
        <v>0.6</v>
      </c>
      <c r="R180" s="177">
        <f t="shared" si="54"/>
        <v>0.27448590709885901</v>
      </c>
      <c r="S180" s="799">
        <f t="shared" si="55"/>
        <v>1</v>
      </c>
      <c r="T180" s="176">
        <f t="shared" si="56"/>
        <v>7</v>
      </c>
      <c r="U180" s="250">
        <f t="shared" si="57"/>
        <v>1.274485907098859</v>
      </c>
      <c r="V180" s="382">
        <f t="shared" si="58"/>
        <v>59.34947926383623</v>
      </c>
      <c r="W180" s="400">
        <f t="shared" si="59"/>
        <v>55.471064322276192</v>
      </c>
      <c r="X180" s="157">
        <f t="shared" si="60"/>
        <v>45457</v>
      </c>
      <c r="Y180" s="383">
        <f t="shared" si="61"/>
        <v>53.423620121881612</v>
      </c>
      <c r="Z180" s="383">
        <f t="shared" si="62"/>
        <v>55.469618158990784</v>
      </c>
      <c r="AA180" s="384">
        <f t="shared" si="63"/>
        <v>58.471371403840045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5.133714453381414E-2</v>
      </c>
      <c r="AD180" s="230">
        <f>(INDEX(Models!$BJ180:$BT180,,AH180)*(1-AF180)+INDEX(Models!$BJ180:$BT180,,AH180+1)*AF180-ERP_i)*AE180*Ramure*Pc/MaxiM</f>
        <v>-1.7016021344672509E-20</v>
      </c>
      <c r="AE180" s="304">
        <f t="shared" si="65"/>
        <v>0.6</v>
      </c>
      <c r="AF180" s="177">
        <f t="shared" si="66"/>
        <v>0.27448590709885901</v>
      </c>
      <c r="AG180" s="799">
        <f t="shared" si="74"/>
        <v>1</v>
      </c>
      <c r="AH180" s="176">
        <f t="shared" si="67"/>
        <v>7</v>
      </c>
      <c r="AI180" s="224">
        <f t="shared" si="68"/>
        <v>1.274485907098859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45458</v>
      </c>
      <c r="B181" s="409">
        <f>IF(t&gt;Tmaj,'2023'!Wh/'2023'!Env_an*'2024'!Env_an,0.001*'[8]mon-tableau'!$B$250)</f>
        <v>53.49455639784388</v>
      </c>
      <c r="C181" s="829"/>
      <c r="D181" s="391">
        <f t="shared" si="50"/>
        <v>55.544335620724461</v>
      </c>
      <c r="E181" s="383">
        <f t="shared" si="75"/>
        <v>56.396428549970572</v>
      </c>
      <c r="F181" s="383">
        <f t="shared" si="51"/>
        <v>56.396428549970572</v>
      </c>
      <c r="G181" s="110">
        <f t="shared" si="76"/>
        <v>0.90222302685284872</v>
      </c>
      <c r="H181" s="412" t="b">
        <f>Wh_hp&gt;='2023'!Maxi_hp</f>
        <v>0</v>
      </c>
      <c r="I181" s="388">
        <f>IF(H181,Wh_hp,'2023'!Maxi_hp)</f>
        <v>62.896396798110899</v>
      </c>
      <c r="J181" s="85">
        <f>IF(H181,An,'2023'!An_max)</f>
        <v>2018</v>
      </c>
      <c r="K181" s="197">
        <f t="shared" si="52"/>
        <v>45458</v>
      </c>
      <c r="L181" s="147">
        <f>IF(t&lt;Tvie,1-EXP((T0-t)*PertePVj)+'2023'!Pspv,1-EXP((T0-t)*PertePVj)+Pspv)</f>
        <v>3.6903478995179095E-2</v>
      </c>
      <c r="M181" s="832"/>
      <c r="N181" s="832"/>
      <c r="O181" s="48">
        <f>IF(t&lt;Tnet,'2023'!Resal+('2023'!Salim-'2023'!Resal)*(1-EXP(('2023'!Tnet-t)/('2023'!Tau_j))),Resal+(Salim-Resal)*(1-EXP((Tnet-t)/(Tau_j))))*Salcycl</f>
        <v>1.51089874155969E-2</v>
      </c>
      <c r="P181" s="169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0.2795664079691309</v>
      </c>
      <c r="S181" s="799">
        <f t="shared" si="55"/>
        <v>1</v>
      </c>
      <c r="T181" s="176">
        <f t="shared" si="56"/>
        <v>7</v>
      </c>
      <c r="U181" s="250">
        <f t="shared" si="57"/>
        <v>1.2795664079691309</v>
      </c>
      <c r="V181" s="382">
        <f t="shared" si="58"/>
        <v>59.291943129011678</v>
      </c>
      <c r="W181" s="400">
        <f t="shared" si="59"/>
        <v>53.49455639784388</v>
      </c>
      <c r="X181" s="157">
        <f t="shared" si="60"/>
        <v>45458</v>
      </c>
      <c r="Y181" s="383">
        <f t="shared" si="61"/>
        <v>51.52106667162343</v>
      </c>
      <c r="Z181" s="383">
        <f t="shared" si="62"/>
        <v>53.495226644438823</v>
      </c>
      <c r="AA181" s="384">
        <f t="shared" si="63"/>
        <v>56.396428549970572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5.1443007653598327E-2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0.2795664079691309</v>
      </c>
      <c r="AG181" s="799">
        <f t="shared" si="74"/>
        <v>1</v>
      </c>
      <c r="AH181" s="176">
        <f t="shared" si="67"/>
        <v>7</v>
      </c>
      <c r="AI181" s="224">
        <f t="shared" si="68"/>
        <v>1.2795664079691309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45459</v>
      </c>
      <c r="B182" s="409">
        <f>IF(t&gt;Tmaj,'2023'!Wh/'2023'!Env_an*'2024'!Env_an,0.001*'[8]mon-tableau'!$B$251)</f>
        <v>53.40679060020269</v>
      </c>
      <c r="C182" s="829"/>
      <c r="D182" s="391">
        <f t="shared" si="50"/>
        <v>55.454269623002027</v>
      </c>
      <c r="E182" s="383">
        <f t="shared" si="75"/>
        <v>56.312345635777717</v>
      </c>
      <c r="F182" s="383">
        <f t="shared" si="51"/>
        <v>56.312345635777717</v>
      </c>
      <c r="G182" s="110">
        <f t="shared" si="76"/>
        <v>0.90164627386345519</v>
      </c>
      <c r="H182" s="412" t="b">
        <f>Wh_hp&gt;='2023'!Maxi_hp</f>
        <v>0</v>
      </c>
      <c r="I182" s="388">
        <f>IF(H182,Wh_hp,'2023'!Maxi_hp)</f>
        <v>61.724084548861946</v>
      </c>
      <c r="J182" s="85">
        <f>IF(H182,An,'2023'!An_max)</f>
        <v>2018</v>
      </c>
      <c r="K182" s="197">
        <f t="shared" si="52"/>
        <v>45459</v>
      </c>
      <c r="L182" s="147">
        <f>IF(t&lt;Tvie,1-EXP((T0-t)*PertePVj)+'2023'!Pspv,1-EXP((T0-t)*PertePVj)+Pspv)</f>
        <v>3.6921936520286525E-2</v>
      </c>
      <c r="M182" s="832"/>
      <c r="N182" s="832"/>
      <c r="O182" s="48">
        <f>IF(t&lt;Tnet,'2023'!Resal+('2023'!Salim-'2023'!Resal)*(1-EXP(('2023'!Tnet-t)/('2023'!Tau_j))),Resal+(Salim-Resal)*(1-EXP((Tnet-t)/(Tau_j))))*Salcycl</f>
        <v>1.5237795603927363E-2</v>
      </c>
      <c r="P182" s="169">
        <f>(INDEX(Models!$BJ182:$BT182,,T182)*(1-R182)+INDEX(Models!$BJ182:$BT182,,T182+1)*R182-ERP_i)*Q182*Ramure*Pc/MaxiM</f>
        <v>0</v>
      </c>
      <c r="Q182" s="304">
        <f t="shared" si="53"/>
        <v>0.6</v>
      </c>
      <c r="R182" s="177">
        <f t="shared" si="54"/>
        <v>0.28462136549879058</v>
      </c>
      <c r="S182" s="799">
        <f t="shared" si="55"/>
        <v>1</v>
      </c>
      <c r="T182" s="176">
        <f t="shared" si="56"/>
        <v>7</v>
      </c>
      <c r="U182" s="250">
        <f t="shared" si="57"/>
        <v>1.2846213654987906</v>
      </c>
      <c r="V182" s="382">
        <f t="shared" si="58"/>
        <v>59.23253070337713</v>
      </c>
      <c r="W182" s="400">
        <f t="shared" si="59"/>
        <v>53.40679060020269</v>
      </c>
      <c r="X182" s="157">
        <f t="shared" si="60"/>
        <v>45459</v>
      </c>
      <c r="Y182" s="383">
        <f t="shared" si="61"/>
        <v>51.437569484669858</v>
      </c>
      <c r="Z182" s="383">
        <f t="shared" si="62"/>
        <v>53.409553633502888</v>
      </c>
      <c r="AA182" s="384">
        <f t="shared" si="63"/>
        <v>56.312345635777717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5.1548056993572518E-2</v>
      </c>
      <c r="AD182" s="230">
        <f>(INDEX(Models!$BJ182:$BT182,,AH182)*(1-AF182)+INDEX(Models!$BJ182:$BT182,,AH182+1)*AF182-ERP_i)*AE182*Ramure*Pc/MaxiM</f>
        <v>0</v>
      </c>
      <c r="AE182" s="304">
        <f t="shared" si="65"/>
        <v>0.6</v>
      </c>
      <c r="AF182" s="177">
        <f t="shared" si="66"/>
        <v>0.28462136549879058</v>
      </c>
      <c r="AG182" s="799">
        <f t="shared" si="74"/>
        <v>1</v>
      </c>
      <c r="AH182" s="176">
        <f t="shared" si="67"/>
        <v>7</v>
      </c>
      <c r="AI182" s="224">
        <f t="shared" si="68"/>
        <v>1.2846213654987906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45460</v>
      </c>
      <c r="B183" s="409">
        <f>IF(t&gt;Tmaj,'2023'!Wh/'2023'!Env_an*'2024'!Env_an,0.001*'[8]mon-tableau'!$B$252)</f>
        <v>56.949413094908827</v>
      </c>
      <c r="C183" s="829"/>
      <c r="D183" s="391">
        <f t="shared" si="50"/>
        <v>59.133840441310632</v>
      </c>
      <c r="E183" s="383">
        <f t="shared" si="75"/>
        <v>60.056691954059566</v>
      </c>
      <c r="F183" s="383">
        <f t="shared" si="51"/>
        <v>60.056691954059566</v>
      </c>
      <c r="G183" s="110">
        <f t="shared" si="76"/>
        <v>0.96245084241538426</v>
      </c>
      <c r="H183" s="412" t="b">
        <f>Wh_hp&gt;='2023'!Maxi_hp</f>
        <v>1</v>
      </c>
      <c r="I183" s="388">
        <f>IF(H183,Wh_hp,'2023'!Maxi_hp)</f>
        <v>60.056691954059566</v>
      </c>
      <c r="J183" s="85">
        <f>IF(H183,An,'2023'!An_max)</f>
        <v>2024</v>
      </c>
      <c r="K183" s="197">
        <f t="shared" si="52"/>
        <v>45460</v>
      </c>
      <c r="L183" s="147">
        <f>IF(t&lt;Tvie,1-EXP((T0-t)*PertePVj)+'2023'!Pspv,1-EXP((T0-t)*PertePVj)+Pspv)</f>
        <v>3.694039369165969E-2</v>
      </c>
      <c r="M183" s="832"/>
      <c r="N183" s="832"/>
      <c r="O183" s="48">
        <f>IF(t&lt;Tnet,'2023'!Resal+('2023'!Salim-'2023'!Resal)*(1-EXP(('2023'!Tnet-t)/('2023'!Tau_j))),Resal+(Salim-Resal)*(1-EXP((Tnet-t)/(Tau_j))))*Salcycl</f>
        <v>1.5366339415678706E-2</v>
      </c>
      <c r="P183" s="169">
        <f>(INDEX(Models!$BJ183:$BT183,,T183)*(1-R183)+INDEX(Models!$BJ183:$BT183,,T183+1)*R183-ERP_i)*Q183*Ramure*Pc/MaxiM</f>
        <v>0</v>
      </c>
      <c r="Q183" s="304">
        <f t="shared" si="53"/>
        <v>0.6</v>
      </c>
      <c r="R183" s="177">
        <f t="shared" si="54"/>
        <v>0.28964673828106258</v>
      </c>
      <c r="S183" s="799">
        <f t="shared" si="55"/>
        <v>1</v>
      </c>
      <c r="T183" s="176">
        <f t="shared" si="56"/>
        <v>7</v>
      </c>
      <c r="U183" s="250">
        <f t="shared" si="57"/>
        <v>1.2896467382810626</v>
      </c>
      <c r="V183" s="382">
        <f t="shared" si="58"/>
        <v>59.171243439288325</v>
      </c>
      <c r="W183" s="400">
        <f t="shared" si="59"/>
        <v>56.949413094908827</v>
      </c>
      <c r="X183" s="157">
        <f t="shared" si="60"/>
        <v>45460</v>
      </c>
      <c r="Y183" s="383">
        <f t="shared" si="61"/>
        <v>54.850700984188428</v>
      </c>
      <c r="Z183" s="383">
        <f t="shared" si="62"/>
        <v>56.95462734071625</v>
      </c>
      <c r="AA183" s="384">
        <f t="shared" si="63"/>
        <v>60.056691954059566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5.1652272418138544E-2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0.28964673828106258</v>
      </c>
      <c r="AG183" s="799">
        <f t="shared" si="74"/>
        <v>1</v>
      </c>
      <c r="AH183" s="176">
        <f t="shared" si="67"/>
        <v>7</v>
      </c>
      <c r="AI183" s="224">
        <f t="shared" si="68"/>
        <v>1.2896467382810626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45461</v>
      </c>
      <c r="B184" s="409">
        <f>IF(t&gt;Tmaj,'2023'!Wh/'2023'!Env_an*'2024'!Env_an,0.001*'[8]mon-tableau'!$B$253)</f>
        <v>58.058150292748635</v>
      </c>
      <c r="C184" s="829"/>
      <c r="D184" s="391">
        <f t="shared" si="50"/>
        <v>60.286261208519235</v>
      </c>
      <c r="E184" s="383">
        <f t="shared" si="75"/>
        <v>61.235074740567256</v>
      </c>
      <c r="F184" s="383">
        <f t="shared" si="51"/>
        <v>61.235074740567256</v>
      </c>
      <c r="G184" s="110">
        <f t="shared" si="76"/>
        <v>0.98223707474016986</v>
      </c>
      <c r="H184" s="412" t="b">
        <f>Wh_hp&gt;='2023'!Maxi_hp</f>
        <v>1</v>
      </c>
      <c r="I184" s="388">
        <f>IF(H184,Wh_hp,'2023'!Maxi_hp)</f>
        <v>61.235074740567256</v>
      </c>
      <c r="J184" s="85">
        <f>IF(H184,An,'2023'!An_max)</f>
        <v>2024</v>
      </c>
      <c r="K184" s="197">
        <f t="shared" si="52"/>
        <v>45461</v>
      </c>
      <c r="L184" s="147">
        <f>IF(t&lt;Tvie,1-EXP((T0-t)*PertePVj)+'2023'!Pspv,1-EXP((T0-t)*PertePVj)+Pspv)</f>
        <v>3.6958850509305363E-2</v>
      </c>
      <c r="M184" s="832"/>
      <c r="N184" s="832"/>
      <c r="O184" s="48">
        <f>IF(t&lt;Tnet,'2023'!Resal+('2023'!Salim-'2023'!Resal)*(1-EXP(('2023'!Tnet-t)/('2023'!Tau_j))),Resal+(Salim-Resal)*(1-EXP((Tnet-t)/(Tau_j))))*Salcycl</f>
        <v>1.5494608867023106E-2</v>
      </c>
      <c r="P184" s="169">
        <f>(INDEX(Models!$BJ184:$BT184,,T184)*(1-R184)+INDEX(Models!$BJ184:$BT184,,T184+1)*R184-ERP_i)*Q184*Ramure*Pc/MaxiM</f>
        <v>0</v>
      </c>
      <c r="Q184" s="304">
        <f t="shared" si="53"/>
        <v>0.6</v>
      </c>
      <c r="R184" s="177">
        <f t="shared" si="54"/>
        <v>0.29463858169547508</v>
      </c>
      <c r="S184" s="799">
        <f t="shared" si="55"/>
        <v>1</v>
      </c>
      <c r="T184" s="176">
        <f t="shared" si="56"/>
        <v>7</v>
      </c>
      <c r="U184" s="250">
        <f t="shared" si="57"/>
        <v>1.2946385816954751</v>
      </c>
      <c r="V184" s="382">
        <f t="shared" si="58"/>
        <v>59.108082748868647</v>
      </c>
      <c r="W184" s="400">
        <f t="shared" si="59"/>
        <v>58.058150292748635</v>
      </c>
      <c r="X184" s="157">
        <f t="shared" si="60"/>
        <v>45461</v>
      </c>
      <c r="Y184" s="383">
        <f t="shared" si="61"/>
        <v>55.919768732703623</v>
      </c>
      <c r="Z184" s="383">
        <f t="shared" si="62"/>
        <v>58.065814490145989</v>
      </c>
      <c r="AA184" s="384">
        <f t="shared" si="63"/>
        <v>61.235074740567256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5.1755636191322951E-2</v>
      </c>
      <c r="AD184" s="230">
        <f>(INDEX(Models!$BJ184:$BT184,,AH184)*(1-AF184)+INDEX(Models!$BJ184:$BT184,,AH184+1)*AF184-ERP_i)*AE184*Ramure*Pc/MaxiM</f>
        <v>0</v>
      </c>
      <c r="AE184" s="304">
        <f t="shared" si="65"/>
        <v>0.6</v>
      </c>
      <c r="AF184" s="177">
        <f t="shared" si="66"/>
        <v>0.29463858169547508</v>
      </c>
      <c r="AG184" s="799">
        <f t="shared" si="74"/>
        <v>1</v>
      </c>
      <c r="AH184" s="176">
        <f t="shared" si="67"/>
        <v>7</v>
      </c>
      <c r="AI184" s="224">
        <f t="shared" si="68"/>
        <v>1.2946385816954751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45462</v>
      </c>
      <c r="B185" s="409">
        <f>IF(t&gt;Tmaj,'2023'!Wh/'2023'!Env_an*'2024'!Env_an,0.001*'[8]mon-tableau'!$B$254)</f>
        <v>30.687975204901786</v>
      </c>
      <c r="C185" s="829"/>
      <c r="D185" s="391">
        <f t="shared" si="50"/>
        <v>31.866305360312769</v>
      </c>
      <c r="E185" s="383">
        <f t="shared" si="75"/>
        <v>32.372040628003937</v>
      </c>
      <c r="F185" s="383">
        <f t="shared" si="51"/>
        <v>32.372040628003937</v>
      </c>
      <c r="G185" s="110">
        <f t="shared" si="76"/>
        <v>0.51975592732939868</v>
      </c>
      <c r="H185" s="412" t="b">
        <f>Wh_hp&gt;='2023'!Maxi_hp</f>
        <v>0</v>
      </c>
      <c r="I185" s="388">
        <f>IF(H185,Wh_hp,'2023'!Maxi_hp)</f>
        <v>58.11759070939933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3.6977306973230428E-2</v>
      </c>
      <c r="M185" s="832"/>
      <c r="N185" s="832"/>
      <c r="O185" s="48">
        <f>IF(t&lt;Tnet,'2023'!Resal+('2023'!Salim-'2023'!Resal)*(1-EXP(('2023'!Tnet-t)/('2023'!Tau_j))),Resal+(Salim-Resal)*(1-EXP((Tnet-t)/(Tau_j))))*Salcycl</f>
        <v>1.5622594618075407E-2</v>
      </c>
      <c r="P185" s="169">
        <f>(INDEX(Models!$BJ185:$BT185,,T185)*(1-R185)+INDEX(Models!$BJ185:$BT185,,T185+1)*R185-ERP_i)*Q185*Ramure*Pc/MaxiM</f>
        <v>0</v>
      </c>
      <c r="Q185" s="304">
        <f t="shared" si="53"/>
        <v>0.6</v>
      </c>
      <c r="R185" s="177">
        <f t="shared" si="54"/>
        <v>0.29959305977255735</v>
      </c>
      <c r="S185" s="799">
        <f t="shared" si="55"/>
        <v>1</v>
      </c>
      <c r="T185" s="176">
        <f t="shared" si="56"/>
        <v>7</v>
      </c>
      <c r="U185" s="250">
        <f t="shared" si="57"/>
        <v>1.2995930597725573</v>
      </c>
      <c r="V185" s="382">
        <f t="shared" si="58"/>
        <v>59.043049999606993</v>
      </c>
      <c r="W185" s="400">
        <f t="shared" si="59"/>
        <v>30.687975204901786</v>
      </c>
      <c r="X185" s="157">
        <f t="shared" si="60"/>
        <v>45462</v>
      </c>
      <c r="Y185" s="383">
        <f t="shared" si="61"/>
        <v>29.558331941955188</v>
      </c>
      <c r="Z185" s="383">
        <f t="shared" si="62"/>
        <v>30.693287038806616</v>
      </c>
      <c r="AA185" s="384">
        <f t="shared" si="63"/>
        <v>32.372040628003937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5.185813302560506E-2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0.29959305977255735</v>
      </c>
      <c r="AG185" s="799">
        <f t="shared" si="74"/>
        <v>1</v>
      </c>
      <c r="AH185" s="176">
        <f t="shared" si="67"/>
        <v>7</v>
      </c>
      <c r="AI185" s="224">
        <f t="shared" si="68"/>
        <v>1.2995930597725573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45463</v>
      </c>
      <c r="B186" s="409">
        <f>IF(t&gt;Tmaj,'2023'!Wh/'2023'!Env_an*'2024'!Env_an,0.001*'[8]mon-tableau'!$B$255)</f>
        <v>22.877796690967685</v>
      </c>
      <c r="C186" s="829"/>
      <c r="D186" s="391">
        <f t="shared" si="50"/>
        <v>23.756693702843986</v>
      </c>
      <c r="E186" s="383">
        <f t="shared" si="75"/>
        <v>24.136856138620903</v>
      </c>
      <c r="F186" s="383">
        <f t="shared" si="51"/>
        <v>24.136856138620903</v>
      </c>
      <c r="G186" s="110">
        <f t="shared" si="76"/>
        <v>0.38791609902370316</v>
      </c>
      <c r="H186" s="412" t="b">
        <f>Wh_hp&gt;='2023'!Maxi_hp</f>
        <v>0</v>
      </c>
      <c r="I186" s="388">
        <f>IF(H186,Wh_hp,'2023'!Maxi_hp)</f>
        <v>54.852267304881771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3.6995763083441435E-2</v>
      </c>
      <c r="M186" s="832"/>
      <c r="N186" s="832"/>
      <c r="O186" s="48">
        <f>IF(t&lt;Tnet,'2023'!Resal+('2023'!Salim-'2023'!Resal)*(1-EXP(('2023'!Tnet-t)/('2023'!Tau_j))),Resal+(Salim-Resal)*(1-EXP((Tnet-t)/(Tau_j))))*Salcycl</f>
        <v>1.5750288007418976E-2</v>
      </c>
      <c r="P186" s="169">
        <f>(INDEX(Models!$BJ186:$BT186,,T186)*(1-R186)+INDEX(Models!$BJ186:$BT186,,T186+1)*R186-ERP_i)*Q186*Ramure*Pc/MaxiM</f>
        <v>0</v>
      </c>
      <c r="Q186" s="304">
        <f t="shared" si="53"/>
        <v>0.6</v>
      </c>
      <c r="R186" s="177">
        <f t="shared" si="54"/>
        <v>0.30450645632218398</v>
      </c>
      <c r="S186" s="799">
        <f t="shared" si="55"/>
        <v>1</v>
      </c>
      <c r="T186" s="176">
        <f t="shared" si="56"/>
        <v>7</v>
      </c>
      <c r="U186" s="250">
        <f t="shared" si="57"/>
        <v>1.304506456322184</v>
      </c>
      <c r="V186" s="382">
        <f t="shared" si="58"/>
        <v>58.976146513501014</v>
      </c>
      <c r="W186" s="400">
        <f t="shared" si="59"/>
        <v>22.877796690967685</v>
      </c>
      <c r="X186" s="157">
        <f t="shared" si="60"/>
        <v>45463</v>
      </c>
      <c r="Y186" s="383">
        <f t="shared" si="61"/>
        <v>22.036147765557352</v>
      </c>
      <c r="Z186" s="383">
        <f t="shared" si="62"/>
        <v>22.882711125046399</v>
      </c>
      <c r="AA186" s="384">
        <f t="shared" si="63"/>
        <v>24.136856138620903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5.1959750117073995E-2</v>
      </c>
      <c r="AD186" s="230">
        <f>(INDEX(Models!$BJ186:$BT186,,AH186)*(1-AF186)+INDEX(Models!$BJ186:$BT186,,AH186+1)*AF186-ERP_i)*AE186*Ramure*Pc/MaxiM</f>
        <v>0</v>
      </c>
      <c r="AE186" s="304">
        <f t="shared" si="65"/>
        <v>0.6</v>
      </c>
      <c r="AF186" s="177">
        <f t="shared" si="66"/>
        <v>0.30450645632218398</v>
      </c>
      <c r="AG186" s="799">
        <f t="shared" si="74"/>
        <v>1</v>
      </c>
      <c r="AH186" s="176">
        <f t="shared" si="67"/>
        <v>7</v>
      </c>
      <c r="AI186" s="224">
        <f t="shared" si="68"/>
        <v>1.304506456322184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45464</v>
      </c>
      <c r="B187" s="409">
        <f>IF(t&gt;Tmaj,'2023'!Wh/'2023'!Env_an*'2024'!Env_an,0.001*'[8]mon-tableau'!$B$256)</f>
        <v>43.254532981680555</v>
      </c>
      <c r="C187" s="829"/>
      <c r="D187" s="391">
        <f t="shared" si="50"/>
        <v>44.917104517965221</v>
      </c>
      <c r="E187" s="383">
        <f t="shared" si="75"/>
        <v>45.641790308516825</v>
      </c>
      <c r="F187" s="383">
        <f t="shared" si="51"/>
        <v>45.641790308516825</v>
      </c>
      <c r="G187" s="110">
        <f t="shared" si="76"/>
        <v>0.73428045362943595</v>
      </c>
      <c r="H187" s="412" t="b">
        <f>Wh_hp&gt;='2023'!Maxi_hp</f>
        <v>0</v>
      </c>
      <c r="I187" s="388">
        <f>IF(H187,Wh_hp,'2023'!Maxi_hp)</f>
        <v>62.350039866865146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3.7014218839945379E-2</v>
      </c>
      <c r="M187" s="832"/>
      <c r="N187" s="832"/>
      <c r="O187" s="48">
        <f>IF(t&lt;Tnet,'2023'!Resal+('2023'!Salim-'2023'!Resal)*(1-EXP(('2023'!Tnet-t)/('2023'!Tau_j))),Resal+(Salim-Resal)*(1-EXP((Tnet-t)/(Tau_j))))*Salcycl</f>
        <v>1.5877681082470053E-2</v>
      </c>
      <c r="P187" s="169">
        <f>(INDEX(Models!$BJ187:$BT187,,T187)*(1-R187)+INDEX(Models!$BJ187:$BT187,,T187+1)*R187-ERP_i)*Q187*Ramure*Pc/MaxiM</f>
        <v>0</v>
      </c>
      <c r="Q187" s="304">
        <f t="shared" si="53"/>
        <v>0.6</v>
      </c>
      <c r="R187" s="177">
        <f t="shared" si="54"/>
        <v>0.3093751852622717</v>
      </c>
      <c r="S187" s="799">
        <f t="shared" si="55"/>
        <v>1</v>
      </c>
      <c r="T187" s="176">
        <f t="shared" si="56"/>
        <v>7</v>
      </c>
      <c r="U187" s="250">
        <f t="shared" si="57"/>
        <v>1.3093751852622717</v>
      </c>
      <c r="V187" s="382">
        <f t="shared" si="58"/>
        <v>58.907373562621771</v>
      </c>
      <c r="W187" s="400">
        <f t="shared" si="59"/>
        <v>43.254532981680555</v>
      </c>
      <c r="X187" s="157">
        <f t="shared" si="60"/>
        <v>45464</v>
      </c>
      <c r="Y187" s="383">
        <f t="shared" si="61"/>
        <v>41.664212432591114</v>
      </c>
      <c r="Z187" s="383">
        <f t="shared" si="62"/>
        <v>43.265656926315764</v>
      </c>
      <c r="AA187" s="384">
        <f t="shared" si="63"/>
        <v>45.641790308516825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5.206047716663894E-2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0.3093751852622717</v>
      </c>
      <c r="AG187" s="799">
        <f t="shared" si="74"/>
        <v>1</v>
      </c>
      <c r="AH187" s="176">
        <f t="shared" si="67"/>
        <v>7</v>
      </c>
      <c r="AI187" s="224">
        <f t="shared" si="68"/>
        <v>1.3093751852622717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45465</v>
      </c>
      <c r="B188" s="409">
        <f>IF(t&gt;Tmaj,'2023'!Wh/'2023'!Env_an*'2024'!Env_an,0.001*'[8]mon-tableau'!$B$257)</f>
        <v>43.92974519041951</v>
      </c>
      <c r="C188" s="829"/>
      <c r="D188" s="391">
        <f t="shared" si="50"/>
        <v>45.619144092842781</v>
      </c>
      <c r="E188" s="383">
        <f t="shared" si="75"/>
        <v>46.361143373016787</v>
      </c>
      <c r="F188" s="383">
        <f t="shared" si="51"/>
        <v>46.361143373016787</v>
      </c>
      <c r="G188" s="110">
        <f t="shared" si="76"/>
        <v>0.74663808507722496</v>
      </c>
      <c r="H188" s="412" t="b">
        <f>Wh_hp&gt;='2023'!Maxi_hp</f>
        <v>0</v>
      </c>
      <c r="I188" s="388">
        <f>IF(H188,Wh_hp,'2023'!Maxi_hp)</f>
        <v>54.242625495320887</v>
      </c>
      <c r="J188" s="85">
        <f>IF(H188,An,'2023'!An_max)</f>
        <v>2018</v>
      </c>
      <c r="K188" s="197">
        <f t="shared" si="52"/>
        <v>45465</v>
      </c>
      <c r="L188" s="147">
        <f>IF(t&lt;Tvie,1-EXP((T0-t)*PertePVj)+'2023'!Pspv,1-EXP((T0-t)*PertePVj)+Pspv)</f>
        <v>3.703267424274892E-2</v>
      </c>
      <c r="M188" s="832"/>
      <c r="N188" s="832"/>
      <c r="O188" s="48">
        <f>IF(t&lt;Tnet,'2023'!Resal+('2023'!Salim-'2023'!Resal)*(1-EXP(('2023'!Tnet-t)/('2023'!Tau_j))),Resal+(Salim-Resal)*(1-EXP((Tnet-t)/(Tau_j))))*Salcycl</f>
        <v>1.6004766625446566E-2</v>
      </c>
      <c r="P188" s="169">
        <f>(INDEX(Models!$BJ188:$BT188,,T188)*(1-R188)+INDEX(Models!$BJ188:$BT188,,T188+1)*R188-ERP_i)*Q188*Ramure*Pc/MaxiM</f>
        <v>0</v>
      </c>
      <c r="Q188" s="304">
        <f t="shared" si="53"/>
        <v>0.6</v>
      </c>
      <c r="R188" s="177">
        <f t="shared" si="54"/>
        <v>0.31419580009349368</v>
      </c>
      <c r="S188" s="799">
        <f t="shared" si="55"/>
        <v>1</v>
      </c>
      <c r="T188" s="176">
        <f t="shared" si="56"/>
        <v>7</v>
      </c>
      <c r="U188" s="250">
        <f t="shared" si="57"/>
        <v>1.3141958000934937</v>
      </c>
      <c r="V188" s="382">
        <f t="shared" si="58"/>
        <v>58.836732371984276</v>
      </c>
      <c r="W188" s="400">
        <f t="shared" si="59"/>
        <v>43.92974519041951</v>
      </c>
      <c r="X188" s="157">
        <f t="shared" si="60"/>
        <v>45465</v>
      </c>
      <c r="Y188" s="383">
        <f t="shared" si="61"/>
        <v>42.315607646779583</v>
      </c>
      <c r="Z188" s="383">
        <f t="shared" si="62"/>
        <v>43.942931930222812</v>
      </c>
      <c r="AA188" s="384">
        <f t="shared" si="63"/>
        <v>46.361143373016787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5.2160306387124752E-2</v>
      </c>
      <c r="AD188" s="230">
        <f>(INDEX(Models!$BJ188:$BT188,,AH188)*(1-AF188)+INDEX(Models!$BJ188:$BT188,,AH188+1)*AF188-ERP_i)*AE188*Ramure*Pc/MaxiM</f>
        <v>0</v>
      </c>
      <c r="AE188" s="304">
        <f t="shared" si="65"/>
        <v>0.6</v>
      </c>
      <c r="AF188" s="177">
        <f t="shared" si="66"/>
        <v>0.31419580009349368</v>
      </c>
      <c r="AG188" s="799">
        <f t="shared" si="74"/>
        <v>1</v>
      </c>
      <c r="AH188" s="176">
        <f t="shared" si="67"/>
        <v>7</v>
      </c>
      <c r="AI188" s="224">
        <f t="shared" si="68"/>
        <v>1.3141958000934937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45466</v>
      </c>
      <c r="B189" s="409">
        <f>IF(t&gt;Tmaj,'2023'!Wh/'2023'!Env_an*'2024'!Env_an,0.001*'[8]mon-tableau'!$B$258)</f>
        <v>40.368345504452392</v>
      </c>
      <c r="C189" s="829"/>
      <c r="D189" s="391">
        <f t="shared" si="50"/>
        <v>41.921587669307918</v>
      </c>
      <c r="E189" s="383">
        <f t="shared" si="75"/>
        <v>42.608935336270079</v>
      </c>
      <c r="F189" s="383">
        <f t="shared" si="51"/>
        <v>42.608935336270079</v>
      </c>
      <c r="G189" s="110">
        <f t="shared" si="76"/>
        <v>0.68695445422333934</v>
      </c>
      <c r="H189" s="412" t="b">
        <f>Wh_hp&gt;='2023'!Maxi_hp</f>
        <v>0</v>
      </c>
      <c r="I189" s="388">
        <f>IF(H189,Wh_hp,'2023'!Maxi_hp)</f>
        <v>61.322953896057307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3.7051129291858942E-2</v>
      </c>
      <c r="M189" s="832"/>
      <c r="N189" s="832"/>
      <c r="O189" s="48">
        <f>IF(t&lt;Tnet,'2023'!Resal+('2023'!Salim-'2023'!Resal)*(1-EXP(('2023'!Tnet-t)/('2023'!Tau_j))),Resal+(Salim-Resal)*(1-EXP((Tnet-t)/(Tau_j))))*Salcycl</f>
        <v>1.6131538174742235E-2</v>
      </c>
      <c r="P189" s="169">
        <f>(INDEX(Models!$BJ189:$BT189,,T189)*(1-R189)+INDEX(Models!$BJ189:$BT189,,T189+1)*R189-ERP_i)*Q189*Ramure*Pc/MaxiM</f>
        <v>0</v>
      </c>
      <c r="Q189" s="304">
        <f t="shared" si="53"/>
        <v>0.6</v>
      </c>
      <c r="R189" s="177">
        <f t="shared" si="54"/>
        <v>0.31896500247503612</v>
      </c>
      <c r="S189" s="799">
        <f t="shared" si="55"/>
        <v>1</v>
      </c>
      <c r="T189" s="176">
        <f t="shared" si="56"/>
        <v>7</v>
      </c>
      <c r="U189" s="250">
        <f t="shared" si="57"/>
        <v>1.3189650024750361</v>
      </c>
      <c r="V189" s="382">
        <f t="shared" si="58"/>
        <v>58.764224114526264</v>
      </c>
      <c r="W189" s="400">
        <f t="shared" si="59"/>
        <v>40.368345504452392</v>
      </c>
      <c r="X189" s="157">
        <f t="shared" si="60"/>
        <v>45466</v>
      </c>
      <c r="Y189" s="383">
        <f t="shared" si="61"/>
        <v>38.886018035654367</v>
      </c>
      <c r="Z189" s="383">
        <f t="shared" si="62"/>
        <v>40.382225078116612</v>
      </c>
      <c r="AA189" s="384">
        <f t="shared" si="63"/>
        <v>42.608935336270079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5.2259232496194845E-2</v>
      </c>
      <c r="AD189" s="230">
        <f>(INDEX(Models!$BJ189:$BT189,,AH189)*(1-AF189)+INDEX(Models!$BJ189:$BT189,,AH189+1)*AF189-ERP_i)*AE189*Ramure*Pc/MaxiM</f>
        <v>0</v>
      </c>
      <c r="AE189" s="304">
        <f t="shared" si="65"/>
        <v>0.6</v>
      </c>
      <c r="AF189" s="177">
        <f t="shared" si="66"/>
        <v>0.31896500247503612</v>
      </c>
      <c r="AG189" s="799">
        <f t="shared" si="74"/>
        <v>1</v>
      </c>
      <c r="AH189" s="176">
        <f t="shared" si="67"/>
        <v>7</v>
      </c>
      <c r="AI189" s="224">
        <f t="shared" si="68"/>
        <v>1.3189650024750361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45467</v>
      </c>
      <c r="B190" s="409">
        <f>IF(t&gt;Tmaj,'2023'!Wh/'2023'!Env_an*'2024'!Env_an,0.001*'[8]mon-tableau'!$B$259)</f>
        <v>38.197389614749426</v>
      </c>
      <c r="C190" s="829"/>
      <c r="D190" s="391">
        <f t="shared" si="50"/>
        <v>39.667860708893564</v>
      </c>
      <c r="E190" s="383">
        <f t="shared" si="75"/>
        <v>40.323438774937273</v>
      </c>
      <c r="F190" s="383">
        <f t="shared" si="51"/>
        <v>40.323438774937273</v>
      </c>
      <c r="G190" s="110">
        <f t="shared" si="76"/>
        <v>0.6508346787641327</v>
      </c>
      <c r="H190" s="412" t="b">
        <f>Wh_hp&gt;='2023'!Maxi_hp</f>
        <v>0</v>
      </c>
      <c r="I190" s="388">
        <f>IF(H190,Wh_hp,'2023'!Maxi_hp)</f>
        <v>60.963352971258608</v>
      </c>
      <c r="J190" s="85">
        <f>IF(H190,An,'2023'!An_max)</f>
        <v>2020</v>
      </c>
      <c r="K190" s="197">
        <f t="shared" si="52"/>
        <v>45467</v>
      </c>
      <c r="L190" s="147">
        <f>IF(t&lt;Tvie,1-EXP((T0-t)*PertePVj)+'2023'!Pspv,1-EXP((T0-t)*PertePVj)+Pspv)</f>
        <v>3.7069583987282106E-2</v>
      </c>
      <c r="M190" s="832"/>
      <c r="N190" s="832"/>
      <c r="O190" s="48">
        <f>IF(t&lt;Tnet,'2023'!Resal+('2023'!Salim-'2023'!Resal)*(1-EXP(('2023'!Tnet-t)/('2023'!Tau_j))),Resal+(Salim-Resal)*(1-EXP((Tnet-t)/(Tau_j))))*Salcycl</f>
        <v>1.6257990041543238E-2</v>
      </c>
      <c r="P190" s="169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0.32367964986601194</v>
      </c>
      <c r="S190" s="799">
        <f t="shared" si="55"/>
        <v>1</v>
      </c>
      <c r="T190" s="176">
        <f t="shared" si="56"/>
        <v>7</v>
      </c>
      <c r="U190" s="250">
        <f t="shared" si="57"/>
        <v>1.3236796498660119</v>
      </c>
      <c r="V190" s="382">
        <f t="shared" si="58"/>
        <v>58.689849912856971</v>
      </c>
      <c r="W190" s="400">
        <f t="shared" si="59"/>
        <v>38.197389614749426</v>
      </c>
      <c r="X190" s="157">
        <f t="shared" si="60"/>
        <v>45467</v>
      </c>
      <c r="Y190" s="383">
        <f t="shared" si="61"/>
        <v>36.795703414072278</v>
      </c>
      <c r="Z190" s="383">
        <f t="shared" si="62"/>
        <v>38.212214301460286</v>
      </c>
      <c r="AA190" s="384">
        <f t="shared" si="63"/>
        <v>40.323438774937273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5.2357252695154649E-2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0.32367964986601194</v>
      </c>
      <c r="AG190" s="799">
        <f t="shared" si="74"/>
        <v>1</v>
      </c>
      <c r="AH190" s="176">
        <f t="shared" si="67"/>
        <v>7</v>
      </c>
      <c r="AI190" s="224">
        <f t="shared" si="68"/>
        <v>1.3236796498660119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45468</v>
      </c>
      <c r="B191" s="409">
        <f>IF(t&gt;Tmaj,'2023'!Wh/'2023'!Env_an*'2024'!Env_an,0.001*'[8]mon-tableau'!$B$260)</f>
        <v>12.377137008859652</v>
      </c>
      <c r="C191" s="829"/>
      <c r="D191" s="391">
        <f t="shared" si="50"/>
        <v>12.853861517496547</v>
      </c>
      <c r="E191" s="383">
        <f t="shared" si="75"/>
        <v>13.067968648996212</v>
      </c>
      <c r="F191" s="383">
        <f t="shared" si="51"/>
        <v>13.067968648996212</v>
      </c>
      <c r="G191" s="110">
        <f t="shared" si="76"/>
        <v>0.21116648786525155</v>
      </c>
      <c r="H191" s="412" t="b">
        <f>Wh_hp&gt;='2023'!Maxi_hp</f>
        <v>0</v>
      </c>
      <c r="I191" s="388">
        <f>IF(H191,Wh_hp,'2023'!Maxi_hp)</f>
        <v>60.568355603676984</v>
      </c>
      <c r="J191" s="85">
        <f>IF(H191,An,'2023'!An_max)</f>
        <v>2018</v>
      </c>
      <c r="K191" s="197">
        <f t="shared" si="52"/>
        <v>45468</v>
      </c>
      <c r="L191" s="147">
        <f>IF(t&lt;Tvie,1-EXP((T0-t)*PertePVj)+'2023'!Pspv,1-EXP((T0-t)*PertePVj)+Pspv)</f>
        <v>3.7088038329025297E-2</v>
      </c>
      <c r="M191" s="832"/>
      <c r="N191" s="832"/>
      <c r="O191" s="48">
        <f>IF(t&lt;Tnet,'2023'!Resal+('2023'!Salim-'2023'!Resal)*(1-EXP(('2023'!Tnet-t)/('2023'!Tau_j))),Resal+(Salim-Resal)*(1-EXP((Tnet-t)/(Tau_j))))*Salcycl</f>
        <v>1.6384117321563328E-2</v>
      </c>
      <c r="P191" s="169">
        <f>(INDEX(Models!$BJ191:$BT191,,T191)*(1-R191)+INDEX(Models!$BJ191:$BT191,,T191+1)*R191-ERP_i)*Q191*Ramure*Pc/MaxiM</f>
        <v>0</v>
      </c>
      <c r="Q191" s="304">
        <f t="shared" si="53"/>
        <v>0.6</v>
      </c>
      <c r="R191" s="177">
        <f t="shared" si="54"/>
        <v>0.32833676220684405</v>
      </c>
      <c r="S191" s="799">
        <f t="shared" si="55"/>
        <v>1</v>
      </c>
      <c r="T191" s="176">
        <f t="shared" si="56"/>
        <v>7</v>
      </c>
      <c r="U191" s="250">
        <f t="shared" si="57"/>
        <v>1.328336762206844</v>
      </c>
      <c r="V191" s="382">
        <f t="shared" si="58"/>
        <v>58.61316885072069</v>
      </c>
      <c r="W191" s="400">
        <f t="shared" si="59"/>
        <v>12.377137008859652</v>
      </c>
      <c r="X191" s="157">
        <f t="shared" si="60"/>
        <v>45468</v>
      </c>
      <c r="Y191" s="383">
        <f t="shared" si="61"/>
        <v>11.92325412068832</v>
      </c>
      <c r="Z191" s="383">
        <f t="shared" si="62"/>
        <v>12.382496630322757</v>
      </c>
      <c r="AA191" s="384">
        <f t="shared" si="63"/>
        <v>13.067968648996212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5.2454366633800251E-2</v>
      </c>
      <c r="AD191" s="230">
        <f>(INDEX(Models!$BJ191:$BT191,,AH191)*(1-AF191)+INDEX(Models!$BJ191:$BT191,,AH191+1)*AF191-ERP_i)*AE191*Ramure*Pc/MaxiM</f>
        <v>0</v>
      </c>
      <c r="AE191" s="304">
        <f t="shared" si="65"/>
        <v>0.6</v>
      </c>
      <c r="AF191" s="177">
        <f t="shared" si="66"/>
        <v>0.32833676220684405</v>
      </c>
      <c r="AG191" s="799">
        <f t="shared" si="74"/>
        <v>1</v>
      </c>
      <c r="AH191" s="176">
        <f t="shared" si="67"/>
        <v>7</v>
      </c>
      <c r="AI191" s="224">
        <f t="shared" si="68"/>
        <v>1.328336762206844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45469</v>
      </c>
      <c r="B192" s="409">
        <f>IF(t&gt;Tmaj,'2023'!Wh/'2023'!Env_an*'2024'!Env_an,0.001*'[8]mon-tableau'!$B$261)</f>
        <v>15.241348820337938</v>
      </c>
      <c r="C192" s="829"/>
      <c r="D192" s="391">
        <f t="shared" si="50"/>
        <v>15.828696214822898</v>
      </c>
      <c r="E192" s="383">
        <f t="shared" si="75"/>
        <v>16.09441363034896</v>
      </c>
      <c r="F192" s="383">
        <f t="shared" si="51"/>
        <v>16.09441363034896</v>
      </c>
      <c r="G192" s="110">
        <f t="shared" si="76"/>
        <v>0.26038509339637556</v>
      </c>
      <c r="H192" s="412" t="b">
        <f>Wh_hp&gt;='2023'!Maxi_hp</f>
        <v>0</v>
      </c>
      <c r="I192" s="388">
        <f>IF(H192,Wh_hp,'2023'!Maxi_hp)</f>
        <v>60.063496146867578</v>
      </c>
      <c r="J192" s="85">
        <f>IF(H192,An,'2023'!An_max)</f>
        <v>2018</v>
      </c>
      <c r="K192" s="197">
        <f t="shared" si="52"/>
        <v>45469</v>
      </c>
      <c r="L192" s="147">
        <f>IF(t&lt;Tvie,1-EXP((T0-t)*PertePVj)+'2023'!Pspv,1-EXP((T0-t)*PertePVj)+Pspv)</f>
        <v>3.7106492317095174E-2</v>
      </c>
      <c r="M192" s="832"/>
      <c r="N192" s="832"/>
      <c r="O192" s="48">
        <f>IF(t&lt;Tnet,'2023'!Resal+('2023'!Salim-'2023'!Resal)*(1-EXP(('2023'!Tnet-t)/('2023'!Tau_j))),Resal+(Salim-Resal)*(1-EXP((Tnet-t)/(Tau_j))))*Salcycl</f>
        <v>1.6509915901813416E-2</v>
      </c>
      <c r="P192" s="169">
        <f>(INDEX(Models!$BJ192:$BT192,,T192)*(1-R192)+INDEX(Models!$BJ192:$BT192,,T192+1)*R192-ERP_i)*Q192*Ramure*Pc/MaxiM</f>
        <v>0</v>
      </c>
      <c r="Q192" s="304">
        <f t="shared" si="53"/>
        <v>0.6</v>
      </c>
      <c r="R192" s="177">
        <f t="shared" si="54"/>
        <v>0.3329335276245613</v>
      </c>
      <c r="S192" s="799">
        <f t="shared" si="55"/>
        <v>1</v>
      </c>
      <c r="T192" s="176">
        <f t="shared" si="56"/>
        <v>7</v>
      </c>
      <c r="U192" s="250">
        <f t="shared" si="57"/>
        <v>1.3329335276245613</v>
      </c>
      <c r="V192" s="382">
        <f t="shared" si="58"/>
        <v>58.533876196731974</v>
      </c>
      <c r="W192" s="400">
        <f t="shared" si="59"/>
        <v>15.241348820337938</v>
      </c>
      <c r="X192" s="157">
        <f t="shared" si="60"/>
        <v>45469</v>
      </c>
      <c r="Y192" s="383">
        <f t="shared" si="61"/>
        <v>14.68281926659418</v>
      </c>
      <c r="Z192" s="383">
        <f t="shared" si="62"/>
        <v>15.248642917872338</v>
      </c>
      <c r="AA192" s="384">
        <f t="shared" si="63"/>
        <v>16.09441363034896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5.2550576361587061E-2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0.3329335276245613</v>
      </c>
      <c r="AG192" s="799">
        <f t="shared" si="74"/>
        <v>1</v>
      </c>
      <c r="AH192" s="176">
        <f t="shared" si="67"/>
        <v>7</v>
      </c>
      <c r="AI192" s="224">
        <f t="shared" si="68"/>
        <v>1.3329335276245613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45470</v>
      </c>
      <c r="B193" s="409">
        <f>IF(t&gt;Tmaj,'2023'!Wh/'2023'!Env_an*'2024'!Env_an,0.001*'[8]mon-tableau'!$B$262)</f>
        <v>58.490907395575931</v>
      </c>
      <c r="C193" s="829"/>
      <c r="D193" s="391">
        <f t="shared" si="50"/>
        <v>60.746103193394873</v>
      </c>
      <c r="E193" s="383">
        <f t="shared" si="75"/>
        <v>61.773732865744343</v>
      </c>
      <c r="F193" s="383">
        <f t="shared" si="51"/>
        <v>61.773732865744343</v>
      </c>
      <c r="G193" s="110">
        <f t="shared" si="76"/>
        <v>1.0006625966645875</v>
      </c>
      <c r="H193" s="412" t="b">
        <f>Wh_hp&gt;='2023'!Maxi_hp</f>
        <v>1</v>
      </c>
      <c r="I193" s="388">
        <f>IF(H193,Wh_hp,'2023'!Maxi_hp)</f>
        <v>61.773732865744343</v>
      </c>
      <c r="J193" s="85">
        <f>IF(H193,An,'2023'!An_max)</f>
        <v>2024</v>
      </c>
      <c r="K193" s="197">
        <f t="shared" si="52"/>
        <v>45470</v>
      </c>
      <c r="L193" s="147">
        <f>IF(t&lt;Tvie,1-EXP((T0-t)*PertePVj)+'2023'!Pspv,1-EXP((T0-t)*PertePVj)+Pspv)</f>
        <v>3.7124945951498622E-2</v>
      </c>
      <c r="M193" s="832"/>
      <c r="N193" s="832"/>
      <c r="O193" s="48">
        <f>IF(t&lt;Tnet,'2023'!Resal+('2023'!Salim-'2023'!Resal)*(1-EXP(('2023'!Tnet-t)/('2023'!Tau_j))),Resal+(Salim-Resal)*(1-EXP((Tnet-t)/(Tau_j))))*Salcycl</f>
        <v>1.663538246236251E-2</v>
      </c>
      <c r="P193" s="169">
        <f>(INDEX(Models!$BJ193:$BT193,,T193)*(1-R193)+INDEX(Models!$BJ193:$BT193,,T193+1)*R193-ERP_i)*Q193*Ramure*Pc/MaxiM</f>
        <v>0</v>
      </c>
      <c r="Q193" s="304">
        <f t="shared" si="53"/>
        <v>0.6</v>
      </c>
      <c r="R193" s="177">
        <f t="shared" si="54"/>
        <v>0.33746730715539086</v>
      </c>
      <c r="S193" s="799">
        <f t="shared" si="55"/>
        <v>1</v>
      </c>
      <c r="T193" s="176">
        <f t="shared" si="56"/>
        <v>7</v>
      </c>
      <c r="U193" s="250">
        <f t="shared" si="57"/>
        <v>1.3374673071553909</v>
      </c>
      <c r="V193" s="382">
        <f t="shared" si="58"/>
        <v>58.452177177939951</v>
      </c>
      <c r="W193" s="400">
        <f t="shared" si="59"/>
        <v>58.490907395575931</v>
      </c>
      <c r="X193" s="157">
        <f t="shared" si="60"/>
        <v>45470</v>
      </c>
      <c r="Y193" s="383">
        <f t="shared" si="61"/>
        <v>56.348988715919084</v>
      </c>
      <c r="Z193" s="383">
        <f t="shared" si="62"/>
        <v>58.521599951098857</v>
      </c>
      <c r="AA193" s="384">
        <f t="shared" si="63"/>
        <v>61.773732865744343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5.2645886265502186E-2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0.33746730715539086</v>
      </c>
      <c r="AG193" s="799">
        <f t="shared" si="74"/>
        <v>1</v>
      </c>
      <c r="AH193" s="176">
        <f t="shared" si="67"/>
        <v>7</v>
      </c>
      <c r="AI193" s="224">
        <f t="shared" si="68"/>
        <v>1.3374673071553909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45471</v>
      </c>
      <c r="B194" s="409">
        <f>IF(t&gt;Tmaj,'2023'!Wh/'2023'!Env_an*'2024'!Env_an,0.001*'[8]mon-tableau'!$B$263)</f>
        <v>58.020373902649325</v>
      </c>
      <c r="C194" s="829"/>
      <c r="D194" s="391">
        <f t="shared" si="50"/>
        <v>60.258582489215257</v>
      </c>
      <c r="E194" s="383">
        <f t="shared" si="75"/>
        <v>61.28576341390837</v>
      </c>
      <c r="F194" s="383">
        <f t="shared" si="51"/>
        <v>61.28576341390837</v>
      </c>
      <c r="G194" s="110">
        <f t="shared" si="76"/>
        <v>0.99403951999911411</v>
      </c>
      <c r="H194" s="412" t="b">
        <f>Wh_hp&gt;='2023'!Maxi_hp</f>
        <v>1</v>
      </c>
      <c r="I194" s="388">
        <f>IF(H194,Wh_hp,'2023'!Maxi_hp)</f>
        <v>61.28576341390837</v>
      </c>
      <c r="J194" s="85">
        <f>IF(H194,An,'2023'!An_max)</f>
        <v>2024</v>
      </c>
      <c r="K194" s="197">
        <f t="shared" si="52"/>
        <v>45471</v>
      </c>
      <c r="L194" s="147">
        <f>IF(t&lt;Tvie,1-EXP((T0-t)*PertePVj)+'2023'!Pspv,1-EXP((T0-t)*PertePVj)+Pspv)</f>
        <v>3.7143399232242413E-2</v>
      </c>
      <c r="M194" s="832"/>
      <c r="N194" s="832"/>
      <c r="O194" s="48">
        <f>IF(t&lt;Tnet,'2023'!Resal+('2023'!Salim-'2023'!Resal)*(1-EXP(('2023'!Tnet-t)/('2023'!Tau_j))),Resal+(Salim-Resal)*(1-EXP((Tnet-t)/(Tau_j))))*Salcycl</f>
        <v>1.6760514473088902E-2</v>
      </c>
      <c r="P194" s="169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0.34193563848716302</v>
      </c>
      <c r="S194" s="799">
        <f t="shared" si="55"/>
        <v>1</v>
      </c>
      <c r="T194" s="176">
        <f t="shared" si="56"/>
        <v>7</v>
      </c>
      <c r="U194" s="250">
        <f t="shared" si="57"/>
        <v>1.341935638487163</v>
      </c>
      <c r="V194" s="382">
        <f t="shared" si="58"/>
        <v>58.368276849496922</v>
      </c>
      <c r="W194" s="400">
        <f t="shared" si="59"/>
        <v>58.020373902649325</v>
      </c>
      <c r="X194" s="157">
        <f t="shared" si="60"/>
        <v>45471</v>
      </c>
      <c r="Y194" s="383">
        <f t="shared" si="61"/>
        <v>55.897228103771724</v>
      </c>
      <c r="Z194" s="383">
        <f t="shared" si="62"/>
        <v>58.053533682171036</v>
      </c>
      <c r="AA194" s="384">
        <f t="shared" si="63"/>
        <v>61.28576341390837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5.2740302995129204E-2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0.34193563848716302</v>
      </c>
      <c r="AG194" s="799">
        <f t="shared" si="74"/>
        <v>1</v>
      </c>
      <c r="AH194" s="176">
        <f t="shared" si="67"/>
        <v>7</v>
      </c>
      <c r="AI194" s="224">
        <f t="shared" si="68"/>
        <v>1.341935638487163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45472</v>
      </c>
      <c r="B195" s="409">
        <f>IF(t&gt;Tmaj,'2023'!Wh/'2023'!Env_an*'2024'!Env_an,0.001*'[8]mon-tableau'!$B$264)</f>
        <v>14.274597587886452</v>
      </c>
      <c r="C195" s="829"/>
      <c r="D195" s="391">
        <f t="shared" si="50"/>
        <v>14.825542195123592</v>
      </c>
      <c r="E195" s="383">
        <f t="shared" si="75"/>
        <v>15.080175638429733</v>
      </c>
      <c r="F195" s="383">
        <f t="shared" si="51"/>
        <v>15.080175638429733</v>
      </c>
      <c r="G195" s="110">
        <f t="shared" si="76"/>
        <v>0.24492132210197964</v>
      </c>
      <c r="H195" s="412" t="b">
        <f>Wh_hp&gt;='2023'!Maxi_hp</f>
        <v>0</v>
      </c>
      <c r="I195" s="388">
        <f>IF(H195,Wh_hp,'2023'!Maxi_hp)</f>
        <v>48.567329624942467</v>
      </c>
      <c r="J195" s="85">
        <f>IF(H195,An,'2023'!An_max)</f>
        <v>2018</v>
      </c>
      <c r="K195" s="197">
        <f t="shared" si="52"/>
        <v>45472</v>
      </c>
      <c r="L195" s="147">
        <f>IF(t&lt;Tvie,1-EXP((T0-t)*PertePVj)+'2023'!Pspv,1-EXP((T0-t)*PertePVj)+Pspv)</f>
        <v>3.7161852159333209E-2</v>
      </c>
      <c r="M195" s="832"/>
      <c r="N195" s="832"/>
      <c r="O195" s="48">
        <f>IF(t&lt;Tnet,'2023'!Resal+('2023'!Salim-'2023'!Resal)*(1-EXP(('2023'!Tnet-t)/('2023'!Tau_j))),Resal+(Salim-Resal)*(1-EXP((Tnet-t)/(Tau_j))))*Salcycl</f>
        <v>1.6885310185462458E-2</v>
      </c>
      <c r="P195" s="169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0.34633623873271868</v>
      </c>
      <c r="S195" s="799">
        <f t="shared" si="55"/>
        <v>1</v>
      </c>
      <c r="T195" s="176">
        <f t="shared" si="56"/>
        <v>7</v>
      </c>
      <c r="U195" s="250">
        <f t="shared" si="57"/>
        <v>1.3463362387327187</v>
      </c>
      <c r="V195" s="382">
        <f t="shared" si="58"/>
        <v>58.282380094056634</v>
      </c>
      <c r="W195" s="400">
        <f t="shared" si="59"/>
        <v>14.274597587886452</v>
      </c>
      <c r="X195" s="157">
        <f t="shared" si="60"/>
        <v>45472</v>
      </c>
      <c r="Y195" s="383">
        <f t="shared" si="61"/>
        <v>13.752633328495182</v>
      </c>
      <c r="Z195" s="383">
        <f t="shared" si="62"/>
        <v>14.283432121315375</v>
      </c>
      <c r="AA195" s="384">
        <f t="shared" si="63"/>
        <v>15.080175638429733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5.2833835375495686E-2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0.34633623873271868</v>
      </c>
      <c r="AG195" s="799">
        <f t="shared" si="74"/>
        <v>1</v>
      </c>
      <c r="AH195" s="176">
        <f t="shared" si="67"/>
        <v>7</v>
      </c>
      <c r="AI195" s="224">
        <f t="shared" si="68"/>
        <v>1.3463362387327187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45473</v>
      </c>
      <c r="B196" s="409">
        <f>IF(t&gt;Tmaj,'2023'!Wh/'2023'!Env_an*'2024'!Env_an,0.001*[9]mois!$B$242)</f>
        <v>48.490614231621173</v>
      </c>
      <c r="C196" s="829"/>
      <c r="D196" s="391">
        <f t="shared" si="50"/>
        <v>50.363130781369229</v>
      </c>
      <c r="E196" s="383">
        <f t="shared" si="75"/>
        <v>51.234619809636143</v>
      </c>
      <c r="F196" s="383">
        <f t="shared" si="51"/>
        <v>51.234619809636143</v>
      </c>
      <c r="G196" s="110">
        <f t="shared" si="76"/>
        <v>0.83324806571576504</v>
      </c>
      <c r="H196" s="412" t="b">
        <f>Wh_hp&gt;='2023'!Maxi_hp</f>
        <v>0</v>
      </c>
      <c r="I196" s="388">
        <f>IF(H196,Wh_hp,'2023'!Maxi_hp)</f>
        <v>60.829668831248355</v>
      </c>
      <c r="J196" s="85">
        <f>IF(H196,An,'2023'!An_max)</f>
        <v>2020</v>
      </c>
      <c r="K196" s="197">
        <f t="shared" si="52"/>
        <v>45473</v>
      </c>
      <c r="L196" s="147">
        <f>IF(t&lt;Tvie,1-EXP((T0-t)*PertePVj)+'2023'!Pspv,1-EXP((T0-t)*PertePVj)+Pspv)</f>
        <v>3.7180304732777891E-2</v>
      </c>
      <c r="M196" s="832"/>
      <c r="N196" s="832"/>
      <c r="O196" s="48">
        <f>IF(t&lt;Tnet,'2023'!Resal+('2023'!Salim-'2023'!Resal)*(1-EXP(('2023'!Tnet-t)/('2023'!Tau_j))),Resal+(Salim-Resal)*(1-EXP((Tnet-t)/(Tau_j))))*Salcycl</f>
        <v>1.7009768619440441E-2</v>
      </c>
      <c r="P196" s="169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0.35066700625366165</v>
      </c>
      <c r="S196" s="799">
        <f t="shared" si="55"/>
        <v>1</v>
      </c>
      <c r="T196" s="176">
        <f t="shared" si="56"/>
        <v>7</v>
      </c>
      <c r="U196" s="250">
        <f t="shared" si="57"/>
        <v>1.3506670062536617</v>
      </c>
      <c r="V196" s="382">
        <f t="shared" si="58"/>
        <v>58.194691625197414</v>
      </c>
      <c r="W196" s="400">
        <f t="shared" si="59"/>
        <v>48.490614231621173</v>
      </c>
      <c r="X196" s="157">
        <f t="shared" si="60"/>
        <v>45473</v>
      </c>
      <c r="Y196" s="383">
        <f t="shared" si="61"/>
        <v>46.718852891328112</v>
      </c>
      <c r="Z196" s="383">
        <f t="shared" si="62"/>
        <v>48.522950995888912</v>
      </c>
      <c r="AA196" s="384">
        <f t="shared" si="63"/>
        <v>51.234619809636143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5.2926494308390012E-2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0.35066700625366165</v>
      </c>
      <c r="AG196" s="799">
        <f t="shared" si="74"/>
        <v>1</v>
      </c>
      <c r="AH196" s="176">
        <f t="shared" si="67"/>
        <v>7</v>
      </c>
      <c r="AI196" s="224">
        <f t="shared" si="68"/>
        <v>1.3506670062536617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45474</v>
      </c>
      <c r="B197" s="409">
        <f>IF(t&gt;Tmaj,'2023'!Wh/'2023'!Env_an*'2024'!Env_an,0.001*[9]mois!$B$243)</f>
        <v>35.463379878887793</v>
      </c>
      <c r="C197" s="829"/>
      <c r="D197" s="391">
        <f t="shared" si="50"/>
        <v>36.833541849863671</v>
      </c>
      <c r="E197" s="383">
        <f t="shared" si="75"/>
        <v>37.47564541912508</v>
      </c>
      <c r="F197" s="383">
        <f t="shared" si="51"/>
        <v>37.47564541912508</v>
      </c>
      <c r="G197" s="110">
        <f t="shared" si="76"/>
        <v>0.61032830202047483</v>
      </c>
      <c r="H197" s="412" t="b">
        <f>Wh_hp&gt;='2023'!Maxi_hp</f>
        <v>0</v>
      </c>
      <c r="I197" s="388">
        <f>IF(H197,Wh_hp,'2023'!Maxi_hp)</f>
        <v>55.982473400012779</v>
      </c>
      <c r="J197" s="85">
        <f>IF(H197,An,'2023'!An_max)</f>
        <v>2021</v>
      </c>
      <c r="K197" s="197">
        <f t="shared" si="52"/>
        <v>45474</v>
      </c>
      <c r="L197" s="147">
        <f>IF(t&lt;Tvie,1-EXP((T0-t)*PertePVj)+'2023'!Pspv,1-EXP((T0-t)*PertePVj)+Pspv)</f>
        <v>3.7198756952583234E-2</v>
      </c>
      <c r="M197" s="832"/>
      <c r="N197" s="832"/>
      <c r="O197" s="48">
        <f>IF(t&lt;Tnet,'2023'!Resal+('2023'!Salim-'2023'!Resal)*(1-EXP(('2023'!Tnet-t)/('2023'!Tau_j))),Resal+(Salim-Resal)*(1-EXP((Tnet-t)/(Tau_j))))*Salcycl</f>
        <v>1.7133889545601317E-2</v>
      </c>
      <c r="P197" s="169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0.35492602156132236</v>
      </c>
      <c r="S197" s="799">
        <f t="shared" si="55"/>
        <v>1</v>
      </c>
      <c r="T197" s="176">
        <f t="shared" si="56"/>
        <v>7</v>
      </c>
      <c r="U197" s="250">
        <f t="shared" si="57"/>
        <v>1.3549260215613224</v>
      </c>
      <c r="V197" s="382">
        <f t="shared" si="58"/>
        <v>58.105415989209838</v>
      </c>
      <c r="W197" s="400">
        <f t="shared" si="59"/>
        <v>35.463379878887793</v>
      </c>
      <c r="X197" s="157">
        <f t="shared" si="60"/>
        <v>45474</v>
      </c>
      <c r="Y197" s="383">
        <f t="shared" si="61"/>
        <v>34.168613271370468</v>
      </c>
      <c r="Z197" s="383">
        <f t="shared" si="62"/>
        <v>35.488750682561914</v>
      </c>
      <c r="AA197" s="384">
        <f t="shared" si="63"/>
        <v>37.47564541912508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5.3018292662924536E-2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0.35492602156132236</v>
      </c>
      <c r="AG197" s="799">
        <f t="shared" si="74"/>
        <v>1</v>
      </c>
      <c r="AH197" s="176">
        <f t="shared" si="67"/>
        <v>7</v>
      </c>
      <c r="AI197" s="224">
        <f t="shared" si="68"/>
        <v>1.3549260215613224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45475</v>
      </c>
      <c r="B198" s="409">
        <f>IF(t&gt;Tmaj,'2023'!Wh/'2023'!Env_an*'2024'!Env_an,0.001*[9]mois!$B$244)</f>
        <v>50.392895044743156</v>
      </c>
      <c r="C198" s="829"/>
      <c r="D198" s="391">
        <f t="shared" si="50"/>
        <v>52.34087637037613</v>
      </c>
      <c r="E198" s="383">
        <f t="shared" si="75"/>
        <v>53.260020411249144</v>
      </c>
      <c r="F198" s="383">
        <f t="shared" si="51"/>
        <v>53.260020411249144</v>
      </c>
      <c r="G198" s="110">
        <f t="shared" si="76"/>
        <v>0.86862200511697962</v>
      </c>
      <c r="H198" s="412" t="b">
        <f>Wh_hp&gt;='2023'!Maxi_hp</f>
        <v>0</v>
      </c>
      <c r="I198" s="388">
        <f>IF(H198,Wh_hp,'2023'!Maxi_hp)</f>
        <v>53.260020411249151</v>
      </c>
      <c r="J198" s="85">
        <f>IF(H198,An,'2023'!An_max)</f>
        <v>2023</v>
      </c>
      <c r="K198" s="197">
        <f t="shared" si="52"/>
        <v>45475</v>
      </c>
      <c r="L198" s="147">
        <f>IF(t&lt;Tvie,1-EXP((T0-t)*PertePVj)+'2023'!Pspv,1-EXP((T0-t)*PertePVj)+Pspv)</f>
        <v>3.7217208818755898E-2</v>
      </c>
      <c r="M198" s="832"/>
      <c r="N198" s="832"/>
      <c r="O198" s="48">
        <f>IF(t&lt;Tnet,'2023'!Resal+('2023'!Salim-'2023'!Resal)*(1-EXP(('2023'!Tnet-t)/('2023'!Tau_j))),Resal+(Salim-Resal)*(1-EXP((Tnet-t)/(Tau_j))))*Salcycl</f>
        <v>1.7257673462680187E-2</v>
      </c>
      <c r="P198" s="169">
        <f>(INDEX(Models!$BJ198:$BT198,,T198)*(1-R198)+INDEX(Models!$BJ198:$BT198,,T198+1)*R198-ERP_i)*Q198*Ramure*Pc/MaxiM</f>
        <v>0</v>
      </c>
      <c r="Q198" s="304">
        <f t="shared" si="53"/>
        <v>0.6</v>
      </c>
      <c r="R198" s="177">
        <f t="shared" si="54"/>
        <v>0.35911154732861883</v>
      </c>
      <c r="S198" s="799">
        <f t="shared" si="55"/>
        <v>1</v>
      </c>
      <c r="T198" s="176">
        <f t="shared" si="56"/>
        <v>7</v>
      </c>
      <c r="U198" s="250">
        <f t="shared" si="57"/>
        <v>1.3591115473286188</v>
      </c>
      <c r="V198" s="382">
        <f t="shared" si="58"/>
        <v>58.014757567598814</v>
      </c>
      <c r="W198" s="400">
        <f t="shared" si="59"/>
        <v>50.392895044743156</v>
      </c>
      <c r="X198" s="157">
        <f t="shared" si="60"/>
        <v>45475</v>
      </c>
      <c r="Y198" s="383">
        <f t="shared" si="61"/>
        <v>48.554504206417654</v>
      </c>
      <c r="Z198" s="383">
        <f t="shared" si="62"/>
        <v>50.431420930203622</v>
      </c>
      <c r="AA198" s="384">
        <f t="shared" si="63"/>
        <v>53.260020411249144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5.3109245156205229E-2</v>
      </c>
      <c r="AD198" s="230">
        <f>(INDEX(Models!$BJ198:$BT198,,AH198)*(1-AF198)+INDEX(Models!$BJ198:$BT198,,AH198+1)*AF198-ERP_i)*AE198*Ramure*Pc/MaxiM</f>
        <v>0</v>
      </c>
      <c r="AE198" s="304">
        <f t="shared" si="65"/>
        <v>0.6</v>
      </c>
      <c r="AF198" s="177">
        <f t="shared" si="66"/>
        <v>0.35911154732861883</v>
      </c>
      <c r="AG198" s="799">
        <f t="shared" si="74"/>
        <v>1</v>
      </c>
      <c r="AH198" s="176">
        <f t="shared" si="67"/>
        <v>7</v>
      </c>
      <c r="AI198" s="224">
        <f t="shared" si="68"/>
        <v>1.3591115473286188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45476</v>
      </c>
      <c r="B199" s="409">
        <f>IF(t&gt;Tmaj,'2023'!Wh/'2023'!Env_an*'2024'!Env_an,0.001*[9]mois!$B$245)</f>
        <v>45.632819838908759</v>
      </c>
      <c r="C199" s="829"/>
      <c r="D199" s="391">
        <f t="shared" si="50"/>
        <v>47.397704670503018</v>
      </c>
      <c r="E199" s="383">
        <f t="shared" si="75"/>
        <v>48.236102227414889</v>
      </c>
      <c r="F199" s="383">
        <f t="shared" si="51"/>
        <v>48.236102227414889</v>
      </c>
      <c r="G199" s="110">
        <f t="shared" si="76"/>
        <v>0.78781973324448806</v>
      </c>
      <c r="H199" s="412" t="b">
        <f>Wh_hp&gt;='2023'!Maxi_hp</f>
        <v>0</v>
      </c>
      <c r="I199" s="388">
        <f>IF(H199,Wh_hp,'2023'!Maxi_hp)</f>
        <v>58.038793817867159</v>
      </c>
      <c r="J199" s="85">
        <f>IF(H199,An,'2023'!An_max)</f>
        <v>2018</v>
      </c>
      <c r="K199" s="197">
        <f t="shared" si="52"/>
        <v>45476</v>
      </c>
      <c r="L199" s="147">
        <f>IF(t&lt;Tvie,1-EXP((T0-t)*PertePVj)+'2023'!Pspv,1-EXP((T0-t)*PertePVj)+Pspv)</f>
        <v>3.7235660331302878E-2</v>
      </c>
      <c r="M199" s="832"/>
      <c r="N199" s="832"/>
      <c r="O199" s="48">
        <f>IF(t&lt;Tnet,'2023'!Resal+('2023'!Salim-'2023'!Resal)*(1-EXP(('2023'!Tnet-t)/('2023'!Tau_j))),Resal+(Salim-Resal)*(1-EXP((Tnet-t)/(Tau_j))))*Salcycl</f>
        <v>1.7381121570709489E-2</v>
      </c>
      <c r="P199" s="169">
        <f>(INDEX(Models!$BJ199:$BT199,,T199)*(1-R199)+INDEX(Models!$BJ199:$BT199,,T199+1)*R199-ERP_i)*Q199*Ramure*Pc/MaxiM</f>
        <v>0</v>
      </c>
      <c r="Q199" s="304">
        <f t="shared" si="53"/>
        <v>0.6</v>
      </c>
      <c r="R199" s="177">
        <f t="shared" si="54"/>
        <v>0.36322202755257571</v>
      </c>
      <c r="S199" s="799">
        <f t="shared" si="55"/>
        <v>1</v>
      </c>
      <c r="T199" s="176">
        <f t="shared" si="56"/>
        <v>7</v>
      </c>
      <c r="U199" s="250">
        <f t="shared" si="57"/>
        <v>1.3632220275525757</v>
      </c>
      <c r="V199" s="382">
        <f t="shared" si="58"/>
        <v>57.922920578516788</v>
      </c>
      <c r="W199" s="400">
        <f t="shared" si="59"/>
        <v>45.632819838908759</v>
      </c>
      <c r="X199" s="157">
        <f t="shared" si="60"/>
        <v>45476</v>
      </c>
      <c r="Y199" s="383">
        <f t="shared" si="61"/>
        <v>43.969420496189464</v>
      </c>
      <c r="Z199" s="383">
        <f t="shared" si="62"/>
        <v>45.669972063277768</v>
      </c>
      <c r="AA199" s="384">
        <f t="shared" si="63"/>
        <v>48.236102227414889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5.3199368225044265E-2</v>
      </c>
      <c r="AD199" s="230">
        <f>(INDEX(Models!$BJ199:$BT199,,AH199)*(1-AF199)+INDEX(Models!$BJ199:$BT199,,AH199+1)*AF199-ERP_i)*AE199*Ramure*Pc/MaxiM</f>
        <v>0</v>
      </c>
      <c r="AE199" s="304">
        <f t="shared" si="65"/>
        <v>0.6</v>
      </c>
      <c r="AF199" s="177">
        <f t="shared" si="66"/>
        <v>0.36322202755257571</v>
      </c>
      <c r="AG199" s="799">
        <f t="shared" si="74"/>
        <v>1</v>
      </c>
      <c r="AH199" s="176">
        <f t="shared" si="67"/>
        <v>7</v>
      </c>
      <c r="AI199" s="224">
        <f t="shared" si="68"/>
        <v>1.3632220275525757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45477</v>
      </c>
      <c r="B200" s="409">
        <f>IF(t&gt;Tmaj,'2023'!Wh/'2023'!Env_an*'2024'!Env_an,0.001*[9]mois!$B$246)</f>
        <v>56.884650014567121</v>
      </c>
      <c r="C200" s="829"/>
      <c r="D200" s="391">
        <f t="shared" si="50"/>
        <v>59.085840504204754</v>
      </c>
      <c r="E200" s="383">
        <f t="shared" si="75"/>
        <v>60.138519323498087</v>
      </c>
      <c r="F200" s="383">
        <f t="shared" si="51"/>
        <v>60.138519323498087</v>
      </c>
      <c r="G200" s="110">
        <f t="shared" si="76"/>
        <v>0.98365109316285038</v>
      </c>
      <c r="H200" s="412" t="b">
        <f>Wh_hp&gt;='2023'!Maxi_hp</f>
        <v>1</v>
      </c>
      <c r="I200" s="388">
        <f>IF(H200,Wh_hp,'2023'!Maxi_hp)</f>
        <v>60.138519323498087</v>
      </c>
      <c r="J200" s="85">
        <f>IF(H200,An,'2023'!An_max)</f>
        <v>2024</v>
      </c>
      <c r="K200" s="197">
        <f t="shared" si="52"/>
        <v>45477</v>
      </c>
      <c r="L200" s="147">
        <f>IF(t&lt;Tvie,1-EXP((T0-t)*PertePVj)+'2023'!Pspv,1-EXP((T0-t)*PertePVj)+Pspv)</f>
        <v>3.7254111490230724E-2</v>
      </c>
      <c r="M200" s="832"/>
      <c r="N200" s="832"/>
      <c r="O200" s="48">
        <f>IF(t&lt;Tnet,'2023'!Resal+('2023'!Salim-'2023'!Resal)*(1-EXP(('2023'!Tnet-t)/('2023'!Tau_j))),Resal+(Salim-Resal)*(1-EXP((Tnet-t)/(Tau_j))))*Salcycl</f>
        <v>1.7504235740004544E-2</v>
      </c>
      <c r="P200" s="169">
        <f>(INDEX(Models!$BJ200:$BT200,,T200)*(1-R200)+INDEX(Models!$BJ200:$BT200,,T200+1)*R200-ERP_i)*Q200*Ramure*Pc/MaxiM</f>
        <v>0</v>
      </c>
      <c r="Q200" s="304">
        <f t="shared" si="53"/>
        <v>0.6</v>
      </c>
      <c r="R200" s="177">
        <f t="shared" si="54"/>
        <v>0.36725608591254977</v>
      </c>
      <c r="S200" s="799">
        <f t="shared" si="55"/>
        <v>1</v>
      </c>
      <c r="T200" s="176">
        <f t="shared" si="56"/>
        <v>7</v>
      </c>
      <c r="U200" s="250">
        <f t="shared" si="57"/>
        <v>1.3672560859125498</v>
      </c>
      <c r="V200" s="382">
        <f t="shared" si="58"/>
        <v>57.830109080303195</v>
      </c>
      <c r="W200" s="400">
        <f t="shared" si="59"/>
        <v>56.884650014567121</v>
      </c>
      <c r="X200" s="157">
        <f t="shared" si="60"/>
        <v>45477</v>
      </c>
      <c r="Y200" s="383">
        <f t="shared" si="61"/>
        <v>54.812798251465132</v>
      </c>
      <c r="Z200" s="383">
        <f t="shared" si="62"/>
        <v>56.933817018226542</v>
      </c>
      <c r="AA200" s="384">
        <f t="shared" si="63"/>
        <v>60.138519323498087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5.3288679889718638E-2</v>
      </c>
      <c r="AD200" s="230">
        <f>(INDEX(Models!$BJ200:$BT200,,AH200)*(1-AF200)+INDEX(Models!$BJ200:$BT200,,AH200+1)*AF200-ERP_i)*AE200*Ramure*Pc/MaxiM</f>
        <v>0</v>
      </c>
      <c r="AE200" s="304">
        <f t="shared" si="65"/>
        <v>0.6</v>
      </c>
      <c r="AF200" s="177">
        <f t="shared" si="66"/>
        <v>0.36725608591254977</v>
      </c>
      <c r="AG200" s="799">
        <f t="shared" si="74"/>
        <v>1</v>
      </c>
      <c r="AH200" s="176">
        <f t="shared" si="67"/>
        <v>7</v>
      </c>
      <c r="AI200" s="224">
        <f t="shared" si="68"/>
        <v>1.3672560859125498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45478</v>
      </c>
      <c r="B201" s="409">
        <f>IF(t&gt;Tmaj,'2023'!Wh/'2023'!Env_an*'2024'!Env_an,0.001*[9]mois!$B$247)</f>
        <v>46.386499010598193</v>
      </c>
      <c r="C201" s="829"/>
      <c r="D201" s="391">
        <f t="shared" si="50"/>
        <v>48.18237976181824</v>
      </c>
      <c r="E201" s="383">
        <f t="shared" si="75"/>
        <v>49.046930919337697</v>
      </c>
      <c r="F201" s="383">
        <f t="shared" si="51"/>
        <v>49.046930919337697</v>
      </c>
      <c r="G201" s="110">
        <f t="shared" si="76"/>
        <v>0.80341685655393902</v>
      </c>
      <c r="H201" s="412" t="b">
        <f>Wh_hp&gt;='2023'!Maxi_hp</f>
        <v>0</v>
      </c>
      <c r="I201" s="388">
        <f>IF(H201,Wh_hp,'2023'!Maxi_hp)</f>
        <v>59.81714469792518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3.727256229554643E-2</v>
      </c>
      <c r="M201" s="832"/>
      <c r="N201" s="832"/>
      <c r="O201" s="48">
        <f>IF(t&lt;Tnet,'2023'!Resal+('2023'!Salim-'2023'!Resal)*(1-EXP(('2023'!Tnet-t)/('2023'!Tau_j))),Resal+(Salim-Resal)*(1-EXP((Tnet-t)/(Tau_j))))*Salcycl</f>
        <v>1.7627018476269064E-2</v>
      </c>
      <c r="P201" s="169">
        <f>(INDEX(Models!$BJ201:$BT201,,T201)*(1-R201)+INDEX(Models!$BJ201:$BT201,,T201+1)*R201-ERP_i)*Q201*Ramure*Pc/MaxiM</f>
        <v>0</v>
      </c>
      <c r="Q201" s="304">
        <f t="shared" si="53"/>
        <v>0.6</v>
      </c>
      <c r="R201" s="177">
        <f t="shared" si="54"/>
        <v>0.37121252337367583</v>
      </c>
      <c r="S201" s="799">
        <f t="shared" si="55"/>
        <v>1</v>
      </c>
      <c r="T201" s="176">
        <f t="shared" si="56"/>
        <v>7</v>
      </c>
      <c r="U201" s="250">
        <f t="shared" si="57"/>
        <v>1.3712125233736758</v>
      </c>
      <c r="V201" s="382">
        <f t="shared" si="58"/>
        <v>57.736526975002477</v>
      </c>
      <c r="W201" s="400">
        <f t="shared" si="59"/>
        <v>46.386499010598193</v>
      </c>
      <c r="X201" s="157">
        <f t="shared" si="60"/>
        <v>45478</v>
      </c>
      <c r="Y201" s="383">
        <f t="shared" si="61"/>
        <v>44.698417423444667</v>
      </c>
      <c r="Z201" s="383">
        <f t="shared" si="62"/>
        <v>46.428943097357298</v>
      </c>
      <c r="AA201" s="384">
        <f t="shared" si="63"/>
        <v>49.046930919337697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5.3377199610836555E-2</v>
      </c>
      <c r="AD201" s="230">
        <f>(INDEX(Models!$BJ201:$BT201,,AH201)*(1-AF201)+INDEX(Models!$BJ201:$BT201,,AH201+1)*AF201-ERP_i)*AE201*Ramure*Pc/MaxiM</f>
        <v>0</v>
      </c>
      <c r="AE201" s="304">
        <f t="shared" si="65"/>
        <v>0.6</v>
      </c>
      <c r="AF201" s="177">
        <f t="shared" si="66"/>
        <v>0.37121252337367583</v>
      </c>
      <c r="AG201" s="799">
        <f t="shared" si="74"/>
        <v>1</v>
      </c>
      <c r="AH201" s="176">
        <f t="shared" si="67"/>
        <v>7</v>
      </c>
      <c r="AI201" s="224">
        <f t="shared" si="68"/>
        <v>1.3712125233736758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45479</v>
      </c>
      <c r="B202" s="409">
        <f>IF(t&gt;Tmaj,'2023'!Wh/'2023'!Env_an*'2024'!Env_an,0.001*[9]mois!$B$248)</f>
        <v>56.5655579683729</v>
      </c>
      <c r="C202" s="829"/>
      <c r="D202" s="391">
        <f t="shared" si="50"/>
        <v>58.756653066875906</v>
      </c>
      <c r="E202" s="383">
        <f t="shared" si="75"/>
        <v>59.81839810183677</v>
      </c>
      <c r="F202" s="383">
        <f t="shared" si="51"/>
        <v>59.81839810183677</v>
      </c>
      <c r="G202" s="110">
        <f t="shared" si="76"/>
        <v>0.98131895178301887</v>
      </c>
      <c r="H202" s="412" t="b">
        <f>Wh_hp&gt;='2023'!Maxi_hp</f>
        <v>1</v>
      </c>
      <c r="I202" s="388">
        <f>IF(H202,Wh_hp,'2023'!Maxi_hp)</f>
        <v>59.81839810183677</v>
      </c>
      <c r="J202" s="85">
        <f>IF(H202,An,'2023'!An_max)</f>
        <v>2024</v>
      </c>
      <c r="K202" s="197">
        <f t="shared" si="52"/>
        <v>45479</v>
      </c>
      <c r="L202" s="147">
        <f>IF(t&lt;Tvie,1-EXP((T0-t)*PertePVj)+'2023'!Pspv,1-EXP((T0-t)*PertePVj)+Pspv)</f>
        <v>3.7291012747256658E-2</v>
      </c>
      <c r="M202" s="832"/>
      <c r="N202" s="832"/>
      <c r="O202" s="48">
        <f>IF(t&lt;Tnet,'2023'!Resal+('2023'!Salim-'2023'!Resal)*(1-EXP(('2023'!Tnet-t)/('2023'!Tau_j))),Resal+(Salim-Resal)*(1-EXP((Tnet-t)/(Tau_j))))*Salcycl</f>
        <v>1.7749472882127533E-2</v>
      </c>
      <c r="P202" s="169">
        <f>(INDEX(Models!$BJ202:$BT202,,T202)*(1-R202)+INDEX(Models!$BJ202:$BT202,,T202+1)*R202-ERP_i)*Q202*Ramure*Pc/MaxiM</f>
        <v>0</v>
      </c>
      <c r="Q202" s="304">
        <f t="shared" si="53"/>
        <v>0.6</v>
      </c>
      <c r="R202" s="177">
        <f t="shared" si="54"/>
        <v>0.37509031508871526</v>
      </c>
      <c r="S202" s="799">
        <f t="shared" si="55"/>
        <v>1</v>
      </c>
      <c r="T202" s="176">
        <f t="shared" si="56"/>
        <v>7</v>
      </c>
      <c r="U202" s="250">
        <f t="shared" si="57"/>
        <v>1.3750903150887153</v>
      </c>
      <c r="V202" s="382">
        <f t="shared" si="58"/>
        <v>57.642378011344277</v>
      </c>
      <c r="W202" s="400">
        <f t="shared" si="59"/>
        <v>56.5655579683729</v>
      </c>
      <c r="X202" s="157">
        <f t="shared" si="60"/>
        <v>45479</v>
      </c>
      <c r="Y202" s="383">
        <f t="shared" si="61"/>
        <v>54.508785556126</v>
      </c>
      <c r="Z202" s="383">
        <f t="shared" si="62"/>
        <v>56.620210549478976</v>
      </c>
      <c r="AA202" s="384">
        <f t="shared" si="63"/>
        <v>59.81839810183677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5.3464948140421534E-2</v>
      </c>
      <c r="AD202" s="230">
        <f>(INDEX(Models!$BJ202:$BT202,,AH202)*(1-AF202)+INDEX(Models!$BJ202:$BT202,,AH202+1)*AF202-ERP_i)*AE202*Ramure*Pc/MaxiM</f>
        <v>0</v>
      </c>
      <c r="AE202" s="304">
        <f t="shared" si="65"/>
        <v>0.6</v>
      </c>
      <c r="AF202" s="177">
        <f t="shared" si="66"/>
        <v>0.37509031508871526</v>
      </c>
      <c r="AG202" s="799">
        <f t="shared" si="74"/>
        <v>1</v>
      </c>
      <c r="AH202" s="176">
        <f t="shared" si="67"/>
        <v>7</v>
      </c>
      <c r="AI202" s="224">
        <f t="shared" si="68"/>
        <v>1.3750903150887153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45480</v>
      </c>
      <c r="B203" s="409">
        <f>IF(t&gt;Tmaj,'2023'!Wh/'2023'!Env_an*'2024'!Env_an,0.001*[9]mois!$B$249)</f>
        <v>58.422856173668727</v>
      </c>
      <c r="C203" s="829"/>
      <c r="D203" s="391">
        <f t="shared" si="50"/>
        <v>60.68705769804879</v>
      </c>
      <c r="E203" s="383">
        <f t="shared" si="75"/>
        <v>61.79136848059705</v>
      </c>
      <c r="F203" s="383">
        <f t="shared" si="51"/>
        <v>61.79136848059705</v>
      </c>
      <c r="G203" s="110">
        <f t="shared" si="76"/>
        <v>1.0152045670878951</v>
      </c>
      <c r="H203" s="412" t="b">
        <f>Wh_hp&gt;='2023'!Maxi_hp</f>
        <v>0</v>
      </c>
      <c r="I203" s="388">
        <f>IF(H203,Wh_hp,'2023'!Maxi_hp)</f>
        <v>63.269155638139843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3.7309462845368069E-2</v>
      </c>
      <c r="M203" s="832"/>
      <c r="N203" s="832"/>
      <c r="O203" s="48">
        <f>IF(t&lt;Tnet,'2023'!Resal+('2023'!Salim-'2023'!Resal)*(1-EXP(('2023'!Tnet-t)/('2023'!Tau_j))),Resal+(Salim-Resal)*(1-EXP((Tnet-t)/(Tau_j))))*Salcycl</f>
        <v>1.7871602615420611E-2</v>
      </c>
      <c r="P203" s="169">
        <f>(INDEX(Models!$BJ203:$BT203,,T203)*(1-R203)+INDEX(Models!$BJ203:$BT203,,T203+1)*R203-ERP_i)*Q203*Ramure*Pc/MaxiM</f>
        <v>0</v>
      </c>
      <c r="Q203" s="304">
        <f t="shared" si="53"/>
        <v>0.6</v>
      </c>
      <c r="R203" s="177">
        <f t="shared" si="54"/>
        <v>0.37888860665431778</v>
      </c>
      <c r="S203" s="799">
        <f t="shared" si="55"/>
        <v>1</v>
      </c>
      <c r="T203" s="176">
        <f t="shared" si="56"/>
        <v>7</v>
      </c>
      <c r="U203" s="250">
        <f t="shared" si="57"/>
        <v>1.3788886066543178</v>
      </c>
      <c r="V203" s="382">
        <f t="shared" si="58"/>
        <v>57.547865787536949</v>
      </c>
      <c r="W203" s="400">
        <f t="shared" si="59"/>
        <v>58.422856173668727</v>
      </c>
      <c r="X203" s="157">
        <f t="shared" si="60"/>
        <v>45480</v>
      </c>
      <c r="Y203" s="383">
        <f t="shared" si="61"/>
        <v>56.300376409027777</v>
      </c>
      <c r="Z203" s="383">
        <f t="shared" si="62"/>
        <v>58.482320367905039</v>
      </c>
      <c r="AA203" s="384">
        <f t="shared" si="63"/>
        <v>61.79136848059705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5.3551947368362218E-2</v>
      </c>
      <c r="AD203" s="230">
        <f>(INDEX(Models!$BJ203:$BT203,,AH203)*(1-AF203)+INDEX(Models!$BJ203:$BT203,,AH203+1)*AF203-ERP_i)*AE203*Ramure*Pc/MaxiM</f>
        <v>0</v>
      </c>
      <c r="AE203" s="304">
        <f t="shared" si="65"/>
        <v>0.6</v>
      </c>
      <c r="AF203" s="177">
        <f t="shared" si="66"/>
        <v>0.37888860665431778</v>
      </c>
      <c r="AG203" s="799">
        <f t="shared" si="74"/>
        <v>1</v>
      </c>
      <c r="AH203" s="176">
        <f t="shared" si="67"/>
        <v>7</v>
      </c>
      <c r="AI203" s="224">
        <f t="shared" si="68"/>
        <v>1.3788886066543178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45481</v>
      </c>
      <c r="B204" s="409">
        <f>IF(t&gt;Tmaj,'2023'!Wh/'2023'!Env_an*'2024'!Env_an,0.001*[9]mois!$B$250)</f>
        <v>57.730327255662715</v>
      </c>
      <c r="C204" s="829"/>
      <c r="D204" s="391">
        <f t="shared" si="50"/>
        <v>59.968838829611514</v>
      </c>
      <c r="E204" s="383">
        <f t="shared" si="75"/>
        <v>61.067654283520113</v>
      </c>
      <c r="F204" s="383">
        <f t="shared" si="51"/>
        <v>61.067654283520113</v>
      </c>
      <c r="G204" s="110">
        <f t="shared" si="76"/>
        <v>1.0048236395791403</v>
      </c>
      <c r="H204" s="412" t="b">
        <f>Wh_hp&gt;='2023'!Maxi_hp</f>
        <v>1</v>
      </c>
      <c r="I204" s="388">
        <f>IF(H204,Wh_hp,'2023'!Maxi_hp)</f>
        <v>61.067654283520113</v>
      </c>
      <c r="J204" s="85">
        <f>IF(H204,An,'2023'!An_max)</f>
        <v>2024</v>
      </c>
      <c r="K204" s="197">
        <f t="shared" si="52"/>
        <v>45481</v>
      </c>
      <c r="L204" s="147">
        <f>IF(t&lt;Tvie,1-EXP((T0-t)*PertePVj)+'2023'!Pspv,1-EXP((T0-t)*PertePVj)+Pspv)</f>
        <v>3.7327912589887657E-2</v>
      </c>
      <c r="M204" s="832"/>
      <c r="N204" s="832"/>
      <c r="O204" s="48">
        <f>IF(t&lt;Tnet,'2023'!Resal+('2023'!Salim-'2023'!Resal)*(1-EXP(('2023'!Tnet-t)/('2023'!Tau_j))),Resal+(Salim-Resal)*(1-EXP((Tnet-t)/(Tau_j))))*Salcycl</f>
        <v>1.7993411844625825E-2</v>
      </c>
      <c r="P204" s="169">
        <f>(INDEX(Models!$BJ204:$BT204,,T204)*(1-R204)+INDEX(Models!$BJ204:$BT204,,T204+1)*R204-ERP_i)*Q204*Ramure*Pc/MaxiM</f>
        <v>0</v>
      </c>
      <c r="Q204" s="304">
        <f t="shared" si="53"/>
        <v>0.6</v>
      </c>
      <c r="R204" s="177">
        <f t="shared" si="54"/>
        <v>0.38260670977976985</v>
      </c>
      <c r="S204" s="799">
        <f t="shared" si="55"/>
        <v>1</v>
      </c>
      <c r="T204" s="176">
        <f t="shared" si="56"/>
        <v>7</v>
      </c>
      <c r="U204" s="250">
        <f t="shared" si="57"/>
        <v>1.3826067097797698</v>
      </c>
      <c r="V204" s="382">
        <f t="shared" si="58"/>
        <v>57.453193756311748</v>
      </c>
      <c r="W204" s="400">
        <f t="shared" si="59"/>
        <v>57.730327255662715</v>
      </c>
      <c r="X204" s="157">
        <f t="shared" si="60"/>
        <v>45481</v>
      </c>
      <c r="Y204" s="383">
        <f t="shared" si="61"/>
        <v>55.634835764929143</v>
      </c>
      <c r="Z204" s="383">
        <f t="shared" si="62"/>
        <v>57.792093998075892</v>
      </c>
      <c r="AA204" s="384">
        <f t="shared" si="63"/>
        <v>61.067654283520113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5.3638220165403878E-2</v>
      </c>
      <c r="AD204" s="230">
        <f>(INDEX(Models!$BJ204:$BT204,,AH204)*(1-AF204)+INDEX(Models!$BJ204:$BT204,,AH204+1)*AF204-ERP_i)*AE204*Ramure*Pc/MaxiM</f>
        <v>0</v>
      </c>
      <c r="AE204" s="304">
        <f t="shared" si="65"/>
        <v>0.6</v>
      </c>
      <c r="AF204" s="177">
        <f t="shared" si="66"/>
        <v>0.38260670977976985</v>
      </c>
      <c r="AG204" s="799">
        <f t="shared" si="74"/>
        <v>1</v>
      </c>
      <c r="AH204" s="176">
        <f t="shared" si="67"/>
        <v>7</v>
      </c>
      <c r="AI204" s="224">
        <f t="shared" si="68"/>
        <v>1.3826067097797698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45482</v>
      </c>
      <c r="B205" s="409">
        <f>IF(t&gt;Tmaj,'2023'!Wh/'2023'!Env_an*'2024'!Env_an,0.001*[9]mois!$B$251)</f>
        <v>57.01327469664087</v>
      </c>
      <c r="C205" s="829"/>
      <c r="D205" s="391">
        <f t="shared" si="50"/>
        <v>59.225117368231516</v>
      </c>
      <c r="E205" s="383">
        <f t="shared" si="75"/>
        <v>60.317768017858455</v>
      </c>
      <c r="F205" s="383">
        <f t="shared" si="51"/>
        <v>60.317768017858455</v>
      </c>
      <c r="G205" s="110">
        <f t="shared" si="76"/>
        <v>0.99398895981519886</v>
      </c>
      <c r="H205" s="412" t="b">
        <f>Wh_hp&gt;='2023'!Maxi_hp</f>
        <v>1</v>
      </c>
      <c r="I205" s="388">
        <f>IF(H205,Wh_hp,'2023'!Maxi_hp)</f>
        <v>60.317768017858455</v>
      </c>
      <c r="J205" s="85">
        <f>IF(H205,An,'2023'!An_max)</f>
        <v>2024</v>
      </c>
      <c r="K205" s="197">
        <f t="shared" si="52"/>
        <v>45482</v>
      </c>
      <c r="L205" s="147">
        <f>IF(t&lt;Tvie,1-EXP((T0-t)*PertePVj)+'2023'!Pspv,1-EXP((T0-t)*PertePVj)+Pspv)</f>
        <v>3.7346361980822085E-2</v>
      </c>
      <c r="M205" s="832"/>
      <c r="N205" s="832"/>
      <c r="O205" s="48">
        <f>IF(t&lt;Tnet,'2023'!Resal+('2023'!Salim-'2023'!Resal)*(1-EXP(('2023'!Tnet-t)/('2023'!Tau_j))),Resal+(Salim-Resal)*(1-EXP((Tnet-t)/(Tau_j))))*Salcycl</f>
        <v>1.8114905201787972E-2</v>
      </c>
      <c r="P205" s="169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0.38624409742759847</v>
      </c>
      <c r="S205" s="799">
        <f t="shared" si="55"/>
        <v>1</v>
      </c>
      <c r="T205" s="176">
        <f t="shared" si="56"/>
        <v>7</v>
      </c>
      <c r="U205" s="250">
        <f t="shared" si="57"/>
        <v>1.3862440974275985</v>
      </c>
      <c r="V205" s="382">
        <f t="shared" si="58"/>
        <v>57.358056277849101</v>
      </c>
      <c r="W205" s="400">
        <f t="shared" si="59"/>
        <v>57.01327469664087</v>
      </c>
      <c r="X205" s="157">
        <f t="shared" si="60"/>
        <v>45482</v>
      </c>
      <c r="Y205" s="383">
        <f t="shared" si="61"/>
        <v>54.945640556800385</v>
      </c>
      <c r="Z205" s="383">
        <f t="shared" si="62"/>
        <v>57.077268902094737</v>
      </c>
      <c r="AA205" s="384">
        <f t="shared" si="63"/>
        <v>60.317768017858455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5.3723790223873878E-2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0.38624409742759847</v>
      </c>
      <c r="AG205" s="799">
        <f t="shared" si="74"/>
        <v>1</v>
      </c>
      <c r="AH205" s="176">
        <f t="shared" si="67"/>
        <v>7</v>
      </c>
      <c r="AI205" s="224">
        <f t="shared" si="68"/>
        <v>1.3862440974275985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45483</v>
      </c>
      <c r="B206" s="409">
        <f>IF(t&gt;Tmaj,'2023'!Wh/'2023'!Env_an*'2024'!Env_an,0.001*[9]mois!$B$252)</f>
        <v>56.028845583368913</v>
      </c>
      <c r="C206" s="829"/>
      <c r="D206" s="391">
        <f t="shared" si="50"/>
        <v>58.203612567529923</v>
      </c>
      <c r="E206" s="383">
        <f t="shared" si="75"/>
        <v>59.284734181309368</v>
      </c>
      <c r="F206" s="383">
        <f t="shared" si="51"/>
        <v>59.284734181309368</v>
      </c>
      <c r="G206" s="110">
        <f t="shared" si="76"/>
        <v>0.97846449096408616</v>
      </c>
      <c r="H206" s="412" t="b">
        <f>Wh_hp&gt;='2023'!Maxi_hp</f>
        <v>0</v>
      </c>
      <c r="I206" s="388">
        <f>IF(H206,Wh_hp,'2023'!Maxi_hp)</f>
        <v>60.058702365360794</v>
      </c>
      <c r="J206" s="85">
        <f>IF(H206,An,'2023'!An_max)</f>
        <v>2018</v>
      </c>
      <c r="K206" s="197">
        <f t="shared" si="52"/>
        <v>45483</v>
      </c>
      <c r="L206" s="147">
        <f>IF(t&lt;Tvie,1-EXP((T0-t)*PertePVj)+'2023'!Pspv,1-EXP((T0-t)*PertePVj)+Pspv)</f>
        <v>3.7364811018178123E-2</v>
      </c>
      <c r="M206" s="832"/>
      <c r="N206" s="832"/>
      <c r="O206" s="48">
        <f>IF(t&lt;Tnet,'2023'!Resal+('2023'!Salim-'2023'!Resal)*(1-EXP(('2023'!Tnet-t)/('2023'!Tau_j))),Resal+(Salim-Resal)*(1-EXP((Tnet-t)/(Tau_j))))*Salcycl</f>
        <v>1.8236087733362744E-2</v>
      </c>
      <c r="P206" s="169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0.38980039848596282</v>
      </c>
      <c r="S206" s="799">
        <f t="shared" si="55"/>
        <v>1</v>
      </c>
      <c r="T206" s="176">
        <f t="shared" si="56"/>
        <v>7</v>
      </c>
      <c r="U206" s="250">
        <f t="shared" si="57"/>
        <v>1.3898003984859628</v>
      </c>
      <c r="V206" s="382">
        <f t="shared" si="58"/>
        <v>57.262012163735648</v>
      </c>
      <c r="W206" s="400">
        <f t="shared" si="59"/>
        <v>56.028845583368913</v>
      </c>
      <c r="X206" s="157">
        <f t="shared" si="60"/>
        <v>45483</v>
      </c>
      <c r="Y206" s="383">
        <f t="shared" si="61"/>
        <v>53.998732884673586</v>
      </c>
      <c r="Z206" s="383">
        <f t="shared" si="62"/>
        <v>56.094700778378964</v>
      </c>
      <c r="AA206" s="384">
        <f t="shared" si="63"/>
        <v>59.284734181309368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5.3808681897339478E-2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0.38980039848596282</v>
      </c>
      <c r="AG206" s="799">
        <f t="shared" si="74"/>
        <v>1</v>
      </c>
      <c r="AH206" s="176">
        <f t="shared" si="67"/>
        <v>7</v>
      </c>
      <c r="AI206" s="224">
        <f t="shared" si="68"/>
        <v>1.3898003984859628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45484</v>
      </c>
      <c r="B207" s="409">
        <f>IF(t&gt;Tmaj,'2023'!Wh/'2023'!Env_an*'2024'!Env_an,0.001*[9]mois!$B$253)</f>
        <v>55.619658534726405</v>
      </c>
      <c r="C207" s="829"/>
      <c r="D207" s="391">
        <f t="shared" ref="D207:D270" si="77">Wh/(1-Ppv)</f>
        <v>57.779650203782978</v>
      </c>
      <c r="E207" s="383">
        <f t="shared" si="75"/>
        <v>58.860143794447765</v>
      </c>
      <c r="F207" s="383">
        <f t="shared" ref="F207:F270" si="78">Wh_sa/(1-Pvg*MEDIAN((-Sdif+Wh/Env_an)/Csdif,0,1))</f>
        <v>58.860143794447765</v>
      </c>
      <c r="G207" s="110">
        <f t="shared" si="76"/>
        <v>0.97296595427046195</v>
      </c>
      <c r="H207" s="412" t="b">
        <f>Wh_hp&gt;='2023'!Maxi_hp</f>
        <v>0</v>
      </c>
      <c r="I207" s="388">
        <f>IF(H207,Wh_hp,'2023'!Maxi_hp)</f>
        <v>60.040514635762435</v>
      </c>
      <c r="J207" s="85">
        <f>IF(H207,An,'2023'!An_max)</f>
        <v>2018</v>
      </c>
      <c r="K207" s="197">
        <f t="shared" ref="K207:K270" si="79">t</f>
        <v>45484</v>
      </c>
      <c r="L207" s="147">
        <f>IF(t&lt;Tvie,1-EXP((T0-t)*PertePVj)+'2023'!Pspv,1-EXP((T0-t)*PertePVj)+Pspv)</f>
        <v>3.7383259701962546E-2</v>
      </c>
      <c r="M207" s="832"/>
      <c r="N207" s="832"/>
      <c r="O207" s="48">
        <f>IF(t&lt;Tnet,'2023'!Resal+('2023'!Salim-'2023'!Resal)*(1-EXP(('2023'!Tnet-t)/('2023'!Tau_j))),Resal+(Salim-Resal)*(1-EXP((Tnet-t)/(Tau_j))))*Salcycl</f>
        <v>1.8356964849391193E-2</v>
      </c>
      <c r="P207" s="169">
        <f>(INDEX(Models!$BJ207:$BT207,,T207)*(1-R207)+INDEX(Models!$BJ207:$BT207,,T207+1)*R207-ERP_i)*Q207*Ramure*Pc/MaxiM</f>
        <v>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0.39327539203268103</v>
      </c>
      <c r="S207" s="799">
        <f t="shared" ref="S207:S270" si="82">INDEX(Echel_vg,T207)</f>
        <v>1</v>
      </c>
      <c r="T207" s="176">
        <f t="shared" ref="T207:T270" si="83">MIN(MATCH(Hp_vg,Echel_vg),10)</f>
        <v>7</v>
      </c>
      <c r="U207" s="250">
        <f t="shared" ref="U207:U270" si="84">IF(OR(t&lt;Ttai,Notai),Hdd+PousH*Croivg,Hdtf+PousH*(Croivg-Croi_tai))</f>
        <v>1.393275392032681</v>
      </c>
      <c r="V207" s="382">
        <f t="shared" ref="V207:V270" si="85">MaxiM*(1-Ppv)*(1-Pvg)*(1-Psa)</f>
        <v>57.165061419266713</v>
      </c>
      <c r="W207" s="400">
        <f t="shared" ref="W207:W270" si="86">Wh*(A207&gt;Tmaj)</f>
        <v>55.619658534726405</v>
      </c>
      <c r="X207" s="157">
        <f t="shared" ref="X207:X270" si="87">t</f>
        <v>45484</v>
      </c>
      <c r="Y207" s="383">
        <f t="shared" ref="Y207:Y270" si="88">Wh_pvt_s*(1-Ppv)</f>
        <v>53.606199851015091</v>
      </c>
      <c r="Z207" s="383">
        <f t="shared" ref="Z207:Z270" si="89">Wh_sa_s*(1-Psa_s)</f>
        <v>55.687998771367702</v>
      </c>
      <c r="AA207" s="384">
        <f t="shared" ref="AA207:AA270" si="90">Wh_hp*(1-Pvg_s*MEDIAN((-Sdif+Wh/Env_an)/Csdif,0,1))</f>
        <v>58.860143794447765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5.3892920040390632E-2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0.39327539203268103</v>
      </c>
      <c r="AG207" s="799">
        <f t="shared" si="74"/>
        <v>1</v>
      </c>
      <c r="AH207" s="176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1.393275392032681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45485</v>
      </c>
      <c r="B208" s="409">
        <f>IF(t&gt;Tmaj,'2023'!Wh/'2023'!Env_an*'2024'!Env_an,0.001*[9]mois!$B$254)</f>
        <v>55.100394765817065</v>
      </c>
      <c r="C208" s="829"/>
      <c r="D208" s="391">
        <f t="shared" si="77"/>
        <v>57.241317822387344</v>
      </c>
      <c r="E208" s="383">
        <f t="shared" si="75"/>
        <v>58.318907908490303</v>
      </c>
      <c r="F208" s="383">
        <f t="shared" si="78"/>
        <v>58.318907908490303</v>
      </c>
      <c r="G208" s="110">
        <f t="shared" si="76"/>
        <v>0.9655352088876108</v>
      </c>
      <c r="H208" s="412" t="b">
        <f>Wh_hp&gt;='2023'!Maxi_hp</f>
        <v>1</v>
      </c>
      <c r="I208" s="388">
        <f>IF(H208,Wh_hp,'2023'!Maxi_hp)</f>
        <v>58.318907908490303</v>
      </c>
      <c r="J208" s="85">
        <f>IF(H208,An,'2023'!An_max)</f>
        <v>2024</v>
      </c>
      <c r="K208" s="197">
        <f t="shared" si="79"/>
        <v>45485</v>
      </c>
      <c r="L208" s="147">
        <f>IF(t&lt;Tvie,1-EXP((T0-t)*PertePVj)+'2023'!Pspv,1-EXP((T0-t)*PertePVj)+Pspv)</f>
        <v>3.7401708032182235E-2</v>
      </c>
      <c r="M208" s="832"/>
      <c r="N208" s="832"/>
      <c r="O208" s="48">
        <f>IF(t&lt;Tnet,'2023'!Resal+('2023'!Salim-'2023'!Resal)*(1-EXP(('2023'!Tnet-t)/('2023'!Tau_j))),Resal+(Salim-Resal)*(1-EXP((Tnet-t)/(Tau_j))))*Salcycl</f>
        <v>1.8477542271433365E-2</v>
      </c>
      <c r="P208" s="169">
        <f>(INDEX(Models!$BJ208:$BT208,,T208)*(1-R208)+INDEX(Models!$BJ208:$BT208,,T208+1)*R208-ERP_i)*Q208*Ramure*Pc/MaxiM</f>
        <v>0</v>
      </c>
      <c r="Q208" s="304">
        <f t="shared" si="80"/>
        <v>0.6</v>
      </c>
      <c r="R208" s="177">
        <f t="shared" si="81"/>
        <v>0.39666900125002647</v>
      </c>
      <c r="S208" s="799">
        <f t="shared" si="82"/>
        <v>1</v>
      </c>
      <c r="T208" s="176">
        <f t="shared" si="83"/>
        <v>7</v>
      </c>
      <c r="U208" s="250">
        <f t="shared" si="84"/>
        <v>1.3966690012500265</v>
      </c>
      <c r="V208" s="382">
        <f t="shared" si="85"/>
        <v>57.067204032153327</v>
      </c>
      <c r="W208" s="400">
        <f t="shared" si="86"/>
        <v>55.100394765817065</v>
      </c>
      <c r="X208" s="157">
        <f t="shared" si="87"/>
        <v>45485</v>
      </c>
      <c r="Y208" s="383">
        <f t="shared" si="88"/>
        <v>53.107563920278139</v>
      </c>
      <c r="Z208" s="383">
        <f t="shared" si="89"/>
        <v>55.171055634964361</v>
      </c>
      <c r="AA208" s="384">
        <f t="shared" si="90"/>
        <v>58.318907908490303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5.3976529849724064E-2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0.39666900125002647</v>
      </c>
      <c r="AG208" s="799">
        <f t="shared" ref="AG208:AG271" si="99">INDEX(Echel_vg,AH208)</f>
        <v>1</v>
      </c>
      <c r="AH208" s="176">
        <f t="shared" si="94"/>
        <v>7</v>
      </c>
      <c r="AI208" s="224">
        <f t="shared" si="95"/>
        <v>1.3966690012500265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45486</v>
      </c>
      <c r="B209" s="409">
        <f>IF(t&gt;Tmaj,'2023'!Wh/'2023'!Env_an*'2024'!Env_an,0.001*[9]mois!$B$255)</f>
        <v>54.779762698771044</v>
      </c>
      <c r="C209" s="829"/>
      <c r="D209" s="391">
        <f t="shared" si="77"/>
        <v>56.909318266666659</v>
      </c>
      <c r="E209" s="383">
        <f t="shared" si="75"/>
        <v>57.987764622059281</v>
      </c>
      <c r="F209" s="383">
        <f t="shared" si="78"/>
        <v>57.987764622059281</v>
      </c>
      <c r="G209" s="110">
        <f t="shared" si="76"/>
        <v>0.96158088096967798</v>
      </c>
      <c r="H209" s="412" t="b">
        <f>Wh_hp&gt;='2023'!Maxi_hp</f>
        <v>0</v>
      </c>
      <c r="I209" s="388">
        <f>IF(H209,Wh_hp,'2023'!Maxi_hp)</f>
        <v>60.412493272450547</v>
      </c>
      <c r="J209" s="85">
        <f>IF(H209,An,'2023'!An_max)</f>
        <v>2018</v>
      </c>
      <c r="K209" s="197">
        <f t="shared" si="79"/>
        <v>45486</v>
      </c>
      <c r="L209" s="147">
        <f>IF(t&lt;Tvie,1-EXP((T0-t)*PertePVj)+'2023'!Pspv,1-EXP((T0-t)*PertePVj)+Pspv)</f>
        <v>3.7420156008843852E-2</v>
      </c>
      <c r="M209" s="832"/>
      <c r="N209" s="832"/>
      <c r="O209" s="48">
        <f>IF(t&lt;Tnet,'2023'!Resal+('2023'!Salim-'2023'!Resal)*(1-EXP(('2023'!Tnet-t)/('2023'!Tau_j))),Resal+(Salim-Resal)*(1-EXP((Tnet-t)/(Tau_j))))*Salcycl</f>
        <v>1.8597825979695837E-2</v>
      </c>
      <c r="P209" s="169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0.39998128704815938</v>
      </c>
      <c r="S209" s="799">
        <f t="shared" si="82"/>
        <v>1</v>
      </c>
      <c r="T209" s="176">
        <f t="shared" si="83"/>
        <v>7</v>
      </c>
      <c r="U209" s="250">
        <f t="shared" si="84"/>
        <v>1.3999812870481594</v>
      </c>
      <c r="V209" s="382">
        <f t="shared" si="85"/>
        <v>56.968439975148009</v>
      </c>
      <c r="W209" s="400">
        <f t="shared" si="86"/>
        <v>54.779762698771044</v>
      </c>
      <c r="X209" s="157">
        <f t="shared" si="87"/>
        <v>45486</v>
      </c>
      <c r="Y209" s="383">
        <f t="shared" si="88"/>
        <v>52.800366127217167</v>
      </c>
      <c r="Z209" s="383">
        <f t="shared" si="89"/>
        <v>54.852972931876891</v>
      </c>
      <c r="AA209" s="384">
        <f t="shared" si="90"/>
        <v>57.987764622059281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5.4059536707677755E-2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0.39998128704815938</v>
      </c>
      <c r="AG209" s="799">
        <f t="shared" si="99"/>
        <v>1</v>
      </c>
      <c r="AH209" s="176">
        <f t="shared" si="94"/>
        <v>7</v>
      </c>
      <c r="AI209" s="224">
        <f t="shared" si="95"/>
        <v>1.3999812870481594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45487</v>
      </c>
      <c r="B210" s="409">
        <f>IF(t&gt;Tmaj,'2023'!Wh/'2023'!Env_an*'2024'!Env_an,0.001*[9]mois!$B$256)</f>
        <v>52.545120858598949</v>
      </c>
      <c r="C210" s="829"/>
      <c r="D210" s="391">
        <f t="shared" si="77"/>
        <v>54.588851222231803</v>
      </c>
      <c r="E210" s="383">
        <f t="shared" si="75"/>
        <v>55.630126027949629</v>
      </c>
      <c r="F210" s="383">
        <f t="shared" si="78"/>
        <v>55.630126027949629</v>
      </c>
      <c r="G210" s="110">
        <f t="shared" si="76"/>
        <v>0.92397148011035013</v>
      </c>
      <c r="H210" s="412" t="b">
        <f>Wh_hp&gt;='2023'!Maxi_hp</f>
        <v>0</v>
      </c>
      <c r="I210" s="388">
        <f>IF(H210,Wh_hp,'2023'!Maxi_hp)</f>
        <v>62.029169256698459</v>
      </c>
      <c r="J210" s="85">
        <f>IF(H210,An,'2023'!An_max)</f>
        <v>2018</v>
      </c>
      <c r="K210" s="197">
        <f t="shared" si="79"/>
        <v>45487</v>
      </c>
      <c r="L210" s="147">
        <f>IF(t&lt;Tvie,1-EXP((T0-t)*PertePVj)+'2023'!Pspv,1-EXP((T0-t)*PertePVj)+Pspv)</f>
        <v>3.743860363195417E-2</v>
      </c>
      <c r="M210" s="832"/>
      <c r="N210" s="832"/>
      <c r="O210" s="48">
        <f>IF(t&lt;Tnet,'2023'!Resal+('2023'!Salim-'2023'!Resal)*(1-EXP(('2023'!Tnet-t)/('2023'!Tau_j))),Resal+(Salim-Resal)*(1-EXP((Tnet-t)/(Tau_j))))*Salcycl</f>
        <v>1.8717822159789236E-2</v>
      </c>
      <c r="P210" s="169">
        <f>(INDEX(Models!$BJ210:$BT210,,T210)*(1-R210)+INDEX(Models!$BJ210:$BT210,,T210+1)*R210-ERP_i)*Q210*Ramure*Pc/MaxiM</f>
        <v>0</v>
      </c>
      <c r="Q210" s="304">
        <f t="shared" si="80"/>
        <v>0.6</v>
      </c>
      <c r="R210" s="177">
        <f t="shared" si="81"/>
        <v>0.40321244145331181</v>
      </c>
      <c r="S210" s="799">
        <f t="shared" si="82"/>
        <v>1</v>
      </c>
      <c r="T210" s="176">
        <f t="shared" si="83"/>
        <v>7</v>
      </c>
      <c r="U210" s="250">
        <f t="shared" si="84"/>
        <v>1.4032124414533118</v>
      </c>
      <c r="V210" s="382">
        <f t="shared" si="85"/>
        <v>56.868769209546898</v>
      </c>
      <c r="W210" s="400">
        <f t="shared" si="86"/>
        <v>52.545120858598949</v>
      </c>
      <c r="X210" s="157">
        <f t="shared" si="87"/>
        <v>45487</v>
      </c>
      <c r="Y210" s="383">
        <f t="shared" si="88"/>
        <v>50.648249639523023</v>
      </c>
      <c r="Z210" s="383">
        <f t="shared" si="89"/>
        <v>52.618201634337218</v>
      </c>
      <c r="AA210" s="384">
        <f t="shared" si="90"/>
        <v>55.630126027949629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5.4141966029326659E-2</v>
      </c>
      <c r="AD210" s="230">
        <f>(INDEX(Models!$BJ210:$BT210,,AH210)*(1-AF210)+INDEX(Models!$BJ210:$BT210,,AH210+1)*AF210-ERP_i)*AE210*Ramure*Pc/MaxiM</f>
        <v>0</v>
      </c>
      <c r="AE210" s="304">
        <f t="shared" si="92"/>
        <v>0.6</v>
      </c>
      <c r="AF210" s="177">
        <f t="shared" si="93"/>
        <v>0.40321244145331181</v>
      </c>
      <c r="AG210" s="799">
        <f t="shared" si="99"/>
        <v>1</v>
      </c>
      <c r="AH210" s="176">
        <f t="shared" si="94"/>
        <v>7</v>
      </c>
      <c r="AI210" s="224">
        <f t="shared" si="95"/>
        <v>1.4032124414533118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45488</v>
      </c>
      <c r="B211" s="409">
        <f>IF(t&gt;Tmaj,'2023'!Wh/'2023'!Env_an*'2024'!Env_an,0.001*[9]mois!$B$257)</f>
        <v>53.986214080740673</v>
      </c>
      <c r="C211" s="829"/>
      <c r="D211" s="391">
        <f t="shared" si="77"/>
        <v>56.087070328970043</v>
      </c>
      <c r="E211" s="383">
        <f t="shared" si="75"/>
        <v>57.163897369276846</v>
      </c>
      <c r="F211" s="383">
        <f t="shared" si="78"/>
        <v>57.163897369276846</v>
      </c>
      <c r="G211" s="110">
        <f t="shared" si="76"/>
        <v>0.95099407739320352</v>
      </c>
      <c r="H211" s="412" t="b">
        <f>Wh_hp&gt;='2023'!Maxi_hp</f>
        <v>0</v>
      </c>
      <c r="I211" s="388">
        <f>IF(H211,Wh_hp,'2023'!Maxi_hp)</f>
        <v>60.446549664611396</v>
      </c>
      <c r="J211" s="85">
        <f>IF(H211,An,'2023'!An_max)</f>
        <v>2018</v>
      </c>
      <c r="K211" s="197">
        <f t="shared" si="79"/>
        <v>45488</v>
      </c>
      <c r="L211" s="147">
        <f>IF(t&lt;Tvie,1-EXP((T0-t)*PertePVj)+'2023'!Pspv,1-EXP((T0-t)*PertePVj)+Pspv)</f>
        <v>3.7457050901520073E-2</v>
      </c>
      <c r="M211" s="832"/>
      <c r="N211" s="832"/>
      <c r="O211" s="48">
        <f>IF(t&lt;Tnet,'2023'!Resal+('2023'!Salim-'2023'!Resal)*(1-EXP(('2023'!Tnet-t)/('2023'!Tau_j))),Resal+(Salim-Resal)*(1-EXP((Tnet-t)/(Tau_j))))*Salcycl</f>
        <v>1.8837537149549714E-2</v>
      </c>
      <c r="P211" s="169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0.40636278081465327</v>
      </c>
      <c r="S211" s="799">
        <f t="shared" si="82"/>
        <v>1</v>
      </c>
      <c r="T211" s="176">
        <f t="shared" si="83"/>
        <v>7</v>
      </c>
      <c r="U211" s="250">
        <f t="shared" si="84"/>
        <v>1.4063627808146533</v>
      </c>
      <c r="V211" s="382">
        <f t="shared" si="85"/>
        <v>56.768191689188853</v>
      </c>
      <c r="W211" s="400">
        <f t="shared" si="86"/>
        <v>53.986214080740673</v>
      </c>
      <c r="X211" s="157">
        <f t="shared" si="87"/>
        <v>45488</v>
      </c>
      <c r="Y211" s="383">
        <f t="shared" si="88"/>
        <v>52.03916375863156</v>
      </c>
      <c r="Z211" s="383">
        <f t="shared" si="89"/>
        <v>54.064251166528791</v>
      </c>
      <c r="AA211" s="384">
        <f t="shared" si="90"/>
        <v>57.163897369276846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5.4223843114202738E-2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0.40636278081465327</v>
      </c>
      <c r="AG211" s="799">
        <f t="shared" si="99"/>
        <v>1</v>
      </c>
      <c r="AH211" s="176">
        <f t="shared" si="94"/>
        <v>7</v>
      </c>
      <c r="AI211" s="224">
        <f t="shared" si="95"/>
        <v>1.4063627808146533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45489</v>
      </c>
      <c r="B212" s="409">
        <f>IF(t&gt;Tmaj,'2023'!Wh/'2023'!Env_an*'2024'!Env_an,0.001*[9]mois!$B$258)</f>
        <v>54.130630257182261</v>
      </c>
      <c r="C212" s="829"/>
      <c r="D212" s="391">
        <f t="shared" si="77"/>
        <v>56.238184206682668</v>
      </c>
      <c r="E212" s="383">
        <f t="shared" si="75"/>
        <v>57.324890866514217</v>
      </c>
      <c r="F212" s="383">
        <f t="shared" si="78"/>
        <v>57.324890866514217</v>
      </c>
      <c r="G212" s="110">
        <f t="shared" si="76"/>
        <v>0.95524573029177495</v>
      </c>
      <c r="H212" s="412" t="b">
        <f>Wh_hp&gt;='2023'!Maxi_hp</f>
        <v>0</v>
      </c>
      <c r="I212" s="388">
        <f>IF(H212,Wh_hp,'2023'!Maxi_hp)</f>
        <v>60.566791048252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3.7475497817548109E-2</v>
      </c>
      <c r="M212" s="832"/>
      <c r="N212" s="832"/>
      <c r="O212" s="48">
        <f>IF(t&lt;Tnet,'2023'!Resal+('2023'!Salim-'2023'!Resal)*(1-EXP(('2023'!Tnet-t)/('2023'!Tau_j))),Resal+(Salim-Resal)*(1-EXP((Tnet-t)/(Tau_j))))*Salcycl</f>
        <v>1.8956977386351045E-2</v>
      </c>
      <c r="P212" s="169">
        <f>(INDEX(Models!$BJ212:$BT212,,T212)*(1-R212)+INDEX(Models!$BJ212:$BT212,,T212+1)*R212-ERP_i)*Q212*Ramure*Pc/MaxiM</f>
        <v>0</v>
      </c>
      <c r="Q212" s="304">
        <f t="shared" si="80"/>
        <v>0.6</v>
      </c>
      <c r="R212" s="177">
        <f t="shared" si="81"/>
        <v>0.40943273888122955</v>
      </c>
      <c r="S212" s="799">
        <f t="shared" si="82"/>
        <v>1</v>
      </c>
      <c r="T212" s="176">
        <f t="shared" si="83"/>
        <v>7</v>
      </c>
      <c r="U212" s="250">
        <f t="shared" si="84"/>
        <v>1.4094327388812296</v>
      </c>
      <c r="V212" s="382">
        <f t="shared" si="85"/>
        <v>56.66670736193538</v>
      </c>
      <c r="W212" s="400">
        <f t="shared" si="86"/>
        <v>54.130630257182261</v>
      </c>
      <c r="X212" s="157">
        <f t="shared" si="87"/>
        <v>45489</v>
      </c>
      <c r="Y212" s="383">
        <f t="shared" si="88"/>
        <v>52.180235477620798</v>
      </c>
      <c r="Z212" s="383">
        <f t="shared" si="89"/>
        <v>54.211851604095315</v>
      </c>
      <c r="AA212" s="384">
        <f t="shared" si="90"/>
        <v>57.324890866514217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5.4305193003644357E-2</v>
      </c>
      <c r="AD212" s="230">
        <f>(INDEX(Models!$BJ212:$BT212,,AH212)*(1-AF212)+INDEX(Models!$BJ212:$BT212,,AH212+1)*AF212-ERP_i)*AE212*Ramure*Pc/MaxiM</f>
        <v>0</v>
      </c>
      <c r="AE212" s="304">
        <f t="shared" si="92"/>
        <v>0.6</v>
      </c>
      <c r="AF212" s="177">
        <f t="shared" si="93"/>
        <v>0.40943273888122955</v>
      </c>
      <c r="AG212" s="799">
        <f t="shared" si="99"/>
        <v>1</v>
      </c>
      <c r="AH212" s="176">
        <f t="shared" si="94"/>
        <v>7</v>
      </c>
      <c r="AI212" s="224">
        <f t="shared" si="95"/>
        <v>1.4094327388812296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45490</v>
      </c>
      <c r="B213" s="409">
        <f>IF(t&gt;Tmaj,'2023'!Wh/'2023'!Env_an*'2024'!Env_an,0.001*[9]mois!$B$259)</f>
        <v>56.374638907466675</v>
      </c>
      <c r="C213" s="829"/>
      <c r="D213" s="391">
        <f t="shared" si="77"/>
        <v>58.57068490977494</v>
      </c>
      <c r="E213" s="383">
        <f t="shared" si="75"/>
        <v>59.70971637735331</v>
      </c>
      <c r="F213" s="383">
        <f t="shared" si="78"/>
        <v>59.70971637735331</v>
      </c>
      <c r="G213" s="110">
        <f t="shared" si="76"/>
        <v>0.99664669742893375</v>
      </c>
      <c r="H213" s="412" t="b">
        <f>Wh_hp&gt;='2023'!Maxi_hp</f>
        <v>1</v>
      </c>
      <c r="I213" s="388">
        <f>IF(H213,Wh_hp,'2023'!Maxi_hp)</f>
        <v>59.70971637735331</v>
      </c>
      <c r="J213" s="85">
        <f>IF(H213,An,'2023'!An_max)</f>
        <v>2024</v>
      </c>
      <c r="K213" s="197">
        <f t="shared" si="79"/>
        <v>45490</v>
      </c>
      <c r="L213" s="147">
        <f>IF(t&lt;Tvie,1-EXP((T0-t)*PertePVj)+'2023'!Pspv,1-EXP((T0-t)*PertePVj)+Pspv)</f>
        <v>3.7493944380045385E-2</v>
      </c>
      <c r="M213" s="832"/>
      <c r="N213" s="832"/>
      <c r="O213" s="48">
        <f>IF(t&lt;Tnet,'2023'!Resal+('2023'!Salim-'2023'!Resal)*(1-EXP(('2023'!Tnet-t)/('2023'!Tau_j))),Resal+(Salim-Resal)*(1-EXP((Tnet-t)/(Tau_j))))*Salcycl</f>
        <v>1.9076149355323143E-2</v>
      </c>
      <c r="P213" s="169">
        <f>(INDEX(Models!$BJ213:$BT213,,T213)*(1-R213)+INDEX(Models!$BJ213:$BT213,,T213+1)*R213-ERP_i)*Q213*Ramure*Pc/MaxiM</f>
        <v>0</v>
      </c>
      <c r="Q213" s="304">
        <f t="shared" si="80"/>
        <v>0.6</v>
      </c>
      <c r="R213" s="177">
        <f t="shared" si="81"/>
        <v>0.41242285979751991</v>
      </c>
      <c r="S213" s="799">
        <f t="shared" si="82"/>
        <v>1</v>
      </c>
      <c r="T213" s="176">
        <f t="shared" si="83"/>
        <v>7</v>
      </c>
      <c r="U213" s="250">
        <f t="shared" si="84"/>
        <v>1.4124228597975199</v>
      </c>
      <c r="V213" s="382">
        <f t="shared" si="85"/>
        <v>56.564316174324638</v>
      </c>
      <c r="W213" s="400">
        <f t="shared" si="86"/>
        <v>56.374638907466675</v>
      </c>
      <c r="X213" s="157">
        <f t="shared" si="87"/>
        <v>45490</v>
      </c>
      <c r="Y213" s="383">
        <f t="shared" si="88"/>
        <v>54.345345447958437</v>
      </c>
      <c r="Z213" s="383">
        <f t="shared" si="89"/>
        <v>56.462341333483195</v>
      </c>
      <c r="AA213" s="384">
        <f t="shared" si="90"/>
        <v>59.70971637735331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5.438604034471313E-2</v>
      </c>
      <c r="AD213" s="230">
        <f>(INDEX(Models!$BJ213:$BT213,,AH213)*(1-AF213)+INDEX(Models!$BJ213:$BT213,,AH213+1)*AF213-ERP_i)*AE213*Ramure*Pc/MaxiM</f>
        <v>0</v>
      </c>
      <c r="AE213" s="304">
        <f t="shared" si="92"/>
        <v>0.6</v>
      </c>
      <c r="AF213" s="177">
        <f t="shared" si="93"/>
        <v>0.41242285979751991</v>
      </c>
      <c r="AG213" s="799">
        <f t="shared" si="99"/>
        <v>1</v>
      </c>
      <c r="AH213" s="176">
        <f t="shared" si="94"/>
        <v>7</v>
      </c>
      <c r="AI213" s="224">
        <f t="shared" si="95"/>
        <v>1.4124228597975199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45491</v>
      </c>
      <c r="B214" s="409">
        <f>IF(t&gt;Tmaj,'2023'!Wh/'2023'!Env_an*'2024'!Env_an,0.001*[9]mois!$B$260)</f>
        <v>44.193127693002786</v>
      </c>
      <c r="C214" s="829"/>
      <c r="D214" s="391">
        <f t="shared" si="77"/>
        <v>45.915528949040578</v>
      </c>
      <c r="E214" s="383">
        <f t="shared" si="75"/>
        <v>46.814128941330068</v>
      </c>
      <c r="F214" s="383">
        <f t="shared" si="78"/>
        <v>46.814128941330068</v>
      </c>
      <c r="G214" s="110">
        <f t="shared" si="76"/>
        <v>0.7827192849284127</v>
      </c>
      <c r="H214" s="412" t="b">
        <f>Wh_hp&gt;='2023'!Maxi_hp</f>
        <v>0</v>
      </c>
      <c r="I214" s="388">
        <f>IF(H214,Wh_hp,'2023'!Maxi_hp)</f>
        <v>60.093272883435894</v>
      </c>
      <c r="J214" s="85">
        <f>IF(H214,An,'2023'!An_max)</f>
        <v>2020</v>
      </c>
      <c r="K214" s="197">
        <f t="shared" si="79"/>
        <v>45491</v>
      </c>
      <c r="L214" s="147">
        <f>IF(t&lt;Tvie,1-EXP((T0-t)*PertePVj)+'2023'!Pspv,1-EXP((T0-t)*PertePVj)+Pspv)</f>
        <v>3.7512390589018452E-2</v>
      </c>
      <c r="M214" s="832"/>
      <c r="N214" s="832"/>
      <c r="O214" s="48">
        <f>IF(t&lt;Tnet,'2023'!Resal+('2023'!Salim-'2023'!Resal)*(1-EXP(('2023'!Tnet-t)/('2023'!Tau_j))),Resal+(Salim-Resal)*(1-EXP((Tnet-t)/(Tau_j))))*Salcycl</f>
        <v>1.9195059538876923E-2</v>
      </c>
      <c r="P214" s="169">
        <f>(INDEX(Models!$BJ214:$BT214,,T214)*(1-R214)+INDEX(Models!$BJ214:$BT214,,T214+1)*R214-ERP_i)*Q214*Ramure*Pc/MaxiM</f>
        <v>1.953612006557277E-20</v>
      </c>
      <c r="Q214" s="304">
        <f t="shared" si="80"/>
        <v>0.6</v>
      </c>
      <c r="R214" s="177">
        <f t="shared" si="81"/>
        <v>0.41533379106308366</v>
      </c>
      <c r="S214" s="799">
        <f t="shared" si="82"/>
        <v>1</v>
      </c>
      <c r="T214" s="176">
        <f t="shared" si="83"/>
        <v>7</v>
      </c>
      <c r="U214" s="250">
        <f t="shared" si="84"/>
        <v>1.4153337910630837</v>
      </c>
      <c r="V214" s="382">
        <f t="shared" si="85"/>
        <v>56.461018073733392</v>
      </c>
      <c r="W214" s="400">
        <f t="shared" si="86"/>
        <v>44.193127693002786</v>
      </c>
      <c r="X214" s="157">
        <f t="shared" si="87"/>
        <v>45491</v>
      </c>
      <c r="Y214" s="383">
        <f t="shared" si="88"/>
        <v>42.603870545230457</v>
      </c>
      <c r="Z214" s="383">
        <f t="shared" si="89"/>
        <v>44.264331435189035</v>
      </c>
      <c r="AA214" s="384">
        <f t="shared" si="90"/>
        <v>46.814128941330068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5.4466409261540928E-2</v>
      </c>
      <c r="AD214" s="230">
        <f>(INDEX(Models!$BJ214:$BT214,,AH214)*(1-AF214)+INDEX(Models!$BJ214:$BT214,,AH214+1)*AF214-ERP_i)*AE214*Ramure*Pc/MaxiM</f>
        <v>1.953612006557277E-20</v>
      </c>
      <c r="AE214" s="304">
        <f t="shared" si="92"/>
        <v>0.6</v>
      </c>
      <c r="AF214" s="177">
        <f t="shared" si="93"/>
        <v>0.41533379106308366</v>
      </c>
      <c r="AG214" s="799">
        <f t="shared" si="99"/>
        <v>1</v>
      </c>
      <c r="AH214" s="176">
        <f t="shared" si="94"/>
        <v>7</v>
      </c>
      <c r="AI214" s="224">
        <f t="shared" si="95"/>
        <v>1.4153337910630837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45492</v>
      </c>
      <c r="B215" s="409">
        <f>IF(t&gt;Tmaj,'2023'!Wh/'2023'!Env_an*'2024'!Env_an,0.001*[9]mois!$B$261)</f>
        <v>44.292696280967569</v>
      </c>
      <c r="C215" s="829"/>
      <c r="D215" s="391">
        <f t="shared" si="77"/>
        <v>46.019860124497669</v>
      </c>
      <c r="E215" s="383">
        <f t="shared" si="75"/>
        <v>46.92617894094073</v>
      </c>
      <c r="F215" s="383">
        <f t="shared" si="78"/>
        <v>46.92617894094073</v>
      </c>
      <c r="G215" s="110">
        <f t="shared" si="76"/>
        <v>0.78593330449409471</v>
      </c>
      <c r="H215" s="412" t="b">
        <f>Wh_hp&gt;='2023'!Maxi_hp</f>
        <v>0</v>
      </c>
      <c r="I215" s="388">
        <f>IF(H215,Wh_hp,'2023'!Maxi_hp)</f>
        <v>59.221861562396249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3.7530836444474081E-2</v>
      </c>
      <c r="M215" s="832"/>
      <c r="N215" s="832"/>
      <c r="O215" s="48">
        <f>IF(t&lt;Tnet,'2023'!Resal+('2023'!Salim-'2023'!Resal)*(1-EXP(('2023'!Tnet-t)/('2023'!Tau_j))),Resal+(Salim-Resal)*(1-EXP((Tnet-t)/(Tau_j))))*Salcycl</f>
        <v>1.9313714367916381E-2</v>
      </c>
      <c r="P215" s="169">
        <f>(INDEX(Models!$BJ215:$BT215,,T215)*(1-R215)+INDEX(Models!$BJ215:$BT215,,T215+1)*R215-ERP_i)*Q215*Ramure*Pc/MaxiM</f>
        <v>-1.9578266917535816E-20</v>
      </c>
      <c r="Q215" s="304">
        <f t="shared" si="80"/>
        <v>0.6</v>
      </c>
      <c r="R215" s="177">
        <f t="shared" si="81"/>
        <v>0.41816627649851879</v>
      </c>
      <c r="S215" s="799">
        <f t="shared" si="82"/>
        <v>1</v>
      </c>
      <c r="T215" s="176">
        <f t="shared" si="83"/>
        <v>7</v>
      </c>
      <c r="U215" s="250">
        <f t="shared" si="84"/>
        <v>1.4181662764985188</v>
      </c>
      <c r="V215" s="382">
        <f t="shared" si="85"/>
        <v>56.356813011606341</v>
      </c>
      <c r="W215" s="400">
        <f t="shared" si="86"/>
        <v>44.292696280967569</v>
      </c>
      <c r="X215" s="157">
        <f t="shared" si="87"/>
        <v>45492</v>
      </c>
      <c r="Y215" s="383">
        <f t="shared" si="88"/>
        <v>42.701415494650639</v>
      </c>
      <c r="Z215" s="383">
        <f t="shared" si="89"/>
        <v>44.366528416250034</v>
      </c>
      <c r="AA215" s="384">
        <f t="shared" si="90"/>
        <v>46.92617894094073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5.4546323234886979E-2</v>
      </c>
      <c r="AD215" s="230">
        <f>(INDEX(Models!$BJ215:$BT215,,AH215)*(1-AF215)+INDEX(Models!$BJ215:$BT215,,AH215+1)*AF215-ERP_i)*AE215*Ramure*Pc/MaxiM</f>
        <v>-1.9578266917535816E-20</v>
      </c>
      <c r="AE215" s="304">
        <f t="shared" si="92"/>
        <v>0.6</v>
      </c>
      <c r="AF215" s="177">
        <f t="shared" si="93"/>
        <v>0.41816627649851879</v>
      </c>
      <c r="AG215" s="799">
        <f t="shared" si="99"/>
        <v>1</v>
      </c>
      <c r="AH215" s="176">
        <f t="shared" si="94"/>
        <v>7</v>
      </c>
      <c r="AI215" s="224">
        <f t="shared" si="95"/>
        <v>1.4181662764985188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45493</v>
      </c>
      <c r="B216" s="409">
        <f>IF(t&gt;Tmaj,'2023'!Wh/'2023'!Env_an*'2024'!Env_an,0.001*[9]mois!$B$262)</f>
        <v>53.579916341366257</v>
      </c>
      <c r="C216" s="829"/>
      <c r="D216" s="391">
        <f t="shared" si="77"/>
        <v>55.670295981205129</v>
      </c>
      <c r="E216" s="383">
        <f t="shared" si="75"/>
        <v>56.773525960432139</v>
      </c>
      <c r="F216" s="383">
        <f t="shared" si="78"/>
        <v>56.773525960432139</v>
      </c>
      <c r="G216" s="110">
        <f t="shared" si="76"/>
        <v>0.95250304329432023</v>
      </c>
      <c r="H216" s="412" t="b">
        <f>Wh_hp&gt;='2023'!Maxi_hp</f>
        <v>1</v>
      </c>
      <c r="I216" s="388">
        <f>IF(H216,Wh_hp,'2023'!Maxi_hp)</f>
        <v>56.773525960432139</v>
      </c>
      <c r="J216" s="85">
        <f>IF(H216,An,'2023'!An_max)</f>
        <v>2024</v>
      </c>
      <c r="K216" s="197">
        <f t="shared" si="79"/>
        <v>45493</v>
      </c>
      <c r="L216" s="147">
        <f>IF(t&lt;Tvie,1-EXP((T0-t)*PertePVj)+'2023'!Pspv,1-EXP((T0-t)*PertePVj)+Pspv)</f>
        <v>3.7549281946419044E-2</v>
      </c>
      <c r="M216" s="832"/>
      <c r="N216" s="832"/>
      <c r="O216" s="48">
        <f>IF(t&lt;Tnet,'2023'!Resal+('2023'!Salim-'2023'!Resal)*(1-EXP(('2023'!Tnet-t)/('2023'!Tau_j))),Resal+(Salim-Resal)*(1-EXP((Tnet-t)/(Tau_j))))*Salcycl</f>
        <v>1.9432120175095297E-2</v>
      </c>
      <c r="P216" s="169">
        <f>(INDEX(Models!$BJ216:$BT216,,T216)*(1-R216)+INDEX(Models!$BJ216:$BT216,,T216+1)*R216-ERP_i)*Q216*Ramure*Pc/MaxiM</f>
        <v>0</v>
      </c>
      <c r="Q216" s="304">
        <f t="shared" si="80"/>
        <v>0.6</v>
      </c>
      <c r="R216" s="177">
        <f t="shared" si="81"/>
        <v>0.42092114925657875</v>
      </c>
      <c r="S216" s="799">
        <f t="shared" si="82"/>
        <v>1</v>
      </c>
      <c r="T216" s="176">
        <f t="shared" si="83"/>
        <v>7</v>
      </c>
      <c r="U216" s="250">
        <f t="shared" si="84"/>
        <v>1.4209211492565788</v>
      </c>
      <c r="V216" s="382">
        <f t="shared" si="85"/>
        <v>56.251700945810249</v>
      </c>
      <c r="W216" s="400">
        <f t="shared" si="86"/>
        <v>53.579916341366257</v>
      </c>
      <c r="X216" s="157">
        <f t="shared" si="87"/>
        <v>45493</v>
      </c>
      <c r="Y216" s="383">
        <f t="shared" si="88"/>
        <v>51.656872840802492</v>
      </c>
      <c r="Z216" s="383">
        <f t="shared" si="89"/>
        <v>53.672226402689098</v>
      </c>
      <c r="AA216" s="384">
        <f t="shared" si="90"/>
        <v>56.773525960432139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5.4625804990594912E-2</v>
      </c>
      <c r="AD216" s="230">
        <f>(INDEX(Models!$BJ216:$BT216,,AH216)*(1-AF216)+INDEX(Models!$BJ216:$BT216,,AH216+1)*AF216-ERP_i)*AE216*Ramure*Pc/MaxiM</f>
        <v>0</v>
      </c>
      <c r="AE216" s="304">
        <f t="shared" si="92"/>
        <v>0.6</v>
      </c>
      <c r="AF216" s="177">
        <f t="shared" si="93"/>
        <v>0.42092114925657875</v>
      </c>
      <c r="AG216" s="799">
        <f t="shared" si="99"/>
        <v>1</v>
      </c>
      <c r="AH216" s="176">
        <f t="shared" si="94"/>
        <v>7</v>
      </c>
      <c r="AI216" s="224">
        <f t="shared" si="95"/>
        <v>1.4209211492565788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45494</v>
      </c>
      <c r="B217" s="409">
        <f>IF(t&gt;Tmaj,'2023'!Wh/'2023'!Env_an*'2024'!Env_an,0.001*[9]mois!$B$263)</f>
        <v>45.034331613150485</v>
      </c>
      <c r="C217" s="829"/>
      <c r="D217" s="391">
        <f t="shared" si="77"/>
        <v>46.792208533502915</v>
      </c>
      <c r="E217" s="383">
        <f t="shared" si="75"/>
        <v>47.725250698076479</v>
      </c>
      <c r="F217" s="383">
        <f t="shared" si="78"/>
        <v>47.725250698076479</v>
      </c>
      <c r="G217" s="110">
        <f t="shared" si="76"/>
        <v>0.80209786637045488</v>
      </c>
      <c r="H217" s="412" t="b">
        <f>Wh_hp&gt;='2023'!Maxi_hp</f>
        <v>0</v>
      </c>
      <c r="I217" s="388">
        <f>IF(H217,Wh_hp,'2023'!Maxi_hp)</f>
        <v>55.683659624670192</v>
      </c>
      <c r="J217" s="85">
        <f>IF(H217,An,'2023'!An_max)</f>
        <v>2021</v>
      </c>
      <c r="K217" s="197">
        <f t="shared" si="79"/>
        <v>45494</v>
      </c>
      <c r="L217" s="147">
        <f>IF(t&lt;Tvie,1-EXP((T0-t)*PertePVj)+'2023'!Pspv,1-EXP((T0-t)*PertePVj)+Pspv)</f>
        <v>3.7567727094860337E-2</v>
      </c>
      <c r="M217" s="832"/>
      <c r="N217" s="832"/>
      <c r="O217" s="48">
        <f>IF(t&lt;Tnet,'2023'!Resal+('2023'!Salim-'2023'!Resal)*(1-EXP(('2023'!Tnet-t)/('2023'!Tau_j))),Resal+(Salim-Resal)*(1-EXP((Tnet-t)/(Tau_j))))*Salcycl</f>
        <v>1.9550283150449047E-2</v>
      </c>
      <c r="P217" s="169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0.42359932491385788</v>
      </c>
      <c r="S217" s="799">
        <f t="shared" si="82"/>
        <v>1</v>
      </c>
      <c r="T217" s="176">
        <f t="shared" si="83"/>
        <v>7</v>
      </c>
      <c r="U217" s="250">
        <f t="shared" si="84"/>
        <v>1.4235993249138579</v>
      </c>
      <c r="V217" s="382">
        <f t="shared" si="85"/>
        <v>56.145681844204091</v>
      </c>
      <c r="W217" s="400">
        <f t="shared" si="86"/>
        <v>45.034331613150485</v>
      </c>
      <c r="X217" s="157">
        <f t="shared" si="87"/>
        <v>45494</v>
      </c>
      <c r="Y217" s="383">
        <f t="shared" si="88"/>
        <v>43.419599533771404</v>
      </c>
      <c r="Z217" s="383">
        <f t="shared" si="89"/>
        <v>45.11444675759639</v>
      </c>
      <c r="AA217" s="384">
        <f t="shared" si="90"/>
        <v>47.725250698076479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5.4704876397544289E-2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0.42359932491385788</v>
      </c>
      <c r="AG217" s="799">
        <f t="shared" si="99"/>
        <v>1</v>
      </c>
      <c r="AH217" s="176">
        <f t="shared" si="94"/>
        <v>7</v>
      </c>
      <c r="AI217" s="224">
        <f t="shared" si="95"/>
        <v>1.4235993249138579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45495</v>
      </c>
      <c r="B218" s="409">
        <f>IF(t&gt;Tmaj,'2023'!Wh/'2023'!Env_an*'2024'!Env_an,0.001*[9]mois!$B$264)</f>
        <v>44.986450701305337</v>
      </c>
      <c r="C218" s="829"/>
      <c r="D218" s="391">
        <f t="shared" si="77"/>
        <v>46.74335445661783</v>
      </c>
      <c r="E218" s="383">
        <f t="shared" si="75"/>
        <v>47.681157440815838</v>
      </c>
      <c r="F218" s="383">
        <f t="shared" si="78"/>
        <v>47.681157440815838</v>
      </c>
      <c r="G218" s="110">
        <f t="shared" si="76"/>
        <v>0.80277390443400354</v>
      </c>
      <c r="H218" s="412" t="b">
        <f>Wh_hp&gt;='2023'!Maxi_hp</f>
        <v>0</v>
      </c>
      <c r="I218" s="388">
        <f>IF(H218,Wh_hp,'2023'!Maxi_hp)</f>
        <v>57.020157721480658</v>
      </c>
      <c r="J218" s="85">
        <f>IF(H218,An,'2023'!An_max)</f>
        <v>2018</v>
      </c>
      <c r="K218" s="197">
        <f t="shared" si="79"/>
        <v>45495</v>
      </c>
      <c r="L218" s="147">
        <f>IF(t&lt;Tvie,1-EXP((T0-t)*PertePVj)+'2023'!Pspv,1-EXP((T0-t)*PertePVj)+Pspv)</f>
        <v>3.7586171889804398E-2</v>
      </c>
      <c r="M218" s="832"/>
      <c r="N218" s="832"/>
      <c r="O218" s="48">
        <f>IF(t&lt;Tnet,'2023'!Resal+('2023'!Salim-'2023'!Resal)*(1-EXP(('2023'!Tnet-t)/('2023'!Tau_j))),Resal+(Salim-Resal)*(1-EXP((Tnet-t)/(Tau_j))))*Salcycl</f>
        <v>1.9668209299702078E-2</v>
      </c>
      <c r="P218" s="169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0.42620179467499009</v>
      </c>
      <c r="S218" s="799">
        <f t="shared" si="82"/>
        <v>1</v>
      </c>
      <c r="T218" s="176">
        <f t="shared" si="83"/>
        <v>7</v>
      </c>
      <c r="U218" s="250">
        <f t="shared" si="84"/>
        <v>1.4262017946749901</v>
      </c>
      <c r="V218" s="382">
        <f t="shared" si="85"/>
        <v>56.038755685541467</v>
      </c>
      <c r="W218" s="400">
        <f t="shared" si="86"/>
        <v>44.986450701305337</v>
      </c>
      <c r="X218" s="157">
        <f t="shared" si="87"/>
        <v>45495</v>
      </c>
      <c r="Y218" s="383">
        <f t="shared" si="88"/>
        <v>43.37504226280808</v>
      </c>
      <c r="Z218" s="383">
        <f t="shared" si="89"/>
        <v>45.069013968741181</v>
      </c>
      <c r="AA218" s="384">
        <f t="shared" si="90"/>
        <v>47.681157440815838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5.4783558375590458E-2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0.42620179467499009</v>
      </c>
      <c r="AG218" s="799">
        <f t="shared" si="99"/>
        <v>1</v>
      </c>
      <c r="AH218" s="176">
        <f t="shared" si="94"/>
        <v>7</v>
      </c>
      <c r="AI218" s="224">
        <f t="shared" si="95"/>
        <v>1.4262017946749901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45496</v>
      </c>
      <c r="B219" s="409">
        <f>IF(t&gt;Tmaj,'2023'!Wh/'2023'!Env_an*'2024'!Env_an,0.001*[9]mois!$B$265)</f>
        <v>53.832342156658996</v>
      </c>
      <c r="C219" s="829"/>
      <c r="D219" s="391">
        <f t="shared" si="77"/>
        <v>55.935785925577747</v>
      </c>
      <c r="E219" s="383">
        <f t="shared" si="75"/>
        <v>57.064865907333974</v>
      </c>
      <c r="F219" s="383">
        <f t="shared" si="78"/>
        <v>57.064865907333974</v>
      </c>
      <c r="G219" s="110">
        <f t="shared" si="76"/>
        <v>0.96247528086777845</v>
      </c>
      <c r="H219" s="412" t="b">
        <f>Wh_hp&gt;='2023'!Maxi_hp</f>
        <v>0</v>
      </c>
      <c r="I219" s="388">
        <f>IF(H219,Wh_hp,'2023'!Maxi_hp)</f>
        <v>57.130225133334037</v>
      </c>
      <c r="J219" s="85">
        <f>IF(H219,An,'2023'!An_max)</f>
        <v>2018</v>
      </c>
      <c r="K219" s="197">
        <f t="shared" si="79"/>
        <v>45496</v>
      </c>
      <c r="L219" s="147">
        <f>IF(t&lt;Tvie,1-EXP((T0-t)*PertePVj)+'2023'!Pspv,1-EXP((T0-t)*PertePVj)+Pspv)</f>
        <v>3.7604616331258334E-2</v>
      </c>
      <c r="M219" s="832"/>
      <c r="N219" s="832"/>
      <c r="O219" s="48">
        <f>IF(t&lt;Tnet,'2023'!Resal+('2023'!Salim-'2023'!Resal)*(1-EXP(('2023'!Tnet-t)/('2023'!Tau_j))),Resal+(Salim-Resal)*(1-EXP((Tnet-t)/(Tau_j))))*Salcycl</f>
        <v>1.9785904405518275E-2</v>
      </c>
      <c r="P219" s="169">
        <f>(INDEX(Models!$BJ219:$BT219,,T219)*(1-R219)+INDEX(Models!$BJ219:$BT219,,T219+1)*R219-ERP_i)*Q219*Ramure*Pc/MaxiM</f>
        <v>-1.9739139617537201E-20</v>
      </c>
      <c r="Q219" s="304">
        <f t="shared" si="80"/>
        <v>0.6</v>
      </c>
      <c r="R219" s="177">
        <f t="shared" si="81"/>
        <v>0.4287296187178673</v>
      </c>
      <c r="S219" s="799">
        <f t="shared" si="82"/>
        <v>1</v>
      </c>
      <c r="T219" s="176">
        <f t="shared" si="83"/>
        <v>7</v>
      </c>
      <c r="U219" s="250">
        <f t="shared" si="84"/>
        <v>1.4287296187178673</v>
      </c>
      <c r="V219" s="382">
        <f t="shared" si="85"/>
        <v>55.931142572433814</v>
      </c>
      <c r="W219" s="400">
        <f t="shared" si="86"/>
        <v>53.832342156658996</v>
      </c>
      <c r="X219" s="157">
        <f t="shared" si="87"/>
        <v>45496</v>
      </c>
      <c r="Y219" s="383">
        <f t="shared" si="88"/>
        <v>51.906006437088088</v>
      </c>
      <c r="Z219" s="383">
        <f t="shared" si="89"/>
        <v>53.934180605914293</v>
      </c>
      <c r="AA219" s="384">
        <f t="shared" si="90"/>
        <v>57.064865907333974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5.4861870813882538E-2</v>
      </c>
      <c r="AD219" s="230">
        <f>(INDEX(Models!$BJ219:$BT219,,AH219)*(1-AF219)+INDEX(Models!$BJ219:$BT219,,AH219+1)*AF219-ERP_i)*AE219*Ramure*Pc/MaxiM</f>
        <v>-1.9739139617537201E-20</v>
      </c>
      <c r="AE219" s="304">
        <f t="shared" si="92"/>
        <v>0.6</v>
      </c>
      <c r="AF219" s="177">
        <f t="shared" si="93"/>
        <v>0.4287296187178673</v>
      </c>
      <c r="AG219" s="799">
        <f t="shared" si="99"/>
        <v>1</v>
      </c>
      <c r="AH219" s="176">
        <f t="shared" si="94"/>
        <v>7</v>
      </c>
      <c r="AI219" s="224">
        <f t="shared" si="95"/>
        <v>1.4287296187178673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45497</v>
      </c>
      <c r="B220" s="409">
        <f>IF(t&gt;Tmaj,'2023'!Wh/'2023'!Env_an*'2024'!Env_an,0.001*[9]mois!$B$266)</f>
        <v>26.437572322925085</v>
      </c>
      <c r="C220" s="829"/>
      <c r="D220" s="391">
        <f t="shared" si="77"/>
        <v>27.471119927750724</v>
      </c>
      <c r="E220" s="383">
        <f t="shared" si="75"/>
        <v>28.028991426733494</v>
      </c>
      <c r="F220" s="383">
        <f t="shared" si="78"/>
        <v>28.028991426733494</v>
      </c>
      <c r="G220" s="110">
        <f t="shared" si="76"/>
        <v>0.47359645295049035</v>
      </c>
      <c r="H220" s="412" t="b">
        <f>Wh_hp&gt;='2023'!Maxi_hp</f>
        <v>0</v>
      </c>
      <c r="I220" s="388">
        <f>IF(H220,Wh_hp,'2023'!Maxi_hp)</f>
        <v>58.039813998105629</v>
      </c>
      <c r="J220" s="85">
        <f>IF(H220,An,'2023'!An_max)</f>
        <v>2018</v>
      </c>
      <c r="K220" s="197">
        <f t="shared" si="79"/>
        <v>45497</v>
      </c>
      <c r="L220" s="147">
        <f>IF(t&lt;Tvie,1-EXP((T0-t)*PertePVj)+'2023'!Pspv,1-EXP((T0-t)*PertePVj)+Pspv)</f>
        <v>3.7623060419228582E-2</v>
      </c>
      <c r="M220" s="832"/>
      <c r="N220" s="832"/>
      <c r="O220" s="48">
        <f>IF(t&lt;Tnet,'2023'!Resal+('2023'!Salim-'2023'!Resal)*(1-EXP(('2023'!Tnet-t)/('2023'!Tau_j))),Resal+(Salim-Resal)*(1-EXP((Tnet-t)/(Tau_j))))*Salcycl</f>
        <v>1.9903373991926165E-2</v>
      </c>
      <c r="P220" s="169">
        <f>(INDEX(Models!$BJ220:$BT220,,T220)*(1-R220)+INDEX(Models!$BJ220:$BT220,,T220+1)*R220-ERP_i)*Q220*Ramure*Pc/MaxiM</f>
        <v>0</v>
      </c>
      <c r="Q220" s="304">
        <f t="shared" si="80"/>
        <v>0.6</v>
      </c>
      <c r="R220" s="177">
        <f t="shared" si="81"/>
        <v>0.43118391970500225</v>
      </c>
      <c r="S220" s="799">
        <f t="shared" si="82"/>
        <v>1</v>
      </c>
      <c r="T220" s="176">
        <f t="shared" si="83"/>
        <v>7</v>
      </c>
      <c r="U220" s="250">
        <f t="shared" si="84"/>
        <v>1.4311839197050022</v>
      </c>
      <c r="V220" s="382">
        <f t="shared" si="85"/>
        <v>55.822994784314531</v>
      </c>
      <c r="W220" s="400">
        <f t="shared" si="86"/>
        <v>26.437572322925085</v>
      </c>
      <c r="X220" s="157">
        <f t="shared" si="87"/>
        <v>45497</v>
      </c>
      <c r="Y220" s="383">
        <f t="shared" si="88"/>
        <v>25.492482949936495</v>
      </c>
      <c r="Z220" s="383">
        <f t="shared" si="89"/>
        <v>26.489083332609233</v>
      </c>
      <c r="AA220" s="384">
        <f t="shared" si="90"/>
        <v>28.028991426733494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5.4939832499842564E-2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0.43118391970500225</v>
      </c>
      <c r="AG220" s="799">
        <f t="shared" si="99"/>
        <v>1</v>
      </c>
      <c r="AH220" s="176">
        <f t="shared" si="94"/>
        <v>7</v>
      </c>
      <c r="AI220" s="224">
        <f t="shared" si="95"/>
        <v>1.4311839197050022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45498</v>
      </c>
      <c r="B221" s="409">
        <f>IF(t&gt;Tmaj,'2023'!Wh/'2023'!Env_an*'2024'!Env_an,0.001*[9]mois!$B$267)</f>
        <v>56.134629588981689</v>
      </c>
      <c r="C221" s="829"/>
      <c r="D221" s="391">
        <f t="shared" si="77"/>
        <v>58.330268638214783</v>
      </c>
      <c r="E221" s="383">
        <f t="shared" si="75"/>
        <v>59.521934873943664</v>
      </c>
      <c r="F221" s="383">
        <f t="shared" si="78"/>
        <v>59.521934873943664</v>
      </c>
      <c r="G221" s="110">
        <f t="shared" si="76"/>
        <v>1.0075459914600897</v>
      </c>
      <c r="H221" s="412" t="b">
        <f>Wh_hp&gt;='2023'!Maxi_hp</f>
        <v>1</v>
      </c>
      <c r="I221" s="388">
        <f>IF(H221,Wh_hp,'2023'!Maxi_hp)</f>
        <v>59.521934873943664</v>
      </c>
      <c r="J221" s="85">
        <f>IF(H221,An,'2023'!An_max)</f>
        <v>2024</v>
      </c>
      <c r="K221" s="197">
        <f t="shared" si="79"/>
        <v>45498</v>
      </c>
      <c r="L221" s="147">
        <f>IF(t&lt;Tvie,1-EXP((T0-t)*PertePVj)+'2023'!Pspv,1-EXP((T0-t)*PertePVj)+Pspv)</f>
        <v>3.7641504153722249E-2</v>
      </c>
      <c r="M221" s="832"/>
      <c r="N221" s="832"/>
      <c r="O221" s="48">
        <f>IF(t&lt;Tnet,'2023'!Resal+('2023'!Salim-'2023'!Resal)*(1-EXP(('2023'!Tnet-t)/('2023'!Tau_j))),Resal+(Salim-Resal)*(1-EXP((Tnet-t)/(Tau_j))))*Salcycl</f>
        <v>2.0020623292112471E-2</v>
      </c>
      <c r="P221" s="169">
        <f>(INDEX(Models!$BJ221:$BT221,,T221)*(1-R221)+INDEX(Models!$BJ221:$BT221,,T221+1)*R221-ERP_i)*Q221*Ramure*Pc/MaxiM</f>
        <v>1.9815619349392699E-20</v>
      </c>
      <c r="Q221" s="304">
        <f t="shared" si="80"/>
        <v>0.6</v>
      </c>
      <c r="R221" s="177">
        <f t="shared" si="81"/>
        <v>0.43356587648286116</v>
      </c>
      <c r="S221" s="799">
        <f t="shared" si="82"/>
        <v>1</v>
      </c>
      <c r="T221" s="176">
        <f t="shared" si="83"/>
        <v>7</v>
      </c>
      <c r="U221" s="250">
        <f t="shared" si="84"/>
        <v>1.4335658764828612</v>
      </c>
      <c r="V221" s="382">
        <f t="shared" si="85"/>
        <v>55.714210631351868</v>
      </c>
      <c r="W221" s="400">
        <f t="shared" si="86"/>
        <v>56.134629588981689</v>
      </c>
      <c r="X221" s="157">
        <f t="shared" si="87"/>
        <v>45498</v>
      </c>
      <c r="Y221" s="383">
        <f t="shared" si="88"/>
        <v>54.129960336218048</v>
      </c>
      <c r="Z221" s="383">
        <f t="shared" si="89"/>
        <v>56.247189139861341</v>
      </c>
      <c r="AA221" s="384">
        <f t="shared" si="90"/>
        <v>59.521934873943664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5.5017461058979707E-2</v>
      </c>
      <c r="AD221" s="230">
        <f>(INDEX(Models!$BJ221:$BT221,,AH221)*(1-AF221)+INDEX(Models!$BJ221:$BT221,,AH221+1)*AF221-ERP_i)*AE221*Ramure*Pc/MaxiM</f>
        <v>1.9815619349392699E-20</v>
      </c>
      <c r="AE221" s="304">
        <f t="shared" si="92"/>
        <v>0.6</v>
      </c>
      <c r="AF221" s="177">
        <f t="shared" si="93"/>
        <v>0.43356587648286116</v>
      </c>
      <c r="AG221" s="799">
        <f t="shared" si="99"/>
        <v>1</v>
      </c>
      <c r="AH221" s="176">
        <f t="shared" si="94"/>
        <v>7</v>
      </c>
      <c r="AI221" s="224">
        <f t="shared" si="95"/>
        <v>1.4335658764828612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45499</v>
      </c>
      <c r="B222" s="409">
        <f>IF(t&gt;Tmaj,'2023'!Wh/'2023'!Env_an*'2024'!Env_an,0.001*[9]mois!$B$268)</f>
        <v>57.559311497269832</v>
      </c>
      <c r="C222" s="829"/>
      <c r="D222" s="391">
        <f t="shared" si="77"/>
        <v>59.811821559144811</v>
      </c>
      <c r="E222" s="383">
        <f t="shared" si="75"/>
        <v>61.041045203793374</v>
      </c>
      <c r="F222" s="383">
        <f t="shared" si="78"/>
        <v>61.041045203793374</v>
      </c>
      <c r="G222" s="110">
        <f t="shared" si="76"/>
        <v>1.0351521256731888</v>
      </c>
      <c r="H222" s="412" t="b">
        <f>Wh_hp&gt;='2023'!Maxi_hp</f>
        <v>1</v>
      </c>
      <c r="I222" s="388">
        <f>IF(H222,Wh_hp,'2023'!Maxi_hp)</f>
        <v>61.041045203793374</v>
      </c>
      <c r="J222" s="85">
        <f>IF(H222,An,'2023'!An_max)</f>
        <v>2024</v>
      </c>
      <c r="K222" s="197">
        <f t="shared" si="79"/>
        <v>45499</v>
      </c>
      <c r="L222" s="147">
        <f>IF(t&lt;Tvie,1-EXP((T0-t)*PertePVj)+'2023'!Pspv,1-EXP((T0-t)*PertePVj)+Pspv)</f>
        <v>3.7659947534745886E-2</v>
      </c>
      <c r="M222" s="832"/>
      <c r="N222" s="832"/>
      <c r="O222" s="48">
        <f>IF(t&lt;Tnet,'2023'!Resal+('2023'!Salim-'2023'!Resal)*(1-EXP(('2023'!Tnet-t)/('2023'!Tau_j))),Resal+(Salim-Resal)*(1-EXP((Tnet-t)/(Tau_j))))*Salcycl</f>
        <v>2.0137657219738671E-2</v>
      </c>
      <c r="P222" s="169">
        <f>(INDEX(Models!$BJ222:$BT222,,T222)*(1-R222)+INDEX(Models!$BJ222:$BT222,,T222+1)*R222-ERP_i)*Q222*Ramure*Pc/MaxiM</f>
        <v>-1.9853125481685476E-20</v>
      </c>
      <c r="Q222" s="304">
        <f t="shared" si="80"/>
        <v>0.6</v>
      </c>
      <c r="R222" s="177">
        <f t="shared" si="81"/>
        <v>0.43587671798782712</v>
      </c>
      <c r="S222" s="799">
        <f t="shared" si="82"/>
        <v>1</v>
      </c>
      <c r="T222" s="176">
        <f t="shared" si="83"/>
        <v>7</v>
      </c>
      <c r="U222" s="250">
        <f t="shared" si="84"/>
        <v>1.4358767179878271</v>
      </c>
      <c r="V222" s="382">
        <f t="shared" si="85"/>
        <v>55.6046884991299</v>
      </c>
      <c r="W222" s="400">
        <f t="shared" si="86"/>
        <v>57.559311497269832</v>
      </c>
      <c r="X222" s="157">
        <f t="shared" si="87"/>
        <v>45499</v>
      </c>
      <c r="Y222" s="383">
        <f t="shared" si="88"/>
        <v>55.505852125517933</v>
      </c>
      <c r="Z222" s="383">
        <f t="shared" si="89"/>
        <v>57.67800268036958</v>
      </c>
      <c r="AA222" s="384">
        <f t="shared" si="90"/>
        <v>61.041045203793374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5.5094772905605445E-2</v>
      </c>
      <c r="AD222" s="230">
        <f>(INDEX(Models!$BJ222:$BT222,,AH222)*(1-AF222)+INDEX(Models!$BJ222:$BT222,,AH222+1)*AF222-ERP_i)*AE222*Ramure*Pc/MaxiM</f>
        <v>-1.9853125481685476E-20</v>
      </c>
      <c r="AE222" s="304">
        <f t="shared" si="92"/>
        <v>0.6</v>
      </c>
      <c r="AF222" s="177">
        <f t="shared" si="93"/>
        <v>0.43587671798782712</v>
      </c>
      <c r="AG222" s="799">
        <f t="shared" si="99"/>
        <v>1</v>
      </c>
      <c r="AH222" s="176">
        <f t="shared" si="94"/>
        <v>7</v>
      </c>
      <c r="AI222" s="224">
        <f t="shared" si="95"/>
        <v>1.4358767179878271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45500</v>
      </c>
      <c r="B223" s="409">
        <f>IF(t&gt;Tmaj,'2023'!Wh/'2023'!Env_an*'2024'!Env_an,0.001*[9]mois!$B$269)</f>
        <v>43.587689458265658</v>
      </c>
      <c r="C223" s="829"/>
      <c r="D223" s="391">
        <f t="shared" si="77"/>
        <v>45.294306010373113</v>
      </c>
      <c r="E223" s="383">
        <f t="shared" si="75"/>
        <v>46.230684500880947</v>
      </c>
      <c r="F223" s="383">
        <f t="shared" si="78"/>
        <v>46.230684500880947</v>
      </c>
      <c r="G223" s="110">
        <f t="shared" si="76"/>
        <v>0.78544406126196076</v>
      </c>
      <c r="H223" s="412" t="b">
        <f>Wh_hp&gt;='2023'!Maxi_hp</f>
        <v>0</v>
      </c>
      <c r="I223" s="388">
        <f>IF(H223,Wh_hp,'2023'!Maxi_hp)</f>
        <v>56.607198272356136</v>
      </c>
      <c r="J223" s="85">
        <f>IF(H223,An,'2023'!An_max)</f>
        <v>2020</v>
      </c>
      <c r="K223" s="197">
        <f t="shared" si="79"/>
        <v>45500</v>
      </c>
      <c r="L223" s="147">
        <f>IF(t&lt;Tvie,1-EXP((T0-t)*PertePVj)+'2023'!Pspv,1-EXP((T0-t)*PertePVj)+Pspv)</f>
        <v>3.7678390562306263E-2</v>
      </c>
      <c r="M223" s="832"/>
      <c r="N223" s="832"/>
      <c r="O223" s="48">
        <f>IF(t&lt;Tnet,'2023'!Resal+('2023'!Salim-'2023'!Resal)*(1-EXP(('2023'!Tnet-t)/('2023'!Tau_j))),Resal+(Salim-Resal)*(1-EXP((Tnet-t)/(Tau_j))))*Salcycl</f>
        <v>2.0254480343893485E-2</v>
      </c>
      <c r="P223" s="169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0.43811771737440863</v>
      </c>
      <c r="S223" s="799">
        <f t="shared" si="82"/>
        <v>1</v>
      </c>
      <c r="T223" s="176">
        <f t="shared" si="83"/>
        <v>7</v>
      </c>
      <c r="U223" s="250">
        <f t="shared" si="84"/>
        <v>1.4381177173744086</v>
      </c>
      <c r="V223" s="382">
        <f t="shared" si="85"/>
        <v>55.494326850258432</v>
      </c>
      <c r="W223" s="400">
        <f t="shared" si="86"/>
        <v>43.587689458265658</v>
      </c>
      <c r="X223" s="157">
        <f t="shared" si="87"/>
        <v>45500</v>
      </c>
      <c r="Y223" s="383">
        <f t="shared" si="88"/>
        <v>42.034261018665887</v>
      </c>
      <c r="Z223" s="383">
        <f t="shared" si="89"/>
        <v>43.680055198207029</v>
      </c>
      <c r="AA223" s="384">
        <f t="shared" si="90"/>
        <v>46.230684500880947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5.5171783204406466E-2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0.43811771737440863</v>
      </c>
      <c r="AG223" s="799">
        <f t="shared" si="99"/>
        <v>1</v>
      </c>
      <c r="AH223" s="176">
        <f t="shared" si="94"/>
        <v>7</v>
      </c>
      <c r="AI223" s="224">
        <f t="shared" si="95"/>
        <v>1.4381177173744086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45501</v>
      </c>
      <c r="B224" s="409">
        <f>IF(t&gt;Tmaj,'2023'!Wh/'2023'!Env_an*'2024'!Env_an,0.001*[9]mois!$B$270)</f>
        <v>30.173233937863355</v>
      </c>
      <c r="C224" s="829"/>
      <c r="D224" s="391">
        <f t="shared" si="77"/>
        <v>31.355226689465997</v>
      </c>
      <c r="E224" s="383">
        <f t="shared" si="75"/>
        <v>32.007249468866618</v>
      </c>
      <c r="F224" s="383">
        <f t="shared" si="78"/>
        <v>32.007249468866618</v>
      </c>
      <c r="G224" s="110">
        <f t="shared" si="76"/>
        <v>0.54481015365298768</v>
      </c>
      <c r="H224" s="412" t="b">
        <f>Wh_hp&gt;='2023'!Maxi_hp</f>
        <v>0</v>
      </c>
      <c r="I224" s="388">
        <f>IF(H224,Wh_hp,'2023'!Maxi_hp)</f>
        <v>59.144534762584179</v>
      </c>
      <c r="J224" s="85">
        <f>IF(H224,An,'2023'!An_max)</f>
        <v>2018</v>
      </c>
      <c r="K224" s="197">
        <f t="shared" si="79"/>
        <v>45501</v>
      </c>
      <c r="L224" s="147">
        <f>IF(t&lt;Tvie,1-EXP((T0-t)*PertePVj)+'2023'!Pspv,1-EXP((T0-t)*PertePVj)+Pspv)</f>
        <v>3.7696833236410376E-2</v>
      </c>
      <c r="M224" s="832"/>
      <c r="N224" s="832"/>
      <c r="O224" s="48">
        <f>IF(t&lt;Tnet,'2023'!Resal+('2023'!Salim-'2023'!Resal)*(1-EXP(('2023'!Tnet-t)/('2023'!Tau_j))),Resal+(Salim-Resal)*(1-EXP((Tnet-t)/(Tau_j))))*Salcycl</f>
        <v>2.0371096867753076E-2</v>
      </c>
      <c r="P224" s="169">
        <f>(INDEX(Models!$BJ224:$BT224,,T224)*(1-R224)+INDEX(Models!$BJ224:$BT224,,T224+1)*R224-ERP_i)*Q224*Ramure*Pc/MaxiM</f>
        <v>-1.9927150967186139E-20</v>
      </c>
      <c r="Q224" s="304">
        <f t="shared" si="80"/>
        <v>0.6</v>
      </c>
      <c r="R224" s="177">
        <f t="shared" si="81"/>
        <v>0.44029018637844208</v>
      </c>
      <c r="S224" s="799">
        <f t="shared" si="82"/>
        <v>1</v>
      </c>
      <c r="T224" s="176">
        <f t="shared" si="83"/>
        <v>7</v>
      </c>
      <c r="U224" s="250">
        <f t="shared" si="84"/>
        <v>1.4402901863784421</v>
      </c>
      <c r="V224" s="382">
        <f t="shared" si="85"/>
        <v>55.383024225135763</v>
      </c>
      <c r="W224" s="400">
        <f t="shared" si="86"/>
        <v>30.173233937863355</v>
      </c>
      <c r="X224" s="157">
        <f t="shared" si="87"/>
        <v>45501</v>
      </c>
      <c r="Y224" s="383">
        <f t="shared" si="88"/>
        <v>29.098986111177563</v>
      </c>
      <c r="Z224" s="383">
        <f t="shared" si="89"/>
        <v>30.238896759576342</v>
      </c>
      <c r="AA224" s="384">
        <f t="shared" si="90"/>
        <v>32.007249468866618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5.5248505842726385E-2</v>
      </c>
      <c r="AD224" s="230">
        <f>(INDEX(Models!$BJ224:$BT224,,AH224)*(1-AF224)+INDEX(Models!$BJ224:$BT224,,AH224+1)*AF224-ERP_i)*AE224*Ramure*Pc/MaxiM</f>
        <v>-1.9927150967186139E-20</v>
      </c>
      <c r="AE224" s="304">
        <f t="shared" si="92"/>
        <v>0.6</v>
      </c>
      <c r="AF224" s="177">
        <f t="shared" si="93"/>
        <v>0.44029018637844208</v>
      </c>
      <c r="AG224" s="799">
        <f t="shared" si="99"/>
        <v>1</v>
      </c>
      <c r="AH224" s="176">
        <f t="shared" si="94"/>
        <v>7</v>
      </c>
      <c r="AI224" s="224">
        <f t="shared" si="95"/>
        <v>1.4402901863784421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45502</v>
      </c>
      <c r="B225" s="409">
        <f>IF(t&gt;Tmaj,'2023'!Wh/'2023'!Env_an*'2024'!Env_an,0.001*[9]mois!$B$271)</f>
        <v>48.528481419235455</v>
      </c>
      <c r="C225" s="829"/>
      <c r="D225" s="391">
        <f t="shared" si="77"/>
        <v>50.430480902966117</v>
      </c>
      <c r="E225" s="383">
        <f t="shared" si="75"/>
        <v>51.485286251349898</v>
      </c>
      <c r="F225" s="383">
        <f t="shared" si="78"/>
        <v>51.485286251349898</v>
      </c>
      <c r="G225" s="110">
        <f t="shared" si="76"/>
        <v>0.87801492734352826</v>
      </c>
      <c r="H225" s="412" t="b">
        <f>Wh_hp&gt;='2023'!Maxi_hp</f>
        <v>1</v>
      </c>
      <c r="I225" s="388">
        <f>IF(H225,Wh_hp,'2023'!Maxi_hp)</f>
        <v>51.485286251349898</v>
      </c>
      <c r="J225" s="85">
        <f>IF(H225,An,'2023'!An_max)</f>
        <v>2024</v>
      </c>
      <c r="K225" s="197">
        <f t="shared" si="79"/>
        <v>45502</v>
      </c>
      <c r="L225" s="147">
        <f>IF(t&lt;Tvie,1-EXP((T0-t)*PertePVj)+'2023'!Pspv,1-EXP((T0-t)*PertePVj)+Pspv)</f>
        <v>3.7715275557064776E-2</v>
      </c>
      <c r="M225" s="832"/>
      <c r="N225" s="832"/>
      <c r="O225" s="48">
        <f>IF(t&lt;Tnet,'2023'!Resal+('2023'!Salim-'2023'!Resal)*(1-EXP(('2023'!Tnet-t)/('2023'!Tau_j))),Resal+(Salim-Resal)*(1-EXP((Tnet-t)/(Tau_j))))*Salcycl</f>
        <v>2.048751061097823E-2</v>
      </c>
      <c r="P225" s="169">
        <f>(INDEX(Models!$BJ225:$BT225,,T225)*(1-R225)+INDEX(Models!$BJ225:$BT225,,T225+1)*R225-ERP_i)*Q225*Ramure*Pc/MaxiM</f>
        <v>0</v>
      </c>
      <c r="Q225" s="304">
        <f t="shared" si="80"/>
        <v>0.6</v>
      </c>
      <c r="R225" s="177">
        <f t="shared" si="81"/>
        <v>0.4423954699253243</v>
      </c>
      <c r="S225" s="799">
        <f t="shared" si="82"/>
        <v>1</v>
      </c>
      <c r="T225" s="176">
        <f t="shared" si="83"/>
        <v>7</v>
      </c>
      <c r="U225" s="250">
        <f t="shared" si="84"/>
        <v>1.4423954699253243</v>
      </c>
      <c r="V225" s="382">
        <f t="shared" si="85"/>
        <v>55.270679242391076</v>
      </c>
      <c r="W225" s="400">
        <f t="shared" si="86"/>
        <v>48.528481419235455</v>
      </c>
      <c r="X225" s="157">
        <f t="shared" si="87"/>
        <v>45502</v>
      </c>
      <c r="Y225" s="383">
        <f t="shared" si="88"/>
        <v>46.802512415225259</v>
      </c>
      <c r="Z225" s="383">
        <f t="shared" si="89"/>
        <v>48.636865188023371</v>
      </c>
      <c r="AA225" s="384">
        <f t="shared" si="90"/>
        <v>51.485286251349898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5.5324953413303499E-2</v>
      </c>
      <c r="AD225" s="230">
        <f>(INDEX(Models!$BJ225:$BT225,,AH225)*(1-AF225)+INDEX(Models!$BJ225:$BT225,,AH225+1)*AF225-ERP_i)*AE225*Ramure*Pc/MaxiM</f>
        <v>0</v>
      </c>
      <c r="AE225" s="304">
        <f t="shared" si="92"/>
        <v>0.6</v>
      </c>
      <c r="AF225" s="177">
        <f t="shared" si="93"/>
        <v>0.4423954699253243</v>
      </c>
      <c r="AG225" s="799">
        <f t="shared" si="99"/>
        <v>1</v>
      </c>
      <c r="AH225" s="176">
        <f t="shared" si="94"/>
        <v>7</v>
      </c>
      <c r="AI225" s="224">
        <f t="shared" si="95"/>
        <v>1.4423954699253243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45503</v>
      </c>
      <c r="B226" s="409">
        <f>IF(t&gt;Tmaj,'2023'!Wh/'2023'!Env_an*'2024'!Env_an,0.001*[9]mois!$B$272)</f>
        <v>55.178080271878173</v>
      </c>
      <c r="C226" s="829"/>
      <c r="D226" s="391">
        <f t="shared" si="77"/>
        <v>57.341799537977906</v>
      </c>
      <c r="E226" s="383">
        <f t="shared" si="75"/>
        <v>58.548108667999671</v>
      </c>
      <c r="F226" s="383">
        <f t="shared" si="78"/>
        <v>58.548108667999671</v>
      </c>
      <c r="G226" s="110">
        <f t="shared" si="76"/>
        <v>1.00037872980777</v>
      </c>
      <c r="H226" s="412" t="b">
        <f>Wh_hp&gt;='2023'!Maxi_hp</f>
        <v>1</v>
      </c>
      <c r="I226" s="388">
        <f>IF(H226,Wh_hp,'2023'!Maxi_hp)</f>
        <v>58.548108667999671</v>
      </c>
      <c r="J226" s="85">
        <f>IF(H226,An,'2023'!An_max)</f>
        <v>2024</v>
      </c>
      <c r="K226" s="197">
        <f t="shared" si="79"/>
        <v>45503</v>
      </c>
      <c r="L226" s="147">
        <f>IF(t&lt;Tvie,1-EXP((T0-t)*PertePVj)+'2023'!Pspv,1-EXP((T0-t)*PertePVj)+Pspv)</f>
        <v>3.7733717524276233E-2</v>
      </c>
      <c r="M226" s="832"/>
      <c r="N226" s="832"/>
      <c r="O226" s="48">
        <f>IF(t&lt;Tnet,'2023'!Resal+('2023'!Salim-'2023'!Resal)*(1-EXP(('2023'!Tnet-t)/('2023'!Tau_j))),Resal+(Salim-Resal)*(1-EXP((Tnet-t)/(Tau_j))))*Salcycl</f>
        <v>2.0603724995835616E-2</v>
      </c>
      <c r="P226" s="169">
        <f>(INDEX(Models!$BJ226:$BT226,,T226)*(1-R226)+INDEX(Models!$BJ226:$BT226,,T226+1)*R226-ERP_i)*Q226*Ramure*Pc/MaxiM</f>
        <v>0</v>
      </c>
      <c r="Q226" s="304">
        <f t="shared" si="80"/>
        <v>0.6</v>
      </c>
      <c r="R226" s="177">
        <f t="shared" si="81"/>
        <v>0.4444349409907975</v>
      </c>
      <c r="S226" s="799">
        <f t="shared" si="82"/>
        <v>1</v>
      </c>
      <c r="T226" s="176">
        <f t="shared" si="83"/>
        <v>7</v>
      </c>
      <c r="U226" s="250">
        <f t="shared" si="84"/>
        <v>1.4444349409907975</v>
      </c>
      <c r="V226" s="382">
        <f t="shared" si="85"/>
        <v>55.157190599685222</v>
      </c>
      <c r="W226" s="400">
        <f t="shared" si="86"/>
        <v>55.178080271878173</v>
      </c>
      <c r="X226" s="157">
        <f t="shared" si="87"/>
        <v>45503</v>
      </c>
      <c r="Y226" s="383">
        <f t="shared" si="88"/>
        <v>53.217633358559759</v>
      </c>
      <c r="Z226" s="383">
        <f t="shared" si="89"/>
        <v>55.304476866466892</v>
      </c>
      <c r="AA226" s="384">
        <f t="shared" si="90"/>
        <v>58.548108667999671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5.5401137207112525E-2</v>
      </c>
      <c r="AD226" s="230">
        <f>(INDEX(Models!$BJ226:$BT226,,AH226)*(1-AF226)+INDEX(Models!$BJ226:$BT226,,AH226+1)*AF226-ERP_i)*AE226*Ramure*Pc/MaxiM</f>
        <v>0</v>
      </c>
      <c r="AE226" s="304">
        <f t="shared" si="92"/>
        <v>0.6</v>
      </c>
      <c r="AF226" s="177">
        <f t="shared" si="93"/>
        <v>0.4444349409907975</v>
      </c>
      <c r="AG226" s="799">
        <f t="shared" si="99"/>
        <v>1</v>
      </c>
      <c r="AH226" s="176">
        <f t="shared" si="94"/>
        <v>7</v>
      </c>
      <c r="AI226" s="224">
        <f t="shared" si="95"/>
        <v>1.4444349409907975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45504</v>
      </c>
      <c r="B227" s="409">
        <f>IF(t&gt;Tmaj,'2023'!Wh/'2023'!Env_an*'2024'!Env_an,0.001*'[10]mon-tableau (1)'!$B$242)</f>
        <v>54.821380048808294</v>
      </c>
      <c r="C227" s="829"/>
      <c r="D227" s="391">
        <f t="shared" si="77"/>
        <v>56.972203751271813</v>
      </c>
      <c r="E227" s="383">
        <f t="shared" si="75"/>
        <v>58.177629280464252</v>
      </c>
      <c r="F227" s="383">
        <f t="shared" si="78"/>
        <v>58.177629280464252</v>
      </c>
      <c r="G227" s="110">
        <f t="shared" si="76"/>
        <v>0.99598351824544618</v>
      </c>
      <c r="H227" s="412" t="b">
        <f>Wh_hp&gt;='2023'!Maxi_hp</f>
        <v>1</v>
      </c>
      <c r="I227" s="388">
        <f>IF(H227,Wh_hp,'2023'!Maxi_hp)</f>
        <v>58.177629280464252</v>
      </c>
      <c r="J227" s="85">
        <f>IF(H227,An,'2023'!An_max)</f>
        <v>2024</v>
      </c>
      <c r="K227" s="197">
        <f t="shared" si="79"/>
        <v>45504</v>
      </c>
      <c r="L227" s="147">
        <f>IF(t&lt;Tvie,1-EXP((T0-t)*PertePVj)+'2023'!Pspv,1-EXP((T0-t)*PertePVj)+Pspv)</f>
        <v>3.7752159138051744E-2</v>
      </c>
      <c r="M227" s="832"/>
      <c r="N227" s="832"/>
      <c r="O227" s="48">
        <f>IF(t&lt;Tnet,'2023'!Resal+('2023'!Salim-'2023'!Resal)*(1-EXP(('2023'!Tnet-t)/('2023'!Tau_j))),Resal+(Salim-Resal)*(1-EXP((Tnet-t)/(Tau_j))))*Salcycl</f>
        <v>2.071974303698915E-2</v>
      </c>
      <c r="P227" s="169">
        <f>(INDEX(Models!$BJ227:$BT227,,T227)*(1-R227)+INDEX(Models!$BJ227:$BT227,,T227+1)*R227-ERP_i)*Q227*Ramure*Pc/MaxiM</f>
        <v>0</v>
      </c>
      <c r="Q227" s="304">
        <f t="shared" si="80"/>
        <v>0.6</v>
      </c>
      <c r="R227" s="177">
        <f t="shared" si="81"/>
        <v>0.44640999571946671</v>
      </c>
      <c r="S227" s="799">
        <f t="shared" si="82"/>
        <v>1</v>
      </c>
      <c r="T227" s="176">
        <f t="shared" si="83"/>
        <v>7</v>
      </c>
      <c r="U227" s="250">
        <f t="shared" si="84"/>
        <v>1.4464099957194667</v>
      </c>
      <c r="V227" s="382">
        <f t="shared" si="85"/>
        <v>55.042457073369292</v>
      </c>
      <c r="W227" s="400">
        <f t="shared" si="86"/>
        <v>54.821380048808294</v>
      </c>
      <c r="X227" s="157">
        <f t="shared" si="87"/>
        <v>45504</v>
      </c>
      <c r="Y227" s="383">
        <f t="shared" si="88"/>
        <v>52.875619920651516</v>
      </c>
      <c r="Z227" s="383">
        <f t="shared" si="89"/>
        <v>54.950105030412303</v>
      </c>
      <c r="AA227" s="384">
        <f t="shared" si="90"/>
        <v>58.177629280464252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5.5477067215864304E-2</v>
      </c>
      <c r="AD227" s="230">
        <f>(INDEX(Models!$BJ227:$BT227,,AH227)*(1-AF227)+INDEX(Models!$BJ227:$BT227,,AH227+1)*AF227-ERP_i)*AE227*Ramure*Pc/MaxiM</f>
        <v>0</v>
      </c>
      <c r="AE227" s="304">
        <f t="shared" si="92"/>
        <v>0.6</v>
      </c>
      <c r="AF227" s="177">
        <f t="shared" si="93"/>
        <v>0.44640999571946671</v>
      </c>
      <c r="AG227" s="799">
        <f t="shared" si="99"/>
        <v>1</v>
      </c>
      <c r="AH227" s="176">
        <f t="shared" si="94"/>
        <v>7</v>
      </c>
      <c r="AI227" s="224">
        <f t="shared" si="95"/>
        <v>1.4464099957194667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45505</v>
      </c>
      <c r="B228" s="409">
        <f>IF(t&gt;Tmaj,'2023'!Wh/'2023'!Env_an*'2024'!Env_an,0.001*'[10]mon-tableau (1)'!$B$243)</f>
        <v>54.892057198750635</v>
      </c>
      <c r="C228" s="829"/>
      <c r="D228" s="391">
        <f t="shared" si="77"/>
        <v>57.046747087002267</v>
      </c>
      <c r="E228" s="383">
        <f t="shared" si="75"/>
        <v>58.260640586923564</v>
      </c>
      <c r="F228" s="383">
        <f t="shared" si="78"/>
        <v>58.260640586923564</v>
      </c>
      <c r="G228" s="110">
        <f t="shared" si="76"/>
        <v>0.9993751577850859</v>
      </c>
      <c r="H228" s="412" t="b">
        <f>Wh_hp&gt;='2023'!Maxi_hp</f>
        <v>1</v>
      </c>
      <c r="I228" s="388">
        <f>IF(H228,Wh_hp,'2023'!Maxi_hp)</f>
        <v>58.260640586923564</v>
      </c>
      <c r="J228" s="85">
        <f>IF(H228,An,'2023'!An_max)</f>
        <v>2024</v>
      </c>
      <c r="K228" s="197">
        <f t="shared" si="79"/>
        <v>45505</v>
      </c>
      <c r="L228" s="147">
        <f>IF(t&lt;Tvie,1-EXP((T0-t)*PertePVj)+'2023'!Pspv,1-EXP((T0-t)*PertePVj)+Pspv)</f>
        <v>3.7770600398397858E-2</v>
      </c>
      <c r="M228" s="832"/>
      <c r="N228" s="832"/>
      <c r="O228" s="48">
        <f>IF(t&lt;Tnet,'2023'!Resal+('2023'!Salim-'2023'!Resal)*(1-EXP(('2023'!Tnet-t)/('2023'!Tau_j))),Resal+(Salim-Resal)*(1-EXP((Tnet-t)/(Tau_j))))*Salcycl</f>
        <v>2.0835567334866512E-2</v>
      </c>
      <c r="P228" s="169">
        <f>(INDEX(Models!$BJ228:$BT228,,T228)*(1-R228)+INDEX(Models!$BJ228:$BT228,,T228+1)*R228-ERP_i)*Q228*Ramure*Pc/MaxiM</f>
        <v>0</v>
      </c>
      <c r="Q228" s="304">
        <f t="shared" si="80"/>
        <v>0.6</v>
      </c>
      <c r="R228" s="177">
        <f t="shared" si="81"/>
        <v>0.44832204880410353</v>
      </c>
      <c r="S228" s="799">
        <f t="shared" si="82"/>
        <v>1</v>
      </c>
      <c r="T228" s="176">
        <f t="shared" si="83"/>
        <v>7</v>
      </c>
      <c r="U228" s="250">
        <f t="shared" si="84"/>
        <v>1.4483220488041035</v>
      </c>
      <c r="V228" s="382">
        <f t="shared" si="85"/>
        <v>54.92637751813627</v>
      </c>
      <c r="W228" s="400">
        <f t="shared" si="86"/>
        <v>54.892057198750635</v>
      </c>
      <c r="X228" s="157">
        <f t="shared" si="87"/>
        <v>45505</v>
      </c>
      <c r="Y228" s="383">
        <f t="shared" si="88"/>
        <v>52.945808304563215</v>
      </c>
      <c r="Z228" s="383">
        <f t="shared" si="89"/>
        <v>55.024101660669167</v>
      </c>
      <c r="AA228" s="384">
        <f t="shared" si="90"/>
        <v>58.260640586923564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5.5552752143628613E-2</v>
      </c>
      <c r="AD228" s="230">
        <f>(INDEX(Models!$BJ228:$BT228,,AH228)*(1-AF228)+INDEX(Models!$BJ228:$BT228,,AH228+1)*AF228-ERP_i)*AE228*Ramure*Pc/MaxiM</f>
        <v>0</v>
      </c>
      <c r="AE228" s="304">
        <f t="shared" si="92"/>
        <v>0.6</v>
      </c>
      <c r="AF228" s="177">
        <f t="shared" si="93"/>
        <v>0.44832204880410353</v>
      </c>
      <c r="AG228" s="799">
        <f t="shared" si="99"/>
        <v>1</v>
      </c>
      <c r="AH228" s="176">
        <f t="shared" si="94"/>
        <v>7</v>
      </c>
      <c r="AI228" s="224">
        <f t="shared" si="95"/>
        <v>1.4483220488041035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45506</v>
      </c>
      <c r="B229" s="409">
        <f>IF(t&gt;Tmaj,'2023'!Wh/'2023'!Env_an*'2024'!Env_an,0.001*'[10]mon-tableau (1)'!$B$244)</f>
        <v>54.245601040481084</v>
      </c>
      <c r="C229" s="829"/>
      <c r="D229" s="391">
        <f t="shared" si="77"/>
        <v>56.375995877317671</v>
      </c>
      <c r="E229" s="383">
        <f t="shared" si="75"/>
        <v>57.582416608335059</v>
      </c>
      <c r="F229" s="383">
        <f t="shared" si="78"/>
        <v>57.582416608335059</v>
      </c>
      <c r="G229" s="110">
        <f t="shared" si="76"/>
        <v>0.98972337826311496</v>
      </c>
      <c r="H229" s="412" t="b">
        <f>Wh_hp&gt;='2023'!Maxi_hp</f>
        <v>1</v>
      </c>
      <c r="I229" s="388">
        <f>IF(H229,Wh_hp,'2023'!Maxi_hp)</f>
        <v>57.582416608335059</v>
      </c>
      <c r="J229" s="85">
        <f>IF(H229,An,'2023'!An_max)</f>
        <v>2024</v>
      </c>
      <c r="K229" s="197">
        <f t="shared" si="79"/>
        <v>45506</v>
      </c>
      <c r="L229" s="147">
        <f>IF(t&lt;Tvie,1-EXP((T0-t)*PertePVj)+'2023'!Pspv,1-EXP((T0-t)*PertePVj)+Pspv)</f>
        <v>3.7789041305321347E-2</v>
      </c>
      <c r="M229" s="832"/>
      <c r="N229" s="832"/>
      <c r="O229" s="48">
        <f>IF(t&lt;Tnet,'2023'!Resal+('2023'!Salim-'2023'!Resal)*(1-EXP(('2023'!Tnet-t)/('2023'!Tau_j))),Resal+(Salim-Resal)*(1-EXP((Tnet-t)/(Tau_j))))*Salcycl</f>
        <v>2.0951200072467251E-2</v>
      </c>
      <c r="P229" s="169">
        <f>(INDEX(Models!$BJ229:$BT229,,T229)*(1-R229)+INDEX(Models!$BJ229:$BT229,,T229+1)*R229-ERP_i)*Q229*Ramure*Pc/MaxiM</f>
        <v>0</v>
      </c>
      <c r="Q229" s="304">
        <f t="shared" si="80"/>
        <v>0.6</v>
      </c>
      <c r="R229" s="177">
        <f t="shared" si="81"/>
        <v>0.45017252912682659</v>
      </c>
      <c r="S229" s="799">
        <f t="shared" si="82"/>
        <v>1</v>
      </c>
      <c r="T229" s="176">
        <f t="shared" si="83"/>
        <v>7</v>
      </c>
      <c r="U229" s="250">
        <f t="shared" si="84"/>
        <v>1.4501725291268266</v>
      </c>
      <c r="V229" s="382">
        <f t="shared" si="85"/>
        <v>54.808850868691977</v>
      </c>
      <c r="W229" s="400">
        <f t="shared" si="86"/>
        <v>54.245601040481084</v>
      </c>
      <c r="X229" s="157">
        <f t="shared" si="87"/>
        <v>45506</v>
      </c>
      <c r="Y229" s="383">
        <f t="shared" si="88"/>
        <v>52.32427222377212</v>
      </c>
      <c r="Z229" s="383">
        <f t="shared" si="89"/>
        <v>54.379210453760017</v>
      </c>
      <c r="AA229" s="384">
        <f t="shared" si="90"/>
        <v>57.582416608335059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5.5628199426964925E-2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0.45017252912682659</v>
      </c>
      <c r="AG229" s="799">
        <f t="shared" si="99"/>
        <v>1</v>
      </c>
      <c r="AH229" s="176">
        <f t="shared" si="94"/>
        <v>7</v>
      </c>
      <c r="AI229" s="224">
        <f t="shared" si="95"/>
        <v>1.4501725291268266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45507</v>
      </c>
      <c r="B230" s="409">
        <f>IF(t&gt;Tmaj,'2023'!Wh/'2023'!Env_an*'2024'!Env_an,0.001*'[10]mon-tableau (1)'!$B$245)</f>
        <v>52.719022845266082</v>
      </c>
      <c r="C230" s="829"/>
      <c r="D230" s="391">
        <f t="shared" si="77"/>
        <v>54.790514217583286</v>
      </c>
      <c r="E230" s="383">
        <f t="shared" si="75"/>
        <v>55.96960592532713</v>
      </c>
      <c r="F230" s="383">
        <f t="shared" si="78"/>
        <v>55.96960592532713</v>
      </c>
      <c r="G230" s="110">
        <f t="shared" si="76"/>
        <v>0.9639648681948243</v>
      </c>
      <c r="H230" s="412" t="b">
        <f>Wh_hp&gt;='2023'!Maxi_hp</f>
        <v>1</v>
      </c>
      <c r="I230" s="388">
        <f>IF(H230,Wh_hp,'2023'!Maxi_hp)</f>
        <v>55.96960592532713</v>
      </c>
      <c r="J230" s="85">
        <f>IF(H230,An,'2023'!An_max)</f>
        <v>2024</v>
      </c>
      <c r="K230" s="197">
        <f t="shared" si="79"/>
        <v>45507</v>
      </c>
      <c r="L230" s="147">
        <f>IF(t&lt;Tvie,1-EXP((T0-t)*PertePVj)+'2023'!Pspv,1-EXP((T0-t)*PertePVj)+Pspv)</f>
        <v>3.7807481858829206E-2</v>
      </c>
      <c r="M230" s="832"/>
      <c r="N230" s="832"/>
      <c r="O230" s="48">
        <f>IF(t&lt;Tnet,'2023'!Resal+('2023'!Salim-'2023'!Resal)*(1-EXP(('2023'!Tnet-t)/('2023'!Tau_j))),Resal+(Salim-Resal)*(1-EXP((Tnet-t)/(Tau_j))))*Salcycl</f>
        <v>2.1066643015442123E-2</v>
      </c>
      <c r="P230" s="169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0.45196287566150328</v>
      </c>
      <c r="S230" s="799">
        <f t="shared" si="82"/>
        <v>1</v>
      </c>
      <c r="T230" s="176">
        <f t="shared" si="83"/>
        <v>7</v>
      </c>
      <c r="U230" s="250">
        <f t="shared" si="84"/>
        <v>1.4519628756615033</v>
      </c>
      <c r="V230" s="382">
        <f t="shared" si="85"/>
        <v>54.689776136749394</v>
      </c>
      <c r="W230" s="400">
        <f t="shared" si="86"/>
        <v>52.719022845266082</v>
      </c>
      <c r="X230" s="157">
        <f t="shared" si="87"/>
        <v>45507</v>
      </c>
      <c r="Y230" s="383">
        <f t="shared" si="88"/>
        <v>50.853710181875726</v>
      </c>
      <c r="Z230" s="383">
        <f t="shared" si="89"/>
        <v>52.851907724369333</v>
      </c>
      <c r="AA230" s="384">
        <f t="shared" si="90"/>
        <v>55.96960592532713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5.5703415262871897E-2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0.45196287566150328</v>
      </c>
      <c r="AG230" s="799">
        <f t="shared" si="99"/>
        <v>1</v>
      </c>
      <c r="AH230" s="176">
        <f t="shared" si="94"/>
        <v>7</v>
      </c>
      <c r="AI230" s="224">
        <f t="shared" si="95"/>
        <v>1.4519628756615033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45508</v>
      </c>
      <c r="B231" s="409">
        <f>IF(t&gt;Tmaj,'2023'!Wh/'2023'!Env_an*'2024'!Env_an,0.001*'[10]mon-tableau (1)'!$B$246)</f>
        <v>43.434355311583481</v>
      </c>
      <c r="C231" s="829"/>
      <c r="D231" s="391">
        <f t="shared" si="77"/>
        <v>45.141888882027857</v>
      </c>
      <c r="E231" s="383">
        <f t="shared" si="75"/>
        <v>46.118771983715554</v>
      </c>
      <c r="F231" s="383">
        <f t="shared" si="78"/>
        <v>46.118771983715554</v>
      </c>
      <c r="G231" s="110">
        <f t="shared" si="76"/>
        <v>0.79595216320881057</v>
      </c>
      <c r="H231" s="412" t="b">
        <f>Wh_hp&gt;='2023'!Maxi_hp</f>
        <v>0</v>
      </c>
      <c r="I231" s="388">
        <f>IF(H231,Wh_hp,'2023'!Maxi_hp)</f>
        <v>54.752335956396053</v>
      </c>
      <c r="J231" s="85">
        <f>IF(H231,An,'2023'!An_max)</f>
        <v>2020</v>
      </c>
      <c r="K231" s="197">
        <f t="shared" si="79"/>
        <v>45508</v>
      </c>
      <c r="L231" s="147">
        <f>IF(t&lt;Tvie,1-EXP((T0-t)*PertePVj)+'2023'!Pspv,1-EXP((T0-t)*PertePVj)+Pspv)</f>
        <v>3.7825922058927985E-2</v>
      </c>
      <c r="M231" s="832"/>
      <c r="N231" s="832"/>
      <c r="O231" s="48">
        <f>IF(t&lt;Tnet,'2023'!Resal+('2023'!Salim-'2023'!Resal)*(1-EXP(('2023'!Tnet-t)/('2023'!Tau_j))),Resal+(Salim-Resal)*(1-EXP((Tnet-t)/(Tau_j))))*Salcycl</f>
        <v>2.1181897515238125E-2</v>
      </c>
      <c r="P231" s="169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0.45369453363514567</v>
      </c>
      <c r="S231" s="799">
        <f t="shared" si="82"/>
        <v>1</v>
      </c>
      <c r="T231" s="176">
        <f t="shared" si="83"/>
        <v>7</v>
      </c>
      <c r="U231" s="250">
        <f t="shared" si="84"/>
        <v>1.4536945336351457</v>
      </c>
      <c r="V231" s="382">
        <f t="shared" si="85"/>
        <v>54.569052411996381</v>
      </c>
      <c r="W231" s="400">
        <f t="shared" si="86"/>
        <v>43.434355311583481</v>
      </c>
      <c r="X231" s="157">
        <f t="shared" si="87"/>
        <v>45508</v>
      </c>
      <c r="Y231" s="383">
        <f t="shared" si="88"/>
        <v>41.899159978204182</v>
      </c>
      <c r="Z231" s="383">
        <f t="shared" si="89"/>
        <v>43.546340458332615</v>
      </c>
      <c r="AA231" s="384">
        <f t="shared" si="90"/>
        <v>46.118771983715554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5.5778404643802244E-2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0.45369453363514567</v>
      </c>
      <c r="AG231" s="799">
        <f t="shared" si="99"/>
        <v>1</v>
      </c>
      <c r="AH231" s="176">
        <f t="shared" si="94"/>
        <v>7</v>
      </c>
      <c r="AI231" s="224">
        <f t="shared" si="95"/>
        <v>1.4536945336351457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45509</v>
      </c>
      <c r="B232" s="409">
        <f>IF(t&gt;Tmaj,'2023'!Wh/'2023'!Env_an*'2024'!Env_an,0.001*'[10]mon-tableau (1)'!$B$247)</f>
        <v>51.135679179228809</v>
      </c>
      <c r="C232" s="829"/>
      <c r="D232" s="391">
        <f t="shared" si="77"/>
        <v>53.146993225032716</v>
      </c>
      <c r="E232" s="383">
        <f t="shared" si="75"/>
        <v>54.303492783895869</v>
      </c>
      <c r="F232" s="383">
        <f t="shared" si="78"/>
        <v>54.303492783895869</v>
      </c>
      <c r="G232" s="110">
        <f t="shared" si="76"/>
        <v>0.93918994082779927</v>
      </c>
      <c r="H232" s="412" t="b">
        <f>Wh_hp&gt;='2023'!Maxi_hp</f>
        <v>0</v>
      </c>
      <c r="I232" s="388">
        <f>IF(H232,Wh_hp,'2023'!Maxi_hp)</f>
        <v>57.804553829679008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3.7844361905624457E-2</v>
      </c>
      <c r="M232" s="832"/>
      <c r="N232" s="832"/>
      <c r="O232" s="48">
        <f>IF(t&lt;Tnet,'2023'!Resal+('2023'!Salim-'2023'!Resal)*(1-EXP(('2023'!Tnet-t)/('2023'!Tau_j))),Resal+(Salim-Resal)*(1-EXP((Tnet-t)/(Tau_j))))*Salcycl</f>
        <v>2.1296964515073E-2</v>
      </c>
      <c r="P232" s="169">
        <f>(INDEX(Models!$BJ232:$BT232,,T232)*(1-R232)+INDEX(Models!$BJ232:$BT232,,T232+1)*R232-ERP_i)*Q232*Ramure*Pc/MaxiM</f>
        <v>0</v>
      </c>
      <c r="Q232" s="304">
        <f t="shared" si="80"/>
        <v>0.6</v>
      </c>
      <c r="R232" s="177">
        <f t="shared" si="81"/>
        <v>0.45536895094467722</v>
      </c>
      <c r="S232" s="799">
        <f t="shared" si="82"/>
        <v>1</v>
      </c>
      <c r="T232" s="176">
        <f t="shared" si="83"/>
        <v>7</v>
      </c>
      <c r="U232" s="250">
        <f t="shared" si="84"/>
        <v>1.4553689509446772</v>
      </c>
      <c r="V232" s="382">
        <f t="shared" si="85"/>
        <v>54.446578861521843</v>
      </c>
      <c r="W232" s="400">
        <f t="shared" si="86"/>
        <v>51.135679179228809</v>
      </c>
      <c r="X232" s="157">
        <f t="shared" si="87"/>
        <v>45509</v>
      </c>
      <c r="Y232" s="383">
        <f t="shared" si="88"/>
        <v>49.330172253434249</v>
      </c>
      <c r="Z232" s="383">
        <f t="shared" si="89"/>
        <v>51.27047049387614</v>
      </c>
      <c r="AA232" s="384">
        <f t="shared" si="90"/>
        <v>54.303492783895869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5.5853171398934254E-2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0.45536895094467722</v>
      </c>
      <c r="AG232" s="799">
        <f t="shared" si="99"/>
        <v>1</v>
      </c>
      <c r="AH232" s="176">
        <f t="shared" si="94"/>
        <v>7</v>
      </c>
      <c r="AI232" s="224">
        <f t="shared" si="95"/>
        <v>1.4553689509446772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45510</v>
      </c>
      <c r="B233" s="409">
        <f>IF(t&gt;Tmaj,'2023'!Wh/'2023'!Env_an*'2024'!Env_an,0.001*'[10]mon-tableau (1)'!$B$248)</f>
        <v>53.602149582186875</v>
      </c>
      <c r="C233" s="829"/>
      <c r="D233" s="391">
        <f t="shared" si="77"/>
        <v>55.711544736159439</v>
      </c>
      <c r="E233" s="383">
        <f t="shared" ref="E233:E296" si="100">Wh_pvt/(1-Psa)</f>
        <v>56.930532447557674</v>
      </c>
      <c r="F233" s="383">
        <f t="shared" si="78"/>
        <v>56.930532447557674</v>
      </c>
      <c r="G233" s="110">
        <f t="shared" ref="G233:G296" si="101">+Wh_hp/MaxiM</f>
        <v>0.98674321419123134</v>
      </c>
      <c r="H233" s="412" t="b">
        <f>Wh_hp&gt;='2023'!Maxi_hp</f>
        <v>1</v>
      </c>
      <c r="I233" s="388">
        <f>IF(H233,Wh_hp,'2023'!Maxi_hp)</f>
        <v>56.930532447557674</v>
      </c>
      <c r="J233" s="85">
        <f>IF(H233,An,'2023'!An_max)</f>
        <v>2024</v>
      </c>
      <c r="K233" s="197">
        <f t="shared" si="79"/>
        <v>45510</v>
      </c>
      <c r="L233" s="147">
        <f>IF(t&lt;Tvie,1-EXP((T0-t)*PertePVj)+'2023'!Pspv,1-EXP((T0-t)*PertePVj)+Pspv)</f>
        <v>3.7862801398925616E-2</v>
      </c>
      <c r="M233" s="832"/>
      <c r="N233" s="832"/>
      <c r="O233" s="48">
        <f>IF(t&lt;Tnet,'2023'!Resal+('2023'!Salim-'2023'!Resal)*(1-EXP(('2023'!Tnet-t)/('2023'!Tau_j))),Resal+(Salim-Resal)*(1-EXP((Tnet-t)/(Tau_j))))*Salcycl</f>
        <v>2.1411844558473454E-2</v>
      </c>
      <c r="P233" s="169">
        <f>(INDEX(Models!$BJ233:$BT233,,T233)*(1-R233)+INDEX(Models!$BJ233:$BT233,,T233+1)*R233-ERP_i)*Q233*Ramure*Pc/MaxiM</f>
        <v>0</v>
      </c>
      <c r="Q233" s="304">
        <f t="shared" si="80"/>
        <v>0.6</v>
      </c>
      <c r="R233" s="177">
        <f t="shared" si="81"/>
        <v>0.45698757482424068</v>
      </c>
      <c r="S233" s="799">
        <f t="shared" si="82"/>
        <v>1</v>
      </c>
      <c r="T233" s="176">
        <f t="shared" si="83"/>
        <v>7</v>
      </c>
      <c r="U233" s="250">
        <f t="shared" si="84"/>
        <v>1.4569875748242407</v>
      </c>
      <c r="V233" s="382">
        <f t="shared" si="85"/>
        <v>54.322288525815743</v>
      </c>
      <c r="W233" s="400">
        <f t="shared" si="86"/>
        <v>53.602149582186875</v>
      </c>
      <c r="X233" s="157">
        <f t="shared" si="87"/>
        <v>45510</v>
      </c>
      <c r="Y233" s="383">
        <f t="shared" si="88"/>
        <v>51.711543187868088</v>
      </c>
      <c r="Z233" s="383">
        <f t="shared" si="89"/>
        <v>53.746537669529353</v>
      </c>
      <c r="AA233" s="384">
        <f t="shared" si="90"/>
        <v>56.930532447557674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5.592771824084547E-2</v>
      </c>
      <c r="AD233" s="230">
        <f>(INDEX(Models!$BJ233:$BT233,,AH233)*(1-AF233)+INDEX(Models!$BJ233:$BT233,,AH233+1)*AF233-ERP_i)*AE233*Ramure*Pc/MaxiM</f>
        <v>0</v>
      </c>
      <c r="AE233" s="304">
        <f t="shared" si="92"/>
        <v>0.6</v>
      </c>
      <c r="AF233" s="177">
        <f t="shared" si="93"/>
        <v>0.45698757482424068</v>
      </c>
      <c r="AG233" s="799">
        <f t="shared" si="99"/>
        <v>1</v>
      </c>
      <c r="AH233" s="176">
        <f t="shared" si="94"/>
        <v>7</v>
      </c>
      <c r="AI233" s="224">
        <f t="shared" si="95"/>
        <v>1.4569875748242407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45511</v>
      </c>
      <c r="B234" s="409">
        <f>IF(t&gt;Tmaj,'2023'!Wh/'2023'!Env_an*'2024'!Env_an,0.001*'[10]mon-tableau (1)'!$B$249)</f>
        <v>54.360410969999073</v>
      </c>
      <c r="C234" s="829"/>
      <c r="D234" s="391">
        <f t="shared" si="77"/>
        <v>56.500728663105804</v>
      </c>
      <c r="E234" s="383">
        <f t="shared" si="100"/>
        <v>57.743751717164187</v>
      </c>
      <c r="F234" s="383">
        <f t="shared" si="78"/>
        <v>57.743751717164187</v>
      </c>
      <c r="G234" s="110">
        <f t="shared" si="101"/>
        <v>1.0030290157698138</v>
      </c>
      <c r="H234" s="412" t="b">
        <f>Wh_hp&gt;='2023'!Maxi_hp</f>
        <v>1</v>
      </c>
      <c r="I234" s="388">
        <f>IF(H234,Wh_hp,'2023'!Maxi_hp)</f>
        <v>57.743751717164187</v>
      </c>
      <c r="J234" s="85">
        <f>IF(H234,An,'2023'!An_max)</f>
        <v>2024</v>
      </c>
      <c r="K234" s="197">
        <f t="shared" si="79"/>
        <v>45511</v>
      </c>
      <c r="L234" s="147">
        <f>IF(t&lt;Tvie,1-EXP((T0-t)*PertePVj)+'2023'!Pspv,1-EXP((T0-t)*PertePVj)+Pspv)</f>
        <v>3.7881240538838012E-2</v>
      </c>
      <c r="M234" s="832"/>
      <c r="N234" s="832"/>
      <c r="O234" s="48">
        <f>IF(t&lt;Tnet,'2023'!Resal+('2023'!Salim-'2023'!Resal)*(1-EXP(('2023'!Tnet-t)/('2023'!Tau_j))),Resal+(Salim-Resal)*(1-EXP((Tnet-t)/(Tau_j))))*Salcycl</f>
        <v>2.1526537800087217E-2</v>
      </c>
      <c r="P234" s="169">
        <f>(INDEX(Models!$BJ234:$BT234,,T234)*(1-R234)+INDEX(Models!$BJ234:$BT234,,T234+1)*R234-ERP_i)*Q234*Ramure*Pc/MaxiM</f>
        <v>0</v>
      </c>
      <c r="Q234" s="304">
        <f t="shared" si="80"/>
        <v>0.6</v>
      </c>
      <c r="R234" s="177">
        <f t="shared" si="81"/>
        <v>0.45855184875716226</v>
      </c>
      <c r="S234" s="799">
        <f t="shared" si="82"/>
        <v>1</v>
      </c>
      <c r="T234" s="176">
        <f t="shared" si="83"/>
        <v>7</v>
      </c>
      <c r="U234" s="250">
        <f t="shared" si="84"/>
        <v>1.4585518487571623</v>
      </c>
      <c r="V234" s="382">
        <f t="shared" si="85"/>
        <v>54.196249675068522</v>
      </c>
      <c r="W234" s="400">
        <f t="shared" si="86"/>
        <v>54.360410969999073</v>
      </c>
      <c r="X234" s="157">
        <f t="shared" si="87"/>
        <v>45511</v>
      </c>
      <c r="Y234" s="383">
        <f t="shared" si="88"/>
        <v>52.445077636042932</v>
      </c>
      <c r="Z234" s="383">
        <f t="shared" si="89"/>
        <v>54.509983430127676</v>
      </c>
      <c r="AA234" s="384">
        <f t="shared" si="90"/>
        <v>57.743751717164187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5.6002046816699763E-2</v>
      </c>
      <c r="AD234" s="230">
        <f>(INDEX(Models!$BJ234:$BT234,,AH234)*(1-AF234)+INDEX(Models!$BJ234:$BT234,,AH234+1)*AF234-ERP_i)*AE234*Ramure*Pc/MaxiM</f>
        <v>0</v>
      </c>
      <c r="AE234" s="304">
        <f t="shared" si="92"/>
        <v>0.6</v>
      </c>
      <c r="AF234" s="177">
        <f t="shared" si="93"/>
        <v>0.45855184875716226</v>
      </c>
      <c r="AG234" s="799">
        <f t="shared" si="99"/>
        <v>1</v>
      </c>
      <c r="AH234" s="176">
        <f t="shared" si="94"/>
        <v>7</v>
      </c>
      <c r="AI234" s="224">
        <f t="shared" si="95"/>
        <v>1.4585518487571623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45512</v>
      </c>
      <c r="B235" s="409">
        <f>IF(t&gt;Tmaj,'2023'!Wh/'2023'!Env_an*'2024'!Env_an,0.001*'[10]mon-tableau (1)'!$B$250)</f>
        <v>52.202597985786845</v>
      </c>
      <c r="C235" s="829"/>
      <c r="D235" s="391">
        <f t="shared" si="77"/>
        <v>54.258996555766679</v>
      </c>
      <c r="E235" s="383">
        <f t="shared" si="100"/>
        <v>55.459191357154921</v>
      </c>
      <c r="F235" s="383">
        <f t="shared" si="78"/>
        <v>55.459191357154921</v>
      </c>
      <c r="G235" s="110">
        <f t="shared" si="101"/>
        <v>0.96548888644004527</v>
      </c>
      <c r="H235" s="412" t="b">
        <f>Wh_hp&gt;='2023'!Maxi_hp</f>
        <v>0</v>
      </c>
      <c r="I235" s="388">
        <f>IF(H235,Wh_hp,'2023'!Maxi_hp)</f>
        <v>56.250511188466319</v>
      </c>
      <c r="J235" s="85">
        <f>IF(H235,An,'2023'!An_max)</f>
        <v>2021</v>
      </c>
      <c r="K235" s="197">
        <f t="shared" si="79"/>
        <v>45512</v>
      </c>
      <c r="L235" s="147">
        <f>IF(t&lt;Tvie,1-EXP((T0-t)*PertePVj)+'2023'!Pspv,1-EXP((T0-t)*PertePVj)+Pspv)</f>
        <v>3.7899679325368529E-2</v>
      </c>
      <c r="M235" s="832"/>
      <c r="N235" s="832"/>
      <c r="O235" s="48">
        <f>IF(t&lt;Tnet,'2023'!Resal+('2023'!Salim-'2023'!Resal)*(1-EXP(('2023'!Tnet-t)/('2023'!Tau_j))),Resal+(Salim-Resal)*(1-EXP((Tnet-t)/(Tau_j))))*Salcycl</f>
        <v>2.1641044018457439E-2</v>
      </c>
      <c r="P235" s="169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0.46006320962579061</v>
      </c>
      <c r="S235" s="799">
        <f t="shared" si="82"/>
        <v>1</v>
      </c>
      <c r="T235" s="176">
        <f t="shared" si="83"/>
        <v>7</v>
      </c>
      <c r="U235" s="250">
        <f t="shared" si="84"/>
        <v>1.4600632096257906</v>
      </c>
      <c r="V235" s="382">
        <f t="shared" si="85"/>
        <v>54.068564350096757</v>
      </c>
      <c r="W235" s="400">
        <f t="shared" si="86"/>
        <v>52.202597985786845</v>
      </c>
      <c r="X235" s="157">
        <f t="shared" si="87"/>
        <v>45512</v>
      </c>
      <c r="Y235" s="383">
        <f t="shared" si="88"/>
        <v>50.365233091835918</v>
      </c>
      <c r="Z235" s="383">
        <f t="shared" si="89"/>
        <v>52.349252993200821</v>
      </c>
      <c r="AA235" s="384">
        <f t="shared" si="90"/>
        <v>55.459191357154921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5.607615776303379E-2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0.46006320962579061</v>
      </c>
      <c r="AG235" s="799">
        <f t="shared" si="99"/>
        <v>1</v>
      </c>
      <c r="AH235" s="176">
        <f t="shared" si="94"/>
        <v>7</v>
      </c>
      <c r="AI235" s="224">
        <f t="shared" si="95"/>
        <v>1.4600632096257906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45513</v>
      </c>
      <c r="B236" s="409">
        <f>IF(t&gt;Tmaj,'2023'!Wh/'2023'!Env_an*'2024'!Env_an,0.001*'[10]mon-tableau (1)'!$B$251)</f>
        <v>50.278690057825202</v>
      </c>
      <c r="C236" s="829"/>
      <c r="D236" s="391">
        <f t="shared" si="77"/>
        <v>52.260302356681933</v>
      </c>
      <c r="E236" s="383">
        <f t="shared" si="100"/>
        <v>53.422528844324901</v>
      </c>
      <c r="F236" s="383">
        <f t="shared" si="78"/>
        <v>53.422528844324901</v>
      </c>
      <c r="G236" s="110">
        <f t="shared" si="101"/>
        <v>0.93213404417001011</v>
      </c>
      <c r="H236" s="412" t="b">
        <f>Wh_hp&gt;='2023'!Maxi_hp</f>
        <v>0</v>
      </c>
      <c r="I236" s="388">
        <f>IF(H236,Wh_hp,'2023'!Maxi_hp)</f>
        <v>54.321267794225101</v>
      </c>
      <c r="J236" s="85">
        <f>IF(H236,An,'2023'!An_max)</f>
        <v>2021</v>
      </c>
      <c r="K236" s="197">
        <f t="shared" si="79"/>
        <v>45513</v>
      </c>
      <c r="L236" s="147">
        <f>IF(t&lt;Tvie,1-EXP((T0-t)*PertePVj)+'2023'!Pspv,1-EXP((T0-t)*PertePVj)+Pspv)</f>
        <v>3.7918117758523939E-2</v>
      </c>
      <c r="M236" s="832"/>
      <c r="N236" s="832"/>
      <c r="O236" s="48">
        <f>IF(t&lt;Tnet,'2023'!Resal+('2023'!Salim-'2023'!Resal)*(1-EXP(('2023'!Tnet-t)/('2023'!Tau_j))),Resal+(Salim-Resal)*(1-EXP((Tnet-t)/(Tau_j))))*Salcycl</f>
        <v>2.1755362630431346E-2</v>
      </c>
      <c r="P236" s="169">
        <f>(INDEX(Models!$BJ236:$BT236,,T236)*(1-R236)+INDEX(Models!$BJ236:$BT236,,T236+1)*R236-ERP_i)*Q236*Ramure*Pc/MaxiM</f>
        <v>0</v>
      </c>
      <c r="Q236" s="304">
        <f t="shared" si="80"/>
        <v>0.6</v>
      </c>
      <c r="R236" s="177">
        <f t="shared" si="81"/>
        <v>0.4615230850916876</v>
      </c>
      <c r="S236" s="799">
        <f t="shared" si="82"/>
        <v>1</v>
      </c>
      <c r="T236" s="176">
        <f t="shared" si="83"/>
        <v>7</v>
      </c>
      <c r="U236" s="250">
        <f t="shared" si="84"/>
        <v>1.4615230850916876</v>
      </c>
      <c r="V236" s="382">
        <f t="shared" si="85"/>
        <v>53.939334554178103</v>
      </c>
      <c r="W236" s="400">
        <f t="shared" si="86"/>
        <v>50.278690057825202</v>
      </c>
      <c r="X236" s="157">
        <f t="shared" si="87"/>
        <v>45513</v>
      </c>
      <c r="Y236" s="383">
        <f t="shared" si="88"/>
        <v>48.5109115306524</v>
      </c>
      <c r="Z236" s="383">
        <f t="shared" si="89"/>
        <v>50.422851137816657</v>
      </c>
      <c r="AA236" s="384">
        <f t="shared" si="90"/>
        <v>53.422528844324901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5.6150050763216552E-2</v>
      </c>
      <c r="AD236" s="230">
        <f>(INDEX(Models!$BJ236:$BT236,,AH236)*(1-AF236)+INDEX(Models!$BJ236:$BT236,,AH236+1)*AF236-ERP_i)*AE236*Ramure*Pc/MaxiM</f>
        <v>0</v>
      </c>
      <c r="AE236" s="304">
        <f t="shared" si="92"/>
        <v>0.6</v>
      </c>
      <c r="AF236" s="177">
        <f t="shared" si="93"/>
        <v>0.4615230850916876</v>
      </c>
      <c r="AG236" s="799">
        <f t="shared" si="99"/>
        <v>1</v>
      </c>
      <c r="AH236" s="176">
        <f t="shared" si="94"/>
        <v>7</v>
      </c>
      <c r="AI236" s="224">
        <f t="shared" si="95"/>
        <v>1.4615230850916876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45514</v>
      </c>
      <c r="B237" s="409">
        <f>IF(t&gt;Tmaj,'2023'!Wh/'2023'!Env_an*'2024'!Env_an,0.001*'[10]mon-tableau (1)'!$B$252)</f>
        <v>48.739902435035596</v>
      </c>
      <c r="C237" s="829"/>
      <c r="D237" s="391">
        <f t="shared" si="77"/>
        <v>50.66183808439574</v>
      </c>
      <c r="E237" s="383">
        <f t="shared" si="100"/>
        <v>51.794558810558392</v>
      </c>
      <c r="F237" s="383">
        <f t="shared" si="78"/>
        <v>51.794558810558392</v>
      </c>
      <c r="G237" s="110">
        <f t="shared" si="101"/>
        <v>0.90580030045709481</v>
      </c>
      <c r="H237" s="412" t="b">
        <f>Wh_hp&gt;='2023'!Maxi_hp</f>
        <v>0</v>
      </c>
      <c r="I237" s="388">
        <f>IF(H237,Wh_hp,'2023'!Maxi_hp)</f>
        <v>52.572729783905686</v>
      </c>
      <c r="J237" s="85">
        <f>IF(H237,An,'2023'!An_max)</f>
        <v>2021</v>
      </c>
      <c r="K237" s="197">
        <f t="shared" si="79"/>
        <v>45514</v>
      </c>
      <c r="L237" s="147">
        <f>IF(t&lt;Tvie,1-EXP((T0-t)*PertePVj)+'2023'!Pspv,1-EXP((T0-t)*PertePVj)+Pspv)</f>
        <v>3.7936555838310904E-2</v>
      </c>
      <c r="M237" s="832"/>
      <c r="N237" s="832"/>
      <c r="O237" s="48">
        <f>IF(t&lt;Tnet,'2023'!Resal+('2023'!Salim-'2023'!Resal)*(1-EXP(('2023'!Tnet-t)/('2023'!Tau_j))),Resal+(Salim-Resal)*(1-EXP((Tnet-t)/(Tau_j))))*Salcycl</f>
        <v>2.1869492706862215E-2</v>
      </c>
      <c r="P237" s="169">
        <f>(INDEX(Models!$BJ237:$BT237,,T237)*(1-R237)+INDEX(Models!$BJ237:$BT237,,T237+1)*R237-ERP_i)*Q237*Ramure*Pc/MaxiM</f>
        <v>0</v>
      </c>
      <c r="Q237" s="304">
        <f t="shared" si="80"/>
        <v>0.6</v>
      </c>
      <c r="R237" s="177">
        <f t="shared" si="81"/>
        <v>0.46293289119803016</v>
      </c>
      <c r="S237" s="799">
        <f t="shared" si="82"/>
        <v>1</v>
      </c>
      <c r="T237" s="176">
        <f t="shared" si="83"/>
        <v>7</v>
      </c>
      <c r="U237" s="250">
        <f t="shared" si="84"/>
        <v>1.4629328911980302</v>
      </c>
      <c r="V237" s="382">
        <f t="shared" si="85"/>
        <v>53.808662251977545</v>
      </c>
      <c r="W237" s="400">
        <f t="shared" si="86"/>
        <v>48.739902435035596</v>
      </c>
      <c r="X237" s="157">
        <f t="shared" si="87"/>
        <v>45514</v>
      </c>
      <c r="Y237" s="383">
        <f t="shared" si="88"/>
        <v>47.028043027173808</v>
      </c>
      <c r="Z237" s="383">
        <f t="shared" si="89"/>
        <v>48.882475799870477</v>
      </c>
      <c r="AA237" s="384">
        <f t="shared" si="90"/>
        <v>51.794558810558392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5.6223724606652654E-2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0.46293289119803016</v>
      </c>
      <c r="AG237" s="799">
        <f t="shared" si="99"/>
        <v>1</v>
      </c>
      <c r="AH237" s="176">
        <f t="shared" si="94"/>
        <v>7</v>
      </c>
      <c r="AI237" s="224">
        <f t="shared" si="95"/>
        <v>1.4629328911980302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45515</v>
      </c>
      <c r="B238" s="409">
        <f>IF(t&gt;Tmaj,'2023'!Wh/'2023'!Env_an*'2024'!Env_an,0.001*'[10]mon-tableau (1)'!$B$253)</f>
        <v>49.003290415990683</v>
      </c>
      <c r="C238" s="829"/>
      <c r="D238" s="391">
        <f t="shared" si="77"/>
        <v>50.936588297013451</v>
      </c>
      <c r="E238" s="383">
        <f t="shared" si="100"/>
        <v>52.081518877229684</v>
      </c>
      <c r="F238" s="383">
        <f t="shared" si="78"/>
        <v>52.081518877229684</v>
      </c>
      <c r="G238" s="110">
        <f t="shared" si="101"/>
        <v>0.91293497250078715</v>
      </c>
      <c r="H238" s="412" t="b">
        <f>Wh_hp&gt;='2023'!Maxi_hp</f>
        <v>1</v>
      </c>
      <c r="I238" s="388">
        <f>IF(H238,Wh_hp,'2023'!Maxi_hp)</f>
        <v>52.081518877229684</v>
      </c>
      <c r="J238" s="85">
        <f>IF(H238,An,'2023'!An_max)</f>
        <v>2024</v>
      </c>
      <c r="K238" s="197">
        <f t="shared" si="79"/>
        <v>45515</v>
      </c>
      <c r="L238" s="147">
        <f>IF(t&lt;Tvie,1-EXP((T0-t)*PertePVj)+'2023'!Pspv,1-EXP((T0-t)*PertePVj)+Pspv)</f>
        <v>3.7954993564736306E-2</v>
      </c>
      <c r="M238" s="832"/>
      <c r="N238" s="832"/>
      <c r="O238" s="48">
        <f>IF(t&lt;Tnet,'2023'!Resal+('2023'!Salim-'2023'!Resal)*(1-EXP(('2023'!Tnet-t)/('2023'!Tau_j))),Resal+(Salim-Resal)*(1-EXP((Tnet-t)/(Tau_j))))*Salcycl</f>
        <v>2.1983432989255678E-2</v>
      </c>
      <c r="P238" s="169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0.46429403018559623</v>
      </c>
      <c r="S238" s="799">
        <f t="shared" si="82"/>
        <v>1</v>
      </c>
      <c r="T238" s="176">
        <f t="shared" si="83"/>
        <v>7</v>
      </c>
      <c r="U238" s="250">
        <f t="shared" si="84"/>
        <v>1.4642940301855962</v>
      </c>
      <c r="V238" s="382">
        <f t="shared" si="85"/>
        <v>53.6766493694034</v>
      </c>
      <c r="W238" s="400">
        <f t="shared" si="86"/>
        <v>49.003290415990683</v>
      </c>
      <c r="X238" s="157">
        <f t="shared" si="87"/>
        <v>45515</v>
      </c>
      <c r="Y238" s="383">
        <f t="shared" si="88"/>
        <v>47.284008317988679</v>
      </c>
      <c r="Z238" s="383">
        <f t="shared" si="89"/>
        <v>49.149476377611066</v>
      </c>
      <c r="AA238" s="384">
        <f t="shared" si="90"/>
        <v>52.081518877229684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5.6297177248809449E-2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0.46429403018559623</v>
      </c>
      <c r="AG238" s="799">
        <f t="shared" si="99"/>
        <v>1</v>
      </c>
      <c r="AH238" s="176">
        <f t="shared" si="94"/>
        <v>7</v>
      </c>
      <c r="AI238" s="224">
        <f t="shared" si="95"/>
        <v>1.4642940301855962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45516</v>
      </c>
      <c r="B239" s="409">
        <f>IF(t&gt;Tmaj,'2023'!Wh/'2023'!Env_an*'2024'!Env_an,0.001*'[10]mon-tableau (1)'!$B$254)</f>
        <v>38.276943335849253</v>
      </c>
      <c r="C239" s="829"/>
      <c r="D239" s="391">
        <f t="shared" si="77"/>
        <v>39.787823503837892</v>
      </c>
      <c r="E239" s="383">
        <f t="shared" si="100"/>
        <v>40.686889093364215</v>
      </c>
      <c r="F239" s="383">
        <f t="shared" si="78"/>
        <v>40.686889093364215</v>
      </c>
      <c r="G239" s="110">
        <f t="shared" si="101"/>
        <v>0.71487699537572391</v>
      </c>
      <c r="H239" s="412" t="b">
        <f>Wh_hp&gt;='2023'!Maxi_hp</f>
        <v>0</v>
      </c>
      <c r="I239" s="388">
        <f>IF(H239,Wh_hp,'2023'!Maxi_hp)</f>
        <v>50.157042918193603</v>
      </c>
      <c r="J239" s="85">
        <f>IF(H239,An,'2023'!An_max)</f>
        <v>2018</v>
      </c>
      <c r="K239" s="197">
        <f t="shared" si="79"/>
        <v>45516</v>
      </c>
      <c r="L239" s="147">
        <f>IF(t&lt;Tvie,1-EXP((T0-t)*PertePVj)+'2023'!Pspv,1-EXP((T0-t)*PertePVj)+Pspv)</f>
        <v>3.7973430937806918E-2</v>
      </c>
      <c r="M239" s="832"/>
      <c r="N239" s="832"/>
      <c r="O239" s="48">
        <f>IF(t&lt;Tnet,'2023'!Resal+('2023'!Salim-'2023'!Resal)*(1-EXP(('2023'!Tnet-t)/('2023'!Tau_j))),Resal+(Salim-Resal)*(1-EXP((Tnet-t)/(Tau_j))))*Salcycl</f>
        <v>2.2097181907007931E-2</v>
      </c>
      <c r="P239" s="169">
        <f>(INDEX(Models!$BJ239:$BT239,,T239)*(1-R239)+INDEX(Models!$BJ239:$BT239,,T239+1)*R239-ERP_i)*Q239*Ramure*Pc/MaxiM</f>
        <v>0</v>
      </c>
      <c r="Q239" s="304">
        <f t="shared" si="80"/>
        <v>0.6</v>
      </c>
      <c r="R239" s="177">
        <f t="shared" si="81"/>
        <v>0.4656078885133399</v>
      </c>
      <c r="S239" s="799">
        <f t="shared" si="82"/>
        <v>1</v>
      </c>
      <c r="T239" s="176">
        <f t="shared" si="83"/>
        <v>7</v>
      </c>
      <c r="U239" s="250">
        <f t="shared" si="84"/>
        <v>1.4656078885133399</v>
      </c>
      <c r="V239" s="382">
        <f t="shared" si="85"/>
        <v>53.543397792135856</v>
      </c>
      <c r="W239" s="400">
        <f t="shared" si="86"/>
        <v>38.276943335849253</v>
      </c>
      <c r="X239" s="157">
        <f t="shared" si="87"/>
        <v>45516</v>
      </c>
      <c r="Y239" s="383">
        <f t="shared" si="88"/>
        <v>36.935425316531855</v>
      </c>
      <c r="Z239" s="383">
        <f t="shared" si="89"/>
        <v>38.39335264153609</v>
      </c>
      <c r="AA239" s="384">
        <f t="shared" si="90"/>
        <v>40.686889093364215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5.6370405871167657E-2</v>
      </c>
      <c r="AD239" s="230">
        <f>(INDEX(Models!$BJ239:$BT239,,AH239)*(1-AF239)+INDEX(Models!$BJ239:$BT239,,AH239+1)*AF239-ERP_i)*AE239*Ramure*Pc/MaxiM</f>
        <v>0</v>
      </c>
      <c r="AE239" s="304">
        <f t="shared" si="92"/>
        <v>0.6</v>
      </c>
      <c r="AF239" s="177">
        <f t="shared" si="93"/>
        <v>0.4656078885133399</v>
      </c>
      <c r="AG239" s="799">
        <f t="shared" si="99"/>
        <v>1</v>
      </c>
      <c r="AH239" s="176">
        <f t="shared" si="94"/>
        <v>7</v>
      </c>
      <c r="AI239" s="224">
        <f t="shared" si="95"/>
        <v>1.4656078885133399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45517</v>
      </c>
      <c r="B240" s="409">
        <f>IF(t&gt;Tmaj,'2023'!Wh/'2023'!Env_an*'2024'!Env_an,0.001*'[10]mon-tableau (1)'!$B$255)</f>
        <v>34.499853998059223</v>
      </c>
      <c r="C240" s="829"/>
      <c r="D240" s="391">
        <f t="shared" si="77"/>
        <v>35.862330939772278</v>
      </c>
      <c r="E240" s="383">
        <f t="shared" si="100"/>
        <v>36.676953121330023</v>
      </c>
      <c r="F240" s="383">
        <f t="shared" si="78"/>
        <v>36.676953451078049</v>
      </c>
      <c r="G240" s="110">
        <f t="shared" si="101"/>
        <v>0.64595570520770884</v>
      </c>
      <c r="H240" s="412" t="b">
        <f>Wh_hp&gt;='2023'!Maxi_hp</f>
        <v>0</v>
      </c>
      <c r="I240" s="388">
        <f>IF(H240,Wh_hp,'2023'!Maxi_hp)</f>
        <v>57.247327740538942</v>
      </c>
      <c r="J240" s="85">
        <f>IF(H240,An,'2023'!An_max)</f>
        <v>2018</v>
      </c>
      <c r="K240" s="197">
        <f t="shared" si="79"/>
        <v>45517</v>
      </c>
      <c r="L240" s="147">
        <f>IF(t&lt;Tvie,1-EXP((T0-t)*PertePVj)+'2023'!Pspv,1-EXP((T0-t)*PertePVj)+Pspv)</f>
        <v>3.7991867957529513E-2</v>
      </c>
      <c r="M240" s="832"/>
      <c r="N240" s="832"/>
      <c r="O240" s="48">
        <f>IF(t&lt;Tnet,'2023'!Resal+('2023'!Salim-'2023'!Resal)*(1-EXP(('2023'!Tnet-t)/('2023'!Tau_j))),Resal+(Salim-Resal)*(1-EXP((Tnet-t)/(Tau_j))))*Salcycl</f>
        <v>2.2210737594884667E-2</v>
      </c>
      <c r="P240" s="169">
        <f>(INDEX(Models!$BJ240:$BT240,,T240)*(1-R240)+INDEX(Models!$BJ240:$BT240,,T240+1)*R240-ERP_i)*Q240*Ramure*Pc/MaxiM</f>
        <v>1.8191414928084051E-8</v>
      </c>
      <c r="Q240" s="304">
        <f t="shared" si="80"/>
        <v>0.6</v>
      </c>
      <c r="R240" s="177">
        <f t="shared" si="81"/>
        <v>0.46687583507428876</v>
      </c>
      <c r="S240" s="799">
        <f t="shared" si="82"/>
        <v>1</v>
      </c>
      <c r="T240" s="176">
        <f t="shared" si="83"/>
        <v>7</v>
      </c>
      <c r="U240" s="250">
        <f t="shared" si="84"/>
        <v>1.4668758350742888</v>
      </c>
      <c r="V240" s="382">
        <f t="shared" si="85"/>
        <v>53.409008392516817</v>
      </c>
      <c r="W240" s="400">
        <f t="shared" si="86"/>
        <v>34.499853998059223</v>
      </c>
      <c r="X240" s="157">
        <f t="shared" si="87"/>
        <v>45517</v>
      </c>
      <c r="Y240" s="383">
        <f t="shared" si="88"/>
        <v>33.292004679410439</v>
      </c>
      <c r="Z240" s="383">
        <f t="shared" si="89"/>
        <v>34.606780930975198</v>
      </c>
      <c r="AA240" s="384">
        <f t="shared" si="90"/>
        <v>36.676953121330023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5.6443406940226135E-2</v>
      </c>
      <c r="AD240" s="230">
        <f>(INDEX(Models!$BJ240:$BT240,,AH240)*(1-AF240)+INDEX(Models!$BJ240:$BT240,,AH240+1)*AF240-ERP_i)*AE240*Ramure*Pc/MaxiM</f>
        <v>1.8191414928084051E-8</v>
      </c>
      <c r="AE240" s="304">
        <f t="shared" si="92"/>
        <v>0.6</v>
      </c>
      <c r="AF240" s="177">
        <f t="shared" si="93"/>
        <v>0.46687583507428876</v>
      </c>
      <c r="AG240" s="799">
        <f t="shared" si="99"/>
        <v>1</v>
      </c>
      <c r="AH240" s="176">
        <f t="shared" si="94"/>
        <v>7</v>
      </c>
      <c r="AI240" s="224">
        <f t="shared" si="95"/>
        <v>1.4668758350742888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45518</v>
      </c>
      <c r="B241" s="409">
        <f>IF(t&gt;Tmaj,'2023'!Wh/'2023'!Env_an*'2024'!Env_an,0.001*'[10]mon-tableau (1)'!$B$256)</f>
        <v>36.884732760660803</v>
      </c>
      <c r="C241" s="829"/>
      <c r="D241" s="391">
        <f t="shared" si="77"/>
        <v>38.342128754550473</v>
      </c>
      <c r="E241" s="383">
        <f t="shared" si="100"/>
        <v>39.217626897217301</v>
      </c>
      <c r="F241" s="383">
        <f t="shared" si="78"/>
        <v>39.217628099739976</v>
      </c>
      <c r="G241" s="110">
        <f t="shared" si="101"/>
        <v>0.69236439179357034</v>
      </c>
      <c r="H241" s="412" t="b">
        <f>Wh_hp&gt;='2023'!Maxi_hp</f>
        <v>0</v>
      </c>
      <c r="I241" s="388">
        <f>IF(H241,Wh_hp,'2023'!Maxi_hp)</f>
        <v>50.015473109752712</v>
      </c>
      <c r="J241" s="85">
        <f>IF(H241,An,'2023'!An_max)</f>
        <v>2020</v>
      </c>
      <c r="K241" s="197">
        <f t="shared" si="79"/>
        <v>45518</v>
      </c>
      <c r="L241" s="147">
        <f>IF(t&lt;Tvie,1-EXP((T0-t)*PertePVj)+'2023'!Pspv,1-EXP((T0-t)*PertePVj)+Pspv)</f>
        <v>3.8010304623910751E-2</v>
      </c>
      <c r="M241" s="832"/>
      <c r="N241" s="832"/>
      <c r="O241" s="48">
        <f>IF(t&lt;Tnet,'2023'!Resal+('2023'!Salim-'2023'!Resal)*(1-EXP(('2023'!Tnet-t)/('2023'!Tau_j))),Resal+(Salim-Resal)*(1-EXP((Tnet-t)/(Tau_j))))*Salcycl</f>
        <v>2.2324097910395156E-2</v>
      </c>
      <c r="P241" s="169">
        <f>(INDEX(Models!$BJ241:$BT241,,T241)*(1-R241)+INDEX(Models!$BJ241:$BT241,,T241+1)*R241-ERP_i)*Q241*Ramure*Pc/MaxiM</f>
        <v>5.4704164144607394E-8</v>
      </c>
      <c r="Q241" s="304">
        <f t="shared" si="80"/>
        <v>0.6</v>
      </c>
      <c r="R241" s="177">
        <f t="shared" si="81"/>
        <v>0.46809921959732903</v>
      </c>
      <c r="S241" s="799">
        <f t="shared" si="82"/>
        <v>1</v>
      </c>
      <c r="T241" s="176">
        <f t="shared" si="83"/>
        <v>7</v>
      </c>
      <c r="U241" s="250">
        <f t="shared" si="84"/>
        <v>1.468099219597329</v>
      </c>
      <c r="V241" s="382">
        <f t="shared" si="85"/>
        <v>53.273582973197009</v>
      </c>
      <c r="W241" s="400">
        <f t="shared" si="86"/>
        <v>36.884732760660803</v>
      </c>
      <c r="X241" s="157">
        <f t="shared" si="87"/>
        <v>45518</v>
      </c>
      <c r="Y241" s="383">
        <f t="shared" si="88"/>
        <v>35.59476982924788</v>
      </c>
      <c r="Z241" s="383">
        <f t="shared" si="89"/>
        <v>37.001196582809683</v>
      </c>
      <c r="AA241" s="384">
        <f t="shared" si="90"/>
        <v>39.217626897217301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5.6516176264731793E-2</v>
      </c>
      <c r="AD241" s="230">
        <f>(INDEX(Models!$BJ241:$BT241,,AH241)*(1-AF241)+INDEX(Models!$BJ241:$BT241,,AH241+1)*AF241-ERP_i)*AE241*Ramure*Pc/MaxiM</f>
        <v>5.4704164144607394E-8</v>
      </c>
      <c r="AE241" s="304">
        <f t="shared" si="92"/>
        <v>0.6</v>
      </c>
      <c r="AF241" s="177">
        <f t="shared" si="93"/>
        <v>0.46809921959732903</v>
      </c>
      <c r="AG241" s="799">
        <f t="shared" si="99"/>
        <v>1</v>
      </c>
      <c r="AH241" s="176">
        <f t="shared" si="94"/>
        <v>7</v>
      </c>
      <c r="AI241" s="224">
        <f t="shared" si="95"/>
        <v>1.468099219597329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45519</v>
      </c>
      <c r="B242" s="409">
        <f>IF(t&gt;Tmaj,'2023'!Wh/'2023'!Env_an*'2024'!Env_an,0.001*'[10]mon-tableau (1)'!$B$257)</f>
        <v>38.184433755800356</v>
      </c>
      <c r="C242" s="829"/>
      <c r="D242" s="391">
        <f t="shared" si="77"/>
        <v>39.693944487480735</v>
      </c>
      <c r="E242" s="383">
        <f t="shared" si="100"/>
        <v>40.605009664937221</v>
      </c>
      <c r="F242" s="383">
        <f t="shared" si="78"/>
        <v>40.605012327865005</v>
      </c>
      <c r="G242" s="110">
        <f t="shared" si="101"/>
        <v>0.718600440619929</v>
      </c>
      <c r="H242" s="412" t="b">
        <f>Wh_hp&gt;='2023'!Maxi_hp</f>
        <v>0</v>
      </c>
      <c r="I242" s="388">
        <f>IF(H242,Wh_hp,'2023'!Maxi_hp)</f>
        <v>56.868065915870055</v>
      </c>
      <c r="J242" s="85">
        <f>IF(H242,An,'2023'!An_max)</f>
        <v>2018</v>
      </c>
      <c r="K242" s="197">
        <f t="shared" si="79"/>
        <v>45519</v>
      </c>
      <c r="L242" s="147">
        <f>IF(t&lt;Tvie,1-EXP((T0-t)*PertePVj)+'2023'!Pspv,1-EXP((T0-t)*PertePVj)+Pspv)</f>
        <v>3.8028740936957517E-2</v>
      </c>
      <c r="M242" s="832"/>
      <c r="N242" s="832"/>
      <c r="O242" s="48">
        <f>IF(t&lt;Tnet,'2023'!Resal+('2023'!Salim-'2023'!Resal)*(1-EXP(('2023'!Tnet-t)/('2023'!Tau_j))),Resal+(Salim-Resal)*(1-EXP((Tnet-t)/(Tau_j))))*Salcycl</f>
        <v>2.2437260450727053E-2</v>
      </c>
      <c r="P242" s="169">
        <f>(INDEX(Models!$BJ242:$BT242,,T242)*(1-R242)+INDEX(Models!$BJ242:$BT242,,T242+1)*R242-ERP_i)*Q242*Ramure*Pc/MaxiM</f>
        <v>1.0966753155348822E-7</v>
      </c>
      <c r="Q242" s="304">
        <f t="shared" si="80"/>
        <v>0.6</v>
      </c>
      <c r="R242" s="177">
        <f t="shared" si="81"/>
        <v>0.4692793712253478</v>
      </c>
      <c r="S242" s="799">
        <f t="shared" si="82"/>
        <v>1</v>
      </c>
      <c r="T242" s="176">
        <f t="shared" si="83"/>
        <v>7</v>
      </c>
      <c r="U242" s="250">
        <f t="shared" si="84"/>
        <v>1.4692793712253478</v>
      </c>
      <c r="V242" s="382">
        <f t="shared" si="85"/>
        <v>53.137223294004031</v>
      </c>
      <c r="W242" s="400">
        <f t="shared" si="86"/>
        <v>38.184433755800356</v>
      </c>
      <c r="X242" s="157">
        <f t="shared" si="87"/>
        <v>45519</v>
      </c>
      <c r="Y242" s="383">
        <f t="shared" si="88"/>
        <v>36.850449067187455</v>
      </c>
      <c r="Z242" s="383">
        <f t="shared" si="89"/>
        <v>38.307224587021132</v>
      </c>
      <c r="AA242" s="384">
        <f t="shared" si="90"/>
        <v>40.605009664937221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5.6588709050357566E-2</v>
      </c>
      <c r="AD242" s="230">
        <f>(INDEX(Models!$BJ242:$BT242,,AH242)*(1-AF242)+INDEX(Models!$BJ242:$BT242,,AH242+1)*AF242-ERP_i)*AE242*Ramure*Pc/MaxiM</f>
        <v>1.0966753155348822E-7</v>
      </c>
      <c r="AE242" s="304">
        <f t="shared" si="92"/>
        <v>0.6</v>
      </c>
      <c r="AF242" s="177">
        <f t="shared" si="93"/>
        <v>0.4692793712253478</v>
      </c>
      <c r="AG242" s="799">
        <f t="shared" si="99"/>
        <v>1</v>
      </c>
      <c r="AH242" s="176">
        <f t="shared" si="94"/>
        <v>7</v>
      </c>
      <c r="AI242" s="224">
        <f t="shared" si="95"/>
        <v>1.4692793712253478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45520</v>
      </c>
      <c r="B243" s="409">
        <f>IF(t&gt;Tmaj,'2023'!Wh/'2023'!Env_an*'2024'!Env_an,0.001*'[10]mon-tableau (1)'!$B$258)</f>
        <v>29.528837118580029</v>
      </c>
      <c r="C243" s="829"/>
      <c r="D243" s="391">
        <f t="shared" si="77"/>
        <v>30.696762262538041</v>
      </c>
      <c r="E243" s="383">
        <f t="shared" si="100"/>
        <v>31.404950894986033</v>
      </c>
      <c r="F243" s="383">
        <f t="shared" si="78"/>
        <v>31.404953008625633</v>
      </c>
      <c r="G243" s="110">
        <f t="shared" si="101"/>
        <v>0.55714747896071426</v>
      </c>
      <c r="H243" s="412" t="b">
        <f>Wh_hp&gt;='2023'!Maxi_hp</f>
        <v>0</v>
      </c>
      <c r="I243" s="388">
        <f>IF(H243,Wh_hp,'2023'!Maxi_hp)</f>
        <v>54.878692753943</v>
      </c>
      <c r="J243" s="85">
        <f>IF(H243,An,'2023'!An_max)</f>
        <v>2018</v>
      </c>
      <c r="K243" s="197">
        <f t="shared" si="79"/>
        <v>45520</v>
      </c>
      <c r="L243" s="147">
        <f>IF(t&lt;Tvie,1-EXP((T0-t)*PertePVj)+'2023'!Pspv,1-EXP((T0-t)*PertePVj)+Pspv)</f>
        <v>3.8047176896676582E-2</v>
      </c>
      <c r="M243" s="832"/>
      <c r="N243" s="832"/>
      <c r="O243" s="48">
        <f>IF(t&lt;Tnet,'2023'!Resal+('2023'!Salim-'2023'!Resal)*(1-EXP(('2023'!Tnet-t)/('2023'!Tau_j))),Resal+(Salim-Resal)*(1-EXP((Tnet-t)/(Tau_j))))*Salcycl</f>
        <v>2.2550222568921693E-2</v>
      </c>
      <c r="P243" s="169">
        <f>(INDEX(Models!$BJ243:$BT243,,T243)*(1-R243)+INDEX(Models!$BJ243:$BT243,,T243+1)*R243-ERP_i)*Q243*Ramure*Pc/MaxiM</f>
        <v>1.8320969375399645E-7</v>
      </c>
      <c r="Q243" s="304">
        <f t="shared" si="80"/>
        <v>0.6</v>
      </c>
      <c r="R243" s="177">
        <f t="shared" si="81"/>
        <v>0.47041759726020049</v>
      </c>
      <c r="S243" s="799">
        <f t="shared" si="82"/>
        <v>1</v>
      </c>
      <c r="T243" s="176">
        <f t="shared" si="83"/>
        <v>7</v>
      </c>
      <c r="U243" s="250">
        <f t="shared" si="84"/>
        <v>1.4704175972602005</v>
      </c>
      <c r="V243" s="382">
        <f t="shared" si="85"/>
        <v>53.000031070883807</v>
      </c>
      <c r="W243" s="400">
        <f t="shared" si="86"/>
        <v>29.528837118580029</v>
      </c>
      <c r="X243" s="157">
        <f t="shared" si="87"/>
        <v>45520</v>
      </c>
      <c r="Y243" s="383">
        <f t="shared" si="88"/>
        <v>28.498347764994993</v>
      </c>
      <c r="Z243" s="383">
        <f t="shared" si="89"/>
        <v>29.625514973860607</v>
      </c>
      <c r="AA243" s="384">
        <f t="shared" si="90"/>
        <v>31.404950894986033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5.666099995111025E-2</v>
      </c>
      <c r="AD243" s="230">
        <f>(INDEX(Models!$BJ243:$BT243,,AH243)*(1-AF243)+INDEX(Models!$BJ243:$BT243,,AH243+1)*AF243-ERP_i)*AE243*Ramure*Pc/MaxiM</f>
        <v>1.8320969375399645E-7</v>
      </c>
      <c r="AE243" s="304">
        <f t="shared" si="92"/>
        <v>0.6</v>
      </c>
      <c r="AF243" s="177">
        <f t="shared" si="93"/>
        <v>0.47041759726020049</v>
      </c>
      <c r="AG243" s="799">
        <f t="shared" si="99"/>
        <v>1</v>
      </c>
      <c r="AH243" s="176">
        <f t="shared" si="94"/>
        <v>7</v>
      </c>
      <c r="AI243" s="224">
        <f t="shared" si="95"/>
        <v>1.4704175972602005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45521</v>
      </c>
      <c r="B244" s="409">
        <f>IF(t&gt;Tmaj,'2023'!Wh/'2023'!Env_an*'2024'!Env_an,0.001*'[10]mon-tableau (1)'!$B$259)</f>
        <v>37.483606991331079</v>
      </c>
      <c r="C244" s="829"/>
      <c r="D244" s="391">
        <f t="shared" si="77"/>
        <v>38.966906140935613</v>
      </c>
      <c r="E244" s="383">
        <f t="shared" si="100"/>
        <v>39.87049032105152</v>
      </c>
      <c r="F244" s="383">
        <f t="shared" si="78"/>
        <v>39.87049673933474</v>
      </c>
      <c r="G244" s="110">
        <f t="shared" si="101"/>
        <v>0.70908263282911266</v>
      </c>
      <c r="H244" s="412" t="b">
        <f>Wh_hp&gt;='2023'!Maxi_hp</f>
        <v>0</v>
      </c>
      <c r="I244" s="388">
        <f>IF(H244,Wh_hp,'2023'!Maxi_hp)</f>
        <v>51.155268788996608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3.8065612503074608E-2</v>
      </c>
      <c r="M244" s="832"/>
      <c r="N244" s="832"/>
      <c r="O244" s="48">
        <f>IF(t&lt;Tnet,'2023'!Resal+('2023'!Salim-'2023'!Resal)*(1-EXP(('2023'!Tnet-t)/('2023'!Tau_j))),Resal+(Salim-Resal)*(1-EXP((Tnet-t)/(Tau_j))))*Salcycl</f>
        <v>2.26629813889903E-2</v>
      </c>
      <c r="P244" s="169">
        <f>(INDEX(Models!$BJ244:$BT244,,T244)*(1-R244)+INDEX(Models!$BJ244:$BT244,,T244+1)*R244-ERP_i)*Q244*Ramure*Pc/MaxiM</f>
        <v>2.7545720867693797E-7</v>
      </c>
      <c r="Q244" s="304">
        <f t="shared" si="80"/>
        <v>0.6</v>
      </c>
      <c r="R244" s="177">
        <f t="shared" si="81"/>
        <v>0.47151518206501408</v>
      </c>
      <c r="S244" s="799">
        <f t="shared" si="82"/>
        <v>1</v>
      </c>
      <c r="T244" s="176">
        <f t="shared" si="83"/>
        <v>7</v>
      </c>
      <c r="U244" s="250">
        <f t="shared" si="84"/>
        <v>1.4715151820650141</v>
      </c>
      <c r="V244" s="382">
        <f t="shared" si="85"/>
        <v>52.862107975615807</v>
      </c>
      <c r="W244" s="400">
        <f t="shared" si="86"/>
        <v>37.483606991331079</v>
      </c>
      <c r="X244" s="157">
        <f t="shared" si="87"/>
        <v>45521</v>
      </c>
      <c r="Y244" s="383">
        <f t="shared" si="88"/>
        <v>36.176924874867979</v>
      </c>
      <c r="Z244" s="383">
        <f t="shared" si="89"/>
        <v>37.608516074578539</v>
      </c>
      <c r="AA244" s="384">
        <f t="shared" si="90"/>
        <v>39.87049032105152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5.6733043116820252E-2</v>
      </c>
      <c r="AD244" s="230">
        <f>(INDEX(Models!$BJ244:$BT244,,AH244)*(1-AF244)+INDEX(Models!$BJ244:$BT244,,AH244+1)*AF244-ERP_i)*AE244*Ramure*Pc/MaxiM</f>
        <v>2.7545720867693797E-7</v>
      </c>
      <c r="AE244" s="304">
        <f t="shared" si="92"/>
        <v>0.6</v>
      </c>
      <c r="AF244" s="177">
        <f t="shared" si="93"/>
        <v>0.47151518206501408</v>
      </c>
      <c r="AG244" s="799">
        <f t="shared" si="99"/>
        <v>1</v>
      </c>
      <c r="AH244" s="176">
        <f t="shared" si="94"/>
        <v>7</v>
      </c>
      <c r="AI244" s="224">
        <f t="shared" si="95"/>
        <v>1.4715151820650141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45522</v>
      </c>
      <c r="B245" s="409">
        <f>IF(t&gt;Tmaj,'2023'!Wh/'2023'!Env_an*'2024'!Env_an,0.001*'[10]mon-tableau (1)'!$B$260)</f>
        <v>39.134638646023006</v>
      </c>
      <c r="C245" s="829"/>
      <c r="D245" s="391">
        <f t="shared" si="77"/>
        <v>40.684052026306915</v>
      </c>
      <c r="E245" s="383">
        <f t="shared" si="100"/>
        <v>41.632248714903099</v>
      </c>
      <c r="F245" s="383">
        <f t="shared" si="78"/>
        <v>41.632258882042912</v>
      </c>
      <c r="G245" s="110">
        <f t="shared" si="101"/>
        <v>0.74226088521423828</v>
      </c>
      <c r="H245" s="412" t="b">
        <f>Wh_hp&gt;='2023'!Maxi_hp</f>
        <v>0</v>
      </c>
      <c r="I245" s="388">
        <f>IF(H245,Wh_hp,'2023'!Maxi_hp)</f>
        <v>45.575246648150426</v>
      </c>
      <c r="J245" s="85">
        <f>IF(H245,An,'2023'!An_max)</f>
        <v>2021</v>
      </c>
      <c r="K245" s="197">
        <f t="shared" si="79"/>
        <v>45522</v>
      </c>
      <c r="L245" s="147">
        <f>IF(t&lt;Tvie,1-EXP((T0-t)*PertePVj)+'2023'!Pspv,1-EXP((T0-t)*PertePVj)+Pspv)</f>
        <v>3.8084047756158479E-2</v>
      </c>
      <c r="M245" s="832"/>
      <c r="N245" s="832"/>
      <c r="O245" s="48">
        <f>IF(t&lt;Tnet,'2023'!Resal+('2023'!Salim-'2023'!Resal)*(1-EXP(('2023'!Tnet-t)/('2023'!Tau_j))),Resal+(Salim-Resal)*(1-EXP((Tnet-t)/(Tau_j))))*Salcycl</f>
        <v>2.2775533819693976E-2</v>
      </c>
      <c r="P245" s="169">
        <f>(INDEX(Models!$BJ245:$BT245,,T245)*(1-R245)+INDEX(Models!$BJ245:$BT245,,T245+1)*R245-ERP_i)*Q245*Ramure*Pc/MaxiM</f>
        <v>3.8653446710247543E-7</v>
      </c>
      <c r="Q245" s="304">
        <f t="shared" si="80"/>
        <v>0.6</v>
      </c>
      <c r="R245" s="177">
        <f t="shared" si="81"/>
        <v>0.47257338611445343</v>
      </c>
      <c r="S245" s="799">
        <f t="shared" si="82"/>
        <v>1</v>
      </c>
      <c r="T245" s="176">
        <f t="shared" si="83"/>
        <v>7</v>
      </c>
      <c r="U245" s="250">
        <f t="shared" si="84"/>
        <v>1.4725733861144534</v>
      </c>
      <c r="V245" s="382">
        <f t="shared" si="85"/>
        <v>52.723555633714916</v>
      </c>
      <c r="W245" s="400">
        <f t="shared" si="86"/>
        <v>39.134638646023006</v>
      </c>
      <c r="X245" s="157">
        <f t="shared" si="87"/>
        <v>45522</v>
      </c>
      <c r="Y245" s="383">
        <f t="shared" si="88"/>
        <v>37.771876718755003</v>
      </c>
      <c r="Z245" s="383">
        <f t="shared" si="89"/>
        <v>39.26733581103975</v>
      </c>
      <c r="AA245" s="384">
        <f t="shared" si="90"/>
        <v>41.632248714903099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5.680483223614053E-2</v>
      </c>
      <c r="AD245" s="230">
        <f>(INDEX(Models!$BJ245:$BT245,,AH245)*(1-AF245)+INDEX(Models!$BJ245:$BT245,,AH245+1)*AF245-ERP_i)*AE245*Ramure*Pc/MaxiM</f>
        <v>3.8653446710247543E-7</v>
      </c>
      <c r="AE245" s="304">
        <f t="shared" si="92"/>
        <v>0.6</v>
      </c>
      <c r="AF245" s="177">
        <f t="shared" si="93"/>
        <v>0.47257338611445343</v>
      </c>
      <c r="AG245" s="799">
        <f t="shared" si="99"/>
        <v>1</v>
      </c>
      <c r="AH245" s="176">
        <f t="shared" si="94"/>
        <v>7</v>
      </c>
      <c r="AI245" s="224">
        <f t="shared" si="95"/>
        <v>1.4725733861144534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45523</v>
      </c>
      <c r="B246" s="409">
        <f>IF(t&gt;Tmaj,'2023'!Wh/'2023'!Env_an*'2024'!Env_an,0.001*'[10]mon-tableau (1)'!$B$261)</f>
        <v>51.178542173992646</v>
      </c>
      <c r="C246" s="829"/>
      <c r="D246" s="391">
        <f t="shared" si="77"/>
        <v>53.205815849596775</v>
      </c>
      <c r="E246" s="383">
        <f t="shared" si="100"/>
        <v>54.45210899916836</v>
      </c>
      <c r="F246" s="383">
        <f t="shared" si="78"/>
        <v>54.452136052778854</v>
      </c>
      <c r="G246" s="110">
        <f t="shared" si="101"/>
        <v>0.97326331687880441</v>
      </c>
      <c r="H246" s="412" t="b">
        <f>Wh_hp&gt;='2023'!Maxi_hp</f>
        <v>0</v>
      </c>
      <c r="I246" s="388">
        <f>IF(H246,Wh_hp,'2023'!Maxi_hp)</f>
        <v>54.452136439558863</v>
      </c>
      <c r="J246" s="85">
        <f>IF(H246,An,'2023'!An_max)</f>
        <v>2022</v>
      </c>
      <c r="K246" s="197">
        <f t="shared" si="79"/>
        <v>45523</v>
      </c>
      <c r="L246" s="147">
        <f>IF(t&lt;Tvie,1-EXP((T0-t)*PertePVj)+'2023'!Pspv,1-EXP((T0-t)*PertePVj)+Pspv)</f>
        <v>3.8102482655934966E-2</v>
      </c>
      <c r="M246" s="832"/>
      <c r="N246" s="832"/>
      <c r="O246" s="48">
        <f>IF(t&lt;Tnet,'2023'!Resal+('2023'!Salim-'2023'!Resal)*(1-EXP(('2023'!Tnet-t)/('2023'!Tau_j))),Resal+(Salim-Resal)*(1-EXP((Tnet-t)/(Tau_j))))*Salcycl</f>
        <v>2.2887876566739049E-2</v>
      </c>
      <c r="P246" s="169">
        <f>(INDEX(Models!$BJ246:$BT246,,T246)*(1-R246)+INDEX(Models!$BJ246:$BT246,,T246+1)*R246-ERP_i)*Q246*Ramure*Pc/MaxiM</f>
        <v>5.1656310903664653E-7</v>
      </c>
      <c r="Q246" s="304">
        <f t="shared" si="80"/>
        <v>0.6</v>
      </c>
      <c r="R246" s="177">
        <f t="shared" si="81"/>
        <v>0.47359344518373869</v>
      </c>
      <c r="S246" s="799">
        <f t="shared" si="82"/>
        <v>1</v>
      </c>
      <c r="T246" s="176">
        <f t="shared" si="83"/>
        <v>7</v>
      </c>
      <c r="U246" s="250">
        <f t="shared" si="84"/>
        <v>1.4735934451837387</v>
      </c>
      <c r="V246" s="382">
        <f t="shared" si="85"/>
        <v>52.584475626137014</v>
      </c>
      <c r="W246" s="400">
        <f t="shared" si="86"/>
        <v>51.178542173992646</v>
      </c>
      <c r="X246" s="157">
        <f t="shared" si="87"/>
        <v>45523</v>
      </c>
      <c r="Y246" s="383">
        <f t="shared" si="88"/>
        <v>49.398315503472261</v>
      </c>
      <c r="Z246" s="383">
        <f t="shared" si="89"/>
        <v>51.355071213686038</v>
      </c>
      <c r="AA246" s="384">
        <f t="shared" si="90"/>
        <v>54.45210899916836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5.6876360574566895E-2</v>
      </c>
      <c r="AD246" s="230">
        <f>(INDEX(Models!$BJ246:$BT246,,AH246)*(1-AF246)+INDEX(Models!$BJ246:$BT246,,AH246+1)*AF246-ERP_i)*AE246*Ramure*Pc/MaxiM</f>
        <v>5.1656310903664653E-7</v>
      </c>
      <c r="AE246" s="304">
        <f t="shared" si="92"/>
        <v>0.6</v>
      </c>
      <c r="AF246" s="177">
        <f t="shared" si="93"/>
        <v>0.47359344518373869</v>
      </c>
      <c r="AG246" s="799">
        <f t="shared" si="99"/>
        <v>1</v>
      </c>
      <c r="AH246" s="176">
        <f t="shared" si="94"/>
        <v>7</v>
      </c>
      <c r="AI246" s="224">
        <f t="shared" si="95"/>
        <v>1.4735934451837387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45524</v>
      </c>
      <c r="B247" s="409">
        <f>IF(t&gt;Tmaj,'2023'!Wh/'2023'!Env_an*'2024'!Env_an,0.001*'[10]mon-tableau (1)'!$B$262)</f>
        <v>38.224724244580898</v>
      </c>
      <c r="C247" s="829"/>
      <c r="D247" s="391">
        <f t="shared" si="77"/>
        <v>39.739635603059085</v>
      </c>
      <c r="E247" s="383">
        <f t="shared" si="100"/>
        <v>40.675164639645374</v>
      </c>
      <c r="F247" s="383">
        <f t="shared" si="78"/>
        <v>40.675181227121818</v>
      </c>
      <c r="G247" s="110">
        <f t="shared" si="101"/>
        <v>0.72884510956925164</v>
      </c>
      <c r="H247" s="412" t="b">
        <f>Wh_hp&gt;='2023'!Maxi_hp</f>
        <v>0</v>
      </c>
      <c r="I247" s="388">
        <f>IF(H247,Wh_hp,'2023'!Maxi_hp)</f>
        <v>55.472998221971906</v>
      </c>
      <c r="J247" s="85">
        <f>IF(H247,An,'2023'!An_max)</f>
        <v>2020</v>
      </c>
      <c r="K247" s="197">
        <f t="shared" si="79"/>
        <v>45524</v>
      </c>
      <c r="L247" s="147">
        <f>IF(t&lt;Tvie,1-EXP((T0-t)*PertePVj)+'2023'!Pspv,1-EXP((T0-t)*PertePVj)+Pspv)</f>
        <v>3.8120917202410731E-2</v>
      </c>
      <c r="M247" s="832"/>
      <c r="N247" s="832"/>
      <c r="O247" s="48">
        <f>IF(t&lt;Tnet,'2023'!Resal+('2023'!Salim-'2023'!Resal)*(1-EXP(('2023'!Tnet-t)/('2023'!Tau_j))),Resal+(Salim-Resal)*(1-EXP((Tnet-t)/(Tau_j))))*Salcycl</f>
        <v>2.3000006143169729E-2</v>
      </c>
      <c r="P247" s="169">
        <f>(INDEX(Models!$BJ247:$BT247,,T247)*(1-R247)+INDEX(Models!$BJ247:$BT247,,T247+1)*R247-ERP_i)*Q247*Ramure*Pc/MaxiM</f>
        <v>6.6565348548052917E-7</v>
      </c>
      <c r="Q247" s="304">
        <f t="shared" si="80"/>
        <v>0.6</v>
      </c>
      <c r="R247" s="177">
        <f t="shared" si="81"/>
        <v>0.47457656966740291</v>
      </c>
      <c r="S247" s="799">
        <f t="shared" si="82"/>
        <v>1</v>
      </c>
      <c r="T247" s="176">
        <f t="shared" si="83"/>
        <v>7</v>
      </c>
      <c r="U247" s="250">
        <f t="shared" si="84"/>
        <v>1.4745765696674029</v>
      </c>
      <c r="V247" s="382">
        <f t="shared" si="85"/>
        <v>52.445593565028673</v>
      </c>
      <c r="W247" s="400">
        <f t="shared" si="86"/>
        <v>38.224724244580898</v>
      </c>
      <c r="X247" s="157">
        <f t="shared" si="87"/>
        <v>45524</v>
      </c>
      <c r="Y247" s="383">
        <f t="shared" si="88"/>
        <v>36.89653772964386</v>
      </c>
      <c r="Z247" s="383">
        <f t="shared" si="89"/>
        <v>38.358810779346257</v>
      </c>
      <c r="AA247" s="384">
        <f t="shared" si="90"/>
        <v>40.675164639645374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5.6947621007080264E-2</v>
      </c>
      <c r="AD247" s="230">
        <f>(INDEX(Models!$BJ247:$BT247,,AH247)*(1-AF247)+INDEX(Models!$BJ247:$BT247,,AH247+1)*AF247-ERP_i)*AE247*Ramure*Pc/MaxiM</f>
        <v>6.6565348548052917E-7</v>
      </c>
      <c r="AE247" s="304">
        <f t="shared" si="92"/>
        <v>0.6</v>
      </c>
      <c r="AF247" s="177">
        <f t="shared" si="93"/>
        <v>0.47457656966740291</v>
      </c>
      <c r="AG247" s="799">
        <f t="shared" si="99"/>
        <v>1</v>
      </c>
      <c r="AH247" s="176">
        <f t="shared" si="94"/>
        <v>7</v>
      </c>
      <c r="AI247" s="224">
        <f t="shared" si="95"/>
        <v>1.4745765696674029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45525</v>
      </c>
      <c r="B248" s="409">
        <f>IF(t&gt;Tmaj,'2023'!Wh/'2023'!Env_an*'2024'!Env_an,0.001*'[10]mon-tableau (1)'!$B$263)</f>
        <v>27.609252570344907</v>
      </c>
      <c r="C248" s="829"/>
      <c r="D248" s="391">
        <f t="shared" si="77"/>
        <v>28.704004691744075</v>
      </c>
      <c r="E248" s="383">
        <f t="shared" si="100"/>
        <v>29.383104622148348</v>
      </c>
      <c r="F248" s="383">
        <f t="shared" si="78"/>
        <v>29.383112974997449</v>
      </c>
      <c r="G248" s="110">
        <f t="shared" si="101"/>
        <v>0.52782764115644976</v>
      </c>
      <c r="H248" s="412" t="b">
        <f>Wh_hp&gt;='2023'!Maxi_hp</f>
        <v>0</v>
      </c>
      <c r="I248" s="388">
        <f>IF(H248,Wh_hp,'2023'!Maxi_hp)</f>
        <v>56.932210607769058</v>
      </c>
      <c r="J248" s="85">
        <f>IF(H248,An,'2023'!An_max)</f>
        <v>2018</v>
      </c>
      <c r="K248" s="197">
        <f t="shared" si="79"/>
        <v>45525</v>
      </c>
      <c r="L248" s="147">
        <f>IF(t&lt;Tvie,1-EXP((T0-t)*PertePVj)+'2023'!Pspv,1-EXP((T0-t)*PertePVj)+Pspv)</f>
        <v>3.8139351395592658E-2</v>
      </c>
      <c r="M248" s="832"/>
      <c r="N248" s="832"/>
      <c r="O248" s="48">
        <f>IF(t&lt;Tnet,'2023'!Resal+('2023'!Salim-'2023'!Resal)*(1-EXP(('2023'!Tnet-t)/('2023'!Tau_j))),Resal+(Salim-Resal)*(1-EXP((Tnet-t)/(Tau_j))))*Salcycl</f>
        <v>2.3111918877775188E-2</v>
      </c>
      <c r="P248" s="169">
        <f>(INDEX(Models!$BJ248:$BT248,,T248)*(1-R248)+INDEX(Models!$BJ248:$BT248,,T248+1)*R248-ERP_i)*Q248*Ramure*Pc/MaxiM</f>
        <v>8.7342951662887696E-7</v>
      </c>
      <c r="Q248" s="304">
        <f t="shared" si="80"/>
        <v>0.6</v>
      </c>
      <c r="R248" s="177">
        <f t="shared" si="81"/>
        <v>0.47552394401902132</v>
      </c>
      <c r="S248" s="799">
        <f t="shared" si="82"/>
        <v>1</v>
      </c>
      <c r="T248" s="176">
        <f t="shared" si="83"/>
        <v>7</v>
      </c>
      <c r="U248" s="250">
        <f t="shared" si="84"/>
        <v>1.4755239440190213</v>
      </c>
      <c r="V248" s="382">
        <f t="shared" si="85"/>
        <v>52.307295320306572</v>
      </c>
      <c r="W248" s="400">
        <f t="shared" si="86"/>
        <v>27.609252570344907</v>
      </c>
      <c r="X248" s="157">
        <f t="shared" si="87"/>
        <v>45525</v>
      </c>
      <c r="Y248" s="383">
        <f t="shared" si="88"/>
        <v>26.650966449430097</v>
      </c>
      <c r="Z248" s="383">
        <f t="shared" si="89"/>
        <v>27.707720955315917</v>
      </c>
      <c r="AA248" s="384">
        <f t="shared" si="90"/>
        <v>29.383104622148348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5.7018606045106827E-2</v>
      </c>
      <c r="AD248" s="230">
        <f>(INDEX(Models!$BJ248:$BT248,,AH248)*(1-AF248)+INDEX(Models!$BJ248:$BT248,,AH248+1)*AF248-ERP_i)*AE248*Ramure*Pc/MaxiM</f>
        <v>8.7342951662887696E-7</v>
      </c>
      <c r="AE248" s="304">
        <f t="shared" si="92"/>
        <v>0.6</v>
      </c>
      <c r="AF248" s="177">
        <f t="shared" si="93"/>
        <v>0.47552394401902132</v>
      </c>
      <c r="AG248" s="799">
        <f t="shared" si="99"/>
        <v>1</v>
      </c>
      <c r="AH248" s="176">
        <f t="shared" si="94"/>
        <v>7</v>
      </c>
      <c r="AI248" s="224">
        <f t="shared" si="95"/>
        <v>1.4755239440190213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45526</v>
      </c>
      <c r="B249" s="409">
        <f>IF(t&gt;Tmaj,'2023'!Wh/'2023'!Env_an*'2024'!Env_an,0.001*'[10]mon-tableau (1)'!$B$264)</f>
        <v>49.464981923141075</v>
      </c>
      <c r="C249" s="829"/>
      <c r="D249" s="391">
        <f t="shared" si="77"/>
        <v>51.427335132354912</v>
      </c>
      <c r="E249" s="383">
        <f t="shared" si="100"/>
        <v>52.650059632240726</v>
      </c>
      <c r="F249" s="383">
        <f t="shared" si="78"/>
        <v>52.650115221418012</v>
      </c>
      <c r="G249" s="110">
        <f t="shared" si="101"/>
        <v>0.94816482541055369</v>
      </c>
      <c r="H249" s="412" t="b">
        <f>Wh_hp&gt;='2023'!Maxi_hp</f>
        <v>0</v>
      </c>
      <c r="I249" s="388">
        <f>IF(H249,Wh_hp,'2023'!Maxi_hp)</f>
        <v>54.337170768740876</v>
      </c>
      <c r="J249" s="85">
        <f>IF(H249,An,'2023'!An_max)</f>
        <v>2018</v>
      </c>
      <c r="K249" s="197">
        <f t="shared" si="79"/>
        <v>45526</v>
      </c>
      <c r="L249" s="147">
        <f>IF(t&lt;Tvie,1-EXP((T0-t)*PertePVj)+'2023'!Pspv,1-EXP((T0-t)*PertePVj)+Pspv)</f>
        <v>3.8157785235487518E-2</v>
      </c>
      <c r="M249" s="832"/>
      <c r="N249" s="832"/>
      <c r="O249" s="48">
        <f>IF(t&lt;Tnet,'2023'!Resal+('2023'!Salim-'2023'!Resal)*(1-EXP(('2023'!Tnet-t)/('2023'!Tau_j))),Resal+(Salim-Resal)*(1-EXP((Tnet-t)/(Tau_j))))*Salcycl</f>
        <v>2.3223610921364879E-2</v>
      </c>
      <c r="P249" s="169">
        <f>(INDEX(Models!$BJ249:$BT249,,T249)*(1-R249)+INDEX(Models!$BJ249:$BT249,,T249+1)*R249-ERP_i)*Q249*Ramure*Pc/MaxiM</f>
        <v>1.1402588402582624E-6</v>
      </c>
      <c r="Q249" s="304">
        <f t="shared" si="80"/>
        <v>0.6</v>
      </c>
      <c r="R249" s="177">
        <f t="shared" si="81"/>
        <v>0.4764367263034075</v>
      </c>
      <c r="S249" s="799">
        <f t="shared" si="82"/>
        <v>1</v>
      </c>
      <c r="T249" s="176">
        <f t="shared" si="83"/>
        <v>7</v>
      </c>
      <c r="U249" s="250">
        <f t="shared" si="84"/>
        <v>1.4764367263034075</v>
      </c>
      <c r="V249" s="382">
        <f t="shared" si="85"/>
        <v>52.169176097707819</v>
      </c>
      <c r="W249" s="400">
        <f t="shared" si="86"/>
        <v>49.464981923141075</v>
      </c>
      <c r="X249" s="157">
        <f t="shared" si="87"/>
        <v>45526</v>
      </c>
      <c r="Y249" s="383">
        <f t="shared" si="88"/>
        <v>47.749987472522669</v>
      </c>
      <c r="Z249" s="383">
        <f t="shared" si="89"/>
        <v>49.644304169175278</v>
      </c>
      <c r="AA249" s="384">
        <f t="shared" si="90"/>
        <v>52.650059632240726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5.7089307857589706E-2</v>
      </c>
      <c r="AD249" s="230">
        <f>(INDEX(Models!$BJ249:$BT249,,AH249)*(1-AF249)+INDEX(Models!$BJ249:$BT249,,AH249+1)*AF249-ERP_i)*AE249*Ramure*Pc/MaxiM</f>
        <v>1.1402588402582624E-6</v>
      </c>
      <c r="AE249" s="304">
        <f t="shared" si="92"/>
        <v>0.6</v>
      </c>
      <c r="AF249" s="177">
        <f t="shared" si="93"/>
        <v>0.4764367263034075</v>
      </c>
      <c r="AG249" s="799">
        <f t="shared" si="99"/>
        <v>1</v>
      </c>
      <c r="AH249" s="176">
        <f t="shared" si="94"/>
        <v>7</v>
      </c>
      <c r="AI249" s="224">
        <f t="shared" si="95"/>
        <v>1.4764367263034075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45527</v>
      </c>
      <c r="B250" s="409">
        <f>IF(t&gt;Tmaj,'2023'!Wh/'2023'!Env_an*'2024'!Env_an,0.001*'[10]mon-tableau (1)'!$B$265)</f>
        <v>50.016863200086767</v>
      </c>
      <c r="C250" s="829"/>
      <c r="D250" s="391">
        <f t="shared" si="77"/>
        <v>52.002107011362703</v>
      </c>
      <c r="E250" s="383">
        <f t="shared" si="100"/>
        <v>53.244573295647434</v>
      </c>
      <c r="F250" s="383">
        <f t="shared" si="78"/>
        <v>53.244647061436005</v>
      </c>
      <c r="G250" s="110">
        <f t="shared" si="101"/>
        <v>0.96129271566763275</v>
      </c>
      <c r="H250" s="412" t="b">
        <f>Wh_hp&gt;='2023'!Maxi_hp</f>
        <v>0</v>
      </c>
      <c r="I250" s="388">
        <f>IF(H250,Wh_hp,'2023'!Maxi_hp)</f>
        <v>54.747664261265655</v>
      </c>
      <c r="J250" s="85">
        <f>IF(H250,An,'2023'!An_max)</f>
        <v>2018</v>
      </c>
      <c r="K250" s="197">
        <f t="shared" si="79"/>
        <v>45527</v>
      </c>
      <c r="L250" s="147">
        <f>IF(t&lt;Tvie,1-EXP((T0-t)*PertePVj)+'2023'!Pspv,1-EXP((T0-t)*PertePVj)+Pspv)</f>
        <v>3.8176218722101973E-2</v>
      </c>
      <c r="M250" s="832"/>
      <c r="N250" s="832"/>
      <c r="O250" s="48">
        <f>IF(t&lt;Tnet,'2023'!Resal+('2023'!Salim-'2023'!Resal)*(1-EXP(('2023'!Tnet-t)/('2023'!Tau_j))),Resal+(Salim-Resal)*(1-EXP((Tnet-t)/(Tau_j))))*Salcycl</f>
        <v>2.3335078250806336E-2</v>
      </c>
      <c r="P250" s="169">
        <f>(INDEX(Models!$BJ250:$BT250,,T250)*(1-R250)+INDEX(Models!$BJ250:$BT250,,T250+1)*R250-ERP_i)*Q250*Ramure*Pc/MaxiM</f>
        <v>1.4665041179829928E-6</v>
      </c>
      <c r="Q250" s="304">
        <f t="shared" si="80"/>
        <v>0.6</v>
      </c>
      <c r="R250" s="177">
        <f t="shared" si="81"/>
        <v>0.4773160478530718</v>
      </c>
      <c r="S250" s="799">
        <f t="shared" si="82"/>
        <v>1</v>
      </c>
      <c r="T250" s="176">
        <f t="shared" si="83"/>
        <v>7</v>
      </c>
      <c r="U250" s="250">
        <f t="shared" si="84"/>
        <v>1.4773160478530718</v>
      </c>
      <c r="V250" s="382">
        <f t="shared" si="85"/>
        <v>52.030831326319728</v>
      </c>
      <c r="W250" s="400">
        <f t="shared" si="86"/>
        <v>50.016863200086767</v>
      </c>
      <c r="X250" s="157">
        <f t="shared" si="87"/>
        <v>45527</v>
      </c>
      <c r="Y250" s="383">
        <f t="shared" si="88"/>
        <v>48.284639224635875</v>
      </c>
      <c r="Z250" s="383">
        <f t="shared" si="89"/>
        <v>50.201128485806365</v>
      </c>
      <c r="AA250" s="384">
        <f t="shared" si="90"/>
        <v>53.244573295647434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5.7159718286067224E-2</v>
      </c>
      <c r="AD250" s="230">
        <f>(INDEX(Models!$BJ250:$BT250,,AH250)*(1-AF250)+INDEX(Models!$BJ250:$BT250,,AH250+1)*AF250-ERP_i)*AE250*Ramure*Pc/MaxiM</f>
        <v>1.4665041179829928E-6</v>
      </c>
      <c r="AE250" s="304">
        <f t="shared" si="92"/>
        <v>0.6</v>
      </c>
      <c r="AF250" s="177">
        <f t="shared" si="93"/>
        <v>0.4773160478530718</v>
      </c>
      <c r="AG250" s="799">
        <f t="shared" si="99"/>
        <v>1</v>
      </c>
      <c r="AH250" s="176">
        <f t="shared" si="94"/>
        <v>7</v>
      </c>
      <c r="AI250" s="224">
        <f t="shared" si="95"/>
        <v>1.4773160478530718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45528</v>
      </c>
      <c r="B251" s="409">
        <f>IF(t&gt;Tmaj,'2023'!Wh/'2023'!Env_an*'2024'!Env_an,0.001*'[10]mon-tableau (1)'!$B$266)</f>
        <v>30.084832723773594</v>
      </c>
      <c r="C251" s="829"/>
      <c r="D251" s="391">
        <f t="shared" si="77"/>
        <v>31.279544017727705</v>
      </c>
      <c r="E251" s="383">
        <f t="shared" si="100"/>
        <v>32.030542254564409</v>
      </c>
      <c r="F251" s="383">
        <f t="shared" si="78"/>
        <v>32.030565969236697</v>
      </c>
      <c r="G251" s="110">
        <f t="shared" si="101"/>
        <v>0.57975954613907943</v>
      </c>
      <c r="H251" s="412" t="b">
        <f>Wh_hp&gt;='2023'!Maxi_hp</f>
        <v>0</v>
      </c>
      <c r="I251" s="388">
        <f>IF(H251,Wh_hp,'2023'!Maxi_hp)</f>
        <v>52.804588122486173</v>
      </c>
      <c r="J251" s="85">
        <f>IF(H251,An,'2023'!An_max)</f>
        <v>2021</v>
      </c>
      <c r="K251" s="197">
        <f t="shared" si="79"/>
        <v>45528</v>
      </c>
      <c r="L251" s="147">
        <f>IF(t&lt;Tvie,1-EXP((T0-t)*PertePVj)+'2023'!Pspv,1-EXP((T0-t)*PertePVj)+Pspv)</f>
        <v>3.8194651855442907E-2</v>
      </c>
      <c r="M251" s="832"/>
      <c r="N251" s="832"/>
      <c r="O251" s="48">
        <f>IF(t&lt;Tnet,'2023'!Resal+('2023'!Salim-'2023'!Resal)*(1-EXP(('2023'!Tnet-t)/('2023'!Tau_j))),Resal+(Salim-Resal)*(1-EXP((Tnet-t)/(Tau_j))))*Salcycl</f>
        <v>2.3446316670760903E-2</v>
      </c>
      <c r="P251" s="169">
        <f>(INDEX(Models!$BJ251:$BT251,,T251)*(1-R251)+INDEX(Models!$BJ251:$BT251,,T251+1)*R251-ERP_i)*Q251*Ramure*Pc/MaxiM</f>
        <v>1.8525273965524702E-6</v>
      </c>
      <c r="Q251" s="304">
        <f t="shared" si="80"/>
        <v>0.6</v>
      </c>
      <c r="R251" s="177">
        <f t="shared" si="81"/>
        <v>0.47816301302103636</v>
      </c>
      <c r="S251" s="799">
        <f t="shared" si="82"/>
        <v>1</v>
      </c>
      <c r="T251" s="176">
        <f t="shared" si="83"/>
        <v>7</v>
      </c>
      <c r="U251" s="250">
        <f t="shared" si="84"/>
        <v>1.4781630130210364</v>
      </c>
      <c r="V251" s="382">
        <f t="shared" si="85"/>
        <v>51.891856658885224</v>
      </c>
      <c r="W251" s="400">
        <f t="shared" si="86"/>
        <v>30.084832723773594</v>
      </c>
      <c r="X251" s="157">
        <f t="shared" si="87"/>
        <v>45528</v>
      </c>
      <c r="Y251" s="383">
        <f t="shared" si="88"/>
        <v>29.044059103032161</v>
      </c>
      <c r="Z251" s="383">
        <f t="shared" si="89"/>
        <v>30.197439803242712</v>
      </c>
      <c r="AA251" s="384">
        <f t="shared" si="90"/>
        <v>32.030542254564409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5.722982885375523E-2</v>
      </c>
      <c r="AD251" s="230">
        <f>(INDEX(Models!$BJ251:$BT251,,AH251)*(1-AF251)+INDEX(Models!$BJ251:$BT251,,AH251+1)*AF251-ERP_i)*AE251*Ramure*Pc/MaxiM</f>
        <v>1.8525273965524702E-6</v>
      </c>
      <c r="AE251" s="304">
        <f t="shared" si="92"/>
        <v>0.6</v>
      </c>
      <c r="AF251" s="177">
        <f t="shared" si="93"/>
        <v>0.47816301302103636</v>
      </c>
      <c r="AG251" s="799">
        <f t="shared" si="99"/>
        <v>1</v>
      </c>
      <c r="AH251" s="176">
        <f t="shared" si="94"/>
        <v>7</v>
      </c>
      <c r="AI251" s="224">
        <f t="shared" si="95"/>
        <v>1.4781630130210364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45529</v>
      </c>
      <c r="B252" s="409">
        <f>IF(t&gt;Tmaj,'2023'!Wh/'2023'!Env_an*'2024'!Env_an,0.001*'[10]mon-tableau (1)'!$B$267)</f>
        <v>40.200684620342997</v>
      </c>
      <c r="C252" s="829"/>
      <c r="D252" s="391">
        <f t="shared" si="77"/>
        <v>41.797911760016376</v>
      </c>
      <c r="E252" s="383">
        <f t="shared" si="100"/>
        <v>42.806313871520189</v>
      </c>
      <c r="F252" s="383">
        <f t="shared" si="78"/>
        <v>42.806380894696616</v>
      </c>
      <c r="G252" s="110">
        <f t="shared" si="101"/>
        <v>0.7767965151073043</v>
      </c>
      <c r="H252" s="412" t="b">
        <f>Wh_hp&gt;='2023'!Maxi_hp</f>
        <v>0</v>
      </c>
      <c r="I252" s="388">
        <f>IF(H252,Wh_hp,'2023'!Maxi_hp)</f>
        <v>54.205725811203237</v>
      </c>
      <c r="J252" s="85">
        <f>IF(H252,An,'2023'!An_max)</f>
        <v>2020</v>
      </c>
      <c r="K252" s="197">
        <f t="shared" si="79"/>
        <v>45529</v>
      </c>
      <c r="L252" s="147">
        <f>IF(t&lt;Tvie,1-EXP((T0-t)*PertePVj)+'2023'!Pspv,1-EXP((T0-t)*PertePVj)+Pspv)</f>
        <v>3.8213084635517092E-2</v>
      </c>
      <c r="M252" s="832"/>
      <c r="N252" s="832"/>
      <c r="O252" s="48">
        <f>IF(t&lt;Tnet,'2023'!Resal+('2023'!Salim-'2023'!Resal)*(1-EXP(('2023'!Tnet-t)/('2023'!Tau_j))),Resal+(Salim-Resal)*(1-EXP((Tnet-t)/(Tau_j))))*Salcycl</f>
        <v>2.3557321813096329E-2</v>
      </c>
      <c r="P252" s="169">
        <f>(INDEX(Models!$BJ252:$BT252,,T252)*(1-R252)+INDEX(Models!$BJ252:$BT252,,T252+1)*R252-ERP_i)*Q252*Ramure*Pc/MaxiM</f>
        <v>2.2986928440010016E-6</v>
      </c>
      <c r="Q252" s="304">
        <f t="shared" si="80"/>
        <v>0.6</v>
      </c>
      <c r="R252" s="177">
        <f t="shared" si="81"/>
        <v>0.47897869902244006</v>
      </c>
      <c r="S252" s="799">
        <f t="shared" si="82"/>
        <v>1</v>
      </c>
      <c r="T252" s="176">
        <f t="shared" si="83"/>
        <v>7</v>
      </c>
      <c r="U252" s="250">
        <f t="shared" si="84"/>
        <v>1.4789786990224401</v>
      </c>
      <c r="V252" s="382">
        <f t="shared" si="85"/>
        <v>51.751847971512539</v>
      </c>
      <c r="W252" s="400">
        <f t="shared" si="86"/>
        <v>40.200684620342997</v>
      </c>
      <c r="X252" s="157">
        <f t="shared" si="87"/>
        <v>45529</v>
      </c>
      <c r="Y252" s="383">
        <f t="shared" si="88"/>
        <v>38.811495115428606</v>
      </c>
      <c r="Z252" s="383">
        <f t="shared" si="89"/>
        <v>40.353527892111565</v>
      </c>
      <c r="AA252" s="384">
        <f t="shared" si="90"/>
        <v>42.806313871520189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5.7299630768733595E-2</v>
      </c>
      <c r="AD252" s="230">
        <f>(INDEX(Models!$BJ252:$BT252,,AH252)*(1-AF252)+INDEX(Models!$BJ252:$BT252,,AH252+1)*AF252-ERP_i)*AE252*Ramure*Pc/MaxiM</f>
        <v>2.2986928440010016E-6</v>
      </c>
      <c r="AE252" s="304">
        <f t="shared" si="92"/>
        <v>0.6</v>
      </c>
      <c r="AF252" s="177">
        <f t="shared" si="93"/>
        <v>0.47897869902244006</v>
      </c>
      <c r="AG252" s="799">
        <f t="shared" si="99"/>
        <v>1</v>
      </c>
      <c r="AH252" s="176">
        <f t="shared" si="94"/>
        <v>7</v>
      </c>
      <c r="AI252" s="224">
        <f t="shared" si="95"/>
        <v>1.4789786990224401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45530</v>
      </c>
      <c r="B253" s="409">
        <f>IF(t&gt;Tmaj,'2023'!Wh/'2023'!Env_an*'2024'!Env_an,0.001*'[10]mon-tableau (1)'!$B$268)</f>
        <v>48.67373459143856</v>
      </c>
      <c r="C253" s="829"/>
      <c r="D253" s="391">
        <f t="shared" si="77"/>
        <v>50.608577277108644</v>
      </c>
      <c r="E253" s="383">
        <f t="shared" si="100"/>
        <v>51.835422681431282</v>
      </c>
      <c r="F253" s="383">
        <f t="shared" si="78"/>
        <v>51.83555627887403</v>
      </c>
      <c r="G253" s="110">
        <f t="shared" si="101"/>
        <v>0.94309910810858943</v>
      </c>
      <c r="H253" s="412" t="b">
        <f>Wh_hp&gt;='2023'!Maxi_hp</f>
        <v>0</v>
      </c>
      <c r="I253" s="388">
        <f>IF(H253,Wh_hp,'2023'!Maxi_hp)</f>
        <v>51.835560545336492</v>
      </c>
      <c r="J253" s="85">
        <f>IF(H253,An,'2023'!An_max)</f>
        <v>2022</v>
      </c>
      <c r="K253" s="197">
        <f t="shared" si="79"/>
        <v>45530</v>
      </c>
      <c r="L253" s="147">
        <f>IF(t&lt;Tvie,1-EXP((T0-t)*PertePVj)+'2023'!Pspv,1-EXP((T0-t)*PertePVj)+Pspv)</f>
        <v>3.8231517062331188E-2</v>
      </c>
      <c r="M253" s="832"/>
      <c r="N253" s="832"/>
      <c r="O253" s="48">
        <f>IF(t&lt;Tnet,'2023'!Resal+('2023'!Salim-'2023'!Resal)*(1-EXP(('2023'!Tnet-t)/('2023'!Tau_j))),Resal+(Salim-Resal)*(1-EXP((Tnet-t)/(Tau_j))))*Salcycl</f>
        <v>2.3668089133999197E-2</v>
      </c>
      <c r="P253" s="169">
        <f>(INDEX(Models!$BJ253:$BT253,,T253)*(1-R253)+INDEX(Models!$BJ253:$BT253,,T253+1)*R253-ERP_i)*Q253*Ramure*Pc/MaxiM</f>
        <v>2.8053714254675781E-6</v>
      </c>
      <c r="Q253" s="304">
        <f t="shared" si="80"/>
        <v>0.6</v>
      </c>
      <c r="R253" s="177">
        <f t="shared" si="81"/>
        <v>0.47976415585768728</v>
      </c>
      <c r="S253" s="799">
        <f t="shared" si="82"/>
        <v>1</v>
      </c>
      <c r="T253" s="176">
        <f t="shared" si="83"/>
        <v>7</v>
      </c>
      <c r="U253" s="250">
        <f t="shared" si="84"/>
        <v>1.4797641558576873</v>
      </c>
      <c r="V253" s="382">
        <f t="shared" si="85"/>
        <v>51.610401360150206</v>
      </c>
      <c r="W253" s="400">
        <f t="shared" si="86"/>
        <v>48.67373459143856</v>
      </c>
      <c r="X253" s="157">
        <f t="shared" si="87"/>
        <v>45530</v>
      </c>
      <c r="Y253" s="383">
        <f t="shared" si="88"/>
        <v>46.99361457653287</v>
      </c>
      <c r="Z253" s="383">
        <f t="shared" si="89"/>
        <v>48.861670360618874</v>
      </c>
      <c r="AA253" s="384">
        <f t="shared" si="90"/>
        <v>51.835422681431282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5.7369114921439257E-2</v>
      </c>
      <c r="AD253" s="230">
        <f>(INDEX(Models!$BJ253:$BT253,,AH253)*(1-AF253)+INDEX(Models!$BJ253:$BT253,,AH253+1)*AF253-ERP_i)*AE253*Ramure*Pc/MaxiM</f>
        <v>2.8053714254675781E-6</v>
      </c>
      <c r="AE253" s="304">
        <f t="shared" si="92"/>
        <v>0.6</v>
      </c>
      <c r="AF253" s="177">
        <f t="shared" si="93"/>
        <v>0.47976415585768728</v>
      </c>
      <c r="AG253" s="799">
        <f t="shared" si="99"/>
        <v>1</v>
      </c>
      <c r="AH253" s="176">
        <f t="shared" si="94"/>
        <v>7</v>
      </c>
      <c r="AI253" s="224">
        <f t="shared" si="95"/>
        <v>1.4797641558576873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45531</v>
      </c>
      <c r="B254" s="409">
        <f>IF(t&gt;Tmaj,'2023'!Wh/'2023'!Env_an*'2024'!Env_an,0.001*'[10]mon-tableau (1)'!$B$269)</f>
        <v>49.764412864392796</v>
      </c>
      <c r="C254" s="829"/>
      <c r="D254" s="391">
        <f t="shared" si="77"/>
        <v>51.743603049129796</v>
      </c>
      <c r="E254" s="383">
        <f t="shared" si="100"/>
        <v>53.003963840942468</v>
      </c>
      <c r="F254" s="383">
        <f t="shared" si="78"/>
        <v>53.004135290015711</v>
      </c>
      <c r="G254" s="110">
        <f t="shared" si="101"/>
        <v>0.96691659862691048</v>
      </c>
      <c r="H254" s="412" t="b">
        <f>Wh_hp&gt;='2023'!Maxi_hp</f>
        <v>0</v>
      </c>
      <c r="I254" s="388">
        <f>IF(H254,Wh_hp,'2023'!Maxi_hp)</f>
        <v>55.753732502644198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3.824994913589197E-2</v>
      </c>
      <c r="M254" s="832"/>
      <c r="N254" s="832"/>
      <c r="O254" s="48">
        <f>IF(t&lt;Tnet,'2023'!Resal+('2023'!Salim-'2023'!Resal)*(1-EXP(('2023'!Tnet-t)/('2023'!Tau_j))),Resal+(Salim-Resal)*(1-EXP((Tnet-t)/(Tau_j))))*Salcycl</f>
        <v>2.3778613908854798E-2</v>
      </c>
      <c r="P254" s="169">
        <f>(INDEX(Models!$BJ254:$BT254,,T254)*(1-R254)+INDEX(Models!$BJ254:$BT254,,T254+1)*R254-ERP_i)*Q254*Ramure*Pc/MaxiM</f>
        <v>3.3950939799529999E-6</v>
      </c>
      <c r="Q254" s="304">
        <f t="shared" si="80"/>
        <v>0.6</v>
      </c>
      <c r="R254" s="177">
        <f t="shared" si="81"/>
        <v>0.48052040631024706</v>
      </c>
      <c r="S254" s="799">
        <f t="shared" si="82"/>
        <v>1</v>
      </c>
      <c r="T254" s="176">
        <f t="shared" si="83"/>
        <v>7</v>
      </c>
      <c r="U254" s="250">
        <f t="shared" si="84"/>
        <v>1.4805204063102471</v>
      </c>
      <c r="V254" s="382">
        <f t="shared" si="85"/>
        <v>51.467112003174329</v>
      </c>
      <c r="W254" s="400">
        <f t="shared" si="86"/>
        <v>49.764412864392796</v>
      </c>
      <c r="X254" s="157">
        <f t="shared" si="87"/>
        <v>45531</v>
      </c>
      <c r="Y254" s="383">
        <f t="shared" si="88"/>
        <v>48.048559124805621</v>
      </c>
      <c r="Z254" s="383">
        <f t="shared" si="89"/>
        <v>49.959507755300045</v>
      </c>
      <c r="AA254" s="384">
        <f t="shared" si="90"/>
        <v>53.003963840942468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5.7438271876767824E-2</v>
      </c>
      <c r="AD254" s="230">
        <f>(INDEX(Models!$BJ254:$BT254,,AH254)*(1-AF254)+INDEX(Models!$BJ254:$BT254,,AH254+1)*AF254-ERP_i)*AE254*Ramure*Pc/MaxiM</f>
        <v>3.3950939799529999E-6</v>
      </c>
      <c r="AE254" s="304">
        <f t="shared" si="92"/>
        <v>0.6</v>
      </c>
      <c r="AF254" s="177">
        <f t="shared" si="93"/>
        <v>0.48052040631024706</v>
      </c>
      <c r="AG254" s="799">
        <f t="shared" si="99"/>
        <v>1</v>
      </c>
      <c r="AH254" s="176">
        <f t="shared" si="94"/>
        <v>7</v>
      </c>
      <c r="AI254" s="224">
        <f t="shared" si="95"/>
        <v>1.4805204063102471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45532</v>
      </c>
      <c r="B255" s="409">
        <f>IF(t&gt;Tmaj,'2023'!Wh/'2023'!Env_an*'2024'!Env_an,0.001*'[10]mon-tableau (1)'!$B$270)</f>
        <v>34.21740980310166</v>
      </c>
      <c r="C255" s="829"/>
      <c r="D255" s="391">
        <f t="shared" si="77"/>
        <v>35.57895895485332</v>
      </c>
      <c r="E255" s="383">
        <f t="shared" si="100"/>
        <v>36.449701919184619</v>
      </c>
      <c r="F255" s="383">
        <f t="shared" si="78"/>
        <v>36.449779249418746</v>
      </c>
      <c r="G255" s="110">
        <f t="shared" si="101"/>
        <v>0.66672432067788623</v>
      </c>
      <c r="H255" s="412" t="b">
        <f>Wh_hp&gt;='2023'!Maxi_hp</f>
        <v>0</v>
      </c>
      <c r="I255" s="388">
        <f>IF(H255,Wh_hp,'2023'!Maxi_hp)</f>
        <v>55.057615254458725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3.8268380856206319E-2</v>
      </c>
      <c r="M255" s="832"/>
      <c r="N255" s="832"/>
      <c r="O255" s="48">
        <f>IF(t&lt;Tnet,'2023'!Resal+('2023'!Salim-'2023'!Resal)*(1-EXP(('2023'!Tnet-t)/('2023'!Tau_j))),Resal+(Salim-Resal)*(1-EXP((Tnet-t)/(Tau_j))))*Salcycl</f>
        <v>2.3888891225006138E-2</v>
      </c>
      <c r="P255" s="169">
        <f>(INDEX(Models!$BJ255:$BT255,,T255)*(1-R255)+INDEX(Models!$BJ255:$BT255,,T255+1)*R255-ERP_i)*Q255*Ramure*Pc/MaxiM</f>
        <v>4.0495916054015937E-6</v>
      </c>
      <c r="Q255" s="304">
        <f t="shared" si="80"/>
        <v>0.6</v>
      </c>
      <c r="R255" s="177">
        <f t="shared" si="81"/>
        <v>0.48124844601254169</v>
      </c>
      <c r="S255" s="799">
        <f t="shared" si="82"/>
        <v>1</v>
      </c>
      <c r="T255" s="176">
        <f t="shared" si="83"/>
        <v>7</v>
      </c>
      <c r="U255" s="250">
        <f t="shared" si="84"/>
        <v>1.4812484460125417</v>
      </c>
      <c r="V255" s="382">
        <f t="shared" si="85"/>
        <v>51.321577403647417</v>
      </c>
      <c r="W255" s="400">
        <f t="shared" si="86"/>
        <v>34.21740980310166</v>
      </c>
      <c r="X255" s="157">
        <f t="shared" si="87"/>
        <v>45532</v>
      </c>
      <c r="Y255" s="383">
        <f t="shared" si="88"/>
        <v>33.038929466519306</v>
      </c>
      <c r="Z255" s="383">
        <f t="shared" si="89"/>
        <v>34.35358556260536</v>
      </c>
      <c r="AA255" s="384">
        <f t="shared" si="90"/>
        <v>36.449701919184619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5.7507091861182198E-2</v>
      </c>
      <c r="AD255" s="230">
        <f>(INDEX(Models!$BJ255:$BT255,,AH255)*(1-AF255)+INDEX(Models!$BJ255:$BT255,,AH255+1)*AF255-ERP_i)*AE255*Ramure*Pc/MaxiM</f>
        <v>4.0495916054015937E-6</v>
      </c>
      <c r="AE255" s="304">
        <f t="shared" si="92"/>
        <v>0.6</v>
      </c>
      <c r="AF255" s="177">
        <f t="shared" si="93"/>
        <v>0.48124844601254169</v>
      </c>
      <c r="AG255" s="799">
        <f t="shared" si="99"/>
        <v>1</v>
      </c>
      <c r="AH255" s="176">
        <f t="shared" si="94"/>
        <v>7</v>
      </c>
      <c r="AI255" s="224">
        <f t="shared" si="95"/>
        <v>1.4812484460125417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45533</v>
      </c>
      <c r="B256" s="409">
        <f>IF(t&gt;Tmaj,'2023'!Wh/'2023'!Env_an*'2024'!Env_an,0.001*'[10]mon-tableau (1)'!$B$271)</f>
        <v>49.102374726423321</v>
      </c>
      <c r="C256" s="829"/>
      <c r="D256" s="391">
        <f t="shared" si="77"/>
        <v>51.057191843170834</v>
      </c>
      <c r="E256" s="383">
        <f t="shared" si="100"/>
        <v>52.312638457822388</v>
      </c>
      <c r="F256" s="383">
        <f t="shared" si="78"/>
        <v>52.312873529240399</v>
      </c>
      <c r="G256" s="110">
        <f t="shared" si="101"/>
        <v>0.959529103744033</v>
      </c>
      <c r="H256" s="412" t="b">
        <f>Wh_hp&gt;='2023'!Maxi_hp</f>
        <v>0</v>
      </c>
      <c r="I256" s="388">
        <f>IF(H256,Wh_hp,'2023'!Maxi_hp)</f>
        <v>53.730779388968067</v>
      </c>
      <c r="J256" s="85">
        <f>IF(H256,An,'2023'!An_max)</f>
        <v>2021</v>
      </c>
      <c r="K256" s="197">
        <f t="shared" si="79"/>
        <v>45533</v>
      </c>
      <c r="L256" s="147">
        <f>IF(t&lt;Tvie,1-EXP((T0-t)*PertePVj)+'2023'!Pspv,1-EXP((T0-t)*PertePVj)+Pspv)</f>
        <v>3.8286812223281008E-2</v>
      </c>
      <c r="M256" s="832"/>
      <c r="N256" s="832"/>
      <c r="O256" s="48">
        <f>IF(t&lt;Tnet,'2023'!Resal+('2023'!Salim-'2023'!Resal)*(1-EXP(('2023'!Tnet-t)/('2023'!Tau_j))),Resal+(Salim-Resal)*(1-EXP((Tnet-t)/(Tau_j))))*Salcycl</f>
        <v>2.3998915972547826E-2</v>
      </c>
      <c r="P256" s="169">
        <f>(INDEX(Models!$BJ256:$BT256,,T256)*(1-R256)+INDEX(Models!$BJ256:$BT256,,T256+1)*R256-ERP_i)*Q256*Ramure*Pc/MaxiM</f>
        <v>4.7693056035153276E-6</v>
      </c>
      <c r="Q256" s="304">
        <f t="shared" si="80"/>
        <v>0.6</v>
      </c>
      <c r="R256" s="177">
        <f t="shared" si="81"/>
        <v>0.48194924357371649</v>
      </c>
      <c r="S256" s="799">
        <f t="shared" si="82"/>
        <v>1</v>
      </c>
      <c r="T256" s="176">
        <f t="shared" si="83"/>
        <v>7</v>
      </c>
      <c r="U256" s="250">
        <f t="shared" si="84"/>
        <v>1.4819492435737165</v>
      </c>
      <c r="V256" s="382">
        <f t="shared" si="85"/>
        <v>51.173394319528441</v>
      </c>
      <c r="W256" s="400">
        <f t="shared" si="86"/>
        <v>49.102374726423321</v>
      </c>
      <c r="X256" s="157">
        <f t="shared" si="87"/>
        <v>45533</v>
      </c>
      <c r="Y256" s="383">
        <f t="shared" si="88"/>
        <v>47.413141776706915</v>
      </c>
      <c r="Z256" s="383">
        <f t="shared" si="89"/>
        <v>49.300708755295581</v>
      </c>
      <c r="AA256" s="384">
        <f t="shared" si="90"/>
        <v>52.312638457822388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5.7575564745318775E-2</v>
      </c>
      <c r="AD256" s="230">
        <f>(INDEX(Models!$BJ256:$BT256,,AH256)*(1-AF256)+INDEX(Models!$BJ256:$BT256,,AH256+1)*AF256-ERP_i)*AE256*Ramure*Pc/MaxiM</f>
        <v>4.7693056035153276E-6</v>
      </c>
      <c r="AE256" s="304">
        <f t="shared" si="92"/>
        <v>0.6</v>
      </c>
      <c r="AF256" s="177">
        <f t="shared" si="93"/>
        <v>0.48194924357371649</v>
      </c>
      <c r="AG256" s="799">
        <f t="shared" si="99"/>
        <v>1</v>
      </c>
      <c r="AH256" s="176">
        <f t="shared" si="94"/>
        <v>7</v>
      </c>
      <c r="AI256" s="224">
        <f t="shared" si="95"/>
        <v>1.4819492435737165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45534</v>
      </c>
      <c r="B257" s="409">
        <f>IF(t&gt;Tmaj,'2023'!Wh/'2023'!Env_an*'2024'!Env_an,0.001*'[10]mon-tableau (1)'!$B$272)</f>
        <v>25.443384892674899</v>
      </c>
      <c r="C257" s="829"/>
      <c r="D257" s="391">
        <f t="shared" si="77"/>
        <v>26.45681981080865</v>
      </c>
      <c r="E257" s="383">
        <f t="shared" si="100"/>
        <v>27.110416237355224</v>
      </c>
      <c r="F257" s="383">
        <f t="shared" si="78"/>
        <v>27.11045897779055</v>
      </c>
      <c r="G257" s="110">
        <f t="shared" si="101"/>
        <v>0.49867124033661153</v>
      </c>
      <c r="H257" s="412" t="b">
        <f>Wh_hp&gt;='2023'!Maxi_hp</f>
        <v>0</v>
      </c>
      <c r="I257" s="388">
        <f>IF(H257,Wh_hp,'2023'!Maxi_hp)</f>
        <v>53.216072891494655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3.8305243237122699E-2</v>
      </c>
      <c r="M257" s="832"/>
      <c r="N257" s="832"/>
      <c r="O257" s="48">
        <f>IF(t&lt;Tnet,'2023'!Resal+('2023'!Salim-'2023'!Resal)*(1-EXP(('2023'!Tnet-t)/('2023'!Tau_j))),Resal+(Salim-Resal)*(1-EXP((Tnet-t)/(Tau_j))))*Salcycl</f>
        <v>2.4108682833352716E-2</v>
      </c>
      <c r="P257" s="169">
        <f>(INDEX(Models!$BJ257:$BT257,,T257)*(1-R257)+INDEX(Models!$BJ257:$BT257,,T257+1)*R257-ERP_i)*Q257*Ramure*Pc/MaxiM</f>
        <v>5.5547020842961124E-6</v>
      </c>
      <c r="Q257" s="304">
        <f t="shared" si="80"/>
        <v>0.6</v>
      </c>
      <c r="R257" s="177">
        <f t="shared" si="81"/>
        <v>0.48262374076341663</v>
      </c>
      <c r="S257" s="799">
        <f t="shared" si="82"/>
        <v>1</v>
      </c>
      <c r="T257" s="176">
        <f t="shared" si="83"/>
        <v>7</v>
      </c>
      <c r="U257" s="250">
        <f t="shared" si="84"/>
        <v>1.4826237407634166</v>
      </c>
      <c r="V257" s="382">
        <f t="shared" si="85"/>
        <v>51.022159724233582</v>
      </c>
      <c r="W257" s="400">
        <f t="shared" si="86"/>
        <v>25.443384892674899</v>
      </c>
      <c r="X257" s="157">
        <f t="shared" si="87"/>
        <v>45534</v>
      </c>
      <c r="Y257" s="383">
        <f t="shared" si="88"/>
        <v>24.569062285379054</v>
      </c>
      <c r="Z257" s="383">
        <f t="shared" si="89"/>
        <v>25.547672078487775</v>
      </c>
      <c r="AA257" s="384">
        <f t="shared" si="90"/>
        <v>27.110416237355224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5.7643680022668078E-2</v>
      </c>
      <c r="AD257" s="230">
        <f>(INDEX(Models!$BJ257:$BT257,,AH257)*(1-AF257)+INDEX(Models!$BJ257:$BT257,,AH257+1)*AF257-ERP_i)*AE257*Ramure*Pc/MaxiM</f>
        <v>5.5547020842961124E-6</v>
      </c>
      <c r="AE257" s="304">
        <f t="shared" si="92"/>
        <v>0.6</v>
      </c>
      <c r="AF257" s="177">
        <f t="shared" si="93"/>
        <v>0.48262374076341663</v>
      </c>
      <c r="AG257" s="799">
        <f t="shared" si="99"/>
        <v>1</v>
      </c>
      <c r="AH257" s="176">
        <f t="shared" si="94"/>
        <v>7</v>
      </c>
      <c r="AI257" s="224">
        <f t="shared" si="95"/>
        <v>1.4826237407634166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45535</v>
      </c>
      <c r="B258" s="409">
        <f>IF(t&gt;Tmaj,'2023'!Wh/'2023'!Env_an*'2024'!Env_an,0.001*'[11]mon-tableau (3)'!$B$235)</f>
        <v>39.907598192585112</v>
      </c>
      <c r="C258" s="829"/>
      <c r="D258" s="391">
        <f t="shared" si="77"/>
        <v>41.49795217932968</v>
      </c>
      <c r="E258" s="383">
        <f t="shared" si="100"/>
        <v>42.527900802577769</v>
      </c>
      <c r="F258" s="383">
        <f t="shared" si="78"/>
        <v>42.528089390438168</v>
      </c>
      <c r="G258" s="110">
        <f t="shared" si="101"/>
        <v>0.78453909470730832</v>
      </c>
      <c r="H258" s="412" t="b">
        <f>Wh_hp&gt;='2023'!Maxi_hp</f>
        <v>0</v>
      </c>
      <c r="I258" s="388">
        <f>IF(H258,Wh_hp,'2023'!Maxi_hp)</f>
        <v>44.616826041056136</v>
      </c>
      <c r="J258" s="85">
        <f>IF(H258,An,'2023'!An_max)</f>
        <v>2020</v>
      </c>
      <c r="K258" s="197">
        <f t="shared" si="79"/>
        <v>45535</v>
      </c>
      <c r="L258" s="147">
        <f>IF(t&lt;Tvie,1-EXP((T0-t)*PertePVj)+'2023'!Pspv,1-EXP((T0-t)*PertePVj)+Pspv)</f>
        <v>3.8323673897738275E-2</v>
      </c>
      <c r="M258" s="832"/>
      <c r="N258" s="832"/>
      <c r="O258" s="48">
        <f>IF(t&lt;Tnet,'2023'!Resal+('2023'!Salim-'2023'!Resal)*(1-EXP(('2023'!Tnet-t)/('2023'!Tau_j))),Resal+(Salim-Resal)*(1-EXP((Tnet-t)/(Tau_j))))*Salcycl</f>
        <v>2.4218186268569811E-2</v>
      </c>
      <c r="P258" s="169">
        <f>(INDEX(Models!$BJ258:$BT258,,T258)*(1-R258)+INDEX(Models!$BJ258:$BT258,,T258+1)*R258-ERP_i)*Q258*Ramure*Pc/MaxiM</f>
        <v>6.4062766748131057E-6</v>
      </c>
      <c r="Q258" s="304">
        <f t="shared" si="80"/>
        <v>0.6</v>
      </c>
      <c r="R258" s="177">
        <f t="shared" si="81"/>
        <v>0.48327285274603815</v>
      </c>
      <c r="S258" s="799">
        <f t="shared" si="82"/>
        <v>1</v>
      </c>
      <c r="T258" s="176">
        <f t="shared" si="83"/>
        <v>7</v>
      </c>
      <c r="U258" s="250">
        <f t="shared" si="84"/>
        <v>1.4832728527460382</v>
      </c>
      <c r="V258" s="382">
        <f t="shared" si="85"/>
        <v>50.867470811614908</v>
      </c>
      <c r="W258" s="400">
        <f t="shared" si="86"/>
        <v>39.907598192585112</v>
      </c>
      <c r="X258" s="157">
        <f t="shared" si="87"/>
        <v>45535</v>
      </c>
      <c r="Y258" s="383">
        <f t="shared" si="88"/>
        <v>38.53778911653211</v>
      </c>
      <c r="Z258" s="383">
        <f t="shared" si="89"/>
        <v>40.07355496909063</v>
      </c>
      <c r="AA258" s="384">
        <f t="shared" si="90"/>
        <v>42.527900802577769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5.7711426784986627E-2</v>
      </c>
      <c r="AD258" s="230">
        <f>(INDEX(Models!$BJ258:$BT258,,AH258)*(1-AF258)+INDEX(Models!$BJ258:$BT258,,AH258+1)*AF258-ERP_i)*AE258*Ramure*Pc/MaxiM</f>
        <v>6.4062766748131057E-6</v>
      </c>
      <c r="AE258" s="304">
        <f t="shared" si="92"/>
        <v>0.6</v>
      </c>
      <c r="AF258" s="177">
        <f t="shared" si="93"/>
        <v>0.48327285274603815</v>
      </c>
      <c r="AG258" s="799">
        <f t="shared" si="99"/>
        <v>1</v>
      </c>
      <c r="AH258" s="176">
        <f t="shared" si="94"/>
        <v>7</v>
      </c>
      <c r="AI258" s="224">
        <f t="shared" si="95"/>
        <v>1.4832728527460382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45536</v>
      </c>
      <c r="B259" s="409">
        <f>IF(t&gt;Tmaj,'2023'!Wh/'2023'!Env_an*'2024'!Env_an,0.001*'[11]mon-tableau (3)'!$B$236)</f>
        <v>38.018148291815109</v>
      </c>
      <c r="C259" s="829"/>
      <c r="D259" s="391">
        <f t="shared" si="77"/>
        <v>39.533963645554969</v>
      </c>
      <c r="E259" s="383">
        <f t="shared" si="100"/>
        <v>40.519703511614686</v>
      </c>
      <c r="F259" s="383">
        <f t="shared" si="78"/>
        <v>40.519894192167065</v>
      </c>
      <c r="G259" s="110">
        <f t="shared" si="101"/>
        <v>0.74973091503901179</v>
      </c>
      <c r="H259" s="412" t="b">
        <f>Wh_hp&gt;='2023'!Maxi_hp</f>
        <v>0</v>
      </c>
      <c r="I259" s="388">
        <f>IF(H259,Wh_hp,'2023'!Maxi_hp)</f>
        <v>52.82794412076764</v>
      </c>
      <c r="J259" s="85">
        <f>IF(H259,An,'2023'!An_max)</f>
        <v>2018</v>
      </c>
      <c r="K259" s="197">
        <f t="shared" si="79"/>
        <v>45536</v>
      </c>
      <c r="L259" s="147">
        <f>IF(t&lt;Tvie,1-EXP((T0-t)*PertePVj)+'2023'!Pspv,1-EXP((T0-t)*PertePVj)+Pspv)</f>
        <v>3.8342104205134397E-2</v>
      </c>
      <c r="M259" s="832"/>
      <c r="N259" s="832"/>
      <c r="O259" s="48">
        <f>IF(t&lt;Tnet,'2023'!Resal+('2023'!Salim-'2023'!Resal)*(1-EXP(('2023'!Tnet-t)/('2023'!Tau_j))),Resal+(Salim-Resal)*(1-EXP((Tnet-t)/(Tau_j))))*Salcycl</f>
        <v>2.4327420504870256E-2</v>
      </c>
      <c r="P259" s="169">
        <f>(INDEX(Models!$BJ259:$BT259,,T259)*(1-R259)+INDEX(Models!$BJ259:$BT259,,T259+1)*R259-ERP_i)*Q259*Ramure*Pc/MaxiM</f>
        <v>7.3245593142630229E-6</v>
      </c>
      <c r="Q259" s="304">
        <f t="shared" si="80"/>
        <v>0.6</v>
      </c>
      <c r="R259" s="177">
        <f t="shared" si="81"/>
        <v>0.48389746836024461</v>
      </c>
      <c r="S259" s="799">
        <f t="shared" si="82"/>
        <v>1</v>
      </c>
      <c r="T259" s="176">
        <f t="shared" si="83"/>
        <v>7</v>
      </c>
      <c r="U259" s="250">
        <f t="shared" si="84"/>
        <v>1.4838974683602446</v>
      </c>
      <c r="V259" s="382">
        <f t="shared" si="85"/>
        <v>50.708924989303782</v>
      </c>
      <c r="W259" s="400">
        <f t="shared" si="86"/>
        <v>38.018148291815109</v>
      </c>
      <c r="X259" s="157">
        <f t="shared" si="87"/>
        <v>45536</v>
      </c>
      <c r="Y259" s="383">
        <f t="shared" si="88"/>
        <v>36.714678979218775</v>
      </c>
      <c r="Z259" s="383">
        <f t="shared" si="89"/>
        <v>38.178523921827711</v>
      </c>
      <c r="AA259" s="384">
        <f t="shared" si="90"/>
        <v>40.519703511614686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5.7778793695168459E-2</v>
      </c>
      <c r="AD259" s="230">
        <f>(INDEX(Models!$BJ259:$BT259,,AH259)*(1-AF259)+INDEX(Models!$BJ259:$BT259,,AH259+1)*AF259-ERP_i)*AE259*Ramure*Pc/MaxiM</f>
        <v>7.3245593142630229E-6</v>
      </c>
      <c r="AE259" s="304">
        <f t="shared" si="92"/>
        <v>0.6</v>
      </c>
      <c r="AF259" s="177">
        <f t="shared" si="93"/>
        <v>0.48389746836024461</v>
      </c>
      <c r="AG259" s="799">
        <f t="shared" si="99"/>
        <v>1</v>
      </c>
      <c r="AH259" s="176">
        <f t="shared" si="94"/>
        <v>7</v>
      </c>
      <c r="AI259" s="224">
        <f t="shared" si="95"/>
        <v>1.4838974683602446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45537</v>
      </c>
      <c r="B260" s="409">
        <f>IF(t&gt;Tmaj,'2023'!Wh/'2023'!Env_an*'2024'!Env_an,0.001*'[11]mon-tableau (3)'!$B$237)</f>
        <v>39.546637318363075</v>
      </c>
      <c r="C260" s="829"/>
      <c r="D260" s="391">
        <f t="shared" si="77"/>
        <v>41.124182942918956</v>
      </c>
      <c r="E260" s="383">
        <f t="shared" si="100"/>
        <v>42.154280950610385</v>
      </c>
      <c r="F260" s="383">
        <f t="shared" si="78"/>
        <v>42.154522357222078</v>
      </c>
      <c r="G260" s="110">
        <f t="shared" si="101"/>
        <v>0.78238518094619869</v>
      </c>
      <c r="H260" s="412" t="b">
        <f>Wh_hp&gt;='2023'!Maxi_hp</f>
        <v>0</v>
      </c>
      <c r="I260" s="388">
        <f>IF(H260,Wh_hp,'2023'!Maxi_hp)</f>
        <v>55.63834028982383</v>
      </c>
      <c r="J260" s="85">
        <f>IF(H260,An,'2023'!An_max)</f>
        <v>2020</v>
      </c>
      <c r="K260" s="197">
        <f t="shared" si="79"/>
        <v>45537</v>
      </c>
      <c r="L260" s="147">
        <f>IF(t&lt;Tvie,1-EXP((T0-t)*PertePVj)+'2023'!Pspv,1-EXP((T0-t)*PertePVj)+Pspv)</f>
        <v>3.8360534159317838E-2</v>
      </c>
      <c r="M260" s="832"/>
      <c r="N260" s="832"/>
      <c r="O260" s="48">
        <f>IF(t&lt;Tnet,'2023'!Resal+('2023'!Salim-'2023'!Resal)*(1-EXP(('2023'!Tnet-t)/('2023'!Tau_j))),Resal+(Salim-Resal)*(1-EXP((Tnet-t)/(Tau_j))))*Salcycl</f>
        <v>2.4436379519753401E-2</v>
      </c>
      <c r="P260" s="169">
        <f>(INDEX(Models!$BJ260:$BT260,,T260)*(1-R260)+INDEX(Models!$BJ260:$BT260,,T260+1)*R260-ERP_i)*Q260*Ramure*Pc/MaxiM</f>
        <v>8.3101191423057709E-6</v>
      </c>
      <c r="Q260" s="304">
        <f t="shared" si="80"/>
        <v>0.6</v>
      </c>
      <c r="R260" s="177">
        <f t="shared" si="81"/>
        <v>0.48449845043887008</v>
      </c>
      <c r="S260" s="799">
        <f t="shared" si="82"/>
        <v>1</v>
      </c>
      <c r="T260" s="176">
        <f t="shared" si="83"/>
        <v>7</v>
      </c>
      <c r="U260" s="250">
        <f t="shared" si="84"/>
        <v>1.4844984504388701</v>
      </c>
      <c r="V260" s="382">
        <f t="shared" si="85"/>
        <v>50.546119885221877</v>
      </c>
      <c r="W260" s="400">
        <f t="shared" si="86"/>
        <v>39.546637318363075</v>
      </c>
      <c r="X260" s="157">
        <f t="shared" si="87"/>
        <v>45537</v>
      </c>
      <c r="Y260" s="383">
        <f t="shared" si="88"/>
        <v>38.19231354139972</v>
      </c>
      <c r="Z260" s="383">
        <f t="shared" si="89"/>
        <v>39.71583415413523</v>
      </c>
      <c r="AA260" s="384">
        <f t="shared" si="90"/>
        <v>42.154280950610385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5.7845768958368342E-2</v>
      </c>
      <c r="AD260" s="230">
        <f>(INDEX(Models!$BJ260:$BT260,,AH260)*(1-AF260)+INDEX(Models!$BJ260:$BT260,,AH260+1)*AF260-ERP_i)*AE260*Ramure*Pc/MaxiM</f>
        <v>8.3101191423057709E-6</v>
      </c>
      <c r="AE260" s="304">
        <f t="shared" si="92"/>
        <v>0.6</v>
      </c>
      <c r="AF260" s="177">
        <f t="shared" si="93"/>
        <v>0.48449845043887008</v>
      </c>
      <c r="AG260" s="799">
        <f t="shared" si="99"/>
        <v>1</v>
      </c>
      <c r="AH260" s="176">
        <f t="shared" si="94"/>
        <v>7</v>
      </c>
      <c r="AI260" s="224">
        <f t="shared" si="95"/>
        <v>1.4844984504388701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45538</v>
      </c>
      <c r="B261" s="409">
        <f>IF(t&gt;Tmaj,'2023'!Wh/'2023'!Env_an*'2024'!Env_an,0.001*'[11]mon-tableau (3)'!$B$238)</f>
        <v>49.174239097037919</v>
      </c>
      <c r="C261" s="829"/>
      <c r="D261" s="391">
        <f t="shared" si="77"/>
        <v>51.136817149224875</v>
      </c>
      <c r="E261" s="383">
        <f t="shared" si="100"/>
        <v>52.423556328835346</v>
      </c>
      <c r="F261" s="383">
        <f t="shared" si="78"/>
        <v>52.42403040157452</v>
      </c>
      <c r="G261" s="110">
        <f t="shared" si="101"/>
        <v>0.97606016142808882</v>
      </c>
      <c r="H261" s="412" t="b">
        <f>Wh_hp&gt;='2023'!Maxi_hp</f>
        <v>0</v>
      </c>
      <c r="I261" s="388">
        <f>IF(H261,Wh_hp,'2023'!Maxi_hp)</f>
        <v>54.520522140500951</v>
      </c>
      <c r="J261" s="85">
        <f>IF(H261,An,'2023'!An_max)</f>
        <v>2018</v>
      </c>
      <c r="K261" s="197">
        <f t="shared" si="79"/>
        <v>45538</v>
      </c>
      <c r="L261" s="147">
        <f>IF(t&lt;Tvie,1-EXP((T0-t)*PertePVj)+'2023'!Pspv,1-EXP((T0-t)*PertePVj)+Pspv)</f>
        <v>3.8378963760295481E-2</v>
      </c>
      <c r="M261" s="832"/>
      <c r="N261" s="832"/>
      <c r="O261" s="48">
        <f>IF(t&lt;Tnet,'2023'!Resal+('2023'!Salim-'2023'!Resal)*(1-EXP(('2023'!Tnet-t)/('2023'!Tau_j))),Resal+(Salim-Resal)*(1-EXP((Tnet-t)/(Tau_j))))*Salcycl</f>
        <v>2.4545057026257207E-2</v>
      </c>
      <c r="P261" s="169">
        <f>(INDEX(Models!$BJ261:$BT261,,T261)*(1-R261)+INDEX(Models!$BJ261:$BT261,,T261+1)*R261-ERP_i)*Q261*Ramure*Pc/MaxiM</f>
        <v>9.3632597231272331E-6</v>
      </c>
      <c r="Q261" s="304">
        <f t="shared" si="80"/>
        <v>0.6</v>
      </c>
      <c r="R261" s="177">
        <f t="shared" si="81"/>
        <v>0.48507663616463437</v>
      </c>
      <c r="S261" s="799">
        <f t="shared" si="82"/>
        <v>1</v>
      </c>
      <c r="T261" s="176">
        <f t="shared" si="83"/>
        <v>7</v>
      </c>
      <c r="U261" s="250">
        <f t="shared" si="84"/>
        <v>1.4850766361646344</v>
      </c>
      <c r="V261" s="382">
        <f t="shared" si="85"/>
        <v>50.380320080386873</v>
      </c>
      <c r="W261" s="400">
        <f t="shared" si="86"/>
        <v>49.174239097037919</v>
      </c>
      <c r="X261" s="157">
        <f t="shared" si="87"/>
        <v>45538</v>
      </c>
      <c r="Y261" s="383">
        <f t="shared" si="88"/>
        <v>47.4921411414552</v>
      </c>
      <c r="Z261" s="383">
        <f t="shared" si="89"/>
        <v>49.38758549539132</v>
      </c>
      <c r="AA261" s="384">
        <f t="shared" si="90"/>
        <v>52.423556328835346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5.7912340292222766E-2</v>
      </c>
      <c r="AD261" s="230">
        <f>(INDEX(Models!$BJ261:$BT261,,AH261)*(1-AF261)+INDEX(Models!$BJ261:$BT261,,AH261+1)*AF261-ERP_i)*AE261*Ramure*Pc/MaxiM</f>
        <v>9.3632597231272331E-6</v>
      </c>
      <c r="AE261" s="304">
        <f t="shared" si="92"/>
        <v>0.6</v>
      </c>
      <c r="AF261" s="177">
        <f t="shared" si="93"/>
        <v>0.48507663616463437</v>
      </c>
      <c r="AG261" s="799">
        <f t="shared" si="99"/>
        <v>1</v>
      </c>
      <c r="AH261" s="176">
        <f t="shared" si="94"/>
        <v>7</v>
      </c>
      <c r="AI261" s="224">
        <f t="shared" si="95"/>
        <v>1.4850766361646344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45539</v>
      </c>
      <c r="B262" s="409">
        <f>IF(t&gt;Tmaj,'2023'!Wh/'2023'!Env_an*'2024'!Env_an,0.001*'[11]mon-tableau (3)'!$B$239)</f>
        <v>43.445183776200714</v>
      </c>
      <c r="C262" s="829"/>
      <c r="D262" s="391">
        <f t="shared" si="77"/>
        <v>45.179977113524501</v>
      </c>
      <c r="E262" s="383">
        <f t="shared" si="100"/>
        <v>46.321973404659474</v>
      </c>
      <c r="F262" s="383">
        <f t="shared" si="78"/>
        <v>46.322364830341435</v>
      </c>
      <c r="G262" s="110">
        <f t="shared" si="101"/>
        <v>0.86521855427326255</v>
      </c>
      <c r="H262" s="412" t="b">
        <f>Wh_hp&gt;='2023'!Maxi_hp</f>
        <v>0</v>
      </c>
      <c r="I262" s="388">
        <f>IF(H262,Wh_hp,'2023'!Maxi_hp)</f>
        <v>54.53002186266891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3.8397393008073988E-2</v>
      </c>
      <c r="M262" s="832"/>
      <c r="N262" s="832"/>
      <c r="O262" s="48">
        <f>IF(t&lt;Tnet,'2023'!Resal+('2023'!Salim-'2023'!Resal)*(1-EXP(('2023'!Tnet-t)/('2023'!Tau_j))),Resal+(Salim-Resal)*(1-EXP((Tnet-t)/(Tau_j))))*Salcycl</f>
        <v>2.4653446457445157E-2</v>
      </c>
      <c r="P262" s="169">
        <f>(INDEX(Models!$BJ262:$BT262,,T262)*(1-R262)+INDEX(Models!$BJ262:$BT262,,T262+1)*R262-ERP_i)*Q262*Ramure*Pc/MaxiM</f>
        <v>1.0464991616679104E-5</v>
      </c>
      <c r="Q262" s="304">
        <f t="shared" si="80"/>
        <v>0.6</v>
      </c>
      <c r="R262" s="177">
        <f t="shared" si="81"/>
        <v>0.48563283745740637</v>
      </c>
      <c r="S262" s="799">
        <f t="shared" si="82"/>
        <v>1</v>
      </c>
      <c r="T262" s="176">
        <f t="shared" si="83"/>
        <v>7</v>
      </c>
      <c r="U262" s="250">
        <f t="shared" si="84"/>
        <v>1.4856328374574064</v>
      </c>
      <c r="V262" s="382">
        <f t="shared" si="85"/>
        <v>50.212857804309415</v>
      </c>
      <c r="W262" s="400">
        <f t="shared" si="86"/>
        <v>43.445183776200714</v>
      </c>
      <c r="X262" s="157">
        <f t="shared" si="87"/>
        <v>45539</v>
      </c>
      <c r="Y262" s="383">
        <f t="shared" si="88"/>
        <v>41.960775133394542</v>
      </c>
      <c r="Z262" s="383">
        <f t="shared" si="89"/>
        <v>43.636295105995757</v>
      </c>
      <c r="AA262" s="384">
        <f t="shared" si="90"/>
        <v>46.321973404659474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5.7978494897058148E-2</v>
      </c>
      <c r="AD262" s="230">
        <f>(INDEX(Models!$BJ262:$BT262,,AH262)*(1-AF262)+INDEX(Models!$BJ262:$BT262,,AH262+1)*AF262-ERP_i)*AE262*Ramure*Pc/MaxiM</f>
        <v>1.0464991616679104E-5</v>
      </c>
      <c r="AE262" s="304">
        <f t="shared" si="92"/>
        <v>0.6</v>
      </c>
      <c r="AF262" s="177">
        <f t="shared" si="93"/>
        <v>0.48563283745740637</v>
      </c>
      <c r="AG262" s="799">
        <f t="shared" si="99"/>
        <v>1</v>
      </c>
      <c r="AH262" s="176">
        <f t="shared" si="94"/>
        <v>7</v>
      </c>
      <c r="AI262" s="224">
        <f t="shared" si="95"/>
        <v>1.4856328374574064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45540</v>
      </c>
      <c r="B263" s="409">
        <f>IF(t&gt;Tmaj,'2023'!Wh/'2023'!Env_an*'2024'!Env_an,0.001*'[11]mon-tableau (3)'!$B$240)</f>
        <v>44.705470610660463</v>
      </c>
      <c r="C263" s="829"/>
      <c r="D263" s="391">
        <f t="shared" si="77"/>
        <v>46.491478987432956</v>
      </c>
      <c r="E263" s="383">
        <f t="shared" si="100"/>
        <v>47.671908912177322</v>
      </c>
      <c r="F263" s="383">
        <f t="shared" si="78"/>
        <v>47.672376627356016</v>
      </c>
      <c r="G263" s="110">
        <f t="shared" si="101"/>
        <v>0.89333183304824026</v>
      </c>
      <c r="H263" s="412" t="b">
        <f>Wh_hp&gt;='2023'!Maxi_hp</f>
        <v>0</v>
      </c>
      <c r="I263" s="388">
        <f>IF(H263,Wh_hp,'2023'!Maxi_hp)</f>
        <v>55.510997901314788</v>
      </c>
      <c r="J263" s="85">
        <f>IF(H263,An,'2023'!An_max)</f>
        <v>2018</v>
      </c>
      <c r="K263" s="197">
        <f t="shared" si="79"/>
        <v>45540</v>
      </c>
      <c r="L263" s="147">
        <f>IF(t&lt;Tvie,1-EXP((T0-t)*PertePVj)+'2023'!Pspv,1-EXP((T0-t)*PertePVj)+Pspv)</f>
        <v>3.8415821902660241E-2</v>
      </c>
      <c r="M263" s="832"/>
      <c r="N263" s="832"/>
      <c r="O263" s="48">
        <f>IF(t&lt;Tnet,'2023'!Resal+('2023'!Salim-'2023'!Resal)*(1-EXP(('2023'!Tnet-t)/('2023'!Tau_j))),Resal+(Salim-Resal)*(1-EXP((Tnet-t)/(Tau_j))))*Salcycl</f>
        <v>2.4761540951066002E-2</v>
      </c>
      <c r="P263" s="169">
        <f>(INDEX(Models!$BJ263:$BT263,,T263)*(1-R263)+INDEX(Models!$BJ263:$BT263,,T263+1)*R263-ERP_i)*Q263*Ramure*Pc/MaxiM</f>
        <v>1.157481072397036E-5</v>
      </c>
      <c r="Q263" s="304">
        <f t="shared" si="80"/>
        <v>0.6</v>
      </c>
      <c r="R263" s="177">
        <f t="shared" si="81"/>
        <v>0.48616784138903801</v>
      </c>
      <c r="S263" s="799">
        <f t="shared" si="82"/>
        <v>1</v>
      </c>
      <c r="T263" s="176">
        <f t="shared" si="83"/>
        <v>7</v>
      </c>
      <c r="U263" s="250">
        <f t="shared" si="84"/>
        <v>1.486167841389038</v>
      </c>
      <c r="V263" s="382">
        <f t="shared" si="85"/>
        <v>50.043433028410874</v>
      </c>
      <c r="W263" s="400">
        <f t="shared" si="86"/>
        <v>44.705470610660463</v>
      </c>
      <c r="X263" s="157">
        <f t="shared" si="87"/>
        <v>45540</v>
      </c>
      <c r="Y263" s="383">
        <f t="shared" si="88"/>
        <v>43.179774212364848</v>
      </c>
      <c r="Z263" s="383">
        <f t="shared" si="89"/>
        <v>44.904830170774524</v>
      </c>
      <c r="AA263" s="384">
        <f t="shared" si="90"/>
        <v>47.671908912177322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5.8044219427008922E-2</v>
      </c>
      <c r="AD263" s="230">
        <f>(INDEX(Models!$BJ263:$BT263,,AH263)*(1-AF263)+INDEX(Models!$BJ263:$BT263,,AH263+1)*AF263-ERP_i)*AE263*Ramure*Pc/MaxiM</f>
        <v>1.157481072397036E-5</v>
      </c>
      <c r="AE263" s="304">
        <f t="shared" si="92"/>
        <v>0.6</v>
      </c>
      <c r="AF263" s="177">
        <f t="shared" si="93"/>
        <v>0.48616784138903801</v>
      </c>
      <c r="AG263" s="799">
        <f t="shared" si="99"/>
        <v>1</v>
      </c>
      <c r="AH263" s="176">
        <f t="shared" si="94"/>
        <v>7</v>
      </c>
      <c r="AI263" s="224">
        <f t="shared" si="95"/>
        <v>1.486167841389038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45541</v>
      </c>
      <c r="B264" s="409">
        <f>IF(t&gt;Tmaj,'2023'!Wh/'2023'!Env_an*'2024'!Env_an,0.001*'[11]mon-tableau (3)'!$B$241)</f>
        <v>37.399294619062886</v>
      </c>
      <c r="C264" s="829"/>
      <c r="D264" s="391">
        <f t="shared" si="77"/>
        <v>38.894162605452884</v>
      </c>
      <c r="E264" s="383">
        <f t="shared" si="100"/>
        <v>39.886103406495387</v>
      </c>
      <c r="F264" s="383">
        <f t="shared" si="78"/>
        <v>39.886428800028945</v>
      </c>
      <c r="G264" s="110">
        <f t="shared" si="101"/>
        <v>0.74990610190527041</v>
      </c>
      <c r="H264" s="412" t="b">
        <f>Wh_hp&gt;='2023'!Maxi_hp</f>
        <v>0</v>
      </c>
      <c r="I264" s="388">
        <f>IF(H264,Wh_hp,'2023'!Maxi_hp)</f>
        <v>52.173352901498127</v>
      </c>
      <c r="J264" s="85">
        <f>IF(H264,An,'2023'!An_max)</f>
        <v>2018</v>
      </c>
      <c r="K264" s="197">
        <f t="shared" si="79"/>
        <v>45541</v>
      </c>
      <c r="L264" s="147">
        <f>IF(t&lt;Tvie,1-EXP((T0-t)*PertePVj)+'2023'!Pspv,1-EXP((T0-t)*PertePVj)+Pspv)</f>
        <v>3.8434250444060791E-2</v>
      </c>
      <c r="M264" s="832"/>
      <c r="N264" s="832"/>
      <c r="O264" s="48">
        <f>IF(t&lt;Tnet,'2023'!Resal+('2023'!Salim-'2023'!Resal)*(1-EXP(('2023'!Tnet-t)/('2023'!Tau_j))),Resal+(Salim-Resal)*(1-EXP((Tnet-t)/(Tau_j))))*Salcycl</f>
        <v>2.4869333334801687E-2</v>
      </c>
      <c r="P264" s="169">
        <f>(INDEX(Models!$BJ264:$BT264,,T264)*(1-R264)+INDEX(Models!$BJ264:$BT264,,T264+1)*R264-ERP_i)*Q264*Ramure*Pc/MaxiM</f>
        <v>1.2692776656045906E-5</v>
      </c>
      <c r="Q264" s="304">
        <f t="shared" si="80"/>
        <v>0.6</v>
      </c>
      <c r="R264" s="177">
        <f t="shared" si="81"/>
        <v>0.48668241062207551</v>
      </c>
      <c r="S264" s="799">
        <f t="shared" si="82"/>
        <v>1</v>
      </c>
      <c r="T264" s="176">
        <f t="shared" si="83"/>
        <v>7</v>
      </c>
      <c r="U264" s="250">
        <f t="shared" si="84"/>
        <v>1.4866824106220755</v>
      </c>
      <c r="V264" s="382">
        <f t="shared" si="85"/>
        <v>49.871743842670973</v>
      </c>
      <c r="W264" s="400">
        <f t="shared" si="86"/>
        <v>37.399294619062886</v>
      </c>
      <c r="X264" s="157">
        <f t="shared" si="87"/>
        <v>45541</v>
      </c>
      <c r="Y264" s="383">
        <f t="shared" si="88"/>
        <v>36.124430821408211</v>
      </c>
      <c r="Z264" s="383">
        <f t="shared" si="89"/>
        <v>37.568341882071856</v>
      </c>
      <c r="AA264" s="384">
        <f t="shared" si="90"/>
        <v>39.886103406495387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5.8109499962989322E-2</v>
      </c>
      <c r="AD264" s="230">
        <f>(INDEX(Models!$BJ264:$BT264,,AH264)*(1-AF264)+INDEX(Models!$BJ264:$BT264,,AH264+1)*AF264-ERP_i)*AE264*Ramure*Pc/MaxiM</f>
        <v>1.2692776656045906E-5</v>
      </c>
      <c r="AE264" s="304">
        <f t="shared" si="92"/>
        <v>0.6</v>
      </c>
      <c r="AF264" s="177">
        <f t="shared" si="93"/>
        <v>0.48668241062207551</v>
      </c>
      <c r="AG264" s="799">
        <f t="shared" si="99"/>
        <v>1</v>
      </c>
      <c r="AH264" s="176">
        <f t="shared" si="94"/>
        <v>7</v>
      </c>
      <c r="AI264" s="224">
        <f t="shared" si="95"/>
        <v>1.4866824106220755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45542</v>
      </c>
      <c r="B265" s="409">
        <f>IF(t&gt;Tmaj,'2023'!Wh/'2023'!Env_an*'2024'!Env_an,0.001*'[11]mon-tableau (3)'!$B$242)</f>
        <v>37.198835970126559</v>
      </c>
      <c r="C265" s="829"/>
      <c r="D265" s="391">
        <f t="shared" si="77"/>
        <v>38.68643294353361</v>
      </c>
      <c r="E265" s="383">
        <f t="shared" si="100"/>
        <v>39.677449298476027</v>
      </c>
      <c r="F265" s="383">
        <f t="shared" si="78"/>
        <v>39.677800610304644</v>
      </c>
      <c r="G265" s="110">
        <f t="shared" si="101"/>
        <v>0.74850163265144509</v>
      </c>
      <c r="H265" s="412" t="b">
        <f>Wh_hp&gt;='2023'!Maxi_hp</f>
        <v>0</v>
      </c>
      <c r="I265" s="388">
        <f>IF(H265,Wh_hp,'2023'!Maxi_hp)</f>
        <v>51.203240442877672</v>
      </c>
      <c r="J265" s="85">
        <f>IF(H265,An,'2023'!An_max)</f>
        <v>2020</v>
      </c>
      <c r="K265" s="197">
        <f t="shared" si="79"/>
        <v>45542</v>
      </c>
      <c r="L265" s="147">
        <f>IF(t&lt;Tvie,1-EXP((T0-t)*PertePVj)+'2023'!Pspv,1-EXP((T0-t)*PertePVj)+Pspv)</f>
        <v>3.8452678632282633E-2</v>
      </c>
      <c r="M265" s="832"/>
      <c r="N265" s="832"/>
      <c r="O265" s="48">
        <f>IF(t&lt;Tnet,'2023'!Resal+('2023'!Salim-'2023'!Resal)*(1-EXP(('2023'!Tnet-t)/('2023'!Tau_j))),Resal+(Salim-Resal)*(1-EXP((Tnet-t)/(Tau_j))))*Salcycl</f>
        <v>2.4976816112533679E-2</v>
      </c>
      <c r="P265" s="169">
        <f>(INDEX(Models!$BJ265:$BT265,,T265)*(1-R265)+INDEX(Models!$BJ265:$BT265,,T265+1)*R265-ERP_i)*Q265*Ramure*Pc/MaxiM</f>
        <v>1.3818967491697992E-5</v>
      </c>
      <c r="Q265" s="304">
        <f t="shared" si="80"/>
        <v>0.6</v>
      </c>
      <c r="R265" s="177">
        <f t="shared" si="81"/>
        <v>0.48717728386892145</v>
      </c>
      <c r="S265" s="799">
        <f t="shared" si="82"/>
        <v>1</v>
      </c>
      <c r="T265" s="176">
        <f t="shared" si="83"/>
        <v>7</v>
      </c>
      <c r="U265" s="250">
        <f t="shared" si="84"/>
        <v>1.4871772838689215</v>
      </c>
      <c r="V265" s="382">
        <f t="shared" si="85"/>
        <v>49.697488501134679</v>
      </c>
      <c r="W265" s="400">
        <f t="shared" si="86"/>
        <v>37.198835970126559</v>
      </c>
      <c r="X265" s="157">
        <f t="shared" si="87"/>
        <v>45542</v>
      </c>
      <c r="Y265" s="383">
        <f t="shared" si="88"/>
        <v>35.932293188269071</v>
      </c>
      <c r="Z265" s="383">
        <f t="shared" si="89"/>
        <v>37.369240587305171</v>
      </c>
      <c r="AA265" s="384">
        <f t="shared" si="90"/>
        <v>39.677449298476027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5.8174321988472895E-2</v>
      </c>
      <c r="AD265" s="230">
        <f>(INDEX(Models!$BJ265:$BT265,,AH265)*(1-AF265)+INDEX(Models!$BJ265:$BT265,,AH265+1)*AF265-ERP_i)*AE265*Ramure*Pc/MaxiM</f>
        <v>1.3818967491697992E-5</v>
      </c>
      <c r="AE265" s="304">
        <f t="shared" si="92"/>
        <v>0.6</v>
      </c>
      <c r="AF265" s="177">
        <f t="shared" si="93"/>
        <v>0.48717728386892145</v>
      </c>
      <c r="AG265" s="799">
        <f t="shared" si="99"/>
        <v>1</v>
      </c>
      <c r="AH265" s="176">
        <f t="shared" si="94"/>
        <v>7</v>
      </c>
      <c r="AI265" s="224">
        <f t="shared" si="95"/>
        <v>1.4871772838689215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45543</v>
      </c>
      <c r="B266" s="409">
        <f>IF(t&gt;Tmaj,'2023'!Wh/'2023'!Env_an*'2024'!Env_an,0.001*'[11]mon-tableau (3)'!$B$243)</f>
        <v>20.54081950484138</v>
      </c>
      <c r="C266" s="829"/>
      <c r="D266" s="391">
        <f t="shared" si="77"/>
        <v>21.362664859060231</v>
      </c>
      <c r="E266" s="383">
        <f t="shared" si="100"/>
        <v>21.91231290965797</v>
      </c>
      <c r="F266" s="383">
        <f t="shared" si="78"/>
        <v>21.912366644748058</v>
      </c>
      <c r="G266" s="110">
        <f t="shared" si="101"/>
        <v>0.41479020890958646</v>
      </c>
      <c r="H266" s="412" t="b">
        <f>Wh_hp&gt;='2023'!Maxi_hp</f>
        <v>0</v>
      </c>
      <c r="I266" s="388">
        <f>IF(H266,Wh_hp,'2023'!Maxi_hp)</f>
        <v>51.228956112547721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3.8471106467332539E-2</v>
      </c>
      <c r="M266" s="832"/>
      <c r="N266" s="832"/>
      <c r="O266" s="48">
        <f>IF(t&lt;Tnet,'2023'!Resal+('2023'!Salim-'2023'!Resal)*(1-EXP(('2023'!Tnet-t)/('2023'!Tau_j))),Resal+(Salim-Resal)*(1-EXP((Tnet-t)/(Tau_j))))*Salcycl</f>
        <v>2.5083981452066466E-2</v>
      </c>
      <c r="P266" s="169">
        <f>(INDEX(Models!$BJ266:$BT266,,T266)*(1-R266)+INDEX(Models!$BJ266:$BT266,,T266+1)*R266-ERP_i)*Q266*Ramure*Pc/MaxiM</f>
        <v>1.4953479886957426E-5</v>
      </c>
      <c r="Q266" s="304">
        <f t="shared" si="80"/>
        <v>0.6</v>
      </c>
      <c r="R266" s="177">
        <f t="shared" si="81"/>
        <v>0.48765317636827654</v>
      </c>
      <c r="S266" s="799">
        <f t="shared" si="82"/>
        <v>1</v>
      </c>
      <c r="T266" s="176">
        <f t="shared" si="83"/>
        <v>7</v>
      </c>
      <c r="U266" s="250">
        <f t="shared" si="84"/>
        <v>1.4876531763682765</v>
      </c>
      <c r="V266" s="382">
        <f t="shared" si="85"/>
        <v>49.520365423188345</v>
      </c>
      <c r="W266" s="400">
        <f t="shared" si="86"/>
        <v>20.54081950484138</v>
      </c>
      <c r="X266" s="157">
        <f t="shared" si="87"/>
        <v>45543</v>
      </c>
      <c r="Y266" s="383">
        <f t="shared" si="88"/>
        <v>19.842272688678829</v>
      </c>
      <c r="Z266" s="383">
        <f t="shared" si="89"/>
        <v>20.636168941089338</v>
      </c>
      <c r="AA266" s="384">
        <f t="shared" si="90"/>
        <v>21.91231290965797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5.8238670369030944E-2</v>
      </c>
      <c r="AD266" s="230">
        <f>(INDEX(Models!$BJ266:$BT266,,AH266)*(1-AF266)+INDEX(Models!$BJ266:$BT266,,AH266+1)*AF266-ERP_i)*AE266*Ramure*Pc/MaxiM</f>
        <v>1.4953479886957426E-5</v>
      </c>
      <c r="AE266" s="304">
        <f t="shared" si="92"/>
        <v>0.6</v>
      </c>
      <c r="AF266" s="177">
        <f t="shared" si="93"/>
        <v>0.48765317636827654</v>
      </c>
      <c r="AG266" s="799">
        <f t="shared" si="99"/>
        <v>1</v>
      </c>
      <c r="AH266" s="176">
        <f t="shared" si="94"/>
        <v>7</v>
      </c>
      <c r="AI266" s="224">
        <f t="shared" si="95"/>
        <v>1.4876531763682765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45544</v>
      </c>
      <c r="B267" s="409">
        <f>IF(t&gt;Tmaj,'2023'!Wh/'2023'!Env_an*'2024'!Env_an,0.001*'[11]mon-tableau (3)'!$B$244)</f>
        <v>47.710119824657589</v>
      </c>
      <c r="C267" s="829"/>
      <c r="D267" s="391">
        <f t="shared" si="77"/>
        <v>49.619969318293144</v>
      </c>
      <c r="E267" s="383">
        <f t="shared" si="100"/>
        <v>50.902238505889535</v>
      </c>
      <c r="F267" s="383">
        <f t="shared" si="78"/>
        <v>50.903019194847374</v>
      </c>
      <c r="G267" s="110">
        <f t="shared" si="101"/>
        <v>0.966964183394038</v>
      </c>
      <c r="H267" s="412" t="b">
        <f>Wh_hp&gt;='2023'!Maxi_hp</f>
        <v>0</v>
      </c>
      <c r="I267" s="388">
        <f>IF(H267,Wh_hp,'2023'!Maxi_hp)</f>
        <v>50.90303337020184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3.8489533949217059E-2</v>
      </c>
      <c r="M267" s="832"/>
      <c r="N267" s="832"/>
      <c r="O267" s="48">
        <f>IF(t&lt;Tnet,'2023'!Resal+('2023'!Salim-'2023'!Resal)*(1-EXP(('2023'!Tnet-t)/('2023'!Tau_j))),Resal+(Salim-Resal)*(1-EXP((Tnet-t)/(Tau_j))))*Salcycl</f>
        <v>2.5190821174751118E-2</v>
      </c>
      <c r="P267" s="169">
        <f>(INDEX(Models!$BJ267:$BT267,,T267)*(1-R267)+INDEX(Models!$BJ267:$BT267,,T267+1)*R267-ERP_i)*Q267*Ramure*Pc/MaxiM</f>
        <v>1.6096429197077302E-5</v>
      </c>
      <c r="Q267" s="304">
        <f t="shared" si="80"/>
        <v>0.6</v>
      </c>
      <c r="R267" s="177">
        <f t="shared" si="81"/>
        <v>0.48811078037594147</v>
      </c>
      <c r="S267" s="799">
        <f t="shared" si="82"/>
        <v>1</v>
      </c>
      <c r="T267" s="176">
        <f t="shared" si="83"/>
        <v>7</v>
      </c>
      <c r="U267" s="250">
        <f t="shared" si="84"/>
        <v>1.4881107803759415</v>
      </c>
      <c r="V267" s="382">
        <f t="shared" si="85"/>
        <v>49.340073190924173</v>
      </c>
      <c r="W267" s="400">
        <f t="shared" si="86"/>
        <v>47.710119824657589</v>
      </c>
      <c r="X267" s="157">
        <f t="shared" si="87"/>
        <v>45544</v>
      </c>
      <c r="Y267" s="383">
        <f t="shared" si="88"/>
        <v>46.089532330905101</v>
      </c>
      <c r="Z267" s="383">
        <f t="shared" si="89"/>
        <v>47.934509252102977</v>
      </c>
      <c r="AA267" s="384">
        <f t="shared" si="90"/>
        <v>50.902238505889535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5.8302529336567106E-2</v>
      </c>
      <c r="AD267" s="230">
        <f>(INDEX(Models!$BJ267:$BT267,,AH267)*(1-AF267)+INDEX(Models!$BJ267:$BT267,,AH267+1)*AF267-ERP_i)*AE267*Ramure*Pc/MaxiM</f>
        <v>1.6096429197077302E-5</v>
      </c>
      <c r="AE267" s="304">
        <f t="shared" si="92"/>
        <v>0.6</v>
      </c>
      <c r="AF267" s="177">
        <f t="shared" si="93"/>
        <v>0.48811078037594147</v>
      </c>
      <c r="AG267" s="799">
        <f t="shared" si="99"/>
        <v>1</v>
      </c>
      <c r="AH267" s="176">
        <f t="shared" si="94"/>
        <v>7</v>
      </c>
      <c r="AI267" s="224">
        <f t="shared" si="95"/>
        <v>1.4881107803759415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45545</v>
      </c>
      <c r="B268" s="409">
        <f>IF(t&gt;Tmaj,'2023'!Wh/'2023'!Env_an*'2024'!Env_an,0.001*'[11]mon-tableau (3)'!$B$245)</f>
        <v>48.121488313991982</v>
      </c>
      <c r="C268" s="829"/>
      <c r="D268" s="391">
        <f t="shared" si="77"/>
        <v>50.04876417691581</v>
      </c>
      <c r="E268" s="383">
        <f t="shared" si="100"/>
        <v>51.347724337212242</v>
      </c>
      <c r="F268" s="383">
        <f t="shared" si="78"/>
        <v>51.3485849853231</v>
      </c>
      <c r="G268" s="110">
        <f t="shared" si="101"/>
        <v>0.97894785711215093</v>
      </c>
      <c r="H268" s="412" t="b">
        <f>Wh_hp&gt;='2023'!Maxi_hp</f>
        <v>0</v>
      </c>
      <c r="I268" s="388">
        <f>IF(H268,Wh_hp,'2023'!Maxi_hp)</f>
        <v>51.348594776222477</v>
      </c>
      <c r="J268" s="85">
        <f>IF(H268,An,'2023'!An_max)</f>
        <v>2022</v>
      </c>
      <c r="K268" s="197">
        <f t="shared" si="79"/>
        <v>45545</v>
      </c>
      <c r="L268" s="147">
        <f>IF(t&lt;Tvie,1-EXP((T0-t)*PertePVj)+'2023'!Pspv,1-EXP((T0-t)*PertePVj)+Pspv)</f>
        <v>3.8507961077943076E-2</v>
      </c>
      <c r="M268" s="832"/>
      <c r="N268" s="832"/>
      <c r="O268" s="48">
        <f>IF(t&lt;Tnet,'2023'!Resal+('2023'!Salim-'2023'!Resal)*(1-EXP(('2023'!Tnet-t)/('2023'!Tau_j))),Resal+(Salim-Resal)*(1-EXP((Tnet-t)/(Tau_j))))*Salcycl</f>
        <v>2.5297326747449674E-2</v>
      </c>
      <c r="P268" s="169">
        <f>(INDEX(Models!$BJ268:$BT268,,T268)*(1-R268)+INDEX(Models!$BJ268:$BT268,,T268+1)*R268-ERP_i)*Q268*Ramure*Pc/MaxiM</f>
        <v>1.7280584667431942E-5</v>
      </c>
      <c r="Q268" s="304">
        <f t="shared" si="80"/>
        <v>0.6</v>
      </c>
      <c r="R268" s="177">
        <f t="shared" si="81"/>
        <v>0.48855076566727806</v>
      </c>
      <c r="S268" s="799">
        <f t="shared" si="82"/>
        <v>1</v>
      </c>
      <c r="T268" s="176">
        <f t="shared" si="83"/>
        <v>7</v>
      </c>
      <c r="U268" s="250">
        <f t="shared" si="84"/>
        <v>1.4885507656672781</v>
      </c>
      <c r="V268" s="382">
        <f t="shared" si="85"/>
        <v>49.156308944958809</v>
      </c>
      <c r="W268" s="400">
        <f t="shared" si="86"/>
        <v>48.121488313991982</v>
      </c>
      <c r="X268" s="157">
        <f t="shared" si="87"/>
        <v>45545</v>
      </c>
      <c r="Y268" s="383">
        <f t="shared" si="88"/>
        <v>46.48887955865343</v>
      </c>
      <c r="Z268" s="383">
        <f t="shared" si="89"/>
        <v>48.350769092974296</v>
      </c>
      <c r="AA268" s="384">
        <f t="shared" si="90"/>
        <v>51.347724337212242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5.8365882479158269E-2</v>
      </c>
      <c r="AD268" s="230">
        <f>(INDEX(Models!$BJ268:$BT268,,AH268)*(1-AF268)+INDEX(Models!$BJ268:$BT268,,AH268+1)*AF268-ERP_i)*AE268*Ramure*Pc/MaxiM</f>
        <v>1.7280584667431942E-5</v>
      </c>
      <c r="AE268" s="304">
        <f t="shared" si="92"/>
        <v>0.6</v>
      </c>
      <c r="AF268" s="177">
        <f t="shared" si="93"/>
        <v>0.48855076566727806</v>
      </c>
      <c r="AG268" s="799">
        <f t="shared" si="99"/>
        <v>1</v>
      </c>
      <c r="AH268" s="176">
        <f t="shared" si="94"/>
        <v>7</v>
      </c>
      <c r="AI268" s="224">
        <f t="shared" si="95"/>
        <v>1.4885507656672781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45546</v>
      </c>
      <c r="B269" s="409">
        <f>IF(t&gt;Tmaj,'2023'!Wh/'2023'!Env_an*'2024'!Env_an,0.001*'[11]mon-tableau (3)'!$B$246)</f>
        <v>37.726395664182455</v>
      </c>
      <c r="C269" s="829"/>
      <c r="D269" s="391">
        <f t="shared" si="77"/>
        <v>39.238097840208596</v>
      </c>
      <c r="E269" s="383">
        <f t="shared" si="100"/>
        <v>40.26086427408918</v>
      </c>
      <c r="F269" s="383">
        <f t="shared" si="78"/>
        <v>40.261364373144929</v>
      </c>
      <c r="G269" s="110">
        <f t="shared" si="101"/>
        <v>0.77041275212321714</v>
      </c>
      <c r="H269" s="412" t="b">
        <f>Wh_hp&gt;='2023'!Maxi_hp</f>
        <v>0</v>
      </c>
      <c r="I269" s="388">
        <f>IF(H269,Wh_hp,'2023'!Maxi_hp)</f>
        <v>51.806611892360216</v>
      </c>
      <c r="J269" s="85">
        <f>IF(H269,An,'2023'!An_max)</f>
        <v>2018</v>
      </c>
      <c r="K269" s="197">
        <f t="shared" si="79"/>
        <v>45546</v>
      </c>
      <c r="L269" s="147">
        <f>IF(t&lt;Tvie,1-EXP((T0-t)*PertePVj)+'2023'!Pspv,1-EXP((T0-t)*PertePVj)+Pspv)</f>
        <v>3.8526387853517474E-2</v>
      </c>
      <c r="M269" s="832"/>
      <c r="N269" s="832"/>
      <c r="O269" s="48">
        <f>IF(t&lt;Tnet,'2023'!Resal+('2023'!Salim-'2023'!Resal)*(1-EXP(('2023'!Tnet-t)/('2023'!Tau_j))),Resal+(Salim-Resal)*(1-EXP((Tnet-t)/(Tau_j))))*Salcycl</f>
        <v>2.5403489277273449E-2</v>
      </c>
      <c r="P269" s="169">
        <f>(INDEX(Models!$BJ269:$BT269,,T269)*(1-R269)+INDEX(Models!$BJ269:$BT269,,T269+1)*R269-ERP_i)*Q269*Ramure*Pc/MaxiM</f>
        <v>1.8483413882636834E-5</v>
      </c>
      <c r="Q269" s="304">
        <f t="shared" si="80"/>
        <v>0.6</v>
      </c>
      <c r="R269" s="177">
        <f t="shared" si="81"/>
        <v>0.48897378004886516</v>
      </c>
      <c r="S269" s="799">
        <f t="shared" si="82"/>
        <v>1</v>
      </c>
      <c r="T269" s="176">
        <f t="shared" si="83"/>
        <v>7</v>
      </c>
      <c r="U269" s="250">
        <f t="shared" si="84"/>
        <v>1.4889737800488652</v>
      </c>
      <c r="V269" s="382">
        <f t="shared" si="85"/>
        <v>48.968772721113396</v>
      </c>
      <c r="W269" s="400">
        <f t="shared" si="86"/>
        <v>37.726395664182455</v>
      </c>
      <c r="X269" s="157">
        <f t="shared" si="87"/>
        <v>45546</v>
      </c>
      <c r="Y269" s="383">
        <f t="shared" si="88"/>
        <v>36.447997236273196</v>
      </c>
      <c r="Z269" s="383">
        <f t="shared" si="89"/>
        <v>37.908473800860037</v>
      </c>
      <c r="AA269" s="384">
        <f t="shared" si="90"/>
        <v>40.26086427408918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5.8428712737373614E-2</v>
      </c>
      <c r="AD269" s="230">
        <f>(INDEX(Models!$BJ269:$BT269,,AH269)*(1-AF269)+INDEX(Models!$BJ269:$BT269,,AH269+1)*AF269-ERP_i)*AE269*Ramure*Pc/MaxiM</f>
        <v>1.8483413882636834E-5</v>
      </c>
      <c r="AE269" s="304">
        <f t="shared" si="92"/>
        <v>0.6</v>
      </c>
      <c r="AF269" s="177">
        <f t="shared" si="93"/>
        <v>0.48897378004886516</v>
      </c>
      <c r="AG269" s="799">
        <f t="shared" si="99"/>
        <v>1</v>
      </c>
      <c r="AH269" s="176">
        <f t="shared" si="94"/>
        <v>7</v>
      </c>
      <c r="AI269" s="224">
        <f t="shared" si="95"/>
        <v>1.4889737800488652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45547</v>
      </c>
      <c r="B270" s="409">
        <f>IF(t&gt;Tmaj,'2023'!Wh/'2023'!Env_an*'2024'!Env_an,0.001*'[11]mon-tableau (3)'!$B$247)</f>
        <v>14.997638664616277</v>
      </c>
      <c r="C270" s="829"/>
      <c r="D270" s="391">
        <f t="shared" si="77"/>
        <v>15.598895182329116</v>
      </c>
      <c r="E270" s="383">
        <f t="shared" si="100"/>
        <v>16.007228365009343</v>
      </c>
      <c r="F270" s="383">
        <f t="shared" si="78"/>
        <v>16.007231732190345</v>
      </c>
      <c r="G270" s="110">
        <f t="shared" si="101"/>
        <v>0.30746655168044085</v>
      </c>
      <c r="H270" s="412" t="b">
        <f>Wh_hp&gt;='2023'!Maxi_hp</f>
        <v>0</v>
      </c>
      <c r="I270" s="388">
        <f>IF(H270,Wh_hp,'2023'!Maxi_hp)</f>
        <v>49.476808548086147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3.8544814275946915E-2</v>
      </c>
      <c r="M270" s="832"/>
      <c r="N270" s="832"/>
      <c r="O270" s="48">
        <f>IF(t&lt;Tnet,'2023'!Resal+('2023'!Salim-'2023'!Resal)*(1-EXP(('2023'!Tnet-t)/('2023'!Tau_j))),Resal+(Salim-Resal)*(1-EXP((Tnet-t)/(Tau_j))))*Salcycl</f>
        <v>2.5509299509515016E-2</v>
      </c>
      <c r="P270" s="169">
        <f>(INDEX(Models!$BJ270:$BT270,,T270)*(1-R270)+INDEX(Models!$BJ270:$BT270,,T270+1)*R270-ERP_i)*Q270*Ramure*Pc/MaxiM</f>
        <v>1.9705147268645492E-5</v>
      </c>
      <c r="Q270" s="304">
        <f t="shared" si="80"/>
        <v>0.6</v>
      </c>
      <c r="R270" s="177">
        <f t="shared" si="81"/>
        <v>0.4893804498770753</v>
      </c>
      <c r="S270" s="799">
        <f t="shared" si="82"/>
        <v>1</v>
      </c>
      <c r="T270" s="176">
        <f t="shared" si="83"/>
        <v>7</v>
      </c>
      <c r="U270" s="250">
        <f t="shared" si="84"/>
        <v>1.4893804498770753</v>
      </c>
      <c r="V270" s="382">
        <f t="shared" si="85"/>
        <v>48.777163586472724</v>
      </c>
      <c r="W270" s="400">
        <f t="shared" si="86"/>
        <v>14.997638664616277</v>
      </c>
      <c r="X270" s="157">
        <f t="shared" si="87"/>
        <v>45547</v>
      </c>
      <c r="Y270" s="383">
        <f t="shared" si="88"/>
        <v>14.490042581488312</v>
      </c>
      <c r="Z270" s="383">
        <f t="shared" si="89"/>
        <v>15.070949532167893</v>
      </c>
      <c r="AA270" s="384">
        <f t="shared" si="90"/>
        <v>16.007228365009343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5.8491002407892741E-2</v>
      </c>
      <c r="AD270" s="230">
        <f>(INDEX(Models!$BJ270:$BT270,,AH270)*(1-AF270)+INDEX(Models!$BJ270:$BT270,,AH270+1)*AF270-ERP_i)*AE270*Ramure*Pc/MaxiM</f>
        <v>1.9705147268645492E-5</v>
      </c>
      <c r="AE270" s="304">
        <f t="shared" si="92"/>
        <v>0.6</v>
      </c>
      <c r="AF270" s="177">
        <f t="shared" si="93"/>
        <v>0.4893804498770753</v>
      </c>
      <c r="AG270" s="799">
        <f t="shared" si="99"/>
        <v>1</v>
      </c>
      <c r="AH270" s="176">
        <f t="shared" si="94"/>
        <v>7</v>
      </c>
      <c r="AI270" s="224">
        <f t="shared" si="95"/>
        <v>1.4893804498770753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45548</v>
      </c>
      <c r="B271" s="409">
        <f>IF(t&gt;Tmaj,'2023'!Wh/'2023'!Env_an*'2024'!Env_an,0.001*'[11]mon-tableau (3)'!$B$248)</f>
        <v>37.770909353512764</v>
      </c>
      <c r="C271" s="829"/>
      <c r="D271" s="391">
        <f t="shared" ref="D271:D334" si="102">Wh/(1-Ppv)</f>
        <v>39.285900995792744</v>
      </c>
      <c r="E271" s="383">
        <f t="shared" si="100"/>
        <v>40.318653128490993</v>
      </c>
      <c r="F271" s="383">
        <f t="shared" ref="F271:F334" si="103">Wh_sa/(1-Pvg*MEDIAN((-Sdif+Wh/Env_an)/Csdif,0,1))</f>
        <v>40.31922919349261</v>
      </c>
      <c r="G271" s="110">
        <f t="shared" si="101"/>
        <v>0.77747508926555797</v>
      </c>
      <c r="H271" s="412" t="b">
        <f>Wh_hp&gt;='2023'!Maxi_hp</f>
        <v>0</v>
      </c>
      <c r="I271" s="388">
        <f>IF(H271,Wh_hp,'2023'!Maxi_hp)</f>
        <v>49.421570563132221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3.8563240345238059E-2</v>
      </c>
      <c r="M271" s="832"/>
      <c r="N271" s="832"/>
      <c r="O271" s="48">
        <f>IF(t&lt;Tnet,'2023'!Resal+('2023'!Salim-'2023'!Resal)*(1-EXP(('2023'!Tnet-t)/('2023'!Tau_j))),Resal+(Salim-Resal)*(1-EXP((Tnet-t)/(Tau_j))))*Salcycl</f>
        <v>2.5614747829174427E-2</v>
      </c>
      <c r="P271" s="169">
        <f>(INDEX(Models!$BJ271:$BT271,,T271)*(1-R271)+INDEX(Models!$BJ271:$BT271,,T271+1)*R271-ERP_i)*Q271*Ramure*Pc/MaxiM</f>
        <v>2.0946037788192394E-5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0.48977138058151093</v>
      </c>
      <c r="S271" s="799">
        <f t="shared" ref="S271:S334" si="107">INDEX(Echel_vg,T271)</f>
        <v>1</v>
      </c>
      <c r="T271" s="176">
        <f t="shared" ref="T271:T334" si="108">MIN(MATCH(Hp_vg,Echel_vg),10)</f>
        <v>7</v>
      </c>
      <c r="U271" s="250">
        <f t="shared" ref="U271:U334" si="109">IF(OR(t&lt;Ttai,Notai),Hdd+PousH*Croivg,Hdtf+PousH*(Croivg-Croi_tai))</f>
        <v>1.4897713805815109</v>
      </c>
      <c r="V271" s="382">
        <f t="shared" ref="V271:V334" si="110">MaxiM*(1-Ppv)*(1-Pvg)*(1-Psa)</f>
        <v>48.581180768547924</v>
      </c>
      <c r="W271" s="400">
        <f t="shared" ref="W271:W334" si="111">Wh*(A271&gt;Tmaj)</f>
        <v>37.770909353512764</v>
      </c>
      <c r="X271" s="157">
        <f t="shared" ref="X271:X334" si="112">t</f>
        <v>45548</v>
      </c>
      <c r="Y271" s="383">
        <f t="shared" ref="Y271:Y334" si="113">Wh_pvt_s*(1-Ppv)</f>
        <v>36.494106717938926</v>
      </c>
      <c r="Z271" s="383">
        <f t="shared" ref="Z271:Z334" si="114">Wh_sa_s*(1-Psa_s)</f>
        <v>37.957885790682099</v>
      </c>
      <c r="AA271" s="384">
        <f t="shared" ref="AA271:AA334" si="115">Wh_hp*(1-Pvg_s*MEDIAN((-Sdif+Wh/Env_an)/Csdif,0,1))</f>
        <v>40.318653128490993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5.8552733155182377E-2</v>
      </c>
      <c r="AD271" s="230">
        <f>(INDEX(Models!$BJ271:$BT271,,AH271)*(1-AF271)+INDEX(Models!$BJ271:$BT271,,AH271+1)*AF271-ERP_i)*AE271*Ramure*Pc/MaxiM</f>
        <v>2.0946037788192394E-5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0.48977138058151093</v>
      </c>
      <c r="AG271" s="799">
        <f t="shared" si="99"/>
        <v>1</v>
      </c>
      <c r="AH271" s="176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1.4897713805815109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45549</v>
      </c>
      <c r="B272" s="409">
        <f>IF(t&gt;Tmaj,'2023'!Wh/'2023'!Env_an*'2024'!Env_an,0.001*'[11]mon-tableau (3)'!$B$249)</f>
        <v>41.527366297773888</v>
      </c>
      <c r="C272" s="829"/>
      <c r="D272" s="391">
        <f t="shared" si="102"/>
        <v>43.19385727506409</v>
      </c>
      <c r="E272" s="383">
        <f t="shared" si="100"/>
        <v>44.334123131000823</v>
      </c>
      <c r="F272" s="383">
        <f t="shared" si="103"/>
        <v>44.334908422331957</v>
      </c>
      <c r="G272" s="110">
        <f t="shared" si="101"/>
        <v>0.85834498168027018</v>
      </c>
      <c r="H272" s="412" t="b">
        <f>Wh_hp&gt;='2023'!Maxi_hp</f>
        <v>0</v>
      </c>
      <c r="I272" s="388">
        <f>IF(H272,Wh_hp,'2023'!Maxi_hp)</f>
        <v>51.00676090295368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3.8581666061397901E-2</v>
      </c>
      <c r="M272" s="832"/>
      <c r="N272" s="832"/>
      <c r="O272" s="48">
        <f>IF(t&lt;Tnet,'2023'!Resal+('2023'!Salim-'2023'!Resal)*(1-EXP(('2023'!Tnet-t)/('2023'!Tau_j))),Resal+(Salim-Resal)*(1-EXP((Tnet-t)/(Tau_j))))*Salcycl</f>
        <v>2.5719824266455346E-2</v>
      </c>
      <c r="P272" s="169">
        <f>(INDEX(Models!$BJ272:$BT272,,T272)*(1-R272)+INDEX(Models!$BJ272:$BT272,,T272+1)*R272-ERP_i)*Q272*Ramure*Pc/MaxiM</f>
        <v>2.2206361744179761E-5</v>
      </c>
      <c r="Q272" s="304">
        <f t="shared" si="105"/>
        <v>0.6</v>
      </c>
      <c r="R272" s="177">
        <f t="shared" si="106"/>
        <v>0.49014715719140889</v>
      </c>
      <c r="S272" s="799">
        <f t="shared" si="107"/>
        <v>1</v>
      </c>
      <c r="T272" s="176">
        <f t="shared" si="108"/>
        <v>7</v>
      </c>
      <c r="U272" s="250">
        <f t="shared" si="109"/>
        <v>1.4901471571914089</v>
      </c>
      <c r="V272" s="382">
        <f t="shared" si="110"/>
        <v>48.38052364867599</v>
      </c>
      <c r="W272" s="400">
        <f t="shared" si="111"/>
        <v>41.527366297773888</v>
      </c>
      <c r="X272" s="157">
        <f t="shared" si="112"/>
        <v>45549</v>
      </c>
      <c r="Y272" s="383">
        <f t="shared" si="113"/>
        <v>40.125301690508856</v>
      </c>
      <c r="Z272" s="383">
        <f t="shared" si="114"/>
        <v>41.735527890475332</v>
      </c>
      <c r="AA272" s="384">
        <f t="shared" si="115"/>
        <v>44.334123131000823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5.8613886031917785E-2</v>
      </c>
      <c r="AD272" s="230">
        <f>(INDEX(Models!$BJ272:$BT272,,AH272)*(1-AF272)+INDEX(Models!$BJ272:$BT272,,AH272+1)*AF272-ERP_i)*AE272*Ramure*Pc/MaxiM</f>
        <v>2.2206361744179761E-5</v>
      </c>
      <c r="AE272" s="304">
        <f t="shared" si="117"/>
        <v>0.6</v>
      </c>
      <c r="AF272" s="177">
        <f t="shared" si="118"/>
        <v>0.49014715719140889</v>
      </c>
      <c r="AG272" s="799">
        <f t="shared" ref="AG272:AG335" si="124">INDEX(Echel_vg,AH272)</f>
        <v>1</v>
      </c>
      <c r="AH272" s="176">
        <f t="shared" si="119"/>
        <v>7</v>
      </c>
      <c r="AI272" s="224">
        <f t="shared" si="120"/>
        <v>1.4901471571914089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45550</v>
      </c>
      <c r="B273" s="409">
        <f>IF(t&gt;Tmaj,'2023'!Wh/'2023'!Env_an*'2024'!Env_an,0.001*'[11]mon-tableau (3)'!$B$250)</f>
        <v>30.037345048681143</v>
      </c>
      <c r="C273" s="829"/>
      <c r="D273" s="391">
        <f t="shared" si="102"/>
        <v>31.243340862373486</v>
      </c>
      <c r="E273" s="383">
        <f t="shared" si="100"/>
        <v>32.071573813864667</v>
      </c>
      <c r="F273" s="383">
        <f t="shared" si="103"/>
        <v>32.071921931808504</v>
      </c>
      <c r="G273" s="110">
        <f t="shared" si="101"/>
        <v>0.62349835173289503</v>
      </c>
      <c r="H273" s="412" t="b">
        <f>Wh_hp&gt;='2023'!Maxi_hp</f>
        <v>0</v>
      </c>
      <c r="I273" s="388">
        <f>IF(H273,Wh_hp,'2023'!Maxi_hp)</f>
        <v>45.030086079266795</v>
      </c>
      <c r="J273" s="85">
        <f>IF(H273,An,'2023'!An_max)</f>
        <v>2018</v>
      </c>
      <c r="K273" s="197">
        <f t="shared" si="104"/>
        <v>45550</v>
      </c>
      <c r="L273" s="147">
        <f>IF(t&lt;Tvie,1-EXP((T0-t)*PertePVj)+'2023'!Pspv,1-EXP((T0-t)*PertePVj)+Pspv)</f>
        <v>3.8600091424433103E-2</v>
      </c>
      <c r="M273" s="832"/>
      <c r="N273" s="832"/>
      <c r="O273" s="48">
        <f>IF(t&lt;Tnet,'2023'!Resal+('2023'!Salim-'2023'!Resal)*(1-EXP(('2023'!Tnet-t)/('2023'!Tau_j))),Resal+(Salim-Resal)*(1-EXP((Tnet-t)/(Tau_j))))*Salcycl</f>
        <v>2.5824518506576515E-2</v>
      </c>
      <c r="P273" s="169">
        <f>(INDEX(Models!$BJ273:$BT273,,T273)*(1-R273)+INDEX(Models!$BJ273:$BT273,,T273+1)*R273-ERP_i)*Q273*Ramure*Pc/MaxiM</f>
        <v>2.3486419711966789E-5</v>
      </c>
      <c r="Q273" s="304">
        <f t="shared" si="105"/>
        <v>0.6</v>
      </c>
      <c r="R273" s="177">
        <f t="shared" si="106"/>
        <v>0.49050834486330452</v>
      </c>
      <c r="S273" s="799">
        <f t="shared" si="107"/>
        <v>1</v>
      </c>
      <c r="T273" s="176">
        <f t="shared" si="108"/>
        <v>7</v>
      </c>
      <c r="U273" s="250">
        <f t="shared" si="109"/>
        <v>1.4905083448633045</v>
      </c>
      <c r="V273" s="382">
        <f t="shared" si="110"/>
        <v>48.174891762654852</v>
      </c>
      <c r="W273" s="400">
        <f t="shared" si="111"/>
        <v>30.037345048681143</v>
      </c>
      <c r="X273" s="157">
        <f t="shared" si="112"/>
        <v>45550</v>
      </c>
      <c r="Y273" s="383">
        <f t="shared" si="113"/>
        <v>29.024463395648461</v>
      </c>
      <c r="Z273" s="383">
        <f t="shared" si="114"/>
        <v>30.189792132029428</v>
      </c>
      <c r="AA273" s="384">
        <f t="shared" si="115"/>
        <v>32.071573813864667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5.8674441508752492E-2</v>
      </c>
      <c r="AD273" s="230">
        <f>(INDEX(Models!$BJ273:$BT273,,AH273)*(1-AF273)+INDEX(Models!$BJ273:$BT273,,AH273+1)*AF273-ERP_i)*AE273*Ramure*Pc/MaxiM</f>
        <v>2.3486419711966789E-5</v>
      </c>
      <c r="AE273" s="304">
        <f t="shared" si="117"/>
        <v>0.6</v>
      </c>
      <c r="AF273" s="177">
        <f t="shared" si="118"/>
        <v>0.49050834486330452</v>
      </c>
      <c r="AG273" s="799">
        <f t="shared" si="124"/>
        <v>1</v>
      </c>
      <c r="AH273" s="176">
        <f t="shared" si="119"/>
        <v>7</v>
      </c>
      <c r="AI273" s="224">
        <f t="shared" si="120"/>
        <v>1.4905083448633045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45551</v>
      </c>
      <c r="B274" s="409">
        <f>IF(t&gt;Tmaj,'2023'!Wh/'2023'!Env_an*'2024'!Env_an,0.001*'[11]mon-tableau (3)'!$B$251)</f>
        <v>48.465757437370762</v>
      </c>
      <c r="C274" s="829"/>
      <c r="D274" s="391">
        <f t="shared" si="102"/>
        <v>50.412617952258685</v>
      </c>
      <c r="E274" s="383">
        <f t="shared" si="100"/>
        <v>51.754552421211187</v>
      </c>
      <c r="F274" s="383">
        <f t="shared" si="103"/>
        <v>51.755835269169893</v>
      </c>
      <c r="G274" s="110">
        <f t="shared" si="101"/>
        <v>1.0104614460927128</v>
      </c>
      <c r="H274" s="412" t="b">
        <f>Wh_hp&gt;='2023'!Maxi_hp</f>
        <v>1</v>
      </c>
      <c r="I274" s="388">
        <f>IF(H274,Wh_hp,'2023'!Maxi_hp)</f>
        <v>51.755835269169893</v>
      </c>
      <c r="J274" s="85">
        <f>IF(H274,An,'2023'!An_max)</f>
        <v>2024</v>
      </c>
      <c r="K274" s="197">
        <f t="shared" si="104"/>
        <v>45551</v>
      </c>
      <c r="L274" s="147">
        <f>IF(t&lt;Tvie,1-EXP((T0-t)*PertePVj)+'2023'!Pspv,1-EXP((T0-t)*PertePVj)+Pspv)</f>
        <v>3.8618516434350325E-2</v>
      </c>
      <c r="M274" s="832"/>
      <c r="N274" s="832"/>
      <c r="O274" s="48">
        <f>IF(t&lt;Tnet,'2023'!Resal+('2023'!Salim-'2023'!Resal)*(1-EXP(('2023'!Tnet-t)/('2023'!Tau_j))),Resal+(Salim-Resal)*(1-EXP((Tnet-t)/(Tau_j))))*Salcycl</f>
        <v>2.5928819904208464E-2</v>
      </c>
      <c r="P274" s="169">
        <f>(INDEX(Models!$BJ274:$BT274,,T274)*(1-R274)+INDEX(Models!$BJ274:$BT274,,T274+1)*R274-ERP_i)*Q274*Ramure*Pc/MaxiM</f>
        <v>2.4786537634441899E-5</v>
      </c>
      <c r="Q274" s="304">
        <f t="shared" si="105"/>
        <v>0.6</v>
      </c>
      <c r="R274" s="177">
        <f t="shared" si="106"/>
        <v>0.49085548940840296</v>
      </c>
      <c r="S274" s="799">
        <f t="shared" si="107"/>
        <v>1</v>
      </c>
      <c r="T274" s="176">
        <f t="shared" si="108"/>
        <v>7</v>
      </c>
      <c r="U274" s="250">
        <f t="shared" si="109"/>
        <v>1.490855489408403</v>
      </c>
      <c r="V274" s="382">
        <f t="shared" si="110"/>
        <v>47.963984796035334</v>
      </c>
      <c r="W274" s="400">
        <f t="shared" si="111"/>
        <v>48.465757437370762</v>
      </c>
      <c r="X274" s="157">
        <f t="shared" si="112"/>
        <v>45551</v>
      </c>
      <c r="Y274" s="383">
        <f t="shared" si="113"/>
        <v>46.833488331034566</v>
      </c>
      <c r="Z274" s="383">
        <f t="shared" si="114"/>
        <v>48.714780897729298</v>
      </c>
      <c r="AA274" s="384">
        <f t="shared" si="115"/>
        <v>51.754552421211187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5.8734379513947138E-2</v>
      </c>
      <c r="AD274" s="230">
        <f>(INDEX(Models!$BJ274:$BT274,,AH274)*(1-AF274)+INDEX(Models!$BJ274:$BT274,,AH274+1)*AF274-ERP_i)*AE274*Ramure*Pc/MaxiM</f>
        <v>2.4786537634441899E-5</v>
      </c>
      <c r="AE274" s="304">
        <f t="shared" si="117"/>
        <v>0.6</v>
      </c>
      <c r="AF274" s="177">
        <f t="shared" si="118"/>
        <v>0.49085548940840296</v>
      </c>
      <c r="AG274" s="799">
        <f t="shared" si="124"/>
        <v>1</v>
      </c>
      <c r="AH274" s="176">
        <f t="shared" si="119"/>
        <v>7</v>
      </c>
      <c r="AI274" s="224">
        <f t="shared" si="120"/>
        <v>1.490855489408403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45552</v>
      </c>
      <c r="B275" s="409">
        <f>IF(t&gt;Tmaj,'2023'!Wh/'2023'!Env_an*'2024'!Env_an,0.001*'[11]mon-tableau (3)'!$B$252)</f>
        <v>46.845847172612395</v>
      </c>
      <c r="C275" s="829"/>
      <c r="D275" s="391">
        <f t="shared" si="102"/>
        <v>48.728570063616644</v>
      </c>
      <c r="E275" s="383">
        <f t="shared" si="100"/>
        <v>50.031013299214152</v>
      </c>
      <c r="F275" s="383">
        <f t="shared" si="103"/>
        <v>50.03228422341887</v>
      </c>
      <c r="G275" s="110">
        <f t="shared" si="101"/>
        <v>0.98110443497478439</v>
      </c>
      <c r="H275" s="412" t="b">
        <f>Wh_hp&gt;='2023'!Maxi_hp</f>
        <v>0</v>
      </c>
      <c r="I275" s="388">
        <f>IF(H275,Wh_hp,'2023'!Maxi_hp)</f>
        <v>50.032297106703666</v>
      </c>
      <c r="J275" s="85">
        <f>IF(H275,An,'2023'!An_max)</f>
        <v>2022</v>
      </c>
      <c r="K275" s="197">
        <f t="shared" si="104"/>
        <v>45552</v>
      </c>
      <c r="L275" s="147">
        <f>IF(t&lt;Tvie,1-EXP((T0-t)*PertePVj)+'2023'!Pspv,1-EXP((T0-t)*PertePVj)+Pspv)</f>
        <v>3.8636941091156562E-2</v>
      </c>
      <c r="M275" s="832"/>
      <c r="N275" s="832"/>
      <c r="O275" s="48">
        <f>IF(t&lt;Tnet,'2023'!Resal+('2023'!Salim-'2023'!Resal)*(1-EXP(('2023'!Tnet-t)/('2023'!Tau_j))),Resal+(Salim-Resal)*(1-EXP((Tnet-t)/(Tau_j))))*Salcycl</f>
        <v>2.6032717502804625E-2</v>
      </c>
      <c r="P275" s="169">
        <f>(INDEX(Models!$BJ275:$BT275,,T275)*(1-R275)+INDEX(Models!$BJ275:$BT275,,T275+1)*R275-ERP_i)*Q275*Ramure*Pc/MaxiM</f>
        <v>2.610677407441091E-5</v>
      </c>
      <c r="Q275" s="304">
        <f t="shared" si="105"/>
        <v>0.6</v>
      </c>
      <c r="R275" s="177">
        <f t="shared" si="106"/>
        <v>0.4911891178182608</v>
      </c>
      <c r="S275" s="799">
        <f t="shared" si="107"/>
        <v>1</v>
      </c>
      <c r="T275" s="176">
        <f t="shared" si="108"/>
        <v>7</v>
      </c>
      <c r="U275" s="250">
        <f t="shared" si="109"/>
        <v>1.4911891178182608</v>
      </c>
      <c r="V275" s="382">
        <f t="shared" si="110"/>
        <v>47.748040361368503</v>
      </c>
      <c r="W275" s="400">
        <f t="shared" si="111"/>
        <v>46.845847172612395</v>
      </c>
      <c r="X275" s="157">
        <f t="shared" si="112"/>
        <v>45552</v>
      </c>
      <c r="Y275" s="383">
        <f t="shared" si="113"/>
        <v>45.270111472097284</v>
      </c>
      <c r="Z275" s="383">
        <f t="shared" si="114"/>
        <v>47.089505939077071</v>
      </c>
      <c r="AA275" s="384">
        <f t="shared" si="115"/>
        <v>50.031013299214152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5.8793679483267261E-2</v>
      </c>
      <c r="AD275" s="230">
        <f>(INDEX(Models!$BJ275:$BT275,,AH275)*(1-AF275)+INDEX(Models!$BJ275:$BT275,,AH275+1)*AF275-ERP_i)*AE275*Ramure*Pc/MaxiM</f>
        <v>2.610677407441091E-5</v>
      </c>
      <c r="AE275" s="304">
        <f t="shared" si="117"/>
        <v>0.6</v>
      </c>
      <c r="AF275" s="177">
        <f t="shared" si="118"/>
        <v>0.4911891178182608</v>
      </c>
      <c r="AG275" s="799">
        <f t="shared" si="124"/>
        <v>1</v>
      </c>
      <c r="AH275" s="176">
        <f t="shared" si="119"/>
        <v>7</v>
      </c>
      <c r="AI275" s="224">
        <f t="shared" si="120"/>
        <v>1.4911891178182608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45553</v>
      </c>
      <c r="B276" s="409">
        <f>IF(t&gt;Tmaj,'2023'!Wh/'2023'!Env_an*'2024'!Env_an,0.001*'[11]mon-tableau (3)'!$B$253)</f>
        <v>47.40918755785043</v>
      </c>
      <c r="C276" s="829"/>
      <c r="D276" s="391">
        <f t="shared" si="102"/>
        <v>49.315496078389273</v>
      </c>
      <c r="E276" s="383">
        <f t="shared" si="100"/>
        <v>50.639007304080458</v>
      </c>
      <c r="F276" s="383">
        <f t="shared" si="103"/>
        <v>50.640394722420766</v>
      </c>
      <c r="G276" s="110">
        <f t="shared" si="101"/>
        <v>0.99750924348848713</v>
      </c>
      <c r="H276" s="412" t="b">
        <f>Wh_hp&gt;='2023'!Maxi_hp</f>
        <v>0</v>
      </c>
      <c r="I276" s="388">
        <f>IF(H276,Wh_hp,'2023'!Maxi_hp)</f>
        <v>50.64039652855579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3.8655365394858365E-2</v>
      </c>
      <c r="M276" s="832"/>
      <c r="N276" s="832"/>
      <c r="O276" s="48">
        <f>IF(t&lt;Tnet,'2023'!Resal+('2023'!Salim-'2023'!Resal)*(1-EXP(('2023'!Tnet-t)/('2023'!Tau_j))),Resal+(Salim-Resal)*(1-EXP((Tnet-t)/(Tau_j))))*Salcycl</f>
        <v>2.6136200059050943E-2</v>
      </c>
      <c r="P276" s="169">
        <f>(INDEX(Models!$BJ276:$BT276,,T276)*(1-R276)+INDEX(Models!$BJ276:$BT276,,T276+1)*R276-ERP_i)*Q276*Ramure*Pc/MaxiM</f>
        <v>2.7495293560837558E-5</v>
      </c>
      <c r="Q276" s="304">
        <f t="shared" si="105"/>
        <v>0.6</v>
      </c>
      <c r="R276" s="177">
        <f t="shared" si="106"/>
        <v>0.49150973878752224</v>
      </c>
      <c r="S276" s="799">
        <f t="shared" si="107"/>
        <v>1</v>
      </c>
      <c r="T276" s="176">
        <f t="shared" si="108"/>
        <v>7</v>
      </c>
      <c r="U276" s="250">
        <f t="shared" si="109"/>
        <v>1.4915097387875222</v>
      </c>
      <c r="V276" s="382">
        <f t="shared" si="110"/>
        <v>47.527562505442333</v>
      </c>
      <c r="W276" s="400">
        <f t="shared" si="111"/>
        <v>47.40918755785043</v>
      </c>
      <c r="X276" s="157">
        <f t="shared" si="112"/>
        <v>45553</v>
      </c>
      <c r="Y276" s="383">
        <f t="shared" si="113"/>
        <v>45.816516502131059</v>
      </c>
      <c r="Z276" s="383">
        <f t="shared" si="114"/>
        <v>47.658784220447153</v>
      </c>
      <c r="AA276" s="384">
        <f t="shared" si="115"/>
        <v>50.639007304080458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5.8852320420451028E-2</v>
      </c>
      <c r="AD276" s="230">
        <f>(INDEX(Models!$BJ276:$BT276,,AH276)*(1-AF276)+INDEX(Models!$BJ276:$BT276,,AH276+1)*AF276-ERP_i)*AE276*Ramure*Pc/MaxiM</f>
        <v>2.7495293560837558E-5</v>
      </c>
      <c r="AE276" s="304">
        <f t="shared" si="117"/>
        <v>0.6</v>
      </c>
      <c r="AF276" s="177">
        <f t="shared" si="118"/>
        <v>0.49150973878752224</v>
      </c>
      <c r="AG276" s="799">
        <f t="shared" si="124"/>
        <v>1</v>
      </c>
      <c r="AH276" s="176">
        <f t="shared" si="119"/>
        <v>7</v>
      </c>
      <c r="AI276" s="224">
        <f t="shared" si="120"/>
        <v>1.4915097387875222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45554</v>
      </c>
      <c r="B277" s="409">
        <f>IF(t&gt;Tmaj,'2023'!Wh/'2023'!Env_an*'2024'!Env_an,0.001*'[11]mon-tableau (3)'!$B$254)</f>
        <v>48.907113266298666</v>
      </c>
      <c r="C277" s="829"/>
      <c r="D277" s="391">
        <f t="shared" si="102"/>
        <v>50.874627909083351</v>
      </c>
      <c r="E277" s="383">
        <f t="shared" si="100"/>
        <v>52.245511257616307</v>
      </c>
      <c r="F277" s="383">
        <f t="shared" si="103"/>
        <v>52.247024974226619</v>
      </c>
      <c r="G277" s="110">
        <f t="shared" si="101"/>
        <v>1.0339190299948386</v>
      </c>
      <c r="H277" s="412" t="b">
        <f>Wh_hp&gt;='2023'!Maxi_hp</f>
        <v>1</v>
      </c>
      <c r="I277" s="388">
        <f>IF(H277,Wh_hp,'2023'!Maxi_hp)</f>
        <v>52.247024974226619</v>
      </c>
      <c r="J277" s="85">
        <f>IF(H277,An,'2023'!An_max)</f>
        <v>2024</v>
      </c>
      <c r="K277" s="197">
        <f t="shared" si="104"/>
        <v>45554</v>
      </c>
      <c r="L277" s="147">
        <f>IF(t&lt;Tvie,1-EXP((T0-t)*PertePVj)+'2023'!Pspv,1-EXP((T0-t)*PertePVj)+Pspv)</f>
        <v>3.8673789345462617E-2</v>
      </c>
      <c r="M277" s="832"/>
      <c r="N277" s="832"/>
      <c r="O277" s="48">
        <f>IF(t&lt;Tnet,'2023'!Resal+('2023'!Salim-'2023'!Resal)*(1-EXP(('2023'!Tnet-t)/('2023'!Tau_j))),Resal+(Salim-Resal)*(1-EXP((Tnet-t)/(Tau_j))))*Salcycl</f>
        <v>2.6239256072608692E-2</v>
      </c>
      <c r="P277" s="169">
        <f>(INDEX(Models!$BJ277:$BT277,,T277)*(1-R277)+INDEX(Models!$BJ277:$BT277,,T277+1)*R277-ERP_i)*Q277*Ramure*Pc/MaxiM</f>
        <v>2.8972302462400205E-5</v>
      </c>
      <c r="Q277" s="304">
        <f t="shared" si="105"/>
        <v>0.6</v>
      </c>
      <c r="R277" s="177">
        <f t="shared" si="106"/>
        <v>0.49181784323258104</v>
      </c>
      <c r="S277" s="799">
        <f t="shared" si="107"/>
        <v>1</v>
      </c>
      <c r="T277" s="176">
        <f t="shared" si="108"/>
        <v>7</v>
      </c>
      <c r="U277" s="250">
        <f t="shared" si="109"/>
        <v>1.491817843232581</v>
      </c>
      <c r="V277" s="382">
        <f t="shared" si="110"/>
        <v>47.302653155095534</v>
      </c>
      <c r="W277" s="400">
        <f t="shared" si="111"/>
        <v>48.907113266298666</v>
      </c>
      <c r="X277" s="157">
        <f t="shared" si="112"/>
        <v>45554</v>
      </c>
      <c r="Y277" s="383">
        <f t="shared" si="113"/>
        <v>47.266211715203397</v>
      </c>
      <c r="Z277" s="383">
        <f t="shared" si="114"/>
        <v>49.167713510090699</v>
      </c>
      <c r="AA277" s="384">
        <f t="shared" si="115"/>
        <v>52.245511257616307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5.8910280968433086E-2</v>
      </c>
      <c r="AD277" s="230">
        <f>(INDEX(Models!$BJ277:$BT277,,AH277)*(1-AF277)+INDEX(Models!$BJ277:$BT277,,AH277+1)*AF277-ERP_i)*AE277*Ramure*Pc/MaxiM</f>
        <v>2.8972302462400205E-5</v>
      </c>
      <c r="AE277" s="304">
        <f t="shared" si="117"/>
        <v>0.6</v>
      </c>
      <c r="AF277" s="177">
        <f t="shared" si="118"/>
        <v>0.49181784323258104</v>
      </c>
      <c r="AG277" s="799">
        <f t="shared" si="124"/>
        <v>1</v>
      </c>
      <c r="AH277" s="176">
        <f t="shared" si="119"/>
        <v>7</v>
      </c>
      <c r="AI277" s="224">
        <f t="shared" si="120"/>
        <v>1.491817843232581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45555</v>
      </c>
      <c r="B278" s="409">
        <f>IF(t&gt;Tmaj,'2023'!Wh/'2023'!Env_an*'2024'!Env_an,0.001*'[11]mon-tableau (3)'!$B$255)</f>
        <v>47.660023334447871</v>
      </c>
      <c r="C278" s="829"/>
      <c r="D278" s="391">
        <f t="shared" si="102"/>
        <v>49.578318178775682</v>
      </c>
      <c r="E278" s="383">
        <f t="shared" si="100"/>
        <v>50.919636827100121</v>
      </c>
      <c r="F278" s="383">
        <f t="shared" si="103"/>
        <v>50.921191873462099</v>
      </c>
      <c r="G278" s="110">
        <f t="shared" si="101"/>
        <v>1.0124615605457437</v>
      </c>
      <c r="H278" s="412" t="b">
        <f>Wh_hp&gt;='2023'!Maxi_hp</f>
        <v>1</v>
      </c>
      <c r="I278" s="388">
        <f>IF(H278,Wh_hp,'2023'!Maxi_hp)</f>
        <v>50.921191873462099</v>
      </c>
      <c r="J278" s="85">
        <f>IF(H278,An,'2023'!An_max)</f>
        <v>2024</v>
      </c>
      <c r="K278" s="197">
        <f t="shared" si="104"/>
        <v>45555</v>
      </c>
      <c r="L278" s="147">
        <f>IF(t&lt;Tvie,1-EXP((T0-t)*PertePVj)+'2023'!Pspv,1-EXP((T0-t)*PertePVj)+Pspv)</f>
        <v>3.869221294297609E-2</v>
      </c>
      <c r="M278" s="832"/>
      <c r="N278" s="832"/>
      <c r="O278" s="48">
        <f>IF(t&lt;Tnet,'2023'!Resal+('2023'!Salim-'2023'!Resal)*(1-EXP(('2023'!Tnet-t)/('2023'!Tau_j))),Resal+(Salim-Resal)*(1-EXP((Tnet-t)/(Tau_j))))*Salcycl</f>
        <v>2.6341873821271448E-2</v>
      </c>
      <c r="P278" s="169">
        <f>(INDEX(Models!$BJ278:$BT278,,T278)*(1-R278)+INDEX(Models!$BJ278:$BT278,,T278+1)*R278-ERP_i)*Q278*Ramure*Pc/MaxiM</f>
        <v>3.0538294662161172E-5</v>
      </c>
      <c r="Q278" s="304">
        <f t="shared" si="105"/>
        <v>0.6</v>
      </c>
      <c r="R278" s="177">
        <f t="shared" si="106"/>
        <v>0.49211390480516881</v>
      </c>
      <c r="S278" s="799">
        <f t="shared" si="107"/>
        <v>1</v>
      </c>
      <c r="T278" s="176">
        <f t="shared" si="108"/>
        <v>7</v>
      </c>
      <c r="U278" s="250">
        <f t="shared" si="109"/>
        <v>1.4921139048051688</v>
      </c>
      <c r="V278" s="382">
        <f t="shared" si="110"/>
        <v>47.073415121812481</v>
      </c>
      <c r="W278" s="400">
        <f t="shared" si="111"/>
        <v>47.660023334447871</v>
      </c>
      <c r="X278" s="157">
        <f t="shared" si="112"/>
        <v>45555</v>
      </c>
      <c r="Y278" s="383">
        <f t="shared" si="113"/>
        <v>46.063015159471398</v>
      </c>
      <c r="Z278" s="383">
        <f t="shared" si="114"/>
        <v>47.917031131610898</v>
      </c>
      <c r="AA278" s="384">
        <f t="shared" si="115"/>
        <v>50.919636827100121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5.8967539491389186E-2</v>
      </c>
      <c r="AD278" s="230">
        <f>(INDEX(Models!$BJ278:$BT278,,AH278)*(1-AF278)+INDEX(Models!$BJ278:$BT278,,AH278+1)*AF278-ERP_i)*AE278*Ramure*Pc/MaxiM</f>
        <v>3.0538294662161172E-5</v>
      </c>
      <c r="AE278" s="304">
        <f t="shared" si="117"/>
        <v>0.6</v>
      </c>
      <c r="AF278" s="177">
        <f t="shared" si="118"/>
        <v>0.49211390480516881</v>
      </c>
      <c r="AG278" s="799">
        <f t="shared" si="124"/>
        <v>1</v>
      </c>
      <c r="AH278" s="176">
        <f t="shared" si="119"/>
        <v>7</v>
      </c>
      <c r="AI278" s="224">
        <f t="shared" si="120"/>
        <v>1.4921139048051688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45556</v>
      </c>
      <c r="B279" s="409">
        <f>IF(t&gt;Tmaj,'2023'!Wh/'2023'!Env_an*'2024'!Env_an,0.001*'[11]mon-tableau (3)'!$B$256)</f>
        <v>46.357124412282687</v>
      </c>
      <c r="C279" s="829"/>
      <c r="D279" s="391">
        <f t="shared" si="102"/>
        <v>48.223902351758582</v>
      </c>
      <c r="E279" s="383">
        <f t="shared" si="100"/>
        <v>49.533775563538434</v>
      </c>
      <c r="F279" s="383">
        <f t="shared" si="103"/>
        <v>49.535346808079204</v>
      </c>
      <c r="G279" s="110">
        <f t="shared" si="101"/>
        <v>0.98969151950806267</v>
      </c>
      <c r="H279" s="412" t="b">
        <f>Wh_hp&gt;='2023'!Maxi_hp</f>
        <v>0</v>
      </c>
      <c r="I279" s="388">
        <f>IF(H279,Wh_hp,'2023'!Maxi_hp)</f>
        <v>49.535355267430838</v>
      </c>
      <c r="J279" s="85">
        <f>IF(H279,An,'2023'!An_max)</f>
        <v>2022</v>
      </c>
      <c r="K279" s="197">
        <f t="shared" si="104"/>
        <v>45556</v>
      </c>
      <c r="L279" s="147">
        <f>IF(t&lt;Tvie,1-EXP((T0-t)*PertePVj)+'2023'!Pspv,1-EXP((T0-t)*PertePVj)+Pspv)</f>
        <v>3.8710636187405445E-2</v>
      </c>
      <c r="M279" s="832"/>
      <c r="N279" s="832"/>
      <c r="O279" s="48">
        <f>IF(t&lt;Tnet,'2023'!Resal+('2023'!Salim-'2023'!Resal)*(1-EXP(('2023'!Tnet-t)/('2023'!Tau_j))),Resal+(Salim-Resal)*(1-EXP((Tnet-t)/(Tau_j))))*Salcycl</f>
        <v>2.6444041401601566E-2</v>
      </c>
      <c r="P279" s="169">
        <f>(INDEX(Models!$BJ279:$BT279,,T279)*(1-R279)+INDEX(Models!$BJ279:$BT279,,T279+1)*R279-ERP_i)*Q279*Ramure*Pc/MaxiM</f>
        <v>3.2193740011140305E-5</v>
      </c>
      <c r="Q279" s="304">
        <f t="shared" si="105"/>
        <v>0.6</v>
      </c>
      <c r="R279" s="177">
        <f t="shared" si="106"/>
        <v>0.49239838039997874</v>
      </c>
      <c r="S279" s="799">
        <f t="shared" si="107"/>
        <v>1</v>
      </c>
      <c r="T279" s="176">
        <f t="shared" si="108"/>
        <v>7</v>
      </c>
      <c r="U279" s="250">
        <f t="shared" si="109"/>
        <v>1.4923983803999787</v>
      </c>
      <c r="V279" s="382">
        <f t="shared" si="110"/>
        <v>46.83995115752046</v>
      </c>
      <c r="W279" s="400">
        <f t="shared" si="111"/>
        <v>46.357124412282687</v>
      </c>
      <c r="X279" s="157">
        <f t="shared" si="112"/>
        <v>45556</v>
      </c>
      <c r="Y279" s="383">
        <f t="shared" si="113"/>
        <v>44.805784071804119</v>
      </c>
      <c r="Z279" s="383">
        <f t="shared" si="114"/>
        <v>46.610090320877724</v>
      </c>
      <c r="AA279" s="384">
        <f t="shared" si="115"/>
        <v>49.533775563538434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5.9024074167542753E-2</v>
      </c>
      <c r="AD279" s="230">
        <f>(INDEX(Models!$BJ279:$BT279,,AH279)*(1-AF279)+INDEX(Models!$BJ279:$BT279,,AH279+1)*AF279-ERP_i)*AE279*Ramure*Pc/MaxiM</f>
        <v>3.2193740011140305E-5</v>
      </c>
      <c r="AE279" s="304">
        <f t="shared" si="117"/>
        <v>0.6</v>
      </c>
      <c r="AF279" s="177">
        <f t="shared" si="118"/>
        <v>0.49239838039997874</v>
      </c>
      <c r="AG279" s="799">
        <f t="shared" si="124"/>
        <v>1</v>
      </c>
      <c r="AH279" s="176">
        <f t="shared" si="119"/>
        <v>7</v>
      </c>
      <c r="AI279" s="224">
        <f t="shared" si="120"/>
        <v>1.4923983803999787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45557</v>
      </c>
      <c r="B280" s="409">
        <f>IF(t&gt;Tmaj,'2023'!Wh/'2023'!Env_an*'2024'!Env_an,0.001*'[11]mon-tableau (3)'!$B$257)</f>
        <v>32.811349206780726</v>
      </c>
      <c r="C280" s="829"/>
      <c r="D280" s="391">
        <f t="shared" si="102"/>
        <v>34.13329979093686</v>
      </c>
      <c r="E280" s="383">
        <f t="shared" si="100"/>
        <v>35.064102578890513</v>
      </c>
      <c r="F280" s="383">
        <f t="shared" si="103"/>
        <v>35.06478954087126</v>
      </c>
      <c r="G280" s="110">
        <f t="shared" si="101"/>
        <v>0.70406038758578615</v>
      </c>
      <c r="H280" s="412" t="b">
        <f>Wh_hp&gt;='2023'!Maxi_hp</f>
        <v>0</v>
      </c>
      <c r="I280" s="388">
        <f>IF(H280,Wh_hp,'2023'!Maxi_hp)</f>
        <v>43.314137814675796</v>
      </c>
      <c r="J280" s="85">
        <f>IF(H280,An,'2023'!An_max)</f>
        <v>2021</v>
      </c>
      <c r="K280" s="197">
        <f t="shared" si="104"/>
        <v>45557</v>
      </c>
      <c r="L280" s="147">
        <f>IF(t&lt;Tvie,1-EXP((T0-t)*PertePVj)+'2023'!Pspv,1-EXP((T0-t)*PertePVj)+Pspv)</f>
        <v>3.8729059078757566E-2</v>
      </c>
      <c r="M280" s="832"/>
      <c r="N280" s="832"/>
      <c r="O280" s="48">
        <f>IF(t&lt;Tnet,'2023'!Resal+('2023'!Salim-'2023'!Resal)*(1-EXP(('2023'!Tnet-t)/('2023'!Tau_j))),Resal+(Salim-Resal)*(1-EXP((Tnet-t)/(Tau_j))))*Salcycl</f>
        <v>2.654574677505124E-2</v>
      </c>
      <c r="P280" s="169">
        <f>(INDEX(Models!$BJ280:$BT280,,T280)*(1-R280)+INDEX(Models!$BJ280:$BT280,,T280+1)*R280-ERP_i)*Q280*Ramure*Pc/MaxiM</f>
        <v>3.3939260199931E-5</v>
      </c>
      <c r="Q280" s="304">
        <f t="shared" si="105"/>
        <v>0.6</v>
      </c>
      <c r="R280" s="177">
        <f t="shared" si="106"/>
        <v>0.49267171065554405</v>
      </c>
      <c r="S280" s="799">
        <f t="shared" si="107"/>
        <v>1</v>
      </c>
      <c r="T280" s="176">
        <f t="shared" si="108"/>
        <v>7</v>
      </c>
      <c r="U280" s="250">
        <f t="shared" si="109"/>
        <v>1.492671710655544</v>
      </c>
      <c r="V280" s="382">
        <f t="shared" si="110"/>
        <v>46.602363941371983</v>
      </c>
      <c r="W280" s="400">
        <f t="shared" si="111"/>
        <v>32.811349206780726</v>
      </c>
      <c r="X280" s="157">
        <f t="shared" si="112"/>
        <v>45557</v>
      </c>
      <c r="Y280" s="383">
        <f t="shared" si="113"/>
        <v>31.71475093511992</v>
      </c>
      <c r="Z280" s="383">
        <f t="shared" si="114"/>
        <v>32.992520199066675</v>
      </c>
      <c r="AA280" s="384">
        <f t="shared" si="115"/>
        <v>35.064102578890513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5.907986309254587E-2</v>
      </c>
      <c r="AD280" s="230">
        <f>(INDEX(Models!$BJ280:$BT280,,AH280)*(1-AF280)+INDEX(Models!$BJ280:$BT280,,AH280+1)*AF280-ERP_i)*AE280*Ramure*Pc/MaxiM</f>
        <v>3.3939260199931E-5</v>
      </c>
      <c r="AE280" s="304">
        <f t="shared" si="117"/>
        <v>0.6</v>
      </c>
      <c r="AF280" s="177">
        <f t="shared" si="118"/>
        <v>0.49267171065554405</v>
      </c>
      <c r="AG280" s="799">
        <f t="shared" si="124"/>
        <v>1</v>
      </c>
      <c r="AH280" s="176">
        <f t="shared" si="119"/>
        <v>7</v>
      </c>
      <c r="AI280" s="224">
        <f t="shared" si="120"/>
        <v>1.492671710655544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45558</v>
      </c>
      <c r="B281" s="409">
        <f>IF(t&gt;Tmaj,'2023'!Wh/'2023'!Env_an*'2024'!Env_an,0.001*'[11]mon-tableau (3)'!$B$258)</f>
        <v>18.651647000481269</v>
      </c>
      <c r="C281" s="829"/>
      <c r="D281" s="391">
        <f t="shared" si="102"/>
        <v>19.403483105414864</v>
      </c>
      <c r="E281" s="383">
        <f t="shared" si="100"/>
        <v>19.934682138190251</v>
      </c>
      <c r="F281" s="383">
        <f t="shared" si="103"/>
        <v>19.934786379288376</v>
      </c>
      <c r="G281" s="110">
        <f t="shared" si="101"/>
        <v>0.40230312946349223</v>
      </c>
      <c r="H281" s="412" t="b">
        <f>Wh_hp&gt;='2023'!Maxi_hp</f>
        <v>0</v>
      </c>
      <c r="I281" s="388">
        <f>IF(H281,Wh_hp,'2023'!Maxi_hp)</f>
        <v>43.384541721518524</v>
      </c>
      <c r="J281" s="85">
        <f>IF(H281,An,'2023'!An_max)</f>
        <v>2021</v>
      </c>
      <c r="K281" s="197">
        <f t="shared" si="104"/>
        <v>45558</v>
      </c>
      <c r="L281" s="147">
        <f>IF(t&lt;Tvie,1-EXP((T0-t)*PertePVj)+'2023'!Pspv,1-EXP((T0-t)*PertePVj)+Pspv)</f>
        <v>3.8747481617039226E-2</v>
      </c>
      <c r="M281" s="832"/>
      <c r="N281" s="832"/>
      <c r="O281" s="48">
        <f>IF(t&lt;Tnet,'2023'!Resal+('2023'!Salim-'2023'!Resal)*(1-EXP(('2023'!Tnet-t)/('2023'!Tau_j))),Resal+(Salim-Resal)*(1-EXP((Tnet-t)/(Tau_j))))*Salcycl</f>
        <v>2.664697781951253E-2</v>
      </c>
      <c r="P281" s="169">
        <f>(INDEX(Models!$BJ281:$BT281,,T281)*(1-R281)+INDEX(Models!$BJ281:$BT281,,T281+1)*R281-ERP_i)*Q281*Ramure*Pc/MaxiM</f>
        <v>3.5775387422156743E-5</v>
      </c>
      <c r="Q281" s="304">
        <f t="shared" si="105"/>
        <v>0.6</v>
      </c>
      <c r="R281" s="177">
        <f t="shared" si="106"/>
        <v>0.49293432044768015</v>
      </c>
      <c r="S281" s="799">
        <f t="shared" si="107"/>
        <v>1</v>
      </c>
      <c r="T281" s="176">
        <f t="shared" si="108"/>
        <v>7</v>
      </c>
      <c r="U281" s="250">
        <f t="shared" si="109"/>
        <v>1.4929343204476802</v>
      </c>
      <c r="V281" s="382">
        <f t="shared" si="110"/>
        <v>46.36075608933136</v>
      </c>
      <c r="W281" s="400">
        <f t="shared" si="111"/>
        <v>18.651647000481269</v>
      </c>
      <c r="X281" s="157">
        <f t="shared" si="112"/>
        <v>45558</v>
      </c>
      <c r="Y281" s="383">
        <f t="shared" si="113"/>
        <v>18.029105177127118</v>
      </c>
      <c r="Z281" s="383">
        <f t="shared" si="114"/>
        <v>18.755847014534805</v>
      </c>
      <c r="AA281" s="384">
        <f t="shared" si="115"/>
        <v>19.934682138190251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5.9134884393118654E-2</v>
      </c>
      <c r="AD281" s="230">
        <f>(INDEX(Models!$BJ281:$BT281,,AH281)*(1-AF281)+INDEX(Models!$BJ281:$BT281,,AH281+1)*AF281-ERP_i)*AE281*Ramure*Pc/MaxiM</f>
        <v>3.5775387422156743E-5</v>
      </c>
      <c r="AE281" s="304">
        <f t="shared" si="117"/>
        <v>0.6</v>
      </c>
      <c r="AF281" s="177">
        <f t="shared" si="118"/>
        <v>0.49293432044768015</v>
      </c>
      <c r="AG281" s="799">
        <f t="shared" si="124"/>
        <v>1</v>
      </c>
      <c r="AH281" s="176">
        <f t="shared" si="119"/>
        <v>7</v>
      </c>
      <c r="AI281" s="224">
        <f t="shared" si="120"/>
        <v>1.4929343204476802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45559</v>
      </c>
      <c r="B282" s="409">
        <f>IF(t&gt;Tmaj,'2023'!Wh/'2023'!Env_an*'2024'!Env_an,0.001*'[11]mon-tableau (3)'!$B$259)</f>
        <v>36.45781666823585</v>
      </c>
      <c r="C282" s="829"/>
      <c r="D282" s="391">
        <f t="shared" si="102"/>
        <v>37.928135105119942</v>
      </c>
      <c r="E282" s="383">
        <f t="shared" si="100"/>
        <v>38.970507418806662</v>
      </c>
      <c r="F282" s="383">
        <f t="shared" si="103"/>
        <v>38.971534709900446</v>
      </c>
      <c r="G282" s="110">
        <f t="shared" si="101"/>
        <v>0.79057185689712972</v>
      </c>
      <c r="H282" s="412" t="b">
        <f>Wh_hp&gt;='2023'!Maxi_hp</f>
        <v>0</v>
      </c>
      <c r="I282" s="388">
        <f>IF(H282,Wh_hp,'2023'!Maxi_hp)</f>
        <v>38.971690131300377</v>
      </c>
      <c r="J282" s="85">
        <f>IF(H282,An,'2023'!An_max)</f>
        <v>2022</v>
      </c>
      <c r="K282" s="197">
        <f t="shared" si="104"/>
        <v>45559</v>
      </c>
      <c r="L282" s="147">
        <f>IF(t&lt;Tvie,1-EXP((T0-t)*PertePVj)+'2023'!Pspv,1-EXP((T0-t)*PertePVj)+Pspv)</f>
        <v>3.8765903802257085E-2</v>
      </c>
      <c r="M282" s="832"/>
      <c r="N282" s="832"/>
      <c r="O282" s="48">
        <f>IF(t&lt;Tnet,'2023'!Resal+('2023'!Salim-'2023'!Resal)*(1-EXP(('2023'!Tnet-t)/('2023'!Tau_j))),Resal+(Salim-Resal)*(1-EXP((Tnet-t)/(Tau_j))))*Salcycl</f>
        <v>2.6747722386177699E-2</v>
      </c>
      <c r="P282" s="169">
        <f>(INDEX(Models!$BJ282:$BT282,,T282)*(1-R282)+INDEX(Models!$BJ282:$BT282,,T282+1)*R282-ERP_i)*Q282*Ramure*Pc/MaxiM</f>
        <v>3.7612616727396737E-5</v>
      </c>
      <c r="Q282" s="304">
        <f t="shared" si="105"/>
        <v>0.6</v>
      </c>
      <c r="R282" s="177">
        <f t="shared" si="106"/>
        <v>0.49318661937489838</v>
      </c>
      <c r="S282" s="799">
        <f t="shared" si="107"/>
        <v>1</v>
      </c>
      <c r="T282" s="176">
        <f t="shared" si="108"/>
        <v>7</v>
      </c>
      <c r="U282" s="250">
        <f t="shared" si="109"/>
        <v>1.4931866193748984</v>
      </c>
      <c r="V282" s="382">
        <f t="shared" si="110"/>
        <v>46.115234301432679</v>
      </c>
      <c r="W282" s="400">
        <f t="shared" si="111"/>
        <v>36.45781666823585</v>
      </c>
      <c r="X282" s="157">
        <f t="shared" si="112"/>
        <v>45559</v>
      </c>
      <c r="Y282" s="383">
        <f t="shared" si="113"/>
        <v>35.242569171961676</v>
      </c>
      <c r="Z282" s="383">
        <f t="shared" si="114"/>
        <v>36.663877520956824</v>
      </c>
      <c r="AA282" s="384">
        <f t="shared" si="115"/>
        <v>38.970507418806662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5.9189116350501683E-2</v>
      </c>
      <c r="AD282" s="230">
        <f>(INDEX(Models!$BJ282:$BT282,,AH282)*(1-AF282)+INDEX(Models!$BJ282:$BT282,,AH282+1)*AF282-ERP_i)*AE282*Ramure*Pc/MaxiM</f>
        <v>3.7612616727396737E-5</v>
      </c>
      <c r="AE282" s="304">
        <f t="shared" si="117"/>
        <v>0.6</v>
      </c>
      <c r="AF282" s="177">
        <f t="shared" si="118"/>
        <v>0.49318661937489838</v>
      </c>
      <c r="AG282" s="799">
        <f t="shared" si="124"/>
        <v>1</v>
      </c>
      <c r="AH282" s="176">
        <f t="shared" si="119"/>
        <v>7</v>
      </c>
      <c r="AI282" s="224">
        <f t="shared" si="120"/>
        <v>1.4931866193748984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45560</v>
      </c>
      <c r="B283" s="409">
        <f>IF(t&gt;Tmaj,'2023'!Wh/'2023'!Env_an*'2024'!Env_an,0.001*'[11]mon-tableau (3)'!$B$260)</f>
        <v>36.318372752272545</v>
      </c>
      <c r="C283" s="829"/>
      <c r="D283" s="391">
        <f t="shared" si="102"/>
        <v>37.783791630575791</v>
      </c>
      <c r="E283" s="383">
        <f t="shared" si="100"/>
        <v>38.826196115482716</v>
      </c>
      <c r="F283" s="383">
        <f t="shared" si="103"/>
        <v>38.827271448851519</v>
      </c>
      <c r="G283" s="110">
        <f t="shared" si="101"/>
        <v>0.79182889683423263</v>
      </c>
      <c r="H283" s="412" t="b">
        <f>Wh_hp&gt;='2023'!Maxi_hp</f>
        <v>0</v>
      </c>
      <c r="I283" s="388">
        <f>IF(H283,Wh_hp,'2023'!Maxi_hp)</f>
        <v>41.572893006475333</v>
      </c>
      <c r="J283" s="85">
        <f>IF(H283,An,'2023'!An_max)</f>
        <v>2021</v>
      </c>
      <c r="K283" s="197">
        <f t="shared" si="104"/>
        <v>45560</v>
      </c>
      <c r="L283" s="147">
        <f>IF(t&lt;Tvie,1-EXP((T0-t)*PertePVj)+'2023'!Pspv,1-EXP((T0-t)*PertePVj)+Pspv)</f>
        <v>3.8784325634417915E-2</v>
      </c>
      <c r="M283" s="832"/>
      <c r="N283" s="832"/>
      <c r="O283" s="48">
        <f>IF(t&lt;Tnet,'2023'!Resal+('2023'!Salim-'2023'!Resal)*(1-EXP(('2023'!Tnet-t)/('2023'!Tau_j))),Resal+(Salim-Resal)*(1-EXP((Tnet-t)/(Tau_j))))*Salcycl</f>
        <v>2.6847968361527089E-2</v>
      </c>
      <c r="P283" s="169">
        <f>(INDEX(Models!$BJ283:$BT283,,T283)*(1-R283)+INDEX(Models!$BJ283:$BT283,,T283+1)*R283-ERP_i)*Q283*Ramure*Pc/MaxiM</f>
        <v>3.9416862567187751E-5</v>
      </c>
      <c r="Q283" s="304">
        <f t="shared" si="105"/>
        <v>0.6</v>
      </c>
      <c r="R283" s="177">
        <f t="shared" si="106"/>
        <v>0.4934290022352763</v>
      </c>
      <c r="S283" s="799">
        <f t="shared" si="107"/>
        <v>1</v>
      </c>
      <c r="T283" s="176">
        <f t="shared" si="108"/>
        <v>7</v>
      </c>
      <c r="U283" s="250">
        <f t="shared" si="109"/>
        <v>1.4934290022352763</v>
      </c>
      <c r="V283" s="382">
        <f t="shared" si="110"/>
        <v>45.865902568110215</v>
      </c>
      <c r="W283" s="400">
        <f t="shared" si="111"/>
        <v>36.318372752272545</v>
      </c>
      <c r="X283" s="157">
        <f t="shared" si="112"/>
        <v>45560</v>
      </c>
      <c r="Y283" s="383">
        <f t="shared" si="113"/>
        <v>35.109396148336032</v>
      </c>
      <c r="Z283" s="383">
        <f t="shared" si="114"/>
        <v>36.526033734841874</v>
      </c>
      <c r="AA283" s="384">
        <f t="shared" si="115"/>
        <v>38.826196115482716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5.9242537533147822E-2</v>
      </c>
      <c r="AD283" s="230">
        <f>(INDEX(Models!$BJ283:$BT283,,AH283)*(1-AF283)+INDEX(Models!$BJ283:$BT283,,AH283+1)*AF283-ERP_i)*AE283*Ramure*Pc/MaxiM</f>
        <v>3.9416862567187751E-5</v>
      </c>
      <c r="AE283" s="304">
        <f t="shared" si="117"/>
        <v>0.6</v>
      </c>
      <c r="AF283" s="177">
        <f t="shared" si="118"/>
        <v>0.4934290022352763</v>
      </c>
      <c r="AG283" s="799">
        <f t="shared" si="124"/>
        <v>1</v>
      </c>
      <c r="AH283" s="176">
        <f t="shared" si="119"/>
        <v>7</v>
      </c>
      <c r="AI283" s="224">
        <f t="shared" si="120"/>
        <v>1.4934290022352763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45561</v>
      </c>
      <c r="B284" s="409">
        <f>IF(t&gt;Tmaj,'2023'!Wh/'2023'!Env_an*'2024'!Env_an,0.001*'[11]mon-tableau (3)'!$B$261)</f>
        <v>17.331065971938919</v>
      </c>
      <c r="C284" s="829"/>
      <c r="D284" s="391">
        <f t="shared" si="102"/>
        <v>18.030706933351922</v>
      </c>
      <c r="E284" s="383">
        <f t="shared" si="100"/>
        <v>18.530049209633237</v>
      </c>
      <c r="F284" s="383">
        <f t="shared" si="103"/>
        <v>18.530136390134306</v>
      </c>
      <c r="G284" s="110">
        <f t="shared" si="101"/>
        <v>0.37994619174767569</v>
      </c>
      <c r="H284" s="412" t="b">
        <f>Wh_hp&gt;='2023'!Maxi_hp</f>
        <v>0</v>
      </c>
      <c r="I284" s="388">
        <f>IF(H284,Wh_hp,'2023'!Maxi_hp)</f>
        <v>41.366659117573256</v>
      </c>
      <c r="J284" s="85">
        <f>IF(H284,An,'2023'!An_max)</f>
        <v>2018</v>
      </c>
      <c r="K284" s="197">
        <f t="shared" si="104"/>
        <v>45561</v>
      </c>
      <c r="L284" s="147">
        <f>IF(t&lt;Tvie,1-EXP((T0-t)*PertePVj)+'2023'!Pspv,1-EXP((T0-t)*PertePVj)+Pspv)</f>
        <v>3.8802747113528602E-2</v>
      </c>
      <c r="M284" s="832"/>
      <c r="N284" s="832"/>
      <c r="O284" s="48">
        <f>IF(t&lt;Tnet,'2023'!Resal+('2023'!Salim-'2023'!Resal)*(1-EXP(('2023'!Tnet-t)/('2023'!Tau_j))),Resal+(Salim-Resal)*(1-EXP((Tnet-t)/(Tau_j))))*Salcycl</f>
        <v>2.6947703734198448E-2</v>
      </c>
      <c r="P284" s="169">
        <f>(INDEX(Models!$BJ284:$BT284,,T284)*(1-R284)+INDEX(Models!$BJ284:$BT284,,T284+1)*R284-ERP_i)*Q284*Ramure*Pc/MaxiM</f>
        <v>4.1187526109733379E-5</v>
      </c>
      <c r="Q284" s="304">
        <f t="shared" si="105"/>
        <v>0.6</v>
      </c>
      <c r="R284" s="177">
        <f t="shared" si="106"/>
        <v>0.49366184949434566</v>
      </c>
      <c r="S284" s="799">
        <f t="shared" si="107"/>
        <v>1</v>
      </c>
      <c r="T284" s="176">
        <f t="shared" si="108"/>
        <v>7</v>
      </c>
      <c r="U284" s="250">
        <f t="shared" si="109"/>
        <v>1.4936618494943457</v>
      </c>
      <c r="V284" s="382">
        <f t="shared" si="110"/>
        <v>45.612863244227974</v>
      </c>
      <c r="W284" s="400">
        <f t="shared" si="111"/>
        <v>17.331065971938919</v>
      </c>
      <c r="X284" s="157">
        <f t="shared" si="112"/>
        <v>45561</v>
      </c>
      <c r="Y284" s="383">
        <f t="shared" si="113"/>
        <v>16.754924969324815</v>
      </c>
      <c r="Z284" s="383">
        <f t="shared" si="114"/>
        <v>17.431307589581476</v>
      </c>
      <c r="AA284" s="384">
        <f t="shared" si="115"/>
        <v>18.530049209633237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5.9295126937955252E-2</v>
      </c>
      <c r="AD284" s="230">
        <f>(INDEX(Models!$BJ284:$BT284,,AH284)*(1-AF284)+INDEX(Models!$BJ284:$BT284,,AH284+1)*AF284-ERP_i)*AE284*Ramure*Pc/MaxiM</f>
        <v>4.1187526109733379E-5</v>
      </c>
      <c r="AE284" s="304">
        <f t="shared" si="117"/>
        <v>0.6</v>
      </c>
      <c r="AF284" s="177">
        <f t="shared" si="118"/>
        <v>0.49366184949434566</v>
      </c>
      <c r="AG284" s="799">
        <f t="shared" si="124"/>
        <v>1</v>
      </c>
      <c r="AH284" s="176">
        <f t="shared" si="119"/>
        <v>7</v>
      </c>
      <c r="AI284" s="224">
        <f t="shared" si="120"/>
        <v>1.4936618494943457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45562</v>
      </c>
      <c r="B285" s="409">
        <f>IF(t&gt;Tmaj,'2023'!Wh/'2023'!Env_an*'2024'!Env_an,0.001*'[11]mon-tableau (3)'!$B$262)</f>
        <v>19.771835631744153</v>
      </c>
      <c r="C285" s="829"/>
      <c r="D285" s="391">
        <f t="shared" si="102"/>
        <v>20.570402695544107</v>
      </c>
      <c r="E285" s="383">
        <f t="shared" si="100"/>
        <v>21.142234962722906</v>
      </c>
      <c r="F285" s="383">
        <f t="shared" si="103"/>
        <v>21.142411180790795</v>
      </c>
      <c r="G285" s="110">
        <f t="shared" si="101"/>
        <v>0.4359082909772734</v>
      </c>
      <c r="H285" s="412" t="b">
        <f>Wh_hp&gt;='2023'!Maxi_hp</f>
        <v>0</v>
      </c>
      <c r="I285" s="388">
        <f>IF(H285,Wh_hp,'2023'!Maxi_hp)</f>
        <v>36.836006686533622</v>
      </c>
      <c r="J285" s="85">
        <f>IF(H285,An,'2023'!An_max)</f>
        <v>2018</v>
      </c>
      <c r="K285" s="197">
        <f t="shared" si="104"/>
        <v>45562</v>
      </c>
      <c r="L285" s="147">
        <f>IF(t&lt;Tvie,1-EXP((T0-t)*PertePVj)+'2023'!Pspv,1-EXP((T0-t)*PertePVj)+Pspv)</f>
        <v>3.8821168239595916E-2</v>
      </c>
      <c r="M285" s="832"/>
      <c r="N285" s="832"/>
      <c r="O285" s="48">
        <f>IF(t&lt;Tnet,'2023'!Resal+('2023'!Salim-'2023'!Resal)*(1-EXP(('2023'!Tnet-t)/('2023'!Tau_j))),Resal+(Salim-Resal)*(1-EXP((Tnet-t)/(Tau_j))))*Salcycl</f>
        <v>2.7046916666427716E-2</v>
      </c>
      <c r="P285" s="169">
        <f>(INDEX(Models!$BJ285:$BT285,,T285)*(1-R285)+INDEX(Models!$BJ285:$BT285,,T285+1)*R285-ERP_i)*Q285*Ramure*Pc/MaxiM</f>
        <v>4.2923964691306305E-5</v>
      </c>
      <c r="Q285" s="304">
        <f t="shared" si="105"/>
        <v>0.6</v>
      </c>
      <c r="R285" s="177">
        <f t="shared" si="106"/>
        <v>0.49388552774363226</v>
      </c>
      <c r="S285" s="799">
        <f t="shared" si="107"/>
        <v>1</v>
      </c>
      <c r="T285" s="176">
        <f t="shared" si="108"/>
        <v>7</v>
      </c>
      <c r="U285" s="250">
        <f t="shared" si="109"/>
        <v>1.4938855277436323</v>
      </c>
      <c r="V285" s="382">
        <f t="shared" si="110"/>
        <v>45.356218599833106</v>
      </c>
      <c r="W285" s="400">
        <f t="shared" si="111"/>
        <v>19.771835631744153</v>
      </c>
      <c r="X285" s="157">
        <f t="shared" si="112"/>
        <v>45562</v>
      </c>
      <c r="Y285" s="383">
        <f t="shared" si="113"/>
        <v>19.115453260090685</v>
      </c>
      <c r="Z285" s="383">
        <f t="shared" si="114"/>
        <v>19.887509616790698</v>
      </c>
      <c r="AA285" s="384">
        <f t="shared" si="115"/>
        <v>21.142234962722906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5.9346864139221085E-2</v>
      </c>
      <c r="AD285" s="230">
        <f>(INDEX(Models!$BJ285:$BT285,,AH285)*(1-AF285)+INDEX(Models!$BJ285:$BT285,,AH285+1)*AF285-ERP_i)*AE285*Ramure*Pc/MaxiM</f>
        <v>4.2923964691306305E-5</v>
      </c>
      <c r="AE285" s="304">
        <f t="shared" si="117"/>
        <v>0.6</v>
      </c>
      <c r="AF285" s="177">
        <f t="shared" si="118"/>
        <v>0.49388552774363226</v>
      </c>
      <c r="AG285" s="799">
        <f t="shared" si="124"/>
        <v>1</v>
      </c>
      <c r="AH285" s="176">
        <f t="shared" si="119"/>
        <v>7</v>
      </c>
      <c r="AI285" s="224">
        <f t="shared" si="120"/>
        <v>1.4938855277436323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45563</v>
      </c>
      <c r="B286" s="409">
        <f>IF(t&gt;Tmaj,'2023'!Wh/'2023'!Env_an*'2024'!Env_an,0.001*'[11]mon-tableau (3)'!$B$263)</f>
        <v>23.778185446713263</v>
      </c>
      <c r="C286" s="829"/>
      <c r="D286" s="391">
        <f t="shared" si="102"/>
        <v>24.739039576428858</v>
      </c>
      <c r="E286" s="383">
        <f t="shared" si="100"/>
        <v>25.429333992598487</v>
      </c>
      <c r="F286" s="383">
        <f t="shared" si="103"/>
        <v>25.429702447644384</v>
      </c>
      <c r="G286" s="110">
        <f t="shared" si="101"/>
        <v>0.52726254009543894</v>
      </c>
      <c r="H286" s="412" t="b">
        <f>Wh_hp&gt;='2023'!Maxi_hp</f>
        <v>0</v>
      </c>
      <c r="I286" s="388">
        <f>IF(H286,Wh_hp,'2023'!Maxi_hp)</f>
        <v>46.051965901147405</v>
      </c>
      <c r="J286" s="85">
        <f>IF(H286,An,'2023'!An_max)</f>
        <v>2018</v>
      </c>
      <c r="K286" s="197">
        <f t="shared" si="104"/>
        <v>45563</v>
      </c>
      <c r="L286" s="147">
        <f>IF(t&lt;Tvie,1-EXP((T0-t)*PertePVj)+'2023'!Pspv,1-EXP((T0-t)*PertePVj)+Pspv)</f>
        <v>3.8839589012626408E-2</v>
      </c>
      <c r="M286" s="832"/>
      <c r="N286" s="832"/>
      <c r="O286" s="48">
        <f>IF(t&lt;Tnet,'2023'!Resal+('2023'!Salim-'2023'!Resal)*(1-EXP(('2023'!Tnet-t)/('2023'!Tau_j))),Resal+(Salim-Resal)*(1-EXP((Tnet-t)/(Tau_j))))*Salcycl</f>
        <v>2.7145595569689231E-2</v>
      </c>
      <c r="P286" s="169">
        <f>(INDEX(Models!$BJ286:$BT286,,T286)*(1-R286)+INDEX(Models!$BJ286:$BT286,,T286+1)*R286-ERP_i)*Q286*Ramure*Pc/MaxiM</f>
        <v>4.4625495172658703E-5</v>
      </c>
      <c r="Q286" s="304">
        <f t="shared" si="105"/>
        <v>0.6</v>
      </c>
      <c r="R286" s="177">
        <f t="shared" si="106"/>
        <v>0.49410039014954243</v>
      </c>
      <c r="S286" s="799">
        <f t="shared" si="107"/>
        <v>1</v>
      </c>
      <c r="T286" s="176">
        <f t="shared" si="108"/>
        <v>7</v>
      </c>
      <c r="U286" s="250">
        <f t="shared" si="109"/>
        <v>1.4941003901495424</v>
      </c>
      <c r="V286" s="382">
        <f t="shared" si="110"/>
        <v>45.096070820197475</v>
      </c>
      <c r="W286" s="400">
        <f t="shared" si="111"/>
        <v>23.778185446713263</v>
      </c>
      <c r="X286" s="157">
        <f t="shared" si="112"/>
        <v>45563</v>
      </c>
      <c r="Y286" s="383">
        <f t="shared" si="113"/>
        <v>22.989889462409515</v>
      </c>
      <c r="Z286" s="383">
        <f t="shared" si="114"/>
        <v>23.918889292155338</v>
      </c>
      <c r="AA286" s="384">
        <f t="shared" si="115"/>
        <v>25.429333992598487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5.9397729444380293E-2</v>
      </c>
      <c r="AD286" s="230">
        <f>(INDEX(Models!$BJ286:$BT286,,AH286)*(1-AF286)+INDEX(Models!$BJ286:$BT286,,AH286+1)*AF286-ERP_i)*AE286*Ramure*Pc/MaxiM</f>
        <v>4.4625495172658703E-5</v>
      </c>
      <c r="AE286" s="304">
        <f t="shared" si="117"/>
        <v>0.6</v>
      </c>
      <c r="AF286" s="177">
        <f t="shared" si="118"/>
        <v>0.49410039014954243</v>
      </c>
      <c r="AG286" s="799">
        <f t="shared" si="124"/>
        <v>1</v>
      </c>
      <c r="AH286" s="176">
        <f t="shared" si="119"/>
        <v>7</v>
      </c>
      <c r="AI286" s="224">
        <f t="shared" si="120"/>
        <v>1.4941003901495424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45564</v>
      </c>
      <c r="B287" s="409">
        <f>IF(t&gt;Tmaj,'2023'!Wh/'2023'!Env_an*'2024'!Env_an,0.001*'[11]mon-tableau (3)'!$B$264)</f>
        <v>26.275459890831012</v>
      </c>
      <c r="C287" s="829"/>
      <c r="D287" s="391">
        <f t="shared" si="102"/>
        <v>27.337750455913714</v>
      </c>
      <c r="E287" s="383">
        <f t="shared" si="100"/>
        <v>28.103391647102146</v>
      </c>
      <c r="F287" s="383">
        <f t="shared" si="103"/>
        <v>28.103923335549407</v>
      </c>
      <c r="G287" s="110">
        <f t="shared" si="101"/>
        <v>0.58606430047316194</v>
      </c>
      <c r="H287" s="412" t="b">
        <f>Wh_hp&gt;='2023'!Maxi_hp</f>
        <v>0</v>
      </c>
      <c r="I287" s="388">
        <f>IF(H287,Wh_hp,'2023'!Maxi_hp)</f>
        <v>37.058781916389229</v>
      </c>
      <c r="J287" s="85">
        <f>IF(H287,An,'2023'!An_max)</f>
        <v>2020</v>
      </c>
      <c r="K287" s="197">
        <f t="shared" si="104"/>
        <v>45564</v>
      </c>
      <c r="L287" s="147">
        <f>IF(t&lt;Tvie,1-EXP((T0-t)*PertePVj)+'2023'!Pspv,1-EXP((T0-t)*PertePVj)+Pspv)</f>
        <v>3.8858009432627072E-2</v>
      </c>
      <c r="M287" s="832"/>
      <c r="N287" s="832"/>
      <c r="O287" s="48">
        <f>IF(t&lt;Tnet,'2023'!Resal+('2023'!Salim-'2023'!Resal)*(1-EXP(('2023'!Tnet-t)/('2023'!Tau_j))),Resal+(Salim-Resal)*(1-EXP((Tnet-t)/(Tau_j))))*Salcycl</f>
        <v>2.7243729184103043E-2</v>
      </c>
      <c r="P287" s="169">
        <f>(INDEX(Models!$BJ287:$BT287,,T287)*(1-R287)+INDEX(Models!$BJ287:$BT287,,T287+1)*R287-ERP_i)*Q287*Ramure*Pc/MaxiM</f>
        <v>4.6291397651171398E-5</v>
      </c>
      <c r="Q287" s="304">
        <f t="shared" si="105"/>
        <v>0.6</v>
      </c>
      <c r="R287" s="177">
        <f t="shared" si="106"/>
        <v>0.49430677689235147</v>
      </c>
      <c r="S287" s="799">
        <f t="shared" si="107"/>
        <v>1</v>
      </c>
      <c r="T287" s="176">
        <f t="shared" si="108"/>
        <v>7</v>
      </c>
      <c r="U287" s="250">
        <f t="shared" si="109"/>
        <v>1.4943067768923515</v>
      </c>
      <c r="V287" s="382">
        <f t="shared" si="110"/>
        <v>44.832522002492858</v>
      </c>
      <c r="W287" s="400">
        <f t="shared" si="111"/>
        <v>26.275459890831012</v>
      </c>
      <c r="X287" s="157">
        <f t="shared" si="112"/>
        <v>45564</v>
      </c>
      <c r="Y287" s="383">
        <f t="shared" si="113"/>
        <v>25.405587060971396</v>
      </c>
      <c r="Z287" s="383">
        <f t="shared" si="114"/>
        <v>26.432709537509844</v>
      </c>
      <c r="AA287" s="384">
        <f t="shared" si="115"/>
        <v>28.103391647102146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5.9447704055484454E-2</v>
      </c>
      <c r="AD287" s="230">
        <f>(INDEX(Models!$BJ287:$BT287,,AH287)*(1-AF287)+INDEX(Models!$BJ287:$BT287,,AH287+1)*AF287-ERP_i)*AE287*Ramure*Pc/MaxiM</f>
        <v>4.6291397651171398E-5</v>
      </c>
      <c r="AE287" s="304">
        <f t="shared" si="117"/>
        <v>0.6</v>
      </c>
      <c r="AF287" s="177">
        <f t="shared" si="118"/>
        <v>0.49430677689235147</v>
      </c>
      <c r="AG287" s="799">
        <f t="shared" si="124"/>
        <v>1</v>
      </c>
      <c r="AH287" s="176">
        <f t="shared" si="119"/>
        <v>7</v>
      </c>
      <c r="AI287" s="224">
        <f t="shared" si="120"/>
        <v>1.4943067768923515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45565</v>
      </c>
      <c r="B288" s="409">
        <f>IF(t&gt;Tmaj,'2023'!Wh/'2023'!Env_an*'2024'!Env_an,0.001*'[12]mon-tableau (1)'!$B$242)</f>
        <v>37.957569705437152</v>
      </c>
      <c r="C288" s="829"/>
      <c r="D288" s="391">
        <f t="shared" si="102"/>
        <v>39.492913159621168</v>
      </c>
      <c r="E288" s="383">
        <f t="shared" si="100"/>
        <v>40.603053702272909</v>
      </c>
      <c r="F288" s="383">
        <f t="shared" si="103"/>
        <v>40.604587339305212</v>
      </c>
      <c r="G288" s="110">
        <f t="shared" si="101"/>
        <v>0.85171345679253962</v>
      </c>
      <c r="H288" s="412" t="b">
        <f>Wh_hp&gt;='2023'!Maxi_hp</f>
        <v>0</v>
      </c>
      <c r="I288" s="388">
        <f>IF(H288,Wh_hp,'2023'!Maxi_hp)</f>
        <v>45.618686630492995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3.887642949960457E-2</v>
      </c>
      <c r="M288" s="832"/>
      <c r="N288" s="832"/>
      <c r="O288" s="48">
        <f>IF(t&lt;Tnet,'2023'!Resal+('2023'!Salim-'2023'!Resal)*(1-EXP(('2023'!Tnet-t)/('2023'!Tau_j))),Resal+(Salim-Resal)*(1-EXP((Tnet-t)/(Tau_j))))*Salcycl</f>
        <v>2.7341306661119464E-2</v>
      </c>
      <c r="P288" s="169">
        <f>(INDEX(Models!$BJ288:$BT288,,T288)*(1-R288)+INDEX(Models!$BJ288:$BT288,,T288+1)*R288-ERP_i)*Q288*Ramure*Pc/MaxiM</f>
        <v>4.7920919520278281E-5</v>
      </c>
      <c r="Q288" s="304">
        <f t="shared" si="105"/>
        <v>0.6</v>
      </c>
      <c r="R288" s="177">
        <f t="shared" si="106"/>
        <v>0.49450501559509963</v>
      </c>
      <c r="S288" s="799">
        <f t="shared" si="107"/>
        <v>1</v>
      </c>
      <c r="T288" s="176">
        <f t="shared" si="108"/>
        <v>7</v>
      </c>
      <c r="U288" s="250">
        <f t="shared" si="109"/>
        <v>1.4945050155950996</v>
      </c>
      <c r="V288" s="382">
        <f t="shared" si="110"/>
        <v>44.565674154362057</v>
      </c>
      <c r="W288" s="400">
        <f t="shared" si="111"/>
        <v>37.957569705437152</v>
      </c>
      <c r="X288" s="157">
        <f t="shared" si="112"/>
        <v>45565</v>
      </c>
      <c r="Y288" s="383">
        <f t="shared" si="113"/>
        <v>36.70271714679005</v>
      </c>
      <c r="Z288" s="383">
        <f t="shared" si="114"/>
        <v>38.187303145298266</v>
      </c>
      <c r="AA288" s="384">
        <f t="shared" si="115"/>
        <v>40.603053702272909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5.9496770235274582E-2</v>
      </c>
      <c r="AD288" s="230">
        <f>(INDEX(Models!$BJ288:$BT288,,AH288)*(1-AF288)+INDEX(Models!$BJ288:$BT288,,AH288+1)*AF288-ERP_i)*AE288*Ramure*Pc/MaxiM</f>
        <v>4.7920919520278281E-5</v>
      </c>
      <c r="AE288" s="304">
        <f t="shared" si="117"/>
        <v>0.6</v>
      </c>
      <c r="AF288" s="177">
        <f t="shared" si="118"/>
        <v>0.49450501559509963</v>
      </c>
      <c r="AG288" s="799">
        <f t="shared" si="124"/>
        <v>1</v>
      </c>
      <c r="AH288" s="176">
        <f t="shared" si="119"/>
        <v>7</v>
      </c>
      <c r="AI288" s="224">
        <f t="shared" si="120"/>
        <v>1.4945050155950996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45566</v>
      </c>
      <c r="B289" s="409">
        <f>IF(t&gt;Tmaj,'2023'!Wh/'2023'!Env_an*'2024'!Env_an,0.001*'[12]mon-tableau (1)'!$B$243)</f>
        <v>41.096358793038</v>
      </c>
      <c r="C289" s="829"/>
      <c r="D289" s="391">
        <f t="shared" si="102"/>
        <v>42.75948241397986</v>
      </c>
      <c r="E289" s="383">
        <f t="shared" si="100"/>
        <v>43.965830846443978</v>
      </c>
      <c r="F289" s="383">
        <f t="shared" si="103"/>
        <v>43.967783290791793</v>
      </c>
      <c r="G289" s="110">
        <f t="shared" si="101"/>
        <v>0.92778424877774779</v>
      </c>
      <c r="H289" s="412" t="b">
        <f>Wh_hp&gt;='2023'!Maxi_hp</f>
        <v>0</v>
      </c>
      <c r="I289" s="388">
        <f>IF(H289,Wh_hp,'2023'!Maxi_hp)</f>
        <v>43.967860921635577</v>
      </c>
      <c r="J289" s="85">
        <f>IF(H289,An,'2023'!An_max)</f>
        <v>2022</v>
      </c>
      <c r="K289" s="197">
        <f t="shared" si="104"/>
        <v>45566</v>
      </c>
      <c r="L289" s="147">
        <f>IF(t&lt;Tvie,1-EXP((T0-t)*PertePVj)+'2023'!Pspv,1-EXP((T0-t)*PertePVj)+Pspv)</f>
        <v>3.8894849213565674E-2</v>
      </c>
      <c r="M289" s="832"/>
      <c r="N289" s="832"/>
      <c r="O289" s="48">
        <f>IF(t&lt;Tnet,'2023'!Resal+('2023'!Salim-'2023'!Resal)*(1-EXP(('2023'!Tnet-t)/('2023'!Tau_j))),Resal+(Salim-Resal)*(1-EXP((Tnet-t)/(Tau_j))))*Salcycl</f>
        <v>2.7438317648935999E-2</v>
      </c>
      <c r="P289" s="169">
        <f>(INDEX(Models!$BJ289:$BT289,,T289)*(1-R289)+INDEX(Models!$BJ289:$BT289,,T289+1)*R289-ERP_i)*Q289*Ramure*Pc/MaxiM</f>
        <v>4.9514048726472388E-5</v>
      </c>
      <c r="Q289" s="304">
        <f t="shared" si="105"/>
        <v>0.6</v>
      </c>
      <c r="R289" s="177">
        <f t="shared" si="106"/>
        <v>0.49469542174225611</v>
      </c>
      <c r="S289" s="799">
        <f t="shared" si="107"/>
        <v>1</v>
      </c>
      <c r="T289" s="176">
        <f t="shared" si="108"/>
        <v>7</v>
      </c>
      <c r="U289" s="250">
        <f t="shared" si="109"/>
        <v>1.4946954217422561</v>
      </c>
      <c r="V289" s="382">
        <f t="shared" si="110"/>
        <v>44.294941335660326</v>
      </c>
      <c r="W289" s="400">
        <f t="shared" si="111"/>
        <v>41.096358793038</v>
      </c>
      <c r="X289" s="157">
        <f t="shared" si="112"/>
        <v>45566</v>
      </c>
      <c r="Y289" s="383">
        <f t="shared" si="113"/>
        <v>39.739669419491285</v>
      </c>
      <c r="Z289" s="383">
        <f t="shared" si="114"/>
        <v>41.347889340696888</v>
      </c>
      <c r="AA289" s="384">
        <f t="shared" si="115"/>
        <v>43.965830846443978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5.954491147660932E-2</v>
      </c>
      <c r="AD289" s="230">
        <f>(INDEX(Models!$BJ289:$BT289,,AH289)*(1-AF289)+INDEX(Models!$BJ289:$BT289,,AH289+1)*AF289-ERP_i)*AE289*Ramure*Pc/MaxiM</f>
        <v>4.9514048726472388E-5</v>
      </c>
      <c r="AE289" s="304">
        <f t="shared" si="117"/>
        <v>0.6</v>
      </c>
      <c r="AF289" s="177">
        <f t="shared" si="118"/>
        <v>0.49469542174225611</v>
      </c>
      <c r="AG289" s="799">
        <f t="shared" si="124"/>
        <v>1</v>
      </c>
      <c r="AH289" s="176">
        <f t="shared" si="119"/>
        <v>7</v>
      </c>
      <c r="AI289" s="224">
        <f t="shared" si="120"/>
        <v>1.4946954217422561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45567</v>
      </c>
      <c r="B290" s="409">
        <f>IF(t&gt;Tmaj,'2023'!Wh/'2023'!Env_an*'2024'!Env_an,0.001*'[12]mon-tableau (1)'!$B$244)</f>
        <v>37.244450944191399</v>
      </c>
      <c r="C290" s="829"/>
      <c r="D290" s="391">
        <f t="shared" si="102"/>
        <v>38.752434849402682</v>
      </c>
      <c r="E290" s="383">
        <f t="shared" si="100"/>
        <v>39.849686088265891</v>
      </c>
      <c r="F290" s="383">
        <f t="shared" si="103"/>
        <v>39.851274873171107</v>
      </c>
      <c r="G290" s="110">
        <f t="shared" si="101"/>
        <v>0.84607448255393536</v>
      </c>
      <c r="H290" s="412" t="b">
        <f>Wh_hp&gt;='2023'!Maxi_hp</f>
        <v>0</v>
      </c>
      <c r="I290" s="388">
        <f>IF(H290,Wh_hp,'2023'!Maxi_hp)</f>
        <v>39.851429653028248</v>
      </c>
      <c r="J290" s="85">
        <f>IF(H290,An,'2023'!An_max)</f>
        <v>2022</v>
      </c>
      <c r="K290" s="197">
        <f t="shared" si="104"/>
        <v>45567</v>
      </c>
      <c r="L290" s="147">
        <f>IF(t&lt;Tvie,1-EXP((T0-t)*PertePVj)+'2023'!Pspv,1-EXP((T0-t)*PertePVj)+Pspv)</f>
        <v>3.8913268574517157E-2</v>
      </c>
      <c r="M290" s="832"/>
      <c r="N290" s="832"/>
      <c r="O290" s="48">
        <f>IF(t&lt;Tnet,'2023'!Resal+('2023'!Salim-'2023'!Resal)*(1-EXP(('2023'!Tnet-t)/('2023'!Tau_j))),Resal+(Salim-Resal)*(1-EXP((Tnet-t)/(Tau_j))))*Salcycl</f>
        <v>2.7534752380052069E-2</v>
      </c>
      <c r="P290" s="169">
        <f>(INDEX(Models!$BJ290:$BT290,,T290)*(1-R290)+INDEX(Models!$BJ290:$BT290,,T290+1)*R290-ERP_i)*Q290*Ramure*Pc/MaxiM</f>
        <v>5.1104775083232992E-5</v>
      </c>
      <c r="Q290" s="304">
        <f t="shared" si="105"/>
        <v>0.6</v>
      </c>
      <c r="R290" s="177">
        <f t="shared" si="106"/>
        <v>0.49487829908804426</v>
      </c>
      <c r="S290" s="799">
        <f t="shared" si="107"/>
        <v>1</v>
      </c>
      <c r="T290" s="176">
        <f t="shared" si="108"/>
        <v>7</v>
      </c>
      <c r="U290" s="250">
        <f t="shared" si="109"/>
        <v>1.4948782990880443</v>
      </c>
      <c r="V290" s="382">
        <f t="shared" si="110"/>
        <v>44.01980343647319</v>
      </c>
      <c r="W290" s="400">
        <f t="shared" si="111"/>
        <v>37.244450944191399</v>
      </c>
      <c r="X290" s="157">
        <f t="shared" si="112"/>
        <v>45567</v>
      </c>
      <c r="Y290" s="383">
        <f t="shared" si="113"/>
        <v>36.016685956406263</v>
      </c>
      <c r="Z290" s="383">
        <f t="shared" si="114"/>
        <v>37.474959104873243</v>
      </c>
      <c r="AA290" s="384">
        <f t="shared" si="115"/>
        <v>39.849686088265891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5.9592112673929144E-2</v>
      </c>
      <c r="AD290" s="230">
        <f>(INDEX(Models!$BJ290:$BT290,,AH290)*(1-AF290)+INDEX(Models!$BJ290:$BT290,,AH290+1)*AF290-ERP_i)*AE290*Ramure*Pc/MaxiM</f>
        <v>5.1104775083232992E-5</v>
      </c>
      <c r="AE290" s="304">
        <f t="shared" si="117"/>
        <v>0.6</v>
      </c>
      <c r="AF290" s="177">
        <f t="shared" si="118"/>
        <v>0.49487829908804426</v>
      </c>
      <c r="AG290" s="799">
        <f t="shared" si="124"/>
        <v>1</v>
      </c>
      <c r="AH290" s="176">
        <f t="shared" si="119"/>
        <v>7</v>
      </c>
      <c r="AI290" s="224">
        <f t="shared" si="120"/>
        <v>1.4948782990880443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45568</v>
      </c>
      <c r="B291" s="409">
        <f>IF(t&gt;Tmaj,'2023'!Wh/'2023'!Env_an*'2024'!Env_an,0.001*'[12]mon-tableau (1)'!$B$245)</f>
        <v>43.743428547044324</v>
      </c>
      <c r="C291" s="829"/>
      <c r="D291" s="391">
        <f t="shared" si="102"/>
        <v>45.515420685350904</v>
      </c>
      <c r="E291" s="383">
        <f t="shared" si="100"/>
        <v>46.808775314967065</v>
      </c>
      <c r="F291" s="383">
        <f t="shared" si="103"/>
        <v>46.811239580800553</v>
      </c>
      <c r="G291" s="110">
        <f t="shared" si="101"/>
        <v>1.0000677422919384</v>
      </c>
      <c r="H291" s="412" t="b">
        <f>Wh_hp&gt;='2023'!Maxi_hp</f>
        <v>1</v>
      </c>
      <c r="I291" s="388">
        <f>IF(H291,Wh_hp,'2023'!Maxi_hp)</f>
        <v>46.811239580800553</v>
      </c>
      <c r="J291" s="85">
        <f>IF(H291,An,'2023'!An_max)</f>
        <v>2024</v>
      </c>
      <c r="K291" s="197">
        <f t="shared" si="104"/>
        <v>45568</v>
      </c>
      <c r="L291" s="147">
        <f>IF(t&lt;Tvie,1-EXP((T0-t)*PertePVj)+'2023'!Pspv,1-EXP((T0-t)*PertePVj)+Pspv)</f>
        <v>3.893168758246579E-2</v>
      </c>
      <c r="M291" s="832"/>
      <c r="N291" s="832"/>
      <c r="O291" s="48">
        <f>IF(t&lt;Tnet,'2023'!Resal+('2023'!Salim-'2023'!Resal)*(1-EXP(('2023'!Tnet-t)/('2023'!Tau_j))),Resal+(Salim-Resal)*(1-EXP((Tnet-t)/(Tau_j))))*Salcycl</f>
        <v>2.7630601760320218E-2</v>
      </c>
      <c r="P291" s="169">
        <f>(INDEX(Models!$BJ291:$BT291,,T291)*(1-R291)+INDEX(Models!$BJ291:$BT291,,T291+1)*R291-ERP_i)*Q291*Ramure*Pc/MaxiM</f>
        <v>5.2642610098774508E-5</v>
      </c>
      <c r="Q291" s="304">
        <f t="shared" si="105"/>
        <v>0.6</v>
      </c>
      <c r="R291" s="177">
        <f t="shared" si="106"/>
        <v>0.49505394005437475</v>
      </c>
      <c r="S291" s="799">
        <f t="shared" si="107"/>
        <v>1</v>
      </c>
      <c r="T291" s="176">
        <f t="shared" si="108"/>
        <v>7</v>
      </c>
      <c r="U291" s="250">
        <f t="shared" si="109"/>
        <v>1.4950539400543748</v>
      </c>
      <c r="V291" s="382">
        <f t="shared" si="110"/>
        <v>43.740465467663086</v>
      </c>
      <c r="W291" s="400">
        <f t="shared" si="111"/>
        <v>43.743428547044324</v>
      </c>
      <c r="X291" s="157">
        <f t="shared" si="112"/>
        <v>45568</v>
      </c>
      <c r="Y291" s="383">
        <f t="shared" si="113"/>
        <v>42.303513735899983</v>
      </c>
      <c r="Z291" s="383">
        <f t="shared" si="114"/>
        <v>44.017176707748227</v>
      </c>
      <c r="AA291" s="384">
        <f t="shared" si="115"/>
        <v>46.808775314967065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5.9638360295366004E-2</v>
      </c>
      <c r="AD291" s="230">
        <f>(INDEX(Models!$BJ291:$BT291,,AH291)*(1-AF291)+INDEX(Models!$BJ291:$BT291,,AH291+1)*AF291-ERP_i)*AE291*Ramure*Pc/MaxiM</f>
        <v>5.2642610098774508E-5</v>
      </c>
      <c r="AE291" s="304">
        <f t="shared" si="117"/>
        <v>0.6</v>
      </c>
      <c r="AF291" s="177">
        <f t="shared" si="118"/>
        <v>0.49505394005437475</v>
      </c>
      <c r="AG291" s="799">
        <f t="shared" si="124"/>
        <v>1</v>
      </c>
      <c r="AH291" s="176">
        <f t="shared" si="119"/>
        <v>7</v>
      </c>
      <c r="AI291" s="224">
        <f t="shared" si="120"/>
        <v>1.4950539400543748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45569</v>
      </c>
      <c r="B292" s="409">
        <f>IF(t&gt;Tmaj,'2023'!Wh/'2023'!Env_an*'2024'!Env_an,0.001*'[12]mon-tableau (1)'!$B$246)</f>
        <v>45.537850381093456</v>
      </c>
      <c r="C292" s="829"/>
      <c r="D292" s="391">
        <f t="shared" si="102"/>
        <v>47.383440419320372</v>
      </c>
      <c r="E292" s="383">
        <f t="shared" si="100"/>
        <v>48.734650389319697</v>
      </c>
      <c r="F292" s="383">
        <f t="shared" si="103"/>
        <v>48.737288376896331</v>
      </c>
      <c r="G292" s="110">
        <f t="shared" si="101"/>
        <v>1.0478798370423081</v>
      </c>
      <c r="H292" s="412" t="b">
        <f>Wh_hp&gt;='2023'!Maxi_hp</f>
        <v>1</v>
      </c>
      <c r="I292" s="388">
        <f>IF(H292,Wh_hp,'2023'!Maxi_hp)</f>
        <v>48.737288376896331</v>
      </c>
      <c r="J292" s="85">
        <f>IF(H292,An,'2023'!An_max)</f>
        <v>2024</v>
      </c>
      <c r="K292" s="197">
        <f t="shared" si="104"/>
        <v>45569</v>
      </c>
      <c r="L292" s="147">
        <f>IF(t&lt;Tvie,1-EXP((T0-t)*PertePVj)+'2023'!Pspv,1-EXP((T0-t)*PertePVj)+Pspv)</f>
        <v>3.8950106237418458E-2</v>
      </c>
      <c r="M292" s="832"/>
      <c r="N292" s="832"/>
      <c r="O292" s="48">
        <f>IF(t&lt;Tnet,'2023'!Resal+('2023'!Salim-'2023'!Resal)*(1-EXP(('2023'!Tnet-t)/('2023'!Tau_j))),Resal+(Salim-Resal)*(1-EXP((Tnet-t)/(Tau_j))))*Salcycl</f>
        <v>2.7725857458812134E-2</v>
      </c>
      <c r="P292" s="169">
        <f>(INDEX(Models!$BJ292:$BT292,,T292)*(1-R292)+INDEX(Models!$BJ292:$BT292,,T292+1)*R292-ERP_i)*Q292*Ramure*Pc/MaxiM</f>
        <v>5.412667927347198E-5</v>
      </c>
      <c r="Q292" s="304">
        <f t="shared" si="105"/>
        <v>0.6</v>
      </c>
      <c r="R292" s="177">
        <f t="shared" si="106"/>
        <v>0.49522262611835632</v>
      </c>
      <c r="S292" s="799">
        <f t="shared" si="107"/>
        <v>1</v>
      </c>
      <c r="T292" s="176">
        <f t="shared" si="108"/>
        <v>7</v>
      </c>
      <c r="U292" s="250">
        <f t="shared" si="109"/>
        <v>1.4952226261183563</v>
      </c>
      <c r="V292" s="382">
        <f t="shared" si="110"/>
        <v>43.457130074786299</v>
      </c>
      <c r="W292" s="400">
        <f t="shared" si="111"/>
        <v>45.537850381093456</v>
      </c>
      <c r="X292" s="157">
        <f t="shared" si="112"/>
        <v>45569</v>
      </c>
      <c r="Y292" s="383">
        <f t="shared" si="113"/>
        <v>44.041061798014951</v>
      </c>
      <c r="Z292" s="383">
        <f t="shared" si="114"/>
        <v>45.825988935486933</v>
      </c>
      <c r="AA292" s="384">
        <f t="shared" si="115"/>
        <v>48.734650389319697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5.968364255405037E-2</v>
      </c>
      <c r="AD292" s="230">
        <f>(INDEX(Models!$BJ292:$BT292,,AH292)*(1-AF292)+INDEX(Models!$BJ292:$BT292,,AH292+1)*AF292-ERP_i)*AE292*Ramure*Pc/MaxiM</f>
        <v>5.412667927347198E-5</v>
      </c>
      <c r="AE292" s="304">
        <f t="shared" si="117"/>
        <v>0.6</v>
      </c>
      <c r="AF292" s="177">
        <f t="shared" si="118"/>
        <v>0.49522262611835632</v>
      </c>
      <c r="AG292" s="799">
        <f t="shared" si="124"/>
        <v>1</v>
      </c>
      <c r="AH292" s="176">
        <f t="shared" si="119"/>
        <v>7</v>
      </c>
      <c r="AI292" s="224">
        <f t="shared" si="120"/>
        <v>1.4952226261183563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45570</v>
      </c>
      <c r="B293" s="409">
        <f>IF(t&gt;Tmaj,'2023'!Wh/'2023'!Env_an*'2024'!Env_an,0.001*'[12]mon-tableau (1)'!$B$247)</f>
        <v>12.197677958835271</v>
      </c>
      <c r="C293" s="829"/>
      <c r="D293" s="391">
        <f t="shared" si="102"/>
        <v>12.692277277379469</v>
      </c>
      <c r="E293" s="383">
        <f t="shared" si="100"/>
        <v>13.055487627558866</v>
      </c>
      <c r="F293" s="383">
        <f t="shared" si="103"/>
        <v>13.055487627558866</v>
      </c>
      <c r="G293" s="110">
        <f t="shared" si="101"/>
        <v>0.28253417599229547</v>
      </c>
      <c r="H293" s="412" t="b">
        <f>Wh_hp&gt;='2023'!Maxi_hp</f>
        <v>0</v>
      </c>
      <c r="I293" s="388">
        <f>IF(H293,Wh_hp,'2023'!Maxi_hp)</f>
        <v>32.037742700397558</v>
      </c>
      <c r="J293" s="85">
        <f>IF(H293,An,'2023'!An_max)</f>
        <v>2020</v>
      </c>
      <c r="K293" s="197">
        <f t="shared" si="104"/>
        <v>45570</v>
      </c>
      <c r="L293" s="147">
        <f>IF(t&lt;Tvie,1-EXP((T0-t)*PertePVj)+'2023'!Pspv,1-EXP((T0-t)*PertePVj)+Pspv)</f>
        <v>3.8968524539381599E-2</v>
      </c>
      <c r="M293" s="832"/>
      <c r="N293" s="832"/>
      <c r="O293" s="48">
        <f>IF(t&lt;Tnet,'2023'!Resal+('2023'!Salim-'2023'!Resal)*(1-EXP(('2023'!Tnet-t)/('2023'!Tau_j))),Resal+(Salim-Resal)*(1-EXP((Tnet-t)/(Tau_j))))*Salcycl</f>
        <v>2.7820511997782141E-2</v>
      </c>
      <c r="P293" s="169">
        <f>(INDEX(Models!$BJ293:$BT293,,T293)*(1-R293)+INDEX(Models!$BJ293:$BT293,,T293+1)*R293-ERP_i)*Q293*Ramure*Pc/MaxiM</f>
        <v>5.5556082235164656E-5</v>
      </c>
      <c r="Q293" s="304">
        <f t="shared" si="105"/>
        <v>0.6</v>
      </c>
      <c r="R293" s="177">
        <f t="shared" si="106"/>
        <v>0.49538462818939544</v>
      </c>
      <c r="S293" s="799">
        <f t="shared" si="107"/>
        <v>1</v>
      </c>
      <c r="T293" s="176">
        <f t="shared" si="108"/>
        <v>7</v>
      </c>
      <c r="U293" s="250">
        <f t="shared" si="109"/>
        <v>1.4953846281893954</v>
      </c>
      <c r="V293" s="382">
        <f t="shared" si="110"/>
        <v>43.169999738255079</v>
      </c>
      <c r="W293" s="400">
        <f t="shared" si="111"/>
        <v>12.197677958835271</v>
      </c>
      <c r="X293" s="157">
        <f t="shared" si="112"/>
        <v>45570</v>
      </c>
      <c r="Y293" s="383">
        <f t="shared" si="113"/>
        <v>11.797343809753185</v>
      </c>
      <c r="Z293" s="383">
        <f t="shared" si="114"/>
        <v>12.27571012083529</v>
      </c>
      <c r="AA293" s="384">
        <f t="shared" si="115"/>
        <v>13.055487627558866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5.972794957712204E-2</v>
      </c>
      <c r="AD293" s="230">
        <f>(INDEX(Models!$BJ293:$BT293,,AH293)*(1-AF293)+INDEX(Models!$BJ293:$BT293,,AH293+1)*AF293-ERP_i)*AE293*Ramure*Pc/MaxiM</f>
        <v>5.5556082235164656E-5</v>
      </c>
      <c r="AE293" s="304">
        <f t="shared" si="117"/>
        <v>0.6</v>
      </c>
      <c r="AF293" s="177">
        <f t="shared" si="118"/>
        <v>0.49538462818939544</v>
      </c>
      <c r="AG293" s="799">
        <f t="shared" si="124"/>
        <v>1</v>
      </c>
      <c r="AH293" s="176">
        <f t="shared" si="119"/>
        <v>7</v>
      </c>
      <c r="AI293" s="224">
        <f t="shared" si="120"/>
        <v>1.4953846281893954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45571</v>
      </c>
      <c r="B294" s="409">
        <f>IF(t&gt;Tmaj,'2023'!Wh/'2023'!Env_an*'2024'!Env_an,0.001*'[12]mon-tableau (1)'!$B$248)</f>
        <v>33.297528388106159</v>
      </c>
      <c r="C294" s="829"/>
      <c r="D294" s="391">
        <f t="shared" si="102"/>
        <v>34.648362088152929</v>
      </c>
      <c r="E294" s="383">
        <f t="shared" si="100"/>
        <v>35.643329918486721</v>
      </c>
      <c r="F294" s="383">
        <f t="shared" si="103"/>
        <v>35.644711377513531</v>
      </c>
      <c r="G294" s="110">
        <f t="shared" si="101"/>
        <v>0.77652716489230378</v>
      </c>
      <c r="H294" s="412" t="b">
        <f>Wh_hp&gt;='2023'!Maxi_hp</f>
        <v>0</v>
      </c>
      <c r="I294" s="388">
        <f>IF(H294,Wh_hp,'2023'!Maxi_hp)</f>
        <v>45.95674728395548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3.8986942488362319E-2</v>
      </c>
      <c r="M294" s="832"/>
      <c r="N294" s="832"/>
      <c r="O294" s="48">
        <f>IF(t&lt;Tnet,'2023'!Resal+('2023'!Salim-'2023'!Resal)*(1-EXP(('2023'!Tnet-t)/('2023'!Tau_j))),Resal+(Salim-Resal)*(1-EXP((Tnet-t)/(Tau_j))))*Salcycl</f>
        <v>2.7914558841982445E-2</v>
      </c>
      <c r="P294" s="169">
        <f>(INDEX(Models!$BJ294:$BT294,,T294)*(1-R294)+INDEX(Models!$BJ294:$BT294,,T294+1)*R294-ERP_i)*Q294*Ramure*Pc/MaxiM</f>
        <v>5.6929899996972689E-5</v>
      </c>
      <c r="Q294" s="304">
        <f t="shared" si="105"/>
        <v>0.6</v>
      </c>
      <c r="R294" s="177">
        <f t="shared" si="106"/>
        <v>0.49554020697591827</v>
      </c>
      <c r="S294" s="799">
        <f t="shared" si="107"/>
        <v>1</v>
      </c>
      <c r="T294" s="176">
        <f t="shared" si="108"/>
        <v>7</v>
      </c>
      <c r="U294" s="250">
        <f t="shared" si="109"/>
        <v>1.4955402069759183</v>
      </c>
      <c r="V294" s="382">
        <f t="shared" si="110"/>
        <v>42.879276779818468</v>
      </c>
      <c r="W294" s="400">
        <f t="shared" si="111"/>
        <v>33.297528388106159</v>
      </c>
      <c r="X294" s="157">
        <f t="shared" si="112"/>
        <v>45571</v>
      </c>
      <c r="Y294" s="383">
        <f t="shared" si="113"/>
        <v>32.20631786470301</v>
      </c>
      <c r="Z294" s="383">
        <f t="shared" si="114"/>
        <v>33.512882694950271</v>
      </c>
      <c r="AA294" s="384">
        <f t="shared" si="115"/>
        <v>35.643329918486721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5.977127357092072E-2</v>
      </c>
      <c r="AD294" s="230">
        <f>(INDEX(Models!$BJ294:$BT294,,AH294)*(1-AF294)+INDEX(Models!$BJ294:$BT294,,AH294+1)*AF294-ERP_i)*AE294*Ramure*Pc/MaxiM</f>
        <v>5.6929899996972689E-5</v>
      </c>
      <c r="AE294" s="304">
        <f t="shared" si="117"/>
        <v>0.6</v>
      </c>
      <c r="AF294" s="177">
        <f t="shared" si="118"/>
        <v>0.49554020697591827</v>
      </c>
      <c r="AG294" s="799">
        <f t="shared" si="124"/>
        <v>1</v>
      </c>
      <c r="AH294" s="176">
        <f t="shared" si="119"/>
        <v>7</v>
      </c>
      <c r="AI294" s="224">
        <f t="shared" si="120"/>
        <v>1.4955402069759183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45572</v>
      </c>
      <c r="B295" s="409">
        <f>IF(t&gt;Tmaj,'2023'!Wh/'2023'!Env_an*'2024'!Env_an,0.001*'[12]mon-tableau (1)'!$B$249)</f>
        <v>15.602924757029601</v>
      </c>
      <c r="C295" s="829"/>
      <c r="D295" s="391">
        <f t="shared" si="102"/>
        <v>16.236224541688816</v>
      </c>
      <c r="E295" s="383">
        <f t="shared" si="100"/>
        <v>16.704072066625844</v>
      </c>
      <c r="F295" s="383">
        <f t="shared" si="103"/>
        <v>16.704164350750396</v>
      </c>
      <c r="G295" s="110">
        <f t="shared" si="101"/>
        <v>0.36637412882550363</v>
      </c>
      <c r="H295" s="412" t="b">
        <f>Wh_hp&gt;='2023'!Maxi_hp</f>
        <v>0</v>
      </c>
      <c r="I295" s="388">
        <f>IF(H295,Wh_hp,'2023'!Maxi_hp)</f>
        <v>44.08585911576052</v>
      </c>
      <c r="J295" s="85">
        <f>IF(H295,An,'2023'!An_max)</f>
        <v>2021</v>
      </c>
      <c r="K295" s="197">
        <f t="shared" si="104"/>
        <v>45572</v>
      </c>
      <c r="L295" s="147">
        <f>IF(t&lt;Tvie,1-EXP((T0-t)*PertePVj)+'2023'!Pspv,1-EXP((T0-t)*PertePVj)+Pspv)</f>
        <v>3.900536008436728E-2</v>
      </c>
      <c r="M295" s="832"/>
      <c r="N295" s="832"/>
      <c r="O295" s="48">
        <f>IF(t&lt;Tnet,'2023'!Resal+('2023'!Salim-'2023'!Resal)*(1-EXP(('2023'!Tnet-t)/('2023'!Tau_j))),Resal+(Salim-Resal)*(1-EXP((Tnet-t)/(Tau_j))))*Salcycl</f>
        <v>2.8007992486560846E-2</v>
      </c>
      <c r="P295" s="169">
        <f>(INDEX(Models!$BJ295:$BT295,,T295)*(1-R295)+INDEX(Models!$BJ295:$BT295,,T295+1)*R295-ERP_i)*Q295*Ramure*Pc/MaxiM</f>
        <v>5.8247202399633755E-5</v>
      </c>
      <c r="Q295" s="304">
        <f t="shared" si="105"/>
        <v>0.6</v>
      </c>
      <c r="R295" s="177">
        <f t="shared" si="106"/>
        <v>0.49568961334177963</v>
      </c>
      <c r="S295" s="799">
        <f t="shared" si="107"/>
        <v>1</v>
      </c>
      <c r="T295" s="176">
        <f t="shared" si="108"/>
        <v>7</v>
      </c>
      <c r="U295" s="250">
        <f t="shared" si="109"/>
        <v>1.4956896133417796</v>
      </c>
      <c r="V295" s="382">
        <f t="shared" si="110"/>
        <v>42.585163357416327</v>
      </c>
      <c r="W295" s="400">
        <f t="shared" si="111"/>
        <v>15.602924757029601</v>
      </c>
      <c r="X295" s="157">
        <f t="shared" si="112"/>
        <v>45572</v>
      </c>
      <c r="Y295" s="383">
        <f t="shared" si="113"/>
        <v>15.092364343801194</v>
      </c>
      <c r="Z295" s="383">
        <f t="shared" si="114"/>
        <v>15.704941231645346</v>
      </c>
      <c r="AA295" s="384">
        <f t="shared" si="115"/>
        <v>16.704072066625844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5.9813608980814066E-2</v>
      </c>
      <c r="AD295" s="230">
        <f>(INDEX(Models!$BJ295:$BT295,,AH295)*(1-AF295)+INDEX(Models!$BJ295:$BT295,,AH295+1)*AF295-ERP_i)*AE295*Ramure*Pc/MaxiM</f>
        <v>5.8247202399633755E-5</v>
      </c>
      <c r="AE295" s="304">
        <f t="shared" si="117"/>
        <v>0.6</v>
      </c>
      <c r="AF295" s="177">
        <f t="shared" si="118"/>
        <v>0.49568961334177963</v>
      </c>
      <c r="AG295" s="799">
        <f t="shared" si="124"/>
        <v>1</v>
      </c>
      <c r="AH295" s="176">
        <f t="shared" si="119"/>
        <v>7</v>
      </c>
      <c r="AI295" s="224">
        <f t="shared" si="120"/>
        <v>1.4956896133417796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45573</v>
      </c>
      <c r="B296" s="409">
        <f>IF(t&gt;Tmaj,'2023'!Wh/'2023'!Env_an*'2024'!Env_an,0.001*'[12]mon-tableau (1)'!$B$250)</f>
        <v>41.567638556724759</v>
      </c>
      <c r="C296" s="829"/>
      <c r="D296" s="391">
        <f t="shared" si="102"/>
        <v>43.255636899235526</v>
      </c>
      <c r="E296" s="383">
        <f t="shared" si="100"/>
        <v>44.506299912009446</v>
      </c>
      <c r="F296" s="383">
        <f t="shared" si="103"/>
        <v>44.508888940575055</v>
      </c>
      <c r="G296" s="110">
        <f t="shared" si="101"/>
        <v>0.98296725073601643</v>
      </c>
      <c r="H296" s="412" t="b">
        <f>Wh_hp&gt;='2023'!Maxi_hp</f>
        <v>0</v>
      </c>
      <c r="I296" s="388">
        <f>IF(H296,Wh_hp,'2023'!Maxi_hp)</f>
        <v>44.50891239902672</v>
      </c>
      <c r="J296" s="85">
        <f>IF(H296,An,'2023'!An_max)</f>
        <v>2022</v>
      </c>
      <c r="K296" s="197">
        <f t="shared" si="104"/>
        <v>45573</v>
      </c>
      <c r="L296" s="147">
        <f>IF(t&lt;Tvie,1-EXP((T0-t)*PertePVj)+'2023'!Pspv,1-EXP((T0-t)*PertePVj)+Pspv)</f>
        <v>3.9023777327403142E-2</v>
      </c>
      <c r="M296" s="832"/>
      <c r="N296" s="832"/>
      <c r="O296" s="48">
        <f>IF(t&lt;Tnet,'2023'!Resal+('2023'!Salim-'2023'!Resal)*(1-EXP(('2023'!Tnet-t)/('2023'!Tau_j))),Resal+(Salim-Resal)*(1-EXP((Tnet-t)/(Tau_j))))*Salcycl</f>
        <v>2.8100808542757438E-2</v>
      </c>
      <c r="P296" s="169">
        <f>(INDEX(Models!$BJ296:$BT296,,T296)*(1-R296)+INDEX(Models!$BJ296:$BT296,,T296+1)*R296-ERP_i)*Q296*Ramure*Pc/MaxiM</f>
        <v>5.9619364579061127E-5</v>
      </c>
      <c r="Q296" s="304">
        <f t="shared" si="105"/>
        <v>0.6</v>
      </c>
      <c r="R296" s="177">
        <f t="shared" si="106"/>
        <v>0.49583308865244202</v>
      </c>
      <c r="S296" s="799">
        <f t="shared" si="107"/>
        <v>1</v>
      </c>
      <c r="T296" s="176">
        <f t="shared" si="108"/>
        <v>7</v>
      </c>
      <c r="U296" s="250">
        <f t="shared" si="109"/>
        <v>1.495833088652442</v>
      </c>
      <c r="V296" s="382">
        <f t="shared" si="110"/>
        <v>42.287856716957009</v>
      </c>
      <c r="W296" s="400">
        <f t="shared" si="111"/>
        <v>41.567638556724759</v>
      </c>
      <c r="X296" s="157">
        <f t="shared" si="112"/>
        <v>45573</v>
      </c>
      <c r="Y296" s="383">
        <f t="shared" si="113"/>
        <v>40.209529818405393</v>
      </c>
      <c r="Z296" s="383">
        <f t="shared" si="114"/>
        <v>41.842377438411106</v>
      </c>
      <c r="AA296" s="384">
        <f t="shared" si="115"/>
        <v>44.506299912009446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5.9854952644120329E-2</v>
      </c>
      <c r="AD296" s="230">
        <f>(INDEX(Models!$BJ296:$BT296,,AH296)*(1-AF296)+INDEX(Models!$BJ296:$BT296,,AH296+1)*AF296-ERP_i)*AE296*Ramure*Pc/MaxiM</f>
        <v>5.9619364579061127E-5</v>
      </c>
      <c r="AE296" s="304">
        <f t="shared" si="117"/>
        <v>0.6</v>
      </c>
      <c r="AF296" s="177">
        <f t="shared" si="118"/>
        <v>0.49583308865244202</v>
      </c>
      <c r="AG296" s="799">
        <f t="shared" si="124"/>
        <v>1</v>
      </c>
      <c r="AH296" s="176">
        <f t="shared" si="119"/>
        <v>7</v>
      </c>
      <c r="AI296" s="224">
        <f t="shared" si="120"/>
        <v>1.495833088652442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45574</v>
      </c>
      <c r="B297" s="409">
        <f>IF(t&gt;Tmaj,'2023'!Wh/'2023'!Env_an*'2024'!Env_an,0.001*'[12]mon-tableau (1)'!$B$251)</f>
        <v>35.252656390091659</v>
      </c>
      <c r="C297" s="829"/>
      <c r="D297" s="391">
        <f t="shared" si="102"/>
        <v>36.6849160056355</v>
      </c>
      <c r="E297" s="383">
        <f t="shared" ref="E297:E360" si="125">Wh_pvt/(1-Psa)</f>
        <v>37.749178746253406</v>
      </c>
      <c r="F297" s="383">
        <f t="shared" si="103"/>
        <v>37.750957913142308</v>
      </c>
      <c r="G297" s="110">
        <f t="shared" ref="G297:G360" si="126">+Wh_hp/MaxiM</f>
        <v>0.83958598203412493</v>
      </c>
      <c r="H297" s="412" t="b">
        <f>Wh_hp&gt;='2023'!Maxi_hp</f>
        <v>0</v>
      </c>
      <c r="I297" s="388">
        <f>IF(H297,Wh_hp,'2023'!Maxi_hp)</f>
        <v>37.751152794670539</v>
      </c>
      <c r="J297" s="85">
        <f>IF(H297,An,'2023'!An_max)</f>
        <v>2022</v>
      </c>
      <c r="K297" s="197">
        <f t="shared" si="104"/>
        <v>45574</v>
      </c>
      <c r="L297" s="147">
        <f>IF(t&lt;Tvie,1-EXP((T0-t)*PertePVj)+'2023'!Pspv,1-EXP((T0-t)*PertePVj)+Pspv)</f>
        <v>3.9042194217476678E-2</v>
      </c>
      <c r="M297" s="832"/>
      <c r="N297" s="832"/>
      <c r="O297" s="48">
        <f>IF(t&lt;Tnet,'2023'!Resal+('2023'!Salim-'2023'!Resal)*(1-EXP(('2023'!Tnet-t)/('2023'!Tau_j))),Resal+(Salim-Resal)*(1-EXP((Tnet-t)/(Tau_j))))*Salcycl</f>
        <v>2.8193003820607149E-2</v>
      </c>
      <c r="P297" s="169">
        <f>(INDEX(Models!$BJ297:$BT297,,T297)*(1-R297)+INDEX(Models!$BJ297:$BT297,,T297+1)*R297-ERP_i)*Q297*Ramure*Pc/MaxiM</f>
        <v>6.1138759867327002E-5</v>
      </c>
      <c r="Q297" s="304">
        <f t="shared" si="105"/>
        <v>0.6</v>
      </c>
      <c r="R297" s="177">
        <f t="shared" si="106"/>
        <v>0.49597086511103328</v>
      </c>
      <c r="S297" s="799">
        <f t="shared" si="107"/>
        <v>1</v>
      </c>
      <c r="T297" s="176">
        <f t="shared" si="108"/>
        <v>7</v>
      </c>
      <c r="U297" s="250">
        <f t="shared" si="109"/>
        <v>1.4959708651110333</v>
      </c>
      <c r="V297" s="382">
        <f t="shared" si="110"/>
        <v>41.987554868433307</v>
      </c>
      <c r="W297" s="400">
        <f t="shared" si="111"/>
        <v>35.252656390091659</v>
      </c>
      <c r="X297" s="157">
        <f t="shared" si="112"/>
        <v>45574</v>
      </c>
      <c r="Y297" s="383">
        <f t="shared" si="113"/>
        <v>34.102643787704892</v>
      </c>
      <c r="Z297" s="383">
        <f t="shared" si="114"/>
        <v>35.488180211965251</v>
      </c>
      <c r="AA297" s="384">
        <f t="shared" si="115"/>
        <v>37.749178746253406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5.989530393459374E-2</v>
      </c>
      <c r="AD297" s="230">
        <f>(INDEX(Models!$BJ297:$BT297,,AH297)*(1-AF297)+INDEX(Models!$BJ297:$BT297,,AH297+1)*AF297-ERP_i)*AE297*Ramure*Pc/MaxiM</f>
        <v>6.1138759867327002E-5</v>
      </c>
      <c r="AE297" s="304">
        <f t="shared" si="117"/>
        <v>0.6</v>
      </c>
      <c r="AF297" s="177">
        <f t="shared" si="118"/>
        <v>0.49597086511103328</v>
      </c>
      <c r="AG297" s="799">
        <f t="shared" si="124"/>
        <v>1</v>
      </c>
      <c r="AH297" s="176">
        <f t="shared" si="119"/>
        <v>7</v>
      </c>
      <c r="AI297" s="224">
        <f t="shared" si="120"/>
        <v>1.4959708651110333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45575</v>
      </c>
      <c r="B298" s="409">
        <f>IF(t&gt;Tmaj,'2023'!Wh/'2023'!Env_an*'2024'!Env_an,0.001*'[12]mon-tableau (1)'!$B$252)</f>
        <v>24.084835770984611</v>
      </c>
      <c r="C298" s="829"/>
      <c r="D298" s="391">
        <f t="shared" si="102"/>
        <v>25.063844859037008</v>
      </c>
      <c r="E298" s="383">
        <f t="shared" si="125"/>
        <v>25.793400259495098</v>
      </c>
      <c r="F298" s="383">
        <f t="shared" si="103"/>
        <v>25.794043146003588</v>
      </c>
      <c r="G298" s="110">
        <f t="shared" si="126"/>
        <v>0.57776743646812156</v>
      </c>
      <c r="H298" s="412" t="b">
        <f>Wh_hp&gt;='2023'!Maxi_hp</f>
        <v>0</v>
      </c>
      <c r="I298" s="388">
        <f>IF(H298,Wh_hp,'2023'!Maxi_hp)</f>
        <v>44.857995782913029</v>
      </c>
      <c r="J298" s="85">
        <f>IF(H298,An,'2023'!An_max)</f>
        <v>2021</v>
      </c>
      <c r="K298" s="197">
        <f t="shared" si="104"/>
        <v>45575</v>
      </c>
      <c r="L298" s="147">
        <f>IF(t&lt;Tvie,1-EXP((T0-t)*PertePVj)+'2023'!Pspv,1-EXP((T0-t)*PertePVj)+Pspv)</f>
        <v>3.9060610754594882E-2</v>
      </c>
      <c r="M298" s="832"/>
      <c r="N298" s="832"/>
      <c r="O298" s="48">
        <f>IF(t&lt;Tnet,'2023'!Resal+('2023'!Salim-'2023'!Resal)*(1-EXP(('2023'!Tnet-t)/('2023'!Tau_j))),Resal+(Salim-Resal)*(1-EXP((Tnet-t)/(Tau_j))))*Salcycl</f>
        <v>2.8284576407855505E-2</v>
      </c>
      <c r="P298" s="169">
        <f>(INDEX(Models!$BJ298:$BT298,,T298)*(1-R298)+INDEX(Models!$BJ298:$BT298,,T298+1)*R298-ERP_i)*Q298*Ramure*Pc/MaxiM</f>
        <v>6.2805456702600074E-5</v>
      </c>
      <c r="Q298" s="304">
        <f t="shared" si="105"/>
        <v>0.6</v>
      </c>
      <c r="R298" s="177">
        <f t="shared" si="106"/>
        <v>0.49610316608439953</v>
      </c>
      <c r="S298" s="799">
        <f t="shared" si="107"/>
        <v>1</v>
      </c>
      <c r="T298" s="176">
        <f t="shared" si="108"/>
        <v>7</v>
      </c>
      <c r="U298" s="250">
        <f t="shared" si="109"/>
        <v>1.4961031660843995</v>
      </c>
      <c r="V298" s="382">
        <f t="shared" si="110"/>
        <v>41.684459620746637</v>
      </c>
      <c r="W298" s="400">
        <f t="shared" si="111"/>
        <v>24.084835770984611</v>
      </c>
      <c r="X298" s="157">
        <f t="shared" si="112"/>
        <v>45575</v>
      </c>
      <c r="Y298" s="383">
        <f t="shared" si="113"/>
        <v>23.300360023363449</v>
      </c>
      <c r="Z298" s="383">
        <f t="shared" si="114"/>
        <v>24.247481458388833</v>
      </c>
      <c r="AA298" s="384">
        <f t="shared" si="115"/>
        <v>25.793400259495098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5.9934664896970219E-2</v>
      </c>
      <c r="AD298" s="230">
        <f>(INDEX(Models!$BJ298:$BT298,,AH298)*(1-AF298)+INDEX(Models!$BJ298:$BT298,,AH298+1)*AF298-ERP_i)*AE298*Ramure*Pc/MaxiM</f>
        <v>6.2805456702600074E-5</v>
      </c>
      <c r="AE298" s="304">
        <f t="shared" si="117"/>
        <v>0.6</v>
      </c>
      <c r="AF298" s="177">
        <f t="shared" si="118"/>
        <v>0.49610316608439953</v>
      </c>
      <c r="AG298" s="799">
        <f t="shared" si="124"/>
        <v>1</v>
      </c>
      <c r="AH298" s="176">
        <f t="shared" si="119"/>
        <v>7</v>
      </c>
      <c r="AI298" s="224">
        <f t="shared" si="120"/>
        <v>1.4961031660843995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45576</v>
      </c>
      <c r="B299" s="409">
        <f>IF(t&gt;Tmaj,'2023'!Wh/'2023'!Env_an*'2024'!Env_an,0.001*'[12]mon-tableau (1)'!$B$253)</f>
        <v>28.399146290585993</v>
      </c>
      <c r="C299" s="829"/>
      <c r="D299" s="391">
        <f t="shared" si="102"/>
        <v>29.554091425555995</v>
      </c>
      <c r="E299" s="383">
        <f t="shared" si="125"/>
        <v>30.417195334849435</v>
      </c>
      <c r="F299" s="383">
        <f t="shared" si="103"/>
        <v>30.41828013259795</v>
      </c>
      <c r="G299" s="110">
        <f t="shared" si="126"/>
        <v>0.68630174633564511</v>
      </c>
      <c r="H299" s="412" t="b">
        <f>Wh_hp&gt;='2023'!Maxi_hp</f>
        <v>0</v>
      </c>
      <c r="I299" s="388">
        <f>IF(H299,Wh_hp,'2023'!Maxi_hp)</f>
        <v>43.06156480177809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3.9079026938764194E-2</v>
      </c>
      <c r="M299" s="832"/>
      <c r="N299" s="832"/>
      <c r="O299" s="48">
        <f>IF(t&lt;Tnet,'2023'!Resal+('2023'!Salim-'2023'!Resal)*(1-EXP(('2023'!Tnet-t)/('2023'!Tau_j))),Resal+(Salim-Resal)*(1-EXP((Tnet-t)/(Tau_j))))*Salcycl</f>
        <v>2.8375525744300609E-2</v>
      </c>
      <c r="P299" s="169">
        <f>(INDEX(Models!$BJ299:$BT299,,T299)*(1-R299)+INDEX(Models!$BJ299:$BT299,,T299+1)*R299-ERP_i)*Q299*Ramure*Pc/MaxiM</f>
        <v>6.4619433399231446E-5</v>
      </c>
      <c r="Q299" s="304">
        <f t="shared" si="105"/>
        <v>0.6</v>
      </c>
      <c r="R299" s="177">
        <f t="shared" si="106"/>
        <v>0.49623020641930093</v>
      </c>
      <c r="S299" s="799">
        <f t="shared" si="107"/>
        <v>1</v>
      </c>
      <c r="T299" s="176">
        <f t="shared" si="108"/>
        <v>7</v>
      </c>
      <c r="U299" s="250">
        <f t="shared" si="109"/>
        <v>1.4962302064193009</v>
      </c>
      <c r="V299" s="382">
        <f t="shared" si="110"/>
        <v>41.378772626097344</v>
      </c>
      <c r="W299" s="400">
        <f t="shared" si="111"/>
        <v>28.399146290585993</v>
      </c>
      <c r="X299" s="157">
        <f t="shared" si="112"/>
        <v>45576</v>
      </c>
      <c r="Y299" s="383">
        <f t="shared" si="113"/>
        <v>27.475597672726433</v>
      </c>
      <c r="Z299" s="383">
        <f t="shared" si="114"/>
        <v>28.592983651086904</v>
      </c>
      <c r="AA299" s="384">
        <f t="shared" si="115"/>
        <v>30.417195334849435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5.9973040370112765E-2</v>
      </c>
      <c r="AD299" s="230">
        <f>(INDEX(Models!$BJ299:$BT299,,AH299)*(1-AF299)+INDEX(Models!$BJ299:$BT299,,AH299+1)*AF299-ERP_i)*AE299*Ramure*Pc/MaxiM</f>
        <v>6.4619433399231446E-5</v>
      </c>
      <c r="AE299" s="304">
        <f t="shared" si="117"/>
        <v>0.6</v>
      </c>
      <c r="AF299" s="177">
        <f t="shared" si="118"/>
        <v>0.49623020641930093</v>
      </c>
      <c r="AG299" s="799">
        <f t="shared" si="124"/>
        <v>1</v>
      </c>
      <c r="AH299" s="176">
        <f t="shared" si="119"/>
        <v>7</v>
      </c>
      <c r="AI299" s="224">
        <f t="shared" si="120"/>
        <v>1.4962302064193009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45577</v>
      </c>
      <c r="B300" s="409">
        <f>IF(t&gt;Tmaj,'2023'!Wh/'2023'!Env_an*'2024'!Env_an,0.001*'[12]mon-tableau (1)'!$B$254)</f>
        <v>24.983979079998338</v>
      </c>
      <c r="C300" s="829"/>
      <c r="D300" s="391">
        <f t="shared" si="102"/>
        <v>26.000533448489925</v>
      </c>
      <c r="E300" s="383">
        <f t="shared" si="125"/>
        <v>26.762346460494239</v>
      </c>
      <c r="F300" s="383">
        <f t="shared" si="103"/>
        <v>26.763131304054937</v>
      </c>
      <c r="G300" s="110">
        <f t="shared" si="126"/>
        <v>0.60829377355331937</v>
      </c>
      <c r="H300" s="412" t="b">
        <f>Wh_hp&gt;='2023'!Maxi_hp</f>
        <v>0</v>
      </c>
      <c r="I300" s="388">
        <f>IF(H300,Wh_hp,'2023'!Maxi_hp)</f>
        <v>42.186291422825811</v>
      </c>
      <c r="J300" s="85">
        <f>IF(H300,An,'2023'!An_max)</f>
        <v>2021</v>
      </c>
      <c r="K300" s="197">
        <f t="shared" si="104"/>
        <v>45577</v>
      </c>
      <c r="L300" s="147">
        <f>IF(t&lt;Tvie,1-EXP((T0-t)*PertePVj)+'2023'!Pspv,1-EXP((T0-t)*PertePVj)+Pspv)</f>
        <v>3.9097442769991608E-2</v>
      </c>
      <c r="M300" s="832"/>
      <c r="N300" s="832"/>
      <c r="O300" s="48">
        <f>IF(t&lt;Tnet,'2023'!Resal+('2023'!Salim-'2023'!Resal)*(1-EXP(('2023'!Tnet-t)/('2023'!Tau_j))),Resal+(Salim-Resal)*(1-EXP((Tnet-t)/(Tau_j))))*Salcycl</f>
        <v>2.8465852690790074E-2</v>
      </c>
      <c r="P300" s="169">
        <f>(INDEX(Models!$BJ300:$BT300,,T300)*(1-R300)+INDEX(Models!$BJ300:$BT300,,T300+1)*R300-ERP_i)*Q300*Ramure*Pc/MaxiM</f>
        <v>6.6580574168109653E-5</v>
      </c>
      <c r="Q300" s="304">
        <f t="shared" si="105"/>
        <v>0.6</v>
      </c>
      <c r="R300" s="177">
        <f t="shared" si="106"/>
        <v>0.49635219274889497</v>
      </c>
      <c r="S300" s="799">
        <f t="shared" si="107"/>
        <v>1</v>
      </c>
      <c r="T300" s="176">
        <f t="shared" si="108"/>
        <v>7</v>
      </c>
      <c r="U300" s="250">
        <f t="shared" si="109"/>
        <v>1.496352192748895</v>
      </c>
      <c r="V300" s="382">
        <f t="shared" si="110"/>
        <v>41.070695378048434</v>
      </c>
      <c r="W300" s="400">
        <f t="shared" si="111"/>
        <v>24.983979079998338</v>
      </c>
      <c r="X300" s="157">
        <f t="shared" si="112"/>
        <v>45577</v>
      </c>
      <c r="Y300" s="383">
        <f t="shared" si="113"/>
        <v>24.172778296096304</v>
      </c>
      <c r="Z300" s="383">
        <f t="shared" si="114"/>
        <v>25.156326324886798</v>
      </c>
      <c r="AA300" s="384">
        <f t="shared" si="115"/>
        <v>26.762346460494239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6.0010438097354374E-2</v>
      </c>
      <c r="AD300" s="230">
        <f>(INDEX(Models!$BJ300:$BT300,,AH300)*(1-AF300)+INDEX(Models!$BJ300:$BT300,,AH300+1)*AF300-ERP_i)*AE300*Ramure*Pc/MaxiM</f>
        <v>6.6580574168109653E-5</v>
      </c>
      <c r="AE300" s="304">
        <f t="shared" si="117"/>
        <v>0.6</v>
      </c>
      <c r="AF300" s="177">
        <f t="shared" si="118"/>
        <v>0.49635219274889497</v>
      </c>
      <c r="AG300" s="799">
        <f t="shared" si="124"/>
        <v>1</v>
      </c>
      <c r="AH300" s="176">
        <f t="shared" si="119"/>
        <v>7</v>
      </c>
      <c r="AI300" s="224">
        <f t="shared" si="120"/>
        <v>1.496352192748895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45578</v>
      </c>
      <c r="B301" s="409">
        <f>IF(t&gt;Tmaj,'2023'!Wh/'2023'!Env_an*'2024'!Env_an,0.001*'[12]mon-tableau (1)'!$B$255)</f>
        <v>17.91081394510131</v>
      </c>
      <c r="C301" s="829"/>
      <c r="D301" s="391">
        <f t="shared" si="102"/>
        <v>18.639930837498728</v>
      </c>
      <c r="E301" s="383">
        <f t="shared" si="125"/>
        <v>19.187850650184842</v>
      </c>
      <c r="F301" s="383">
        <f t="shared" si="103"/>
        <v>19.18811315311936</v>
      </c>
      <c r="G301" s="110">
        <f t="shared" si="126"/>
        <v>0.43939254409419021</v>
      </c>
      <c r="H301" s="412" t="b">
        <f>Wh_hp&gt;='2023'!Maxi_hp</f>
        <v>0</v>
      </c>
      <c r="I301" s="388">
        <f>IF(H301,Wh_hp,'2023'!Maxi_hp)</f>
        <v>45.549482417186574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3.9115858248283897E-2</v>
      </c>
      <c r="M301" s="832"/>
      <c r="N301" s="832"/>
      <c r="O301" s="48">
        <f>IF(t&lt;Tnet,'2023'!Resal+('2023'!Salim-'2023'!Resal)*(1-EXP(('2023'!Tnet-t)/('2023'!Tau_j))),Resal+(Salim-Resal)*(1-EXP((Tnet-t)/(Tau_j))))*Salcycl</f>
        <v>2.8555559592123175E-2</v>
      </c>
      <c r="P301" s="169">
        <f>(INDEX(Models!$BJ301:$BT301,,T301)*(1-R301)+INDEX(Models!$BJ301:$BT301,,T301+1)*R301-ERP_i)*Q301*Ramure*Pc/MaxiM</f>
        <v>6.8688666233803454E-5</v>
      </c>
      <c r="Q301" s="304">
        <f t="shared" si="105"/>
        <v>0.6</v>
      </c>
      <c r="R301" s="177">
        <f t="shared" si="106"/>
        <v>0.49646932378967579</v>
      </c>
      <c r="S301" s="799">
        <f t="shared" si="107"/>
        <v>1</v>
      </c>
      <c r="T301" s="176">
        <f t="shared" si="108"/>
        <v>7</v>
      </c>
      <c r="U301" s="250">
        <f t="shared" si="109"/>
        <v>1.4964693237896758</v>
      </c>
      <c r="V301" s="382">
        <f t="shared" si="110"/>
        <v>40.760429213628449</v>
      </c>
      <c r="W301" s="400">
        <f t="shared" si="111"/>
        <v>17.91081394510131</v>
      </c>
      <c r="X301" s="157">
        <f t="shared" si="112"/>
        <v>45578</v>
      </c>
      <c r="Y301" s="383">
        <f t="shared" si="113"/>
        <v>17.33019918520846</v>
      </c>
      <c r="Z301" s="383">
        <f t="shared" si="114"/>
        <v>18.03568029920347</v>
      </c>
      <c r="AA301" s="384">
        <f t="shared" si="115"/>
        <v>19.187850650184842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6.0046868822708516E-2</v>
      </c>
      <c r="AD301" s="230">
        <f>(INDEX(Models!$BJ301:$BT301,,AH301)*(1-AF301)+INDEX(Models!$BJ301:$BT301,,AH301+1)*AF301-ERP_i)*AE301*Ramure*Pc/MaxiM</f>
        <v>6.8688666233803454E-5</v>
      </c>
      <c r="AE301" s="304">
        <f t="shared" si="117"/>
        <v>0.6</v>
      </c>
      <c r="AF301" s="177">
        <f t="shared" si="118"/>
        <v>0.49646932378967579</v>
      </c>
      <c r="AG301" s="799">
        <f t="shared" si="124"/>
        <v>1</v>
      </c>
      <c r="AH301" s="176">
        <f t="shared" si="119"/>
        <v>7</v>
      </c>
      <c r="AI301" s="224">
        <f t="shared" si="120"/>
        <v>1.4964693237896758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45579</v>
      </c>
      <c r="B302" s="409">
        <f>IF(t&gt;Tmaj,'2023'!Wh/'2023'!Env_an*'2024'!Env_an,0.001*'[12]mon-tableau (1)'!$B$256)</f>
        <v>40.874065104182193</v>
      </c>
      <c r="C302" s="829"/>
      <c r="D302" s="391">
        <f t="shared" si="102"/>
        <v>42.538789730478868</v>
      </c>
      <c r="E302" s="383">
        <f t="shared" si="125"/>
        <v>43.793231534749978</v>
      </c>
      <c r="F302" s="383">
        <f t="shared" si="103"/>
        <v>43.796338595835707</v>
      </c>
      <c r="G302" s="110">
        <f t="shared" si="126"/>
        <v>1.0105292707627349</v>
      </c>
      <c r="H302" s="412" t="b">
        <f>Wh_hp&gt;='2023'!Maxi_hp</f>
        <v>1</v>
      </c>
      <c r="I302" s="388">
        <f>IF(H302,Wh_hp,'2023'!Maxi_hp)</f>
        <v>43.796338595835707</v>
      </c>
      <c r="J302" s="85">
        <f>IF(H302,An,'2023'!An_max)</f>
        <v>2024</v>
      </c>
      <c r="K302" s="197">
        <f t="shared" si="104"/>
        <v>45579</v>
      </c>
      <c r="L302" s="147">
        <f>IF(t&lt;Tvie,1-EXP((T0-t)*PertePVj)+'2023'!Pspv,1-EXP((T0-t)*PertePVj)+Pspv)</f>
        <v>3.913427337364761E-2</v>
      </c>
      <c r="M302" s="832"/>
      <c r="N302" s="832"/>
      <c r="O302" s="48">
        <f>IF(t&lt;Tnet,'2023'!Resal+('2023'!Salim-'2023'!Resal)*(1-EXP(('2023'!Tnet-t)/('2023'!Tau_j))),Resal+(Salim-Resal)*(1-EXP((Tnet-t)/(Tau_j))))*Salcycl</f>
        <v>2.8644650333139045E-2</v>
      </c>
      <c r="P302" s="169">
        <f>(INDEX(Models!$BJ302:$BT302,,T302)*(1-R302)+INDEX(Models!$BJ302:$BT302,,T302+1)*R302-ERP_i)*Q302*Ramure*Pc/MaxiM</f>
        <v>7.0943398132098349E-5</v>
      </c>
      <c r="Q302" s="304">
        <f t="shared" si="105"/>
        <v>0.6</v>
      </c>
      <c r="R302" s="177">
        <f t="shared" si="106"/>
        <v>0.49658179062904195</v>
      </c>
      <c r="S302" s="799">
        <f t="shared" si="107"/>
        <v>1</v>
      </c>
      <c r="T302" s="176">
        <f t="shared" si="108"/>
        <v>7</v>
      </c>
      <c r="U302" s="250">
        <f t="shared" si="109"/>
        <v>1.496581790629042</v>
      </c>
      <c r="V302" s="382">
        <f t="shared" si="110"/>
        <v>40.448175314437897</v>
      </c>
      <c r="W302" s="400">
        <f t="shared" si="111"/>
        <v>40.874065104182193</v>
      </c>
      <c r="X302" s="157">
        <f t="shared" si="112"/>
        <v>45579</v>
      </c>
      <c r="Y302" s="383">
        <f t="shared" si="113"/>
        <v>39.551185238387987</v>
      </c>
      <c r="Z302" s="383">
        <f t="shared" si="114"/>
        <v>41.16203142894291</v>
      </c>
      <c r="AA302" s="384">
        <f t="shared" si="115"/>
        <v>43.793231534749978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6.0082346371703746E-2</v>
      </c>
      <c r="AD302" s="230">
        <f>(INDEX(Models!$BJ302:$BT302,,AH302)*(1-AF302)+INDEX(Models!$BJ302:$BT302,,AH302+1)*AF302-ERP_i)*AE302*Ramure*Pc/MaxiM</f>
        <v>7.0943398132098349E-5</v>
      </c>
      <c r="AE302" s="304">
        <f t="shared" si="117"/>
        <v>0.6</v>
      </c>
      <c r="AF302" s="177">
        <f t="shared" si="118"/>
        <v>0.49658179062904195</v>
      </c>
      <c r="AG302" s="799">
        <f t="shared" si="124"/>
        <v>1</v>
      </c>
      <c r="AH302" s="176">
        <f t="shared" si="119"/>
        <v>7</v>
      </c>
      <c r="AI302" s="224">
        <f t="shared" si="120"/>
        <v>1.496581790629042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45580</v>
      </c>
      <c r="B303" s="409">
        <f>IF(t&gt;Tmaj,'2023'!Wh/'2023'!Env_an*'2024'!Env_an,0.001*'[12]mon-tableau (1)'!$B$257)</f>
        <v>35.170759190712985</v>
      </c>
      <c r="C303" s="829"/>
      <c r="D303" s="391">
        <f t="shared" si="102"/>
        <v>36.603900283441121</v>
      </c>
      <c r="E303" s="383">
        <f t="shared" si="125"/>
        <v>37.686758839038276</v>
      </c>
      <c r="F303" s="383">
        <f t="shared" si="103"/>
        <v>37.689035163699536</v>
      </c>
      <c r="G303" s="110">
        <f t="shared" si="126"/>
        <v>0.87638224724342462</v>
      </c>
      <c r="H303" s="412" t="b">
        <f>Wh_hp&gt;='2023'!Maxi_hp</f>
        <v>0</v>
      </c>
      <c r="I303" s="388">
        <f>IF(H303,Wh_hp,'2023'!Maxi_hp)</f>
        <v>41.812215939762069</v>
      </c>
      <c r="J303" s="85">
        <f>IF(H303,An,'2023'!An_max)</f>
        <v>2021</v>
      </c>
      <c r="K303" s="197">
        <f t="shared" si="104"/>
        <v>45580</v>
      </c>
      <c r="L303" s="147">
        <f>IF(t&lt;Tvie,1-EXP((T0-t)*PertePVj)+'2023'!Pspv,1-EXP((T0-t)*PertePVj)+Pspv)</f>
        <v>3.9152688146089742E-2</v>
      </c>
      <c r="M303" s="832"/>
      <c r="N303" s="832"/>
      <c r="O303" s="48">
        <f>IF(t&lt;Tnet,'2023'!Resal+('2023'!Salim-'2023'!Resal)*(1-EXP(('2023'!Tnet-t)/('2023'!Tau_j))),Resal+(Salim-Resal)*(1-EXP((Tnet-t)/(Tau_j))))*Salcycl</f>
        <v>2.8733130387309E-2</v>
      </c>
      <c r="P303" s="169">
        <f>(INDEX(Models!$BJ303:$BT303,,T303)*(1-R303)+INDEX(Models!$BJ303:$BT303,,T303+1)*R303-ERP_i)*Q303*Ramure*Pc/MaxiM</f>
        <v>7.334965483809982E-5</v>
      </c>
      <c r="Q303" s="304">
        <f t="shared" si="105"/>
        <v>0.6</v>
      </c>
      <c r="R303" s="177">
        <f t="shared" si="106"/>
        <v>0.49668977700367489</v>
      </c>
      <c r="S303" s="799">
        <f t="shared" si="107"/>
        <v>1</v>
      </c>
      <c r="T303" s="176">
        <f t="shared" si="108"/>
        <v>7</v>
      </c>
      <c r="U303" s="250">
        <f t="shared" si="109"/>
        <v>1.4966897770036749</v>
      </c>
      <c r="V303" s="382">
        <f t="shared" si="110"/>
        <v>40.131236954863581</v>
      </c>
      <c r="W303" s="400">
        <f t="shared" si="111"/>
        <v>35.170759190712985</v>
      </c>
      <c r="X303" s="157">
        <f t="shared" si="112"/>
        <v>45580</v>
      </c>
      <c r="Y303" s="383">
        <f t="shared" si="113"/>
        <v>34.034315020701577</v>
      </c>
      <c r="Z303" s="383">
        <f t="shared" si="114"/>
        <v>35.421148189543196</v>
      </c>
      <c r="AA303" s="384">
        <f t="shared" si="115"/>
        <v>37.686758839038276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6.01168877156988E-2</v>
      </c>
      <c r="AD303" s="230">
        <f>(INDEX(Models!$BJ303:$BT303,,AH303)*(1-AF303)+INDEX(Models!$BJ303:$BT303,,AH303+1)*AF303-ERP_i)*AE303*Ramure*Pc/MaxiM</f>
        <v>7.334965483809982E-5</v>
      </c>
      <c r="AE303" s="304">
        <f t="shared" si="117"/>
        <v>0.6</v>
      </c>
      <c r="AF303" s="177">
        <f t="shared" si="118"/>
        <v>0.49668977700367489</v>
      </c>
      <c r="AG303" s="799">
        <f t="shared" si="124"/>
        <v>1</v>
      </c>
      <c r="AH303" s="176">
        <f t="shared" si="119"/>
        <v>7</v>
      </c>
      <c r="AI303" s="224">
        <f t="shared" si="120"/>
        <v>1.4966897770036749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45581</v>
      </c>
      <c r="B304" s="409">
        <f>IF(t&gt;Tmaj,'2023'!Wh/'2023'!Env_an*'2024'!Env_an,0.001*'[12]mon-tableau (1)'!$B$258)</f>
        <v>19.660226692520531</v>
      </c>
      <c r="C304" s="829"/>
      <c r="D304" s="391">
        <f t="shared" si="102"/>
        <v>20.461735429708149</v>
      </c>
      <c r="E304" s="383">
        <f t="shared" si="125"/>
        <v>21.068964191134871</v>
      </c>
      <c r="F304" s="383">
        <f t="shared" si="103"/>
        <v>21.069406413292416</v>
      </c>
      <c r="G304" s="110">
        <f t="shared" si="126"/>
        <v>0.49385508430465813</v>
      </c>
      <c r="H304" s="412" t="b">
        <f>Wh_hp&gt;='2023'!Maxi_hp</f>
        <v>0</v>
      </c>
      <c r="I304" s="388">
        <f>IF(H304,Wh_hp,'2023'!Maxi_hp)</f>
        <v>39.356868501239063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3.9171102565616955E-2</v>
      </c>
      <c r="M304" s="832"/>
      <c r="N304" s="832"/>
      <c r="O304" s="48">
        <f>IF(t&lt;Tnet,'2023'!Resal+('2023'!Salim-'2023'!Resal)*(1-EXP(('2023'!Tnet-t)/('2023'!Tau_j))),Resal+(Salim-Resal)*(1-EXP((Tnet-t)/(Tau_j))))*Salcycl</f>
        <v>2.8821006857196265E-2</v>
      </c>
      <c r="P304" s="169">
        <f>(INDEX(Models!$BJ304:$BT304,,T304)*(1-R304)+INDEX(Models!$BJ304:$BT304,,T304+1)*R304-ERP_i)*Q304*Ramure*Pc/MaxiM</f>
        <v>7.5778922099751974E-5</v>
      </c>
      <c r="Q304" s="304">
        <f t="shared" si="105"/>
        <v>0.6</v>
      </c>
      <c r="R304" s="177">
        <f t="shared" si="106"/>
        <v>0.49679345956891963</v>
      </c>
      <c r="S304" s="799">
        <f t="shared" si="107"/>
        <v>1</v>
      </c>
      <c r="T304" s="176">
        <f t="shared" si="108"/>
        <v>7</v>
      </c>
      <c r="U304" s="250">
        <f t="shared" si="109"/>
        <v>1.4967934595689196</v>
      </c>
      <c r="V304" s="382">
        <f t="shared" si="110"/>
        <v>39.807526760466814</v>
      </c>
      <c r="W304" s="400">
        <f t="shared" si="111"/>
        <v>19.660226692520531</v>
      </c>
      <c r="X304" s="157">
        <f t="shared" si="112"/>
        <v>45581</v>
      </c>
      <c r="Y304" s="383">
        <f t="shared" si="113"/>
        <v>19.026002519996364</v>
      </c>
      <c r="Z304" s="383">
        <f t="shared" si="114"/>
        <v>19.801655186266593</v>
      </c>
      <c r="AA304" s="384">
        <f t="shared" si="115"/>
        <v>21.068964191134871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6.0150513018647503E-2</v>
      </c>
      <c r="AD304" s="230">
        <f>(INDEX(Models!$BJ304:$BT304,,AH304)*(1-AF304)+INDEX(Models!$BJ304:$BT304,,AH304+1)*AF304-ERP_i)*AE304*Ramure*Pc/MaxiM</f>
        <v>7.5778922099751974E-5</v>
      </c>
      <c r="AE304" s="304">
        <f t="shared" si="117"/>
        <v>0.6</v>
      </c>
      <c r="AF304" s="177">
        <f t="shared" si="118"/>
        <v>0.49679345956891963</v>
      </c>
      <c r="AG304" s="799">
        <f t="shared" si="124"/>
        <v>1</v>
      </c>
      <c r="AH304" s="176">
        <f t="shared" si="119"/>
        <v>7</v>
      </c>
      <c r="AI304" s="224">
        <f t="shared" si="120"/>
        <v>1.4967934595689196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45582</v>
      </c>
      <c r="B305" s="409">
        <f>IF(t&gt;Tmaj,'2023'!Wh/'2023'!Env_an*'2024'!Env_an,0.001*'[12]mon-tableau (1)'!$B$259)</f>
        <v>37.903398826210669</v>
      </c>
      <c r="C305" s="829"/>
      <c r="D305" s="391">
        <f t="shared" si="102"/>
        <v>39.449401814762041</v>
      </c>
      <c r="E305" s="383">
        <f t="shared" si="125"/>
        <v>40.623765343520617</v>
      </c>
      <c r="F305" s="383">
        <f t="shared" si="103"/>
        <v>40.626761110392913</v>
      </c>
      <c r="G305" s="110">
        <f t="shared" si="126"/>
        <v>0.96010647178326169</v>
      </c>
      <c r="H305" s="412" t="b">
        <f>Wh_hp&gt;='2023'!Maxi_hp</f>
        <v>0</v>
      </c>
      <c r="I305" s="388">
        <f>IF(H305,Wh_hp,'2023'!Maxi_hp)</f>
        <v>40.626836245820606</v>
      </c>
      <c r="J305" s="85">
        <f>IF(H305,An,'2023'!An_max)</f>
        <v>2022</v>
      </c>
      <c r="K305" s="197">
        <f t="shared" si="104"/>
        <v>45582</v>
      </c>
      <c r="L305" s="147">
        <f>IF(t&lt;Tvie,1-EXP((T0-t)*PertePVj)+'2023'!Pspv,1-EXP((T0-t)*PertePVj)+Pspv)</f>
        <v>3.918951663223591E-2</v>
      </c>
      <c r="M305" s="832"/>
      <c r="N305" s="832"/>
      <c r="O305" s="48">
        <f>IF(t&lt;Tnet,'2023'!Resal+('2023'!Salim-'2023'!Resal)*(1-EXP(('2023'!Tnet-t)/('2023'!Tau_j))),Resal+(Salim-Resal)*(1-EXP((Tnet-t)/(Tau_j))))*Salcycl</f>
        <v>2.8908288506197841E-2</v>
      </c>
      <c r="P305" s="169">
        <f>(INDEX(Models!$BJ305:$BT305,,T305)*(1-R305)+INDEX(Models!$BJ305:$BT305,,T305+1)*R305-ERP_i)*Q305*Ramure*Pc/MaxiM</f>
        <v>7.8194651431481935E-5</v>
      </c>
      <c r="Q305" s="304">
        <f t="shared" si="105"/>
        <v>0.6</v>
      </c>
      <c r="R305" s="177">
        <f t="shared" si="106"/>
        <v>0.49689300815936033</v>
      </c>
      <c r="S305" s="799">
        <f t="shared" si="107"/>
        <v>1</v>
      </c>
      <c r="T305" s="176">
        <f t="shared" si="108"/>
        <v>7</v>
      </c>
      <c r="U305" s="250">
        <f t="shared" si="109"/>
        <v>1.4968930081593603</v>
      </c>
      <c r="V305" s="382">
        <f t="shared" si="110"/>
        <v>39.478152719686094</v>
      </c>
      <c r="W305" s="400">
        <f t="shared" si="111"/>
        <v>37.903398826210669</v>
      </c>
      <c r="X305" s="157">
        <f t="shared" si="112"/>
        <v>45582</v>
      </c>
      <c r="Y305" s="383">
        <f t="shared" si="113"/>
        <v>36.682682841873167</v>
      </c>
      <c r="Z305" s="383">
        <f t="shared" si="114"/>
        <v>38.178895293997684</v>
      </c>
      <c r="AA305" s="384">
        <f t="shared" si="115"/>
        <v>40.623765343520617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6.018324566540656E-2</v>
      </c>
      <c r="AD305" s="230">
        <f>(INDEX(Models!$BJ305:$BT305,,AH305)*(1-AF305)+INDEX(Models!$BJ305:$BT305,,AH305+1)*AF305-ERP_i)*AE305*Ramure*Pc/MaxiM</f>
        <v>7.8194651431481935E-5</v>
      </c>
      <c r="AE305" s="304">
        <f t="shared" si="117"/>
        <v>0.6</v>
      </c>
      <c r="AF305" s="177">
        <f t="shared" si="118"/>
        <v>0.49689300815936033</v>
      </c>
      <c r="AG305" s="799">
        <f t="shared" si="124"/>
        <v>1</v>
      </c>
      <c r="AH305" s="176">
        <f t="shared" si="119"/>
        <v>7</v>
      </c>
      <c r="AI305" s="224">
        <f t="shared" si="120"/>
        <v>1.4968930081593603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45583</v>
      </c>
      <c r="B306" s="409">
        <f>IF(t&gt;Tmaj,'2023'!Wh/'2023'!Env_an*'2024'!Env_an,0.001*'[12]mon-tableau (1)'!$B$260)</f>
        <v>17.803280202106645</v>
      </c>
      <c r="C306" s="829"/>
      <c r="D306" s="391">
        <f t="shared" si="102"/>
        <v>18.529795118435036</v>
      </c>
      <c r="E306" s="383">
        <f t="shared" si="125"/>
        <v>19.083109610242083</v>
      </c>
      <c r="F306" s="383">
        <f t="shared" si="103"/>
        <v>19.083449761725845</v>
      </c>
      <c r="G306" s="110">
        <f t="shared" si="126"/>
        <v>0.45478393172762122</v>
      </c>
      <c r="H306" s="412" t="b">
        <f>Wh_hp&gt;='2023'!Maxi_hp</f>
        <v>0</v>
      </c>
      <c r="I306" s="388">
        <f>IF(H306,Wh_hp,'2023'!Maxi_hp)</f>
        <v>40.405295591154072</v>
      </c>
      <c r="J306" s="85">
        <f>IF(H306,An,'2023'!An_max)</f>
        <v>2020</v>
      </c>
      <c r="K306" s="197">
        <f t="shared" si="104"/>
        <v>45583</v>
      </c>
      <c r="L306" s="147">
        <f>IF(t&lt;Tvie,1-EXP((T0-t)*PertePVj)+'2023'!Pspv,1-EXP((T0-t)*PertePVj)+Pspv)</f>
        <v>3.9207930345953601E-2</v>
      </c>
      <c r="M306" s="832"/>
      <c r="N306" s="832"/>
      <c r="O306" s="48">
        <f>IF(t&lt;Tnet,'2023'!Resal+('2023'!Salim-'2023'!Resal)*(1-EXP(('2023'!Tnet-t)/('2023'!Tau_j))),Resal+(Salim-Resal)*(1-EXP((Tnet-t)/(Tau_j))))*Salcycl</f>
        <v>2.8994985781042513E-2</v>
      </c>
      <c r="P306" s="169">
        <f>(INDEX(Models!$BJ306:$BT306,,T306)*(1-R306)+INDEX(Models!$BJ306:$BT306,,T306+1)*R306-ERP_i)*Q306*Ramure*Pc/MaxiM</f>
        <v>8.0594898573750992E-5</v>
      </c>
      <c r="Q306" s="304">
        <f t="shared" si="105"/>
        <v>0.6</v>
      </c>
      <c r="R306" s="177">
        <f t="shared" si="106"/>
        <v>0.49698858604079033</v>
      </c>
      <c r="S306" s="799">
        <f t="shared" si="107"/>
        <v>1</v>
      </c>
      <c r="T306" s="176">
        <f t="shared" si="108"/>
        <v>7</v>
      </c>
      <c r="U306" s="250">
        <f t="shared" si="109"/>
        <v>1.4969885860407903</v>
      </c>
      <c r="V306" s="382">
        <f t="shared" si="110"/>
        <v>39.144220848345284</v>
      </c>
      <c r="W306" s="400">
        <f t="shared" si="111"/>
        <v>17.803280202106645</v>
      </c>
      <c r="X306" s="157">
        <f t="shared" si="112"/>
        <v>45583</v>
      </c>
      <c r="Y306" s="383">
        <f t="shared" si="113"/>
        <v>17.230862293132486</v>
      </c>
      <c r="Z306" s="383">
        <f t="shared" si="114"/>
        <v>17.934018022585079</v>
      </c>
      <c r="AA306" s="384">
        <f t="shared" si="115"/>
        <v>19.083109610242083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6.0215112270815448E-2</v>
      </c>
      <c r="AD306" s="230">
        <f>(INDEX(Models!$BJ306:$BT306,,AH306)*(1-AF306)+INDEX(Models!$BJ306:$BT306,,AH306+1)*AF306-ERP_i)*AE306*Ramure*Pc/MaxiM</f>
        <v>8.0594898573750992E-5</v>
      </c>
      <c r="AE306" s="304">
        <f t="shared" si="117"/>
        <v>0.6</v>
      </c>
      <c r="AF306" s="177">
        <f t="shared" si="118"/>
        <v>0.49698858604079033</v>
      </c>
      <c r="AG306" s="799">
        <f t="shared" si="124"/>
        <v>1</v>
      </c>
      <c r="AH306" s="176">
        <f t="shared" si="119"/>
        <v>7</v>
      </c>
      <c r="AI306" s="224">
        <f t="shared" si="120"/>
        <v>1.4969885860407903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45584</v>
      </c>
      <c r="B307" s="409">
        <f>IF(t&gt;Tmaj,'2023'!Wh/'2023'!Env_an*'2024'!Env_an,0.001*'[12]mon-tableau (1)'!$B$261)</f>
        <v>7.1406976148699517</v>
      </c>
      <c r="C307" s="829"/>
      <c r="D307" s="391">
        <f t="shared" si="102"/>
        <v>7.4322371019409443</v>
      </c>
      <c r="E307" s="383">
        <f t="shared" si="125"/>
        <v>7.6548486024955169</v>
      </c>
      <c r="F307" s="383">
        <f t="shared" si="103"/>
        <v>7.6548486024955169</v>
      </c>
      <c r="G307" s="110">
        <f t="shared" si="126"/>
        <v>0.18399090784657804</v>
      </c>
      <c r="H307" s="412" t="b">
        <f>Wh_hp&gt;='2023'!Maxi_hp</f>
        <v>0</v>
      </c>
      <c r="I307" s="388">
        <f>IF(H307,Wh_hp,'2023'!Maxi_hp)</f>
        <v>35.276334723455363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3.9226343706776579E-2</v>
      </c>
      <c r="M307" s="832"/>
      <c r="N307" s="832"/>
      <c r="O307" s="48">
        <f>IF(t&lt;Tnet,'2023'!Resal+('2023'!Salim-'2023'!Resal)*(1-EXP(('2023'!Tnet-t)/('2023'!Tau_j))),Resal+(Salim-Resal)*(1-EXP((Tnet-t)/(Tau_j))))*Salcycl</f>
        <v>2.908111082458251E-2</v>
      </c>
      <c r="P307" s="169">
        <f>(INDEX(Models!$BJ307:$BT307,,T307)*(1-R307)+INDEX(Models!$BJ307:$BT307,,T307+1)*R307-ERP_i)*Q307*Ramure*Pc/MaxiM</f>
        <v>8.2977493985654223E-5</v>
      </c>
      <c r="Q307" s="304">
        <f t="shared" si="105"/>
        <v>0.6</v>
      </c>
      <c r="R307" s="177">
        <f t="shared" si="106"/>
        <v>0.49708035015378371</v>
      </c>
      <c r="S307" s="799">
        <f t="shared" si="107"/>
        <v>1</v>
      </c>
      <c r="T307" s="176">
        <f t="shared" si="108"/>
        <v>7</v>
      </c>
      <c r="U307" s="250">
        <f t="shared" si="109"/>
        <v>1.4970803501537837</v>
      </c>
      <c r="V307" s="382">
        <f t="shared" si="110"/>
        <v>38.806836605373896</v>
      </c>
      <c r="W307" s="400">
        <f t="shared" si="111"/>
        <v>7.1406976148699517</v>
      </c>
      <c r="X307" s="157">
        <f t="shared" si="112"/>
        <v>45584</v>
      </c>
      <c r="Y307" s="383">
        <f t="shared" si="113"/>
        <v>6.911491992197174</v>
      </c>
      <c r="Z307" s="383">
        <f t="shared" si="114"/>
        <v>7.1936735014805819</v>
      </c>
      <c r="AA307" s="384">
        <f t="shared" si="115"/>
        <v>7.6548486024955169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6.0246142668920886E-2</v>
      </c>
      <c r="AD307" s="230">
        <f>(INDEX(Models!$BJ307:$BT307,,AH307)*(1-AF307)+INDEX(Models!$BJ307:$BT307,,AH307+1)*AF307-ERP_i)*AE307*Ramure*Pc/MaxiM</f>
        <v>8.2977493985654223E-5</v>
      </c>
      <c r="AE307" s="304">
        <f t="shared" si="117"/>
        <v>0.6</v>
      </c>
      <c r="AF307" s="177">
        <f t="shared" si="118"/>
        <v>0.49708035015378371</v>
      </c>
      <c r="AG307" s="799">
        <f t="shared" si="124"/>
        <v>1</v>
      </c>
      <c r="AH307" s="176">
        <f t="shared" si="119"/>
        <v>7</v>
      </c>
      <c r="AI307" s="224">
        <f t="shared" si="120"/>
        <v>1.4970803501537837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45585</v>
      </c>
      <c r="B308" s="409">
        <f>IF(t&gt;Tmaj,'2023'!Wh/'2023'!Env_an*'2024'!Env_an,0.001*'[12]mon-tableau (1)'!$B$262)</f>
        <v>18.441035840973139</v>
      </c>
      <c r="C308" s="829"/>
      <c r="D308" s="391">
        <f t="shared" si="102"/>
        <v>19.194311943502168</v>
      </c>
      <c r="E308" s="383">
        <f t="shared" si="125"/>
        <v>19.770965312201525</v>
      </c>
      <c r="F308" s="383">
        <f t="shared" si="103"/>
        <v>19.771397735108508</v>
      </c>
      <c r="G308" s="110">
        <f t="shared" si="126"/>
        <v>0.47936712237876172</v>
      </c>
      <c r="H308" s="412" t="b">
        <f>Wh_hp&gt;='2023'!Maxi_hp</f>
        <v>0</v>
      </c>
      <c r="I308" s="388">
        <f>IF(H308,Wh_hp,'2023'!Maxi_hp)</f>
        <v>23.212774519208907</v>
      </c>
      <c r="J308" s="85">
        <f>IF(H308,An,'2023'!An_max)</f>
        <v>2018</v>
      </c>
      <c r="K308" s="197">
        <f t="shared" si="104"/>
        <v>45585</v>
      </c>
      <c r="L308" s="147">
        <f>IF(t&lt;Tvie,1-EXP((T0-t)*PertePVj)+'2023'!Pspv,1-EXP((T0-t)*PertePVj)+Pspv)</f>
        <v>3.9244756714711726E-2</v>
      </c>
      <c r="M308" s="832"/>
      <c r="N308" s="832"/>
      <c r="O308" s="48">
        <f>IF(t&lt;Tnet,'2023'!Resal+('2023'!Salim-'2023'!Resal)*(1-EXP(('2023'!Tnet-t)/('2023'!Tau_j))),Resal+(Salim-Resal)*(1-EXP((Tnet-t)/(Tau_j))))*Salcycl</f>
        <v>2.916667747848815E-2</v>
      </c>
      <c r="P308" s="169">
        <f>(INDEX(Models!$BJ308:$BT308,,T308)*(1-R308)+INDEX(Models!$BJ308:$BT308,,T308+1)*R308-ERP_i)*Q308*Ramure*Pc/MaxiM</f>
        <v>8.5340041925845478E-5</v>
      </c>
      <c r="Q308" s="304">
        <f t="shared" si="105"/>
        <v>0.6</v>
      </c>
      <c r="R308" s="177">
        <f t="shared" si="106"/>
        <v>0.49716845134906906</v>
      </c>
      <c r="S308" s="799">
        <f t="shared" si="107"/>
        <v>1</v>
      </c>
      <c r="T308" s="176">
        <f t="shared" si="108"/>
        <v>7</v>
      </c>
      <c r="U308" s="250">
        <f t="shared" si="109"/>
        <v>1.4971684513490691</v>
      </c>
      <c r="V308" s="382">
        <f t="shared" si="110"/>
        <v>38.4671049017307</v>
      </c>
      <c r="W308" s="400">
        <f t="shared" si="111"/>
        <v>18.441035840973139</v>
      </c>
      <c r="X308" s="157">
        <f t="shared" si="112"/>
        <v>45585</v>
      </c>
      <c r="Y308" s="383">
        <f t="shared" si="113"/>
        <v>17.850105411100341</v>
      </c>
      <c r="Z308" s="383">
        <f t="shared" si="114"/>
        <v>18.579243294121582</v>
      </c>
      <c r="AA308" s="384">
        <f t="shared" si="115"/>
        <v>19.770965312201525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6.0276369881873175E-2</v>
      </c>
      <c r="AD308" s="230">
        <f>(INDEX(Models!$BJ308:$BT308,,AH308)*(1-AF308)+INDEX(Models!$BJ308:$BT308,,AH308+1)*AF308-ERP_i)*AE308*Ramure*Pc/MaxiM</f>
        <v>8.5340041925845478E-5</v>
      </c>
      <c r="AE308" s="304">
        <f t="shared" si="117"/>
        <v>0.6</v>
      </c>
      <c r="AF308" s="177">
        <f t="shared" si="118"/>
        <v>0.49716845134906906</v>
      </c>
      <c r="AG308" s="799">
        <f t="shared" si="124"/>
        <v>1</v>
      </c>
      <c r="AH308" s="176">
        <f t="shared" si="119"/>
        <v>7</v>
      </c>
      <c r="AI308" s="224">
        <f t="shared" si="120"/>
        <v>1.4971684513490691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45586</v>
      </c>
      <c r="B309" s="409">
        <f>IF(t&gt;Tmaj,'2023'!Wh/'2023'!Env_an*'2024'!Env_an,0.001*'[12]mon-tableau (1)'!$B$263)</f>
        <v>35.94045547216988</v>
      </c>
      <c r="C309" s="829"/>
      <c r="D309" s="391">
        <f t="shared" si="102"/>
        <v>37.409261648263538</v>
      </c>
      <c r="E309" s="383">
        <f t="shared" si="125"/>
        <v>38.536520432142886</v>
      </c>
      <c r="F309" s="383">
        <f t="shared" si="103"/>
        <v>38.539622842917311</v>
      </c>
      <c r="G309" s="110">
        <f t="shared" si="126"/>
        <v>0.94266575882929571</v>
      </c>
      <c r="H309" s="412" t="b">
        <f>Wh_hp&gt;='2023'!Maxi_hp</f>
        <v>0</v>
      </c>
      <c r="I309" s="388">
        <f>IF(H309,Wh_hp,'2023'!Maxi_hp)</f>
        <v>38.539741779187835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3.9263169369765816E-2</v>
      </c>
      <c r="M309" s="832"/>
      <c r="N309" s="832"/>
      <c r="O309" s="48">
        <f>IF(t&lt;Tnet,'2023'!Resal+('2023'!Salim-'2023'!Resal)*(1-EXP(('2023'!Tnet-t)/('2023'!Tau_j))),Resal+(Salim-Resal)*(1-EXP((Tnet-t)/(Tau_j))))*Salcycl</f>
        <v>2.9251701275528688E-2</v>
      </c>
      <c r="P309" s="169">
        <f>(INDEX(Models!$BJ309:$BT309,,T309)*(1-R309)+INDEX(Models!$BJ309:$BT309,,T309+1)*R309-ERP_i)*Q309*Ramure*Pc/MaxiM</f>
        <v>8.7679919775833024E-5</v>
      </c>
      <c r="Q309" s="304">
        <f t="shared" si="105"/>
        <v>0.6</v>
      </c>
      <c r="R309" s="177">
        <f t="shared" si="106"/>
        <v>0.49725303461491488</v>
      </c>
      <c r="S309" s="799">
        <f t="shared" si="107"/>
        <v>1</v>
      </c>
      <c r="T309" s="176">
        <f t="shared" si="108"/>
        <v>7</v>
      </c>
      <c r="U309" s="250">
        <f t="shared" si="109"/>
        <v>1.4972530346149149</v>
      </c>
      <c r="V309" s="382">
        <f t="shared" si="110"/>
        <v>38.126130113735009</v>
      </c>
      <c r="W309" s="400">
        <f t="shared" si="111"/>
        <v>35.94045547216988</v>
      </c>
      <c r="X309" s="157">
        <f t="shared" si="112"/>
        <v>45586</v>
      </c>
      <c r="Y309" s="383">
        <f t="shared" si="113"/>
        <v>34.790724347669496</v>
      </c>
      <c r="Z309" s="383">
        <f t="shared" si="114"/>
        <v>36.212543579543123</v>
      </c>
      <c r="AA309" s="384">
        <f t="shared" si="115"/>
        <v>38.536520432142886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6.0305830068180091E-2</v>
      </c>
      <c r="AD309" s="230">
        <f>(INDEX(Models!$BJ309:$BT309,,AH309)*(1-AF309)+INDEX(Models!$BJ309:$BT309,,AH309+1)*AF309-ERP_i)*AE309*Ramure*Pc/MaxiM</f>
        <v>8.7679919775833024E-5</v>
      </c>
      <c r="AE309" s="304">
        <f t="shared" si="117"/>
        <v>0.6</v>
      </c>
      <c r="AF309" s="177">
        <f t="shared" si="118"/>
        <v>0.49725303461491488</v>
      </c>
      <c r="AG309" s="799">
        <f t="shared" si="124"/>
        <v>1</v>
      </c>
      <c r="AH309" s="176">
        <f t="shared" si="119"/>
        <v>7</v>
      </c>
      <c r="AI309" s="224">
        <f t="shared" si="120"/>
        <v>1.4972530346149149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45587</v>
      </c>
      <c r="B310" s="409">
        <f>IF(t&gt;Tmaj,'2023'!Wh/'2023'!Env_an*'2024'!Env_an,0.001*'[12]mon-tableau (1)'!$B$264)</f>
        <v>17.472016676839864</v>
      </c>
      <c r="C310" s="829"/>
      <c r="D310" s="391">
        <f t="shared" si="102"/>
        <v>18.186407529530399</v>
      </c>
      <c r="E310" s="383">
        <f t="shared" si="125"/>
        <v>18.736052090008961</v>
      </c>
      <c r="F310" s="383">
        <f t="shared" si="103"/>
        <v>18.736443732449825</v>
      </c>
      <c r="G310" s="110">
        <f t="shared" si="126"/>
        <v>0.46237401198395645</v>
      </c>
      <c r="H310" s="412" t="b">
        <f>Wh_hp&gt;='2023'!Maxi_hp</f>
        <v>0</v>
      </c>
      <c r="I310" s="388">
        <f>IF(H310,Wh_hp,'2023'!Maxi_hp)</f>
        <v>37.731513799556055</v>
      </c>
      <c r="J310" s="85">
        <f>IF(H310,An,'2023'!An_max)</f>
        <v>2021</v>
      </c>
      <c r="K310" s="197">
        <f t="shared" si="104"/>
        <v>45587</v>
      </c>
      <c r="L310" s="147">
        <f>IF(t&lt;Tvie,1-EXP((T0-t)*PertePVj)+'2023'!Pspv,1-EXP((T0-t)*PertePVj)+Pspv)</f>
        <v>3.928158167194562E-2</v>
      </c>
      <c r="M310" s="832"/>
      <c r="N310" s="832"/>
      <c r="O310" s="48">
        <f>IF(t&lt;Tnet,'2023'!Resal+('2023'!Salim-'2023'!Resal)*(1-EXP(('2023'!Tnet-t)/('2023'!Tau_j))),Resal+(Salim-Resal)*(1-EXP((Tnet-t)/(Tau_j))))*Salcycl</f>
        <v>2.9336199421203722E-2</v>
      </c>
      <c r="P310" s="169">
        <f>(INDEX(Models!$BJ310:$BT310,,T310)*(1-R310)+INDEX(Models!$BJ310:$BT310,,T310+1)*R310-ERP_i)*Q310*Ramure*Pc/MaxiM</f>
        <v>9.0094553173139722E-5</v>
      </c>
      <c r="Q310" s="304">
        <f t="shared" si="105"/>
        <v>0.6</v>
      </c>
      <c r="R310" s="177">
        <f t="shared" si="106"/>
        <v>0.49733423929673659</v>
      </c>
      <c r="S310" s="799">
        <f t="shared" si="107"/>
        <v>1</v>
      </c>
      <c r="T310" s="176">
        <f t="shared" si="108"/>
        <v>7</v>
      </c>
      <c r="U310" s="250">
        <f t="shared" si="109"/>
        <v>1.4973342392967366</v>
      </c>
      <c r="V310" s="382">
        <f t="shared" si="110"/>
        <v>37.785012301101581</v>
      </c>
      <c r="W310" s="400">
        <f t="shared" si="111"/>
        <v>17.472016676839864</v>
      </c>
      <c r="X310" s="157">
        <f t="shared" si="112"/>
        <v>45587</v>
      </c>
      <c r="Y310" s="383">
        <f t="shared" si="113"/>
        <v>16.914043962215192</v>
      </c>
      <c r="Z310" s="383">
        <f t="shared" si="114"/>
        <v>17.605620585114661</v>
      </c>
      <c r="AA310" s="384">
        <f t="shared" si="115"/>
        <v>18.736052090008961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6.0334562450170881E-2</v>
      </c>
      <c r="AD310" s="230">
        <f>(INDEX(Models!$BJ310:$BT310,,AH310)*(1-AF310)+INDEX(Models!$BJ310:$BT310,,AH310+1)*AF310-ERP_i)*AE310*Ramure*Pc/MaxiM</f>
        <v>9.0094553173139722E-5</v>
      </c>
      <c r="AE310" s="304">
        <f t="shared" si="117"/>
        <v>0.6</v>
      </c>
      <c r="AF310" s="177">
        <f t="shared" si="118"/>
        <v>0.49733423929673659</v>
      </c>
      <c r="AG310" s="799">
        <f t="shared" si="124"/>
        <v>1</v>
      </c>
      <c r="AH310" s="176">
        <f t="shared" si="119"/>
        <v>7</v>
      </c>
      <c r="AI310" s="224">
        <f t="shared" si="120"/>
        <v>1.4973342392967366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45588</v>
      </c>
      <c r="B311" s="409">
        <f>IF(t&gt;Tmaj,'2023'!Wh/'2023'!Env_an*'2024'!Env_an,0.001*'[12]mon-tableau (1)'!$B$265)</f>
        <v>29.672374255414937</v>
      </c>
      <c r="C311" s="829"/>
      <c r="D311" s="391">
        <f t="shared" si="102"/>
        <v>30.886201788695551</v>
      </c>
      <c r="E311" s="383">
        <f t="shared" si="125"/>
        <v>31.822423560434547</v>
      </c>
      <c r="F311" s="383">
        <f t="shared" si="103"/>
        <v>31.824493688063189</v>
      </c>
      <c r="G311" s="110">
        <f t="shared" si="126"/>
        <v>0.79240678925920782</v>
      </c>
      <c r="H311" s="412" t="b">
        <f>Wh_hp&gt;='2023'!Maxi_hp</f>
        <v>0</v>
      </c>
      <c r="I311" s="388">
        <f>IF(H311,Wh_hp,'2023'!Maxi_hp)</f>
        <v>41.981963629803325</v>
      </c>
      <c r="J311" s="85">
        <f>IF(H311,An,'2023'!An_max)</f>
        <v>2021</v>
      </c>
      <c r="K311" s="197">
        <f t="shared" si="104"/>
        <v>45588</v>
      </c>
      <c r="L311" s="147">
        <f>IF(t&lt;Tvie,1-EXP((T0-t)*PertePVj)+'2023'!Pspv,1-EXP((T0-t)*PertePVj)+Pspv)</f>
        <v>3.9299993621257689E-2</v>
      </c>
      <c r="M311" s="832"/>
      <c r="N311" s="832"/>
      <c r="O311" s="48">
        <f>IF(t&lt;Tnet,'2023'!Resal+('2023'!Salim-'2023'!Resal)*(1-EXP(('2023'!Tnet-t)/('2023'!Tau_j))),Resal+(Salim-Resal)*(1-EXP((Tnet-t)/(Tau_j))))*Salcycl</f>
        <v>2.9420190764571977E-2</v>
      </c>
      <c r="P311" s="169">
        <f>(INDEX(Models!$BJ311:$BT311,,T311)*(1-R311)+INDEX(Models!$BJ311:$BT311,,T311+1)*R311-ERP_i)*Q311*Ramure*Pc/MaxiM</f>
        <v>9.246778654656183E-5</v>
      </c>
      <c r="Q311" s="304">
        <f t="shared" si="105"/>
        <v>0.6</v>
      </c>
      <c r="R311" s="177">
        <f t="shared" si="106"/>
        <v>0.49741219930912939</v>
      </c>
      <c r="S311" s="799">
        <f t="shared" si="107"/>
        <v>1</v>
      </c>
      <c r="T311" s="176">
        <f t="shared" si="108"/>
        <v>7</v>
      </c>
      <c r="U311" s="250">
        <f t="shared" si="109"/>
        <v>1.4974121993091294</v>
      </c>
      <c r="V311" s="382">
        <f t="shared" si="110"/>
        <v>37.444859132874434</v>
      </c>
      <c r="W311" s="400">
        <f t="shared" si="111"/>
        <v>29.672374255414937</v>
      </c>
      <c r="X311" s="157">
        <f t="shared" si="112"/>
        <v>45588</v>
      </c>
      <c r="Y311" s="383">
        <f t="shared" si="113"/>
        <v>28.726408748960704</v>
      </c>
      <c r="Z311" s="383">
        <f t="shared" si="114"/>
        <v>29.9015390426007</v>
      </c>
      <c r="AA311" s="384">
        <f t="shared" si="115"/>
        <v>31.822423560434547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6.0362609220691761E-2</v>
      </c>
      <c r="AD311" s="230">
        <f>(INDEX(Models!$BJ311:$BT311,,AH311)*(1-AF311)+INDEX(Models!$BJ311:$BT311,,AH311+1)*AF311-ERP_i)*AE311*Ramure*Pc/MaxiM</f>
        <v>9.246778654656183E-5</v>
      </c>
      <c r="AE311" s="304">
        <f t="shared" si="117"/>
        <v>0.6</v>
      </c>
      <c r="AF311" s="177">
        <f t="shared" si="118"/>
        <v>0.49741219930912939</v>
      </c>
      <c r="AG311" s="799">
        <f t="shared" si="124"/>
        <v>1</v>
      </c>
      <c r="AH311" s="176">
        <f t="shared" si="119"/>
        <v>7</v>
      </c>
      <c r="AI311" s="224">
        <f t="shared" si="120"/>
        <v>1.4974121993091294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45589</v>
      </c>
      <c r="B312" s="409">
        <f>IF(t&gt;Tmaj,'2023'!Wh/'2023'!Env_an*'2024'!Env_an,0.001*'[12]mon-tableau (1)'!$B$266)</f>
        <v>24.15023349472132</v>
      </c>
      <c r="C312" s="829"/>
      <c r="D312" s="391">
        <f t="shared" si="102"/>
        <v>25.138644922404527</v>
      </c>
      <c r="E312" s="383">
        <f t="shared" si="125"/>
        <v>25.902875479824107</v>
      </c>
      <c r="F312" s="383">
        <f t="shared" si="103"/>
        <v>25.904106212367459</v>
      </c>
      <c r="G312" s="110">
        <f t="shared" si="126"/>
        <v>0.65080009021965346</v>
      </c>
      <c r="H312" s="412" t="b">
        <f>Wh_hp&gt;='2023'!Maxi_hp</f>
        <v>0</v>
      </c>
      <c r="I312" s="388">
        <f>IF(H312,Wh_hp,'2023'!Maxi_hp)</f>
        <v>38.701357747255933</v>
      </c>
      <c r="J312" s="85">
        <f>IF(H312,An,'2023'!An_max)</f>
        <v>2021</v>
      </c>
      <c r="K312" s="197">
        <f t="shared" si="104"/>
        <v>45589</v>
      </c>
      <c r="L312" s="147">
        <f>IF(t&lt;Tvie,1-EXP((T0-t)*PertePVj)+'2023'!Pspv,1-EXP((T0-t)*PertePVj)+Pspv)</f>
        <v>3.9318405217709129E-2</v>
      </c>
      <c r="M312" s="832"/>
      <c r="N312" s="832"/>
      <c r="O312" s="48">
        <f>IF(t&lt;Tnet,'2023'!Resal+('2023'!Salim-'2023'!Resal)*(1-EXP(('2023'!Tnet-t)/('2023'!Tau_j))),Resal+(Salim-Resal)*(1-EXP((Tnet-t)/(Tau_j))))*Salcycl</f>
        <v>2.9503695758211986E-2</v>
      </c>
      <c r="P312" s="169">
        <f>(INDEX(Models!$BJ312:$BT312,,T312)*(1-R312)+INDEX(Models!$BJ312:$BT312,,T312+1)*R312-ERP_i)*Q312*Ramure*Pc/MaxiM</f>
        <v>9.4797157629552051E-5</v>
      </c>
      <c r="Q312" s="304">
        <f t="shared" si="105"/>
        <v>0.6</v>
      </c>
      <c r="R312" s="177">
        <f t="shared" si="106"/>
        <v>0.49748704334053762</v>
      </c>
      <c r="S312" s="799">
        <f t="shared" si="107"/>
        <v>1</v>
      </c>
      <c r="T312" s="176">
        <f t="shared" si="108"/>
        <v>7</v>
      </c>
      <c r="U312" s="250">
        <f t="shared" si="109"/>
        <v>1.4974870433405376</v>
      </c>
      <c r="V312" s="382">
        <f t="shared" si="110"/>
        <v>37.106773391725106</v>
      </c>
      <c r="W312" s="400">
        <f t="shared" si="111"/>
        <v>24.15023349472132</v>
      </c>
      <c r="X312" s="157">
        <f t="shared" si="112"/>
        <v>45589</v>
      </c>
      <c r="Y312" s="383">
        <f t="shared" si="113"/>
        <v>23.381645475800035</v>
      </c>
      <c r="Z312" s="383">
        <f t="shared" si="114"/>
        <v>24.338600429936175</v>
      </c>
      <c r="AA312" s="384">
        <f t="shared" si="115"/>
        <v>25.902875479824107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6.0390015429227277E-2</v>
      </c>
      <c r="AD312" s="230">
        <f>(INDEX(Models!$BJ312:$BT312,,AH312)*(1-AF312)+INDEX(Models!$BJ312:$BT312,,AH312+1)*AF312-ERP_i)*AE312*Ramure*Pc/MaxiM</f>
        <v>9.4797157629552051E-5</v>
      </c>
      <c r="AE312" s="304">
        <f t="shared" si="117"/>
        <v>0.6</v>
      </c>
      <c r="AF312" s="177">
        <f t="shared" si="118"/>
        <v>0.49748704334053762</v>
      </c>
      <c r="AG312" s="799">
        <f t="shared" si="124"/>
        <v>1</v>
      </c>
      <c r="AH312" s="176">
        <f t="shared" si="119"/>
        <v>7</v>
      </c>
      <c r="AI312" s="224">
        <f t="shared" si="120"/>
        <v>1.4974870433405376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45590</v>
      </c>
      <c r="B313" s="409">
        <f>IF(t&gt;Tmaj,'2023'!Wh/'2023'!Env_an*'2024'!Env_an,0.001*'[12]mon-tableau (1)'!$B$267)</f>
        <v>13.333578631619355</v>
      </c>
      <c r="C313" s="829"/>
      <c r="D313" s="391">
        <f t="shared" si="102"/>
        <v>13.879556185867203</v>
      </c>
      <c r="E313" s="383">
        <f t="shared" si="125"/>
        <v>14.302727205605493</v>
      </c>
      <c r="F313" s="383">
        <f t="shared" si="103"/>
        <v>14.302851383648283</v>
      </c>
      <c r="G313" s="110">
        <f t="shared" si="126"/>
        <v>0.36257075157971974</v>
      </c>
      <c r="H313" s="412" t="b">
        <f>Wh_hp&gt;='2023'!Maxi_hp</f>
        <v>0</v>
      </c>
      <c r="I313" s="388">
        <f>IF(H313,Wh_hp,'2023'!Maxi_hp)</f>
        <v>38.488384875395617</v>
      </c>
      <c r="J313" s="85">
        <f>IF(H313,An,'2023'!An_max)</f>
        <v>2018</v>
      </c>
      <c r="K313" s="197">
        <f t="shared" si="104"/>
        <v>45590</v>
      </c>
      <c r="L313" s="147">
        <f>IF(t&lt;Tvie,1-EXP((T0-t)*PertePVj)+'2023'!Pspv,1-EXP((T0-t)*PertePVj)+Pspv)</f>
        <v>3.9336816461306379E-2</v>
      </c>
      <c r="M313" s="832"/>
      <c r="N313" s="832"/>
      <c r="O313" s="48">
        <f>IF(t&lt;Tnet,'2023'!Resal+('2023'!Salim-'2023'!Resal)*(1-EXP(('2023'!Tnet-t)/('2023'!Tau_j))),Resal+(Salim-Resal)*(1-EXP((Tnet-t)/(Tau_j))))*Salcycl</f>
        <v>2.9586736407336431E-2</v>
      </c>
      <c r="P313" s="169">
        <f>(INDEX(Models!$BJ313:$BT313,,T313)*(1-R313)+INDEX(Models!$BJ313:$BT313,,T313+1)*R313-ERP_i)*Q313*Ramure*Pc/MaxiM</f>
        <v>9.7079254403495893E-5</v>
      </c>
      <c r="Q313" s="304">
        <f t="shared" si="105"/>
        <v>0.6</v>
      </c>
      <c r="R313" s="177">
        <f t="shared" si="106"/>
        <v>0.497558895050767</v>
      </c>
      <c r="S313" s="799">
        <f t="shared" si="107"/>
        <v>1</v>
      </c>
      <c r="T313" s="176">
        <f t="shared" si="108"/>
        <v>7</v>
      </c>
      <c r="U313" s="250">
        <f t="shared" si="109"/>
        <v>1.497558895050767</v>
      </c>
      <c r="V313" s="382">
        <f t="shared" si="110"/>
        <v>36.771857388371892</v>
      </c>
      <c r="W313" s="400">
        <f t="shared" si="111"/>
        <v>13.333578631619355</v>
      </c>
      <c r="X313" s="157">
        <f t="shared" si="112"/>
        <v>45590</v>
      </c>
      <c r="Y313" s="383">
        <f t="shared" si="113"/>
        <v>12.909969972094942</v>
      </c>
      <c r="Z313" s="383">
        <f t="shared" si="114"/>
        <v>13.438601783967453</v>
      </c>
      <c r="AA313" s="384">
        <f t="shared" si="115"/>
        <v>14.302727205605493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6.0416828847813984E-2</v>
      </c>
      <c r="AD313" s="230">
        <f>(INDEX(Models!$BJ313:$BT313,,AH313)*(1-AF313)+INDEX(Models!$BJ313:$BT313,,AH313+1)*AF313-ERP_i)*AE313*Ramure*Pc/MaxiM</f>
        <v>9.7079254403495893E-5</v>
      </c>
      <c r="AE313" s="304">
        <f t="shared" si="117"/>
        <v>0.6</v>
      </c>
      <c r="AF313" s="177">
        <f t="shared" si="118"/>
        <v>0.497558895050767</v>
      </c>
      <c r="AG313" s="799">
        <f t="shared" si="124"/>
        <v>1</v>
      </c>
      <c r="AH313" s="176">
        <f t="shared" si="119"/>
        <v>7</v>
      </c>
      <c r="AI313" s="224">
        <f t="shared" si="120"/>
        <v>1.497558895050767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45591</v>
      </c>
      <c r="B314" s="409">
        <f>IF(t&gt;Tmaj,'2023'!Wh/'2023'!Env_an*'2024'!Env_an,0.001*'[12]mon-tableau (1)'!$B$268)</f>
        <v>17.200617214359124</v>
      </c>
      <c r="C314" s="829"/>
      <c r="D314" s="391">
        <f t="shared" si="102"/>
        <v>17.905283726207081</v>
      </c>
      <c r="E314" s="383">
        <f t="shared" si="125"/>
        <v>18.452765015420006</v>
      </c>
      <c r="F314" s="383">
        <f t="shared" si="103"/>
        <v>18.453215336898921</v>
      </c>
      <c r="G314" s="110">
        <f t="shared" si="126"/>
        <v>0.47197465020345447</v>
      </c>
      <c r="H314" s="412" t="b">
        <f>Wh_hp&gt;='2023'!Maxi_hp</f>
        <v>0</v>
      </c>
      <c r="I314" s="388">
        <f>IF(H314,Wh_hp,'2023'!Maxi_hp)</f>
        <v>29.983519029323368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3.9355227352056432E-2</v>
      </c>
      <c r="M314" s="832"/>
      <c r="N314" s="832"/>
      <c r="O314" s="48">
        <f>IF(t&lt;Tnet,'2023'!Resal+('2023'!Salim-'2023'!Resal)*(1-EXP(('2023'!Tnet-t)/('2023'!Tau_j))),Resal+(Salim-Resal)*(1-EXP((Tnet-t)/(Tau_j))))*Salcycl</f>
        <v>2.9669336208173906E-2</v>
      </c>
      <c r="P314" s="169">
        <f>(INDEX(Models!$BJ314:$BT314,,T314)*(1-R314)+INDEX(Models!$BJ314:$BT314,,T314+1)*R314-ERP_i)*Q314*Ramure*Pc/MaxiM</f>
        <v>9.9310446928484031E-5</v>
      </c>
      <c r="Q314" s="304">
        <f t="shared" si="105"/>
        <v>0.6</v>
      </c>
      <c r="R314" s="177">
        <f t="shared" si="106"/>
        <v>0.49762787326154445</v>
      </c>
      <c r="S314" s="799">
        <f t="shared" si="107"/>
        <v>1</v>
      </c>
      <c r="T314" s="176">
        <f t="shared" si="108"/>
        <v>7</v>
      </c>
      <c r="U314" s="250">
        <f t="shared" si="109"/>
        <v>1.4976278732615445</v>
      </c>
      <c r="V314" s="382">
        <f t="shared" si="110"/>
        <v>36.441212951427254</v>
      </c>
      <c r="W314" s="400">
        <f t="shared" si="111"/>
        <v>17.200617214359124</v>
      </c>
      <c r="X314" s="157">
        <f t="shared" si="112"/>
        <v>45591</v>
      </c>
      <c r="Y314" s="383">
        <f t="shared" si="113"/>
        <v>16.655104485721825</v>
      </c>
      <c r="Z314" s="383">
        <f t="shared" si="114"/>
        <v>17.337422697688041</v>
      </c>
      <c r="AA314" s="384">
        <f t="shared" si="115"/>
        <v>18.452765015420006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6.044309981728662E-2</v>
      </c>
      <c r="AD314" s="230">
        <f>(INDEX(Models!$BJ314:$BT314,,AH314)*(1-AF314)+INDEX(Models!$BJ314:$BT314,,AH314+1)*AF314-ERP_i)*AE314*Ramure*Pc/MaxiM</f>
        <v>9.9310446928484031E-5</v>
      </c>
      <c r="AE314" s="304">
        <f t="shared" si="117"/>
        <v>0.6</v>
      </c>
      <c r="AF314" s="177">
        <f t="shared" si="118"/>
        <v>0.49762787326154445</v>
      </c>
      <c r="AG314" s="799">
        <f t="shared" si="124"/>
        <v>1</v>
      </c>
      <c r="AH314" s="176">
        <f t="shared" si="119"/>
        <v>7</v>
      </c>
      <c r="AI314" s="224">
        <f t="shared" si="120"/>
        <v>1.4976278732615445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45592</v>
      </c>
      <c r="B315" s="409">
        <f>IF(t&gt;Tmaj,'2023'!Wh/'2023'!Env_an*'2024'!Env_an,0.001*'[12]mon-tableau (1)'!$B$269)</f>
        <v>17.929899696578868</v>
      </c>
      <c r="C315" s="829"/>
      <c r="D315" s="391">
        <f t="shared" si="102"/>
        <v>18.664800804753582</v>
      </c>
      <c r="E315" s="383">
        <f t="shared" si="125"/>
        <v>19.237134807170385</v>
      </c>
      <c r="F315" s="383">
        <f t="shared" si="103"/>
        <v>19.237682737476963</v>
      </c>
      <c r="G315" s="110">
        <f t="shared" si="126"/>
        <v>0.49641764776968494</v>
      </c>
      <c r="H315" s="412" t="b">
        <f>Wh_hp&gt;='2023'!Maxi_hp</f>
        <v>0</v>
      </c>
      <c r="I315" s="388">
        <f>IF(H315,Wh_hp,'2023'!Maxi_hp)</f>
        <v>39.257780539476109</v>
      </c>
      <c r="J315" s="85">
        <f>IF(H315,An,'2023'!An_max)</f>
        <v>2021</v>
      </c>
      <c r="K315" s="197">
        <f t="shared" si="104"/>
        <v>45592</v>
      </c>
      <c r="L315" s="147">
        <f>IF(t&lt;Tvie,1-EXP((T0-t)*PertePVj)+'2023'!Pspv,1-EXP((T0-t)*PertePVj)+Pspv)</f>
        <v>3.9373637889965951E-2</v>
      </c>
      <c r="M315" s="832"/>
      <c r="N315" s="832"/>
      <c r="O315" s="48">
        <f>IF(t&lt;Tnet,'2023'!Resal+('2023'!Salim-'2023'!Resal)*(1-EXP(('2023'!Tnet-t)/('2023'!Tau_j))),Resal+(Salim-Resal)*(1-EXP((Tnet-t)/(Tau_j))))*Salcycl</f>
        <v>2.9751520075820943E-2</v>
      </c>
      <c r="P315" s="169">
        <f>(INDEX(Models!$BJ315:$BT315,,T315)*(1-R315)+INDEX(Models!$BJ315:$BT315,,T315+1)*R315-ERP_i)*Q315*Ramure*Pc/MaxiM</f>
        <v>1.0148689521830196E-4</v>
      </c>
      <c r="Q315" s="304">
        <f t="shared" si="105"/>
        <v>0.6</v>
      </c>
      <c r="R315" s="177">
        <f t="shared" si="106"/>
        <v>0.49769409214032656</v>
      </c>
      <c r="S315" s="799">
        <f t="shared" si="107"/>
        <v>1</v>
      </c>
      <c r="T315" s="176">
        <f t="shared" si="108"/>
        <v>7</v>
      </c>
      <c r="U315" s="250">
        <f t="shared" si="109"/>
        <v>1.4976940921403266</v>
      </c>
      <c r="V315" s="382">
        <f t="shared" si="110"/>
        <v>36.115941429248501</v>
      </c>
      <c r="W315" s="400">
        <f t="shared" si="111"/>
        <v>17.929899696578868</v>
      </c>
      <c r="X315" s="157">
        <f t="shared" si="112"/>
        <v>45592</v>
      </c>
      <c r="Y315" s="383">
        <f t="shared" si="113"/>
        <v>17.362252116554689</v>
      </c>
      <c r="Z315" s="383">
        <f t="shared" si="114"/>
        <v>18.073886790300207</v>
      </c>
      <c r="AA315" s="384">
        <f t="shared" si="115"/>
        <v>19.237134807170385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6.0468881074565953E-2</v>
      </c>
      <c r="AD315" s="230">
        <f>(INDEX(Models!$BJ315:$BT315,,AH315)*(1-AF315)+INDEX(Models!$BJ315:$BT315,,AH315+1)*AF315-ERP_i)*AE315*Ramure*Pc/MaxiM</f>
        <v>1.0148689521830196E-4</v>
      </c>
      <c r="AE315" s="304">
        <f t="shared" si="117"/>
        <v>0.6</v>
      </c>
      <c r="AF315" s="177">
        <f t="shared" si="118"/>
        <v>0.49769409214032656</v>
      </c>
      <c r="AG315" s="799">
        <f t="shared" si="124"/>
        <v>1</v>
      </c>
      <c r="AH315" s="176">
        <f t="shared" si="119"/>
        <v>7</v>
      </c>
      <c r="AI315" s="224">
        <f t="shared" si="120"/>
        <v>1.4976940921403266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45593</v>
      </c>
      <c r="B316" s="409">
        <f>IF(t&gt;Tmaj,'2023'!Wh/'2023'!Env_an*'2024'!Env_an,0.001*'[12]mon-tableau (1)'!$B$270)</f>
        <v>29.386018490627684</v>
      </c>
      <c r="C316" s="829"/>
      <c r="D316" s="391">
        <f t="shared" si="102"/>
        <v>30.591063119705769</v>
      </c>
      <c r="E316" s="383">
        <f t="shared" si="125"/>
        <v>31.531760025784504</v>
      </c>
      <c r="F316" s="383">
        <f t="shared" si="103"/>
        <v>31.534191223149445</v>
      </c>
      <c r="G316" s="110">
        <f t="shared" si="126"/>
        <v>0.82088223931463655</v>
      </c>
      <c r="H316" s="412" t="b">
        <f>Wh_hp&gt;='2023'!Maxi_hp</f>
        <v>0</v>
      </c>
      <c r="I316" s="388">
        <f>IF(H316,Wh_hp,'2023'!Maxi_hp)</f>
        <v>31.534576892719645</v>
      </c>
      <c r="J316" s="85">
        <f>IF(H316,An,'2023'!An_max)</f>
        <v>2022</v>
      </c>
      <c r="K316" s="197">
        <f t="shared" si="104"/>
        <v>45593</v>
      </c>
      <c r="L316" s="147">
        <f>IF(t&lt;Tvie,1-EXP((T0-t)*PertePVj)+'2023'!Pspv,1-EXP((T0-t)*PertePVj)+Pspv)</f>
        <v>3.9392048075041708E-2</v>
      </c>
      <c r="M316" s="832"/>
      <c r="N316" s="832"/>
      <c r="O316" s="48">
        <f>IF(t&lt;Tnet,'2023'!Resal+('2023'!Salim-'2023'!Resal)*(1-EXP(('2023'!Tnet-t)/('2023'!Tau_j))),Resal+(Salim-Resal)*(1-EXP((Tnet-t)/(Tau_j))))*Salcycl</f>
        <v>2.9833314261858437E-2</v>
      </c>
      <c r="P316" s="169">
        <f>(INDEX(Models!$BJ316:$BT316,,T316)*(1-R316)+INDEX(Models!$BJ316:$BT316,,T316+1)*R316-ERP_i)*Q316*Ramure*Pc/MaxiM</f>
        <v>1.0360455896429974E-4</v>
      </c>
      <c r="Q316" s="304">
        <f t="shared" si="105"/>
        <v>0.6</v>
      </c>
      <c r="R316" s="177">
        <f t="shared" si="106"/>
        <v>0.49775766137756272</v>
      </c>
      <c r="S316" s="799">
        <f t="shared" si="107"/>
        <v>1</v>
      </c>
      <c r="T316" s="176">
        <f t="shared" si="108"/>
        <v>7</v>
      </c>
      <c r="U316" s="250">
        <f t="shared" si="109"/>
        <v>1.4977576613775627</v>
      </c>
      <c r="V316" s="382">
        <f t="shared" si="110"/>
        <v>35.797143703477047</v>
      </c>
      <c r="W316" s="400">
        <f t="shared" si="111"/>
        <v>29.386018490627684</v>
      </c>
      <c r="X316" s="157">
        <f t="shared" si="112"/>
        <v>45593</v>
      </c>
      <c r="Y316" s="383">
        <f t="shared" si="113"/>
        <v>28.457309869296306</v>
      </c>
      <c r="Z316" s="383">
        <f t="shared" si="114"/>
        <v>29.624270559358603</v>
      </c>
      <c r="AA316" s="384">
        <f t="shared" si="115"/>
        <v>31.531760025784504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6.0494227561864129E-2</v>
      </c>
      <c r="AD316" s="230">
        <f>(INDEX(Models!$BJ316:$BT316,,AH316)*(1-AF316)+INDEX(Models!$BJ316:$BT316,,AH316+1)*AF316-ERP_i)*AE316*Ramure*Pc/MaxiM</f>
        <v>1.0360455896429974E-4</v>
      </c>
      <c r="AE316" s="304">
        <f t="shared" si="117"/>
        <v>0.6</v>
      </c>
      <c r="AF316" s="177">
        <f t="shared" si="118"/>
        <v>0.49775766137756272</v>
      </c>
      <c r="AG316" s="799">
        <f t="shared" si="124"/>
        <v>1</v>
      </c>
      <c r="AH316" s="176">
        <f t="shared" si="119"/>
        <v>7</v>
      </c>
      <c r="AI316" s="224">
        <f t="shared" si="120"/>
        <v>1.4977576613775627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45594</v>
      </c>
      <c r="B317" s="409">
        <f>IF(t&gt;Tmaj,'2023'!Wh/'2023'!Env_an*'2024'!Env_an,0.001*'[12]mon-tableau (1)'!$B$271)</f>
        <v>26.970701914755541</v>
      </c>
      <c r="C317" s="829"/>
      <c r="D317" s="391">
        <f t="shared" si="102"/>
        <v>28.077238750692658</v>
      </c>
      <c r="E317" s="383">
        <f t="shared" si="125"/>
        <v>28.943063140591864</v>
      </c>
      <c r="F317" s="383">
        <f t="shared" si="103"/>
        <v>28.945073542120817</v>
      </c>
      <c r="G317" s="110">
        <f t="shared" si="126"/>
        <v>0.76008042306323409</v>
      </c>
      <c r="H317" s="412" t="b">
        <f>Wh_hp&gt;='2023'!Maxi_hp</f>
        <v>0</v>
      </c>
      <c r="I317" s="388">
        <f>IF(H317,Wh_hp,'2023'!Maxi_hp)</f>
        <v>30.400555520503801</v>
      </c>
      <c r="J317" s="85">
        <f>IF(H317,An,'2023'!An_max)</f>
        <v>2020</v>
      </c>
      <c r="K317" s="197">
        <f t="shared" si="104"/>
        <v>45594</v>
      </c>
      <c r="L317" s="147">
        <f>IF(t&lt;Tvie,1-EXP((T0-t)*PertePVj)+'2023'!Pspv,1-EXP((T0-t)*PertePVj)+Pspv)</f>
        <v>3.9410457907290475E-2</v>
      </c>
      <c r="M317" s="832"/>
      <c r="N317" s="832"/>
      <c r="O317" s="48">
        <f>IF(t&lt;Tnet,'2023'!Resal+('2023'!Salim-'2023'!Resal)*(1-EXP(('2023'!Tnet-t)/('2023'!Tau_j))),Resal+(Salim-Resal)*(1-EXP((Tnet-t)/(Tau_j))))*Salcycl</f>
        <v>2.9914746262115981E-2</v>
      </c>
      <c r="P317" s="169">
        <f>(INDEX(Models!$BJ317:$BT317,,T317)*(1-R317)+INDEX(Models!$BJ317:$BT317,,T317+1)*R317-ERP_i)*Q317*Ramure*Pc/MaxiM</f>
        <v>1.0566872093223042E-4</v>
      </c>
      <c r="Q317" s="304">
        <f t="shared" si="105"/>
        <v>0.6</v>
      </c>
      <c r="R317" s="177">
        <f t="shared" si="106"/>
        <v>0.49781868635760529</v>
      </c>
      <c r="S317" s="799">
        <f t="shared" si="107"/>
        <v>1</v>
      </c>
      <c r="T317" s="176">
        <f t="shared" si="108"/>
        <v>7</v>
      </c>
      <c r="U317" s="250">
        <f t="shared" si="109"/>
        <v>1.4978186863576053</v>
      </c>
      <c r="V317" s="382">
        <f t="shared" si="110"/>
        <v>35.482725694648174</v>
      </c>
      <c r="W317" s="400">
        <f t="shared" si="111"/>
        <v>26.970701914755541</v>
      </c>
      <c r="X317" s="157">
        <f t="shared" si="112"/>
        <v>45594</v>
      </c>
      <c r="Y317" s="383">
        <f t="shared" si="113"/>
        <v>26.119824639930986</v>
      </c>
      <c r="Z317" s="383">
        <f t="shared" si="114"/>
        <v>27.191452223211982</v>
      </c>
      <c r="AA317" s="384">
        <f t="shared" si="115"/>
        <v>28.943063140591864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6.0519196218844384E-2</v>
      </c>
      <c r="AD317" s="230">
        <f>(INDEX(Models!$BJ317:$BT317,,AH317)*(1-AF317)+INDEX(Models!$BJ317:$BT317,,AH317+1)*AF317-ERP_i)*AE317*Ramure*Pc/MaxiM</f>
        <v>1.0566872093223042E-4</v>
      </c>
      <c r="AE317" s="304">
        <f t="shared" si="117"/>
        <v>0.6</v>
      </c>
      <c r="AF317" s="177">
        <f t="shared" si="118"/>
        <v>0.49781868635760529</v>
      </c>
      <c r="AG317" s="799">
        <f t="shared" si="124"/>
        <v>1</v>
      </c>
      <c r="AH317" s="176">
        <f t="shared" si="119"/>
        <v>7</v>
      </c>
      <c r="AI317" s="224">
        <f t="shared" si="120"/>
        <v>1.4978186863576053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45595</v>
      </c>
      <c r="B318" s="409">
        <f>IF(t&gt;Tmaj,'2023'!Wh/'2023'!Env_an*'2024'!Env_an,0.001*'[12]mon-tableau (1)'!$B$272)</f>
        <v>25.387089937817169</v>
      </c>
      <c r="C318" s="829"/>
      <c r="D318" s="391">
        <f t="shared" si="102"/>
        <v>26.429161855770474</v>
      </c>
      <c r="E318" s="383">
        <f t="shared" si="125"/>
        <v>27.246441895918185</v>
      </c>
      <c r="F318" s="383">
        <f t="shared" si="103"/>
        <v>27.248222509678069</v>
      </c>
      <c r="G318" s="110">
        <f t="shared" si="126"/>
        <v>0.72180894690607911</v>
      </c>
      <c r="H318" s="412" t="b">
        <f>Wh_hp&gt;='2023'!Maxi_hp</f>
        <v>0</v>
      </c>
      <c r="I318" s="388">
        <f>IF(H318,Wh_hp,'2023'!Maxi_hp)</f>
        <v>35.917509171902125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3.9428867386718913E-2</v>
      </c>
      <c r="M318" s="832"/>
      <c r="N318" s="832"/>
      <c r="O318" s="48">
        <f>IF(t&lt;Tnet,'2023'!Resal+('2023'!Salim-'2023'!Resal)*(1-EXP(('2023'!Tnet-t)/('2023'!Tau_j))),Resal+(Salim-Resal)*(1-EXP((Tnet-t)/(Tau_j))))*Salcycl</f>
        <v>2.9995844715054305E-2</v>
      </c>
      <c r="P318" s="169">
        <f>(INDEX(Models!$BJ318:$BT318,,T318)*(1-R318)+INDEX(Models!$BJ318:$BT318,,T318+1)*R318-ERP_i)*Q318*Ramure*Pc/MaxiM</f>
        <v>1.0843806891482028E-4</v>
      </c>
      <c r="Q318" s="304">
        <f t="shared" si="105"/>
        <v>0.6</v>
      </c>
      <c r="R318" s="177">
        <f t="shared" si="106"/>
        <v>0.49787726832346624</v>
      </c>
      <c r="S318" s="799">
        <f t="shared" si="107"/>
        <v>1</v>
      </c>
      <c r="T318" s="176">
        <f t="shared" si="108"/>
        <v>7</v>
      </c>
      <c r="U318" s="250">
        <f t="shared" si="109"/>
        <v>1.4978772683234662</v>
      </c>
      <c r="V318" s="382">
        <f t="shared" si="110"/>
        <v>35.169965737901059</v>
      </c>
      <c r="W318" s="400">
        <f t="shared" si="111"/>
        <v>25.387089937817169</v>
      </c>
      <c r="X318" s="157">
        <f t="shared" si="112"/>
        <v>45595</v>
      </c>
      <c r="Y318" s="383">
        <f t="shared" si="113"/>
        <v>24.587583208185215</v>
      </c>
      <c r="Z318" s="383">
        <f t="shared" si="114"/>
        <v>25.596837520292208</v>
      </c>
      <c r="AA318" s="384">
        <f t="shared" si="115"/>
        <v>27.246441895918185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6.0543845758924811E-2</v>
      </c>
      <c r="AD318" s="230">
        <f>(INDEX(Models!$BJ318:$BT318,,AH318)*(1-AF318)+INDEX(Models!$BJ318:$BT318,,AH318+1)*AF318-ERP_i)*AE318*Ramure*Pc/MaxiM</f>
        <v>1.0843806891482028E-4</v>
      </c>
      <c r="AE318" s="304">
        <f t="shared" si="117"/>
        <v>0.6</v>
      </c>
      <c r="AF318" s="177">
        <f t="shared" si="118"/>
        <v>0.49787726832346624</v>
      </c>
      <c r="AG318" s="799">
        <f t="shared" si="124"/>
        <v>1</v>
      </c>
      <c r="AH318" s="176">
        <f t="shared" si="119"/>
        <v>7</v>
      </c>
      <c r="AI318" s="224">
        <f t="shared" si="120"/>
        <v>1.4978772683234662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45596</v>
      </c>
      <c r="B319" s="409">
        <f>IF(t&gt;Tmaj,'2023'!Wh/'2023'!Env_an*'2024'!Env_an,0.001*'[13]mon-tableau (3)'!$B$235)</f>
        <v>20.091444997127653</v>
      </c>
      <c r="C319" s="829"/>
      <c r="D319" s="391">
        <f t="shared" si="102"/>
        <v>20.916545761484745</v>
      </c>
      <c r="E319" s="383">
        <f t="shared" si="125"/>
        <v>21.565153092304094</v>
      </c>
      <c r="F319" s="383">
        <f t="shared" si="103"/>
        <v>21.566107088240027</v>
      </c>
      <c r="G319" s="110">
        <f t="shared" si="126"/>
        <v>0.57632315244447851</v>
      </c>
      <c r="H319" s="412" t="b">
        <f>Wh_hp&gt;='2023'!Maxi_hp</f>
        <v>0</v>
      </c>
      <c r="I319" s="388">
        <f>IF(H319,Wh_hp,'2023'!Maxi_hp)</f>
        <v>33.217100495865481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3.9447276513334018E-2</v>
      </c>
      <c r="M319" s="832"/>
      <c r="N319" s="832"/>
      <c r="O319" s="48">
        <f>IF(t&lt;Tnet,'2023'!Resal+('2023'!Salim-'2023'!Resal)*(1-EXP(('2023'!Tnet-t)/('2023'!Tau_j))),Resal+(Salim-Resal)*(1-EXP((Tnet-t)/(Tau_j))))*Salcycl</f>
        <v>3.007663929132106E-2</v>
      </c>
      <c r="P319" s="169">
        <f>(INDEX(Models!$BJ319:$BT319,,T319)*(1-R319)+INDEX(Models!$BJ319:$BT319,,T319+1)*R319-ERP_i)*Q319*Ramure*Pc/MaxiM</f>
        <v>1.1204541970910849E-4</v>
      </c>
      <c r="Q319" s="304">
        <f t="shared" si="105"/>
        <v>0.6</v>
      </c>
      <c r="R319" s="177">
        <f t="shared" si="106"/>
        <v>0.49793350453560792</v>
      </c>
      <c r="S319" s="799">
        <f t="shared" si="107"/>
        <v>1</v>
      </c>
      <c r="T319" s="176">
        <f t="shared" si="108"/>
        <v>7</v>
      </c>
      <c r="U319" s="250">
        <f t="shared" si="109"/>
        <v>1.4979335045356079</v>
      </c>
      <c r="V319" s="382">
        <f t="shared" si="110"/>
        <v>34.859058603155411</v>
      </c>
      <c r="W319" s="400">
        <f t="shared" si="111"/>
        <v>20.091444997127653</v>
      </c>
      <c r="X319" s="157">
        <f t="shared" si="112"/>
        <v>45596</v>
      </c>
      <c r="Y319" s="383">
        <f t="shared" si="113"/>
        <v>19.459827828571093</v>
      </c>
      <c r="Z319" s="383">
        <f t="shared" si="114"/>
        <v>20.258989801137375</v>
      </c>
      <c r="AA319" s="384">
        <f t="shared" si="115"/>
        <v>21.565153092304094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6.0568236431061746E-2</v>
      </c>
      <c r="AD319" s="230">
        <f>(INDEX(Models!$BJ319:$BT319,,AH319)*(1-AF319)+INDEX(Models!$BJ319:$BT319,,AH319+1)*AF319-ERP_i)*AE319*Ramure*Pc/MaxiM</f>
        <v>1.1204541970910849E-4</v>
      </c>
      <c r="AE319" s="304">
        <f t="shared" si="117"/>
        <v>0.6</v>
      </c>
      <c r="AF319" s="177">
        <f t="shared" si="118"/>
        <v>0.49793350453560792</v>
      </c>
      <c r="AG319" s="799">
        <f t="shared" si="124"/>
        <v>1</v>
      </c>
      <c r="AH319" s="176">
        <f t="shared" si="119"/>
        <v>7</v>
      </c>
      <c r="AI319" s="224">
        <f t="shared" si="120"/>
        <v>1.4979335045356079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45597</v>
      </c>
      <c r="B320" s="409">
        <f>IF(t&gt;Tmaj,'2023'!Wh/'2023'!Env_an*'2024'!Env_an,0.001*'[13]mon-tableau (3)'!$B$236)</f>
        <v>31.018241132120245</v>
      </c>
      <c r="C320" s="829"/>
      <c r="D320" s="391">
        <f t="shared" si="102"/>
        <v>32.29269444829032</v>
      </c>
      <c r="E320" s="383">
        <f t="shared" si="125"/>
        <v>33.296832368675169</v>
      </c>
      <c r="F320" s="383">
        <f t="shared" si="103"/>
        <v>33.300144970773772</v>
      </c>
      <c r="G320" s="110">
        <f t="shared" si="126"/>
        <v>0.89775775524056034</v>
      </c>
      <c r="H320" s="412" t="b">
        <f>Wh_hp&gt;='2023'!Maxi_hp</f>
        <v>0</v>
      </c>
      <c r="I320" s="388">
        <f>IF(H320,Wh_hp,'2023'!Maxi_hp)</f>
        <v>33.300423626379668</v>
      </c>
      <c r="J320" s="85">
        <f>IF(H320,An,'2023'!An_max)</f>
        <v>2022</v>
      </c>
      <c r="K320" s="197">
        <f t="shared" si="104"/>
        <v>45597</v>
      </c>
      <c r="L320" s="147">
        <f>IF(t&lt;Tvie,1-EXP((T0-t)*PertePVj)+'2023'!Pspv,1-EXP((T0-t)*PertePVj)+Pspv)</f>
        <v>3.9465685287142338E-2</v>
      </c>
      <c r="M320" s="832"/>
      <c r="N320" s="832"/>
      <c r="O320" s="48">
        <f>IF(t&lt;Tnet,'2023'!Resal+('2023'!Salim-'2023'!Resal)*(1-EXP(('2023'!Tnet-t)/('2023'!Tau_j))),Resal+(Salim-Resal)*(1-EXP((Tnet-t)/(Tau_j))))*Salcycl</f>
        <v>3.015716057511577E-2</v>
      </c>
      <c r="P320" s="169">
        <f>(INDEX(Models!$BJ320:$BT320,,T320)*(1-R320)+INDEX(Models!$BJ320:$BT320,,T320+1)*R320-ERP_i)*Q320*Ramure*Pc/MaxiM</f>
        <v>1.1648898788486246E-4</v>
      </c>
      <c r="Q320" s="304">
        <f t="shared" si="105"/>
        <v>0.6</v>
      </c>
      <c r="R320" s="177">
        <f t="shared" si="106"/>
        <v>0.49798748842496199</v>
      </c>
      <c r="S320" s="799">
        <f t="shared" si="107"/>
        <v>1</v>
      </c>
      <c r="T320" s="176">
        <f t="shared" si="108"/>
        <v>7</v>
      </c>
      <c r="U320" s="250">
        <f t="shared" si="109"/>
        <v>1.497987488424962</v>
      </c>
      <c r="V320" s="382">
        <f t="shared" si="110"/>
        <v>34.550203793785698</v>
      </c>
      <c r="W320" s="400">
        <f t="shared" si="111"/>
        <v>31.018241132120245</v>
      </c>
      <c r="X320" s="157">
        <f t="shared" si="112"/>
        <v>45597</v>
      </c>
      <c r="Y320" s="383">
        <f t="shared" si="113"/>
        <v>30.044837524458742</v>
      </c>
      <c r="Z320" s="383">
        <f t="shared" si="114"/>
        <v>31.279296391863266</v>
      </c>
      <c r="AA320" s="384">
        <f t="shared" si="115"/>
        <v>33.296832368675169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6.0592429768483051E-2</v>
      </c>
      <c r="AD320" s="230">
        <f>(INDEX(Models!$BJ320:$BT320,,AH320)*(1-AF320)+INDEX(Models!$BJ320:$BT320,,AH320+1)*AF320-ERP_i)*AE320*Ramure*Pc/MaxiM</f>
        <v>1.1648898788486246E-4</v>
      </c>
      <c r="AE320" s="304">
        <f t="shared" si="117"/>
        <v>0.6</v>
      </c>
      <c r="AF320" s="177">
        <f t="shared" si="118"/>
        <v>0.49798748842496199</v>
      </c>
      <c r="AG320" s="799">
        <f t="shared" si="124"/>
        <v>1</v>
      </c>
      <c r="AH320" s="176">
        <f t="shared" si="119"/>
        <v>7</v>
      </c>
      <c r="AI320" s="224">
        <f t="shared" si="120"/>
        <v>1.497987488424962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45598</v>
      </c>
      <c r="B321" s="409">
        <f>IF(t&gt;Tmaj,'2023'!Wh/'2023'!Env_an*'2024'!Env_an,0.001*'[13]mon-tableau (3)'!$B$237)</f>
        <v>9.8076192988022477</v>
      </c>
      <c r="C321" s="829"/>
      <c r="D321" s="391">
        <f t="shared" si="102"/>
        <v>10.21078280386357</v>
      </c>
      <c r="E321" s="383">
        <f t="shared" si="125"/>
        <v>10.529157573593643</v>
      </c>
      <c r="F321" s="383">
        <f t="shared" si="103"/>
        <v>10.529157573593643</v>
      </c>
      <c r="G321" s="110">
        <f t="shared" si="126"/>
        <v>0.2863724855531315</v>
      </c>
      <c r="H321" s="412" t="b">
        <f>Wh_hp&gt;='2023'!Maxi_hp</f>
        <v>0</v>
      </c>
      <c r="I321" s="388">
        <f>IF(H321,Wh_hp,'2023'!Maxi_hp)</f>
        <v>31.680473871325951</v>
      </c>
      <c r="J321" s="85">
        <f>IF(H321,An,'2023'!An_max)</f>
        <v>2020</v>
      </c>
      <c r="K321" s="197">
        <f t="shared" si="104"/>
        <v>45598</v>
      </c>
      <c r="L321" s="147">
        <f>IF(t&lt;Tvie,1-EXP((T0-t)*PertePVj)+'2023'!Pspv,1-EXP((T0-t)*PertePVj)+Pspv)</f>
        <v>3.9484093708150647E-2</v>
      </c>
      <c r="M321" s="832"/>
      <c r="N321" s="832"/>
      <c r="O321" s="48">
        <f>IF(t&lt;Tnet,'2023'!Resal+('2023'!Salim-'2023'!Resal)*(1-EXP(('2023'!Tnet-t)/('2023'!Tau_j))),Resal+(Salim-Resal)*(1-EXP((Tnet-t)/(Tau_j))))*Salcycl</f>
        <v>3.0237439938075868E-2</v>
      </c>
      <c r="P321" s="169">
        <f>(INDEX(Models!$BJ321:$BT321,,T321)*(1-R321)+INDEX(Models!$BJ321:$BT321,,T321+1)*R321-ERP_i)*Q321*Ramure*Pc/MaxiM</f>
        <v>1.2176669018676885E-4</v>
      </c>
      <c r="Q321" s="304">
        <f t="shared" si="105"/>
        <v>0.6</v>
      </c>
      <c r="R321" s="177">
        <f t="shared" si="106"/>
        <v>0.49803930974035526</v>
      </c>
      <c r="S321" s="799">
        <f t="shared" si="107"/>
        <v>1</v>
      </c>
      <c r="T321" s="176">
        <f t="shared" si="108"/>
        <v>7</v>
      </c>
      <c r="U321" s="250">
        <f t="shared" si="109"/>
        <v>1.4980393097403553</v>
      </c>
      <c r="V321" s="382">
        <f t="shared" si="110"/>
        <v>34.243600737411647</v>
      </c>
      <c r="W321" s="400">
        <f t="shared" si="111"/>
        <v>9.8076192988022477</v>
      </c>
      <c r="X321" s="157">
        <f t="shared" si="112"/>
        <v>45598</v>
      </c>
      <c r="Y321" s="383">
        <f t="shared" si="113"/>
        <v>9.5003831221145365</v>
      </c>
      <c r="Z321" s="383">
        <f t="shared" si="114"/>
        <v>9.890917016451656</v>
      </c>
      <c r="AA321" s="384">
        <f t="shared" si="115"/>
        <v>10.529157573593643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6.0616488325965272E-2</v>
      </c>
      <c r="AD321" s="230">
        <f>(INDEX(Models!$BJ321:$BT321,,AH321)*(1-AF321)+INDEX(Models!$BJ321:$BT321,,AH321+1)*AF321-ERP_i)*AE321*Ramure*Pc/MaxiM</f>
        <v>1.2176669018676885E-4</v>
      </c>
      <c r="AE321" s="304">
        <f t="shared" si="117"/>
        <v>0.6</v>
      </c>
      <c r="AF321" s="177">
        <f t="shared" si="118"/>
        <v>0.49803930974035526</v>
      </c>
      <c r="AG321" s="799">
        <f t="shared" si="124"/>
        <v>1</v>
      </c>
      <c r="AH321" s="176">
        <f t="shared" si="119"/>
        <v>7</v>
      </c>
      <c r="AI321" s="224">
        <f t="shared" si="120"/>
        <v>1.4980393097403553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45599</v>
      </c>
      <c r="B322" s="409">
        <f>IF(t&gt;Tmaj,'2023'!Wh/'2023'!Env_an*'2024'!Env_an,0.001*'[13]mon-tableau (3)'!$B$238)</f>
        <v>17.589319865948884</v>
      </c>
      <c r="C322" s="829"/>
      <c r="D322" s="391">
        <f t="shared" si="102"/>
        <v>18.312718042971451</v>
      </c>
      <c r="E322" s="383">
        <f t="shared" si="125"/>
        <v>18.885272468684491</v>
      </c>
      <c r="F322" s="383">
        <f t="shared" si="103"/>
        <v>18.886025474384621</v>
      </c>
      <c r="G322" s="110">
        <f t="shared" si="126"/>
        <v>0.51821029743259139</v>
      </c>
      <c r="H322" s="412" t="b">
        <f>Wh_hp&gt;='2023'!Maxi_hp</f>
        <v>0</v>
      </c>
      <c r="I322" s="388">
        <f>IF(H322,Wh_hp,'2023'!Maxi_hp)</f>
        <v>18.886875032481147</v>
      </c>
      <c r="J322" s="85">
        <f>IF(H322,An,'2023'!An_max)</f>
        <v>2022</v>
      </c>
      <c r="K322" s="197">
        <f t="shared" si="104"/>
        <v>45599</v>
      </c>
      <c r="L322" s="147">
        <f>IF(t&lt;Tvie,1-EXP((T0-t)*PertePVj)+'2023'!Pspv,1-EXP((T0-t)*PertePVj)+Pspv)</f>
        <v>3.9502501776365939E-2</v>
      </c>
      <c r="M322" s="832"/>
      <c r="N322" s="832"/>
      <c r="O322" s="48">
        <f>IF(t&lt;Tnet,'2023'!Resal+('2023'!Salim-'2023'!Resal)*(1-EXP(('2023'!Tnet-t)/('2023'!Tau_j))),Resal+(Salim-Resal)*(1-EXP((Tnet-t)/(Tau_j))))*Salcycl</f>
        <v>3.0317509406467262E-2</v>
      </c>
      <c r="P322" s="169">
        <f>(INDEX(Models!$BJ322:$BT322,,T322)*(1-R322)+INDEX(Models!$BJ322:$BT322,,T322+1)*R322-ERP_i)*Q322*Ramure*Pc/MaxiM</f>
        <v>1.2787620030481475E-4</v>
      </c>
      <c r="Q322" s="304">
        <f t="shared" si="105"/>
        <v>0.6</v>
      </c>
      <c r="R322" s="177">
        <f t="shared" si="106"/>
        <v>0.49808905469052767</v>
      </c>
      <c r="S322" s="799">
        <f t="shared" si="107"/>
        <v>1</v>
      </c>
      <c r="T322" s="176">
        <f t="shared" si="108"/>
        <v>7</v>
      </c>
      <c r="U322" s="250">
        <f t="shared" si="109"/>
        <v>1.4980890546905277</v>
      </c>
      <c r="V322" s="382">
        <f t="shared" si="110"/>
        <v>33.939448792618876</v>
      </c>
      <c r="W322" s="400">
        <f t="shared" si="111"/>
        <v>17.589319865948884</v>
      </c>
      <c r="X322" s="157">
        <f t="shared" si="112"/>
        <v>45599</v>
      </c>
      <c r="Y322" s="383">
        <f t="shared" si="113"/>
        <v>17.039283793886224</v>
      </c>
      <c r="Z322" s="383">
        <f t="shared" si="114"/>
        <v>17.740060567985928</v>
      </c>
      <c r="AA322" s="384">
        <f t="shared" si="115"/>
        <v>18.885272468684491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6.064047540736054E-2</v>
      </c>
      <c r="AD322" s="230">
        <f>(INDEX(Models!$BJ322:$BT322,,AH322)*(1-AF322)+INDEX(Models!$BJ322:$BT322,,AH322+1)*AF322-ERP_i)*AE322*Ramure*Pc/MaxiM</f>
        <v>1.2787620030481475E-4</v>
      </c>
      <c r="AE322" s="304">
        <f t="shared" si="117"/>
        <v>0.6</v>
      </c>
      <c r="AF322" s="177">
        <f t="shared" si="118"/>
        <v>0.49808905469052767</v>
      </c>
      <c r="AG322" s="799">
        <f t="shared" si="124"/>
        <v>1</v>
      </c>
      <c r="AH322" s="176">
        <f t="shared" si="119"/>
        <v>7</v>
      </c>
      <c r="AI322" s="224">
        <f t="shared" si="120"/>
        <v>1.4980890546905277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45600</v>
      </c>
      <c r="B323" s="409">
        <f>IF(t&gt;Tmaj,'2023'!Wh/'2023'!Env_an*'2024'!Env_an,0.001*'[13]mon-tableau (3)'!$B$239)</f>
        <v>32.895705996203688</v>
      </c>
      <c r="C323" s="829"/>
      <c r="D323" s="391">
        <f t="shared" si="102"/>
        <v>34.249268225920488</v>
      </c>
      <c r="E323" s="383">
        <f t="shared" si="125"/>
        <v>35.322995503209995</v>
      </c>
      <c r="F323" s="383">
        <f t="shared" si="103"/>
        <v>35.327608064063504</v>
      </c>
      <c r="G323" s="110">
        <f t="shared" si="126"/>
        <v>0.97793025066375805</v>
      </c>
      <c r="H323" s="412" t="b">
        <f>Wh_hp&gt;='2023'!Maxi_hp</f>
        <v>0</v>
      </c>
      <c r="I323" s="388">
        <f>IF(H323,Wh_hp,'2023'!Maxi_hp)</f>
        <v>35.327686274356154</v>
      </c>
      <c r="J323" s="85">
        <f>IF(H323,An,'2023'!An_max)</f>
        <v>2022</v>
      </c>
      <c r="K323" s="197">
        <f t="shared" si="104"/>
        <v>45600</v>
      </c>
      <c r="L323" s="147">
        <f>IF(t&lt;Tvie,1-EXP((T0-t)*PertePVj)+'2023'!Pspv,1-EXP((T0-t)*PertePVj)+Pspv)</f>
        <v>3.9520909491794654E-2</v>
      </c>
      <c r="M323" s="832"/>
      <c r="N323" s="832"/>
      <c r="O323" s="48">
        <f>IF(t&lt;Tnet,'2023'!Resal+('2023'!Salim-'2023'!Resal)*(1-EXP(('2023'!Tnet-t)/('2023'!Tau_j))),Resal+(Salim-Resal)*(1-EXP((Tnet-t)/(Tau_j))))*Salcycl</f>
        <v>3.0397401522527467E-2</v>
      </c>
      <c r="P323" s="169">
        <f>(INDEX(Models!$BJ323:$BT323,,T323)*(1-R323)+INDEX(Models!$BJ323:$BT323,,T323+1)*R323-ERP_i)*Q323*Ramure*Pc/MaxiM</f>
        <v>1.3481500717864433E-4</v>
      </c>
      <c r="Q323" s="304">
        <f t="shared" si="105"/>
        <v>0.6</v>
      </c>
      <c r="R323" s="177">
        <f t="shared" si="106"/>
        <v>0.49813680608091704</v>
      </c>
      <c r="S323" s="799">
        <f t="shared" si="107"/>
        <v>1</v>
      </c>
      <c r="T323" s="176">
        <f t="shared" si="108"/>
        <v>7</v>
      </c>
      <c r="U323" s="250">
        <f t="shared" si="109"/>
        <v>1.498136806080917</v>
      </c>
      <c r="V323" s="382">
        <f t="shared" si="110"/>
        <v>33.637947245762625</v>
      </c>
      <c r="W323" s="400">
        <f t="shared" si="111"/>
        <v>32.895705996203688</v>
      </c>
      <c r="X323" s="157">
        <f t="shared" si="112"/>
        <v>45600</v>
      </c>
      <c r="Y323" s="383">
        <f t="shared" si="113"/>
        <v>31.868835722688591</v>
      </c>
      <c r="Z323" s="383">
        <f t="shared" si="114"/>
        <v>33.180145239628551</v>
      </c>
      <c r="AA323" s="384">
        <f t="shared" si="115"/>
        <v>35.322995503209995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6.0664454785175702E-2</v>
      </c>
      <c r="AD323" s="230">
        <f>(INDEX(Models!$BJ323:$BT323,,AH323)*(1-AF323)+INDEX(Models!$BJ323:$BT323,,AH323+1)*AF323-ERP_i)*AE323*Ramure*Pc/MaxiM</f>
        <v>1.3481500717864433E-4</v>
      </c>
      <c r="AE323" s="304">
        <f t="shared" si="117"/>
        <v>0.6</v>
      </c>
      <c r="AF323" s="177">
        <f t="shared" si="118"/>
        <v>0.49813680608091704</v>
      </c>
      <c r="AG323" s="799">
        <f t="shared" si="124"/>
        <v>1</v>
      </c>
      <c r="AH323" s="176">
        <f t="shared" si="119"/>
        <v>7</v>
      </c>
      <c r="AI323" s="224">
        <f t="shared" si="120"/>
        <v>1.498136806080917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45601</v>
      </c>
      <c r="B324" s="409">
        <f>IF(t&gt;Tmaj,'2023'!Wh/'2023'!Env_an*'2024'!Env_an,0.001*'[13]mon-tableau (3)'!$B$240)</f>
        <v>34.26272299179567</v>
      </c>
      <c r="C324" s="829"/>
      <c r="D324" s="391">
        <f t="shared" si="102"/>
        <v>35.673217647580906</v>
      </c>
      <c r="E324" s="383">
        <f t="shared" si="125"/>
        <v>36.794612543868539</v>
      </c>
      <c r="F324" s="383">
        <f t="shared" si="103"/>
        <v>36.799919621138898</v>
      </c>
      <c r="G324" s="110">
        <f t="shared" si="126"/>
        <v>1.0276995556652961</v>
      </c>
      <c r="H324" s="412" t="b">
        <f>Wh_hp&gt;='2023'!Maxi_hp</f>
        <v>1</v>
      </c>
      <c r="I324" s="388">
        <f>IF(H324,Wh_hp,'2023'!Maxi_hp)</f>
        <v>36.799919621138898</v>
      </c>
      <c r="J324" s="85">
        <f>IF(H324,An,'2023'!An_max)</f>
        <v>2024</v>
      </c>
      <c r="K324" s="197">
        <f t="shared" si="104"/>
        <v>45601</v>
      </c>
      <c r="L324" s="147">
        <f>IF(t&lt;Tvie,1-EXP((T0-t)*PertePVj)+'2023'!Pspv,1-EXP((T0-t)*PertePVj)+Pspv)</f>
        <v>3.9539316854443785E-2</v>
      </c>
      <c r="M324" s="832"/>
      <c r="N324" s="832"/>
      <c r="O324" s="48">
        <f>IF(t&lt;Tnet,'2023'!Resal+('2023'!Salim-'2023'!Resal)*(1-EXP(('2023'!Tnet-t)/('2023'!Tau_j))),Resal+(Salim-Resal)*(1-EXP((Tnet-t)/(Tau_j))))*Salcycl</f>
        <v>3.0477149200868529E-2</v>
      </c>
      <c r="P324" s="169">
        <f>(INDEX(Models!$BJ324:$BT324,,T324)*(1-R324)+INDEX(Models!$BJ324:$BT324,,T324+1)*R324-ERP_i)*Q324*Ramure*Pc/MaxiM</f>
        <v>1.4421437125404144E-4</v>
      </c>
      <c r="Q324" s="304">
        <f t="shared" si="105"/>
        <v>0.6</v>
      </c>
      <c r="R324" s="177">
        <f t="shared" si="106"/>
        <v>0.49818264344538621</v>
      </c>
      <c r="S324" s="799">
        <f t="shared" si="107"/>
        <v>1</v>
      </c>
      <c r="T324" s="176">
        <f t="shared" si="108"/>
        <v>7</v>
      </c>
      <c r="U324" s="250">
        <f t="shared" si="109"/>
        <v>1.4981826434453862</v>
      </c>
      <c r="V324" s="382">
        <f t="shared" si="110"/>
        <v>33.339240834462757</v>
      </c>
      <c r="W324" s="400">
        <f t="shared" si="111"/>
        <v>34.26272299179567</v>
      </c>
      <c r="X324" s="157">
        <f t="shared" si="112"/>
        <v>45601</v>
      </c>
      <c r="Y324" s="383">
        <f t="shared" si="113"/>
        <v>33.195060879091429</v>
      </c>
      <c r="Z324" s="383">
        <f t="shared" si="114"/>
        <v>34.561603053209801</v>
      </c>
      <c r="AA324" s="384">
        <f t="shared" si="115"/>
        <v>36.794612543868539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6.0688490414090433E-2</v>
      </c>
      <c r="AD324" s="230">
        <f>(INDEX(Models!$BJ324:$BT324,,AH324)*(1-AF324)+INDEX(Models!$BJ324:$BT324,,AH324+1)*AF324-ERP_i)*AE324*Ramure*Pc/MaxiM</f>
        <v>1.4421437125404144E-4</v>
      </c>
      <c r="AE324" s="304">
        <f t="shared" si="117"/>
        <v>0.6</v>
      </c>
      <c r="AF324" s="177">
        <f t="shared" si="118"/>
        <v>0.49818264344538621</v>
      </c>
      <c r="AG324" s="799">
        <f t="shared" si="124"/>
        <v>1</v>
      </c>
      <c r="AH324" s="176">
        <f t="shared" si="119"/>
        <v>7</v>
      </c>
      <c r="AI324" s="224">
        <f t="shared" si="120"/>
        <v>1.4981826434453862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45602</v>
      </c>
      <c r="B325" s="409">
        <f>IF(t&gt;Tmaj,'2023'!Wh/'2023'!Env_an*'2024'!Env_an,0.001*'[13]mon-tableau (3)'!$B$241)</f>
        <v>32.789740855362361</v>
      </c>
      <c r="C325" s="829"/>
      <c r="D325" s="391">
        <f t="shared" si="102"/>
        <v>34.140251496728382</v>
      </c>
      <c r="E325" s="383">
        <f t="shared" si="125"/>
        <v>35.216349951126809</v>
      </c>
      <c r="F325" s="383">
        <f t="shared" si="103"/>
        <v>35.221783104977398</v>
      </c>
      <c r="G325" s="110">
        <f t="shared" si="126"/>
        <v>0.99231774391431238</v>
      </c>
      <c r="H325" s="412" t="b">
        <f>Wh_hp&gt;='2023'!Maxi_hp</f>
        <v>0</v>
      </c>
      <c r="I325" s="388">
        <f>IF(H325,Wh_hp,'2023'!Maxi_hp)</f>
        <v>35.221815454766798</v>
      </c>
      <c r="J325" s="85">
        <f>IF(H325,An,'2023'!An_max)</f>
        <v>2022</v>
      </c>
      <c r="K325" s="197">
        <f t="shared" si="104"/>
        <v>45602</v>
      </c>
      <c r="L325" s="147">
        <f>IF(t&lt;Tvie,1-EXP((T0-t)*PertePVj)+'2023'!Pspv,1-EXP((T0-t)*PertePVj)+Pspv)</f>
        <v>3.9557723864319994E-2</v>
      </c>
      <c r="M325" s="832"/>
      <c r="N325" s="832"/>
      <c r="O325" s="48">
        <f>IF(t&lt;Tnet,'2023'!Resal+('2023'!Salim-'2023'!Resal)*(1-EXP(('2023'!Tnet-t)/('2023'!Tau_j))),Resal+(Salim-Resal)*(1-EXP((Tnet-t)/(Tau_j))))*Salcycl</f>
        <v>3.0556785580897312E-2</v>
      </c>
      <c r="P325" s="169">
        <f>(INDEX(Models!$BJ325:$BT325,,T325)*(1-R325)+INDEX(Models!$BJ325:$BT325,,T325+1)*R325-ERP_i)*Q325*Ramure*Pc/MaxiM</f>
        <v>1.5596680538336864E-4</v>
      </c>
      <c r="Q325" s="304">
        <f t="shared" si="105"/>
        <v>0.6</v>
      </c>
      <c r="R325" s="177">
        <f t="shared" si="106"/>
        <v>0.49822664317305732</v>
      </c>
      <c r="S325" s="799">
        <f t="shared" si="107"/>
        <v>1</v>
      </c>
      <c r="T325" s="176">
        <f t="shared" si="108"/>
        <v>7</v>
      </c>
      <c r="U325" s="250">
        <f t="shared" si="109"/>
        <v>1.4982266431730573</v>
      </c>
      <c r="V325" s="382">
        <f t="shared" si="110"/>
        <v>33.043533620776898</v>
      </c>
      <c r="W325" s="400">
        <f t="shared" si="111"/>
        <v>32.789740855362361</v>
      </c>
      <c r="X325" s="157">
        <f t="shared" si="112"/>
        <v>45602</v>
      </c>
      <c r="Y325" s="383">
        <f t="shared" si="113"/>
        <v>31.769771002246262</v>
      </c>
      <c r="Z325" s="383">
        <f t="shared" si="114"/>
        <v>33.078272158188717</v>
      </c>
      <c r="AA325" s="384">
        <f t="shared" si="115"/>
        <v>35.216349951126809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6.0712646140367005E-2</v>
      </c>
      <c r="AD325" s="230">
        <f>(INDEX(Models!$BJ325:$BT325,,AH325)*(1-AF325)+INDEX(Models!$BJ325:$BT325,,AH325+1)*AF325-ERP_i)*AE325*Ramure*Pc/MaxiM</f>
        <v>1.5596680538336864E-4</v>
      </c>
      <c r="AE325" s="304">
        <f t="shared" si="117"/>
        <v>0.6</v>
      </c>
      <c r="AF325" s="177">
        <f t="shared" si="118"/>
        <v>0.49822664317305732</v>
      </c>
      <c r="AG325" s="799">
        <f t="shared" si="124"/>
        <v>1</v>
      </c>
      <c r="AH325" s="176">
        <f t="shared" si="119"/>
        <v>7</v>
      </c>
      <c r="AI325" s="224">
        <f t="shared" si="120"/>
        <v>1.4982266431730573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45603</v>
      </c>
      <c r="B326" s="409">
        <f>IF(t&gt;Tmaj,'2023'!Wh/'2023'!Env_an*'2024'!Env_an,0.001*'[13]mon-tableau (3)'!$B$242)</f>
        <v>24.294748821786019</v>
      </c>
      <c r="C326" s="829"/>
      <c r="D326" s="391">
        <f t="shared" si="102"/>
        <v>25.295861123251797</v>
      </c>
      <c r="E326" s="383">
        <f t="shared" si="125"/>
        <v>26.095326520084257</v>
      </c>
      <c r="F326" s="383">
        <f t="shared" si="103"/>
        <v>26.098127771446109</v>
      </c>
      <c r="G326" s="110">
        <f t="shared" si="126"/>
        <v>0.74175461050291736</v>
      </c>
      <c r="H326" s="412" t="b">
        <f>Wh_hp&gt;='2023'!Maxi_hp</f>
        <v>0</v>
      </c>
      <c r="I326" s="388">
        <f>IF(H326,Wh_hp,'2023'!Maxi_hp)</f>
        <v>28.580031803596686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3.9576130521429942E-2</v>
      </c>
      <c r="M326" s="832"/>
      <c r="N326" s="832"/>
      <c r="O326" s="48">
        <f>IF(t&lt;Tnet,'2023'!Resal+('2023'!Salim-'2023'!Resal)*(1-EXP(('2023'!Tnet-t)/('2023'!Tau_j))),Resal+(Salim-Resal)*(1-EXP((Tnet-t)/(Tau_j))))*Salcycl</f>
        <v>3.0636343876255127E-2</v>
      </c>
      <c r="P326" s="169">
        <f>(INDEX(Models!$BJ326:$BT326,,T326)*(1-R326)+INDEX(Models!$BJ326:$BT326,,T326+1)*R326-ERP_i)*Q326*Ramure*Pc/MaxiM</f>
        <v>1.7006460218223468E-4</v>
      </c>
      <c r="Q326" s="304">
        <f t="shared" si="105"/>
        <v>0.6</v>
      </c>
      <c r="R326" s="177">
        <f t="shared" si="106"/>
        <v>0.49826887863042346</v>
      </c>
      <c r="S326" s="799">
        <f t="shared" si="107"/>
        <v>1</v>
      </c>
      <c r="T326" s="176">
        <f t="shared" si="108"/>
        <v>7</v>
      </c>
      <c r="U326" s="250">
        <f t="shared" si="109"/>
        <v>1.4982688786304235</v>
      </c>
      <c r="V326" s="382">
        <f t="shared" si="110"/>
        <v>32.751026178318916</v>
      </c>
      <c r="W326" s="400">
        <f t="shared" si="111"/>
        <v>24.294748821786019</v>
      </c>
      <c r="X326" s="157">
        <f t="shared" si="112"/>
        <v>45603</v>
      </c>
      <c r="Y326" s="383">
        <f t="shared" si="113"/>
        <v>23.540349251720933</v>
      </c>
      <c r="Z326" s="383">
        <f t="shared" si="114"/>
        <v>24.51037505398671</v>
      </c>
      <c r="AA326" s="384">
        <f t="shared" si="115"/>
        <v>26.095326520084257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6.0736985409157014E-2</v>
      </c>
      <c r="AD326" s="230">
        <f>(INDEX(Models!$BJ326:$BT326,,AH326)*(1-AF326)+INDEX(Models!$BJ326:$BT326,,AH326+1)*AF326-ERP_i)*AE326*Ramure*Pc/MaxiM</f>
        <v>1.7006460218223468E-4</v>
      </c>
      <c r="AE326" s="304">
        <f t="shared" si="117"/>
        <v>0.6</v>
      </c>
      <c r="AF326" s="177">
        <f t="shared" si="118"/>
        <v>0.49826887863042346</v>
      </c>
      <c r="AG326" s="799">
        <f t="shared" si="124"/>
        <v>1</v>
      </c>
      <c r="AH326" s="176">
        <f t="shared" si="119"/>
        <v>7</v>
      </c>
      <c r="AI326" s="224">
        <f t="shared" si="120"/>
        <v>1.4982688786304235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45604</v>
      </c>
      <c r="B327" s="409">
        <f>IF(t&gt;Tmaj,'2023'!Wh/'2023'!Env_an*'2024'!Env_an,0.001*'[13]mon-tableau (3)'!$B$243)</f>
        <v>10.844608973931679</v>
      </c>
      <c r="C327" s="829"/>
      <c r="D327" s="391">
        <f t="shared" si="102"/>
        <v>11.291698547912619</v>
      </c>
      <c r="E327" s="383">
        <f t="shared" si="125"/>
        <v>11.649523653150759</v>
      </c>
      <c r="F327" s="383">
        <f t="shared" si="103"/>
        <v>11.649629404635927</v>
      </c>
      <c r="G327" s="110">
        <f t="shared" si="126"/>
        <v>0.33401244356204279</v>
      </c>
      <c r="H327" s="412" t="b">
        <f>Wh_hp&gt;='2023'!Maxi_hp</f>
        <v>0</v>
      </c>
      <c r="I327" s="388">
        <f>IF(H327,Wh_hp,'2023'!Maxi_hp)</f>
        <v>26.22479613054475</v>
      </c>
      <c r="J327" s="85">
        <f>IF(H327,An,'2023'!An_max)</f>
        <v>2020</v>
      </c>
      <c r="K327" s="197">
        <f t="shared" si="104"/>
        <v>45604</v>
      </c>
      <c r="L327" s="147">
        <f>IF(t&lt;Tvie,1-EXP((T0-t)*PertePVj)+'2023'!Pspv,1-EXP((T0-t)*PertePVj)+Pspv)</f>
        <v>3.9594536825780624E-2</v>
      </c>
      <c r="M327" s="832"/>
      <c r="N327" s="832"/>
      <c r="O327" s="48">
        <f>IF(t&lt;Tnet,'2023'!Resal+('2023'!Salim-'2023'!Resal)*(1-EXP(('2023'!Tnet-t)/('2023'!Tau_j))),Resal+(Salim-Resal)*(1-EXP((Tnet-t)/(Tau_j))))*Salcycl</f>
        <v>3.0715857222313261E-2</v>
      </c>
      <c r="P327" s="169">
        <f>(INDEX(Models!$BJ327:$BT327,,T327)*(1-R327)+INDEX(Models!$BJ327:$BT327,,T327+1)*R327-ERP_i)*Q327*Ramure*Pc/MaxiM</f>
        <v>1.8649981297368833E-4</v>
      </c>
      <c r="Q327" s="304">
        <f t="shared" si="105"/>
        <v>0.6</v>
      </c>
      <c r="R327" s="177">
        <f t="shared" si="106"/>
        <v>0.49830942027889291</v>
      </c>
      <c r="S327" s="799">
        <f t="shared" si="107"/>
        <v>1</v>
      </c>
      <c r="T327" s="176">
        <f t="shared" si="108"/>
        <v>7</v>
      </c>
      <c r="U327" s="250">
        <f t="shared" si="109"/>
        <v>1.4983094202788929</v>
      </c>
      <c r="V327" s="382">
        <f t="shared" si="110"/>
        <v>32.461918984409813</v>
      </c>
      <c r="W327" s="400">
        <f t="shared" si="111"/>
        <v>10.844608973931679</v>
      </c>
      <c r="X327" s="157">
        <f t="shared" si="112"/>
        <v>45604</v>
      </c>
      <c r="Y327" s="383">
        <f t="shared" si="113"/>
        <v>10.50844953153999</v>
      </c>
      <c r="Z327" s="383">
        <f t="shared" si="114"/>
        <v>10.941680294912834</v>
      </c>
      <c r="AA327" s="384">
        <f t="shared" si="115"/>
        <v>11.649523653150759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6.0761570971743589E-2</v>
      </c>
      <c r="AD327" s="230">
        <f>(INDEX(Models!$BJ327:$BT327,,AH327)*(1-AF327)+INDEX(Models!$BJ327:$BT327,,AH327+1)*AF327-ERP_i)*AE327*Ramure*Pc/MaxiM</f>
        <v>1.8649981297368833E-4</v>
      </c>
      <c r="AE327" s="304">
        <f t="shared" si="117"/>
        <v>0.6</v>
      </c>
      <c r="AF327" s="177">
        <f t="shared" si="118"/>
        <v>0.49830942027889291</v>
      </c>
      <c r="AG327" s="799">
        <f t="shared" si="124"/>
        <v>1</v>
      </c>
      <c r="AH327" s="176">
        <f t="shared" si="119"/>
        <v>7</v>
      </c>
      <c r="AI327" s="224">
        <f t="shared" si="120"/>
        <v>1.4983094202788929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45605</v>
      </c>
      <c r="B328" s="409">
        <f>IF(t&gt;Tmaj,'2023'!Wh/'2023'!Env_an*'2024'!Env_an,0.001*'[13]mon-tableau (3)'!$B$244)</f>
        <v>20.342073611747974</v>
      </c>
      <c r="C328" s="829"/>
      <c r="D328" s="391">
        <f t="shared" si="102"/>
        <v>21.181120110652017</v>
      </c>
      <c r="E328" s="383">
        <f t="shared" si="125"/>
        <v>21.854125748272143</v>
      </c>
      <c r="F328" s="383">
        <f t="shared" si="103"/>
        <v>21.856254852574466</v>
      </c>
      <c r="G328" s="110">
        <f t="shared" si="126"/>
        <v>0.6321363374027309</v>
      </c>
      <c r="H328" s="412" t="b">
        <f>Wh_hp&gt;='2023'!Maxi_hp</f>
        <v>0</v>
      </c>
      <c r="I328" s="388">
        <f>IF(H328,Wh_hp,'2023'!Maxi_hp)</f>
        <v>21.857548277600785</v>
      </c>
      <c r="J328" s="85">
        <f>IF(H328,An,'2023'!An_max)</f>
        <v>2022</v>
      </c>
      <c r="K328" s="197">
        <f t="shared" si="104"/>
        <v>45605</v>
      </c>
      <c r="L328" s="147">
        <f>IF(t&lt;Tvie,1-EXP((T0-t)*PertePVj)+'2023'!Pspv,1-EXP((T0-t)*PertePVj)+Pspv)</f>
        <v>3.9612942777378701E-2</v>
      </c>
      <c r="M328" s="832"/>
      <c r="N328" s="832"/>
      <c r="O328" s="48">
        <f>IF(t&lt;Tnet,'2023'!Resal+('2023'!Salim-'2023'!Resal)*(1-EXP(('2023'!Tnet-t)/('2023'!Tau_j))),Resal+(Salim-Resal)*(1-EXP((Tnet-t)/(Tau_j))))*Salcycl</f>
        <v>3.07953585227876E-2</v>
      </c>
      <c r="P328" s="169">
        <f>(INDEX(Models!$BJ328:$BT328,,T328)*(1-R328)+INDEX(Models!$BJ328:$BT328,,T328+1)*R328-ERP_i)*Q328*Ramure*Pc/MaxiM</f>
        <v>2.0526442374469564E-4</v>
      </c>
      <c r="Q328" s="304">
        <f t="shared" si="105"/>
        <v>0.6</v>
      </c>
      <c r="R328" s="177">
        <f t="shared" si="106"/>
        <v>0.49834833578792814</v>
      </c>
      <c r="S328" s="799">
        <f t="shared" si="107"/>
        <v>1</v>
      </c>
      <c r="T328" s="176">
        <f t="shared" si="108"/>
        <v>7</v>
      </c>
      <c r="U328" s="250">
        <f t="shared" si="109"/>
        <v>1.4983483357879281</v>
      </c>
      <c r="V328" s="382">
        <f t="shared" si="110"/>
        <v>32.17641241678561</v>
      </c>
      <c r="W328" s="400">
        <f t="shared" si="111"/>
        <v>20.342073611747974</v>
      </c>
      <c r="X328" s="157">
        <f t="shared" si="112"/>
        <v>45605</v>
      </c>
      <c r="Y328" s="383">
        <f t="shared" si="113"/>
        <v>19.712607695773553</v>
      </c>
      <c r="Z328" s="383">
        <f t="shared" si="114"/>
        <v>20.525690707225031</v>
      </c>
      <c r="AA328" s="384">
        <f t="shared" si="115"/>
        <v>21.854125748272143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6.0786464594775193E-2</v>
      </c>
      <c r="AD328" s="230">
        <f>(INDEX(Models!$BJ328:$BT328,,AH328)*(1-AF328)+INDEX(Models!$BJ328:$BT328,,AH328+1)*AF328-ERP_i)*AE328*Ramure*Pc/MaxiM</f>
        <v>2.0526442374469564E-4</v>
      </c>
      <c r="AE328" s="304">
        <f t="shared" si="117"/>
        <v>0.6</v>
      </c>
      <c r="AF328" s="177">
        <f t="shared" si="118"/>
        <v>0.49834833578792814</v>
      </c>
      <c r="AG328" s="799">
        <f t="shared" si="124"/>
        <v>1</v>
      </c>
      <c r="AH328" s="176">
        <f t="shared" si="119"/>
        <v>7</v>
      </c>
      <c r="AI328" s="224">
        <f t="shared" si="120"/>
        <v>1.4983483357879281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45606</v>
      </c>
      <c r="B329" s="409">
        <f>IF(t&gt;Tmaj,'2023'!Wh/'2023'!Env_an*'2024'!Env_an,0.001*'[13]mon-tableau (3)'!$B$245)</f>
        <v>32.092749695643221</v>
      </c>
      <c r="C329" s="829"/>
      <c r="D329" s="391">
        <f t="shared" si="102"/>
        <v>33.417115022842054</v>
      </c>
      <c r="E329" s="383">
        <f t="shared" si="125"/>
        <v>34.481734446288769</v>
      </c>
      <c r="F329" s="383">
        <f t="shared" si="103"/>
        <v>34.489541172073231</v>
      </c>
      <c r="G329" s="110">
        <f t="shared" si="126"/>
        <v>1.0062092732884733</v>
      </c>
      <c r="H329" s="412" t="b">
        <f>Wh_hp&gt;='2023'!Maxi_hp</f>
        <v>1</v>
      </c>
      <c r="I329" s="388">
        <f>IF(H329,Wh_hp,'2023'!Maxi_hp)</f>
        <v>34.489541172073231</v>
      </c>
      <c r="J329" s="85">
        <f>IF(H329,An,'2023'!An_max)</f>
        <v>2024</v>
      </c>
      <c r="K329" s="197">
        <f t="shared" si="104"/>
        <v>45606</v>
      </c>
      <c r="L329" s="147">
        <f>IF(t&lt;Tvie,1-EXP((T0-t)*PertePVj)+'2023'!Pspv,1-EXP((T0-t)*PertePVj)+Pspv)</f>
        <v>3.9631348376230835E-2</v>
      </c>
      <c r="M329" s="832"/>
      <c r="N329" s="832"/>
      <c r="O329" s="48">
        <f>IF(t&lt;Tnet,'2023'!Resal+('2023'!Salim-'2023'!Resal)*(1-EXP(('2023'!Tnet-t)/('2023'!Tau_j))),Resal+(Salim-Resal)*(1-EXP((Tnet-t)/(Tau_j))))*Salcycl</f>
        <v>3.087488029655364E-2</v>
      </c>
      <c r="P329" s="169">
        <f>(INDEX(Models!$BJ329:$BT329,,T329)*(1-R329)+INDEX(Models!$BJ329:$BT329,,T329+1)*R329-ERP_i)*Q329*Ramure*Pc/MaxiM</f>
        <v>2.2635052596124976E-4</v>
      </c>
      <c r="Q329" s="304">
        <f t="shared" si="105"/>
        <v>0.6</v>
      </c>
      <c r="R329" s="177">
        <f t="shared" si="106"/>
        <v>0.4983856901439252</v>
      </c>
      <c r="S329" s="799">
        <f t="shared" si="107"/>
        <v>1</v>
      </c>
      <c r="T329" s="176">
        <f t="shared" si="108"/>
        <v>7</v>
      </c>
      <c r="U329" s="250">
        <f t="shared" si="109"/>
        <v>1.4983856901439252</v>
      </c>
      <c r="V329" s="382">
        <f t="shared" si="110"/>
        <v>31.894706745007763</v>
      </c>
      <c r="W329" s="400">
        <f t="shared" si="111"/>
        <v>32.092749695643221</v>
      </c>
      <c r="X329" s="157">
        <f t="shared" si="112"/>
        <v>45606</v>
      </c>
      <c r="Y329" s="383">
        <f t="shared" si="113"/>
        <v>31.101385731249195</v>
      </c>
      <c r="Z329" s="383">
        <f t="shared" si="114"/>
        <v>32.384840632463053</v>
      </c>
      <c r="AA329" s="384">
        <f t="shared" si="115"/>
        <v>34.481734446288769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6.0811726773546938E-2</v>
      </c>
      <c r="AD329" s="230">
        <f>(INDEX(Models!$BJ329:$BT329,,AH329)*(1-AF329)+INDEX(Models!$BJ329:$BT329,,AH329+1)*AF329-ERP_i)*AE329*Ramure*Pc/MaxiM</f>
        <v>2.2635052596124976E-4</v>
      </c>
      <c r="AE329" s="304">
        <f t="shared" si="117"/>
        <v>0.6</v>
      </c>
      <c r="AF329" s="177">
        <f t="shared" si="118"/>
        <v>0.4983856901439252</v>
      </c>
      <c r="AG329" s="799">
        <f t="shared" si="124"/>
        <v>1</v>
      </c>
      <c r="AH329" s="176">
        <f t="shared" si="119"/>
        <v>7</v>
      </c>
      <c r="AI329" s="224">
        <f t="shared" si="120"/>
        <v>1.4983856901439252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45607</v>
      </c>
      <c r="B330" s="409">
        <f>IF(t&gt;Tmaj,'2023'!Wh/'2023'!Env_an*'2024'!Env_an,0.001*'[13]mon-tableau (3)'!$B$246)</f>
        <v>31.341517322254386</v>
      </c>
      <c r="C330" s="829"/>
      <c r="D330" s="391">
        <f t="shared" si="102"/>
        <v>32.635507139683064</v>
      </c>
      <c r="E330" s="383">
        <f t="shared" si="125"/>
        <v>33.677990979991861</v>
      </c>
      <c r="F330" s="383">
        <f t="shared" si="103"/>
        <v>33.686299427227304</v>
      </c>
      <c r="G330" s="110">
        <f t="shared" si="126"/>
        <v>0.99128373213569221</v>
      </c>
      <c r="H330" s="412" t="b">
        <f>Wh_hp&gt;='2023'!Maxi_hp</f>
        <v>0</v>
      </c>
      <c r="I330" s="388">
        <f>IF(H330,Wh_hp,'2023'!Maxi_hp)</f>
        <v>33.686357160072951</v>
      </c>
      <c r="J330" s="85">
        <f>IF(H330,An,'2023'!An_max)</f>
        <v>2022</v>
      </c>
      <c r="K330" s="197">
        <f t="shared" si="104"/>
        <v>45607</v>
      </c>
      <c r="L330" s="147">
        <f>IF(t&lt;Tvie,1-EXP((T0-t)*PertePVj)+'2023'!Pspv,1-EXP((T0-t)*PertePVj)+Pspv)</f>
        <v>3.9649753622343908E-2</v>
      </c>
      <c r="M330" s="832"/>
      <c r="N330" s="832"/>
      <c r="O330" s="48">
        <f>IF(t&lt;Tnet,'2023'!Resal+('2023'!Salim-'2023'!Resal)*(1-EXP(('2023'!Tnet-t)/('2023'!Tau_j))),Resal+(Salim-Resal)*(1-EXP((Tnet-t)/(Tau_j))))*Salcycl</f>
        <v>3.0954454525750512E-2</v>
      </c>
      <c r="P330" s="169">
        <f>(INDEX(Models!$BJ330:$BT330,,T330)*(1-R330)+INDEX(Models!$BJ330:$BT330,,T330+1)*R330-ERP_i)*Q330*Ramure*Pc/MaxiM</f>
        <v>2.4975047804437999E-4</v>
      </c>
      <c r="Q330" s="304">
        <f t="shared" si="105"/>
        <v>0.6</v>
      </c>
      <c r="R330" s="177">
        <f t="shared" si="106"/>
        <v>0.49842154575498832</v>
      </c>
      <c r="S330" s="799">
        <f t="shared" si="107"/>
        <v>1</v>
      </c>
      <c r="T330" s="176">
        <f t="shared" si="108"/>
        <v>7</v>
      </c>
      <c r="U330" s="250">
        <f t="shared" si="109"/>
        <v>1.4984215457549883</v>
      </c>
      <c r="V330" s="382">
        <f t="shared" si="110"/>
        <v>31.617002124987273</v>
      </c>
      <c r="W330" s="400">
        <f t="shared" si="111"/>
        <v>31.341517322254386</v>
      </c>
      <c r="X330" s="157">
        <f t="shared" si="112"/>
        <v>45607</v>
      </c>
      <c r="Y330" s="383">
        <f t="shared" si="113"/>
        <v>30.375022637658731</v>
      </c>
      <c r="Z330" s="383">
        <f t="shared" si="114"/>
        <v>31.629109017496731</v>
      </c>
      <c r="AA330" s="384">
        <f t="shared" si="115"/>
        <v>33.677990979991861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6.0837416451366512E-2</v>
      </c>
      <c r="AD330" s="230">
        <f>(INDEX(Models!$BJ330:$BT330,,AH330)*(1-AF330)+INDEX(Models!$BJ330:$BT330,,AH330+1)*AF330-ERP_i)*AE330*Ramure*Pc/MaxiM</f>
        <v>2.4975047804437999E-4</v>
      </c>
      <c r="AE330" s="304">
        <f t="shared" si="117"/>
        <v>0.6</v>
      </c>
      <c r="AF330" s="177">
        <f t="shared" si="118"/>
        <v>0.49842154575498832</v>
      </c>
      <c r="AG330" s="799">
        <f t="shared" si="124"/>
        <v>1</v>
      </c>
      <c r="AH330" s="176">
        <f t="shared" si="119"/>
        <v>7</v>
      </c>
      <c r="AI330" s="224">
        <f t="shared" si="120"/>
        <v>1.4984215457549883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45608</v>
      </c>
      <c r="B331" s="409">
        <f>IF(t&gt;Tmaj,'2023'!Wh/'2023'!Env_an*'2024'!Env_an,0.001*'[13]mon-tableau (3)'!$B$247)</f>
        <v>30.348484054314468</v>
      </c>
      <c r="C331" s="829"/>
      <c r="D331" s="391">
        <f t="shared" si="102"/>
        <v>31.602080388595969</v>
      </c>
      <c r="E331" s="383">
        <f t="shared" si="125"/>
        <v>32.614234202130483</v>
      </c>
      <c r="F331" s="383">
        <f t="shared" si="103"/>
        <v>32.622814502397581</v>
      </c>
      <c r="G331" s="110">
        <f t="shared" si="126"/>
        <v>0.96831829219788745</v>
      </c>
      <c r="H331" s="412" t="b">
        <f>Wh_hp&gt;='2023'!Maxi_hp</f>
        <v>0</v>
      </c>
      <c r="I331" s="388">
        <f>IF(H331,Wh_hp,'2023'!Maxi_hp)</f>
        <v>32.623038757538794</v>
      </c>
      <c r="J331" s="85">
        <f>IF(H331,An,'2023'!An_max)</f>
        <v>2022</v>
      </c>
      <c r="K331" s="197">
        <f t="shared" si="104"/>
        <v>45608</v>
      </c>
      <c r="L331" s="147">
        <f>IF(t&lt;Tvie,1-EXP((T0-t)*PertePVj)+'2023'!Pspv,1-EXP((T0-t)*PertePVj)+Pspv)</f>
        <v>3.9668158515724694E-2</v>
      </c>
      <c r="M331" s="832"/>
      <c r="N331" s="832"/>
      <c r="O331" s="48">
        <f>IF(t&lt;Tnet,'2023'!Resal+('2023'!Salim-'2023'!Resal)*(1-EXP(('2023'!Tnet-t)/('2023'!Tau_j))),Resal+(Salim-Resal)*(1-EXP((Tnet-t)/(Tau_j))))*Salcycl</f>
        <v>3.1034112506262482E-2</v>
      </c>
      <c r="P331" s="169">
        <f>(INDEX(Models!$BJ331:$BT331,,T331)*(1-R331)+INDEX(Models!$BJ331:$BT331,,T331+1)*R331-ERP_i)*Q331*Ramure*Pc/MaxiM</f>
        <v>2.7547862517154274E-4</v>
      </c>
      <c r="Q331" s="304">
        <f t="shared" si="105"/>
        <v>0.6</v>
      </c>
      <c r="R331" s="177">
        <f t="shared" si="106"/>
        <v>0.49845596255173907</v>
      </c>
      <c r="S331" s="799">
        <f t="shared" si="107"/>
        <v>1</v>
      </c>
      <c r="T331" s="176">
        <f t="shared" si="108"/>
        <v>7</v>
      </c>
      <c r="U331" s="250">
        <f t="shared" si="109"/>
        <v>1.4984559625517391</v>
      </c>
      <c r="V331" s="382">
        <f t="shared" si="110"/>
        <v>31.341043494856414</v>
      </c>
      <c r="W331" s="400">
        <f t="shared" si="111"/>
        <v>30.348484054314468</v>
      </c>
      <c r="X331" s="157">
        <f t="shared" si="112"/>
        <v>45608</v>
      </c>
      <c r="Y331" s="383">
        <f t="shared" si="113"/>
        <v>29.414210251261103</v>
      </c>
      <c r="Z331" s="383">
        <f t="shared" si="114"/>
        <v>30.629214799124973</v>
      </c>
      <c r="AA331" s="384">
        <f t="shared" si="115"/>
        <v>32.614234202130483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6.0863590747007076E-2</v>
      </c>
      <c r="AD331" s="230">
        <f>(INDEX(Models!$BJ331:$BT331,,AH331)*(1-AF331)+INDEX(Models!$BJ331:$BT331,,AH331+1)*AF331-ERP_i)*AE331*Ramure*Pc/MaxiM</f>
        <v>2.7547862517154274E-4</v>
      </c>
      <c r="AE331" s="304">
        <f t="shared" si="117"/>
        <v>0.6</v>
      </c>
      <c r="AF331" s="177">
        <f t="shared" si="118"/>
        <v>0.49845596255173907</v>
      </c>
      <c r="AG331" s="799">
        <f t="shared" si="124"/>
        <v>1</v>
      </c>
      <c r="AH331" s="176">
        <f t="shared" si="119"/>
        <v>7</v>
      </c>
      <c r="AI331" s="224">
        <f t="shared" si="120"/>
        <v>1.4984559625517391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45609</v>
      </c>
      <c r="B332" s="409">
        <f>IF(t&gt;Tmaj,'2023'!Wh/'2023'!Env_an*'2024'!Env_an,0.001*'[13]mon-tableau (3)'!$B$248)</f>
        <v>11.494501937324964</v>
      </c>
      <c r="C332" s="829"/>
      <c r="D332" s="391">
        <f t="shared" si="102"/>
        <v>11.969531504118487</v>
      </c>
      <c r="E332" s="383">
        <f t="shared" si="125"/>
        <v>12.35390962376705</v>
      </c>
      <c r="F332" s="383">
        <f t="shared" si="103"/>
        <v>12.354286615198113</v>
      </c>
      <c r="G332" s="110">
        <f t="shared" si="126"/>
        <v>0.36991298937361872</v>
      </c>
      <c r="H332" s="412" t="b">
        <f>Wh_hp&gt;='2023'!Maxi_hp</f>
        <v>0</v>
      </c>
      <c r="I332" s="388">
        <f>IF(H332,Wh_hp,'2023'!Maxi_hp)</f>
        <v>19.58493615154913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3.9686563056379853E-2</v>
      </c>
      <c r="M332" s="832"/>
      <c r="N332" s="832"/>
      <c r="O332" s="48">
        <f>IF(t&lt;Tnet,'2023'!Resal+('2023'!Salim-'2023'!Resal)*(1-EXP(('2023'!Tnet-t)/('2023'!Tau_j))),Resal+(Salim-Resal)*(1-EXP((Tnet-t)/(Tau_j))))*Salcycl</f>
        <v>3.1113884701655756E-2</v>
      </c>
      <c r="P332" s="169">
        <f>(INDEX(Models!$BJ332:$BT332,,T332)*(1-R332)+INDEX(Models!$BJ332:$BT332,,T332+1)*R332-ERP_i)*Q332*Ramure*Pc/MaxiM</f>
        <v>3.0508672343961533E-4</v>
      </c>
      <c r="Q332" s="304">
        <f t="shared" si="105"/>
        <v>0.6</v>
      </c>
      <c r="R332" s="177">
        <f t="shared" si="106"/>
        <v>0.49848899808430081</v>
      </c>
      <c r="S332" s="799">
        <f t="shared" si="107"/>
        <v>1</v>
      </c>
      <c r="T332" s="176">
        <f t="shared" si="108"/>
        <v>7</v>
      </c>
      <c r="U332" s="250">
        <f t="shared" si="109"/>
        <v>1.4984889980843008</v>
      </c>
      <c r="V332" s="382">
        <f t="shared" si="110"/>
        <v>31.064996651280165</v>
      </c>
      <c r="W332" s="400">
        <f t="shared" si="111"/>
        <v>11.494501937324964</v>
      </c>
      <c r="X332" s="157">
        <f t="shared" si="112"/>
        <v>45609</v>
      </c>
      <c r="Y332" s="383">
        <f t="shared" si="113"/>
        <v>11.141245644491745</v>
      </c>
      <c r="Z332" s="383">
        <f t="shared" si="114"/>
        <v>11.601676302636017</v>
      </c>
      <c r="AA332" s="384">
        <f t="shared" si="115"/>
        <v>12.35390962376705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6.089030469219639E-2</v>
      </c>
      <c r="AD332" s="230">
        <f>(INDEX(Models!$BJ332:$BT332,,AH332)*(1-AF332)+INDEX(Models!$BJ332:$BT332,,AH332+1)*AF332-ERP_i)*AE332*Ramure*Pc/MaxiM</f>
        <v>3.0508672343961533E-4</v>
      </c>
      <c r="AE332" s="304">
        <f t="shared" si="117"/>
        <v>0.6</v>
      </c>
      <c r="AF332" s="177">
        <f t="shared" si="118"/>
        <v>0.49848899808430081</v>
      </c>
      <c r="AG332" s="799">
        <f t="shared" si="124"/>
        <v>1</v>
      </c>
      <c r="AH332" s="176">
        <f t="shared" si="119"/>
        <v>7</v>
      </c>
      <c r="AI332" s="224">
        <f t="shared" si="120"/>
        <v>1.4984889980843008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45610</v>
      </c>
      <c r="B333" s="409">
        <f>IF(t&gt;Tmaj,'2023'!Wh/'2023'!Env_an*'2024'!Env_an,0.001*'[13]mon-tableau (3)'!$B$249)</f>
        <v>13.187607908536762</v>
      </c>
      <c r="C333" s="829"/>
      <c r="D333" s="391">
        <f t="shared" si="102"/>
        <v>13.732871105969705</v>
      </c>
      <c r="E333" s="383">
        <f t="shared" si="125"/>
        <v>14.175044621409119</v>
      </c>
      <c r="F333" s="383">
        <f t="shared" si="103"/>
        <v>14.175922467020667</v>
      </c>
      <c r="G333" s="110">
        <f t="shared" si="126"/>
        <v>0.42819291365311346</v>
      </c>
      <c r="H333" s="412" t="b">
        <f>Wh_hp&gt;='2023'!Maxi_hp</f>
        <v>0</v>
      </c>
      <c r="I333" s="388">
        <f>IF(H333,Wh_hp,'2023'!Maxi_hp)</f>
        <v>27.924813714733766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3.9704967244316158E-2</v>
      </c>
      <c r="M333" s="832"/>
      <c r="N333" s="832"/>
      <c r="O333" s="48">
        <f>IF(t&lt;Tnet,'2023'!Resal+('2023'!Salim-'2023'!Resal)*(1-EXP(('2023'!Tnet-t)/('2023'!Tau_j))),Resal+(Salim-Resal)*(1-EXP((Tnet-t)/(Tau_j))))*Salcycl</f>
        <v>3.1193800601627852E-2</v>
      </c>
      <c r="P333" s="169">
        <f>(INDEX(Models!$BJ333:$BT333,,T333)*(1-R333)+INDEX(Models!$BJ333:$BT333,,T333+1)*R333-ERP_i)*Q333*Ramure*Pc/MaxiM</f>
        <v>3.378318895211208E-4</v>
      </c>
      <c r="Q333" s="304">
        <f t="shared" si="105"/>
        <v>0.6</v>
      </c>
      <c r="R333" s="177">
        <f t="shared" si="106"/>
        <v>0.49852070761559597</v>
      </c>
      <c r="S333" s="799">
        <f t="shared" si="107"/>
        <v>1</v>
      </c>
      <c r="T333" s="176">
        <f t="shared" si="108"/>
        <v>7</v>
      </c>
      <c r="U333" s="250">
        <f t="shared" si="109"/>
        <v>1.498520707615596</v>
      </c>
      <c r="V333" s="382">
        <f t="shared" si="110"/>
        <v>30.789788229675835</v>
      </c>
      <c r="W333" s="400">
        <f t="shared" si="111"/>
        <v>13.187607908536762</v>
      </c>
      <c r="X333" s="157">
        <f t="shared" si="112"/>
        <v>45610</v>
      </c>
      <c r="Y333" s="383">
        <f t="shared" si="113"/>
        <v>12.783000715607406</v>
      </c>
      <c r="Z333" s="383">
        <f t="shared" si="114"/>
        <v>13.311534767523503</v>
      </c>
      <c r="AA333" s="384">
        <f t="shared" si="115"/>
        <v>14.175044621409119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6.091761098102115E-2</v>
      </c>
      <c r="AD333" s="230">
        <f>(INDEX(Models!$BJ333:$BT333,,AH333)*(1-AF333)+INDEX(Models!$BJ333:$BT333,,AH333+1)*AF333-ERP_i)*AE333*Ramure*Pc/MaxiM</f>
        <v>3.378318895211208E-4</v>
      </c>
      <c r="AE333" s="304">
        <f t="shared" si="117"/>
        <v>0.6</v>
      </c>
      <c r="AF333" s="177">
        <f t="shared" si="118"/>
        <v>0.49852070761559597</v>
      </c>
      <c r="AG333" s="799">
        <f t="shared" si="124"/>
        <v>1</v>
      </c>
      <c r="AH333" s="176">
        <f t="shared" si="119"/>
        <v>7</v>
      </c>
      <c r="AI333" s="224">
        <f t="shared" si="120"/>
        <v>1.498520707615596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45611</v>
      </c>
      <c r="B334" s="409">
        <f>IF(t&gt;Tmaj,'2023'!Wh/'2023'!Env_an*'2024'!Env_an,0.001*'[13]mon-tableau (3)'!$B$250)</f>
        <v>30.909362328832902</v>
      </c>
      <c r="C334" s="829"/>
      <c r="D334" s="391">
        <f t="shared" si="102"/>
        <v>32.187977295231192</v>
      </c>
      <c r="E334" s="383">
        <f t="shared" si="125"/>
        <v>33.227118497144673</v>
      </c>
      <c r="F334" s="383">
        <f t="shared" si="103"/>
        <v>33.239540587277787</v>
      </c>
      <c r="G334" s="110">
        <f t="shared" si="126"/>
        <v>1.0128797109208916</v>
      </c>
      <c r="H334" s="412" t="b">
        <f>Wh_hp&gt;='2023'!Maxi_hp</f>
        <v>1</v>
      </c>
      <c r="I334" s="388">
        <f>IF(H334,Wh_hp,'2023'!Maxi_hp)</f>
        <v>33.239540587277787</v>
      </c>
      <c r="J334" s="85">
        <f>IF(H334,An,'2023'!An_max)</f>
        <v>2024</v>
      </c>
      <c r="K334" s="197">
        <f t="shared" si="104"/>
        <v>45611</v>
      </c>
      <c r="L334" s="147">
        <f>IF(t&lt;Tvie,1-EXP((T0-t)*PertePVj)+'2023'!Pspv,1-EXP((T0-t)*PertePVj)+Pspv)</f>
        <v>3.9723371079540382E-2</v>
      </c>
      <c r="M334" s="832"/>
      <c r="N334" s="832"/>
      <c r="O334" s="48">
        <f>IF(t&lt;Tnet,'2023'!Resal+('2023'!Salim-'2023'!Resal)*(1-EXP(('2023'!Tnet-t)/('2023'!Tau_j))),Resal+(Salim-Resal)*(1-EXP((Tnet-t)/(Tau_j))))*Salcycl</f>
        <v>3.1273888585998721E-2</v>
      </c>
      <c r="P334" s="169">
        <f>(INDEX(Models!$BJ334:$BT334,,T334)*(1-R334)+INDEX(Models!$BJ334:$BT334,,T334+1)*R334-ERP_i)*Q334*Ramure*Pc/MaxiM</f>
        <v>3.737142545787051E-4</v>
      </c>
      <c r="Q334" s="304">
        <f t="shared" si="105"/>
        <v>0.6</v>
      </c>
      <c r="R334" s="177">
        <f t="shared" si="106"/>
        <v>0.49855114421108548</v>
      </c>
      <c r="S334" s="799">
        <f t="shared" si="107"/>
        <v>1</v>
      </c>
      <c r="T334" s="176">
        <f t="shared" si="108"/>
        <v>7</v>
      </c>
      <c r="U334" s="250">
        <f t="shared" si="109"/>
        <v>1.4985511442110855</v>
      </c>
      <c r="V334" s="382">
        <f t="shared" si="110"/>
        <v>30.516320936797801</v>
      </c>
      <c r="W334" s="400">
        <f t="shared" si="111"/>
        <v>30.909362328832902</v>
      </c>
      <c r="X334" s="157">
        <f t="shared" si="112"/>
        <v>45611</v>
      </c>
      <c r="Y334" s="383">
        <f t="shared" si="113"/>
        <v>29.962621631354235</v>
      </c>
      <c r="Z334" s="383">
        <f t="shared" si="114"/>
        <v>31.202073162020127</v>
      </c>
      <c r="AA334" s="384">
        <f t="shared" si="115"/>
        <v>33.227118497144673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6.094555973304052E-2</v>
      </c>
      <c r="AD334" s="230">
        <f>(INDEX(Models!$BJ334:$BT334,,AH334)*(1-AF334)+INDEX(Models!$BJ334:$BT334,,AH334+1)*AF334-ERP_i)*AE334*Ramure*Pc/MaxiM</f>
        <v>3.737142545787051E-4</v>
      </c>
      <c r="AE334" s="304">
        <f t="shared" si="117"/>
        <v>0.6</v>
      </c>
      <c r="AF334" s="177">
        <f t="shared" si="118"/>
        <v>0.49855114421108548</v>
      </c>
      <c r="AG334" s="799">
        <f t="shared" si="124"/>
        <v>1</v>
      </c>
      <c r="AH334" s="176">
        <f t="shared" si="119"/>
        <v>7</v>
      </c>
      <c r="AI334" s="224">
        <f t="shared" si="120"/>
        <v>1.4985511442110855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45612</v>
      </c>
      <c r="B335" s="409">
        <f>IF(t&gt;Tmaj,'2023'!Wh/'2023'!Env_an*'2024'!Env_an,0.001*'[13]mon-tableau (3)'!$B$251)</f>
        <v>13.89412992927743</v>
      </c>
      <c r="C335" s="829"/>
      <c r="D335" s="391">
        <f t="shared" ref="D335:D379" si="127">Wh/(1-Ppv)</f>
        <v>14.469160025097203</v>
      </c>
      <c r="E335" s="383">
        <f t="shared" si="125"/>
        <v>14.937513447679407</v>
      </c>
      <c r="F335" s="383">
        <f t="shared" ref="F335:F379" si="128">Wh_sa/(1-Pvg*MEDIAN((-Sdif+Wh/Env_an)/Csdif,0,1))</f>
        <v>14.938917297754177</v>
      </c>
      <c r="G335" s="110">
        <f t="shared" si="126"/>
        <v>0.45923201690913251</v>
      </c>
      <c r="H335" s="412" t="b">
        <f>Wh_hp&gt;='2023'!Maxi_hp</f>
        <v>0</v>
      </c>
      <c r="I335" s="388">
        <f>IF(H335,Wh_hp,'2023'!Maxi_hp)</f>
        <v>24.838157791635798</v>
      </c>
      <c r="J335" s="85">
        <f>IF(H335,An,'2023'!An_max)</f>
        <v>2020</v>
      </c>
      <c r="K335" s="197">
        <f t="shared" ref="K335:K379" si="129">t</f>
        <v>45612</v>
      </c>
      <c r="L335" s="147">
        <f>IF(t&lt;Tvie,1-EXP((T0-t)*PertePVj)+'2023'!Pspv,1-EXP((T0-t)*PertePVj)+Pspv)</f>
        <v>3.9741774562059295E-2</v>
      </c>
      <c r="M335" s="832"/>
      <c r="N335" s="832"/>
      <c r="O335" s="48">
        <f>IF(t&lt;Tnet,'2023'!Resal+('2023'!Salim-'2023'!Resal)*(1-EXP(('2023'!Tnet-t)/('2023'!Tau_j))),Resal+(Salim-Resal)*(1-EXP((Tnet-t)/(Tau_j))))*Salcycl</f>
        <v>3.1354175795233433E-2</v>
      </c>
      <c r="P335" s="169">
        <f>(INDEX(Models!$BJ335:$BT335,,T335)*(1-R335)+INDEX(Models!$BJ335:$BT335,,T335+1)*R335-ERP_i)*Q335*Ramure*Pc/MaxiM</f>
        <v>4.1273377824814104E-4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0.49858035882507967</v>
      </c>
      <c r="S335" s="799">
        <f t="shared" ref="S335:S379" si="132">INDEX(Echel_vg,T335)</f>
        <v>1</v>
      </c>
      <c r="T335" s="176">
        <f t="shared" ref="T335:T379" si="133">MIN(MATCH(Hp_vg,Echel_vg),10)</f>
        <v>7</v>
      </c>
      <c r="U335" s="250">
        <f t="shared" ref="U335:U379" si="134">IF(OR(t&lt;Ttai,Notai),Hdd+PousH*Croivg,Hdtf+PousH*(Croivg-Croi_tai))</f>
        <v>1.4985803588250797</v>
      </c>
      <c r="V335" s="382">
        <f t="shared" ref="V335:V379" si="135">MaxiM*(1-Ppv)*(1-Pvg)*(1-Psa)</f>
        <v>30.24549703305253</v>
      </c>
      <c r="W335" s="400">
        <f t="shared" ref="W335:W380" si="136">Wh*(A335&gt;Tmaj)</f>
        <v>13.89412992927743</v>
      </c>
      <c r="X335" s="157">
        <f t="shared" ref="X335:X379" si="137">t</f>
        <v>45612</v>
      </c>
      <c r="Y335" s="383">
        <f t="shared" ref="Y335:Y379" si="138">Wh_pvt_s*(1-Ppv)</f>
        <v>13.469264172863932</v>
      </c>
      <c r="Z335" s="383">
        <f t="shared" ref="Z335:Z379" si="139">Wh_sa_s*(1-Psa_s)</f>
        <v>14.026710541032923</v>
      </c>
      <c r="AA335" s="384">
        <f t="shared" ref="AA335:AA379" si="140">Wh_hp*(1-Pvg_s*MEDIAN((-Sdif+Wh/Env_an)/Csdif,0,1))</f>
        <v>14.937513447679407</v>
      </c>
      <c r="AB335" s="197">
        <f t="shared" ref="AB335:AB379" si="141">t</f>
        <v>45612</v>
      </c>
      <c r="AC335" s="119">
        <f>IF(OR(t&lt;Tnet,NoTnet),'2023'!Resal_s+('2023'!Salim-'2023'!Resal_s)*(1-EXP(('2023'!Tnet_s-t)/'2023'!Tau_j)),Resal_s+(Salim-Resal_s)*(1-EXP((Tnet_s-t)/Tau_j)))*Salcycl</f>
        <v>6.0974198271800034E-2</v>
      </c>
      <c r="AD335" s="230">
        <f>(INDEX(Models!$BJ335:$BT335,,AH335)*(1-AF335)+INDEX(Models!$BJ335:$BT335,,AH335+1)*AF335-ERP_i)*AE335*Ramure*Pc/MaxiM</f>
        <v>4.1273377824814104E-4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0.49858035882507967</v>
      </c>
      <c r="AG335" s="799">
        <f t="shared" si="124"/>
        <v>1</v>
      </c>
      <c r="AH335" s="176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1.4985803588250797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80" si="148">A335+1</f>
        <v>45613</v>
      </c>
      <c r="B336" s="409">
        <f>IF(t&gt;Tmaj,'2023'!Wh/'2023'!Env_an*'2024'!Env_an,0.001*'[13]mon-tableau (3)'!$B$252)</f>
        <v>17.71382621725979</v>
      </c>
      <c r="C336" s="829"/>
      <c r="D336" s="391">
        <f t="shared" si="127"/>
        <v>18.44729390068537</v>
      </c>
      <c r="E336" s="383">
        <f t="shared" si="125"/>
        <v>19.045998935016701</v>
      </c>
      <c r="F336" s="383">
        <f t="shared" si="128"/>
        <v>19.049599928766288</v>
      </c>
      <c r="G336" s="110">
        <f t="shared" si="126"/>
        <v>0.59073277125253321</v>
      </c>
      <c r="H336" s="412" t="b">
        <f>Wh_hp&gt;='2023'!Maxi_hp</f>
        <v>0</v>
      </c>
      <c r="I336" s="388">
        <f>IF(H336,Wh_hp,'2023'!Maxi_hp)</f>
        <v>29.745287536442678</v>
      </c>
      <c r="J336" s="85">
        <f>IF(H336,An,'2023'!An_max)</f>
        <v>2020</v>
      </c>
      <c r="K336" s="197">
        <f t="shared" si="129"/>
        <v>45613</v>
      </c>
      <c r="L336" s="147">
        <f>IF(t&lt;Tvie,1-EXP((T0-t)*PertePVj)+'2023'!Pspv,1-EXP((T0-t)*PertePVj)+Pspv)</f>
        <v>3.9760177691879783E-2</v>
      </c>
      <c r="M336" s="832"/>
      <c r="N336" s="832"/>
      <c r="O336" s="48">
        <f>IF(t&lt;Tnet,'2023'!Resal+('2023'!Salim-'2023'!Resal)*(1-EXP(('2023'!Tnet-t)/('2023'!Tau_j))),Resal+(Salim-Resal)*(1-EXP((Tnet-t)/(Tau_j))))*Salcycl</f>
        <v>3.1434688008440105E-2</v>
      </c>
      <c r="P336" s="169">
        <f>(INDEX(Models!$BJ336:$BT336,,T336)*(1-R336)+INDEX(Models!$BJ336:$BT336,,T336+1)*R336-ERP_i)*Q336*Ramure*Pc/MaxiM</f>
        <v>4.5488950401991276E-4</v>
      </c>
      <c r="Q336" s="304">
        <f t="shared" si="130"/>
        <v>0.6</v>
      </c>
      <c r="R336" s="177">
        <f t="shared" si="131"/>
        <v>0.49860840038374299</v>
      </c>
      <c r="S336" s="799">
        <f t="shared" si="132"/>
        <v>1</v>
      </c>
      <c r="T336" s="176">
        <f t="shared" si="133"/>
        <v>7</v>
      </c>
      <c r="U336" s="250">
        <f t="shared" si="134"/>
        <v>1.498608400383743</v>
      </c>
      <c r="V336" s="382">
        <f t="shared" si="135"/>
        <v>29.978218314838241</v>
      </c>
      <c r="W336" s="400">
        <f t="shared" si="136"/>
        <v>17.71382621725979</v>
      </c>
      <c r="X336" s="157">
        <f t="shared" si="137"/>
        <v>45613</v>
      </c>
      <c r="Y336" s="383">
        <f t="shared" si="138"/>
        <v>17.173049000839992</v>
      </c>
      <c r="Z336" s="383">
        <f t="shared" si="139"/>
        <v>17.884124988236046</v>
      </c>
      <c r="AA336" s="384">
        <f t="shared" si="140"/>
        <v>19.045998935016701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6.1003570920321368E-2</v>
      </c>
      <c r="AD336" s="230">
        <f>(INDEX(Models!$BJ336:$BT336,,AH336)*(1-AF336)+INDEX(Models!$BJ336:$BT336,,AH336+1)*AF336-ERP_i)*AE336*Ramure*Pc/MaxiM</f>
        <v>4.5488950401991276E-4</v>
      </c>
      <c r="AE336" s="304">
        <f t="shared" si="142"/>
        <v>0.6</v>
      </c>
      <c r="AF336" s="177">
        <f t="shared" si="143"/>
        <v>0.49860840038374299</v>
      </c>
      <c r="AG336" s="799">
        <f t="shared" ref="AG336:AG379" si="149">INDEX(Echel_vg,AH336)</f>
        <v>1</v>
      </c>
      <c r="AH336" s="176">
        <f t="shared" si="144"/>
        <v>7</v>
      </c>
      <c r="AI336" s="224">
        <f t="shared" si="145"/>
        <v>1.498608400383743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45614</v>
      </c>
      <c r="B337" s="409">
        <f>IF(t&gt;Tmaj,'2023'!Wh/'2023'!Env_an*'2024'!Env_an,0.001*'[13]mon-tableau (3)'!$B$253)</f>
        <v>6.989456917579238</v>
      </c>
      <c r="C337" s="829"/>
      <c r="D337" s="391">
        <f t="shared" si="127"/>
        <v>7.2790054204301677</v>
      </c>
      <c r="E337" s="383">
        <f t="shared" si="125"/>
        <v>7.5158714890141338</v>
      </c>
      <c r="F337" s="383">
        <f t="shared" si="128"/>
        <v>7.5158714890141338</v>
      </c>
      <c r="G337" s="110">
        <f t="shared" si="126"/>
        <v>0.23509574842721637</v>
      </c>
      <c r="H337" s="412" t="b">
        <f>Wh_hp&gt;='2023'!Maxi_hp</f>
        <v>0</v>
      </c>
      <c r="I337" s="388">
        <f>IF(H337,Wh_hp,'2023'!Maxi_hp)</f>
        <v>31.924931644225545</v>
      </c>
      <c r="J337" s="85">
        <f>IF(H337,An,'2023'!An_max)</f>
        <v>2020</v>
      </c>
      <c r="K337" s="197">
        <f t="shared" si="129"/>
        <v>45614</v>
      </c>
      <c r="L337" s="147">
        <f>IF(t&lt;Tvie,1-EXP((T0-t)*PertePVj)+'2023'!Pspv,1-EXP((T0-t)*PertePVj)+Pspv)</f>
        <v>3.9778580469008396E-2</v>
      </c>
      <c r="M337" s="832"/>
      <c r="N337" s="832"/>
      <c r="O337" s="48">
        <f>IF(t&lt;Tnet,'2023'!Resal+('2023'!Salim-'2023'!Resal)*(1-EXP(('2023'!Tnet-t)/('2023'!Tau_j))),Resal+(Salim-Resal)*(1-EXP((Tnet-t)/(Tau_j))))*Salcycl</f>
        <v>3.1515449529730573E-2</v>
      </c>
      <c r="P337" s="169">
        <f>(INDEX(Models!$BJ337:$BT337,,T337)*(1-R337)+INDEX(Models!$BJ337:$BT337,,T337+1)*R337-ERP_i)*Q337*Ramure*Pc/MaxiM</f>
        <v>5.0017872640764876E-4</v>
      </c>
      <c r="Q337" s="304">
        <f t="shared" si="130"/>
        <v>0.6</v>
      </c>
      <c r="R337" s="177">
        <f t="shared" si="131"/>
        <v>0.4986353158649135</v>
      </c>
      <c r="S337" s="799">
        <f t="shared" si="132"/>
        <v>1</v>
      </c>
      <c r="T337" s="176">
        <f t="shared" si="133"/>
        <v>7</v>
      </c>
      <c r="U337" s="250">
        <f t="shared" si="134"/>
        <v>1.4986353158649135</v>
      </c>
      <c r="V337" s="382">
        <f t="shared" si="135"/>
        <v>29.715386120998765</v>
      </c>
      <c r="W337" s="400">
        <f t="shared" si="136"/>
        <v>6.989456917579238</v>
      </c>
      <c r="X337" s="157">
        <f t="shared" si="137"/>
        <v>45614</v>
      </c>
      <c r="Y337" s="383">
        <f t="shared" si="138"/>
        <v>6.7764264966491332</v>
      </c>
      <c r="Z337" s="383">
        <f t="shared" si="139"/>
        <v>7.0571499019038715</v>
      </c>
      <c r="AA337" s="384">
        <f t="shared" si="140"/>
        <v>7.5158714890141338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6.1033718815013113E-2</v>
      </c>
      <c r="AD337" s="230">
        <f>(INDEX(Models!$BJ337:$BT337,,AH337)*(1-AF337)+INDEX(Models!$BJ337:$BT337,,AH337+1)*AF337-ERP_i)*AE337*Ramure*Pc/MaxiM</f>
        <v>5.0017872640764876E-4</v>
      </c>
      <c r="AE337" s="304">
        <f t="shared" si="142"/>
        <v>0.6</v>
      </c>
      <c r="AF337" s="177">
        <f t="shared" si="143"/>
        <v>0.4986353158649135</v>
      </c>
      <c r="AG337" s="799">
        <f t="shared" si="149"/>
        <v>1</v>
      </c>
      <c r="AH337" s="176">
        <f t="shared" si="144"/>
        <v>7</v>
      </c>
      <c r="AI337" s="224">
        <f t="shared" si="145"/>
        <v>1.4986353158649135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45615</v>
      </c>
      <c r="B338" s="409">
        <f>IF(t&gt;Tmaj,'2023'!Wh/'2023'!Env_an*'2024'!Env_an,0.001*'[13]mon-tableau (3)'!$B$254)</f>
        <v>17.981211767570873</v>
      </c>
      <c r="C338" s="829"/>
      <c r="D338" s="391">
        <f t="shared" si="127"/>
        <v>18.726468722994657</v>
      </c>
      <c r="E338" s="383">
        <f t="shared" si="125"/>
        <v>19.33746459598466</v>
      </c>
      <c r="F338" s="383">
        <f t="shared" si="128"/>
        <v>19.342164580292032</v>
      </c>
      <c r="G338" s="110">
        <f t="shared" si="126"/>
        <v>0.61021710606679369</v>
      </c>
      <c r="H338" s="412" t="b">
        <f>Wh_hp&gt;='2023'!Maxi_hp</f>
        <v>0</v>
      </c>
      <c r="I338" s="388">
        <f>IF(H338,Wh_hp,'2023'!Maxi_hp)</f>
        <v>32.554516773217912</v>
      </c>
      <c r="J338" s="85">
        <f>IF(H338,An,'2023'!An_max)</f>
        <v>2018</v>
      </c>
      <c r="K338" s="197">
        <f t="shared" si="129"/>
        <v>45615</v>
      </c>
      <c r="L338" s="147">
        <f>IF(t&lt;Tvie,1-EXP((T0-t)*PertePVj)+'2023'!Pspv,1-EXP((T0-t)*PertePVj)+Pspv)</f>
        <v>3.9796982893452015E-2</v>
      </c>
      <c r="M338" s="832"/>
      <c r="N338" s="832"/>
      <c r="O338" s="48">
        <f>IF(t&lt;Tnet,'2023'!Resal+('2023'!Salim-'2023'!Resal)*(1-EXP(('2023'!Tnet-t)/('2023'!Tau_j))),Resal+(Salim-Resal)*(1-EXP((Tnet-t)/(Tau_j))))*Salcycl</f>
        <v>3.1596483083768528E-2</v>
      </c>
      <c r="P338" s="169">
        <f>(INDEX(Models!$BJ338:$BT338,,T338)*(1-R338)+INDEX(Models!$BJ338:$BT338,,T338+1)*R338-ERP_i)*Q338*Ramure*Pc/MaxiM</f>
        <v>5.4797787205622969E-4</v>
      </c>
      <c r="Q338" s="304">
        <f t="shared" si="130"/>
        <v>0.6</v>
      </c>
      <c r="R338" s="177">
        <f t="shared" si="131"/>
        <v>0.49866115037485259</v>
      </c>
      <c r="S338" s="799">
        <f t="shared" si="132"/>
        <v>1</v>
      </c>
      <c r="T338" s="176">
        <f t="shared" si="133"/>
        <v>7</v>
      </c>
      <c r="U338" s="250">
        <f t="shared" si="134"/>
        <v>1.4986611503748526</v>
      </c>
      <c r="V338" s="382">
        <f t="shared" si="135"/>
        <v>29.457919540356016</v>
      </c>
      <c r="W338" s="400">
        <f t="shared" si="136"/>
        <v>17.981211767570873</v>
      </c>
      <c r="X338" s="157">
        <f t="shared" si="137"/>
        <v>45615</v>
      </c>
      <c r="Y338" s="383">
        <f t="shared" si="138"/>
        <v>17.434049479107756</v>
      </c>
      <c r="Z338" s="383">
        <f t="shared" si="139"/>
        <v>18.156628513460713</v>
      </c>
      <c r="AA338" s="384">
        <f t="shared" si="140"/>
        <v>19.33746459598466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6.1064679739304739E-2</v>
      </c>
      <c r="AD338" s="230">
        <f>(INDEX(Models!$BJ338:$BT338,,AH338)*(1-AF338)+INDEX(Models!$BJ338:$BT338,,AH338+1)*AF338-ERP_i)*AE338*Ramure*Pc/MaxiM</f>
        <v>5.4797787205622969E-4</v>
      </c>
      <c r="AE338" s="304">
        <f t="shared" si="142"/>
        <v>0.6</v>
      </c>
      <c r="AF338" s="177">
        <f t="shared" si="143"/>
        <v>0.49866115037485259</v>
      </c>
      <c r="AG338" s="799">
        <f t="shared" si="149"/>
        <v>1</v>
      </c>
      <c r="AH338" s="176">
        <f t="shared" si="144"/>
        <v>7</v>
      </c>
      <c r="AI338" s="224">
        <f t="shared" si="145"/>
        <v>1.4986611503748526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45616</v>
      </c>
      <c r="B339" s="409">
        <f>IF(t&gt;Tmaj,'2023'!Wh/'2023'!Env_an*'2024'!Env_an,0.001*'[13]mon-tableau (3)'!$B$255)</f>
        <v>3.2130046280442452</v>
      </c>
      <c r="C339" s="829"/>
      <c r="D339" s="391">
        <f t="shared" si="127"/>
        <v>3.3462363151151449</v>
      </c>
      <c r="E339" s="383">
        <f t="shared" si="125"/>
        <v>3.4557054962789775</v>
      </c>
      <c r="F339" s="383">
        <f t="shared" si="128"/>
        <v>3.4557054962789775</v>
      </c>
      <c r="G339" s="110">
        <f t="shared" si="126"/>
        <v>0.10994327751906262</v>
      </c>
      <c r="H339" s="412" t="b">
        <f>Wh_hp&gt;='2023'!Maxi_hp</f>
        <v>0</v>
      </c>
      <c r="I339" s="388">
        <f>IF(H339,Wh_hp,'2023'!Maxi_hp)</f>
        <v>29.917682231011785</v>
      </c>
      <c r="J339" s="85">
        <f>IF(H339,An,'2023'!An_max)</f>
        <v>2018</v>
      </c>
      <c r="K339" s="197">
        <f t="shared" si="129"/>
        <v>45616</v>
      </c>
      <c r="L339" s="147">
        <f>IF(t&lt;Tvie,1-EXP((T0-t)*PertePVj)+'2023'!Pspv,1-EXP((T0-t)*PertePVj)+Pspv)</f>
        <v>3.9815384965217304E-2</v>
      </c>
      <c r="M339" s="832"/>
      <c r="N339" s="832"/>
      <c r="O339" s="48">
        <f>IF(t&lt;Tnet,'2023'!Resal+('2023'!Salim-'2023'!Resal)*(1-EXP(('2023'!Tnet-t)/('2023'!Tau_j))),Resal+(Salim-Resal)*(1-EXP((Tnet-t)/(Tau_j))))*Salcycl</f>
        <v>3.1677809721258471E-2</v>
      </c>
      <c r="P339" s="169">
        <f>(INDEX(Models!$BJ339:$BT339,,T339)*(1-R339)+INDEX(Models!$BJ339:$BT339,,T339+1)*R339-ERP_i)*Q339*Ramure*Pc/MaxiM</f>
        <v>5.9666463055613379E-4</v>
      </c>
      <c r="Q339" s="304">
        <f t="shared" si="130"/>
        <v>0.6</v>
      </c>
      <c r="R339" s="177">
        <f t="shared" si="131"/>
        <v>0.49868594722203774</v>
      </c>
      <c r="S339" s="799">
        <f t="shared" si="132"/>
        <v>1</v>
      </c>
      <c r="T339" s="176">
        <f t="shared" si="133"/>
        <v>7</v>
      </c>
      <c r="U339" s="250">
        <f t="shared" si="134"/>
        <v>1.4986859472220377</v>
      </c>
      <c r="V339" s="382">
        <f t="shared" si="135"/>
        <v>29.206765654845253</v>
      </c>
      <c r="W339" s="400">
        <f t="shared" si="136"/>
        <v>3.2130046280442452</v>
      </c>
      <c r="X339" s="157">
        <f t="shared" si="137"/>
        <v>45616</v>
      </c>
      <c r="Y339" s="383">
        <f t="shared" si="138"/>
        <v>3.1153900630375979</v>
      </c>
      <c r="Z339" s="383">
        <f t="shared" si="139"/>
        <v>3.2445740269695351</v>
      </c>
      <c r="AA339" s="384">
        <f t="shared" si="140"/>
        <v>3.4557054962789775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6.1096487978152036E-2</v>
      </c>
      <c r="AD339" s="230">
        <f>(INDEX(Models!$BJ339:$BT339,,AH339)*(1-AF339)+INDEX(Models!$BJ339:$BT339,,AH339+1)*AF339-ERP_i)*AE339*Ramure*Pc/MaxiM</f>
        <v>5.9666463055613379E-4</v>
      </c>
      <c r="AE339" s="304">
        <f t="shared" si="142"/>
        <v>0.6</v>
      </c>
      <c r="AF339" s="177">
        <f t="shared" si="143"/>
        <v>0.49868594722203774</v>
      </c>
      <c r="AG339" s="799">
        <f t="shared" si="149"/>
        <v>1</v>
      </c>
      <c r="AH339" s="176">
        <f t="shared" si="144"/>
        <v>7</v>
      </c>
      <c r="AI339" s="224">
        <f t="shared" si="145"/>
        <v>1.4986859472220377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45617</v>
      </c>
      <c r="B340" s="409">
        <f>IF(t&gt;Tmaj,'2023'!Wh/'2023'!Env_an*'2024'!Env_an,0.001*'[13]mon-tableau (3)'!$B$256)</f>
        <v>8.2322303022148162</v>
      </c>
      <c r="C340" s="829"/>
      <c r="D340" s="391">
        <f t="shared" si="127"/>
        <v>8.5737554478061782</v>
      </c>
      <c r="E340" s="383">
        <f t="shared" si="125"/>
        <v>8.8549848863539946</v>
      </c>
      <c r="F340" s="383">
        <f t="shared" si="128"/>
        <v>8.8549848863539946</v>
      </c>
      <c r="G340" s="110">
        <f t="shared" si="126"/>
        <v>0.28405071194913756</v>
      </c>
      <c r="H340" s="412" t="b">
        <f>Wh_hp&gt;='2023'!Maxi_hp</f>
        <v>0</v>
      </c>
      <c r="I340" s="388">
        <f>IF(H340,Wh_hp,'2023'!Maxi_hp)</f>
        <v>32.069171926586371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3.9833786684311145E-2</v>
      </c>
      <c r="M340" s="832"/>
      <c r="N340" s="832"/>
      <c r="O340" s="48">
        <f>IF(t&lt;Tnet,'2023'!Resal+('2023'!Salim-'2023'!Resal)*(1-EXP(('2023'!Tnet-t)/('2023'!Tau_j))),Resal+(Salim-Resal)*(1-EXP((Tnet-t)/(Tau_j))))*Salcycl</f>
        <v>3.1759448735051689E-2</v>
      </c>
      <c r="P340" s="169">
        <f>(INDEX(Models!$BJ340:$BT340,,T340)*(1-R340)+INDEX(Models!$BJ340:$BT340,,T340+1)*R340-ERP_i)*Q340*Ramure*Pc/MaxiM</f>
        <v>6.4622744847592543E-4</v>
      </c>
      <c r="Q340" s="304">
        <f t="shared" si="130"/>
        <v>0.6</v>
      </c>
      <c r="R340" s="177">
        <f t="shared" si="131"/>
        <v>0.49870974798810641</v>
      </c>
      <c r="S340" s="799">
        <f t="shared" si="132"/>
        <v>1</v>
      </c>
      <c r="T340" s="176">
        <f t="shared" si="133"/>
        <v>7</v>
      </c>
      <c r="U340" s="250">
        <f t="shared" si="134"/>
        <v>1.4987097479881064</v>
      </c>
      <c r="V340" s="382">
        <f t="shared" si="135"/>
        <v>28.962822703660287</v>
      </c>
      <c r="W340" s="400">
        <f t="shared" si="136"/>
        <v>8.2322303022148162</v>
      </c>
      <c r="X340" s="157">
        <f t="shared" si="137"/>
        <v>45617</v>
      </c>
      <c r="Y340" s="383">
        <f t="shared" si="138"/>
        <v>7.9825213393147445</v>
      </c>
      <c r="Z340" s="383">
        <f t="shared" si="139"/>
        <v>8.3136869727472966</v>
      </c>
      <c r="AA340" s="384">
        <f t="shared" si="140"/>
        <v>8.8549848863539946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6.1129174194398291E-2</v>
      </c>
      <c r="AD340" s="230">
        <f>(INDEX(Models!$BJ340:$BT340,,AH340)*(1-AF340)+INDEX(Models!$BJ340:$BT340,,AH340+1)*AF340-ERP_i)*AE340*Ramure*Pc/MaxiM</f>
        <v>6.4622744847592543E-4</v>
      </c>
      <c r="AE340" s="304">
        <f t="shared" si="142"/>
        <v>0.6</v>
      </c>
      <c r="AF340" s="177">
        <f t="shared" si="143"/>
        <v>0.49870974798810641</v>
      </c>
      <c r="AG340" s="799">
        <f t="shared" si="149"/>
        <v>1</v>
      </c>
      <c r="AH340" s="176">
        <f t="shared" si="144"/>
        <v>7</v>
      </c>
      <c r="AI340" s="224">
        <f t="shared" si="145"/>
        <v>1.4987097479881064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45618</v>
      </c>
      <c r="B341" s="409">
        <f>IF(t&gt;Tmaj,'2023'!Wh/'2023'!Env_an*'2024'!Env_an,0.001*'[13]mon-tableau (3)'!$B$257)</f>
        <v>13.568975411193927</v>
      </c>
      <c r="C341" s="829"/>
      <c r="D341" s="391">
        <f t="shared" si="127"/>
        <v>14.132173444885167</v>
      </c>
      <c r="E341" s="383">
        <f t="shared" si="125"/>
        <v>14.596961387946836</v>
      </c>
      <c r="F341" s="383">
        <f t="shared" si="128"/>
        <v>14.599465434891179</v>
      </c>
      <c r="G341" s="110">
        <f t="shared" si="126"/>
        <v>0.47209433907695753</v>
      </c>
      <c r="H341" s="412" t="b">
        <f>Wh_hp&gt;='2023'!Maxi_hp</f>
        <v>0</v>
      </c>
      <c r="I341" s="388">
        <f>IF(H341,Wh_hp,'2023'!Maxi_hp)</f>
        <v>32.348955390885784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3.98521880507402E-2</v>
      </c>
      <c r="M341" s="832"/>
      <c r="N341" s="832"/>
      <c r="O341" s="48">
        <f>IF(t&lt;Tnet,'2023'!Resal+('2023'!Salim-'2023'!Resal)*(1-EXP(('2023'!Tnet-t)/('2023'!Tau_j))),Resal+(Salim-Resal)*(1-EXP((Tnet-t)/(Tau_j))))*Salcycl</f>
        <v>3.1841417587461569E-2</v>
      </c>
      <c r="P341" s="169">
        <f>(INDEX(Models!$BJ341:$BT341,,T341)*(1-R341)+INDEX(Models!$BJ341:$BT341,,T341+1)*R341-ERP_i)*Q341*Ramure*Pc/MaxiM</f>
        <v>6.9664473661428135E-4</v>
      </c>
      <c r="Q341" s="304">
        <f t="shared" si="130"/>
        <v>0.6</v>
      </c>
      <c r="R341" s="177">
        <f t="shared" si="131"/>
        <v>0.49873259259605596</v>
      </c>
      <c r="S341" s="799">
        <f t="shared" si="132"/>
        <v>1</v>
      </c>
      <c r="T341" s="176">
        <f t="shared" si="133"/>
        <v>7</v>
      </c>
      <c r="U341" s="250">
        <f t="shared" si="134"/>
        <v>1.498732592596056</v>
      </c>
      <c r="V341" s="382">
        <f t="shared" si="135"/>
        <v>28.72698868012171</v>
      </c>
      <c r="W341" s="400">
        <f t="shared" si="136"/>
        <v>13.568975411193927</v>
      </c>
      <c r="X341" s="157">
        <f t="shared" si="137"/>
        <v>45618</v>
      </c>
      <c r="Y341" s="383">
        <f t="shared" si="138"/>
        <v>13.158029669722184</v>
      </c>
      <c r="Z341" s="383">
        <f t="shared" si="139"/>
        <v>13.70417086407685</v>
      </c>
      <c r="AA341" s="384">
        <f t="shared" si="140"/>
        <v>14.596961387946836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6.116276532780246E-2</v>
      </c>
      <c r="AD341" s="230">
        <f>(INDEX(Models!$BJ341:$BT341,,AH341)*(1-AF341)+INDEX(Models!$BJ341:$BT341,,AH341+1)*AF341-ERP_i)*AE341*Ramure*Pc/MaxiM</f>
        <v>6.9664473661428135E-4</v>
      </c>
      <c r="AE341" s="304">
        <f t="shared" si="142"/>
        <v>0.6</v>
      </c>
      <c r="AF341" s="177">
        <f t="shared" si="143"/>
        <v>0.49873259259605596</v>
      </c>
      <c r="AG341" s="799">
        <f t="shared" si="149"/>
        <v>1</v>
      </c>
      <c r="AH341" s="176">
        <f t="shared" si="144"/>
        <v>7</v>
      </c>
      <c r="AI341" s="224">
        <f t="shared" si="145"/>
        <v>1.498732592596056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45619</v>
      </c>
      <c r="B342" s="409">
        <f>IF(t&gt;Tmaj,'2023'!Wh/'2023'!Env_an*'2024'!Env_an,0.001*'[13]mon-tableau (3)'!$B$258)</f>
        <v>14.548756020536091</v>
      </c>
      <c r="C342" s="829"/>
      <c r="D342" s="391">
        <f t="shared" si="127"/>
        <v>15.152911529249701</v>
      </c>
      <c r="E342" s="383">
        <f t="shared" si="125"/>
        <v>15.652600965206931</v>
      </c>
      <c r="F342" s="383">
        <f t="shared" si="128"/>
        <v>15.656121709266801</v>
      </c>
      <c r="G342" s="110">
        <f t="shared" si="126"/>
        <v>0.51021273455681726</v>
      </c>
      <c r="H342" s="412" t="b">
        <f>Wh_hp&gt;='2023'!Maxi_hp</f>
        <v>0</v>
      </c>
      <c r="I342" s="388">
        <f>IF(H342,Wh_hp,'2023'!Maxi_hp)</f>
        <v>29.959800379951087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3.9870589064511353E-2</v>
      </c>
      <c r="M342" s="832"/>
      <c r="N342" s="832"/>
      <c r="O342" s="48">
        <f>IF(t&lt;Tnet,'2023'!Resal+('2023'!Salim-'2023'!Resal)*(1-EXP(('2023'!Tnet-t)/('2023'!Tau_j))),Resal+(Salim-Resal)*(1-EXP((Tnet-t)/(Tau_j))))*Salcycl</f>
        <v>3.1923731849291655E-2</v>
      </c>
      <c r="P342" s="169">
        <f>(INDEX(Models!$BJ342:$BT342,,T342)*(1-R342)+INDEX(Models!$BJ342:$BT342,,T342+1)*R342-ERP_i)*Q342*Ramure*Pc/MaxiM</f>
        <v>7.4789033916453757E-4</v>
      </c>
      <c r="Q342" s="304">
        <f t="shared" si="130"/>
        <v>0.6</v>
      </c>
      <c r="R342" s="177">
        <f t="shared" si="131"/>
        <v>0.49875451937580406</v>
      </c>
      <c r="S342" s="799">
        <f t="shared" si="132"/>
        <v>1</v>
      </c>
      <c r="T342" s="176">
        <f t="shared" si="133"/>
        <v>7</v>
      </c>
      <c r="U342" s="250">
        <f t="shared" si="134"/>
        <v>1.4987545193758041</v>
      </c>
      <c r="V342" s="382">
        <f t="shared" si="135"/>
        <v>28.500161148567706</v>
      </c>
      <c r="W342" s="400">
        <f t="shared" si="136"/>
        <v>14.548756020536091</v>
      </c>
      <c r="X342" s="157">
        <f t="shared" si="137"/>
        <v>45619</v>
      </c>
      <c r="Y342" s="383">
        <f t="shared" si="138"/>
        <v>14.10881777431122</v>
      </c>
      <c r="Z342" s="383">
        <f t="shared" si="139"/>
        <v>14.694704290502351</v>
      </c>
      <c r="AA342" s="384">
        <f t="shared" si="140"/>
        <v>15.652600965206931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6.1197284517366848E-2</v>
      </c>
      <c r="AD342" s="230">
        <f>(INDEX(Models!$BJ342:$BT342,,AH342)*(1-AF342)+INDEX(Models!$BJ342:$BT342,,AH342+1)*AF342-ERP_i)*AE342*Ramure*Pc/MaxiM</f>
        <v>7.4789033916453757E-4</v>
      </c>
      <c r="AE342" s="304">
        <f t="shared" si="142"/>
        <v>0.6</v>
      </c>
      <c r="AF342" s="177">
        <f t="shared" si="143"/>
        <v>0.49875451937580406</v>
      </c>
      <c r="AG342" s="799">
        <f t="shared" si="149"/>
        <v>1</v>
      </c>
      <c r="AH342" s="176">
        <f t="shared" si="144"/>
        <v>7</v>
      </c>
      <c r="AI342" s="224">
        <f t="shared" si="145"/>
        <v>1.4987545193758041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45620</v>
      </c>
      <c r="B343" s="409">
        <f>IF(t&gt;Tmaj,'2023'!Wh/'2023'!Env_an*'2024'!Env_an,0.001*'[13]mon-tableau (3)'!$B$259)</f>
        <v>4.6370022639903299</v>
      </c>
      <c r="C343" s="829"/>
      <c r="D343" s="391">
        <f t="shared" si="127"/>
        <v>4.8296522114304512</v>
      </c>
      <c r="E343" s="383">
        <f t="shared" si="125"/>
        <v>4.9893431497176097</v>
      </c>
      <c r="F343" s="383">
        <f t="shared" si="128"/>
        <v>4.9893431497176097</v>
      </c>
      <c r="G343" s="110">
        <f t="shared" si="126"/>
        <v>0.16381763276526162</v>
      </c>
      <c r="H343" s="412" t="b">
        <f>Wh_hp&gt;='2023'!Maxi_hp</f>
        <v>0</v>
      </c>
      <c r="I343" s="388">
        <f>IF(H343,Wh_hp,'2023'!Maxi_hp)</f>
        <v>29.033907399331543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3.9888989725631152E-2</v>
      </c>
      <c r="M343" s="832"/>
      <c r="N343" s="832"/>
      <c r="O343" s="48">
        <f>IF(t&lt;Tnet,'2023'!Resal+('2023'!Salim-'2023'!Resal)*(1-EXP(('2023'!Tnet-t)/('2023'!Tau_j))),Resal+(Salim-Resal)*(1-EXP((Tnet-t)/(Tau_j))))*Salcycl</f>
        <v>3.2006405150985934E-2</v>
      </c>
      <c r="P343" s="169">
        <f>(INDEX(Models!$BJ343:$BT343,,T343)*(1-R343)+INDEX(Models!$BJ343:$BT343,,T343+1)*R343-ERP_i)*Q343*Ramure*Pc/MaxiM</f>
        <v>7.9993464469419416E-4</v>
      </c>
      <c r="Q343" s="304">
        <f t="shared" si="130"/>
        <v>0.6</v>
      </c>
      <c r="R343" s="177">
        <f t="shared" si="131"/>
        <v>0.49877556512720123</v>
      </c>
      <c r="S343" s="799">
        <f t="shared" si="132"/>
        <v>1</v>
      </c>
      <c r="T343" s="176">
        <f t="shared" si="133"/>
        <v>7</v>
      </c>
      <c r="U343" s="250">
        <f t="shared" si="134"/>
        <v>1.4987755651272012</v>
      </c>
      <c r="V343" s="382">
        <f t="shared" si="135"/>
        <v>28.283237201156485</v>
      </c>
      <c r="W343" s="400">
        <f t="shared" si="136"/>
        <v>4.6370022639903299</v>
      </c>
      <c r="X343" s="157">
        <f t="shared" si="137"/>
        <v>45620</v>
      </c>
      <c r="Y343" s="383">
        <f t="shared" si="138"/>
        <v>4.4969986185002746</v>
      </c>
      <c r="Z343" s="383">
        <f t="shared" si="139"/>
        <v>4.6838319427408468</v>
      </c>
      <c r="AA343" s="384">
        <f t="shared" si="140"/>
        <v>4.9893431497176097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6.123275104741073E-2</v>
      </c>
      <c r="AD343" s="230">
        <f>(INDEX(Models!$BJ343:$BT343,,AH343)*(1-AF343)+INDEX(Models!$BJ343:$BT343,,AH343+1)*AF343-ERP_i)*AE343*Ramure*Pc/MaxiM</f>
        <v>7.9993464469419416E-4</v>
      </c>
      <c r="AE343" s="304">
        <f t="shared" si="142"/>
        <v>0.6</v>
      </c>
      <c r="AF343" s="177">
        <f t="shared" si="143"/>
        <v>0.49877556512720123</v>
      </c>
      <c r="AG343" s="799">
        <f t="shared" si="149"/>
        <v>1</v>
      </c>
      <c r="AH343" s="176">
        <f t="shared" si="144"/>
        <v>7</v>
      </c>
      <c r="AI343" s="224">
        <f t="shared" si="145"/>
        <v>1.4987755651272012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45621</v>
      </c>
      <c r="B344" s="409">
        <f>IF(t&gt;Tmaj,'2023'!Wh/'2023'!Env_an*'2024'!Env_an,0.001*'[13]mon-tableau (3)'!$B$260)</f>
        <v>10.794967937615107</v>
      </c>
      <c r="C344" s="829"/>
      <c r="D344" s="391">
        <f t="shared" si="127"/>
        <v>11.243673605610391</v>
      </c>
      <c r="E344" s="383">
        <f t="shared" si="125"/>
        <v>11.616438725347544</v>
      </c>
      <c r="F344" s="383">
        <f t="shared" si="128"/>
        <v>11.617634277542038</v>
      </c>
      <c r="G344" s="110">
        <f t="shared" si="126"/>
        <v>0.38418738000636032</v>
      </c>
      <c r="H344" s="412" t="b">
        <f>Wh_hp&gt;='2023'!Maxi_hp</f>
        <v>0</v>
      </c>
      <c r="I344" s="388">
        <f>IF(H344,Wh_hp,'2023'!Maxi_hp)</f>
        <v>28.857430187211506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3.9907390034106593E-2</v>
      </c>
      <c r="M344" s="832"/>
      <c r="N344" s="832"/>
      <c r="O344" s="48">
        <f>IF(t&lt;Tnet,'2023'!Resal+('2023'!Salim-'2023'!Resal)*(1-EXP(('2023'!Tnet-t)/('2023'!Tau_j))),Resal+(Salim-Resal)*(1-EXP((Tnet-t)/(Tau_j))))*Salcycl</f>
        <v>3.2089449146214123E-2</v>
      </c>
      <c r="P344" s="169">
        <f>(INDEX(Models!$BJ344:$BT344,,T344)*(1-R344)+INDEX(Models!$BJ344:$BT344,,T344+1)*R344-ERP_i)*Q344*Ramure*Pc/MaxiM</f>
        <v>8.5274085478740855E-4</v>
      </c>
      <c r="Q344" s="304">
        <f t="shared" si="130"/>
        <v>0.6</v>
      </c>
      <c r="R344" s="177">
        <f t="shared" si="131"/>
        <v>0.49879576518059965</v>
      </c>
      <c r="S344" s="799">
        <f t="shared" si="132"/>
        <v>1</v>
      </c>
      <c r="T344" s="176">
        <f t="shared" si="133"/>
        <v>7</v>
      </c>
      <c r="U344" s="250">
        <f t="shared" si="134"/>
        <v>1.4987957651805996</v>
      </c>
      <c r="V344" s="382">
        <f t="shared" si="135"/>
        <v>28.077113535316176</v>
      </c>
      <c r="W344" s="400">
        <f t="shared" si="136"/>
        <v>10.794967937615107</v>
      </c>
      <c r="X344" s="157">
        <f t="shared" si="137"/>
        <v>45621</v>
      </c>
      <c r="Y344" s="383">
        <f t="shared" si="138"/>
        <v>10.469530569310757</v>
      </c>
      <c r="Z344" s="383">
        <f t="shared" si="139"/>
        <v>10.904709046435302</v>
      </c>
      <c r="AA344" s="384">
        <f t="shared" si="140"/>
        <v>11.616438725347544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6.1269180317649115E-2</v>
      </c>
      <c r="AD344" s="230">
        <f>(INDEX(Models!$BJ344:$BT344,,AH344)*(1-AF344)+INDEX(Models!$BJ344:$BT344,,AH344+1)*AF344-ERP_i)*AE344*Ramure*Pc/MaxiM</f>
        <v>8.5274085478740855E-4</v>
      </c>
      <c r="AE344" s="304">
        <f t="shared" si="142"/>
        <v>0.6</v>
      </c>
      <c r="AF344" s="177">
        <f t="shared" si="143"/>
        <v>0.49879576518059965</v>
      </c>
      <c r="AG344" s="799">
        <f t="shared" si="149"/>
        <v>1</v>
      </c>
      <c r="AH344" s="176">
        <f t="shared" si="144"/>
        <v>7</v>
      </c>
      <c r="AI344" s="224">
        <f t="shared" si="145"/>
        <v>1.4987957651805996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45622</v>
      </c>
      <c r="B345" s="409">
        <f>IF(t&gt;Tmaj,'2023'!Wh/'2023'!Env_an*'2024'!Env_an,0.001*'[13]mon-tableau (3)'!$B$261)</f>
        <v>16.787912152897189</v>
      </c>
      <c r="C345" s="829"/>
      <c r="D345" s="391">
        <f t="shared" si="127"/>
        <v>17.486056783799402</v>
      </c>
      <c r="E345" s="383">
        <f t="shared" si="125"/>
        <v>18.067334862601076</v>
      </c>
      <c r="F345" s="383">
        <f t="shared" si="128"/>
        <v>18.074406073468992</v>
      </c>
      <c r="G345" s="110">
        <f t="shared" si="126"/>
        <v>0.60184327177474528</v>
      </c>
      <c r="H345" s="412" t="b">
        <f>Wh_hp&gt;='2023'!Maxi_hp</f>
        <v>0</v>
      </c>
      <c r="I345" s="388">
        <f>IF(H345,Wh_hp,'2023'!Maxi_hp)</f>
        <v>26.802315744867702</v>
      </c>
      <c r="J345" s="85">
        <f>IF(H345,An,'2023'!An_max)</f>
        <v>2020</v>
      </c>
      <c r="K345" s="197">
        <f t="shared" si="129"/>
        <v>45622</v>
      </c>
      <c r="L345" s="147">
        <f>IF(t&lt;Tvie,1-EXP((T0-t)*PertePVj)+'2023'!Pspv,1-EXP((T0-t)*PertePVj)+Pspv)</f>
        <v>3.9925789989944227E-2</v>
      </c>
      <c r="M345" s="832"/>
      <c r="N345" s="832"/>
      <c r="O345" s="48">
        <f>IF(t&lt;Tnet,'2023'!Resal+('2023'!Salim-'2023'!Resal)*(1-EXP(('2023'!Tnet-t)/('2023'!Tau_j))),Resal+(Salim-Resal)*(1-EXP((Tnet-t)/(Tau_j))))*Salcycl</f>
        <v>3.2172873488103867E-2</v>
      </c>
      <c r="P345" s="169">
        <f>(INDEX(Models!$BJ345:$BT345,,T345)*(1-R345)+INDEX(Models!$BJ345:$BT345,,T345+1)*R345-ERP_i)*Q345*Ramure*Pc/MaxiM</f>
        <v>9.0635857399213628E-4</v>
      </c>
      <c r="Q345" s="304">
        <f t="shared" si="130"/>
        <v>0.6</v>
      </c>
      <c r="R345" s="177">
        <f t="shared" si="131"/>
        <v>0.49881515345506022</v>
      </c>
      <c r="S345" s="799">
        <f t="shared" si="132"/>
        <v>1</v>
      </c>
      <c r="T345" s="176">
        <f t="shared" si="133"/>
        <v>7</v>
      </c>
      <c r="U345" s="250">
        <f t="shared" si="134"/>
        <v>1.4988151534550602</v>
      </c>
      <c r="V345" s="382">
        <f t="shared" si="135"/>
        <v>27.879784631099394</v>
      </c>
      <c r="W345" s="400">
        <f t="shared" si="136"/>
        <v>16.787912152897189</v>
      </c>
      <c r="X345" s="157">
        <f t="shared" si="137"/>
        <v>45622</v>
      </c>
      <c r="Y345" s="383">
        <f t="shared" si="138"/>
        <v>16.282559330442503</v>
      </c>
      <c r="Z345" s="383">
        <f t="shared" si="139"/>
        <v>16.959688283129655</v>
      </c>
      <c r="AA345" s="384">
        <f t="shared" si="140"/>
        <v>18.067334862601076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6.1306583837343991E-2</v>
      </c>
      <c r="AD345" s="230">
        <f>(INDEX(Models!$BJ345:$BT345,,AH345)*(1-AF345)+INDEX(Models!$BJ345:$BT345,,AH345+1)*AF345-ERP_i)*AE345*Ramure*Pc/MaxiM</f>
        <v>9.0635857399213628E-4</v>
      </c>
      <c r="AE345" s="304">
        <f t="shared" si="142"/>
        <v>0.6</v>
      </c>
      <c r="AF345" s="177">
        <f t="shared" si="143"/>
        <v>0.49881515345506022</v>
      </c>
      <c r="AG345" s="799">
        <f t="shared" si="149"/>
        <v>1</v>
      </c>
      <c r="AH345" s="176">
        <f t="shared" si="144"/>
        <v>7</v>
      </c>
      <c r="AI345" s="224">
        <f t="shared" si="145"/>
        <v>1.4988151534550602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45623</v>
      </c>
      <c r="B346" s="409">
        <f>IF(t&gt;Tmaj,'2023'!Wh/'2023'!Env_an*'2024'!Env_an,0.001*'[13]mon-tableau (3)'!$B$262)</f>
        <v>10.421090870274583</v>
      </c>
      <c r="C346" s="829"/>
      <c r="D346" s="391">
        <f t="shared" si="127"/>
        <v>10.854671944392868</v>
      </c>
      <c r="E346" s="383">
        <f t="shared" si="125"/>
        <v>11.216478362932973</v>
      </c>
      <c r="F346" s="383">
        <f t="shared" si="128"/>
        <v>11.217652247256375</v>
      </c>
      <c r="G346" s="110">
        <f t="shared" si="126"/>
        <v>0.37604193839126826</v>
      </c>
      <c r="H346" s="412" t="b">
        <f>Wh_hp&gt;='2023'!Maxi_hp</f>
        <v>0</v>
      </c>
      <c r="I346" s="388">
        <f>IF(H346,Wh_hp,'2023'!Maxi_hp)</f>
        <v>18.703888708428419</v>
      </c>
      <c r="J346" s="85">
        <f>IF(H346,An,'2023'!An_max)</f>
        <v>2020</v>
      </c>
      <c r="K346" s="197">
        <f t="shared" si="129"/>
        <v>45623</v>
      </c>
      <c r="L346" s="147">
        <f>IF(t&lt;Tvie,1-EXP((T0-t)*PertePVj)+'2023'!Pspv,1-EXP((T0-t)*PertePVj)+Pspv)</f>
        <v>3.9944189593150936E-2</v>
      </c>
      <c r="M346" s="832"/>
      <c r="N346" s="832"/>
      <c r="O346" s="48">
        <f>IF(t&lt;Tnet,'2023'!Resal+('2023'!Salim-'2023'!Resal)*(1-EXP(('2023'!Tnet-t)/('2023'!Tau_j))),Resal+(Salim-Resal)*(1-EXP((Tnet-t)/(Tau_j))))*Salcycl</f>
        <v>3.2256685818230206E-2</v>
      </c>
      <c r="P346" s="169">
        <f>(INDEX(Models!$BJ346:$BT346,,T346)*(1-R346)+INDEX(Models!$BJ346:$BT346,,T346+1)*R346-ERP_i)*Q346*Ramure*Pc/MaxiM</f>
        <v>9.5925679223949733E-4</v>
      </c>
      <c r="Q346" s="304">
        <f t="shared" si="130"/>
        <v>0.6</v>
      </c>
      <c r="R346" s="177">
        <f t="shared" si="131"/>
        <v>0.49883376251429512</v>
      </c>
      <c r="S346" s="799">
        <f t="shared" si="132"/>
        <v>1</v>
      </c>
      <c r="T346" s="176">
        <f t="shared" si="133"/>
        <v>7</v>
      </c>
      <c r="U346" s="250">
        <f t="shared" si="134"/>
        <v>1.4988337625142951</v>
      </c>
      <c r="V346" s="382">
        <f t="shared" si="135"/>
        <v>27.688890254562107</v>
      </c>
      <c r="W346" s="400">
        <f t="shared" si="136"/>
        <v>10.421090870274583</v>
      </c>
      <c r="X346" s="157">
        <f t="shared" si="137"/>
        <v>45623</v>
      </c>
      <c r="Y346" s="383">
        <f t="shared" si="138"/>
        <v>10.107855283531881</v>
      </c>
      <c r="Z346" s="383">
        <f t="shared" si="139"/>
        <v>10.528403842739527</v>
      </c>
      <c r="AA346" s="384">
        <f t="shared" si="140"/>
        <v>11.216478362932973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6.1344969243405503E-2</v>
      </c>
      <c r="AD346" s="230">
        <f>(INDEX(Models!$BJ346:$BT346,,AH346)*(1-AF346)+INDEX(Models!$BJ346:$BT346,,AH346+1)*AF346-ERP_i)*AE346*Ramure*Pc/MaxiM</f>
        <v>9.5925679223949733E-4</v>
      </c>
      <c r="AE346" s="304">
        <f t="shared" si="142"/>
        <v>0.6</v>
      </c>
      <c r="AF346" s="177">
        <f t="shared" si="143"/>
        <v>0.49883376251429512</v>
      </c>
      <c r="AG346" s="799">
        <f t="shared" si="149"/>
        <v>1</v>
      </c>
      <c r="AH346" s="176">
        <f t="shared" si="144"/>
        <v>7</v>
      </c>
      <c r="AI346" s="224">
        <f t="shared" si="145"/>
        <v>1.4988337625142951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45624</v>
      </c>
      <c r="B347" s="409">
        <f>IF(t&gt;Tmaj,'2023'!Wh/'2023'!Env_an*'2024'!Env_an,0.001*'[13]mon-tableau (3)'!$B$263)</f>
        <v>15.502688906003035</v>
      </c>
      <c r="C347" s="829"/>
      <c r="D347" s="391">
        <f t="shared" si="127"/>
        <v>16.148004990067665</v>
      </c>
      <c r="E347" s="383">
        <f t="shared" si="125"/>
        <v>16.687700092626304</v>
      </c>
      <c r="F347" s="383">
        <f t="shared" si="128"/>
        <v>16.694049833596338</v>
      </c>
      <c r="G347" s="110">
        <f t="shared" si="126"/>
        <v>0.56328142779068824</v>
      </c>
      <c r="H347" s="412" t="b">
        <f>Wh_hp&gt;='2023'!Maxi_hp</f>
        <v>0</v>
      </c>
      <c r="I347" s="388">
        <f>IF(H347,Wh_hp,'2023'!Maxi_hp)</f>
        <v>16.758916593732387</v>
      </c>
      <c r="J347" s="85">
        <f>IF(H347,An,'2023'!An_max)</f>
        <v>2018</v>
      </c>
      <c r="K347" s="197">
        <f t="shared" si="129"/>
        <v>45624</v>
      </c>
      <c r="L347" s="147">
        <f>IF(t&lt;Tvie,1-EXP((T0-t)*PertePVj)+'2023'!Pspv,1-EXP((T0-t)*PertePVj)+Pspv)</f>
        <v>3.9962588843733493E-2</v>
      </c>
      <c r="M347" s="832"/>
      <c r="N347" s="832"/>
      <c r="O347" s="48">
        <f>IF(t&lt;Tnet,'2023'!Resal+('2023'!Salim-'2023'!Resal)*(1-EXP(('2023'!Tnet-t)/('2023'!Tau_j))),Resal+(Salim-Resal)*(1-EXP((Tnet-t)/(Tau_j))))*Salcycl</f>
        <v>3.2340891768369483E-2</v>
      </c>
      <c r="P347" s="169">
        <f>(INDEX(Models!$BJ347:$BT347,,T347)*(1-R347)+INDEX(Models!$BJ347:$BT347,,T347+1)*R347-ERP_i)*Q347*Ramure*Pc/MaxiM</f>
        <v>1.0099199725412029E-3</v>
      </c>
      <c r="Q347" s="304">
        <f t="shared" si="130"/>
        <v>0.6</v>
      </c>
      <c r="R347" s="177">
        <f t="shared" si="131"/>
        <v>0.49885162362042412</v>
      </c>
      <c r="S347" s="799">
        <f t="shared" si="132"/>
        <v>1</v>
      </c>
      <c r="T347" s="176">
        <f t="shared" si="133"/>
        <v>7</v>
      </c>
      <c r="U347" s="250">
        <f t="shared" si="134"/>
        <v>1.4988516236204241</v>
      </c>
      <c r="V347" s="382">
        <f t="shared" si="135"/>
        <v>27.504768572657561</v>
      </c>
      <c r="W347" s="400">
        <f t="shared" si="136"/>
        <v>15.502688906003035</v>
      </c>
      <c r="X347" s="157">
        <f t="shared" si="137"/>
        <v>45624</v>
      </c>
      <c r="Y347" s="383">
        <f t="shared" si="138"/>
        <v>15.037389148922946</v>
      </c>
      <c r="Z347" s="383">
        <f t="shared" si="139"/>
        <v>15.663336630613129</v>
      </c>
      <c r="AA347" s="384">
        <f t="shared" si="140"/>
        <v>16.687700092626304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6.1384340342130521E-2</v>
      </c>
      <c r="AD347" s="230">
        <f>(INDEX(Models!$BJ347:$BT347,,AH347)*(1-AF347)+INDEX(Models!$BJ347:$BT347,,AH347+1)*AF347-ERP_i)*AE347*Ramure*Pc/MaxiM</f>
        <v>1.0099199725412029E-3</v>
      </c>
      <c r="AE347" s="304">
        <f t="shared" si="142"/>
        <v>0.6</v>
      </c>
      <c r="AF347" s="177">
        <f t="shared" si="143"/>
        <v>0.49885162362042412</v>
      </c>
      <c r="AG347" s="799">
        <f t="shared" si="149"/>
        <v>1</v>
      </c>
      <c r="AH347" s="176">
        <f t="shared" si="144"/>
        <v>7</v>
      </c>
      <c r="AI347" s="224">
        <f t="shared" si="145"/>
        <v>1.4988516236204241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45625</v>
      </c>
      <c r="B348" s="409">
        <f>IF(t&gt;Tmaj,'2023'!Wh/'2023'!Env_an*'2024'!Env_an,0.001*'[13]mon-tableau (3)'!$B$264)</f>
        <v>3.971591687817996</v>
      </c>
      <c r="C348" s="829"/>
      <c r="D348" s="391">
        <f t="shared" si="127"/>
        <v>4.1369927440034955</v>
      </c>
      <c r="E348" s="383">
        <f t="shared" si="125"/>
        <v>4.2756322355726688</v>
      </c>
      <c r="F348" s="383">
        <f t="shared" si="128"/>
        <v>4.2756322355726688</v>
      </c>
      <c r="G348" s="110">
        <f t="shared" si="126"/>
        <v>0.14517819526394474</v>
      </c>
      <c r="H348" s="412" t="b">
        <f>Wh_hp&gt;='2023'!Maxi_hp</f>
        <v>0</v>
      </c>
      <c r="I348" s="388">
        <f>IF(H348,Wh_hp,'2023'!Maxi_hp)</f>
        <v>27.894604255922708</v>
      </c>
      <c r="J348" s="85">
        <f>IF(H348,An,'2023'!An_max)</f>
        <v>2020</v>
      </c>
      <c r="K348" s="197">
        <f t="shared" si="129"/>
        <v>45625</v>
      </c>
      <c r="L348" s="147">
        <f>IF(t&lt;Tvie,1-EXP((T0-t)*PertePVj)+'2023'!Pspv,1-EXP((T0-t)*PertePVj)+Pspv)</f>
        <v>3.9980987741698559E-2</v>
      </c>
      <c r="M348" s="832"/>
      <c r="N348" s="832"/>
      <c r="O348" s="48">
        <f>IF(t&lt;Tnet,'2023'!Resal+('2023'!Salim-'2023'!Resal)*(1-EXP(('2023'!Tnet-t)/('2023'!Tau_j))),Resal+(Salim-Resal)*(1-EXP((Tnet-t)/(Tau_j))))*Salcycl</f>
        <v>3.2425494974921469E-2</v>
      </c>
      <c r="P348" s="169">
        <f>(INDEX(Models!$BJ348:$BT348,,T348)*(1-R348)+INDEX(Models!$BJ348:$BT348,,T348+1)*R348-ERP_i)*Q348*Ramure*Pc/MaxiM</f>
        <v>1.0583514513950551E-3</v>
      </c>
      <c r="Q348" s="304">
        <f t="shared" si="130"/>
        <v>0.6</v>
      </c>
      <c r="R348" s="177">
        <f t="shared" si="131"/>
        <v>0.4988687667856333</v>
      </c>
      <c r="S348" s="799">
        <f t="shared" si="132"/>
        <v>1</v>
      </c>
      <c r="T348" s="176">
        <f t="shared" si="133"/>
        <v>7</v>
      </c>
      <c r="U348" s="250">
        <f t="shared" si="134"/>
        <v>1.4988687667856333</v>
      </c>
      <c r="V348" s="382">
        <f t="shared" si="135"/>
        <v>27.327715024820623</v>
      </c>
      <c r="W348" s="400">
        <f t="shared" si="136"/>
        <v>3.971591687817996</v>
      </c>
      <c r="X348" s="157">
        <f t="shared" si="137"/>
        <v>45625</v>
      </c>
      <c r="Y348" s="383">
        <f t="shared" si="138"/>
        <v>3.8525590037100712</v>
      </c>
      <c r="Z348" s="383">
        <f t="shared" si="139"/>
        <v>4.0130028202748829</v>
      </c>
      <c r="AA348" s="384">
        <f t="shared" si="140"/>
        <v>4.2756322355726688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6.142469717407998E-2</v>
      </c>
      <c r="AD348" s="230">
        <f>(INDEX(Models!$BJ348:$BT348,,AH348)*(1-AF348)+INDEX(Models!$BJ348:$BT348,,AH348+1)*AF348-ERP_i)*AE348*Ramure*Pc/MaxiM</f>
        <v>1.0583514513950551E-3</v>
      </c>
      <c r="AE348" s="304">
        <f t="shared" si="142"/>
        <v>0.6</v>
      </c>
      <c r="AF348" s="177">
        <f t="shared" si="143"/>
        <v>0.4988687667856333</v>
      </c>
      <c r="AG348" s="799">
        <f t="shared" si="149"/>
        <v>1</v>
      </c>
      <c r="AH348" s="176">
        <f t="shared" si="144"/>
        <v>7</v>
      </c>
      <c r="AI348" s="224">
        <f t="shared" si="145"/>
        <v>1.4988687667856333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45626</v>
      </c>
      <c r="B349" s="409">
        <f>IF(t&gt;Tmaj,'2023'!Wh/'2023'!Env_an*'2024'!Env_an,0.001*'[14]mon-tableau (2)'!$B$242)</f>
        <v>3.7787006559859981</v>
      </c>
      <c r="C349" s="829"/>
      <c r="D349" s="391">
        <f t="shared" si="127"/>
        <v>3.9361440003369412</v>
      </c>
      <c r="E349" s="383">
        <f t="shared" si="125"/>
        <v>4.0684100329379858</v>
      </c>
      <c r="F349" s="383">
        <f t="shared" si="128"/>
        <v>4.0684100329379858</v>
      </c>
      <c r="G349" s="110">
        <f t="shared" si="126"/>
        <v>0.13898385012623715</v>
      </c>
      <c r="H349" s="412" t="b">
        <f>Wh_hp&gt;='2023'!Maxi_hp</f>
        <v>0</v>
      </c>
      <c r="I349" s="388">
        <f>IF(H349,Wh_hp,'2023'!Maxi_hp)</f>
        <v>28.876381708820084</v>
      </c>
      <c r="J349" s="85">
        <f>IF(H349,An,'2023'!An_max)</f>
        <v>2020</v>
      </c>
      <c r="K349" s="197">
        <f t="shared" si="129"/>
        <v>45626</v>
      </c>
      <c r="L349" s="147">
        <f>IF(t&lt;Tvie,1-EXP((T0-t)*PertePVj)+'2023'!Pspv,1-EXP((T0-t)*PertePVj)+Pspv)</f>
        <v>3.9999386287052907E-2</v>
      </c>
      <c r="M349" s="832"/>
      <c r="N349" s="832"/>
      <c r="O349" s="48">
        <f>IF(t&lt;Tnet,'2023'!Resal+('2023'!Salim-'2023'!Resal)*(1-EXP(('2023'!Tnet-t)/('2023'!Tau_j))),Resal+(Salim-Resal)*(1-EXP((Tnet-t)/(Tau_j))))*Salcycl</f>
        <v>3.2510497105801638E-2</v>
      </c>
      <c r="P349" s="169">
        <f>(INDEX(Models!$BJ349:$BT349,,T349)*(1-R349)+INDEX(Models!$BJ349:$BT349,,T349+1)*R349-ERP_i)*Q349*Ramure*Pc/MaxiM</f>
        <v>1.1045507902515464E-3</v>
      </c>
      <c r="Q349" s="304">
        <f t="shared" si="130"/>
        <v>0.6</v>
      </c>
      <c r="R349" s="177">
        <f t="shared" si="131"/>
        <v>0.49888522082180886</v>
      </c>
      <c r="S349" s="799">
        <f t="shared" si="132"/>
        <v>1</v>
      </c>
      <c r="T349" s="176">
        <f t="shared" si="133"/>
        <v>7</v>
      </c>
      <c r="U349" s="250">
        <f t="shared" si="134"/>
        <v>1.4988852208218089</v>
      </c>
      <c r="V349" s="382">
        <f t="shared" si="135"/>
        <v>27.158025092569769</v>
      </c>
      <c r="W349" s="400">
        <f t="shared" si="136"/>
        <v>3.7787006559859981</v>
      </c>
      <c r="X349" s="157">
        <f t="shared" si="137"/>
        <v>45626</v>
      </c>
      <c r="Y349" s="383">
        <f t="shared" si="138"/>
        <v>3.6656096985442437</v>
      </c>
      <c r="Z349" s="383">
        <f t="shared" si="139"/>
        <v>3.8183409949780609</v>
      </c>
      <c r="AA349" s="384">
        <f t="shared" si="140"/>
        <v>4.0684100329379858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6.1466036101414899E-2</v>
      </c>
      <c r="AD349" s="230">
        <f>(INDEX(Models!$BJ349:$BT349,,AH349)*(1-AF349)+INDEX(Models!$BJ349:$BT349,,AH349+1)*AF349-ERP_i)*AE349*Ramure*Pc/MaxiM</f>
        <v>1.1045507902515464E-3</v>
      </c>
      <c r="AE349" s="304">
        <f t="shared" si="142"/>
        <v>0.6</v>
      </c>
      <c r="AF349" s="177">
        <f t="shared" si="143"/>
        <v>0.49888522082180886</v>
      </c>
      <c r="AG349" s="799">
        <f t="shared" si="149"/>
        <v>1</v>
      </c>
      <c r="AH349" s="176">
        <f t="shared" si="144"/>
        <v>7</v>
      </c>
      <c r="AI349" s="224">
        <f t="shared" si="145"/>
        <v>1.4988852208218089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45627</v>
      </c>
      <c r="B350" s="409">
        <f>IF(t&gt;Tmaj,'2023'!Wh/'2023'!Env_an*'2024'!Env_an,0.001*'[14]mon-tableau (2)'!$B$243)</f>
        <v>5.6633865193569806</v>
      </c>
      <c r="C350" s="829"/>
      <c r="D350" s="391">
        <f t="shared" si="127"/>
        <v>5.8994702482983978</v>
      </c>
      <c r="E350" s="383">
        <f t="shared" si="125"/>
        <v>6.098248121430391</v>
      </c>
      <c r="F350" s="383">
        <f t="shared" si="128"/>
        <v>6.098248121430391</v>
      </c>
      <c r="G350" s="110">
        <f t="shared" si="126"/>
        <v>0.20954523752617646</v>
      </c>
      <c r="H350" s="412" t="b">
        <f>Wh_hp&gt;='2023'!Maxi_hp</f>
        <v>0</v>
      </c>
      <c r="I350" s="388">
        <f>IF(H350,Wh_hp,'2023'!Maxi_hp)</f>
        <v>10.012976509324043</v>
      </c>
      <c r="J350" s="85">
        <f>IF(H350,An,'2023'!An_max)</f>
        <v>2021</v>
      </c>
      <c r="K350" s="197">
        <f t="shared" si="129"/>
        <v>45627</v>
      </c>
      <c r="L350" s="147">
        <f>IF(t&lt;Tvie,1-EXP((T0-t)*PertePVj)+'2023'!Pspv,1-EXP((T0-t)*PertePVj)+Pspv)</f>
        <v>4.001778447980342E-2</v>
      </c>
      <c r="M350" s="832"/>
      <c r="N350" s="832"/>
      <c r="O350" s="48">
        <f>IF(t&lt;Tnet,'2023'!Resal+('2023'!Salim-'2023'!Resal)*(1-EXP(('2023'!Tnet-t)/('2023'!Tau_j))),Resal+(Salim-Resal)*(1-EXP((Tnet-t)/(Tau_j))))*Salcycl</f>
        <v>3.2595897899504962E-2</v>
      </c>
      <c r="P350" s="169">
        <f>(INDEX(Models!$BJ350:$BT350,,T350)*(1-R350)+INDEX(Models!$BJ350:$BT350,,T350+1)*R350-ERP_i)*Q350*Ramure*Pc/MaxiM</f>
        <v>1.1485136566893454E-3</v>
      </c>
      <c r="Q350" s="304">
        <f t="shared" si="130"/>
        <v>0.6</v>
      </c>
      <c r="R350" s="177">
        <f t="shared" si="131"/>
        <v>0.49890101338823056</v>
      </c>
      <c r="S350" s="799">
        <f t="shared" si="132"/>
        <v>1</v>
      </c>
      <c r="T350" s="176">
        <f t="shared" si="133"/>
        <v>7</v>
      </c>
      <c r="U350" s="250">
        <f t="shared" si="134"/>
        <v>1.4989010133882306</v>
      </c>
      <c r="V350" s="382">
        <f t="shared" si="135"/>
        <v>26.9959943226566</v>
      </c>
      <c r="W350" s="400">
        <f t="shared" si="136"/>
        <v>5.6633865193569806</v>
      </c>
      <c r="X350" s="157">
        <f t="shared" si="137"/>
        <v>45627</v>
      </c>
      <c r="Y350" s="383">
        <f t="shared" si="138"/>
        <v>5.4941269610803722</v>
      </c>
      <c r="Z350" s="383">
        <f t="shared" si="139"/>
        <v>5.7231549420977625</v>
      </c>
      <c r="AA350" s="384">
        <f t="shared" si="140"/>
        <v>6.098248121430391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6.150834991683609E-2</v>
      </c>
      <c r="AD350" s="230">
        <f>(INDEX(Models!$BJ350:$BT350,,AH350)*(1-AF350)+INDEX(Models!$BJ350:$BT350,,AH350+1)*AF350-ERP_i)*AE350*Ramure*Pc/MaxiM</f>
        <v>1.1485136566893454E-3</v>
      </c>
      <c r="AE350" s="304">
        <f t="shared" si="142"/>
        <v>0.6</v>
      </c>
      <c r="AF350" s="177">
        <f t="shared" si="143"/>
        <v>0.49890101338823056</v>
      </c>
      <c r="AG350" s="799">
        <f t="shared" si="149"/>
        <v>1</v>
      </c>
      <c r="AH350" s="176">
        <f t="shared" si="144"/>
        <v>7</v>
      </c>
      <c r="AI350" s="224">
        <f t="shared" si="145"/>
        <v>1.4989010133882306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45628</v>
      </c>
      <c r="B351" s="409">
        <f>IF(t&gt;Tmaj,'2023'!Wh/'2023'!Env_an*'2024'!Env_an,0.001*'[14]mon-tableau (2)'!$B$244)</f>
        <v>10.97024018764599</v>
      </c>
      <c r="C351" s="829"/>
      <c r="D351" s="391">
        <f t="shared" si="127"/>
        <v>11.427764240279293</v>
      </c>
      <c r="E351" s="383">
        <f t="shared" si="125"/>
        <v>11.813861253075777</v>
      </c>
      <c r="F351" s="383">
        <f t="shared" si="128"/>
        <v>11.816045126540834</v>
      </c>
      <c r="G351" s="110">
        <f t="shared" si="126"/>
        <v>0.40828708446077772</v>
      </c>
      <c r="H351" s="412" t="b">
        <f>Wh_hp&gt;='2023'!Maxi_hp</f>
        <v>0</v>
      </c>
      <c r="I351" s="388">
        <f>IF(H351,Wh_hp,'2023'!Maxi_hp)</f>
        <v>19.179192393399582</v>
      </c>
      <c r="J351" s="85">
        <f>IF(H351,An,'2023'!An_max)</f>
        <v>2021</v>
      </c>
      <c r="K351" s="197">
        <f t="shared" si="129"/>
        <v>45628</v>
      </c>
      <c r="L351" s="147">
        <f>IF(t&lt;Tvie,1-EXP((T0-t)*PertePVj)+'2023'!Pspv,1-EXP((T0-t)*PertePVj)+Pspv)</f>
        <v>4.0036182319956759E-2</v>
      </c>
      <c r="M351" s="832"/>
      <c r="N351" s="832"/>
      <c r="O351" s="48">
        <f>IF(t&lt;Tnet,'2023'!Resal+('2023'!Salim-'2023'!Resal)*(1-EXP(('2023'!Tnet-t)/('2023'!Tau_j))),Resal+(Salim-Resal)*(1-EXP((Tnet-t)/(Tau_j))))*Salcycl</f>
        <v>3.2681695215944932E-2</v>
      </c>
      <c r="P351" s="169">
        <f>(INDEX(Models!$BJ351:$BT351,,T351)*(1-R351)+INDEX(Models!$BJ351:$BT351,,T351+1)*R351-ERP_i)*Q351*Ramure*Pc/MaxiM</f>
        <v>1.1902317769187278E-3</v>
      </c>
      <c r="Q351" s="304">
        <f t="shared" si="130"/>
        <v>0.6</v>
      </c>
      <c r="R351" s="177">
        <f t="shared" si="131"/>
        <v>0.49891617103739327</v>
      </c>
      <c r="S351" s="799">
        <f t="shared" si="132"/>
        <v>1</v>
      </c>
      <c r="T351" s="176">
        <f t="shared" si="133"/>
        <v>7</v>
      </c>
      <c r="U351" s="250">
        <f t="shared" si="134"/>
        <v>1.4989161710373933</v>
      </c>
      <c r="V351" s="382">
        <f t="shared" si="135"/>
        <v>26.841918314070124</v>
      </c>
      <c r="W351" s="400">
        <f t="shared" si="136"/>
        <v>10.97024018764599</v>
      </c>
      <c r="X351" s="157">
        <f t="shared" si="137"/>
        <v>45628</v>
      </c>
      <c r="Y351" s="383">
        <f t="shared" si="138"/>
        <v>10.642829763403119</v>
      </c>
      <c r="Z351" s="383">
        <f t="shared" si="139"/>
        <v>11.086698860300571</v>
      </c>
      <c r="AA351" s="384">
        <f t="shared" si="140"/>
        <v>11.813861253075777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6.155162797310542E-2</v>
      </c>
      <c r="AD351" s="230">
        <f>(INDEX(Models!$BJ351:$BT351,,AH351)*(1-AF351)+INDEX(Models!$BJ351:$BT351,,AH351+1)*AF351-ERP_i)*AE351*Ramure*Pc/MaxiM</f>
        <v>1.1902317769187278E-3</v>
      </c>
      <c r="AE351" s="304">
        <f t="shared" si="142"/>
        <v>0.6</v>
      </c>
      <c r="AF351" s="177">
        <f t="shared" si="143"/>
        <v>0.49891617103739327</v>
      </c>
      <c r="AG351" s="799">
        <f t="shared" si="149"/>
        <v>1</v>
      </c>
      <c r="AH351" s="176">
        <f t="shared" si="144"/>
        <v>7</v>
      </c>
      <c r="AI351" s="224">
        <f t="shared" si="145"/>
        <v>1.4989161710373933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45629</v>
      </c>
      <c r="B352" s="409">
        <f>IF(t&gt;Tmaj,'2023'!Wh/'2023'!Env_an*'2024'!Env_an,0.001*'[14]mon-tableau (2)'!$B$245)</f>
        <v>17.772083880380219</v>
      </c>
      <c r="C352" s="829"/>
      <c r="D352" s="391">
        <f t="shared" si="127"/>
        <v>18.513639949255349</v>
      </c>
      <c r="E352" s="383">
        <f t="shared" si="125"/>
        <v>19.140844957512815</v>
      </c>
      <c r="F352" s="383">
        <f t="shared" si="128"/>
        <v>19.153142286482829</v>
      </c>
      <c r="G352" s="110">
        <f t="shared" si="126"/>
        <v>0.66532708616571201</v>
      </c>
      <c r="H352" s="412" t="b">
        <f>Wh_hp&gt;='2023'!Maxi_hp</f>
        <v>0</v>
      </c>
      <c r="I352" s="388">
        <f>IF(H352,Wh_hp,'2023'!Maxi_hp)</f>
        <v>19.158831148998573</v>
      </c>
      <c r="J352" s="85">
        <f>IF(H352,An,'2023'!An_max)</f>
        <v>2022</v>
      </c>
      <c r="K352" s="197">
        <f t="shared" si="129"/>
        <v>45629</v>
      </c>
      <c r="L352" s="147">
        <f>IF(t&lt;Tvie,1-EXP((T0-t)*PertePVj)+'2023'!Pspv,1-EXP((T0-t)*PertePVj)+Pspv)</f>
        <v>4.0054579807519586E-2</v>
      </c>
      <c r="M352" s="832"/>
      <c r="N352" s="832"/>
      <c r="O352" s="48">
        <f>IF(t&lt;Tnet,'2023'!Resal+('2023'!Salim-'2023'!Resal)*(1-EXP(('2023'!Tnet-t)/('2023'!Tau_j))),Resal+(Salim-Resal)*(1-EXP((Tnet-t)/(Tau_j))))*Salcycl</f>
        <v>3.2767885098577504E-2</v>
      </c>
      <c r="P352" s="169">
        <f>(INDEX(Models!$BJ352:$BT352,,T352)*(1-R352)+INDEX(Models!$BJ352:$BT352,,T352+1)*R352-ERP_i)*Q352*Ramure*Pc/MaxiM</f>
        <v>1.2289166626020865E-3</v>
      </c>
      <c r="Q352" s="304">
        <f t="shared" si="130"/>
        <v>0.6</v>
      </c>
      <c r="R352" s="177">
        <f t="shared" si="131"/>
        <v>0.49893071925902821</v>
      </c>
      <c r="S352" s="799">
        <f t="shared" si="132"/>
        <v>1</v>
      </c>
      <c r="T352" s="176">
        <f t="shared" si="133"/>
        <v>7</v>
      </c>
      <c r="U352" s="250">
        <f t="shared" si="134"/>
        <v>1.4989307192590282</v>
      </c>
      <c r="V352" s="382">
        <f t="shared" si="135"/>
        <v>26.696113468759656</v>
      </c>
      <c r="W352" s="400">
        <f t="shared" si="136"/>
        <v>17.772083880380219</v>
      </c>
      <c r="X352" s="157">
        <f t="shared" si="137"/>
        <v>45629</v>
      </c>
      <c r="Y352" s="383">
        <f t="shared" si="138"/>
        <v>17.242393938361243</v>
      </c>
      <c r="Z352" s="383">
        <f t="shared" si="139"/>
        <v>17.961848221437361</v>
      </c>
      <c r="AA352" s="384">
        <f t="shared" si="140"/>
        <v>19.140844957512815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6.1595856331969026E-2</v>
      </c>
      <c r="AD352" s="230">
        <f>(INDEX(Models!$BJ352:$BT352,,AH352)*(1-AF352)+INDEX(Models!$BJ352:$BT352,,AH352+1)*AF352-ERP_i)*AE352*Ramure*Pc/MaxiM</f>
        <v>1.2289166626020865E-3</v>
      </c>
      <c r="AE352" s="304">
        <f t="shared" si="142"/>
        <v>0.6</v>
      </c>
      <c r="AF352" s="177">
        <f t="shared" si="143"/>
        <v>0.49893071925902821</v>
      </c>
      <c r="AG352" s="799">
        <f t="shared" si="149"/>
        <v>1</v>
      </c>
      <c r="AH352" s="176">
        <f t="shared" si="144"/>
        <v>7</v>
      </c>
      <c r="AI352" s="224">
        <f t="shared" si="145"/>
        <v>1.4989307192590282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45630</v>
      </c>
      <c r="B353" s="409">
        <f>IF(t&gt;Tmaj,'2023'!Wh/'2023'!Env_an*'2024'!Env_an,0.001*'[14]mon-tableau (2)'!$B$246)</f>
        <v>27.515230122908765</v>
      </c>
      <c r="C353" s="829"/>
      <c r="D353" s="391">
        <f t="shared" si="127"/>
        <v>28.663877005221636</v>
      </c>
      <c r="E353" s="383">
        <f t="shared" si="125"/>
        <v>29.637604553260022</v>
      </c>
      <c r="F353" s="383">
        <f t="shared" si="128"/>
        <v>29.675148577196843</v>
      </c>
      <c r="G353" s="110">
        <f t="shared" si="126"/>
        <v>1.0360095025616594</v>
      </c>
      <c r="H353" s="412" t="b">
        <f>Wh_hp&gt;='2023'!Maxi_hp</f>
        <v>1</v>
      </c>
      <c r="I353" s="388">
        <f>IF(H353,Wh_hp,'2023'!Maxi_hp)</f>
        <v>29.675148577196843</v>
      </c>
      <c r="J353" s="85">
        <f>IF(H353,An,'2023'!An_max)</f>
        <v>2024</v>
      </c>
      <c r="K353" s="197">
        <f t="shared" si="129"/>
        <v>45630</v>
      </c>
      <c r="L353" s="147">
        <f>IF(t&lt;Tvie,1-EXP((T0-t)*PertePVj)+'2023'!Pspv,1-EXP((T0-t)*PertePVj)+Pspv)</f>
        <v>4.0072976942498895E-2</v>
      </c>
      <c r="M353" s="832"/>
      <c r="N353" s="832"/>
      <c r="O353" s="48">
        <f>IF(t&lt;Tnet,'2023'!Resal+('2023'!Salim-'2023'!Resal)*(1-EXP(('2023'!Tnet-t)/('2023'!Tau_j))),Resal+(Salim-Resal)*(1-EXP((Tnet-t)/(Tau_j))))*Salcycl</f>
        <v>3.2854461847230468E-2</v>
      </c>
      <c r="P353" s="169">
        <f>(INDEX(Models!$BJ353:$BT353,,T353)*(1-R353)+INDEX(Models!$BJ353:$BT353,,T353+1)*R353-ERP_i)*Q353*Ramure*Pc/MaxiM</f>
        <v>1.2651671764726863E-3</v>
      </c>
      <c r="Q353" s="304">
        <f t="shared" si="130"/>
        <v>0.6</v>
      </c>
      <c r="R353" s="177">
        <f t="shared" si="131"/>
        <v>0.4989446825223971</v>
      </c>
      <c r="S353" s="799">
        <f t="shared" si="132"/>
        <v>1</v>
      </c>
      <c r="T353" s="176">
        <f t="shared" si="133"/>
        <v>7</v>
      </c>
      <c r="U353" s="250">
        <f t="shared" si="134"/>
        <v>1.4989446825223971</v>
      </c>
      <c r="V353" s="382">
        <f t="shared" si="135"/>
        <v>26.558858827910377</v>
      </c>
      <c r="W353" s="400">
        <f t="shared" si="136"/>
        <v>27.515230122908765</v>
      </c>
      <c r="X353" s="157">
        <f t="shared" si="137"/>
        <v>45630</v>
      </c>
      <c r="Y353" s="383">
        <f t="shared" si="138"/>
        <v>26.696254401211203</v>
      </c>
      <c r="Z353" s="383">
        <f t="shared" si="139"/>
        <v>27.810712439555996</v>
      </c>
      <c r="AA353" s="384">
        <f t="shared" si="140"/>
        <v>29.637604553260022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6.1641017931156526E-2</v>
      </c>
      <c r="AD353" s="230">
        <f>(INDEX(Models!$BJ353:$BT353,,AH353)*(1-AF353)+INDEX(Models!$BJ353:$BT353,,AH353+1)*AF353-ERP_i)*AE353*Ramure*Pc/MaxiM</f>
        <v>1.2651671764726863E-3</v>
      </c>
      <c r="AE353" s="304">
        <f t="shared" si="142"/>
        <v>0.6</v>
      </c>
      <c r="AF353" s="177">
        <f t="shared" si="143"/>
        <v>0.4989446825223971</v>
      </c>
      <c r="AG353" s="799">
        <f t="shared" si="149"/>
        <v>1</v>
      </c>
      <c r="AH353" s="176">
        <f t="shared" si="144"/>
        <v>7</v>
      </c>
      <c r="AI353" s="224">
        <f t="shared" si="145"/>
        <v>1.4989446825223971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45631</v>
      </c>
      <c r="B354" s="409">
        <f>IF(t&gt;Tmaj,'2023'!Wh/'2023'!Env_an*'2024'!Env_an,0.001*'[14]mon-tableau (2)'!$B$247)</f>
        <v>12.373248756880958</v>
      </c>
      <c r="C354" s="829"/>
      <c r="D354" s="391">
        <f t="shared" si="127"/>
        <v>12.890027673670398</v>
      </c>
      <c r="E354" s="383">
        <f t="shared" si="125"/>
        <v>13.329107372542083</v>
      </c>
      <c r="F354" s="383">
        <f t="shared" si="128"/>
        <v>13.333267592257043</v>
      </c>
      <c r="G354" s="110">
        <f t="shared" si="126"/>
        <v>0.46768152537386143</v>
      </c>
      <c r="H354" s="412" t="b">
        <f>Wh_hp&gt;='2023'!Maxi_hp</f>
        <v>0</v>
      </c>
      <c r="I354" s="388">
        <f>IF(H354,Wh_hp,'2023'!Maxi_hp)</f>
        <v>22.171647596043584</v>
      </c>
      <c r="J354" s="85">
        <f>IF(H354,An,'2023'!An_max)</f>
        <v>2020</v>
      </c>
      <c r="K354" s="197">
        <f t="shared" si="129"/>
        <v>45631</v>
      </c>
      <c r="L354" s="147">
        <f>IF(t&lt;Tvie,1-EXP((T0-t)*PertePVj)+'2023'!Pspv,1-EXP((T0-t)*PertePVj)+Pspv)</f>
        <v>4.0091373724901236E-2</v>
      </c>
      <c r="M354" s="832"/>
      <c r="N354" s="832"/>
      <c r="O354" s="48">
        <f>IF(t&lt;Tnet,'2023'!Resal+('2023'!Salim-'2023'!Resal)*(1-EXP(('2023'!Tnet-t)/('2023'!Tau_j))),Resal+(Salim-Resal)*(1-EXP((Tnet-t)/(Tau_j))))*Salcycl</f>
        <v>3.2941418100974187E-2</v>
      </c>
      <c r="P354" s="169">
        <f>(INDEX(Models!$BJ354:$BT354,,T354)*(1-R354)+INDEX(Models!$BJ354:$BT354,,T354+1)*R354-ERP_i)*Q354*Ramure*Pc/MaxiM</f>
        <v>1.298963976569228E-3</v>
      </c>
      <c r="Q354" s="304">
        <f t="shared" si="130"/>
        <v>0.6</v>
      </c>
      <c r="R354" s="177">
        <f t="shared" si="131"/>
        <v>0.49895808431692013</v>
      </c>
      <c r="S354" s="799">
        <f t="shared" si="132"/>
        <v>1</v>
      </c>
      <c r="T354" s="176">
        <f t="shared" si="133"/>
        <v>7</v>
      </c>
      <c r="U354" s="250">
        <f t="shared" si="134"/>
        <v>1.4989580843169201</v>
      </c>
      <c r="V354" s="382">
        <f t="shared" si="135"/>
        <v>26.43045009670751</v>
      </c>
      <c r="W354" s="400">
        <f t="shared" si="136"/>
        <v>12.373248756880958</v>
      </c>
      <c r="X354" s="157">
        <f t="shared" si="137"/>
        <v>45631</v>
      </c>
      <c r="Y354" s="383">
        <f t="shared" si="138"/>
        <v>12.005455750338399</v>
      </c>
      <c r="Z354" s="383">
        <f t="shared" si="139"/>
        <v>12.506873489537506</v>
      </c>
      <c r="AA354" s="384">
        <f t="shared" si="140"/>
        <v>13.329107372542083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6.1687092767995562E-2</v>
      </c>
      <c r="AD354" s="230">
        <f>(INDEX(Models!$BJ354:$BT354,,AH354)*(1-AF354)+INDEX(Models!$BJ354:$BT354,,AH354+1)*AF354-ERP_i)*AE354*Ramure*Pc/MaxiM</f>
        <v>1.298963976569228E-3</v>
      </c>
      <c r="AE354" s="304">
        <f t="shared" si="142"/>
        <v>0.6</v>
      </c>
      <c r="AF354" s="177">
        <f t="shared" si="143"/>
        <v>0.49895808431692013</v>
      </c>
      <c r="AG354" s="799">
        <f t="shared" si="149"/>
        <v>1</v>
      </c>
      <c r="AH354" s="176">
        <f t="shared" si="144"/>
        <v>7</v>
      </c>
      <c r="AI354" s="224">
        <f t="shared" si="145"/>
        <v>1.4989580843169201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45632</v>
      </c>
      <c r="B355" s="409">
        <f>IF(t&gt;Tmaj,'2023'!Wh/'2023'!Env_an*'2024'!Env_an,0.001*'[14]mon-tableau (2)'!$B$248)</f>
        <v>22.72711654906103</v>
      </c>
      <c r="C355" s="829"/>
      <c r="D355" s="391">
        <f t="shared" si="127"/>
        <v>23.676787035039016</v>
      </c>
      <c r="E355" s="383">
        <f t="shared" si="125"/>
        <v>24.485512791517447</v>
      </c>
      <c r="F355" s="383">
        <f t="shared" si="128"/>
        <v>24.511775055174763</v>
      </c>
      <c r="G355" s="110">
        <f t="shared" si="126"/>
        <v>0.86355778194846011</v>
      </c>
      <c r="H355" s="412" t="b">
        <f>Wh_hp&gt;='2023'!Maxi_hp</f>
        <v>0</v>
      </c>
      <c r="I355" s="388">
        <f>IF(H355,Wh_hp,'2023'!Maxi_hp)</f>
        <v>24.51491938242404</v>
      </c>
      <c r="J355" s="85">
        <f>IF(H355,An,'2023'!An_max)</f>
        <v>2022</v>
      </c>
      <c r="K355" s="197">
        <f t="shared" si="129"/>
        <v>45632</v>
      </c>
      <c r="L355" s="147">
        <f>IF(t&lt;Tvie,1-EXP((T0-t)*PertePVj)+'2023'!Pspv,1-EXP((T0-t)*PertePVj)+Pspv)</f>
        <v>4.0109770154733382E-2</v>
      </c>
      <c r="M355" s="832"/>
      <c r="N355" s="832"/>
      <c r="O355" s="48">
        <f>IF(t&lt;Tnet,'2023'!Resal+('2023'!Salim-'2023'!Resal)*(1-EXP(('2023'!Tnet-t)/('2023'!Tau_j))),Resal+(Salim-Resal)*(1-EXP((Tnet-t)/(Tau_j))))*Salcycl</f>
        <v>3.3028744930291912E-2</v>
      </c>
      <c r="P355" s="169">
        <f>(INDEX(Models!$BJ355:$BT355,,T355)*(1-R355)+INDEX(Models!$BJ355:$BT355,,T355+1)*R355-ERP_i)*Q355*Ramure*Pc/MaxiM</f>
        <v>1.3302844494928329E-3</v>
      </c>
      <c r="Q355" s="304">
        <f t="shared" si="130"/>
        <v>0.6</v>
      </c>
      <c r="R355" s="177">
        <f t="shared" si="131"/>
        <v>0.49897094719120516</v>
      </c>
      <c r="S355" s="799">
        <f t="shared" si="132"/>
        <v>1</v>
      </c>
      <c r="T355" s="176">
        <f t="shared" si="133"/>
        <v>7</v>
      </c>
      <c r="U355" s="250">
        <f t="shared" si="134"/>
        <v>1.4989709471912052</v>
      </c>
      <c r="V355" s="382">
        <f t="shared" si="135"/>
        <v>26.311183037436578</v>
      </c>
      <c r="W355" s="400">
        <f t="shared" si="136"/>
        <v>22.72711654906103</v>
      </c>
      <c r="X355" s="157">
        <f t="shared" si="137"/>
        <v>45632</v>
      </c>
      <c r="Y355" s="383">
        <f t="shared" si="138"/>
        <v>22.052443962341655</v>
      </c>
      <c r="Z355" s="383">
        <f t="shared" si="139"/>
        <v>22.973922722285117</v>
      </c>
      <c r="AA355" s="384">
        <f t="shared" si="140"/>
        <v>24.485512791517447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6.1734058098059978E-2</v>
      </c>
      <c r="AD355" s="230">
        <f>(INDEX(Models!$BJ355:$BT355,,AH355)*(1-AF355)+INDEX(Models!$BJ355:$BT355,,AH355+1)*AF355-ERP_i)*AE355*Ramure*Pc/MaxiM</f>
        <v>1.3302844494928329E-3</v>
      </c>
      <c r="AE355" s="304">
        <f t="shared" si="142"/>
        <v>0.6</v>
      </c>
      <c r="AF355" s="177">
        <f t="shared" si="143"/>
        <v>0.49897094719120516</v>
      </c>
      <c r="AG355" s="799">
        <f t="shared" si="149"/>
        <v>1</v>
      </c>
      <c r="AH355" s="176">
        <f t="shared" si="144"/>
        <v>7</v>
      </c>
      <c r="AI355" s="224">
        <f t="shared" si="145"/>
        <v>1.4989709471912052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45633</v>
      </c>
      <c r="B356" s="409">
        <f>IF(t&gt;Tmaj,'2023'!Wh/'2023'!Env_an*'2024'!Env_an,0.001*'[14]mon-tableau (2)'!$B$249)</f>
        <v>4.1765934833452052</v>
      </c>
      <c r="C356" s="829"/>
      <c r="D356" s="391">
        <f t="shared" si="127"/>
        <v>4.3511991251476738</v>
      </c>
      <c r="E356" s="383">
        <f t="shared" si="125"/>
        <v>4.5002307091307143</v>
      </c>
      <c r="F356" s="383">
        <f t="shared" si="128"/>
        <v>4.5002307091307143</v>
      </c>
      <c r="G356" s="110">
        <f t="shared" si="126"/>
        <v>0.15918708436686438</v>
      </c>
      <c r="H356" s="412" t="b">
        <f>Wh_hp&gt;='2023'!Maxi_hp</f>
        <v>0</v>
      </c>
      <c r="I356" s="388">
        <f>IF(H356,Wh_hp,'2023'!Maxi_hp)</f>
        <v>18.001380759086484</v>
      </c>
      <c r="J356" s="85">
        <f>IF(H356,An,'2023'!An_max)</f>
        <v>2018</v>
      </c>
      <c r="K356" s="197">
        <f t="shared" si="129"/>
        <v>45633</v>
      </c>
      <c r="L356" s="147">
        <f>IF(t&lt;Tvie,1-EXP((T0-t)*PertePVj)+'2023'!Pspv,1-EXP((T0-t)*PertePVj)+Pspv)</f>
        <v>4.0128166232002327E-2</v>
      </c>
      <c r="M356" s="832"/>
      <c r="N356" s="832"/>
      <c r="O356" s="48">
        <f>IF(t&lt;Tnet,'2023'!Resal+('2023'!Salim-'2023'!Resal)*(1-EXP(('2023'!Tnet-t)/('2023'!Tau_j))),Resal+(Salim-Resal)*(1-EXP((Tnet-t)/(Tau_j))))*Salcycl</f>
        <v>3.3116431937736793E-2</v>
      </c>
      <c r="P356" s="169">
        <f>(INDEX(Models!$BJ356:$BT356,,T356)*(1-R356)+INDEX(Models!$BJ356:$BT356,,T356+1)*R356-ERP_i)*Q356*Ramure*Pc/MaxiM</f>
        <v>1.3591030826996052E-3</v>
      </c>
      <c r="Q356" s="304">
        <f t="shared" si="130"/>
        <v>0.6</v>
      </c>
      <c r="R356" s="177">
        <f t="shared" si="131"/>
        <v>0.49898329279053932</v>
      </c>
      <c r="S356" s="799">
        <f t="shared" si="132"/>
        <v>1</v>
      </c>
      <c r="T356" s="176">
        <f t="shared" si="133"/>
        <v>7</v>
      </c>
      <c r="U356" s="250">
        <f t="shared" si="134"/>
        <v>1.4989832927905393</v>
      </c>
      <c r="V356" s="382">
        <f t="shared" si="135"/>
        <v>26.201353450600706</v>
      </c>
      <c r="W356" s="400">
        <f t="shared" si="136"/>
        <v>4.1765934833452052</v>
      </c>
      <c r="X356" s="157">
        <f t="shared" si="137"/>
        <v>45633</v>
      </c>
      <c r="Y356" s="383">
        <f t="shared" si="138"/>
        <v>4.052768895106885</v>
      </c>
      <c r="Z356" s="383">
        <f t="shared" si="139"/>
        <v>4.2221979565726526</v>
      </c>
      <c r="AA356" s="384">
        <f t="shared" si="140"/>
        <v>4.5002307091307143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6.178188864716392E-2</v>
      </c>
      <c r="AD356" s="230">
        <f>(INDEX(Models!$BJ356:$BT356,,AH356)*(1-AF356)+INDEX(Models!$BJ356:$BT356,,AH356+1)*AF356-ERP_i)*AE356*Ramure*Pc/MaxiM</f>
        <v>1.3591030826996052E-3</v>
      </c>
      <c r="AE356" s="304">
        <f t="shared" si="142"/>
        <v>0.6</v>
      </c>
      <c r="AF356" s="177">
        <f t="shared" si="143"/>
        <v>0.49898329279053932</v>
      </c>
      <c r="AG356" s="799">
        <f t="shared" si="149"/>
        <v>1</v>
      </c>
      <c r="AH356" s="176">
        <f t="shared" si="144"/>
        <v>7</v>
      </c>
      <c r="AI356" s="224">
        <f t="shared" si="145"/>
        <v>1.4989832927905393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45634</v>
      </c>
      <c r="B357" s="409">
        <f>IF(t&gt;Tmaj,'2023'!Wh/'2023'!Env_an*'2024'!Env_an,0.001*'[14]mon-tableau (2)'!$B$250)</f>
        <v>5.0467487639918946</v>
      </c>
      <c r="C357" s="829"/>
      <c r="D357" s="391">
        <f t="shared" si="127"/>
        <v>5.2578326689957713</v>
      </c>
      <c r="E357" s="383">
        <f t="shared" si="125"/>
        <v>5.4384122511117452</v>
      </c>
      <c r="F357" s="383">
        <f t="shared" si="128"/>
        <v>5.4384122511117452</v>
      </c>
      <c r="G357" s="110">
        <f t="shared" si="126"/>
        <v>0.19308483894369954</v>
      </c>
      <c r="H357" s="412" t="b">
        <f>Wh_hp&gt;='2023'!Maxi_hp</f>
        <v>0</v>
      </c>
      <c r="I357" s="388">
        <f>IF(H357,Wh_hp,'2023'!Maxi_hp)</f>
        <v>12.508888202524682</v>
      </c>
      <c r="J357" s="85">
        <f>IF(H357,An,'2023'!An_max)</f>
        <v>2018</v>
      </c>
      <c r="K357" s="197">
        <f t="shared" si="129"/>
        <v>45634</v>
      </c>
      <c r="L357" s="147">
        <f>IF(t&lt;Tvie,1-EXP((T0-t)*PertePVj)+'2023'!Pspv,1-EXP((T0-t)*PertePVj)+Pspv)</f>
        <v>4.014656195671451E-2</v>
      </c>
      <c r="M357" s="832"/>
      <c r="N357" s="832"/>
      <c r="O357" s="48">
        <f>IF(t&lt;Tnet,'2023'!Resal+('2023'!Salim-'2023'!Resal)*(1-EXP(('2023'!Tnet-t)/('2023'!Tau_j))),Resal+(Salim-Resal)*(1-EXP((Tnet-t)/(Tau_j))))*Salcycl</f>
        <v>3.3204467366198392E-2</v>
      </c>
      <c r="P357" s="169">
        <f>(INDEX(Models!$BJ357:$BT357,,T357)*(1-R357)+INDEX(Models!$BJ357:$BT357,,T357+1)*R357-ERP_i)*Q357*Ramure*Pc/MaxiM</f>
        <v>1.3853919133143991E-3</v>
      </c>
      <c r="Q357" s="304">
        <f t="shared" si="130"/>
        <v>0.6</v>
      </c>
      <c r="R357" s="177">
        <f t="shared" si="131"/>
        <v>0.49899514189289929</v>
      </c>
      <c r="S357" s="799">
        <f t="shared" si="132"/>
        <v>1</v>
      </c>
      <c r="T357" s="176">
        <f t="shared" si="133"/>
        <v>7</v>
      </c>
      <c r="U357" s="250">
        <f t="shared" si="134"/>
        <v>1.4989951418928993</v>
      </c>
      <c r="V357" s="382">
        <f t="shared" si="135"/>
        <v>26.101257181229254</v>
      </c>
      <c r="W357" s="400">
        <f t="shared" si="136"/>
        <v>5.0467487639918946</v>
      </c>
      <c r="X357" s="157">
        <f t="shared" si="137"/>
        <v>45634</v>
      </c>
      <c r="Y357" s="383">
        <f t="shared" si="138"/>
        <v>4.8973183241856315</v>
      </c>
      <c r="Z357" s="383">
        <f t="shared" si="139"/>
        <v>5.1021521933276466</v>
      </c>
      <c r="AA357" s="384">
        <f t="shared" si="140"/>
        <v>5.4384122511117452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6.1830556834921564E-2</v>
      </c>
      <c r="AD357" s="230">
        <f>(INDEX(Models!$BJ357:$BT357,,AH357)*(1-AF357)+INDEX(Models!$BJ357:$BT357,,AH357+1)*AF357-ERP_i)*AE357*Ramure*Pc/MaxiM</f>
        <v>1.3853919133143991E-3</v>
      </c>
      <c r="AE357" s="304">
        <f t="shared" si="142"/>
        <v>0.6</v>
      </c>
      <c r="AF357" s="177">
        <f t="shared" si="143"/>
        <v>0.49899514189289929</v>
      </c>
      <c r="AG357" s="799">
        <f t="shared" si="149"/>
        <v>1</v>
      </c>
      <c r="AH357" s="176">
        <f t="shared" si="144"/>
        <v>7</v>
      </c>
      <c r="AI357" s="224">
        <f t="shared" si="145"/>
        <v>1.4989951418928993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45635</v>
      </c>
      <c r="B358" s="409">
        <f>IF(t&gt;Tmaj,'2023'!Wh/'2023'!Env_an*'2024'!Env_an,0.001*'[14]mon-tableau (2)'!$B$251)</f>
        <v>11.666501491595437</v>
      </c>
      <c r="C358" s="829"/>
      <c r="D358" s="391">
        <f t="shared" si="127"/>
        <v>12.154694268224205</v>
      </c>
      <c r="E358" s="383">
        <f t="shared" si="125"/>
        <v>12.573294942561892</v>
      </c>
      <c r="F358" s="383">
        <f t="shared" si="128"/>
        <v>12.57705513398138</v>
      </c>
      <c r="G358" s="110">
        <f t="shared" si="126"/>
        <v>0.44802048750854484</v>
      </c>
      <c r="H358" s="412" t="b">
        <f>Wh_hp&gt;='2023'!Maxi_hp</f>
        <v>0</v>
      </c>
      <c r="I358" s="388">
        <f>IF(H358,Wh_hp,'2023'!Maxi_hp)</f>
        <v>24.237624658257118</v>
      </c>
      <c r="J358" s="85">
        <f>IF(H358,An,'2023'!An_max)</f>
        <v>2018</v>
      </c>
      <c r="K358" s="197">
        <f t="shared" si="129"/>
        <v>45635</v>
      </c>
      <c r="L358" s="147">
        <f>IF(t&lt;Tvie,1-EXP((T0-t)*PertePVj)+'2023'!Pspv,1-EXP((T0-t)*PertePVj)+Pspv)</f>
        <v>4.0164957328876816E-2</v>
      </c>
      <c r="M358" s="832"/>
      <c r="N358" s="832"/>
      <c r="O358" s="48">
        <f>IF(t&lt;Tnet,'2023'!Resal+('2023'!Salim-'2023'!Resal)*(1-EXP(('2023'!Tnet-t)/('2023'!Tau_j))),Resal+(Salim-Resal)*(1-EXP((Tnet-t)/(Tau_j))))*Salcycl</f>
        <v>3.3292838213846522E-2</v>
      </c>
      <c r="P358" s="169">
        <f>(INDEX(Models!$BJ358:$BT358,,T358)*(1-R358)+INDEX(Models!$BJ358:$BT358,,T358+1)*R358-ERP_i)*Q358*Ramure*Pc/MaxiM</f>
        <v>1.4091210522315719E-3</v>
      </c>
      <c r="Q358" s="304">
        <f t="shared" si="130"/>
        <v>0.6</v>
      </c>
      <c r="R358" s="177">
        <f t="shared" si="131"/>
        <v>0.49900651444354382</v>
      </c>
      <c r="S358" s="799">
        <f t="shared" si="132"/>
        <v>1</v>
      </c>
      <c r="T358" s="176">
        <f t="shared" si="133"/>
        <v>7</v>
      </c>
      <c r="U358" s="250">
        <f t="shared" si="134"/>
        <v>1.4990065144435438</v>
      </c>
      <c r="V358" s="382">
        <f t="shared" si="135"/>
        <v>26.011190093804753</v>
      </c>
      <c r="W358" s="400">
        <f t="shared" si="136"/>
        <v>11.666501491595437</v>
      </c>
      <c r="X358" s="157">
        <f t="shared" si="137"/>
        <v>45635</v>
      </c>
      <c r="Y358" s="383">
        <f t="shared" si="138"/>
        <v>11.321502960612674</v>
      </c>
      <c r="Z358" s="383">
        <f t="shared" si="139"/>
        <v>11.79525903649661</v>
      </c>
      <c r="AA358" s="384">
        <f t="shared" si="140"/>
        <v>12.573294942561892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6.1880033008018441E-2</v>
      </c>
      <c r="AD358" s="230">
        <f>(INDEX(Models!$BJ358:$BT358,,AH358)*(1-AF358)+INDEX(Models!$BJ358:$BT358,,AH358+1)*AF358-ERP_i)*AE358*Ramure*Pc/MaxiM</f>
        <v>1.4091210522315719E-3</v>
      </c>
      <c r="AE358" s="304">
        <f t="shared" si="142"/>
        <v>0.6</v>
      </c>
      <c r="AF358" s="177">
        <f t="shared" si="143"/>
        <v>0.49900651444354382</v>
      </c>
      <c r="AG358" s="799">
        <f t="shared" si="149"/>
        <v>1</v>
      </c>
      <c r="AH358" s="176">
        <f t="shared" si="144"/>
        <v>7</v>
      </c>
      <c r="AI358" s="224">
        <f t="shared" si="145"/>
        <v>1.4990065144435438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45636</v>
      </c>
      <c r="B359" s="409">
        <f>IF(t&gt;Tmaj,'2023'!Wh/'2023'!Env_an*'2024'!Env_an,0.001*'[14]mon-tableau (2)'!$B$252)</f>
        <v>18.355282723554783</v>
      </c>
      <c r="C359" s="829"/>
      <c r="D359" s="391">
        <f t="shared" si="127"/>
        <v>19.12373865202985</v>
      </c>
      <c r="E359" s="383">
        <f t="shared" si="125"/>
        <v>19.78416433429906</v>
      </c>
      <c r="F359" s="383">
        <f t="shared" si="128"/>
        <v>19.800666740171323</v>
      </c>
      <c r="G359" s="110">
        <f t="shared" si="126"/>
        <v>0.70745294367227807</v>
      </c>
      <c r="H359" s="412" t="b">
        <f>Wh_hp&gt;='2023'!Maxi_hp</f>
        <v>0</v>
      </c>
      <c r="I359" s="388">
        <f>IF(H359,Wh_hp,'2023'!Maxi_hp)</f>
        <v>19.806310126672773</v>
      </c>
      <c r="J359" s="85">
        <f>IF(H359,An,'2023'!An_max)</f>
        <v>2022</v>
      </c>
      <c r="K359" s="197">
        <f t="shared" si="129"/>
        <v>45636</v>
      </c>
      <c r="L359" s="147">
        <f>IF(t&lt;Tvie,1-EXP((T0-t)*PertePVj)+'2023'!Pspv,1-EXP((T0-t)*PertePVj)+Pspv)</f>
        <v>4.0183352348496015E-2</v>
      </c>
      <c r="M359" s="832"/>
      <c r="N359" s="832"/>
      <c r="O359" s="48">
        <f>IF(t&lt;Tnet,'2023'!Resal+('2023'!Salim-'2023'!Resal)*(1-EXP(('2023'!Tnet-t)/('2023'!Tau_j))),Resal+(Salim-Resal)*(1-EXP((Tnet-t)/(Tau_j))))*Salcycl</f>
        <v>3.3381530354772412E-2</v>
      </c>
      <c r="P359" s="169">
        <f>(INDEX(Models!$BJ359:$BT359,,T359)*(1-R359)+INDEX(Models!$BJ359:$BT359,,T359+1)*R359-ERP_i)*Q359*Ramure*Pc/MaxiM</f>
        <v>1.4303341796633223E-3</v>
      </c>
      <c r="Q359" s="304">
        <f t="shared" si="130"/>
        <v>0.6</v>
      </c>
      <c r="R359" s="177">
        <f t="shared" si="131"/>
        <v>0.49901742958823525</v>
      </c>
      <c r="S359" s="799">
        <f t="shared" si="132"/>
        <v>1</v>
      </c>
      <c r="T359" s="176">
        <f t="shared" si="133"/>
        <v>7</v>
      </c>
      <c r="U359" s="250">
        <f t="shared" si="134"/>
        <v>1.4990174295882353</v>
      </c>
      <c r="V359" s="382">
        <f t="shared" si="135"/>
        <v>25.930088134522833</v>
      </c>
      <c r="W359" s="400">
        <f t="shared" si="136"/>
        <v>18.355282723554783</v>
      </c>
      <c r="X359" s="157">
        <f t="shared" si="137"/>
        <v>45636</v>
      </c>
      <c r="Y359" s="383">
        <f t="shared" si="138"/>
        <v>17.813165547151176</v>
      </c>
      <c r="Z359" s="383">
        <f t="shared" si="139"/>
        <v>18.55892538511052</v>
      </c>
      <c r="AA359" s="384">
        <f t="shared" si="140"/>
        <v>19.78416433429906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6.1930285681280402E-2</v>
      </c>
      <c r="AD359" s="230">
        <f>(INDEX(Models!$BJ359:$BT359,,AH359)*(1-AF359)+INDEX(Models!$BJ359:$BT359,,AH359+1)*AF359-ERP_i)*AE359*Ramure*Pc/MaxiM</f>
        <v>1.4303341796633223E-3</v>
      </c>
      <c r="AE359" s="304">
        <f t="shared" si="142"/>
        <v>0.6</v>
      </c>
      <c r="AF359" s="177">
        <f t="shared" si="143"/>
        <v>0.49901742958823525</v>
      </c>
      <c r="AG359" s="799">
        <f t="shared" si="149"/>
        <v>1</v>
      </c>
      <c r="AH359" s="176">
        <f t="shared" si="144"/>
        <v>7</v>
      </c>
      <c r="AI359" s="224">
        <f t="shared" si="145"/>
        <v>1.4990174295882353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45637</v>
      </c>
      <c r="B360" s="409">
        <f>IF(t&gt;Tmaj,'2023'!Wh/'2023'!Env_an*'2024'!Env_an,0.001*'[14]mon-tableau (2)'!$B$253)</f>
        <v>7.0761430124901423</v>
      </c>
      <c r="C360" s="829"/>
      <c r="D360" s="391">
        <f t="shared" si="127"/>
        <v>7.3725316653655106</v>
      </c>
      <c r="E360" s="383">
        <f t="shared" si="125"/>
        <v>7.6278394855120935</v>
      </c>
      <c r="F360" s="383">
        <f t="shared" si="128"/>
        <v>7.6278394855120935</v>
      </c>
      <c r="G360" s="110">
        <f t="shared" si="126"/>
        <v>0.27326925115268996</v>
      </c>
      <c r="H360" s="412" t="b">
        <f>Wh_hp&gt;='2023'!Maxi_hp</f>
        <v>0</v>
      </c>
      <c r="I360" s="388">
        <f>IF(H360,Wh_hp,'2023'!Maxi_hp)</f>
        <v>26.814406326002654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4.0201747015578881E-2</v>
      </c>
      <c r="M360" s="832"/>
      <c r="N360" s="832"/>
      <c r="O360" s="48">
        <f>IF(t&lt;Tnet,'2023'!Resal+('2023'!Salim-'2023'!Resal)*(1-EXP(('2023'!Tnet-t)/('2023'!Tau_j))),Resal+(Salim-Resal)*(1-EXP((Tnet-t)/(Tau_j))))*Salcycl</f>
        <v>3.3470528664309301E-2</v>
      </c>
      <c r="P360" s="169">
        <f>(INDEX(Models!$BJ360:$BT360,,T360)*(1-R360)+INDEX(Models!$BJ360:$BT360,,T360+1)*R360-ERP_i)*Q360*Ramure*Pc/MaxiM</f>
        <v>1.4490796603718258E-3</v>
      </c>
      <c r="Q360" s="304">
        <f t="shared" si="130"/>
        <v>0.6</v>
      </c>
      <c r="R360" s="177">
        <f t="shared" si="131"/>
        <v>0.49902790570514988</v>
      </c>
      <c r="S360" s="799">
        <f t="shared" si="132"/>
        <v>1</v>
      </c>
      <c r="T360" s="176">
        <f t="shared" si="133"/>
        <v>7</v>
      </c>
      <c r="U360" s="250">
        <f t="shared" si="134"/>
        <v>1.4990279057051499</v>
      </c>
      <c r="V360" s="382">
        <f t="shared" si="135"/>
        <v>25.856875911841158</v>
      </c>
      <c r="W360" s="400">
        <f t="shared" si="136"/>
        <v>7.0761430124901423</v>
      </c>
      <c r="X360" s="157">
        <f t="shared" si="137"/>
        <v>45637</v>
      </c>
      <c r="Y360" s="383">
        <f t="shared" si="138"/>
        <v>6.867410457036792</v>
      </c>
      <c r="Z360" s="383">
        <f t="shared" si="139"/>
        <v>7.155056216952981</v>
      </c>
      <c r="AA360" s="384">
        <f t="shared" si="140"/>
        <v>7.6278394855120935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6.1981281784585493E-2</v>
      </c>
      <c r="AD360" s="230">
        <f>(INDEX(Models!$BJ360:$BT360,,AH360)*(1-AF360)+INDEX(Models!$BJ360:$BT360,,AH360+1)*AF360-ERP_i)*AE360*Ramure*Pc/MaxiM</f>
        <v>1.4490796603718258E-3</v>
      </c>
      <c r="AE360" s="304">
        <f t="shared" si="142"/>
        <v>0.6</v>
      </c>
      <c r="AF360" s="177">
        <f t="shared" si="143"/>
        <v>0.49902790570514988</v>
      </c>
      <c r="AG360" s="799">
        <f t="shared" si="149"/>
        <v>1</v>
      </c>
      <c r="AH360" s="176">
        <f t="shared" si="144"/>
        <v>7</v>
      </c>
      <c r="AI360" s="224">
        <f t="shared" si="145"/>
        <v>1.4990279057051499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45638</v>
      </c>
      <c r="B361" s="409">
        <f>IF(t&gt;Tmaj,'2023'!Wh/'2023'!Env_an*'2024'!Env_an,0.001*'[14]mon-tableau (2)'!$B$254)</f>
        <v>5.4919952850908285</v>
      </c>
      <c r="C361" s="829"/>
      <c r="D361" s="391">
        <f t="shared" si="127"/>
        <v>5.7221405882615954</v>
      </c>
      <c r="E361" s="383">
        <f t="shared" ref="E361:E379" si="150">Wh_pvt/(1-Psa)</f>
        <v>5.9208429965890543</v>
      </c>
      <c r="F361" s="383">
        <f t="shared" si="128"/>
        <v>5.9208429965890543</v>
      </c>
      <c r="G361" s="110">
        <f t="shared" ref="G361:G379" si="151">+Wh_hp/MaxiM</f>
        <v>0.21262342344527566</v>
      </c>
      <c r="H361" s="412" t="b">
        <f>Wh_hp&gt;='2023'!Maxi_hp</f>
        <v>0</v>
      </c>
      <c r="I361" s="388">
        <f>IF(H361,Wh_hp,'2023'!Maxi_hp)</f>
        <v>28.151976192045886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4.0220141330132186E-2</v>
      </c>
      <c r="M361" s="832"/>
      <c r="N361" s="832"/>
      <c r="O361" s="48">
        <f>IF(t&lt;Tnet,'2023'!Resal+('2023'!Salim-'2023'!Resal)*(1-EXP(('2023'!Tnet-t)/('2023'!Tau_j))),Resal+(Salim-Resal)*(1-EXP((Tnet-t)/(Tau_j))))*Salcycl</f>
        <v>3.3559817147985491E-2</v>
      </c>
      <c r="P361" s="169">
        <f>(INDEX(Models!$BJ361:$BT361,,T361)*(1-R361)+INDEX(Models!$BJ361:$BT361,,T361+1)*R361-ERP_i)*Q361*Ramure*Pc/MaxiM</f>
        <v>1.4659051643416559E-3</v>
      </c>
      <c r="Q361" s="304">
        <f t="shared" si="130"/>
        <v>0.6</v>
      </c>
      <c r="R361" s="177">
        <f t="shared" si="131"/>
        <v>0.49903796043552573</v>
      </c>
      <c r="S361" s="799">
        <f t="shared" si="132"/>
        <v>1</v>
      </c>
      <c r="T361" s="176">
        <f t="shared" si="133"/>
        <v>7</v>
      </c>
      <c r="U361" s="250">
        <f t="shared" si="134"/>
        <v>1.4990379604355257</v>
      </c>
      <c r="V361" s="382">
        <f t="shared" si="135"/>
        <v>25.791817533458694</v>
      </c>
      <c r="W361" s="400">
        <f t="shared" si="136"/>
        <v>5.4919952850908285</v>
      </c>
      <c r="X361" s="157">
        <f t="shared" si="137"/>
        <v>45638</v>
      </c>
      <c r="Y361" s="383">
        <f t="shared" si="138"/>
        <v>5.3301906365681475</v>
      </c>
      <c r="Z361" s="383">
        <f t="shared" si="139"/>
        <v>5.5535554204639288</v>
      </c>
      <c r="AA361" s="384">
        <f t="shared" si="140"/>
        <v>5.9208429965890543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6.2032986913639912E-2</v>
      </c>
      <c r="AD361" s="230">
        <f>(INDEX(Models!$BJ361:$BT361,,AH361)*(1-AF361)+INDEX(Models!$BJ361:$BT361,,AH361+1)*AF361-ERP_i)*AE361*Ramure*Pc/MaxiM</f>
        <v>1.4659051643416559E-3</v>
      </c>
      <c r="AE361" s="304">
        <f t="shared" si="142"/>
        <v>0.6</v>
      </c>
      <c r="AF361" s="177">
        <f t="shared" si="143"/>
        <v>0.49903796043552573</v>
      </c>
      <c r="AG361" s="799">
        <f t="shared" si="149"/>
        <v>1</v>
      </c>
      <c r="AH361" s="176">
        <f t="shared" si="144"/>
        <v>7</v>
      </c>
      <c r="AI361" s="224">
        <f t="shared" si="145"/>
        <v>1.4990379604355257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45639</v>
      </c>
      <c r="B362" s="409">
        <f>IF(t&gt;Tmaj,'2023'!Wh/'2023'!Env_an*'2024'!Env_an,0.001*'[14]mon-tableau (2)'!$B$255)</f>
        <v>17.839444175032238</v>
      </c>
      <c r="C362" s="829"/>
      <c r="D362" s="391">
        <f t="shared" si="127"/>
        <v>18.587372832751495</v>
      </c>
      <c r="E362" s="383">
        <f t="shared" si="150"/>
        <v>19.234605359824624</v>
      </c>
      <c r="F362" s="383">
        <f t="shared" si="128"/>
        <v>19.250617273300431</v>
      </c>
      <c r="G362" s="110">
        <f t="shared" si="151"/>
        <v>0.69274230883569399</v>
      </c>
      <c r="H362" s="412" t="b">
        <f>Wh_hp&gt;='2023'!Maxi_hp</f>
        <v>0</v>
      </c>
      <c r="I362" s="388">
        <f>IF(H362,Wh_hp,'2023'!Maxi_hp)</f>
        <v>27.05277642016825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4.0238535292162592E-2</v>
      </c>
      <c r="M362" s="832"/>
      <c r="N362" s="832"/>
      <c r="O362" s="48">
        <f>IF(t&lt;Tnet,'2023'!Resal+('2023'!Salim-'2023'!Resal)*(1-EXP(('2023'!Tnet-t)/('2023'!Tau_j))),Resal+(Salim-Resal)*(1-EXP((Tnet-t)/(Tau_j))))*Salcycl</f>
        <v>3.3649379073043335E-2</v>
      </c>
      <c r="P362" s="169">
        <f>(INDEX(Models!$BJ362:$BT362,,T362)*(1-R362)+INDEX(Models!$BJ362:$BT362,,T362+1)*R362-ERP_i)*Q362*Ramure*Pc/MaxiM</f>
        <v>1.480782594493527E-3</v>
      </c>
      <c r="Q362" s="304">
        <f t="shared" si="130"/>
        <v>0.6</v>
      </c>
      <c r="R362" s="177">
        <f t="shared" si="131"/>
        <v>0.49904761071309522</v>
      </c>
      <c r="S362" s="799">
        <f t="shared" si="132"/>
        <v>1</v>
      </c>
      <c r="T362" s="176">
        <f t="shared" si="133"/>
        <v>7</v>
      </c>
      <c r="U362" s="250">
        <f t="shared" si="134"/>
        <v>1.4990476107130952</v>
      </c>
      <c r="V362" s="382">
        <f t="shared" si="135"/>
        <v>25.735192041232093</v>
      </c>
      <c r="W362" s="400">
        <f t="shared" si="136"/>
        <v>17.839444175032238</v>
      </c>
      <c r="X362" s="157">
        <f t="shared" si="137"/>
        <v>45639</v>
      </c>
      <c r="Y362" s="383">
        <f t="shared" si="138"/>
        <v>17.314497863709768</v>
      </c>
      <c r="Z362" s="383">
        <f t="shared" si="139"/>
        <v>18.040417854222252</v>
      </c>
      <c r="AA362" s="384">
        <f t="shared" si="140"/>
        <v>19.234605359824624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6.2085365582632356E-2</v>
      </c>
      <c r="AD362" s="230">
        <f>(INDEX(Models!$BJ362:$BT362,,AH362)*(1-AF362)+INDEX(Models!$BJ362:$BT362,,AH362+1)*AF362-ERP_i)*AE362*Ramure*Pc/MaxiM</f>
        <v>1.480782594493527E-3</v>
      </c>
      <c r="AE362" s="304">
        <f t="shared" si="142"/>
        <v>0.6</v>
      </c>
      <c r="AF362" s="177">
        <f t="shared" si="143"/>
        <v>0.49904761071309522</v>
      </c>
      <c r="AG362" s="799">
        <f t="shared" si="149"/>
        <v>1</v>
      </c>
      <c r="AH362" s="176">
        <f t="shared" si="144"/>
        <v>7</v>
      </c>
      <c r="AI362" s="224">
        <f t="shared" si="145"/>
        <v>1.4990476107130952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45640</v>
      </c>
      <c r="B363" s="409">
        <f>IF(t&gt;Tmaj,'2023'!Wh/'2023'!Env_an*'2024'!Env_an,0.001*'[14]mon-tableau (2)'!$B$256)</f>
        <v>5.9746720188831599</v>
      </c>
      <c r="C363" s="829"/>
      <c r="D363" s="391">
        <f t="shared" si="127"/>
        <v>6.2252827853664927</v>
      </c>
      <c r="E363" s="383">
        <f t="shared" si="150"/>
        <v>6.4426527151801336</v>
      </c>
      <c r="F363" s="383">
        <f t="shared" si="128"/>
        <v>6.4426527151801336</v>
      </c>
      <c r="G363" s="110">
        <f t="shared" si="151"/>
        <v>0.23224522466767231</v>
      </c>
      <c r="H363" s="412" t="b">
        <f>Wh_hp&gt;='2023'!Maxi_hp</f>
        <v>0</v>
      </c>
      <c r="I363" s="388">
        <f>IF(H363,Wh_hp,'2023'!Maxi_hp)</f>
        <v>28.710535852153466</v>
      </c>
      <c r="J363" s="85">
        <f>IF(H363,An,'2023'!An_max)</f>
        <v>2018</v>
      </c>
      <c r="K363" s="197">
        <f t="shared" si="129"/>
        <v>45640</v>
      </c>
      <c r="L363" s="147">
        <f>IF(t&lt;Tvie,1-EXP((T0-t)*PertePVj)+'2023'!Pspv,1-EXP((T0-t)*PertePVj)+Pspv)</f>
        <v>4.025692890167698E-2</v>
      </c>
      <c r="M363" s="832"/>
      <c r="N363" s="832"/>
      <c r="O363" s="48">
        <f>IF(t&lt;Tnet,'2023'!Resal+('2023'!Salim-'2023'!Resal)*(1-EXP(('2023'!Tnet-t)/('2023'!Tau_j))),Resal+(Salim-Resal)*(1-EXP((Tnet-t)/(Tau_j))))*Salcycl</f>
        <v>3.3739197101447925E-2</v>
      </c>
      <c r="P363" s="169">
        <f>(INDEX(Models!$BJ363:$BT363,,T363)*(1-R363)+INDEX(Models!$BJ363:$BT363,,T363+1)*R363-ERP_i)*Q363*Ramure*Pc/MaxiM</f>
        <v>1.4936830197192618E-3</v>
      </c>
      <c r="Q363" s="304">
        <f t="shared" si="130"/>
        <v>0.6</v>
      </c>
      <c r="R363" s="177">
        <f t="shared" si="131"/>
        <v>0.49905687279235167</v>
      </c>
      <c r="S363" s="799">
        <f t="shared" si="132"/>
        <v>1</v>
      </c>
      <c r="T363" s="176">
        <f t="shared" si="133"/>
        <v>7</v>
      </c>
      <c r="U363" s="250">
        <f t="shared" si="134"/>
        <v>1.4990568727923517</v>
      </c>
      <c r="V363" s="382">
        <f t="shared" si="135"/>
        <v>25.687278441469598</v>
      </c>
      <c r="W363" s="400">
        <f t="shared" si="136"/>
        <v>5.9746720188831599</v>
      </c>
      <c r="X363" s="157">
        <f t="shared" si="137"/>
        <v>45640</v>
      </c>
      <c r="Y363" s="383">
        <f t="shared" si="138"/>
        <v>5.7990715891260116</v>
      </c>
      <c r="Z363" s="383">
        <f t="shared" si="139"/>
        <v>6.0423167030417799</v>
      </c>
      <c r="AA363" s="384">
        <f t="shared" si="140"/>
        <v>6.4426527151801336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6.2138381476792112E-2</v>
      </c>
      <c r="AD363" s="230">
        <f>(INDEX(Models!$BJ363:$BT363,,AH363)*(1-AF363)+INDEX(Models!$BJ363:$BT363,,AH363+1)*AF363-ERP_i)*AE363*Ramure*Pc/MaxiM</f>
        <v>1.4936830197192618E-3</v>
      </c>
      <c r="AE363" s="304">
        <f t="shared" si="142"/>
        <v>0.6</v>
      </c>
      <c r="AF363" s="177">
        <f t="shared" si="143"/>
        <v>0.49905687279235167</v>
      </c>
      <c r="AG363" s="799">
        <f t="shared" si="149"/>
        <v>1</v>
      </c>
      <c r="AH363" s="176">
        <f t="shared" si="144"/>
        <v>7</v>
      </c>
      <c r="AI363" s="224">
        <f t="shared" si="145"/>
        <v>1.4990568727923517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45641</v>
      </c>
      <c r="B364" s="409">
        <f>IF(t&gt;Tmaj,'2023'!Wh/'2023'!Env_an*'2024'!Env_an,0.001*'[14]mon-tableau (2)'!$B$257)</f>
        <v>5.3341412665531065</v>
      </c>
      <c r="C364" s="829"/>
      <c r="D364" s="391">
        <f t="shared" si="127"/>
        <v>5.5579911507027644</v>
      </c>
      <c r="E364" s="383">
        <f t="shared" si="150"/>
        <v>5.7525972198968782</v>
      </c>
      <c r="F364" s="383">
        <f t="shared" si="128"/>
        <v>5.7525972198968782</v>
      </c>
      <c r="G364" s="110">
        <f t="shared" si="151"/>
        <v>0.2076591458699476</v>
      </c>
      <c r="H364" s="412" t="b">
        <f>Wh_hp&gt;='2023'!Maxi_hp</f>
        <v>0</v>
      </c>
      <c r="I364" s="388">
        <f>IF(H364,Wh_hp,'2023'!Maxi_hp)</f>
        <v>28.36247847047073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4.0275322158682014E-2</v>
      </c>
      <c r="M364" s="832"/>
      <c r="N364" s="832"/>
      <c r="O364" s="48">
        <f>IF(t&lt;Tnet,'2023'!Resal+('2023'!Salim-'2023'!Resal)*(1-EXP(('2023'!Tnet-t)/('2023'!Tau_j))),Resal+(Salim-Resal)*(1-EXP((Tnet-t)/(Tau_j))))*Salcycl</f>
        <v>3.3829253423308926E-2</v>
      </c>
      <c r="P364" s="169">
        <f>(INDEX(Models!$BJ364:$BT364,,T364)*(1-R364)+INDEX(Models!$BJ364:$BT364,,T364+1)*R364-ERP_i)*Q364*Ramure*Pc/MaxiM</f>
        <v>1.5045772617219796E-3</v>
      </c>
      <c r="Q364" s="304">
        <f t="shared" si="130"/>
        <v>0.6</v>
      </c>
      <c r="R364" s="177">
        <f t="shared" si="131"/>
        <v>0.49906576227569688</v>
      </c>
      <c r="S364" s="799">
        <f t="shared" si="132"/>
        <v>1</v>
      </c>
      <c r="T364" s="176">
        <f t="shared" si="133"/>
        <v>7</v>
      </c>
      <c r="U364" s="250">
        <f t="shared" si="134"/>
        <v>1.4990657622756969</v>
      </c>
      <c r="V364" s="382">
        <f t="shared" si="135"/>
        <v>25.648355706077442</v>
      </c>
      <c r="W364" s="400">
        <f t="shared" si="136"/>
        <v>5.3341412665531065</v>
      </c>
      <c r="X364" s="157">
        <f t="shared" si="137"/>
        <v>45641</v>
      </c>
      <c r="Y364" s="383">
        <f t="shared" si="138"/>
        <v>5.1775531218276196</v>
      </c>
      <c r="Z364" s="383">
        <f t="shared" si="139"/>
        <v>5.3948317068113179</v>
      </c>
      <c r="AA364" s="384">
        <f t="shared" si="140"/>
        <v>5.7525972198968782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6.2191997702904317E-2</v>
      </c>
      <c r="AD364" s="230">
        <f>(INDEX(Models!$BJ364:$BT364,,AH364)*(1-AF364)+INDEX(Models!$BJ364:$BT364,,AH364+1)*AF364-ERP_i)*AE364*Ramure*Pc/MaxiM</f>
        <v>1.5045772617219796E-3</v>
      </c>
      <c r="AE364" s="304">
        <f t="shared" si="142"/>
        <v>0.6</v>
      </c>
      <c r="AF364" s="177">
        <f t="shared" si="143"/>
        <v>0.49906576227569688</v>
      </c>
      <c r="AG364" s="799">
        <f t="shared" si="149"/>
        <v>1</v>
      </c>
      <c r="AH364" s="176">
        <f t="shared" si="144"/>
        <v>7</v>
      </c>
      <c r="AI364" s="224">
        <f t="shared" si="145"/>
        <v>1.4990657622756969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45642</v>
      </c>
      <c r="B365" s="409">
        <f>IF(t&gt;Tmaj,'2023'!Wh/'2023'!Env_an*'2024'!Env_an,0.001*'[14]mon-tableau (2)'!$B$258)</f>
        <v>3.519502298086377</v>
      </c>
      <c r="C365" s="829"/>
      <c r="D365" s="391">
        <f t="shared" si="127"/>
        <v>3.6672702402048887</v>
      </c>
      <c r="E365" s="383">
        <f t="shared" si="150"/>
        <v>3.7960297859928711</v>
      </c>
      <c r="F365" s="383">
        <f t="shared" si="128"/>
        <v>3.7960297859928711</v>
      </c>
      <c r="G365" s="110">
        <f t="shared" si="151"/>
        <v>0.13717227564043208</v>
      </c>
      <c r="H365" s="412" t="b">
        <f>Wh_hp&gt;='2023'!Maxi_hp</f>
        <v>0</v>
      </c>
      <c r="I365" s="388">
        <f>IF(H365,Wh_hp,'2023'!Maxi_hp)</f>
        <v>28.942207486281909</v>
      </c>
      <c r="J365" s="85">
        <f>IF(H365,An,'2023'!An_max)</f>
        <v>2021</v>
      </c>
      <c r="K365" s="197">
        <f t="shared" si="129"/>
        <v>45642</v>
      </c>
      <c r="L365" s="147">
        <f>IF(t&lt;Tvie,1-EXP((T0-t)*PertePVj)+'2023'!Pspv,1-EXP((T0-t)*PertePVj)+Pspv)</f>
        <v>4.0293715063184465E-2</v>
      </c>
      <c r="M365" s="832"/>
      <c r="N365" s="832"/>
      <c r="O365" s="48">
        <f>IF(t&lt;Tnet,'2023'!Resal+('2023'!Salim-'2023'!Resal)*(1-EXP(('2023'!Tnet-t)/('2023'!Tau_j))),Resal+(Salim-Resal)*(1-EXP((Tnet-t)/(Tau_j))))*Salcycl</f>
        <v>3.3919529889648851E-2</v>
      </c>
      <c r="P365" s="169">
        <f>(INDEX(Models!$BJ365:$BT365,,T365)*(1-R365)+INDEX(Models!$BJ365:$BT365,,T365+1)*R365-ERP_i)*Q365*Ramure*Pc/MaxiM</f>
        <v>1.513436505740632E-3</v>
      </c>
      <c r="Q365" s="304">
        <f t="shared" si="130"/>
        <v>0.6</v>
      </c>
      <c r="R365" s="177">
        <f t="shared" si="131"/>
        <v>0.49907429413950943</v>
      </c>
      <c r="S365" s="799">
        <f t="shared" si="132"/>
        <v>1</v>
      </c>
      <c r="T365" s="176">
        <f t="shared" si="133"/>
        <v>7</v>
      </c>
      <c r="U365" s="250">
        <f t="shared" si="134"/>
        <v>1.4990742941395094</v>
      </c>
      <c r="V365" s="382">
        <f t="shared" si="135"/>
        <v>25.618702747471204</v>
      </c>
      <c r="W365" s="400">
        <f t="shared" si="136"/>
        <v>3.519502298086377</v>
      </c>
      <c r="X365" s="157">
        <f t="shared" si="137"/>
        <v>45642</v>
      </c>
      <c r="Y365" s="383">
        <f t="shared" si="138"/>
        <v>3.4163062364613461</v>
      </c>
      <c r="Z365" s="383">
        <f t="shared" si="139"/>
        <v>3.5597414439004811</v>
      </c>
      <c r="AA365" s="384">
        <f t="shared" si="140"/>
        <v>3.7960297859928711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6.224617703588111E-2</v>
      </c>
      <c r="AD365" s="230">
        <f>(INDEX(Models!$BJ365:$BT365,,AH365)*(1-AF365)+INDEX(Models!$BJ365:$BT365,,AH365+1)*AF365-ERP_i)*AE365*Ramure*Pc/MaxiM</f>
        <v>1.513436505740632E-3</v>
      </c>
      <c r="AE365" s="304">
        <f t="shared" si="142"/>
        <v>0.6</v>
      </c>
      <c r="AF365" s="177">
        <f t="shared" si="143"/>
        <v>0.49907429413950943</v>
      </c>
      <c r="AG365" s="799">
        <f t="shared" si="149"/>
        <v>1</v>
      </c>
      <c r="AH365" s="176">
        <f t="shared" si="144"/>
        <v>7</v>
      </c>
      <c r="AI365" s="224">
        <f t="shared" si="145"/>
        <v>1.4990742941395094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45643</v>
      </c>
      <c r="B366" s="409">
        <f>IF(t&gt;Tmaj,'2023'!Wh/'2023'!Env_an*'2024'!Env_an,0.001*'[14]mon-tableau (2)'!$B$259)</f>
        <v>24.9164561038322</v>
      </c>
      <c r="C366" s="829"/>
      <c r="D366" s="391">
        <f t="shared" si="127"/>
        <v>25.963082687138222</v>
      </c>
      <c r="E366" s="383">
        <f t="shared" si="150"/>
        <v>26.877175649863545</v>
      </c>
      <c r="F366" s="383">
        <f t="shared" si="128"/>
        <v>26.916510886700788</v>
      </c>
      <c r="G366" s="110">
        <f t="shared" si="151"/>
        <v>0.97329498801347181</v>
      </c>
      <c r="H366" s="412" t="b">
        <f>Wh_hp&gt;='2023'!Maxi_hp</f>
        <v>0</v>
      </c>
      <c r="I366" s="388">
        <f>IF(H366,Wh_hp,'2023'!Maxi_hp)</f>
        <v>28.845869606100038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4.0312107615191106E-2</v>
      </c>
      <c r="M366" s="832"/>
      <c r="N366" s="832"/>
      <c r="O366" s="48">
        <f>IF(t&lt;Tnet,'2023'!Resal+('2023'!Salim-'2023'!Resal)*(1-EXP(('2023'!Tnet-t)/('2023'!Tau_j))),Resal+(Salim-Resal)*(1-EXP((Tnet-t)/(Tau_j))))*Salcycl</f>
        <v>3.4010008143469682E-2</v>
      </c>
      <c r="P366" s="169">
        <f>(INDEX(Models!$BJ366:$BT366,,T366)*(1-R366)+INDEX(Models!$BJ366:$BT366,,T366+1)*R366-ERP_i)*Q366*Ramure*Pc/MaxiM</f>
        <v>1.5192152171230255E-3</v>
      </c>
      <c r="Q366" s="304">
        <f t="shared" si="130"/>
        <v>0.6</v>
      </c>
      <c r="R366" s="177">
        <f t="shared" si="131"/>
        <v>0.49908248275917866</v>
      </c>
      <c r="S366" s="799">
        <f t="shared" si="132"/>
        <v>1</v>
      </c>
      <c r="T366" s="176">
        <f t="shared" si="133"/>
        <v>7</v>
      </c>
      <c r="U366" s="250">
        <f t="shared" si="134"/>
        <v>1.4990824827591787</v>
      </c>
      <c r="V366" s="382">
        <f t="shared" si="135"/>
        <v>25.598624507665814</v>
      </c>
      <c r="W366" s="400">
        <f t="shared" si="136"/>
        <v>24.9164561038322</v>
      </c>
      <c r="X366" s="157">
        <f t="shared" si="137"/>
        <v>45643</v>
      </c>
      <c r="Y366" s="383">
        <f t="shared" si="138"/>
        <v>24.186729785233485</v>
      </c>
      <c r="Z366" s="383">
        <f t="shared" si="139"/>
        <v>25.202703896919918</v>
      </c>
      <c r="AA366" s="384">
        <f t="shared" si="140"/>
        <v>26.877175649863545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6.2300882159548175E-2</v>
      </c>
      <c r="AD366" s="230">
        <f>(INDEX(Models!$BJ366:$BT366,,AH366)*(1-AF366)+INDEX(Models!$BJ366:$BT366,,AH366+1)*AF366-ERP_i)*AE366*Ramure*Pc/MaxiM</f>
        <v>1.5192152171230255E-3</v>
      </c>
      <c r="AE366" s="304">
        <f t="shared" si="142"/>
        <v>0.6</v>
      </c>
      <c r="AF366" s="177">
        <f t="shared" si="143"/>
        <v>0.49908248275917866</v>
      </c>
      <c r="AG366" s="799">
        <f t="shared" si="149"/>
        <v>1</v>
      </c>
      <c r="AH366" s="176">
        <f t="shared" si="144"/>
        <v>7</v>
      </c>
      <c r="AI366" s="224">
        <f t="shared" si="145"/>
        <v>1.4990824827591787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45644</v>
      </c>
      <c r="B367" s="409">
        <f>IF(t&gt;Tmaj,'2023'!Wh/'2023'!Env_an*'2024'!Env_an,0.001*'[14]mon-tableau (2)'!$B$260)</f>
        <v>20.067947269313112</v>
      </c>
      <c r="C367" s="829"/>
      <c r="D367" s="391">
        <f t="shared" si="127"/>
        <v>20.911310889257631</v>
      </c>
      <c r="E367" s="383">
        <f t="shared" si="150"/>
        <v>21.64957592817056</v>
      </c>
      <c r="F367" s="383">
        <f t="shared" si="128"/>
        <v>21.672405100506538</v>
      </c>
      <c r="G367" s="110">
        <f t="shared" si="151"/>
        <v>0.78389174348120894</v>
      </c>
      <c r="H367" s="412" t="b">
        <f>Wh_hp&gt;='2023'!Maxi_hp</f>
        <v>0</v>
      </c>
      <c r="I367" s="388">
        <f>IF(H367,Wh_hp,'2023'!Maxi_hp)</f>
        <v>28.572996708311734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4.0330499814708598E-2</v>
      </c>
      <c r="M367" s="832"/>
      <c r="N367" s="832"/>
      <c r="O367" s="48">
        <f>IF(t&lt;Tnet,'2023'!Resal+('2023'!Salim-'2023'!Resal)*(1-EXP(('2023'!Tnet-t)/('2023'!Tau_j))),Resal+(Salim-Resal)*(1-EXP((Tnet-t)/(Tau_j))))*Salcycl</f>
        <v>3.4100669748098569E-2</v>
      </c>
      <c r="P367" s="169">
        <f>(INDEX(Models!$BJ367:$BT367,,T367)*(1-R367)+INDEX(Models!$BJ367:$BT367,,T367+1)*R367-ERP_i)*Q367*Ramure*Pc/MaxiM</f>
        <v>1.5226579181641217E-3</v>
      </c>
      <c r="Q367" s="304">
        <f t="shared" si="130"/>
        <v>0.6</v>
      </c>
      <c r="R367" s="177">
        <f t="shared" si="131"/>
        <v>0.49909034193314472</v>
      </c>
      <c r="S367" s="799">
        <f t="shared" si="132"/>
        <v>1</v>
      </c>
      <c r="T367" s="176">
        <f t="shared" si="133"/>
        <v>7</v>
      </c>
      <c r="U367" s="250">
        <f t="shared" si="134"/>
        <v>1.4990903419331447</v>
      </c>
      <c r="V367" s="382">
        <f t="shared" si="135"/>
        <v>25.588379981057926</v>
      </c>
      <c r="W367" s="400">
        <f t="shared" si="136"/>
        <v>20.067947269313112</v>
      </c>
      <c r="X367" s="157">
        <f t="shared" si="137"/>
        <v>45644</v>
      </c>
      <c r="Y367" s="383">
        <f t="shared" si="138"/>
        <v>19.480900583423832</v>
      </c>
      <c r="Z367" s="383">
        <f t="shared" si="139"/>
        <v>20.299593328393257</v>
      </c>
      <c r="AA367" s="384">
        <f t="shared" si="140"/>
        <v>21.64957592817056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6.2356075899883866E-2</v>
      </c>
      <c r="AD367" s="230">
        <f>(INDEX(Models!$BJ367:$BT367,,AH367)*(1-AF367)+INDEX(Models!$BJ367:$BT367,,AH367+1)*AF367-ERP_i)*AE367*Ramure*Pc/MaxiM</f>
        <v>1.5226579181641217E-3</v>
      </c>
      <c r="AE367" s="304">
        <f t="shared" si="142"/>
        <v>0.6</v>
      </c>
      <c r="AF367" s="177">
        <f t="shared" si="143"/>
        <v>0.49909034193314472</v>
      </c>
      <c r="AG367" s="799">
        <f t="shared" si="149"/>
        <v>1</v>
      </c>
      <c r="AH367" s="176">
        <f t="shared" si="144"/>
        <v>7</v>
      </c>
      <c r="AI367" s="224">
        <f t="shared" si="145"/>
        <v>1.4990903419331447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45645</v>
      </c>
      <c r="B368" s="409">
        <f>IF(t&gt;Tmaj,'2023'!Wh/'2023'!Env_an*'2024'!Env_an,0.001*'[14]mon-tableau (2)'!$B$261)</f>
        <v>4.4244530052791022</v>
      </c>
      <c r="C368" s="829"/>
      <c r="D368" s="391">
        <f t="shared" si="127"/>
        <v>4.6104807954013003</v>
      </c>
      <c r="E368" s="383">
        <f t="shared" si="150"/>
        <v>4.7737007675901397</v>
      </c>
      <c r="F368" s="383">
        <f t="shared" si="128"/>
        <v>4.7737007675901397</v>
      </c>
      <c r="G368" s="110">
        <f t="shared" si="151"/>
        <v>0.17264610318970069</v>
      </c>
      <c r="H368" s="412" t="b">
        <f>Wh_hp&gt;='2023'!Maxi_hp</f>
        <v>0</v>
      </c>
      <c r="I368" s="388">
        <f>IF(H368,Wh_hp,'2023'!Maxi_hp)</f>
        <v>25.354958891522763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4.0348891661743935E-2</v>
      </c>
      <c r="M368" s="832"/>
      <c r="N368" s="832"/>
      <c r="O368" s="48">
        <f>IF(t&lt;Tnet,'2023'!Resal+('2023'!Salim-'2023'!Resal)*(1-EXP(('2023'!Tnet-t)/('2023'!Tau_j))),Resal+(Salim-Resal)*(1-EXP((Tnet-t)/(Tau_j))))*Salcycl</f>
        <v>3.4191496311830119E-2</v>
      </c>
      <c r="P368" s="169">
        <f>(INDEX(Models!$BJ368:$BT368,,T368)*(1-R368)+INDEX(Models!$BJ368:$BT368,,T368+1)*R368-ERP_i)*Q368*Ramure*Pc/MaxiM</f>
        <v>1.5237427483697297E-3</v>
      </c>
      <c r="Q368" s="304">
        <f t="shared" si="130"/>
        <v>0.6</v>
      </c>
      <c r="R368" s="177">
        <f t="shared" si="131"/>
        <v>0.49909788490598306</v>
      </c>
      <c r="S368" s="799">
        <f t="shared" si="132"/>
        <v>1</v>
      </c>
      <c r="T368" s="176">
        <f t="shared" si="133"/>
        <v>7</v>
      </c>
      <c r="U368" s="250">
        <f t="shared" si="134"/>
        <v>1.4990978849059831</v>
      </c>
      <c r="V368" s="382">
        <f t="shared" si="135"/>
        <v>25.588247840396939</v>
      </c>
      <c r="W368" s="400">
        <f t="shared" si="136"/>
        <v>4.4244530052791022</v>
      </c>
      <c r="X368" s="157">
        <f t="shared" si="137"/>
        <v>45645</v>
      </c>
      <c r="Y368" s="383">
        <f t="shared" si="138"/>
        <v>4.2951736922049548</v>
      </c>
      <c r="Z368" s="383">
        <f t="shared" si="139"/>
        <v>4.4757658850022395</v>
      </c>
      <c r="AA368" s="384">
        <f t="shared" si="140"/>
        <v>4.7737007675901397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6.2411721449039136E-2</v>
      </c>
      <c r="AD368" s="230">
        <f>(INDEX(Models!$BJ368:$BT368,,AH368)*(1-AF368)+INDEX(Models!$BJ368:$BT368,,AH368+1)*AF368-ERP_i)*AE368*Ramure*Pc/MaxiM</f>
        <v>1.5237427483697297E-3</v>
      </c>
      <c r="AE368" s="304">
        <f t="shared" si="142"/>
        <v>0.6</v>
      </c>
      <c r="AF368" s="177">
        <f t="shared" si="143"/>
        <v>0.49909788490598306</v>
      </c>
      <c r="AG368" s="799">
        <f t="shared" si="149"/>
        <v>1</v>
      </c>
      <c r="AH368" s="176">
        <f t="shared" si="144"/>
        <v>7</v>
      </c>
      <c r="AI368" s="224">
        <f t="shared" si="145"/>
        <v>1.4990978849059831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45646</v>
      </c>
      <c r="B369" s="409">
        <f>IF(t&gt;Tmaj,'2023'!Wh/'2023'!Env_an*'2024'!Env_an,0.001*'[14]mon-tableau (2)'!$B$262)</f>
        <v>22.808898690388318</v>
      </c>
      <c r="C369" s="829"/>
      <c r="D369" s="391">
        <f t="shared" si="127"/>
        <v>23.768362926816923</v>
      </c>
      <c r="E369" s="383">
        <f t="shared" si="150"/>
        <v>24.612127437685878</v>
      </c>
      <c r="F369" s="383">
        <f t="shared" si="128"/>
        <v>24.643805501585955</v>
      </c>
      <c r="G369" s="110">
        <f t="shared" si="151"/>
        <v>0.89081312426982828</v>
      </c>
      <c r="H369" s="412" t="b">
        <f>Wh_hp&gt;='2023'!Maxi_hp</f>
        <v>0</v>
      </c>
      <c r="I369" s="388">
        <f>IF(H369,Wh_hp,'2023'!Maxi_hp)</f>
        <v>24.6464004878308</v>
      </c>
      <c r="J369" s="85">
        <f>IF(H369,An,'2023'!An_max)</f>
        <v>2022</v>
      </c>
      <c r="K369" s="197">
        <f t="shared" si="129"/>
        <v>45646</v>
      </c>
      <c r="L369" s="147">
        <f>IF(t&lt;Tvie,1-EXP((T0-t)*PertePVj)+'2023'!Pspv,1-EXP((T0-t)*PertePVj)+Pspv)</f>
        <v>4.0367283156303557E-2</v>
      </c>
      <c r="M369" s="832"/>
      <c r="N369" s="832"/>
      <c r="O369" s="48">
        <f>IF(t&lt;Tnet,'2023'!Resal+('2023'!Salim-'2023'!Resal)*(1-EXP(('2023'!Tnet-t)/('2023'!Tau_j))),Resal+(Salim-Resal)*(1-EXP((Tnet-t)/(Tau_j))))*Salcycl</f>
        <v>3.4282469607929501E-2</v>
      </c>
      <c r="P369" s="169">
        <f>(INDEX(Models!$BJ369:$BT369,,T369)*(1-R369)+INDEX(Models!$BJ369:$BT369,,T369+1)*R369-ERP_i)*Q369*Ramure*Pc/MaxiM</f>
        <v>1.5224511059460043E-3</v>
      </c>
      <c r="Q369" s="304">
        <f t="shared" si="130"/>
        <v>0.6</v>
      </c>
      <c r="R369" s="177">
        <f t="shared" si="131"/>
        <v>0.49910512439056998</v>
      </c>
      <c r="S369" s="799">
        <f t="shared" si="132"/>
        <v>1</v>
      </c>
      <c r="T369" s="176">
        <f t="shared" si="133"/>
        <v>7</v>
      </c>
      <c r="U369" s="250">
        <f t="shared" si="134"/>
        <v>1.49910512439057</v>
      </c>
      <c r="V369" s="382">
        <f t="shared" si="135"/>
        <v>25.598506672710517</v>
      </c>
      <c r="W369" s="400">
        <f t="shared" si="136"/>
        <v>22.808898690388318</v>
      </c>
      <c r="X369" s="157">
        <f t="shared" si="137"/>
        <v>45646</v>
      </c>
      <c r="Y369" s="383">
        <f t="shared" si="138"/>
        <v>22.143200980786531</v>
      </c>
      <c r="Z369" s="383">
        <f t="shared" si="139"/>
        <v>23.074662412112385</v>
      </c>
      <c r="AA369" s="384">
        <f t="shared" si="140"/>
        <v>24.612127437685878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6.2467782578573036E-2</v>
      </c>
      <c r="AD369" s="230">
        <f>(INDEX(Models!$BJ369:$BT369,,AH369)*(1-AF369)+INDEX(Models!$BJ369:$BT369,,AH369+1)*AF369-ERP_i)*AE369*Ramure*Pc/MaxiM</f>
        <v>1.5224511059460043E-3</v>
      </c>
      <c r="AE369" s="304">
        <f t="shared" si="142"/>
        <v>0.6</v>
      </c>
      <c r="AF369" s="177">
        <f t="shared" si="143"/>
        <v>0.49910512439056998</v>
      </c>
      <c r="AG369" s="799">
        <f t="shared" si="149"/>
        <v>1</v>
      </c>
      <c r="AH369" s="176">
        <f t="shared" si="144"/>
        <v>7</v>
      </c>
      <c r="AI369" s="224">
        <f t="shared" si="145"/>
        <v>1.49910512439057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45647</v>
      </c>
      <c r="B370" s="409">
        <f>IF(t&gt;Tmaj,'2023'!Wh/'2023'!Env_an*'2024'!Env_an,0.001*'[14]mon-tableau (2)'!$B$263)</f>
        <v>20.416330522521978</v>
      </c>
      <c r="C370" s="829"/>
      <c r="D370" s="391">
        <f t="shared" si="127"/>
        <v>21.27555829014425</v>
      </c>
      <c r="E370" s="383">
        <f t="shared" si="150"/>
        <v>22.032908033969548</v>
      </c>
      <c r="F370" s="383">
        <f t="shared" si="128"/>
        <v>22.056687915737793</v>
      </c>
      <c r="G370" s="110">
        <f t="shared" si="151"/>
        <v>0.79655638521115402</v>
      </c>
      <c r="H370" s="412" t="b">
        <f>Wh_hp&gt;='2023'!Maxi_hp</f>
        <v>0</v>
      </c>
      <c r="I370" s="388">
        <f>IF(H370,Wh_hp,'2023'!Maxi_hp)</f>
        <v>28.339103776749631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4.0385674298394458E-2</v>
      </c>
      <c r="M370" s="832"/>
      <c r="N370" s="832"/>
      <c r="O370" s="48">
        <f>IF(t&lt;Tnet,'2023'!Resal+('2023'!Salim-'2023'!Resal)*(1-EXP(('2023'!Tnet-t)/('2023'!Tau_j))),Resal+(Salim-Resal)*(1-EXP((Tnet-t)/(Tau_j))))*Salcycl</f>
        <v>3.4373571689113612E-2</v>
      </c>
      <c r="P370" s="169">
        <f>(INDEX(Models!$BJ370:$BT370,,T370)*(1-R370)+INDEX(Models!$BJ370:$BT370,,T370+1)*R370-ERP_i)*Q370*Ramure*Pc/MaxiM</f>
        <v>1.5187682778816821E-3</v>
      </c>
      <c r="Q370" s="304">
        <f t="shared" si="130"/>
        <v>0.6</v>
      </c>
      <c r="R370" s="177">
        <f t="shared" si="131"/>
        <v>0.49911207258936741</v>
      </c>
      <c r="S370" s="799">
        <f t="shared" si="132"/>
        <v>1</v>
      </c>
      <c r="T370" s="176">
        <f t="shared" si="133"/>
        <v>7</v>
      </c>
      <c r="U370" s="250">
        <f t="shared" si="134"/>
        <v>1.4991120725893674</v>
      </c>
      <c r="V370" s="382">
        <f t="shared" si="135"/>
        <v>25.619434966525962</v>
      </c>
      <c r="W370" s="400">
        <f t="shared" si="136"/>
        <v>20.416330522521978</v>
      </c>
      <c r="X370" s="157">
        <f t="shared" si="137"/>
        <v>45647</v>
      </c>
      <c r="Y370" s="383">
        <f t="shared" si="138"/>
        <v>19.821138632681407</v>
      </c>
      <c r="Z370" s="383">
        <f t="shared" si="139"/>
        <v>20.655317560197449</v>
      </c>
      <c r="AA370" s="384">
        <f t="shared" si="140"/>
        <v>22.032908033969548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6.2524223840456264E-2</v>
      </c>
      <c r="AD370" s="230">
        <f>(INDEX(Models!$BJ370:$BT370,,AH370)*(1-AF370)+INDEX(Models!$BJ370:$BT370,,AH370+1)*AF370-ERP_i)*AE370*Ramure*Pc/MaxiM</f>
        <v>1.5187682778816821E-3</v>
      </c>
      <c r="AE370" s="304">
        <f t="shared" si="142"/>
        <v>0.6</v>
      </c>
      <c r="AF370" s="177">
        <f t="shared" si="143"/>
        <v>0.49911207258936741</v>
      </c>
      <c r="AG370" s="799">
        <f t="shared" si="149"/>
        <v>1</v>
      </c>
      <c r="AH370" s="176">
        <f t="shared" si="144"/>
        <v>7</v>
      </c>
      <c r="AI370" s="224">
        <f t="shared" si="145"/>
        <v>1.4991120725893674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45648</v>
      </c>
      <c r="B371" s="409">
        <f>IF(t&gt;Tmaj,'2023'!Wh/'2023'!Env_an*'2024'!Env_an,0.001*'[14]mon-tableau (2)'!$B$264)</f>
        <v>20.770625635128255</v>
      </c>
      <c r="C371" s="829"/>
      <c r="D371" s="391">
        <f t="shared" si="127"/>
        <v>21.645178850235059</v>
      </c>
      <c r="E371" s="383">
        <f t="shared" si="150"/>
        <v>22.417803632504938</v>
      </c>
      <c r="F371" s="383">
        <f t="shared" si="128"/>
        <v>22.442524323483159</v>
      </c>
      <c r="G371" s="110">
        <f t="shared" si="151"/>
        <v>0.80939628445169942</v>
      </c>
      <c r="H371" s="412" t="b">
        <f>Wh_hp&gt;='2023'!Maxi_hp</f>
        <v>0</v>
      </c>
      <c r="I371" s="388">
        <f>IF(H371,Wh_hp,'2023'!Maxi_hp)</f>
        <v>22.446630123759167</v>
      </c>
      <c r="J371" s="85">
        <f>IF(H371,An,'2023'!An_max)</f>
        <v>2022</v>
      </c>
      <c r="K371" s="197">
        <f t="shared" si="129"/>
        <v>45648</v>
      </c>
      <c r="L371" s="147">
        <f>IF(t&lt;Tvie,1-EXP((T0-t)*PertePVj)+'2023'!Pspv,1-EXP((T0-t)*PertePVj)+Pspv)</f>
        <v>4.0404065088023411E-2</v>
      </c>
      <c r="M371" s="832"/>
      <c r="N371" s="832"/>
      <c r="O371" s="48">
        <f>IF(t&lt;Tnet,'2023'!Resal+('2023'!Salim-'2023'!Resal)*(1-EXP(('2023'!Tnet-t)/('2023'!Tau_j))),Resal+(Salim-Resal)*(1-EXP((Tnet-t)/(Tau_j))))*Salcycl</f>
        <v>3.4464784995689939E-2</v>
      </c>
      <c r="P371" s="169">
        <f>(INDEX(Models!$BJ371:$BT371,,T371)*(1-R371)+INDEX(Models!$BJ371:$BT371,,T371+1)*R371-ERP_i)*Q371*Ramure*Pc/MaxiM</f>
        <v>1.512680116216238E-3</v>
      </c>
      <c r="Q371" s="304">
        <f t="shared" si="130"/>
        <v>0.6</v>
      </c>
      <c r="R371" s="177">
        <f t="shared" si="131"/>
        <v>0.49911207258936741</v>
      </c>
      <c r="S371" s="799">
        <f t="shared" si="132"/>
        <v>1</v>
      </c>
      <c r="T371" s="176">
        <f t="shared" si="133"/>
        <v>7</v>
      </c>
      <c r="U371" s="250">
        <f t="shared" si="134"/>
        <v>1.4991120725893674</v>
      </c>
      <c r="V371" s="382">
        <f t="shared" si="135"/>
        <v>25.65131120557372</v>
      </c>
      <c r="W371" s="400">
        <f t="shared" si="136"/>
        <v>20.770625635128255</v>
      </c>
      <c r="X371" s="157">
        <f t="shared" si="137"/>
        <v>45648</v>
      </c>
      <c r="Y371" s="383">
        <f t="shared" si="138"/>
        <v>20.165788452149989</v>
      </c>
      <c r="Z371" s="383">
        <f t="shared" si="139"/>
        <v>21.014874822286309</v>
      </c>
      <c r="AA371" s="384">
        <f t="shared" si="140"/>
        <v>22.417803632504938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6.2581010754525351E-2</v>
      </c>
      <c r="AD371" s="230">
        <f>(INDEX(Models!$BJ371:$BT371,,AH371)*(1-AF371)+INDEX(Models!$BJ371:$BT371,,AH371+1)*AF371-ERP_i)*AE371*Ramure*Pc/MaxiM</f>
        <v>1.512680116216238E-3</v>
      </c>
      <c r="AE371" s="304">
        <f t="shared" si="142"/>
        <v>0.6</v>
      </c>
      <c r="AF371" s="177">
        <f t="shared" si="143"/>
        <v>0.49911207258936741</v>
      </c>
      <c r="AG371" s="799">
        <f t="shared" si="149"/>
        <v>1</v>
      </c>
      <c r="AH371" s="176">
        <f t="shared" si="144"/>
        <v>7</v>
      </c>
      <c r="AI371" s="224">
        <f t="shared" si="145"/>
        <v>1.4991120725893674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45649</v>
      </c>
      <c r="B372" s="409">
        <f>IF(t&gt;Tmaj,'2023'!Wh/'2023'!Env_an*'2024'!Env_an,0.001*'[14]mon-tableau (2)'!$B$265)</f>
        <v>22.838392361625736</v>
      </c>
      <c r="C372" s="829"/>
      <c r="D372" s="391">
        <f t="shared" si="127"/>
        <v>23.80046562482417</v>
      </c>
      <c r="E372" s="383">
        <f t="shared" si="150"/>
        <v>24.652354672147826</v>
      </c>
      <c r="F372" s="383">
        <f t="shared" si="128"/>
        <v>24.683587633210049</v>
      </c>
      <c r="G372" s="110">
        <f t="shared" si="151"/>
        <v>0.88863403656193318</v>
      </c>
      <c r="H372" s="412" t="b">
        <f>Wh_hp&gt;='2023'!Maxi_hp</f>
        <v>0</v>
      </c>
      <c r="I372" s="388">
        <f>IF(H372,Wh_hp,'2023'!Maxi_hp)</f>
        <v>24.686219605998851</v>
      </c>
      <c r="J372" s="85">
        <f>IF(H372,An,'2023'!An_max)</f>
        <v>2022</v>
      </c>
      <c r="K372" s="197">
        <f t="shared" si="129"/>
        <v>45649</v>
      </c>
      <c r="L372" s="147">
        <f>IF(t&lt;Tvie,1-EXP((T0-t)*PertePVj)+'2023'!Pspv,1-EXP((T0-t)*PertePVj)+Pspv)</f>
        <v>4.0422455525196965E-2</v>
      </c>
      <c r="M372" s="832"/>
      <c r="N372" s="832"/>
      <c r="O372" s="48">
        <f>IF(t&lt;Tnet,'2023'!Resal+('2023'!Salim-'2023'!Resal)*(1-EXP(('2023'!Tnet-t)/('2023'!Tau_j))),Resal+(Salim-Resal)*(1-EXP((Tnet-t)/(Tau_j))))*Salcycl</f>
        <v>3.4556092456600823E-2</v>
      </c>
      <c r="P372" s="169">
        <f>(INDEX(Models!$BJ372:$BT372,,T372)*(1-R372)+INDEX(Models!$BJ372:$BT372,,T372+1)*R372-ERP_i)*Q372*Ramure*Pc/MaxiM</f>
        <v>1.5041832238246477E-3</v>
      </c>
      <c r="Q372" s="304">
        <f t="shared" si="130"/>
        <v>0.6</v>
      </c>
      <c r="R372" s="177">
        <f t="shared" si="131"/>
        <v>0.49911207258936741</v>
      </c>
      <c r="S372" s="799">
        <f t="shared" si="132"/>
        <v>1</v>
      </c>
      <c r="T372" s="176">
        <f t="shared" si="133"/>
        <v>7</v>
      </c>
      <c r="U372" s="250">
        <f t="shared" si="134"/>
        <v>1.4991120725893674</v>
      </c>
      <c r="V372" s="382">
        <f t="shared" si="135"/>
        <v>25.694413626786982</v>
      </c>
      <c r="W372" s="400">
        <f t="shared" si="136"/>
        <v>22.838392361625736</v>
      </c>
      <c r="X372" s="157">
        <f t="shared" si="137"/>
        <v>45649</v>
      </c>
      <c r="Y372" s="383">
        <f t="shared" si="138"/>
        <v>22.174088480766393</v>
      </c>
      <c r="Z372" s="383">
        <f t="shared" si="139"/>
        <v>23.108177768898017</v>
      </c>
      <c r="AA372" s="384">
        <f t="shared" si="140"/>
        <v>24.652354672147826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6.2638109981210832E-2</v>
      </c>
      <c r="AD372" s="230">
        <f>(INDEX(Models!$BJ372:$BT372,,AH372)*(1-AF372)+INDEX(Models!$BJ372:$BT372,,AH372+1)*AF372-ERP_i)*AE372*Ramure*Pc/MaxiM</f>
        <v>1.5041832238246477E-3</v>
      </c>
      <c r="AE372" s="304">
        <f t="shared" si="142"/>
        <v>0.6</v>
      </c>
      <c r="AF372" s="177">
        <f t="shared" si="143"/>
        <v>0.49911207258936741</v>
      </c>
      <c r="AG372" s="799">
        <f t="shared" si="149"/>
        <v>1</v>
      </c>
      <c r="AH372" s="176">
        <f t="shared" si="144"/>
        <v>7</v>
      </c>
      <c r="AI372" s="224">
        <f t="shared" si="145"/>
        <v>1.4991120725893674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45650</v>
      </c>
      <c r="B373" s="409">
        <f>IF(t&gt;Tmaj,'2023'!Wh/'2023'!Env_an*'2024'!Env_an,0.001*'[14]mon-tableau (2)'!$B$266)</f>
        <v>13.47982227821575</v>
      </c>
      <c r="C373" s="829"/>
      <c r="D373" s="391">
        <f t="shared" si="127"/>
        <v>14.047932549592414</v>
      </c>
      <c r="E373" s="383">
        <f t="shared" si="150"/>
        <v>14.552127045170495</v>
      </c>
      <c r="F373" s="383">
        <f t="shared" si="128"/>
        <v>14.55906899092712</v>
      </c>
      <c r="G373" s="110">
        <f t="shared" si="151"/>
        <v>0.52298068568544243</v>
      </c>
      <c r="H373" s="412" t="b">
        <f>Wh_hp&gt;='2023'!Maxi_hp</f>
        <v>0</v>
      </c>
      <c r="I373" s="388">
        <f>IF(H373,Wh_hp,'2023'!Maxi_hp)</f>
        <v>14.565704855109912</v>
      </c>
      <c r="J373" s="85">
        <f>IF(H373,An,'2023'!An_max)</f>
        <v>2022</v>
      </c>
      <c r="K373" s="197">
        <f t="shared" si="129"/>
        <v>45650</v>
      </c>
      <c r="L373" s="147">
        <f>IF(t&lt;Tvie,1-EXP((T0-t)*PertePVj)+'2023'!Pspv,1-EXP((T0-t)*PertePVj)+Pspv)</f>
        <v>4.0440845609922005E-2</v>
      </c>
      <c r="M373" s="832"/>
      <c r="N373" s="832"/>
      <c r="O373" s="48">
        <f>IF(t&lt;Tnet,'2023'!Resal+('2023'!Salim-'2023'!Resal)*(1-EXP(('2023'!Tnet-t)/('2023'!Tau_j))),Resal+(Salim-Resal)*(1-EXP((Tnet-t)/(Tau_j))))*Salcycl</f>
        <v>3.4647477582695443E-2</v>
      </c>
      <c r="P373" s="169">
        <f>(INDEX(Models!$BJ373:$BT373,,T373)*(1-R373)+INDEX(Models!$BJ373:$BT373,,T373+1)*R373-ERP_i)*Q373*Ramure*Pc/MaxiM</f>
        <v>1.4932850459826856E-3</v>
      </c>
      <c r="Q373" s="304">
        <f t="shared" si="130"/>
        <v>0.6</v>
      </c>
      <c r="R373" s="177">
        <f t="shared" si="131"/>
        <v>0.49911207258936741</v>
      </c>
      <c r="S373" s="799">
        <f t="shared" si="132"/>
        <v>1</v>
      </c>
      <c r="T373" s="176">
        <f t="shared" si="133"/>
        <v>7</v>
      </c>
      <c r="U373" s="250">
        <f t="shared" si="134"/>
        <v>1.4991120725893674</v>
      </c>
      <c r="V373" s="382">
        <f t="shared" si="135"/>
        <v>25.748778570387401</v>
      </c>
      <c r="W373" s="400">
        <f t="shared" si="136"/>
        <v>13.47982227821575</v>
      </c>
      <c r="X373" s="157">
        <f t="shared" si="137"/>
        <v>45650</v>
      </c>
      <c r="Y373" s="383">
        <f t="shared" si="138"/>
        <v>13.088170309807222</v>
      </c>
      <c r="Z373" s="383">
        <f t="shared" si="139"/>
        <v>13.639774317120054</v>
      </c>
      <c r="AA373" s="384">
        <f t="shared" si="140"/>
        <v>14.552127045170495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6.2695489478510974E-2</v>
      </c>
      <c r="AD373" s="230">
        <f>(INDEX(Models!$BJ373:$BT373,,AH373)*(1-AF373)+INDEX(Models!$BJ373:$BT373,,AH373+1)*AF373-ERP_i)*AE373*Ramure*Pc/MaxiM</f>
        <v>1.4932850459826856E-3</v>
      </c>
      <c r="AE373" s="304">
        <f t="shared" si="142"/>
        <v>0.6</v>
      </c>
      <c r="AF373" s="177">
        <f t="shared" si="143"/>
        <v>0.49911207258936741</v>
      </c>
      <c r="AG373" s="799">
        <f t="shared" si="149"/>
        <v>1</v>
      </c>
      <c r="AH373" s="176">
        <f t="shared" si="144"/>
        <v>7</v>
      </c>
      <c r="AI373" s="224">
        <f t="shared" si="145"/>
        <v>1.4991120725893674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45651</v>
      </c>
      <c r="B374" s="409">
        <f>IF(t&gt;Tmaj,'2023'!Wh/'2023'!Env_an*'2024'!Env_an,0.001*'[14]mon-tableau (2)'!$B$267)</f>
        <v>22.570367065768504</v>
      </c>
      <c r="C374" s="829"/>
      <c r="D374" s="391">
        <f t="shared" si="127"/>
        <v>23.522051273994464</v>
      </c>
      <c r="E374" s="383">
        <f t="shared" si="150"/>
        <v>24.368589879239021</v>
      </c>
      <c r="F374" s="383">
        <f t="shared" si="128"/>
        <v>24.398217526669598</v>
      </c>
      <c r="G374" s="110">
        <f t="shared" si="151"/>
        <v>0.87410923438634569</v>
      </c>
      <c r="H374" s="412" t="b">
        <f>Wh_hp&gt;='2023'!Maxi_hp</f>
        <v>0</v>
      </c>
      <c r="I374" s="388">
        <f>IF(H374,Wh_hp,'2023'!Maxi_hp)</f>
        <v>24.401144284830412</v>
      </c>
      <c r="J374" s="85">
        <f>IF(H374,An,'2023'!An_max)</f>
        <v>2022</v>
      </c>
      <c r="K374" s="197">
        <f t="shared" si="129"/>
        <v>45651</v>
      </c>
      <c r="L374" s="147">
        <f>IF(t&lt;Tvie,1-EXP((T0-t)*PertePVj)+'2023'!Pspv,1-EXP((T0-t)*PertePVj)+Pspv)</f>
        <v>4.0459235342205191E-2</v>
      </c>
      <c r="M374" s="832"/>
      <c r="N374" s="832"/>
      <c r="O374" s="48">
        <f>IF(t&lt;Tnet,'2023'!Resal+('2023'!Salim-'2023'!Resal)*(1-EXP(('2023'!Tnet-t)/('2023'!Tau_j))),Resal+(Salim-Resal)*(1-EXP((Tnet-t)/(Tau_j))))*Salcycl</f>
        <v>3.4738924551632404E-2</v>
      </c>
      <c r="P374" s="169">
        <f>(INDEX(Models!$BJ374:$BT374,,T374)*(1-R374)+INDEX(Models!$BJ374:$BT374,,T374+1)*R374-ERP_i)*Q374*Ramure*Pc/MaxiM</f>
        <v>1.4800169005467791E-3</v>
      </c>
      <c r="Q374" s="304">
        <f t="shared" si="130"/>
        <v>0.6</v>
      </c>
      <c r="R374" s="177">
        <f t="shared" si="131"/>
        <v>0.49911207258936741</v>
      </c>
      <c r="S374" s="799">
        <f t="shared" si="132"/>
        <v>1</v>
      </c>
      <c r="T374" s="176">
        <f t="shared" si="133"/>
        <v>7</v>
      </c>
      <c r="U374" s="250">
        <f t="shared" si="134"/>
        <v>1.4991120725893674</v>
      </c>
      <c r="V374" s="382">
        <f t="shared" si="135"/>
        <v>25.814122977516199</v>
      </c>
      <c r="W374" s="400">
        <f t="shared" si="136"/>
        <v>22.570367065768504</v>
      </c>
      <c r="X374" s="157">
        <f t="shared" si="137"/>
        <v>45651</v>
      </c>
      <c r="Y374" s="383">
        <f t="shared" si="138"/>
        <v>21.915320819979257</v>
      </c>
      <c r="Z374" s="383">
        <f t="shared" si="139"/>
        <v>22.839384867400618</v>
      </c>
      <c r="AA374" s="384">
        <f t="shared" si="140"/>
        <v>24.368589879239021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6.2753118642339609E-2</v>
      </c>
      <c r="AD374" s="230">
        <f>(INDEX(Models!$BJ374:$BT374,,AH374)*(1-AF374)+INDEX(Models!$BJ374:$BT374,,AH374+1)*AF374-ERP_i)*AE374*Ramure*Pc/MaxiM</f>
        <v>1.4800169005467791E-3</v>
      </c>
      <c r="AE374" s="304">
        <f t="shared" si="142"/>
        <v>0.6</v>
      </c>
      <c r="AF374" s="177">
        <f t="shared" si="143"/>
        <v>0.49911207258936741</v>
      </c>
      <c r="AG374" s="799">
        <f t="shared" si="149"/>
        <v>1</v>
      </c>
      <c r="AH374" s="176">
        <f t="shared" si="144"/>
        <v>7</v>
      </c>
      <c r="AI374" s="224">
        <f t="shared" si="145"/>
        <v>1.4991120725893674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45652</v>
      </c>
      <c r="B375" s="409">
        <f>IF(t&gt;Tmaj,'2023'!Wh/'2023'!Env_an*'2024'!Env_an,0.001*'[14]mon-tableau (2)'!$B$268)</f>
        <v>7.3753525785378145</v>
      </c>
      <c r="C375" s="829"/>
      <c r="D375" s="391">
        <f t="shared" si="127"/>
        <v>7.6864831592920213</v>
      </c>
      <c r="E375" s="383">
        <f t="shared" si="150"/>
        <v>7.9638680133549444</v>
      </c>
      <c r="F375" s="383">
        <f t="shared" si="128"/>
        <v>7.9638680133549444</v>
      </c>
      <c r="G375" s="110">
        <f t="shared" si="151"/>
        <v>0.28445276229300775</v>
      </c>
      <c r="H375" s="412" t="b">
        <f>Wh_hp&gt;='2023'!Maxi_hp</f>
        <v>0</v>
      </c>
      <c r="I375" s="388">
        <f>IF(H375,Wh_hp,'2023'!Maxi_hp)</f>
        <v>23.939485558369796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4.0477624722053518E-2</v>
      </c>
      <c r="M375" s="832"/>
      <c r="N375" s="832"/>
      <c r="O375" s="48">
        <f>IF(t&lt;Tnet,'2023'!Resal+('2023'!Salim-'2023'!Resal)*(1-EXP(('2023'!Tnet-t)/('2023'!Tau_j))),Resal+(Salim-Resal)*(1-EXP((Tnet-t)/(Tau_j))))*Salcycl</f>
        <v>3.4830418283899857E-2</v>
      </c>
      <c r="P375" s="169">
        <f>(INDEX(Models!$BJ375:$BT375,,T375)*(1-R375)+INDEX(Models!$BJ375:$BT375,,T375+1)*R375-ERP_i)*Q375*Ramure*Pc/MaxiM</f>
        <v>1.4636621633964781E-3</v>
      </c>
      <c r="Q375" s="304">
        <f t="shared" si="130"/>
        <v>0.6</v>
      </c>
      <c r="R375" s="177">
        <f t="shared" si="131"/>
        <v>0.49911207258936741</v>
      </c>
      <c r="S375" s="799">
        <f t="shared" si="132"/>
        <v>1</v>
      </c>
      <c r="T375" s="176">
        <f t="shared" si="133"/>
        <v>7</v>
      </c>
      <c r="U375" s="250">
        <f t="shared" si="134"/>
        <v>1.4991120725893674</v>
      </c>
      <c r="V375" s="382">
        <f t="shared" si="135"/>
        <v>25.890265556433068</v>
      </c>
      <c r="W375" s="400">
        <f t="shared" si="136"/>
        <v>7.3753525785378145</v>
      </c>
      <c r="X375" s="157">
        <f t="shared" si="137"/>
        <v>45652</v>
      </c>
      <c r="Y375" s="383">
        <f t="shared" si="138"/>
        <v>7.161538937313626</v>
      </c>
      <c r="Z375" s="383">
        <f t="shared" si="139"/>
        <v>7.4636497509910917</v>
      </c>
      <c r="AA375" s="384">
        <f t="shared" si="140"/>
        <v>7.9638680133549444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6.2810968429538955E-2</v>
      </c>
      <c r="AD375" s="230">
        <f>(INDEX(Models!$BJ375:$BT375,,AH375)*(1-AF375)+INDEX(Models!$BJ375:$BT375,,AH375+1)*AF375-ERP_i)*AE375*Ramure*Pc/MaxiM</f>
        <v>1.4636621633964781E-3</v>
      </c>
      <c r="AE375" s="304">
        <f t="shared" si="142"/>
        <v>0.6</v>
      </c>
      <c r="AF375" s="177">
        <f t="shared" si="143"/>
        <v>0.49911207258936741</v>
      </c>
      <c r="AG375" s="799">
        <f t="shared" si="149"/>
        <v>1</v>
      </c>
      <c r="AH375" s="176">
        <f t="shared" si="144"/>
        <v>7</v>
      </c>
      <c r="AI375" s="224">
        <f t="shared" si="145"/>
        <v>1.4991120725893674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45653</v>
      </c>
      <c r="B376" s="409">
        <f>IF(t&gt;Tmaj,'2023'!Wh/'2023'!Env_an*'2024'!Env_an,0.001*'[14]mon-tableau (2)'!$B$269)</f>
        <v>24.924670522665775</v>
      </c>
      <c r="C376" s="829"/>
      <c r="D376" s="391">
        <f t="shared" si="127"/>
        <v>25.976620086868447</v>
      </c>
      <c r="E376" s="383">
        <f t="shared" si="150"/>
        <v>26.916600102016261</v>
      </c>
      <c r="F376" s="383">
        <f t="shared" si="128"/>
        <v>26.953300193340951</v>
      </c>
      <c r="G376" s="110">
        <f t="shared" si="151"/>
        <v>0.9594103367654877</v>
      </c>
      <c r="H376" s="412" t="b">
        <f>Wh_hp&gt;='2023'!Maxi_hp</f>
        <v>0</v>
      </c>
      <c r="I376" s="388">
        <f>IF(H376,Wh_hp,'2023'!Maxi_hp)</f>
        <v>26.954334776843393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4.0496013749473425E-2</v>
      </c>
      <c r="M376" s="832"/>
      <c r="N376" s="832"/>
      <c r="O376" s="48">
        <f>IF(t&lt;Tnet,'2023'!Resal+('2023'!Salim-'2023'!Resal)*(1-EXP(('2023'!Tnet-t)/('2023'!Tau_j))),Resal+(Salim-Resal)*(1-EXP((Tnet-t)/(Tau_j))))*Salcycl</f>
        <v>3.4921944509529686E-2</v>
      </c>
      <c r="P376" s="169">
        <f>(INDEX(Models!$BJ376:$BT376,,T376)*(1-R376)+INDEX(Models!$BJ376:$BT376,,T376+1)*R376-ERP_i)*Q376*Ramure*Pc/MaxiM</f>
        <v>1.4452552775880703E-3</v>
      </c>
      <c r="Q376" s="304">
        <f t="shared" si="130"/>
        <v>0.6</v>
      </c>
      <c r="R376" s="177">
        <f t="shared" si="131"/>
        <v>0.49911207258936741</v>
      </c>
      <c r="S376" s="799">
        <f t="shared" si="132"/>
        <v>1</v>
      </c>
      <c r="T376" s="176">
        <f t="shared" si="133"/>
        <v>7</v>
      </c>
      <c r="U376" s="250">
        <f t="shared" si="134"/>
        <v>1.4991120725893674</v>
      </c>
      <c r="V376" s="382">
        <f t="shared" si="135"/>
        <v>25.976979908229744</v>
      </c>
      <c r="W376" s="400">
        <f t="shared" si="136"/>
        <v>24.924670522665775</v>
      </c>
      <c r="X376" s="157">
        <f t="shared" si="137"/>
        <v>45653</v>
      </c>
      <c r="Y376" s="383">
        <f t="shared" si="138"/>
        <v>24.202893219858414</v>
      </c>
      <c r="Z376" s="383">
        <f t="shared" si="139"/>
        <v>25.224380061657229</v>
      </c>
      <c r="AA376" s="384">
        <f t="shared" si="140"/>
        <v>26.916600102016261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6.2869011463014227E-2</v>
      </c>
      <c r="AD376" s="230">
        <f>(INDEX(Models!$BJ376:$BT376,,AH376)*(1-AF376)+INDEX(Models!$BJ376:$BT376,,AH376+1)*AF376-ERP_i)*AE376*Ramure*Pc/MaxiM</f>
        <v>1.4452552775880703E-3</v>
      </c>
      <c r="AE376" s="304">
        <f t="shared" si="142"/>
        <v>0.6</v>
      </c>
      <c r="AF376" s="177">
        <f t="shared" si="143"/>
        <v>0.49911207258936741</v>
      </c>
      <c r="AG376" s="799">
        <f t="shared" si="149"/>
        <v>1</v>
      </c>
      <c r="AH376" s="176">
        <f t="shared" si="144"/>
        <v>7</v>
      </c>
      <c r="AI376" s="224">
        <f t="shared" si="145"/>
        <v>1.4991120725893674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45654</v>
      </c>
      <c r="B377" s="409">
        <f>IF(t&gt;Tmaj,'2023'!Wh/'2023'!Env_an*'2024'!Env_an,0.001*'[14]mon-tableau (2)'!$B$270)</f>
        <v>11.058576486077314</v>
      </c>
      <c r="C377" s="829"/>
      <c r="D377" s="391">
        <f t="shared" si="127"/>
        <v>11.525526296612089</v>
      </c>
      <c r="E377" s="383">
        <f t="shared" si="150"/>
        <v>11.943717528780793</v>
      </c>
      <c r="F377" s="383">
        <f t="shared" si="128"/>
        <v>11.946735835285377</v>
      </c>
      <c r="G377" s="110">
        <f t="shared" si="151"/>
        <v>0.42362440491495151</v>
      </c>
      <c r="H377" s="412" t="b">
        <f>Wh_hp&gt;='2023'!Maxi_hp</f>
        <v>0</v>
      </c>
      <c r="I377" s="388">
        <f>IF(H377,Wh_hp,'2023'!Maxi_hp)</f>
        <v>26.417584370860784</v>
      </c>
      <c r="J377" s="85">
        <f>IF(H377,An,'2023'!An_max)</f>
        <v>2018</v>
      </c>
      <c r="K377" s="197">
        <f t="shared" si="129"/>
        <v>45654</v>
      </c>
      <c r="L377" s="147">
        <f>IF(t&lt;Tvie,1-EXP((T0-t)*PertePVj)+'2023'!Pspv,1-EXP((T0-t)*PertePVj)+Pspv)</f>
        <v>4.0514402424471907E-2</v>
      </c>
      <c r="M377" s="832"/>
      <c r="N377" s="832"/>
      <c r="O377" s="48">
        <f>IF(t&lt;Tnet,'2023'!Resal+('2023'!Salim-'2023'!Resal)*(1-EXP(('2023'!Tnet-t)/('2023'!Tau_j))),Resal+(Salim-Resal)*(1-EXP((Tnet-t)/(Tau_j))))*Salcycl</f>
        <v>3.5013489825172842E-2</v>
      </c>
      <c r="P377" s="169">
        <f>(INDEX(Models!$BJ377:$BT377,,T377)*(1-R377)+INDEX(Models!$BJ377:$BT377,,T377+1)*R377-ERP_i)*Q377*Ramure*Pc/MaxiM</f>
        <v>1.4248346599882824E-3</v>
      </c>
      <c r="Q377" s="304">
        <f t="shared" si="130"/>
        <v>0.6</v>
      </c>
      <c r="R377" s="177">
        <f t="shared" si="131"/>
        <v>0.49911207258936741</v>
      </c>
      <c r="S377" s="799">
        <f t="shared" si="132"/>
        <v>1</v>
      </c>
      <c r="T377" s="176">
        <f t="shared" si="133"/>
        <v>7</v>
      </c>
      <c r="U377" s="250">
        <f t="shared" si="134"/>
        <v>1.4991120725893674</v>
      </c>
      <c r="V377" s="382">
        <f t="shared" si="135"/>
        <v>26.074065504205468</v>
      </c>
      <c r="W377" s="400">
        <f t="shared" si="136"/>
        <v>11.058576486077314</v>
      </c>
      <c r="X377" s="157">
        <f t="shared" si="137"/>
        <v>45654</v>
      </c>
      <c r="Y377" s="383">
        <f t="shared" si="138"/>
        <v>10.738690000282803</v>
      </c>
      <c r="Z377" s="383">
        <f t="shared" si="139"/>
        <v>11.19213256292519</v>
      </c>
      <c r="AA377" s="384">
        <f t="shared" si="140"/>
        <v>11.943717528780793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6.2927222118616608E-2</v>
      </c>
      <c r="AD377" s="230">
        <f>(INDEX(Models!$BJ377:$BT377,,AH377)*(1-AF377)+INDEX(Models!$BJ377:$BT377,,AH377+1)*AF377-ERP_i)*AE377*Ramure*Pc/MaxiM</f>
        <v>1.4248346599882824E-3</v>
      </c>
      <c r="AE377" s="304">
        <f t="shared" si="142"/>
        <v>0.6</v>
      </c>
      <c r="AF377" s="177">
        <f t="shared" si="143"/>
        <v>0.49911207258936741</v>
      </c>
      <c r="AG377" s="799">
        <f t="shared" si="149"/>
        <v>1</v>
      </c>
      <c r="AH377" s="176">
        <f t="shared" si="144"/>
        <v>7</v>
      </c>
      <c r="AI377" s="224">
        <f t="shared" si="145"/>
        <v>1.4991120725893674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45655</v>
      </c>
      <c r="B378" s="409">
        <f>IF(t&gt;Tmaj,'2023'!Wh/'2023'!Env_an*'2024'!Env_an,0.001*'[14]mon-tableau (2)'!$B$271)</f>
        <v>14.346002499510615</v>
      </c>
      <c r="C378" s="829"/>
      <c r="D378" s="391">
        <f t="shared" si="127"/>
        <v>14.952050847762299</v>
      </c>
      <c r="E378" s="383">
        <f t="shared" si="150"/>
        <v>15.496039978015338</v>
      </c>
      <c r="F378" s="383">
        <f t="shared" si="128"/>
        <v>15.503741635857137</v>
      </c>
      <c r="G378" s="110">
        <f t="shared" si="151"/>
        <v>0.54745146945320244</v>
      </c>
      <c r="H378" s="412" t="b">
        <f>Wh_hp&gt;='2023'!Maxi_hp</f>
        <v>0</v>
      </c>
      <c r="I378" s="388">
        <f>IF(H378,Wh_hp,'2023'!Maxi_hp)</f>
        <v>29.01951581106924</v>
      </c>
      <c r="J378" s="85">
        <f>IF(H378,An,'2023'!An_max)</f>
        <v>2018</v>
      </c>
      <c r="K378" s="197">
        <f t="shared" si="129"/>
        <v>45655</v>
      </c>
      <c r="L378" s="147">
        <f>IF(t&lt;Tvie,1-EXP((T0-t)*PertePVj)+'2023'!Pspv,1-EXP((T0-t)*PertePVj)+Pspv)</f>
        <v>4.0532790747055625E-2</v>
      </c>
      <c r="M378" s="832"/>
      <c r="N378" s="832"/>
      <c r="O378" s="48">
        <f>IF(t&lt;Tnet,'2023'!Resal+('2023'!Salim-'2023'!Resal)*(1-EXP(('2023'!Tnet-t)/('2023'!Tau_j))),Resal+(Salim-Resal)*(1-EXP((Tnet-t)/(Tau_j))))*Salcycl</f>
        <v>3.5105041741297187E-2</v>
      </c>
      <c r="P378" s="169">
        <f>(INDEX(Models!$BJ378:$BT378,,T378)*(1-R378)+INDEX(Models!$BJ378:$BT378,,T378+1)*R378-ERP_i)*Q378*Ramure*Pc/MaxiM</f>
        <v>1.4024428067120529E-3</v>
      </c>
      <c r="Q378" s="304">
        <f t="shared" si="130"/>
        <v>0.6</v>
      </c>
      <c r="R378" s="177">
        <f t="shared" si="131"/>
        <v>0.49911207258936741</v>
      </c>
      <c r="S378" s="799">
        <f t="shared" si="132"/>
        <v>1</v>
      </c>
      <c r="T378" s="176">
        <f t="shared" si="133"/>
        <v>7</v>
      </c>
      <c r="U378" s="250">
        <f t="shared" si="134"/>
        <v>1.4991120725893674</v>
      </c>
      <c r="V378" s="382">
        <f t="shared" si="135"/>
        <v>26.181321873430527</v>
      </c>
      <c r="W378" s="400">
        <f t="shared" si="136"/>
        <v>14.346002499510615</v>
      </c>
      <c r="X378" s="157">
        <f t="shared" si="137"/>
        <v>45655</v>
      </c>
      <c r="Y378" s="383">
        <f t="shared" si="138"/>
        <v>13.931476317924764</v>
      </c>
      <c r="Z378" s="383">
        <f t="shared" si="139"/>
        <v>14.520012965083009</v>
      </c>
      <c r="AA378" s="384">
        <f t="shared" si="140"/>
        <v>15.496039978015338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6.2985576593571374E-2</v>
      </c>
      <c r="AD378" s="230">
        <f>(INDEX(Models!$BJ378:$BT378,,AH378)*(1-AF378)+INDEX(Models!$BJ378:$BT378,,AH378+1)*AF378-ERP_i)*AE378*Ramure*Pc/MaxiM</f>
        <v>1.4024428067120529E-3</v>
      </c>
      <c r="AE378" s="304">
        <f t="shared" si="142"/>
        <v>0.6</v>
      </c>
      <c r="AF378" s="177">
        <f t="shared" si="143"/>
        <v>0.49911207258936741</v>
      </c>
      <c r="AG378" s="799">
        <f t="shared" si="149"/>
        <v>1</v>
      </c>
      <c r="AH378" s="176">
        <f t="shared" si="144"/>
        <v>7</v>
      </c>
      <c r="AI378" s="224">
        <f t="shared" si="145"/>
        <v>1.4991120725893674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45656</v>
      </c>
      <c r="B379" s="409">
        <f>IF(t&gt;Tmaj,'2023'!Wh/'2023'!Env_an*'2024'!Env_an,0.001*'[14]mon-tableau (2)'!$B$272)</f>
        <v>13.435814401485061</v>
      </c>
      <c r="C379" s="829"/>
      <c r="D379" s="391">
        <f t="shared" si="127"/>
        <v>14.003680137437218</v>
      </c>
      <c r="E379" s="383">
        <f t="shared" si="150"/>
        <v>14.514542520998519</v>
      </c>
      <c r="F379" s="383">
        <f t="shared" si="128"/>
        <v>14.520571478993649</v>
      </c>
      <c r="G379" s="110">
        <f t="shared" si="151"/>
        <v>0.51040350385185362</v>
      </c>
      <c r="H379" s="412" t="b">
        <f>Wh_hp&gt;='2023'!Maxi_hp</f>
        <v>0</v>
      </c>
      <c r="I379" s="388">
        <f>IF(H379,Wh_hp,'2023'!Maxi_hp)</f>
        <v>28.959989458050305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4.055117871723124E-2</v>
      </c>
      <c r="M379" s="832"/>
      <c r="N379" s="832"/>
      <c r="O379" s="48">
        <f>IF(t&lt;Tnet,'2023'!Resal+('2023'!Salim-'2023'!Resal)*(1-EXP(('2023'!Tnet-t)/('2023'!Tau_j))),Resal+(Salim-Resal)*(1-EXP((Tnet-t)/(Tau_j))))*Salcycl</f>
        <v>3.5196588719363743E-2</v>
      </c>
      <c r="P379" s="169">
        <f>(INDEX(Models!$BJ379:$BT379,,T379)*(1-R379)+INDEX(Models!$BJ379:$BT379,,T379+1)*R379-ERP_i)*Q379*Ramure*Pc/MaxiM</f>
        <v>1.3781260489099543E-3</v>
      </c>
      <c r="Q379" s="305">
        <f t="shared" si="130"/>
        <v>0.6</v>
      </c>
      <c r="R379" s="177">
        <f t="shared" si="131"/>
        <v>0.49911207258936741</v>
      </c>
      <c r="S379" s="799">
        <f t="shared" si="132"/>
        <v>1</v>
      </c>
      <c r="T379" s="176">
        <f t="shared" si="133"/>
        <v>7</v>
      </c>
      <c r="U379" s="306">
        <f t="shared" si="134"/>
        <v>1.4991120725893674</v>
      </c>
      <c r="V379" s="382">
        <f t="shared" si="135"/>
        <v>26.298548591474397</v>
      </c>
      <c r="W379" s="400">
        <f t="shared" si="136"/>
        <v>13.435814401485061</v>
      </c>
      <c r="X379" s="157">
        <f t="shared" si="137"/>
        <v>45656</v>
      </c>
      <c r="Y379" s="383">
        <f t="shared" si="138"/>
        <v>13.048011708556766</v>
      </c>
      <c r="Z379" s="383">
        <f t="shared" si="139"/>
        <v>13.599486933666528</v>
      </c>
      <c r="AA379" s="384">
        <f t="shared" si="140"/>
        <v>14.514542520998519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6.3044052956416657E-2</v>
      </c>
      <c r="AD379" s="230">
        <f>(INDEX(Models!$BJ379:$BT379,,AH379)*(1-AF379)+INDEX(Models!$BJ379:$BT379,,AH379+1)*AF379-ERP_i)*AE379*Ramure*Pc/MaxiM</f>
        <v>1.3781260489099543E-3</v>
      </c>
      <c r="AE379" s="305">
        <f t="shared" si="142"/>
        <v>0.6</v>
      </c>
      <c r="AF379" s="177">
        <f t="shared" si="143"/>
        <v>0.49911207258936741</v>
      </c>
      <c r="AG379" s="799">
        <f t="shared" si="149"/>
        <v>1</v>
      </c>
      <c r="AH379" s="176">
        <f t="shared" si="144"/>
        <v>7</v>
      </c>
      <c r="AI379" s="221">
        <f t="shared" si="145"/>
        <v>1.4991120725893674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4">
        <f t="shared" si="148"/>
        <v>45657</v>
      </c>
      <c r="B380" s="792">
        <f>AVERAGE(B366:B379)</f>
        <v>17.388122101453536</v>
      </c>
      <c r="C380" s="837"/>
      <c r="D380" s="603">
        <f t="shared" ref="D380" si="152">Wh/(1-Ppv)</f>
        <v>18.123379758792364</v>
      </c>
      <c r="E380" s="599">
        <f t="shared" ref="E380" si="153">Wh_pvt/(1-Psa)</f>
        <v>18.786313445761198</v>
      </c>
      <c r="F380" s="599">
        <f t="shared" ref="F380" si="154">Wh_sa/(1-Pvg*MEDIAN((-Sdif+Wh/Env_an)/Csdif,0,1))</f>
        <v>18.799311780498957</v>
      </c>
      <c r="G380" s="110">
        <f t="shared" ref="G380" si="155">+Wh_hp/MaxiM</f>
        <v>0.65756936967971436</v>
      </c>
      <c r="H380" s="412" t="b">
        <f>Wh_hp&gt;='2023'!Maxi_hp</f>
        <v>1</v>
      </c>
      <c r="I380" s="388">
        <f>IF(H380,Wh_hp,'2023'!Maxi_hp)</f>
        <v>18.799311780498957</v>
      </c>
      <c r="J380" s="85">
        <f>IF(H380,An,'2023'!An_max)</f>
        <v>2024</v>
      </c>
      <c r="K380" s="233">
        <f t="shared" ref="K380" si="156">t</f>
        <v>45657</v>
      </c>
      <c r="L380" s="147">
        <f>IF(t&lt;Tvie,1-EXP((T0-t)*PertePVj)+'2020'!Pspv,1-EXP((T0-t)*PertePVj)+Pspv)</f>
        <v>4.0569566335005747E-2</v>
      </c>
      <c r="M380" s="832"/>
      <c r="N380" s="832"/>
      <c r="O380" s="323">
        <f>IF(t&lt;Tnet,'2020'!Resal+('2020'!Salim-'2020'!Resal)*(1-EXP(('2020'!Tnet-t)/('2020'!Tau_j))),Resal+(Salim-Resal)*(1-EXP((Tnet-t)/(Tau_j))))*Salcycl</f>
        <v>3.5288120198932037E-2</v>
      </c>
      <c r="P380" s="230">
        <f>(INDEX(Models!$BJ380:$BT380,,T380)*(1-R380)+INDEX(Models!$BJ380:$BT380,,T380+1)*R380-ERP_i)*Q380*Ramure*Pc/MaxiM</f>
        <v>1.3519342740543866E-3</v>
      </c>
      <c r="Q380" s="327">
        <f t="shared" ref="Q380" si="157">IF(OR(t&lt;Ttai,Notai),Dd+PousD*Croivg,Dens+PousD*(Croivg-Croi_tai))</f>
        <v>0.6</v>
      </c>
      <c r="R380" s="313">
        <f>(Hp_vg-S380)/(INDEX(Echel_vg,T380+1)-S380)</f>
        <v>0.49911207258936741</v>
      </c>
      <c r="S380" s="800">
        <f>INDEX(Echel_vg,T380)</f>
        <v>1</v>
      </c>
      <c r="T380" s="232">
        <f t="shared" ref="T380" si="158">MIN(MATCH(Hp_vg,Echel_vg),10)</f>
        <v>7</v>
      </c>
      <c r="U380" s="300">
        <f t="shared" ref="U380" si="159">IF(OR(t&lt;Ttai,Notai),Hdd+PousH*Croivg,Hdtf+PousH*(Croivg-Croi_tai))</f>
        <v>1.4991120725893674</v>
      </c>
      <c r="V380" s="382">
        <f t="shared" ref="V380" si="160">MaxiM*(1-Ppv)*(1-Pvg)*(1-Psa)</f>
        <v>26.425545287388033</v>
      </c>
      <c r="W380" s="400">
        <f t="shared" si="136"/>
        <v>17.388122101453536</v>
      </c>
      <c r="X380" s="325">
        <f t="shared" ref="X380" si="161">t</f>
        <v>45657</v>
      </c>
      <c r="Y380" s="396">
        <f t="shared" ref="Y380" si="162">Wh_pvt_s*(1-Ppv)</f>
        <v>16.886788881418767</v>
      </c>
      <c r="Z380" s="396">
        <f t="shared" ref="Z380" si="163">Wh_sa_s*(1-Psa_s)</f>
        <v>17.600847637187993</v>
      </c>
      <c r="AA380" s="397">
        <f t="shared" ref="AA380" si="164">Wh_hp*(1-Pvg_s*MEDIAN((-Sdif+Wh/Env_an)/Csdif,0,1))</f>
        <v>18.786313445761198</v>
      </c>
      <c r="AB380" s="198">
        <f t="shared" ref="AB380" si="165">t</f>
        <v>45657</v>
      </c>
      <c r="AC380" s="326">
        <f>IF(OR(t&lt;Tnet,NoTnet),'2020'!Resal_s+('2020'!Salim-'2020'!Resal_s)*(1-EXP(('2020'!Tnet_s-t)/'2020'!Tau_j)),Resal_s+(Salim-Resal_s)*(1-EXP((Tnet_s-t)/Tau_j)))*Salcycl</f>
        <v>6.3102631178587401E-2</v>
      </c>
      <c r="AD380" s="801">
        <f>(INDEX(Models!$BJ380:$BT380,,AH380)*(1-AF380)+INDEX(Models!$BJ380:$BT380,,AH380+1)*AF380-ERP_i)*AE380*Ramure*Pc/MaxiM</f>
        <v>1.3519342740543866E-3</v>
      </c>
      <c r="AE380" s="327">
        <f t="shared" ref="AE380" si="166">IF(OR(t&lt;Ttai,Notai),Dd_s+PousD*Croivg,Dens_s+PousD*(Croivg-Croi_tai))</f>
        <v>0.6</v>
      </c>
      <c r="AF380" s="313">
        <f>(Hp_vg_s-AG380)/(INDEX(Echel_vg,AH380+1)-AG380)</f>
        <v>0.49911207258936741</v>
      </c>
      <c r="AG380" s="800">
        <f>INDEX(Echel_vg,AH380)</f>
        <v>1</v>
      </c>
      <c r="AH380" s="232">
        <f t="shared" ref="AH380" si="167">MIN(MATCH(Hp_vg_s,Echel_vg),10)</f>
        <v>7</v>
      </c>
      <c r="AI380" s="226">
        <f t="shared" ref="AI380" si="168">IF(OR(t&lt;Ttai,Notai),Hdd_s+PousH*Croivg,Hdtai_s+PousH*(Croivg-Croi_tai))</f>
        <v>1.4991120725893674</v>
      </c>
      <c r="AJ380" s="264" t="b">
        <f t="shared" si="146"/>
        <v>0</v>
      </c>
      <c r="AK380" s="264" t="b">
        <f t="shared" si="147"/>
        <v>0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1.566139319960244</v>
      </c>
      <c r="C381" s="374"/>
      <c r="D381" s="372">
        <f>MIN(D15:D380)</f>
        <v>1.6210157908880418</v>
      </c>
      <c r="E381" s="372">
        <f>MIN(E15:E380)</f>
        <v>1.6806319017301041</v>
      </c>
      <c r="F381" s="373">
        <f>MIN(F15:F380)</f>
        <v>1.6806319017301041</v>
      </c>
      <c r="G381" s="125">
        <f>+MIN(G15:G380)</f>
        <v>5.8478503526052515E-2</v>
      </c>
      <c r="H381" s="94"/>
      <c r="I381" s="373">
        <f>MIN(I15:I380)</f>
        <v>10.012976509324043</v>
      </c>
      <c r="J381" s="57">
        <f>MIN(J15:J380)</f>
        <v>2018</v>
      </c>
      <c r="K381" s="200" t="s">
        <v>7</v>
      </c>
      <c r="L381" s="146">
        <f t="shared" ref="L381:T381" si="169">MIN(L15:L380)</f>
        <v>3.3834621450382074E-2</v>
      </c>
      <c r="M381" s="833"/>
      <c r="N381" s="833"/>
      <c r="O381" s="47">
        <f t="shared" si="169"/>
        <v>9.1042482442858959E-3</v>
      </c>
      <c r="P381" s="168">
        <f t="shared" si="169"/>
        <v>-1.9927150967186139E-20</v>
      </c>
      <c r="Q381" s="309">
        <f t="shared" si="169"/>
        <v>0.6</v>
      </c>
      <c r="R381" s="310">
        <f t="shared" si="169"/>
        <v>6.5831189073772833E-5</v>
      </c>
      <c r="S381" s="799">
        <f t="shared" si="169"/>
        <v>0</v>
      </c>
      <c r="T381" s="176">
        <f t="shared" si="169"/>
        <v>6</v>
      </c>
      <c r="U381" s="251">
        <f>+MIN(U15:U380)</f>
        <v>0.99911334562553844</v>
      </c>
      <c r="V381" s="57">
        <f>MIN(V15:V380)</f>
        <v>25.588247840396939</v>
      </c>
      <c r="W381" s="793" t="s">
        <v>40</v>
      </c>
      <c r="X381" s="112" t="s">
        <v>7</v>
      </c>
      <c r="Y381" s="372">
        <f>MIN(Y15:Y380)</f>
        <v>1.5346744016770475</v>
      </c>
      <c r="Z381" s="372">
        <f>MIN(Z15:Z380)</f>
        <v>1.5884483629804416</v>
      </c>
      <c r="AA381" s="372">
        <f>MIN(AA15:AA380)</f>
        <v>1.6806319017301041</v>
      </c>
      <c r="AB381" s="200" t="s">
        <v>7</v>
      </c>
      <c r="AC381" s="47">
        <f t="shared" ref="AC381:AH381" si="170">MIN(AC15:AC380)</f>
        <v>4.6299557983221946E-2</v>
      </c>
      <c r="AD381" s="168">
        <f t="shared" si="170"/>
        <v>-1.9927150967186139E-20</v>
      </c>
      <c r="AE381" s="309">
        <f t="shared" si="170"/>
        <v>0.6</v>
      </c>
      <c r="AF381" s="310">
        <f t="shared" si="170"/>
        <v>6.5831189073772833E-5</v>
      </c>
      <c r="AG381" s="799">
        <f t="shared" si="170"/>
        <v>0</v>
      </c>
      <c r="AH381" s="176">
        <f t="shared" si="170"/>
        <v>6</v>
      </c>
      <c r="AI381" s="225">
        <f>MIN(AI15:AI380)</f>
        <v>0.99911334562553844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31.549549445739892</v>
      </c>
      <c r="C382" s="374"/>
      <c r="D382" s="374">
        <f>AVERAGE(D15:D380)</f>
        <v>32.767427061102069</v>
      </c>
      <c r="E382" s="374">
        <f>AVERAGE(E15:E380)</f>
        <v>33.652986748479378</v>
      </c>
      <c r="F382" s="375">
        <f>AVERAGE(F15:F380)</f>
        <v>33.654877843487945</v>
      </c>
      <c r="G382" s="126">
        <f>AVERAGE(G15:G380)</f>
        <v>0.66663685602154132</v>
      </c>
      <c r="H382" s="94"/>
      <c r="I382" s="375">
        <f>AVERAGE(I15:I380)</f>
        <v>44.754373436251484</v>
      </c>
      <c r="J382" s="59">
        <f>AVERAGE(J15:J380)</f>
        <v>2020.7076502732241</v>
      </c>
      <c r="K382" s="200" t="s">
        <v>8</v>
      </c>
      <c r="L382" s="147">
        <f t="shared" ref="L382:V382" si="171">AVERAGE(L15:L380)</f>
        <v>3.7206009162046041E-2</v>
      </c>
      <c r="M382" s="832"/>
      <c r="N382" s="832"/>
      <c r="O382" s="48">
        <f t="shared" si="171"/>
        <v>2.9078695067859359E-2</v>
      </c>
      <c r="P382" s="169">
        <f t="shared" si="171"/>
        <v>2.1720895645740458E-4</v>
      </c>
      <c r="Q382" s="311">
        <f t="shared" si="171"/>
        <v>0.5999999999999962</v>
      </c>
      <c r="R382" s="177">
        <f t="shared" si="171"/>
        <v>0.33697539926393005</v>
      </c>
      <c r="S382" s="799">
        <f t="shared" si="171"/>
        <v>0.94262295081967218</v>
      </c>
      <c r="T382" s="176">
        <f t="shared" si="171"/>
        <v>6.942622950819672</v>
      </c>
      <c r="U382" s="250">
        <f t="shared" si="171"/>
        <v>1.2795983500836012</v>
      </c>
      <c r="V382" s="59">
        <f t="shared" si="171"/>
        <v>45.631155682167339</v>
      </c>
      <c r="X382" s="112" t="s">
        <v>8</v>
      </c>
      <c r="Y382" s="374">
        <f>AVERAGE(Y15:Y380)</f>
        <v>30.579243901615122</v>
      </c>
      <c r="Z382" s="374">
        <f>AVERAGE(Z15:Z380)</f>
        <v>31.759449062360268</v>
      </c>
      <c r="AA382" s="374">
        <f>AVERAGE(AA15:AA380)</f>
        <v>33.652986748479378</v>
      </c>
      <c r="AB382" s="200" t="s">
        <v>8</v>
      </c>
      <c r="AC382" s="48">
        <f t="shared" ref="AC382:AH382" si="172">AVERAGE(AC15:AC380)</f>
        <v>5.7291151710803012E-2</v>
      </c>
      <c r="AD382" s="169">
        <f t="shared" si="172"/>
        <v>2.1720895645740458E-4</v>
      </c>
      <c r="AE382" s="311">
        <f t="shared" si="172"/>
        <v>0.5999999999999962</v>
      </c>
      <c r="AF382" s="177">
        <f t="shared" si="172"/>
        <v>0.33697539926393005</v>
      </c>
      <c r="AG382" s="799">
        <f t="shared" si="172"/>
        <v>0.94262295081967218</v>
      </c>
      <c r="AH382" s="176">
        <f t="shared" si="172"/>
        <v>6.942622950819672</v>
      </c>
      <c r="AI382" s="224">
        <f>AVERAGE(AI15:AI380)</f>
        <v>1.2795983500836012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60.98821557777795</v>
      </c>
      <c r="C383" s="376"/>
      <c r="D383" s="376">
        <f>MAX(D15:D380)</f>
        <v>63.303291851556224</v>
      </c>
      <c r="E383" s="376">
        <f>MAX(E15:E380)</f>
        <v>64.121433060958893</v>
      </c>
      <c r="F383" s="377">
        <f>MAX(F15:F380)</f>
        <v>64.121433060958893</v>
      </c>
      <c r="G383" s="127">
        <f>+MAX(G15:G380)</f>
        <v>1.0478798370423081</v>
      </c>
      <c r="H383" s="94"/>
      <c r="I383" s="377">
        <f>MAX(I15:I380)</f>
        <v>65.55404847482302</v>
      </c>
      <c r="J383" s="60">
        <f>MAX(J15:J380)</f>
        <v>2024</v>
      </c>
      <c r="K383" s="200" t="s">
        <v>9</v>
      </c>
      <c r="L383" s="148">
        <f t="shared" ref="L383:T383" si="173">MAX(L15:L380)</f>
        <v>4.0569566335005747E-2</v>
      </c>
      <c r="M383" s="834"/>
      <c r="N383" s="834"/>
      <c r="O383" s="49">
        <f t="shared" si="173"/>
        <v>4.6193912119919384E-2</v>
      </c>
      <c r="P383" s="170">
        <f t="shared" si="173"/>
        <v>1.5237427483697297E-3</v>
      </c>
      <c r="Q383" s="312">
        <f t="shared" si="173"/>
        <v>0.6</v>
      </c>
      <c r="R383" s="313">
        <f t="shared" si="173"/>
        <v>0.99999961231029155</v>
      </c>
      <c r="S383" s="800">
        <f t="shared" si="173"/>
        <v>1</v>
      </c>
      <c r="T383" s="232">
        <f t="shared" si="173"/>
        <v>7</v>
      </c>
      <c r="U383" s="252">
        <f>+MAX(U15:U380)</f>
        <v>1.4991120725893674</v>
      </c>
      <c r="V383" s="60">
        <f>MAX(V15:V380)</f>
        <v>60.145984732801239</v>
      </c>
      <c r="X383" s="112" t="s">
        <v>9</v>
      </c>
      <c r="Y383" s="376">
        <f>MAX(Y15:Y380)</f>
        <v>58.722071959735374</v>
      </c>
      <c r="Z383" s="376">
        <f>MAX(Z15:Z380)</f>
        <v>60.951126773902097</v>
      </c>
      <c r="AA383" s="376">
        <f>MAX(AA15:AA380)</f>
        <v>64.121433060958893</v>
      </c>
      <c r="AB383" s="200" t="s">
        <v>9</v>
      </c>
      <c r="AC383" s="49">
        <f t="shared" ref="AC383:AH383" si="174">MAX(AC15:AC380)</f>
        <v>6.3308145470700114E-2</v>
      </c>
      <c r="AD383" s="170">
        <f t="shared" si="174"/>
        <v>1.5237427483697297E-3</v>
      </c>
      <c r="AE383" s="312">
        <f t="shared" si="174"/>
        <v>0.6</v>
      </c>
      <c r="AF383" s="313">
        <f t="shared" si="174"/>
        <v>0.99999961231029155</v>
      </c>
      <c r="AG383" s="800">
        <f t="shared" si="174"/>
        <v>1</v>
      </c>
      <c r="AH383" s="232">
        <f t="shared" si="174"/>
        <v>7</v>
      </c>
      <c r="AI383" s="226">
        <f>MAX(AI15:AI380)</f>
        <v>1.4991120725893674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U367" sqref="U367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7">
        <f>'2024'!An+1</f>
        <v>2025</v>
      </c>
      <c r="K1" s="1278"/>
      <c r="L1" s="113" t="str">
        <f>"Calcul pertes et enveloppes en "&amp;TEXT(An,0)</f>
        <v>Calcul pertes et enveloppes en 2025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2025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7">
        <f>Tmaj</f>
        <v>44947</v>
      </c>
      <c r="F3" s="1287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77.545959109588864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0" t="str">
        <f>Station</f>
        <v>Esp. Berjean Escalquens</v>
      </c>
      <c r="F4" s="1221"/>
      <c r="G4" s="1221"/>
      <c r="H4" s="1221"/>
      <c r="I4" s="1222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297.87158546586357</v>
      </c>
      <c r="AK4" s="822">
        <f>AM12-AK12</f>
        <v>-2.69772510053361E-2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88">
        <f>T0</f>
        <v>43496</v>
      </c>
      <c r="F5" s="1288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375.4693150846831</v>
      </c>
      <c r="AA5" s="236">
        <f>Wh_Pvg_s-Wh_Pvg</f>
        <v>-2.69772510053361E-2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2888.1942752425898</v>
      </c>
      <c r="AK5" s="514">
        <f>SUMIF(AK15:AK380,"VRAI",Wh)</f>
        <v>0</v>
      </c>
      <c r="AL5" s="514">
        <f>SUMIF(AJ15:AJ380,"VRAI",Wh_s)</f>
        <v>2810.6466935880699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89">
        <f>Tservice</f>
        <v>43535</v>
      </c>
      <c r="F6" s="1289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8561.2896463047691</v>
      </c>
      <c r="AK6" s="514">
        <f>SUMIF(AK15:AK380,"FAUX",Wh)</f>
        <v>11449.483921547353</v>
      </c>
      <c r="AL6" s="514">
        <f>SUMIF(AJ15:AJ380,"FAUX",Wh_s)</f>
        <v>8263.3934772817884</v>
      </c>
      <c r="AM6" s="514">
        <f>SUMIF(AK15:AK380,"FAUX",Wh_s)</f>
        <v>11074.040170869854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AND(YEAR(Tnet)=An,Resal_2025="I")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3014.3544326080059</v>
      </c>
      <c r="AK7" s="514">
        <f>SUMIF(AK15:AK380,"VRAI",Wh_sa)</f>
        <v>0</v>
      </c>
      <c r="AL7" s="514">
        <f>SUMIF(AJ15:AJ380,"VRAI",Wh_pvt_s)</f>
        <v>2933.4210491820272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AND(YEAR(Tnet)=An,Resal_2025&lt;&gt;"I")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5" t="s">
        <v>102</v>
      </c>
      <c r="Y8" s="1276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8960.7403448901332</v>
      </c>
      <c r="AK8" s="514">
        <f>SUMIF(AK15:AK380,"FAUX",Wh_sa)</f>
        <v>12297.829391204394</v>
      </c>
      <c r="AL8" s="514">
        <f>SUMIF(AJ15:AJ380,"FAUX",Wh_pvt_s)</f>
        <v>8648.9693186503064</v>
      </c>
      <c r="AM8" s="514">
        <f>SUMIF(AK15:AK380,"FAUX",Wh_sa_s)</f>
        <v>12297.829391204394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11975.094777498138</v>
      </c>
      <c r="E9" s="184">
        <f>SUM(E$15:E$380)</f>
        <v>12297.829391204394</v>
      </c>
      <c r="F9" s="184">
        <f>SUM(F$15:F$380)</f>
        <v>12298.713043228721</v>
      </c>
      <c r="H9" s="1279">
        <f>+SUM(Wh)</f>
        <v>11449.483921547353</v>
      </c>
      <c r="I9" s="1280"/>
      <c r="J9" s="1281"/>
      <c r="K9" s="191"/>
      <c r="L9" s="231"/>
      <c r="M9" s="231"/>
      <c r="N9" s="231"/>
      <c r="O9" s="222">
        <f>Tnet_2025</f>
        <v>45777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3">
        <f>+SUM(Wh_s)</f>
        <v>11074.040170869854</v>
      </c>
      <c r="Y9" s="1274"/>
      <c r="Z9" s="514">
        <f>SUM(Z$15:Z$380)</f>
        <v>11582.39036783233</v>
      </c>
      <c r="AA9" s="514">
        <f>SUM(AA$15:AA$380)</f>
        <v>12297.829391204394</v>
      </c>
      <c r="AB9" s="514">
        <f>F9</f>
        <v>12298.713043228721</v>
      </c>
      <c r="AC9" s="324">
        <f>IF(An_Tnet,Tnet,'2024'!Tnet_s)</f>
        <v>45777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3145.0541336626384</v>
      </c>
      <c r="AK9" s="514">
        <f>SUMIF(AK15:AK380,"VRAI",Wh_hp)</f>
        <v>0</v>
      </c>
      <c r="AL9" s="514">
        <f>SUMIF(AJ15:AJ380,"VRAI",Wh_sa_s)</f>
        <v>3145.0541336626384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IF(Inflex,'2024'!Resal+('2024'!Salim-'2024'!Resal)*(1-EXP(-(Tnet-'2024'!Tnet)/('2024'!Tau_j))),IF(An_Tnet,Resal_2025,'2024'!Resal))</f>
        <v>8.9999999999999993E-3</v>
      </c>
      <c r="P10" s="419" t="b">
        <f>NOT(Acti_tai)</f>
        <v>1</v>
      </c>
      <c r="Q10" s="256">
        <f>IF(Acti_tai,'2024'!PousD,Dens-Dd)</f>
        <v>0</v>
      </c>
      <c r="R10" s="273"/>
      <c r="S10" s="274"/>
      <c r="T10" s="275"/>
      <c r="U10" s="265">
        <f>IF(Acti_tai,'2024'!PousH,Hdtf-Hdd)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IF(OR(Inflex,GainD),'2024'!Resal_s+('2024'!Salim-'2024'!Resal_s)*(1-EXP(('2024'!Tnet_s-Tnet)/('2024'!Tau_j))),IF(Acti_net,'2024'!Resal+('2024'!Salim-'2024'!Resal)*(1-EXP(('2024'!Tnet-Tnet)/'2024'!Tau_j)),'2024'!Resal_s))</f>
        <v>4.5688425481752219E-2</v>
      </c>
      <c r="AD10" s="426"/>
      <c r="AE10" s="426"/>
      <c r="AF10" s="259"/>
      <c r="AG10" s="260"/>
      <c r="AH10" s="261"/>
      <c r="AI10" s="471"/>
      <c r="AJ10" s="514">
        <f>SUMIF(AJ15:AJ380,"FAUX",Wh_sa)</f>
        <v>9152.7752575417489</v>
      </c>
      <c r="AK10" s="514">
        <f>SUMIF(AK15:AK380,"FAUX",Wh_hp)</f>
        <v>12298.713043228721</v>
      </c>
      <c r="AL10" s="514">
        <f>SUMIF(AJ15:AJ380,"FAUX",Wh_sa_s)</f>
        <v>9152.7752575417489</v>
      </c>
      <c r="AM10" s="514">
        <f>SUMIF(AK15:AK380,"FAUX",Wh_hp)</f>
        <v>12298.713043228721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525.61085595078475</v>
      </c>
      <c r="E11" s="51">
        <f>(E$9-D$9)*Prod_an/D$9</f>
        <v>308.56914614988716</v>
      </c>
      <c r="F11" s="186">
        <f>(F$9-E$9)*Prod_an/E$9</f>
        <v>0.82269474741760173</v>
      </c>
      <c r="G11" s="185" t="s">
        <v>6</v>
      </c>
      <c r="K11" s="194"/>
      <c r="L11" s="211">
        <f>Tvie_2025</f>
        <v>43496</v>
      </c>
      <c r="M11" s="831"/>
      <c r="N11" s="831"/>
      <c r="O11" s="202">
        <f>IF(An_Tnet,Salim_2025,'2024'!Salim)</f>
        <v>0.11666666666666665</v>
      </c>
      <c r="P11" s="255">
        <f>Ttai_2025</f>
        <v>43466</v>
      </c>
      <c r="Q11" s="271">
        <f>Dens_2025</f>
        <v>0.6</v>
      </c>
      <c r="R11" s="276"/>
      <c r="S11" s="229"/>
      <c r="T11" s="229"/>
      <c r="U11" s="265">
        <f>Htf_2025</f>
        <v>1.9991120725893674</v>
      </c>
      <c r="V11" s="426"/>
      <c r="W11" s="517"/>
      <c r="X11" s="524" t="s">
        <v>43</v>
      </c>
      <c r="Y11" s="50">
        <f>Z$9-Prod_an_s</f>
        <v>508.35019696247582</v>
      </c>
      <c r="Z11" s="51">
        <f>(AA$9-Z$9)*Prod_an_s/Z$9</f>
        <v>684.03846123457026</v>
      </c>
      <c r="AA11" s="186">
        <f>(AB$9-AA$9)*Prod_an_s/AA$9</f>
        <v>0.79571749641226563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125.22950993367692</v>
      </c>
      <c r="AK11" s="822">
        <f>IF($AK7=0,0,($AK9-$AK7)*$AK5/$AK7)</f>
        <v>0</v>
      </c>
      <c r="AL11" s="821">
        <f>IF($AL7=0,0,($AL9-$AL7)*$AL5/$AL7)</f>
        <v>202.77546904326579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4.7879837042308138E-2</v>
      </c>
      <c r="K12" s="191"/>
      <c r="L12" s="212">
        <f>Pspv_2025</f>
        <v>0</v>
      </c>
      <c r="M12" s="212"/>
      <c r="N12" s="212"/>
      <c r="O12" s="205">
        <f>IF(An_Tnet,Tau_2025*365,'2024'!Tau_j)</f>
        <v>876</v>
      </c>
      <c r="P12" s="280">
        <f>INDEX(Croivg,MIN(MAX(Ttai-$A$15,0)+1,366))</f>
        <v>2.3909964587625958E-6</v>
      </c>
      <c r="Q12" s="279">
        <f>'2024'!Df</f>
        <v>0.6</v>
      </c>
      <c r="R12" s="277"/>
      <c r="S12" s="278"/>
      <c r="T12" s="278"/>
      <c r="U12" s="266">
        <f>'2024'!Hdf</f>
        <v>1.4991120725893674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'2024'!Df_s</f>
        <v>0.6</v>
      </c>
      <c r="AF12" s="203"/>
      <c r="AG12" s="203"/>
      <c r="AH12" s="203"/>
      <c r="AI12" s="296">
        <f>'2024'!Hdf_s</f>
        <v>1.4991120725893674</v>
      </c>
      <c r="AJ12" s="821">
        <f>IF($AJ8=0,0,($AJ10-$AJ8)*$AJ6/$AJ8)</f>
        <v>183.47440570028886</v>
      </c>
      <c r="AK12" s="822">
        <f>IF($AK8=0,0,($AK10-$AK8)*$AK6/$AK8)</f>
        <v>0.82269474741760173</v>
      </c>
      <c r="AL12" s="821">
        <f>IF($AL8=0,0,($AL10-$AL8)*$AL6/$AL8)</f>
        <v>481.34599116615243</v>
      </c>
      <c r="AM12" s="822">
        <f>IF($AM8=0,0,($AM10-$AM8)*$AM6/$AM8)</f>
        <v>0.79571749641226563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200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308.70391563396578</v>
      </c>
      <c r="AK13" s="73">
        <f>+AK11+AK12</f>
        <v>0.82269474741760173</v>
      </c>
      <c r="AL13" s="73">
        <f>+AL11+AL12</f>
        <v>684.12146020941827</v>
      </c>
      <c r="AM13" s="73">
        <f>+AM11+AM12</f>
        <v>0.79571749641226563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414" t="s">
        <v>365</v>
      </c>
      <c r="C14" s="414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199</v>
      </c>
      <c r="V14" s="45" t="str">
        <f>"Enveloppe "&amp; TEXT(An,0)</f>
        <v>Enveloppe 2025</v>
      </c>
      <c r="W14" s="826" t="s">
        <v>116</v>
      </c>
      <c r="X14" s="257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129">
        <f>DATE(An,1,1)</f>
        <v>45658</v>
      </c>
      <c r="B15" s="408">
        <f>IF(t&gt;Tmaj,'2024'!Wh/'2024'!Env_an*'2025'!Env_an,0.001*'[3]mon-tableau (2)'!$B$242)</f>
        <v>9.7090382473722485</v>
      </c>
      <c r="C15" s="829"/>
      <c r="D15" s="391">
        <f t="shared" ref="D15:D78" si="0">Wh/(1-Ppv)</f>
        <v>10.119779383433174</v>
      </c>
      <c r="E15" s="398">
        <f t="shared" ref="E15:E79" si="1">Wh_pvt/(1-Psa)</f>
        <v>10.490960489295775</v>
      </c>
      <c r="F15" s="398">
        <f t="shared" ref="F15:F78" si="2">Wh_sa/(1-Pvg*MEDIAN((-Sdif+Wh/Env_an)/Csdif,0,1))</f>
        <v>10.492327381496951</v>
      </c>
      <c r="G15" s="123">
        <f>+Wh_hp/MaxiM</f>
        <v>0.36700455755627814</v>
      </c>
      <c r="H15" s="412" t="b">
        <f>Wh_hp&gt;='2024'!Maxi_hp</f>
        <v>0</v>
      </c>
      <c r="I15" s="394">
        <f>IF(H15,Wh_hp,'2024'!Maxi_hp)</f>
        <v>28.767141164856003</v>
      </c>
      <c r="J15" s="84">
        <f>IF(H15,An,'2024'!An_max)</f>
        <v>2022</v>
      </c>
      <c r="K15" s="197">
        <f t="shared" ref="K15:K78" si="3">t</f>
        <v>45658</v>
      </c>
      <c r="L15" s="146">
        <f>IF(t&lt;Tvie,1-EXP((T0-t)*PertePVj)+'2024'!Pspv,1-EXP((T0-t)*PertePVj)+Pspv)</f>
        <v>4.0587953600385696E-2</v>
      </c>
      <c r="M15" s="832"/>
      <c r="N15" s="832"/>
      <c r="O15" s="48">
        <f>IF(t&lt;Tnet,'2024'!Resal+('2024'!Salim-'2024'!Resal)*(1-EXP(('2024'!Tnet-t)/('2024'!Tau_j))),Resal+(Salim-Resal)*(1-EXP((Tnet-t)/(Tau_j))))*Salcycl</f>
        <v>3.5381041253689453E-2</v>
      </c>
      <c r="P15" s="301">
        <f>(INDEX(Models!$BJ15:$BT15,,T15)*(1-R15)+INDEX(Models!$BJ15:$BT15,,T15+1)*R15-ERP_i)*Q15*Ramure*Pc/MaxiM</f>
        <v>1.3519351503355616E-3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0.49911326808759671</v>
      </c>
      <c r="S15" s="798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1.4991132680875967</v>
      </c>
      <c r="V15" s="381">
        <f t="shared" ref="V15:V78" si="9">MaxiM*(1-Ppv)*(1-Pvg)*(1-Psa)</f>
        <v>26.422493566113811</v>
      </c>
      <c r="W15" s="400">
        <f t="shared" ref="W15:W78" si="10">Wh*(A15&gt;Tmaj)</f>
        <v>9.7090382473722485</v>
      </c>
      <c r="X15" s="156">
        <f t="shared" ref="X15:X78" si="11">t</f>
        <v>45658</v>
      </c>
      <c r="Y15" s="383">
        <f t="shared" ref="Y15:Y78" si="12">Wh_pvt_s*(1-Ppv)</f>
        <v>9.4294003181487458</v>
      </c>
      <c r="Z15" s="383">
        <f>Wh_sa_s*(1-Psa_s)</f>
        <v>9.8283113637508066</v>
      </c>
      <c r="AA15" s="384">
        <f t="shared" ref="AA15:AA78" si="13">Wh_hp*(1-Pvg_s*MEDIAN((-Sdif+Wh/Env_an)/Csdif,0,1))</f>
        <v>10.490960489295775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6.3163818624718621E-2</v>
      </c>
      <c r="AD15" s="230">
        <f>(INDEX(Models!$BJ15:$BT15,,AH15)*(1-AF15)+INDEX(Models!$BJ15:$BT15,,AH15+1)*AF15-ERP_i)*AE15*Ramure*Pc/MaxiM</f>
        <v>1.3519351503355616E-3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0.49911326808759671</v>
      </c>
      <c r="AG15" s="798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1.4991132680875967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45659</v>
      </c>
      <c r="B16" s="409">
        <f>IF(t&gt;Tmaj,'2024'!Wh/'2024'!Env_an*'2025'!Env_an,0.001*'[3]mon-tableau (2)'!$B$243)</f>
        <v>1.5546261096107357</v>
      </c>
      <c r="C16" s="829"/>
      <c r="D16" s="391">
        <f t="shared" si="0"/>
        <v>1.6204256659801424</v>
      </c>
      <c r="E16" s="383">
        <f t="shared" si="1"/>
        <v>1.6800200737936977</v>
      </c>
      <c r="F16" s="383">
        <f t="shared" si="2"/>
        <v>1.6800200737936977</v>
      </c>
      <c r="G16" s="110">
        <f t="shared" ref="G16:G79" si="21">+Wh_hp/MaxiM</f>
        <v>5.8457214639354813E-2</v>
      </c>
      <c r="H16" s="412" t="b">
        <f>Wh_hp&gt;='2024'!Maxi_hp</f>
        <v>0</v>
      </c>
      <c r="I16" s="388">
        <f>IF(H16,Wh_hp,'2024'!Maxi_hp)</f>
        <v>27.700774451172606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4.0606340513377859E-2</v>
      </c>
      <c r="M16" s="832"/>
      <c r="N16" s="832"/>
      <c r="O16" s="48">
        <f>IF(t&lt;Tnet,'2024'!Resal+('2024'!Salim-'2024'!Resal)*(1-EXP(('2024'!Tnet-t)/('2024'!Tau_j))),Resal+(Salim-Resal)*(1-EXP((Tnet-t)/(Tau_j))))*Salcycl</f>
        <v>3.5472437944734536E-2</v>
      </c>
      <c r="P16" s="169">
        <f>(INDEX(Models!$BJ16:$BT16,,T16)*(1-R16)+INDEX(Models!$BJ16:$BT16,,T16+1)*R16-ERP_i)*Q16*Ramure*Pc/MaxiM</f>
        <v>1.3234031822579294E-3</v>
      </c>
      <c r="Q16" s="304">
        <f t="shared" si="4"/>
        <v>0.6</v>
      </c>
      <c r="R16" s="177">
        <f t="shared" si="5"/>
        <v>0.49914248270159112</v>
      </c>
      <c r="S16" s="799">
        <f t="shared" si="6"/>
        <v>1</v>
      </c>
      <c r="T16" s="176">
        <f t="shared" si="7"/>
        <v>7</v>
      </c>
      <c r="U16" s="250">
        <f t="shared" si="8"/>
        <v>1.4991424827015911</v>
      </c>
      <c r="V16" s="382">
        <f t="shared" si="9"/>
        <v>26.559060708732925</v>
      </c>
      <c r="W16" s="400">
        <f t="shared" si="10"/>
        <v>1.5546261096107357</v>
      </c>
      <c r="X16" s="157">
        <f t="shared" si="11"/>
        <v>45659</v>
      </c>
      <c r="Y16" s="383">
        <f t="shared" si="12"/>
        <v>1.509898690491752</v>
      </c>
      <c r="Z16" s="383">
        <f t="shared" ref="Z16:Z78" si="22">Wh_sa_s*(1-Psa_s)</f>
        <v>1.5738051586662649</v>
      </c>
      <c r="AA16" s="384">
        <f t="shared" si="13"/>
        <v>1.6800200737936977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6.3222408341577829E-2</v>
      </c>
      <c r="AD16" s="230">
        <f>(INDEX(Models!$BJ16:$BT16,,AH16)*(1-AF16)+INDEX(Models!$BJ16:$BT16,,AH16+1)*AF16-ERP_i)*AE16*Ramure*Pc/MaxiM</f>
        <v>1.3234031822579294E-3</v>
      </c>
      <c r="AE16" s="304">
        <f t="shared" si="15"/>
        <v>0.6</v>
      </c>
      <c r="AF16" s="177">
        <f t="shared" ref="AF16:AF78" si="23">(Hp_vg_s-AG16)/(INDEX(Echel_vg,AH16+1)-AG16)</f>
        <v>0.49914248270159112</v>
      </c>
      <c r="AG16" s="799">
        <f t="shared" ref="AG16:AG79" si="24">INDEX(Echel_vg,AH16)</f>
        <v>1</v>
      </c>
      <c r="AH16" s="176">
        <f t="shared" si="16"/>
        <v>7</v>
      </c>
      <c r="AI16" s="224">
        <f t="shared" si="17"/>
        <v>1.4991424827015911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45660</v>
      </c>
      <c r="B17" s="409">
        <f>IF(t&gt;Tmaj,'2024'!Wh/'2024'!Env_an*'2025'!Env_an,0.001*'[3]mon-tableau (2)'!$B$244)</f>
        <v>16.000332650441255</v>
      </c>
      <c r="C17" s="829"/>
      <c r="D17" s="391">
        <f t="shared" si="0"/>
        <v>16.677866422011935</v>
      </c>
      <c r="E17" s="383">
        <f t="shared" si="1"/>
        <v>17.292866490606148</v>
      </c>
      <c r="F17" s="383">
        <f t="shared" si="2"/>
        <v>17.302424232442455</v>
      </c>
      <c r="G17" s="110">
        <f t="shared" si="21"/>
        <v>0.59870723319843566</v>
      </c>
      <c r="H17" s="412" t="b">
        <f>Wh_hp&gt;='2024'!Maxi_hp</f>
        <v>0</v>
      </c>
      <c r="I17" s="388">
        <f>IF(H17,Wh_hp,'2024'!Maxi_hp)</f>
        <v>27.58667687662351</v>
      </c>
      <c r="J17" s="85">
        <f>IF(H17,An,'2024'!An_max)</f>
        <v>2021</v>
      </c>
      <c r="K17" s="197">
        <f t="shared" si="3"/>
        <v>45660</v>
      </c>
      <c r="L17" s="147">
        <f>IF(t&lt;Tvie,1-EXP((T0-t)*PertePVj)+'2024'!Pspv,1-EXP((T0-t)*PertePVj)+Pspv)</f>
        <v>4.0624727073989009E-2</v>
      </c>
      <c r="M17" s="832"/>
      <c r="N17" s="832"/>
      <c r="O17" s="48">
        <f>IF(t&lt;Tnet,'2024'!Resal+('2024'!Salim-'2024'!Resal)*(1-EXP(('2024'!Tnet-t)/('2024'!Tau_j))),Resal+(Salim-Resal)*(1-EXP((Tnet-t)/(Tau_j))))*Salcycl</f>
        <v>3.5563801347121581E-2</v>
      </c>
      <c r="P17" s="169">
        <f>(INDEX(Models!$BJ17:$BT17,,T17)*(1-R17)+INDEX(Models!$BJ17:$BT17,,T17+1)*R17-ERP_i)*Q17*Ramure*Pc/MaxiM</f>
        <v>1.2925756777911399E-3</v>
      </c>
      <c r="Q17" s="304">
        <f t="shared" si="4"/>
        <v>0.6</v>
      </c>
      <c r="R17" s="177">
        <f t="shared" si="5"/>
        <v>0.49917291929708063</v>
      </c>
      <c r="S17" s="799">
        <f t="shared" si="6"/>
        <v>1</v>
      </c>
      <c r="T17" s="176">
        <f t="shared" si="7"/>
        <v>7</v>
      </c>
      <c r="U17" s="250">
        <f t="shared" si="8"/>
        <v>1.4991729192970806</v>
      </c>
      <c r="V17" s="382">
        <f t="shared" si="9"/>
        <v>26.705010483639644</v>
      </c>
      <c r="W17" s="400">
        <f t="shared" si="10"/>
        <v>16.000332650441255</v>
      </c>
      <c r="X17" s="157">
        <f t="shared" si="11"/>
        <v>45660</v>
      </c>
      <c r="Y17" s="383">
        <f t="shared" si="12"/>
        <v>15.540493572978161</v>
      </c>
      <c r="Z17" s="383">
        <f t="shared" si="22"/>
        <v>16.198555467852543</v>
      </c>
      <c r="AA17" s="384">
        <f t="shared" si="13"/>
        <v>17.292866490606148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6.3281065828389896E-2</v>
      </c>
      <c r="AD17" s="230">
        <f>(INDEX(Models!$BJ17:$BT17,,AH17)*(1-AF17)+INDEX(Models!$BJ17:$BT17,,AH17+1)*AF17-ERP_i)*AE17*Ramure*Pc/MaxiM</f>
        <v>1.2925756777911399E-3</v>
      </c>
      <c r="AE17" s="304">
        <f t="shared" si="15"/>
        <v>0.6</v>
      </c>
      <c r="AF17" s="177">
        <f>(Hp_vg_s-AG17)/(INDEX(Echel_vg,AH17+1)-AG17)</f>
        <v>0.49917291929708063</v>
      </c>
      <c r="AG17" s="799">
        <f>INDEX(Echel_vg,AH17)</f>
        <v>1</v>
      </c>
      <c r="AH17" s="176">
        <f t="shared" si="16"/>
        <v>7</v>
      </c>
      <c r="AI17" s="224">
        <f t="shared" si="17"/>
        <v>1.4991729192970806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45661</v>
      </c>
      <c r="B18" s="409">
        <f>IF(t&gt;Tmaj,'2024'!Wh/'2024'!Env_an*'2025'!Env_an,0.001*'[3]mon-tableau (2)'!$B$245)</f>
        <v>14.332148210412253</v>
      </c>
      <c r="C18" s="829"/>
      <c r="D18" s="391">
        <f t="shared" si="0"/>
        <v>14.939329053493854</v>
      </c>
      <c r="E18" s="383">
        <f t="shared" si="1"/>
        <v>15.491687075197754</v>
      </c>
      <c r="F18" s="383">
        <f t="shared" si="2"/>
        <v>15.498200842424968</v>
      </c>
      <c r="G18" s="110">
        <f t="shared" si="21"/>
        <v>0.53313622956539541</v>
      </c>
      <c r="H18" s="412" t="b">
        <f>Wh_hp&gt;='2024'!Maxi_hp</f>
        <v>0</v>
      </c>
      <c r="I18" s="388">
        <f>IF(H18,Wh_hp,'2024'!Maxi_hp)</f>
        <v>23.787440527034882</v>
      </c>
      <c r="J18" s="85">
        <f>IF(H18,An,'2024'!An_max)</f>
        <v>2021</v>
      </c>
      <c r="K18" s="197">
        <f t="shared" si="3"/>
        <v>45661</v>
      </c>
      <c r="L18" s="147">
        <f>IF(t&lt;Tvie,1-EXP((T0-t)*PertePVj)+'2024'!Pspv,1-EXP((T0-t)*PertePVj)+Pspv)</f>
        <v>4.0643113282226029E-2</v>
      </c>
      <c r="M18" s="832"/>
      <c r="N18" s="832"/>
      <c r="O18" s="48">
        <f>IF(t&lt;Tnet,'2024'!Resal+('2024'!Salim-'2024'!Resal)*(1-EXP(('2024'!Tnet-t)/('2024'!Tau_j))),Resal+(Salim-Resal)*(1-EXP((Tnet-t)/(Tau_j))))*Salcycl</f>
        <v>3.5655123875321937E-2</v>
      </c>
      <c r="P18" s="169">
        <f>(INDEX(Models!$BJ18:$BT18,,T18)*(1-R18)+INDEX(Models!$BJ18:$BT18,,T18+1)*R18-ERP_i)*Q18*Ramure*Pc/MaxiM</f>
        <v>1.2595212371994821E-3</v>
      </c>
      <c r="Q18" s="304">
        <f t="shared" si="4"/>
        <v>0.6</v>
      </c>
      <c r="R18" s="177">
        <f t="shared" si="5"/>
        <v>0.4992046288283758</v>
      </c>
      <c r="S18" s="799">
        <f t="shared" si="6"/>
        <v>1</v>
      </c>
      <c r="T18" s="176">
        <f t="shared" si="7"/>
        <v>7</v>
      </c>
      <c r="U18" s="250">
        <f t="shared" si="8"/>
        <v>1.4992046288283758</v>
      </c>
      <c r="V18" s="382">
        <f t="shared" si="9"/>
        <v>26.860142677775229</v>
      </c>
      <c r="W18" s="400">
        <f t="shared" si="10"/>
        <v>14.332148210412253</v>
      </c>
      <c r="X18" s="157">
        <f t="shared" si="11"/>
        <v>45661</v>
      </c>
      <c r="Y18" s="383">
        <f t="shared" si="12"/>
        <v>13.92069732997906</v>
      </c>
      <c r="Z18" s="383">
        <f>Wh_sa_s*(1-Psa_s)</f>
        <v>14.510447074191156</v>
      </c>
      <c r="AA18" s="384">
        <f t="shared" si="13"/>
        <v>15.491687075197754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6.3339776761794281E-2</v>
      </c>
      <c r="AD18" s="230">
        <f>(INDEX(Models!$BJ18:$BT18,,AH18)*(1-AF18)+INDEX(Models!$BJ18:$BT18,,AH18+1)*AF18-ERP_i)*AE18*Ramure*Pc/MaxiM</f>
        <v>1.2595212371994821E-3</v>
      </c>
      <c r="AE18" s="304">
        <f t="shared" si="15"/>
        <v>0.6</v>
      </c>
      <c r="AF18" s="177">
        <f t="shared" si="23"/>
        <v>0.4992046288283758</v>
      </c>
      <c r="AG18" s="799">
        <f t="shared" si="24"/>
        <v>1</v>
      </c>
      <c r="AH18" s="176">
        <f t="shared" si="16"/>
        <v>7</v>
      </c>
      <c r="AI18" s="224">
        <f t="shared" si="17"/>
        <v>1.4992046288283758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45662</v>
      </c>
      <c r="B19" s="409">
        <f>IF(t&gt;Tmaj,'2024'!Wh/'2024'!Env_an*'2025'!Env_an,0.001*'[3]mon-tableau (2)'!$B$246)</f>
        <v>14.150192948509918</v>
      </c>
      <c r="C19" s="829"/>
      <c r="D19" s="391">
        <f t="shared" si="0"/>
        <v>14.749947944126991</v>
      </c>
      <c r="E19" s="383">
        <f t="shared" si="1"/>
        <v>15.29675173401753</v>
      </c>
      <c r="F19" s="383">
        <f t="shared" si="2"/>
        <v>15.302736617719559</v>
      </c>
      <c r="G19" s="110">
        <f t="shared" si="21"/>
        <v>0.52317435242722687</v>
      </c>
      <c r="H19" s="412" t="b">
        <f>Wh_hp&gt;='2024'!Maxi_hp</f>
        <v>0</v>
      </c>
      <c r="I19" s="388">
        <f>IF(H19,Wh_hp,'2024'!Maxi_hp)</f>
        <v>16.919002934899346</v>
      </c>
      <c r="J19" s="85">
        <f>IF(H19,An,'2024'!An_max)</f>
        <v>2022</v>
      </c>
      <c r="K19" s="197">
        <f t="shared" si="3"/>
        <v>45662</v>
      </c>
      <c r="L19" s="147">
        <f>IF(t&lt;Tvie,1-EXP((T0-t)*PertePVj)+'2024'!Pspv,1-EXP((T0-t)*PertePVj)+Pspv)</f>
        <v>4.0661499138095469E-2</v>
      </c>
      <c r="M19" s="832"/>
      <c r="N19" s="832"/>
      <c r="O19" s="48">
        <f>IF(t&lt;Tnet,'2024'!Resal+('2024'!Salim-'2024'!Resal)*(1-EXP(('2024'!Tnet-t)/('2024'!Tau_j))),Resal+(Salim-Resal)*(1-EXP((Tnet-t)/(Tau_j))))*Salcycl</f>
        <v>3.574639893478402E-2</v>
      </c>
      <c r="P19" s="169">
        <f>(INDEX(Models!$BJ19:$BT19,,T19)*(1-R19)+INDEX(Models!$BJ19:$BT19,,T19+1)*R19-ERP_i)*Q19*Ramure*Pc/MaxiM</f>
        <v>1.2243113415083286E-3</v>
      </c>
      <c r="Q19" s="304">
        <f t="shared" si="4"/>
        <v>0.6</v>
      </c>
      <c r="R19" s="177">
        <f t="shared" si="5"/>
        <v>0.49923766436093731</v>
      </c>
      <c r="S19" s="799">
        <f t="shared" si="6"/>
        <v>1</v>
      </c>
      <c r="T19" s="176">
        <f t="shared" si="7"/>
        <v>7</v>
      </c>
      <c r="U19" s="250">
        <f t="shared" si="8"/>
        <v>1.4992376643609373</v>
      </c>
      <c r="V19" s="382">
        <f t="shared" si="9"/>
        <v>27.024257120826046</v>
      </c>
      <c r="W19" s="400">
        <f t="shared" si="10"/>
        <v>14.150192948509918</v>
      </c>
      <c r="X19" s="157">
        <f t="shared" si="11"/>
        <v>45662</v>
      </c>
      <c r="Y19" s="383">
        <f t="shared" si="12"/>
        <v>13.744404501550457</v>
      </c>
      <c r="Z19" s="383">
        <f t="shared" si="22"/>
        <v>14.326960180584836</v>
      </c>
      <c r="AA19" s="384">
        <f t="shared" si="13"/>
        <v>15.29675173401753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6.3398528674295726E-2</v>
      </c>
      <c r="AD19" s="230">
        <f>(INDEX(Models!$BJ19:$BT19,,AH19)*(1-AF19)+INDEX(Models!$BJ19:$BT19,,AH19+1)*AF19-ERP_i)*AE19*Ramure*Pc/MaxiM</f>
        <v>1.2243113415083286E-3</v>
      </c>
      <c r="AE19" s="304">
        <f t="shared" si="15"/>
        <v>0.6</v>
      </c>
      <c r="AF19" s="177">
        <f t="shared" si="23"/>
        <v>0.49923766436093731</v>
      </c>
      <c r="AG19" s="799">
        <f t="shared" si="24"/>
        <v>1</v>
      </c>
      <c r="AH19" s="176">
        <f t="shared" si="16"/>
        <v>7</v>
      </c>
      <c r="AI19" s="224">
        <f t="shared" si="17"/>
        <v>1.4992376643609373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45663</v>
      </c>
      <c r="B20" s="409">
        <f>IF(t&gt;Tmaj,'2024'!Wh/'2024'!Env_an*'2025'!Env_an,0.001*'[3]mon-tableau (2)'!$B$247)</f>
        <v>4.646969464571602</v>
      </c>
      <c r="C20" s="829"/>
      <c r="D20" s="391">
        <f t="shared" si="0"/>
        <v>4.8440237937005257</v>
      </c>
      <c r="E20" s="383">
        <f t="shared" si="1"/>
        <v>5.0240746773666176</v>
      </c>
      <c r="F20" s="383">
        <f t="shared" si="2"/>
        <v>5.0240746773666176</v>
      </c>
      <c r="G20" s="110">
        <f t="shared" si="21"/>
        <v>0.1706595282695047</v>
      </c>
      <c r="H20" s="412" t="b">
        <f>Wh_hp&gt;='2024'!Maxi_hp</f>
        <v>0</v>
      </c>
      <c r="I20" s="388">
        <f>IF(H20,Wh_hp,'2024'!Maxi_hp)</f>
        <v>29.950318368832068</v>
      </c>
      <c r="J20" s="85">
        <f>IF(H20,An,'2024'!An_max)</f>
        <v>2020</v>
      </c>
      <c r="K20" s="197">
        <f t="shared" si="3"/>
        <v>45663</v>
      </c>
      <c r="L20" s="147">
        <f>IF(t&lt;Tvie,1-EXP((T0-t)*PertePVj)+'2024'!Pspv,1-EXP((T0-t)*PertePVj)+Pspv)</f>
        <v>4.0679884641604214E-2</v>
      </c>
      <c r="M20" s="832"/>
      <c r="N20" s="832"/>
      <c r="O20" s="48">
        <f>IF(t&lt;Tnet,'2024'!Resal+('2024'!Salim-'2024'!Resal)*(1-EXP(('2024'!Tnet-t)/('2024'!Tau_j))),Resal+(Salim-Resal)*(1-EXP((Tnet-t)/(Tau_j))))*Salcycl</f>
        <v>3.5837620901062364E-2</v>
      </c>
      <c r="P20" s="169">
        <f>(INDEX(Models!$BJ20:$BT20,,T20)*(1-R20)+INDEX(Models!$BJ20:$BT20,,T20+1)*R20-ERP_i)*Q20*Ramure*Pc/MaxiM</f>
        <v>1.1870199165631287E-3</v>
      </c>
      <c r="Q20" s="304">
        <f t="shared" si="4"/>
        <v>0.6</v>
      </c>
      <c r="R20" s="177">
        <f t="shared" si="5"/>
        <v>0.49927208115768806</v>
      </c>
      <c r="S20" s="799">
        <f t="shared" si="6"/>
        <v>1</v>
      </c>
      <c r="T20" s="176">
        <f t="shared" si="7"/>
        <v>7</v>
      </c>
      <c r="U20" s="250">
        <f t="shared" si="8"/>
        <v>1.4992720811576881</v>
      </c>
      <c r="V20" s="382">
        <f t="shared" si="9"/>
        <v>27.197153691505193</v>
      </c>
      <c r="W20" s="400">
        <f t="shared" si="10"/>
        <v>4.646969464571602</v>
      </c>
      <c r="X20" s="157">
        <f t="shared" si="11"/>
        <v>45663</v>
      </c>
      <c r="Y20" s="383">
        <f t="shared" si="12"/>
        <v>4.5138509579430632</v>
      </c>
      <c r="Z20" s="383">
        <f t="shared" si="22"/>
        <v>4.7052604085725003</v>
      </c>
      <c r="AA20" s="384">
        <f t="shared" si="13"/>
        <v>5.0240746773666176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6.3457310901522068E-2</v>
      </c>
      <c r="AD20" s="230">
        <f>(INDEX(Models!$BJ20:$BT20,,AH20)*(1-AF20)+INDEX(Models!$BJ20:$BT20,,AH20+1)*AF20-ERP_i)*AE20*Ramure*Pc/MaxiM</f>
        <v>1.1870199165631287E-3</v>
      </c>
      <c r="AE20" s="304">
        <f t="shared" si="15"/>
        <v>0.6</v>
      </c>
      <c r="AF20" s="177">
        <f t="shared" si="23"/>
        <v>0.49927208115768806</v>
      </c>
      <c r="AG20" s="799">
        <f t="shared" si="24"/>
        <v>1</v>
      </c>
      <c r="AH20" s="176">
        <f t="shared" si="16"/>
        <v>7</v>
      </c>
      <c r="AI20" s="224">
        <f t="shared" si="17"/>
        <v>1.4992720811576881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45664</v>
      </c>
      <c r="B21" s="409">
        <f>IF(t&gt;Tmaj,'2024'!Wh/'2024'!Env_an*'2025'!Env_an,0.001*'[3]mon-tableau (2)'!$B$248)</f>
        <v>17.967222456815868</v>
      </c>
      <c r="C21" s="829"/>
      <c r="D21" s="391">
        <f t="shared" si="0"/>
        <v>18.729479882137134</v>
      </c>
      <c r="E21" s="383">
        <f t="shared" si="1"/>
        <v>19.427485845943863</v>
      </c>
      <c r="F21" s="383">
        <f t="shared" si="2"/>
        <v>19.438840241102071</v>
      </c>
      <c r="G21" s="110">
        <f t="shared" si="21"/>
        <v>0.65587972957116158</v>
      </c>
      <c r="H21" s="412" t="b">
        <f>Wh_hp&gt;='2024'!Maxi_hp</f>
        <v>0</v>
      </c>
      <c r="I21" s="388">
        <f>IF(H21,Wh_hp,'2024'!Maxi_hp)</f>
        <v>19.444347736940536</v>
      </c>
      <c r="J21" s="85">
        <f>IF(H21,An,'2024'!An_max)</f>
        <v>2023</v>
      </c>
      <c r="K21" s="197">
        <f t="shared" si="3"/>
        <v>45664</v>
      </c>
      <c r="L21" s="147">
        <f>IF(t&lt;Tvie,1-EXP((T0-t)*PertePVj)+'2024'!Pspv,1-EXP((T0-t)*PertePVj)+Pspv)</f>
        <v>4.0698269792758923E-2</v>
      </c>
      <c r="M21" s="832"/>
      <c r="N21" s="832"/>
      <c r="O21" s="48">
        <f>IF(t&lt;Tnet,'2024'!Resal+('2024'!Salim-'2024'!Resal)*(1-EXP(('2024'!Tnet-t)/('2024'!Tau_j))),Resal+(Salim-Resal)*(1-EXP((Tnet-t)/(Tau_j))))*Salcycl</f>
        <v>3.5928785090452747E-2</v>
      </c>
      <c r="P21" s="169">
        <f>(INDEX(Models!$BJ21:$BT21,,T21)*(1-R21)+INDEX(Models!$BJ21:$BT21,,T21+1)*R21-ERP_i)*Q21*Ramure*Pc/MaxiM</f>
        <v>1.1477228909023832E-3</v>
      </c>
      <c r="Q21" s="304">
        <f t="shared" si="4"/>
        <v>0.6</v>
      </c>
      <c r="R21" s="177">
        <f t="shared" si="5"/>
        <v>0.49930793676875118</v>
      </c>
      <c r="S21" s="799">
        <f t="shared" si="6"/>
        <v>1</v>
      </c>
      <c r="T21" s="176">
        <f t="shared" si="7"/>
        <v>7</v>
      </c>
      <c r="U21" s="250">
        <f t="shared" si="8"/>
        <v>1.4993079367687512</v>
      </c>
      <c r="V21" s="382">
        <f t="shared" si="9"/>
        <v>27.378632311177508</v>
      </c>
      <c r="W21" s="400">
        <f t="shared" si="10"/>
        <v>17.967222456815868</v>
      </c>
      <c r="X21" s="157">
        <f t="shared" si="11"/>
        <v>45664</v>
      </c>
      <c r="Y21" s="383">
        <f t="shared" si="12"/>
        <v>17.453082342375279</v>
      </c>
      <c r="Z21" s="383">
        <f t="shared" si="22"/>
        <v>18.193527430212008</v>
      </c>
      <c r="AA21" s="384">
        <f t="shared" si="13"/>
        <v>19.427485845943863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6.3516114515120639E-2</v>
      </c>
      <c r="AD21" s="230">
        <f>(INDEX(Models!$BJ21:$BT21,,AH21)*(1-AF21)+INDEX(Models!$BJ21:$BT21,,AH21+1)*AF21-ERP_i)*AE21*Ramure*Pc/MaxiM</f>
        <v>1.1477228909023832E-3</v>
      </c>
      <c r="AE21" s="304">
        <f t="shared" si="15"/>
        <v>0.6</v>
      </c>
      <c r="AF21" s="177">
        <f t="shared" si="23"/>
        <v>0.49930793676875118</v>
      </c>
      <c r="AG21" s="799">
        <f t="shared" si="24"/>
        <v>1</v>
      </c>
      <c r="AH21" s="176">
        <f t="shared" si="16"/>
        <v>7</v>
      </c>
      <c r="AI21" s="224">
        <f t="shared" si="17"/>
        <v>1.4993079367687512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45665</v>
      </c>
      <c r="B22" s="409">
        <f>IF(t&gt;Tmaj,'2024'!Wh/'2024'!Env_an*'2025'!Env_an,0.001*'[3]mon-tableau (2)'!$B$249)</f>
        <v>6.7094268752821202</v>
      </c>
      <c r="C22" s="829"/>
      <c r="D22" s="391">
        <f t="shared" si="0"/>
        <v>6.9942076107090667</v>
      </c>
      <c r="E22" s="383">
        <f t="shared" si="1"/>
        <v>7.2555517708616115</v>
      </c>
      <c r="F22" s="383">
        <f t="shared" si="2"/>
        <v>7.2555517708616115</v>
      </c>
      <c r="G22" s="110">
        <f t="shared" si="21"/>
        <v>0.24310370979018042</v>
      </c>
      <c r="H22" s="412" t="b">
        <f>Wh_hp&gt;='2024'!Maxi_hp</f>
        <v>0</v>
      </c>
      <c r="I22" s="388">
        <f>IF(H22,Wh_hp,'2024'!Maxi_hp)</f>
        <v>23.032683038014351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4.0716654591566481E-2</v>
      </c>
      <c r="M22" s="832"/>
      <c r="N22" s="832"/>
      <c r="O22" s="48">
        <f>IF(t&lt;Tnet,'2024'!Resal+('2024'!Salim-'2024'!Resal)*(1-EXP(('2024'!Tnet-t)/('2024'!Tau_j))),Resal+(Salim-Resal)*(1-EXP((Tnet-t)/(Tau_j))))*Salcycl</f>
        <v>3.6019887722682338E-2</v>
      </c>
      <c r="P22" s="169">
        <f>(INDEX(Models!$BJ22:$BT22,,T22)*(1-R22)+INDEX(Models!$BJ22:$BT22,,T22+1)*R22-ERP_i)*Q22*Ramure*Pc/MaxiM</f>
        <v>1.10649775223249E-3</v>
      </c>
      <c r="Q22" s="304">
        <f t="shared" si="4"/>
        <v>0.6</v>
      </c>
      <c r="R22" s="177">
        <f t="shared" si="5"/>
        <v>0.49934529112474846</v>
      </c>
      <c r="S22" s="799">
        <f t="shared" si="6"/>
        <v>1</v>
      </c>
      <c r="T22" s="176">
        <f t="shared" si="7"/>
        <v>7</v>
      </c>
      <c r="U22" s="250">
        <f t="shared" si="8"/>
        <v>1.4993452911247485</v>
      </c>
      <c r="V22" s="382">
        <f t="shared" si="9"/>
        <v>27.568492950232073</v>
      </c>
      <c r="W22" s="400">
        <f t="shared" si="10"/>
        <v>6.7094268752821202</v>
      </c>
      <c r="X22" s="157">
        <f t="shared" si="11"/>
        <v>45665</v>
      </c>
      <c r="Y22" s="383">
        <f t="shared" si="12"/>
        <v>6.517640183943084</v>
      </c>
      <c r="Z22" s="383">
        <f t="shared" si="22"/>
        <v>6.7942805586477393</v>
      </c>
      <c r="AA22" s="384">
        <f t="shared" si="13"/>
        <v>7.2555517708616115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6.3574932242416476E-2</v>
      </c>
      <c r="AD22" s="230">
        <f>(INDEX(Models!$BJ22:$BT22,,AH22)*(1-AF22)+INDEX(Models!$BJ22:$BT22,,AH22+1)*AF22-ERP_i)*AE22*Ramure*Pc/MaxiM</f>
        <v>1.10649775223249E-3</v>
      </c>
      <c r="AE22" s="304">
        <f t="shared" si="15"/>
        <v>0.6</v>
      </c>
      <c r="AF22" s="177">
        <f t="shared" si="23"/>
        <v>0.49934529112474846</v>
      </c>
      <c r="AG22" s="799">
        <f t="shared" si="24"/>
        <v>1</v>
      </c>
      <c r="AH22" s="176">
        <f t="shared" si="16"/>
        <v>7</v>
      </c>
      <c r="AI22" s="224">
        <f t="shared" si="17"/>
        <v>1.4993452911247485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45666</v>
      </c>
      <c r="B23" s="409">
        <f>IF(t&gt;Tmaj,'2024'!Wh/'2024'!Env_an*'2025'!Env_an,0.001*'[3]mon-tableau (2)'!$B$250)</f>
        <v>8.5862722281178119</v>
      </c>
      <c r="C23" s="829"/>
      <c r="D23" s="391">
        <f t="shared" si="0"/>
        <v>8.9508869577674961</v>
      </c>
      <c r="E23" s="383">
        <f t="shared" si="1"/>
        <v>9.286220995818141</v>
      </c>
      <c r="F23" s="383">
        <f t="shared" si="2"/>
        <v>9.2863508337161385</v>
      </c>
      <c r="G23" s="110">
        <f t="shared" si="21"/>
        <v>0.30887972846193518</v>
      </c>
      <c r="H23" s="412" t="b">
        <f>Wh_hp&gt;='2024'!Maxi_hp</f>
        <v>0</v>
      </c>
      <c r="I23" s="388">
        <f>IF(H23,Wh_hp,'2024'!Maxi_hp)</f>
        <v>29.267673438612903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4.0735039038033549E-2</v>
      </c>
      <c r="M23" s="832"/>
      <c r="N23" s="832"/>
      <c r="O23" s="48">
        <f>IF(t&lt;Tnet,'2024'!Resal+('2024'!Salim-'2024'!Resal)*(1-EXP(('2024'!Tnet-t)/('2024'!Tau_j))),Resal+(Salim-Resal)*(1-EXP((Tnet-t)/(Tau_j))))*Salcycl</f>
        <v>3.6110925876269372E-2</v>
      </c>
      <c r="P23" s="169">
        <f>(INDEX(Models!$BJ23:$BT23,,T23)*(1-R23)+INDEX(Models!$BJ23:$BT23,,T23+1)*R23-ERP_i)*Q23*Ramure*Pc/MaxiM</f>
        <v>1.0633311982939434E-3</v>
      </c>
      <c r="Q23" s="304">
        <f t="shared" si="4"/>
        <v>0.6</v>
      </c>
      <c r="R23" s="177">
        <f t="shared" si="5"/>
        <v>0.49938420663378347</v>
      </c>
      <c r="S23" s="799">
        <f t="shared" si="6"/>
        <v>1</v>
      </c>
      <c r="T23" s="176">
        <f t="shared" si="7"/>
        <v>7</v>
      </c>
      <c r="U23" s="250">
        <f t="shared" si="8"/>
        <v>1.4993842066337835</v>
      </c>
      <c r="V23" s="382">
        <f t="shared" si="9"/>
        <v>27.768938231735252</v>
      </c>
      <c r="W23" s="400">
        <f t="shared" si="10"/>
        <v>8.5862722281178119</v>
      </c>
      <c r="X23" s="157">
        <f t="shared" si="11"/>
        <v>45666</v>
      </c>
      <c r="Y23" s="383">
        <f t="shared" si="12"/>
        <v>8.3411003108723367</v>
      </c>
      <c r="Z23" s="383">
        <f t="shared" si="22"/>
        <v>8.6953038527621676</v>
      </c>
      <c r="AA23" s="384">
        <f t="shared" si="13"/>
        <v>9.286220995818141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6.3633758374055549E-2</v>
      </c>
      <c r="AD23" s="230">
        <f>(INDEX(Models!$BJ23:$BT23,,AH23)*(1-AF23)+INDEX(Models!$BJ23:$BT23,,AH23+1)*AF23-ERP_i)*AE23*Ramure*Pc/MaxiM</f>
        <v>1.0633311982939434E-3</v>
      </c>
      <c r="AE23" s="304">
        <f t="shared" si="15"/>
        <v>0.6</v>
      </c>
      <c r="AF23" s="177">
        <f t="shared" si="23"/>
        <v>0.49938420663378347</v>
      </c>
      <c r="AG23" s="799">
        <f t="shared" si="24"/>
        <v>1</v>
      </c>
      <c r="AH23" s="176">
        <f t="shared" si="16"/>
        <v>7</v>
      </c>
      <c r="AI23" s="224">
        <f t="shared" si="17"/>
        <v>1.4993842066337835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45667</v>
      </c>
      <c r="B24" s="409">
        <f>IF(t&gt;Tmaj,'2024'!Wh/'2024'!Env_an*'2025'!Env_an,0.001*'[3]mon-tableau (2)'!$B$251)</f>
        <v>24.483605709208813</v>
      </c>
      <c r="C24" s="829"/>
      <c r="D24" s="391">
        <f t="shared" si="0"/>
        <v>25.523787417781126</v>
      </c>
      <c r="E24" s="383">
        <f t="shared" si="1"/>
        <v>26.482504323169398</v>
      </c>
      <c r="F24" s="383">
        <f t="shared" si="2"/>
        <v>26.504660801846402</v>
      </c>
      <c r="G24" s="110">
        <f t="shared" si="21"/>
        <v>0.87482595976675248</v>
      </c>
      <c r="H24" s="412" t="b">
        <f>Wh_hp&gt;='2024'!Maxi_hp</f>
        <v>0</v>
      </c>
      <c r="I24" s="388">
        <f>IF(H24,Wh_hp,'2024'!Maxi_hp)</f>
        <v>26.507126301272365</v>
      </c>
      <c r="J24" s="85">
        <f>IF(H24,An,'2024'!An_max)</f>
        <v>2023</v>
      </c>
      <c r="K24" s="197">
        <f t="shared" si="3"/>
        <v>45667</v>
      </c>
      <c r="L24" s="147">
        <f>IF(t&lt;Tvie,1-EXP((T0-t)*PertePVj)+'2024'!Pspv,1-EXP((T0-t)*PertePVj)+Pspv)</f>
        <v>4.0753423132166899E-2</v>
      </c>
      <c r="M24" s="832"/>
      <c r="N24" s="832"/>
      <c r="O24" s="48">
        <f>IF(t&lt;Tnet,'2024'!Resal+('2024'!Salim-'2024'!Resal)*(1-EXP(('2024'!Tnet-t)/('2024'!Tau_j))),Resal+(Salim-Resal)*(1-EXP((Tnet-t)/(Tau_j))))*Salcycl</f>
        <v>3.6201897437226023E-2</v>
      </c>
      <c r="P24" s="169">
        <f>(INDEX(Models!$BJ24:$BT24,,T24)*(1-R24)+INDEX(Models!$BJ24:$BT24,,T24+1)*R24-ERP_i)*Q24*Ramure*Pc/MaxiM</f>
        <v>1.0177003392645453E-3</v>
      </c>
      <c r="Q24" s="304">
        <f t="shared" si="4"/>
        <v>0.6</v>
      </c>
      <c r="R24" s="177">
        <f t="shared" si="5"/>
        <v>0.49942474828225314</v>
      </c>
      <c r="S24" s="799">
        <f t="shared" si="6"/>
        <v>1</v>
      </c>
      <c r="T24" s="176">
        <f t="shared" si="7"/>
        <v>7</v>
      </c>
      <c r="U24" s="250">
        <f t="shared" si="8"/>
        <v>1.4994247482822531</v>
      </c>
      <c r="V24" s="382">
        <f t="shared" si="9"/>
        <v>27.981739366263096</v>
      </c>
      <c r="W24" s="400">
        <f t="shared" si="10"/>
        <v>24.483605709208813</v>
      </c>
      <c r="X24" s="157">
        <f t="shared" si="11"/>
        <v>45667</v>
      </c>
      <c r="Y24" s="383">
        <f t="shared" si="12"/>
        <v>23.785252762875604</v>
      </c>
      <c r="Z24" s="383">
        <f t="shared" si="22"/>
        <v>24.795765068602151</v>
      </c>
      <c r="AA24" s="384">
        <f t="shared" si="13"/>
        <v>26.482504323169398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6.3692588660941934E-2</v>
      </c>
      <c r="AD24" s="230">
        <f>(INDEX(Models!$BJ24:$BT24,,AH24)*(1-AF24)+INDEX(Models!$BJ24:$BT24,,AH24+1)*AF24-ERP_i)*AE24*Ramure*Pc/MaxiM</f>
        <v>1.0177003392645453E-3</v>
      </c>
      <c r="AE24" s="304">
        <f t="shared" si="15"/>
        <v>0.6</v>
      </c>
      <c r="AF24" s="177">
        <f t="shared" si="23"/>
        <v>0.49942474828225314</v>
      </c>
      <c r="AG24" s="799">
        <f t="shared" si="24"/>
        <v>1</v>
      </c>
      <c r="AH24" s="176">
        <f t="shared" si="16"/>
        <v>7</v>
      </c>
      <c r="AI24" s="224">
        <f t="shared" si="17"/>
        <v>1.4994247482822531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45668</v>
      </c>
      <c r="B25" s="409">
        <f>IF(t&gt;Tmaj,'2024'!Wh/'2024'!Env_an*'2025'!Env_an,0.001*'[3]mon-tableau (2)'!$B$252)</f>
        <v>4.45233930605536</v>
      </c>
      <c r="C25" s="829"/>
      <c r="D25" s="391">
        <f t="shared" si="0"/>
        <v>4.6415851180787762</v>
      </c>
      <c r="E25" s="383">
        <f t="shared" si="1"/>
        <v>4.8163852289332594</v>
      </c>
      <c r="F25" s="383">
        <f t="shared" si="2"/>
        <v>4.8163852289332594</v>
      </c>
      <c r="G25" s="110">
        <f t="shared" si="21"/>
        <v>0.15769756336603416</v>
      </c>
      <c r="H25" s="412" t="b">
        <f>Wh_hp&gt;='2024'!Maxi_hp</f>
        <v>0</v>
      </c>
      <c r="I25" s="388">
        <f>IF(H25,Wh_hp,'2024'!Maxi_hp)</f>
        <v>29.842314321550671</v>
      </c>
      <c r="J25" s="85">
        <f>IF(H25,An,'2024'!An_max)</f>
        <v>2020</v>
      </c>
      <c r="K25" s="197">
        <f t="shared" si="3"/>
        <v>45668</v>
      </c>
      <c r="L25" s="147">
        <f>IF(t&lt;Tvie,1-EXP((T0-t)*PertePVj)+'2024'!Pspv,1-EXP((T0-t)*PertePVj)+Pspv)</f>
        <v>4.0771806873973193E-2</v>
      </c>
      <c r="M25" s="832"/>
      <c r="N25" s="832"/>
      <c r="O25" s="48">
        <f>IF(t&lt;Tnet,'2024'!Resal+('2024'!Salim-'2024'!Resal)*(1-EXP(('2024'!Tnet-t)/('2024'!Tau_j))),Resal+(Salim-Resal)*(1-EXP((Tnet-t)/(Tau_j))))*Salcycl</f>
        <v>3.6292801041829845E-2</v>
      </c>
      <c r="P25" s="169">
        <f>(INDEX(Models!$BJ25:$BT25,,T25)*(1-R25)+INDEX(Models!$BJ25:$BT25,,T25+1)*R25-ERP_i)*Q25*Ramure*Pc/MaxiM</f>
        <v>9.704296692398097E-4</v>
      </c>
      <c r="Q25" s="304">
        <f t="shared" si="4"/>
        <v>0.6</v>
      </c>
      <c r="R25" s="177">
        <f t="shared" si="5"/>
        <v>0.49946698373961906</v>
      </c>
      <c r="S25" s="799">
        <f t="shared" si="6"/>
        <v>1</v>
      </c>
      <c r="T25" s="176">
        <f t="shared" si="7"/>
        <v>7</v>
      </c>
      <c r="U25" s="250">
        <f t="shared" si="8"/>
        <v>1.4994669837396191</v>
      </c>
      <c r="V25" s="382">
        <f t="shared" si="9"/>
        <v>28.206007302540748</v>
      </c>
      <c r="W25" s="400">
        <f t="shared" si="10"/>
        <v>4.45233930605536</v>
      </c>
      <c r="X25" s="157">
        <f t="shared" si="11"/>
        <v>45668</v>
      </c>
      <c r="Y25" s="383">
        <f t="shared" si="12"/>
        <v>4.3254801422882583</v>
      </c>
      <c r="Z25" s="383">
        <f t="shared" si="22"/>
        <v>4.5093338303495436</v>
      </c>
      <c r="AA25" s="384">
        <f t="shared" si="13"/>
        <v>4.8163852289332594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6.3751420201851663E-2</v>
      </c>
      <c r="AD25" s="230">
        <f>(INDEX(Models!$BJ25:$BT25,,AH25)*(1-AF25)+INDEX(Models!$BJ25:$BT25,,AH25+1)*AF25-ERP_i)*AE25*Ramure*Pc/MaxiM</f>
        <v>9.704296692398097E-4</v>
      </c>
      <c r="AE25" s="304">
        <f t="shared" si="15"/>
        <v>0.6</v>
      </c>
      <c r="AF25" s="177">
        <f t="shared" si="23"/>
        <v>0.49946698373961906</v>
      </c>
      <c r="AG25" s="799">
        <f t="shared" si="24"/>
        <v>1</v>
      </c>
      <c r="AH25" s="176">
        <f t="shared" si="16"/>
        <v>7</v>
      </c>
      <c r="AI25" s="224">
        <f t="shared" si="17"/>
        <v>1.4994669837396191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45669</v>
      </c>
      <c r="B26" s="409">
        <f>IF(t&gt;Tmaj,'2024'!Wh/'2024'!Env_an*'2025'!Env_an,0.001*'[3]mon-tableau (2)'!$B$253)</f>
        <v>23.800419571704932</v>
      </c>
      <c r="C26" s="829"/>
      <c r="D26" s="391">
        <f t="shared" si="0"/>
        <v>24.812527280389286</v>
      </c>
      <c r="E26" s="383">
        <f t="shared" si="1"/>
        <v>25.749383476384981</v>
      </c>
      <c r="F26" s="383">
        <f t="shared" si="2"/>
        <v>25.767596448147891</v>
      </c>
      <c r="G26" s="110">
        <f t="shared" si="21"/>
        <v>0.8366586835117934</v>
      </c>
      <c r="H26" s="412" t="b">
        <f>Wh_hp&gt;='2024'!Maxi_hp</f>
        <v>0</v>
      </c>
      <c r="I26" s="388">
        <f>IF(H26,Wh_hp,'2024'!Maxi_hp)</f>
        <v>31.06915900574295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4.0790190263459314E-2</v>
      </c>
      <c r="M26" s="832"/>
      <c r="N26" s="832"/>
      <c r="O26" s="48">
        <f>IF(t&lt;Tnet,'2024'!Resal+('2024'!Salim-'2024'!Resal)*(1-EXP(('2024'!Tnet-t)/('2024'!Tau_j))),Resal+(Salim-Resal)*(1-EXP((Tnet-t)/(Tau_j))))*Salcycl</f>
        <v>3.6383636014232897E-2</v>
      </c>
      <c r="P26" s="169">
        <f>(INDEX(Models!$BJ26:$BT26,,T26)*(1-R26)+INDEX(Models!$BJ26:$BT26,,T26+1)*R26-ERP_i)*Q26*Ramure*Pc/MaxiM</f>
        <v>9.2163980380982266E-4</v>
      </c>
      <c r="Q26" s="304">
        <f t="shared" si="4"/>
        <v>0.6</v>
      </c>
      <c r="R26" s="177">
        <f t="shared" si="5"/>
        <v>0.49951098346729017</v>
      </c>
      <c r="S26" s="799">
        <f t="shared" si="6"/>
        <v>1</v>
      </c>
      <c r="T26" s="176">
        <f t="shared" si="7"/>
        <v>7</v>
      </c>
      <c r="U26" s="250">
        <f t="shared" si="8"/>
        <v>1.4995109834672902</v>
      </c>
      <c r="V26" s="382">
        <f t="shared" si="9"/>
        <v>28.440872661892527</v>
      </c>
      <c r="W26" s="400">
        <f t="shared" si="10"/>
        <v>23.800419571704932</v>
      </c>
      <c r="X26" s="157">
        <f t="shared" si="11"/>
        <v>45669</v>
      </c>
      <c r="Y26" s="383">
        <f t="shared" si="12"/>
        <v>23.123007920989213</v>
      </c>
      <c r="Z26" s="383">
        <f t="shared" si="22"/>
        <v>24.106308845340358</v>
      </c>
      <c r="AA26" s="384">
        <f t="shared" si="13"/>
        <v>25.749383476384981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6.381025132316287E-2</v>
      </c>
      <c r="AD26" s="230">
        <f>(INDEX(Models!$BJ26:$BT26,,AH26)*(1-AF26)+INDEX(Models!$BJ26:$BT26,,AH26+1)*AF26-ERP_i)*AE26*Ramure*Pc/MaxiM</f>
        <v>9.2163980380982266E-4</v>
      </c>
      <c r="AE26" s="304">
        <f t="shared" si="15"/>
        <v>0.6</v>
      </c>
      <c r="AF26" s="177">
        <f t="shared" si="23"/>
        <v>0.49951098346729017</v>
      </c>
      <c r="AG26" s="799">
        <f t="shared" si="24"/>
        <v>1</v>
      </c>
      <c r="AH26" s="176">
        <f t="shared" si="16"/>
        <v>7</v>
      </c>
      <c r="AI26" s="224">
        <f t="shared" si="17"/>
        <v>1.4995109834672902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45670</v>
      </c>
      <c r="B27" s="409">
        <f>IF(t&gt;Tmaj,'2024'!Wh/'2024'!Env_an*'2025'!Env_an,0.001*'[3]mon-tableau (2)'!$B$254)</f>
        <v>13.457550009432712</v>
      </c>
      <c r="C27" s="829"/>
      <c r="D27" s="391">
        <f t="shared" si="0"/>
        <v>14.03009830450727</v>
      </c>
      <c r="E27" s="383">
        <f t="shared" si="1"/>
        <v>14.561209726024796</v>
      </c>
      <c r="F27" s="383">
        <f t="shared" si="2"/>
        <v>14.564276502082418</v>
      </c>
      <c r="G27" s="110">
        <f t="shared" si="21"/>
        <v>0.46883164302486446</v>
      </c>
      <c r="H27" s="412" t="b">
        <f>Wh_hp&gt;='2024'!Maxi_hp</f>
        <v>0</v>
      </c>
      <c r="I27" s="388">
        <f>IF(H27,Wh_hp,'2024'!Maxi_hp)</f>
        <v>16.623085463395078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4.0808573300632034E-2</v>
      </c>
      <c r="M27" s="832"/>
      <c r="N27" s="832"/>
      <c r="O27" s="48">
        <f>IF(t&lt;Tnet,'2024'!Resal+('2024'!Salim-'2024'!Resal)*(1-EXP(('2024'!Tnet-t)/('2024'!Tau_j))),Resal+(Salim-Resal)*(1-EXP((Tnet-t)/(Tau_j))))*Salcycl</f>
        <v>3.647440229971316E-2</v>
      </c>
      <c r="P27" s="169">
        <f>(INDEX(Models!$BJ27:$BT27,,T27)*(1-R27)+INDEX(Models!$BJ27:$BT27,,T27+1)*R27-ERP_i)*Q27*Ramure*Pc/MaxiM</f>
        <v>8.7144575769466546E-4</v>
      </c>
      <c r="Q27" s="304">
        <f t="shared" si="4"/>
        <v>0.6</v>
      </c>
      <c r="R27" s="177">
        <f t="shared" si="5"/>
        <v>0.49955682083175934</v>
      </c>
      <c r="S27" s="799">
        <f t="shared" si="6"/>
        <v>1</v>
      </c>
      <c r="T27" s="176">
        <f t="shared" si="7"/>
        <v>7</v>
      </c>
      <c r="U27" s="250">
        <f t="shared" si="8"/>
        <v>1.4995568208317593</v>
      </c>
      <c r="V27" s="382">
        <f t="shared" si="9"/>
        <v>28.685466405615898</v>
      </c>
      <c r="W27" s="400">
        <f t="shared" si="10"/>
        <v>13.457550009432712</v>
      </c>
      <c r="X27" s="157">
        <f t="shared" si="11"/>
        <v>45670</v>
      </c>
      <c r="Y27" s="383">
        <f t="shared" si="12"/>
        <v>13.074928867278642</v>
      </c>
      <c r="Z27" s="383">
        <f t="shared" si="22"/>
        <v>13.631198635990954</v>
      </c>
      <c r="AA27" s="384">
        <f t="shared" si="13"/>
        <v>14.561209726024796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6.3869081452186088E-2</v>
      </c>
      <c r="AD27" s="230">
        <f>(INDEX(Models!$BJ27:$BT27,,AH27)*(1-AF27)+INDEX(Models!$BJ27:$BT27,,AH27+1)*AF27-ERP_i)*AE27*Ramure*Pc/MaxiM</f>
        <v>8.7144575769466546E-4</v>
      </c>
      <c r="AE27" s="304">
        <f t="shared" si="15"/>
        <v>0.6</v>
      </c>
      <c r="AF27" s="177">
        <f t="shared" si="23"/>
        <v>0.49955682083175934</v>
      </c>
      <c r="AG27" s="799">
        <f t="shared" si="24"/>
        <v>1</v>
      </c>
      <c r="AH27" s="176">
        <f t="shared" si="16"/>
        <v>7</v>
      </c>
      <c r="AI27" s="224">
        <f t="shared" si="17"/>
        <v>1.4995568208317593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45671</v>
      </c>
      <c r="B28" s="409">
        <f>IF(t&gt;Tmaj,'2024'!Wh/'2024'!Env_an*'2025'!Env_an,0.001*'[3]mon-tableau (2)'!$B$255)</f>
        <v>18.171658864480779</v>
      </c>
      <c r="C28" s="829"/>
      <c r="D28" s="391">
        <f t="shared" si="0"/>
        <v>18.945130889443593</v>
      </c>
      <c r="E28" s="383">
        <f t="shared" si="1"/>
        <v>19.664152603563714</v>
      </c>
      <c r="F28" s="383">
        <f t="shared" si="2"/>
        <v>19.671709054395635</v>
      </c>
      <c r="G28" s="110">
        <f t="shared" si="21"/>
        <v>0.62765770715853764</v>
      </c>
      <c r="H28" s="412" t="b">
        <f>Wh_hp&gt;='2024'!Maxi_hp</f>
        <v>0</v>
      </c>
      <c r="I28" s="388">
        <f>IF(H28,Wh_hp,'2024'!Maxi_hp)</f>
        <v>31.753841494972857</v>
      </c>
      <c r="J28" s="85">
        <f>IF(H28,An,'2024'!An_max)</f>
        <v>2022</v>
      </c>
      <c r="K28" s="197">
        <f t="shared" si="3"/>
        <v>45671</v>
      </c>
      <c r="L28" s="147">
        <f>IF(t&lt;Tvie,1-EXP((T0-t)*PertePVj)+'2024'!Pspv,1-EXP((T0-t)*PertePVj)+Pspv)</f>
        <v>4.0826955985498015E-2</v>
      </c>
      <c r="M28" s="832"/>
      <c r="N28" s="832"/>
      <c r="O28" s="48">
        <f>IF(t&lt;Tnet,'2024'!Resal+('2024'!Salim-'2024'!Resal)*(1-EXP(('2024'!Tnet-t)/('2024'!Tau_j))),Resal+(Salim-Resal)*(1-EXP((Tnet-t)/(Tau_j))))*Salcycl</f>
        <v>3.6565100394400522E-2</v>
      </c>
      <c r="P28" s="169">
        <f>(INDEX(Models!$BJ28:$BT28,,T28)*(1-R28)+INDEX(Models!$BJ28:$BT28,,T28+1)*R28-ERP_i)*Q28*Ramure*Pc/MaxiM</f>
        <v>8.199562784623678E-4</v>
      </c>
      <c r="Q28" s="304">
        <f t="shared" si="4"/>
        <v>0.6</v>
      </c>
      <c r="R28" s="177">
        <f t="shared" si="5"/>
        <v>0.49960457222214893</v>
      </c>
      <c r="S28" s="799">
        <f t="shared" si="6"/>
        <v>1</v>
      </c>
      <c r="T28" s="176">
        <f t="shared" si="7"/>
        <v>7</v>
      </c>
      <c r="U28" s="250">
        <f t="shared" si="8"/>
        <v>1.4996045722221489</v>
      </c>
      <c r="V28" s="382">
        <f t="shared" si="9"/>
        <v>28.938919873048505</v>
      </c>
      <c r="W28" s="400">
        <f t="shared" si="10"/>
        <v>18.171658864480779</v>
      </c>
      <c r="X28" s="157">
        <f t="shared" si="11"/>
        <v>45671</v>
      </c>
      <c r="Y28" s="383">
        <f t="shared" si="12"/>
        <v>17.655559997976841</v>
      </c>
      <c r="Z28" s="383">
        <f t="shared" si="22"/>
        <v>18.407064406315719</v>
      </c>
      <c r="AA28" s="384">
        <f t="shared" si="13"/>
        <v>19.664152603563714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6.3927910985606157E-2</v>
      </c>
      <c r="AD28" s="230">
        <f>(INDEX(Models!$BJ28:$BT28,,AH28)*(1-AF28)+INDEX(Models!$BJ28:$BT28,,AH28+1)*AF28-ERP_i)*AE28*Ramure*Pc/MaxiM</f>
        <v>8.199562784623678E-4</v>
      </c>
      <c r="AE28" s="304">
        <f t="shared" si="15"/>
        <v>0.6</v>
      </c>
      <c r="AF28" s="177">
        <f t="shared" si="23"/>
        <v>0.49960457222214893</v>
      </c>
      <c r="AG28" s="799">
        <f t="shared" si="24"/>
        <v>1</v>
      </c>
      <c r="AH28" s="176">
        <f t="shared" si="16"/>
        <v>7</v>
      </c>
      <c r="AI28" s="224">
        <f t="shared" si="17"/>
        <v>1.4996045722221489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45672</v>
      </c>
      <c r="B29" s="409">
        <f>IF(t&gt;Tmaj,'2024'!Wh/'2024'!Env_an*'2025'!Env_an,0.001*'[3]mon-tableau (2)'!$B$256)</f>
        <v>5.9217321254658399</v>
      </c>
      <c r="C29" s="829"/>
      <c r="D29" s="391">
        <f t="shared" si="0"/>
        <v>6.1739074646019265</v>
      </c>
      <c r="E29" s="383">
        <f t="shared" si="1"/>
        <v>6.4088277317059825</v>
      </c>
      <c r="F29" s="383">
        <f t="shared" si="2"/>
        <v>6.4088277317059825</v>
      </c>
      <c r="G29" s="110">
        <f t="shared" si="21"/>
        <v>0.20264091178950649</v>
      </c>
      <c r="H29" s="412" t="b">
        <f>Wh_hp&gt;='2024'!Maxi_hp</f>
        <v>0</v>
      </c>
      <c r="I29" s="388">
        <f>IF(H29,Wh_hp,'2024'!Maxi_hp)</f>
        <v>32.62432731925049</v>
      </c>
      <c r="J29" s="85">
        <f>IF(H29,An,'2024'!An_max)</f>
        <v>2022</v>
      </c>
      <c r="K29" s="197">
        <f t="shared" si="3"/>
        <v>45672</v>
      </c>
      <c r="L29" s="147">
        <f>IF(t&lt;Tvie,1-EXP((T0-t)*PertePVj)+'2024'!Pspv,1-EXP((T0-t)*PertePVj)+Pspv)</f>
        <v>4.0845338318064028E-2</v>
      </c>
      <c r="M29" s="832"/>
      <c r="N29" s="832"/>
      <c r="O29" s="48">
        <f>IF(t&lt;Tnet,'2024'!Resal+('2024'!Salim-'2024'!Resal)*(1-EXP(('2024'!Tnet-t)/('2024'!Tau_j))),Resal+(Salim-Resal)*(1-EXP((Tnet-t)/(Tau_j))))*Salcycl</f>
        <v>3.6655731272327727E-2</v>
      </c>
      <c r="P29" s="169">
        <f>(INDEX(Models!$BJ29:$BT29,,T29)*(1-R29)+INDEX(Models!$BJ29:$BT29,,T29+1)*R29-ERP_i)*Q29*Ramure*Pc/MaxiM</f>
        <v>7.6727331361551719E-4</v>
      </c>
      <c r="Q29" s="304">
        <f t="shared" si="4"/>
        <v>0.6</v>
      </c>
      <c r="R29" s="177">
        <f t="shared" si="5"/>
        <v>0.49965431717232112</v>
      </c>
      <c r="S29" s="799">
        <f t="shared" si="6"/>
        <v>1</v>
      </c>
      <c r="T29" s="176">
        <f t="shared" si="7"/>
        <v>7</v>
      </c>
      <c r="U29" s="250">
        <f t="shared" si="8"/>
        <v>1.4996543171723211</v>
      </c>
      <c r="V29" s="382">
        <f t="shared" si="9"/>
        <v>29.200364754487868</v>
      </c>
      <c r="W29" s="400">
        <f t="shared" si="10"/>
        <v>5.9217321254658399</v>
      </c>
      <c r="X29" s="157">
        <f t="shared" si="11"/>
        <v>45672</v>
      </c>
      <c r="Y29" s="383">
        <f t="shared" si="12"/>
        <v>5.7537268499947984</v>
      </c>
      <c r="Z29" s="383">
        <f t="shared" si="22"/>
        <v>5.9987477305331431</v>
      </c>
      <c r="AA29" s="384">
        <f t="shared" si="13"/>
        <v>6.4088277317059825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6.3986741154560434E-2</v>
      </c>
      <c r="AD29" s="230">
        <f>(INDEX(Models!$BJ29:$BT29,,AH29)*(1-AF29)+INDEX(Models!$BJ29:$BT29,,AH29+1)*AF29-ERP_i)*AE29*Ramure*Pc/MaxiM</f>
        <v>7.6727331361551719E-4</v>
      </c>
      <c r="AE29" s="304">
        <f t="shared" si="15"/>
        <v>0.6</v>
      </c>
      <c r="AF29" s="177">
        <f t="shared" si="23"/>
        <v>0.49965431717232112</v>
      </c>
      <c r="AG29" s="799">
        <f t="shared" si="24"/>
        <v>1</v>
      </c>
      <c r="AH29" s="176">
        <f t="shared" si="16"/>
        <v>7</v>
      </c>
      <c r="AI29" s="224">
        <f t="shared" si="17"/>
        <v>1.4996543171723211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45673</v>
      </c>
      <c r="B30" s="409">
        <f>IF(t&gt;Tmaj,'2024'!Wh/'2024'!Env_an*'2025'!Env_an,0.001*'[3]mon-tableau (2)'!$B$257)</f>
        <v>3.5915310523525079</v>
      </c>
      <c r="C30" s="829"/>
      <c r="D30" s="391">
        <f t="shared" si="0"/>
        <v>3.7445471810008519</v>
      </c>
      <c r="E30" s="383">
        <f t="shared" si="1"/>
        <v>3.887394532363551</v>
      </c>
      <c r="F30" s="383">
        <f t="shared" si="2"/>
        <v>3.887394532363551</v>
      </c>
      <c r="G30" s="110">
        <f t="shared" si="21"/>
        <v>0.12178820695663535</v>
      </c>
      <c r="H30" s="412" t="b">
        <f>Wh_hp&gt;='2024'!Maxi_hp</f>
        <v>0</v>
      </c>
      <c r="I30" s="388">
        <f>IF(H30,Wh_hp,'2024'!Maxi_hp)</f>
        <v>31.820475310957626</v>
      </c>
      <c r="J30" s="85">
        <f>IF(H30,An,'2024'!An_max)</f>
        <v>2022</v>
      </c>
      <c r="K30" s="197">
        <f t="shared" si="3"/>
        <v>45673</v>
      </c>
      <c r="L30" s="147">
        <f>IF(t&lt;Tvie,1-EXP((T0-t)*PertePVj)+'2024'!Pspv,1-EXP((T0-t)*PertePVj)+Pspv)</f>
        <v>4.0863720298336736E-2</v>
      </c>
      <c r="M30" s="832"/>
      <c r="N30" s="832"/>
      <c r="O30" s="48">
        <f>IF(t&lt;Tnet,'2024'!Resal+('2024'!Salim-'2024'!Resal)*(1-EXP(('2024'!Tnet-t)/('2024'!Tau_j))),Resal+(Salim-Resal)*(1-EXP((Tnet-t)/(Tau_j))))*Salcycl</f>
        <v>3.6746296310667226E-2</v>
      </c>
      <c r="P30" s="169">
        <f>(INDEX(Models!$BJ30:$BT30,,T30)*(1-R30)+INDEX(Models!$BJ30:$BT30,,T30+1)*R30-ERP_i)*Q30*Ramure*Pc/MaxiM</f>
        <v>7.1476747380876213E-4</v>
      </c>
      <c r="Q30" s="304">
        <f t="shared" si="4"/>
        <v>0.6</v>
      </c>
      <c r="R30" s="177">
        <f t="shared" si="5"/>
        <v>0.49970613848771439</v>
      </c>
      <c r="S30" s="799">
        <f t="shared" si="6"/>
        <v>1</v>
      </c>
      <c r="T30" s="176">
        <f t="shared" si="7"/>
        <v>7</v>
      </c>
      <c r="U30" s="250">
        <f t="shared" si="8"/>
        <v>1.4997061384877144</v>
      </c>
      <c r="V30" s="382">
        <f t="shared" si="9"/>
        <v>29.468895490455992</v>
      </c>
      <c r="W30" s="400">
        <f t="shared" si="10"/>
        <v>3.5915310523525079</v>
      </c>
      <c r="X30" s="157">
        <f t="shared" si="11"/>
        <v>45673</v>
      </c>
      <c r="Y30" s="383">
        <f t="shared" si="12"/>
        <v>3.4897445731001446</v>
      </c>
      <c r="Z30" s="383">
        <f t="shared" si="22"/>
        <v>3.638424118609735</v>
      </c>
      <c r="AA30" s="384">
        <f t="shared" si="13"/>
        <v>3.887394532363551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6.4045573887876184E-2</v>
      </c>
      <c r="AD30" s="230">
        <f>(INDEX(Models!$BJ30:$BT30,,AH30)*(1-AF30)+INDEX(Models!$BJ30:$BT30,,AH30+1)*AF30-ERP_i)*AE30*Ramure*Pc/MaxiM</f>
        <v>7.1476747380876213E-4</v>
      </c>
      <c r="AE30" s="304">
        <f t="shared" si="15"/>
        <v>0.6</v>
      </c>
      <c r="AF30" s="177">
        <f t="shared" si="23"/>
        <v>0.49970613848771439</v>
      </c>
      <c r="AG30" s="799">
        <f t="shared" si="24"/>
        <v>1</v>
      </c>
      <c r="AH30" s="176">
        <f t="shared" si="16"/>
        <v>7</v>
      </c>
      <c r="AI30" s="224">
        <f t="shared" si="17"/>
        <v>1.4997061384877144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45674</v>
      </c>
      <c r="B31" s="409">
        <f>IF(t&gt;Tmaj,'2024'!Wh/'2024'!Env_an*'2025'!Env_an,0.001*'[3]mon-tableau (2)'!$B$258)</f>
        <v>6.7580477430917361</v>
      </c>
      <c r="C31" s="829"/>
      <c r="D31" s="391">
        <f t="shared" si="0"/>
        <v>7.0461074250254487</v>
      </c>
      <c r="E31" s="383">
        <f t="shared" si="1"/>
        <v>7.3155903429910198</v>
      </c>
      <c r="F31" s="383">
        <f t="shared" si="2"/>
        <v>7.3155903429910198</v>
      </c>
      <c r="G31" s="110">
        <f t="shared" si="21"/>
        <v>0.22705928309626197</v>
      </c>
      <c r="H31" s="412" t="b">
        <f>Wh_hp&gt;='2024'!Maxi_hp</f>
        <v>0</v>
      </c>
      <c r="I31" s="388">
        <f>IF(H31,Wh_hp,'2024'!Maxi_hp)</f>
        <v>12.614398134606729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4.0882101926323133E-2</v>
      </c>
      <c r="M31" s="832"/>
      <c r="N31" s="832"/>
      <c r="O31" s="48">
        <f>IF(t&lt;Tnet,'2024'!Resal+('2024'!Salim-'2024'!Resal)*(1-EXP(('2024'!Tnet-t)/('2024'!Tau_j))),Resal+(Salim-Resal)*(1-EXP((Tnet-t)/(Tau_j))))*Salcycl</f>
        <v>3.6836797214015511E-2</v>
      </c>
      <c r="P31" s="169">
        <f>(INDEX(Models!$BJ31:$BT31,,T31)*(1-R31)+INDEX(Models!$BJ31:$BT31,,T31+1)*R31-ERP_i)*Q31*Ramure*Pc/MaxiM</f>
        <v>6.6383001783927803E-4</v>
      </c>
      <c r="Q31" s="304">
        <f t="shared" si="4"/>
        <v>0.6</v>
      </c>
      <c r="R31" s="177">
        <f t="shared" si="5"/>
        <v>0.49976012237706846</v>
      </c>
      <c r="S31" s="799">
        <f t="shared" si="6"/>
        <v>1</v>
      </c>
      <c r="T31" s="176">
        <f t="shared" si="7"/>
        <v>7</v>
      </c>
      <c r="U31" s="250">
        <f t="shared" si="8"/>
        <v>1.4997601223770685</v>
      </c>
      <c r="V31" s="382">
        <f t="shared" si="9"/>
        <v>29.74360464828343</v>
      </c>
      <c r="W31" s="400">
        <f t="shared" si="10"/>
        <v>6.7580477430917361</v>
      </c>
      <c r="X31" s="157">
        <f t="shared" si="11"/>
        <v>45674</v>
      </c>
      <c r="Y31" s="383">
        <f t="shared" si="12"/>
        <v>6.5667241544887425</v>
      </c>
      <c r="Z31" s="383">
        <f t="shared" si="22"/>
        <v>6.8466287279984677</v>
      </c>
      <c r="AA31" s="384">
        <f t="shared" si="13"/>
        <v>7.3155903429910198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6.4104411674972814E-2</v>
      </c>
      <c r="AD31" s="230">
        <f>(INDEX(Models!$BJ31:$BT31,,AH31)*(1-AF31)+INDEX(Models!$BJ31:$BT31,,AH31+1)*AF31-ERP_i)*AE31*Ramure*Pc/MaxiM</f>
        <v>6.6383001783927803E-4</v>
      </c>
      <c r="AE31" s="304">
        <f t="shared" si="15"/>
        <v>0.6</v>
      </c>
      <c r="AF31" s="177">
        <f t="shared" si="23"/>
        <v>0.49976012237706846</v>
      </c>
      <c r="AG31" s="799">
        <f t="shared" si="24"/>
        <v>1</v>
      </c>
      <c r="AH31" s="176">
        <f t="shared" si="16"/>
        <v>7</v>
      </c>
      <c r="AI31" s="224">
        <f t="shared" si="17"/>
        <v>1.4997601223770685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45675</v>
      </c>
      <c r="B32" s="409">
        <f>IF(t&gt;Tmaj,'2024'!Wh/'2024'!Env_an*'2025'!Env_an,0.001*'[3]mon-tableau (2)'!$B$259)</f>
        <v>19.35570257357136</v>
      </c>
      <c r="C32" s="829"/>
      <c r="D32" s="391">
        <f t="shared" si="0"/>
        <v>20.181120138806772</v>
      </c>
      <c r="E32" s="383">
        <f t="shared" si="1"/>
        <v>20.954927697986186</v>
      </c>
      <c r="F32" s="383">
        <f t="shared" si="2"/>
        <v>20.961269854479511</v>
      </c>
      <c r="G32" s="110">
        <f t="shared" si="21"/>
        <v>0.6444812587185782</v>
      </c>
      <c r="H32" s="412" t="b">
        <f>Wh_hp&gt;='2024'!Maxi_hp</f>
        <v>0</v>
      </c>
      <c r="I32" s="388">
        <f>IF(H32,Wh_hp,'2024'!Maxi_hp)</f>
        <v>30.661484813289494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4.0900483202029769E-2</v>
      </c>
      <c r="M32" s="832"/>
      <c r="N32" s="832"/>
      <c r="O32" s="48">
        <f>IF(t&lt;Tnet,'2024'!Resal+('2024'!Salim-'2024'!Resal)*(1-EXP(('2024'!Tnet-t)/('2024'!Tau_j))),Resal+(Salim-Resal)*(1-EXP((Tnet-t)/(Tau_j))))*Salcycl</f>
        <v>3.6927235938579731E-2</v>
      </c>
      <c r="P32" s="169">
        <f>(INDEX(Models!$BJ32:$BT32,,T32)*(1-R32)+INDEX(Models!$BJ32:$BT32,,T32+1)*R32-ERP_i)*Q32*Ramure*Pc/MaxiM</f>
        <v>6.1446662761308187E-4</v>
      </c>
      <c r="Q32" s="304">
        <f t="shared" si="4"/>
        <v>0.6</v>
      </c>
      <c r="R32" s="177">
        <f t="shared" si="5"/>
        <v>0.49981635858921014</v>
      </c>
      <c r="S32" s="799">
        <f t="shared" si="6"/>
        <v>1</v>
      </c>
      <c r="T32" s="176">
        <f t="shared" si="7"/>
        <v>7</v>
      </c>
      <c r="U32" s="250">
        <f t="shared" si="8"/>
        <v>1.4998163585892101</v>
      </c>
      <c r="V32" s="382">
        <f t="shared" si="9"/>
        <v>30.023625076189923</v>
      </c>
      <c r="W32" s="400">
        <f t="shared" si="10"/>
        <v>19.35570257357136</v>
      </c>
      <c r="X32" s="157">
        <f t="shared" si="11"/>
        <v>45675</v>
      </c>
      <c r="Y32" s="383">
        <f t="shared" si="12"/>
        <v>18.808316798637488</v>
      </c>
      <c r="Z32" s="383">
        <f t="shared" si="22"/>
        <v>19.610391277675276</v>
      </c>
      <c r="AA32" s="384">
        <f t="shared" si="13"/>
        <v>20.954927697986186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6.4163257429903753E-2</v>
      </c>
      <c r="AD32" s="230">
        <f>(INDEX(Models!$BJ32:$BT32,,AH32)*(1-AF32)+INDEX(Models!$BJ32:$BT32,,AH32+1)*AF32-ERP_i)*AE32*Ramure*Pc/MaxiM</f>
        <v>6.1446662761308187E-4</v>
      </c>
      <c r="AE32" s="304">
        <f t="shared" si="15"/>
        <v>0.6</v>
      </c>
      <c r="AF32" s="177">
        <f t="shared" si="23"/>
        <v>0.49981635858921014</v>
      </c>
      <c r="AG32" s="799">
        <f t="shared" si="24"/>
        <v>1</v>
      </c>
      <c r="AH32" s="176">
        <f t="shared" si="16"/>
        <v>7</v>
      </c>
      <c r="AI32" s="224">
        <f t="shared" si="17"/>
        <v>1.4998163585892101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45676</v>
      </c>
      <c r="B33" s="409">
        <f>IF(t&gt;Tmaj,'2024'!Wh/'2024'!Env_an*'2025'!Env_an,0.001*'[3]mon-tableau (2)'!$B$260)</f>
        <v>10.171704963796975</v>
      </c>
      <c r="C33" s="829"/>
      <c r="D33" s="391">
        <f t="shared" si="0"/>
        <v>10.605677229301275</v>
      </c>
      <c r="E33" s="383">
        <f t="shared" si="1"/>
        <v>11.013365758589986</v>
      </c>
      <c r="F33" s="383">
        <f t="shared" si="2"/>
        <v>11.013683258680613</v>
      </c>
      <c r="G33" s="110">
        <f t="shared" si="21"/>
        <v>0.3354297146523218</v>
      </c>
      <c r="H33" s="412" t="b">
        <f>Wh_hp&gt;='2024'!Maxi_hp</f>
        <v>0</v>
      </c>
      <c r="I33" s="388">
        <f>IF(H33,Wh_hp,'2024'!Maxi_hp)</f>
        <v>33.4781759439336</v>
      </c>
      <c r="J33" s="85">
        <f>IF(H33,An,'2024'!An_max)</f>
        <v>2021</v>
      </c>
      <c r="K33" s="197">
        <f t="shared" si="3"/>
        <v>45676</v>
      </c>
      <c r="L33" s="147">
        <f>IF(t&lt;Tvie,1-EXP((T0-t)*PertePVj)+'2024'!Pspv,1-EXP((T0-t)*PertePVj)+Pspv)</f>
        <v>4.0918864125463417E-2</v>
      </c>
      <c r="M33" s="832"/>
      <c r="N33" s="832"/>
      <c r="O33" s="48">
        <f>IF(t&lt;Tnet,'2024'!Resal+('2024'!Salim-'2024'!Resal)*(1-EXP(('2024'!Tnet-t)/('2024'!Tau_j))),Resal+(Salim-Resal)*(1-EXP((Tnet-t)/(Tau_j))))*Salcycl</f>
        <v>3.7017614617105621E-2</v>
      </c>
      <c r="P33" s="169">
        <f>(INDEX(Models!$BJ33:$BT33,,T33)*(1-R33)+INDEX(Models!$BJ33:$BT33,,T33+1)*R33-ERP_i)*Q33*Ramure*Pc/MaxiM</f>
        <v>5.6667567117288159E-4</v>
      </c>
      <c r="Q33" s="304">
        <f t="shared" si="4"/>
        <v>0.6</v>
      </c>
      <c r="R33" s="177">
        <f t="shared" si="5"/>
        <v>0.49987494055507109</v>
      </c>
      <c r="S33" s="799">
        <f t="shared" si="6"/>
        <v>1</v>
      </c>
      <c r="T33" s="176">
        <f t="shared" si="7"/>
        <v>7</v>
      </c>
      <c r="U33" s="250">
        <f t="shared" si="8"/>
        <v>1.4998749405550711</v>
      </c>
      <c r="V33" s="382">
        <f t="shared" si="9"/>
        <v>30.308089987204028</v>
      </c>
      <c r="W33" s="400">
        <f t="shared" si="10"/>
        <v>10.171704963796975</v>
      </c>
      <c r="X33" s="157">
        <f t="shared" si="11"/>
        <v>45676</v>
      </c>
      <c r="Y33" s="383">
        <f t="shared" si="12"/>
        <v>9.8843516858429705</v>
      </c>
      <c r="Z33" s="383">
        <f t="shared" si="22"/>
        <v>10.306064123375695</v>
      </c>
      <c r="AA33" s="384">
        <f t="shared" si="13"/>
        <v>11.013365758589986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6.4222114357967625E-2</v>
      </c>
      <c r="AD33" s="230">
        <f>(INDEX(Models!$BJ33:$BT33,,AH33)*(1-AF33)+INDEX(Models!$BJ33:$BT33,,AH33+1)*AF33-ERP_i)*AE33*Ramure*Pc/MaxiM</f>
        <v>5.6667567117288159E-4</v>
      </c>
      <c r="AE33" s="304">
        <f t="shared" si="15"/>
        <v>0.6</v>
      </c>
      <c r="AF33" s="177">
        <f t="shared" si="23"/>
        <v>0.49987494055507109</v>
      </c>
      <c r="AG33" s="799">
        <f t="shared" si="24"/>
        <v>1</v>
      </c>
      <c r="AH33" s="176">
        <f t="shared" si="16"/>
        <v>7</v>
      </c>
      <c r="AI33" s="224">
        <f t="shared" si="17"/>
        <v>1.4998749405550711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45677</v>
      </c>
      <c r="B34" s="409">
        <f>IF(t&gt;Tmaj,'2024'!Wh/'2024'!Env_an*'2025'!Env_an,0.001*'[3]mon-tableau (2)'!$B$261)</f>
        <v>18.23592396307011</v>
      </c>
      <c r="C34" s="829"/>
      <c r="D34" s="391">
        <f t="shared" si="0"/>
        <v>19.014317741180296</v>
      </c>
      <c r="E34" s="383">
        <f t="shared" si="1"/>
        <v>19.747091540072848</v>
      </c>
      <c r="F34" s="383">
        <f t="shared" si="2"/>
        <v>19.751438674813286</v>
      </c>
      <c r="G34" s="110">
        <f t="shared" si="21"/>
        <v>0.59584149020873678</v>
      </c>
      <c r="H34" s="412" t="b">
        <f>Wh_hp&gt;='2024'!Maxi_hp</f>
        <v>0</v>
      </c>
      <c r="I34" s="388">
        <f>IF(H34,Wh_hp,'2024'!Maxi_hp)</f>
        <v>19.75459752863182</v>
      </c>
      <c r="J34" s="85">
        <f>IF(H34,An,'2024'!An_max)</f>
        <v>2023</v>
      </c>
      <c r="K34" s="197">
        <f t="shared" si="3"/>
        <v>45677</v>
      </c>
      <c r="L34" s="147">
        <f>IF(t&lt;Tvie,1-EXP((T0-t)*PertePVj)+'2024'!Pspv,1-EXP((T0-t)*PertePVj)+Pspv)</f>
        <v>4.0937244696630848E-2</v>
      </c>
      <c r="M34" s="832"/>
      <c r="N34" s="832"/>
      <c r="O34" s="48">
        <f>IF(t&lt;Tnet,'2024'!Resal+('2024'!Salim-'2024'!Resal)*(1-EXP(('2024'!Tnet-t)/('2024'!Tau_j))),Resal+(Salim-Resal)*(1-EXP((Tnet-t)/(Tau_j))))*Salcycl</f>
        <v>3.7107935485361634E-2</v>
      </c>
      <c r="P34" s="169">
        <f>(INDEX(Models!$BJ34:$BT34,,T34)*(1-R34)+INDEX(Models!$BJ34:$BT34,,T34+1)*R34-ERP_i)*Q34*Ramure*Pc/MaxiM</f>
        <v>5.2045183638939915E-4</v>
      </c>
      <c r="Q34" s="304">
        <f t="shared" si="4"/>
        <v>0.6</v>
      </c>
      <c r="R34" s="177">
        <f t="shared" si="5"/>
        <v>0.49993596553511388</v>
      </c>
      <c r="S34" s="799">
        <f t="shared" si="6"/>
        <v>1</v>
      </c>
      <c r="T34" s="176">
        <f t="shared" si="7"/>
        <v>7</v>
      </c>
      <c r="U34" s="250">
        <f t="shared" si="8"/>
        <v>1.4999359655351139</v>
      </c>
      <c r="V34" s="382">
        <f t="shared" si="9"/>
        <v>30.596132895641205</v>
      </c>
      <c r="W34" s="400">
        <f t="shared" si="10"/>
        <v>18.23592396307011</v>
      </c>
      <c r="X34" s="157">
        <f t="shared" si="11"/>
        <v>45677</v>
      </c>
      <c r="Y34" s="383">
        <f t="shared" si="12"/>
        <v>17.721301713990641</v>
      </c>
      <c r="Z34" s="383">
        <f t="shared" si="22"/>
        <v>18.477729028675572</v>
      </c>
      <c r="AA34" s="384">
        <f t="shared" si="13"/>
        <v>19.747091540072848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6.4280985826259712E-2</v>
      </c>
      <c r="AD34" s="230">
        <f>(INDEX(Models!$BJ34:$BT34,,AH34)*(1-AF34)+INDEX(Models!$BJ34:$BT34,,AH34+1)*AF34-ERP_i)*AE34*Ramure*Pc/MaxiM</f>
        <v>5.2045183638939915E-4</v>
      </c>
      <c r="AE34" s="304">
        <f t="shared" si="15"/>
        <v>0.6</v>
      </c>
      <c r="AF34" s="177">
        <f t="shared" si="23"/>
        <v>0.49993596553511388</v>
      </c>
      <c r="AG34" s="799">
        <f t="shared" si="24"/>
        <v>1</v>
      </c>
      <c r="AH34" s="176">
        <f t="shared" si="16"/>
        <v>7</v>
      </c>
      <c r="AI34" s="224">
        <f t="shared" si="17"/>
        <v>1.4999359655351139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45678</v>
      </c>
      <c r="B35" s="409">
        <f>IF(t&gt;Tmaj,'2024'!Wh/'2024'!Env_an*'2025'!Env_an,0.001*'[3]mon-tableau (2)'!$B$262)</f>
        <v>6.6329047719372296</v>
      </c>
      <c r="C35" s="829"/>
      <c r="D35" s="391">
        <f t="shared" si="0"/>
        <v>6.916160444977411</v>
      </c>
      <c r="E35" s="383">
        <f t="shared" si="1"/>
        <v>7.1833688416482557</v>
      </c>
      <c r="F35" s="383">
        <f t="shared" si="2"/>
        <v>7.1833688416482557</v>
      </c>
      <c r="G35" s="110">
        <f t="shared" si="21"/>
        <v>0.21464606629792574</v>
      </c>
      <c r="H35" s="412" t="b">
        <f>Wh_hp&gt;='2024'!Maxi_hp</f>
        <v>0</v>
      </c>
      <c r="I35" s="388">
        <f>IF(H35,Wh_hp,'2024'!Maxi_hp)</f>
        <v>24.694624919253947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4.0955624915538946E-2</v>
      </c>
      <c r="M35" s="832"/>
      <c r="N35" s="832"/>
      <c r="O35" s="48">
        <f>IF(t&lt;Tnet,'2024'!Resal+('2024'!Salim-'2024'!Resal)*(1-EXP(('2024'!Tnet-t)/('2024'!Tau_j))),Resal+(Salim-Resal)*(1-EXP((Tnet-t)/(Tau_j))))*Salcycl</f>
        <v>3.7198200810962728E-2</v>
      </c>
      <c r="P35" s="169">
        <f>(INDEX(Models!$BJ35:$BT35,,T35)*(1-R35)+INDEX(Models!$BJ35:$BT35,,T35+1)*R35-ERP_i)*Q35*Ramure*Pc/MaxiM</f>
        <v>4.7578414475575018E-4</v>
      </c>
      <c r="Q35" s="304">
        <f t="shared" si="4"/>
        <v>0.6</v>
      </c>
      <c r="R35" s="177">
        <f t="shared" si="5"/>
        <v>0.49999953477235004</v>
      </c>
      <c r="S35" s="799">
        <f t="shared" si="6"/>
        <v>1</v>
      </c>
      <c r="T35" s="176">
        <f t="shared" si="7"/>
        <v>7</v>
      </c>
      <c r="U35" s="250">
        <f t="shared" si="8"/>
        <v>1.49999953477235</v>
      </c>
      <c r="V35" s="382">
        <f t="shared" si="9"/>
        <v>30.886887681468469</v>
      </c>
      <c r="W35" s="400">
        <f t="shared" si="10"/>
        <v>6.6329047719372296</v>
      </c>
      <c r="X35" s="157">
        <f t="shared" si="11"/>
        <v>45678</v>
      </c>
      <c r="Y35" s="383">
        <f t="shared" si="12"/>
        <v>6.4459211767810816</v>
      </c>
      <c r="Z35" s="383">
        <f t="shared" si="22"/>
        <v>6.7211917865775526</v>
      </c>
      <c r="AA35" s="384">
        <f t="shared" si="13"/>
        <v>7.1833688416482557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6.4339875239464134E-2</v>
      </c>
      <c r="AD35" s="230">
        <f>(INDEX(Models!$BJ35:$BT35,,AH35)*(1-AF35)+INDEX(Models!$BJ35:$BT35,,AH35+1)*AF35-ERP_i)*AE35*Ramure*Pc/MaxiM</f>
        <v>4.7578414475575018E-4</v>
      </c>
      <c r="AE35" s="304">
        <f t="shared" si="15"/>
        <v>0.6</v>
      </c>
      <c r="AF35" s="177">
        <f t="shared" si="23"/>
        <v>0.49999953477235004</v>
      </c>
      <c r="AG35" s="799">
        <f t="shared" si="24"/>
        <v>1</v>
      </c>
      <c r="AH35" s="176">
        <f t="shared" si="16"/>
        <v>7</v>
      </c>
      <c r="AI35" s="224">
        <f t="shared" si="17"/>
        <v>1.49999953477235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45679</v>
      </c>
      <c r="B36" s="409">
        <f>IF(t&gt;Tmaj,'2024'!Wh/'2024'!Env_an*'2025'!Env_an,0.001*'[3]mon-tableau (2)'!$B$263)</f>
        <v>31.26729350676165</v>
      </c>
      <c r="C36" s="829"/>
      <c r="D36" s="391">
        <f t="shared" si="0"/>
        <v>32.603176204478679</v>
      </c>
      <c r="E36" s="383">
        <f t="shared" si="1"/>
        <v>33.865985035206151</v>
      </c>
      <c r="F36" s="383">
        <f t="shared" si="2"/>
        <v>33.880643604916145</v>
      </c>
      <c r="G36" s="110">
        <f t="shared" si="21"/>
        <v>1.0028161076790947</v>
      </c>
      <c r="H36" s="412" t="b">
        <f>Wh_hp&gt;='2024'!Maxi_hp</f>
        <v>1</v>
      </c>
      <c r="I36" s="388">
        <f>IF(H36,Wh_hp,'2024'!Maxi_hp)</f>
        <v>33.880643604916145</v>
      </c>
      <c r="J36" s="85">
        <f>IF(H36,An,'2024'!An_max)</f>
        <v>2025</v>
      </c>
      <c r="K36" s="197">
        <f t="shared" si="3"/>
        <v>45679</v>
      </c>
      <c r="L36" s="147">
        <f>IF(t&lt;Tvie,1-EXP((T0-t)*PertePVj)+'2024'!Pspv,1-EXP((T0-t)*PertePVj)+Pspv)</f>
        <v>4.0974004782194262E-2</v>
      </c>
      <c r="M36" s="832"/>
      <c r="N36" s="832"/>
      <c r="O36" s="48">
        <f>IF(t&lt;Tnet,'2024'!Resal+('2024'!Salim-'2024'!Resal)*(1-EXP(('2024'!Tnet-t)/('2024'!Tau_j))),Resal+(Salim-Resal)*(1-EXP((Tnet-t)/(Tau_j))))*Salcycl</f>
        <v>3.7288412825278519E-2</v>
      </c>
      <c r="P36" s="169">
        <f>(INDEX(Models!$BJ36:$BT36,,T36)*(1-R36)+INDEX(Models!$BJ36:$BT36,,T36+1)*R36-ERP_i)*Q36*Ramure*Pc/MaxiM</f>
        <v>4.3265322468268556E-4</v>
      </c>
      <c r="Q36" s="304">
        <f t="shared" si="4"/>
        <v>0.6</v>
      </c>
      <c r="R36" s="177">
        <f t="shared" si="5"/>
        <v>0.50006575365113215</v>
      </c>
      <c r="S36" s="799">
        <f t="shared" si="6"/>
        <v>1</v>
      </c>
      <c r="T36" s="176">
        <f t="shared" si="7"/>
        <v>7</v>
      </c>
      <c r="U36" s="250">
        <f t="shared" si="8"/>
        <v>1.5000657536511321</v>
      </c>
      <c r="V36" s="382">
        <f t="shared" si="9"/>
        <v>31.179488709177495</v>
      </c>
      <c r="W36" s="400">
        <f t="shared" si="10"/>
        <v>31.26729350676165</v>
      </c>
      <c r="X36" s="157">
        <f t="shared" si="11"/>
        <v>45679</v>
      </c>
      <c r="Y36" s="383">
        <f t="shared" si="12"/>
        <v>30.386793049523007</v>
      </c>
      <c r="Z36" s="383">
        <f t="shared" si="22"/>
        <v>31.685056714882709</v>
      </c>
      <c r="AA36" s="384">
        <f t="shared" si="13"/>
        <v>33.865985035206151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6.4398785922104726E-2</v>
      </c>
      <c r="AD36" s="230">
        <f>(INDEX(Models!$BJ36:$BT36,,AH36)*(1-AF36)+INDEX(Models!$BJ36:$BT36,,AH36+1)*AF36-ERP_i)*AE36*Ramure*Pc/MaxiM</f>
        <v>4.3265322468268556E-4</v>
      </c>
      <c r="AE36" s="304">
        <f t="shared" si="15"/>
        <v>0.6</v>
      </c>
      <c r="AF36" s="177">
        <f t="shared" si="23"/>
        <v>0.50006575365113215</v>
      </c>
      <c r="AG36" s="799">
        <f t="shared" si="24"/>
        <v>1</v>
      </c>
      <c r="AH36" s="176">
        <f t="shared" si="16"/>
        <v>7</v>
      </c>
      <c r="AI36" s="224">
        <f t="shared" si="17"/>
        <v>1.5000657536511321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45680</v>
      </c>
      <c r="B37" s="409">
        <f>IF(t&gt;Tmaj,'2024'!Wh/'2024'!Env_an*'2025'!Env_an,0.001*'[3]mon-tableau (2)'!$B$264)</f>
        <v>31.165346352742276</v>
      </c>
      <c r="C37" s="829"/>
      <c r="D37" s="391">
        <f t="shared" si="0"/>
        <v>32.497496205891601</v>
      </c>
      <c r="E37" s="383">
        <f t="shared" si="1"/>
        <v>33.759373432421221</v>
      </c>
      <c r="F37" s="383">
        <f t="shared" si="2"/>
        <v>33.772391237111762</v>
      </c>
      <c r="G37" s="110">
        <f t="shared" si="21"/>
        <v>0.99009493171579832</v>
      </c>
      <c r="H37" s="412" t="b">
        <f>Wh_hp&gt;='2024'!Maxi_hp</f>
        <v>0</v>
      </c>
      <c r="I37" s="388">
        <f>IF(H37,Wh_hp,'2024'!Maxi_hp)</f>
        <v>33.772529804178184</v>
      </c>
      <c r="J37" s="85">
        <f>IF(H37,An,'2024'!An_max)</f>
        <v>2022</v>
      </c>
      <c r="K37" s="197">
        <f t="shared" si="3"/>
        <v>45680</v>
      </c>
      <c r="L37" s="147">
        <f>IF(t&lt;Tvie,1-EXP((T0-t)*PertePVj)+'2024'!Pspv,1-EXP((T0-t)*PertePVj)+Pspv)</f>
        <v>4.0992384296603568E-2</v>
      </c>
      <c r="M37" s="832"/>
      <c r="N37" s="832"/>
      <c r="O37" s="48">
        <f>IF(t&lt;Tnet,'2024'!Resal+('2024'!Salim-'2024'!Resal)*(1-EXP(('2024'!Tnet-t)/('2024'!Tau_j))),Resal+(Salim-Resal)*(1-EXP((Tnet-t)/(Tau_j))))*Salcycl</f>
        <v>3.7378573659123726E-2</v>
      </c>
      <c r="P37" s="169">
        <f>(INDEX(Models!$BJ37:$BT37,,T37)*(1-R37)+INDEX(Models!$BJ37:$BT37,,T37+1)*R37-ERP_i)*Q37*Ramure*Pc/MaxiM</f>
        <v>3.9098643958945003E-4</v>
      </c>
      <c r="Q37" s="304">
        <f t="shared" si="4"/>
        <v>0.6</v>
      </c>
      <c r="R37" s="177">
        <f t="shared" si="5"/>
        <v>0.50013473186190938</v>
      </c>
      <c r="S37" s="799">
        <f t="shared" si="6"/>
        <v>1</v>
      </c>
      <c r="T37" s="176">
        <f t="shared" si="7"/>
        <v>7</v>
      </c>
      <c r="U37" s="250">
        <f t="shared" si="8"/>
        <v>1.5001347318619094</v>
      </c>
      <c r="V37" s="382">
        <f t="shared" si="9"/>
        <v>31.476955351603713</v>
      </c>
      <c r="W37" s="400">
        <f t="shared" si="10"/>
        <v>31.165346352742276</v>
      </c>
      <c r="X37" s="157">
        <f t="shared" si="11"/>
        <v>45680</v>
      </c>
      <c r="Y37" s="383">
        <f t="shared" si="12"/>
        <v>30.288645520012579</v>
      </c>
      <c r="Z37" s="383">
        <f t="shared" si="22"/>
        <v>31.583321158296521</v>
      </c>
      <c r="AA37" s="384">
        <f t="shared" si="13"/>
        <v>33.759373432421221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6.4457721008379293E-2</v>
      </c>
      <c r="AD37" s="230">
        <f>(INDEX(Models!$BJ37:$BT37,,AH37)*(1-AF37)+INDEX(Models!$BJ37:$BT37,,AH37+1)*AF37-ERP_i)*AE37*Ramure*Pc/MaxiM</f>
        <v>3.9098643958945003E-4</v>
      </c>
      <c r="AE37" s="304">
        <f t="shared" si="15"/>
        <v>0.6</v>
      </c>
      <c r="AF37" s="177">
        <f t="shared" si="23"/>
        <v>0.50013473186190938</v>
      </c>
      <c r="AG37" s="799">
        <f t="shared" si="24"/>
        <v>1</v>
      </c>
      <c r="AH37" s="176">
        <f t="shared" si="16"/>
        <v>7</v>
      </c>
      <c r="AI37" s="224">
        <f t="shared" si="17"/>
        <v>1.5001347318619094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45681</v>
      </c>
      <c r="B38" s="409">
        <f>IF(t&gt;Tmaj,'2024'!Wh/'2024'!Env_an*'2025'!Env_an,0.001*'[3]mon-tableau (2)'!$B$265)</f>
        <v>32.180536705226281</v>
      </c>
      <c r="C38" s="829"/>
      <c r="D38" s="391">
        <f t="shared" si="0"/>
        <v>33.556723557494131</v>
      </c>
      <c r="E38" s="383">
        <f t="shared" si="1"/>
        <v>34.86299411189141</v>
      </c>
      <c r="F38" s="383">
        <f t="shared" si="2"/>
        <v>34.875269429553477</v>
      </c>
      <c r="G38" s="110">
        <f t="shared" si="21"/>
        <v>1.0125297572826968</v>
      </c>
      <c r="H38" s="412" t="b">
        <f>Wh_hp&gt;='2024'!Maxi_hp</f>
        <v>1</v>
      </c>
      <c r="I38" s="388">
        <f>IF(H38,Wh_hp,'2024'!Maxi_hp)</f>
        <v>34.875269429553477</v>
      </c>
      <c r="J38" s="85">
        <f>IF(H38,An,'2024'!An_max)</f>
        <v>2025</v>
      </c>
      <c r="K38" s="197">
        <f t="shared" si="3"/>
        <v>45681</v>
      </c>
      <c r="L38" s="147">
        <f>IF(t&lt;Tvie,1-EXP((T0-t)*PertePVj)+'2024'!Pspv,1-EXP((T0-t)*PertePVj)+Pspv)</f>
        <v>4.1010763458773747E-2</v>
      </c>
      <c r="M38" s="832"/>
      <c r="N38" s="832"/>
      <c r="O38" s="48">
        <f>IF(t&lt;Tnet,'2024'!Resal+('2024'!Salim-'2024'!Resal)*(1-EXP(('2024'!Tnet-t)/('2024'!Tau_j))),Resal+(Salim-Resal)*(1-EXP((Tnet-t)/(Tau_j))))*Salcycl</f>
        <v>3.7468685282877848E-2</v>
      </c>
      <c r="P38" s="169">
        <f>(INDEX(Models!$BJ38:$BT38,,T38)*(1-R38)+INDEX(Models!$BJ38:$BT38,,T38+1)*R38-ERP_i)*Q38*Ramure*Pc/MaxiM</f>
        <v>3.5197771552313104E-4</v>
      </c>
      <c r="Q38" s="304">
        <f t="shared" si="4"/>
        <v>0.6</v>
      </c>
      <c r="R38" s="177">
        <f t="shared" si="5"/>
        <v>0.50020658357213876</v>
      </c>
      <c r="S38" s="799">
        <f t="shared" si="6"/>
        <v>1</v>
      </c>
      <c r="T38" s="176">
        <f t="shared" si="7"/>
        <v>7</v>
      </c>
      <c r="U38" s="250">
        <f t="shared" si="8"/>
        <v>1.5002065835721388</v>
      </c>
      <c r="V38" s="382">
        <f t="shared" si="9"/>
        <v>31.782312049364805</v>
      </c>
      <c r="W38" s="400">
        <f t="shared" si="10"/>
        <v>32.180536705226281</v>
      </c>
      <c r="X38" s="157">
        <f t="shared" si="11"/>
        <v>45681</v>
      </c>
      <c r="Y38" s="383">
        <f t="shared" si="12"/>
        <v>31.276234599943365</v>
      </c>
      <c r="Z38" s="383">
        <f t="shared" si="22"/>
        <v>32.613749360469306</v>
      </c>
      <c r="AA38" s="384">
        <f t="shared" si="13"/>
        <v>34.86299411189141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6.4516683340600067E-2</v>
      </c>
      <c r="AD38" s="230">
        <f>(INDEX(Models!$BJ38:$BT38,,AH38)*(1-AF38)+INDEX(Models!$BJ38:$BT38,,AH38+1)*AF38-ERP_i)*AE38*Ramure*Pc/MaxiM</f>
        <v>3.5197771552313104E-4</v>
      </c>
      <c r="AE38" s="304">
        <f t="shared" si="15"/>
        <v>0.6</v>
      </c>
      <c r="AF38" s="177">
        <f t="shared" si="23"/>
        <v>0.50020658357213876</v>
      </c>
      <c r="AG38" s="799">
        <f t="shared" si="24"/>
        <v>1</v>
      </c>
      <c r="AH38" s="176">
        <f t="shared" si="16"/>
        <v>7</v>
      </c>
      <c r="AI38" s="224">
        <f t="shared" si="17"/>
        <v>1.5002065835721388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45682</v>
      </c>
      <c r="B39" s="409">
        <f>IF(t&gt;Tmaj,'2024'!Wh/'2024'!Env_an*'2025'!Env_an,0.001*'[3]mon-tableau (2)'!$B$266)</f>
        <v>29.79124291867387</v>
      </c>
      <c r="C39" s="829"/>
      <c r="D39" s="391">
        <f t="shared" si="0"/>
        <v>31.065848016647049</v>
      </c>
      <c r="E39" s="383">
        <f t="shared" si="1"/>
        <v>32.278175939514647</v>
      </c>
      <c r="F39" s="383">
        <f t="shared" si="2"/>
        <v>32.287334399171762</v>
      </c>
      <c r="G39" s="110">
        <f t="shared" si="21"/>
        <v>0.92819794993155702</v>
      </c>
      <c r="H39" s="412" t="b">
        <f>Wh_hp&gt;='2024'!Maxi_hp</f>
        <v>0</v>
      </c>
      <c r="I39" s="388">
        <f>IF(H39,Wh_hp,'2024'!Maxi_hp)</f>
        <v>32.288114654998978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4.102914226871146E-2</v>
      </c>
      <c r="M39" s="832"/>
      <c r="N39" s="832"/>
      <c r="O39" s="48">
        <f>IF(t&lt;Tnet,'2024'!Resal+('2024'!Salim-'2024'!Resal)*(1-EXP(('2024'!Tnet-t)/('2024'!Tau_j))),Resal+(Salim-Resal)*(1-EXP((Tnet-t)/(Tau_j))))*Salcycl</f>
        <v>3.7558749451621722E-2</v>
      </c>
      <c r="P39" s="169">
        <f>(INDEX(Models!$BJ39:$BT39,,T39)*(1-R39)+INDEX(Models!$BJ39:$BT39,,T39+1)*R39-ERP_i)*Q39*Ramure*Pc/MaxiM</f>
        <v>3.1606104324727286E-4</v>
      </c>
      <c r="Q39" s="304">
        <f t="shared" si="4"/>
        <v>0.6</v>
      </c>
      <c r="R39" s="177">
        <f t="shared" si="5"/>
        <v>0.50028142760354699</v>
      </c>
      <c r="S39" s="799">
        <f t="shared" si="6"/>
        <v>1</v>
      </c>
      <c r="T39" s="176">
        <f t="shared" si="7"/>
        <v>7</v>
      </c>
      <c r="U39" s="250">
        <f t="shared" si="8"/>
        <v>1.500281427603547</v>
      </c>
      <c r="V39" s="382">
        <f t="shared" si="9"/>
        <v>32.094745767087396</v>
      </c>
      <c r="W39" s="400">
        <f t="shared" si="10"/>
        <v>29.79124291867387</v>
      </c>
      <c r="X39" s="157">
        <f t="shared" si="11"/>
        <v>45682</v>
      </c>
      <c r="Y39" s="383">
        <f t="shared" si="12"/>
        <v>28.954965584649912</v>
      </c>
      <c r="Z39" s="383">
        <f t="shared" si="22"/>
        <v>30.193790928277959</v>
      </c>
      <c r="AA39" s="384">
        <f t="shared" si="13"/>
        <v>32.278175939514647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6.4575675377151684E-2</v>
      </c>
      <c r="AD39" s="230">
        <f>(INDEX(Models!$BJ39:$BT39,,AH39)*(1-AF39)+INDEX(Models!$BJ39:$BT39,,AH39+1)*AF39-ERP_i)*AE39*Ramure*Pc/MaxiM</f>
        <v>3.1606104324727286E-4</v>
      </c>
      <c r="AE39" s="304">
        <f t="shared" si="15"/>
        <v>0.6</v>
      </c>
      <c r="AF39" s="177">
        <f t="shared" si="23"/>
        <v>0.50028142760354699</v>
      </c>
      <c r="AG39" s="799">
        <f t="shared" si="24"/>
        <v>1</v>
      </c>
      <c r="AH39" s="176">
        <f t="shared" si="16"/>
        <v>7</v>
      </c>
      <c r="AI39" s="224">
        <f t="shared" si="17"/>
        <v>1.500281427603547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45683</v>
      </c>
      <c r="B40" s="409">
        <f>IF(t&gt;Tmaj,'2024'!Wh/'2024'!Env_an*'2025'!Env_an,0.001*'[3]mon-tableau (2)'!$B$267)</f>
        <v>31.411926585915271</v>
      </c>
      <c r="C40" s="829"/>
      <c r="D40" s="391">
        <f t="shared" si="0"/>
        <v>32.756499685688659</v>
      </c>
      <c r="E40" s="383">
        <f t="shared" si="1"/>
        <v>34.037987986878107</v>
      </c>
      <c r="F40" s="383">
        <f t="shared" si="2"/>
        <v>34.047203771118504</v>
      </c>
      <c r="G40" s="110">
        <f t="shared" si="21"/>
        <v>0.96908922233728001</v>
      </c>
      <c r="H40" s="412" t="b">
        <f>Wh_hp&gt;='2024'!Maxi_hp</f>
        <v>0</v>
      </c>
      <c r="I40" s="388">
        <f>IF(H40,Wh_hp,'2024'!Maxi_hp)</f>
        <v>34.047521820123769</v>
      </c>
      <c r="J40" s="85">
        <f>IF(H40,An,'2024'!An_max)</f>
        <v>2022</v>
      </c>
      <c r="K40" s="197">
        <f t="shared" si="3"/>
        <v>45683</v>
      </c>
      <c r="L40" s="147">
        <f>IF(t&lt;Tvie,1-EXP((T0-t)*PertePVj)+'2024'!Pspv,1-EXP((T0-t)*PertePVj)+Pspv)</f>
        <v>4.1047520726423481E-2</v>
      </c>
      <c r="M40" s="832"/>
      <c r="N40" s="832"/>
      <c r="O40" s="48">
        <f>IF(t&lt;Tnet,'2024'!Resal+('2024'!Salim-'2024'!Resal)*(1-EXP(('2024'!Tnet-t)/('2024'!Tau_j))),Resal+(Salim-Resal)*(1-EXP((Tnet-t)/(Tau_j))))*Salcycl</f>
        <v>3.7648767655816644E-2</v>
      </c>
      <c r="P40" s="169">
        <f>(INDEX(Models!$BJ40:$BT40,,T40)*(1-R40)+INDEX(Models!$BJ40:$BT40,,T40+1)*R40-ERP_i)*Q40*Ramure*Pc/MaxiM</f>
        <v>2.8317635645627086E-4</v>
      </c>
      <c r="Q40" s="304">
        <f t="shared" si="4"/>
        <v>0.6</v>
      </c>
      <c r="R40" s="177">
        <f t="shared" si="5"/>
        <v>0.50035938761593979</v>
      </c>
      <c r="S40" s="799">
        <f t="shared" si="6"/>
        <v>1</v>
      </c>
      <c r="T40" s="176">
        <f t="shared" si="7"/>
        <v>7</v>
      </c>
      <c r="U40" s="250">
        <f t="shared" si="8"/>
        <v>1.5003593876159398</v>
      </c>
      <c r="V40" s="382">
        <f t="shared" si="9"/>
        <v>32.413459067347532</v>
      </c>
      <c r="W40" s="400">
        <f t="shared" si="10"/>
        <v>31.411926585915271</v>
      </c>
      <c r="X40" s="157">
        <f t="shared" si="11"/>
        <v>45683</v>
      </c>
      <c r="Y40" s="383">
        <f t="shared" si="12"/>
        <v>30.531083844486659</v>
      </c>
      <c r="Z40" s="383">
        <f t="shared" si="22"/>
        <v>31.837952875010547</v>
      </c>
      <c r="AA40" s="384">
        <f t="shared" si="13"/>
        <v>34.037987986878107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6.4634699110760918E-2</v>
      </c>
      <c r="AD40" s="230">
        <f>(INDEX(Models!$BJ40:$BT40,,AH40)*(1-AF40)+INDEX(Models!$BJ40:$BT40,,AH40+1)*AF40-ERP_i)*AE40*Ramure*Pc/MaxiM</f>
        <v>2.8317635645627086E-4</v>
      </c>
      <c r="AE40" s="304">
        <f t="shared" si="15"/>
        <v>0.6</v>
      </c>
      <c r="AF40" s="177">
        <f t="shared" si="23"/>
        <v>0.50035938761593979</v>
      </c>
      <c r="AG40" s="799">
        <f t="shared" si="24"/>
        <v>1</v>
      </c>
      <c r="AH40" s="176">
        <f t="shared" si="16"/>
        <v>7</v>
      </c>
      <c r="AI40" s="224">
        <f t="shared" si="17"/>
        <v>1.5003593876159398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45684</v>
      </c>
      <c r="B41" s="409">
        <f>IF(t&gt;Tmaj,'2024'!Wh/'2024'!Env_an*'2025'!Env_an,0.001*'[3]mon-tableau (2)'!$B$268)</f>
        <v>27.725582623686055</v>
      </c>
      <c r="C41" s="829"/>
      <c r="D41" s="391">
        <f t="shared" si="0"/>
        <v>28.912917571617644</v>
      </c>
      <c r="E41" s="383">
        <f t="shared" si="1"/>
        <v>30.046847780204367</v>
      </c>
      <c r="F41" s="383">
        <f t="shared" si="2"/>
        <v>30.052794274629068</v>
      </c>
      <c r="G41" s="110">
        <f t="shared" si="21"/>
        <v>0.84685499552332377</v>
      </c>
      <c r="H41" s="412" t="b">
        <f>Wh_hp&gt;='2024'!Maxi_hp</f>
        <v>0</v>
      </c>
      <c r="I41" s="388">
        <f>IF(H41,Wh_hp,'2024'!Maxi_hp)</f>
        <v>30.054040469475297</v>
      </c>
      <c r="J41" s="85">
        <f>IF(H41,An,'2024'!An_max)</f>
        <v>2022</v>
      </c>
      <c r="K41" s="197">
        <f t="shared" si="3"/>
        <v>45684</v>
      </c>
      <c r="L41" s="147">
        <f>IF(t&lt;Tvie,1-EXP((T0-t)*PertePVj)+'2024'!Pspv,1-EXP((T0-t)*PertePVj)+Pspv)</f>
        <v>4.106589883191647E-2</v>
      </c>
      <c r="M41" s="832"/>
      <c r="N41" s="832"/>
      <c r="O41" s="48">
        <f>IF(t&lt;Tnet,'2024'!Resal+('2024'!Salim-'2024'!Resal)*(1-EXP(('2024'!Tnet-t)/('2024'!Tau_j))),Resal+(Salim-Resal)*(1-EXP((Tnet-t)/(Tau_j))))*Salcycl</f>
        <v>3.7738741077983723E-2</v>
      </c>
      <c r="P41" s="169">
        <f>(INDEX(Models!$BJ41:$BT41,,T41)*(1-R41)+INDEX(Models!$BJ41:$BT41,,T41+1)*R41-ERP_i)*Q41*Ramure*Pc/MaxiM</f>
        <v>2.5325892164057405E-4</v>
      </c>
      <c r="Q41" s="304">
        <f t="shared" si="4"/>
        <v>0.6</v>
      </c>
      <c r="R41" s="177">
        <f t="shared" si="5"/>
        <v>0.5004405922977615</v>
      </c>
      <c r="S41" s="799">
        <f t="shared" si="6"/>
        <v>1</v>
      </c>
      <c r="T41" s="176">
        <f t="shared" si="7"/>
        <v>7</v>
      </c>
      <c r="U41" s="250">
        <f t="shared" si="8"/>
        <v>1.5004405922977615</v>
      </c>
      <c r="V41" s="382">
        <f t="shared" si="9"/>
        <v>32.737654885702078</v>
      </c>
      <c r="W41" s="400">
        <f t="shared" si="10"/>
        <v>27.725582623686055</v>
      </c>
      <c r="X41" s="157">
        <f t="shared" si="11"/>
        <v>45684</v>
      </c>
      <c r="Y41" s="383">
        <f t="shared" si="12"/>
        <v>26.948929208253073</v>
      </c>
      <c r="Z41" s="383">
        <f t="shared" si="22"/>
        <v>28.10300434141034</v>
      </c>
      <c r="AA41" s="384">
        <f t="shared" si="13"/>
        <v>30.046847780204367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6.4693755997748306E-2</v>
      </c>
      <c r="AD41" s="230">
        <f>(INDEX(Models!$BJ41:$BT41,,AH41)*(1-AF41)+INDEX(Models!$BJ41:$BT41,,AH41+1)*AF41-ERP_i)*AE41*Ramure*Pc/MaxiM</f>
        <v>2.5325892164057405E-4</v>
      </c>
      <c r="AE41" s="304">
        <f t="shared" si="15"/>
        <v>0.6</v>
      </c>
      <c r="AF41" s="177">
        <f t="shared" si="23"/>
        <v>0.5004405922977615</v>
      </c>
      <c r="AG41" s="799">
        <f t="shared" si="24"/>
        <v>1</v>
      </c>
      <c r="AH41" s="176">
        <f t="shared" si="16"/>
        <v>7</v>
      </c>
      <c r="AI41" s="224">
        <f t="shared" si="17"/>
        <v>1.5004405922977615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45685</v>
      </c>
      <c r="B42" s="409">
        <f>IF(t&gt;Tmaj,'2024'!Wh/'2024'!Env_an*'2025'!Env_an,0.001*'[3]mon-tableau (2)'!$B$269)</f>
        <v>4.2331613600582481</v>
      </c>
      <c r="C42" s="829"/>
      <c r="D42" s="391">
        <f t="shared" si="0"/>
        <v>4.4145290943645215</v>
      </c>
      <c r="E42" s="383">
        <f t="shared" si="1"/>
        <v>4.5880904567323224</v>
      </c>
      <c r="F42" s="383">
        <f t="shared" si="2"/>
        <v>4.5880904567323224</v>
      </c>
      <c r="G42" s="110">
        <f t="shared" si="21"/>
        <v>0.12799053338438865</v>
      </c>
      <c r="H42" s="412" t="b">
        <f>Wh_hp&gt;='2024'!Maxi_hp</f>
        <v>0</v>
      </c>
      <c r="I42" s="388">
        <f>IF(H42,Wh_hp,'2024'!Maxi_hp)</f>
        <v>18.140123451777548</v>
      </c>
      <c r="J42" s="85">
        <f>IF(H42,An,'2024'!An_max)</f>
        <v>2021</v>
      </c>
      <c r="K42" s="197">
        <f t="shared" si="3"/>
        <v>45685</v>
      </c>
      <c r="L42" s="147">
        <f>IF(t&lt;Tvie,1-EXP((T0-t)*PertePVj)+'2024'!Pspv,1-EXP((T0-t)*PertePVj)+Pspv)</f>
        <v>4.1084276585197421E-2</v>
      </c>
      <c r="M42" s="832"/>
      <c r="N42" s="832"/>
      <c r="O42" s="48">
        <f>IF(t&lt;Tnet,'2024'!Resal+('2024'!Salim-'2024'!Resal)*(1-EXP(('2024'!Tnet-t)/('2024'!Tau_j))),Resal+(Salim-Resal)*(1-EXP((Tnet-t)/(Tau_j))))*Salcycl</f>
        <v>3.7828670555770494E-2</v>
      </c>
      <c r="P42" s="169">
        <f>(INDEX(Models!$BJ42:$BT42,,T42)*(1-R42)+INDEX(Models!$BJ42:$BT42,,T42+1)*R42-ERP_i)*Q42*Ramure*Pc/MaxiM</f>
        <v>2.2624046261047131E-4</v>
      </c>
      <c r="Q42" s="304">
        <f t="shared" si="4"/>
        <v>0.6</v>
      </c>
      <c r="R42" s="177">
        <f t="shared" si="5"/>
        <v>0.50052517556360754</v>
      </c>
      <c r="S42" s="799">
        <f t="shared" si="6"/>
        <v>1</v>
      </c>
      <c r="T42" s="176">
        <f t="shared" si="7"/>
        <v>7</v>
      </c>
      <c r="U42" s="250">
        <f t="shared" si="8"/>
        <v>1.5005251755636075</v>
      </c>
      <c r="V42" s="382">
        <f t="shared" si="9"/>
        <v>33.066536530193545</v>
      </c>
      <c r="W42" s="400">
        <f t="shared" si="10"/>
        <v>4.2331613600582481</v>
      </c>
      <c r="X42" s="157">
        <f t="shared" si="11"/>
        <v>45685</v>
      </c>
      <c r="Y42" s="383">
        <f t="shared" si="12"/>
        <v>4.1147059670747979</v>
      </c>
      <c r="Z42" s="383">
        <f t="shared" si="22"/>
        <v>4.2909985378296698</v>
      </c>
      <c r="AA42" s="384">
        <f t="shared" si="13"/>
        <v>4.5880904567323224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6.4752846898804242E-2</v>
      </c>
      <c r="AD42" s="230">
        <f>(INDEX(Models!$BJ42:$BT42,,AH42)*(1-AF42)+INDEX(Models!$BJ42:$BT42,,AH42+1)*AF42-ERP_i)*AE42*Ramure*Pc/MaxiM</f>
        <v>2.2624046261047131E-4</v>
      </c>
      <c r="AE42" s="304">
        <f t="shared" si="15"/>
        <v>0.6</v>
      </c>
      <c r="AF42" s="177">
        <f t="shared" si="23"/>
        <v>0.50052517556360754</v>
      </c>
      <c r="AG42" s="799">
        <f t="shared" si="24"/>
        <v>1</v>
      </c>
      <c r="AH42" s="176">
        <f t="shared" si="16"/>
        <v>7</v>
      </c>
      <c r="AI42" s="224">
        <f t="shared" si="17"/>
        <v>1.5005251755636075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45686</v>
      </c>
      <c r="B43" s="409">
        <f>IF(t&gt;Tmaj,'2024'!Wh/'2024'!Env_an*'2025'!Env_an,0.001*'[3]mon-tableau (2)'!$B$270)</f>
        <v>8.0529858735237969</v>
      </c>
      <c r="C43" s="829"/>
      <c r="D43" s="391">
        <f t="shared" si="0"/>
        <v>8.3981730755656017</v>
      </c>
      <c r="E43" s="383">
        <f t="shared" si="1"/>
        <v>8.7291706255813022</v>
      </c>
      <c r="F43" s="383">
        <f t="shared" si="2"/>
        <v>8.7291706255813022</v>
      </c>
      <c r="G43" s="110">
        <f t="shared" si="21"/>
        <v>0.24106364251745971</v>
      </c>
      <c r="H43" s="412" t="b">
        <f>Wh_hp&gt;='2024'!Maxi_hp</f>
        <v>0</v>
      </c>
      <c r="I43" s="388">
        <f>IF(H43,Wh_hp,'2024'!Maxi_hp)</f>
        <v>22.560776300734982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4.1102653986272775E-2</v>
      </c>
      <c r="M43" s="832"/>
      <c r="N43" s="832"/>
      <c r="O43" s="48">
        <f>IF(t&lt;Tnet,'2024'!Resal+('2024'!Salim-'2024'!Resal)*(1-EXP(('2024'!Tnet-t)/('2024'!Tau_j))),Resal+(Salim-Resal)*(1-EXP((Tnet-t)/(Tau_j))))*Salcycl</f>
        <v>3.7918556551717955E-2</v>
      </c>
      <c r="P43" s="169">
        <f>(INDEX(Models!$BJ43:$BT43,,T43)*(1-R43)+INDEX(Models!$BJ43:$BT43,,T43+1)*R43-ERP_i)*Q43*Ramure*Pc/MaxiM</f>
        <v>2.0205019427910599E-4</v>
      </c>
      <c r="Q43" s="304">
        <f t="shared" si="4"/>
        <v>0.6</v>
      </c>
      <c r="R43" s="177">
        <f t="shared" si="5"/>
        <v>0.50061327675889267</v>
      </c>
      <c r="S43" s="799">
        <f t="shared" si="6"/>
        <v>1</v>
      </c>
      <c r="T43" s="176">
        <f t="shared" si="7"/>
        <v>7</v>
      </c>
      <c r="U43" s="250">
        <f t="shared" si="8"/>
        <v>1.5006132767588927</v>
      </c>
      <c r="V43" s="382">
        <f t="shared" si="9"/>
        <v>33.399307676935905</v>
      </c>
      <c r="W43" s="400">
        <f t="shared" si="10"/>
        <v>8.0529858735237969</v>
      </c>
      <c r="X43" s="157">
        <f t="shared" si="11"/>
        <v>45686</v>
      </c>
      <c r="Y43" s="383">
        <f t="shared" si="12"/>
        <v>7.8278778055676463</v>
      </c>
      <c r="Z43" s="383">
        <f t="shared" si="22"/>
        <v>8.1634158631361835</v>
      </c>
      <c r="AA43" s="384">
        <f t="shared" si="13"/>
        <v>8.7291706255813022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6.481197203170079E-2</v>
      </c>
      <c r="AD43" s="230">
        <f>(INDEX(Models!$BJ43:$BT43,,AH43)*(1-AF43)+INDEX(Models!$BJ43:$BT43,,AH43+1)*AF43-ERP_i)*AE43*Ramure*Pc/MaxiM</f>
        <v>2.0205019427910599E-4</v>
      </c>
      <c r="AE43" s="304">
        <f t="shared" si="15"/>
        <v>0.6</v>
      </c>
      <c r="AF43" s="177">
        <f t="shared" si="23"/>
        <v>0.50061327675889267</v>
      </c>
      <c r="AG43" s="799">
        <f t="shared" si="24"/>
        <v>1</v>
      </c>
      <c r="AH43" s="176">
        <f t="shared" si="16"/>
        <v>7</v>
      </c>
      <c r="AI43" s="224">
        <f t="shared" si="17"/>
        <v>1.5006132767588927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45687</v>
      </c>
      <c r="B44" s="409">
        <f>IF(t&gt;Tmaj,'2024'!Wh/'2024'!Env_an*'2025'!Env_an,0.001*'[3]mon-tableau (2)'!$B$271)</f>
        <v>4.6597358739341042</v>
      </c>
      <c r="C44" s="829"/>
      <c r="D44" s="391">
        <f t="shared" si="0"/>
        <v>4.8595662484541524</v>
      </c>
      <c r="E44" s="383">
        <f t="shared" si="1"/>
        <v>5.0515682715515542</v>
      </c>
      <c r="F44" s="383">
        <f t="shared" si="2"/>
        <v>5.0515682715515542</v>
      </c>
      <c r="G44" s="110">
        <f t="shared" si="21"/>
        <v>0.13810198450010094</v>
      </c>
      <c r="H44" s="412" t="b">
        <f>Wh_hp&gt;='2024'!Maxi_hp</f>
        <v>0</v>
      </c>
      <c r="I44" s="388">
        <f>IF(H44,Wh_hp,'2024'!Maxi_hp)</f>
        <v>12.305895524222464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4.1121031035149525E-2</v>
      </c>
      <c r="M44" s="832"/>
      <c r="N44" s="832"/>
      <c r="O44" s="48">
        <f>IF(t&lt;Tnet,'2024'!Resal+('2024'!Salim-'2024'!Resal)*(1-EXP(('2024'!Tnet-t)/('2024'!Tau_j))),Resal+(Salim-Resal)*(1-EXP((Tnet-t)/(Tau_j))))*Salcycl</f>
        <v>3.8008399129965516E-2</v>
      </c>
      <c r="P44" s="169">
        <f>(INDEX(Models!$BJ44:$BT44,,T44)*(1-R44)+INDEX(Models!$BJ44:$BT44,,T44+1)*R44-ERP_i)*Q44*Ramure*Pc/MaxiM</f>
        <v>1.8115444600056785E-4</v>
      </c>
      <c r="Q44" s="304">
        <f t="shared" si="4"/>
        <v>0.6</v>
      </c>
      <c r="R44" s="177">
        <f t="shared" si="5"/>
        <v>0.50070504087188628</v>
      </c>
      <c r="S44" s="799">
        <f t="shared" si="6"/>
        <v>1</v>
      </c>
      <c r="T44" s="176">
        <f t="shared" si="7"/>
        <v>7</v>
      </c>
      <c r="U44" s="250">
        <f t="shared" si="8"/>
        <v>1.5007050408718863</v>
      </c>
      <c r="V44" s="382">
        <f t="shared" si="9"/>
        <v>33.735154197295024</v>
      </c>
      <c r="W44" s="400">
        <f t="shared" si="10"/>
        <v>4.6597358739341042</v>
      </c>
      <c r="X44" s="157">
        <f t="shared" si="11"/>
        <v>45687</v>
      </c>
      <c r="Y44" s="383">
        <f t="shared" si="12"/>
        <v>4.5296170299065075</v>
      </c>
      <c r="Z44" s="383">
        <f t="shared" si="22"/>
        <v>4.7238673247744876</v>
      </c>
      <c r="AA44" s="384">
        <f t="shared" si="13"/>
        <v>5.0515682715515542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6.4871130936218227E-2</v>
      </c>
      <c r="AD44" s="230">
        <f>(INDEX(Models!$BJ44:$BT44,,AH44)*(1-AF44)+INDEX(Models!$BJ44:$BT44,,AH44+1)*AF44-ERP_i)*AE44*Ramure*Pc/MaxiM</f>
        <v>1.8115444600056785E-4</v>
      </c>
      <c r="AE44" s="304">
        <f t="shared" si="15"/>
        <v>0.6</v>
      </c>
      <c r="AF44" s="177">
        <f t="shared" si="23"/>
        <v>0.50070504087188628</v>
      </c>
      <c r="AG44" s="799">
        <f t="shared" si="24"/>
        <v>1</v>
      </c>
      <c r="AH44" s="176">
        <f t="shared" si="16"/>
        <v>7</v>
      </c>
      <c r="AI44" s="224">
        <f t="shared" si="17"/>
        <v>1.5007050408718863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45688</v>
      </c>
      <c r="B45" s="409">
        <f>IF(t&gt;Tmaj,'2024'!Wh/'2024'!Env_an*'2025'!Env_an,0.001*'[3]mon-tableau (2)'!$B$272)</f>
        <v>7.4308974326403927</v>
      </c>
      <c r="C45" s="829"/>
      <c r="D45" s="391">
        <f t="shared" si="0"/>
        <v>7.7497161657908498</v>
      </c>
      <c r="E45" s="383">
        <f t="shared" si="1"/>
        <v>8.0566604087803633</v>
      </c>
      <c r="F45" s="383">
        <f t="shared" si="2"/>
        <v>8.0566604087803633</v>
      </c>
      <c r="G45" s="110">
        <f t="shared" si="21"/>
        <v>0.21805011541874683</v>
      </c>
      <c r="H45" s="412" t="b">
        <f>Wh_hp&gt;='2024'!Maxi_hp</f>
        <v>0</v>
      </c>
      <c r="I45" s="388">
        <f>IF(H45,Wh_hp,'2024'!Maxi_hp)</f>
        <v>23.230245238916424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4.1139407731834221E-2</v>
      </c>
      <c r="M45" s="832"/>
      <c r="N45" s="832"/>
      <c r="O45" s="48">
        <f>IF(t&lt;Tnet,'2024'!Resal+('2024'!Salim-'2024'!Resal)*(1-EXP(('2024'!Tnet-t)/('2024'!Tau_j))),Resal+(Salim-Resal)*(1-EXP((Tnet-t)/(Tau_j))))*Salcycl</f>
        <v>3.8098197940054264E-2</v>
      </c>
      <c r="P45" s="169">
        <f>(INDEX(Models!$BJ45:$BT45,,T45)*(1-R45)+INDEX(Models!$BJ45:$BT45,,T45+1)*R45-ERP_i)*Q45*Ramure*Pc/MaxiM</f>
        <v>1.6236257642806971E-4</v>
      </c>
      <c r="Q45" s="304">
        <f t="shared" si="4"/>
        <v>0.6</v>
      </c>
      <c r="R45" s="177">
        <f t="shared" si="5"/>
        <v>0.50080061875331627</v>
      </c>
      <c r="S45" s="799">
        <f t="shared" si="6"/>
        <v>1</v>
      </c>
      <c r="T45" s="176">
        <f t="shared" si="7"/>
        <v>7</v>
      </c>
      <c r="U45" s="250">
        <f t="shared" si="8"/>
        <v>1.5008006187533163</v>
      </c>
      <c r="V45" s="382">
        <f t="shared" si="9"/>
        <v>34.073318047642225</v>
      </c>
      <c r="W45" s="400">
        <f t="shared" si="10"/>
        <v>7.4308974326403927</v>
      </c>
      <c r="X45" s="157">
        <f t="shared" si="11"/>
        <v>45688</v>
      </c>
      <c r="Y45" s="383">
        <f t="shared" si="12"/>
        <v>7.2236135241199078</v>
      </c>
      <c r="Z45" s="383">
        <f t="shared" si="22"/>
        <v>7.5335388505565684</v>
      </c>
      <c r="AA45" s="384">
        <f t="shared" si="13"/>
        <v>8.0566604087803633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6.4930322451432057E-2</v>
      </c>
      <c r="AD45" s="230">
        <f>(INDEX(Models!$BJ45:$BT45,,AH45)*(1-AF45)+INDEX(Models!$BJ45:$BT45,,AH45+1)*AF45-ERP_i)*AE45*Ramure*Pc/MaxiM</f>
        <v>1.6236257642806971E-4</v>
      </c>
      <c r="AE45" s="304">
        <f t="shared" si="15"/>
        <v>0.6</v>
      </c>
      <c r="AF45" s="177">
        <f t="shared" si="23"/>
        <v>0.50080061875331627</v>
      </c>
      <c r="AG45" s="799">
        <f t="shared" si="24"/>
        <v>1</v>
      </c>
      <c r="AH45" s="176">
        <f t="shared" si="16"/>
        <v>7</v>
      </c>
      <c r="AI45" s="224">
        <f t="shared" si="17"/>
        <v>1.5008006187533163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45689</v>
      </c>
      <c r="B46" s="409">
        <f>IF(t&gt;Tmaj,'2024'!Wh/'2024'!Env_an*'2025'!Env_an,0.001*'[4]mon-tableau'!$B$221)</f>
        <v>16.305807927185157</v>
      </c>
      <c r="C46" s="829"/>
      <c r="D46" s="391">
        <f t="shared" si="0"/>
        <v>17.00572592277609</v>
      </c>
      <c r="E46" s="383">
        <f t="shared" si="1"/>
        <v>17.680924211558807</v>
      </c>
      <c r="F46" s="383">
        <f t="shared" si="2"/>
        <v>17.681563588619369</v>
      </c>
      <c r="G46" s="110">
        <f t="shared" si="21"/>
        <v>0.47377506063652186</v>
      </c>
      <c r="H46" s="412" t="b">
        <f>Wh_hp&gt;='2024'!Maxi_hp</f>
        <v>0</v>
      </c>
      <c r="I46" s="388">
        <f>IF(H46,Wh_hp,'2024'!Maxi_hp)</f>
        <v>17.683006794963966</v>
      </c>
      <c r="J46" s="85">
        <f>IF(H46,An,'2024'!An_max)</f>
        <v>2022</v>
      </c>
      <c r="K46" s="197">
        <f t="shared" si="3"/>
        <v>45689</v>
      </c>
      <c r="L46" s="147">
        <f>IF(t&lt;Tvie,1-EXP((T0-t)*PertePVj)+'2024'!Pspv,1-EXP((T0-t)*PertePVj)+Pspv)</f>
        <v>4.1157784076333859E-2</v>
      </c>
      <c r="M46" s="832"/>
      <c r="N46" s="832"/>
      <c r="O46" s="48">
        <f>IF(t&lt;Tnet,'2024'!Resal+('2024'!Salim-'2024'!Resal)*(1-EXP(('2024'!Tnet-t)/('2024'!Tau_j))),Resal+(Salim-Resal)*(1-EXP((Tnet-t)/(Tau_j))))*Salcycl</f>
        <v>3.8187952207911727E-2</v>
      </c>
      <c r="P46" s="169">
        <f>(INDEX(Models!$BJ46:$BT46,,T46)*(1-R46)+INDEX(Models!$BJ46:$BT46,,T46+1)*R46-ERP_i)*Q46*Ramure*Pc/MaxiM</f>
        <v>1.456187744454569E-4</v>
      </c>
      <c r="Q46" s="304">
        <f t="shared" si="4"/>
        <v>0.6</v>
      </c>
      <c r="R46" s="177">
        <f t="shared" si="5"/>
        <v>0.50090016734375675</v>
      </c>
      <c r="S46" s="799">
        <f t="shared" si="6"/>
        <v>1</v>
      </c>
      <c r="T46" s="176">
        <f t="shared" si="7"/>
        <v>7</v>
      </c>
      <c r="U46" s="250">
        <f t="shared" si="8"/>
        <v>1.5009001673437568</v>
      </c>
      <c r="V46" s="382">
        <f t="shared" si="9"/>
        <v>34.413004006153656</v>
      </c>
      <c r="W46" s="400">
        <f t="shared" si="10"/>
        <v>16.305807927185157</v>
      </c>
      <c r="X46" s="157">
        <f t="shared" si="11"/>
        <v>45689</v>
      </c>
      <c r="Y46" s="383">
        <f t="shared" si="12"/>
        <v>15.851434725675013</v>
      </c>
      <c r="Z46" s="383">
        <f t="shared" si="22"/>
        <v>16.531848997079361</v>
      </c>
      <c r="AA46" s="384">
        <f t="shared" si="13"/>
        <v>17.680924211558807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6.4989544705374783E-2</v>
      </c>
      <c r="AD46" s="230">
        <f>(INDEX(Models!$BJ46:$BT46,,AH46)*(1-AF46)+INDEX(Models!$BJ46:$BT46,,AH46+1)*AF46-ERP_i)*AE46*Ramure*Pc/MaxiM</f>
        <v>1.456187744454569E-4</v>
      </c>
      <c r="AE46" s="304">
        <f t="shared" si="15"/>
        <v>0.6</v>
      </c>
      <c r="AF46" s="177">
        <f t="shared" si="23"/>
        <v>0.50090016734375675</v>
      </c>
      <c r="AG46" s="799">
        <f t="shared" si="24"/>
        <v>1</v>
      </c>
      <c r="AH46" s="176">
        <f t="shared" si="16"/>
        <v>7</v>
      </c>
      <c r="AI46" s="224">
        <f t="shared" si="17"/>
        <v>1.5009001673437568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45690</v>
      </c>
      <c r="B47" s="409">
        <f>IF(t&gt;Tmaj,'2024'!Wh/'2024'!Env_an*'2025'!Env_an,0.001*'[4]mon-tableau'!$B$222)</f>
        <v>5.353456076295438</v>
      </c>
      <c r="C47" s="829"/>
      <c r="D47" s="391">
        <f t="shared" si="0"/>
        <v>5.5833572897799071</v>
      </c>
      <c r="E47" s="383">
        <f t="shared" si="1"/>
        <v>5.8055813635787494</v>
      </c>
      <c r="F47" s="383">
        <f t="shared" si="2"/>
        <v>5.8055813635787494</v>
      </c>
      <c r="G47" s="110">
        <f t="shared" si="21"/>
        <v>0.1540209830178384</v>
      </c>
      <c r="H47" s="412" t="b">
        <f>Wh_hp&gt;='2024'!Maxi_hp</f>
        <v>0</v>
      </c>
      <c r="I47" s="388">
        <f>IF(H47,Wh_hp,'2024'!Maxi_hp)</f>
        <v>31.802968969314829</v>
      </c>
      <c r="J47" s="85">
        <f>IF(H47,An,'2024'!An_max)</f>
        <v>2021</v>
      </c>
      <c r="K47" s="197">
        <f t="shared" si="3"/>
        <v>45690</v>
      </c>
      <c r="L47" s="147">
        <f>IF(t&lt;Tvie,1-EXP((T0-t)*PertePVj)+'2024'!Pspv,1-EXP((T0-t)*PertePVj)+Pspv)</f>
        <v>4.1176160068654988E-2</v>
      </c>
      <c r="M47" s="832"/>
      <c r="N47" s="832"/>
      <c r="O47" s="48">
        <f>IF(t&lt;Tnet,'2024'!Resal+('2024'!Salim-'2024'!Resal)*(1-EXP(('2024'!Tnet-t)/('2024'!Tau_j))),Resal+(Salim-Resal)*(1-EXP((Tnet-t)/(Tau_j))))*Salcycl</f>
        <v>3.8277660734024381E-2</v>
      </c>
      <c r="P47" s="169">
        <f>(INDEX(Models!$BJ47:$BT47,,T47)*(1-R47)+INDEX(Models!$BJ47:$BT47,,T47+1)*R47-ERP_i)*Q47*Ramure*Pc/MaxiM</f>
        <v>1.3086734670338644E-4</v>
      </c>
      <c r="Q47" s="304">
        <f t="shared" si="4"/>
        <v>0.6</v>
      </c>
      <c r="R47" s="177">
        <f t="shared" si="5"/>
        <v>0.50100384990900149</v>
      </c>
      <c r="S47" s="799">
        <f t="shared" si="6"/>
        <v>1</v>
      </c>
      <c r="T47" s="176">
        <f t="shared" si="7"/>
        <v>7</v>
      </c>
      <c r="U47" s="250">
        <f t="shared" si="8"/>
        <v>1.5010038499090015</v>
      </c>
      <c r="V47" s="382">
        <f t="shared" si="9"/>
        <v>34.753417221620346</v>
      </c>
      <c r="W47" s="400">
        <f t="shared" si="10"/>
        <v>5.353456076295438</v>
      </c>
      <c r="X47" s="157">
        <f t="shared" si="11"/>
        <v>45690</v>
      </c>
      <c r="Y47" s="383">
        <f t="shared" si="12"/>
        <v>5.2044337585430833</v>
      </c>
      <c r="Z47" s="383">
        <f t="shared" si="22"/>
        <v>5.4279352909244913</v>
      </c>
      <c r="AA47" s="384">
        <f t="shared" si="13"/>
        <v>5.8055813635787494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6.5048795116957062E-2</v>
      </c>
      <c r="AD47" s="230">
        <f>(INDEX(Models!$BJ47:$BT47,,AH47)*(1-AF47)+INDEX(Models!$BJ47:$BT47,,AH47+1)*AF47-ERP_i)*AE47*Ramure*Pc/MaxiM</f>
        <v>1.3086734670338644E-4</v>
      </c>
      <c r="AE47" s="304">
        <f t="shared" si="15"/>
        <v>0.6</v>
      </c>
      <c r="AF47" s="177">
        <f t="shared" si="23"/>
        <v>0.50100384990900149</v>
      </c>
      <c r="AG47" s="799">
        <f t="shared" si="24"/>
        <v>1</v>
      </c>
      <c r="AH47" s="176">
        <f t="shared" si="16"/>
        <v>7</v>
      </c>
      <c r="AI47" s="224">
        <f t="shared" si="17"/>
        <v>1.5010038499090015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45691</v>
      </c>
      <c r="B48" s="409">
        <f>IF(t&gt;Tmaj,'2024'!Wh/'2024'!Env_an*'2025'!Env_an,0.001*'[4]mon-tableau'!$B$223)</f>
        <v>10.765229298552205</v>
      </c>
      <c r="C48" s="829"/>
      <c r="D48" s="391">
        <f t="shared" si="0"/>
        <v>11.227751300427229</v>
      </c>
      <c r="E48" s="383">
        <f t="shared" si="1"/>
        <v>11.675717304653421</v>
      </c>
      <c r="F48" s="383">
        <f t="shared" si="2"/>
        <v>11.675730608157991</v>
      </c>
      <c r="G48" s="110">
        <f t="shared" si="21"/>
        <v>0.30672033170721258</v>
      </c>
      <c r="H48" s="412" t="b">
        <f>Wh_hp&gt;='2024'!Maxi_hp</f>
        <v>0</v>
      </c>
      <c r="I48" s="388">
        <f>IF(H48,Wh_hp,'2024'!Maxi_hp)</f>
        <v>29.439960485046544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4.1194535708804381E-2</v>
      </c>
      <c r="M48" s="832"/>
      <c r="N48" s="832"/>
      <c r="O48" s="48">
        <f>IF(t&lt;Tnet,'2024'!Resal+('2024'!Salim-'2024'!Resal)*(1-EXP(('2024'!Tnet-t)/('2024'!Tau_j))),Resal+(Salim-Resal)*(1-EXP((Tnet-t)/(Tau_j))))*Salcycl</f>
        <v>3.8367321898728442E-2</v>
      </c>
      <c r="P48" s="169">
        <f>(INDEX(Models!$BJ48:$BT48,,T48)*(1-R48)+INDEX(Models!$BJ48:$BT48,,T48+1)*R48-ERP_i)*Q48*Ramure*Pc/MaxiM</f>
        <v>1.180532128807247E-4</v>
      </c>
      <c r="Q48" s="304">
        <f t="shared" si="4"/>
        <v>0.6</v>
      </c>
      <c r="R48" s="177">
        <f t="shared" si="5"/>
        <v>0.50111183628363465</v>
      </c>
      <c r="S48" s="799">
        <f t="shared" si="6"/>
        <v>1</v>
      </c>
      <c r="T48" s="176">
        <f t="shared" si="7"/>
        <v>7</v>
      </c>
      <c r="U48" s="250">
        <f t="shared" si="8"/>
        <v>1.5011118362836346</v>
      </c>
      <c r="V48" s="382">
        <f t="shared" si="9"/>
        <v>35.093763212125822</v>
      </c>
      <c r="W48" s="400">
        <f t="shared" si="10"/>
        <v>10.765229298552205</v>
      </c>
      <c r="X48" s="157">
        <f t="shared" si="11"/>
        <v>45691</v>
      </c>
      <c r="Y48" s="383">
        <f t="shared" si="12"/>
        <v>10.465873530083357</v>
      </c>
      <c r="Z48" s="383">
        <f t="shared" si="22"/>
        <v>10.91553388029587</v>
      </c>
      <c r="AA48" s="384">
        <f t="shared" si="13"/>
        <v>11.675717304653421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6.5108070409907473E-2</v>
      </c>
      <c r="AD48" s="230">
        <f>(INDEX(Models!$BJ48:$BT48,,AH48)*(1-AF48)+INDEX(Models!$BJ48:$BT48,,AH48+1)*AF48-ERP_i)*AE48*Ramure*Pc/MaxiM</f>
        <v>1.180532128807247E-4</v>
      </c>
      <c r="AE48" s="304">
        <f t="shared" si="15"/>
        <v>0.6</v>
      </c>
      <c r="AF48" s="177">
        <f t="shared" si="23"/>
        <v>0.50111183628363465</v>
      </c>
      <c r="AG48" s="799">
        <f t="shared" si="24"/>
        <v>1</v>
      </c>
      <c r="AH48" s="176">
        <f t="shared" si="16"/>
        <v>7</v>
      </c>
      <c r="AI48" s="224">
        <f t="shared" si="17"/>
        <v>1.5011118362836346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45692</v>
      </c>
      <c r="B49" s="409">
        <f>IF(t&gt;Tmaj,'2024'!Wh/'2024'!Env_an*'2025'!Env_an,0.001*'[4]mon-tableau'!$B$224)</f>
        <v>11.117973750649012</v>
      </c>
      <c r="C49" s="829"/>
      <c r="D49" s="391">
        <f t="shared" si="0"/>
        <v>11.595873451120049</v>
      </c>
      <c r="E49" s="383">
        <f t="shared" si="1"/>
        <v>12.059650635756693</v>
      </c>
      <c r="F49" s="383">
        <f t="shared" si="2"/>
        <v>12.059676052855627</v>
      </c>
      <c r="G49" s="110">
        <f t="shared" si="21"/>
        <v>0.31373940769003067</v>
      </c>
      <c r="H49" s="412" t="b">
        <f>Wh_hp&gt;='2024'!Maxi_hp</f>
        <v>0</v>
      </c>
      <c r="I49" s="388">
        <f>IF(H49,Wh_hp,'2024'!Maxi_hp)</f>
        <v>20.989724213200883</v>
      </c>
      <c r="J49" s="85">
        <f>IF(H49,An,'2024'!An_max)</f>
        <v>2020</v>
      </c>
      <c r="K49" s="197">
        <f t="shared" si="3"/>
        <v>45692</v>
      </c>
      <c r="L49" s="147">
        <f>IF(t&lt;Tvie,1-EXP((T0-t)*PertePVj)+'2024'!Pspv,1-EXP((T0-t)*PertePVj)+Pspv)</f>
        <v>4.121291099678881E-2</v>
      </c>
      <c r="M49" s="832"/>
      <c r="N49" s="832"/>
      <c r="O49" s="48">
        <f>IF(t&lt;Tnet,'2024'!Resal+('2024'!Salim-'2024'!Resal)*(1-EXP(('2024'!Tnet-t)/('2024'!Tau_j))),Resal+(Salim-Resal)*(1-EXP((Tnet-t)/(Tau_j))))*Salcycl</f>
        <v>3.8456933674475752E-2</v>
      </c>
      <c r="P49" s="169">
        <f>(INDEX(Models!$BJ49:$BT49,,T49)*(1-R49)+INDEX(Models!$BJ49:$BT49,,T49+1)*R49-ERP_i)*Q49*Ramure*Pc/MaxiM</f>
        <v>1.0712234201189486E-4</v>
      </c>
      <c r="Q49" s="304">
        <f t="shared" si="4"/>
        <v>0.6</v>
      </c>
      <c r="R49" s="177">
        <f t="shared" si="5"/>
        <v>0.50122430312300059</v>
      </c>
      <c r="S49" s="799">
        <f t="shared" si="6"/>
        <v>1</v>
      </c>
      <c r="T49" s="176">
        <f t="shared" si="7"/>
        <v>7</v>
      </c>
      <c r="U49" s="250">
        <f t="shared" si="8"/>
        <v>1.5012243031230006</v>
      </c>
      <c r="V49" s="382">
        <f t="shared" si="9"/>
        <v>35.43324786327841</v>
      </c>
      <c r="W49" s="400">
        <f t="shared" si="10"/>
        <v>11.117973750649012</v>
      </c>
      <c r="X49" s="157">
        <f t="shared" si="11"/>
        <v>45692</v>
      </c>
      <c r="Y49" s="383">
        <f t="shared" si="12"/>
        <v>10.809130701428268</v>
      </c>
      <c r="Z49" s="383">
        <f t="shared" si="22"/>
        <v>11.273754961245693</v>
      </c>
      <c r="AA49" s="384">
        <f t="shared" si="13"/>
        <v>12.059650635756693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6.5167366638369265E-2</v>
      </c>
      <c r="AD49" s="230">
        <f>(INDEX(Models!$BJ49:$BT49,,AH49)*(1-AF49)+INDEX(Models!$BJ49:$BT49,,AH49+1)*AF49-ERP_i)*AE49*Ramure*Pc/MaxiM</f>
        <v>1.0712234201189486E-4</v>
      </c>
      <c r="AE49" s="304">
        <f t="shared" si="15"/>
        <v>0.6</v>
      </c>
      <c r="AF49" s="177">
        <f t="shared" si="23"/>
        <v>0.50122430312300059</v>
      </c>
      <c r="AG49" s="799">
        <f t="shared" si="24"/>
        <v>1</v>
      </c>
      <c r="AH49" s="176">
        <f t="shared" si="16"/>
        <v>7</v>
      </c>
      <c r="AI49" s="224">
        <f t="shared" si="17"/>
        <v>1.5012243031230006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45693</v>
      </c>
      <c r="B50" s="409">
        <f>IF(t&gt;Tmaj,'2024'!Wh/'2024'!Env_an*'2025'!Env_an,0.001*'[4]mon-tableau'!$B$225)</f>
        <v>9.173198991790974</v>
      </c>
      <c r="C50" s="829"/>
      <c r="D50" s="391">
        <f t="shared" si="0"/>
        <v>9.5676870315005456</v>
      </c>
      <c r="E50" s="383">
        <f t="shared" si="1"/>
        <v>9.9512737415369692</v>
      </c>
      <c r="F50" s="383">
        <f t="shared" si="2"/>
        <v>9.9512737415369692</v>
      </c>
      <c r="G50" s="110">
        <f t="shared" si="21"/>
        <v>0.25641664926808905</v>
      </c>
      <c r="H50" s="412" t="b">
        <f>Wh_hp&gt;='2024'!Maxi_hp</f>
        <v>0</v>
      </c>
      <c r="I50" s="388">
        <f>IF(H50,Wh_hp,'2024'!Maxi_hp)</f>
        <v>38.888374306898015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4.1231285932615047E-2</v>
      </c>
      <c r="M50" s="832"/>
      <c r="N50" s="832"/>
      <c r="O50" s="48">
        <f>IF(t&lt;Tnet,'2024'!Resal+('2024'!Salim-'2024'!Resal)*(1-EXP(('2024'!Tnet-t)/('2024'!Tau_j))),Resal+(Salim-Resal)*(1-EXP((Tnet-t)/(Tau_j))))*Salcycl</f>
        <v>3.8546493644860673E-2</v>
      </c>
      <c r="P50" s="169">
        <f>(INDEX(Models!$BJ50:$BT50,,T50)*(1-R50)+INDEX(Models!$BJ50:$BT50,,T50+1)*R50-ERP_i)*Q50*Ramure*Pc/MaxiM</f>
        <v>9.8022134321874713E-5</v>
      </c>
      <c r="Q50" s="304">
        <f t="shared" si="4"/>
        <v>0.6</v>
      </c>
      <c r="R50" s="177">
        <f t="shared" si="5"/>
        <v>0.50134143416378141</v>
      </c>
      <c r="S50" s="799">
        <f t="shared" si="6"/>
        <v>1</v>
      </c>
      <c r="T50" s="176">
        <f t="shared" si="7"/>
        <v>7</v>
      </c>
      <c r="U50" s="250">
        <f t="shared" si="8"/>
        <v>1.5013414341637814</v>
      </c>
      <c r="V50" s="382">
        <f t="shared" si="9"/>
        <v>35.771077429755373</v>
      </c>
      <c r="W50" s="400">
        <f t="shared" si="10"/>
        <v>9.173198991790974</v>
      </c>
      <c r="X50" s="157">
        <f t="shared" si="11"/>
        <v>45693</v>
      </c>
      <c r="Y50" s="383">
        <f t="shared" si="12"/>
        <v>8.91864414349652</v>
      </c>
      <c r="Z50" s="383">
        <f t="shared" si="22"/>
        <v>9.3021852013307278</v>
      </c>
      <c r="AA50" s="384">
        <f t="shared" si="13"/>
        <v>9.9512737415369692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6.5226679223678002E-2</v>
      </c>
      <c r="AD50" s="230">
        <f>(INDEX(Models!$BJ50:$BT50,,AH50)*(1-AF50)+INDEX(Models!$BJ50:$BT50,,AH50+1)*AF50-ERP_i)*AE50*Ramure*Pc/MaxiM</f>
        <v>9.8022134321874713E-5</v>
      </c>
      <c r="AE50" s="304">
        <f t="shared" si="15"/>
        <v>0.6</v>
      </c>
      <c r="AF50" s="177">
        <f t="shared" si="23"/>
        <v>0.50134143416378141</v>
      </c>
      <c r="AG50" s="799">
        <f t="shared" si="24"/>
        <v>1</v>
      </c>
      <c r="AH50" s="176">
        <f t="shared" si="16"/>
        <v>7</v>
      </c>
      <c r="AI50" s="224">
        <f t="shared" si="17"/>
        <v>1.5013414341637814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45694</v>
      </c>
      <c r="B51" s="409">
        <f>IF(t&gt;Tmaj,'2024'!Wh/'2024'!Env_an*'2025'!Env_an,0.001*'[4]mon-tableau'!$B$226)</f>
        <v>25.094922173384184</v>
      </c>
      <c r="C51" s="829"/>
      <c r="D51" s="391">
        <f t="shared" si="0"/>
        <v>26.174616206026975</v>
      </c>
      <c r="E51" s="383">
        <f t="shared" si="1"/>
        <v>27.226540810370132</v>
      </c>
      <c r="F51" s="383">
        <f t="shared" si="2"/>
        <v>27.227934124824174</v>
      </c>
      <c r="G51" s="110">
        <f t="shared" si="21"/>
        <v>0.69493534072831742</v>
      </c>
      <c r="H51" s="412" t="b">
        <f>Wh_hp&gt;='2024'!Maxi_hp</f>
        <v>0</v>
      </c>
      <c r="I51" s="388">
        <f>IF(H51,Wh_hp,'2024'!Maxi_hp)</f>
        <v>41.004542581463518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4.1249660516289866E-2</v>
      </c>
      <c r="M51" s="832"/>
      <c r="N51" s="832"/>
      <c r="O51" s="48">
        <f>IF(t&lt;Tnet,'2024'!Resal+('2024'!Salim-'2024'!Resal)*(1-EXP(('2024'!Tnet-t)/('2024'!Tau_j))),Resal+(Salim-Resal)*(1-EXP((Tnet-t)/(Tau_j))))*Salcycl</f>
        <v>3.8635999030126385E-2</v>
      </c>
      <c r="P51" s="169">
        <f>(INDEX(Models!$BJ51:$BT51,,T51)*(1-R51)+INDEX(Models!$BJ51:$BT51,,T51+1)*R51-ERP_i)*Q51*Ramure*Pc/MaxiM</f>
        <v>9.0693526551481908E-5</v>
      </c>
      <c r="Q51" s="304">
        <f t="shared" si="4"/>
        <v>0.6</v>
      </c>
      <c r="R51" s="177">
        <f t="shared" si="5"/>
        <v>0.50146342049337544</v>
      </c>
      <c r="S51" s="799">
        <f t="shared" si="6"/>
        <v>1</v>
      </c>
      <c r="T51" s="176">
        <f t="shared" si="7"/>
        <v>7</v>
      </c>
      <c r="U51" s="250">
        <f t="shared" si="8"/>
        <v>1.5014634204933754</v>
      </c>
      <c r="V51" s="382">
        <f t="shared" si="9"/>
        <v>36.109734054953556</v>
      </c>
      <c r="W51" s="400">
        <f t="shared" si="10"/>
        <v>25.094922173384184</v>
      </c>
      <c r="X51" s="157">
        <f t="shared" si="11"/>
        <v>45694</v>
      </c>
      <c r="Y51" s="383">
        <f t="shared" si="12"/>
        <v>24.399264987434602</v>
      </c>
      <c r="Z51" s="383">
        <f t="shared" si="22"/>
        <v>25.449028785297408</v>
      </c>
      <c r="AA51" s="384">
        <f t="shared" si="13"/>
        <v>27.226540810370132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6.528600300173644E-2</v>
      </c>
      <c r="AD51" s="230">
        <f>(INDEX(Models!$BJ51:$BT51,,AH51)*(1-AF51)+INDEX(Models!$BJ51:$BT51,,AH51+1)*AF51-ERP_i)*AE51*Ramure*Pc/MaxiM</f>
        <v>9.0693526551481908E-5</v>
      </c>
      <c r="AE51" s="304">
        <f t="shared" si="15"/>
        <v>0.6</v>
      </c>
      <c r="AF51" s="177">
        <f t="shared" si="23"/>
        <v>0.50146342049337544</v>
      </c>
      <c r="AG51" s="799">
        <f t="shared" si="24"/>
        <v>1</v>
      </c>
      <c r="AH51" s="176">
        <f t="shared" si="16"/>
        <v>7</v>
      </c>
      <c r="AI51" s="224">
        <f t="shared" si="17"/>
        <v>1.5014634204933754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45695</v>
      </c>
      <c r="B52" s="409">
        <f>IF(t&gt;Tmaj,'2024'!Wh/'2024'!Env_an*'2025'!Env_an,0.001*'[4]mon-tableau'!$B$227)</f>
        <v>9.0026093856589782</v>
      </c>
      <c r="C52" s="829"/>
      <c r="D52" s="391">
        <f t="shared" si="0"/>
        <v>9.3901212350742664</v>
      </c>
      <c r="E52" s="383">
        <f t="shared" si="1"/>
        <v>9.7684071663212375</v>
      </c>
      <c r="F52" s="383">
        <f t="shared" si="2"/>
        <v>9.7684071663212375</v>
      </c>
      <c r="G52" s="110">
        <f t="shared" si="21"/>
        <v>0.24695174855135982</v>
      </c>
      <c r="H52" s="412" t="b">
        <f>Wh_hp&gt;='2024'!Maxi_hp</f>
        <v>0</v>
      </c>
      <c r="I52" s="388">
        <f>IF(H52,Wh_hp,'2024'!Maxi_hp)</f>
        <v>27.6544109096825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4.1268034747820037E-2</v>
      </c>
      <c r="M52" s="832"/>
      <c r="N52" s="832"/>
      <c r="O52" s="48">
        <f>IF(t&lt;Tnet,'2024'!Resal+('2024'!Salim-'2024'!Resal)*(1-EXP(('2024'!Tnet-t)/('2024'!Tau_j))),Resal+(Salim-Resal)*(1-EXP((Tnet-t)/(Tau_j))))*Salcycl</f>
        <v>3.8725446718805547E-2</v>
      </c>
      <c r="P52" s="169">
        <f>(INDEX(Models!$BJ52:$BT52,,T52)*(1-R52)+INDEX(Models!$BJ52:$BT52,,T52+1)*R52-ERP_i)*Q52*Ramure*Pc/MaxiM</f>
        <v>8.5148499264038686E-5</v>
      </c>
      <c r="Q52" s="304">
        <f t="shared" si="4"/>
        <v>0.6</v>
      </c>
      <c r="R52" s="177">
        <f t="shared" si="5"/>
        <v>0.50159046082827707</v>
      </c>
      <c r="S52" s="799">
        <f t="shared" si="6"/>
        <v>1</v>
      </c>
      <c r="T52" s="176">
        <f t="shared" si="7"/>
        <v>7</v>
      </c>
      <c r="U52" s="250">
        <f t="shared" si="8"/>
        <v>1.5015904608282771</v>
      </c>
      <c r="V52" s="382">
        <f t="shared" si="9"/>
        <v>36.451828666069034</v>
      </c>
      <c r="W52" s="400">
        <f t="shared" si="10"/>
        <v>9.0026093856589782</v>
      </c>
      <c r="X52" s="157">
        <f t="shared" si="11"/>
        <v>45695</v>
      </c>
      <c r="Y52" s="383">
        <f t="shared" si="12"/>
        <v>8.7533065920053819</v>
      </c>
      <c r="Z52" s="383">
        <f t="shared" si="22"/>
        <v>9.1300873541886727</v>
      </c>
      <c r="AA52" s="384">
        <f t="shared" si="13"/>
        <v>9.7684071663212375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6.5345332280304119E-2</v>
      </c>
      <c r="AD52" s="230">
        <f>(INDEX(Models!$BJ52:$BT52,,AH52)*(1-AF52)+INDEX(Models!$BJ52:$BT52,,AH52+1)*AF52-ERP_i)*AE52*Ramure*Pc/MaxiM</f>
        <v>8.5148499264038686E-5</v>
      </c>
      <c r="AE52" s="304">
        <f t="shared" si="15"/>
        <v>0.6</v>
      </c>
      <c r="AF52" s="177">
        <f t="shared" si="23"/>
        <v>0.50159046082827707</v>
      </c>
      <c r="AG52" s="799">
        <f t="shared" si="24"/>
        <v>1</v>
      </c>
      <c r="AH52" s="176">
        <f t="shared" si="16"/>
        <v>7</v>
      </c>
      <c r="AI52" s="224">
        <f t="shared" si="17"/>
        <v>1.5015904608282771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45696</v>
      </c>
      <c r="B53" s="409">
        <f>IF(t&gt;Tmaj,'2024'!Wh/'2024'!Env_an*'2025'!Env_an,0.001*'[4]mon-tableau'!$B$228)</f>
        <v>36.382658131710706</v>
      </c>
      <c r="C53" s="829"/>
      <c r="D53" s="391">
        <f t="shared" si="0"/>
        <v>37.949454831045166</v>
      </c>
      <c r="E53" s="383">
        <f t="shared" si="1"/>
        <v>39.48193974063976</v>
      </c>
      <c r="F53" s="383">
        <f t="shared" si="2"/>
        <v>39.485057896414645</v>
      </c>
      <c r="G53" s="110">
        <f t="shared" si="21"/>
        <v>0.98874376772021777</v>
      </c>
      <c r="H53" s="412" t="b">
        <f>Wh_hp&gt;='2024'!Maxi_hp</f>
        <v>0</v>
      </c>
      <c r="I53" s="388">
        <f>IF(H53,Wh_hp,'2024'!Maxi_hp)</f>
        <v>39.485093112915379</v>
      </c>
      <c r="J53" s="85">
        <f>IF(H53,An,'2024'!An_max)</f>
        <v>2022</v>
      </c>
      <c r="K53" s="197">
        <f t="shared" si="3"/>
        <v>45696</v>
      </c>
      <c r="L53" s="147">
        <f>IF(t&lt;Tvie,1-EXP((T0-t)*PertePVj)+'2024'!Pspv,1-EXP((T0-t)*PertePVj)+Pspv)</f>
        <v>4.1286408627212112E-2</v>
      </c>
      <c r="M53" s="832"/>
      <c r="N53" s="832"/>
      <c r="O53" s="48">
        <f>IF(t&lt;Tnet,'2024'!Resal+('2024'!Salim-'2024'!Resal)*(1-EXP(('2024'!Tnet-t)/('2024'!Tau_j))),Resal+(Salim-Resal)*(1-EXP((Tnet-t)/(Tau_j))))*Salcycl</f>
        <v>3.8814833305091404E-2</v>
      </c>
      <c r="P53" s="169">
        <f>(INDEX(Models!$BJ53:$BT53,,T53)*(1-R53)+INDEX(Models!$BJ53:$BT53,,T53+1)*R53-ERP_i)*Q53*Ramure*Pc/MaxiM</f>
        <v>8.0261002834267946E-5</v>
      </c>
      <c r="Q53" s="304">
        <f t="shared" si="4"/>
        <v>0.6</v>
      </c>
      <c r="R53" s="177">
        <f t="shared" si="5"/>
        <v>0.50172276180164332</v>
      </c>
      <c r="S53" s="799">
        <f t="shared" si="6"/>
        <v>1</v>
      </c>
      <c r="T53" s="176">
        <f t="shared" si="7"/>
        <v>7</v>
      </c>
      <c r="U53" s="250">
        <f t="shared" si="8"/>
        <v>1.5017227618016433</v>
      </c>
      <c r="V53" s="382">
        <f t="shared" si="9"/>
        <v>36.796804556249015</v>
      </c>
      <c r="W53" s="400">
        <f t="shared" si="10"/>
        <v>36.382658131710706</v>
      </c>
      <c r="X53" s="157">
        <f t="shared" si="11"/>
        <v>45696</v>
      </c>
      <c r="Y53" s="383">
        <f t="shared" si="12"/>
        <v>35.376183374416357</v>
      </c>
      <c r="Z53" s="383">
        <f t="shared" si="22"/>
        <v>36.89963686001466</v>
      </c>
      <c r="AA53" s="384">
        <f t="shared" si="13"/>
        <v>39.48193974063976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6.5404660905428458E-2</v>
      </c>
      <c r="AD53" s="230">
        <f>(INDEX(Models!$BJ53:$BT53,,AH53)*(1-AF53)+INDEX(Models!$BJ53:$BT53,,AH53+1)*AF53-ERP_i)*AE53*Ramure*Pc/MaxiM</f>
        <v>8.0261002834267946E-5</v>
      </c>
      <c r="AE53" s="304">
        <f t="shared" si="15"/>
        <v>0.6</v>
      </c>
      <c r="AF53" s="177">
        <f t="shared" si="23"/>
        <v>0.50172276180164332</v>
      </c>
      <c r="AG53" s="799">
        <f t="shared" si="24"/>
        <v>1</v>
      </c>
      <c r="AH53" s="176">
        <f t="shared" si="16"/>
        <v>7</v>
      </c>
      <c r="AI53" s="224">
        <f t="shared" si="17"/>
        <v>1.5017227618016433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45697</v>
      </c>
      <c r="B54" s="409">
        <f>IF(t&gt;Tmaj,'2024'!Wh/'2024'!Env_an*'2025'!Env_an,0.001*'[4]mon-tableau'!$B$229)</f>
        <v>37.124276514880364</v>
      </c>
      <c r="C54" s="829"/>
      <c r="D54" s="391">
        <f t="shared" si="0"/>
        <v>38.723752683683607</v>
      </c>
      <c r="E54" s="383">
        <f t="shared" si="1"/>
        <v>40.291249712957814</v>
      </c>
      <c r="F54" s="383">
        <f t="shared" si="2"/>
        <v>40.294310355215934</v>
      </c>
      <c r="G54" s="110">
        <f t="shared" si="21"/>
        <v>0.99946717676797636</v>
      </c>
      <c r="H54" s="412" t="b">
        <f>Wh_hp&gt;='2024'!Maxi_hp</f>
        <v>0</v>
      </c>
      <c r="I54" s="388">
        <f>IF(H54,Wh_hp,'2024'!Maxi_hp)</f>
        <v>40.294311941413838</v>
      </c>
      <c r="J54" s="85">
        <f>IF(H54,An,'2024'!An_max)</f>
        <v>2022</v>
      </c>
      <c r="K54" s="197">
        <f t="shared" si="3"/>
        <v>45697</v>
      </c>
      <c r="L54" s="147">
        <f>IF(t&lt;Tvie,1-EXP((T0-t)*PertePVj)+'2024'!Pspv,1-EXP((T0-t)*PertePVj)+Pspv)</f>
        <v>4.1304782154473085E-2</v>
      </c>
      <c r="M54" s="832"/>
      <c r="N54" s="832"/>
      <c r="O54" s="48">
        <f>IF(t&lt;Tnet,'2024'!Resal+('2024'!Salim-'2024'!Resal)*(1-EXP(('2024'!Tnet-t)/('2024'!Tau_j))),Resal+(Salim-Resal)*(1-EXP((Tnet-t)/(Tau_j))))*Salcycl</f>
        <v>3.8904155131482321E-2</v>
      </c>
      <c r="P54" s="169">
        <f>(INDEX(Models!$BJ54:$BT54,,T54)*(1-R54)+INDEX(Models!$BJ54:$BT54,,T54+1)*R54-ERP_i)*Q54*Ramure*Pc/MaxiM</f>
        <v>7.601503636890265E-5</v>
      </c>
      <c r="Q54" s="304">
        <f t="shared" si="4"/>
        <v>0.6</v>
      </c>
      <c r="R54" s="177">
        <f t="shared" si="5"/>
        <v>0.50186053826023436</v>
      </c>
      <c r="S54" s="799">
        <f t="shared" si="6"/>
        <v>1</v>
      </c>
      <c r="T54" s="176">
        <f t="shared" si="7"/>
        <v>7</v>
      </c>
      <c r="U54" s="250">
        <f t="shared" si="8"/>
        <v>1.5018605382602344</v>
      </c>
      <c r="V54" s="382">
        <f t="shared" si="9"/>
        <v>37.144065587986177</v>
      </c>
      <c r="W54" s="400">
        <f t="shared" si="10"/>
        <v>37.124276514880364</v>
      </c>
      <c r="X54" s="157">
        <f t="shared" si="11"/>
        <v>45697</v>
      </c>
      <c r="Y54" s="383">
        <f t="shared" si="12"/>
        <v>36.09834931459271</v>
      </c>
      <c r="Z54" s="383">
        <f t="shared" si="22"/>
        <v>37.653624053446755</v>
      </c>
      <c r="AA54" s="384">
        <f t="shared" si="13"/>
        <v>40.291249712957814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6.5463982336164447E-2</v>
      </c>
      <c r="AD54" s="230">
        <f>(INDEX(Models!$BJ54:$BT54,,AH54)*(1-AF54)+INDEX(Models!$BJ54:$BT54,,AH54+1)*AF54-ERP_i)*AE54*Ramure*Pc/MaxiM</f>
        <v>7.601503636890265E-5</v>
      </c>
      <c r="AE54" s="304">
        <f t="shared" si="15"/>
        <v>0.6</v>
      </c>
      <c r="AF54" s="177">
        <f t="shared" si="23"/>
        <v>0.50186053826023436</v>
      </c>
      <c r="AG54" s="799">
        <f t="shared" si="24"/>
        <v>1</v>
      </c>
      <c r="AH54" s="176">
        <f t="shared" si="16"/>
        <v>7</v>
      </c>
      <c r="AI54" s="224">
        <f t="shared" si="17"/>
        <v>1.5018605382602344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45698</v>
      </c>
      <c r="B55" s="409">
        <f>IF(t&gt;Tmaj,'2024'!Wh/'2024'!Env_an*'2025'!Env_an,0.001*'[4]mon-tableau'!$B$230)</f>
        <v>34.806103530905439</v>
      </c>
      <c r="C55" s="829"/>
      <c r="D55" s="391">
        <f t="shared" si="0"/>
        <v>36.306398474527015</v>
      </c>
      <c r="E55" s="383">
        <f t="shared" si="1"/>
        <v>37.779551971302496</v>
      </c>
      <c r="F55" s="383">
        <f t="shared" si="2"/>
        <v>37.782007164429132</v>
      </c>
      <c r="G55" s="110">
        <f t="shared" si="21"/>
        <v>0.92832877555519999</v>
      </c>
      <c r="H55" s="412" t="b">
        <f>Wh_hp&gt;='2024'!Maxi_hp</f>
        <v>0</v>
      </c>
      <c r="I55" s="388">
        <f>IF(H55,Wh_hp,'2024'!Maxi_hp)</f>
        <v>37.78219486426039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4.1323155329609507E-2</v>
      </c>
      <c r="M55" s="832"/>
      <c r="N55" s="832"/>
      <c r="O55" s="48">
        <f>IF(t&lt;Tnet,'2024'!Resal+('2024'!Salim-'2024'!Resal)*(1-EXP(('2024'!Tnet-t)/('2024'!Tau_j))),Resal+(Salim-Resal)*(1-EXP((Tnet-t)/(Tau_j))))*Salcycl</f>
        <v>3.8993408336194468E-2</v>
      </c>
      <c r="P55" s="169">
        <f>(INDEX(Models!$BJ55:$BT55,,T55)*(1-R55)+INDEX(Models!$BJ55:$BT55,,T55+1)*R55-ERP_i)*Q55*Ramure*Pc/MaxiM</f>
        <v>7.2394732555449134E-5</v>
      </c>
      <c r="Q55" s="304">
        <f t="shared" si="4"/>
        <v>0.6</v>
      </c>
      <c r="R55" s="177">
        <f t="shared" si="5"/>
        <v>0.50200401357089697</v>
      </c>
      <c r="S55" s="799">
        <f t="shared" si="6"/>
        <v>1</v>
      </c>
      <c r="T55" s="176">
        <f t="shared" si="7"/>
        <v>7</v>
      </c>
      <c r="U55" s="250">
        <f t="shared" si="8"/>
        <v>1.502004013570897</v>
      </c>
      <c r="V55" s="382">
        <f t="shared" si="9"/>
        <v>37.493015903076696</v>
      </c>
      <c r="W55" s="400">
        <f t="shared" si="10"/>
        <v>34.806103530905439</v>
      </c>
      <c r="X55" s="157">
        <f t="shared" si="11"/>
        <v>45698</v>
      </c>
      <c r="Y55" s="383">
        <f t="shared" si="12"/>
        <v>33.845234160862432</v>
      </c>
      <c r="Z55" s="383">
        <f t="shared" si="22"/>
        <v>35.304111441743444</v>
      </c>
      <c r="AA55" s="384">
        <f t="shared" si="13"/>
        <v>37.779551971302496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6.5523289726659828E-2</v>
      </c>
      <c r="AD55" s="230">
        <f>(INDEX(Models!$BJ55:$BT55,,AH55)*(1-AF55)+INDEX(Models!$BJ55:$BT55,,AH55+1)*AF55-ERP_i)*AE55*Ramure*Pc/MaxiM</f>
        <v>7.2394732555449134E-5</v>
      </c>
      <c r="AE55" s="304">
        <f t="shared" si="15"/>
        <v>0.6</v>
      </c>
      <c r="AF55" s="177">
        <f t="shared" si="23"/>
        <v>0.50200401357089697</v>
      </c>
      <c r="AG55" s="799">
        <f t="shared" si="24"/>
        <v>1</v>
      </c>
      <c r="AH55" s="176">
        <f t="shared" si="16"/>
        <v>7</v>
      </c>
      <c r="AI55" s="224">
        <f t="shared" si="17"/>
        <v>1.502004013570897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45699</v>
      </c>
      <c r="B56" s="409">
        <f>IF(t&gt;Tmaj,'2024'!Wh/'2024'!Env_an*'2025'!Env_an,0.001*'[4]mon-tableau'!$B$231)</f>
        <v>17.20334814702797</v>
      </c>
      <c r="C56" s="829"/>
      <c r="D56" s="391">
        <f t="shared" si="0"/>
        <v>17.945231437715726</v>
      </c>
      <c r="E56" s="383">
        <f t="shared" si="1"/>
        <v>18.675102803333207</v>
      </c>
      <c r="F56" s="383">
        <f t="shared" si="2"/>
        <v>18.675388980763017</v>
      </c>
      <c r="G56" s="110">
        <f t="shared" si="21"/>
        <v>0.45457259916165871</v>
      </c>
      <c r="H56" s="412" t="b">
        <f>Wh_hp&gt;='2024'!Maxi_hp</f>
        <v>0</v>
      </c>
      <c r="I56" s="388">
        <f>IF(H56,Wh_hp,'2024'!Maxi_hp)</f>
        <v>35.249540811228528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4.1341528152628371E-2</v>
      </c>
      <c r="M56" s="832"/>
      <c r="N56" s="832"/>
      <c r="O56" s="48">
        <f>IF(t&lt;Tnet,'2024'!Resal+('2024'!Salim-'2024'!Resal)*(1-EXP(('2024'!Tnet-t)/('2024'!Tau_j))),Resal+(Salim-Resal)*(1-EXP((Tnet-t)/(Tau_j))))*Salcycl</f>
        <v>3.9082588904796309E-2</v>
      </c>
      <c r="P56" s="169">
        <f>(INDEX(Models!$BJ56:$BT56,,T56)*(1-R56)+INDEX(Models!$BJ56:$BT56,,T56+1)*R56-ERP_i)*Q56*Ramure*Pc/MaxiM</f>
        <v>6.9384459246303446E-5</v>
      </c>
      <c r="Q56" s="304">
        <f t="shared" si="4"/>
        <v>0.6</v>
      </c>
      <c r="R56" s="177">
        <f t="shared" si="5"/>
        <v>0.50215341993675811</v>
      </c>
      <c r="S56" s="799">
        <f t="shared" si="6"/>
        <v>1</v>
      </c>
      <c r="T56" s="176">
        <f t="shared" si="7"/>
        <v>7</v>
      </c>
      <c r="U56" s="250">
        <f t="shared" si="8"/>
        <v>1.5021534199367581</v>
      </c>
      <c r="V56" s="382">
        <f t="shared" si="9"/>
        <v>37.8430599198078</v>
      </c>
      <c r="W56" s="400">
        <f t="shared" si="10"/>
        <v>17.20334814702797</v>
      </c>
      <c r="X56" s="157">
        <f t="shared" si="11"/>
        <v>45699</v>
      </c>
      <c r="Y56" s="383">
        <f t="shared" si="12"/>
        <v>16.728917671652862</v>
      </c>
      <c r="Z56" s="383">
        <f t="shared" si="22"/>
        <v>17.450341454152692</v>
      </c>
      <c r="AA56" s="384">
        <f t="shared" si="13"/>
        <v>18.675102803333207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6.5582576014623889E-2</v>
      </c>
      <c r="AD56" s="230">
        <f>(INDEX(Models!$BJ56:$BT56,,AH56)*(1-AF56)+INDEX(Models!$BJ56:$BT56,,AH56+1)*AF56-ERP_i)*AE56*Ramure*Pc/MaxiM</f>
        <v>6.9384459246303446E-5</v>
      </c>
      <c r="AE56" s="304">
        <f t="shared" si="15"/>
        <v>0.6</v>
      </c>
      <c r="AF56" s="177">
        <f t="shared" si="23"/>
        <v>0.50215341993675811</v>
      </c>
      <c r="AG56" s="799">
        <f t="shared" si="24"/>
        <v>1</v>
      </c>
      <c r="AH56" s="176">
        <f t="shared" si="16"/>
        <v>7</v>
      </c>
      <c r="AI56" s="224">
        <f t="shared" si="17"/>
        <v>1.5021534199367581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45700</v>
      </c>
      <c r="B57" s="409">
        <f>IF(t&gt;Tmaj,'2024'!Wh/'2024'!Env_an*'2025'!Env_an,0.001*'[4]mon-tableau'!$B$232)</f>
        <v>27.964498749771849</v>
      </c>
      <c r="C57" s="829"/>
      <c r="D57" s="391">
        <f t="shared" si="0"/>
        <v>29.171008773742123</v>
      </c>
      <c r="E57" s="383">
        <f t="shared" si="1"/>
        <v>30.360272020386791</v>
      </c>
      <c r="F57" s="383">
        <f t="shared" si="2"/>
        <v>30.361527359385072</v>
      </c>
      <c r="G57" s="110">
        <f t="shared" si="21"/>
        <v>0.73215880389236432</v>
      </c>
      <c r="H57" s="412" t="b">
        <f>Wh_hp&gt;='2024'!Maxi_hp</f>
        <v>0</v>
      </c>
      <c r="I57" s="388">
        <f>IF(H57,Wh_hp,'2024'!Maxi_hp)</f>
        <v>30.36203542631517</v>
      </c>
      <c r="J57" s="85">
        <f>IF(H57,An,'2024'!An_max)</f>
        <v>2022</v>
      </c>
      <c r="K57" s="197">
        <f t="shared" si="3"/>
        <v>45700</v>
      </c>
      <c r="L57" s="147">
        <f>IF(t&lt;Tvie,1-EXP((T0-t)*PertePVj)+'2024'!Pspv,1-EXP((T0-t)*PertePVj)+Pspv)</f>
        <v>4.1359900623536117E-2</v>
      </c>
      <c r="M57" s="832"/>
      <c r="N57" s="832"/>
      <c r="O57" s="48">
        <f>IF(t&lt;Tnet,'2024'!Resal+('2024'!Salim-'2024'!Resal)*(1-EXP(('2024'!Tnet-t)/('2024'!Tau_j))),Resal+(Salim-Resal)*(1-EXP((Tnet-t)/(Tau_j))))*Salcycl</f>
        <v>3.9171692725482883E-2</v>
      </c>
      <c r="P57" s="169">
        <f>(INDEX(Models!$BJ57:$BT57,,T57)*(1-R57)+INDEX(Models!$BJ57:$BT57,,T57+1)*R57-ERP_i)*Q57*Ramure*Pc/MaxiM</f>
        <v>6.6968909545045156E-5</v>
      </c>
      <c r="Q57" s="304">
        <f t="shared" si="4"/>
        <v>0.6</v>
      </c>
      <c r="R57" s="177">
        <f t="shared" si="5"/>
        <v>0.50230899872328094</v>
      </c>
      <c r="S57" s="799">
        <f t="shared" si="6"/>
        <v>1</v>
      </c>
      <c r="T57" s="176">
        <f t="shared" si="7"/>
        <v>7</v>
      </c>
      <c r="U57" s="250">
        <f t="shared" si="8"/>
        <v>1.5023089987232809</v>
      </c>
      <c r="V57" s="382">
        <f t="shared" si="9"/>
        <v>38.19360233060997</v>
      </c>
      <c r="W57" s="400">
        <f t="shared" si="10"/>
        <v>27.964498749771849</v>
      </c>
      <c r="X57" s="157">
        <f t="shared" si="11"/>
        <v>45700</v>
      </c>
      <c r="Y57" s="383">
        <f t="shared" si="12"/>
        <v>27.194096558873746</v>
      </c>
      <c r="Z57" s="383">
        <f t="shared" si="22"/>
        <v>28.367368083769733</v>
      </c>
      <c r="AA57" s="384">
        <f t="shared" si="13"/>
        <v>30.360272020386791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6.5641834015150932E-2</v>
      </c>
      <c r="AD57" s="230">
        <f>(INDEX(Models!$BJ57:$BT57,,AH57)*(1-AF57)+INDEX(Models!$BJ57:$BT57,,AH57+1)*AF57-ERP_i)*AE57*Ramure*Pc/MaxiM</f>
        <v>6.6968909545045156E-5</v>
      </c>
      <c r="AE57" s="304">
        <f t="shared" si="15"/>
        <v>0.6</v>
      </c>
      <c r="AF57" s="177">
        <f t="shared" si="23"/>
        <v>0.50230899872328094</v>
      </c>
      <c r="AG57" s="799">
        <f t="shared" si="24"/>
        <v>1</v>
      </c>
      <c r="AH57" s="176">
        <f t="shared" si="16"/>
        <v>7</v>
      </c>
      <c r="AI57" s="224">
        <f t="shared" si="17"/>
        <v>1.5023089987232809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45701</v>
      </c>
      <c r="B58" s="409">
        <f>IF(t&gt;Tmaj,'2024'!Wh/'2024'!Env_an*'2025'!Env_an,0.001*'[4]mon-tableau'!$B$233)</f>
        <v>34.821628284603463</v>
      </c>
      <c r="C58" s="829"/>
      <c r="D58" s="391">
        <f t="shared" si="0"/>
        <v>36.324680835492934</v>
      </c>
      <c r="E58" s="383">
        <f t="shared" si="1"/>
        <v>37.809092879937545</v>
      </c>
      <c r="F58" s="383">
        <f t="shared" si="2"/>
        <v>37.811213119050876</v>
      </c>
      <c r="G58" s="110">
        <f t="shared" si="21"/>
        <v>0.90341607952505598</v>
      </c>
      <c r="H58" s="412" t="b">
        <f>Wh_hp&gt;='2024'!Maxi_hp</f>
        <v>0</v>
      </c>
      <c r="I58" s="388">
        <f>IF(H58,Wh_hp,'2024'!Maxi_hp)</f>
        <v>37.811432491234164</v>
      </c>
      <c r="J58" s="85">
        <f>IF(H58,An,'2024'!An_max)</f>
        <v>2022</v>
      </c>
      <c r="K58" s="197">
        <f t="shared" si="3"/>
        <v>45701</v>
      </c>
      <c r="L58" s="147">
        <f>IF(t&lt;Tvie,1-EXP((T0-t)*PertePVj)+'2024'!Pspv,1-EXP((T0-t)*PertePVj)+Pspv)</f>
        <v>4.1378272742339739E-2</v>
      </c>
      <c r="M58" s="832"/>
      <c r="N58" s="832"/>
      <c r="O58" s="48">
        <f>IF(t&lt;Tnet,'2024'!Resal+('2024'!Salim-'2024'!Resal)*(1-EXP(('2024'!Tnet-t)/('2024'!Tau_j))),Resal+(Salim-Resal)*(1-EXP((Tnet-t)/(Tau_j))))*Salcycl</f>
        <v>3.9260715647380005E-2</v>
      </c>
      <c r="P58" s="169">
        <f>(INDEX(Models!$BJ58:$BT58,,T58)*(1-R58)+INDEX(Models!$BJ58:$BT58,,T58+1)*R58-ERP_i)*Q58*Ramure*Pc/MaxiM</f>
        <v>6.5048839974368291E-5</v>
      </c>
      <c r="Q58" s="304">
        <f t="shared" si="4"/>
        <v>0.6</v>
      </c>
      <c r="R58" s="177">
        <f t="shared" si="5"/>
        <v>0.50247100079432006</v>
      </c>
      <c r="S58" s="799">
        <f t="shared" si="6"/>
        <v>1</v>
      </c>
      <c r="T58" s="176">
        <f t="shared" si="7"/>
        <v>7</v>
      </c>
      <c r="U58" s="250">
        <f t="shared" si="8"/>
        <v>1.5024710007943201</v>
      </c>
      <c r="V58" s="382">
        <f t="shared" si="9"/>
        <v>38.544051351125965</v>
      </c>
      <c r="W58" s="400">
        <f t="shared" si="10"/>
        <v>34.821628284603463</v>
      </c>
      <c r="X58" s="157">
        <f t="shared" si="11"/>
        <v>45701</v>
      </c>
      <c r="Y58" s="383">
        <f t="shared" si="12"/>
        <v>33.863308231974031</v>
      </c>
      <c r="Z58" s="383">
        <f t="shared" si="22"/>
        <v>35.324995531706932</v>
      </c>
      <c r="AA58" s="384">
        <f t="shared" si="13"/>
        <v>37.809092879937545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6.5701056518833859E-2</v>
      </c>
      <c r="AD58" s="230">
        <f>(INDEX(Models!$BJ58:$BT58,,AH58)*(1-AF58)+INDEX(Models!$BJ58:$BT58,,AH58+1)*AF58-ERP_i)*AE58*Ramure*Pc/MaxiM</f>
        <v>6.5048839974368291E-5</v>
      </c>
      <c r="AE58" s="304">
        <f t="shared" si="15"/>
        <v>0.6</v>
      </c>
      <c r="AF58" s="177">
        <f t="shared" si="23"/>
        <v>0.50247100079432006</v>
      </c>
      <c r="AG58" s="799">
        <f t="shared" si="24"/>
        <v>1</v>
      </c>
      <c r="AH58" s="176">
        <f t="shared" si="16"/>
        <v>7</v>
      </c>
      <c r="AI58" s="224">
        <f t="shared" si="17"/>
        <v>1.5024710007943201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45702</v>
      </c>
      <c r="B59" s="409">
        <f>IF(t&gt;Tmaj,'2024'!Wh/'2024'!Env_an*'2025'!Env_an,0.001*'[4]mon-tableau'!$B$234)</f>
        <v>15.324303070176994</v>
      </c>
      <c r="C59" s="829"/>
      <c r="D59" s="391">
        <f t="shared" si="0"/>
        <v>15.986072844830138</v>
      </c>
      <c r="E59" s="383">
        <f t="shared" si="1"/>
        <v>16.640885941237226</v>
      </c>
      <c r="F59" s="383">
        <f t="shared" si="2"/>
        <v>16.64102705115609</v>
      </c>
      <c r="G59" s="110">
        <f t="shared" si="21"/>
        <v>0.39398190415827122</v>
      </c>
      <c r="H59" s="412" t="b">
        <f>Wh_hp&gt;='2024'!Maxi_hp</f>
        <v>0</v>
      </c>
      <c r="I59" s="388">
        <f>IF(H59,Wh_hp,'2024'!Maxi_hp)</f>
        <v>40.693105086860676</v>
      </c>
      <c r="J59" s="85">
        <f>IF(H59,An,'2024'!An_max)</f>
        <v>2021</v>
      </c>
      <c r="K59" s="197">
        <f t="shared" si="3"/>
        <v>45702</v>
      </c>
      <c r="L59" s="147">
        <f>IF(t&lt;Tvie,1-EXP((T0-t)*PertePVj)+'2024'!Pspv,1-EXP((T0-t)*PertePVj)+Pspv)</f>
        <v>4.1396644509045899E-2</v>
      </c>
      <c r="M59" s="832"/>
      <c r="N59" s="832"/>
      <c r="O59" s="48">
        <f>IF(t&lt;Tnet,'2024'!Resal+('2024'!Salim-'2024'!Resal)*(1-EXP(('2024'!Tnet-t)/('2024'!Tau_j))),Resal+(Salim-Resal)*(1-EXP((Tnet-t)/(Tau_j))))*Salcycl</f>
        <v>3.9349653541246712E-2</v>
      </c>
      <c r="P59" s="169">
        <f>(INDEX(Models!$BJ59:$BT59,,T59)*(1-R59)+INDEX(Models!$BJ59:$BT59,,T59+1)*R59-ERP_i)*Q59*Ramure*Pc/MaxiM</f>
        <v>6.3143943106051942E-5</v>
      </c>
      <c r="Q59" s="304">
        <f t="shared" si="4"/>
        <v>0.6</v>
      </c>
      <c r="R59" s="177">
        <f t="shared" si="5"/>
        <v>0.50263968685830185</v>
      </c>
      <c r="S59" s="799">
        <f t="shared" si="6"/>
        <v>1</v>
      </c>
      <c r="T59" s="176">
        <f t="shared" si="7"/>
        <v>7</v>
      </c>
      <c r="U59" s="250">
        <f t="shared" si="8"/>
        <v>1.5026396868583018</v>
      </c>
      <c r="V59" s="382">
        <f t="shared" si="9"/>
        <v>38.893830424684005</v>
      </c>
      <c r="W59" s="400">
        <f t="shared" si="10"/>
        <v>15.324303070176994</v>
      </c>
      <c r="X59" s="157">
        <f t="shared" si="11"/>
        <v>45702</v>
      </c>
      <c r="Y59" s="383">
        <f t="shared" si="12"/>
        <v>14.903001212145677</v>
      </c>
      <c r="Z59" s="383">
        <f t="shared" si="22"/>
        <v>15.546577347951198</v>
      </c>
      <c r="AA59" s="384">
        <f t="shared" si="13"/>
        <v>16.640885941237226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6.5760236393079138E-2</v>
      </c>
      <c r="AD59" s="230">
        <f>(INDEX(Models!$BJ59:$BT59,,AH59)*(1-AF59)+INDEX(Models!$BJ59:$BT59,,AH59+1)*AF59-ERP_i)*AE59*Ramure*Pc/MaxiM</f>
        <v>6.3143943106051942E-5</v>
      </c>
      <c r="AE59" s="304">
        <f t="shared" si="15"/>
        <v>0.6</v>
      </c>
      <c r="AF59" s="177">
        <f t="shared" si="23"/>
        <v>0.50263968685830185</v>
      </c>
      <c r="AG59" s="799">
        <f t="shared" si="24"/>
        <v>1</v>
      </c>
      <c r="AH59" s="176">
        <f t="shared" si="16"/>
        <v>7</v>
      </c>
      <c r="AI59" s="224">
        <f t="shared" si="17"/>
        <v>1.5026396868583018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45703</v>
      </c>
      <c r="B60" s="409">
        <f>IF(t&gt;Tmaj,'2024'!Wh/'2024'!Env_an*'2025'!Env_an,0.001*'[4]mon-tableau'!$B$235)</f>
        <v>19.482386672011057</v>
      </c>
      <c r="C60" s="829"/>
      <c r="D60" s="391">
        <f t="shared" si="0"/>
        <v>20.324110011783304</v>
      </c>
      <c r="E60" s="383">
        <f t="shared" si="1"/>
        <v>21.158572420150481</v>
      </c>
      <c r="F60" s="383">
        <f t="shared" si="2"/>
        <v>21.158936180789357</v>
      </c>
      <c r="G60" s="110">
        <f t="shared" si="21"/>
        <v>0.49644148882081618</v>
      </c>
      <c r="H60" s="412" t="b">
        <f>Wh_hp&gt;='2024'!Maxi_hp</f>
        <v>0</v>
      </c>
      <c r="I60" s="388">
        <f>IF(H60,Wh_hp,'2024'!Maxi_hp)</f>
        <v>42.120737329566786</v>
      </c>
      <c r="J60" s="85">
        <f>IF(H60,An,'2024'!An_max)</f>
        <v>2020</v>
      </c>
      <c r="K60" s="197">
        <f t="shared" si="3"/>
        <v>45703</v>
      </c>
      <c r="L60" s="147">
        <f>IF(t&lt;Tvie,1-EXP((T0-t)*PertePVj)+'2024'!Pspv,1-EXP((T0-t)*PertePVj)+Pspv)</f>
        <v>4.1415015923661258E-2</v>
      </c>
      <c r="M60" s="832"/>
      <c r="N60" s="832"/>
      <c r="O60" s="48">
        <f>IF(t&lt;Tnet,'2024'!Resal+('2024'!Salim-'2024'!Resal)*(1-EXP(('2024'!Tnet-t)/('2024'!Tau_j))),Resal+(Salim-Resal)*(1-EXP((Tnet-t)/(Tau_j))))*Salcycl</f>
        <v>3.9438502361930243E-2</v>
      </c>
      <c r="P60" s="169">
        <f>(INDEX(Models!$BJ60:$BT60,,T60)*(1-R60)+INDEX(Models!$BJ60:$BT60,,T60+1)*R60-ERP_i)*Q60*Ramure*Pc/MaxiM</f>
        <v>6.1254547727458041E-5</v>
      </c>
      <c r="Q60" s="304">
        <f t="shared" si="4"/>
        <v>0.6</v>
      </c>
      <c r="R60" s="177">
        <f t="shared" si="5"/>
        <v>0.50281532782463234</v>
      </c>
      <c r="S60" s="799">
        <f t="shared" si="6"/>
        <v>1</v>
      </c>
      <c r="T60" s="176">
        <f t="shared" si="7"/>
        <v>7</v>
      </c>
      <c r="U60" s="250">
        <f t="shared" si="8"/>
        <v>1.5028153278246323</v>
      </c>
      <c r="V60" s="382">
        <f t="shared" si="9"/>
        <v>39.242345067577666</v>
      </c>
      <c r="W60" s="400">
        <f t="shared" si="10"/>
        <v>19.482386672011057</v>
      </c>
      <c r="X60" s="157">
        <f t="shared" si="11"/>
        <v>45703</v>
      </c>
      <c r="Y60" s="383">
        <f t="shared" si="12"/>
        <v>18.94732233645535</v>
      </c>
      <c r="Z60" s="383">
        <f t="shared" si="22"/>
        <v>19.765928583486392</v>
      </c>
      <c r="AA60" s="384">
        <f t="shared" si="13"/>
        <v>21.158572420150481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6.5819366685523545E-2</v>
      </c>
      <c r="AD60" s="230">
        <f>(INDEX(Models!$BJ60:$BT60,,AH60)*(1-AF60)+INDEX(Models!$BJ60:$BT60,,AH60+1)*AF60-ERP_i)*AE60*Ramure*Pc/MaxiM</f>
        <v>6.1254547727458041E-5</v>
      </c>
      <c r="AE60" s="304">
        <f t="shared" si="15"/>
        <v>0.6</v>
      </c>
      <c r="AF60" s="177">
        <f t="shared" si="23"/>
        <v>0.50281532782463234</v>
      </c>
      <c r="AG60" s="799">
        <f t="shared" si="24"/>
        <v>1</v>
      </c>
      <c r="AH60" s="176">
        <f t="shared" si="16"/>
        <v>7</v>
      </c>
      <c r="AI60" s="224">
        <f t="shared" si="17"/>
        <v>1.5028153278246323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45704</v>
      </c>
      <c r="B61" s="409">
        <f>IF(t&gt;Tmaj,'2024'!Wh/'2024'!Env_an*'2025'!Env_an,0.001*'[4]mon-tableau'!$B$236)</f>
        <v>8.7781410591436071</v>
      </c>
      <c r="C61" s="829"/>
      <c r="D61" s="391">
        <f t="shared" si="0"/>
        <v>9.1575702094864901</v>
      </c>
      <c r="E61" s="383">
        <f t="shared" si="1"/>
        <v>9.5344405010788229</v>
      </c>
      <c r="F61" s="383">
        <f t="shared" si="2"/>
        <v>9.5344405010788229</v>
      </c>
      <c r="G61" s="110">
        <f t="shared" si="21"/>
        <v>0.22171864836972641</v>
      </c>
      <c r="H61" s="412" t="b">
        <f>Wh_hp&gt;='2024'!Maxi_hp</f>
        <v>0</v>
      </c>
      <c r="I61" s="388">
        <f>IF(H61,Wh_hp,'2024'!Maxi_hp)</f>
        <v>34.417893598161328</v>
      </c>
      <c r="J61" s="85">
        <f>IF(H61,An,'2024'!An_max)</f>
        <v>2021</v>
      </c>
      <c r="K61" s="197">
        <f t="shared" si="3"/>
        <v>45704</v>
      </c>
      <c r="L61" s="147">
        <f>IF(t&lt;Tvie,1-EXP((T0-t)*PertePVj)+'2024'!Pspv,1-EXP((T0-t)*PertePVj)+Pspv)</f>
        <v>4.14333869861927E-2</v>
      </c>
      <c r="M61" s="832"/>
      <c r="N61" s="832"/>
      <c r="O61" s="48">
        <f>IF(t&lt;Tnet,'2024'!Resal+('2024'!Salim-'2024'!Resal)*(1-EXP(('2024'!Tnet-t)/('2024'!Tau_j))),Resal+(Salim-Resal)*(1-EXP((Tnet-t)/(Tau_j))))*Salcycl</f>
        <v>3.9527258211920109E-2</v>
      </c>
      <c r="P61" s="169">
        <f>(INDEX(Models!$BJ61:$BT61,,T61)*(1-R61)+INDEX(Models!$BJ61:$BT61,,T61+1)*R61-ERP_i)*Q61*Ramure*Pc/MaxiM</f>
        <v>5.9380869960899967E-5</v>
      </c>
      <c r="Q61" s="304">
        <f t="shared" si="4"/>
        <v>0.6</v>
      </c>
      <c r="R61" s="177">
        <f t="shared" si="5"/>
        <v>0.50299820517042027</v>
      </c>
      <c r="S61" s="799">
        <f t="shared" si="6"/>
        <v>1</v>
      </c>
      <c r="T61" s="176">
        <f t="shared" si="7"/>
        <v>7</v>
      </c>
      <c r="U61" s="250">
        <f t="shared" si="8"/>
        <v>1.5029982051704203</v>
      </c>
      <c r="V61" s="382">
        <f t="shared" si="9"/>
        <v>39.589001060721678</v>
      </c>
      <c r="W61" s="400">
        <f t="shared" si="10"/>
        <v>8.7781410591436071</v>
      </c>
      <c r="X61" s="157">
        <f t="shared" si="11"/>
        <v>45704</v>
      </c>
      <c r="Y61" s="383">
        <f t="shared" si="12"/>
        <v>8.5373071581473887</v>
      </c>
      <c r="Z61" s="383">
        <f t="shared" si="22"/>
        <v>8.9063264276495477</v>
      </c>
      <c r="AA61" s="384">
        <f t="shared" si="13"/>
        <v>9.5344405010788229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6.5878440728452156E-2</v>
      </c>
      <c r="AD61" s="230">
        <f>(INDEX(Models!$BJ61:$BT61,,AH61)*(1-AF61)+INDEX(Models!$BJ61:$BT61,,AH61+1)*AF61-ERP_i)*AE61*Ramure*Pc/MaxiM</f>
        <v>5.9380869960899967E-5</v>
      </c>
      <c r="AE61" s="304">
        <f t="shared" si="15"/>
        <v>0.6</v>
      </c>
      <c r="AF61" s="177">
        <f t="shared" si="23"/>
        <v>0.50299820517042027</v>
      </c>
      <c r="AG61" s="799">
        <f t="shared" si="24"/>
        <v>1</v>
      </c>
      <c r="AH61" s="176">
        <f t="shared" si="16"/>
        <v>7</v>
      </c>
      <c r="AI61" s="224">
        <f t="shared" si="17"/>
        <v>1.5029982051704203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45705</v>
      </c>
      <c r="B62" s="409">
        <f>IF(t&gt;Tmaj,'2024'!Wh/'2024'!Env_an*'2025'!Env_an,0.001*'[4]mon-tableau'!$B$237)</f>
        <v>11.071021681612047</v>
      </c>
      <c r="C62" s="829"/>
      <c r="D62" s="391">
        <f t="shared" si="0"/>
        <v>11.549780379346192</v>
      </c>
      <c r="E62" s="383">
        <f t="shared" si="1"/>
        <v>12.026209709913523</v>
      </c>
      <c r="F62" s="383">
        <f t="shared" si="2"/>
        <v>12.026209709913523</v>
      </c>
      <c r="G62" s="110">
        <f t="shared" si="21"/>
        <v>0.27722255191637118</v>
      </c>
      <c r="H62" s="412" t="b">
        <f>Wh_hp&gt;='2024'!Maxi_hp</f>
        <v>0</v>
      </c>
      <c r="I62" s="388">
        <f>IF(H62,Wh_hp,'2024'!Maxi_hp)</f>
        <v>38.835369308971607</v>
      </c>
      <c r="J62" s="85">
        <f>IF(H62,An,'2024'!An_max)</f>
        <v>2021</v>
      </c>
      <c r="K62" s="197">
        <f t="shared" si="3"/>
        <v>45705</v>
      </c>
      <c r="L62" s="147">
        <f>IF(t&lt;Tvie,1-EXP((T0-t)*PertePVj)+'2024'!Pspv,1-EXP((T0-t)*PertePVj)+Pspv)</f>
        <v>4.1451757696646996E-2</v>
      </c>
      <c r="M62" s="832"/>
      <c r="N62" s="832"/>
      <c r="O62" s="48">
        <f>IF(t&lt;Tnet,'2024'!Resal+('2024'!Salim-'2024'!Resal)*(1-EXP(('2024'!Tnet-t)/('2024'!Tau_j))),Resal+(Salim-Resal)*(1-EXP((Tnet-t)/(Tau_j))))*Salcycl</f>
        <v>3.9615917405348158E-2</v>
      </c>
      <c r="P62" s="169">
        <f>(INDEX(Models!$BJ62:$BT62,,T62)*(1-R62)+INDEX(Models!$BJ62:$BT62,,T62+1)*R62-ERP_i)*Q62*Ramure*Pc/MaxiM</f>
        <v>5.7523022040974133E-5</v>
      </c>
      <c r="Q62" s="304">
        <f t="shared" si="4"/>
        <v>0.6</v>
      </c>
      <c r="R62" s="177">
        <f t="shared" si="5"/>
        <v>0.50318861131757675</v>
      </c>
      <c r="S62" s="799">
        <f t="shared" si="6"/>
        <v>1</v>
      </c>
      <c r="T62" s="176">
        <f t="shared" si="7"/>
        <v>7</v>
      </c>
      <c r="U62" s="250">
        <f t="shared" si="8"/>
        <v>1.5031886113175768</v>
      </c>
      <c r="V62" s="382">
        <f t="shared" si="9"/>
        <v>39.93320444697229</v>
      </c>
      <c r="W62" s="400">
        <f t="shared" si="10"/>
        <v>11.071021681612047</v>
      </c>
      <c r="X62" s="157">
        <f t="shared" si="11"/>
        <v>45705</v>
      </c>
      <c r="Y62" s="383">
        <f t="shared" si="12"/>
        <v>10.767594867107693</v>
      </c>
      <c r="Z62" s="383">
        <f t="shared" si="22"/>
        <v>11.233232081500242</v>
      </c>
      <c r="AA62" s="384">
        <f t="shared" si="13"/>
        <v>12.026209709913523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6.5937452243129246E-2</v>
      </c>
      <c r="AD62" s="230">
        <f>(INDEX(Models!$BJ62:$BT62,,AH62)*(1-AF62)+INDEX(Models!$BJ62:$BT62,,AH62+1)*AF62-ERP_i)*AE62*Ramure*Pc/MaxiM</f>
        <v>5.7523022040974133E-5</v>
      </c>
      <c r="AE62" s="304">
        <f t="shared" si="15"/>
        <v>0.6</v>
      </c>
      <c r="AF62" s="177">
        <f t="shared" si="23"/>
        <v>0.50318861131757675</v>
      </c>
      <c r="AG62" s="799">
        <f t="shared" si="24"/>
        <v>1</v>
      </c>
      <c r="AH62" s="176">
        <f t="shared" si="16"/>
        <v>7</v>
      </c>
      <c r="AI62" s="224">
        <f t="shared" si="17"/>
        <v>1.5031886113175768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45706</v>
      </c>
      <c r="B63" s="409">
        <f>IF(t&gt;Tmaj,'2024'!Wh/'2024'!Env_an*'2025'!Env_an,0.001*'[4]mon-tableau'!$B$238)</f>
        <v>31.407448032671404</v>
      </c>
      <c r="C63" s="829"/>
      <c r="D63" s="391">
        <f t="shared" si="0"/>
        <v>32.766269421465203</v>
      </c>
      <c r="E63" s="383">
        <f t="shared" si="1"/>
        <v>34.121026934631786</v>
      </c>
      <c r="F63" s="383">
        <f t="shared" si="2"/>
        <v>34.122329326842099</v>
      </c>
      <c r="G63" s="110">
        <f t="shared" si="21"/>
        <v>0.77982360970335374</v>
      </c>
      <c r="H63" s="412" t="b">
        <f>Wh_hp&gt;='2024'!Maxi_hp</f>
        <v>0</v>
      </c>
      <c r="I63" s="388">
        <f>IF(H63,Wh_hp,'2024'!Maxi_hp)</f>
        <v>34.122699512103274</v>
      </c>
      <c r="J63" s="85">
        <f>IF(H63,An,'2024'!An_max)</f>
        <v>2022</v>
      </c>
      <c r="K63" s="197">
        <f t="shared" si="3"/>
        <v>45706</v>
      </c>
      <c r="L63" s="147">
        <f>IF(t&lt;Tvie,1-EXP((T0-t)*PertePVj)+'2024'!Pspv,1-EXP((T0-t)*PertePVj)+Pspv)</f>
        <v>4.1470128055030697E-2</v>
      </c>
      <c r="M63" s="832"/>
      <c r="N63" s="832"/>
      <c r="O63" s="48">
        <f>IF(t&lt;Tnet,'2024'!Resal+('2024'!Salim-'2024'!Resal)*(1-EXP(('2024'!Tnet-t)/('2024'!Tau_j))),Resal+(Salim-Resal)*(1-EXP((Tnet-t)/(Tau_j))))*Salcycl</f>
        <v>3.9704476531787616E-2</v>
      </c>
      <c r="P63" s="169">
        <f>(INDEX(Models!$BJ63:$BT63,,T63)*(1-R63)+INDEX(Models!$BJ63:$BT63,,T63+1)*R63-ERP_i)*Q63*Ramure*Pc/MaxiM</f>
        <v>5.568102030931369E-5</v>
      </c>
      <c r="Q63" s="304">
        <f t="shared" si="4"/>
        <v>0.6</v>
      </c>
      <c r="R63" s="177">
        <f t="shared" si="5"/>
        <v>0.50338685002032491</v>
      </c>
      <c r="S63" s="799">
        <f t="shared" si="6"/>
        <v>1</v>
      </c>
      <c r="T63" s="176">
        <f t="shared" si="7"/>
        <v>7</v>
      </c>
      <c r="U63" s="250">
        <f t="shared" si="8"/>
        <v>1.5033868500203249</v>
      </c>
      <c r="V63" s="382">
        <f t="shared" si="9"/>
        <v>40.274361524661664</v>
      </c>
      <c r="W63" s="400">
        <f t="shared" si="10"/>
        <v>31.407448032671404</v>
      </c>
      <c r="X63" s="157">
        <f t="shared" si="11"/>
        <v>45706</v>
      </c>
      <c r="Y63" s="383">
        <f t="shared" si="12"/>
        <v>30.547543912843757</v>
      </c>
      <c r="Z63" s="383">
        <f t="shared" si="22"/>
        <v>31.869162148133384</v>
      </c>
      <c r="AA63" s="384">
        <f t="shared" si="13"/>
        <v>34.121026934631786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6.5996395442976183E-2</v>
      </c>
      <c r="AD63" s="230">
        <f>(INDEX(Models!$BJ63:$BT63,,AH63)*(1-AF63)+INDEX(Models!$BJ63:$BT63,,AH63+1)*AF63-ERP_i)*AE63*Ramure*Pc/MaxiM</f>
        <v>5.568102030931369E-5</v>
      </c>
      <c r="AE63" s="304">
        <f t="shared" si="15"/>
        <v>0.6</v>
      </c>
      <c r="AF63" s="177">
        <f t="shared" si="23"/>
        <v>0.50338685002032491</v>
      </c>
      <c r="AG63" s="799">
        <f t="shared" si="24"/>
        <v>1</v>
      </c>
      <c r="AH63" s="176">
        <f t="shared" si="16"/>
        <v>7</v>
      </c>
      <c r="AI63" s="224">
        <f t="shared" si="17"/>
        <v>1.5033868500203249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45707</v>
      </c>
      <c r="B64" s="409">
        <f>IF(t&gt;Tmaj,'2024'!Wh/'2024'!Env_an*'2025'!Env_an,0.001*'[4]mon-tableau'!$B$239)</f>
        <v>18.900922132348093</v>
      </c>
      <c r="C64" s="829"/>
      <c r="D64" s="391">
        <f t="shared" si="0"/>
        <v>19.719035289738098</v>
      </c>
      <c r="E64" s="383">
        <f t="shared" si="1"/>
        <v>20.536232191534836</v>
      </c>
      <c r="F64" s="383">
        <f t="shared" si="2"/>
        <v>20.536493526820372</v>
      </c>
      <c r="G64" s="110">
        <f t="shared" si="21"/>
        <v>0.46538464301044452</v>
      </c>
      <c r="H64" s="412" t="b">
        <f>Wh_hp&gt;='2024'!Maxi_hp</f>
        <v>0</v>
      </c>
      <c r="I64" s="388">
        <f>IF(H64,Wh_hp,'2024'!Maxi_hp)</f>
        <v>41.255245253729655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4.1488498061350687E-2</v>
      </c>
      <c r="M64" s="832"/>
      <c r="N64" s="832"/>
      <c r="O64" s="48">
        <f>IF(t&lt;Tnet,'2024'!Resal+('2024'!Salim-'2024'!Resal)*(1-EXP(('2024'!Tnet-t)/('2024'!Tau_j))),Resal+(Salim-Resal)*(1-EXP((Tnet-t)/(Tau_j))))*Salcycl</f>
        <v>3.9792932519218033E-2</v>
      </c>
      <c r="P64" s="169">
        <f>(INDEX(Models!$BJ64:$BT64,,T64)*(1-R64)+INDEX(Models!$BJ64:$BT64,,T64+1)*R64-ERP_i)*Q64*Ramure*Pc/MaxiM</f>
        <v>5.3854792395559632E-5</v>
      </c>
      <c r="Q64" s="304">
        <f t="shared" si="4"/>
        <v>0.6</v>
      </c>
      <c r="R64" s="177">
        <f t="shared" si="5"/>
        <v>0.50359323676313394</v>
      </c>
      <c r="S64" s="799">
        <f t="shared" si="6"/>
        <v>1</v>
      </c>
      <c r="T64" s="176">
        <f t="shared" si="7"/>
        <v>7</v>
      </c>
      <c r="U64" s="250">
        <f t="shared" si="8"/>
        <v>1.5035932367631339</v>
      </c>
      <c r="V64" s="382">
        <f t="shared" si="9"/>
        <v>40.61187884698608</v>
      </c>
      <c r="W64" s="400">
        <f t="shared" si="10"/>
        <v>18.900922132348093</v>
      </c>
      <c r="X64" s="157">
        <f t="shared" si="11"/>
        <v>45707</v>
      </c>
      <c r="Y64" s="383">
        <f t="shared" si="12"/>
        <v>18.383968736994728</v>
      </c>
      <c r="Z64" s="383">
        <f t="shared" si="22"/>
        <v>19.179705929258027</v>
      </c>
      <c r="AA64" s="384">
        <f t="shared" si="13"/>
        <v>20.536232191534836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6.6055265134564292E-2</v>
      </c>
      <c r="AD64" s="230">
        <f>(INDEX(Models!$BJ64:$BT64,,AH64)*(1-AF64)+INDEX(Models!$BJ64:$BT64,,AH64+1)*AF64-ERP_i)*AE64*Ramure*Pc/MaxiM</f>
        <v>5.3854792395559632E-5</v>
      </c>
      <c r="AE64" s="304">
        <f t="shared" si="15"/>
        <v>0.6</v>
      </c>
      <c r="AF64" s="177">
        <f t="shared" si="23"/>
        <v>0.50359323676313394</v>
      </c>
      <c r="AG64" s="799">
        <f t="shared" si="24"/>
        <v>1</v>
      </c>
      <c r="AH64" s="176">
        <f t="shared" si="16"/>
        <v>7</v>
      </c>
      <c r="AI64" s="224">
        <f t="shared" si="17"/>
        <v>1.5035932367631339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45708</v>
      </c>
      <c r="B65" s="409">
        <f>IF(t&gt;Tmaj,'2024'!Wh/'2024'!Env_an*'2025'!Env_an,0.001*'[4]mon-tableau'!$B$240)</f>
        <v>20.549065679273237</v>
      </c>
      <c r="C65" s="829"/>
      <c r="D65" s="391">
        <f t="shared" si="0"/>
        <v>21.438928446256515</v>
      </c>
      <c r="E65" s="383">
        <f t="shared" si="1"/>
        <v>22.329455784849721</v>
      </c>
      <c r="F65" s="383">
        <f t="shared" si="2"/>
        <v>22.32979088852527</v>
      </c>
      <c r="G65" s="110">
        <f t="shared" si="21"/>
        <v>0.50183378852119798</v>
      </c>
      <c r="H65" s="412" t="b">
        <f>Wh_hp&gt;='2024'!Maxi_hp</f>
        <v>0</v>
      </c>
      <c r="I65" s="388">
        <f>IF(H65,Wh_hp,'2024'!Maxi_hp)</f>
        <v>44.665553120035945</v>
      </c>
      <c r="J65" s="85">
        <f>IF(H65,An,'2024'!An_max)</f>
        <v>2020</v>
      </c>
      <c r="K65" s="197">
        <f t="shared" si="3"/>
        <v>45708</v>
      </c>
      <c r="L65" s="147">
        <f>IF(t&lt;Tvie,1-EXP((T0-t)*PertePVj)+'2024'!Pspv,1-EXP((T0-t)*PertePVj)+Pspv)</f>
        <v>4.1506867715613738E-2</v>
      </c>
      <c r="M65" s="832"/>
      <c r="N65" s="832"/>
      <c r="O65" s="48">
        <f>IF(t&lt;Tnet,'2024'!Resal+('2024'!Salim-'2024'!Resal)*(1-EXP(('2024'!Tnet-t)/('2024'!Tau_j))),Resal+(Salim-Resal)*(1-EXP((Tnet-t)/(Tau_j))))*Salcycl</f>
        <v>3.9881282695542419E-2</v>
      </c>
      <c r="P65" s="169">
        <f>(INDEX(Models!$BJ65:$BT65,,T65)*(1-R65)+INDEX(Models!$BJ65:$BT65,,T65+1)*R65-ERP_i)*Q65*Ramure*Pc/MaxiM</f>
        <v>5.204256715057548E-5</v>
      </c>
      <c r="Q65" s="304">
        <f t="shared" si="4"/>
        <v>0.6</v>
      </c>
      <c r="R65" s="177">
        <f t="shared" si="5"/>
        <v>0.50380809916904412</v>
      </c>
      <c r="S65" s="799">
        <f t="shared" si="6"/>
        <v>1</v>
      </c>
      <c r="T65" s="176">
        <f t="shared" si="7"/>
        <v>7</v>
      </c>
      <c r="U65" s="250">
        <f t="shared" si="8"/>
        <v>1.5038080991690441</v>
      </c>
      <c r="V65" s="382">
        <f t="shared" si="9"/>
        <v>40.946435038910749</v>
      </c>
      <c r="W65" s="400">
        <f t="shared" si="10"/>
        <v>20.549065679273237</v>
      </c>
      <c r="X65" s="157">
        <f t="shared" si="11"/>
        <v>45708</v>
      </c>
      <c r="Y65" s="383">
        <f t="shared" si="12"/>
        <v>19.987615320454488</v>
      </c>
      <c r="Z65" s="383">
        <f t="shared" si="22"/>
        <v>20.853164876432452</v>
      </c>
      <c r="AA65" s="384">
        <f t="shared" si="13"/>
        <v>22.329455784849721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6.6114056815433656E-2</v>
      </c>
      <c r="AD65" s="230">
        <f>(INDEX(Models!$BJ65:$BT65,,AH65)*(1-AF65)+INDEX(Models!$BJ65:$BT65,,AH65+1)*AF65-ERP_i)*AE65*Ramure*Pc/MaxiM</f>
        <v>5.204256715057548E-5</v>
      </c>
      <c r="AE65" s="304">
        <f t="shared" si="15"/>
        <v>0.6</v>
      </c>
      <c r="AF65" s="177">
        <f t="shared" si="23"/>
        <v>0.50380809916904412</v>
      </c>
      <c r="AG65" s="799">
        <f t="shared" si="24"/>
        <v>1</v>
      </c>
      <c r="AH65" s="176">
        <f t="shared" si="16"/>
        <v>7</v>
      </c>
      <c r="AI65" s="224">
        <f t="shared" si="17"/>
        <v>1.5038080991690441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45709</v>
      </c>
      <c r="B66" s="409">
        <f>IF(t&gt;Tmaj,'2024'!Wh/'2024'!Env_an*'2025'!Env_an,0.001*'[4]mon-tableau'!$B$241)</f>
        <v>21.630368185611417</v>
      </c>
      <c r="C66" s="829"/>
      <c r="D66" s="391">
        <f t="shared" si="0"/>
        <v>22.567488494231451</v>
      </c>
      <c r="E66" s="383">
        <f t="shared" si="1"/>
        <v>23.50705428456321</v>
      </c>
      <c r="F66" s="383">
        <f t="shared" si="2"/>
        <v>23.507432734498877</v>
      </c>
      <c r="G66" s="110">
        <f t="shared" si="21"/>
        <v>0.5239841113424204</v>
      </c>
      <c r="H66" s="412" t="b">
        <f>Wh_hp&gt;='2024'!Maxi_hp</f>
        <v>0</v>
      </c>
      <c r="I66" s="388">
        <f>IF(H66,Wh_hp,'2024'!Maxi_hp)</f>
        <v>23.507922443525114</v>
      </c>
      <c r="J66" s="85">
        <f>IF(H66,An,'2024'!An_max)</f>
        <v>2022</v>
      </c>
      <c r="K66" s="197">
        <f t="shared" si="3"/>
        <v>45709</v>
      </c>
      <c r="L66" s="147">
        <f>IF(t&lt;Tvie,1-EXP((T0-t)*PertePVj)+'2024'!Pspv,1-EXP((T0-t)*PertePVj)+Pspv)</f>
        <v>4.1525237017826622E-2</v>
      </c>
      <c r="M66" s="832"/>
      <c r="N66" s="832"/>
      <c r="O66" s="48">
        <f>IF(t&lt;Tnet,'2024'!Resal+('2024'!Salim-'2024'!Resal)*(1-EXP(('2024'!Tnet-t)/('2024'!Tau_j))),Resal+(Salim-Resal)*(1-EXP((Tnet-t)/(Tau_j))))*Salcycl</f>
        <v>3.9969524848069177E-2</v>
      </c>
      <c r="P66" s="169">
        <f>(INDEX(Models!$BJ66:$BT66,,T66)*(1-R66)+INDEX(Models!$BJ66:$BT66,,T66+1)*R66-ERP_i)*Q66*Ramure*Pc/MaxiM</f>
        <v>5.0309419280807314E-5</v>
      </c>
      <c r="Q66" s="304">
        <f t="shared" si="4"/>
        <v>0.6</v>
      </c>
      <c r="R66" s="177">
        <f t="shared" si="5"/>
        <v>0.50403177741833094</v>
      </c>
      <c r="S66" s="799">
        <f t="shared" si="6"/>
        <v>1</v>
      </c>
      <c r="T66" s="176">
        <f t="shared" si="7"/>
        <v>7</v>
      </c>
      <c r="U66" s="250">
        <f t="shared" si="8"/>
        <v>1.5040317774183309</v>
      </c>
      <c r="V66" s="382">
        <f t="shared" si="9"/>
        <v>41.279168060638114</v>
      </c>
      <c r="W66" s="400">
        <f t="shared" si="10"/>
        <v>21.630368185611417</v>
      </c>
      <c r="X66" s="157">
        <f t="shared" si="11"/>
        <v>45709</v>
      </c>
      <c r="Y66" s="383">
        <f t="shared" si="12"/>
        <v>21.039985083147105</v>
      </c>
      <c r="Z66" s="383">
        <f t="shared" si="22"/>
        <v>21.951527463992733</v>
      </c>
      <c r="AA66" s="384">
        <f t="shared" si="13"/>
        <v>23.50705428456321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6.6172766767802704E-2</v>
      </c>
      <c r="AD66" s="230">
        <f>(INDEX(Models!$BJ66:$BT66,,AH66)*(1-AF66)+INDEX(Models!$BJ66:$BT66,,AH66+1)*AF66-ERP_i)*AE66*Ramure*Pc/MaxiM</f>
        <v>5.0309419280807314E-5</v>
      </c>
      <c r="AE66" s="304">
        <f t="shared" si="15"/>
        <v>0.6</v>
      </c>
      <c r="AF66" s="177">
        <f t="shared" si="23"/>
        <v>0.50403177741833094</v>
      </c>
      <c r="AG66" s="799">
        <f t="shared" si="24"/>
        <v>1</v>
      </c>
      <c r="AH66" s="176">
        <f t="shared" si="16"/>
        <v>7</v>
      </c>
      <c r="AI66" s="224">
        <f t="shared" si="17"/>
        <v>1.5040317774183309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45710</v>
      </c>
      <c r="B67" s="409">
        <f>IF(t&gt;Tmaj,'2024'!Wh/'2024'!Env_an*'2025'!Env_an,0.001*'[4]mon-tableau'!$B$242)</f>
        <v>34.184729695970013</v>
      </c>
      <c r="C67" s="829"/>
      <c r="D67" s="391">
        <f t="shared" si="0"/>
        <v>35.666442322078701</v>
      </c>
      <c r="E67" s="383">
        <f t="shared" si="1"/>
        <v>37.154775588951182</v>
      </c>
      <c r="F67" s="383">
        <f t="shared" si="2"/>
        <v>37.156120851624756</v>
      </c>
      <c r="G67" s="110">
        <f t="shared" si="21"/>
        <v>0.82153708545687265</v>
      </c>
      <c r="H67" s="412" t="b">
        <f>Wh_hp&gt;='2024'!Maxi_hp</f>
        <v>0</v>
      </c>
      <c r="I67" s="388">
        <f>IF(H67,Wh_hp,'2024'!Maxi_hp)</f>
        <v>42.383788099046349</v>
      </c>
      <c r="J67" s="85">
        <f>IF(H67,An,'2024'!An_max)</f>
        <v>2020</v>
      </c>
      <c r="K67" s="197">
        <f t="shared" si="3"/>
        <v>45710</v>
      </c>
      <c r="L67" s="147">
        <f>IF(t&lt;Tvie,1-EXP((T0-t)*PertePVj)+'2024'!Pspv,1-EXP((T0-t)*PertePVj)+Pspv)</f>
        <v>4.1543605967995889E-2</v>
      </c>
      <c r="M67" s="832"/>
      <c r="N67" s="832"/>
      <c r="O67" s="48">
        <f>IF(t&lt;Tnet,'2024'!Resal+('2024'!Salim-'2024'!Resal)*(1-EXP(('2024'!Tnet-t)/('2024'!Tau_j))),Resal+(Salim-Resal)*(1-EXP((Tnet-t)/(Tau_j))))*Salcycl</f>
        <v>4.0057657280402802E-2</v>
      </c>
      <c r="P67" s="169">
        <f>(INDEX(Models!$BJ67:$BT67,,T67)*(1-R67)+INDEX(Models!$BJ67:$BT67,,T67+1)*R67-ERP_i)*Q67*Ramure*Pc/MaxiM</f>
        <v>4.8593826032712778E-5</v>
      </c>
      <c r="Q67" s="304">
        <f t="shared" si="4"/>
        <v>0.6</v>
      </c>
      <c r="R67" s="177">
        <f t="shared" si="5"/>
        <v>0.50426462467740008</v>
      </c>
      <c r="S67" s="799">
        <f t="shared" si="6"/>
        <v>1</v>
      </c>
      <c r="T67" s="176">
        <f t="shared" si="7"/>
        <v>7</v>
      </c>
      <c r="U67" s="250">
        <f t="shared" si="8"/>
        <v>1.5042646246774001</v>
      </c>
      <c r="V67" s="382">
        <f t="shared" si="9"/>
        <v>41.610180234591098</v>
      </c>
      <c r="W67" s="400">
        <f t="shared" si="10"/>
        <v>34.184729695970013</v>
      </c>
      <c r="X67" s="157">
        <f t="shared" si="11"/>
        <v>45710</v>
      </c>
      <c r="Y67" s="383">
        <f t="shared" si="12"/>
        <v>33.252650745244907</v>
      </c>
      <c r="Z67" s="383">
        <f t="shared" si="22"/>
        <v>34.693963076774629</v>
      </c>
      <c r="AA67" s="384">
        <f t="shared" si="13"/>
        <v>37.154775588951182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6.6231392147294496E-2</v>
      </c>
      <c r="AD67" s="230">
        <f>(INDEX(Models!$BJ67:$BT67,,AH67)*(1-AF67)+INDEX(Models!$BJ67:$BT67,,AH67+1)*AF67-ERP_i)*AE67*Ramure*Pc/MaxiM</f>
        <v>4.8593826032712778E-5</v>
      </c>
      <c r="AE67" s="304">
        <f t="shared" si="15"/>
        <v>0.6</v>
      </c>
      <c r="AF67" s="177">
        <f t="shared" si="23"/>
        <v>0.50426462467740008</v>
      </c>
      <c r="AG67" s="799">
        <f t="shared" si="24"/>
        <v>1</v>
      </c>
      <c r="AH67" s="176">
        <f t="shared" si="16"/>
        <v>7</v>
      </c>
      <c r="AI67" s="224">
        <f t="shared" si="17"/>
        <v>1.5042646246774001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45711</v>
      </c>
      <c r="B68" s="409">
        <f>IF(t&gt;Tmaj,'2024'!Wh/'2024'!Env_an*'2025'!Env_an,0.001*'[4]mon-tableau'!$B$243)</f>
        <v>36.324059191583864</v>
      </c>
      <c r="C68" s="829"/>
      <c r="D68" s="391">
        <f t="shared" si="0"/>
        <v>37.899225852543225</v>
      </c>
      <c r="E68" s="383">
        <f t="shared" si="1"/>
        <v>39.484351966845175</v>
      </c>
      <c r="F68" s="383">
        <f t="shared" si="2"/>
        <v>39.485849457452794</v>
      </c>
      <c r="G68" s="110">
        <f t="shared" si="21"/>
        <v>0.86609691450620818</v>
      </c>
      <c r="H68" s="412" t="b">
        <f>Wh_hp&gt;='2024'!Maxi_hp</f>
        <v>0</v>
      </c>
      <c r="I68" s="388">
        <f>IF(H68,Wh_hp,'2024'!Maxi_hp)</f>
        <v>44.04907717434498</v>
      </c>
      <c r="J68" s="85">
        <f>IF(H68,An,'2024'!An_max)</f>
        <v>2020</v>
      </c>
      <c r="K68" s="197">
        <f t="shared" si="3"/>
        <v>45711</v>
      </c>
      <c r="L68" s="147">
        <f>IF(t&lt;Tvie,1-EXP((T0-t)*PertePVj)+'2024'!Pspv,1-EXP((T0-t)*PertePVj)+Pspv)</f>
        <v>4.1561974566128423E-2</v>
      </c>
      <c r="M68" s="832"/>
      <c r="N68" s="832"/>
      <c r="O68" s="48">
        <f>IF(t&lt;Tnet,'2024'!Resal+('2024'!Salim-'2024'!Resal)*(1-EXP(('2024'!Tnet-t)/('2024'!Tau_j))),Resal+(Salim-Resal)*(1-EXP((Tnet-t)/(Tau_j))))*Salcycl</f>
        <v>4.0145678866224659E-2</v>
      </c>
      <c r="P68" s="169">
        <f>(INDEX(Models!$BJ68:$BT68,,T68)*(1-R68)+INDEX(Models!$BJ68:$BT68,,T68+1)*R68-ERP_i)*Q68*Ramure*Pc/MaxiM</f>
        <v>4.6894716387774672E-5</v>
      </c>
      <c r="Q68" s="304">
        <f t="shared" si="4"/>
        <v>0.6</v>
      </c>
      <c r="R68" s="177">
        <f t="shared" si="5"/>
        <v>0.504507007537778</v>
      </c>
      <c r="S68" s="799">
        <f t="shared" si="6"/>
        <v>1</v>
      </c>
      <c r="T68" s="176">
        <f t="shared" si="7"/>
        <v>7</v>
      </c>
      <c r="U68" s="250">
        <f t="shared" si="8"/>
        <v>1.504507007537778</v>
      </c>
      <c r="V68" s="382">
        <f t="shared" si="9"/>
        <v>41.93957136311159</v>
      </c>
      <c r="W68" s="400">
        <f t="shared" si="10"/>
        <v>36.324059191583864</v>
      </c>
      <c r="X68" s="157">
        <f t="shared" si="11"/>
        <v>45711</v>
      </c>
      <c r="Y68" s="383">
        <f t="shared" si="12"/>
        <v>35.334674298990905</v>
      </c>
      <c r="Z68" s="383">
        <f t="shared" si="22"/>
        <v>36.866936996782229</v>
      </c>
      <c r="AA68" s="384">
        <f t="shared" si="13"/>
        <v>39.484351966845175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6.6289931065875898E-2</v>
      </c>
      <c r="AD68" s="230">
        <f>(INDEX(Models!$BJ68:$BT68,,AH68)*(1-AF68)+INDEX(Models!$BJ68:$BT68,,AH68+1)*AF68-ERP_i)*AE68*Ramure*Pc/MaxiM</f>
        <v>4.6894716387774672E-5</v>
      </c>
      <c r="AE68" s="304">
        <f t="shared" si="15"/>
        <v>0.6</v>
      </c>
      <c r="AF68" s="177">
        <f t="shared" si="23"/>
        <v>0.504507007537778</v>
      </c>
      <c r="AG68" s="799">
        <f t="shared" si="24"/>
        <v>1</v>
      </c>
      <c r="AH68" s="176">
        <f t="shared" si="16"/>
        <v>7</v>
      </c>
      <c r="AI68" s="224">
        <f t="shared" si="17"/>
        <v>1.504507007537778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45712</v>
      </c>
      <c r="B69" s="409">
        <f>IF(t&gt;Tmaj,'2024'!Wh/'2024'!Env_an*'2025'!Env_an,0.001*'[4]mon-tableau'!$B$244)</f>
        <v>25.038084283016911</v>
      </c>
      <c r="C69" s="829"/>
      <c r="D69" s="391">
        <f t="shared" si="0"/>
        <v>26.124343438953037</v>
      </c>
      <c r="E69" s="383">
        <f t="shared" si="1"/>
        <v>27.219480846846384</v>
      </c>
      <c r="F69" s="383">
        <f t="shared" si="2"/>
        <v>27.219994860195396</v>
      </c>
      <c r="G69" s="110">
        <f t="shared" si="21"/>
        <v>0.59235724675808277</v>
      </c>
      <c r="H69" s="412" t="b">
        <f>Wh_hp&gt;='2024'!Maxi_hp</f>
        <v>0</v>
      </c>
      <c r="I69" s="388">
        <f>IF(H69,Wh_hp,'2024'!Maxi_hp)</f>
        <v>42.202501894458955</v>
      </c>
      <c r="J69" s="85">
        <f>IF(H69,An,'2024'!An_max)</f>
        <v>2021</v>
      </c>
      <c r="K69" s="197">
        <f t="shared" si="3"/>
        <v>45712</v>
      </c>
      <c r="L69" s="147">
        <f>IF(t&lt;Tvie,1-EXP((T0-t)*PertePVj)+'2024'!Pspv,1-EXP((T0-t)*PertePVj)+Pspv)</f>
        <v>4.1580342812231108E-2</v>
      </c>
      <c r="M69" s="832"/>
      <c r="N69" s="832"/>
      <c r="O69" s="48">
        <f>IF(t&lt;Tnet,'2024'!Resal+('2024'!Salim-'2024'!Resal)*(1-EXP(('2024'!Tnet-t)/('2024'!Tau_j))),Resal+(Salim-Resal)*(1-EXP((Tnet-t)/(Tau_j))))*Salcycl</f>
        <v>4.0233589099486045E-2</v>
      </c>
      <c r="P69" s="169">
        <f>(INDEX(Models!$BJ69:$BT69,,T69)*(1-R69)+INDEX(Models!$BJ69:$BT69,,T69+1)*R69-ERP_i)*Q69*Ramure*Pc/MaxiM</f>
        <v>4.5211338888748625E-5</v>
      </c>
      <c r="Q69" s="304">
        <f t="shared" si="4"/>
        <v>0.6</v>
      </c>
      <c r="R69" s="177">
        <f t="shared" si="5"/>
        <v>0.50475930646499623</v>
      </c>
      <c r="S69" s="799">
        <f t="shared" si="6"/>
        <v>1</v>
      </c>
      <c r="T69" s="176">
        <f t="shared" si="7"/>
        <v>7</v>
      </c>
      <c r="U69" s="250">
        <f t="shared" si="8"/>
        <v>1.5047593064649962</v>
      </c>
      <c r="V69" s="382">
        <f t="shared" si="9"/>
        <v>42.267441165202897</v>
      </c>
      <c r="W69" s="400">
        <f t="shared" si="10"/>
        <v>25.038084283016911</v>
      </c>
      <c r="X69" s="157">
        <f t="shared" si="11"/>
        <v>45712</v>
      </c>
      <c r="Y69" s="383">
        <f t="shared" si="12"/>
        <v>24.356809761442864</v>
      </c>
      <c r="Z69" s="383">
        <f t="shared" si="22"/>
        <v>25.413512315587866</v>
      </c>
      <c r="AA69" s="384">
        <f t="shared" si="13"/>
        <v>27.219480846846384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6.6348382668281414E-2</v>
      </c>
      <c r="AD69" s="230">
        <f>(INDEX(Models!$BJ69:$BT69,,AH69)*(1-AF69)+INDEX(Models!$BJ69:$BT69,,AH69+1)*AF69-ERP_i)*AE69*Ramure*Pc/MaxiM</f>
        <v>4.5211338888748625E-5</v>
      </c>
      <c r="AE69" s="304">
        <f t="shared" si="15"/>
        <v>0.6</v>
      </c>
      <c r="AF69" s="177">
        <f t="shared" si="23"/>
        <v>0.50475930646499623</v>
      </c>
      <c r="AG69" s="799">
        <f t="shared" si="24"/>
        <v>1</v>
      </c>
      <c r="AH69" s="176">
        <f t="shared" si="16"/>
        <v>7</v>
      </c>
      <c r="AI69" s="224">
        <f t="shared" si="17"/>
        <v>1.5047593064649962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45713</v>
      </c>
      <c r="B70" s="409">
        <f>IF(t&gt;Tmaj,'2024'!Wh/'2024'!Env_an*'2025'!Env_an,0.001*'[4]mon-tableau'!$B$245)</f>
        <v>29.664603042157008</v>
      </c>
      <c r="C70" s="829"/>
      <c r="D70" s="391">
        <f t="shared" si="0"/>
        <v>30.952173555629134</v>
      </c>
      <c r="E70" s="383">
        <f t="shared" si="1"/>
        <v>32.252644972109984</v>
      </c>
      <c r="F70" s="383">
        <f t="shared" si="2"/>
        <v>32.253440374798345</v>
      </c>
      <c r="G70" s="110">
        <f t="shared" si="21"/>
        <v>0.69643893522689793</v>
      </c>
      <c r="H70" s="412" t="b">
        <f>Wh_hp&gt;='2024'!Maxi_hp</f>
        <v>0</v>
      </c>
      <c r="I70" s="388">
        <f>IF(H70,Wh_hp,'2024'!Maxi_hp)</f>
        <v>38.963373237809762</v>
      </c>
      <c r="J70" s="85">
        <f>IF(H70,An,'2024'!An_max)</f>
        <v>2021</v>
      </c>
      <c r="K70" s="197">
        <f t="shared" si="3"/>
        <v>45713</v>
      </c>
      <c r="L70" s="147">
        <f>IF(t&lt;Tvie,1-EXP((T0-t)*PertePVj)+'2024'!Pspv,1-EXP((T0-t)*PertePVj)+Pspv)</f>
        <v>4.1598710706310382E-2</v>
      </c>
      <c r="M70" s="832"/>
      <c r="N70" s="832"/>
      <c r="O70" s="48">
        <f>IF(t&lt;Tnet,'2024'!Resal+('2024'!Salim-'2024'!Resal)*(1-EXP(('2024'!Tnet-t)/('2024'!Tau_j))),Resal+(Salim-Resal)*(1-EXP((Tnet-t)/(Tau_j))))*Salcycl</f>
        <v>4.0321388140582365E-2</v>
      </c>
      <c r="P70" s="169">
        <f>(INDEX(Models!$BJ70:$BT70,,T70)*(1-R70)+INDEX(Models!$BJ70:$BT70,,T70+1)*R70-ERP_i)*Q70*Ramure*Pc/MaxiM</f>
        <v>4.3542999346628952E-5</v>
      </c>
      <c r="Q70" s="304">
        <f t="shared" si="4"/>
        <v>0.6</v>
      </c>
      <c r="R70" s="177">
        <f t="shared" si="5"/>
        <v>0.50502191625713233</v>
      </c>
      <c r="S70" s="799">
        <f t="shared" si="6"/>
        <v>1</v>
      </c>
      <c r="T70" s="176">
        <f t="shared" si="7"/>
        <v>7</v>
      </c>
      <c r="U70" s="250">
        <f t="shared" si="8"/>
        <v>1.5050219162571323</v>
      </c>
      <c r="V70" s="382">
        <f t="shared" si="9"/>
        <v>42.593889286518923</v>
      </c>
      <c r="W70" s="400">
        <f t="shared" si="10"/>
        <v>29.664603042157008</v>
      </c>
      <c r="X70" s="157">
        <f t="shared" si="11"/>
        <v>45713</v>
      </c>
      <c r="Y70" s="383">
        <f t="shared" si="12"/>
        <v>28.858279120601296</v>
      </c>
      <c r="Z70" s="383">
        <f t="shared" si="22"/>
        <v>30.11085173087455</v>
      </c>
      <c r="AA70" s="384">
        <f t="shared" si="13"/>
        <v>32.252644972109984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6.6406747201276609E-2</v>
      </c>
      <c r="AD70" s="230">
        <f>(INDEX(Models!$BJ70:$BT70,,AH70)*(1-AF70)+INDEX(Models!$BJ70:$BT70,,AH70+1)*AF70-ERP_i)*AE70*Ramure*Pc/MaxiM</f>
        <v>4.3542999346628952E-5</v>
      </c>
      <c r="AE70" s="304">
        <f t="shared" si="15"/>
        <v>0.6</v>
      </c>
      <c r="AF70" s="177">
        <f t="shared" si="23"/>
        <v>0.50502191625713233</v>
      </c>
      <c r="AG70" s="799">
        <f t="shared" si="24"/>
        <v>1</v>
      </c>
      <c r="AH70" s="176">
        <f t="shared" si="16"/>
        <v>7</v>
      </c>
      <c r="AI70" s="224">
        <f t="shared" si="17"/>
        <v>1.5050219162571323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45714</v>
      </c>
      <c r="B71" s="409">
        <f>IF(t&gt;Tmaj,'2024'!Wh/'2024'!Env_an*'2025'!Env_an,0.001*'[4]mon-tableau'!$B$246)</f>
        <v>44.61209392130931</v>
      </c>
      <c r="C71" s="829"/>
      <c r="D71" s="391">
        <f t="shared" si="0"/>
        <v>46.549341509312619</v>
      </c>
      <c r="E71" s="383">
        <f t="shared" si="1"/>
        <v>48.509568386601309</v>
      </c>
      <c r="F71" s="383">
        <f t="shared" si="2"/>
        <v>48.511600491772327</v>
      </c>
      <c r="G71" s="110">
        <f t="shared" si="21"/>
        <v>1.0394482169514445</v>
      </c>
      <c r="H71" s="412" t="b">
        <f>Wh_hp&gt;='2024'!Maxi_hp</f>
        <v>1</v>
      </c>
      <c r="I71" s="388">
        <f>IF(H71,Wh_hp,'2024'!Maxi_hp)</f>
        <v>48.511600491772327</v>
      </c>
      <c r="J71" s="85">
        <f>IF(H71,An,'2024'!An_max)</f>
        <v>2025</v>
      </c>
      <c r="K71" s="197">
        <f t="shared" si="3"/>
        <v>45714</v>
      </c>
      <c r="L71" s="147">
        <f>IF(t&lt;Tvie,1-EXP((T0-t)*PertePVj)+'2024'!Pspv,1-EXP((T0-t)*PertePVj)+Pspv)</f>
        <v>4.161707824837324E-2</v>
      </c>
      <c r="M71" s="832"/>
      <c r="N71" s="832"/>
      <c r="O71" s="48">
        <f>IF(t&lt;Tnet,'2024'!Resal+('2024'!Salim-'2024'!Resal)*(1-EXP(('2024'!Tnet-t)/('2024'!Tau_j))),Resal+(Salim-Resal)*(1-EXP((Tnet-t)/(Tau_j))))*Salcycl</f>
        <v>4.0409076858125989E-2</v>
      </c>
      <c r="P71" s="169">
        <f>(INDEX(Models!$BJ71:$BT71,,T71)*(1-R71)+INDEX(Models!$BJ71:$BT71,,T71+1)*R71-ERP_i)*Q71*Ramure*Pc/MaxiM</f>
        <v>4.1889056440466733E-5</v>
      </c>
      <c r="Q71" s="304">
        <f t="shared" si="4"/>
        <v>0.6</v>
      </c>
      <c r="R71" s="177">
        <f t="shared" si="5"/>
        <v>0.50529524651269764</v>
      </c>
      <c r="S71" s="799">
        <f t="shared" si="6"/>
        <v>1</v>
      </c>
      <c r="T71" s="176">
        <f t="shared" si="7"/>
        <v>7</v>
      </c>
      <c r="U71" s="250">
        <f t="shared" si="8"/>
        <v>1.5052952465126976</v>
      </c>
      <c r="V71" s="382">
        <f t="shared" si="9"/>
        <v>42.919015294624593</v>
      </c>
      <c r="W71" s="400">
        <f t="shared" si="10"/>
        <v>44.61209392130931</v>
      </c>
      <c r="X71" s="157">
        <f t="shared" si="11"/>
        <v>45714</v>
      </c>
      <c r="Y71" s="383">
        <f t="shared" si="12"/>
        <v>43.400733511734828</v>
      </c>
      <c r="Z71" s="383">
        <f t="shared" si="22"/>
        <v>45.285378658889023</v>
      </c>
      <c r="AA71" s="384">
        <f t="shared" si="13"/>
        <v>48.509568386601309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6.6465026075202605E-2</v>
      </c>
      <c r="AD71" s="230">
        <f>(INDEX(Models!$BJ71:$BT71,,AH71)*(1-AF71)+INDEX(Models!$BJ71:$BT71,,AH71+1)*AF71-ERP_i)*AE71*Ramure*Pc/MaxiM</f>
        <v>4.1889056440466733E-5</v>
      </c>
      <c r="AE71" s="304">
        <f t="shared" si="15"/>
        <v>0.6</v>
      </c>
      <c r="AF71" s="177">
        <f t="shared" si="23"/>
        <v>0.50529524651269764</v>
      </c>
      <c r="AG71" s="799">
        <f t="shared" si="24"/>
        <v>1</v>
      </c>
      <c r="AH71" s="176">
        <f t="shared" si="16"/>
        <v>7</v>
      </c>
      <c r="AI71" s="224">
        <f t="shared" si="17"/>
        <v>1.5052952465126976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45715</v>
      </c>
      <c r="B72" s="409">
        <f>IF(t&gt;Tmaj,'2024'!Wh/'2024'!Env_an*'2025'!Env_an,0.001*'[4]mon-tableau'!$B$247)</f>
        <v>26.278615589008666</v>
      </c>
      <c r="C72" s="829"/>
      <c r="D72" s="391">
        <f t="shared" si="0"/>
        <v>27.420270776844866</v>
      </c>
      <c r="E72" s="383">
        <f t="shared" si="1"/>
        <v>28.57756668911901</v>
      </c>
      <c r="F72" s="383">
        <f t="shared" si="2"/>
        <v>28.578072548837273</v>
      </c>
      <c r="G72" s="110">
        <f t="shared" si="21"/>
        <v>0.60768384403644249</v>
      </c>
      <c r="H72" s="412" t="b">
        <f>Wh_hp&gt;='2024'!Maxi_hp</f>
        <v>0</v>
      </c>
      <c r="I72" s="388">
        <f>IF(H72,Wh_hp,'2024'!Maxi_hp)</f>
        <v>44.999579692306305</v>
      </c>
      <c r="J72" s="85">
        <f>IF(H72,An,'2024'!An_max)</f>
        <v>2021</v>
      </c>
      <c r="K72" s="197">
        <f t="shared" si="3"/>
        <v>45715</v>
      </c>
      <c r="L72" s="147">
        <f>IF(t&lt;Tvie,1-EXP((T0-t)*PertePVj)+'2024'!Pspv,1-EXP((T0-t)*PertePVj)+Pspv)</f>
        <v>4.1635445438426344E-2</v>
      </c>
      <c r="M72" s="832"/>
      <c r="N72" s="832"/>
      <c r="O72" s="48">
        <f>IF(t&lt;Tnet,'2024'!Resal+('2024'!Salim-'2024'!Resal)*(1-EXP(('2024'!Tnet-t)/('2024'!Tau_j))),Resal+(Salim-Resal)*(1-EXP((Tnet-t)/(Tau_j))))*Salcycl</f>
        <v>4.04966568659881E-2</v>
      </c>
      <c r="P72" s="169">
        <f>(INDEX(Models!$BJ72:$BT72,,T72)*(1-R72)+INDEX(Models!$BJ72:$BT72,,T72+1)*R72-ERP_i)*Q72*Ramure*Pc/MaxiM</f>
        <v>4.0269028539491046E-5</v>
      </c>
      <c r="Q72" s="304">
        <f t="shared" si="4"/>
        <v>0.6</v>
      </c>
      <c r="R72" s="177">
        <f t="shared" si="5"/>
        <v>0.50557972210750779</v>
      </c>
      <c r="S72" s="799">
        <f t="shared" si="6"/>
        <v>1</v>
      </c>
      <c r="T72" s="176">
        <f t="shared" si="7"/>
        <v>7</v>
      </c>
      <c r="U72" s="250">
        <f t="shared" si="8"/>
        <v>1.5055797221075078</v>
      </c>
      <c r="V72" s="382">
        <f t="shared" si="9"/>
        <v>43.24291780859695</v>
      </c>
      <c r="W72" s="400">
        <f t="shared" si="10"/>
        <v>26.278615589008666</v>
      </c>
      <c r="X72" s="157">
        <f t="shared" si="11"/>
        <v>45715</v>
      </c>
      <c r="Y72" s="383">
        <f t="shared" si="12"/>
        <v>25.565807131403183</v>
      </c>
      <c r="Z72" s="383">
        <f t="shared" si="22"/>
        <v>26.676494878401321</v>
      </c>
      <c r="AA72" s="384">
        <f t="shared" si="13"/>
        <v>28.57756668911901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6.652322191733448E-2</v>
      </c>
      <c r="AD72" s="230">
        <f>(INDEX(Models!$BJ72:$BT72,,AH72)*(1-AF72)+INDEX(Models!$BJ72:$BT72,,AH72+1)*AF72-ERP_i)*AE72*Ramure*Pc/MaxiM</f>
        <v>4.0269028539491046E-5</v>
      </c>
      <c r="AE72" s="304">
        <f t="shared" si="15"/>
        <v>0.6</v>
      </c>
      <c r="AF72" s="177">
        <f t="shared" si="23"/>
        <v>0.50557972210750779</v>
      </c>
      <c r="AG72" s="799">
        <f t="shared" si="24"/>
        <v>1</v>
      </c>
      <c r="AH72" s="176">
        <f t="shared" si="16"/>
        <v>7</v>
      </c>
      <c r="AI72" s="224">
        <f t="shared" si="17"/>
        <v>1.5055797221075078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45716</v>
      </c>
      <c r="B73" s="409">
        <f>IF(t&gt;Tmaj,'2024'!Wh/'2024'!Env_an*'2025'!Env_an,0.001*'[4]mon-tableau'!$B$248)</f>
        <v>37.570363861332318</v>
      </c>
      <c r="C73" s="829"/>
      <c r="D73" s="391">
        <f t="shared" si="0"/>
        <v>39.203332097118036</v>
      </c>
      <c r="E73" s="383">
        <f t="shared" si="1"/>
        <v>40.861667339117403</v>
      </c>
      <c r="F73" s="383">
        <f t="shared" si="2"/>
        <v>40.862939711075086</v>
      </c>
      <c r="G73" s="110">
        <f t="shared" si="21"/>
        <v>0.86237759652233648</v>
      </c>
      <c r="H73" s="412" t="b">
        <f>Wh_hp&gt;='2024'!Maxi_hp</f>
        <v>0</v>
      </c>
      <c r="I73" s="388">
        <f>IF(H73,Wh_hp,'2024'!Maxi_hp)</f>
        <v>40.863117136509821</v>
      </c>
      <c r="J73" s="85">
        <f>IF(H73,An,'2024'!An_max)</f>
        <v>2022</v>
      </c>
      <c r="K73" s="197">
        <f t="shared" si="3"/>
        <v>45716</v>
      </c>
      <c r="L73" s="147">
        <f>IF(t&lt;Tvie,1-EXP((T0-t)*PertePVj)+'2024'!Pspv,1-EXP((T0-t)*PertePVj)+Pspv)</f>
        <v>4.1653812276476465E-2</v>
      </c>
      <c r="M73" s="832"/>
      <c r="N73" s="832"/>
      <c r="O73" s="48">
        <f>IF(t&lt;Tnet,'2024'!Resal+('2024'!Salim-'2024'!Resal)*(1-EXP(('2024'!Tnet-t)/('2024'!Tau_j))),Resal+(Salim-Resal)*(1-EXP((Tnet-t)/(Tau_j))))*Salcycl</f>
        <v>4.0584130555334004E-2</v>
      </c>
      <c r="P73" s="169">
        <f>(INDEX(Models!$BJ73:$BT73,,T73)*(1-R73)+INDEX(Models!$BJ73:$BT73,,T73+1)*R73-ERP_i)*Q73*Ramure*Pc/MaxiM</f>
        <v>3.8756936044590064E-5</v>
      </c>
      <c r="Q73" s="304">
        <f t="shared" si="4"/>
        <v>0.6</v>
      </c>
      <c r="R73" s="177">
        <f t="shared" si="5"/>
        <v>0.50587578368009534</v>
      </c>
      <c r="S73" s="799">
        <f t="shared" si="6"/>
        <v>1</v>
      </c>
      <c r="T73" s="176">
        <f t="shared" si="7"/>
        <v>7</v>
      </c>
      <c r="U73" s="250">
        <f t="shared" si="8"/>
        <v>1.5058757836800953</v>
      </c>
      <c r="V73" s="382">
        <f t="shared" si="9"/>
        <v>43.565692964355868</v>
      </c>
      <c r="W73" s="400">
        <f t="shared" si="10"/>
        <v>37.570363861332318</v>
      </c>
      <c r="X73" s="157">
        <f t="shared" si="11"/>
        <v>45716</v>
      </c>
      <c r="Y73" s="383">
        <f t="shared" si="12"/>
        <v>36.552322991517585</v>
      </c>
      <c r="Z73" s="383">
        <f t="shared" si="22"/>
        <v>38.141042829569521</v>
      </c>
      <c r="AA73" s="384">
        <f t="shared" si="13"/>
        <v>40.861667339117403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6.6581338616679295E-2</v>
      </c>
      <c r="AD73" s="230">
        <f>(INDEX(Models!$BJ73:$BT73,,AH73)*(1-AF73)+INDEX(Models!$BJ73:$BT73,,AH73+1)*AF73-ERP_i)*AE73*Ramure*Pc/MaxiM</f>
        <v>3.8756936044590064E-5</v>
      </c>
      <c r="AE73" s="304">
        <f t="shared" si="15"/>
        <v>0.6</v>
      </c>
      <c r="AF73" s="177">
        <f t="shared" si="23"/>
        <v>0.50587578368009534</v>
      </c>
      <c r="AG73" s="799">
        <f t="shared" si="24"/>
        <v>1</v>
      </c>
      <c r="AH73" s="176">
        <f t="shared" si="16"/>
        <v>7</v>
      </c>
      <c r="AI73" s="224">
        <f t="shared" si="17"/>
        <v>1.5058757836800953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45717</v>
      </c>
      <c r="B74" s="409">
        <f>IF(t&gt;Tmaj,'2024'!Wh/'2024'!Env_an*'2025'!Env_an,0.001*'[5]mon-tableau'!$B$242)</f>
        <v>42.564707700166089</v>
      </c>
      <c r="C74" s="829"/>
      <c r="D74" s="391">
        <f t="shared" si="0"/>
        <v>44.415602632931105</v>
      </c>
      <c r="E74" s="383">
        <f t="shared" si="1"/>
        <v>46.298637729257415</v>
      </c>
      <c r="F74" s="383">
        <f t="shared" si="2"/>
        <v>46.300292602004987</v>
      </c>
      <c r="G74" s="110">
        <f t="shared" si="21"/>
        <v>0.96985923926460171</v>
      </c>
      <c r="H74" s="412" t="b">
        <f>Wh_hp&gt;='2024'!Maxi_hp</f>
        <v>0</v>
      </c>
      <c r="I74" s="388">
        <f>IF(H74,Wh_hp,'2024'!Maxi_hp)</f>
        <v>46.300334532075077</v>
      </c>
      <c r="J74" s="85">
        <f>IF(H74,An,'2024'!An_max)</f>
        <v>2022</v>
      </c>
      <c r="K74" s="197">
        <f t="shared" si="3"/>
        <v>45717</v>
      </c>
      <c r="L74" s="147">
        <f>IF(t&lt;Tvie,1-EXP((T0-t)*PertePVj)+'2024'!Pspv,1-EXP((T0-t)*PertePVj)+Pspv)</f>
        <v>4.1672178762530265E-2</v>
      </c>
      <c r="M74" s="832"/>
      <c r="N74" s="832"/>
      <c r="O74" s="48">
        <f>IF(t&lt;Tnet,'2024'!Resal+('2024'!Salim-'2024'!Resal)*(1-EXP(('2024'!Tnet-t)/('2024'!Tau_j))),Resal+(Salim-Resal)*(1-EXP((Tnet-t)/(Tau_j))))*Salcycl</f>
        <v>4.067150112143296E-2</v>
      </c>
      <c r="P74" s="169">
        <f>(INDEX(Models!$BJ74:$BT74,,T74)*(1-R74)+INDEX(Models!$BJ74:$BT74,,T74+1)*R74-ERP_i)*Q74*Ramure*Pc/MaxiM</f>
        <v>3.735032157516099E-5</v>
      </c>
      <c r="Q74" s="304">
        <f t="shared" si="4"/>
        <v>0.6</v>
      </c>
      <c r="R74" s="177">
        <f t="shared" si="5"/>
        <v>0.50618388812515414</v>
      </c>
      <c r="S74" s="799">
        <f t="shared" si="6"/>
        <v>1</v>
      </c>
      <c r="T74" s="176">
        <f t="shared" si="7"/>
        <v>7</v>
      </c>
      <c r="U74" s="250">
        <f t="shared" si="8"/>
        <v>1.5061838881251541</v>
      </c>
      <c r="V74" s="382">
        <f t="shared" si="9"/>
        <v>43.887440077722459</v>
      </c>
      <c r="W74" s="400">
        <f t="shared" si="10"/>
        <v>42.564707700166089</v>
      </c>
      <c r="X74" s="157">
        <f t="shared" si="11"/>
        <v>45717</v>
      </c>
      <c r="Y74" s="383">
        <f t="shared" si="12"/>
        <v>41.412531742465625</v>
      </c>
      <c r="Z74" s="383">
        <f t="shared" si="22"/>
        <v>43.213325153171951</v>
      </c>
      <c r="AA74" s="384">
        <f t="shared" si="13"/>
        <v>46.298637729257415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6.6639381359935093E-2</v>
      </c>
      <c r="AD74" s="230">
        <f>(INDEX(Models!$BJ74:$BT74,,AH74)*(1-AF74)+INDEX(Models!$BJ74:$BT74,,AH74+1)*AF74-ERP_i)*AE74*Ramure*Pc/MaxiM</f>
        <v>3.735032157516099E-5</v>
      </c>
      <c r="AE74" s="304">
        <f t="shared" si="15"/>
        <v>0.6</v>
      </c>
      <c r="AF74" s="177">
        <f t="shared" si="23"/>
        <v>0.50618388812515414</v>
      </c>
      <c r="AG74" s="799">
        <f t="shared" si="24"/>
        <v>1</v>
      </c>
      <c r="AH74" s="176">
        <f t="shared" si="16"/>
        <v>7</v>
      </c>
      <c r="AI74" s="224">
        <f t="shared" si="17"/>
        <v>1.5061838881251541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45718</v>
      </c>
      <c r="B75" s="409">
        <f>IF(t&gt;Tmaj,'2024'!Wh/'2024'!Env_an*'2025'!Env_an,0.001*'[5]mon-tableau'!$B$243)</f>
        <v>12.48367744963744</v>
      </c>
      <c r="C75" s="829"/>
      <c r="D75" s="391">
        <f t="shared" si="0"/>
        <v>13.026770614811893</v>
      </c>
      <c r="E75" s="383">
        <f t="shared" si="1"/>
        <v>13.580286420672333</v>
      </c>
      <c r="F75" s="383">
        <f t="shared" si="2"/>
        <v>13.580286420672333</v>
      </c>
      <c r="G75" s="110">
        <f t="shared" si="21"/>
        <v>0.28237320154959228</v>
      </c>
      <c r="H75" s="412" t="b">
        <f>Wh_hp&gt;='2024'!Maxi_hp</f>
        <v>0</v>
      </c>
      <c r="I75" s="388">
        <f>IF(H75,Wh_hp,'2024'!Maxi_hp)</f>
        <v>33.645098322767872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4.1690544896594517E-2</v>
      </c>
      <c r="M75" s="832"/>
      <c r="N75" s="832"/>
      <c r="O75" s="48">
        <f>IF(t&lt;Tnet,'2024'!Resal+('2024'!Salim-'2024'!Resal)*(1-EXP(('2024'!Tnet-t)/('2024'!Tau_j))),Resal+(Salim-Resal)*(1-EXP((Tnet-t)/(Tau_j))))*Salcycl</f>
        <v>4.0758772585080497E-2</v>
      </c>
      <c r="P75" s="169">
        <f>(INDEX(Models!$BJ75:$BT75,,T75)*(1-R75)+INDEX(Models!$BJ75:$BT75,,T75+1)*R75-ERP_i)*Q75*Ramure*Pc/MaxiM</f>
        <v>3.6046838104254474E-5</v>
      </c>
      <c r="Q75" s="304">
        <f t="shared" si="4"/>
        <v>0.6</v>
      </c>
      <c r="R75" s="177">
        <f t="shared" si="5"/>
        <v>0.5065045090944158</v>
      </c>
      <c r="S75" s="799">
        <f t="shared" si="6"/>
        <v>1</v>
      </c>
      <c r="T75" s="176">
        <f t="shared" si="7"/>
        <v>7</v>
      </c>
      <c r="U75" s="250">
        <f t="shared" si="8"/>
        <v>1.5065045090944158</v>
      </c>
      <c r="V75" s="382">
        <f t="shared" si="9"/>
        <v>44.208258375910646</v>
      </c>
      <c r="W75" s="400">
        <f t="shared" si="10"/>
        <v>12.48367744963744</v>
      </c>
      <c r="X75" s="157">
        <f t="shared" si="11"/>
        <v>45718</v>
      </c>
      <c r="Y75" s="383">
        <f t="shared" si="12"/>
        <v>12.146109684806683</v>
      </c>
      <c r="Z75" s="383">
        <f t="shared" si="22"/>
        <v>12.674517213749153</v>
      </c>
      <c r="AA75" s="384">
        <f t="shared" si="13"/>
        <v>13.580286420672333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6.6697356658427381E-2</v>
      </c>
      <c r="AD75" s="230">
        <f>(INDEX(Models!$BJ75:$BT75,,AH75)*(1-AF75)+INDEX(Models!$BJ75:$BT75,,AH75+1)*AF75-ERP_i)*AE75*Ramure*Pc/MaxiM</f>
        <v>3.6046838104254474E-5</v>
      </c>
      <c r="AE75" s="304">
        <f t="shared" si="15"/>
        <v>0.6</v>
      </c>
      <c r="AF75" s="177">
        <f t="shared" si="23"/>
        <v>0.5065045090944158</v>
      </c>
      <c r="AG75" s="799">
        <f t="shared" si="24"/>
        <v>1</v>
      </c>
      <c r="AH75" s="176">
        <f t="shared" si="16"/>
        <v>7</v>
      </c>
      <c r="AI75" s="224">
        <f t="shared" si="17"/>
        <v>1.5065045090944158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45719</v>
      </c>
      <c r="B76" s="409">
        <f>IF(t&gt;Tmaj,'2024'!Wh/'2024'!Env_an*'2025'!Env_an,0.001*'[5]mon-tableau'!$B$244)</f>
        <v>34.435097091483478</v>
      </c>
      <c r="C76" s="829"/>
      <c r="D76" s="391">
        <f t="shared" si="0"/>
        <v>35.933859215857815</v>
      </c>
      <c r="E76" s="383">
        <f t="shared" si="1"/>
        <v>37.464116643916071</v>
      </c>
      <c r="F76" s="383">
        <f t="shared" si="2"/>
        <v>37.46499936629079</v>
      </c>
      <c r="G76" s="110">
        <f t="shared" si="21"/>
        <v>0.77332279785224423</v>
      </c>
      <c r="H76" s="412" t="b">
        <f>Wh_hp&gt;='2024'!Maxi_hp</f>
        <v>0</v>
      </c>
      <c r="I76" s="388">
        <f>IF(H76,Wh_hp,'2024'!Maxi_hp)</f>
        <v>37.465231980084269</v>
      </c>
      <c r="J76" s="85">
        <f>IF(H76,An,'2024'!An_max)</f>
        <v>2022</v>
      </c>
      <c r="K76" s="197">
        <f t="shared" si="3"/>
        <v>45719</v>
      </c>
      <c r="L76" s="147">
        <f>IF(t&lt;Tvie,1-EXP((T0-t)*PertePVj)+'2024'!Pspv,1-EXP((T0-t)*PertePVj)+Pspv)</f>
        <v>4.1708910678676103E-2</v>
      </c>
      <c r="M76" s="832"/>
      <c r="N76" s="832"/>
      <c r="O76" s="48">
        <f>IF(t&lt;Tnet,'2024'!Resal+('2024'!Salim-'2024'!Resal)*(1-EXP(('2024'!Tnet-t)/('2024'!Tau_j))),Resal+(Salim-Resal)*(1-EXP((Tnet-t)/(Tau_j))))*Salcycl</f>
        <v>4.0845949808528556E-2</v>
      </c>
      <c r="P76" s="169">
        <f>(INDEX(Models!$BJ76:$BT76,,T76)*(1-R76)+INDEX(Models!$BJ76:$BT76,,T76+1)*R76-ERP_i)*Q76*Ramure*Pc/MaxiM</f>
        <v>3.4844241591960664E-5</v>
      </c>
      <c r="Q76" s="304">
        <f t="shared" si="4"/>
        <v>0.6</v>
      </c>
      <c r="R76" s="177">
        <f t="shared" si="5"/>
        <v>0.50683813750427364</v>
      </c>
      <c r="S76" s="799">
        <f t="shared" si="6"/>
        <v>1</v>
      </c>
      <c r="T76" s="176">
        <f t="shared" si="7"/>
        <v>7</v>
      </c>
      <c r="U76" s="250">
        <f t="shared" si="8"/>
        <v>1.5068381375042736</v>
      </c>
      <c r="V76" s="382">
        <f t="shared" si="9"/>
        <v>44.528246997501476</v>
      </c>
      <c r="W76" s="400">
        <f t="shared" si="10"/>
        <v>34.435097091483478</v>
      </c>
      <c r="X76" s="157">
        <f t="shared" si="11"/>
        <v>45719</v>
      </c>
      <c r="Y76" s="383">
        <f t="shared" si="12"/>
        <v>33.504912792453815</v>
      </c>
      <c r="Z76" s="383">
        <f t="shared" si="22"/>
        <v>34.963189333402333</v>
      </c>
      <c r="AA76" s="384">
        <f t="shared" si="13"/>
        <v>37.464116643916071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6.675527236593394E-2</v>
      </c>
      <c r="AD76" s="230">
        <f>(INDEX(Models!$BJ76:$BT76,,AH76)*(1-AF76)+INDEX(Models!$BJ76:$BT76,,AH76+1)*AF76-ERP_i)*AE76*Ramure*Pc/MaxiM</f>
        <v>3.4844241591960664E-5</v>
      </c>
      <c r="AE76" s="304">
        <f t="shared" si="15"/>
        <v>0.6</v>
      </c>
      <c r="AF76" s="177">
        <f t="shared" si="23"/>
        <v>0.50683813750427364</v>
      </c>
      <c r="AG76" s="799">
        <f t="shared" si="24"/>
        <v>1</v>
      </c>
      <c r="AH76" s="176">
        <f t="shared" si="16"/>
        <v>7</v>
      </c>
      <c r="AI76" s="224">
        <f t="shared" si="17"/>
        <v>1.5068381375042736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45720</v>
      </c>
      <c r="B77" s="409">
        <f>IF(t&gt;Tmaj,'2024'!Wh/'2024'!Env_an*'2025'!Env_an,0.001*'[5]mon-tableau'!$B$245)</f>
        <v>3.6869215165976437</v>
      </c>
      <c r="C77" s="829"/>
      <c r="D77" s="391">
        <f t="shared" si="0"/>
        <v>3.8474657836720154</v>
      </c>
      <c r="E77" s="383">
        <f t="shared" si="1"/>
        <v>4.0116758663837953</v>
      </c>
      <c r="F77" s="383">
        <f t="shared" si="2"/>
        <v>4.0116758663837953</v>
      </c>
      <c r="G77" s="110">
        <f t="shared" si="21"/>
        <v>8.2207407508498018E-2</v>
      </c>
      <c r="H77" s="412" t="b">
        <f>Wh_hp&gt;='2024'!Maxi_hp</f>
        <v>0</v>
      </c>
      <c r="I77" s="388">
        <f>IF(H77,Wh_hp,'2024'!Maxi_hp)</f>
        <v>31.305227886602569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4.1727276108781575E-2</v>
      </c>
      <c r="M77" s="832"/>
      <c r="N77" s="832"/>
      <c r="O77" s="48">
        <f>IF(t&lt;Tnet,'2024'!Resal+('2024'!Salim-'2024'!Resal)*(1-EXP(('2024'!Tnet-t)/('2024'!Tau_j))),Resal+(Salim-Resal)*(1-EXP((Tnet-t)/(Tau_j))))*Salcycl</f>
        <v>4.0933038505875763E-2</v>
      </c>
      <c r="P77" s="169">
        <f>(INDEX(Models!$BJ77:$BT77,,T77)*(1-R77)+INDEX(Models!$BJ77:$BT77,,T77+1)*R77-ERP_i)*Q77*Ramure*Pc/MaxiM</f>
        <v>3.3740384450485741E-5</v>
      </c>
      <c r="Q77" s="304">
        <f t="shared" si="4"/>
        <v>0.6</v>
      </c>
      <c r="R77" s="177">
        <f t="shared" si="5"/>
        <v>0.50718528204937185</v>
      </c>
      <c r="S77" s="799">
        <f t="shared" si="6"/>
        <v>1</v>
      </c>
      <c r="T77" s="176">
        <f t="shared" si="7"/>
        <v>7</v>
      </c>
      <c r="U77" s="250">
        <f t="shared" si="8"/>
        <v>1.5071852820493719</v>
      </c>
      <c r="V77" s="382">
        <f t="shared" si="9"/>
        <v>44.84750498995021</v>
      </c>
      <c r="W77" s="400">
        <f t="shared" si="10"/>
        <v>3.6869215165976437</v>
      </c>
      <c r="X77" s="157">
        <f t="shared" si="11"/>
        <v>45720</v>
      </c>
      <c r="Y77" s="383">
        <f t="shared" si="12"/>
        <v>3.5874311803072541</v>
      </c>
      <c r="Z77" s="383">
        <f t="shared" si="22"/>
        <v>3.7436432143658651</v>
      </c>
      <c r="AA77" s="384">
        <f t="shared" si="13"/>
        <v>4.0116758663837953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6.6813137687402463E-2</v>
      </c>
      <c r="AD77" s="230">
        <f>(INDEX(Models!$BJ77:$BT77,,AH77)*(1-AF77)+INDEX(Models!$BJ77:$BT77,,AH77+1)*AF77-ERP_i)*AE77*Ramure*Pc/MaxiM</f>
        <v>3.3740384450485741E-5</v>
      </c>
      <c r="AE77" s="304">
        <f t="shared" si="15"/>
        <v>0.6</v>
      </c>
      <c r="AF77" s="177">
        <f t="shared" si="23"/>
        <v>0.50718528204937185</v>
      </c>
      <c r="AG77" s="799">
        <f t="shared" si="24"/>
        <v>1</v>
      </c>
      <c r="AH77" s="176">
        <f t="shared" si="16"/>
        <v>7</v>
      </c>
      <c r="AI77" s="224">
        <f t="shared" si="17"/>
        <v>1.5071852820493719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45721</v>
      </c>
      <c r="B78" s="409">
        <f>IF(t&gt;Tmaj,'2024'!Wh/'2024'!Env_an*'2025'!Env_an,0.001*'[5]mon-tableau'!$B$246)</f>
        <v>12.628820816515489</v>
      </c>
      <c r="C78" s="829"/>
      <c r="D78" s="391">
        <f t="shared" si="0"/>
        <v>13.178986038902931</v>
      </c>
      <c r="E78" s="383">
        <f t="shared" si="1"/>
        <v>13.74271273721264</v>
      </c>
      <c r="F78" s="383">
        <f t="shared" si="2"/>
        <v>13.74271273721264</v>
      </c>
      <c r="G78" s="110">
        <f t="shared" si="21"/>
        <v>0.27959905063422386</v>
      </c>
      <c r="H78" s="412" t="b">
        <f>Wh_hp&gt;='2024'!Maxi_hp</f>
        <v>0</v>
      </c>
      <c r="I78" s="388">
        <f>IF(H78,Wh_hp,'2024'!Maxi_hp)</f>
        <v>38.458441078302194</v>
      </c>
      <c r="J78" s="85">
        <f>IF(H78,An,'2024'!An_max)</f>
        <v>2021</v>
      </c>
      <c r="K78" s="197">
        <f t="shared" si="3"/>
        <v>45721</v>
      </c>
      <c r="L78" s="147">
        <f>IF(t&lt;Tvie,1-EXP((T0-t)*PertePVj)+'2024'!Pspv,1-EXP((T0-t)*PertePVj)+Pspv)</f>
        <v>4.1745641186917815E-2</v>
      </c>
      <c r="M78" s="832"/>
      <c r="N78" s="832"/>
      <c r="O78" s="48">
        <f>IF(t&lt;Tnet,'2024'!Resal+('2024'!Salim-'2024'!Resal)*(1-EXP(('2024'!Tnet-t)/('2024'!Tau_j))),Resal+(Salim-Resal)*(1-EXP((Tnet-t)/(Tau_j))))*Salcycl</f>
        <v>4.10200452479259E-2</v>
      </c>
      <c r="P78" s="169">
        <f>(INDEX(Models!$BJ78:$BT78,,T78)*(1-R78)+INDEX(Models!$BJ78:$BT78,,T78+1)*R78-ERP_i)*Q78*Ramure*Pc/MaxiM</f>
        <v>3.2733209809431079E-5</v>
      </c>
      <c r="Q78" s="304">
        <f t="shared" si="4"/>
        <v>0.6</v>
      </c>
      <c r="R78" s="177">
        <f t="shared" si="5"/>
        <v>0.50754646972126749</v>
      </c>
      <c r="S78" s="799">
        <f t="shared" si="6"/>
        <v>1</v>
      </c>
      <c r="T78" s="176">
        <f t="shared" si="7"/>
        <v>7</v>
      </c>
      <c r="U78" s="250">
        <f t="shared" si="8"/>
        <v>1.5075464697212675</v>
      </c>
      <c r="V78" s="382">
        <f t="shared" si="9"/>
        <v>45.16613130848841</v>
      </c>
      <c r="W78" s="400">
        <f t="shared" si="10"/>
        <v>12.628820816515489</v>
      </c>
      <c r="X78" s="157">
        <f t="shared" si="11"/>
        <v>45721</v>
      </c>
      <c r="Y78" s="383">
        <f t="shared" si="12"/>
        <v>12.288389706488772</v>
      </c>
      <c r="Z78" s="383">
        <f t="shared" si="22"/>
        <v>12.823724299787667</v>
      </c>
      <c r="AA78" s="384">
        <f t="shared" si="13"/>
        <v>13.74271273721264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6.6870963178654597E-2</v>
      </c>
      <c r="AD78" s="230">
        <f>(INDEX(Models!$BJ78:$BT78,,AH78)*(1-AF78)+INDEX(Models!$BJ78:$BT78,,AH78+1)*AF78-ERP_i)*AE78*Ramure*Pc/MaxiM</f>
        <v>3.2733209809431079E-5</v>
      </c>
      <c r="AE78" s="304">
        <f t="shared" si="15"/>
        <v>0.6</v>
      </c>
      <c r="AF78" s="177">
        <f t="shared" si="23"/>
        <v>0.50754646972126749</v>
      </c>
      <c r="AG78" s="799">
        <f t="shared" si="24"/>
        <v>1</v>
      </c>
      <c r="AH78" s="176">
        <f t="shared" si="16"/>
        <v>7</v>
      </c>
      <c r="AI78" s="224">
        <f t="shared" si="17"/>
        <v>1.5075464697212675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45722</v>
      </c>
      <c r="B79" s="409">
        <f>IF(t&gt;Tmaj,'2024'!Wh/'2024'!Env_an*'2025'!Env_an,0.001*'[5]mon-tableau'!$B$247)</f>
        <v>15.516724124151381</v>
      </c>
      <c r="C79" s="829"/>
      <c r="D79" s="391">
        <f t="shared" ref="D79:D142" si="25">Wh/(1-Ppv)</f>
        <v>16.1930090498605</v>
      </c>
      <c r="E79" s="383">
        <f t="shared" si="1"/>
        <v>16.887190405237977</v>
      </c>
      <c r="F79" s="383">
        <f t="shared" ref="F79:F142" si="26">Wh_sa/(1-Pvg*MEDIAN((-Sdif+Wh/Env_an)/Csdif,0,1))</f>
        <v>16.887221985545985</v>
      </c>
      <c r="G79" s="110">
        <f t="shared" si="21"/>
        <v>0.34112877970450656</v>
      </c>
      <c r="H79" s="412" t="b">
        <f>Wh_hp&gt;='2024'!Maxi_hp</f>
        <v>0</v>
      </c>
      <c r="I79" s="388">
        <f>IF(H79,Wh_hp,'2024'!Maxi_hp)</f>
        <v>16.88749179346107</v>
      </c>
      <c r="J79" s="85">
        <f>IF(H79,An,'2024'!An_max)</f>
        <v>2022</v>
      </c>
      <c r="K79" s="197">
        <f t="shared" ref="K79:K142" si="27">t</f>
        <v>45722</v>
      </c>
      <c r="L79" s="147">
        <f>IF(t&lt;Tvie,1-EXP((T0-t)*PertePVj)+'2024'!Pspv,1-EXP((T0-t)*PertePVj)+Pspv)</f>
        <v>4.1764005913091484E-2</v>
      </c>
      <c r="M79" s="832"/>
      <c r="N79" s="832"/>
      <c r="O79" s="48">
        <f>IF(t&lt;Tnet,'2024'!Resal+('2024'!Salim-'2024'!Resal)*(1-EXP(('2024'!Tnet-t)/('2024'!Tau_j))),Resal+(Salim-Resal)*(1-EXP((Tnet-t)/(Tau_j))))*Salcycl</f>
        <v>4.1106977461576953E-2</v>
      </c>
      <c r="P79" s="169">
        <f>(INDEX(Models!$BJ79:$BT79,,T79)*(1-R79)+INDEX(Models!$BJ79:$BT79,,T79+1)*R79-ERP_i)*Q79*Ramure*Pc/MaxiM</f>
        <v>3.1820169702406787E-5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0.50792224633116567</v>
      </c>
      <c r="S79" s="799">
        <f t="shared" ref="S79:S142" si="30">INDEX(Echel_vg,T79)</f>
        <v>1</v>
      </c>
      <c r="T79" s="176">
        <f t="shared" ref="T79:T142" si="31">MIN(MATCH(Hp_vg,Echel_vg),10)</f>
        <v>7</v>
      </c>
      <c r="U79" s="250">
        <f t="shared" ref="U79:U142" si="32">IF(OR(t&lt;Ttai,Notai),Hdd+PousH*Croivg,Hdtf+PousH*(Croivg-Croi_tai))</f>
        <v>1.5079222463311657</v>
      </c>
      <c r="V79" s="382">
        <f t="shared" ref="V79:V142" si="33">MaxiM*(1-Ppv)*(1-Pvg)*(1-Psa)</f>
        <v>45.485049397788629</v>
      </c>
      <c r="W79" s="400">
        <f t="shared" ref="W79:W142" si="34">Wh*(A79&gt;Tmaj)</f>
        <v>15.516724124151381</v>
      </c>
      <c r="X79" s="157">
        <f t="shared" ref="X79:X142" si="35">t</f>
        <v>45722</v>
      </c>
      <c r="Y79" s="383">
        <f t="shared" ref="Y79:Y142" si="36">Wh_pvt_s*(1-Ppv)</f>
        <v>15.09887825598385</v>
      </c>
      <c r="Z79" s="383">
        <f t="shared" ref="Z79:Z142" si="37">Wh_sa_s*(1-Psa_s)</f>
        <v>15.756951679081299</v>
      </c>
      <c r="AA79" s="384">
        <f t="shared" ref="AA79:AA142" si="38">Wh_hp*(1-Pvg_s*MEDIAN((-Sdif+Wh/Env_an)/Csdif,0,1))</f>
        <v>16.887190405237977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6.6928760737257204E-2</v>
      </c>
      <c r="AD79" s="230">
        <f>(INDEX(Models!$BJ79:$BT79,,AH79)*(1-AF79)+INDEX(Models!$BJ79:$BT79,,AH79+1)*AF79-ERP_i)*AE79*Ramure*Pc/MaxiM</f>
        <v>3.1820169702406787E-5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0.50792224633116567</v>
      </c>
      <c r="AG79" s="799">
        <f t="shared" si="24"/>
        <v>1</v>
      </c>
      <c r="AH79" s="176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1.5079222463311657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45723</v>
      </c>
      <c r="B80" s="409">
        <f>IF(t&gt;Tmaj,'2024'!Wh/'2024'!Env_an*'2025'!Env_an,0.001*'[5]mon-tableau'!$B$248)</f>
        <v>37.862091669783084</v>
      </c>
      <c r="C80" s="829"/>
      <c r="D80" s="391">
        <f t="shared" si="25"/>
        <v>39.513040144268224</v>
      </c>
      <c r="E80" s="383">
        <f t="shared" ref="E80:E143" si="47">Wh_pvt/(1-Psa)</f>
        <v>41.210665861145024</v>
      </c>
      <c r="F80" s="383">
        <f t="shared" si="26"/>
        <v>41.211625369640281</v>
      </c>
      <c r="G80" s="110">
        <f t="shared" ref="G80:G143" si="48">+Wh_hp/MaxiM</f>
        <v>0.82659045909820916</v>
      </c>
      <c r="H80" s="412" t="b">
        <f>Wh_hp&gt;='2024'!Maxi_hp</f>
        <v>0</v>
      </c>
      <c r="I80" s="388">
        <f>IF(H80,Wh_hp,'2024'!Maxi_hp)</f>
        <v>41.211792495970926</v>
      </c>
      <c r="J80" s="85">
        <f>IF(H80,An,'2024'!An_max)</f>
        <v>2022</v>
      </c>
      <c r="K80" s="197">
        <f t="shared" si="27"/>
        <v>45723</v>
      </c>
      <c r="L80" s="147">
        <f>IF(t&lt;Tvie,1-EXP((T0-t)*PertePVj)+'2024'!Pspv,1-EXP((T0-t)*PertePVj)+Pspv)</f>
        <v>4.1782370287309467E-2</v>
      </c>
      <c r="M80" s="832"/>
      <c r="N80" s="832"/>
      <c r="O80" s="48">
        <f>IF(t&lt;Tnet,'2024'!Resal+('2024'!Salim-'2024'!Resal)*(1-EXP(('2024'!Tnet-t)/('2024'!Tau_j))),Resal+(Salim-Resal)*(1-EXP((Tnet-t)/(Tau_j))))*Salcycl</f>
        <v>4.1193843423854619E-2</v>
      </c>
      <c r="P80" s="169">
        <f>(INDEX(Models!$BJ80:$BT80,,T80)*(1-R80)+INDEX(Models!$BJ80:$BT80,,T80+1)*R80-ERP_i)*Q80*Ramure*Pc/MaxiM</f>
        <v>3.0949162991630092E-5</v>
      </c>
      <c r="Q80" s="304">
        <f t="shared" si="28"/>
        <v>0.6</v>
      </c>
      <c r="R80" s="177">
        <f t="shared" si="29"/>
        <v>0.5083131770356013</v>
      </c>
      <c r="S80" s="799">
        <f t="shared" si="30"/>
        <v>1</v>
      </c>
      <c r="T80" s="176">
        <f t="shared" si="31"/>
        <v>7</v>
      </c>
      <c r="U80" s="250">
        <f t="shared" si="32"/>
        <v>1.5083131770356013</v>
      </c>
      <c r="V80" s="382">
        <f t="shared" si="33"/>
        <v>45.80478877938755</v>
      </c>
      <c r="W80" s="400">
        <f t="shared" si="34"/>
        <v>37.862091669783084</v>
      </c>
      <c r="X80" s="157">
        <f t="shared" si="35"/>
        <v>45723</v>
      </c>
      <c r="Y80" s="383">
        <f t="shared" si="36"/>
        <v>36.843569238311574</v>
      </c>
      <c r="Z80" s="383">
        <f t="shared" si="37"/>
        <v>38.450105796277882</v>
      </c>
      <c r="AA80" s="384">
        <f t="shared" si="38"/>
        <v>41.210665861145024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6.6986543584822325E-2</v>
      </c>
      <c r="AD80" s="230">
        <f>(INDEX(Models!$BJ80:$BT80,,AH80)*(1-AF80)+INDEX(Models!$BJ80:$BT80,,AH80+1)*AF80-ERP_i)*AE80*Ramure*Pc/MaxiM</f>
        <v>3.0949162991630092E-5</v>
      </c>
      <c r="AE80" s="304">
        <f t="shared" si="40"/>
        <v>0.6</v>
      </c>
      <c r="AF80" s="177">
        <f t="shared" si="41"/>
        <v>0.5083131770356013</v>
      </c>
      <c r="AG80" s="799">
        <f t="shared" ref="AG80:AG143" si="49">INDEX(Echel_vg,AH80)</f>
        <v>1</v>
      </c>
      <c r="AH80" s="176">
        <f t="shared" si="42"/>
        <v>7</v>
      </c>
      <c r="AI80" s="224">
        <f t="shared" si="43"/>
        <v>1.5083131770356013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45724</v>
      </c>
      <c r="B81" s="409">
        <f>IF(t&gt;Tmaj,'2024'!Wh/'2024'!Env_an*'2025'!Env_an,0.001*'[5]mon-tableau'!$B$249)</f>
        <v>35.523811336143758</v>
      </c>
      <c r="C81" s="829"/>
      <c r="D81" s="391">
        <f t="shared" si="25"/>
        <v>37.073511333310613</v>
      </c>
      <c r="E81" s="383">
        <f t="shared" si="47"/>
        <v>38.669827014909885</v>
      </c>
      <c r="F81" s="383">
        <f t="shared" si="26"/>
        <v>38.670607771403589</v>
      </c>
      <c r="G81" s="110">
        <f t="shared" si="48"/>
        <v>0.77015871900039112</v>
      </c>
      <c r="H81" s="412" t="b">
        <f>Wh_hp&gt;='2024'!Maxi_hp</f>
        <v>0</v>
      </c>
      <c r="I81" s="388">
        <f>IF(H81,Wh_hp,'2024'!Maxi_hp)</f>
        <v>38.670808244768345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4.1800734309578313E-2</v>
      </c>
      <c r="M81" s="832"/>
      <c r="N81" s="832"/>
      <c r="O81" s="48">
        <f>IF(t&lt;Tnet,'2024'!Resal+('2024'!Salim-'2024'!Resal)*(1-EXP(('2024'!Tnet-t)/('2024'!Tau_j))),Resal+(Salim-Resal)*(1-EXP((Tnet-t)/(Tau_j))))*Salcycl</f>
        <v>4.1280652250753058E-2</v>
      </c>
      <c r="P81" s="169">
        <f>(INDEX(Models!$BJ81:$BT81,,T81)*(1-R81)+INDEX(Models!$BJ81:$BT81,,T81+1)*R81-ERP_i)*Q81*Ramure*Pc/MaxiM</f>
        <v>3.0059457018588224E-5</v>
      </c>
      <c r="Q81" s="304">
        <f t="shared" si="28"/>
        <v>0.6</v>
      </c>
      <c r="R81" s="177">
        <f t="shared" si="29"/>
        <v>0.50871984686381144</v>
      </c>
      <c r="S81" s="799">
        <f t="shared" si="30"/>
        <v>1</v>
      </c>
      <c r="T81" s="176">
        <f t="shared" si="31"/>
        <v>7</v>
      </c>
      <c r="U81" s="250">
        <f t="shared" si="32"/>
        <v>1.5087198468638114</v>
      </c>
      <c r="V81" s="382">
        <f t="shared" si="33"/>
        <v>46.124856927693891</v>
      </c>
      <c r="W81" s="400">
        <f t="shared" si="34"/>
        <v>35.523811336143758</v>
      </c>
      <c r="X81" s="157">
        <f t="shared" si="35"/>
        <v>45724</v>
      </c>
      <c r="Y81" s="383">
        <f t="shared" si="36"/>
        <v>34.569179622173756</v>
      </c>
      <c r="Z81" s="383">
        <f t="shared" si="37"/>
        <v>36.077234516836384</v>
      </c>
      <c r="AA81" s="384">
        <f t="shared" si="38"/>
        <v>38.669827014909885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6.7044326241073676E-2</v>
      </c>
      <c r="AD81" s="230">
        <f>(INDEX(Models!$BJ81:$BT81,,AH81)*(1-AF81)+INDEX(Models!$BJ81:$BT81,,AH81+1)*AF81-ERP_i)*AE81*Ramure*Pc/MaxiM</f>
        <v>3.0059457018588224E-5</v>
      </c>
      <c r="AE81" s="304">
        <f t="shared" si="40"/>
        <v>0.6</v>
      </c>
      <c r="AF81" s="177">
        <f t="shared" si="41"/>
        <v>0.50871984686381144</v>
      </c>
      <c r="AG81" s="799">
        <f t="shared" si="49"/>
        <v>1</v>
      </c>
      <c r="AH81" s="176">
        <f t="shared" si="42"/>
        <v>7</v>
      </c>
      <c r="AI81" s="224">
        <f t="shared" si="43"/>
        <v>1.5087198468638114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45725</v>
      </c>
      <c r="B82" s="409">
        <f>IF(t&gt;Tmaj,'2024'!Wh/'2024'!Env_an*'2025'!Env_an,0.001*'[5]mon-tableau'!$B$250)</f>
        <v>31.047299029515212</v>
      </c>
      <c r="C82" s="829"/>
      <c r="D82" s="391">
        <f t="shared" si="25"/>
        <v>32.402335471370193</v>
      </c>
      <c r="E82" s="383">
        <f t="shared" si="47"/>
        <v>33.800577969661269</v>
      </c>
      <c r="F82" s="383">
        <f t="shared" si="26"/>
        <v>33.801096663048739</v>
      </c>
      <c r="G82" s="110">
        <f t="shared" si="48"/>
        <v>0.6684687624471628</v>
      </c>
      <c r="H82" s="412" t="b">
        <f>Wh_hp&gt;='2024'!Maxi_hp</f>
        <v>0</v>
      </c>
      <c r="I82" s="388">
        <f>IF(H82,Wh_hp,'2024'!Maxi_hp)</f>
        <v>46.982445789324288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4.1819097979904907E-2</v>
      </c>
      <c r="M82" s="832"/>
      <c r="N82" s="832"/>
      <c r="O82" s="48">
        <f>IF(t&lt;Tnet,'2024'!Resal+('2024'!Salim-'2024'!Resal)*(1-EXP(('2024'!Tnet-t)/('2024'!Tau_j))),Resal+(Salim-Resal)*(1-EXP((Tnet-t)/(Tau_j))))*Salcycl</f>
        <v>4.1367413881091386E-2</v>
      </c>
      <c r="P82" s="169">
        <f>(INDEX(Models!$BJ82:$BT82,,T82)*(1-R82)+INDEX(Models!$BJ82:$BT82,,T82+1)*R82-ERP_i)*Q82*Ramure*Pc/MaxiM</f>
        <v>2.9151869197204791E-5</v>
      </c>
      <c r="Q82" s="304">
        <f t="shared" si="28"/>
        <v>0.6</v>
      </c>
      <c r="R82" s="177">
        <f t="shared" si="29"/>
        <v>0.50914286124539831</v>
      </c>
      <c r="S82" s="799">
        <f t="shared" si="30"/>
        <v>1</v>
      </c>
      <c r="T82" s="176">
        <f t="shared" si="31"/>
        <v>7</v>
      </c>
      <c r="U82" s="250">
        <f t="shared" si="32"/>
        <v>1.5091428612453983</v>
      </c>
      <c r="V82" s="382">
        <f t="shared" si="33"/>
        <v>46.444758701325554</v>
      </c>
      <c r="W82" s="400">
        <f t="shared" si="34"/>
        <v>31.047299029515212</v>
      </c>
      <c r="X82" s="157">
        <f t="shared" si="35"/>
        <v>45725</v>
      </c>
      <c r="Y82" s="383">
        <f t="shared" si="36"/>
        <v>30.213827199655668</v>
      </c>
      <c r="Z82" s="383">
        <f t="shared" si="37"/>
        <v>31.532487378904175</v>
      </c>
      <c r="AA82" s="384">
        <f t="shared" si="38"/>
        <v>33.800577969661269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6.7102124490086804E-2</v>
      </c>
      <c r="AD82" s="230">
        <f>(INDEX(Models!$BJ82:$BT82,,AH82)*(1-AF82)+INDEX(Models!$BJ82:$BT82,,AH82+1)*AF82-ERP_i)*AE82*Ramure*Pc/MaxiM</f>
        <v>2.9151869197204791E-5</v>
      </c>
      <c r="AE82" s="304">
        <f t="shared" si="40"/>
        <v>0.6</v>
      </c>
      <c r="AF82" s="177">
        <f t="shared" si="41"/>
        <v>0.50914286124539831</v>
      </c>
      <c r="AG82" s="799">
        <f t="shared" si="49"/>
        <v>1</v>
      </c>
      <c r="AH82" s="176">
        <f t="shared" si="42"/>
        <v>7</v>
      </c>
      <c r="AI82" s="224">
        <f t="shared" si="43"/>
        <v>1.5091428612453983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45726</v>
      </c>
      <c r="B83" s="409">
        <f>IF(t&gt;Tmaj,'2024'!Wh/'2024'!Env_an*'2025'!Env_an,0.001*'[5]mon-tableau'!$B$251)</f>
        <v>26.254958779456928</v>
      </c>
      <c r="C83" s="829"/>
      <c r="D83" s="391">
        <f t="shared" si="25"/>
        <v>27.401362210457531</v>
      </c>
      <c r="E83" s="383">
        <f t="shared" si="47"/>
        <v>28.586386240780968</v>
      </c>
      <c r="F83" s="383">
        <f t="shared" si="26"/>
        <v>28.58668760873126</v>
      </c>
      <c r="G83" s="110">
        <f t="shared" si="48"/>
        <v>0.5614253475106693</v>
      </c>
      <c r="H83" s="412" t="b">
        <f>Wh_hp&gt;='2024'!Maxi_hp</f>
        <v>0</v>
      </c>
      <c r="I83" s="388">
        <f>IF(H83,Wh_hp,'2024'!Maxi_hp)</f>
        <v>45.805582995042379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4.1837461298295908E-2</v>
      </c>
      <c r="M83" s="832"/>
      <c r="N83" s="832"/>
      <c r="O83" s="48">
        <f>IF(t&lt;Tnet,'2024'!Resal+('2024'!Salim-'2024'!Resal)*(1-EXP(('2024'!Tnet-t)/('2024'!Tau_j))),Resal+(Salim-Resal)*(1-EXP((Tnet-t)/(Tau_j))))*Salcycl</f>
        <v>4.1454139055635469E-2</v>
      </c>
      <c r="P83" s="169">
        <f>(INDEX(Models!$BJ83:$BT83,,T83)*(1-R83)+INDEX(Models!$BJ83:$BT83,,T83+1)*R83-ERP_i)*Q83*Ramure*Pc/MaxiM</f>
        <v>2.8227153191033378E-5</v>
      </c>
      <c r="Q83" s="304">
        <f t="shared" si="28"/>
        <v>0.6</v>
      </c>
      <c r="R83" s="177">
        <f t="shared" si="29"/>
        <v>0.50958284653673491</v>
      </c>
      <c r="S83" s="799">
        <f t="shared" si="30"/>
        <v>1</v>
      </c>
      <c r="T83" s="176">
        <f t="shared" si="31"/>
        <v>7</v>
      </c>
      <c r="U83" s="250">
        <f t="shared" si="32"/>
        <v>1.5095828465367349</v>
      </c>
      <c r="V83" s="382">
        <f t="shared" si="33"/>
        <v>46.76399912208489</v>
      </c>
      <c r="W83" s="400">
        <f t="shared" si="34"/>
        <v>26.254958779456928</v>
      </c>
      <c r="X83" s="157">
        <f t="shared" si="35"/>
        <v>45726</v>
      </c>
      <c r="Y83" s="383">
        <f t="shared" si="36"/>
        <v>25.550866075690365</v>
      </c>
      <c r="Z83" s="383">
        <f t="shared" si="37"/>
        <v>26.666525817541778</v>
      </c>
      <c r="AA83" s="384">
        <f t="shared" si="38"/>
        <v>28.586386240780968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6.7159955339172669E-2</v>
      </c>
      <c r="AD83" s="230">
        <f>(INDEX(Models!$BJ83:$BT83,,AH83)*(1-AF83)+INDEX(Models!$BJ83:$BT83,,AH83+1)*AF83-ERP_i)*AE83*Ramure*Pc/MaxiM</f>
        <v>2.8227153191033378E-5</v>
      </c>
      <c r="AE83" s="304">
        <f t="shared" si="40"/>
        <v>0.6</v>
      </c>
      <c r="AF83" s="177">
        <f t="shared" si="41"/>
        <v>0.50958284653673491</v>
      </c>
      <c r="AG83" s="799">
        <f t="shared" si="49"/>
        <v>1</v>
      </c>
      <c r="AH83" s="176">
        <f t="shared" si="42"/>
        <v>7</v>
      </c>
      <c r="AI83" s="224">
        <f t="shared" si="43"/>
        <v>1.5095828465367349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45727</v>
      </c>
      <c r="B84" s="409">
        <f>IF(t&gt;Tmaj,'2024'!Wh/'2024'!Env_an*'2025'!Env_an,0.001*'[5]mon-tableau'!$B$252)</f>
        <v>16.723557938967843</v>
      </c>
      <c r="C84" s="829"/>
      <c r="D84" s="391">
        <f t="shared" si="25"/>
        <v>17.45411427892347</v>
      </c>
      <c r="E84" s="383">
        <f t="shared" si="47"/>
        <v>18.210597795347081</v>
      </c>
      <c r="F84" s="383">
        <f t="shared" si="26"/>
        <v>18.210636979125837</v>
      </c>
      <c r="G84" s="110">
        <f t="shared" si="48"/>
        <v>0.35519111313034202</v>
      </c>
      <c r="H84" s="412" t="b">
        <f>Wh_hp&gt;='2024'!Maxi_hp</f>
        <v>0</v>
      </c>
      <c r="I84" s="388">
        <f>IF(H84,Wh_hp,'2024'!Maxi_hp)</f>
        <v>35.092284275887017</v>
      </c>
      <c r="J84" s="85">
        <f>IF(H84,An,'2024'!An_max)</f>
        <v>2021</v>
      </c>
      <c r="K84" s="197">
        <f t="shared" si="27"/>
        <v>45727</v>
      </c>
      <c r="L84" s="147">
        <f>IF(t&lt;Tvie,1-EXP((T0-t)*PertePVj)+'2024'!Pspv,1-EXP((T0-t)*PertePVj)+Pspv)</f>
        <v>4.185582426475809E-2</v>
      </c>
      <c r="M84" s="832"/>
      <c r="N84" s="832"/>
      <c r="O84" s="48">
        <f>IF(t&lt;Tnet,'2024'!Resal+('2024'!Salim-'2024'!Resal)*(1-EXP(('2024'!Tnet-t)/('2024'!Tau_j))),Resal+(Salim-Resal)*(1-EXP((Tnet-t)/(Tau_j))))*Salcycl</f>
        <v>4.154083929177213E-2</v>
      </c>
      <c r="P84" s="169">
        <f>(INDEX(Models!$BJ84:$BT84,,T84)*(1-R84)+INDEX(Models!$BJ84:$BT84,,T84+1)*R84-ERP_i)*Q84*Ramure*Pc/MaxiM</f>
        <v>2.7285996526573016E-5</v>
      </c>
      <c r="Q84" s="304">
        <f t="shared" si="28"/>
        <v>0.6</v>
      </c>
      <c r="R84" s="177">
        <f t="shared" si="29"/>
        <v>0.51004045054439984</v>
      </c>
      <c r="S84" s="799">
        <f t="shared" si="30"/>
        <v>1</v>
      </c>
      <c r="T84" s="176">
        <f t="shared" si="31"/>
        <v>7</v>
      </c>
      <c r="U84" s="250">
        <f t="shared" si="32"/>
        <v>1.5100404505443998</v>
      </c>
      <c r="V84" s="382">
        <f t="shared" si="33"/>
        <v>47.082083376949726</v>
      </c>
      <c r="W84" s="400">
        <f t="shared" si="34"/>
        <v>16.723557938967843</v>
      </c>
      <c r="X84" s="157">
        <f t="shared" si="35"/>
        <v>45727</v>
      </c>
      <c r="Y84" s="383">
        <f t="shared" si="36"/>
        <v>16.275535972055014</v>
      </c>
      <c r="Z84" s="383">
        <f t="shared" si="37"/>
        <v>16.986520801596285</v>
      </c>
      <c r="AA84" s="384">
        <f t="shared" si="38"/>
        <v>18.210597795347081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6.721783697092891E-2</v>
      </c>
      <c r="AD84" s="230">
        <f>(INDEX(Models!$BJ84:$BT84,,AH84)*(1-AF84)+INDEX(Models!$BJ84:$BT84,,AH84+1)*AF84-ERP_i)*AE84*Ramure*Pc/MaxiM</f>
        <v>2.7285996526573016E-5</v>
      </c>
      <c r="AE84" s="304">
        <f t="shared" si="40"/>
        <v>0.6</v>
      </c>
      <c r="AF84" s="177">
        <f t="shared" si="41"/>
        <v>0.51004045054439984</v>
      </c>
      <c r="AG84" s="799">
        <f t="shared" si="49"/>
        <v>1</v>
      </c>
      <c r="AH84" s="176">
        <f t="shared" si="42"/>
        <v>7</v>
      </c>
      <c r="AI84" s="224">
        <f t="shared" si="43"/>
        <v>1.5100404505443998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45728</v>
      </c>
      <c r="B85" s="409">
        <f>IF(t&gt;Tmaj,'2024'!Wh/'2024'!Env_an*'2025'!Env_an,0.001*'[5]mon-tableau'!$B$253)</f>
        <v>13.748166873507664</v>
      </c>
      <c r="C85" s="829"/>
      <c r="D85" s="391">
        <f t="shared" si="25"/>
        <v>14.349020436813671</v>
      </c>
      <c r="E85" s="383">
        <f t="shared" si="47"/>
        <v>14.972279399586371</v>
      </c>
      <c r="F85" s="383">
        <f t="shared" si="26"/>
        <v>14.972279399586371</v>
      </c>
      <c r="G85" s="110">
        <f t="shared" si="48"/>
        <v>0.29004715381215457</v>
      </c>
      <c r="H85" s="412" t="b">
        <f>Wh_hp&gt;='2024'!Maxi_hp</f>
        <v>0</v>
      </c>
      <c r="I85" s="388">
        <f>IF(H85,Wh_hp,'2024'!Maxi_hp)</f>
        <v>45.555962265985798</v>
      </c>
      <c r="J85" s="85">
        <f>IF(H85,An,'2024'!An_max)</f>
        <v>2018</v>
      </c>
      <c r="K85" s="197">
        <f t="shared" si="27"/>
        <v>45728</v>
      </c>
      <c r="L85" s="147">
        <f>IF(t&lt;Tvie,1-EXP((T0-t)*PertePVj)+'2024'!Pspv,1-EXP((T0-t)*PertePVj)+Pspv)</f>
        <v>4.1874186879298336E-2</v>
      </c>
      <c r="M85" s="832"/>
      <c r="N85" s="832"/>
      <c r="O85" s="48">
        <f>IF(t&lt;Tnet,'2024'!Resal+('2024'!Salim-'2024'!Resal)*(1-EXP(('2024'!Tnet-t)/('2024'!Tau_j))),Resal+(Salim-Resal)*(1-EXP((Tnet-t)/(Tau_j))))*Salcycl</f>
        <v>4.1627526854055207E-2</v>
      </c>
      <c r="P85" s="169">
        <f>(INDEX(Models!$BJ85:$BT85,,T85)*(1-R85)+INDEX(Models!$BJ85:$BT85,,T85+1)*R85-ERP_i)*Q85*Ramure*Pc/MaxiM</f>
        <v>2.6329018331686028E-5</v>
      </c>
      <c r="Q85" s="304">
        <f t="shared" si="28"/>
        <v>0.6</v>
      </c>
      <c r="R85" s="177">
        <f t="shared" si="29"/>
        <v>0.51051634304375515</v>
      </c>
      <c r="S85" s="799">
        <f t="shared" si="30"/>
        <v>1</v>
      </c>
      <c r="T85" s="176">
        <f t="shared" si="31"/>
        <v>7</v>
      </c>
      <c r="U85" s="250">
        <f t="shared" si="32"/>
        <v>1.5105163430437551</v>
      </c>
      <c r="V85" s="382">
        <f t="shared" si="33"/>
        <v>47.398516817281447</v>
      </c>
      <c r="W85" s="400">
        <f t="shared" si="34"/>
        <v>13.748166873507664</v>
      </c>
      <c r="X85" s="157">
        <f t="shared" si="35"/>
        <v>45728</v>
      </c>
      <c r="Y85" s="383">
        <f t="shared" si="36"/>
        <v>13.3802341609109</v>
      </c>
      <c r="Z85" s="383">
        <f t="shared" si="37"/>
        <v>13.965007494506676</v>
      </c>
      <c r="AA85" s="384">
        <f t="shared" si="38"/>
        <v>14.972279399586371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6.727578868903035E-2</v>
      </c>
      <c r="AD85" s="230">
        <f>(INDEX(Models!$BJ85:$BT85,,AH85)*(1-AF85)+INDEX(Models!$BJ85:$BT85,,AH85+1)*AF85-ERP_i)*AE85*Ramure*Pc/MaxiM</f>
        <v>2.6329018331686028E-5</v>
      </c>
      <c r="AE85" s="304">
        <f t="shared" si="40"/>
        <v>0.6</v>
      </c>
      <c r="AF85" s="177">
        <f t="shared" si="41"/>
        <v>0.51051634304375515</v>
      </c>
      <c r="AG85" s="799">
        <f t="shared" si="49"/>
        <v>1</v>
      </c>
      <c r="AH85" s="176">
        <f t="shared" si="42"/>
        <v>7</v>
      </c>
      <c r="AI85" s="224">
        <f t="shared" si="43"/>
        <v>1.5105163430437551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45729</v>
      </c>
      <c r="B86" s="409">
        <f>IF(t&gt;Tmaj,'2024'!Wh/'2024'!Env_an*'2025'!Env_an,0.001*'[5]mon-tableau'!$B$254)</f>
        <v>7.9216628508684916</v>
      </c>
      <c r="C86" s="829"/>
      <c r="D86" s="391">
        <f t="shared" si="25"/>
        <v>8.2680317784543735</v>
      </c>
      <c r="E86" s="383">
        <f t="shared" si="47"/>
        <v>8.6279394993289209</v>
      </c>
      <c r="F86" s="383">
        <f t="shared" si="26"/>
        <v>8.6279394993289209</v>
      </c>
      <c r="G86" s="110">
        <f t="shared" si="48"/>
        <v>0.16602381666322266</v>
      </c>
      <c r="H86" s="412" t="b">
        <f>Wh_hp&gt;='2024'!Maxi_hp</f>
        <v>0</v>
      </c>
      <c r="I86" s="388">
        <f>IF(H86,Wh_hp,'2024'!Maxi_hp)</f>
        <v>42.650905420994242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4.1892549141923086E-2</v>
      </c>
      <c r="M86" s="832"/>
      <c r="N86" s="832"/>
      <c r="O86" s="48">
        <f>IF(t&lt;Tnet,'2024'!Resal+('2024'!Salim-'2024'!Resal)*(1-EXP(('2024'!Tnet-t)/('2024'!Tau_j))),Resal+(Salim-Resal)*(1-EXP((Tnet-t)/(Tau_j))))*Salcycl</f>
        <v>4.1714214720970207E-2</v>
      </c>
      <c r="P86" s="169">
        <f>(INDEX(Models!$BJ86:$BT86,,T86)*(1-R86)+INDEX(Models!$BJ86:$BT86,,T86+1)*R86-ERP_i)*Q86*Ramure*Pc/MaxiM</f>
        <v>2.5382953784940613E-5</v>
      </c>
      <c r="Q86" s="304">
        <f t="shared" si="28"/>
        <v>0.6</v>
      </c>
      <c r="R86" s="177">
        <f t="shared" si="29"/>
        <v>0.51101121629060087</v>
      </c>
      <c r="S86" s="799">
        <f t="shared" si="30"/>
        <v>1</v>
      </c>
      <c r="T86" s="176">
        <f t="shared" si="31"/>
        <v>7</v>
      </c>
      <c r="U86" s="250">
        <f t="shared" si="32"/>
        <v>1.5110112162906009</v>
      </c>
      <c r="V86" s="382">
        <f t="shared" si="33"/>
        <v>47.712803710175145</v>
      </c>
      <c r="W86" s="400">
        <f t="shared" si="34"/>
        <v>7.9216628508684916</v>
      </c>
      <c r="X86" s="157">
        <f t="shared" si="35"/>
        <v>45729</v>
      </c>
      <c r="Y86" s="383">
        <f t="shared" si="36"/>
        <v>7.7098784703352505</v>
      </c>
      <c r="Z86" s="383">
        <f t="shared" si="37"/>
        <v>8.0469872804248794</v>
      </c>
      <c r="AA86" s="384">
        <f t="shared" si="38"/>
        <v>8.6279394993289209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6.7333830858367541E-2</v>
      </c>
      <c r="AD86" s="230">
        <f>(INDEX(Models!$BJ86:$BT86,,AH86)*(1-AF86)+INDEX(Models!$BJ86:$BT86,,AH86+1)*AF86-ERP_i)*AE86*Ramure*Pc/MaxiM</f>
        <v>2.5382953784940613E-5</v>
      </c>
      <c r="AE86" s="304">
        <f t="shared" si="40"/>
        <v>0.6</v>
      </c>
      <c r="AF86" s="177">
        <f t="shared" si="41"/>
        <v>0.51101121629060087</v>
      </c>
      <c r="AG86" s="799">
        <f t="shared" si="49"/>
        <v>1</v>
      </c>
      <c r="AH86" s="176">
        <f t="shared" si="42"/>
        <v>7</v>
      </c>
      <c r="AI86" s="224">
        <f t="shared" si="43"/>
        <v>1.5110112162906009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45730</v>
      </c>
      <c r="B87" s="409">
        <f>IF(t&gt;Tmaj,'2024'!Wh/'2024'!Env_an*'2025'!Env_an,0.001*'[5]mon-tableau'!$B$255)</f>
        <v>14.217358757598596</v>
      </c>
      <c r="C87" s="829"/>
      <c r="D87" s="391">
        <f t="shared" si="25"/>
        <v>14.839286786178739</v>
      </c>
      <c r="E87" s="383">
        <f t="shared" si="47"/>
        <v>15.486642642908082</v>
      </c>
      <c r="F87" s="383">
        <f t="shared" si="26"/>
        <v>15.486642642908082</v>
      </c>
      <c r="G87" s="110">
        <f t="shared" si="48"/>
        <v>0.29603694060928698</v>
      </c>
      <c r="H87" s="412" t="b">
        <f>Wh_hp&gt;='2024'!Maxi_hp</f>
        <v>0</v>
      </c>
      <c r="I87" s="388">
        <f>IF(H87,Wh_hp,'2024'!Maxi_hp)</f>
        <v>42.248499261755185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4.1910911052639332E-2</v>
      </c>
      <c r="M87" s="832"/>
      <c r="N87" s="832"/>
      <c r="O87" s="48">
        <f>IF(t&lt;Tnet,'2024'!Resal+('2024'!Salim-'2024'!Resal)*(1-EXP(('2024'!Tnet-t)/('2024'!Tau_j))),Resal+(Salim-Resal)*(1-EXP((Tnet-t)/(Tau_j))))*Salcycl</f>
        <v>4.1800916548287027E-2</v>
      </c>
      <c r="P87" s="169">
        <f>(INDEX(Models!$BJ87:$BT87,,T87)*(1-R87)+INDEX(Models!$BJ87:$BT87,,T87+1)*R87-ERP_i)*Q87*Ramure*Pc/MaxiM</f>
        <v>2.4429384688497355E-5</v>
      </c>
      <c r="Q87" s="304">
        <f t="shared" si="28"/>
        <v>0.6</v>
      </c>
      <c r="R87" s="177">
        <f t="shared" si="29"/>
        <v>0.51152578552363859</v>
      </c>
      <c r="S87" s="799">
        <f t="shared" si="30"/>
        <v>1</v>
      </c>
      <c r="T87" s="176">
        <f t="shared" si="31"/>
        <v>7</v>
      </c>
      <c r="U87" s="250">
        <f t="shared" si="32"/>
        <v>1.5115257855236386</v>
      </c>
      <c r="V87" s="382">
        <f t="shared" si="33"/>
        <v>48.024450620965005</v>
      </c>
      <c r="W87" s="400">
        <f t="shared" si="34"/>
        <v>14.217358757598596</v>
      </c>
      <c r="X87" s="157">
        <f t="shared" si="35"/>
        <v>45730</v>
      </c>
      <c r="Y87" s="383">
        <f t="shared" si="36"/>
        <v>13.83764914904283</v>
      </c>
      <c r="Z87" s="383">
        <f t="shared" si="37"/>
        <v>14.442967056692051</v>
      </c>
      <c r="AA87" s="384">
        <f t="shared" si="38"/>
        <v>15.486642642908082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6.7391984840172517E-2</v>
      </c>
      <c r="AD87" s="230">
        <f>(INDEX(Models!$BJ87:$BT87,,AH87)*(1-AF87)+INDEX(Models!$BJ87:$BT87,,AH87+1)*AF87-ERP_i)*AE87*Ramure*Pc/MaxiM</f>
        <v>2.4429384688497355E-5</v>
      </c>
      <c r="AE87" s="304">
        <f t="shared" si="40"/>
        <v>0.6</v>
      </c>
      <c r="AF87" s="177">
        <f t="shared" si="41"/>
        <v>0.51152578552363859</v>
      </c>
      <c r="AG87" s="799">
        <f t="shared" si="49"/>
        <v>1</v>
      </c>
      <c r="AH87" s="176">
        <f t="shared" si="42"/>
        <v>7</v>
      </c>
      <c r="AI87" s="224">
        <f t="shared" si="43"/>
        <v>1.5115257855236386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45731</v>
      </c>
      <c r="B88" s="409">
        <f>IF(t&gt;Tmaj,'2024'!Wh/'2024'!Env_an*'2025'!Env_an,0.001*'[5]mon-tableau'!$B$256)</f>
        <v>13.481532233354914</v>
      </c>
      <c r="C88" s="829"/>
      <c r="D88" s="391">
        <f t="shared" si="25"/>
        <v>14.071541743167643</v>
      </c>
      <c r="E88" s="383">
        <f t="shared" si="47"/>
        <v>14.686734487520527</v>
      </c>
      <c r="F88" s="383">
        <f t="shared" si="26"/>
        <v>14.686734487520527</v>
      </c>
      <c r="G88" s="110">
        <f t="shared" si="48"/>
        <v>0.27892384187833202</v>
      </c>
      <c r="H88" s="412" t="b">
        <f>Wh_hp&gt;='2024'!Maxi_hp</f>
        <v>0</v>
      </c>
      <c r="I88" s="388">
        <f>IF(H88,Wh_hp,'2024'!Maxi_hp)</f>
        <v>34.209482776257786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4.1929272611453849E-2</v>
      </c>
      <c r="M88" s="832"/>
      <c r="N88" s="832"/>
      <c r="O88" s="48">
        <f>IF(t&lt;Tnet,'2024'!Resal+('2024'!Salim-'2024'!Resal)*(1-EXP(('2024'!Tnet-t)/('2024'!Tau_j))),Resal+(Salim-Resal)*(1-EXP((Tnet-t)/(Tau_j))))*Salcycl</f>
        <v>4.1887646629386481E-2</v>
      </c>
      <c r="P88" s="169">
        <f>(INDEX(Models!$BJ88:$BT88,,T88)*(1-R88)+INDEX(Models!$BJ88:$BT88,,T88+1)*R88-ERP_i)*Q88*Ramure*Pc/MaxiM</f>
        <v>2.3468528893192554E-5</v>
      </c>
      <c r="Q88" s="304">
        <f t="shared" si="28"/>
        <v>0.6</v>
      </c>
      <c r="R88" s="177">
        <f t="shared" si="29"/>
        <v>0.51206078945527023</v>
      </c>
      <c r="S88" s="799">
        <f t="shared" si="30"/>
        <v>1</v>
      </c>
      <c r="T88" s="176">
        <f t="shared" si="31"/>
        <v>7</v>
      </c>
      <c r="U88" s="250">
        <f t="shared" si="32"/>
        <v>1.5120607894552702</v>
      </c>
      <c r="V88" s="382">
        <f t="shared" si="33"/>
        <v>48.332963402629261</v>
      </c>
      <c r="W88" s="400">
        <f t="shared" si="34"/>
        <v>13.481532233354914</v>
      </c>
      <c r="X88" s="157">
        <f t="shared" si="35"/>
        <v>45731</v>
      </c>
      <c r="Y88" s="383">
        <f t="shared" si="36"/>
        <v>13.121842298107385</v>
      </c>
      <c r="Z88" s="383">
        <f t="shared" si="37"/>
        <v>13.696110237992706</v>
      </c>
      <c r="AA88" s="384">
        <f t="shared" si="38"/>
        <v>14.686734487520527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6.7450272922790655E-2</v>
      </c>
      <c r="AD88" s="230">
        <f>(INDEX(Models!$BJ88:$BT88,,AH88)*(1-AF88)+INDEX(Models!$BJ88:$BT88,,AH88+1)*AF88-ERP_i)*AE88*Ramure*Pc/MaxiM</f>
        <v>2.3468528893192554E-5</v>
      </c>
      <c r="AE88" s="304">
        <f t="shared" si="40"/>
        <v>0.6</v>
      </c>
      <c r="AF88" s="177">
        <f t="shared" si="41"/>
        <v>0.51206078945527023</v>
      </c>
      <c r="AG88" s="799">
        <f t="shared" si="49"/>
        <v>1</v>
      </c>
      <c r="AH88" s="176">
        <f t="shared" si="42"/>
        <v>7</v>
      </c>
      <c r="AI88" s="224">
        <f t="shared" si="43"/>
        <v>1.5120607894552702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45732</v>
      </c>
      <c r="B89" s="409">
        <f>IF(t&gt;Tmaj,'2024'!Wh/'2024'!Env_an*'2025'!Env_an,0.001*'[5]mon-tableau'!$B$257)</f>
        <v>13.554570009613849</v>
      </c>
      <c r="C89" s="829"/>
      <c r="D89" s="391">
        <f t="shared" si="25"/>
        <v>14.148047108986718</v>
      </c>
      <c r="E89" s="383">
        <f t="shared" si="47"/>
        <v>14.767922070322188</v>
      </c>
      <c r="F89" s="383">
        <f t="shared" si="26"/>
        <v>14.767922070322188</v>
      </c>
      <c r="G89" s="110">
        <f t="shared" si="48"/>
        <v>0.27867731736865653</v>
      </c>
      <c r="H89" s="412" t="b">
        <f>Wh_hp&gt;='2024'!Maxi_hp</f>
        <v>0</v>
      </c>
      <c r="I89" s="388">
        <f>IF(H89,Wh_hp,'2024'!Maxi_hp)</f>
        <v>54.475764848808986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4.1947633818373187E-2</v>
      </c>
      <c r="M89" s="832"/>
      <c r="N89" s="832"/>
      <c r="O89" s="48">
        <f>IF(t&lt;Tnet,'2024'!Resal+('2024'!Salim-'2024'!Resal)*(1-EXP(('2024'!Tnet-t)/('2024'!Tau_j))),Resal+(Salim-Resal)*(1-EXP((Tnet-t)/(Tau_j))))*Salcycl</f>
        <v>4.1974419852958043E-2</v>
      </c>
      <c r="P89" s="169">
        <f>(INDEX(Models!$BJ89:$BT89,,T89)*(1-R89)+INDEX(Models!$BJ89:$BT89,,T89+1)*R89-ERP_i)*Q89*Ramure*Pc/MaxiM</f>
        <v>2.2500535023167901E-5</v>
      </c>
      <c r="Q89" s="304">
        <f t="shared" si="28"/>
        <v>0.6</v>
      </c>
      <c r="R89" s="177">
        <f t="shared" si="29"/>
        <v>0.51261699074804201</v>
      </c>
      <c r="S89" s="799">
        <f t="shared" si="30"/>
        <v>1</v>
      </c>
      <c r="T89" s="176">
        <f t="shared" si="31"/>
        <v>7</v>
      </c>
      <c r="U89" s="250">
        <f t="shared" si="32"/>
        <v>1.512616990748042</v>
      </c>
      <c r="V89" s="382">
        <f t="shared" si="33"/>
        <v>48.637848076476089</v>
      </c>
      <c r="W89" s="400">
        <f t="shared" si="34"/>
        <v>13.554570009613849</v>
      </c>
      <c r="X89" s="157">
        <f t="shared" si="35"/>
        <v>45732</v>
      </c>
      <c r="Y89" s="383">
        <f t="shared" si="36"/>
        <v>13.193299452308613</v>
      </c>
      <c r="Z89" s="383">
        <f t="shared" si="37"/>
        <v>13.770958580157025</v>
      </c>
      <c r="AA89" s="384">
        <f t="shared" si="38"/>
        <v>14.767922070322188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6.7508718248769389E-2</v>
      </c>
      <c r="AD89" s="230">
        <f>(INDEX(Models!$BJ89:$BT89,,AH89)*(1-AF89)+INDEX(Models!$BJ89:$BT89,,AH89+1)*AF89-ERP_i)*AE89*Ramure*Pc/MaxiM</f>
        <v>2.2500535023167901E-5</v>
      </c>
      <c r="AE89" s="304">
        <f t="shared" si="40"/>
        <v>0.6</v>
      </c>
      <c r="AF89" s="177">
        <f t="shared" si="41"/>
        <v>0.51261699074804201</v>
      </c>
      <c r="AG89" s="799">
        <f t="shared" si="49"/>
        <v>1</v>
      </c>
      <c r="AH89" s="176">
        <f t="shared" si="42"/>
        <v>7</v>
      </c>
      <c r="AI89" s="224">
        <f t="shared" si="43"/>
        <v>1.512616990748042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45733</v>
      </c>
      <c r="B90" s="409">
        <f>IF(t&gt;Tmaj,'2024'!Wh/'2024'!Env_an*'2025'!Env_an,0.001*'[5]mon-tableau'!$B$258)</f>
        <v>11.175592301817657</v>
      </c>
      <c r="C90" s="829"/>
      <c r="D90" s="391">
        <f t="shared" si="25"/>
        <v>11.66513113280136</v>
      </c>
      <c r="E90" s="383">
        <f t="shared" si="47"/>
        <v>12.177324649406982</v>
      </c>
      <c r="F90" s="383">
        <f t="shared" si="26"/>
        <v>12.177324649406982</v>
      </c>
      <c r="G90" s="110">
        <f t="shared" si="48"/>
        <v>0.2283544945512897</v>
      </c>
      <c r="H90" s="412" t="b">
        <f>Wh_hp&gt;='2024'!Maxi_hp</f>
        <v>0</v>
      </c>
      <c r="I90" s="388">
        <f>IF(H90,Wh_hp,'2024'!Maxi_hp)</f>
        <v>28.016167697203379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4.1965994673404117E-2</v>
      </c>
      <c r="M90" s="832"/>
      <c r="N90" s="832"/>
      <c r="O90" s="48">
        <f>IF(t&lt;Tnet,'2024'!Resal+('2024'!Salim-'2024'!Resal)*(1-EXP(('2024'!Tnet-t)/('2024'!Tau_j))),Resal+(Salim-Resal)*(1-EXP((Tnet-t)/(Tau_j))))*Salcycl</f>
        <v>4.2061251658472083E-2</v>
      </c>
      <c r="P90" s="169">
        <f>(INDEX(Models!$BJ90:$BT90,,T90)*(1-R90)+INDEX(Models!$BJ90:$BT90,,T90+1)*R90-ERP_i)*Q90*Ramure*Pc/MaxiM</f>
        <v>2.1525481245843846E-5</v>
      </c>
      <c r="Q90" s="304">
        <f t="shared" si="28"/>
        <v>0.6</v>
      </c>
      <c r="R90" s="177">
        <f t="shared" si="29"/>
        <v>0.5131951764738063</v>
      </c>
      <c r="S90" s="799">
        <f t="shared" si="30"/>
        <v>1</v>
      </c>
      <c r="T90" s="176">
        <f t="shared" si="31"/>
        <v>7</v>
      </c>
      <c r="U90" s="250">
        <f t="shared" si="32"/>
        <v>1.5131951764738063</v>
      </c>
      <c r="V90" s="382">
        <f t="shared" si="33"/>
        <v>48.938610837393028</v>
      </c>
      <c r="W90" s="400">
        <f t="shared" si="34"/>
        <v>11.175592301817657</v>
      </c>
      <c r="X90" s="157">
        <f t="shared" si="35"/>
        <v>45733</v>
      </c>
      <c r="Y90" s="383">
        <f t="shared" si="36"/>
        <v>10.87803079491235</v>
      </c>
      <c r="Z90" s="383">
        <f t="shared" si="37"/>
        <v>11.354535156822545</v>
      </c>
      <c r="AA90" s="384">
        <f t="shared" si="38"/>
        <v>12.177324649406982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6.7567344738936996E-2</v>
      </c>
      <c r="AD90" s="230">
        <f>(INDEX(Models!$BJ90:$BT90,,AH90)*(1-AF90)+INDEX(Models!$BJ90:$BT90,,AH90+1)*AF90-ERP_i)*AE90*Ramure*Pc/MaxiM</f>
        <v>2.1525481245843846E-5</v>
      </c>
      <c r="AE90" s="304">
        <f t="shared" si="40"/>
        <v>0.6</v>
      </c>
      <c r="AF90" s="177">
        <f t="shared" si="41"/>
        <v>0.5131951764738063</v>
      </c>
      <c r="AG90" s="799">
        <f t="shared" si="49"/>
        <v>1</v>
      </c>
      <c r="AH90" s="176">
        <f t="shared" si="42"/>
        <v>7</v>
      </c>
      <c r="AI90" s="224">
        <f t="shared" si="43"/>
        <v>1.5131951764738063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45734</v>
      </c>
      <c r="B91" s="409">
        <f>IF(t&gt;Tmaj,'2024'!Wh/'2024'!Env_an*'2025'!Env_an,0.001*'[5]mon-tableau'!$B$259)</f>
        <v>14.006901458832939</v>
      </c>
      <c r="C91" s="829"/>
      <c r="D91" s="391">
        <f t="shared" si="25"/>
        <v>14.620743966466522</v>
      </c>
      <c r="E91" s="383">
        <f t="shared" si="47"/>
        <v>15.26409756208548</v>
      </c>
      <c r="F91" s="383">
        <f t="shared" si="26"/>
        <v>15.26409756208548</v>
      </c>
      <c r="G91" s="110">
        <f t="shared" si="48"/>
        <v>0.28448629106730533</v>
      </c>
      <c r="H91" s="412" t="b">
        <f>Wh_hp&gt;='2024'!Maxi_hp</f>
        <v>0</v>
      </c>
      <c r="I91" s="388">
        <f>IF(H91,Wh_hp,'2024'!Maxi_hp)</f>
        <v>36.161356704838056</v>
      </c>
      <c r="J91" s="85">
        <f>IF(H91,An,'2024'!An_max)</f>
        <v>2018</v>
      </c>
      <c r="K91" s="197">
        <f t="shared" si="27"/>
        <v>45734</v>
      </c>
      <c r="L91" s="147">
        <f>IF(t&lt;Tvie,1-EXP((T0-t)*PertePVj)+'2024'!Pspv,1-EXP((T0-t)*PertePVj)+Pspv)</f>
        <v>4.1984355176553523E-2</v>
      </c>
      <c r="M91" s="832"/>
      <c r="N91" s="832"/>
      <c r="O91" s="48">
        <f>IF(t&lt;Tnet,'2024'!Resal+('2024'!Salim-'2024'!Resal)*(1-EXP(('2024'!Tnet-t)/('2024'!Tau_j))),Resal+(Salim-Resal)*(1-EXP((Tnet-t)/(Tau_j))))*Salcycl</f>
        <v>4.2148157989830036E-2</v>
      </c>
      <c r="P91" s="169">
        <f>(INDEX(Models!$BJ91:$BT91,,T91)*(1-R91)+INDEX(Models!$BJ91:$BT91,,T91+1)*R91-ERP_i)*Q91*Ramure*Pc/MaxiM</f>
        <v>2.0543374070975875E-5</v>
      </c>
      <c r="Q91" s="304">
        <f t="shared" si="28"/>
        <v>0.6</v>
      </c>
      <c r="R91" s="177">
        <f t="shared" si="29"/>
        <v>0.51379615855243177</v>
      </c>
      <c r="S91" s="799">
        <f t="shared" si="30"/>
        <v>1</v>
      </c>
      <c r="T91" s="176">
        <f t="shared" si="31"/>
        <v>7</v>
      </c>
      <c r="U91" s="250">
        <f t="shared" si="32"/>
        <v>1.5137961585524318</v>
      </c>
      <c r="V91" s="382">
        <f t="shared" si="33"/>
        <v>49.234758052024851</v>
      </c>
      <c r="W91" s="400">
        <f t="shared" si="34"/>
        <v>14.006901458832939</v>
      </c>
      <c r="X91" s="157">
        <f t="shared" si="35"/>
        <v>45734</v>
      </c>
      <c r="Y91" s="383">
        <f t="shared" si="36"/>
        <v>13.634330163160708</v>
      </c>
      <c r="Z91" s="383">
        <f t="shared" si="37"/>
        <v>14.231844998390805</v>
      </c>
      <c r="AA91" s="384">
        <f t="shared" si="38"/>
        <v>15.26409756208548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6.7626177014138672E-2</v>
      </c>
      <c r="AD91" s="230">
        <f>(INDEX(Models!$BJ91:$BT91,,AH91)*(1-AF91)+INDEX(Models!$BJ91:$BT91,,AH91+1)*AF91-ERP_i)*AE91*Ramure*Pc/MaxiM</f>
        <v>2.0543374070975875E-5</v>
      </c>
      <c r="AE91" s="304">
        <f t="shared" si="40"/>
        <v>0.6</v>
      </c>
      <c r="AF91" s="177">
        <f t="shared" si="41"/>
        <v>0.51379615855243177</v>
      </c>
      <c r="AG91" s="799">
        <f t="shared" si="49"/>
        <v>1</v>
      </c>
      <c r="AH91" s="176">
        <f t="shared" si="42"/>
        <v>7</v>
      </c>
      <c r="AI91" s="224">
        <f t="shared" si="43"/>
        <v>1.5137961585524318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45735</v>
      </c>
      <c r="B92" s="409">
        <f>IF(t&gt;Tmaj,'2024'!Wh/'2024'!Env_an*'2025'!Env_an,0.001*'[5]mon-tableau'!$B$260)</f>
        <v>28.14829901314889</v>
      </c>
      <c r="C92" s="829"/>
      <c r="D92" s="391">
        <f t="shared" si="25"/>
        <v>29.382441332055841</v>
      </c>
      <c r="E92" s="383">
        <f t="shared" si="47"/>
        <v>30.678137220260446</v>
      </c>
      <c r="F92" s="383">
        <f t="shared" si="26"/>
        <v>30.678367197522153</v>
      </c>
      <c r="G92" s="110">
        <f t="shared" si="48"/>
        <v>0.56834946084823679</v>
      </c>
      <c r="H92" s="412" t="b">
        <f>Wh_hp&gt;='2024'!Maxi_hp</f>
        <v>0</v>
      </c>
      <c r="I92" s="388">
        <f>IF(H92,Wh_hp,'2024'!Maxi_hp)</f>
        <v>48.151919129153704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4.2002715327828066E-2</v>
      </c>
      <c r="M92" s="832"/>
      <c r="N92" s="832"/>
      <c r="O92" s="48">
        <f>IF(t&lt;Tnet,'2024'!Resal+('2024'!Salim-'2024'!Resal)*(1-EXP(('2024'!Tnet-t)/('2024'!Tau_j))),Resal+(Salim-Resal)*(1-EXP((Tnet-t)/(Tau_j))))*Salcycl</f>
        <v>4.2235155247591145E-2</v>
      </c>
      <c r="P92" s="169">
        <f>(INDEX(Models!$BJ92:$BT92,,T92)*(1-R92)+INDEX(Models!$BJ92:$BT92,,T92+1)*R92-ERP_i)*Q92*Ramure*Pc/MaxiM</f>
        <v>1.9554147161540237E-5</v>
      </c>
      <c r="Q92" s="304">
        <f t="shared" si="28"/>
        <v>0.6</v>
      </c>
      <c r="R92" s="177">
        <f t="shared" si="29"/>
        <v>0.51442077416663823</v>
      </c>
      <c r="S92" s="799">
        <f t="shared" si="30"/>
        <v>1</v>
      </c>
      <c r="T92" s="176">
        <f t="shared" si="31"/>
        <v>7</v>
      </c>
      <c r="U92" s="250">
        <f t="shared" si="32"/>
        <v>1.5144207741666382</v>
      </c>
      <c r="V92" s="382">
        <f t="shared" si="33"/>
        <v>49.525796265340709</v>
      </c>
      <c r="W92" s="400">
        <f t="shared" si="34"/>
        <v>28.14829901314889</v>
      </c>
      <c r="X92" s="157">
        <f t="shared" si="35"/>
        <v>45735</v>
      </c>
      <c r="Y92" s="383">
        <f t="shared" si="36"/>
        <v>27.400331901680484</v>
      </c>
      <c r="Z92" s="383">
        <f t="shared" si="37"/>
        <v>28.601680130081913</v>
      </c>
      <c r="AA92" s="384">
        <f t="shared" si="38"/>
        <v>30.678137220260446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6.7685240315282197E-2</v>
      </c>
      <c r="AD92" s="230">
        <f>(INDEX(Models!$BJ92:$BT92,,AH92)*(1-AF92)+INDEX(Models!$BJ92:$BT92,,AH92+1)*AF92-ERP_i)*AE92*Ramure*Pc/MaxiM</f>
        <v>1.9554147161540237E-5</v>
      </c>
      <c r="AE92" s="304">
        <f t="shared" si="40"/>
        <v>0.6</v>
      </c>
      <c r="AF92" s="177">
        <f t="shared" si="41"/>
        <v>0.51442077416663823</v>
      </c>
      <c r="AG92" s="799">
        <f t="shared" si="49"/>
        <v>1</v>
      </c>
      <c r="AH92" s="176">
        <f t="shared" si="42"/>
        <v>7</v>
      </c>
      <c r="AI92" s="224">
        <f t="shared" si="43"/>
        <v>1.5144207741666382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45736</v>
      </c>
      <c r="B93" s="409">
        <f>IF(t&gt;Tmaj,'2024'!Wh/'2024'!Env_an*'2025'!Env_an,0.001*'[5]mon-tableau'!$B$261)</f>
        <v>31.147837070805767</v>
      </c>
      <c r="C93" s="829"/>
      <c r="D93" s="391">
        <f t="shared" si="25"/>
        <v>32.514115146053641</v>
      </c>
      <c r="E93" s="383">
        <f t="shared" si="47"/>
        <v>33.950998124074012</v>
      </c>
      <c r="F93" s="383">
        <f t="shared" si="26"/>
        <v>33.951290889184293</v>
      </c>
      <c r="G93" s="110">
        <f t="shared" si="48"/>
        <v>0.62527701367370536</v>
      </c>
      <c r="H93" s="412" t="b">
        <f>Wh_hp&gt;='2024'!Maxi_hp</f>
        <v>0</v>
      </c>
      <c r="I93" s="388">
        <f>IF(H93,Wh_hp,'2024'!Maxi_hp)</f>
        <v>53.213779784597463</v>
      </c>
      <c r="J93" s="85">
        <f>IF(H93,An,'2024'!An_max)</f>
        <v>2018</v>
      </c>
      <c r="K93" s="197">
        <f t="shared" si="27"/>
        <v>45736</v>
      </c>
      <c r="L93" s="147">
        <f>IF(t&lt;Tvie,1-EXP((T0-t)*PertePVj)+'2024'!Pspv,1-EXP((T0-t)*PertePVj)+Pspv)</f>
        <v>4.202107512723452E-2</v>
      </c>
      <c r="M93" s="832"/>
      <c r="N93" s="832"/>
      <c r="O93" s="48">
        <f>IF(t&lt;Tnet,'2024'!Resal+('2024'!Salim-'2024'!Resal)*(1-EXP(('2024'!Tnet-t)/('2024'!Tau_j))),Resal+(Salim-Resal)*(1-EXP((Tnet-t)/(Tau_j))))*Salcycl</f>
        <v>4.232226024016382E-2</v>
      </c>
      <c r="P93" s="169">
        <f>(INDEX(Models!$BJ93:$BT93,,T93)*(1-R93)+INDEX(Models!$BJ93:$BT93,,T93+1)*R93-ERP_i)*Q93*Ramure*Pc/MaxiM</f>
        <v>1.8556642482110512E-5</v>
      </c>
      <c r="Q93" s="304">
        <f t="shared" si="28"/>
        <v>0.6</v>
      </c>
      <c r="R93" s="177">
        <f t="shared" si="29"/>
        <v>0.51506988614925975</v>
      </c>
      <c r="S93" s="799">
        <f t="shared" si="30"/>
        <v>1</v>
      </c>
      <c r="T93" s="176">
        <f t="shared" si="31"/>
        <v>7</v>
      </c>
      <c r="U93" s="250">
        <f t="shared" si="32"/>
        <v>1.5150698861492597</v>
      </c>
      <c r="V93" s="382">
        <f t="shared" si="33"/>
        <v>49.813965615861804</v>
      </c>
      <c r="W93" s="400">
        <f t="shared" si="34"/>
        <v>31.147837070805767</v>
      </c>
      <c r="X93" s="157">
        <f t="shared" si="35"/>
        <v>45736</v>
      </c>
      <c r="Y93" s="383">
        <f t="shared" si="36"/>
        <v>30.320993518780018</v>
      </c>
      <c r="Z93" s="383">
        <f t="shared" si="37"/>
        <v>31.651002680259502</v>
      </c>
      <c r="AA93" s="384">
        <f t="shared" si="38"/>
        <v>33.950998124074012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6.7744560422323102E-2</v>
      </c>
      <c r="AD93" s="230">
        <f>(INDEX(Models!$BJ93:$BT93,,AH93)*(1-AF93)+INDEX(Models!$BJ93:$BT93,,AH93+1)*AF93-ERP_i)*AE93*Ramure*Pc/MaxiM</f>
        <v>1.8556642482110512E-5</v>
      </c>
      <c r="AE93" s="304">
        <f t="shared" si="40"/>
        <v>0.6</v>
      </c>
      <c r="AF93" s="177">
        <f t="shared" si="41"/>
        <v>0.51506988614925975</v>
      </c>
      <c r="AG93" s="799">
        <f t="shared" si="49"/>
        <v>1</v>
      </c>
      <c r="AH93" s="176">
        <f t="shared" si="42"/>
        <v>7</v>
      </c>
      <c r="AI93" s="224">
        <f t="shared" si="43"/>
        <v>1.5150698861492597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45737</v>
      </c>
      <c r="B94" s="409">
        <f>IF(t&gt;Tmaj,'2024'!Wh/'2024'!Env_an*'2025'!Env_an,0.001*'[5]mon-tableau'!$B$262)</f>
        <v>45.626762560499841</v>
      </c>
      <c r="C94" s="829"/>
      <c r="D94" s="391">
        <f t="shared" si="25"/>
        <v>47.629061369814316</v>
      </c>
      <c r="E94" s="383">
        <f t="shared" si="47"/>
        <v>49.738443394239518</v>
      </c>
      <c r="F94" s="383">
        <f t="shared" si="26"/>
        <v>49.739205691966511</v>
      </c>
      <c r="G94" s="110">
        <f t="shared" si="48"/>
        <v>0.9106868313429739</v>
      </c>
      <c r="H94" s="412" t="b">
        <f>Wh_hp&gt;='2024'!Maxi_hp</f>
        <v>0</v>
      </c>
      <c r="I94" s="388">
        <f>IF(H94,Wh_hp,'2024'!Maxi_hp)</f>
        <v>53.458089214511951</v>
      </c>
      <c r="J94" s="85">
        <f>IF(H94,An,'2024'!An_max)</f>
        <v>2020</v>
      </c>
      <c r="K94" s="197">
        <f t="shared" si="27"/>
        <v>45737</v>
      </c>
      <c r="L94" s="147">
        <f>IF(t&lt;Tvie,1-EXP((T0-t)*PertePVj)+'2024'!Pspv,1-EXP((T0-t)*PertePVj)+Pspv)</f>
        <v>4.2039434574779655E-2</v>
      </c>
      <c r="M94" s="832"/>
      <c r="N94" s="832"/>
      <c r="O94" s="48">
        <f>IF(t&lt;Tnet,'2024'!Resal+('2024'!Salim-'2024'!Resal)*(1-EXP(('2024'!Tnet-t)/('2024'!Tau_j))),Resal+(Salim-Resal)*(1-EXP((Tnet-t)/(Tau_j))))*Salcycl</f>
        <v>4.2409490134335349E-2</v>
      </c>
      <c r="P94" s="169">
        <f>(INDEX(Models!$BJ94:$BT94,,T94)*(1-R94)+INDEX(Models!$BJ94:$BT94,,T94+1)*R94-ERP_i)*Q94*Ramure*Pc/MaxiM</f>
        <v>1.756725124364615E-5</v>
      </c>
      <c r="Q94" s="304">
        <f t="shared" si="28"/>
        <v>0.6</v>
      </c>
      <c r="R94" s="177">
        <f t="shared" si="29"/>
        <v>0.51574438333896011</v>
      </c>
      <c r="S94" s="799">
        <f t="shared" si="30"/>
        <v>1</v>
      </c>
      <c r="T94" s="176">
        <f t="shared" si="31"/>
        <v>7</v>
      </c>
      <c r="U94" s="250">
        <f t="shared" si="32"/>
        <v>1.5157443833389601</v>
      </c>
      <c r="V94" s="382">
        <f t="shared" si="33"/>
        <v>50.101372637299875</v>
      </c>
      <c r="W94" s="400">
        <f t="shared" si="34"/>
        <v>45.626762560499841</v>
      </c>
      <c r="X94" s="157">
        <f t="shared" si="35"/>
        <v>45737</v>
      </c>
      <c r="Y94" s="383">
        <f t="shared" si="36"/>
        <v>44.416770686791409</v>
      </c>
      <c r="Z94" s="383">
        <f t="shared" si="37"/>
        <v>46.365969842480581</v>
      </c>
      <c r="AA94" s="384">
        <f t="shared" si="38"/>
        <v>49.738443394239518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6.7804163572789261E-2</v>
      </c>
      <c r="AD94" s="230">
        <f>(INDEX(Models!$BJ94:$BT94,,AH94)*(1-AF94)+INDEX(Models!$BJ94:$BT94,,AH94+1)*AF94-ERP_i)*AE94*Ramure*Pc/MaxiM</f>
        <v>1.756725124364615E-5</v>
      </c>
      <c r="AE94" s="304">
        <f t="shared" si="40"/>
        <v>0.6</v>
      </c>
      <c r="AF94" s="177">
        <f t="shared" si="41"/>
        <v>0.51574438333896011</v>
      </c>
      <c r="AG94" s="799">
        <f t="shared" si="49"/>
        <v>1</v>
      </c>
      <c r="AH94" s="176">
        <f t="shared" si="42"/>
        <v>7</v>
      </c>
      <c r="AI94" s="224">
        <f t="shared" si="43"/>
        <v>1.5157443833389601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45738</v>
      </c>
      <c r="B95" s="409">
        <f>IF(t&gt;Tmaj,'2024'!Wh/'2024'!Env_an*'2025'!Env_an,0.001*'[5]mon-tableau'!$B$263)</f>
        <v>42.951346076229271</v>
      </c>
      <c r="C95" s="829"/>
      <c r="D95" s="391">
        <f t="shared" si="25"/>
        <v>44.837095382614457</v>
      </c>
      <c r="E95" s="383">
        <f t="shared" si="47"/>
        <v>46.827100217401608</v>
      </c>
      <c r="F95" s="383">
        <f t="shared" si="26"/>
        <v>46.827714848288458</v>
      </c>
      <c r="G95" s="110">
        <f t="shared" si="48"/>
        <v>0.85242067037531133</v>
      </c>
      <c r="H95" s="412" t="b">
        <f>Wh_hp&gt;='2024'!Maxi_hp</f>
        <v>0</v>
      </c>
      <c r="I95" s="388">
        <f>IF(H95,Wh_hp,'2024'!Maxi_hp)</f>
        <v>53.132913238257949</v>
      </c>
      <c r="J95" s="85">
        <f>IF(H95,An,'2024'!An_max)</f>
        <v>2020</v>
      </c>
      <c r="K95" s="197">
        <f t="shared" si="27"/>
        <v>45738</v>
      </c>
      <c r="L95" s="147">
        <f>IF(t&lt;Tvie,1-EXP((T0-t)*PertePVj)+'2024'!Pspv,1-EXP((T0-t)*PertePVj)+Pspv)</f>
        <v>4.2057793670470023E-2</v>
      </c>
      <c r="M95" s="832"/>
      <c r="N95" s="832"/>
      <c r="O95" s="48">
        <f>IF(t&lt;Tnet,'2024'!Resal+('2024'!Salim-'2024'!Resal)*(1-EXP(('2024'!Tnet-t)/('2024'!Tau_j))),Resal+(Salim-Resal)*(1-EXP((Tnet-t)/(Tau_j))))*Salcycl</f>
        <v>4.2496862405492969E-2</v>
      </c>
      <c r="P95" s="169">
        <f>(INDEX(Models!$BJ95:$BT95,,T95)*(1-R95)+INDEX(Models!$BJ95:$BT95,,T95+1)*R95-ERP_i)*Q95*Ramure*Pc/MaxiM</f>
        <v>1.663172078780382E-5</v>
      </c>
      <c r="Q95" s="304">
        <f t="shared" si="28"/>
        <v>0.6</v>
      </c>
      <c r="R95" s="177">
        <f t="shared" si="29"/>
        <v>0.51644518090013469</v>
      </c>
      <c r="S95" s="799">
        <f t="shared" si="30"/>
        <v>1</v>
      </c>
      <c r="T95" s="176">
        <f t="shared" si="31"/>
        <v>7</v>
      </c>
      <c r="U95" s="250">
        <f t="shared" si="32"/>
        <v>1.5164451809001347</v>
      </c>
      <c r="V95" s="382">
        <f t="shared" si="33"/>
        <v>50.387322790606376</v>
      </c>
      <c r="W95" s="400">
        <f t="shared" si="34"/>
        <v>42.951346076229271</v>
      </c>
      <c r="X95" s="157">
        <f t="shared" si="35"/>
        <v>45738</v>
      </c>
      <c r="Y95" s="383">
        <f t="shared" si="36"/>
        <v>41.813432325718203</v>
      </c>
      <c r="Z95" s="383">
        <f t="shared" si="37"/>
        <v>43.649222311574896</v>
      </c>
      <c r="AA95" s="384">
        <f t="shared" si="38"/>
        <v>46.827100217401608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6.7864076380406951E-2</v>
      </c>
      <c r="AD95" s="230">
        <f>(INDEX(Models!$BJ95:$BT95,,AH95)*(1-AF95)+INDEX(Models!$BJ95:$BT95,,AH95+1)*AF95-ERP_i)*AE95*Ramure*Pc/MaxiM</f>
        <v>1.663172078780382E-5</v>
      </c>
      <c r="AE95" s="304">
        <f t="shared" si="40"/>
        <v>0.6</v>
      </c>
      <c r="AF95" s="177">
        <f t="shared" si="41"/>
        <v>0.51644518090013469</v>
      </c>
      <c r="AG95" s="799">
        <f t="shared" si="49"/>
        <v>1</v>
      </c>
      <c r="AH95" s="176">
        <f t="shared" si="42"/>
        <v>7</v>
      </c>
      <c r="AI95" s="224">
        <f t="shared" si="43"/>
        <v>1.5164451809001347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45739</v>
      </c>
      <c r="B96" s="409">
        <f>IF(t&gt;Tmaj,'2024'!Wh/'2024'!Env_an*'2025'!Env_an,0.001*'[5]mon-tableau'!$B$264)</f>
        <v>48.842817013548036</v>
      </c>
      <c r="C96" s="829"/>
      <c r="D96" s="391">
        <f t="shared" si="25"/>
        <v>50.988204476430461</v>
      </c>
      <c r="E96" s="383">
        <f t="shared" si="47"/>
        <v>53.256082519286949</v>
      </c>
      <c r="F96" s="383">
        <f t="shared" si="26"/>
        <v>53.256878040521727</v>
      </c>
      <c r="G96" s="110">
        <f t="shared" si="48"/>
        <v>0.96391738327764731</v>
      </c>
      <c r="H96" s="412" t="b">
        <f>Wh_hp&gt;='2024'!Maxi_hp</f>
        <v>0</v>
      </c>
      <c r="I96" s="388">
        <f>IF(H96,Wh_hp,'2024'!Maxi_hp)</f>
        <v>53.726378247452473</v>
      </c>
      <c r="J96" s="85">
        <f>IF(H96,An,'2024'!An_max)</f>
        <v>2021</v>
      </c>
      <c r="K96" s="197">
        <f t="shared" si="27"/>
        <v>45739</v>
      </c>
      <c r="L96" s="147">
        <f>IF(t&lt;Tvie,1-EXP((T0-t)*PertePVj)+'2024'!Pspv,1-EXP((T0-t)*PertePVj)+Pspv)</f>
        <v>4.2076152414312618E-2</v>
      </c>
      <c r="M96" s="832"/>
      <c r="N96" s="832"/>
      <c r="O96" s="48">
        <f>IF(t&lt;Tnet,'2024'!Resal+('2024'!Salim-'2024'!Resal)*(1-EXP(('2024'!Tnet-t)/('2024'!Tau_j))),Resal+(Salim-Resal)*(1-EXP((Tnet-t)/(Tau_j))))*Salcycl</f>
        <v>4.2584394787866055E-2</v>
      </c>
      <c r="P96" s="169">
        <f>(INDEX(Models!$BJ96:$BT96,,T96)*(1-R96)+INDEX(Models!$BJ96:$BT96,,T96+1)*R96-ERP_i)*Q96*Ramure*Pc/MaxiM</f>
        <v>1.5749238535643875E-5</v>
      </c>
      <c r="Q96" s="304">
        <f t="shared" si="28"/>
        <v>0.6</v>
      </c>
      <c r="R96" s="177">
        <f t="shared" si="29"/>
        <v>0.51717322060242932</v>
      </c>
      <c r="S96" s="799">
        <f t="shared" si="30"/>
        <v>1</v>
      </c>
      <c r="T96" s="176">
        <f t="shared" si="31"/>
        <v>7</v>
      </c>
      <c r="U96" s="250">
        <f t="shared" si="32"/>
        <v>1.5171732206024293</v>
      </c>
      <c r="V96" s="382">
        <f t="shared" si="33"/>
        <v>50.671124112500372</v>
      </c>
      <c r="W96" s="400">
        <f t="shared" si="34"/>
        <v>48.842817013548036</v>
      </c>
      <c r="X96" s="157">
        <f t="shared" si="35"/>
        <v>45739</v>
      </c>
      <c r="Y96" s="383">
        <f t="shared" si="36"/>
        <v>47.550093556155069</v>
      </c>
      <c r="Z96" s="383">
        <f t="shared" si="37"/>
        <v>49.63869902184647</v>
      </c>
      <c r="AA96" s="384">
        <f t="shared" si="38"/>
        <v>53.256082519286949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6.79243257543478E-2</v>
      </c>
      <c r="AD96" s="230">
        <f>(INDEX(Models!$BJ96:$BT96,,AH96)*(1-AF96)+INDEX(Models!$BJ96:$BT96,,AH96+1)*AF96-ERP_i)*AE96*Ramure*Pc/MaxiM</f>
        <v>1.5749238535643875E-5</v>
      </c>
      <c r="AE96" s="304">
        <f t="shared" si="40"/>
        <v>0.6</v>
      </c>
      <c r="AF96" s="177">
        <f t="shared" si="41"/>
        <v>0.51717322060242932</v>
      </c>
      <c r="AG96" s="799">
        <f t="shared" si="49"/>
        <v>1</v>
      </c>
      <c r="AH96" s="176">
        <f t="shared" si="42"/>
        <v>7</v>
      </c>
      <c r="AI96" s="224">
        <f t="shared" si="43"/>
        <v>1.5171732206024293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45740</v>
      </c>
      <c r="B97" s="409">
        <f>IF(t&gt;Tmaj,'2024'!Wh/'2024'!Env_an*'2025'!Env_an,0.001*'[5]mon-tableau'!$B$265)</f>
        <v>48.197224978576742</v>
      </c>
      <c r="C97" s="829"/>
      <c r="D97" s="391">
        <f t="shared" si="25"/>
        <v>50.315219530839741</v>
      </c>
      <c r="E97" s="383">
        <f t="shared" si="47"/>
        <v>52.557979147437337</v>
      </c>
      <c r="F97" s="383">
        <f t="shared" si="26"/>
        <v>52.558702704408752</v>
      </c>
      <c r="G97" s="110">
        <f t="shared" si="48"/>
        <v>0.94593125126722699</v>
      </c>
      <c r="H97" s="412" t="b">
        <f>Wh_hp&gt;='2024'!Maxi_hp</f>
        <v>0</v>
      </c>
      <c r="I97" s="388">
        <f>IF(H97,Wh_hp,'2024'!Maxi_hp)</f>
        <v>52.931336323355495</v>
      </c>
      <c r="J97" s="85">
        <f>IF(H97,An,'2024'!An_max)</f>
        <v>2018</v>
      </c>
      <c r="K97" s="197">
        <f t="shared" si="27"/>
        <v>45740</v>
      </c>
      <c r="L97" s="147">
        <f>IF(t&lt;Tvie,1-EXP((T0-t)*PertePVj)+'2024'!Pspv,1-EXP((T0-t)*PertePVj)+Pspv)</f>
        <v>4.20945108063141E-2</v>
      </c>
      <c r="M97" s="832"/>
      <c r="N97" s="832"/>
      <c r="O97" s="48">
        <f>IF(t&lt;Tnet,'2024'!Resal+('2024'!Salim-'2024'!Resal)*(1-EXP(('2024'!Tnet-t)/('2024'!Tau_j))),Resal+(Salim-Resal)*(1-EXP((Tnet-t)/(Tau_j))))*Salcycl</f>
        <v>4.267210522509126E-2</v>
      </c>
      <c r="P97" s="169">
        <f>(INDEX(Models!$BJ97:$BT97,,T97)*(1-R97)+INDEX(Models!$BJ97:$BT97,,T97+1)*R97-ERP_i)*Q97*Ramure*Pc/MaxiM</f>
        <v>1.491897909281629E-5</v>
      </c>
      <c r="Q97" s="304">
        <f t="shared" si="28"/>
        <v>0.6</v>
      </c>
      <c r="R97" s="177">
        <f t="shared" si="29"/>
        <v>0.5179294710549891</v>
      </c>
      <c r="S97" s="799">
        <f t="shared" si="30"/>
        <v>1</v>
      </c>
      <c r="T97" s="176">
        <f t="shared" si="31"/>
        <v>7</v>
      </c>
      <c r="U97" s="250">
        <f t="shared" si="32"/>
        <v>1.5179294710549891</v>
      </c>
      <c r="V97" s="382">
        <f t="shared" si="33"/>
        <v>50.952084915167887</v>
      </c>
      <c r="W97" s="400">
        <f t="shared" si="34"/>
        <v>48.197224978576742</v>
      </c>
      <c r="X97" s="157">
        <f t="shared" si="35"/>
        <v>45740</v>
      </c>
      <c r="Y97" s="383">
        <f t="shared" si="36"/>
        <v>46.922835772687108</v>
      </c>
      <c r="Z97" s="383">
        <f t="shared" si="37"/>
        <v>48.984828150618767</v>
      </c>
      <c r="AA97" s="384">
        <f t="shared" si="38"/>
        <v>52.557979147437337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6.798493881956634E-2</v>
      </c>
      <c r="AD97" s="230">
        <f>(INDEX(Models!$BJ97:$BT97,,AH97)*(1-AF97)+INDEX(Models!$BJ97:$BT97,,AH97+1)*AF97-ERP_i)*AE97*Ramure*Pc/MaxiM</f>
        <v>1.491897909281629E-5</v>
      </c>
      <c r="AE97" s="304">
        <f t="shared" si="40"/>
        <v>0.6</v>
      </c>
      <c r="AF97" s="177">
        <f t="shared" si="41"/>
        <v>0.5179294710549891</v>
      </c>
      <c r="AG97" s="799">
        <f t="shared" si="49"/>
        <v>1</v>
      </c>
      <c r="AH97" s="176">
        <f t="shared" si="42"/>
        <v>7</v>
      </c>
      <c r="AI97" s="224">
        <f t="shared" si="43"/>
        <v>1.5179294710549891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45741</v>
      </c>
      <c r="B98" s="409">
        <f>IF(t&gt;Tmaj,'2024'!Wh/'2024'!Env_an*'2025'!Env_an,0.001*'[5]mon-tableau'!$B$266)</f>
        <v>40.461924278907027</v>
      </c>
      <c r="C98" s="829"/>
      <c r="D98" s="391">
        <f t="shared" si="25"/>
        <v>42.240805793247752</v>
      </c>
      <c r="E98" s="383">
        <f t="shared" si="47"/>
        <v>44.127707069175699</v>
      </c>
      <c r="F98" s="383">
        <f t="shared" si="26"/>
        <v>44.128143689643736</v>
      </c>
      <c r="G98" s="110">
        <f t="shared" si="48"/>
        <v>0.78981332231113355</v>
      </c>
      <c r="H98" s="412" t="b">
        <f>Wh_hp&gt;='2024'!Maxi_hp</f>
        <v>0</v>
      </c>
      <c r="I98" s="388">
        <f>IF(H98,Wh_hp,'2024'!Maxi_hp)</f>
        <v>46.534768311108202</v>
      </c>
      <c r="J98" s="85">
        <f>IF(H98,An,'2024'!An_max)</f>
        <v>2020</v>
      </c>
      <c r="K98" s="197">
        <f t="shared" si="27"/>
        <v>45741</v>
      </c>
      <c r="L98" s="147">
        <f>IF(t&lt;Tvie,1-EXP((T0-t)*PertePVj)+'2024'!Pspv,1-EXP((T0-t)*PertePVj)+Pspv)</f>
        <v>4.2112868846481133E-2</v>
      </c>
      <c r="M98" s="832"/>
      <c r="N98" s="832"/>
      <c r="O98" s="48">
        <f>IF(t&lt;Tnet,'2024'!Resal+('2024'!Salim-'2024'!Resal)*(1-EXP(('2024'!Tnet-t)/('2024'!Tau_j))),Resal+(Salim-Resal)*(1-EXP((Tnet-t)/(Tau_j))))*Salcycl</f>
        <v>4.2760011821370902E-2</v>
      </c>
      <c r="P98" s="169">
        <f>(INDEX(Models!$BJ98:$BT98,,T98)*(1-R98)+INDEX(Models!$BJ98:$BT98,,T98+1)*R98-ERP_i)*Q98*Ramure*Pc/MaxiM</f>
        <v>1.4140113833625286E-5</v>
      </c>
      <c r="Q98" s="304">
        <f t="shared" si="28"/>
        <v>0.6</v>
      </c>
      <c r="R98" s="177">
        <f t="shared" si="29"/>
        <v>0.51871492789023632</v>
      </c>
      <c r="S98" s="799">
        <f t="shared" si="30"/>
        <v>1</v>
      </c>
      <c r="T98" s="176">
        <f t="shared" si="31"/>
        <v>7</v>
      </c>
      <c r="U98" s="250">
        <f t="shared" si="32"/>
        <v>1.5187149278902363</v>
      </c>
      <c r="V98" s="382">
        <f t="shared" si="33"/>
        <v>51.229513789545372</v>
      </c>
      <c r="W98" s="400">
        <f t="shared" si="34"/>
        <v>40.461924278907027</v>
      </c>
      <c r="X98" s="157">
        <f t="shared" si="35"/>
        <v>45741</v>
      </c>
      <c r="Y98" s="383">
        <f t="shared" si="36"/>
        <v>39.393104088800577</v>
      </c>
      <c r="Z98" s="383">
        <f t="shared" si="37"/>
        <v>41.124995636346128</v>
      </c>
      <c r="AA98" s="384">
        <f t="shared" si="38"/>
        <v>44.127707069175699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6.8045942838644347E-2</v>
      </c>
      <c r="AD98" s="230">
        <f>(INDEX(Models!$BJ98:$BT98,,AH98)*(1-AF98)+INDEX(Models!$BJ98:$BT98,,AH98+1)*AF98-ERP_i)*AE98*Ramure*Pc/MaxiM</f>
        <v>1.4140113833625286E-5</v>
      </c>
      <c r="AE98" s="304">
        <f t="shared" si="40"/>
        <v>0.6</v>
      </c>
      <c r="AF98" s="177">
        <f t="shared" si="41"/>
        <v>0.51871492789023632</v>
      </c>
      <c r="AG98" s="799">
        <f t="shared" si="49"/>
        <v>1</v>
      </c>
      <c r="AH98" s="176">
        <f t="shared" si="42"/>
        <v>7</v>
      </c>
      <c r="AI98" s="224">
        <f t="shared" si="43"/>
        <v>1.5187149278902363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45742</v>
      </c>
      <c r="B99" s="409">
        <f>IF(t&gt;Tmaj,'2024'!Wh/'2024'!Env_an*'2025'!Env_an,0.001*'[5]mon-tableau'!$B$267)</f>
        <v>46.798314463349818</v>
      </c>
      <c r="C99" s="829"/>
      <c r="D99" s="391">
        <f t="shared" si="25"/>
        <v>48.856707473668401</v>
      </c>
      <c r="E99" s="383">
        <f t="shared" si="47"/>
        <v>51.043840739983494</v>
      </c>
      <c r="F99" s="383">
        <f t="shared" si="26"/>
        <v>51.044436005625784</v>
      </c>
      <c r="G99" s="110">
        <f t="shared" si="48"/>
        <v>0.90865556063742836</v>
      </c>
      <c r="H99" s="412" t="b">
        <f>Wh_hp&gt;='2024'!Maxi_hp</f>
        <v>0</v>
      </c>
      <c r="I99" s="388">
        <f>IF(H99,Wh_hp,'2024'!Maxi_hp)</f>
        <v>56.562989488883829</v>
      </c>
      <c r="J99" s="85">
        <f>IF(H99,An,'2024'!An_max)</f>
        <v>2020</v>
      </c>
      <c r="K99" s="197">
        <f t="shared" si="27"/>
        <v>45742</v>
      </c>
      <c r="L99" s="147">
        <f>IF(t&lt;Tvie,1-EXP((T0-t)*PertePVj)+'2024'!Pspv,1-EXP((T0-t)*PertePVj)+Pspv)</f>
        <v>4.2131226534820487E-2</v>
      </c>
      <c r="M99" s="832"/>
      <c r="N99" s="832"/>
      <c r="O99" s="48">
        <f>IF(t&lt;Tnet,'2024'!Resal+('2024'!Salim-'2024'!Resal)*(1-EXP(('2024'!Tnet-t)/('2024'!Tau_j))),Resal+(Salim-Resal)*(1-EXP((Tnet-t)/(Tau_j))))*Salcycl</f>
        <v>4.2848132793461134E-2</v>
      </c>
      <c r="P99" s="169">
        <f>(INDEX(Models!$BJ99:$BT99,,T99)*(1-R99)+INDEX(Models!$BJ99:$BT99,,T99+1)*R99-ERP_i)*Q99*Ramure*Pc/MaxiM</f>
        <v>1.3411820063289184E-5</v>
      </c>
      <c r="Q99" s="304">
        <f t="shared" si="28"/>
        <v>0.6</v>
      </c>
      <c r="R99" s="177">
        <f t="shared" si="29"/>
        <v>0.51953061389164001</v>
      </c>
      <c r="S99" s="799">
        <f t="shared" si="30"/>
        <v>1</v>
      </c>
      <c r="T99" s="176">
        <f t="shared" si="31"/>
        <v>7</v>
      </c>
      <c r="U99" s="250">
        <f t="shared" si="32"/>
        <v>1.51953061389164</v>
      </c>
      <c r="V99" s="382">
        <f t="shared" si="33"/>
        <v>51.502719608712297</v>
      </c>
      <c r="W99" s="400">
        <f t="shared" si="34"/>
        <v>46.798314463349818</v>
      </c>
      <c r="X99" s="157">
        <f t="shared" si="35"/>
        <v>45742</v>
      </c>
      <c r="Y99" s="383">
        <f t="shared" si="36"/>
        <v>45.563307210325803</v>
      </c>
      <c r="Z99" s="383">
        <f t="shared" si="37"/>
        <v>47.567379240787119</v>
      </c>
      <c r="AA99" s="384">
        <f t="shared" si="38"/>
        <v>51.043840739983494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6.8107365135500142E-2</v>
      </c>
      <c r="AD99" s="230">
        <f>(INDEX(Models!$BJ99:$BT99,,AH99)*(1-AF99)+INDEX(Models!$BJ99:$BT99,,AH99+1)*AF99-ERP_i)*AE99*Ramure*Pc/MaxiM</f>
        <v>1.3411820063289184E-5</v>
      </c>
      <c r="AE99" s="304">
        <f t="shared" si="40"/>
        <v>0.6</v>
      </c>
      <c r="AF99" s="177">
        <f t="shared" si="41"/>
        <v>0.51953061389164001</v>
      </c>
      <c r="AG99" s="799">
        <f t="shared" si="49"/>
        <v>1</v>
      </c>
      <c r="AH99" s="176">
        <f t="shared" si="42"/>
        <v>7</v>
      </c>
      <c r="AI99" s="224">
        <f t="shared" si="43"/>
        <v>1.51953061389164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45743</v>
      </c>
      <c r="B100" s="409">
        <f>IF(t&gt;Tmaj,'2024'!Wh/'2024'!Env_an*'2025'!Env_an,0.001*'[5]mon-tableau'!$B$268)</f>
        <v>45.977400442949588</v>
      </c>
      <c r="C100" s="829"/>
      <c r="D100" s="391">
        <f t="shared" si="25"/>
        <v>48.000606011924283</v>
      </c>
      <c r="E100" s="383">
        <f t="shared" si="47"/>
        <v>50.154044461017946</v>
      </c>
      <c r="F100" s="383">
        <f t="shared" si="26"/>
        <v>50.154580571022699</v>
      </c>
      <c r="G100" s="110">
        <f t="shared" si="48"/>
        <v>0.88808978414588213</v>
      </c>
      <c r="H100" s="412" t="b">
        <f>Wh_hp&gt;='2024'!Maxi_hp</f>
        <v>0</v>
      </c>
      <c r="I100" s="388">
        <f>IF(H100,Wh_hp,'2024'!Maxi_hp)</f>
        <v>55.827090198915265</v>
      </c>
      <c r="J100" s="85">
        <f>IF(H100,An,'2024'!An_max)</f>
        <v>2018</v>
      </c>
      <c r="K100" s="197">
        <f t="shared" si="27"/>
        <v>45743</v>
      </c>
      <c r="L100" s="147">
        <f>IF(t&lt;Tvie,1-EXP((T0-t)*PertePVj)+'2024'!Pspv,1-EXP((T0-t)*PertePVj)+Pspv)</f>
        <v>4.2149583871338936E-2</v>
      </c>
      <c r="M100" s="832"/>
      <c r="N100" s="832"/>
      <c r="O100" s="48">
        <f>IF(t&lt;Tnet,'2024'!Resal+('2024'!Salim-'2024'!Resal)*(1-EXP(('2024'!Tnet-t)/('2024'!Tau_j))),Resal+(Salim-Resal)*(1-EXP((Tnet-t)/(Tau_j))))*Salcycl</f>
        <v>4.2936486423690447E-2</v>
      </c>
      <c r="P100" s="169">
        <f>(INDEX(Models!$BJ100:$BT100,,T100)*(1-R100)+INDEX(Models!$BJ100:$BT100,,T100+1)*R100-ERP_i)*Q100*Ramure*Pc/MaxiM</f>
        <v>1.2723200756969649E-5</v>
      </c>
      <c r="Q100" s="304">
        <f t="shared" si="28"/>
        <v>0.6</v>
      </c>
      <c r="R100" s="177">
        <f t="shared" si="29"/>
        <v>0.52037757905960458</v>
      </c>
      <c r="S100" s="799">
        <f t="shared" si="30"/>
        <v>1</v>
      </c>
      <c r="T100" s="176">
        <f t="shared" si="31"/>
        <v>7</v>
      </c>
      <c r="U100" s="250">
        <f t="shared" si="32"/>
        <v>1.5203775790596046</v>
      </c>
      <c r="V100" s="382">
        <f t="shared" si="33"/>
        <v>51.771012055901515</v>
      </c>
      <c r="W100" s="400">
        <f t="shared" si="34"/>
        <v>45.977400442949588</v>
      </c>
      <c r="X100" s="157">
        <f t="shared" si="35"/>
        <v>45743</v>
      </c>
      <c r="Y100" s="383">
        <f t="shared" si="36"/>
        <v>44.765217470623305</v>
      </c>
      <c r="Z100" s="383">
        <f t="shared" si="37"/>
        <v>46.735081717196145</v>
      </c>
      <c r="AA100" s="384">
        <f t="shared" si="38"/>
        <v>50.154044461017946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6.8169233021260642E-2</v>
      </c>
      <c r="AD100" s="230">
        <f>(INDEX(Models!$BJ100:$BT100,,AH100)*(1-AF100)+INDEX(Models!$BJ100:$BT100,,AH100+1)*AF100-ERP_i)*AE100*Ramure*Pc/MaxiM</f>
        <v>1.2723200756969649E-5</v>
      </c>
      <c r="AE100" s="304">
        <f t="shared" si="40"/>
        <v>0.6</v>
      </c>
      <c r="AF100" s="177">
        <f t="shared" si="41"/>
        <v>0.52037757905960458</v>
      </c>
      <c r="AG100" s="799">
        <f t="shared" si="49"/>
        <v>1</v>
      </c>
      <c r="AH100" s="176">
        <f t="shared" si="42"/>
        <v>7</v>
      </c>
      <c r="AI100" s="224">
        <f t="shared" si="43"/>
        <v>1.5203775790596046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45744</v>
      </c>
      <c r="B101" s="409">
        <f>IF(t&gt;Tmaj,'2024'!Wh/'2024'!Env_an*'2025'!Env_an,0.001*'[5]mon-tableau'!$B$269)</f>
        <v>36.676505878101644</v>
      </c>
      <c r="C101" s="829"/>
      <c r="D101" s="391">
        <f t="shared" si="25"/>
        <v>38.291165479343569</v>
      </c>
      <c r="E101" s="383">
        <f t="shared" si="47"/>
        <v>40.012716237172057</v>
      </c>
      <c r="F101" s="383">
        <f t="shared" si="26"/>
        <v>40.01299508401776</v>
      </c>
      <c r="G101" s="110">
        <f t="shared" si="48"/>
        <v>0.70485701078772578</v>
      </c>
      <c r="H101" s="412" t="b">
        <f>Wh_hp&gt;='2024'!Maxi_hp</f>
        <v>0</v>
      </c>
      <c r="I101" s="388">
        <f>IF(H101,Wh_hp,'2024'!Maxi_hp)</f>
        <v>54.360653644959861</v>
      </c>
      <c r="J101" s="85">
        <f>IF(H101,An,'2024'!An_max)</f>
        <v>2018</v>
      </c>
      <c r="K101" s="197">
        <f t="shared" si="27"/>
        <v>45744</v>
      </c>
      <c r="L101" s="147">
        <f>IF(t&lt;Tvie,1-EXP((T0-t)*PertePVj)+'2024'!Pspv,1-EXP((T0-t)*PertePVj)+Pspv)</f>
        <v>4.2167940856043251E-2</v>
      </c>
      <c r="M101" s="832"/>
      <c r="N101" s="832"/>
      <c r="O101" s="48">
        <f>IF(t&lt;Tnet,'2024'!Resal+('2024'!Salim-'2024'!Resal)*(1-EXP(('2024'!Tnet-t)/('2024'!Tau_j))),Resal+(Salim-Resal)*(1-EXP((Tnet-t)/(Tau_j))))*Salcycl</f>
        <v>4.3025091014170062E-2</v>
      </c>
      <c r="P101" s="169">
        <f>(INDEX(Models!$BJ101:$BT101,,T101)*(1-R101)+INDEX(Models!$BJ101:$BT101,,T101+1)*R101-ERP_i)*Q101*Ramure*Pc/MaxiM</f>
        <v>1.2049172167171795E-5</v>
      </c>
      <c r="Q101" s="304">
        <f t="shared" si="28"/>
        <v>0.6</v>
      </c>
      <c r="R101" s="177">
        <f t="shared" si="29"/>
        <v>0.52125690060926888</v>
      </c>
      <c r="S101" s="799">
        <f t="shared" si="30"/>
        <v>1</v>
      </c>
      <c r="T101" s="176">
        <f t="shared" si="31"/>
        <v>7</v>
      </c>
      <c r="U101" s="250">
        <f t="shared" si="32"/>
        <v>1.5212569006092689</v>
      </c>
      <c r="V101" s="382">
        <f t="shared" si="33"/>
        <v>52.033701855988376</v>
      </c>
      <c r="W101" s="400">
        <f t="shared" si="34"/>
        <v>36.676505878101644</v>
      </c>
      <c r="X101" s="157">
        <f t="shared" si="35"/>
        <v>45744</v>
      </c>
      <c r="Y101" s="383">
        <f t="shared" si="36"/>
        <v>35.710455773194312</v>
      </c>
      <c r="Z101" s="383">
        <f t="shared" si="37"/>
        <v>37.282585639396764</v>
      </c>
      <c r="AA101" s="384">
        <f t="shared" si="38"/>
        <v>40.012716237172057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6.8231573722530303E-2</v>
      </c>
      <c r="AD101" s="230">
        <f>(INDEX(Models!$BJ101:$BT101,,AH101)*(1-AF101)+INDEX(Models!$BJ101:$BT101,,AH101+1)*AF101-ERP_i)*AE101*Ramure*Pc/MaxiM</f>
        <v>1.2049172167171795E-5</v>
      </c>
      <c r="AE101" s="304">
        <f t="shared" si="40"/>
        <v>0.6</v>
      </c>
      <c r="AF101" s="177">
        <f t="shared" si="41"/>
        <v>0.52125690060926888</v>
      </c>
      <c r="AG101" s="799">
        <f t="shared" si="49"/>
        <v>1</v>
      </c>
      <c r="AH101" s="176">
        <f t="shared" si="42"/>
        <v>7</v>
      </c>
      <c r="AI101" s="224">
        <f t="shared" si="43"/>
        <v>1.5212569006092689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45745</v>
      </c>
      <c r="B102" s="409">
        <f>IF(t&gt;Tmaj,'2024'!Wh/'2024'!Env_an*'2025'!Env_an,0.001*'[5]mon-tableau'!$B$270)</f>
        <v>27.487265979597712</v>
      </c>
      <c r="C102" s="829"/>
      <c r="D102" s="391">
        <f t="shared" si="25"/>
        <v>28.697925188933407</v>
      </c>
      <c r="E102" s="383">
        <f t="shared" si="47"/>
        <v>29.990954130921576</v>
      </c>
      <c r="F102" s="383">
        <f t="shared" si="26"/>
        <v>29.991064249539043</v>
      </c>
      <c r="G102" s="110">
        <f t="shared" si="48"/>
        <v>0.5256645998237871</v>
      </c>
      <c r="H102" s="412" t="b">
        <f>Wh_hp&gt;='2024'!Maxi_hp</f>
        <v>0</v>
      </c>
      <c r="I102" s="388">
        <f>IF(H102,Wh_hp,'2024'!Maxi_hp)</f>
        <v>56.601597113397979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4.2186297488940205E-2</v>
      </c>
      <c r="M102" s="832"/>
      <c r="N102" s="832"/>
      <c r="O102" s="48">
        <f>IF(t&lt;Tnet,'2024'!Resal+('2024'!Salim-'2024'!Resal)*(1-EXP(('2024'!Tnet-t)/('2024'!Tau_j))),Resal+(Salim-Resal)*(1-EXP((Tnet-t)/(Tau_j))))*Salcycl</f>
        <v>4.3113964842319406E-2</v>
      </c>
      <c r="P102" s="169">
        <f>(INDEX(Models!$BJ102:$BT102,,T102)*(1-R102)+INDEX(Models!$BJ102:$BT102,,T102+1)*R102-ERP_i)*Q102*Ramure*Pc/MaxiM</f>
        <v>1.1389264244748065E-5</v>
      </c>
      <c r="Q102" s="304">
        <f t="shared" si="28"/>
        <v>0.6</v>
      </c>
      <c r="R102" s="177">
        <f t="shared" si="29"/>
        <v>0.52216968289365528</v>
      </c>
      <c r="S102" s="799">
        <f t="shared" si="30"/>
        <v>1</v>
      </c>
      <c r="T102" s="176">
        <f t="shared" si="31"/>
        <v>7</v>
      </c>
      <c r="U102" s="250">
        <f t="shared" si="32"/>
        <v>1.5221696828936553</v>
      </c>
      <c r="V102" s="382">
        <f t="shared" si="33"/>
        <v>52.290098769601599</v>
      </c>
      <c r="W102" s="400">
        <f t="shared" si="34"/>
        <v>27.487265979597712</v>
      </c>
      <c r="X102" s="157">
        <f t="shared" si="35"/>
        <v>45745</v>
      </c>
      <c r="Y102" s="383">
        <f t="shared" si="36"/>
        <v>26.763938763362248</v>
      </c>
      <c r="Z102" s="383">
        <f t="shared" si="37"/>
        <v>27.942739483885394</v>
      </c>
      <c r="AA102" s="384">
        <f t="shared" si="38"/>
        <v>29.990954130921576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6.8294414312227936E-2</v>
      </c>
      <c r="AD102" s="230">
        <f>(INDEX(Models!$BJ102:$BT102,,AH102)*(1-AF102)+INDEX(Models!$BJ102:$BT102,,AH102+1)*AF102-ERP_i)*AE102*Ramure*Pc/MaxiM</f>
        <v>1.1389264244748065E-5</v>
      </c>
      <c r="AE102" s="304">
        <f t="shared" si="40"/>
        <v>0.6</v>
      </c>
      <c r="AF102" s="177">
        <f t="shared" si="41"/>
        <v>0.52216968289365528</v>
      </c>
      <c r="AG102" s="799">
        <f t="shared" si="49"/>
        <v>1</v>
      </c>
      <c r="AH102" s="176">
        <f t="shared" si="42"/>
        <v>7</v>
      </c>
      <c r="AI102" s="224">
        <f t="shared" si="43"/>
        <v>1.5221696828936553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45746</v>
      </c>
      <c r="B103" s="409">
        <f>IF(t&gt;Tmaj,'2024'!Wh/'2024'!Env_an*'2025'!Env_an,0.001*'[5]mon-tableau'!$B$271)</f>
        <v>7.4726581253889997</v>
      </c>
      <c r="C103" s="829"/>
      <c r="D103" s="391">
        <f t="shared" si="25"/>
        <v>7.8019361388657638</v>
      </c>
      <c r="E103" s="383">
        <f t="shared" si="47"/>
        <v>8.1542241115497713</v>
      </c>
      <c r="F103" s="383">
        <f t="shared" si="26"/>
        <v>8.1542241115497713</v>
      </c>
      <c r="G103" s="110">
        <f t="shared" si="48"/>
        <v>0.14222777181998097</v>
      </c>
      <c r="H103" s="412" t="b">
        <f>Wh_hp&gt;='2024'!Maxi_hp</f>
        <v>0</v>
      </c>
      <c r="I103" s="388">
        <f>IF(H103,Wh_hp,'2024'!Maxi_hp)</f>
        <v>56.745534114329011</v>
      </c>
      <c r="J103" s="85">
        <f>IF(H103,An,'2024'!An_max)</f>
        <v>2018</v>
      </c>
      <c r="K103" s="197">
        <f t="shared" si="27"/>
        <v>45746</v>
      </c>
      <c r="L103" s="147">
        <f>IF(t&lt;Tvie,1-EXP((T0-t)*PertePVj)+'2024'!Pspv,1-EXP((T0-t)*PertePVj)+Pspv)</f>
        <v>4.2204653770036349E-2</v>
      </c>
      <c r="M103" s="832"/>
      <c r="N103" s="832"/>
      <c r="O103" s="48">
        <f>IF(t&lt;Tnet,'2024'!Resal+('2024'!Salim-'2024'!Resal)*(1-EXP(('2024'!Tnet-t)/('2024'!Tau_j))),Resal+(Salim-Resal)*(1-EXP((Tnet-t)/(Tau_j))))*Salcycl</f>
        <v>4.32031261177898E-2</v>
      </c>
      <c r="P103" s="169">
        <f>(INDEX(Models!$BJ103:$BT103,,T103)*(1-R103)+INDEX(Models!$BJ103:$BT103,,T103+1)*R103-ERP_i)*Q103*Ramure*Pc/MaxiM</f>
        <v>1.0742977771370548E-5</v>
      </c>
      <c r="Q103" s="304">
        <f t="shared" si="28"/>
        <v>0.6</v>
      </c>
      <c r="R103" s="177">
        <f t="shared" si="29"/>
        <v>0.52311705724527346</v>
      </c>
      <c r="S103" s="799">
        <f t="shared" si="30"/>
        <v>1</v>
      </c>
      <c r="T103" s="176">
        <f t="shared" si="31"/>
        <v>7</v>
      </c>
      <c r="U103" s="250">
        <f t="shared" si="32"/>
        <v>1.5231170572452735</v>
      </c>
      <c r="V103" s="382">
        <f t="shared" si="33"/>
        <v>52.539512861433124</v>
      </c>
      <c r="W103" s="400">
        <f t="shared" si="34"/>
        <v>7.4726581253889997</v>
      </c>
      <c r="X103" s="157">
        <f t="shared" si="35"/>
        <v>45746</v>
      </c>
      <c r="Y103" s="383">
        <f t="shared" si="36"/>
        <v>7.2761983060337654</v>
      </c>
      <c r="Z103" s="383">
        <f t="shared" si="37"/>
        <v>7.5968194402635705</v>
      </c>
      <c r="AA103" s="384">
        <f t="shared" si="38"/>
        <v>8.1542241115497713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6.8357781643097554E-2</v>
      </c>
      <c r="AD103" s="230">
        <f>(INDEX(Models!$BJ103:$BT103,,AH103)*(1-AF103)+INDEX(Models!$BJ103:$BT103,,AH103+1)*AF103-ERP_i)*AE103*Ramure*Pc/MaxiM</f>
        <v>1.0742977771370548E-5</v>
      </c>
      <c r="AE103" s="304">
        <f t="shared" si="40"/>
        <v>0.6</v>
      </c>
      <c r="AF103" s="177">
        <f t="shared" si="41"/>
        <v>0.52311705724527346</v>
      </c>
      <c r="AG103" s="799">
        <f t="shared" si="49"/>
        <v>1</v>
      </c>
      <c r="AH103" s="176">
        <f t="shared" si="42"/>
        <v>7</v>
      </c>
      <c r="AI103" s="224">
        <f t="shared" si="43"/>
        <v>1.5231170572452735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45747</v>
      </c>
      <c r="B104" s="409">
        <f>IF(t&gt;Tmaj,'2024'!Wh/'2024'!Env_an*'2025'!Env_an,0.001*'[5]mon-tableau'!$B$272)</f>
        <v>25.36843265046036</v>
      </c>
      <c r="C104" s="829"/>
      <c r="D104" s="391">
        <f t="shared" si="25"/>
        <v>26.486784405310058</v>
      </c>
      <c r="E104" s="383">
        <f t="shared" si="47"/>
        <v>27.685355219238833</v>
      </c>
      <c r="F104" s="383">
        <f t="shared" si="26"/>
        <v>27.685427445176899</v>
      </c>
      <c r="G104" s="110">
        <f t="shared" si="48"/>
        <v>0.48062977282365155</v>
      </c>
      <c r="H104" s="412" t="b">
        <f>Wh_hp&gt;='2024'!Maxi_hp</f>
        <v>0</v>
      </c>
      <c r="I104" s="388">
        <f>IF(H104,Wh_hp,'2024'!Maxi_hp)</f>
        <v>51.692988498313227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4.2223009699338676E-2</v>
      </c>
      <c r="M104" s="832"/>
      <c r="N104" s="832"/>
      <c r="O104" s="48">
        <f>IF(t&lt;Tnet,'2024'!Resal+('2024'!Salim-'2024'!Resal)*(1-EXP(('2024'!Tnet-t)/('2024'!Tau_j))),Resal+(Salim-Resal)*(1-EXP((Tnet-t)/(Tau_j))))*Salcycl</f>
        <v>4.3292592940829447E-2</v>
      </c>
      <c r="P104" s="169">
        <f>(INDEX(Models!$BJ104:$BT104,,T104)*(1-R104)+INDEX(Models!$BJ104:$BT104,,T104+1)*R104-ERP_i)*Q104*Ramure*Pc/MaxiM</f>
        <v>1.0109786733290247E-5</v>
      </c>
      <c r="Q104" s="304">
        <f t="shared" si="28"/>
        <v>0.6</v>
      </c>
      <c r="R104" s="177">
        <f t="shared" si="29"/>
        <v>0.52410018172893791</v>
      </c>
      <c r="S104" s="799">
        <f t="shared" si="30"/>
        <v>1</v>
      </c>
      <c r="T104" s="176">
        <f t="shared" si="31"/>
        <v>7</v>
      </c>
      <c r="U104" s="250">
        <f t="shared" si="32"/>
        <v>1.5241001817289379</v>
      </c>
      <c r="V104" s="382">
        <f t="shared" si="33"/>
        <v>52.781254504542936</v>
      </c>
      <c r="W104" s="400">
        <f t="shared" si="34"/>
        <v>25.36843265046036</v>
      </c>
      <c r="X104" s="157">
        <f t="shared" si="35"/>
        <v>45747</v>
      </c>
      <c r="Y104" s="383">
        <f t="shared" si="36"/>
        <v>24.702099231033589</v>
      </c>
      <c r="Z104" s="383">
        <f t="shared" si="37"/>
        <v>25.791076086803056</v>
      </c>
      <c r="AA104" s="384">
        <f t="shared" si="38"/>
        <v>27.685355219238833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6.8421702283936153E-2</v>
      </c>
      <c r="AD104" s="230">
        <f>(INDEX(Models!$BJ104:$BT104,,AH104)*(1-AF104)+INDEX(Models!$BJ104:$BT104,,AH104+1)*AF104-ERP_i)*AE104*Ramure*Pc/MaxiM</f>
        <v>1.0109786733290247E-5</v>
      </c>
      <c r="AE104" s="304">
        <f t="shared" si="40"/>
        <v>0.6</v>
      </c>
      <c r="AF104" s="177">
        <f t="shared" si="41"/>
        <v>0.52410018172893791</v>
      </c>
      <c r="AG104" s="799">
        <f t="shared" si="49"/>
        <v>1</v>
      </c>
      <c r="AH104" s="176">
        <f t="shared" si="42"/>
        <v>7</v>
      </c>
      <c r="AI104" s="224">
        <f t="shared" si="43"/>
        <v>1.5241001817289379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45748</v>
      </c>
      <c r="B105" s="409">
        <f>IF(t&gt;Tmaj,'2024'!Wh/'2024'!Env_an*'2025'!Env_an,0.001*'[6]mon-tableau'!$B$235)</f>
        <v>30.145269188875687</v>
      </c>
      <c r="C105" s="829"/>
      <c r="D105" s="391">
        <f t="shared" si="25"/>
        <v>31.474808052855202</v>
      </c>
      <c r="E105" s="383">
        <f t="shared" si="47"/>
        <v>32.902183173445231</v>
      </c>
      <c r="F105" s="383">
        <f t="shared" si="26"/>
        <v>32.902302984297073</v>
      </c>
      <c r="G105" s="110">
        <f t="shared" si="48"/>
        <v>0.56861833064465828</v>
      </c>
      <c r="H105" s="412" t="b">
        <f>Wh_hp&gt;='2024'!Maxi_hp</f>
        <v>0</v>
      </c>
      <c r="I105" s="388">
        <f>IF(H105,Wh_hp,'2024'!Maxi_hp)</f>
        <v>52.356654743992351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4.2241365276853737E-2</v>
      </c>
      <c r="M105" s="832"/>
      <c r="N105" s="832"/>
      <c r="O105" s="48">
        <f>IF(t&lt;Tnet,'2024'!Resal+('2024'!Salim-'2024'!Resal)*(1-EXP(('2024'!Tnet-t)/('2024'!Tau_j))),Resal+(Salim-Resal)*(1-EXP((Tnet-t)/(Tau_j))))*Salcycl</f>
        <v>4.3382383262094336E-2</v>
      </c>
      <c r="P105" s="169">
        <f>(INDEX(Models!$BJ105:$BT105,,T105)*(1-R105)+INDEX(Models!$BJ105:$BT105,,T105+1)*R105-ERP_i)*Q105*Ramure*Pc/MaxiM</f>
        <v>9.489140497174306E-6</v>
      </c>
      <c r="Q105" s="304">
        <f t="shared" si="28"/>
        <v>0.6</v>
      </c>
      <c r="R105" s="177">
        <f t="shared" si="29"/>
        <v>0.52512024079822317</v>
      </c>
      <c r="S105" s="799">
        <f t="shared" si="30"/>
        <v>1</v>
      </c>
      <c r="T105" s="176">
        <f t="shared" si="31"/>
        <v>7</v>
      </c>
      <c r="U105" s="250">
        <f t="shared" si="32"/>
        <v>1.5251202407982232</v>
      </c>
      <c r="V105" s="382">
        <f t="shared" si="33"/>
        <v>53.014634390554676</v>
      </c>
      <c r="W105" s="400">
        <f t="shared" si="34"/>
        <v>30.145269188875687</v>
      </c>
      <c r="X105" s="157">
        <f t="shared" si="35"/>
        <v>45748</v>
      </c>
      <c r="Y105" s="383">
        <f t="shared" si="36"/>
        <v>29.354188851127279</v>
      </c>
      <c r="Z105" s="383">
        <f t="shared" si="37"/>
        <v>30.648837595301373</v>
      </c>
      <c r="AA105" s="384">
        <f t="shared" si="38"/>
        <v>32.902183173445231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6.8486202458519357E-2</v>
      </c>
      <c r="AD105" s="230">
        <f>(INDEX(Models!$BJ105:$BT105,,AH105)*(1-AF105)+INDEX(Models!$BJ105:$BT105,,AH105+1)*AF105-ERP_i)*AE105*Ramure*Pc/MaxiM</f>
        <v>9.489140497174306E-6</v>
      </c>
      <c r="AE105" s="304">
        <f t="shared" si="40"/>
        <v>0.6</v>
      </c>
      <c r="AF105" s="177">
        <f t="shared" si="41"/>
        <v>0.52512024079822317</v>
      </c>
      <c r="AG105" s="799">
        <f t="shared" si="49"/>
        <v>1</v>
      </c>
      <c r="AH105" s="176">
        <f t="shared" si="42"/>
        <v>7</v>
      </c>
      <c r="AI105" s="224">
        <f t="shared" si="43"/>
        <v>1.5251202407982232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45749</v>
      </c>
      <c r="B106" s="409">
        <f>IF(t&gt;Tmaj,'2024'!Wh/'2024'!Env_an*'2025'!Env_an,0.001*'[6]mon-tableau'!$B$236)</f>
        <v>19.364550828547188</v>
      </c>
      <c r="C106" s="829"/>
      <c r="D106" s="391">
        <f t="shared" si="25"/>
        <v>20.21900012256874</v>
      </c>
      <c r="E106" s="383">
        <f t="shared" si="47"/>
        <v>21.137918602797395</v>
      </c>
      <c r="F106" s="383">
        <f t="shared" si="26"/>
        <v>21.137935692592347</v>
      </c>
      <c r="G106" s="110">
        <f t="shared" si="48"/>
        <v>0.36372598627506753</v>
      </c>
      <c r="H106" s="412" t="b">
        <f>Wh_hp&gt;='2024'!Maxi_hp</f>
        <v>0</v>
      </c>
      <c r="I106" s="388">
        <f>IF(H106,Wh_hp,'2024'!Maxi_hp)</f>
        <v>47.319485851291006</v>
      </c>
      <c r="J106" s="85">
        <f>IF(H106,An,'2024'!An_max)</f>
        <v>2021</v>
      </c>
      <c r="K106" s="197">
        <f t="shared" si="27"/>
        <v>45749</v>
      </c>
      <c r="L106" s="147">
        <f>IF(t&lt;Tvie,1-EXP((T0-t)*PertePVj)+'2024'!Pspv,1-EXP((T0-t)*PertePVj)+Pspv)</f>
        <v>4.2259720502588305E-2</v>
      </c>
      <c r="M106" s="832"/>
      <c r="N106" s="832"/>
      <c r="O106" s="48">
        <f>IF(t&lt;Tnet,'2024'!Resal+('2024'!Salim-'2024'!Resal)*(1-EXP(('2024'!Tnet-t)/('2024'!Tau_j))),Resal+(Salim-Resal)*(1-EXP((Tnet-t)/(Tau_j))))*Salcycl</f>
        <v>4.3472514843871407E-2</v>
      </c>
      <c r="P106" s="169">
        <f>(INDEX(Models!$BJ106:$BT106,,T106)*(1-R106)+INDEX(Models!$BJ106:$BT106,,T106+1)*R106-ERP_i)*Q106*Ramure*Pc/MaxiM</f>
        <v>8.8804657861165214E-6</v>
      </c>
      <c r="Q106" s="304">
        <f t="shared" si="28"/>
        <v>0.6</v>
      </c>
      <c r="R106" s="177">
        <f t="shared" si="29"/>
        <v>0.52617844484766252</v>
      </c>
      <c r="S106" s="799">
        <f t="shared" si="30"/>
        <v>1</v>
      </c>
      <c r="T106" s="176">
        <f t="shared" si="31"/>
        <v>7</v>
      </c>
      <c r="U106" s="250">
        <f t="shared" si="32"/>
        <v>1.5261784448476625</v>
      </c>
      <c r="V106" s="382">
        <f t="shared" si="33"/>
        <v>53.238963530028506</v>
      </c>
      <c r="W106" s="400">
        <f t="shared" si="34"/>
        <v>19.364550828547188</v>
      </c>
      <c r="X106" s="157">
        <f t="shared" si="35"/>
        <v>45749</v>
      </c>
      <c r="Y106" s="383">
        <f t="shared" si="36"/>
        <v>18.856839788270786</v>
      </c>
      <c r="Z106" s="383">
        <f t="shared" si="37"/>
        <v>19.68888663444978</v>
      </c>
      <c r="AA106" s="384">
        <f t="shared" si="38"/>
        <v>21.137918602797395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6.8551307987147272E-2</v>
      </c>
      <c r="AD106" s="230">
        <f>(INDEX(Models!$BJ106:$BT106,,AH106)*(1-AF106)+INDEX(Models!$BJ106:$BT106,,AH106+1)*AF106-ERP_i)*AE106*Ramure*Pc/MaxiM</f>
        <v>8.8804657861165214E-6</v>
      </c>
      <c r="AE106" s="304">
        <f t="shared" si="40"/>
        <v>0.6</v>
      </c>
      <c r="AF106" s="177">
        <f t="shared" si="41"/>
        <v>0.52617844484766252</v>
      </c>
      <c r="AG106" s="799">
        <f t="shared" si="49"/>
        <v>1</v>
      </c>
      <c r="AH106" s="176">
        <f t="shared" si="42"/>
        <v>7</v>
      </c>
      <c r="AI106" s="224">
        <f t="shared" si="43"/>
        <v>1.5261784448476625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45750</v>
      </c>
      <c r="B107" s="409">
        <f>IF(t&gt;Tmaj,'2024'!Wh/'2024'!Env_an*'2025'!Env_an,0.001*'[6]mon-tableau'!$B$237)</f>
        <v>23.994667901776825</v>
      </c>
      <c r="C107" s="829"/>
      <c r="D107" s="391">
        <f t="shared" si="25"/>
        <v>25.053898511523425</v>
      </c>
      <c r="E107" s="383">
        <f t="shared" si="47"/>
        <v>26.195032865030079</v>
      </c>
      <c r="F107" s="383">
        <f t="shared" si="26"/>
        <v>26.195079010495377</v>
      </c>
      <c r="G107" s="110">
        <f t="shared" si="48"/>
        <v>0.44887254495089207</v>
      </c>
      <c r="H107" s="412" t="b">
        <f>Wh_hp&gt;='2024'!Maxi_hp</f>
        <v>0</v>
      </c>
      <c r="I107" s="388">
        <f>IF(H107,Wh_hp,'2024'!Maxi_hp)</f>
        <v>54.874354285186392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4.2278075376549151E-2</v>
      </c>
      <c r="M107" s="832"/>
      <c r="N107" s="832"/>
      <c r="O107" s="48">
        <f>IF(t&lt;Tnet,'2024'!Resal+('2024'!Salim-'2024'!Resal)*(1-EXP(('2024'!Tnet-t)/('2024'!Tau_j))),Resal+(Salim-Resal)*(1-EXP((Tnet-t)/(Tau_j))))*Salcycl</f>
        <v>4.3563005222644627E-2</v>
      </c>
      <c r="P107" s="169">
        <f>(INDEX(Models!$BJ107:$BT107,,T107)*(1-R107)+INDEX(Models!$BJ107:$BT107,,T107+1)*R107-ERP_i)*Q107*Ramure*Pc/MaxiM</f>
        <v>8.2829340740306656E-6</v>
      </c>
      <c r="Q107" s="304">
        <f t="shared" si="28"/>
        <v>0.6</v>
      </c>
      <c r="R107" s="177">
        <f t="shared" si="29"/>
        <v>0.52727602965247611</v>
      </c>
      <c r="S107" s="799">
        <f t="shared" si="30"/>
        <v>1</v>
      </c>
      <c r="T107" s="176">
        <f t="shared" si="31"/>
        <v>7</v>
      </c>
      <c r="U107" s="250">
        <f t="shared" si="32"/>
        <v>1.5272760296524761</v>
      </c>
      <c r="V107" s="382">
        <f t="shared" si="33"/>
        <v>53.455065796187171</v>
      </c>
      <c r="W107" s="400">
        <f t="shared" si="34"/>
        <v>23.994667901776825</v>
      </c>
      <c r="X107" s="157">
        <f t="shared" si="35"/>
        <v>45750</v>
      </c>
      <c r="Y107" s="383">
        <f t="shared" si="36"/>
        <v>23.366123262790094</v>
      </c>
      <c r="Z107" s="383">
        <f t="shared" si="37"/>
        <v>24.397607136306284</v>
      </c>
      <c r="AA107" s="384">
        <f t="shared" si="38"/>
        <v>26.195032865030079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6.8617044230676549E-2</v>
      </c>
      <c r="AD107" s="230">
        <f>(INDEX(Models!$BJ107:$BT107,,AH107)*(1-AF107)+INDEX(Models!$BJ107:$BT107,,AH107+1)*AF107-ERP_i)*AE107*Ramure*Pc/MaxiM</f>
        <v>8.2829340740306656E-6</v>
      </c>
      <c r="AE107" s="304">
        <f t="shared" si="40"/>
        <v>0.6</v>
      </c>
      <c r="AF107" s="177">
        <f t="shared" si="41"/>
        <v>0.52727602965247611</v>
      </c>
      <c r="AG107" s="799">
        <f t="shared" si="49"/>
        <v>1</v>
      </c>
      <c r="AH107" s="176">
        <f t="shared" si="42"/>
        <v>7</v>
      </c>
      <c r="AI107" s="224">
        <f t="shared" si="43"/>
        <v>1.5272760296524761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45751</v>
      </c>
      <c r="B108" s="409">
        <f>IF(t&gt;Tmaj,'2024'!Wh/'2024'!Env_an*'2025'!Env_an,0.001*'[6]mon-tableau'!$B$238)</f>
        <v>45.345359053493567</v>
      </c>
      <c r="C108" s="829"/>
      <c r="D108" s="391">
        <f t="shared" si="25"/>
        <v>47.348010876370921</v>
      </c>
      <c r="E108" s="383">
        <f t="shared" si="47"/>
        <v>49.509282752255245</v>
      </c>
      <c r="F108" s="383">
        <f t="shared" si="26"/>
        <v>49.509579838823342</v>
      </c>
      <c r="G108" s="110">
        <f t="shared" si="48"/>
        <v>0.84498055515013615</v>
      </c>
      <c r="H108" s="412" t="b">
        <f>Wh_hp&gt;='2024'!Maxi_hp</f>
        <v>0</v>
      </c>
      <c r="I108" s="388">
        <f>IF(H108,Wh_hp,'2024'!Maxi_hp)</f>
        <v>58.531654511187028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4.229642989874316E-2</v>
      </c>
      <c r="M108" s="832"/>
      <c r="N108" s="832"/>
      <c r="O108" s="48">
        <f>IF(t&lt;Tnet,'2024'!Resal+('2024'!Salim-'2024'!Resal)*(1-EXP(('2024'!Tnet-t)/('2024'!Tau_j))),Resal+(Salim-Resal)*(1-EXP((Tnet-t)/(Tau_j))))*Salcycl</f>
        <v>4.3653871672901016E-2</v>
      </c>
      <c r="P108" s="169">
        <f>(INDEX(Models!$BJ108:$BT108,,T108)*(1-R108)+INDEX(Models!$BJ108:$BT108,,T108+1)*R108-ERP_i)*Q108*Ramure*Pc/MaxiM</f>
        <v>7.7074312562323149E-6</v>
      </c>
      <c r="Q108" s="304">
        <f t="shared" si="28"/>
        <v>0.6</v>
      </c>
      <c r="R108" s="177">
        <f t="shared" si="29"/>
        <v>0.52841425568732858</v>
      </c>
      <c r="S108" s="799">
        <f t="shared" si="30"/>
        <v>1</v>
      </c>
      <c r="T108" s="176">
        <f t="shared" si="31"/>
        <v>7</v>
      </c>
      <c r="U108" s="250">
        <f t="shared" si="32"/>
        <v>1.5284142556873286</v>
      </c>
      <c r="V108" s="382">
        <f t="shared" si="33"/>
        <v>53.664290117932026</v>
      </c>
      <c r="W108" s="400">
        <f t="shared" si="34"/>
        <v>45.345359053493567</v>
      </c>
      <c r="X108" s="157">
        <f t="shared" si="35"/>
        <v>45751</v>
      </c>
      <c r="Y108" s="383">
        <f t="shared" si="36"/>
        <v>44.158576831641184</v>
      </c>
      <c r="Z108" s="383">
        <f t="shared" si="37"/>
        <v>46.108815097110217</v>
      </c>
      <c r="AA108" s="384">
        <f t="shared" si="38"/>
        <v>49.509282752255245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6.8683436036853798E-2</v>
      </c>
      <c r="AD108" s="230">
        <f>(INDEX(Models!$BJ108:$BT108,,AH108)*(1-AF108)+INDEX(Models!$BJ108:$BT108,,AH108+1)*AF108-ERP_i)*AE108*Ramure*Pc/MaxiM</f>
        <v>7.7074312562323149E-6</v>
      </c>
      <c r="AE108" s="304">
        <f t="shared" si="40"/>
        <v>0.6</v>
      </c>
      <c r="AF108" s="177">
        <f t="shared" si="41"/>
        <v>0.52841425568732858</v>
      </c>
      <c r="AG108" s="799">
        <f t="shared" si="49"/>
        <v>1</v>
      </c>
      <c r="AH108" s="176">
        <f t="shared" si="42"/>
        <v>7</v>
      </c>
      <c r="AI108" s="224">
        <f t="shared" si="43"/>
        <v>1.5284142556873286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45752</v>
      </c>
      <c r="B109" s="409">
        <f>IF(t&gt;Tmaj,'2024'!Wh/'2024'!Env_an*'2025'!Env_an,0.001*'[6]mon-tableau'!$B$239)</f>
        <v>52.057263592423652</v>
      </c>
      <c r="C109" s="829"/>
      <c r="D109" s="391">
        <f t="shared" si="25"/>
        <v>54.357384583645825</v>
      </c>
      <c r="E109" s="383">
        <f t="shared" si="47"/>
        <v>56.844034321382836</v>
      </c>
      <c r="F109" s="383">
        <f t="shared" si="26"/>
        <v>56.844420538206563</v>
      </c>
      <c r="G109" s="110">
        <f t="shared" si="48"/>
        <v>0.96640800107341807</v>
      </c>
      <c r="H109" s="412" t="b">
        <f>Wh_hp&gt;='2024'!Maxi_hp</f>
        <v>0</v>
      </c>
      <c r="I109" s="388">
        <f>IF(H109,Wh_hp,'2024'!Maxi_hp)</f>
        <v>60.630362862646294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4.231478406917677E-2</v>
      </c>
      <c r="M109" s="832"/>
      <c r="N109" s="832"/>
      <c r="O109" s="48">
        <f>IF(t&lt;Tnet,'2024'!Resal+('2024'!Salim-'2024'!Resal)*(1-EXP(('2024'!Tnet-t)/('2024'!Tau_j))),Resal+(Salim-Resal)*(1-EXP((Tnet-t)/(Tau_j))))*Salcycl</f>
        <v>4.3745131172043053E-2</v>
      </c>
      <c r="P109" s="169">
        <f>(INDEX(Models!$BJ109:$BT109,,T109)*(1-R109)+INDEX(Models!$BJ109:$BT109,,T109+1)*R109-ERP_i)*Q109*Ramure*Pc/MaxiM</f>
        <v>7.1367579217289152E-6</v>
      </c>
      <c r="Q109" s="304">
        <f t="shared" si="28"/>
        <v>0.6</v>
      </c>
      <c r="R109" s="177">
        <f t="shared" si="29"/>
        <v>0.52959440731534735</v>
      </c>
      <c r="S109" s="799">
        <f t="shared" si="30"/>
        <v>1</v>
      </c>
      <c r="T109" s="176">
        <f t="shared" si="31"/>
        <v>7</v>
      </c>
      <c r="U109" s="250">
        <f t="shared" si="32"/>
        <v>1.5295944073153473</v>
      </c>
      <c r="V109" s="382">
        <f t="shared" si="33"/>
        <v>53.866737139943922</v>
      </c>
      <c r="W109" s="400">
        <f t="shared" si="34"/>
        <v>52.057263592423652</v>
      </c>
      <c r="X109" s="157">
        <f t="shared" si="35"/>
        <v>45752</v>
      </c>
      <c r="Y109" s="383">
        <f t="shared" si="36"/>
        <v>50.696003619805829</v>
      </c>
      <c r="Z109" s="383">
        <f t="shared" si="37"/>
        <v>52.935978102712788</v>
      </c>
      <c r="AA109" s="384">
        <f t="shared" si="38"/>
        <v>56.844034321382836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6.875050768871914E-2</v>
      </c>
      <c r="AD109" s="230">
        <f>(INDEX(Models!$BJ109:$BT109,,AH109)*(1-AF109)+INDEX(Models!$BJ109:$BT109,,AH109+1)*AF109-ERP_i)*AE109*Ramure*Pc/MaxiM</f>
        <v>7.1367579217289152E-6</v>
      </c>
      <c r="AE109" s="304">
        <f t="shared" si="40"/>
        <v>0.6</v>
      </c>
      <c r="AF109" s="177">
        <f t="shared" si="41"/>
        <v>0.52959440731534735</v>
      </c>
      <c r="AG109" s="799">
        <f t="shared" si="49"/>
        <v>1</v>
      </c>
      <c r="AH109" s="176">
        <f t="shared" si="42"/>
        <v>7</v>
      </c>
      <c r="AI109" s="224">
        <f t="shared" si="43"/>
        <v>1.5295944073153473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45753</v>
      </c>
      <c r="B110" s="409">
        <f>IF(t&gt;Tmaj,'2024'!Wh/'2024'!Env_an*'2025'!Env_an,0.001*'[6]mon-tableau'!$B$240)</f>
        <v>11.003041939691029</v>
      </c>
      <c r="C110" s="829"/>
      <c r="D110" s="391">
        <f t="shared" si="25"/>
        <v>11.489425368048884</v>
      </c>
      <c r="E110" s="383">
        <f t="shared" si="47"/>
        <v>12.016176080035049</v>
      </c>
      <c r="F110" s="383">
        <f t="shared" si="26"/>
        <v>12.016176080035049</v>
      </c>
      <c r="G110" s="110">
        <f t="shared" si="48"/>
        <v>0.20352311311581886</v>
      </c>
      <c r="H110" s="412" t="b">
        <f>Wh_hp&gt;='2024'!Maxi_hp</f>
        <v>0</v>
      </c>
      <c r="I110" s="388">
        <f>IF(H110,Wh_hp,'2024'!Maxi_hp)</f>
        <v>61.789879611435509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4.2333137887856975E-2</v>
      </c>
      <c r="M110" s="832"/>
      <c r="N110" s="832"/>
      <c r="O110" s="48">
        <f>IF(t&lt;Tnet,'2024'!Resal+('2024'!Salim-'2024'!Resal)*(1-EXP(('2024'!Tnet-t)/('2024'!Tau_j))),Resal+(Salim-Resal)*(1-EXP((Tnet-t)/(Tau_j))))*Salcycl</f>
        <v>4.3836800366246542E-2</v>
      </c>
      <c r="P110" s="169">
        <f>(INDEX(Models!$BJ110:$BT110,,T110)*(1-R110)+INDEX(Models!$BJ110:$BT110,,T110+1)*R110-ERP_i)*Q110*Ramure*Pc/MaxiM</f>
        <v>6.5703350116262585E-6</v>
      </c>
      <c r="Q110" s="304">
        <f t="shared" si="28"/>
        <v>0.6</v>
      </c>
      <c r="R110" s="177">
        <f t="shared" si="29"/>
        <v>0.53081779183838762</v>
      </c>
      <c r="S110" s="799">
        <f t="shared" si="30"/>
        <v>1</v>
      </c>
      <c r="T110" s="176">
        <f t="shared" si="31"/>
        <v>7</v>
      </c>
      <c r="U110" s="250">
        <f t="shared" si="32"/>
        <v>1.5308177918383876</v>
      </c>
      <c r="V110" s="382">
        <f t="shared" si="33"/>
        <v>54.062506599719129</v>
      </c>
      <c r="W110" s="400">
        <f t="shared" si="34"/>
        <v>11.003041939691029</v>
      </c>
      <c r="X110" s="157">
        <f t="shared" si="35"/>
        <v>45753</v>
      </c>
      <c r="Y110" s="383">
        <f t="shared" si="36"/>
        <v>10.715567688807305</v>
      </c>
      <c r="Z110" s="383">
        <f t="shared" si="37"/>
        <v>11.189243475726018</v>
      </c>
      <c r="AA110" s="384">
        <f t="shared" si="38"/>
        <v>12.016176080035049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6.8818282854808122E-2</v>
      </c>
      <c r="AD110" s="230">
        <f>(INDEX(Models!$BJ110:$BT110,,AH110)*(1-AF110)+INDEX(Models!$BJ110:$BT110,,AH110+1)*AF110-ERP_i)*AE110*Ramure*Pc/MaxiM</f>
        <v>6.5703350116262585E-6</v>
      </c>
      <c r="AE110" s="304">
        <f t="shared" si="40"/>
        <v>0.6</v>
      </c>
      <c r="AF110" s="177">
        <f t="shared" si="41"/>
        <v>0.53081779183838762</v>
      </c>
      <c r="AG110" s="799">
        <f t="shared" si="49"/>
        <v>1</v>
      </c>
      <c r="AH110" s="176">
        <f t="shared" si="42"/>
        <v>7</v>
      </c>
      <c r="AI110" s="224">
        <f t="shared" si="43"/>
        <v>1.5308177918383876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45754</v>
      </c>
      <c r="B111" s="409">
        <f>IF(t&gt;Tmaj,'2024'!Wh/'2024'!Env_an*'2025'!Env_an,0.001*'[6]mon-tableau'!$B$241)</f>
        <v>39.91338486977952</v>
      </c>
      <c r="C111" s="829"/>
      <c r="D111" s="391">
        <f t="shared" si="25"/>
        <v>41.678532895378488</v>
      </c>
      <c r="E111" s="383">
        <f t="shared" si="47"/>
        <v>43.593549371823869</v>
      </c>
      <c r="F111" s="383">
        <f t="shared" si="26"/>
        <v>43.593712384334175</v>
      </c>
      <c r="G111" s="110">
        <f t="shared" si="48"/>
        <v>0.73570589773619155</v>
      </c>
      <c r="H111" s="412" t="b">
        <f>Wh_hp&gt;='2024'!Maxi_hp</f>
        <v>0</v>
      </c>
      <c r="I111" s="388">
        <f>IF(H111,Wh_hp,'2024'!Maxi_hp)</f>
        <v>57.641590326418545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4.2351491354790438E-2</v>
      </c>
      <c r="M111" s="832"/>
      <c r="N111" s="832"/>
      <c r="O111" s="48">
        <f>IF(t&lt;Tnet,'2024'!Resal+('2024'!Salim-'2024'!Resal)*(1-EXP(('2024'!Tnet-t)/('2024'!Tau_j))),Resal+(Salim-Resal)*(1-EXP((Tnet-t)/(Tau_j))))*Salcycl</f>
        <v>4.3928895537079841E-2</v>
      </c>
      <c r="P111" s="169">
        <f>(INDEX(Models!$BJ111:$BT111,,T111)*(1-R111)+INDEX(Models!$BJ111:$BT111,,T111+1)*R111-ERP_i)*Q111*Ramure*Pc/MaxiM</f>
        <v>6.0075863091606035E-6</v>
      </c>
      <c r="Q111" s="304">
        <f t="shared" si="28"/>
        <v>0.6</v>
      </c>
      <c r="R111" s="177">
        <f t="shared" si="29"/>
        <v>0.53208573839933671</v>
      </c>
      <c r="S111" s="799">
        <f t="shared" si="30"/>
        <v>1</v>
      </c>
      <c r="T111" s="176">
        <f t="shared" si="31"/>
        <v>7</v>
      </c>
      <c r="U111" s="250">
        <f t="shared" si="32"/>
        <v>1.5320857383993367</v>
      </c>
      <c r="V111" s="382">
        <f t="shared" si="33"/>
        <v>54.251698212015157</v>
      </c>
      <c r="W111" s="400">
        <f t="shared" si="34"/>
        <v>39.91338486977952</v>
      </c>
      <c r="X111" s="157">
        <f t="shared" si="35"/>
        <v>45754</v>
      </c>
      <c r="Y111" s="383">
        <f t="shared" si="36"/>
        <v>38.871460451507126</v>
      </c>
      <c r="Z111" s="383">
        <f t="shared" si="37"/>
        <v>40.590529928876293</v>
      </c>
      <c r="AA111" s="384">
        <f t="shared" si="38"/>
        <v>43.593549371823869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6.8886784540846235E-2</v>
      </c>
      <c r="AD111" s="230">
        <f>(INDEX(Models!$BJ111:$BT111,,AH111)*(1-AF111)+INDEX(Models!$BJ111:$BT111,,AH111+1)*AF111-ERP_i)*AE111*Ramure*Pc/MaxiM</f>
        <v>6.0075863091606035E-6</v>
      </c>
      <c r="AE111" s="304">
        <f t="shared" si="40"/>
        <v>0.6</v>
      </c>
      <c r="AF111" s="177">
        <f t="shared" si="41"/>
        <v>0.53208573839933671</v>
      </c>
      <c r="AG111" s="799">
        <f t="shared" si="49"/>
        <v>1</v>
      </c>
      <c r="AH111" s="176">
        <f t="shared" si="42"/>
        <v>7</v>
      </c>
      <c r="AI111" s="224">
        <f t="shared" si="43"/>
        <v>1.5320857383993367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45755</v>
      </c>
      <c r="B112" s="409">
        <f>IF(t&gt;Tmaj,'2024'!Wh/'2024'!Env_an*'2025'!Env_an,0.001*'[6]mon-tableau'!$B$242)</f>
        <v>34.2287644153594</v>
      </c>
      <c r="C112" s="829"/>
      <c r="D112" s="391">
        <f t="shared" si="25"/>
        <v>35.74319816235834</v>
      </c>
      <c r="E112" s="383">
        <f t="shared" si="47"/>
        <v>37.38912082349195</v>
      </c>
      <c r="F112" s="383">
        <f t="shared" si="26"/>
        <v>37.389216503711587</v>
      </c>
      <c r="G112" s="110">
        <f t="shared" si="48"/>
        <v>0.62880564844271991</v>
      </c>
      <c r="H112" s="412" t="b">
        <f>Wh_hp&gt;='2024'!Maxi_hp</f>
        <v>0</v>
      </c>
      <c r="I112" s="388">
        <f>IF(H112,Wh_hp,'2024'!Maxi_hp)</f>
        <v>59.015866902452174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4.2369844469983931E-2</v>
      </c>
      <c r="M112" s="832"/>
      <c r="N112" s="832"/>
      <c r="O112" s="48">
        <f>IF(t&lt;Tnet,'2024'!Resal+('2024'!Salim-'2024'!Resal)*(1-EXP(('2024'!Tnet-t)/('2024'!Tau_j))),Resal+(Salim-Resal)*(1-EXP((Tnet-t)/(Tau_j))))*Salcycl</f>
        <v>4.4021432568680775E-2</v>
      </c>
      <c r="P112" s="169">
        <f>(INDEX(Models!$BJ112:$BT112,,T112)*(1-R112)+INDEX(Models!$BJ112:$BT112,,T112+1)*R112-ERP_i)*Q112*Ramure*Pc/MaxiM</f>
        <v>5.4479381718617862E-6</v>
      </c>
      <c r="Q112" s="304">
        <f t="shared" si="28"/>
        <v>0.6</v>
      </c>
      <c r="R112" s="177">
        <f t="shared" si="29"/>
        <v>0.53339959672708015</v>
      </c>
      <c r="S112" s="799">
        <f t="shared" si="30"/>
        <v>1</v>
      </c>
      <c r="T112" s="176">
        <f t="shared" si="31"/>
        <v>7</v>
      </c>
      <c r="U112" s="250">
        <f t="shared" si="32"/>
        <v>1.5333995967270801</v>
      </c>
      <c r="V112" s="382">
        <f t="shared" si="33"/>
        <v>54.434411675855372</v>
      </c>
      <c r="W112" s="400">
        <f t="shared" si="34"/>
        <v>34.2287644153594</v>
      </c>
      <c r="X112" s="157">
        <f t="shared" si="35"/>
        <v>45755</v>
      </c>
      <c r="Y112" s="383">
        <f t="shared" si="36"/>
        <v>33.335982230750609</v>
      </c>
      <c r="Z112" s="383">
        <f t="shared" si="37"/>
        <v>34.810915297775125</v>
      </c>
      <c r="AA112" s="384">
        <f t="shared" si="38"/>
        <v>37.38912082349195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6.8956035042602809E-2</v>
      </c>
      <c r="AD112" s="230">
        <f>(INDEX(Models!$BJ112:$BT112,,AH112)*(1-AF112)+INDEX(Models!$BJ112:$BT112,,AH112+1)*AF112-ERP_i)*AE112*Ramure*Pc/MaxiM</f>
        <v>5.4479381718617862E-6</v>
      </c>
      <c r="AE112" s="304">
        <f t="shared" si="40"/>
        <v>0.6</v>
      </c>
      <c r="AF112" s="177">
        <f t="shared" si="41"/>
        <v>0.53339959672708015</v>
      </c>
      <c r="AG112" s="799">
        <f t="shared" si="49"/>
        <v>1</v>
      </c>
      <c r="AH112" s="176">
        <f t="shared" si="42"/>
        <v>7</v>
      </c>
      <c r="AI112" s="224">
        <f t="shared" si="43"/>
        <v>1.5333995967270801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45756</v>
      </c>
      <c r="B113" s="409">
        <f>IF(t&gt;Tmaj,'2024'!Wh/'2024'!Env_an*'2025'!Env_an,0.001*'[6]mon-tableau'!$B$243)</f>
        <v>33.739449005851853</v>
      </c>
      <c r="C113" s="829"/>
      <c r="D113" s="391">
        <f t="shared" si="25"/>
        <v>35.232908479592716</v>
      </c>
      <c r="E113" s="383">
        <f t="shared" si="47"/>
        <v>36.858918548056991</v>
      </c>
      <c r="F113" s="383">
        <f t="shared" si="26"/>
        <v>36.859000395344403</v>
      </c>
      <c r="G113" s="110">
        <f t="shared" si="48"/>
        <v>0.61781537459383229</v>
      </c>
      <c r="H113" s="412" t="b">
        <f>Wh_hp&gt;='2024'!Maxi_hp</f>
        <v>0</v>
      </c>
      <c r="I113" s="388">
        <f>IF(H113,Wh_hp,'2024'!Maxi_hp)</f>
        <v>41.335283844945479</v>
      </c>
      <c r="J113" s="85">
        <f>IF(H113,An,'2024'!An_max)</f>
        <v>2020</v>
      </c>
      <c r="K113" s="197">
        <f t="shared" si="27"/>
        <v>45756</v>
      </c>
      <c r="L113" s="147">
        <f>IF(t&lt;Tvie,1-EXP((T0-t)*PertePVj)+'2024'!Pspv,1-EXP((T0-t)*PertePVj)+Pspv)</f>
        <v>4.2388197233444114E-2</v>
      </c>
      <c r="M113" s="832"/>
      <c r="N113" s="832"/>
      <c r="O113" s="48">
        <f>IF(t&lt;Tnet,'2024'!Resal+('2024'!Salim-'2024'!Resal)*(1-EXP(('2024'!Tnet-t)/('2024'!Tau_j))),Resal+(Salim-Resal)*(1-EXP((Tnet-t)/(Tau_j))))*Salcycl</f>
        <v>4.4114426915273446E-2</v>
      </c>
      <c r="P113" s="169">
        <f>(INDEX(Models!$BJ113:$BT113,,T113)*(1-R113)+INDEX(Models!$BJ113:$BT113,,T113+1)*R113-ERP_i)*Q113*Ramure*Pc/MaxiM</f>
        <v>4.8908193340500222E-6</v>
      </c>
      <c r="Q113" s="304">
        <f t="shared" si="28"/>
        <v>0.6</v>
      </c>
      <c r="R113" s="177">
        <f t="shared" si="29"/>
        <v>0.53476073571464622</v>
      </c>
      <c r="S113" s="799">
        <f t="shared" si="30"/>
        <v>1</v>
      </c>
      <c r="T113" s="176">
        <f t="shared" si="31"/>
        <v>7</v>
      </c>
      <c r="U113" s="250">
        <f t="shared" si="32"/>
        <v>1.5347607357146462</v>
      </c>
      <c r="V113" s="382">
        <f t="shared" si="33"/>
        <v>54.610746672415019</v>
      </c>
      <c r="W113" s="400">
        <f t="shared" si="34"/>
        <v>33.739449005851853</v>
      </c>
      <c r="X113" s="157">
        <f t="shared" si="35"/>
        <v>45756</v>
      </c>
      <c r="Y113" s="383">
        <f t="shared" si="36"/>
        <v>32.860154810569277</v>
      </c>
      <c r="Z113" s="383">
        <f t="shared" si="37"/>
        <v>34.314692775961788</v>
      </c>
      <c r="AA113" s="384">
        <f t="shared" si="38"/>
        <v>36.858918548056991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6.902605589955163E-2</v>
      </c>
      <c r="AD113" s="230">
        <f>(INDEX(Models!$BJ113:$BT113,,AH113)*(1-AF113)+INDEX(Models!$BJ113:$BT113,,AH113+1)*AF113-ERP_i)*AE113*Ramure*Pc/MaxiM</f>
        <v>4.8908193340500222E-6</v>
      </c>
      <c r="AE113" s="304">
        <f t="shared" si="40"/>
        <v>0.6</v>
      </c>
      <c r="AF113" s="177">
        <f t="shared" si="41"/>
        <v>0.53476073571464622</v>
      </c>
      <c r="AG113" s="799">
        <f t="shared" si="49"/>
        <v>1</v>
      </c>
      <c r="AH113" s="176">
        <f t="shared" si="42"/>
        <v>7</v>
      </c>
      <c r="AI113" s="224">
        <f t="shared" si="43"/>
        <v>1.5347607357146462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45757</v>
      </c>
      <c r="B114" s="409">
        <f>IF(t&gt;Tmaj,'2024'!Wh/'2024'!Env_an*'2025'!Env_an,0.001*'[6]mon-tableau'!$B$244)</f>
        <v>54.76505681904181</v>
      </c>
      <c r="C114" s="829"/>
      <c r="D114" s="391">
        <f t="shared" si="25"/>
        <v>57.190300120316635</v>
      </c>
      <c r="E114" s="383">
        <f t="shared" si="47"/>
        <v>59.8355016069942</v>
      </c>
      <c r="F114" s="383">
        <f t="shared" si="26"/>
        <v>59.835762199553812</v>
      </c>
      <c r="G114" s="110">
        <f t="shared" si="48"/>
        <v>0.99971258206659641</v>
      </c>
      <c r="H114" s="412" t="b">
        <f>Wh_hp&gt;='2024'!Maxi_hp</f>
        <v>0</v>
      </c>
      <c r="I114" s="388">
        <f>IF(H114,Wh_hp,'2024'!Maxi_hp)</f>
        <v>59.835762256445776</v>
      </c>
      <c r="J114" s="85">
        <f>IF(H114,An,'2024'!An_max)</f>
        <v>2022</v>
      </c>
      <c r="K114" s="197">
        <f t="shared" si="27"/>
        <v>45757</v>
      </c>
      <c r="L114" s="147">
        <f>IF(t&lt;Tvie,1-EXP((T0-t)*PertePVj)+'2024'!Pspv,1-EXP((T0-t)*PertePVj)+Pspv)</f>
        <v>4.240654964517776E-2</v>
      </c>
      <c r="M114" s="832"/>
      <c r="N114" s="832"/>
      <c r="O114" s="48">
        <f>IF(t&lt;Tnet,'2024'!Resal+('2024'!Salim-'2024'!Resal)*(1-EXP(('2024'!Tnet-t)/('2024'!Tau_j))),Resal+(Salim-Resal)*(1-EXP((Tnet-t)/(Tau_j))))*Salcycl</f>
        <v>4.4207893568796772E-2</v>
      </c>
      <c r="P114" s="169">
        <f>(INDEX(Models!$BJ114:$BT114,,T114)*(1-R114)+INDEX(Models!$BJ114:$BT114,,T114+1)*R114-ERP_i)*Q114*Ramure*Pc/MaxiM</f>
        <v>4.3569195386918608E-6</v>
      </c>
      <c r="Q114" s="304">
        <f t="shared" si="28"/>
        <v>0.6</v>
      </c>
      <c r="R114" s="177">
        <f t="shared" si="29"/>
        <v>0.53617054182098878</v>
      </c>
      <c r="S114" s="799">
        <f t="shared" si="30"/>
        <v>1</v>
      </c>
      <c r="T114" s="176">
        <f t="shared" si="31"/>
        <v>7</v>
      </c>
      <c r="U114" s="250">
        <f t="shared" si="32"/>
        <v>1.5361705418209888</v>
      </c>
      <c r="V114" s="382">
        <f t="shared" si="33"/>
        <v>54.780801705887185</v>
      </c>
      <c r="W114" s="400">
        <f t="shared" si="34"/>
        <v>54.76505681904181</v>
      </c>
      <c r="X114" s="157">
        <f t="shared" si="35"/>
        <v>45757</v>
      </c>
      <c r="Y114" s="383">
        <f t="shared" si="36"/>
        <v>53.338966269172168</v>
      </c>
      <c r="Z114" s="383">
        <f t="shared" si="37"/>
        <v>55.701055859778691</v>
      </c>
      <c r="AA114" s="384">
        <f t="shared" si="38"/>
        <v>59.8355016069942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6.9096867848973287E-2</v>
      </c>
      <c r="AD114" s="230">
        <f>(INDEX(Models!$BJ114:$BT114,,AH114)*(1-AF114)+INDEX(Models!$BJ114:$BT114,,AH114+1)*AF114-ERP_i)*AE114*Ramure*Pc/MaxiM</f>
        <v>4.3569195386918608E-6</v>
      </c>
      <c r="AE114" s="304">
        <f t="shared" si="40"/>
        <v>0.6</v>
      </c>
      <c r="AF114" s="177">
        <f t="shared" si="41"/>
        <v>0.53617054182098878</v>
      </c>
      <c r="AG114" s="799">
        <f t="shared" si="49"/>
        <v>1</v>
      </c>
      <c r="AH114" s="176">
        <f t="shared" si="42"/>
        <v>7</v>
      </c>
      <c r="AI114" s="224">
        <f t="shared" si="43"/>
        <v>1.5361705418209888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45758</v>
      </c>
      <c r="B115" s="409">
        <f>IF(t&gt;Tmaj,'2024'!Wh/'2024'!Env_an*'2025'!Env_an,0.001*'[6]mon-tableau'!$B$245)</f>
        <v>45.804307257254742</v>
      </c>
      <c r="C115" s="829"/>
      <c r="D115" s="391">
        <f t="shared" si="25"/>
        <v>47.833644942125453</v>
      </c>
      <c r="E115" s="383">
        <f t="shared" si="47"/>
        <v>50.050996534098559</v>
      </c>
      <c r="F115" s="383">
        <f t="shared" si="26"/>
        <v>50.051143657169092</v>
      </c>
      <c r="G115" s="110">
        <f t="shared" si="48"/>
        <v>0.83364337966036439</v>
      </c>
      <c r="H115" s="412" t="b">
        <f>Wh_hp&gt;='2024'!Maxi_hp</f>
        <v>0</v>
      </c>
      <c r="I115" s="388">
        <f>IF(H115,Wh_hp,'2024'!Maxi_hp)</f>
        <v>61.040326499043537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4.2424901705191642E-2</v>
      </c>
      <c r="M115" s="832"/>
      <c r="N115" s="832"/>
      <c r="O115" s="48">
        <f>IF(t&lt;Tnet,'2024'!Resal+('2024'!Salim-'2024'!Resal)*(1-EXP(('2024'!Tnet-t)/('2024'!Tau_j))),Resal+(Salim-Resal)*(1-EXP((Tnet-t)/(Tau_j))))*Salcycl</f>
        <v>4.4301847026411961E-2</v>
      </c>
      <c r="P115" s="169">
        <f>(INDEX(Models!$BJ115:$BT115,,T115)*(1-R115)+INDEX(Models!$BJ115:$BT115,,T115+1)*R115-ERP_i)*Q115*Ramure*Pc/MaxiM</f>
        <v>3.8557872878875081E-6</v>
      </c>
      <c r="Q115" s="304">
        <f t="shared" si="28"/>
        <v>0.6</v>
      </c>
      <c r="R115" s="177">
        <f t="shared" si="29"/>
        <v>0.53763041728688576</v>
      </c>
      <c r="S115" s="799">
        <f t="shared" si="30"/>
        <v>1</v>
      </c>
      <c r="T115" s="176">
        <f t="shared" si="31"/>
        <v>7</v>
      </c>
      <c r="U115" s="250">
        <f t="shared" si="32"/>
        <v>1.5376304172868858</v>
      </c>
      <c r="V115" s="382">
        <f t="shared" si="33"/>
        <v>54.944675868252091</v>
      </c>
      <c r="W115" s="400">
        <f t="shared" si="34"/>
        <v>45.804307257254742</v>
      </c>
      <c r="X115" s="157">
        <f t="shared" si="35"/>
        <v>45758</v>
      </c>
      <c r="Y115" s="383">
        <f t="shared" si="36"/>
        <v>44.612509002326604</v>
      </c>
      <c r="Z115" s="383">
        <f t="shared" si="37"/>
        <v>46.589044641793478</v>
      </c>
      <c r="AA115" s="384">
        <f t="shared" si="38"/>
        <v>50.050996534098559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6.9168490780129349E-2</v>
      </c>
      <c r="AD115" s="230">
        <f>(INDEX(Models!$BJ115:$BT115,,AH115)*(1-AF115)+INDEX(Models!$BJ115:$BT115,,AH115+1)*AF115-ERP_i)*AE115*Ramure*Pc/MaxiM</f>
        <v>3.8557872878875081E-6</v>
      </c>
      <c r="AE115" s="304">
        <f t="shared" si="40"/>
        <v>0.6</v>
      </c>
      <c r="AF115" s="177">
        <f t="shared" si="41"/>
        <v>0.53763041728688576</v>
      </c>
      <c r="AG115" s="799">
        <f t="shared" si="49"/>
        <v>1</v>
      </c>
      <c r="AH115" s="176">
        <f t="shared" si="42"/>
        <v>7</v>
      </c>
      <c r="AI115" s="224">
        <f t="shared" si="43"/>
        <v>1.5376304172868858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45759</v>
      </c>
      <c r="B116" s="409">
        <f>IF(t&gt;Tmaj,'2024'!Wh/'2024'!Env_an*'2025'!Env_an,0.001*'[6]mon-tableau'!$B$246)</f>
        <v>38.084518907325652</v>
      </c>
      <c r="C116" s="829"/>
      <c r="D116" s="391">
        <f t="shared" si="25"/>
        <v>39.772597334924654</v>
      </c>
      <c r="E116" s="383">
        <f t="shared" si="47"/>
        <v>41.620388647792822</v>
      </c>
      <c r="F116" s="383">
        <f t="shared" si="26"/>
        <v>41.620467422614347</v>
      </c>
      <c r="G116" s="110">
        <f t="shared" si="48"/>
        <v>0.69115709028986538</v>
      </c>
      <c r="H116" s="412" t="b">
        <f>Wh_hp&gt;='2024'!Maxi_hp</f>
        <v>0</v>
      </c>
      <c r="I116" s="388">
        <f>IF(H116,Wh_hp,'2024'!Maxi_hp)</f>
        <v>60.002961591028409</v>
      </c>
      <c r="J116" s="85">
        <f>IF(H116,An,'2024'!An_max)</f>
        <v>2020</v>
      </c>
      <c r="K116" s="197">
        <f t="shared" si="27"/>
        <v>45759</v>
      </c>
      <c r="L116" s="147">
        <f>IF(t&lt;Tvie,1-EXP((T0-t)*PertePVj)+'2024'!Pspv,1-EXP((T0-t)*PertePVj)+Pspv)</f>
        <v>4.2443253413492532E-2</v>
      </c>
      <c r="M116" s="832"/>
      <c r="N116" s="832"/>
      <c r="O116" s="48">
        <f>IF(t&lt;Tnet,'2024'!Resal+('2024'!Salim-'2024'!Resal)*(1-EXP(('2024'!Tnet-t)/('2024'!Tau_j))),Resal+(Salim-Resal)*(1-EXP((Tnet-t)/(Tau_j))))*Salcycl</f>
        <v>4.4396301257656791E-2</v>
      </c>
      <c r="P116" s="169">
        <f>(INDEX(Models!$BJ116:$BT116,,T116)*(1-R116)+INDEX(Models!$BJ116:$BT116,,T116+1)*R116-ERP_i)*Q116*Ramure*Pc/MaxiM</f>
        <v>3.3870855102267023E-6</v>
      </c>
      <c r="Q116" s="304">
        <f t="shared" si="28"/>
        <v>0.6</v>
      </c>
      <c r="R116" s="177">
        <f t="shared" si="29"/>
        <v>0.53914177815551412</v>
      </c>
      <c r="S116" s="799">
        <f t="shared" si="30"/>
        <v>1</v>
      </c>
      <c r="T116" s="176">
        <f t="shared" si="31"/>
        <v>7</v>
      </c>
      <c r="U116" s="250">
        <f t="shared" si="32"/>
        <v>1.5391417781555141</v>
      </c>
      <c r="V116" s="382">
        <f t="shared" si="33"/>
        <v>55.102468786184915</v>
      </c>
      <c r="W116" s="400">
        <f t="shared" si="34"/>
        <v>38.084518907325652</v>
      </c>
      <c r="X116" s="157">
        <f t="shared" si="35"/>
        <v>45759</v>
      </c>
      <c r="Y116" s="383">
        <f t="shared" si="36"/>
        <v>37.094363411239875</v>
      </c>
      <c r="Z116" s="383">
        <f t="shared" si="37"/>
        <v>38.738553661152345</v>
      </c>
      <c r="AA116" s="384">
        <f t="shared" si="38"/>
        <v>41.620388647792822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6.9240943688143639E-2</v>
      </c>
      <c r="AD116" s="230">
        <f>(INDEX(Models!$BJ116:$BT116,,AH116)*(1-AF116)+INDEX(Models!$BJ116:$BT116,,AH116+1)*AF116-ERP_i)*AE116*Ramure*Pc/MaxiM</f>
        <v>3.3870855102267023E-6</v>
      </c>
      <c r="AE116" s="304">
        <f t="shared" si="40"/>
        <v>0.6</v>
      </c>
      <c r="AF116" s="177">
        <f t="shared" si="41"/>
        <v>0.53914177815551412</v>
      </c>
      <c r="AG116" s="799">
        <f t="shared" si="49"/>
        <v>1</v>
      </c>
      <c r="AH116" s="176">
        <f t="shared" si="42"/>
        <v>7</v>
      </c>
      <c r="AI116" s="224">
        <f t="shared" si="43"/>
        <v>1.5391417781555141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45760</v>
      </c>
      <c r="B117" s="409">
        <f>IF(t&gt;Tmaj,'2024'!Wh/'2024'!Env_an*'2025'!Env_an,0.001*'[6]mon-tableau'!$B$247)</f>
        <v>7.727640782220015</v>
      </c>
      <c r="C117" s="829"/>
      <c r="D117" s="391">
        <f t="shared" si="25"/>
        <v>8.070319499161748</v>
      </c>
      <c r="E117" s="383">
        <f t="shared" si="47"/>
        <v>8.4460970821094907</v>
      </c>
      <c r="F117" s="383">
        <f t="shared" si="26"/>
        <v>8.4460970821094907</v>
      </c>
      <c r="G117" s="110">
        <f t="shared" si="48"/>
        <v>0.13985555455514165</v>
      </c>
      <c r="H117" s="412" t="b">
        <f>Wh_hp&gt;='2024'!Maxi_hp</f>
        <v>0</v>
      </c>
      <c r="I117" s="388">
        <f>IF(H117,Wh_hp,'2024'!Maxi_hp)</f>
        <v>59.530054657867453</v>
      </c>
      <c r="J117" s="85">
        <f>IF(H117,An,'2024'!An_max)</f>
        <v>2018</v>
      </c>
      <c r="K117" s="197">
        <f t="shared" si="27"/>
        <v>45760</v>
      </c>
      <c r="L117" s="147">
        <f>IF(t&lt;Tvie,1-EXP((T0-t)*PertePVj)+'2024'!Pspv,1-EXP((T0-t)*PertePVj)+Pspv)</f>
        <v>4.246160477008698E-2</v>
      </c>
      <c r="M117" s="832"/>
      <c r="N117" s="832"/>
      <c r="O117" s="48">
        <f>IF(t&lt;Tnet,'2024'!Resal+('2024'!Salim-'2024'!Resal)*(1-EXP(('2024'!Tnet-t)/('2024'!Tau_j))),Resal+(Salim-Resal)*(1-EXP((Tnet-t)/(Tau_j))))*Salcycl</f>
        <v>4.4491269671019323E-2</v>
      </c>
      <c r="P117" s="169">
        <f>(INDEX(Models!$BJ117:$BT117,,T117)*(1-R117)+INDEX(Models!$BJ117:$BT117,,T117+1)*R117-ERP_i)*Q117*Ramure*Pc/MaxiM</f>
        <v>2.9505443269148917E-6</v>
      </c>
      <c r="Q117" s="304">
        <f t="shared" si="28"/>
        <v>0.6</v>
      </c>
      <c r="R117" s="177">
        <f t="shared" si="29"/>
        <v>0.5407060520884357</v>
      </c>
      <c r="S117" s="799">
        <f t="shared" si="30"/>
        <v>1</v>
      </c>
      <c r="T117" s="176">
        <f t="shared" si="31"/>
        <v>7</v>
      </c>
      <c r="U117" s="250">
        <f t="shared" si="32"/>
        <v>1.5407060520884357</v>
      </c>
      <c r="V117" s="382">
        <f t="shared" si="33"/>
        <v>55.254280075279624</v>
      </c>
      <c r="W117" s="400">
        <f t="shared" si="34"/>
        <v>7.727640782220015</v>
      </c>
      <c r="X117" s="157">
        <f t="shared" si="35"/>
        <v>45760</v>
      </c>
      <c r="Y117" s="383">
        <f t="shared" si="36"/>
        <v>7.5268859094292218</v>
      </c>
      <c r="Z117" s="383">
        <f t="shared" si="37"/>
        <v>7.8606622428147679</v>
      </c>
      <c r="AA117" s="384">
        <f t="shared" si="38"/>
        <v>8.4460970821094907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6.9314244627236135E-2</v>
      </c>
      <c r="AD117" s="230">
        <f>(INDEX(Models!$BJ117:$BT117,,AH117)*(1-AF117)+INDEX(Models!$BJ117:$BT117,,AH117+1)*AF117-ERP_i)*AE117*Ramure*Pc/MaxiM</f>
        <v>2.9505443269148917E-6</v>
      </c>
      <c r="AE117" s="304">
        <f t="shared" si="40"/>
        <v>0.6</v>
      </c>
      <c r="AF117" s="177">
        <f t="shared" si="41"/>
        <v>0.5407060520884357</v>
      </c>
      <c r="AG117" s="799">
        <f t="shared" si="49"/>
        <v>1</v>
      </c>
      <c r="AH117" s="176">
        <f t="shared" si="42"/>
        <v>7</v>
      </c>
      <c r="AI117" s="224">
        <f t="shared" si="43"/>
        <v>1.5407060520884357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45761</v>
      </c>
      <c r="B118" s="409">
        <f>IF(t&gt;Tmaj,'2024'!Wh/'2024'!Env_an*'2025'!Env_an,0.001*'[6]mon-tableau'!$B$248)</f>
        <v>40.013982451788557</v>
      </c>
      <c r="C118" s="829"/>
      <c r="D118" s="391">
        <f t="shared" si="25"/>
        <v>41.789185190555905</v>
      </c>
      <c r="E118" s="383">
        <f t="shared" si="47"/>
        <v>43.739382775080145</v>
      </c>
      <c r="F118" s="383">
        <f t="shared" si="26"/>
        <v>43.739449951781324</v>
      </c>
      <c r="G118" s="110">
        <f t="shared" si="48"/>
        <v>0.72227059249350589</v>
      </c>
      <c r="H118" s="412" t="b">
        <f>Wh_hp&gt;='2024'!Maxi_hp</f>
        <v>0</v>
      </c>
      <c r="I118" s="388">
        <f>IF(H118,Wh_hp,'2024'!Maxi_hp)</f>
        <v>58.540655243985405</v>
      </c>
      <c r="J118" s="85">
        <f>IF(H118,An,'2024'!An_max)</f>
        <v>2021</v>
      </c>
      <c r="K118" s="197">
        <f t="shared" si="27"/>
        <v>45761</v>
      </c>
      <c r="L118" s="147">
        <f>IF(t&lt;Tvie,1-EXP((T0-t)*PertePVj)+'2024'!Pspv,1-EXP((T0-t)*PertePVj)+Pspv)</f>
        <v>4.2479955774981981E-2</v>
      </c>
      <c r="M118" s="832"/>
      <c r="N118" s="832"/>
      <c r="O118" s="48">
        <f>IF(t&lt;Tnet,'2024'!Resal+('2024'!Salim-'2024'!Resal)*(1-EXP(('2024'!Tnet-t)/('2024'!Tau_j))),Resal+(Salim-Resal)*(1-EXP((Tnet-t)/(Tau_j))))*Salcycl</f>
        <v>4.4586765079715221E-2</v>
      </c>
      <c r="P118" s="169">
        <f>(INDEX(Models!$BJ118:$BT118,,T118)*(1-R118)+INDEX(Models!$BJ118:$BT118,,T118+1)*R118-ERP_i)*Q118*Ramure*Pc/MaxiM</f>
        <v>2.5459613601862387E-6</v>
      </c>
      <c r="Q118" s="304">
        <f t="shared" si="28"/>
        <v>0.6</v>
      </c>
      <c r="R118" s="177">
        <f t="shared" si="29"/>
        <v>0.54232467596799938</v>
      </c>
      <c r="S118" s="799">
        <f t="shared" si="30"/>
        <v>1</v>
      </c>
      <c r="T118" s="176">
        <f t="shared" si="31"/>
        <v>7</v>
      </c>
      <c r="U118" s="250">
        <f t="shared" si="32"/>
        <v>1.5423246759679994</v>
      </c>
      <c r="V118" s="382">
        <f t="shared" si="33"/>
        <v>55.400209351622443</v>
      </c>
      <c r="W118" s="400">
        <f t="shared" si="34"/>
        <v>40.013982451788557</v>
      </c>
      <c r="X118" s="157">
        <f t="shared" si="35"/>
        <v>45761</v>
      </c>
      <c r="Y118" s="383">
        <f t="shared" si="36"/>
        <v>38.975256406480149</v>
      </c>
      <c r="Z118" s="383">
        <f t="shared" si="37"/>
        <v>40.704376520937799</v>
      </c>
      <c r="AA118" s="384">
        <f t="shared" si="38"/>
        <v>43.739382775080145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6.9388410662975603E-2</v>
      </c>
      <c r="AD118" s="230">
        <f>(INDEX(Models!$BJ118:$BT118,,AH118)*(1-AF118)+INDEX(Models!$BJ118:$BT118,,AH118+1)*AF118-ERP_i)*AE118*Ramure*Pc/MaxiM</f>
        <v>2.5459613601862387E-6</v>
      </c>
      <c r="AE118" s="304">
        <f t="shared" si="40"/>
        <v>0.6</v>
      </c>
      <c r="AF118" s="177">
        <f t="shared" si="41"/>
        <v>0.54232467596799938</v>
      </c>
      <c r="AG118" s="799">
        <f t="shared" si="49"/>
        <v>1</v>
      </c>
      <c r="AH118" s="176">
        <f t="shared" si="42"/>
        <v>7</v>
      </c>
      <c r="AI118" s="224">
        <f t="shared" si="43"/>
        <v>1.5423246759679994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45762</v>
      </c>
      <c r="B119" s="409">
        <f>IF(t&gt;Tmaj,'2024'!Wh/'2024'!Env_an*'2025'!Env_an,0.001*'[6]mon-tableau'!$B$249)</f>
        <v>43.120625634621668</v>
      </c>
      <c r="C119" s="829"/>
      <c r="D119" s="391">
        <f t="shared" si="25"/>
        <v>45.034516308547367</v>
      </c>
      <c r="E119" s="383">
        <f t="shared" si="47"/>
        <v>47.140903872372839</v>
      </c>
      <c r="F119" s="383">
        <f t="shared" si="26"/>
        <v>47.140973592389649</v>
      </c>
      <c r="G119" s="110">
        <f t="shared" si="48"/>
        <v>0.77638313165078288</v>
      </c>
      <c r="H119" s="412" t="b">
        <f>Wh_hp&gt;='2024'!Maxi_hp</f>
        <v>0</v>
      </c>
      <c r="I119" s="388">
        <f>IF(H119,Wh_hp,'2024'!Maxi_hp)</f>
        <v>59.383919600806216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4.2498306428184085E-2</v>
      </c>
      <c r="M119" s="832"/>
      <c r="N119" s="832"/>
      <c r="O119" s="48">
        <f>IF(t&lt;Tnet,'2024'!Resal+('2024'!Salim-'2024'!Resal)*(1-EXP(('2024'!Tnet-t)/('2024'!Tau_j))),Resal+(Salim-Resal)*(1-EXP((Tnet-t)/(Tau_j))))*Salcycl</f>
        <v>4.468279966646814E-2</v>
      </c>
      <c r="P119" s="169">
        <f>(INDEX(Models!$BJ119:$BT119,,T119)*(1-R119)+INDEX(Models!$BJ119:$BT119,,T119+1)*R119-ERP_i)*Q119*Ramure*Pc/MaxiM</f>
        <v>2.1732020651888146E-6</v>
      </c>
      <c r="Q119" s="304">
        <f t="shared" si="28"/>
        <v>0.6</v>
      </c>
      <c r="R119" s="177">
        <f t="shared" si="29"/>
        <v>0.54399909327753071</v>
      </c>
      <c r="S119" s="799">
        <f t="shared" si="30"/>
        <v>1</v>
      </c>
      <c r="T119" s="176">
        <f t="shared" si="31"/>
        <v>7</v>
      </c>
      <c r="U119" s="250">
        <f t="shared" si="32"/>
        <v>1.5439990932775307</v>
      </c>
      <c r="V119" s="382">
        <f t="shared" si="33"/>
        <v>55.540356224778243</v>
      </c>
      <c r="W119" s="400">
        <f t="shared" si="34"/>
        <v>43.120625634621668</v>
      </c>
      <c r="X119" s="157">
        <f t="shared" si="35"/>
        <v>45762</v>
      </c>
      <c r="Y119" s="383">
        <f t="shared" si="36"/>
        <v>42.002088793680436</v>
      </c>
      <c r="Z119" s="383">
        <f t="shared" si="37"/>
        <v>43.866333684484637</v>
      </c>
      <c r="AA119" s="384">
        <f t="shared" si="38"/>
        <v>47.140903872372839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6.9463457823244756E-2</v>
      </c>
      <c r="AD119" s="230">
        <f>(INDEX(Models!$BJ119:$BT119,,AH119)*(1-AF119)+INDEX(Models!$BJ119:$BT119,,AH119+1)*AF119-ERP_i)*AE119*Ramure*Pc/MaxiM</f>
        <v>2.1732020651888146E-6</v>
      </c>
      <c r="AE119" s="304">
        <f t="shared" si="40"/>
        <v>0.6</v>
      </c>
      <c r="AF119" s="177">
        <f t="shared" si="41"/>
        <v>0.54399909327753071</v>
      </c>
      <c r="AG119" s="799">
        <f t="shared" si="49"/>
        <v>1</v>
      </c>
      <c r="AH119" s="176">
        <f t="shared" si="42"/>
        <v>7</v>
      </c>
      <c r="AI119" s="224">
        <f t="shared" si="43"/>
        <v>1.5439990932775307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45763</v>
      </c>
      <c r="B120" s="409">
        <f>IF(t&gt;Tmaj,'2024'!Wh/'2024'!Env_an*'2025'!Env_an,0.001*'[6]mon-tableau'!$B$250)</f>
        <v>41.581403994702164</v>
      </c>
      <c r="C120" s="829"/>
      <c r="D120" s="391">
        <f t="shared" si="25"/>
        <v>43.427809253245293</v>
      </c>
      <c r="E120" s="383">
        <f t="shared" si="47"/>
        <v>45.463643234752517</v>
      </c>
      <c r="F120" s="383">
        <f t="shared" si="26"/>
        <v>45.463696410421214</v>
      </c>
      <c r="G120" s="110">
        <f t="shared" si="48"/>
        <v>0.74686143956542395</v>
      </c>
      <c r="H120" s="412" t="b">
        <f>Wh_hp&gt;='2024'!Maxi_hp</f>
        <v>0</v>
      </c>
      <c r="I120" s="388">
        <f>IF(H120,Wh_hp,'2024'!Maxi_hp)</f>
        <v>56.502985475141656</v>
      </c>
      <c r="J120" s="85">
        <f>IF(H120,An,'2024'!An_max)</f>
        <v>2020</v>
      </c>
      <c r="K120" s="197">
        <f t="shared" si="27"/>
        <v>45763</v>
      </c>
      <c r="L120" s="147">
        <f>IF(t&lt;Tvie,1-EXP((T0-t)*PertePVj)+'2024'!Pspv,1-EXP((T0-t)*PertePVj)+Pspv)</f>
        <v>4.2516656729700175E-2</v>
      </c>
      <c r="M120" s="832"/>
      <c r="N120" s="832"/>
      <c r="O120" s="48">
        <f>IF(t&lt;Tnet,'2024'!Resal+('2024'!Salim-'2024'!Resal)*(1-EXP(('2024'!Tnet-t)/('2024'!Tau_j))),Resal+(Salim-Resal)*(1-EXP((Tnet-t)/(Tau_j))))*Salcycl</f>
        <v>4.4779384947113782E-2</v>
      </c>
      <c r="P120" s="169">
        <f>(INDEX(Models!$BJ120:$BT120,,T120)*(1-R120)+INDEX(Models!$BJ120:$BT120,,T120+1)*R120-ERP_i)*Q120*Ramure*Pc/MaxiM</f>
        <v>1.8322000716519858E-6</v>
      </c>
      <c r="Q120" s="304">
        <f t="shared" si="28"/>
        <v>0.6</v>
      </c>
      <c r="R120" s="177">
        <f t="shared" si="29"/>
        <v>0.5457307512511731</v>
      </c>
      <c r="S120" s="799">
        <f t="shared" si="30"/>
        <v>1</v>
      </c>
      <c r="T120" s="176">
        <f t="shared" si="31"/>
        <v>7</v>
      </c>
      <c r="U120" s="250">
        <f t="shared" si="32"/>
        <v>1.5457307512511731</v>
      </c>
      <c r="V120" s="382">
        <f t="shared" si="33"/>
        <v>55.674820309694219</v>
      </c>
      <c r="W120" s="400">
        <f t="shared" si="34"/>
        <v>41.581403994702164</v>
      </c>
      <c r="X120" s="157">
        <f t="shared" si="35"/>
        <v>45763</v>
      </c>
      <c r="Y120" s="383">
        <f t="shared" si="36"/>
        <v>40.503583629262764</v>
      </c>
      <c r="Z120" s="383">
        <f t="shared" si="37"/>
        <v>42.302128714763974</v>
      </c>
      <c r="AA120" s="384">
        <f t="shared" si="38"/>
        <v>45.463643234752517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6.9539401047645777E-2</v>
      </c>
      <c r="AD120" s="230">
        <f>(INDEX(Models!$BJ120:$BT120,,AH120)*(1-AF120)+INDEX(Models!$BJ120:$BT120,,AH120+1)*AF120-ERP_i)*AE120*Ramure*Pc/MaxiM</f>
        <v>1.8322000716519858E-6</v>
      </c>
      <c r="AE120" s="304">
        <f t="shared" si="40"/>
        <v>0.6</v>
      </c>
      <c r="AF120" s="177">
        <f t="shared" si="41"/>
        <v>0.5457307512511731</v>
      </c>
      <c r="AG120" s="799">
        <f t="shared" si="49"/>
        <v>1</v>
      </c>
      <c r="AH120" s="176">
        <f t="shared" si="42"/>
        <v>7</v>
      </c>
      <c r="AI120" s="224">
        <f t="shared" si="43"/>
        <v>1.5457307512511731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45764</v>
      </c>
      <c r="B121" s="409">
        <f>IF(t&gt;Tmaj,'2024'!Wh/'2024'!Env_an*'2025'!Env_an,0.001*'[6]mon-tableau'!$B$251)</f>
        <v>53.685018800212092</v>
      </c>
      <c r="C121" s="829"/>
      <c r="D121" s="391">
        <f t="shared" si="25"/>
        <v>56.06995469780454</v>
      </c>
      <c r="E121" s="383">
        <f t="shared" si="47"/>
        <v>58.704404781857015</v>
      </c>
      <c r="F121" s="383">
        <f t="shared" si="26"/>
        <v>58.70448934205082</v>
      </c>
      <c r="G121" s="110">
        <f t="shared" si="48"/>
        <v>0.96205585755879497</v>
      </c>
      <c r="H121" s="412" t="b">
        <f>Wh_hp&gt;='2024'!Maxi_hp</f>
        <v>0</v>
      </c>
      <c r="I121" s="388">
        <f>IF(H121,Wh_hp,'2024'!Maxi_hp)</f>
        <v>58.704491889636252</v>
      </c>
      <c r="J121" s="85">
        <f>IF(H121,An,'2024'!An_max)</f>
        <v>2022</v>
      </c>
      <c r="K121" s="197">
        <f t="shared" si="27"/>
        <v>45764</v>
      </c>
      <c r="L121" s="147">
        <f>IF(t&lt;Tvie,1-EXP((T0-t)*PertePVj)+'2024'!Pspv,1-EXP((T0-t)*PertePVj)+Pspv)</f>
        <v>4.2535006679536913E-2</v>
      </c>
      <c r="M121" s="832"/>
      <c r="N121" s="832"/>
      <c r="O121" s="48">
        <f>IF(t&lt;Tnet,'2024'!Resal+('2024'!Salim-'2024'!Resal)*(1-EXP(('2024'!Tnet-t)/('2024'!Tau_j))),Resal+(Salim-Resal)*(1-EXP((Tnet-t)/(Tau_j))))*Salcycl</f>
        <v>4.487653173287371E-2</v>
      </c>
      <c r="P121" s="169">
        <f>(INDEX(Models!$BJ121:$BT121,,T121)*(1-R121)+INDEX(Models!$BJ121:$BT121,,T121+1)*R121-ERP_i)*Q121*Ramure*Pc/MaxiM</f>
        <v>1.5229933627062355E-6</v>
      </c>
      <c r="Q121" s="304">
        <f t="shared" si="28"/>
        <v>0.6</v>
      </c>
      <c r="R121" s="177">
        <f t="shared" si="29"/>
        <v>0.54752109778585001</v>
      </c>
      <c r="S121" s="799">
        <f t="shared" si="30"/>
        <v>1</v>
      </c>
      <c r="T121" s="176">
        <f t="shared" si="31"/>
        <v>7</v>
      </c>
      <c r="U121" s="250">
        <f t="shared" si="32"/>
        <v>1.54752109778585</v>
      </c>
      <c r="V121" s="382">
        <f t="shared" si="33"/>
        <v>55.802388132077638</v>
      </c>
      <c r="W121" s="400">
        <f t="shared" si="34"/>
        <v>53.685018800212092</v>
      </c>
      <c r="X121" s="157">
        <f t="shared" si="35"/>
        <v>45764</v>
      </c>
      <c r="Y121" s="383">
        <f t="shared" si="36"/>
        <v>52.29446301721358</v>
      </c>
      <c r="Z121" s="383">
        <f t="shared" si="37"/>
        <v>54.617624019712487</v>
      </c>
      <c r="AA121" s="384">
        <f t="shared" si="38"/>
        <v>58.704404781857015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6.9616254135116892E-2</v>
      </c>
      <c r="AD121" s="230">
        <f>(INDEX(Models!$BJ121:$BT121,,AH121)*(1-AF121)+INDEX(Models!$BJ121:$BT121,,AH121+1)*AF121-ERP_i)*AE121*Ramure*Pc/MaxiM</f>
        <v>1.5229933627062355E-6</v>
      </c>
      <c r="AE121" s="304">
        <f t="shared" si="40"/>
        <v>0.6</v>
      </c>
      <c r="AF121" s="177">
        <f t="shared" si="41"/>
        <v>0.54752109778585001</v>
      </c>
      <c r="AG121" s="799">
        <f t="shared" si="49"/>
        <v>1</v>
      </c>
      <c r="AH121" s="176">
        <f t="shared" si="42"/>
        <v>7</v>
      </c>
      <c r="AI121" s="224">
        <f t="shared" si="43"/>
        <v>1.54752109778585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45765</v>
      </c>
      <c r="B122" s="409">
        <f>IF(t&gt;Tmaj,'2024'!Wh/'2024'!Env_an*'2025'!Env_an,0.001*'[6]mon-tableau'!$B$252)</f>
        <v>35.652797373222995</v>
      </c>
      <c r="C122" s="829"/>
      <c r="D122" s="391">
        <f t="shared" si="25"/>
        <v>37.237372554374794</v>
      </c>
      <c r="E122" s="383">
        <f t="shared" si="47"/>
        <v>38.99096182268363</v>
      </c>
      <c r="F122" s="383">
        <f t="shared" si="26"/>
        <v>38.990985435059812</v>
      </c>
      <c r="G122" s="110">
        <f t="shared" si="48"/>
        <v>0.63754344935448093</v>
      </c>
      <c r="H122" s="412" t="b">
        <f>Wh_hp&gt;='2024'!Maxi_hp</f>
        <v>0</v>
      </c>
      <c r="I122" s="388">
        <f>IF(H122,Wh_hp,'2024'!Maxi_hp)</f>
        <v>44.767493272933869</v>
      </c>
      <c r="J122" s="85">
        <f>IF(H122,An,'2024'!An_max)</f>
        <v>2021</v>
      </c>
      <c r="K122" s="197">
        <f t="shared" si="27"/>
        <v>45765</v>
      </c>
      <c r="L122" s="147">
        <f>IF(t&lt;Tvie,1-EXP((T0-t)*PertePVj)+'2024'!Pspv,1-EXP((T0-t)*PertePVj)+Pspv)</f>
        <v>4.2553356277701071E-2</v>
      </c>
      <c r="M122" s="832"/>
      <c r="N122" s="832"/>
      <c r="O122" s="48">
        <f>IF(t&lt;Tnet,'2024'!Resal+('2024'!Salim-'2024'!Resal)*(1-EXP(('2024'!Tnet-t)/('2024'!Tau_j))),Resal+(Salim-Resal)*(1-EXP((Tnet-t)/(Tau_j))))*Salcycl</f>
        <v>4.4974250091175123E-2</v>
      </c>
      <c r="P122" s="169">
        <f>(INDEX(Models!$BJ122:$BT122,,T122)*(1-R122)+INDEX(Models!$BJ122:$BT122,,T122+1)*R122-ERP_i)*Q122*Ramure*Pc/MaxiM</f>
        <v>1.2558660047220696E-6</v>
      </c>
      <c r="Q122" s="304">
        <f t="shared" si="28"/>
        <v>0.6</v>
      </c>
      <c r="R122" s="177">
        <f t="shared" si="29"/>
        <v>0.54937157810857284</v>
      </c>
      <c r="S122" s="799">
        <f t="shared" si="30"/>
        <v>1</v>
      </c>
      <c r="T122" s="176">
        <f t="shared" si="31"/>
        <v>7</v>
      </c>
      <c r="U122" s="250">
        <f t="shared" si="32"/>
        <v>1.5493715781085728</v>
      </c>
      <c r="V122" s="382">
        <f t="shared" si="33"/>
        <v>55.922108877425337</v>
      </c>
      <c r="W122" s="400">
        <f t="shared" si="34"/>
        <v>35.652797373222995</v>
      </c>
      <c r="X122" s="157">
        <f t="shared" si="35"/>
        <v>45765</v>
      </c>
      <c r="Y122" s="383">
        <f t="shared" si="36"/>
        <v>34.729964357237037</v>
      </c>
      <c r="Z122" s="383">
        <f t="shared" si="37"/>
        <v>36.273524571788286</v>
      </c>
      <c r="AA122" s="384">
        <f t="shared" si="38"/>
        <v>38.99096182268363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6.9694029689578704E-2</v>
      </c>
      <c r="AD122" s="230">
        <f>(INDEX(Models!$BJ122:$BT122,,AH122)*(1-AF122)+INDEX(Models!$BJ122:$BT122,,AH122+1)*AF122-ERP_i)*AE122*Ramure*Pc/MaxiM</f>
        <v>1.2558660047220696E-6</v>
      </c>
      <c r="AE122" s="304">
        <f t="shared" si="40"/>
        <v>0.6</v>
      </c>
      <c r="AF122" s="177">
        <f t="shared" si="41"/>
        <v>0.54937157810857284</v>
      </c>
      <c r="AG122" s="799">
        <f t="shared" si="49"/>
        <v>1</v>
      </c>
      <c r="AH122" s="176">
        <f t="shared" si="42"/>
        <v>7</v>
      </c>
      <c r="AI122" s="224">
        <f t="shared" si="43"/>
        <v>1.5493715781085728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45766</v>
      </c>
      <c r="B123" s="409">
        <f>IF(t&gt;Tmaj,'2024'!Wh/'2024'!Env_an*'2025'!Env_an,0.001*'[6]mon-tableau'!$B$253)</f>
        <v>8.9972594877221663</v>
      </c>
      <c r="C123" s="829"/>
      <c r="D123" s="391">
        <f t="shared" si="25"/>
        <v>9.3973194020218873</v>
      </c>
      <c r="E123" s="383">
        <f t="shared" si="47"/>
        <v>9.840872618314366</v>
      </c>
      <c r="F123" s="383">
        <f t="shared" si="26"/>
        <v>9.840872618314366</v>
      </c>
      <c r="G123" s="110">
        <f t="shared" si="48"/>
        <v>0.16056632834186851</v>
      </c>
      <c r="H123" s="412" t="b">
        <f>Wh_hp&gt;='2024'!Maxi_hp</f>
        <v>0</v>
      </c>
      <c r="I123" s="388">
        <f>IF(H123,Wh_hp,'2024'!Maxi_hp)</f>
        <v>58.622323149510997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4.257170552419931E-2</v>
      </c>
      <c r="M123" s="832"/>
      <c r="N123" s="832"/>
      <c r="O123" s="48">
        <f>IF(t&lt;Tnet,'2024'!Resal+('2024'!Salim-'2024'!Resal)*(1-EXP(('2024'!Tnet-t)/('2024'!Tau_j))),Resal+(Salim-Resal)*(1-EXP((Tnet-t)/(Tau_j))))*Salcycl</f>
        <v>4.5072549304926886E-2</v>
      </c>
      <c r="P123" s="169">
        <f>(INDEX(Models!$BJ123:$BT123,,T123)*(1-R123)+INDEX(Models!$BJ123:$BT123,,T123+1)*R123-ERP_i)*Q123*Ramure*Pc/MaxiM</f>
        <v>1.0189172401640336E-6</v>
      </c>
      <c r="Q123" s="304">
        <f t="shared" si="28"/>
        <v>0.6</v>
      </c>
      <c r="R123" s="177">
        <f t="shared" si="29"/>
        <v>0.55128363119320967</v>
      </c>
      <c r="S123" s="799">
        <f t="shared" si="30"/>
        <v>1</v>
      </c>
      <c r="T123" s="176">
        <f t="shared" si="31"/>
        <v>7</v>
      </c>
      <c r="U123" s="250">
        <f t="shared" si="32"/>
        <v>1.5512836311932097</v>
      </c>
      <c r="V123" s="382">
        <f t="shared" si="33"/>
        <v>56.034477546892248</v>
      </c>
      <c r="W123" s="400">
        <f t="shared" si="34"/>
        <v>8.9972594877221663</v>
      </c>
      <c r="X123" s="157">
        <f t="shared" si="35"/>
        <v>45766</v>
      </c>
      <c r="Y123" s="383">
        <f t="shared" si="36"/>
        <v>8.7645360316188263</v>
      </c>
      <c r="Z123" s="383">
        <f t="shared" si="37"/>
        <v>9.1542479809597399</v>
      </c>
      <c r="AA123" s="384">
        <f t="shared" si="38"/>
        <v>9.840872618314366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6.9772739063483261E-2</v>
      </c>
      <c r="AD123" s="230">
        <f>(INDEX(Models!$BJ123:$BT123,,AH123)*(1-AF123)+INDEX(Models!$BJ123:$BT123,,AH123+1)*AF123-ERP_i)*AE123*Ramure*Pc/MaxiM</f>
        <v>1.0189172401640336E-6</v>
      </c>
      <c r="AE123" s="304">
        <f t="shared" si="40"/>
        <v>0.6</v>
      </c>
      <c r="AF123" s="177">
        <f t="shared" si="41"/>
        <v>0.55128363119320967</v>
      </c>
      <c r="AG123" s="799">
        <f t="shared" si="49"/>
        <v>1</v>
      </c>
      <c r="AH123" s="176">
        <f t="shared" si="42"/>
        <v>7</v>
      </c>
      <c r="AI123" s="224">
        <f t="shared" si="43"/>
        <v>1.5512836311932097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45767</v>
      </c>
      <c r="B124" s="409">
        <f>IF(t&gt;Tmaj,'2024'!Wh/'2024'!Env_an*'2025'!Env_an,0.001*'[6]mon-tableau'!$B$254)</f>
        <v>9.319907187254266</v>
      </c>
      <c r="C124" s="829"/>
      <c r="D124" s="391">
        <f t="shared" si="25"/>
        <v>9.7345000751991311</v>
      </c>
      <c r="E124" s="383">
        <f t="shared" si="47"/>
        <v>10.19502396647831</v>
      </c>
      <c r="F124" s="383">
        <f t="shared" si="26"/>
        <v>10.19502396647831</v>
      </c>
      <c r="G124" s="110">
        <f t="shared" si="48"/>
        <v>0.1660117840855003</v>
      </c>
      <c r="H124" s="412" t="b">
        <f>Wh_hp&gt;='2024'!Maxi_hp</f>
        <v>0</v>
      </c>
      <c r="I124" s="388">
        <f>IF(H124,Wh_hp,'2024'!Maxi_hp)</f>
        <v>57.174498343837172</v>
      </c>
      <c r="J124" s="85">
        <f>IF(H124,An,'2024'!An_max)</f>
        <v>2018</v>
      </c>
      <c r="K124" s="197">
        <f t="shared" si="27"/>
        <v>45767</v>
      </c>
      <c r="L124" s="147">
        <f>IF(t&lt;Tvie,1-EXP((T0-t)*PertePVj)+'2024'!Pspv,1-EXP((T0-t)*PertePVj)+Pspv)</f>
        <v>4.2590054419038403E-2</v>
      </c>
      <c r="M124" s="832"/>
      <c r="N124" s="832"/>
      <c r="O124" s="48">
        <f>IF(t&lt;Tnet,'2024'!Resal+('2024'!Salim-'2024'!Resal)*(1-EXP(('2024'!Tnet-t)/('2024'!Tau_j))),Resal+(Salim-Resal)*(1-EXP((Tnet-t)/(Tau_j))))*Salcycl</f>
        <v>4.5171437830200445E-2</v>
      </c>
      <c r="P124" s="169">
        <f>(INDEX(Models!$BJ124:$BT124,,T124)*(1-R124)+INDEX(Models!$BJ124:$BT124,,T124+1)*R124-ERP_i)*Q124*Ramure*Pc/MaxiM</f>
        <v>8.123145897917862E-7</v>
      </c>
      <c r="Q124" s="304">
        <f t="shared" si="28"/>
        <v>0.6</v>
      </c>
      <c r="R124" s="177">
        <f t="shared" si="29"/>
        <v>0.55325868592187888</v>
      </c>
      <c r="S124" s="799">
        <f t="shared" si="30"/>
        <v>1</v>
      </c>
      <c r="T124" s="176">
        <f t="shared" si="31"/>
        <v>7</v>
      </c>
      <c r="U124" s="250">
        <f t="shared" si="32"/>
        <v>1.5532586859218789</v>
      </c>
      <c r="V124" s="382">
        <f t="shared" si="33"/>
        <v>56.139988302021372</v>
      </c>
      <c r="W124" s="400">
        <f t="shared" si="34"/>
        <v>9.319907187254266</v>
      </c>
      <c r="X124" s="157">
        <f t="shared" si="35"/>
        <v>45767</v>
      </c>
      <c r="Y124" s="383">
        <f t="shared" si="36"/>
        <v>9.0790008988822546</v>
      </c>
      <c r="Z124" s="383">
        <f t="shared" si="37"/>
        <v>9.4828771528721347</v>
      </c>
      <c r="AA124" s="384">
        <f t="shared" si="38"/>
        <v>10.19502396647831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6.9852392299198748E-2</v>
      </c>
      <c r="AD124" s="230">
        <f>(INDEX(Models!$BJ124:$BT124,,AH124)*(1-AF124)+INDEX(Models!$BJ124:$BT124,,AH124+1)*AF124-ERP_i)*AE124*Ramure*Pc/MaxiM</f>
        <v>8.123145897917862E-7</v>
      </c>
      <c r="AE124" s="304">
        <f t="shared" si="40"/>
        <v>0.6</v>
      </c>
      <c r="AF124" s="177">
        <f t="shared" si="41"/>
        <v>0.55325868592187888</v>
      </c>
      <c r="AG124" s="799">
        <f t="shared" si="49"/>
        <v>1</v>
      </c>
      <c r="AH124" s="176">
        <f t="shared" si="42"/>
        <v>7</v>
      </c>
      <c r="AI124" s="224">
        <f t="shared" si="43"/>
        <v>1.5532586859218789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45768</v>
      </c>
      <c r="B125" s="409">
        <f>IF(t&gt;Tmaj,'2024'!Wh/'2024'!Env_an*'2025'!Env_an,0.001*'[6]mon-tableau'!$B$255)</f>
        <v>8.8689828978798921</v>
      </c>
      <c r="C125" s="829"/>
      <c r="D125" s="391">
        <f t="shared" si="25"/>
        <v>9.2636941094125334</v>
      </c>
      <c r="E125" s="383">
        <f t="shared" si="47"/>
        <v>9.7029558803943647</v>
      </c>
      <c r="F125" s="383">
        <f t="shared" si="26"/>
        <v>9.7029558803943647</v>
      </c>
      <c r="G125" s="110">
        <f t="shared" si="48"/>
        <v>0.157701167237046</v>
      </c>
      <c r="H125" s="412" t="b">
        <f>Wh_hp&gt;='2024'!Maxi_hp</f>
        <v>0</v>
      </c>
      <c r="I125" s="388">
        <f>IF(H125,Wh_hp,'2024'!Maxi_hp)</f>
        <v>52.981756605548966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4.2608402962225123E-2</v>
      </c>
      <c r="M125" s="832"/>
      <c r="N125" s="832"/>
      <c r="O125" s="48">
        <f>IF(t&lt;Tnet,'2024'!Resal+('2024'!Salim-'2024'!Resal)*(1-EXP(('2024'!Tnet-t)/('2024'!Tau_j))),Resal+(Salim-Resal)*(1-EXP((Tnet-t)/(Tau_j))))*Salcycl</f>
        <v>4.5270923252304598E-2</v>
      </c>
      <c r="P125" s="169">
        <f>(INDEX(Models!$BJ125:$BT125,,T125)*(1-R125)+INDEX(Models!$BJ125:$BT125,,T125+1)*R125-ERP_i)*Q125*Ramure*Pc/MaxiM</f>
        <v>6.3630447335923215E-7</v>
      </c>
      <c r="Q125" s="304">
        <f t="shared" si="28"/>
        <v>0.6</v>
      </c>
      <c r="R125" s="177">
        <f t="shared" si="29"/>
        <v>0.55529815698735208</v>
      </c>
      <c r="S125" s="799">
        <f t="shared" si="30"/>
        <v>1</v>
      </c>
      <c r="T125" s="176">
        <f t="shared" si="31"/>
        <v>7</v>
      </c>
      <c r="U125" s="250">
        <f t="shared" si="32"/>
        <v>1.5552981569873521</v>
      </c>
      <c r="V125" s="382">
        <f t="shared" si="33"/>
        <v>56.239135130655939</v>
      </c>
      <c r="W125" s="400">
        <f t="shared" si="34"/>
        <v>8.8689828978798921</v>
      </c>
      <c r="X125" s="157">
        <f t="shared" si="35"/>
        <v>45768</v>
      </c>
      <c r="Y125" s="383">
        <f t="shared" si="36"/>
        <v>8.6398838528254096</v>
      </c>
      <c r="Z125" s="383">
        <f t="shared" si="37"/>
        <v>9.0243990855546592</v>
      </c>
      <c r="AA125" s="384">
        <f t="shared" si="38"/>
        <v>9.7029558803943647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6.9932998068226337E-2</v>
      </c>
      <c r="AD125" s="230">
        <f>(INDEX(Models!$BJ125:$BT125,,AH125)*(1-AF125)+INDEX(Models!$BJ125:$BT125,,AH125+1)*AF125-ERP_i)*AE125*Ramure*Pc/MaxiM</f>
        <v>6.3630447335923215E-7</v>
      </c>
      <c r="AE125" s="304">
        <f t="shared" si="40"/>
        <v>0.6</v>
      </c>
      <c r="AF125" s="177">
        <f t="shared" si="41"/>
        <v>0.55529815698735208</v>
      </c>
      <c r="AG125" s="799">
        <f t="shared" si="49"/>
        <v>1</v>
      </c>
      <c r="AH125" s="176">
        <f t="shared" si="42"/>
        <v>7</v>
      </c>
      <c r="AI125" s="224">
        <f t="shared" si="43"/>
        <v>1.5552981569873521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45769</v>
      </c>
      <c r="B126" s="409">
        <f>IF(t&gt;Tmaj,'2024'!Wh/'2024'!Env_an*'2025'!Env_an,0.001*'[6]mon-tableau'!$B$256)</f>
        <v>25.645146896744254</v>
      </c>
      <c r="C126" s="829"/>
      <c r="D126" s="391">
        <f t="shared" si="25"/>
        <v>26.786989220400901</v>
      </c>
      <c r="E126" s="383">
        <f t="shared" si="47"/>
        <v>28.060104568229814</v>
      </c>
      <c r="F126" s="383">
        <f t="shared" si="26"/>
        <v>28.060107625107882</v>
      </c>
      <c r="G126" s="110">
        <f t="shared" si="48"/>
        <v>0.45524656676606723</v>
      </c>
      <c r="H126" s="412" t="b">
        <f>Wh_hp&gt;='2024'!Maxi_hp</f>
        <v>0</v>
      </c>
      <c r="I126" s="388">
        <f>IF(H126,Wh_hp,'2024'!Maxi_hp)</f>
        <v>60.779702375651659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4.262675115376624E-2</v>
      </c>
      <c r="M126" s="832"/>
      <c r="N126" s="832"/>
      <c r="O126" s="48">
        <f>IF(t&lt;Tnet,'2024'!Resal+('2024'!Salim-'2024'!Resal)*(1-EXP(('2024'!Tnet-t)/('2024'!Tau_j))),Resal+(Salim-Resal)*(1-EXP((Tnet-t)/(Tau_j))))*Salcycl</f>
        <v>4.5371012240287931E-2</v>
      </c>
      <c r="P126" s="169">
        <f>(INDEX(Models!$BJ126:$BT126,,T126)*(1-R126)+INDEX(Models!$BJ126:$BT126,,T126+1)*R126-ERP_i)*Q126*Ramure*Pc/MaxiM</f>
        <v>4.9120675685331836E-7</v>
      </c>
      <c r="Q126" s="304">
        <f t="shared" si="28"/>
        <v>0.6</v>
      </c>
      <c r="R126" s="177">
        <f t="shared" si="29"/>
        <v>0.55740344053423452</v>
      </c>
      <c r="S126" s="799">
        <f t="shared" si="30"/>
        <v>1</v>
      </c>
      <c r="T126" s="176">
        <f t="shared" si="31"/>
        <v>7</v>
      </c>
      <c r="U126" s="250">
        <f t="shared" si="32"/>
        <v>1.5574034405342345</v>
      </c>
      <c r="V126" s="382">
        <f t="shared" si="33"/>
        <v>56.332411852417408</v>
      </c>
      <c r="W126" s="400">
        <f t="shared" si="34"/>
        <v>25.645146896744254</v>
      </c>
      <c r="X126" s="157">
        <f t="shared" si="35"/>
        <v>45769</v>
      </c>
      <c r="Y126" s="383">
        <f t="shared" si="36"/>
        <v>24.98312269363095</v>
      </c>
      <c r="Z126" s="383">
        <f t="shared" si="37"/>
        <v>26.095488592081555</v>
      </c>
      <c r="AA126" s="384">
        <f t="shared" si="38"/>
        <v>28.060104568229814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7.0014563608313748E-2</v>
      </c>
      <c r="AD126" s="230">
        <f>(INDEX(Models!$BJ126:$BT126,,AH126)*(1-AF126)+INDEX(Models!$BJ126:$BT126,,AH126+1)*AF126-ERP_i)*AE126*Ramure*Pc/MaxiM</f>
        <v>4.9120675685331836E-7</v>
      </c>
      <c r="AE126" s="304">
        <f t="shared" si="40"/>
        <v>0.6</v>
      </c>
      <c r="AF126" s="177">
        <f t="shared" si="41"/>
        <v>0.55740344053423452</v>
      </c>
      <c r="AG126" s="799">
        <f t="shared" si="49"/>
        <v>1</v>
      </c>
      <c r="AH126" s="176">
        <f t="shared" si="42"/>
        <v>7</v>
      </c>
      <c r="AI126" s="224">
        <f t="shared" si="43"/>
        <v>1.5574034405342345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45770</v>
      </c>
      <c r="B127" s="409">
        <f>IF(t&gt;Tmaj,'2024'!Wh/'2024'!Env_an*'2025'!Env_an,0.001*'[6]mon-tableau'!$B$257)</f>
        <v>8.7375534221490039</v>
      </c>
      <c r="C127" s="829"/>
      <c r="D127" s="391">
        <f t="shared" si="25"/>
        <v>9.1267652288241834</v>
      </c>
      <c r="E127" s="383">
        <f t="shared" si="47"/>
        <v>9.5615450366635653</v>
      </c>
      <c r="F127" s="383">
        <f t="shared" si="26"/>
        <v>9.5615450366635653</v>
      </c>
      <c r="G127" s="110">
        <f t="shared" si="48"/>
        <v>0.15486532769349998</v>
      </c>
      <c r="H127" s="412" t="b">
        <f>Wh_hp&gt;='2024'!Maxi_hp</f>
        <v>0</v>
      </c>
      <c r="I127" s="388">
        <f>IF(H127,Wh_hp,'2024'!Maxi_hp)</f>
        <v>61.484717168911814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4.2645098993668529E-2</v>
      </c>
      <c r="M127" s="832"/>
      <c r="N127" s="832"/>
      <c r="O127" s="48">
        <f>IF(t&lt;Tnet,'2024'!Resal+('2024'!Salim-'2024'!Resal)*(1-EXP(('2024'!Tnet-t)/('2024'!Tau_j))),Resal+(Salim-Resal)*(1-EXP((Tnet-t)/(Tau_j))))*Salcycl</f>
        <v>4.5471710499948151E-2</v>
      </c>
      <c r="P127" s="169">
        <f>(INDEX(Models!$BJ127:$BT127,,T127)*(1-R127)+INDEX(Models!$BJ127:$BT127,,T127+1)*R127-ERP_i)*Q127*Ramure*Pc/MaxiM</f>
        <v>3.7741244393945415E-7</v>
      </c>
      <c r="Q127" s="304">
        <f t="shared" si="28"/>
        <v>0.6</v>
      </c>
      <c r="R127" s="177">
        <f t="shared" si="29"/>
        <v>0.55957590953826797</v>
      </c>
      <c r="S127" s="799">
        <f t="shared" si="30"/>
        <v>1</v>
      </c>
      <c r="T127" s="176">
        <f t="shared" si="31"/>
        <v>7</v>
      </c>
      <c r="U127" s="250">
        <f t="shared" si="32"/>
        <v>1.559575909538268</v>
      </c>
      <c r="V127" s="382">
        <f t="shared" si="33"/>
        <v>56.420312116476069</v>
      </c>
      <c r="W127" s="400">
        <f t="shared" si="34"/>
        <v>8.7375534221490039</v>
      </c>
      <c r="X127" s="157">
        <f t="shared" si="35"/>
        <v>45770</v>
      </c>
      <c r="Y127" s="383">
        <f t="shared" si="36"/>
        <v>8.5121377775903095</v>
      </c>
      <c r="Z127" s="383">
        <f t="shared" si="37"/>
        <v>8.8913085091460928</v>
      </c>
      <c r="AA127" s="384">
        <f t="shared" si="38"/>
        <v>9.5615450366635653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7.0097094658599937E-2</v>
      </c>
      <c r="AD127" s="230">
        <f>(INDEX(Models!$BJ127:$BT127,,AH127)*(1-AF127)+INDEX(Models!$BJ127:$BT127,,AH127+1)*AF127-ERP_i)*AE127*Ramure*Pc/MaxiM</f>
        <v>3.7741244393945415E-7</v>
      </c>
      <c r="AE127" s="304">
        <f t="shared" si="40"/>
        <v>0.6</v>
      </c>
      <c r="AF127" s="177">
        <f t="shared" si="41"/>
        <v>0.55957590953826797</v>
      </c>
      <c r="AG127" s="799">
        <f t="shared" si="49"/>
        <v>1</v>
      </c>
      <c r="AH127" s="176">
        <f t="shared" si="42"/>
        <v>7</v>
      </c>
      <c r="AI127" s="224">
        <f t="shared" si="43"/>
        <v>1.559575909538268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45771</v>
      </c>
      <c r="B128" s="409">
        <f>IF(t&gt;Tmaj,'2024'!Wh/'2024'!Env_an*'2025'!Env_an,0.001*'[6]mon-tableau'!$B$258)</f>
        <v>28.688062793746113</v>
      </c>
      <c r="C128" s="829"/>
      <c r="D128" s="391">
        <f t="shared" si="25"/>
        <v>29.966538609982027</v>
      </c>
      <c r="E128" s="383">
        <f t="shared" si="47"/>
        <v>31.397413656050357</v>
      </c>
      <c r="F128" s="383">
        <f t="shared" si="26"/>
        <v>31.39741640818022</v>
      </c>
      <c r="G128" s="110">
        <f t="shared" si="48"/>
        <v>0.50772329947493522</v>
      </c>
      <c r="H128" s="412" t="b">
        <f>Wh_hp&gt;='2024'!Maxi_hp</f>
        <v>0</v>
      </c>
      <c r="I128" s="388">
        <f>IF(H128,Wh_hp,'2024'!Maxi_hp)</f>
        <v>60.938970338666145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4.2663446481938538E-2</v>
      </c>
      <c r="M128" s="832"/>
      <c r="N128" s="832"/>
      <c r="O128" s="48">
        <f>IF(t&lt;Tnet,'2024'!Resal+('2024'!Salim-'2024'!Resal)*(1-EXP(('2024'!Tnet-t)/('2024'!Tau_j))),Resal+(Salim-Resal)*(1-EXP((Tnet-t)/(Tau_j))))*Salcycl</f>
        <v>4.5573022725475261E-2</v>
      </c>
      <c r="P128" s="169">
        <f>(INDEX(Models!$BJ128:$BT128,,T128)*(1-R128)+INDEX(Models!$BJ128:$BT128,,T128+1)*R128-ERP_i)*Q128*Ramure*Pc/MaxiM</f>
        <v>2.9538444215978002E-7</v>
      </c>
      <c r="Q128" s="304">
        <f t="shared" si="28"/>
        <v>0.6</v>
      </c>
      <c r="R128" s="177">
        <f t="shared" si="29"/>
        <v>0.56181690892484948</v>
      </c>
      <c r="S128" s="799">
        <f t="shared" si="30"/>
        <v>1</v>
      </c>
      <c r="T128" s="176">
        <f t="shared" si="31"/>
        <v>7</v>
      </c>
      <c r="U128" s="250">
        <f t="shared" si="32"/>
        <v>1.5618169089248495</v>
      </c>
      <c r="V128" s="382">
        <f t="shared" si="33"/>
        <v>56.503329400184057</v>
      </c>
      <c r="W128" s="400">
        <f t="shared" si="34"/>
        <v>28.688062793746113</v>
      </c>
      <c r="X128" s="157">
        <f t="shared" si="35"/>
        <v>45771</v>
      </c>
      <c r="Y128" s="383">
        <f t="shared" si="36"/>
        <v>27.948411037565187</v>
      </c>
      <c r="Z128" s="383">
        <f t="shared" si="37"/>
        <v>29.193924471868506</v>
      </c>
      <c r="AA128" s="384">
        <f t="shared" si="38"/>
        <v>31.397413656050357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7.0180595392997688E-2</v>
      </c>
      <c r="AD128" s="230">
        <f>(INDEX(Models!$BJ128:$BT128,,AH128)*(1-AF128)+INDEX(Models!$BJ128:$BT128,,AH128+1)*AF128-ERP_i)*AE128*Ramure*Pc/MaxiM</f>
        <v>2.9538444215978002E-7</v>
      </c>
      <c r="AE128" s="304">
        <f t="shared" si="40"/>
        <v>0.6</v>
      </c>
      <c r="AF128" s="177">
        <f t="shared" si="41"/>
        <v>0.56181690892484948</v>
      </c>
      <c r="AG128" s="799">
        <f t="shared" si="49"/>
        <v>1</v>
      </c>
      <c r="AH128" s="176">
        <f t="shared" si="42"/>
        <v>7</v>
      </c>
      <c r="AI128" s="224">
        <f t="shared" si="43"/>
        <v>1.5618169089248495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45772</v>
      </c>
      <c r="B129" s="409">
        <f>IF(t&gt;Tmaj,'2024'!Wh/'2024'!Env_an*'2025'!Env_an,0.001*'[6]mon-tableau'!$B$259)</f>
        <v>43.625794491558629</v>
      </c>
      <c r="C129" s="829"/>
      <c r="D129" s="391">
        <f t="shared" si="25"/>
        <v>45.570839665173089</v>
      </c>
      <c r="E129" s="383">
        <f t="shared" si="47"/>
        <v>47.751905691814208</v>
      </c>
      <c r="F129" s="383">
        <f t="shared" si="26"/>
        <v>47.751912856900255</v>
      </c>
      <c r="G129" s="110">
        <f t="shared" si="48"/>
        <v>0.77101946670646182</v>
      </c>
      <c r="H129" s="412" t="b">
        <f>Wh_hp&gt;='2024'!Maxi_hp</f>
        <v>0</v>
      </c>
      <c r="I129" s="388">
        <f>IF(H129,Wh_hp,'2024'!Maxi_hp)</f>
        <v>53.779346350507211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4.2681793618583153E-2</v>
      </c>
      <c r="M129" s="832"/>
      <c r="N129" s="832"/>
      <c r="O129" s="48">
        <f>IF(t&lt;Tnet,'2024'!Resal+('2024'!Salim-'2024'!Resal)*(1-EXP(('2024'!Tnet-t)/('2024'!Tau_j))),Resal+(Salim-Resal)*(1-EXP((Tnet-t)/(Tau_j))))*Salcycl</f>
        <v>4.5674952549904266E-2</v>
      </c>
      <c r="P129" s="169">
        <f>(INDEX(Models!$BJ129:$BT129,,T129)*(1-R129)+INDEX(Models!$BJ129:$BT129,,T129+1)*R129-ERP_i)*Q129*Ramure*Pc/MaxiM</f>
        <v>2.2299224952097518E-7</v>
      </c>
      <c r="Q129" s="304">
        <f t="shared" si="28"/>
        <v>0.6</v>
      </c>
      <c r="R129" s="177">
        <f t="shared" si="29"/>
        <v>0.56412775042981522</v>
      </c>
      <c r="S129" s="799">
        <f t="shared" si="30"/>
        <v>1</v>
      </c>
      <c r="T129" s="176">
        <f t="shared" si="31"/>
        <v>7</v>
      </c>
      <c r="U129" s="250">
        <f t="shared" si="32"/>
        <v>1.5641277504298152</v>
      </c>
      <c r="V129" s="382">
        <f t="shared" si="33"/>
        <v>56.58195829434576</v>
      </c>
      <c r="W129" s="400">
        <f t="shared" si="34"/>
        <v>43.625794491558629</v>
      </c>
      <c r="X129" s="157">
        <f t="shared" si="35"/>
        <v>45772</v>
      </c>
      <c r="Y129" s="383">
        <f t="shared" si="36"/>
        <v>42.501687625269938</v>
      </c>
      <c r="Z129" s="383">
        <f t="shared" si="37"/>
        <v>44.396614774436159</v>
      </c>
      <c r="AA129" s="384">
        <f t="shared" si="38"/>
        <v>47.751905691814208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7.0265068352093604E-2</v>
      </c>
      <c r="AD129" s="230">
        <f>(INDEX(Models!$BJ129:$BT129,,AH129)*(1-AF129)+INDEX(Models!$BJ129:$BT129,,AH129+1)*AF129-ERP_i)*AE129*Ramure*Pc/MaxiM</f>
        <v>2.2299224952097518E-7</v>
      </c>
      <c r="AE129" s="304">
        <f t="shared" si="40"/>
        <v>0.6</v>
      </c>
      <c r="AF129" s="177">
        <f t="shared" si="41"/>
        <v>0.56412775042981522</v>
      </c>
      <c r="AG129" s="799">
        <f t="shared" si="49"/>
        <v>1</v>
      </c>
      <c r="AH129" s="176">
        <f t="shared" si="42"/>
        <v>7</v>
      </c>
      <c r="AI129" s="224">
        <f t="shared" si="43"/>
        <v>1.5641277504298152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45773</v>
      </c>
      <c r="B130" s="409">
        <f>IF(t&gt;Tmaj,'2024'!Wh/'2024'!Env_an*'2025'!Env_an,0.001*'[6]mon-tableau'!$B$260)</f>
        <v>53.636853421490763</v>
      </c>
      <c r="C130" s="829"/>
      <c r="D130" s="391">
        <f t="shared" si="25"/>
        <v>56.029312951225855</v>
      </c>
      <c r="E130" s="383">
        <f t="shared" si="47"/>
        <v>58.717241626247528</v>
      </c>
      <c r="F130" s="383">
        <f t="shared" si="26"/>
        <v>58.717250325696227</v>
      </c>
      <c r="G130" s="110">
        <f t="shared" si="48"/>
        <v>0.94669933770760295</v>
      </c>
      <c r="H130" s="412" t="b">
        <f>Wh_hp&gt;='2024'!Maxi_hp</f>
        <v>0</v>
      </c>
      <c r="I130" s="388">
        <f>IF(H130,Wh_hp,'2024'!Maxi_hp)</f>
        <v>58.717250698812563</v>
      </c>
      <c r="J130" s="85">
        <f>IF(H130,An,'2024'!An_max)</f>
        <v>2022</v>
      </c>
      <c r="K130" s="197">
        <f t="shared" si="27"/>
        <v>45773</v>
      </c>
      <c r="L130" s="147">
        <f>IF(t&lt;Tvie,1-EXP((T0-t)*PertePVj)+'2024'!Pspv,1-EXP((T0-t)*PertePVj)+Pspv)</f>
        <v>4.2700140403609033E-2</v>
      </c>
      <c r="M130" s="832"/>
      <c r="N130" s="832"/>
      <c r="O130" s="48">
        <f>IF(t&lt;Tnet,'2024'!Resal+('2024'!Salim-'2024'!Resal)*(1-EXP(('2024'!Tnet-t)/('2024'!Tau_j))),Resal+(Salim-Resal)*(1-EXP((Tnet-t)/(Tau_j))))*Salcycl</f>
        <v>4.5777502494601621E-2</v>
      </c>
      <c r="P130" s="169">
        <f>(INDEX(Models!$BJ130:$BT130,,T130)*(1-R130)+INDEX(Models!$BJ130:$BT130,,T130+1)*R130-ERP_i)*Q130*Ramure*Pc/MaxiM</f>
        <v>1.60369449158963E-7</v>
      </c>
      <c r="Q130" s="304">
        <f t="shared" si="28"/>
        <v>0.6</v>
      </c>
      <c r="R130" s="177">
        <f t="shared" si="29"/>
        <v>0.56650970720767413</v>
      </c>
      <c r="S130" s="799">
        <f t="shared" si="30"/>
        <v>1</v>
      </c>
      <c r="T130" s="176">
        <f t="shared" si="31"/>
        <v>7</v>
      </c>
      <c r="U130" s="250">
        <f t="shared" si="32"/>
        <v>1.5665097072076741</v>
      </c>
      <c r="V130" s="382">
        <f t="shared" si="33"/>
        <v>56.656691971923557</v>
      </c>
      <c r="W130" s="400">
        <f t="shared" si="34"/>
        <v>53.636853421490763</v>
      </c>
      <c r="X130" s="157">
        <f t="shared" si="35"/>
        <v>45773</v>
      </c>
      <c r="Y130" s="383">
        <f t="shared" si="36"/>
        <v>52.25560424769629</v>
      </c>
      <c r="Z130" s="383">
        <f t="shared" si="37"/>
        <v>54.586453475223401</v>
      </c>
      <c r="AA130" s="384">
        <f t="shared" si="38"/>
        <v>58.717241626247528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7.0350514373917719E-2</v>
      </c>
      <c r="AD130" s="230">
        <f>(INDEX(Models!$BJ130:$BT130,,AH130)*(1-AF130)+INDEX(Models!$BJ130:$BT130,,AH130+1)*AF130-ERP_i)*AE130*Ramure*Pc/MaxiM</f>
        <v>1.60369449158963E-7</v>
      </c>
      <c r="AE130" s="304">
        <f t="shared" si="40"/>
        <v>0.6</v>
      </c>
      <c r="AF130" s="177">
        <f t="shared" si="41"/>
        <v>0.56650970720767413</v>
      </c>
      <c r="AG130" s="799">
        <f t="shared" si="49"/>
        <v>1</v>
      </c>
      <c r="AH130" s="176">
        <f t="shared" si="42"/>
        <v>7</v>
      </c>
      <c r="AI130" s="224">
        <f t="shared" si="43"/>
        <v>1.5665097072076741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45774</v>
      </c>
      <c r="B131" s="409">
        <f>IF(t&gt;Tmaj,'2024'!Wh/'2024'!Env_an*'2025'!Env_an,0.001*'[6]mon-tableau'!$B$261)</f>
        <v>40.961426546555899</v>
      </c>
      <c r="C131" s="829"/>
      <c r="D131" s="391">
        <f t="shared" si="25"/>
        <v>42.789321618897937</v>
      </c>
      <c r="E131" s="383">
        <f t="shared" si="47"/>
        <v>44.84692894190794</v>
      </c>
      <c r="F131" s="383">
        <f t="shared" si="26"/>
        <v>44.846931853423349</v>
      </c>
      <c r="G131" s="110">
        <f t="shared" si="48"/>
        <v>0.7220668430443703</v>
      </c>
      <c r="H131" s="412" t="b">
        <f>Wh_hp&gt;='2024'!Maxi_hp</f>
        <v>0</v>
      </c>
      <c r="I131" s="388">
        <f>IF(H131,Wh_hp,'2024'!Maxi_hp)</f>
        <v>44.846932850316357</v>
      </c>
      <c r="J131" s="85">
        <f>IF(H131,An,'2024'!An_max)</f>
        <v>2022</v>
      </c>
      <c r="K131" s="197">
        <f t="shared" si="27"/>
        <v>45774</v>
      </c>
      <c r="L131" s="147">
        <f>IF(t&lt;Tvie,1-EXP((T0-t)*PertePVj)+'2024'!Pspv,1-EXP((T0-t)*PertePVj)+Pspv)</f>
        <v>4.2718486837023062E-2</v>
      </c>
      <c r="M131" s="832"/>
      <c r="N131" s="832"/>
      <c r="O131" s="48">
        <f>IF(t&lt;Tnet,'2024'!Resal+('2024'!Salim-'2024'!Resal)*(1-EXP(('2024'!Tnet-t)/('2024'!Tau_j))),Resal+(Salim-Resal)*(1-EXP((Tnet-t)/(Tau_j))))*Salcycl</f>
        <v>4.5880673918058203E-2</v>
      </c>
      <c r="P131" s="169">
        <f>(INDEX(Models!$BJ131:$BT131,,T131)*(1-R131)+INDEX(Models!$BJ131:$BT131,,T131+1)*R131-ERP_i)*Q131*Ramure*Pc/MaxiM</f>
        <v>1.0767208625713657E-7</v>
      </c>
      <c r="Q131" s="304">
        <f t="shared" si="28"/>
        <v>0.6</v>
      </c>
      <c r="R131" s="177">
        <f t="shared" si="29"/>
        <v>0.56896400819480908</v>
      </c>
      <c r="S131" s="799">
        <f t="shared" si="30"/>
        <v>1</v>
      </c>
      <c r="T131" s="176">
        <f t="shared" si="31"/>
        <v>7</v>
      </c>
      <c r="U131" s="250">
        <f t="shared" si="32"/>
        <v>1.5689640081948091</v>
      </c>
      <c r="V131" s="382">
        <f t="shared" si="33"/>
        <v>56.728023437160296</v>
      </c>
      <c r="W131" s="400">
        <f t="shared" si="34"/>
        <v>40.961426546555899</v>
      </c>
      <c r="X131" s="157">
        <f t="shared" si="35"/>
        <v>45774</v>
      </c>
      <c r="Y131" s="383">
        <f t="shared" si="36"/>
        <v>39.907198468736439</v>
      </c>
      <c r="Z131" s="383">
        <f t="shared" si="37"/>
        <v>41.688048834117879</v>
      </c>
      <c r="AA131" s="384">
        <f t="shared" si="38"/>
        <v>44.84692894190794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7.0436932524005999E-2</v>
      </c>
      <c r="AD131" s="230">
        <f>(INDEX(Models!$BJ131:$BT131,,AH131)*(1-AF131)+INDEX(Models!$BJ131:$BT131,,AH131+1)*AF131-ERP_i)*AE131*Ramure*Pc/MaxiM</f>
        <v>1.0767208625713657E-7</v>
      </c>
      <c r="AE131" s="304">
        <f t="shared" si="40"/>
        <v>0.6</v>
      </c>
      <c r="AF131" s="177">
        <f t="shared" si="41"/>
        <v>0.56896400819480908</v>
      </c>
      <c r="AG131" s="799">
        <f t="shared" si="49"/>
        <v>1</v>
      </c>
      <c r="AH131" s="176">
        <f t="shared" si="42"/>
        <v>7</v>
      </c>
      <c r="AI131" s="224">
        <f t="shared" si="43"/>
        <v>1.5689640081948091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45775</v>
      </c>
      <c r="B132" s="409">
        <f>IF(t&gt;Tmaj,'2024'!Wh/'2024'!Env_an*'2025'!Env_an,0.001*'[6]mon-tableau'!$B$262)</f>
        <v>23.07849731630245</v>
      </c>
      <c r="C132" s="829"/>
      <c r="D132" s="391">
        <f t="shared" si="25"/>
        <v>24.108832461058828</v>
      </c>
      <c r="E132" s="383">
        <f t="shared" si="47"/>
        <v>25.270901391242734</v>
      </c>
      <c r="F132" s="383">
        <f t="shared" si="26"/>
        <v>25.27090164107052</v>
      </c>
      <c r="G132" s="110">
        <f t="shared" si="48"/>
        <v>0.40633697808686081</v>
      </c>
      <c r="H132" s="412" t="b">
        <f>Wh_hp&gt;='2024'!Maxi_hp</f>
        <v>0</v>
      </c>
      <c r="I132" s="388">
        <f>IF(H132,Wh_hp,'2024'!Maxi_hp)</f>
        <v>48.436349706395312</v>
      </c>
      <c r="J132" s="85">
        <f>IF(H132,An,'2024'!An_max)</f>
        <v>2018</v>
      </c>
      <c r="K132" s="197">
        <f t="shared" si="27"/>
        <v>45775</v>
      </c>
      <c r="L132" s="147">
        <f>IF(t&lt;Tvie,1-EXP((T0-t)*PertePVj)+'2024'!Pspv,1-EXP((T0-t)*PertePVj)+Pspv)</f>
        <v>4.2736832918831791E-2</v>
      </c>
      <c r="M132" s="832"/>
      <c r="N132" s="832"/>
      <c r="O132" s="48">
        <f>IF(t&lt;Tnet,'2024'!Resal+('2024'!Salim-'2024'!Resal)*(1-EXP(('2024'!Tnet-t)/('2024'!Tau_j))),Resal+(Salim-Resal)*(1-EXP((Tnet-t)/(Tau_j))))*Salcycl</f>
        <v>4.5984466964308801E-2</v>
      </c>
      <c r="P132" s="169">
        <f>(INDEX(Models!$BJ132:$BT132,,T132)*(1-R132)+INDEX(Models!$BJ132:$BT132,,T132+1)*R132-ERP_i)*Q132*Ramure*Pc/MaxiM</f>
        <v>6.5077915061680732E-8</v>
      </c>
      <c r="Q132" s="304">
        <f t="shared" si="28"/>
        <v>0.6</v>
      </c>
      <c r="R132" s="177">
        <f t="shared" si="29"/>
        <v>0.57149183223768651</v>
      </c>
      <c r="S132" s="799">
        <f t="shared" si="30"/>
        <v>1</v>
      </c>
      <c r="T132" s="176">
        <f t="shared" si="31"/>
        <v>7</v>
      </c>
      <c r="U132" s="250">
        <f t="shared" si="32"/>
        <v>1.5714918322376865</v>
      </c>
      <c r="V132" s="382">
        <f t="shared" si="33"/>
        <v>56.796445529558149</v>
      </c>
      <c r="W132" s="400">
        <f t="shared" si="34"/>
        <v>23.07849731630245</v>
      </c>
      <c r="X132" s="157">
        <f t="shared" si="35"/>
        <v>45775</v>
      </c>
      <c r="Y132" s="383">
        <f t="shared" si="36"/>
        <v>22.48485610879796</v>
      </c>
      <c r="Z132" s="383">
        <f t="shared" si="37"/>
        <v>23.488688254200241</v>
      </c>
      <c r="AA132" s="384">
        <f t="shared" si="38"/>
        <v>25.270901391242734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7.0524320025248222E-2</v>
      </c>
      <c r="AD132" s="230">
        <f>(INDEX(Models!$BJ132:$BT132,,AH132)*(1-AF132)+INDEX(Models!$BJ132:$BT132,,AH132+1)*AF132-ERP_i)*AE132*Ramure*Pc/MaxiM</f>
        <v>6.5077915061680732E-8</v>
      </c>
      <c r="AE132" s="304">
        <f t="shared" si="40"/>
        <v>0.6</v>
      </c>
      <c r="AF132" s="177">
        <f t="shared" si="41"/>
        <v>0.57149183223768651</v>
      </c>
      <c r="AG132" s="799">
        <f t="shared" si="49"/>
        <v>1</v>
      </c>
      <c r="AH132" s="176">
        <f t="shared" si="42"/>
        <v>7</v>
      </c>
      <c r="AI132" s="224">
        <f t="shared" si="43"/>
        <v>1.5714918322376865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45776</v>
      </c>
      <c r="B133" s="409">
        <f>IF(t&gt;Tmaj,'2024'!Wh/'2024'!Env_an*'2025'!Env_an,0.001*'[6]mon-tableau'!$B$263)</f>
        <v>41.877471357314427</v>
      </c>
      <c r="C133" s="829"/>
      <c r="D133" s="391">
        <f t="shared" si="25"/>
        <v>43.747921559097939</v>
      </c>
      <c r="E133" s="383">
        <f t="shared" si="47"/>
        <v>45.861632876812443</v>
      </c>
      <c r="F133" s="383">
        <f t="shared" si="26"/>
        <v>45.86163381434951</v>
      </c>
      <c r="G133" s="110">
        <f t="shared" si="48"/>
        <v>0.73646967657641493</v>
      </c>
      <c r="H133" s="412" t="b">
        <f>Wh_hp&gt;='2024'!Maxi_hp</f>
        <v>0</v>
      </c>
      <c r="I133" s="388">
        <f>IF(H133,Wh_hp,'2024'!Maxi_hp)</f>
        <v>49.060314253198726</v>
      </c>
      <c r="J133" s="85">
        <f>IF(H133,An,'2024'!An_max)</f>
        <v>2018</v>
      </c>
      <c r="K133" s="197">
        <f t="shared" si="27"/>
        <v>45776</v>
      </c>
      <c r="L133" s="147">
        <f>IF(t&lt;Tvie,1-EXP((T0-t)*PertePVj)+'2024'!Pspv,1-EXP((T0-t)*PertePVj)+Pspv)</f>
        <v>4.2755178649042103E-2</v>
      </c>
      <c r="M133" s="832"/>
      <c r="N133" s="832"/>
      <c r="O133" s="48">
        <f>IF(t&lt;Tnet,'2024'!Resal+('2024'!Salim-'2024'!Resal)*(1-EXP(('2024'!Tnet-t)/('2024'!Tau_j))),Resal+(Salim-Resal)*(1-EXP((Tnet-t)/(Tau_j))))*Salcycl</f>
        <v>4.6088880511343445E-2</v>
      </c>
      <c r="P133" s="169">
        <f>(INDEX(Models!$BJ133:$BT133,,T133)*(1-R133)+INDEX(Models!$BJ133:$BT133,,T133+1)*R133-ERP_i)*Q133*Ramure*Pc/MaxiM</f>
        <v>3.2785580552202859E-8</v>
      </c>
      <c r="Q133" s="304">
        <f t="shared" si="28"/>
        <v>0.6</v>
      </c>
      <c r="R133" s="177">
        <f t="shared" si="29"/>
        <v>0.5740943019988185</v>
      </c>
      <c r="S133" s="799">
        <f t="shared" si="30"/>
        <v>1</v>
      </c>
      <c r="T133" s="176">
        <f t="shared" si="31"/>
        <v>7</v>
      </c>
      <c r="U133" s="250">
        <f t="shared" si="32"/>
        <v>1.5740943019988185</v>
      </c>
      <c r="V133" s="382">
        <f t="shared" si="33"/>
        <v>56.862450922759706</v>
      </c>
      <c r="W133" s="400">
        <f t="shared" si="34"/>
        <v>41.877471357314427</v>
      </c>
      <c r="X133" s="157">
        <f t="shared" si="35"/>
        <v>45776</v>
      </c>
      <c r="Y133" s="383">
        <f t="shared" si="36"/>
        <v>40.800857024455226</v>
      </c>
      <c r="Z133" s="383">
        <f t="shared" si="37"/>
        <v>42.623220428472052</v>
      </c>
      <c r="AA133" s="384">
        <f t="shared" si="38"/>
        <v>45.861632876812443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7.0612672188079206E-2</v>
      </c>
      <c r="AD133" s="230">
        <f>(INDEX(Models!$BJ133:$BT133,,AH133)*(1-AF133)+INDEX(Models!$BJ133:$BT133,,AH133+1)*AF133-ERP_i)*AE133*Ramure*Pc/MaxiM</f>
        <v>3.2785580552202859E-8</v>
      </c>
      <c r="AE133" s="304">
        <f t="shared" si="40"/>
        <v>0.6</v>
      </c>
      <c r="AF133" s="177">
        <f t="shared" si="41"/>
        <v>0.5740943019988185</v>
      </c>
      <c r="AG133" s="799">
        <f t="shared" si="49"/>
        <v>1</v>
      </c>
      <c r="AH133" s="176">
        <f t="shared" si="42"/>
        <v>7</v>
      </c>
      <c r="AI133" s="224">
        <f t="shared" si="43"/>
        <v>1.5740943019988185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45777</v>
      </c>
      <c r="B134" s="409">
        <f>IF(t&gt;Tmaj,'2024'!Wh/'2024'!Env_an*'2025'!Env_an,0.001*'[6]mon-tableau'!$B$264)</f>
        <v>44.584540018613744</v>
      </c>
      <c r="C134" s="829"/>
      <c r="D134" s="391">
        <f t="shared" si="25"/>
        <v>46.576793619634579</v>
      </c>
      <c r="E134" s="383">
        <f t="shared" si="47"/>
        <v>47.004514679775248</v>
      </c>
      <c r="F134" s="383">
        <f t="shared" si="26"/>
        <v>47.0045150154452</v>
      </c>
      <c r="G134" s="110">
        <f t="shared" si="48"/>
        <v>0.7538755104559115</v>
      </c>
      <c r="H134" s="412" t="b">
        <f>Wh_hp&gt;='2024'!Maxi_hp</f>
        <v>0</v>
      </c>
      <c r="I134" s="388">
        <f>IF(H134,Wh_hp,'2024'!Maxi_hp)</f>
        <v>62.303261019981171</v>
      </c>
      <c r="J134" s="85">
        <f>IF(H134,An,'2024'!An_max)</f>
        <v>2018</v>
      </c>
      <c r="K134" s="197">
        <f t="shared" si="27"/>
        <v>45777</v>
      </c>
      <c r="L134" s="147">
        <f>IF(t&lt;Tvie,1-EXP((T0-t)*PertePVj)+'2024'!Pspv,1-EXP((T0-t)*PertePVj)+Pspv)</f>
        <v>4.2773524027660659E-2</v>
      </c>
      <c r="M134" s="832"/>
      <c r="N134" s="832"/>
      <c r="O134" s="48">
        <f>IF(t&lt;Tnet,'2024'!Resal+('2024'!Salim-'2024'!Resal)*(1-EXP(('2024'!Tnet-t)/('2024'!Tau_j))),Resal+(Salim-Resal)*(1-EXP((Tnet-t)/(Tau_j))))*Salcycl</f>
        <v>9.099574010168537E-3</v>
      </c>
      <c r="P134" s="169">
        <f>(INDEX(Models!$BJ134:$BT134,,T134)*(1-R134)+INDEX(Models!$BJ134:$BT134,,T134+1)*R134-ERP_i)*Q134*Ramure*Pc/MaxiM</f>
        <v>1.1013723748266109E-8</v>
      </c>
      <c r="Q134" s="304">
        <f t="shared" si="28"/>
        <v>0.6</v>
      </c>
      <c r="R134" s="177">
        <f t="shared" si="29"/>
        <v>0.57677247765609763</v>
      </c>
      <c r="S134" s="799">
        <f t="shared" si="30"/>
        <v>1</v>
      </c>
      <c r="T134" s="176">
        <f t="shared" si="31"/>
        <v>7</v>
      </c>
      <c r="U134" s="250">
        <f t="shared" si="32"/>
        <v>1.5767724776560976</v>
      </c>
      <c r="V134" s="382">
        <f t="shared" si="33"/>
        <v>59.140453864852944</v>
      </c>
      <c r="W134" s="400">
        <f t="shared" si="34"/>
        <v>44.584540018613744</v>
      </c>
      <c r="X134" s="157">
        <f t="shared" si="35"/>
        <v>45777</v>
      </c>
      <c r="Y134" s="383">
        <f t="shared" si="36"/>
        <v>42.91551863307329</v>
      </c>
      <c r="Z134" s="383">
        <f t="shared" si="37"/>
        <v>44.833192259418247</v>
      </c>
      <c r="AA134" s="384">
        <f t="shared" si="38"/>
        <v>47.004514679775248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4.6193912119919384E-2</v>
      </c>
      <c r="AD134" s="230">
        <f>(INDEX(Models!$BJ134:$BT134,,AH134)*(1-AF134)+INDEX(Models!$BJ134:$BT134,,AH134+1)*AF134-ERP_i)*AE134*Ramure*Pc/MaxiM</f>
        <v>1.1013723748266109E-8</v>
      </c>
      <c r="AE134" s="304">
        <f t="shared" si="40"/>
        <v>0.6</v>
      </c>
      <c r="AF134" s="177">
        <f t="shared" si="41"/>
        <v>0.57677247765609763</v>
      </c>
      <c r="AG134" s="799">
        <f t="shared" si="49"/>
        <v>1</v>
      </c>
      <c r="AH134" s="176">
        <f t="shared" si="42"/>
        <v>7</v>
      </c>
      <c r="AI134" s="224">
        <f t="shared" si="43"/>
        <v>1.5767724776560976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45778</v>
      </c>
      <c r="B135" s="409">
        <f>IF(t&gt;Tmaj,'2024'!Wh/'2024'!Env_an*'2025'!Env_an,0.001*[7]mois!$B$242)</f>
        <v>48.323617662492758</v>
      </c>
      <c r="C135" s="829"/>
      <c r="D135" s="391">
        <f t="shared" si="25"/>
        <v>50.483918909850892</v>
      </c>
      <c r="E135" s="383">
        <f t="shared" si="47"/>
        <v>50.954149693561234</v>
      </c>
      <c r="F135" s="383">
        <f t="shared" si="26"/>
        <v>50.954149693561234</v>
      </c>
      <c r="G135" s="110">
        <f t="shared" si="48"/>
        <v>0.81624045075881102</v>
      </c>
      <c r="H135" s="412" t="b">
        <f>Wh_hp&gt;='2024'!Maxi_hp</f>
        <v>0</v>
      </c>
      <c r="I135" s="388">
        <f>IF(H135,Wh_hp,'2024'!Maxi_hp)</f>
        <v>58.712576893324226</v>
      </c>
      <c r="J135" s="85">
        <f>IF(H135,An,'2024'!An_max)</f>
        <v>2018</v>
      </c>
      <c r="K135" s="197">
        <f t="shared" si="27"/>
        <v>45778</v>
      </c>
      <c r="L135" s="147">
        <f>IF(t&lt;Tvie,1-EXP((T0-t)*PertePVj)+'2024'!Pspv,1-EXP((T0-t)*PertePVj)+Pspv)</f>
        <v>4.279186905469412E-2</v>
      </c>
      <c r="M135" s="832"/>
      <c r="N135" s="832"/>
      <c r="O135" s="48">
        <f>IF(t&lt;Tnet,'2024'!Resal+('2024'!Salim-'2024'!Resal)*(1-EXP(('2024'!Tnet-t)/('2024'!Tau_j))),Resal+(Salim-Resal)*(1-EXP((Tnet-t)/(Tau_j))))*Salcycl</f>
        <v>9.2285081104938309E-3</v>
      </c>
      <c r="P135" s="169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0.57952735041415759</v>
      </c>
      <c r="S135" s="799">
        <f t="shared" si="30"/>
        <v>1</v>
      </c>
      <c r="T135" s="176">
        <f t="shared" si="31"/>
        <v>7</v>
      </c>
      <c r="U135" s="250">
        <f t="shared" si="32"/>
        <v>1.5795273504141576</v>
      </c>
      <c r="V135" s="382">
        <f t="shared" si="33"/>
        <v>59.202674429537417</v>
      </c>
      <c r="W135" s="400">
        <f t="shared" si="34"/>
        <v>48.323617662492758</v>
      </c>
      <c r="X135" s="157">
        <f t="shared" si="35"/>
        <v>45778</v>
      </c>
      <c r="Y135" s="383">
        <f t="shared" si="36"/>
        <v>46.515524418933119</v>
      </c>
      <c r="Z135" s="383">
        <f t="shared" si="37"/>
        <v>48.594995085338425</v>
      </c>
      <c r="AA135" s="384">
        <f t="shared" si="38"/>
        <v>50.954149693561234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4.6299557983221953E-2</v>
      </c>
      <c r="AD135" s="230">
        <f>(INDEX(Models!$BJ135:$BT135,,AH135)*(1-AF135)+INDEX(Models!$BJ135:$BT135,,AH135+1)*AF135-ERP_i)*AE135*Ramure*Pc/MaxiM</f>
        <v>0</v>
      </c>
      <c r="AE135" s="304">
        <f t="shared" si="40"/>
        <v>0.6</v>
      </c>
      <c r="AF135" s="177">
        <f t="shared" si="41"/>
        <v>0.57952735041415759</v>
      </c>
      <c r="AG135" s="799">
        <f t="shared" si="49"/>
        <v>1</v>
      </c>
      <c r="AH135" s="176">
        <f t="shared" si="42"/>
        <v>7</v>
      </c>
      <c r="AI135" s="224">
        <f t="shared" si="43"/>
        <v>1.5795273504141576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45779</v>
      </c>
      <c r="B136" s="409">
        <f>IF(t&gt;Tmaj,'2024'!Wh/'2024'!Env_an*'2025'!Env_an,0.001*[7]mois!$B$243)</f>
        <v>29.941757461525345</v>
      </c>
      <c r="C136" s="829"/>
      <c r="D136" s="391">
        <f t="shared" si="25"/>
        <v>31.280899452769734</v>
      </c>
      <c r="E136" s="383">
        <f t="shared" si="47"/>
        <v>31.576377064141166</v>
      </c>
      <c r="F136" s="383">
        <f t="shared" si="26"/>
        <v>31.576377064141166</v>
      </c>
      <c r="G136" s="110">
        <f t="shared" si="48"/>
        <v>0.5052582348550011</v>
      </c>
      <c r="H136" s="412" t="b">
        <f>Wh_hp&gt;='2024'!Maxi_hp</f>
        <v>0</v>
      </c>
      <c r="I136" s="388">
        <f>IF(H136,Wh_hp,'2024'!Maxi_hp)</f>
        <v>48.58732792238655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4.2810213730149482E-2</v>
      </c>
      <c r="M136" s="832"/>
      <c r="N136" s="832"/>
      <c r="O136" s="48">
        <f>IF(t&lt;Tnet,'2024'!Resal+('2024'!Salim-'2024'!Resal)*(1-EXP(('2024'!Tnet-t)/('2024'!Tau_j))),Resal+(Salim-Resal)*(1-EXP((Tnet-t)/(Tau_j))))*Salcycl</f>
        <v>9.3575526657547672E-3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0.58235983584959272</v>
      </c>
      <c r="S136" s="799">
        <f t="shared" si="30"/>
        <v>1</v>
      </c>
      <c r="T136" s="176">
        <f t="shared" si="31"/>
        <v>7</v>
      </c>
      <c r="U136" s="250">
        <f t="shared" si="32"/>
        <v>1.5823598358495927</v>
      </c>
      <c r="V136" s="382">
        <f t="shared" si="33"/>
        <v>59.260305713014304</v>
      </c>
      <c r="W136" s="400">
        <f t="shared" si="34"/>
        <v>29.941757461525345</v>
      </c>
      <c r="X136" s="157">
        <f t="shared" si="35"/>
        <v>45779</v>
      </c>
      <c r="Y136" s="383">
        <f t="shared" si="36"/>
        <v>28.821989148924441</v>
      </c>
      <c r="Z136" s="383">
        <f t="shared" si="37"/>
        <v>30.111049618741919</v>
      </c>
      <c r="AA136" s="384">
        <f t="shared" si="38"/>
        <v>31.576377064141166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4.6405812877858867E-2</v>
      </c>
      <c r="AD136" s="230">
        <f>(INDEX(Models!$BJ136:$BT136,,AH136)*(1-AF136)+INDEX(Models!$BJ136:$BT136,,AH136+1)*AF136-ERP_i)*AE136*Ramure*Pc/MaxiM</f>
        <v>0</v>
      </c>
      <c r="AE136" s="304">
        <f t="shared" si="40"/>
        <v>0.6</v>
      </c>
      <c r="AF136" s="177">
        <f t="shared" si="41"/>
        <v>0.58235983584959272</v>
      </c>
      <c r="AG136" s="799">
        <f t="shared" si="49"/>
        <v>1</v>
      </c>
      <c r="AH136" s="176">
        <f t="shared" si="42"/>
        <v>7</v>
      </c>
      <c r="AI136" s="224">
        <f t="shared" si="43"/>
        <v>1.5823598358495927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45780</v>
      </c>
      <c r="B137" s="409">
        <f>IF(t&gt;Tmaj,'2024'!Wh/'2024'!Env_an*'2025'!Env_an,0.001*[7]mois!$B$244)</f>
        <v>39.177718141750113</v>
      </c>
      <c r="C137" s="829"/>
      <c r="D137" s="391">
        <f t="shared" si="25"/>
        <v>40.930721942665038</v>
      </c>
      <c r="E137" s="383">
        <f t="shared" si="47"/>
        <v>41.322738805069314</v>
      </c>
      <c r="F137" s="383">
        <f t="shared" si="26"/>
        <v>41.322738805069314</v>
      </c>
      <c r="G137" s="110">
        <f t="shared" si="48"/>
        <v>0.66051880596492141</v>
      </c>
      <c r="H137" s="412" t="b">
        <f>Wh_hp&gt;='2024'!Maxi_hp</f>
        <v>0</v>
      </c>
      <c r="I137" s="388">
        <f>IF(H137,Wh_hp,'2024'!Maxi_hp)</f>
        <v>60.66641025918041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4.2828558054033294E-2</v>
      </c>
      <c r="M137" s="832"/>
      <c r="N137" s="832"/>
      <c r="O137" s="48">
        <f>IF(t&lt;Tnet,'2024'!Resal+('2024'!Salim-'2024'!Resal)*(1-EXP(('2024'!Tnet-t)/('2024'!Tau_j))),Resal+(Salim-Resal)*(1-EXP((Tnet-t)/(Tau_j))))*Salcycl</f>
        <v>9.4867105555013296E-3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0.58527076711515647</v>
      </c>
      <c r="S137" s="799">
        <f t="shared" si="30"/>
        <v>1</v>
      </c>
      <c r="T137" s="176">
        <f t="shared" si="31"/>
        <v>7</v>
      </c>
      <c r="U137" s="250">
        <f t="shared" si="32"/>
        <v>1.5852707671151565</v>
      </c>
      <c r="V137" s="382">
        <f t="shared" si="33"/>
        <v>59.313554418056576</v>
      </c>
      <c r="W137" s="400">
        <f t="shared" si="34"/>
        <v>39.177718141750113</v>
      </c>
      <c r="X137" s="157">
        <f t="shared" si="35"/>
        <v>45780</v>
      </c>
      <c r="Y137" s="383">
        <f t="shared" si="36"/>
        <v>37.71323238161439</v>
      </c>
      <c r="Z137" s="383">
        <f t="shared" si="37"/>
        <v>39.400707886710371</v>
      </c>
      <c r="AA137" s="384">
        <f t="shared" si="38"/>
        <v>41.322738805069314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4.6512670116704645E-2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0.58527076711515647</v>
      </c>
      <c r="AG137" s="799">
        <f t="shared" si="49"/>
        <v>1</v>
      </c>
      <c r="AH137" s="176">
        <f t="shared" si="42"/>
        <v>7</v>
      </c>
      <c r="AI137" s="224">
        <f t="shared" si="43"/>
        <v>1.5852707671151565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45781</v>
      </c>
      <c r="B138" s="409">
        <f>IF(t&gt;Tmaj,'2024'!Wh/'2024'!Env_an*'2025'!Env_an,0.001*[7]mois!$B$245)</f>
        <v>20.958999855364905</v>
      </c>
      <c r="C138" s="829"/>
      <c r="D138" s="391">
        <f t="shared" si="25"/>
        <v>21.89722824878946</v>
      </c>
      <c r="E138" s="383">
        <f t="shared" si="47"/>
        <v>22.109836084282311</v>
      </c>
      <c r="F138" s="383">
        <f t="shared" si="26"/>
        <v>22.109836084282311</v>
      </c>
      <c r="G138" s="110">
        <f t="shared" si="48"/>
        <v>0.35306725952179024</v>
      </c>
      <c r="H138" s="412" t="b">
        <f>Wh_hp&gt;='2024'!Maxi_hp</f>
        <v>0</v>
      </c>
      <c r="I138" s="388">
        <f>IF(H138,Wh_hp,'2024'!Maxi_hp)</f>
        <v>53.762353847555971</v>
      </c>
      <c r="J138" s="85">
        <f>IF(H138,An,'2024'!An_max)</f>
        <v>2021</v>
      </c>
      <c r="K138" s="197">
        <f t="shared" si="27"/>
        <v>45781</v>
      </c>
      <c r="L138" s="147">
        <f>IF(t&lt;Tvie,1-EXP((T0-t)*PertePVj)+'2024'!Pspv,1-EXP((T0-t)*PertePVj)+Pspv)</f>
        <v>4.2846902026352218E-2</v>
      </c>
      <c r="M138" s="832"/>
      <c r="N138" s="832"/>
      <c r="O138" s="48">
        <f>IF(t&lt;Tnet,'2024'!Resal+('2024'!Salim-'2024'!Resal)*(1-EXP(('2024'!Tnet-t)/('2024'!Tau_j))),Resal+(Salim-Resal)*(1-EXP((Tnet-t)/(Tau_j))))*Salcycl</f>
        <v>9.6159842471193503E-3</v>
      </c>
      <c r="P138" s="169">
        <f>(INDEX(Models!$BJ138:$BT138,,T138)*(1-R138)+INDEX(Models!$BJ138:$BT138,,T138+1)*R138-ERP_i)*Q138*Ramure*Pc/MaxiM</f>
        <v>0</v>
      </c>
      <c r="Q138" s="304">
        <f t="shared" si="28"/>
        <v>0.6</v>
      </c>
      <c r="R138" s="177">
        <f t="shared" si="29"/>
        <v>0.58826088803144683</v>
      </c>
      <c r="S138" s="799">
        <f t="shared" si="30"/>
        <v>1</v>
      </c>
      <c r="T138" s="176">
        <f t="shared" si="31"/>
        <v>7</v>
      </c>
      <c r="U138" s="250">
        <f t="shared" si="32"/>
        <v>1.5882608880314468</v>
      </c>
      <c r="V138" s="382">
        <f t="shared" si="33"/>
        <v>59.362626497151538</v>
      </c>
      <c r="W138" s="400">
        <f t="shared" si="34"/>
        <v>20.958999855364905</v>
      </c>
      <c r="X138" s="157">
        <f t="shared" si="35"/>
        <v>45781</v>
      </c>
      <c r="Y138" s="383">
        <f t="shared" si="36"/>
        <v>20.175899870831955</v>
      </c>
      <c r="Z138" s="383">
        <f t="shared" si="37"/>
        <v>21.079072839596488</v>
      </c>
      <c r="AA138" s="384">
        <f t="shared" si="38"/>
        <v>22.109836084282311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4.6620121504138259E-2</v>
      </c>
      <c r="AD138" s="230">
        <f>(INDEX(Models!$BJ138:$BT138,,AH138)*(1-AF138)+INDEX(Models!$BJ138:$BT138,,AH138+1)*AF138-ERP_i)*AE138*Ramure*Pc/MaxiM</f>
        <v>0</v>
      </c>
      <c r="AE138" s="304">
        <f t="shared" si="40"/>
        <v>0.6</v>
      </c>
      <c r="AF138" s="177">
        <f t="shared" si="41"/>
        <v>0.58826088803144683</v>
      </c>
      <c r="AG138" s="799">
        <f t="shared" si="49"/>
        <v>1</v>
      </c>
      <c r="AH138" s="176">
        <f t="shared" si="42"/>
        <v>7</v>
      </c>
      <c r="AI138" s="224">
        <f t="shared" si="43"/>
        <v>1.5882608880314468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45782</v>
      </c>
      <c r="B139" s="409">
        <f>IF(t&gt;Tmaj,'2024'!Wh/'2024'!Env_an*'2025'!Env_an,0.001*[7]mois!$B$246)</f>
        <v>43.892599005094084</v>
      </c>
      <c r="C139" s="829"/>
      <c r="D139" s="391">
        <f t="shared" si="25"/>
        <v>45.858327477377642</v>
      </c>
      <c r="E139" s="383">
        <f t="shared" si="47"/>
        <v>46.309632245425455</v>
      </c>
      <c r="F139" s="383">
        <f t="shared" si="26"/>
        <v>46.309632245425455</v>
      </c>
      <c r="G139" s="110">
        <f t="shared" si="48"/>
        <v>0.73883652213561535</v>
      </c>
      <c r="H139" s="412" t="b">
        <f>Wh_hp&gt;='2024'!Maxi_hp</f>
        <v>0</v>
      </c>
      <c r="I139" s="388">
        <f>IF(H139,Wh_hp,'2024'!Maxi_hp)</f>
        <v>62.195002367063097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4.2865245647113248E-2</v>
      </c>
      <c r="M139" s="832"/>
      <c r="N139" s="832"/>
      <c r="O139" s="48">
        <f>IF(t&lt;Tnet,'2024'!Resal+('2024'!Salim-'2024'!Resal)*(1-EXP(('2024'!Tnet-t)/('2024'!Tau_j))),Resal+(Salim-Resal)*(1-EXP((Tnet-t)/(Tau_j))))*Salcycl</f>
        <v>9.7453757709854132E-3</v>
      </c>
      <c r="P139" s="169">
        <f>(INDEX(Models!$BJ139:$BT139,,T139)*(1-R139)+INDEX(Models!$BJ139:$BT139,,T139+1)*R139-ERP_i)*Q139*Ramure*Pc/MaxiM</f>
        <v>-1.1917496236971569E-20</v>
      </c>
      <c r="Q139" s="304">
        <f t="shared" si="28"/>
        <v>0.6</v>
      </c>
      <c r="R139" s="177">
        <f t="shared" si="29"/>
        <v>0.59133084609802333</v>
      </c>
      <c r="S139" s="799">
        <f t="shared" si="30"/>
        <v>1</v>
      </c>
      <c r="T139" s="176">
        <f t="shared" si="31"/>
        <v>7</v>
      </c>
      <c r="U139" s="250">
        <f t="shared" si="32"/>
        <v>1.5913308460980233</v>
      </c>
      <c r="V139" s="382">
        <f t="shared" si="33"/>
        <v>59.40772781267232</v>
      </c>
      <c r="W139" s="400">
        <f t="shared" si="34"/>
        <v>43.892599005094084</v>
      </c>
      <c r="X139" s="157">
        <f t="shared" si="35"/>
        <v>45782</v>
      </c>
      <c r="Y139" s="383">
        <f t="shared" si="36"/>
        <v>42.253353542587917</v>
      </c>
      <c r="Z139" s="383">
        <f t="shared" si="37"/>
        <v>44.145668465622862</v>
      </c>
      <c r="AA139" s="384">
        <f t="shared" si="38"/>
        <v>46.309632245425455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4.6728157294238855E-2</v>
      </c>
      <c r="AD139" s="230">
        <f>(INDEX(Models!$BJ139:$BT139,,AH139)*(1-AF139)+INDEX(Models!$BJ139:$BT139,,AH139+1)*AF139-ERP_i)*AE139*Ramure*Pc/MaxiM</f>
        <v>-1.1917496236971569E-20</v>
      </c>
      <c r="AE139" s="304">
        <f t="shared" si="40"/>
        <v>0.6</v>
      </c>
      <c r="AF139" s="177">
        <f t="shared" si="41"/>
        <v>0.59133084609802333</v>
      </c>
      <c r="AG139" s="799">
        <f t="shared" si="49"/>
        <v>1</v>
      </c>
      <c r="AH139" s="176">
        <f t="shared" si="42"/>
        <v>7</v>
      </c>
      <c r="AI139" s="224">
        <f t="shared" si="43"/>
        <v>1.5913308460980233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45783</v>
      </c>
      <c r="B140" s="409">
        <f>IF(t&gt;Tmaj,'2024'!Wh/'2024'!Env_an*'2025'!Env_an,0.001*[7]mois!$B$247)</f>
        <v>41.734502512553718</v>
      </c>
      <c r="C140" s="829"/>
      <c r="D140" s="391">
        <f t="shared" si="25"/>
        <v>43.604416379508741</v>
      </c>
      <c r="E140" s="383">
        <f t="shared" si="47"/>
        <v>44.039299471966494</v>
      </c>
      <c r="F140" s="383">
        <f t="shared" si="26"/>
        <v>44.039299471966494</v>
      </c>
      <c r="G140" s="110">
        <f t="shared" si="48"/>
        <v>0.70202118603639385</v>
      </c>
      <c r="H140" s="412" t="b">
        <f>Wh_hp&gt;='2024'!Maxi_hp</f>
        <v>0</v>
      </c>
      <c r="I140" s="388">
        <f>IF(H140,Wh_hp,'2024'!Maxi_hp)</f>
        <v>64.219243698545085</v>
      </c>
      <c r="J140" s="85">
        <f>IF(H140,An,'2024'!An_max)</f>
        <v>2018</v>
      </c>
      <c r="K140" s="197">
        <f t="shared" si="27"/>
        <v>45783</v>
      </c>
      <c r="L140" s="147">
        <f>IF(t&lt;Tvie,1-EXP((T0-t)*PertePVj)+'2024'!Pspv,1-EXP((T0-t)*PertePVj)+Pspv)</f>
        <v>4.2883588916322823E-2</v>
      </c>
      <c r="M140" s="832"/>
      <c r="N140" s="832"/>
      <c r="O140" s="48">
        <f>IF(t&lt;Tnet,'2024'!Resal+('2024'!Salim-'2024'!Resal)*(1-EXP(('2024'!Tnet-t)/('2024'!Tau_j))),Resal+(Salim-Resal)*(1-EXP((Tnet-t)/(Tau_j))))*Salcycl</f>
        <v>9.8748866960197343E-3</v>
      </c>
      <c r="P140" s="169">
        <f>(INDEX(Models!$BJ140:$BT140,,T140)*(1-R140)+INDEX(Models!$BJ140:$BT140,,T140+1)*R140-ERP_i)*Q140*Ramure*Pc/MaxiM</f>
        <v>-1.2016492217106695E-20</v>
      </c>
      <c r="Q140" s="304">
        <f t="shared" si="28"/>
        <v>0.6</v>
      </c>
      <c r="R140" s="177">
        <f t="shared" si="29"/>
        <v>0.59448118545936479</v>
      </c>
      <c r="S140" s="799">
        <f t="shared" si="30"/>
        <v>1</v>
      </c>
      <c r="T140" s="176">
        <f t="shared" si="31"/>
        <v>7</v>
      </c>
      <c r="U140" s="250">
        <f t="shared" si="32"/>
        <v>1.5944811854593648</v>
      </c>
      <c r="V140" s="382">
        <f t="shared" si="33"/>
        <v>59.449064134640139</v>
      </c>
      <c r="W140" s="400">
        <f t="shared" si="34"/>
        <v>41.734502512553718</v>
      </c>
      <c r="X140" s="157">
        <f t="shared" si="35"/>
        <v>45783</v>
      </c>
      <c r="Y140" s="383">
        <f t="shared" si="36"/>
        <v>40.176532080010588</v>
      </c>
      <c r="Z140" s="383">
        <f t="shared" si="37"/>
        <v>41.976641101077206</v>
      </c>
      <c r="AA140" s="384">
        <f t="shared" si="38"/>
        <v>44.039299471966494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4.6836766152519992E-2</v>
      </c>
      <c r="AD140" s="230">
        <f>(INDEX(Models!$BJ140:$BT140,,AH140)*(1-AF140)+INDEX(Models!$BJ140:$BT140,,AH140+1)*AF140-ERP_i)*AE140*Ramure*Pc/MaxiM</f>
        <v>-1.2016492217106695E-20</v>
      </c>
      <c r="AE140" s="304">
        <f t="shared" si="40"/>
        <v>0.6</v>
      </c>
      <c r="AF140" s="177">
        <f t="shared" si="41"/>
        <v>0.59448118545936479</v>
      </c>
      <c r="AG140" s="799">
        <f t="shared" si="49"/>
        <v>1</v>
      </c>
      <c r="AH140" s="176">
        <f t="shared" si="42"/>
        <v>7</v>
      </c>
      <c r="AI140" s="224">
        <f t="shared" si="43"/>
        <v>1.5944811854593648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45784</v>
      </c>
      <c r="B141" s="409">
        <f>IF(t&gt;Tmaj,'2024'!Wh/'2024'!Env_an*'2025'!Env_an,0.001*[7]mois!$B$248)</f>
        <v>51.877767302324898</v>
      </c>
      <c r="C141" s="829"/>
      <c r="D141" s="391">
        <f t="shared" si="25"/>
        <v>54.203188814008257</v>
      </c>
      <c r="E141" s="383">
        <f t="shared" si="47"/>
        <v>54.750945640984497</v>
      </c>
      <c r="F141" s="383">
        <f t="shared" si="26"/>
        <v>54.750945640984497</v>
      </c>
      <c r="G141" s="110">
        <f t="shared" si="48"/>
        <v>0.87208811746012593</v>
      </c>
      <c r="H141" s="412" t="b">
        <f>Wh_hp&gt;='2024'!Maxi_hp</f>
        <v>0</v>
      </c>
      <c r="I141" s="388">
        <f>IF(H141,Wh_hp,'2024'!Maxi_hp)</f>
        <v>60.265273662889911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4.2901931833987939E-2</v>
      </c>
      <c r="M141" s="832"/>
      <c r="N141" s="832"/>
      <c r="O141" s="48">
        <f>IF(t&lt;Tnet,'2024'!Resal+('2024'!Salim-'2024'!Resal)*(1-EXP(('2024'!Tnet-t)/('2024'!Tau_j))),Resal+(Salim-Resal)*(1-EXP((Tnet-t)/(Tau_j))))*Salcycl</f>
        <v>1.0004518105824445E-2</v>
      </c>
      <c r="P141" s="169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0.59771233986451699</v>
      </c>
      <c r="S141" s="799">
        <f t="shared" si="30"/>
        <v>1</v>
      </c>
      <c r="T141" s="176">
        <f t="shared" si="31"/>
        <v>7</v>
      </c>
      <c r="U141" s="250">
        <f t="shared" si="32"/>
        <v>1.597712339864517</v>
      </c>
      <c r="V141" s="382">
        <f t="shared" si="33"/>
        <v>59.486841138730313</v>
      </c>
      <c r="W141" s="400">
        <f t="shared" si="34"/>
        <v>51.877767302324898</v>
      </c>
      <c r="X141" s="157">
        <f t="shared" si="35"/>
        <v>45784</v>
      </c>
      <c r="Y141" s="383">
        <f t="shared" si="36"/>
        <v>49.941962270057722</v>
      </c>
      <c r="Z141" s="383">
        <f t="shared" si="37"/>
        <v>52.180611299066079</v>
      </c>
      <c r="AA141" s="384">
        <f t="shared" si="38"/>
        <v>54.750945640984497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4.694593512179205E-2</v>
      </c>
      <c r="AD141" s="230">
        <f>(INDEX(Models!$BJ141:$BT141,,AH141)*(1-AF141)+INDEX(Models!$BJ141:$BT141,,AH141+1)*AF141-ERP_i)*AE141*Ramure*Pc/MaxiM</f>
        <v>0</v>
      </c>
      <c r="AE141" s="304">
        <f t="shared" si="40"/>
        <v>0.6</v>
      </c>
      <c r="AF141" s="177">
        <f t="shared" si="41"/>
        <v>0.59771233986451699</v>
      </c>
      <c r="AG141" s="799">
        <f t="shared" si="49"/>
        <v>1</v>
      </c>
      <c r="AH141" s="176">
        <f t="shared" si="42"/>
        <v>7</v>
      </c>
      <c r="AI141" s="224">
        <f t="shared" si="43"/>
        <v>1.597712339864517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45785</v>
      </c>
      <c r="B142" s="409">
        <f>IF(t&gt;Tmaj,'2024'!Wh/'2024'!Env_an*'2025'!Env_an,0.001*[7]mois!$B$249)</f>
        <v>51.050596248638961</v>
      </c>
      <c r="C142" s="829"/>
      <c r="D142" s="391">
        <f t="shared" si="25"/>
        <v>53.339962056599958</v>
      </c>
      <c r="E142" s="383">
        <f t="shared" si="47"/>
        <v>53.886057948098731</v>
      </c>
      <c r="F142" s="383">
        <f t="shared" si="26"/>
        <v>53.886057948098731</v>
      </c>
      <c r="G142" s="110">
        <f t="shared" si="48"/>
        <v>0.85768668978985596</v>
      </c>
      <c r="H142" s="412" t="b">
        <f>Wh_hp&gt;='2024'!Maxi_hp</f>
        <v>0</v>
      </c>
      <c r="I142" s="388">
        <f>IF(H142,Wh_hp,'2024'!Maxi_hp)</f>
        <v>60.80360190588106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4.2920274400115144E-2</v>
      </c>
      <c r="M142" s="832"/>
      <c r="N142" s="832"/>
      <c r="O142" s="48">
        <f>IF(t&lt;Tnet,'2024'!Resal+('2024'!Salim-'2024'!Resal)*(1-EXP(('2024'!Tnet-t)/('2024'!Tau_j))),Resal+(Salim-Resal)*(1-EXP((Tnet-t)/(Tau_j))))*Salcycl</f>
        <v>1.0134270575605283E-2</v>
      </c>
      <c r="P142" s="169">
        <f>(INDEX(Models!$BJ142:$BT142,,T142)*(1-R142)+INDEX(Models!$BJ142:$BT142,,T142+1)*R142-ERP_i)*Q142*Ramure*Pc/MaxiM</f>
        <v>0</v>
      </c>
      <c r="Q142" s="304">
        <f t="shared" si="28"/>
        <v>0.6</v>
      </c>
      <c r="R142" s="177">
        <f t="shared" si="29"/>
        <v>0.60102462566264991</v>
      </c>
      <c r="S142" s="799">
        <f t="shared" si="30"/>
        <v>1</v>
      </c>
      <c r="T142" s="176">
        <f t="shared" si="31"/>
        <v>7</v>
      </c>
      <c r="U142" s="250">
        <f t="shared" si="32"/>
        <v>1.6010246256626499</v>
      </c>
      <c r="V142" s="382">
        <f t="shared" si="33"/>
        <v>59.521264415502344</v>
      </c>
      <c r="W142" s="400">
        <f t="shared" si="34"/>
        <v>51.050596248638961</v>
      </c>
      <c r="X142" s="157">
        <f t="shared" si="35"/>
        <v>45785</v>
      </c>
      <c r="Y142" s="383">
        <f t="shared" si="36"/>
        <v>49.146440607001551</v>
      </c>
      <c r="Z142" s="383">
        <f t="shared" si="37"/>
        <v>51.350414487358634</v>
      </c>
      <c r="AA142" s="384">
        <f t="shared" si="38"/>
        <v>53.886057948098731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4.7055649592745177E-2</v>
      </c>
      <c r="AD142" s="230">
        <f>(INDEX(Models!$BJ142:$BT142,,AH142)*(1-AF142)+INDEX(Models!$BJ142:$BT142,,AH142+1)*AF142-ERP_i)*AE142*Ramure*Pc/MaxiM</f>
        <v>0</v>
      </c>
      <c r="AE142" s="304">
        <f t="shared" si="40"/>
        <v>0.6</v>
      </c>
      <c r="AF142" s="177">
        <f t="shared" si="41"/>
        <v>0.60102462566264991</v>
      </c>
      <c r="AG142" s="799">
        <f t="shared" si="49"/>
        <v>1</v>
      </c>
      <c r="AH142" s="176">
        <f t="shared" si="42"/>
        <v>7</v>
      </c>
      <c r="AI142" s="224">
        <f t="shared" si="43"/>
        <v>1.6010246256626499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45786</v>
      </c>
      <c r="B143" s="409">
        <f>IF(t&gt;Tmaj,'2024'!Wh/'2024'!Env_an*'2025'!Env_an,0.001*[7]mois!$B$250)</f>
        <v>56.280611559300588</v>
      </c>
      <c r="C143" s="829"/>
      <c r="D143" s="391">
        <f t="shared" ref="D143:D206" si="50">Wh/(1-Ppv)</f>
        <v>58.805644587002881</v>
      </c>
      <c r="E143" s="383">
        <f t="shared" si="47"/>
        <v>59.415493779908203</v>
      </c>
      <c r="F143" s="383">
        <f t="shared" ref="F143:F206" si="51">Wh_sa/(1-Pvg*MEDIAN((-Sdif+Wh/Env_an)/Csdif,0,1))</f>
        <v>59.415493779908203</v>
      </c>
      <c r="G143" s="110">
        <f t="shared" si="48"/>
        <v>0.94505812960057023</v>
      </c>
      <c r="H143" s="412" t="b">
        <f>Wh_hp&gt;='2024'!Maxi_hp</f>
        <v>1</v>
      </c>
      <c r="I143" s="388">
        <f>IF(H143,Wh_hp,'2024'!Maxi_hp)</f>
        <v>59.415493779908203</v>
      </c>
      <c r="J143" s="85">
        <f>IF(H143,An,'2024'!An_max)</f>
        <v>2025</v>
      </c>
      <c r="K143" s="197">
        <f t="shared" ref="K143:K206" si="52">t</f>
        <v>45786</v>
      </c>
      <c r="L143" s="147">
        <f>IF(t&lt;Tvie,1-EXP((T0-t)*PertePVj)+'2024'!Pspv,1-EXP((T0-t)*PertePVj)+Pspv)</f>
        <v>4.2938616614711322E-2</v>
      </c>
      <c r="M143" s="832"/>
      <c r="N143" s="832"/>
      <c r="O143" s="48">
        <f>IF(t&lt;Tnet,'2024'!Resal+('2024'!Salim-'2024'!Resal)*(1-EXP(('2024'!Tnet-t)/('2024'!Tau_j))),Resal+(Salim-Resal)*(1-EXP((Tnet-t)/(Tau_j))))*Salcycl</f>
        <v>1.0264144150082671E-2</v>
      </c>
      <c r="P143" s="169">
        <f>(INDEX(Models!$BJ143:$BT143,,T143)*(1-R143)+INDEX(Models!$BJ143:$BT143,,T143+1)*R143-ERP_i)*Q143*Ramure*Pc/MaxiM</f>
        <v>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0.60441823487999535</v>
      </c>
      <c r="S143" s="799">
        <f t="shared" ref="S143:S206" si="55">INDEX(Echel_vg,T143)</f>
        <v>1</v>
      </c>
      <c r="T143" s="176">
        <f t="shared" ref="T143:T206" si="56">MIN(MATCH(Hp_vg,Echel_vg),10)</f>
        <v>7</v>
      </c>
      <c r="U143" s="250">
        <f t="shared" ref="U143:U206" si="57">IF(OR(t&lt;Ttai,Notai),Hdd+PousH*Croivg,Hdtf+PousH*(Croivg-Croi_tai))</f>
        <v>1.6044182348799954</v>
      </c>
      <c r="V143" s="382">
        <f t="shared" ref="V143:V206" si="58">MaxiM*(1-Ppv)*(1-Pvg)*(1-Psa)</f>
        <v>59.552539464517018</v>
      </c>
      <c r="W143" s="400">
        <f t="shared" ref="W143:W206" si="59">Wh*(A143&gt;Tmaj)</f>
        <v>56.280611559300588</v>
      </c>
      <c r="X143" s="157">
        <f t="shared" ref="X143:X206" si="60">t</f>
        <v>45786</v>
      </c>
      <c r="Y143" s="383">
        <f t="shared" ref="Y143:Y206" si="61">Wh_pvt_s*(1-Ppv)</f>
        <v>54.182220360926536</v>
      </c>
      <c r="Z143" s="383">
        <f t="shared" ref="Z143:Z206" si="62">Wh_sa_s*(1-Psa_s)</f>
        <v>56.613108941116003</v>
      </c>
      <c r="AA143" s="384">
        <f t="shared" ref="AA143:AA206" si="63">Wh_hp*(1-Pvg_s*MEDIAN((-Sdif+Wh/Env_an)/Csdif,0,1))</f>
        <v>59.415493779908203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4.7165893279840894E-2</v>
      </c>
      <c r="AD143" s="230">
        <f>(INDEX(Models!$BJ143:$BT143,,AH143)*(1-AF143)+INDEX(Models!$BJ143:$BT143,,AH143+1)*AF143-ERP_i)*AE143*Ramure*Pc/MaxiM</f>
        <v>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0.60441823487999535</v>
      </c>
      <c r="AG143" s="799">
        <f t="shared" si="49"/>
        <v>1</v>
      </c>
      <c r="AH143" s="176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1.6044182348799954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45787</v>
      </c>
      <c r="B144" s="409">
        <f>IF(t&gt;Tmaj,'2024'!Wh/'2024'!Env_an*'2025'!Env_an,0.001*[7]mois!$B$251)</f>
        <v>54.248609214107098</v>
      </c>
      <c r="C144" s="829"/>
      <c r="D144" s="391">
        <f t="shared" si="50"/>
        <v>56.683562661740297</v>
      </c>
      <c r="E144" s="383">
        <f t="shared" ref="E144:E169" si="72">Wh_pvt/(1-Psa)</f>
        <v>57.278927759846646</v>
      </c>
      <c r="F144" s="383">
        <f t="shared" si="51"/>
        <v>57.278927759846646</v>
      </c>
      <c r="G144" s="110">
        <f t="shared" ref="G144:G169" si="73">+Wh_hp/MaxiM</f>
        <v>0.91050378534553278</v>
      </c>
      <c r="H144" s="412" t="b">
        <f>Wh_hp&gt;='2024'!Maxi_hp</f>
        <v>1</v>
      </c>
      <c r="I144" s="388">
        <f>IF(H144,Wh_hp,'2024'!Maxi_hp)</f>
        <v>57.278927759846646</v>
      </c>
      <c r="J144" s="85">
        <f>IF(H144,An,'2024'!An_max)</f>
        <v>2025</v>
      </c>
      <c r="K144" s="197">
        <f t="shared" si="52"/>
        <v>45787</v>
      </c>
      <c r="L144" s="147">
        <f>IF(t&lt;Tvie,1-EXP((T0-t)*PertePVj)+'2024'!Pspv,1-EXP((T0-t)*PertePVj)+Pspv)</f>
        <v>4.2956958477783136E-2</v>
      </c>
      <c r="M144" s="832"/>
      <c r="N144" s="832"/>
      <c r="O144" s="48">
        <f>IF(t&lt;Tnet,'2024'!Resal+('2024'!Salim-'2024'!Resal)*(1-EXP(('2024'!Tnet-t)/('2024'!Tau_j))),Resal+(Salim-Resal)*(1-EXP((Tnet-t)/(Tau_j))))*Salcycl</f>
        <v>1.0394138322605087E-2</v>
      </c>
      <c r="P144" s="169">
        <f>(INDEX(Models!$BJ144:$BT144,,T144)*(1-R144)+INDEX(Models!$BJ144:$BT144,,T144+1)*R144-ERP_i)*Q144*Ramure*Pc/MaxiM</f>
        <v>0</v>
      </c>
      <c r="Q144" s="304">
        <f t="shared" si="53"/>
        <v>0.6</v>
      </c>
      <c r="R144" s="177">
        <f t="shared" si="54"/>
        <v>0.60789322842671356</v>
      </c>
      <c r="S144" s="799">
        <f t="shared" si="55"/>
        <v>1</v>
      </c>
      <c r="T144" s="176">
        <f t="shared" si="56"/>
        <v>7</v>
      </c>
      <c r="U144" s="250">
        <f t="shared" si="57"/>
        <v>1.6078932284267136</v>
      </c>
      <c r="V144" s="382">
        <f t="shared" si="58"/>
        <v>59.58087169678263</v>
      </c>
      <c r="W144" s="400">
        <f t="shared" si="59"/>
        <v>54.248609214107098</v>
      </c>
      <c r="X144" s="157">
        <f t="shared" si="60"/>
        <v>45787</v>
      </c>
      <c r="Y144" s="383">
        <f t="shared" si="61"/>
        <v>52.226769062563918</v>
      </c>
      <c r="Z144" s="383">
        <f t="shared" si="62"/>
        <v>54.570972042694194</v>
      </c>
      <c r="AA144" s="384">
        <f t="shared" si="63"/>
        <v>57.278927759846646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4.7276648203089619E-2</v>
      </c>
      <c r="AD144" s="230">
        <f>(INDEX(Models!$BJ144:$BT144,,AH144)*(1-AF144)+INDEX(Models!$BJ144:$BT144,,AH144+1)*AF144-ERP_i)*AE144*Ramure*Pc/MaxiM</f>
        <v>0</v>
      </c>
      <c r="AE144" s="304">
        <f t="shared" si="65"/>
        <v>0.6</v>
      </c>
      <c r="AF144" s="177">
        <f t="shared" si="66"/>
        <v>0.60789322842671356</v>
      </c>
      <c r="AG144" s="799">
        <f t="shared" ref="AG144:AG207" si="74">INDEX(Echel_vg,AH144)</f>
        <v>1</v>
      </c>
      <c r="AH144" s="176">
        <f t="shared" si="67"/>
        <v>7</v>
      </c>
      <c r="AI144" s="224">
        <f t="shared" si="68"/>
        <v>1.6078932284267136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45788</v>
      </c>
      <c r="B145" s="409">
        <f>IF(t&gt;Tmaj,'2024'!Wh/'2024'!Env_an*'2025'!Env_an,0.001*[7]mois!$B$252)</f>
        <v>58.139330303474772</v>
      </c>
      <c r="C145" s="829"/>
      <c r="D145" s="391">
        <f t="shared" si="50"/>
        <v>60.750083360259154</v>
      </c>
      <c r="E145" s="383">
        <f t="shared" si="72"/>
        <v>61.396232786922212</v>
      </c>
      <c r="F145" s="383">
        <f t="shared" si="51"/>
        <v>61.396232786922212</v>
      </c>
      <c r="G145" s="110">
        <f t="shared" si="73"/>
        <v>0.97538629238634733</v>
      </c>
      <c r="H145" s="412" t="b">
        <f>Wh_hp&gt;='2024'!Maxi_hp</f>
        <v>1</v>
      </c>
      <c r="I145" s="388">
        <f>IF(H145,Wh_hp,'2024'!Maxi_hp)</f>
        <v>61.396232786922212</v>
      </c>
      <c r="J145" s="85">
        <f>IF(H145,An,'2024'!An_max)</f>
        <v>2025</v>
      </c>
      <c r="K145" s="197">
        <f t="shared" si="52"/>
        <v>45788</v>
      </c>
      <c r="L145" s="147">
        <f>IF(t&lt;Tvie,1-EXP((T0-t)*PertePVj)+'2024'!Pspv,1-EXP((T0-t)*PertePVj)+Pspv)</f>
        <v>4.2975299989337246E-2</v>
      </c>
      <c r="M145" s="832"/>
      <c r="N145" s="832"/>
      <c r="O145" s="48">
        <f>IF(t&lt;Tnet,'2024'!Resal+('2024'!Salim-'2024'!Resal)*(1-EXP(('2024'!Tnet-t)/('2024'!Tau_j))),Resal+(Salim-Resal)*(1-EXP((Tnet-t)/(Tau_j))))*Salcycl</f>
        <v>1.0524252015682165E-2</v>
      </c>
      <c r="P145" s="169">
        <f>(INDEX(Models!$BJ145:$BT145,,T145)*(1-R145)+INDEX(Models!$BJ145:$BT145,,T145+1)*R145-ERP_i)*Q145*Ramure*Pc/MaxiM</f>
        <v>1.2551487480609722E-20</v>
      </c>
      <c r="Q145" s="304">
        <f t="shared" si="53"/>
        <v>0.6</v>
      </c>
      <c r="R145" s="177">
        <f t="shared" si="54"/>
        <v>0.61144952948507791</v>
      </c>
      <c r="S145" s="799">
        <f t="shared" si="55"/>
        <v>1</v>
      </c>
      <c r="T145" s="176">
        <f t="shared" si="56"/>
        <v>7</v>
      </c>
      <c r="U145" s="250">
        <f t="shared" si="57"/>
        <v>1.6114495294850779</v>
      </c>
      <c r="V145" s="382">
        <f t="shared" si="58"/>
        <v>59.606466440319799</v>
      </c>
      <c r="W145" s="400">
        <f t="shared" si="59"/>
        <v>58.139330303474772</v>
      </c>
      <c r="X145" s="157">
        <f t="shared" si="60"/>
        <v>45788</v>
      </c>
      <c r="Y145" s="383">
        <f t="shared" si="61"/>
        <v>55.97330703185915</v>
      </c>
      <c r="Z145" s="383">
        <f t="shared" si="62"/>
        <v>58.486794574095654</v>
      </c>
      <c r="AA145" s="384">
        <f t="shared" si="63"/>
        <v>61.396232786922212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4.7387894676272163E-2</v>
      </c>
      <c r="AD145" s="230">
        <f>(INDEX(Models!$BJ145:$BT145,,AH145)*(1-AF145)+INDEX(Models!$BJ145:$BT145,,AH145+1)*AF145-ERP_i)*AE145*Ramure*Pc/MaxiM</f>
        <v>1.2551487480609722E-20</v>
      </c>
      <c r="AE145" s="304">
        <f t="shared" si="65"/>
        <v>0.6</v>
      </c>
      <c r="AF145" s="177">
        <f t="shared" si="66"/>
        <v>0.61144952948507791</v>
      </c>
      <c r="AG145" s="799">
        <f t="shared" si="74"/>
        <v>1</v>
      </c>
      <c r="AH145" s="176">
        <f t="shared" si="67"/>
        <v>7</v>
      </c>
      <c r="AI145" s="224">
        <f t="shared" si="68"/>
        <v>1.6114495294850779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45789</v>
      </c>
      <c r="B146" s="409">
        <f>IF(t&gt;Tmaj,'2024'!Wh/'2024'!Env_an*'2025'!Env_an,0.001*[7]mois!$B$253)</f>
        <v>41.561919496480108</v>
      </c>
      <c r="C146" s="829"/>
      <c r="D146" s="391">
        <f t="shared" si="50"/>
        <v>43.429094396401574</v>
      </c>
      <c r="E146" s="383">
        <f t="shared" si="72"/>
        <v>43.896792045728127</v>
      </c>
      <c r="F146" s="383">
        <f t="shared" si="51"/>
        <v>43.896792045728127</v>
      </c>
      <c r="G146" s="110">
        <f t="shared" si="73"/>
        <v>0.69700231141390234</v>
      </c>
      <c r="H146" s="412" t="b">
        <f>Wh_hp&gt;='2024'!Maxi_hp</f>
        <v>0</v>
      </c>
      <c r="I146" s="388">
        <f>IF(H146,Wh_hp,'2024'!Maxi_hp)</f>
        <v>54.191031708919418</v>
      </c>
      <c r="J146" s="85">
        <f>IF(H146,An,'2024'!An_max)</f>
        <v>2018</v>
      </c>
      <c r="K146" s="197">
        <f t="shared" si="52"/>
        <v>45789</v>
      </c>
      <c r="L146" s="147">
        <f>IF(t&lt;Tvie,1-EXP((T0-t)*PertePVj)+'2024'!Pspv,1-EXP((T0-t)*PertePVj)+Pspv)</f>
        <v>4.2993641149380535E-2</v>
      </c>
      <c r="M146" s="832"/>
      <c r="N146" s="832"/>
      <c r="O146" s="48">
        <f>IF(t&lt;Tnet,'2024'!Resal+('2024'!Salim-'2024'!Resal)*(1-EXP(('2024'!Tnet-t)/('2024'!Tau_j))),Resal+(Salim-Resal)*(1-EXP((Tnet-t)/(Tau_j))))*Salcycl</f>
        <v>1.0654483563157466E-2</v>
      </c>
      <c r="P146" s="169">
        <f>(INDEX(Models!$BJ146:$BT146,,T146)*(1-R146)+INDEX(Models!$BJ146:$BT146,,T146+1)*R146-ERP_i)*Q146*Ramure*Pc/MaxiM</f>
        <v>0</v>
      </c>
      <c r="Q146" s="304">
        <f t="shared" si="53"/>
        <v>0.6</v>
      </c>
      <c r="R146" s="177">
        <f t="shared" si="54"/>
        <v>0.61508691713290653</v>
      </c>
      <c r="S146" s="799">
        <f t="shared" si="55"/>
        <v>1</v>
      </c>
      <c r="T146" s="176">
        <f t="shared" si="56"/>
        <v>7</v>
      </c>
      <c r="U146" s="250">
        <f t="shared" si="57"/>
        <v>1.6150869171329065</v>
      </c>
      <c r="V146" s="382">
        <f t="shared" si="58"/>
        <v>59.629528935377245</v>
      </c>
      <c r="W146" s="400">
        <f t="shared" si="59"/>
        <v>41.561919496480108</v>
      </c>
      <c r="X146" s="157">
        <f t="shared" si="60"/>
        <v>45789</v>
      </c>
      <c r="Y146" s="383">
        <f t="shared" si="61"/>
        <v>40.01407376666846</v>
      </c>
      <c r="Z146" s="383">
        <f t="shared" si="62"/>
        <v>41.811711486145221</v>
      </c>
      <c r="AA146" s="384">
        <f t="shared" si="63"/>
        <v>43.896792045728127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4.7499611302138749E-2</v>
      </c>
      <c r="AD146" s="230">
        <f>(INDEX(Models!$BJ146:$BT146,,AH146)*(1-AF146)+INDEX(Models!$BJ146:$BT146,,AH146+1)*AF146-ERP_i)*AE146*Ramure*Pc/MaxiM</f>
        <v>0</v>
      </c>
      <c r="AE146" s="304">
        <f t="shared" si="65"/>
        <v>0.6</v>
      </c>
      <c r="AF146" s="177">
        <f t="shared" si="66"/>
        <v>0.61508691713290653</v>
      </c>
      <c r="AG146" s="799">
        <f t="shared" si="74"/>
        <v>1</v>
      </c>
      <c r="AH146" s="176">
        <f t="shared" si="67"/>
        <v>7</v>
      </c>
      <c r="AI146" s="224">
        <f t="shared" si="68"/>
        <v>1.6150869171329065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45790</v>
      </c>
      <c r="B147" s="409">
        <f>IF(t&gt;Tmaj,'2024'!Wh/'2024'!Env_an*'2025'!Env_an,0.001*[7]mois!$B$254)</f>
        <v>42.661085457892298</v>
      </c>
      <c r="C147" s="829"/>
      <c r="D147" s="391">
        <f t="shared" si="50"/>
        <v>44.57849487517452</v>
      </c>
      <c r="E147" s="383">
        <f t="shared" si="72"/>
        <v>45.064507963884289</v>
      </c>
      <c r="F147" s="383">
        <f t="shared" si="51"/>
        <v>45.064507963884289</v>
      </c>
      <c r="G147" s="110">
        <f t="shared" si="73"/>
        <v>0.71518686347729143</v>
      </c>
      <c r="H147" s="412" t="b">
        <f>Wh_hp&gt;='2024'!Maxi_hp</f>
        <v>0</v>
      </c>
      <c r="I147" s="388">
        <f>IF(H147,Wh_hp,'2024'!Maxi_hp)</f>
        <v>65.060121509053133</v>
      </c>
      <c r="J147" s="85">
        <f>IF(H147,An,'2024'!An_max)</f>
        <v>2018</v>
      </c>
      <c r="K147" s="197">
        <f t="shared" si="52"/>
        <v>45790</v>
      </c>
      <c r="L147" s="147">
        <f>IF(t&lt;Tvie,1-EXP((T0-t)*PertePVj)+'2024'!Pspv,1-EXP((T0-t)*PertePVj)+Pspv)</f>
        <v>4.3011981957919665E-2</v>
      </c>
      <c r="M147" s="832"/>
      <c r="N147" s="832"/>
      <c r="O147" s="48">
        <f>IF(t&lt;Tnet,'2024'!Resal+('2024'!Salim-'2024'!Resal)*(1-EXP(('2024'!Tnet-t)/('2024'!Tau_j))),Resal+(Salim-Resal)*(1-EXP((Tnet-t)/(Tau_j))))*Salcycl</f>
        <v>1.0784830694241025E-2</v>
      </c>
      <c r="P147" s="169">
        <f>(INDEX(Models!$BJ147:$BT147,,T147)*(1-R147)+INDEX(Models!$BJ147:$BT147,,T147+1)*R147-ERP_i)*Q147*Ramure*Pc/MaxiM</f>
        <v>0</v>
      </c>
      <c r="Q147" s="304">
        <f t="shared" si="53"/>
        <v>0.6</v>
      </c>
      <c r="R147" s="177">
        <f t="shared" si="54"/>
        <v>0.6188050202583586</v>
      </c>
      <c r="S147" s="799">
        <f t="shared" si="55"/>
        <v>1</v>
      </c>
      <c r="T147" s="176">
        <f t="shared" si="56"/>
        <v>7</v>
      </c>
      <c r="U147" s="250">
        <f t="shared" si="57"/>
        <v>1.6188050202583586</v>
      </c>
      <c r="V147" s="382">
        <f t="shared" si="58"/>
        <v>59.650264338568732</v>
      </c>
      <c r="W147" s="400">
        <f t="shared" si="59"/>
        <v>42.661085457892298</v>
      </c>
      <c r="X147" s="157">
        <f t="shared" si="60"/>
        <v>45790</v>
      </c>
      <c r="Y147" s="383">
        <f t="shared" si="61"/>
        <v>41.072879508502396</v>
      </c>
      <c r="Z147" s="383">
        <f t="shared" si="62"/>
        <v>42.918906751344878</v>
      </c>
      <c r="AA147" s="384">
        <f t="shared" si="63"/>
        <v>45.064507963884289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4.7611774975085473E-2</v>
      </c>
      <c r="AD147" s="230">
        <f>(INDEX(Models!$BJ147:$BT147,,AH147)*(1-AF147)+INDEX(Models!$BJ147:$BT147,,AH147+1)*AF147-ERP_i)*AE147*Ramure*Pc/MaxiM</f>
        <v>0</v>
      </c>
      <c r="AE147" s="304">
        <f t="shared" si="65"/>
        <v>0.6</v>
      </c>
      <c r="AF147" s="177">
        <f t="shared" si="66"/>
        <v>0.6188050202583586</v>
      </c>
      <c r="AG147" s="799">
        <f t="shared" si="74"/>
        <v>1</v>
      </c>
      <c r="AH147" s="176">
        <f t="shared" si="67"/>
        <v>7</v>
      </c>
      <c r="AI147" s="224">
        <f t="shared" si="68"/>
        <v>1.6188050202583586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45791</v>
      </c>
      <c r="B148" s="409">
        <f>IF(t&gt;Tmaj,'2024'!Wh/'2024'!Env_an*'2025'!Env_an,0.001*[7]mois!$B$255)</f>
        <v>52.912985384267024</v>
      </c>
      <c r="C148" s="829"/>
      <c r="D148" s="391">
        <f t="shared" si="50"/>
        <v>55.292227772352852</v>
      </c>
      <c r="E148" s="383">
        <f t="shared" si="72"/>
        <v>55.902418915565733</v>
      </c>
      <c r="F148" s="383">
        <f t="shared" si="51"/>
        <v>55.902418915565733</v>
      </c>
      <c r="G148" s="110">
        <f t="shared" si="73"/>
        <v>0.88677694978913102</v>
      </c>
      <c r="H148" s="412" t="b">
        <f>Wh_hp&gt;='2024'!Maxi_hp</f>
        <v>0</v>
      </c>
      <c r="I148" s="388">
        <f>IF(H148,Wh_hp,'2024'!Maxi_hp)</f>
        <v>63.419199758926844</v>
      </c>
      <c r="J148" s="85">
        <f>IF(H148,An,'2024'!An_max)</f>
        <v>2018</v>
      </c>
      <c r="K148" s="197">
        <f t="shared" si="52"/>
        <v>45791</v>
      </c>
      <c r="L148" s="147">
        <f>IF(t&lt;Tvie,1-EXP((T0-t)*PertePVj)+'2024'!Pspv,1-EXP((T0-t)*PertePVj)+Pspv)</f>
        <v>4.3030322414961408E-2</v>
      </c>
      <c r="M148" s="832"/>
      <c r="N148" s="832"/>
      <c r="O148" s="48">
        <f>IF(t&lt;Tnet,'2024'!Resal+('2024'!Salim-'2024'!Resal)*(1-EXP(('2024'!Tnet-t)/('2024'!Tau_j))),Resal+(Salim-Resal)*(1-EXP((Tnet-t)/(Tau_j))))*Salcycl</f>
        <v>1.091529051961955E-2</v>
      </c>
      <c r="P148" s="169">
        <f>(INDEX(Models!$BJ148:$BT148,,T148)*(1-R148)+INDEX(Models!$BJ148:$BT148,,T148+1)*R148-ERP_i)*Q148*Ramure*Pc/MaxiM</f>
        <v>1.2900283095774275E-20</v>
      </c>
      <c r="Q148" s="304">
        <f t="shared" si="53"/>
        <v>0.6</v>
      </c>
      <c r="R148" s="177">
        <f t="shared" si="54"/>
        <v>0.62260331182396111</v>
      </c>
      <c r="S148" s="799">
        <f t="shared" si="55"/>
        <v>1</v>
      </c>
      <c r="T148" s="176">
        <f t="shared" si="56"/>
        <v>7</v>
      </c>
      <c r="U148" s="250">
        <f t="shared" si="57"/>
        <v>1.6226033118239611</v>
      </c>
      <c r="V148" s="382">
        <f t="shared" si="58"/>
        <v>59.668877722689274</v>
      </c>
      <c r="W148" s="400">
        <f t="shared" si="59"/>
        <v>52.912985384267024</v>
      </c>
      <c r="X148" s="157">
        <f t="shared" si="60"/>
        <v>45791</v>
      </c>
      <c r="Y148" s="383">
        <f t="shared" si="61"/>
        <v>50.943813498440171</v>
      </c>
      <c r="Z148" s="383">
        <f t="shared" si="62"/>
        <v>53.234511700516428</v>
      </c>
      <c r="AA148" s="384">
        <f t="shared" si="63"/>
        <v>55.902418915565733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4.7724360891768951E-2</v>
      </c>
      <c r="AD148" s="230">
        <f>(INDEX(Models!$BJ148:$BT148,,AH148)*(1-AF148)+INDEX(Models!$BJ148:$BT148,,AH148+1)*AF148-ERP_i)*AE148*Ramure*Pc/MaxiM</f>
        <v>1.2900283095774275E-20</v>
      </c>
      <c r="AE148" s="304">
        <f t="shared" si="65"/>
        <v>0.6</v>
      </c>
      <c r="AF148" s="177">
        <f t="shared" si="66"/>
        <v>0.62260331182396111</v>
      </c>
      <c r="AG148" s="799">
        <f t="shared" si="74"/>
        <v>1</v>
      </c>
      <c r="AH148" s="176">
        <f t="shared" si="67"/>
        <v>7</v>
      </c>
      <c r="AI148" s="224">
        <f t="shared" si="68"/>
        <v>1.6226033118239611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45792</v>
      </c>
      <c r="B149" s="409">
        <f>IF(t&gt;Tmaj,'2024'!Wh/'2024'!Env_an*'2025'!Env_an,0.001*[7]mois!$B$256)</f>
        <v>55.186724649844955</v>
      </c>
      <c r="C149" s="829"/>
      <c r="D149" s="391">
        <f t="shared" si="50"/>
        <v>57.669311372928505</v>
      </c>
      <c r="E149" s="383">
        <f t="shared" si="72"/>
        <v>58.313433366010031</v>
      </c>
      <c r="F149" s="383">
        <f t="shared" si="51"/>
        <v>58.313433366010031</v>
      </c>
      <c r="G149" s="110">
        <f t="shared" si="73"/>
        <v>0.92463548941580387</v>
      </c>
      <c r="H149" s="412" t="b">
        <f>Wh_hp&gt;='2024'!Maxi_hp</f>
        <v>0</v>
      </c>
      <c r="I149" s="388">
        <f>IF(H149,Wh_hp,'2024'!Maxi_hp)</f>
        <v>63.720230232595142</v>
      </c>
      <c r="J149" s="85">
        <f>IF(H149,An,'2024'!An_max)</f>
        <v>2018</v>
      </c>
      <c r="K149" s="197">
        <f t="shared" si="52"/>
        <v>45792</v>
      </c>
      <c r="L149" s="147">
        <f>IF(t&lt;Tvie,1-EXP((T0-t)*PertePVj)+'2024'!Pspv,1-EXP((T0-t)*PertePVj)+Pspv)</f>
        <v>4.3048662520512426E-2</v>
      </c>
      <c r="M149" s="832"/>
      <c r="N149" s="832"/>
      <c r="O149" s="48">
        <f>IF(t&lt;Tnet,'2024'!Resal+('2024'!Salim-'2024'!Resal)*(1-EXP(('2024'!Tnet-t)/('2024'!Tau_j))),Resal+(Salim-Resal)*(1-EXP((Tnet-t)/(Tau_j))))*Salcycl</f>
        <v>1.1045859519857619E-2</v>
      </c>
      <c r="P149" s="169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0.62648110353900077</v>
      </c>
      <c r="S149" s="799">
        <f t="shared" si="55"/>
        <v>1</v>
      </c>
      <c r="T149" s="176">
        <f t="shared" si="56"/>
        <v>7</v>
      </c>
      <c r="U149" s="250">
        <f t="shared" si="57"/>
        <v>1.6264811035390008</v>
      </c>
      <c r="V149" s="382">
        <f t="shared" si="58"/>
        <v>59.684843683333654</v>
      </c>
      <c r="W149" s="400">
        <f t="shared" si="59"/>
        <v>55.186724649844955</v>
      </c>
      <c r="X149" s="157">
        <f t="shared" si="60"/>
        <v>45792</v>
      </c>
      <c r="Y149" s="383">
        <f t="shared" si="61"/>
        <v>53.133645177862633</v>
      </c>
      <c r="Z149" s="383">
        <f t="shared" si="62"/>
        <v>55.523873677643053</v>
      </c>
      <c r="AA149" s="384">
        <f t="shared" si="63"/>
        <v>58.313433366010031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4.7837342570073507E-2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0.62648110353900077</v>
      </c>
      <c r="AG149" s="799">
        <f t="shared" si="74"/>
        <v>1</v>
      </c>
      <c r="AH149" s="176">
        <f t="shared" si="67"/>
        <v>7</v>
      </c>
      <c r="AI149" s="224">
        <f t="shared" si="68"/>
        <v>1.6264811035390008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45793</v>
      </c>
      <c r="B150" s="409">
        <f>IF(t&gt;Tmaj,'2024'!Wh/'2024'!Env_an*'2025'!Env_an,0.001*[7]mois!$B$257)</f>
        <v>52.772699442985413</v>
      </c>
      <c r="C150" s="829"/>
      <c r="D150" s="391">
        <f t="shared" si="50"/>
        <v>55.147747614956693</v>
      </c>
      <c r="E150" s="383">
        <f t="shared" si="72"/>
        <v>55.771074903976242</v>
      </c>
      <c r="F150" s="383">
        <f t="shared" si="51"/>
        <v>55.771074903976242</v>
      </c>
      <c r="G150" s="110">
        <f t="shared" si="73"/>
        <v>0.88400080795457259</v>
      </c>
      <c r="H150" s="412" t="b">
        <f>Wh_hp&gt;='2024'!Maxi_hp</f>
        <v>0</v>
      </c>
      <c r="I150" s="388">
        <f>IF(H150,Wh_hp,'2024'!Maxi_hp)</f>
        <v>57.127425816284799</v>
      </c>
      <c r="J150" s="85">
        <f>IF(H150,An,'2024'!An_max)</f>
        <v>2018</v>
      </c>
      <c r="K150" s="197">
        <f t="shared" si="52"/>
        <v>45793</v>
      </c>
      <c r="L150" s="147">
        <f>IF(t&lt;Tvie,1-EXP((T0-t)*PertePVj)+'2024'!Pspv,1-EXP((T0-t)*PertePVj)+Pspv)</f>
        <v>4.3067002274579602E-2</v>
      </c>
      <c r="M150" s="832"/>
      <c r="N150" s="832"/>
      <c r="O150" s="48">
        <f>IF(t&lt;Tnet,'2024'!Resal+('2024'!Salim-'2024'!Resal)*(1-EXP(('2024'!Tnet-t)/('2024'!Tau_j))),Resal+(Salim-Resal)*(1-EXP((Tnet-t)/(Tau_j))))*Salcycl</f>
        <v>1.1176533536295614E-2</v>
      </c>
      <c r="P150" s="169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0.63043754100012683</v>
      </c>
      <c r="S150" s="799">
        <f t="shared" si="55"/>
        <v>1</v>
      </c>
      <c r="T150" s="176">
        <f t="shared" si="56"/>
        <v>7</v>
      </c>
      <c r="U150" s="250">
        <f t="shared" si="57"/>
        <v>1.6304375410001268</v>
      </c>
      <c r="V150" s="382">
        <f t="shared" si="58"/>
        <v>59.697569242150877</v>
      </c>
      <c r="W150" s="400">
        <f t="shared" si="59"/>
        <v>52.772699442985413</v>
      </c>
      <c r="X150" s="157">
        <f t="shared" si="60"/>
        <v>45793</v>
      </c>
      <c r="Y150" s="383">
        <f t="shared" si="61"/>
        <v>50.810092697504203</v>
      </c>
      <c r="Z150" s="383">
        <f t="shared" si="62"/>
        <v>53.096813275618182</v>
      </c>
      <c r="AA150" s="384">
        <f t="shared" si="63"/>
        <v>55.771074903976242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4.7950691876792115E-2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0.63043754100012683</v>
      </c>
      <c r="AG150" s="799">
        <f t="shared" si="74"/>
        <v>1</v>
      </c>
      <c r="AH150" s="176">
        <f t="shared" si="67"/>
        <v>7</v>
      </c>
      <c r="AI150" s="224">
        <f t="shared" si="68"/>
        <v>1.6304375410001268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45794</v>
      </c>
      <c r="B151" s="409">
        <f>IF(t&gt;Tmaj,'2024'!Wh/'2024'!Env_an*'2025'!Env_an,0.001*[7]mois!$B$258)</f>
        <v>56.015828345135226</v>
      </c>
      <c r="C151" s="829"/>
      <c r="D151" s="391">
        <f t="shared" si="50"/>
        <v>58.537956188604426</v>
      </c>
      <c r="E151" s="383">
        <f t="shared" si="72"/>
        <v>59.207432853837069</v>
      </c>
      <c r="F151" s="383">
        <f t="shared" si="51"/>
        <v>59.207432853837069</v>
      </c>
      <c r="G151" s="110">
        <f t="shared" si="73"/>
        <v>0.93817609463648943</v>
      </c>
      <c r="H151" s="412" t="b">
        <f>Wh_hp&gt;='2024'!Maxi_hp</f>
        <v>1</v>
      </c>
      <c r="I151" s="388">
        <f>IF(H151,Wh_hp,'2024'!Maxi_hp)</f>
        <v>59.207432853837069</v>
      </c>
      <c r="J151" s="85">
        <f>IF(H151,An,'2024'!An_max)</f>
        <v>2025</v>
      </c>
      <c r="K151" s="197">
        <f t="shared" si="52"/>
        <v>45794</v>
      </c>
      <c r="L151" s="147">
        <f>IF(t&lt;Tvie,1-EXP((T0-t)*PertePVj)+'2024'!Pspv,1-EXP((T0-t)*PertePVj)+Pspv)</f>
        <v>4.3085341677169486E-2</v>
      </c>
      <c r="M151" s="832"/>
      <c r="N151" s="832"/>
      <c r="O151" s="48">
        <f>IF(t&lt;Tnet,'2024'!Resal+('2024'!Salim-'2024'!Resal)*(1-EXP(('2024'!Tnet-t)/('2024'!Tau_j))),Resal+(Salim-Resal)*(1-EXP((Tnet-t)/(Tau_j))))*Salcycl</f>
        <v>1.1307307764640855E-2</v>
      </c>
      <c r="P151" s="169">
        <f>(INDEX(Models!$BJ151:$BT151,,T151)*(1-R151)+INDEX(Models!$BJ151:$BT151,,T151+1)*R151-ERP_i)*Q151*Ramure*Pc/MaxiM</f>
        <v>0</v>
      </c>
      <c r="Q151" s="304">
        <f t="shared" si="53"/>
        <v>0.6</v>
      </c>
      <c r="R151" s="177">
        <f t="shared" si="54"/>
        <v>0.63447159936010067</v>
      </c>
      <c r="S151" s="799">
        <f t="shared" si="55"/>
        <v>1</v>
      </c>
      <c r="T151" s="176">
        <f t="shared" si="56"/>
        <v>7</v>
      </c>
      <c r="U151" s="250">
        <f t="shared" si="57"/>
        <v>1.6344715993601007</v>
      </c>
      <c r="V151" s="382">
        <f t="shared" si="58"/>
        <v>59.707158032884443</v>
      </c>
      <c r="W151" s="400">
        <f t="shared" si="59"/>
        <v>56.015828345135226</v>
      </c>
      <c r="X151" s="157">
        <f t="shared" si="60"/>
        <v>45794</v>
      </c>
      <c r="Y151" s="383">
        <f t="shared" si="61"/>
        <v>53.933302791378232</v>
      </c>
      <c r="Z151" s="383">
        <f t="shared" si="62"/>
        <v>56.361664357724749</v>
      </c>
      <c r="AA151" s="384">
        <f t="shared" si="63"/>
        <v>59.207432853837069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4.8064379064323676E-2</v>
      </c>
      <c r="AD151" s="230">
        <f>(INDEX(Models!$BJ151:$BT151,,AH151)*(1-AF151)+INDEX(Models!$BJ151:$BT151,,AH151+1)*AF151-ERP_i)*AE151*Ramure*Pc/MaxiM</f>
        <v>0</v>
      </c>
      <c r="AE151" s="304">
        <f t="shared" si="65"/>
        <v>0.6</v>
      </c>
      <c r="AF151" s="177">
        <f t="shared" si="66"/>
        <v>0.63447159936010067</v>
      </c>
      <c r="AG151" s="799">
        <f t="shared" si="74"/>
        <v>1</v>
      </c>
      <c r="AH151" s="176">
        <f t="shared" si="67"/>
        <v>7</v>
      </c>
      <c r="AI151" s="224">
        <f t="shared" si="68"/>
        <v>1.6344715993601007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45795</v>
      </c>
      <c r="B152" s="409">
        <f>IF(t&gt;Tmaj,'2024'!Wh/'2024'!Env_an*'2025'!Env_an,0.001*[7]mois!$B$259)</f>
        <v>53.079533982237351</v>
      </c>
      <c r="C152" s="829"/>
      <c r="D152" s="391">
        <f t="shared" si="50"/>
        <v>55.470517456515992</v>
      </c>
      <c r="E152" s="383">
        <f t="shared" si="72"/>
        <v>56.112340323067954</v>
      </c>
      <c r="F152" s="383">
        <f t="shared" si="51"/>
        <v>56.112340323067954</v>
      </c>
      <c r="G152" s="110">
        <f t="shared" si="73"/>
        <v>0.88890023282259112</v>
      </c>
      <c r="H152" s="412" t="b">
        <f>Wh_hp&gt;='2024'!Maxi_hp</f>
        <v>0</v>
      </c>
      <c r="I152" s="388">
        <f>IF(H152,Wh_hp,'2024'!Maxi_hp)</f>
        <v>64.598562640471044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4.3103680728288962E-2</v>
      </c>
      <c r="M152" s="832"/>
      <c r="N152" s="832"/>
      <c r="O152" s="48">
        <f>IF(t&lt;Tnet,'2024'!Resal+('2024'!Salim-'2024'!Resal)*(1-EXP(('2024'!Tnet-t)/('2024'!Tau_j))),Resal+(Salim-Resal)*(1-EXP((Tnet-t)/(Tau_j))))*Salcycl</f>
        <v>1.1438176751435686E-2</v>
      </c>
      <c r="P152" s="169">
        <f>(INDEX(Models!$BJ152:$BT152,,T152)*(1-R152)+INDEX(Models!$BJ152:$BT152,,T152+1)*R152-ERP_i)*Q152*Ramure*Pc/MaxiM</f>
        <v>1.3392794902799644E-20</v>
      </c>
      <c r="Q152" s="304">
        <f t="shared" si="53"/>
        <v>0.6</v>
      </c>
      <c r="R152" s="177">
        <f t="shared" si="54"/>
        <v>0.63858207958405777</v>
      </c>
      <c r="S152" s="799">
        <f t="shared" si="55"/>
        <v>1</v>
      </c>
      <c r="T152" s="176">
        <f t="shared" si="56"/>
        <v>7</v>
      </c>
      <c r="U152" s="250">
        <f t="shared" si="57"/>
        <v>1.6385820795840578</v>
      </c>
      <c r="V152" s="382">
        <f t="shared" si="58"/>
        <v>59.713713668056926</v>
      </c>
      <c r="W152" s="400">
        <f t="shared" si="59"/>
        <v>53.079533982237351</v>
      </c>
      <c r="X152" s="157">
        <f t="shared" si="60"/>
        <v>45795</v>
      </c>
      <c r="Y152" s="383">
        <f t="shared" si="61"/>
        <v>51.106817213600891</v>
      </c>
      <c r="Z152" s="383">
        <f t="shared" si="62"/>
        <v>53.408939071369858</v>
      </c>
      <c r="AA152" s="384">
        <f t="shared" si="63"/>
        <v>56.112340323067954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4.8178372816624862E-2</v>
      </c>
      <c r="AD152" s="230">
        <f>(INDEX(Models!$BJ152:$BT152,,AH152)*(1-AF152)+INDEX(Models!$BJ152:$BT152,,AH152+1)*AF152-ERP_i)*AE152*Ramure*Pc/MaxiM</f>
        <v>1.3392794902799644E-20</v>
      </c>
      <c r="AE152" s="304">
        <f t="shared" si="65"/>
        <v>0.6</v>
      </c>
      <c r="AF152" s="177">
        <f t="shared" si="66"/>
        <v>0.63858207958405777</v>
      </c>
      <c r="AG152" s="799">
        <f t="shared" si="74"/>
        <v>1</v>
      </c>
      <c r="AH152" s="176">
        <f t="shared" si="67"/>
        <v>7</v>
      </c>
      <c r="AI152" s="224">
        <f t="shared" si="68"/>
        <v>1.6385820795840578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45796</v>
      </c>
      <c r="B153" s="409">
        <f>IF(t&gt;Tmaj,'2024'!Wh/'2024'!Env_an*'2025'!Env_an,0.001*[7]mois!$B$260)</f>
        <v>56.570873973400268</v>
      </c>
      <c r="C153" s="829"/>
      <c r="D153" s="391">
        <f t="shared" si="50"/>
        <v>59.120258927455097</v>
      </c>
      <c r="E153" s="383">
        <f t="shared" si="72"/>
        <v>59.812234709185503</v>
      </c>
      <c r="F153" s="383">
        <f t="shared" si="51"/>
        <v>59.812234709185503</v>
      </c>
      <c r="G153" s="110">
        <f t="shared" si="73"/>
        <v>0.94731068427701781</v>
      </c>
      <c r="H153" s="412" t="b">
        <f>Wh_hp&gt;='2024'!Maxi_hp</f>
        <v>0</v>
      </c>
      <c r="I153" s="388">
        <f>IF(H153,Wh_hp,'2024'!Maxi_hp)</f>
        <v>63.301181056084516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4.312201942794458E-2</v>
      </c>
      <c r="M153" s="832"/>
      <c r="N153" s="832"/>
      <c r="O153" s="48">
        <f>IF(t&lt;Tnet,'2024'!Resal+('2024'!Salim-'2024'!Resal)*(1-EXP(('2024'!Tnet-t)/('2024'!Tau_j))),Resal+(Salim-Resal)*(1-EXP((Tnet-t)/(Tau_j))))*Salcycl</f>
        <v>1.1569134393571481E-2</v>
      </c>
      <c r="P153" s="169">
        <f>(INDEX(Models!$BJ153:$BT153,,T153)*(1-R153)+INDEX(Models!$BJ153:$BT153,,T153+1)*R153-ERP_i)*Q153*Ramure*Pc/MaxiM</f>
        <v>1.3520264305328438E-20</v>
      </c>
      <c r="Q153" s="304">
        <f t="shared" si="53"/>
        <v>0.6</v>
      </c>
      <c r="R153" s="177">
        <f t="shared" si="54"/>
        <v>0.64276760535135424</v>
      </c>
      <c r="S153" s="799">
        <f t="shared" si="55"/>
        <v>1</v>
      </c>
      <c r="T153" s="176">
        <f t="shared" si="56"/>
        <v>7</v>
      </c>
      <c r="U153" s="250">
        <f t="shared" si="57"/>
        <v>1.6427676053513542</v>
      </c>
      <c r="V153" s="382">
        <f t="shared" si="58"/>
        <v>59.717339741158774</v>
      </c>
      <c r="W153" s="400">
        <f t="shared" si="59"/>
        <v>56.570873973400268</v>
      </c>
      <c r="X153" s="157">
        <f t="shared" si="60"/>
        <v>45796</v>
      </c>
      <c r="Y153" s="383">
        <f t="shared" si="61"/>
        <v>54.469077179065273</v>
      </c>
      <c r="Z153" s="383">
        <f t="shared" si="62"/>
        <v>56.923743972561411</v>
      </c>
      <c r="AA153" s="384">
        <f t="shared" si="63"/>
        <v>59.812234709185503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4.8292640304584744E-2</v>
      </c>
      <c r="AD153" s="230">
        <f>(INDEX(Models!$BJ153:$BT153,,AH153)*(1-AF153)+INDEX(Models!$BJ153:$BT153,,AH153+1)*AF153-ERP_i)*AE153*Ramure*Pc/MaxiM</f>
        <v>1.3520264305328438E-20</v>
      </c>
      <c r="AE153" s="304">
        <f t="shared" si="65"/>
        <v>0.6</v>
      </c>
      <c r="AF153" s="177">
        <f t="shared" si="66"/>
        <v>0.64276760535135424</v>
      </c>
      <c r="AG153" s="799">
        <f t="shared" si="74"/>
        <v>1</v>
      </c>
      <c r="AH153" s="176">
        <f t="shared" si="67"/>
        <v>7</v>
      </c>
      <c r="AI153" s="224">
        <f t="shared" si="68"/>
        <v>1.6427676053513542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45797</v>
      </c>
      <c r="B154" s="409">
        <f>IF(t&gt;Tmaj,'2024'!Wh/'2024'!Env_an*'2025'!Env_an,0.001*[7]mois!$B$261)</f>
        <v>51.465024582884141</v>
      </c>
      <c r="C154" s="829"/>
      <c r="D154" s="391">
        <f t="shared" si="50"/>
        <v>53.785343546597126</v>
      </c>
      <c r="E154" s="383">
        <f t="shared" si="72"/>
        <v>54.422091483183408</v>
      </c>
      <c r="F154" s="383">
        <f t="shared" si="51"/>
        <v>54.422091483183408</v>
      </c>
      <c r="G154" s="110">
        <f t="shared" si="73"/>
        <v>0.86179885603103068</v>
      </c>
      <c r="H154" s="412" t="b">
        <f>Wh_hp&gt;='2024'!Maxi_hp</f>
        <v>0</v>
      </c>
      <c r="I154" s="388">
        <f>IF(H154,Wh_hp,'2024'!Maxi_hp)</f>
        <v>62.450618114879568</v>
      </c>
      <c r="J154" s="85">
        <f>IF(H154,An,'2024'!An_max)</f>
        <v>2020</v>
      </c>
      <c r="K154" s="197">
        <f t="shared" si="52"/>
        <v>45797</v>
      </c>
      <c r="L154" s="147">
        <f>IF(t&lt;Tvie,1-EXP((T0-t)*PertePVj)+'2024'!Pspv,1-EXP((T0-t)*PertePVj)+Pspv)</f>
        <v>4.3140357776143334E-2</v>
      </c>
      <c r="M154" s="832"/>
      <c r="N154" s="832"/>
      <c r="O154" s="48">
        <f>IF(t&lt;Tnet,'2024'!Resal+('2024'!Salim-'2024'!Resal)*(1-EXP(('2024'!Tnet-t)/('2024'!Tau_j))),Resal+(Salim-Resal)*(1-EXP((Tnet-t)/(Tau_j))))*Salcycl</f>
        <v>1.1700173941000471E-2</v>
      </c>
      <c r="P154" s="169">
        <f>(INDEX(Models!$BJ154:$BT154,,T154)*(1-R154)+INDEX(Models!$BJ154:$BT154,,T154+1)*R154-ERP_i)*Q154*Ramure*Pc/MaxiM</f>
        <v>0</v>
      </c>
      <c r="Q154" s="304">
        <f t="shared" si="53"/>
        <v>0.6</v>
      </c>
      <c r="R154" s="177">
        <f t="shared" si="54"/>
        <v>0.64702662065901495</v>
      </c>
      <c r="S154" s="799">
        <f t="shared" si="55"/>
        <v>1</v>
      </c>
      <c r="T154" s="176">
        <f t="shared" si="56"/>
        <v>7</v>
      </c>
      <c r="U154" s="250">
        <f t="shared" si="57"/>
        <v>1.647026620659015</v>
      </c>
      <c r="V154" s="382">
        <f t="shared" si="58"/>
        <v>59.718139821980742</v>
      </c>
      <c r="W154" s="400">
        <f t="shared" si="59"/>
        <v>51.465024582884141</v>
      </c>
      <c r="X154" s="157">
        <f t="shared" si="60"/>
        <v>45797</v>
      </c>
      <c r="Y154" s="383">
        <f t="shared" si="61"/>
        <v>49.553534533056528</v>
      </c>
      <c r="Z154" s="383">
        <f t="shared" si="62"/>
        <v>51.787673287054062</v>
      </c>
      <c r="AA154" s="384">
        <f t="shared" si="63"/>
        <v>54.422091483183408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4.8407147250917222E-2</v>
      </c>
      <c r="AD154" s="230">
        <f>(INDEX(Models!$BJ154:$BT154,,AH154)*(1-AF154)+INDEX(Models!$BJ154:$BT154,,AH154+1)*AF154-ERP_i)*AE154*Ramure*Pc/MaxiM</f>
        <v>0</v>
      </c>
      <c r="AE154" s="304">
        <f t="shared" si="65"/>
        <v>0.6</v>
      </c>
      <c r="AF154" s="177">
        <f t="shared" si="66"/>
        <v>0.64702662065901495</v>
      </c>
      <c r="AG154" s="799">
        <f t="shared" si="74"/>
        <v>1</v>
      </c>
      <c r="AH154" s="176">
        <f t="shared" si="67"/>
        <v>7</v>
      </c>
      <c r="AI154" s="224">
        <f t="shared" si="68"/>
        <v>1.647026620659015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45798</v>
      </c>
      <c r="B155" s="409">
        <f>IF(t&gt;Tmaj,'2024'!Wh/'2024'!Env_an*'2025'!Env_an,0.001*[7]mois!$B$262)</f>
        <v>52.491043462150088</v>
      </c>
      <c r="C155" s="829"/>
      <c r="D155" s="391">
        <f t="shared" si="50"/>
        <v>54.858672206411391</v>
      </c>
      <c r="E155" s="383">
        <f t="shared" si="72"/>
        <v>55.515491980650332</v>
      </c>
      <c r="F155" s="383">
        <f t="shared" si="51"/>
        <v>55.515491980650332</v>
      </c>
      <c r="G155" s="110">
        <f t="shared" si="73"/>
        <v>0.87900817723197355</v>
      </c>
      <c r="H155" s="412" t="b">
        <f>Wh_hp&gt;='2024'!Maxi_hp</f>
        <v>0</v>
      </c>
      <c r="I155" s="388">
        <f>IF(H155,Wh_hp,'2024'!Maxi_hp)</f>
        <v>60.873954388671315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4.3158695772891775E-2</v>
      </c>
      <c r="M155" s="832"/>
      <c r="N155" s="832"/>
      <c r="O155" s="48">
        <f>IF(t&lt;Tnet,'2024'!Resal+('2024'!Salim-'2024'!Resal)*(1-EXP(('2024'!Tnet-t)/('2024'!Tau_j))),Resal+(Salim-Resal)*(1-EXP((Tnet-t)/(Tau_j))))*Salcycl</f>
        <v>1.1831288002777272E-2</v>
      </c>
      <c r="P155" s="169">
        <f>(INDEX(Models!$BJ155:$BT155,,T155)*(1-R155)+INDEX(Models!$BJ155:$BT155,,T155+1)*R155-ERP_i)*Q155*Ramure*Pc/MaxiM</f>
        <v>0</v>
      </c>
      <c r="Q155" s="304">
        <f t="shared" si="53"/>
        <v>0.6</v>
      </c>
      <c r="R155" s="177">
        <f t="shared" si="54"/>
        <v>0.6513573881799577</v>
      </c>
      <c r="S155" s="799">
        <f t="shared" si="55"/>
        <v>1</v>
      </c>
      <c r="T155" s="176">
        <f t="shared" si="56"/>
        <v>7</v>
      </c>
      <c r="U155" s="250">
        <f t="shared" si="57"/>
        <v>1.6513573881799577</v>
      </c>
      <c r="V155" s="382">
        <f t="shared" si="58"/>
        <v>59.716217461646558</v>
      </c>
      <c r="W155" s="400">
        <f t="shared" si="59"/>
        <v>52.491043462150088</v>
      </c>
      <c r="X155" s="157">
        <f t="shared" si="60"/>
        <v>45798</v>
      </c>
      <c r="Y155" s="383">
        <f t="shared" si="61"/>
        <v>50.542058151004625</v>
      </c>
      <c r="Z155" s="383">
        <f t="shared" si="62"/>
        <v>52.821777161710365</v>
      </c>
      <c r="AA155" s="384">
        <f t="shared" si="63"/>
        <v>55.515491980650332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4.8521858004588025E-2</v>
      </c>
      <c r="AD155" s="230">
        <f>(INDEX(Models!$BJ155:$BT155,,AH155)*(1-AF155)+INDEX(Models!$BJ155:$BT155,,AH155+1)*AF155-ERP_i)*AE155*Ramure*Pc/MaxiM</f>
        <v>0</v>
      </c>
      <c r="AE155" s="304">
        <f t="shared" si="65"/>
        <v>0.6</v>
      </c>
      <c r="AF155" s="177">
        <f t="shared" si="66"/>
        <v>0.6513573881799577</v>
      </c>
      <c r="AG155" s="799">
        <f t="shared" si="74"/>
        <v>1</v>
      </c>
      <c r="AH155" s="176">
        <f t="shared" si="67"/>
        <v>7</v>
      </c>
      <c r="AI155" s="224">
        <f t="shared" si="68"/>
        <v>1.6513573881799577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45799</v>
      </c>
      <c r="B156" s="409">
        <f>IF(t&gt;Tmaj,'2024'!Wh/'2024'!Env_an*'2025'!Env_an,0.001*[7]mois!$B$263)</f>
        <v>41.744632586357874</v>
      </c>
      <c r="C156" s="829"/>
      <c r="D156" s="391">
        <f t="shared" si="50"/>
        <v>43.628376454516186</v>
      </c>
      <c r="E156" s="383">
        <f t="shared" si="72"/>
        <v>44.15659837413051</v>
      </c>
      <c r="F156" s="383">
        <f t="shared" si="51"/>
        <v>44.15659837413051</v>
      </c>
      <c r="G156" s="110">
        <f t="shared" si="73"/>
        <v>0.69910334547496078</v>
      </c>
      <c r="H156" s="412" t="b">
        <f>Wh_hp&gt;='2024'!Maxi_hp</f>
        <v>0</v>
      </c>
      <c r="I156" s="388">
        <f>IF(H156,Wh_hp,'2024'!Maxi_hp)</f>
        <v>60.177941095555454</v>
      </c>
      <c r="J156" s="85">
        <f>IF(H156,An,'2024'!An_max)</f>
        <v>2018</v>
      </c>
      <c r="K156" s="197">
        <f t="shared" si="52"/>
        <v>45799</v>
      </c>
      <c r="L156" s="147">
        <f>IF(t&lt;Tvie,1-EXP((T0-t)*PertePVj)+'2024'!Pspv,1-EXP((T0-t)*PertePVj)+Pspv)</f>
        <v>4.3177033418196786E-2</v>
      </c>
      <c r="M156" s="832"/>
      <c r="N156" s="832"/>
      <c r="O156" s="48">
        <f>IF(t&lt;Tnet,'2024'!Resal+('2024'!Salim-'2024'!Resal)*(1-EXP(('2024'!Tnet-t)/('2024'!Tau_j))),Resal+(Salim-Resal)*(1-EXP((Tnet-t)/(Tau_j))))*Salcycl</f>
        <v>1.1962468556540496E-2</v>
      </c>
      <c r="P156" s="169">
        <f>(INDEX(Models!$BJ156:$BT156,,T156)*(1-R156)+INDEX(Models!$BJ156:$BT156,,T156+1)*R156-ERP_i)*Q156*Ramure*Pc/MaxiM</f>
        <v>1.3910798768833795E-20</v>
      </c>
      <c r="Q156" s="304">
        <f t="shared" si="53"/>
        <v>0.6</v>
      </c>
      <c r="R156" s="177">
        <f t="shared" si="54"/>
        <v>0.65575798842551336</v>
      </c>
      <c r="S156" s="799">
        <f t="shared" si="55"/>
        <v>1</v>
      </c>
      <c r="T156" s="176">
        <f t="shared" si="56"/>
        <v>7</v>
      </c>
      <c r="U156" s="250">
        <f t="shared" si="57"/>
        <v>1.6557579884255134</v>
      </c>
      <c r="V156" s="382">
        <f t="shared" si="58"/>
        <v>59.711676187155376</v>
      </c>
      <c r="W156" s="400">
        <f t="shared" si="59"/>
        <v>41.744632586357874</v>
      </c>
      <c r="X156" s="157">
        <f t="shared" si="60"/>
        <v>45799</v>
      </c>
      <c r="Y156" s="383">
        <f t="shared" si="61"/>
        <v>40.195143062515413</v>
      </c>
      <c r="Z156" s="383">
        <f t="shared" si="62"/>
        <v>42.008965572921312</v>
      </c>
      <c r="AA156" s="384">
        <f t="shared" si="63"/>
        <v>44.15659837413051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4.8636735624712657E-2</v>
      </c>
      <c r="AD156" s="230">
        <f>(INDEX(Models!$BJ156:$BT156,,AH156)*(1-AF156)+INDEX(Models!$BJ156:$BT156,,AH156+1)*AF156-ERP_i)*AE156*Ramure*Pc/MaxiM</f>
        <v>1.3910798768833795E-20</v>
      </c>
      <c r="AE156" s="304">
        <f t="shared" si="65"/>
        <v>0.6</v>
      </c>
      <c r="AF156" s="177">
        <f t="shared" si="66"/>
        <v>0.65575798842551336</v>
      </c>
      <c r="AG156" s="799">
        <f t="shared" si="74"/>
        <v>1</v>
      </c>
      <c r="AH156" s="176">
        <f t="shared" si="67"/>
        <v>7</v>
      </c>
      <c r="AI156" s="224">
        <f t="shared" si="68"/>
        <v>1.6557579884255134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45800</v>
      </c>
      <c r="B157" s="409">
        <f>IF(t&gt;Tmaj,'2024'!Wh/'2024'!Env_an*'2025'!Env_an,0.001*[7]mois!$B$264)</f>
        <v>19.56565850619112</v>
      </c>
      <c r="C157" s="829"/>
      <c r="D157" s="391">
        <f t="shared" si="50"/>
        <v>20.448958865042393</v>
      </c>
      <c r="E157" s="383">
        <f t="shared" si="72"/>
        <v>20.699290012768348</v>
      </c>
      <c r="F157" s="383">
        <f t="shared" si="51"/>
        <v>20.699290012768348</v>
      </c>
      <c r="G157" s="110">
        <f t="shared" si="73"/>
        <v>0.32770761573836865</v>
      </c>
      <c r="H157" s="412" t="b">
        <f>Wh_hp&gt;='2024'!Maxi_hp</f>
        <v>0</v>
      </c>
      <c r="I157" s="388">
        <f>IF(H157,Wh_hp,'2024'!Maxi_hp)</f>
        <v>58.544637750972903</v>
      </c>
      <c r="J157" s="85">
        <f>IF(H157,An,'2024'!An_max)</f>
        <v>2020</v>
      </c>
      <c r="K157" s="197">
        <f t="shared" si="52"/>
        <v>45800</v>
      </c>
      <c r="L157" s="147">
        <f>IF(t&lt;Tvie,1-EXP((T0-t)*PertePVj)+'2024'!Pspv,1-EXP((T0-t)*PertePVj)+Pspv)</f>
        <v>4.3195370712064918E-2</v>
      </c>
      <c r="M157" s="832"/>
      <c r="N157" s="832"/>
      <c r="O157" s="48">
        <f>IF(t&lt;Tnet,'2024'!Resal+('2024'!Salim-'2024'!Resal)*(1-EXP(('2024'!Tnet-t)/('2024'!Tau_j))),Resal+(Salim-Resal)*(1-EXP((Tnet-t)/(Tau_j))))*Salcycl</f>
        <v>1.2093706961520841E-2</v>
      </c>
      <c r="P157" s="169">
        <f>(INDEX(Models!$BJ157:$BT157,,T157)*(1-R157)+INDEX(Models!$BJ157:$BT157,,T157+1)*R157-ERP_i)*Q157*Ramure*Pc/MaxiM</f>
        <v>0</v>
      </c>
      <c r="Q157" s="304">
        <f t="shared" si="53"/>
        <v>0.6</v>
      </c>
      <c r="R157" s="177">
        <f t="shared" si="54"/>
        <v>0.66022631975728574</v>
      </c>
      <c r="S157" s="799">
        <f t="shared" si="55"/>
        <v>1</v>
      </c>
      <c r="T157" s="176">
        <f t="shared" si="56"/>
        <v>7</v>
      </c>
      <c r="U157" s="250">
        <f t="shared" si="57"/>
        <v>1.6602263197572857</v>
      </c>
      <c r="V157" s="382">
        <f t="shared" si="58"/>
        <v>59.704619503904723</v>
      </c>
      <c r="W157" s="400">
        <f t="shared" si="59"/>
        <v>19.56565850619112</v>
      </c>
      <c r="X157" s="157">
        <f t="shared" si="60"/>
        <v>45800</v>
      </c>
      <c r="Y157" s="383">
        <f t="shared" si="61"/>
        <v>18.839639652366593</v>
      </c>
      <c r="Z157" s="383">
        <f t="shared" si="62"/>
        <v>19.690163567025451</v>
      </c>
      <c r="AA157" s="384">
        <f t="shared" si="63"/>
        <v>20.699290012768348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4.8751741973778642E-2</v>
      </c>
      <c r="AD157" s="230">
        <f>(INDEX(Models!$BJ157:$BT157,,AH157)*(1-AF157)+INDEX(Models!$BJ157:$BT157,,AH157+1)*AF157-ERP_i)*AE157*Ramure*Pc/MaxiM</f>
        <v>0</v>
      </c>
      <c r="AE157" s="304">
        <f t="shared" si="65"/>
        <v>0.6</v>
      </c>
      <c r="AF157" s="177">
        <f t="shared" si="66"/>
        <v>0.66022631975728574</v>
      </c>
      <c r="AG157" s="799">
        <f t="shared" si="74"/>
        <v>1</v>
      </c>
      <c r="AH157" s="176">
        <f t="shared" si="67"/>
        <v>7</v>
      </c>
      <c r="AI157" s="224">
        <f t="shared" si="68"/>
        <v>1.6602263197572857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45801</v>
      </c>
      <c r="B158" s="409">
        <f>IF(t&gt;Tmaj,'2024'!Wh/'2024'!Env_an*'2025'!Env_an,0.001*[7]mois!$B$265)</f>
        <v>17.090281184353483</v>
      </c>
      <c r="C158" s="829"/>
      <c r="D158" s="391">
        <f t="shared" si="50"/>
        <v>17.862171857058918</v>
      </c>
      <c r="E158" s="383">
        <f t="shared" si="72"/>
        <v>18.08323934915326</v>
      </c>
      <c r="F158" s="383">
        <f t="shared" si="51"/>
        <v>18.08323934915326</v>
      </c>
      <c r="G158" s="110">
        <f t="shared" si="73"/>
        <v>0.28629262057704191</v>
      </c>
      <c r="H158" s="412" t="b">
        <f>Wh_hp&gt;='2024'!Maxi_hp</f>
        <v>0</v>
      </c>
      <c r="I158" s="388">
        <f>IF(H158,Wh_hp,'2024'!Maxi_hp)</f>
        <v>26.742649720256367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4.3213707654502942E-2</v>
      </c>
      <c r="M158" s="832"/>
      <c r="N158" s="832"/>
      <c r="O158" s="48">
        <f>IF(t&lt;Tnet,'2024'!Resal+('2024'!Salim-'2024'!Resal)*(1-EXP(('2024'!Tnet-t)/('2024'!Tau_j))),Resal+(Salim-Resal)*(1-EXP((Tnet-t)/(Tau_j))))*Salcycl</f>
        <v>1.2224993975135965E-2</v>
      </c>
      <c r="P158" s="169">
        <f>(INDEX(Models!$BJ158:$BT158,,T158)*(1-R158)+INDEX(Models!$BJ158:$BT158,,T158+1)*R158-ERP_i)*Q158*Ramure*Pc/MaxiM</f>
        <v>-1.4176377305478259E-20</v>
      </c>
      <c r="Q158" s="304">
        <f t="shared" si="53"/>
        <v>0.6</v>
      </c>
      <c r="R158" s="177">
        <f t="shared" si="54"/>
        <v>0.66476009928811508</v>
      </c>
      <c r="S158" s="799">
        <f t="shared" si="55"/>
        <v>1</v>
      </c>
      <c r="T158" s="176">
        <f t="shared" si="56"/>
        <v>7</v>
      </c>
      <c r="U158" s="250">
        <f t="shared" si="57"/>
        <v>1.6647600992881151</v>
      </c>
      <c r="V158" s="382">
        <f t="shared" si="58"/>
        <v>59.695150891094855</v>
      </c>
      <c r="W158" s="400">
        <f t="shared" si="59"/>
        <v>17.090281184353483</v>
      </c>
      <c r="X158" s="157">
        <f t="shared" si="60"/>
        <v>45801</v>
      </c>
      <c r="Y158" s="383">
        <f t="shared" si="61"/>
        <v>16.456311494290823</v>
      </c>
      <c r="Z158" s="383">
        <f t="shared" si="62"/>
        <v>17.199568624618653</v>
      </c>
      <c r="AA158" s="384">
        <f t="shared" si="63"/>
        <v>18.08323934915326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4.8866837819960936E-2</v>
      </c>
      <c r="AD158" s="230">
        <f>(INDEX(Models!$BJ158:$BT158,,AH158)*(1-AF158)+INDEX(Models!$BJ158:$BT158,,AH158+1)*AF158-ERP_i)*AE158*Ramure*Pc/MaxiM</f>
        <v>-1.4176377305478259E-20</v>
      </c>
      <c r="AE158" s="304">
        <f t="shared" si="65"/>
        <v>0.6</v>
      </c>
      <c r="AF158" s="177">
        <f t="shared" si="66"/>
        <v>0.66476009928811508</v>
      </c>
      <c r="AG158" s="799">
        <f t="shared" si="74"/>
        <v>1</v>
      </c>
      <c r="AH158" s="176">
        <f t="shared" si="67"/>
        <v>7</v>
      </c>
      <c r="AI158" s="224">
        <f t="shared" si="68"/>
        <v>1.6647600992881151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45802</v>
      </c>
      <c r="B159" s="409">
        <f>IF(t&gt;Tmaj,'2024'!Wh/'2024'!Env_an*'2025'!Env_an,0.001*[7]mois!$B$266)</f>
        <v>43.466805417072415</v>
      </c>
      <c r="C159" s="829"/>
      <c r="D159" s="391">
        <f t="shared" si="50"/>
        <v>45.430875015871145</v>
      </c>
      <c r="E159" s="383">
        <f t="shared" si="72"/>
        <v>45.999256538996704</v>
      </c>
      <c r="F159" s="383">
        <f t="shared" si="51"/>
        <v>45.999256538996704</v>
      </c>
      <c r="G159" s="110">
        <f t="shared" si="73"/>
        <v>0.72829001861801546</v>
      </c>
      <c r="H159" s="412" t="b">
        <f>Wh_hp&gt;='2024'!Maxi_hp</f>
        <v>0</v>
      </c>
      <c r="I159" s="388">
        <f>IF(H159,Wh_hp,'2024'!Maxi_hp)</f>
        <v>59.02247557748224</v>
      </c>
      <c r="J159" s="85">
        <f>IF(H159,An,'2024'!An_max)</f>
        <v>2020</v>
      </c>
      <c r="K159" s="197">
        <f t="shared" si="52"/>
        <v>45802</v>
      </c>
      <c r="L159" s="147">
        <f>IF(t&lt;Tvie,1-EXP((T0-t)*PertePVj)+'2024'!Pspv,1-EXP((T0-t)*PertePVj)+Pspv)</f>
        <v>4.3232044245517742E-2</v>
      </c>
      <c r="M159" s="832"/>
      <c r="N159" s="832"/>
      <c r="O159" s="48">
        <f>IF(t&lt;Tnet,'2024'!Resal+('2024'!Salim-'2024'!Resal)*(1-EXP(('2024'!Tnet-t)/('2024'!Tau_j))),Resal+(Salim-Resal)*(1-EXP((Tnet-t)/(Tau_j))))*Salcycl</f>
        <v>1.2356319773205482E-2</v>
      </c>
      <c r="P159" s="169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0.66935686470583233</v>
      </c>
      <c r="S159" s="799">
        <f t="shared" si="55"/>
        <v>1</v>
      </c>
      <c r="T159" s="176">
        <f t="shared" si="56"/>
        <v>7</v>
      </c>
      <c r="U159" s="250">
        <f t="shared" si="57"/>
        <v>1.6693568647058323</v>
      </c>
      <c r="V159" s="382">
        <f t="shared" si="58"/>
        <v>59.683373801489026</v>
      </c>
      <c r="W159" s="400">
        <f t="shared" si="59"/>
        <v>43.466805417072415</v>
      </c>
      <c r="X159" s="157">
        <f t="shared" si="60"/>
        <v>45802</v>
      </c>
      <c r="Y159" s="383">
        <f t="shared" si="61"/>
        <v>41.85488746895799</v>
      </c>
      <c r="Z159" s="383">
        <f t="shared" si="62"/>
        <v>43.74612173957302</v>
      </c>
      <c r="AA159" s="384">
        <f t="shared" si="63"/>
        <v>45.999256538996704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4.8981982948214507E-2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0.66935686470583233</v>
      </c>
      <c r="AG159" s="799">
        <f t="shared" si="74"/>
        <v>1</v>
      </c>
      <c r="AH159" s="176">
        <f t="shared" si="67"/>
        <v>7</v>
      </c>
      <c r="AI159" s="224">
        <f t="shared" si="68"/>
        <v>1.6693568647058323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45803</v>
      </c>
      <c r="B160" s="409">
        <f>IF(t&gt;Tmaj,'2024'!Wh/'2024'!Env_an*'2025'!Env_an,0.001*[7]mois!$B$267)</f>
        <v>28.357610812384724</v>
      </c>
      <c r="C160" s="829"/>
      <c r="D160" s="391">
        <f t="shared" si="50"/>
        <v>29.639531841949758</v>
      </c>
      <c r="E160" s="383">
        <f t="shared" si="72"/>
        <v>30.014341148753513</v>
      </c>
      <c r="F160" s="383">
        <f t="shared" si="51"/>
        <v>30.014341148753513</v>
      </c>
      <c r="G160" s="110">
        <f t="shared" si="73"/>
        <v>0.47524551570704998</v>
      </c>
      <c r="H160" s="412" t="b">
        <f>Wh_hp&gt;='2024'!Maxi_hp</f>
        <v>0</v>
      </c>
      <c r="I160" s="388">
        <f>IF(H160,Wh_hp,'2024'!Maxi_hp)</f>
        <v>61.793070992258549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4.3250380485115869E-2</v>
      </c>
      <c r="M160" s="832"/>
      <c r="N160" s="832"/>
      <c r="O160" s="48">
        <f>IF(t&lt;Tnet,'2024'!Resal+('2024'!Salim-'2024'!Resal)*(1-EXP(('2024'!Tnet-t)/('2024'!Tau_j))),Resal+(Salim-Resal)*(1-EXP((Tnet-t)/(Tau_j))))*Salcycl</f>
        <v>1.2487673973790372E-2</v>
      </c>
      <c r="P160" s="169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0.67401397704666466</v>
      </c>
      <c r="S160" s="799">
        <f t="shared" si="55"/>
        <v>1</v>
      </c>
      <c r="T160" s="176">
        <f t="shared" si="56"/>
        <v>7</v>
      </c>
      <c r="U160" s="250">
        <f t="shared" si="57"/>
        <v>1.6740139770466647</v>
      </c>
      <c r="V160" s="382">
        <f t="shared" si="58"/>
        <v>59.669391662108545</v>
      </c>
      <c r="W160" s="400">
        <f t="shared" si="59"/>
        <v>28.357610812384724</v>
      </c>
      <c r="X160" s="157">
        <f t="shared" si="60"/>
        <v>45803</v>
      </c>
      <c r="Y160" s="383">
        <f t="shared" si="61"/>
        <v>27.306325824074278</v>
      </c>
      <c r="Z160" s="383">
        <f t="shared" si="62"/>
        <v>28.540722951026453</v>
      </c>
      <c r="AA160" s="384">
        <f t="shared" si="63"/>
        <v>30.014341148753513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4.9097136279743277E-2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0.67401397704666466</v>
      </c>
      <c r="AG160" s="799">
        <f t="shared" si="74"/>
        <v>1</v>
      </c>
      <c r="AH160" s="176">
        <f t="shared" si="67"/>
        <v>7</v>
      </c>
      <c r="AI160" s="224">
        <f t="shared" si="68"/>
        <v>1.6740139770466647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45804</v>
      </c>
      <c r="B161" s="409">
        <f>IF(t&gt;Tmaj,'2024'!Wh/'2024'!Env_an*'2025'!Env_an,0.001*[7]mois!$B$268)</f>
        <v>44.983059194060793</v>
      </c>
      <c r="C161" s="829"/>
      <c r="D161" s="391">
        <f t="shared" si="50"/>
        <v>47.017443626953259</v>
      </c>
      <c r="E161" s="383">
        <f t="shared" si="72"/>
        <v>47.618341654768791</v>
      </c>
      <c r="F161" s="383">
        <f t="shared" si="51"/>
        <v>47.618341654768791</v>
      </c>
      <c r="G161" s="110">
        <f t="shared" si="73"/>
        <v>0.75407485018699716</v>
      </c>
      <c r="H161" s="412" t="b">
        <f>Wh_hp&gt;='2024'!Maxi_hp</f>
        <v>0</v>
      </c>
      <c r="I161" s="388">
        <f>IF(H161,Wh_hp,'2024'!Maxi_hp)</f>
        <v>61.558653979625923</v>
      </c>
      <c r="J161" s="85">
        <f>IF(H161,An,'2024'!An_max)</f>
        <v>2020</v>
      </c>
      <c r="K161" s="197">
        <f t="shared" si="52"/>
        <v>45804</v>
      </c>
      <c r="L161" s="147">
        <f>IF(t&lt;Tvie,1-EXP((T0-t)*PertePVj)+'2024'!Pspv,1-EXP((T0-t)*PertePVj)+Pspv)</f>
        <v>4.3268716373304317E-2</v>
      </c>
      <c r="M161" s="832"/>
      <c r="N161" s="832"/>
      <c r="O161" s="48">
        <f>IF(t&lt;Tnet,'2024'!Resal+('2024'!Salim-'2024'!Resal)*(1-EXP(('2024'!Tnet-t)/('2024'!Tau_j))),Resal+(Salim-Resal)*(1-EXP((Tnet-t)/(Tau_j))))*Salcycl</f>
        <v>1.2619045664631099E-2</v>
      </c>
      <c r="P161" s="169">
        <f>(INDEX(Models!$BJ161:$BT161,,T161)*(1-R161)+INDEX(Models!$BJ161:$BT161,,T161+1)*R161-ERP_i)*Q161*Ramure*Pc/MaxiM</f>
        <v>1.4579306235209561E-20</v>
      </c>
      <c r="Q161" s="304">
        <f t="shared" si="53"/>
        <v>0.6</v>
      </c>
      <c r="R161" s="177">
        <f t="shared" si="54"/>
        <v>0.67872862443764048</v>
      </c>
      <c r="S161" s="799">
        <f t="shared" si="55"/>
        <v>1</v>
      </c>
      <c r="T161" s="176">
        <f t="shared" si="56"/>
        <v>7</v>
      </c>
      <c r="U161" s="250">
        <f t="shared" si="57"/>
        <v>1.6787286244376405</v>
      </c>
      <c r="V161" s="382">
        <f t="shared" si="58"/>
        <v>59.65330786845071</v>
      </c>
      <c r="W161" s="400">
        <f t="shared" si="59"/>
        <v>44.983059194060793</v>
      </c>
      <c r="X161" s="157">
        <f t="shared" si="60"/>
        <v>45804</v>
      </c>
      <c r="Y161" s="383">
        <f t="shared" si="61"/>
        <v>43.315947286179309</v>
      </c>
      <c r="Z161" s="383">
        <f t="shared" si="62"/>
        <v>45.274935634989269</v>
      </c>
      <c r="AA161" s="384">
        <f t="shared" si="63"/>
        <v>47.618341654768791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4.9212255999361028E-2</v>
      </c>
      <c r="AD161" s="230">
        <f>(INDEX(Models!$BJ161:$BT161,,AH161)*(1-AF161)+INDEX(Models!$BJ161:$BT161,,AH161+1)*AF161-ERP_i)*AE161*Ramure*Pc/MaxiM</f>
        <v>1.4579306235209561E-20</v>
      </c>
      <c r="AE161" s="304">
        <f t="shared" si="65"/>
        <v>0.6</v>
      </c>
      <c r="AF161" s="177">
        <f t="shared" si="66"/>
        <v>0.67872862443764048</v>
      </c>
      <c r="AG161" s="799">
        <f t="shared" si="74"/>
        <v>1</v>
      </c>
      <c r="AH161" s="176">
        <f t="shared" si="67"/>
        <v>7</v>
      </c>
      <c r="AI161" s="224">
        <f t="shared" si="68"/>
        <v>1.6787286244376405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45805</v>
      </c>
      <c r="B162" s="409">
        <f>IF(t&gt;Tmaj,'2024'!Wh/'2024'!Env_an*'2025'!Env_an,0.001*[7]mois!$B$269)</f>
        <v>55.975215089342015</v>
      </c>
      <c r="C162" s="829"/>
      <c r="D162" s="391">
        <f t="shared" si="50"/>
        <v>58.507847313133205</v>
      </c>
      <c r="E162" s="383">
        <f t="shared" si="72"/>
        <v>59.263481800267343</v>
      </c>
      <c r="F162" s="383">
        <f t="shared" si="51"/>
        <v>59.263481800267343</v>
      </c>
      <c r="G162" s="110">
        <f t="shared" si="73"/>
        <v>0.93862669846152225</v>
      </c>
      <c r="H162" s="412" t="b">
        <f>Wh_hp&gt;='2024'!Maxi_hp</f>
        <v>0</v>
      </c>
      <c r="I162" s="388">
        <f>IF(H162,Wh_hp,'2024'!Maxi_hp)</f>
        <v>60.976736931549574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4.3287051910089525E-2</v>
      </c>
      <c r="M162" s="832"/>
      <c r="N162" s="832"/>
      <c r="O162" s="48">
        <f>IF(t&lt;Tnet,'2024'!Resal+('2024'!Salim-'2024'!Resal)*(1-EXP(('2024'!Tnet-t)/('2024'!Tau_j))),Resal+(Salim-Resal)*(1-EXP((Tnet-t)/(Tau_j))))*Salcycl</f>
        <v>1.2750423434127835E-2</v>
      </c>
      <c r="P162" s="169">
        <f>(INDEX(Models!$BJ162:$BT162,,T162)*(1-R162)+INDEX(Models!$BJ162:$BT162,,T162+1)*R162-ERP_i)*Q162*Ramure*Pc/MaxiM</f>
        <v>1.4714150153140091E-20</v>
      </c>
      <c r="Q162" s="304">
        <f t="shared" si="53"/>
        <v>0.6</v>
      </c>
      <c r="R162" s="177">
        <f t="shared" si="54"/>
        <v>0.68349782681918292</v>
      </c>
      <c r="S162" s="799">
        <f t="shared" si="55"/>
        <v>1</v>
      </c>
      <c r="T162" s="176">
        <f t="shared" si="56"/>
        <v>7</v>
      </c>
      <c r="U162" s="250">
        <f t="shared" si="57"/>
        <v>1.6834978268191829</v>
      </c>
      <c r="V162" s="382">
        <f t="shared" si="58"/>
        <v>59.635225783678955</v>
      </c>
      <c r="W162" s="400">
        <f t="shared" si="59"/>
        <v>55.975215089342015</v>
      </c>
      <c r="X162" s="157">
        <f t="shared" si="60"/>
        <v>45805</v>
      </c>
      <c r="Y162" s="383">
        <f t="shared" si="61"/>
        <v>53.901374224450976</v>
      </c>
      <c r="Z162" s="383">
        <f t="shared" si="62"/>
        <v>56.340174272822118</v>
      </c>
      <c r="AA162" s="384">
        <f t="shared" si="63"/>
        <v>59.263481800267343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4.9327299690178433E-2</v>
      </c>
      <c r="AD162" s="230">
        <f>(INDEX(Models!$BJ162:$BT162,,AH162)*(1-AF162)+INDEX(Models!$BJ162:$BT162,,AH162+1)*AF162-ERP_i)*AE162*Ramure*Pc/MaxiM</f>
        <v>1.4714150153140091E-20</v>
      </c>
      <c r="AE162" s="304">
        <f t="shared" si="65"/>
        <v>0.6</v>
      </c>
      <c r="AF162" s="177">
        <f t="shared" si="66"/>
        <v>0.68349782681918292</v>
      </c>
      <c r="AG162" s="799">
        <f t="shared" si="74"/>
        <v>1</v>
      </c>
      <c r="AH162" s="176">
        <f t="shared" si="67"/>
        <v>7</v>
      </c>
      <c r="AI162" s="224">
        <f t="shared" si="68"/>
        <v>1.6834978268191829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45806</v>
      </c>
      <c r="B163" s="409">
        <f>IF(t&gt;Tmaj,'2024'!Wh/'2024'!Env_an*'2025'!Env_an,0.001*[7]mois!$B$270)</f>
        <v>60.554400613629994</v>
      </c>
      <c r="C163" s="829"/>
      <c r="D163" s="391">
        <f t="shared" si="50"/>
        <v>63.295433879142514</v>
      </c>
      <c r="E163" s="383">
        <f t="shared" si="72"/>
        <v>64.121433060958893</v>
      </c>
      <c r="F163" s="383">
        <f t="shared" si="51"/>
        <v>64.121433060958893</v>
      </c>
      <c r="G163" s="110">
        <f t="shared" si="73"/>
        <v>1.0157616376594198</v>
      </c>
      <c r="H163" s="412" t="b">
        <f>Wh_hp&gt;='2024'!Maxi_hp</f>
        <v>1</v>
      </c>
      <c r="I163" s="388">
        <f>IF(H163,Wh_hp,'2024'!Maxi_hp)</f>
        <v>64.121433060958893</v>
      </c>
      <c r="J163" s="85">
        <f>IF(H163,An,'2024'!An_max)</f>
        <v>2025</v>
      </c>
      <c r="K163" s="197">
        <f t="shared" si="52"/>
        <v>45806</v>
      </c>
      <c r="L163" s="147">
        <f>IF(t&lt;Tvie,1-EXP((T0-t)*PertePVj)+'2024'!Pspv,1-EXP((T0-t)*PertePVj)+Pspv)</f>
        <v>4.3305387095478376E-2</v>
      </c>
      <c r="M163" s="832"/>
      <c r="N163" s="832"/>
      <c r="O163" s="48">
        <f>IF(t&lt;Tnet,'2024'!Resal+('2024'!Salim-'2024'!Resal)*(1-EXP(('2024'!Tnet-t)/('2024'!Tau_j))),Resal+(Salim-Resal)*(1-EXP((Tnet-t)/(Tau_j))))*Salcycl</f>
        <v>1.2881795405775201E-2</v>
      </c>
      <c r="P163" s="169">
        <f>(INDEX(Models!$BJ163:$BT163,,T163)*(1-R163)+INDEX(Models!$BJ163:$BT163,,T163+1)*R163-ERP_i)*Q163*Ramure*Pc/MaxiM</f>
        <v>0</v>
      </c>
      <c r="Q163" s="304">
        <f t="shared" si="53"/>
        <v>0.6</v>
      </c>
      <c r="R163" s="177">
        <f t="shared" si="54"/>
        <v>0.6883184416504049</v>
      </c>
      <c r="S163" s="799">
        <f t="shared" si="55"/>
        <v>1</v>
      </c>
      <c r="T163" s="176">
        <f t="shared" si="56"/>
        <v>7</v>
      </c>
      <c r="U163" s="250">
        <f t="shared" si="57"/>
        <v>1.6883184416504049</v>
      </c>
      <c r="V163" s="382">
        <f t="shared" si="58"/>
        <v>59.614774144417531</v>
      </c>
      <c r="W163" s="400">
        <f t="shared" si="59"/>
        <v>60.554400613629994</v>
      </c>
      <c r="X163" s="157">
        <f t="shared" si="60"/>
        <v>45806</v>
      </c>
      <c r="Y163" s="383">
        <f t="shared" si="61"/>
        <v>58.311614635052692</v>
      </c>
      <c r="Z163" s="383">
        <f t="shared" si="62"/>
        <v>60.951126773902097</v>
      </c>
      <c r="AA163" s="384">
        <f t="shared" si="63"/>
        <v>64.121433060958893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4.9442224474971617E-2</v>
      </c>
      <c r="AD163" s="230">
        <f>(INDEX(Models!$BJ163:$BT163,,AH163)*(1-AF163)+INDEX(Models!$BJ163:$BT163,,AH163+1)*AF163-ERP_i)*AE163*Ramure*Pc/MaxiM</f>
        <v>0</v>
      </c>
      <c r="AE163" s="304">
        <f t="shared" si="65"/>
        <v>0.6</v>
      </c>
      <c r="AF163" s="177">
        <f t="shared" si="66"/>
        <v>0.6883184416504049</v>
      </c>
      <c r="AG163" s="799">
        <f t="shared" si="74"/>
        <v>1</v>
      </c>
      <c r="AH163" s="176">
        <f t="shared" si="67"/>
        <v>7</v>
      </c>
      <c r="AI163" s="224">
        <f t="shared" si="68"/>
        <v>1.6883184416504049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45807</v>
      </c>
      <c r="B164" s="409">
        <f>IF(t&gt;Tmaj,'2024'!Wh/'2024'!Env_an*'2025'!Env_an,0.001*[7]mois!$B$271)</f>
        <v>48.86849078134982</v>
      </c>
      <c r="C164" s="829"/>
      <c r="D164" s="391">
        <f t="shared" si="50"/>
        <v>51.081532908823128</v>
      </c>
      <c r="E164" s="383">
        <f t="shared" si="72"/>
        <v>51.755028824699082</v>
      </c>
      <c r="F164" s="383">
        <f t="shared" si="51"/>
        <v>51.755028824699082</v>
      </c>
      <c r="G164" s="110">
        <f t="shared" si="73"/>
        <v>0.82005694752332359</v>
      </c>
      <c r="H164" s="412" t="b">
        <f>Wh_hp&gt;='2024'!Maxi_hp</f>
        <v>0</v>
      </c>
      <c r="I164" s="388">
        <f>IF(H164,Wh_hp,'2024'!Maxi_hp)</f>
        <v>59.216456207612119</v>
      </c>
      <c r="J164" s="85">
        <f>IF(H164,An,'2024'!An_max)</f>
        <v>2020</v>
      </c>
      <c r="K164" s="197">
        <f t="shared" si="52"/>
        <v>45807</v>
      </c>
      <c r="L164" s="147">
        <f>IF(t&lt;Tvie,1-EXP((T0-t)*PertePVj)+'2024'!Pspv,1-EXP((T0-t)*PertePVj)+Pspv)</f>
        <v>4.3323721929477532E-2</v>
      </c>
      <c r="M164" s="832"/>
      <c r="N164" s="832"/>
      <c r="O164" s="48">
        <f>IF(t&lt;Tnet,'2024'!Resal+('2024'!Salim-'2024'!Resal)*(1-EXP(('2024'!Tnet-t)/('2024'!Tau_j))),Resal+(Salim-Resal)*(1-EXP((Tnet-t)/(Tau_j))))*Salcycl</f>
        <v>1.3013149275931618E-2</v>
      </c>
      <c r="P164" s="169">
        <f>(INDEX(Models!$BJ164:$BT164,,T164)*(1-R164)+INDEX(Models!$BJ164:$BT164,,T164+1)*R164-ERP_i)*Q164*Ramure*Pc/MaxiM</f>
        <v>1.4984068661935007E-20</v>
      </c>
      <c r="Q164" s="304">
        <f t="shared" si="53"/>
        <v>0.6</v>
      </c>
      <c r="R164" s="177">
        <f t="shared" si="54"/>
        <v>0.6931871705904924</v>
      </c>
      <c r="S164" s="799">
        <f t="shared" si="55"/>
        <v>1</v>
      </c>
      <c r="T164" s="176">
        <f t="shared" si="56"/>
        <v>7</v>
      </c>
      <c r="U164" s="250">
        <f t="shared" si="57"/>
        <v>1.6931871705904924</v>
      </c>
      <c r="V164" s="382">
        <f t="shared" si="58"/>
        <v>59.591581937009231</v>
      </c>
      <c r="W164" s="400">
        <f t="shared" si="59"/>
        <v>48.86849078134982</v>
      </c>
      <c r="X164" s="157">
        <f t="shared" si="60"/>
        <v>45807</v>
      </c>
      <c r="Y164" s="383">
        <f t="shared" si="61"/>
        <v>47.059102739741881</v>
      </c>
      <c r="Z164" s="383">
        <f t="shared" si="62"/>
        <v>49.190205525586229</v>
      </c>
      <c r="AA164" s="384">
        <f t="shared" si="63"/>
        <v>51.755028824699082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4.9556987163512922E-2</v>
      </c>
      <c r="AD164" s="230">
        <f>(INDEX(Models!$BJ164:$BT164,,AH164)*(1-AF164)+INDEX(Models!$BJ164:$BT164,,AH164+1)*AF164-ERP_i)*AE164*Ramure*Pc/MaxiM</f>
        <v>1.4984068661935007E-20</v>
      </c>
      <c r="AE164" s="304">
        <f t="shared" si="65"/>
        <v>0.6</v>
      </c>
      <c r="AF164" s="177">
        <f t="shared" si="66"/>
        <v>0.6931871705904924</v>
      </c>
      <c r="AG164" s="799">
        <f t="shared" si="74"/>
        <v>1</v>
      </c>
      <c r="AH164" s="176">
        <f t="shared" si="67"/>
        <v>7</v>
      </c>
      <c r="AI164" s="224">
        <f t="shared" si="68"/>
        <v>1.6931871705904924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45808</v>
      </c>
      <c r="B165" s="409">
        <f>IF(t&gt;Tmaj,'2024'!Wh/'2024'!Env_an*'2025'!Env_an,0.001*[7]mois!$B$272)</f>
        <v>54.745159705659269</v>
      </c>
      <c r="C165" s="829"/>
      <c r="D165" s="391">
        <f t="shared" si="50"/>
        <v>57.225427408609391</v>
      </c>
      <c r="E165" s="383">
        <f t="shared" si="72"/>
        <v>57.987644397308195</v>
      </c>
      <c r="F165" s="383">
        <f t="shared" si="51"/>
        <v>57.987644397308195</v>
      </c>
      <c r="G165" s="110">
        <f t="shared" si="73"/>
        <v>0.91907106159188356</v>
      </c>
      <c r="H165" s="412" t="b">
        <f>Wh_hp&gt;='2024'!Maxi_hp</f>
        <v>0</v>
      </c>
      <c r="I165" s="388">
        <f>IF(H165,Wh_hp,'2024'!Maxi_hp)</f>
        <v>62.494074168087401</v>
      </c>
      <c r="J165" s="85">
        <f>IF(H165,An,'2024'!An_max)</f>
        <v>2020</v>
      </c>
      <c r="K165" s="197">
        <f t="shared" si="52"/>
        <v>45808</v>
      </c>
      <c r="L165" s="147">
        <f>IF(t&lt;Tvie,1-EXP((T0-t)*PertePVj)+'2024'!Pspv,1-EXP((T0-t)*PertePVj)+Pspv)</f>
        <v>4.3342056412093766E-2</v>
      </c>
      <c r="M165" s="832"/>
      <c r="N165" s="832"/>
      <c r="O165" s="48">
        <f>IF(t&lt;Tnet,'2024'!Resal+('2024'!Salim-'2024'!Resal)*(1-EXP(('2024'!Tnet-t)/('2024'!Tau_j))),Resal+(Salim-Resal)*(1-EXP((Tnet-t)/(Tau_j))))*Salcycl</f>
        <v>1.3144472354772655E-2</v>
      </c>
      <c r="P165" s="169">
        <f>(INDEX(Models!$BJ165:$BT165,,T165)*(1-R165)+INDEX(Models!$BJ165:$BT165,,T165+1)*R165-ERP_i)*Q165*Ramure*Pc/MaxiM</f>
        <v>0</v>
      </c>
      <c r="Q165" s="304">
        <f t="shared" si="53"/>
        <v>0.6</v>
      </c>
      <c r="R165" s="177">
        <f t="shared" si="54"/>
        <v>0.69810056714011903</v>
      </c>
      <c r="S165" s="799">
        <f t="shared" si="55"/>
        <v>1</v>
      </c>
      <c r="T165" s="176">
        <f t="shared" si="56"/>
        <v>7</v>
      </c>
      <c r="U165" s="250">
        <f t="shared" si="57"/>
        <v>1.698100567140119</v>
      </c>
      <c r="V165" s="382">
        <f t="shared" si="58"/>
        <v>59.565752849227479</v>
      </c>
      <c r="W165" s="400">
        <f t="shared" si="59"/>
        <v>54.745159705659269</v>
      </c>
      <c r="X165" s="157">
        <f t="shared" si="60"/>
        <v>45808</v>
      </c>
      <c r="Y165" s="383">
        <f t="shared" si="61"/>
        <v>52.718844468062734</v>
      </c>
      <c r="Z165" s="383">
        <f t="shared" si="62"/>
        <v>55.10730854368164</v>
      </c>
      <c r="AA165" s="384">
        <f t="shared" si="63"/>
        <v>57.987644397308195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4.9671544405074368E-2</v>
      </c>
      <c r="AD165" s="230">
        <f>(INDEX(Models!$BJ165:$BT165,,AH165)*(1-AF165)+INDEX(Models!$BJ165:$BT165,,AH165+1)*AF165-ERP_i)*AE165*Ramure*Pc/MaxiM</f>
        <v>0</v>
      </c>
      <c r="AE165" s="304">
        <f t="shared" si="65"/>
        <v>0.6</v>
      </c>
      <c r="AF165" s="177">
        <f t="shared" si="66"/>
        <v>0.69810056714011903</v>
      </c>
      <c r="AG165" s="799">
        <f t="shared" si="74"/>
        <v>1</v>
      </c>
      <c r="AH165" s="176">
        <f t="shared" si="67"/>
        <v>7</v>
      </c>
      <c r="AI165" s="224">
        <f t="shared" si="68"/>
        <v>1.698100567140119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45809</v>
      </c>
      <c r="B166" s="409">
        <f>IF(t&gt;Tmaj,'2024'!Wh/'2024'!Env_an*'2025'!Env_an,0.001*'[8]mon-tableau'!$B$235)</f>
        <v>56.769879414890383</v>
      </c>
      <c r="C166" s="829"/>
      <c r="D166" s="391">
        <f t="shared" si="50"/>
        <v>59.343015754003183</v>
      </c>
      <c r="E166" s="383">
        <f t="shared" si="72"/>
        <v>60.141438553725301</v>
      </c>
      <c r="F166" s="383">
        <f t="shared" si="51"/>
        <v>60.141438553725301</v>
      </c>
      <c r="G166" s="110">
        <f t="shared" si="73"/>
        <v>0.95351641909032658</v>
      </c>
      <c r="H166" s="412" t="b">
        <f>Wh_hp&gt;='2024'!Maxi_hp</f>
        <v>0</v>
      </c>
      <c r="I166" s="388">
        <f>IF(H166,Wh_hp,'2024'!Maxi_hp)</f>
        <v>63.527407036379969</v>
      </c>
      <c r="J166" s="85">
        <f>IF(H166,An,'2024'!An_max)</f>
        <v>2018</v>
      </c>
      <c r="K166" s="197">
        <f t="shared" si="52"/>
        <v>45809</v>
      </c>
      <c r="L166" s="147">
        <f>IF(t&lt;Tvie,1-EXP((T0-t)*PertePVj)+'2024'!Pspv,1-EXP((T0-t)*PertePVj)+Pspv)</f>
        <v>4.336039054333396E-2</v>
      </c>
      <c r="M166" s="832"/>
      <c r="N166" s="832"/>
      <c r="O166" s="48">
        <f>IF(t&lt;Tnet,'2024'!Resal+('2024'!Salim-'2024'!Resal)*(1-EXP(('2024'!Tnet-t)/('2024'!Tau_j))),Resal+(Salim-Resal)*(1-EXP((Tnet-t)/(Tau_j))))*Salcycl</f>
        <v>1.3275751610245854E-2</v>
      </c>
      <c r="P166" s="169">
        <f>(INDEX(Models!$BJ166:$BT166,,T166)*(1-R166)+INDEX(Models!$BJ166:$BT166,,T166+1)*R166-ERP_i)*Q166*Ramure*Pc/MaxiM</f>
        <v>0</v>
      </c>
      <c r="Q166" s="304">
        <f t="shared" si="53"/>
        <v>0.6</v>
      </c>
      <c r="R166" s="177">
        <f t="shared" si="54"/>
        <v>0.7030550452172013</v>
      </c>
      <c r="S166" s="799">
        <f t="shared" si="55"/>
        <v>1</v>
      </c>
      <c r="T166" s="176">
        <f t="shared" si="56"/>
        <v>7</v>
      </c>
      <c r="U166" s="250">
        <f t="shared" si="57"/>
        <v>1.7030550452172013</v>
      </c>
      <c r="V166" s="382">
        <f t="shared" si="58"/>
        <v>59.537390524486156</v>
      </c>
      <c r="W166" s="400">
        <f t="shared" si="59"/>
        <v>56.769879414890383</v>
      </c>
      <c r="X166" s="157">
        <f t="shared" si="60"/>
        <v>45809</v>
      </c>
      <c r="Y166" s="383">
        <f t="shared" si="61"/>
        <v>54.669318850052733</v>
      </c>
      <c r="Z166" s="383">
        <f t="shared" si="62"/>
        <v>57.147245743987931</v>
      </c>
      <c r="AA166" s="384">
        <f t="shared" si="63"/>
        <v>60.141438553725301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4.9785852845249251E-2</v>
      </c>
      <c r="AD166" s="230">
        <f>(INDEX(Models!$BJ166:$BT166,,AH166)*(1-AF166)+INDEX(Models!$BJ166:$BT166,,AH166+1)*AF166-ERP_i)*AE166*Ramure*Pc/MaxiM</f>
        <v>0</v>
      </c>
      <c r="AE166" s="304">
        <f t="shared" si="65"/>
        <v>0.6</v>
      </c>
      <c r="AF166" s="177">
        <f t="shared" si="66"/>
        <v>0.7030550452172013</v>
      </c>
      <c r="AG166" s="799">
        <f t="shared" si="74"/>
        <v>1</v>
      </c>
      <c r="AH166" s="176">
        <f t="shared" si="67"/>
        <v>7</v>
      </c>
      <c r="AI166" s="224">
        <f t="shared" si="68"/>
        <v>1.7030550452172013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45810</v>
      </c>
      <c r="B167" s="409">
        <f>IF(t&gt;Tmaj,'2024'!Wh/'2024'!Env_an*'2025'!Env_an,0.001*'[8]mon-tableau'!$B$236)</f>
        <v>42.934516154162758</v>
      </c>
      <c r="C167" s="829"/>
      <c r="D167" s="391">
        <f t="shared" si="50"/>
        <v>44.88141466829412</v>
      </c>
      <c r="E167" s="383">
        <f t="shared" si="72"/>
        <v>45.49131553999112</v>
      </c>
      <c r="F167" s="383">
        <f t="shared" si="51"/>
        <v>45.49131553999112</v>
      </c>
      <c r="G167" s="110">
        <f t="shared" si="73"/>
        <v>0.72150849137454032</v>
      </c>
      <c r="H167" s="412" t="b">
        <f>Wh_hp&gt;='2024'!Maxi_hp</f>
        <v>0</v>
      </c>
      <c r="I167" s="388">
        <f>IF(H167,Wh_hp,'2024'!Maxi_hp)</f>
        <v>63.013679668505368</v>
      </c>
      <c r="J167" s="85">
        <f>IF(H167,An,'2024'!An_max)</f>
        <v>2018</v>
      </c>
      <c r="K167" s="197">
        <f t="shared" si="52"/>
        <v>45810</v>
      </c>
      <c r="L167" s="147">
        <f>IF(t&lt;Tvie,1-EXP((T0-t)*PertePVj)+'2024'!Pspv,1-EXP((T0-t)*PertePVj)+Pspv)</f>
        <v>4.3378724323204554E-2</v>
      </c>
      <c r="M167" s="832"/>
      <c r="N167" s="832"/>
      <c r="O167" s="48">
        <f>IF(t&lt;Tnet,'2024'!Resal+('2024'!Salim-'2024'!Resal)*(1-EXP(('2024'!Tnet-t)/('2024'!Tau_j))),Resal+(Salim-Resal)*(1-EXP((Tnet-t)/(Tau_j))))*Salcycl</f>
        <v>1.3406973714814708E-2</v>
      </c>
      <c r="P167" s="169">
        <f>(INDEX(Models!$BJ167:$BT167,,T167)*(1-R167)+INDEX(Models!$BJ167:$BT167,,T167+1)*R167-ERP_i)*Q167*Ramure*Pc/MaxiM</f>
        <v>0</v>
      </c>
      <c r="Q167" s="304">
        <f t="shared" si="53"/>
        <v>0.6</v>
      </c>
      <c r="R167" s="177">
        <f t="shared" si="54"/>
        <v>0.70804688863161402</v>
      </c>
      <c r="S167" s="799">
        <f t="shared" si="55"/>
        <v>1</v>
      </c>
      <c r="T167" s="176">
        <f t="shared" si="56"/>
        <v>7</v>
      </c>
      <c r="U167" s="250">
        <f t="shared" si="57"/>
        <v>1.708046888631614</v>
      </c>
      <c r="V167" s="382">
        <f t="shared" si="58"/>
        <v>59.506598560425175</v>
      </c>
      <c r="W167" s="400">
        <f t="shared" si="59"/>
        <v>42.934516154162758</v>
      </c>
      <c r="X167" s="157">
        <f t="shared" si="60"/>
        <v>45810</v>
      </c>
      <c r="Y167" s="383">
        <f t="shared" si="61"/>
        <v>41.346419773307105</v>
      </c>
      <c r="Z167" s="383">
        <f t="shared" si="62"/>
        <v>43.221304840889225</v>
      </c>
      <c r="AA167" s="384">
        <f t="shared" si="63"/>
        <v>45.49131553999112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4.9899869286179267E-2</v>
      </c>
      <c r="AD167" s="230">
        <f>(INDEX(Models!$BJ167:$BT167,,AH167)*(1-AF167)+INDEX(Models!$BJ167:$BT167,,AH167+1)*AF167-ERP_i)*AE167*Ramure*Pc/MaxiM</f>
        <v>0</v>
      </c>
      <c r="AE167" s="304">
        <f t="shared" si="65"/>
        <v>0.6</v>
      </c>
      <c r="AF167" s="177">
        <f t="shared" si="66"/>
        <v>0.70804688863161402</v>
      </c>
      <c r="AG167" s="799">
        <f t="shared" si="74"/>
        <v>1</v>
      </c>
      <c r="AH167" s="176">
        <f t="shared" si="67"/>
        <v>7</v>
      </c>
      <c r="AI167" s="224">
        <f t="shared" si="68"/>
        <v>1.708046888631614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45811</v>
      </c>
      <c r="B168" s="409">
        <f>IF(t&gt;Tmaj,'2024'!Wh/'2024'!Env_an*'2025'!Env_an,0.001*'[8]mon-tableau'!$B$237)</f>
        <v>56.35758197477228</v>
      </c>
      <c r="C168" s="829"/>
      <c r="D168" s="391">
        <f t="shared" si="50"/>
        <v>58.914288766785539</v>
      </c>
      <c r="E168" s="383">
        <f t="shared" si="72"/>
        <v>59.722823826763985</v>
      </c>
      <c r="F168" s="383">
        <f t="shared" si="51"/>
        <v>59.722823826763985</v>
      </c>
      <c r="G168" s="110">
        <f t="shared" si="73"/>
        <v>0.94760860629198485</v>
      </c>
      <c r="H168" s="412" t="b">
        <f>Wh_hp&gt;='2024'!Maxi_hp</f>
        <v>1</v>
      </c>
      <c r="I168" s="388">
        <f>IF(H168,Wh_hp,'2024'!Maxi_hp)</f>
        <v>59.722823826763985</v>
      </c>
      <c r="J168" s="85">
        <f>IF(H168,An,'2024'!An_max)</f>
        <v>2025</v>
      </c>
      <c r="K168" s="197">
        <f t="shared" si="52"/>
        <v>45811</v>
      </c>
      <c r="L168" s="147">
        <f>IF(t&lt;Tvie,1-EXP((T0-t)*PertePVj)+'2024'!Pspv,1-EXP((T0-t)*PertePVj)+Pspv)</f>
        <v>4.3397057751712542E-2</v>
      </c>
      <c r="M168" s="832"/>
      <c r="N168" s="832"/>
      <c r="O168" s="48">
        <f>IF(t&lt;Tnet,'2024'!Resal+('2024'!Salim-'2024'!Resal)*(1-EXP(('2024'!Tnet-t)/('2024'!Tau_j))),Resal+(Salim-Resal)*(1-EXP((Tnet-t)/(Tau_j))))*Salcycl</f>
        <v>1.3538125094749982E-2</v>
      </c>
      <c r="P168" s="169">
        <f>(INDEX(Models!$BJ168:$BT168,,T168)*(1-R168)+INDEX(Models!$BJ168:$BT168,,T168+1)*R168-ERP_i)*Q168*Ramure*Pc/MaxiM</f>
        <v>0</v>
      </c>
      <c r="Q168" s="304">
        <f t="shared" si="53"/>
        <v>0.6</v>
      </c>
      <c r="R168" s="177">
        <f t="shared" si="54"/>
        <v>0.7130722614138858</v>
      </c>
      <c r="S168" s="799">
        <f t="shared" si="55"/>
        <v>1</v>
      </c>
      <c r="T168" s="176">
        <f t="shared" si="56"/>
        <v>7</v>
      </c>
      <c r="U168" s="250">
        <f t="shared" si="57"/>
        <v>1.7130722614138858</v>
      </c>
      <c r="V168" s="382">
        <f t="shared" si="58"/>
        <v>59.473480507211569</v>
      </c>
      <c r="W168" s="400">
        <f t="shared" si="59"/>
        <v>56.35758197477228</v>
      </c>
      <c r="X168" s="157">
        <f t="shared" si="60"/>
        <v>45811</v>
      </c>
      <c r="Y168" s="383">
        <f t="shared" si="61"/>
        <v>54.273703368495845</v>
      </c>
      <c r="Z168" s="383">
        <f t="shared" si="62"/>
        <v>56.735873340444982</v>
      </c>
      <c r="AA168" s="384">
        <f t="shared" si="63"/>
        <v>59.722823826763985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5.0013550849222238E-2</v>
      </c>
      <c r="AD168" s="230">
        <f>(INDEX(Models!$BJ168:$BT168,,AH168)*(1-AF168)+INDEX(Models!$BJ168:$BT168,,AH168+1)*AF168-ERP_i)*AE168*Ramure*Pc/MaxiM</f>
        <v>0</v>
      </c>
      <c r="AE168" s="304">
        <f t="shared" si="65"/>
        <v>0.6</v>
      </c>
      <c r="AF168" s="177">
        <f t="shared" si="66"/>
        <v>0.7130722614138858</v>
      </c>
      <c r="AG168" s="799">
        <f t="shared" si="74"/>
        <v>1</v>
      </c>
      <c r="AH168" s="176">
        <f t="shared" si="67"/>
        <v>7</v>
      </c>
      <c r="AI168" s="224">
        <f t="shared" si="68"/>
        <v>1.7130722614138858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45812</v>
      </c>
      <c r="B169" s="409">
        <f>IF(t&gt;Tmaj,'2024'!Wh/'2024'!Env_an*'2025'!Env_an,0.001*'[8]mon-tableau'!$B$238)</f>
        <v>25.500326727390235</v>
      </c>
      <c r="C169" s="829"/>
      <c r="D169" s="391">
        <f t="shared" si="50"/>
        <v>26.657680337848884</v>
      </c>
      <c r="E169" s="383">
        <f t="shared" si="72"/>
        <v>27.02711921916795</v>
      </c>
      <c r="F169" s="383">
        <f t="shared" si="51"/>
        <v>27.02711921916795</v>
      </c>
      <c r="G169" s="110">
        <f t="shared" si="73"/>
        <v>0.42902296046229349</v>
      </c>
      <c r="H169" s="412" t="b">
        <f>Wh_hp&gt;='2024'!Maxi_hp</f>
        <v>0</v>
      </c>
      <c r="I169" s="388">
        <f>IF(H169,Wh_hp,'2024'!Maxi_hp)</f>
        <v>59.234814387524935</v>
      </c>
      <c r="J169" s="85">
        <f>IF(H169,An,'2024'!An_max)</f>
        <v>2018</v>
      </c>
      <c r="K169" s="197">
        <f t="shared" si="52"/>
        <v>45812</v>
      </c>
      <c r="L169" s="147">
        <f>IF(t&lt;Tvie,1-EXP((T0-t)*PertePVj)+'2024'!Pspv,1-EXP((T0-t)*PertePVj)+Pspv)</f>
        <v>4.3415390828864586E-2</v>
      </c>
      <c r="M169" s="832"/>
      <c r="N169" s="832"/>
      <c r="O169" s="48">
        <f>IF(t&lt;Tnet,'2024'!Resal+('2024'!Salim-'2024'!Resal)*(1-EXP(('2024'!Tnet-t)/('2024'!Tau_j))),Resal+(Salim-Resal)*(1-EXP((Tnet-t)/(Tau_j))))*Salcycl</f>
        <v>1.366919198169872E-2</v>
      </c>
      <c r="P169" s="169">
        <f>(INDEX(Models!$BJ169:$BT169,,T169)*(1-R169)+INDEX(Models!$BJ169:$BT169,,T169+1)*R169-ERP_i)*Q169*Ramure*Pc/MaxiM</f>
        <v>0</v>
      </c>
      <c r="Q169" s="304">
        <f t="shared" si="53"/>
        <v>0.6</v>
      </c>
      <c r="R169" s="177">
        <f t="shared" si="54"/>
        <v>0.7181272189435457</v>
      </c>
      <c r="S169" s="799">
        <f t="shared" si="55"/>
        <v>1</v>
      </c>
      <c r="T169" s="176">
        <f t="shared" si="56"/>
        <v>7</v>
      </c>
      <c r="U169" s="250">
        <f t="shared" si="57"/>
        <v>1.7181272189435457</v>
      </c>
      <c r="V169" s="382">
        <f t="shared" si="58"/>
        <v>59.438139860655411</v>
      </c>
      <c r="W169" s="400">
        <f t="shared" si="59"/>
        <v>25.500326727390235</v>
      </c>
      <c r="X169" s="157">
        <f t="shared" si="60"/>
        <v>45812</v>
      </c>
      <c r="Y169" s="383">
        <f t="shared" si="61"/>
        <v>24.557760283483322</v>
      </c>
      <c r="Z169" s="383">
        <f t="shared" si="62"/>
        <v>25.672334729242834</v>
      </c>
      <c r="AA169" s="384">
        <f t="shared" si="63"/>
        <v>27.02711921916795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5.0126855139051942E-2</v>
      </c>
      <c r="AD169" s="230">
        <f>(INDEX(Models!$BJ169:$BT169,,AH169)*(1-AF169)+INDEX(Models!$BJ169:$BT169,,AH169+1)*AF169-ERP_i)*AE169*Ramure*Pc/MaxiM</f>
        <v>0</v>
      </c>
      <c r="AE169" s="304">
        <f t="shared" si="65"/>
        <v>0.6</v>
      </c>
      <c r="AF169" s="177">
        <f t="shared" si="66"/>
        <v>0.7181272189435457</v>
      </c>
      <c r="AG169" s="799">
        <f t="shared" si="74"/>
        <v>1</v>
      </c>
      <c r="AH169" s="176">
        <f t="shared" si="67"/>
        <v>7</v>
      </c>
      <c r="AI169" s="224">
        <f t="shared" si="68"/>
        <v>1.7181272189435457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45813</v>
      </c>
      <c r="B170" s="409">
        <f>IF(t&gt;Tmaj,'2024'!Wh/'2024'!Env_an*'2025'!Env_an,0.001*'[8]mon-tableau'!$B$239)</f>
        <v>35.292127596170616</v>
      </c>
      <c r="C170" s="829"/>
      <c r="D170" s="391">
        <f t="shared" si="50"/>
        <v>36.894597337592366</v>
      </c>
      <c r="E170" s="383">
        <f t="shared" ref="E170:E232" si="75">Wh_pvt/(1-Psa)</f>
        <v>37.410873393606138</v>
      </c>
      <c r="F170" s="383">
        <f t="shared" si="51"/>
        <v>37.410873393606138</v>
      </c>
      <c r="G170" s="110">
        <f t="shared" ref="G170:G232" si="76">+Wh_hp/MaxiM</f>
        <v>0.5941367600411972</v>
      </c>
      <c r="H170" s="412" t="b">
        <f>Wh_hp&gt;='2024'!Maxi_hp</f>
        <v>0</v>
      </c>
      <c r="I170" s="388">
        <f>IF(H170,Wh_hp,'2024'!Maxi_hp)</f>
        <v>42.628678562631272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4.3433723554667347E-2</v>
      </c>
      <c r="M170" s="832"/>
      <c r="N170" s="832"/>
      <c r="O170" s="48">
        <f>IF(t&lt;Tnet,'2024'!Resal+('2024'!Salim-'2024'!Resal)*(1-EXP(('2024'!Tnet-t)/('2024'!Tau_j))),Resal+(Salim-Resal)*(1-EXP((Tnet-t)/(Tau_j))))*Salcycl</f>
        <v>1.3800160466235228E-2</v>
      </c>
      <c r="P170" s="169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0.7232077198138176</v>
      </c>
      <c r="S170" s="799">
        <f t="shared" si="55"/>
        <v>1</v>
      </c>
      <c r="T170" s="176">
        <f t="shared" si="56"/>
        <v>7</v>
      </c>
      <c r="U170" s="250">
        <f t="shared" si="57"/>
        <v>1.7232077198138176</v>
      </c>
      <c r="V170" s="382">
        <f t="shared" si="58"/>
        <v>59.40068006181518</v>
      </c>
      <c r="W170" s="400">
        <f t="shared" si="59"/>
        <v>35.292127596170616</v>
      </c>
      <c r="X170" s="157">
        <f t="shared" si="60"/>
        <v>45813</v>
      </c>
      <c r="Y170" s="383">
        <f t="shared" si="61"/>
        <v>33.988101522237436</v>
      </c>
      <c r="Z170" s="383">
        <f t="shared" si="62"/>
        <v>35.531360825869385</v>
      </c>
      <c r="AA170" s="384">
        <f t="shared" si="63"/>
        <v>37.410873393606138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5.0239740408145099E-2</v>
      </c>
      <c r="AD170" s="230">
        <f>(INDEX(Models!$BJ170:$BT170,,AH170)*(1-AF170)+INDEX(Models!$BJ170:$BT170,,AH170+1)*AF170-ERP_i)*AE170*Ramure*Pc/MaxiM</f>
        <v>0</v>
      </c>
      <c r="AE170" s="304">
        <f t="shared" si="65"/>
        <v>0.6</v>
      </c>
      <c r="AF170" s="177">
        <f t="shared" si="66"/>
        <v>0.7232077198138176</v>
      </c>
      <c r="AG170" s="799">
        <f t="shared" si="74"/>
        <v>1</v>
      </c>
      <c r="AH170" s="176">
        <f t="shared" si="67"/>
        <v>7</v>
      </c>
      <c r="AI170" s="224">
        <f t="shared" si="68"/>
        <v>1.7232077198138176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45814</v>
      </c>
      <c r="B171" s="409">
        <f>IF(t&gt;Tmaj,'2024'!Wh/'2024'!Env_an*'2025'!Env_an,0.001*'[8]mon-tableau'!$B$240)</f>
        <v>50.575191541044212</v>
      </c>
      <c r="C171" s="829"/>
      <c r="D171" s="391">
        <f t="shared" si="50"/>
        <v>52.872615381730405</v>
      </c>
      <c r="E171" s="383">
        <f t="shared" si="75"/>
        <v>53.619590788575117</v>
      </c>
      <c r="F171" s="383">
        <f t="shared" si="51"/>
        <v>53.619590788575117</v>
      </c>
      <c r="G171" s="110">
        <f t="shared" si="76"/>
        <v>0.85199065576218935</v>
      </c>
      <c r="H171" s="412" t="b">
        <f>Wh_hp&gt;='2024'!Maxi_hp</f>
        <v>0</v>
      </c>
      <c r="I171" s="388">
        <f>IF(H171,Wh_hp,'2024'!Maxi_hp)</f>
        <v>54.411394736000254</v>
      </c>
      <c r="J171" s="85">
        <f>IF(H171,An,'2024'!An_max)</f>
        <v>2018</v>
      </c>
      <c r="K171" s="197">
        <f t="shared" si="52"/>
        <v>45814</v>
      </c>
      <c r="L171" s="147">
        <f>IF(t&lt;Tvie,1-EXP((T0-t)*PertePVj)+'2024'!Pspv,1-EXP((T0-t)*PertePVj)+Pspv)</f>
        <v>4.3452055929127487E-2</v>
      </c>
      <c r="M171" s="832"/>
      <c r="N171" s="832"/>
      <c r="O171" s="48">
        <f>IF(t&lt;Tnet,'2024'!Resal+('2024'!Salim-'2024'!Resal)*(1-EXP(('2024'!Tnet-t)/('2024'!Tau_j))),Resal+(Salim-Resal)*(1-EXP((Tnet-t)/(Tau_j))))*Salcycl</f>
        <v>1.3931016553074431E-2</v>
      </c>
      <c r="P171" s="169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0.72830963836095752</v>
      </c>
      <c r="S171" s="799">
        <f t="shared" si="55"/>
        <v>1</v>
      </c>
      <c r="T171" s="176">
        <f t="shared" si="56"/>
        <v>7</v>
      </c>
      <c r="U171" s="250">
        <f t="shared" si="57"/>
        <v>1.7283096383609575</v>
      </c>
      <c r="V171" s="382">
        <f t="shared" si="58"/>
        <v>59.361204490910438</v>
      </c>
      <c r="W171" s="400">
        <f t="shared" si="59"/>
        <v>50.575191541044212</v>
      </c>
      <c r="X171" s="157">
        <f t="shared" si="60"/>
        <v>45814</v>
      </c>
      <c r="Y171" s="383">
        <f t="shared" si="61"/>
        <v>48.70716138675138</v>
      </c>
      <c r="Z171" s="383">
        <f t="shared" si="62"/>
        <v>50.919728267318895</v>
      </c>
      <c r="AA171" s="384">
        <f t="shared" si="63"/>
        <v>53.619590788575117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5.0352165720583777E-2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0.72830963836095752</v>
      </c>
      <c r="AG171" s="799">
        <f t="shared" si="74"/>
        <v>1</v>
      </c>
      <c r="AH171" s="176">
        <f t="shared" si="67"/>
        <v>7</v>
      </c>
      <c r="AI171" s="224">
        <f t="shared" si="68"/>
        <v>1.7283096383609575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45815</v>
      </c>
      <c r="B172" s="409">
        <f>IF(t&gt;Tmaj,'2024'!Wh/'2024'!Env_an*'2025'!Env_an,0.001*'[8]mon-tableau'!$B$241)</f>
        <v>26.016309420824136</v>
      </c>
      <c r="C172" s="829"/>
      <c r="D172" s="391">
        <f t="shared" si="50"/>
        <v>27.198645073965004</v>
      </c>
      <c r="E172" s="383">
        <f t="shared" si="75"/>
        <v>27.586560283690957</v>
      </c>
      <c r="F172" s="383">
        <f t="shared" si="51"/>
        <v>27.586560283690957</v>
      </c>
      <c r="G172" s="110">
        <f t="shared" si="76"/>
        <v>0.43857703834635148</v>
      </c>
      <c r="H172" s="412" t="b">
        <f>Wh_hp&gt;='2024'!Maxi_hp</f>
        <v>0</v>
      </c>
      <c r="I172" s="388">
        <f>IF(H172,Wh_hp,'2024'!Maxi_hp)</f>
        <v>54.292344061536546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4.3470387952251999E-2</v>
      </c>
      <c r="M172" s="832"/>
      <c r="N172" s="832"/>
      <c r="O172" s="48">
        <f>IF(t&lt;Tnet,'2024'!Resal+('2024'!Salim-'2024'!Resal)*(1-EXP(('2024'!Tnet-t)/('2024'!Tau_j))),Resal+(Salim-Resal)*(1-EXP((Tnet-t)/(Tau_j))))*Salcycl</f>
        <v>1.4061746217606011E-2</v>
      </c>
      <c r="P172" s="169">
        <f>(INDEX(Models!$BJ172:$BT172,,T172)*(1-R172)+INDEX(Models!$BJ172:$BT172,,T172+1)*R172-ERP_i)*Q172*Ramure*Pc/MaxiM</f>
        <v>0</v>
      </c>
      <c r="Q172" s="304">
        <f t="shared" si="53"/>
        <v>0.6</v>
      </c>
      <c r="R172" s="177">
        <f t="shared" si="54"/>
        <v>0.73342877777878357</v>
      </c>
      <c r="S172" s="799">
        <f t="shared" si="55"/>
        <v>1</v>
      </c>
      <c r="T172" s="176">
        <f t="shared" si="56"/>
        <v>7</v>
      </c>
      <c r="U172" s="250">
        <f t="shared" si="57"/>
        <v>1.7334287777787836</v>
      </c>
      <c r="V172" s="382">
        <f t="shared" si="58"/>
        <v>59.319816465810128</v>
      </c>
      <c r="W172" s="400">
        <f t="shared" si="59"/>
        <v>26.016309420824136</v>
      </c>
      <c r="X172" s="157">
        <f t="shared" si="60"/>
        <v>45815</v>
      </c>
      <c r="Y172" s="383">
        <f t="shared" si="61"/>
        <v>25.055747575457993</v>
      </c>
      <c r="Z172" s="383">
        <f t="shared" si="62"/>
        <v>26.194429592010646</v>
      </c>
      <c r="AA172" s="384">
        <f t="shared" si="63"/>
        <v>27.586560283690957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5.0464091114082531E-2</v>
      </c>
      <c r="AD172" s="230">
        <f>(INDEX(Models!$BJ172:$BT172,,AH172)*(1-AF172)+INDEX(Models!$BJ172:$BT172,,AH172+1)*AF172-ERP_i)*AE172*Ramure*Pc/MaxiM</f>
        <v>0</v>
      </c>
      <c r="AE172" s="304">
        <f t="shared" si="65"/>
        <v>0.6</v>
      </c>
      <c r="AF172" s="177">
        <f t="shared" si="66"/>
        <v>0.73342877777878357</v>
      </c>
      <c r="AG172" s="799">
        <f t="shared" si="74"/>
        <v>1</v>
      </c>
      <c r="AH172" s="176">
        <f t="shared" si="67"/>
        <v>7</v>
      </c>
      <c r="AI172" s="224">
        <f t="shared" si="68"/>
        <v>1.7334287777787836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45816</v>
      </c>
      <c r="B173" s="409">
        <f>IF(t&gt;Tmaj,'2024'!Wh/'2024'!Env_an*'2025'!Env_an,0.001*'[8]mon-tableau'!$B$242)</f>
        <v>21.481601099832069</v>
      </c>
      <c r="C173" s="829"/>
      <c r="D173" s="391">
        <f t="shared" si="50"/>
        <v>22.458283075750888</v>
      </c>
      <c r="E173" s="383">
        <f t="shared" si="75"/>
        <v>22.781607288788571</v>
      </c>
      <c r="F173" s="383">
        <f t="shared" si="51"/>
        <v>22.781607288788571</v>
      </c>
      <c r="G173" s="110">
        <f t="shared" si="76"/>
        <v>0.36239585482329345</v>
      </c>
      <c r="H173" s="412" t="b">
        <f>Wh_hp&gt;='2024'!Maxi_hp</f>
        <v>0</v>
      </c>
      <c r="I173" s="388">
        <f>IF(H173,Wh_hp,'2024'!Maxi_hp)</f>
        <v>63.783632046651569</v>
      </c>
      <c r="J173" s="85">
        <f>IF(H173,An,'2024'!An_max)</f>
        <v>2018</v>
      </c>
      <c r="K173" s="197">
        <f t="shared" si="52"/>
        <v>45816</v>
      </c>
      <c r="L173" s="147">
        <f>IF(t&lt;Tvie,1-EXP((T0-t)*PertePVj)+'2024'!Pspv,1-EXP((T0-t)*PertePVj)+Pspv)</f>
        <v>4.3488719624047434E-2</v>
      </c>
      <c r="M173" s="832"/>
      <c r="N173" s="832"/>
      <c r="O173" s="48">
        <f>IF(t&lt;Tnet,'2024'!Resal+('2024'!Salim-'2024'!Resal)*(1-EXP(('2024'!Tnet-t)/('2024'!Tau_j))),Resal+(Salim-Resal)*(1-EXP((Tnet-t)/(Tau_j))))*Salcycl</f>
        <v>1.4192335463389216E-2</v>
      </c>
      <c r="P173" s="169">
        <f>(INDEX(Models!$BJ173:$BT173,,T173)*(1-R173)+INDEX(Models!$BJ173:$BT173,,T173+1)*R173-ERP_i)*Q173*Ramure*Pc/MaxiM</f>
        <v>1.6172830190142663E-20</v>
      </c>
      <c r="Q173" s="304">
        <f t="shared" si="53"/>
        <v>0.6</v>
      </c>
      <c r="R173" s="177">
        <f t="shared" si="54"/>
        <v>0.73856088373205009</v>
      </c>
      <c r="S173" s="799">
        <f t="shared" si="55"/>
        <v>1</v>
      </c>
      <c r="T173" s="176">
        <f t="shared" si="56"/>
        <v>7</v>
      </c>
      <c r="U173" s="250">
        <f t="shared" si="57"/>
        <v>1.7385608837320501</v>
      </c>
      <c r="V173" s="382">
        <f t="shared" si="58"/>
        <v>59.276619238116389</v>
      </c>
      <c r="W173" s="400">
        <f t="shared" si="59"/>
        <v>21.481601099832069</v>
      </c>
      <c r="X173" s="157">
        <f t="shared" si="60"/>
        <v>45816</v>
      </c>
      <c r="Y173" s="383">
        <f t="shared" si="61"/>
        <v>20.688780981190408</v>
      </c>
      <c r="Z173" s="383">
        <f t="shared" si="62"/>
        <v>21.629416616036952</v>
      </c>
      <c r="AA173" s="384">
        <f t="shared" si="63"/>
        <v>22.781607288788571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5.0575477759141375E-2</v>
      </c>
      <c r="AD173" s="230">
        <f>(INDEX(Models!$BJ173:$BT173,,AH173)*(1-AF173)+INDEX(Models!$BJ173:$BT173,,AH173+1)*AF173-ERP_i)*AE173*Ramure*Pc/MaxiM</f>
        <v>1.6172830190142663E-20</v>
      </c>
      <c r="AE173" s="304">
        <f t="shared" si="65"/>
        <v>0.6</v>
      </c>
      <c r="AF173" s="177">
        <f t="shared" si="66"/>
        <v>0.73856088373205009</v>
      </c>
      <c r="AG173" s="799">
        <f t="shared" si="74"/>
        <v>1</v>
      </c>
      <c r="AH173" s="176">
        <f t="shared" si="67"/>
        <v>7</v>
      </c>
      <c r="AI173" s="224">
        <f t="shared" si="68"/>
        <v>1.7385608837320501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45817</v>
      </c>
      <c r="B174" s="409">
        <f>IF(t&gt;Tmaj,'2024'!Wh/'2024'!Env_an*'2025'!Env_an,0.001*'[8]mon-tableau'!$B$243)</f>
        <v>50.67267701068878</v>
      </c>
      <c r="C174" s="829"/>
      <c r="D174" s="391">
        <f t="shared" si="50"/>
        <v>52.977575068093486</v>
      </c>
      <c r="E174" s="383">
        <f t="shared" si="75"/>
        <v>53.747386544102206</v>
      </c>
      <c r="F174" s="383">
        <f t="shared" si="51"/>
        <v>53.747386544102206</v>
      </c>
      <c r="G174" s="110">
        <f t="shared" si="76"/>
        <v>0.85549905425975237</v>
      </c>
      <c r="H174" s="412" t="b">
        <f>Wh_hp&gt;='2024'!Maxi_hp</f>
        <v>0</v>
      </c>
      <c r="I174" s="388">
        <f>IF(H174,Wh_hp,'2024'!Maxi_hp)</f>
        <v>60.032633975701692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4.3507050944520564E-2</v>
      </c>
      <c r="M174" s="832"/>
      <c r="N174" s="832"/>
      <c r="O174" s="48">
        <f>IF(t&lt;Tnet,'2024'!Resal+('2024'!Salim-'2024'!Resal)*(1-EXP(('2024'!Tnet-t)/('2024'!Tau_j))),Resal+(Salim-Resal)*(1-EXP((Tnet-t)/(Tau_j))))*Salcycl</f>
        <v>1.4322770380231492E-2</v>
      </c>
      <c r="P174" s="169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0.74370165837635582</v>
      </c>
      <c r="S174" s="799">
        <f t="shared" si="55"/>
        <v>1</v>
      </c>
      <c r="T174" s="176">
        <f t="shared" si="56"/>
        <v>7</v>
      </c>
      <c r="U174" s="250">
        <f t="shared" si="57"/>
        <v>1.7437016583763558</v>
      </c>
      <c r="V174" s="382">
        <f t="shared" si="58"/>
        <v>59.231715988903019</v>
      </c>
      <c r="W174" s="400">
        <f t="shared" si="59"/>
        <v>50.67267701068878</v>
      </c>
      <c r="X174" s="157">
        <f t="shared" si="60"/>
        <v>45817</v>
      </c>
      <c r="Y174" s="383">
        <f t="shared" si="61"/>
        <v>48.803265063516207</v>
      </c>
      <c r="Z174" s="383">
        <f t="shared" si="62"/>
        <v>51.023131024341168</v>
      </c>
      <c r="AA174" s="384">
        <f t="shared" si="63"/>
        <v>53.747386544102206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5.0686288114226E-2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0.74370165837635582</v>
      </c>
      <c r="AG174" s="799">
        <f t="shared" si="74"/>
        <v>1</v>
      </c>
      <c r="AH174" s="176">
        <f t="shared" si="67"/>
        <v>7</v>
      </c>
      <c r="AI174" s="224">
        <f t="shared" si="68"/>
        <v>1.7437016583763558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45818</v>
      </c>
      <c r="B175" s="409">
        <f>IF(t&gt;Tmaj,'2024'!Wh/'2024'!Env_an*'2025'!Env_an,0.001*'[8]mon-tableau'!$B$244)</f>
        <v>58.521303020147236</v>
      </c>
      <c r="C175" s="829"/>
      <c r="D175" s="391">
        <f t="shared" si="50"/>
        <v>61.184376368747174</v>
      </c>
      <c r="E175" s="383">
        <f t="shared" si="75"/>
        <v>62.081644689027698</v>
      </c>
      <c r="F175" s="383">
        <f t="shared" si="51"/>
        <v>62.081644689027698</v>
      </c>
      <c r="G175" s="110">
        <f t="shared" si="76"/>
        <v>0.98878255555832673</v>
      </c>
      <c r="H175" s="412" t="b">
        <f>Wh_hp&gt;='2024'!Maxi_hp</f>
        <v>1</v>
      </c>
      <c r="I175" s="388">
        <f>IF(H175,Wh_hp,'2024'!Maxi_hp)</f>
        <v>62.081644689027698</v>
      </c>
      <c r="J175" s="85">
        <f>IF(H175,An,'2024'!An_max)</f>
        <v>2025</v>
      </c>
      <c r="K175" s="197">
        <f t="shared" si="52"/>
        <v>45818</v>
      </c>
      <c r="L175" s="147">
        <f>IF(t&lt;Tvie,1-EXP((T0-t)*PertePVj)+'2024'!Pspv,1-EXP((T0-t)*PertePVj)+Pspv)</f>
        <v>4.3525381913678052E-2</v>
      </c>
      <c r="M175" s="832"/>
      <c r="N175" s="832"/>
      <c r="O175" s="48">
        <f>IF(t&lt;Tnet,'2024'!Resal+('2024'!Salim-'2024'!Resal)*(1-EXP(('2024'!Tnet-t)/('2024'!Tau_j))),Resal+(Salim-Resal)*(1-EXP((Tnet-t)/(Tau_j))))*Salcycl</f>
        <v>1.4453037202461766E-2</v>
      </c>
      <c r="P175" s="169">
        <f>(INDEX(Models!$BJ175:$BT175,,T175)*(1-R175)+INDEX(Models!$BJ175:$BT175,,T175+1)*R175-ERP_i)*Q175*Ramure*Pc/MaxiM</f>
        <v>0</v>
      </c>
      <c r="Q175" s="304">
        <f t="shared" si="53"/>
        <v>0.6</v>
      </c>
      <c r="R175" s="177">
        <f t="shared" si="54"/>
        <v>0.74884677468736749</v>
      </c>
      <c r="S175" s="799">
        <f t="shared" si="55"/>
        <v>1</v>
      </c>
      <c r="T175" s="176">
        <f t="shared" si="56"/>
        <v>7</v>
      </c>
      <c r="U175" s="250">
        <f t="shared" si="57"/>
        <v>1.7488467746873675</v>
      </c>
      <c r="V175" s="382">
        <f t="shared" si="58"/>
        <v>59.185209823106703</v>
      </c>
      <c r="W175" s="400">
        <f t="shared" si="59"/>
        <v>58.521303020147236</v>
      </c>
      <c r="X175" s="157">
        <f t="shared" si="60"/>
        <v>45818</v>
      </c>
      <c r="Y175" s="383">
        <f t="shared" si="61"/>
        <v>56.363246565605742</v>
      </c>
      <c r="Z175" s="383">
        <f t="shared" si="62"/>
        <v>58.928115289013299</v>
      </c>
      <c r="AA175" s="384">
        <f t="shared" si="63"/>
        <v>62.081644689027698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5.0796486075887624E-2</v>
      </c>
      <c r="AD175" s="230">
        <f>(INDEX(Models!$BJ175:$BT175,,AH175)*(1-AF175)+INDEX(Models!$BJ175:$BT175,,AH175+1)*AF175-ERP_i)*AE175*Ramure*Pc/MaxiM</f>
        <v>0</v>
      </c>
      <c r="AE175" s="304">
        <f t="shared" si="65"/>
        <v>0.6</v>
      </c>
      <c r="AF175" s="177">
        <f t="shared" si="66"/>
        <v>0.74884677468736749</v>
      </c>
      <c r="AG175" s="799">
        <f t="shared" si="74"/>
        <v>1</v>
      </c>
      <c r="AH175" s="176">
        <f t="shared" si="67"/>
        <v>7</v>
      </c>
      <c r="AI175" s="224">
        <f t="shared" si="68"/>
        <v>1.7488467746873675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45819</v>
      </c>
      <c r="B176" s="409">
        <f>IF(t&gt;Tmaj,'2024'!Wh/'2024'!Env_an*'2025'!Env_an,0.001*'[8]mon-tableau'!$B$245)</f>
        <v>56.847617916643877</v>
      </c>
      <c r="C176" s="829"/>
      <c r="D176" s="391">
        <f t="shared" si="50"/>
        <v>59.435667538039674</v>
      </c>
      <c r="E176" s="383">
        <f t="shared" si="75"/>
        <v>60.315252242082359</v>
      </c>
      <c r="F176" s="383">
        <f t="shared" si="51"/>
        <v>60.315252242082359</v>
      </c>
      <c r="G176" s="110">
        <f t="shared" si="76"/>
        <v>0.96128349484104125</v>
      </c>
      <c r="H176" s="412" t="b">
        <f>Wh_hp&gt;='2024'!Maxi_hp</f>
        <v>1</v>
      </c>
      <c r="I176" s="388">
        <f>IF(H176,Wh_hp,'2024'!Maxi_hp)</f>
        <v>60.315252242082359</v>
      </c>
      <c r="J176" s="85">
        <f>IF(H176,An,'2024'!An_max)</f>
        <v>2025</v>
      </c>
      <c r="K176" s="197">
        <f t="shared" si="52"/>
        <v>45819</v>
      </c>
      <c r="L176" s="147">
        <f>IF(t&lt;Tvie,1-EXP((T0-t)*PertePVj)+'2024'!Pspv,1-EXP((T0-t)*PertePVj)+Pspv)</f>
        <v>4.3543712531526779E-2</v>
      </c>
      <c r="M176" s="832"/>
      <c r="N176" s="832"/>
      <c r="O176" s="48">
        <f>IF(t&lt;Tnet,'2024'!Resal+('2024'!Salim-'2024'!Resal)*(1-EXP(('2024'!Tnet-t)/('2024'!Tau_j))),Resal+(Salim-Resal)*(1-EXP((Tnet-t)/(Tau_j))))*Salcycl</f>
        <v>1.4583122366998809E-2</v>
      </c>
      <c r="P176" s="169">
        <f>(INDEX(Models!$BJ176:$BT176,,T176)*(1-R176)+INDEX(Models!$BJ176:$BT176,,T176+1)*R176-ERP_i)*Q176*Ramure*Pc/MaxiM</f>
        <v>0</v>
      </c>
      <c r="Q176" s="304">
        <f t="shared" si="53"/>
        <v>0.6</v>
      </c>
      <c r="R176" s="177">
        <f t="shared" si="54"/>
        <v>0.75399189099837893</v>
      </c>
      <c r="S176" s="799">
        <f t="shared" si="55"/>
        <v>1</v>
      </c>
      <c r="T176" s="176">
        <f t="shared" si="56"/>
        <v>7</v>
      </c>
      <c r="U176" s="250">
        <f t="shared" si="57"/>
        <v>1.7539918909983789</v>
      </c>
      <c r="V176" s="382">
        <f t="shared" si="58"/>
        <v>59.137203771551555</v>
      </c>
      <c r="W176" s="400">
        <f t="shared" si="59"/>
        <v>56.847617916643877</v>
      </c>
      <c r="X176" s="157">
        <f t="shared" si="60"/>
        <v>45819</v>
      </c>
      <c r="Y176" s="383">
        <f t="shared" si="61"/>
        <v>54.752188838329403</v>
      </c>
      <c r="Z176" s="383">
        <f t="shared" si="62"/>
        <v>57.244841772378592</v>
      </c>
      <c r="AA176" s="384">
        <f t="shared" si="63"/>
        <v>60.315252242082359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5.0906037122754912E-2</v>
      </c>
      <c r="AD176" s="230">
        <f>(INDEX(Models!$BJ176:$BT176,,AH176)*(1-AF176)+INDEX(Models!$BJ176:$BT176,,AH176+1)*AF176-ERP_i)*AE176*Ramure*Pc/MaxiM</f>
        <v>0</v>
      </c>
      <c r="AE176" s="304">
        <f t="shared" si="65"/>
        <v>0.6</v>
      </c>
      <c r="AF176" s="177">
        <f t="shared" si="66"/>
        <v>0.75399189099837893</v>
      </c>
      <c r="AG176" s="799">
        <f t="shared" si="74"/>
        <v>1</v>
      </c>
      <c r="AH176" s="176">
        <f t="shared" si="67"/>
        <v>7</v>
      </c>
      <c r="AI176" s="224">
        <f t="shared" si="68"/>
        <v>1.7539918909983789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45820</v>
      </c>
      <c r="B177" s="409">
        <f>IF(t&gt;Tmaj,'2024'!Wh/'2024'!Env_an*'2025'!Env_an,0.001*'[8]mon-tableau'!$B$246)</f>
        <v>44.775116424530388</v>
      </c>
      <c r="C177" s="829"/>
      <c r="D177" s="391">
        <f t="shared" si="50"/>
        <v>46.814449476179988</v>
      </c>
      <c r="E177" s="383">
        <f t="shared" si="75"/>
        <v>47.513516440857693</v>
      </c>
      <c r="F177" s="383">
        <f t="shared" si="51"/>
        <v>47.513516440857693</v>
      </c>
      <c r="G177" s="110">
        <f t="shared" si="76"/>
        <v>0.7577758536505671</v>
      </c>
      <c r="H177" s="412" t="b">
        <f>Wh_hp&gt;='2024'!Maxi_hp</f>
        <v>0</v>
      </c>
      <c r="I177" s="388">
        <f>IF(H177,Wh_hp,'2024'!Maxi_hp)</f>
        <v>58.629383345992608</v>
      </c>
      <c r="J177" s="85">
        <f>IF(H177,An,'2024'!An_max)</f>
        <v>2018</v>
      </c>
      <c r="K177" s="197">
        <f t="shared" si="52"/>
        <v>45820</v>
      </c>
      <c r="L177" s="147">
        <f>IF(t&lt;Tvie,1-EXP((T0-t)*PertePVj)+'2024'!Pspv,1-EXP((T0-t)*PertePVj)+Pspv)</f>
        <v>4.3562042798073408E-2</v>
      </c>
      <c r="M177" s="832"/>
      <c r="N177" s="832"/>
      <c r="O177" s="48">
        <f>IF(t&lt;Tnet,'2024'!Resal+('2024'!Salim-'2024'!Resal)*(1-EXP(('2024'!Tnet-t)/('2024'!Tau_j))),Resal+(Salim-Resal)*(1-EXP((Tnet-t)/(Tau_j))))*Salcycl</f>
        <v>1.4713012570809581E-2</v>
      </c>
      <c r="P177" s="169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0.75913266564268489</v>
      </c>
      <c r="S177" s="799">
        <f t="shared" si="55"/>
        <v>1</v>
      </c>
      <c r="T177" s="176">
        <f t="shared" si="56"/>
        <v>7</v>
      </c>
      <c r="U177" s="250">
        <f t="shared" si="57"/>
        <v>1.7591326656426849</v>
      </c>
      <c r="V177" s="382">
        <f t="shared" si="58"/>
        <v>59.087547074543657</v>
      </c>
      <c r="W177" s="400">
        <f t="shared" si="59"/>
        <v>44.775116424530388</v>
      </c>
      <c r="X177" s="157">
        <f t="shared" si="60"/>
        <v>45820</v>
      </c>
      <c r="Y177" s="383">
        <f t="shared" si="61"/>
        <v>43.125422847668389</v>
      </c>
      <c r="Z177" s="383">
        <f t="shared" si="62"/>
        <v>45.089618749377586</v>
      </c>
      <c r="AA177" s="384">
        <f t="shared" si="63"/>
        <v>47.513516440857693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5.1014908452360987E-2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0.75913266564268489</v>
      </c>
      <c r="AG177" s="799">
        <f t="shared" si="74"/>
        <v>1</v>
      </c>
      <c r="AH177" s="176">
        <f t="shared" si="67"/>
        <v>7</v>
      </c>
      <c r="AI177" s="224">
        <f t="shared" si="68"/>
        <v>1.7591326656426849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45821</v>
      </c>
      <c r="B178" s="409">
        <f>IF(t&gt;Tmaj,'2024'!Wh/'2024'!Env_an*'2025'!Env_an,0.001*'[8]mon-tableau'!$B$247)</f>
        <v>53.873011380434235</v>
      </c>
      <c r="C178" s="829"/>
      <c r="D178" s="391">
        <f t="shared" si="50"/>
        <v>56.327797802801093</v>
      </c>
      <c r="E178" s="383">
        <f t="shared" si="75"/>
        <v>57.176450407510849</v>
      </c>
      <c r="F178" s="383">
        <f t="shared" si="51"/>
        <v>57.176450407510849</v>
      </c>
      <c r="G178" s="110">
        <f t="shared" si="76"/>
        <v>0.91254474988575518</v>
      </c>
      <c r="H178" s="412" t="b">
        <f>Wh_hp&gt;='2024'!Maxi_hp</f>
        <v>0</v>
      </c>
      <c r="I178" s="388">
        <f>IF(H178,Wh_hp,'2024'!Maxi_hp)</f>
        <v>65.55404847482302</v>
      </c>
      <c r="J178" s="85">
        <f>IF(H178,An,'2024'!An_max)</f>
        <v>2018</v>
      </c>
      <c r="K178" s="197">
        <f t="shared" si="52"/>
        <v>45821</v>
      </c>
      <c r="L178" s="147">
        <f>IF(t&lt;Tvie,1-EXP((T0-t)*PertePVj)+'2024'!Pspv,1-EXP((T0-t)*PertePVj)+Pspv)</f>
        <v>4.35803727133246E-2</v>
      </c>
      <c r="M178" s="832"/>
      <c r="N178" s="832"/>
      <c r="O178" s="48">
        <f>IF(t&lt;Tnet,'2024'!Resal+('2024'!Salim-'2024'!Resal)*(1-EXP(('2024'!Tnet-t)/('2024'!Tau_j))),Resal+(Salim-Resal)*(1-EXP((Tnet-t)/(Tau_j))))*Salcycl</f>
        <v>1.4842694827349318E-2</v>
      </c>
      <c r="P178" s="169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0.76426477159595141</v>
      </c>
      <c r="S178" s="799">
        <f t="shared" si="55"/>
        <v>1</v>
      </c>
      <c r="T178" s="176">
        <f t="shared" si="56"/>
        <v>7</v>
      </c>
      <c r="U178" s="250">
        <f t="shared" si="57"/>
        <v>1.7642647715959514</v>
      </c>
      <c r="V178" s="382">
        <f t="shared" si="58"/>
        <v>59.036021397502743</v>
      </c>
      <c r="W178" s="400">
        <f t="shared" si="59"/>
        <v>53.873011380434235</v>
      </c>
      <c r="X178" s="157">
        <f t="shared" si="60"/>
        <v>45821</v>
      </c>
      <c r="Y178" s="383">
        <f t="shared" si="61"/>
        <v>51.889030744709473</v>
      </c>
      <c r="Z178" s="383">
        <f t="shared" si="62"/>
        <v>54.253414781874142</v>
      </c>
      <c r="AA178" s="384">
        <f t="shared" si="63"/>
        <v>57.176450407510849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5.1123069109808406E-2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0.76426477159595141</v>
      </c>
      <c r="AG178" s="799">
        <f t="shared" si="74"/>
        <v>1</v>
      </c>
      <c r="AH178" s="176">
        <f t="shared" si="67"/>
        <v>7</v>
      </c>
      <c r="AI178" s="224">
        <f t="shared" si="68"/>
        <v>1.7642647715959514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45822</v>
      </c>
      <c r="B179" s="409">
        <f>IF(t&gt;Tmaj,'2024'!Wh/'2024'!Env_an*'2025'!Env_an,0.001*'[8]mon-tableau'!$B$248)</f>
        <v>51.806860134604996</v>
      </c>
      <c r="C179" s="829"/>
      <c r="D179" s="391">
        <f t="shared" si="50"/>
        <v>54.168538100023817</v>
      </c>
      <c r="E179" s="383">
        <f t="shared" si="75"/>
        <v>54.991885212847137</v>
      </c>
      <c r="F179" s="383">
        <f t="shared" si="51"/>
        <v>54.991885212847137</v>
      </c>
      <c r="G179" s="110">
        <f t="shared" si="76"/>
        <v>0.87834098966709873</v>
      </c>
      <c r="H179" s="412" t="b">
        <f>Wh_hp&gt;='2024'!Maxi_hp</f>
        <v>0</v>
      </c>
      <c r="I179" s="388">
        <f>IF(H179,Wh_hp,'2024'!Maxi_hp)</f>
        <v>57.93177367847553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4.3598702277287127E-2</v>
      </c>
      <c r="M179" s="832"/>
      <c r="N179" s="832"/>
      <c r="O179" s="48">
        <f>IF(t&lt;Tnet,'2024'!Resal+('2024'!Salim-'2024'!Resal)*(1-EXP(('2024'!Tnet-t)/('2024'!Tau_j))),Resal+(Salim-Resal)*(1-EXP((Tnet-t)/(Tau_j))))*Salcycl</f>
        <v>1.4972156521576553E-2</v>
      </c>
      <c r="P179" s="169">
        <f>(INDEX(Models!$BJ179:$BT179,,T179)*(1-R179)+INDEX(Models!$BJ179:$BT179,,T179+1)*R179-ERP_i)*Q179*Ramure*Pc/MaxiM</f>
        <v>-1.6901672804168074E-20</v>
      </c>
      <c r="Q179" s="304">
        <f t="shared" si="53"/>
        <v>0.6</v>
      </c>
      <c r="R179" s="177">
        <f t="shared" si="54"/>
        <v>0.76938391101377723</v>
      </c>
      <c r="S179" s="799">
        <f t="shared" si="55"/>
        <v>1</v>
      </c>
      <c r="T179" s="176">
        <f t="shared" si="56"/>
        <v>7</v>
      </c>
      <c r="U179" s="250">
        <f t="shared" si="57"/>
        <v>1.7693839110137772</v>
      </c>
      <c r="V179" s="382">
        <f t="shared" si="58"/>
        <v>58.982628323244235</v>
      </c>
      <c r="W179" s="400">
        <f t="shared" si="59"/>
        <v>51.806860134604996</v>
      </c>
      <c r="X179" s="157">
        <f t="shared" si="60"/>
        <v>45822</v>
      </c>
      <c r="Y179" s="383">
        <f t="shared" si="61"/>
        <v>49.899878084069883</v>
      </c>
      <c r="Z179" s="383">
        <f t="shared" si="62"/>
        <v>52.174623981467278</v>
      </c>
      <c r="AA179" s="384">
        <f t="shared" si="63"/>
        <v>54.991885212847137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5.1230490107323973E-2</v>
      </c>
      <c r="AD179" s="230">
        <f>(INDEX(Models!$BJ179:$BT179,,AH179)*(1-AF179)+INDEX(Models!$BJ179:$BT179,,AH179+1)*AF179-ERP_i)*AE179*Ramure*Pc/MaxiM</f>
        <v>-1.6901672804168074E-20</v>
      </c>
      <c r="AE179" s="304">
        <f t="shared" si="65"/>
        <v>0.6</v>
      </c>
      <c r="AF179" s="177">
        <f t="shared" si="66"/>
        <v>0.76938391101377723</v>
      </c>
      <c r="AG179" s="799">
        <f t="shared" si="74"/>
        <v>1</v>
      </c>
      <c r="AH179" s="176">
        <f t="shared" si="67"/>
        <v>7</v>
      </c>
      <c r="AI179" s="224">
        <f t="shared" si="68"/>
        <v>1.7693839110137772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45823</v>
      </c>
      <c r="B180" s="409">
        <f>IF(t&gt;Tmaj,'2024'!Wh/'2024'!Env_an*'2025'!Env_an,0.001*'[8]mon-tableau'!$B$249)</f>
        <v>55.076538820823451</v>
      </c>
      <c r="C180" s="829"/>
      <c r="D180" s="391">
        <f t="shared" si="50"/>
        <v>57.588372685712159</v>
      </c>
      <c r="E180" s="383">
        <f t="shared" si="75"/>
        <v>58.471371403840038</v>
      </c>
      <c r="F180" s="383">
        <f t="shared" si="51"/>
        <v>58.471371403840038</v>
      </c>
      <c r="G180" s="110">
        <f t="shared" si="76"/>
        <v>0.93465123890441115</v>
      </c>
      <c r="H180" s="412" t="b">
        <f>Wh_hp&gt;='2024'!Maxi_hp</f>
        <v>1</v>
      </c>
      <c r="I180" s="388">
        <f>IF(H180,Wh_hp,'2024'!Maxi_hp)</f>
        <v>58.471371403840038</v>
      </c>
      <c r="J180" s="85">
        <f>IF(H180,An,'2024'!An_max)</f>
        <v>2025</v>
      </c>
      <c r="K180" s="197">
        <f t="shared" si="52"/>
        <v>45823</v>
      </c>
      <c r="L180" s="147">
        <f>IF(t&lt;Tvie,1-EXP((T0-t)*PertePVj)+'2024'!Pspv,1-EXP((T0-t)*PertePVj)+Pspv)</f>
        <v>4.3617031489967761E-2</v>
      </c>
      <c r="M180" s="832"/>
      <c r="N180" s="832"/>
      <c r="O180" s="48">
        <f>IF(t&lt;Tnet,'2024'!Resal+('2024'!Salim-'2024'!Resal)*(1-EXP(('2024'!Tnet-t)/('2024'!Tau_j))),Resal+(Salim-Resal)*(1-EXP((Tnet-t)/(Tau_j))))*Salcycl</f>
        <v>1.5101385463141168E-2</v>
      </c>
      <c r="P180" s="169">
        <f>(INDEX(Models!$BJ180:$BT180,,T180)*(1-R180)+INDEX(Models!$BJ180:$BT180,,T180+1)*R180-ERP_i)*Q180*Ramure*Pc/MaxiM</f>
        <v>1.7016021344672509E-20</v>
      </c>
      <c r="Q180" s="304">
        <f t="shared" si="53"/>
        <v>0.6</v>
      </c>
      <c r="R180" s="177">
        <f t="shared" si="54"/>
        <v>0.77448582956091738</v>
      </c>
      <c r="S180" s="799">
        <f t="shared" si="55"/>
        <v>1</v>
      </c>
      <c r="T180" s="176">
        <f t="shared" si="56"/>
        <v>7</v>
      </c>
      <c r="U180" s="250">
        <f t="shared" si="57"/>
        <v>1.7744858295609174</v>
      </c>
      <c r="V180" s="382">
        <f t="shared" si="58"/>
        <v>58.927369406136584</v>
      </c>
      <c r="W180" s="400">
        <f t="shared" si="59"/>
        <v>55.076538820823451</v>
      </c>
      <c r="X180" s="157">
        <f t="shared" si="60"/>
        <v>45823</v>
      </c>
      <c r="Y180" s="383">
        <f t="shared" si="61"/>
        <v>53.05019807701359</v>
      </c>
      <c r="Z180" s="383">
        <f t="shared" si="62"/>
        <v>55.469618158990777</v>
      </c>
      <c r="AA180" s="384">
        <f t="shared" si="63"/>
        <v>58.471371403840038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5.1337144533814154E-2</v>
      </c>
      <c r="AD180" s="230">
        <f>(INDEX(Models!$BJ180:$BT180,,AH180)*(1-AF180)+INDEX(Models!$BJ180:$BT180,,AH180+1)*AF180-ERP_i)*AE180*Ramure*Pc/MaxiM</f>
        <v>1.7016021344672509E-20</v>
      </c>
      <c r="AE180" s="304">
        <f t="shared" si="65"/>
        <v>0.6</v>
      </c>
      <c r="AF180" s="177">
        <f t="shared" si="66"/>
        <v>0.77448582956091738</v>
      </c>
      <c r="AG180" s="799">
        <f t="shared" si="74"/>
        <v>1</v>
      </c>
      <c r="AH180" s="176">
        <f t="shared" si="67"/>
        <v>7</v>
      </c>
      <c r="AI180" s="224">
        <f t="shared" si="68"/>
        <v>1.7744858295609174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45824</v>
      </c>
      <c r="B181" s="409">
        <f>IF(t&gt;Tmaj,'2024'!Wh/'2024'!Env_an*'2025'!Env_an,0.001*'[8]mon-tableau'!$B$250)</f>
        <v>53.114091687357067</v>
      </c>
      <c r="C181" s="829"/>
      <c r="D181" s="391">
        <f t="shared" si="50"/>
        <v>55.537490080009086</v>
      </c>
      <c r="E181" s="383">
        <f t="shared" si="75"/>
        <v>56.396428549970572</v>
      </c>
      <c r="F181" s="383">
        <f t="shared" si="51"/>
        <v>56.396428549970572</v>
      </c>
      <c r="G181" s="110">
        <f t="shared" si="76"/>
        <v>0.90222302685284872</v>
      </c>
      <c r="H181" s="412" t="b">
        <f>Wh_hp&gt;='2024'!Maxi_hp</f>
        <v>0</v>
      </c>
      <c r="I181" s="388">
        <f>IF(H181,Wh_hp,'2024'!Maxi_hp)</f>
        <v>62.896396798110899</v>
      </c>
      <c r="J181" s="85">
        <f>IF(H181,An,'2024'!An_max)</f>
        <v>2018</v>
      </c>
      <c r="K181" s="197">
        <f t="shared" si="52"/>
        <v>45824</v>
      </c>
      <c r="L181" s="147">
        <f>IF(t&lt;Tvie,1-EXP((T0-t)*PertePVj)+'2024'!Pspv,1-EXP((T0-t)*PertePVj)+Pspv)</f>
        <v>4.3635360351373276E-2</v>
      </c>
      <c r="M181" s="832"/>
      <c r="N181" s="832"/>
      <c r="O181" s="48">
        <f>IF(t&lt;Tnet,'2024'!Resal+('2024'!Salim-'2024'!Resal)*(1-EXP(('2024'!Tnet-t)/('2024'!Tau_j))),Resal+(Salim-Resal)*(1-EXP((Tnet-t)/(Tau_j))))*Salcycl</f>
        <v>1.5230369937351895E-2</v>
      </c>
      <c r="P181" s="169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0.77956633043118928</v>
      </c>
      <c r="S181" s="799">
        <f t="shared" si="55"/>
        <v>1</v>
      </c>
      <c r="T181" s="176">
        <f t="shared" si="56"/>
        <v>7</v>
      </c>
      <c r="U181" s="250">
        <f t="shared" si="57"/>
        <v>1.7795663304311893</v>
      </c>
      <c r="V181" s="382">
        <f t="shared" si="58"/>
        <v>58.870246165884993</v>
      </c>
      <c r="W181" s="400">
        <f t="shared" si="59"/>
        <v>53.114091687357067</v>
      </c>
      <c r="X181" s="157">
        <f t="shared" si="60"/>
        <v>45824</v>
      </c>
      <c r="Y181" s="383">
        <f t="shared" si="61"/>
        <v>51.160943152730347</v>
      </c>
      <c r="Z181" s="383">
        <f t="shared" si="62"/>
        <v>53.495226644438823</v>
      </c>
      <c r="AA181" s="384">
        <f t="shared" si="63"/>
        <v>56.396428549970572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5.1443007653598327E-2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0.77956633043118928</v>
      </c>
      <c r="AG181" s="799">
        <f t="shared" si="74"/>
        <v>1</v>
      </c>
      <c r="AH181" s="176">
        <f t="shared" si="67"/>
        <v>7</v>
      </c>
      <c r="AI181" s="224">
        <f t="shared" si="68"/>
        <v>1.7795663304311893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45825</v>
      </c>
      <c r="B182" s="409">
        <f>IF(t&gt;Tmaj,'2024'!Wh/'2024'!Env_an*'2025'!Env_an,0.001*'[8]mon-tableau'!$B$251)</f>
        <v>53.026953518399807</v>
      </c>
      <c r="C182" s="829"/>
      <c r="D182" s="391">
        <f t="shared" si="50"/>
        <v>55.447438758114174</v>
      </c>
      <c r="E182" s="383">
        <f t="shared" si="75"/>
        <v>56.31234563577771</v>
      </c>
      <c r="F182" s="383">
        <f t="shared" si="51"/>
        <v>56.31234563577771</v>
      </c>
      <c r="G182" s="110">
        <f t="shared" si="76"/>
        <v>0.90164627386345508</v>
      </c>
      <c r="H182" s="412" t="b">
        <f>Wh_hp&gt;='2024'!Maxi_hp</f>
        <v>0</v>
      </c>
      <c r="I182" s="388">
        <f>IF(H182,Wh_hp,'2024'!Maxi_hp)</f>
        <v>61.724084548861946</v>
      </c>
      <c r="J182" s="85">
        <f>IF(H182,An,'2024'!An_max)</f>
        <v>2018</v>
      </c>
      <c r="K182" s="197">
        <f t="shared" si="52"/>
        <v>45825</v>
      </c>
      <c r="L182" s="147">
        <f>IF(t&lt;Tvie,1-EXP((T0-t)*PertePVj)+'2024'!Pspv,1-EXP((T0-t)*PertePVj)+Pspv)</f>
        <v>4.3653688861510331E-2</v>
      </c>
      <c r="M182" s="832"/>
      <c r="N182" s="832"/>
      <c r="O182" s="48">
        <f>IF(t&lt;Tnet,'2024'!Resal+('2024'!Salim-'2024'!Resal)*(1-EXP(('2024'!Tnet-t)/('2024'!Tau_j))),Resal+(Salim-Resal)*(1-EXP((Tnet-t)/(Tau_j))))*Salcycl</f>
        <v>1.5359098753542735E-2</v>
      </c>
      <c r="P182" s="169">
        <f>(INDEX(Models!$BJ182:$BT182,,T182)*(1-R182)+INDEX(Models!$BJ182:$BT182,,T182+1)*R182-ERP_i)*Q182*Ramure*Pc/MaxiM</f>
        <v>0</v>
      </c>
      <c r="Q182" s="304">
        <f t="shared" si="53"/>
        <v>0.6</v>
      </c>
      <c r="R182" s="177">
        <f t="shared" si="54"/>
        <v>0.78462128796084896</v>
      </c>
      <c r="S182" s="799">
        <f t="shared" si="55"/>
        <v>1</v>
      </c>
      <c r="T182" s="176">
        <f t="shared" si="56"/>
        <v>7</v>
      </c>
      <c r="U182" s="250">
        <f t="shared" si="57"/>
        <v>1.784621287960849</v>
      </c>
      <c r="V182" s="382">
        <f t="shared" si="58"/>
        <v>58.811260086713546</v>
      </c>
      <c r="W182" s="400">
        <f t="shared" si="59"/>
        <v>53.026953518399807</v>
      </c>
      <c r="X182" s="157">
        <f t="shared" si="60"/>
        <v>45825</v>
      </c>
      <c r="Y182" s="383">
        <f t="shared" si="61"/>
        <v>51.078029596953797</v>
      </c>
      <c r="Z182" s="383">
        <f t="shared" si="62"/>
        <v>53.409553633502881</v>
      </c>
      <c r="AA182" s="384">
        <f t="shared" si="63"/>
        <v>56.31234563577771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5.1548056993572525E-2</v>
      </c>
      <c r="AD182" s="230">
        <f>(INDEX(Models!$BJ182:$BT182,,AH182)*(1-AF182)+INDEX(Models!$BJ182:$BT182,,AH182+1)*AF182-ERP_i)*AE182*Ramure*Pc/MaxiM</f>
        <v>0</v>
      </c>
      <c r="AE182" s="304">
        <f t="shared" si="65"/>
        <v>0.6</v>
      </c>
      <c r="AF182" s="177">
        <f t="shared" si="66"/>
        <v>0.78462128796084896</v>
      </c>
      <c r="AG182" s="799">
        <f t="shared" si="74"/>
        <v>1</v>
      </c>
      <c r="AH182" s="176">
        <f t="shared" si="67"/>
        <v>7</v>
      </c>
      <c r="AI182" s="224">
        <f t="shared" si="68"/>
        <v>1.784621287960849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45826</v>
      </c>
      <c r="B183" s="409">
        <f>IF(t&gt;Tmaj,'2024'!Wh/'2024'!Env_an*'2025'!Env_an,0.001*'[8]mon-tableau'!$B$252)</f>
        <v>56.544384110638497</v>
      </c>
      <c r="C183" s="829"/>
      <c r="D183" s="391">
        <f t="shared" si="50"/>
        <v>59.126560256518005</v>
      </c>
      <c r="E183" s="383">
        <f t="shared" si="75"/>
        <v>60.056691954059573</v>
      </c>
      <c r="F183" s="383">
        <f t="shared" si="51"/>
        <v>60.056691954059573</v>
      </c>
      <c r="G183" s="110">
        <f t="shared" si="76"/>
        <v>0.96245084241538437</v>
      </c>
      <c r="H183" s="412" t="b">
        <f>Wh_hp&gt;='2024'!Maxi_hp</f>
        <v>1</v>
      </c>
      <c r="I183" s="388">
        <f>IF(H183,Wh_hp,'2024'!Maxi_hp)</f>
        <v>60.056691954059573</v>
      </c>
      <c r="J183" s="85">
        <f>IF(H183,An,'2024'!An_max)</f>
        <v>2025</v>
      </c>
      <c r="K183" s="197">
        <f t="shared" si="52"/>
        <v>45826</v>
      </c>
      <c r="L183" s="147">
        <f>IF(t&lt;Tvie,1-EXP((T0-t)*PertePVj)+'2024'!Pspv,1-EXP((T0-t)*PertePVj)+Pspv)</f>
        <v>4.367201702038559E-2</v>
      </c>
      <c r="M183" s="832"/>
      <c r="N183" s="832"/>
      <c r="O183" s="48">
        <f>IF(t&lt;Tnet,'2024'!Resal+('2024'!Salim-'2024'!Resal)*(1-EXP(('2024'!Tnet-t)/('2024'!Tau_j))),Resal+(Salim-Resal)*(1-EXP((Tnet-t)/(Tau_j))))*Salcycl</f>
        <v>1.5487561290473191E-2</v>
      </c>
      <c r="P183" s="169">
        <f>(INDEX(Models!$BJ183:$BT183,,T183)*(1-R183)+INDEX(Models!$BJ183:$BT183,,T183+1)*R183-ERP_i)*Q183*Ramure*Pc/MaxiM</f>
        <v>0</v>
      </c>
      <c r="Q183" s="304">
        <f t="shared" si="53"/>
        <v>0.6</v>
      </c>
      <c r="R183" s="177">
        <f t="shared" si="54"/>
        <v>0.78964666074312095</v>
      </c>
      <c r="S183" s="799">
        <f t="shared" si="55"/>
        <v>1</v>
      </c>
      <c r="T183" s="176">
        <f t="shared" si="56"/>
        <v>7</v>
      </c>
      <c r="U183" s="250">
        <f t="shared" si="57"/>
        <v>1.789646660743121</v>
      </c>
      <c r="V183" s="382">
        <f t="shared" si="58"/>
        <v>58.750412611966418</v>
      </c>
      <c r="W183" s="400">
        <f t="shared" si="59"/>
        <v>56.544384110638497</v>
      </c>
      <c r="X183" s="157">
        <f t="shared" si="60"/>
        <v>45826</v>
      </c>
      <c r="Y183" s="383">
        <f t="shared" si="61"/>
        <v>54.467303886102776</v>
      </c>
      <c r="Z183" s="383">
        <f t="shared" si="62"/>
        <v>56.954627340716257</v>
      </c>
      <c r="AA183" s="384">
        <f t="shared" si="63"/>
        <v>60.056691954059573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5.1652272418138544E-2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0.78964666074312095</v>
      </c>
      <c r="AG183" s="799">
        <f t="shared" si="74"/>
        <v>1</v>
      </c>
      <c r="AH183" s="176">
        <f t="shared" si="67"/>
        <v>7</v>
      </c>
      <c r="AI183" s="224">
        <f t="shared" si="68"/>
        <v>1.789646660743121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45827</v>
      </c>
      <c r="B184" s="409">
        <f>IF(t&gt;Tmaj,'2024'!Wh/'2024'!Env_an*'2025'!Env_an,0.001*'[8]mon-tableau'!$B$253)</f>
        <v>57.645239824495128</v>
      </c>
      <c r="C184" s="829"/>
      <c r="D184" s="391">
        <f t="shared" si="50"/>
        <v>60.278843272922437</v>
      </c>
      <c r="E184" s="383">
        <f t="shared" si="75"/>
        <v>61.235074740567264</v>
      </c>
      <c r="F184" s="383">
        <f t="shared" si="51"/>
        <v>61.235074740567264</v>
      </c>
      <c r="G184" s="110">
        <f t="shared" si="76"/>
        <v>0.98223707474016997</v>
      </c>
      <c r="H184" s="412" t="b">
        <f>Wh_hp&gt;='2024'!Maxi_hp</f>
        <v>1</v>
      </c>
      <c r="I184" s="388">
        <f>IF(H184,Wh_hp,'2024'!Maxi_hp)</f>
        <v>61.235074740567264</v>
      </c>
      <c r="J184" s="85">
        <f>IF(H184,An,'2024'!An_max)</f>
        <v>2025</v>
      </c>
      <c r="K184" s="197">
        <f t="shared" si="52"/>
        <v>45827</v>
      </c>
      <c r="L184" s="147">
        <f>IF(t&lt;Tvie,1-EXP((T0-t)*PertePVj)+'2024'!Pspv,1-EXP((T0-t)*PertePVj)+Pspv)</f>
        <v>4.3690344828005934E-2</v>
      </c>
      <c r="M184" s="832"/>
      <c r="N184" s="832"/>
      <c r="O184" s="48">
        <f>IF(t&lt;Tnet,'2024'!Resal+('2024'!Salim-'2024'!Resal)*(1-EXP(('2024'!Tnet-t)/('2024'!Tau_j))),Resal+(Salim-Resal)*(1-EXP((Tnet-t)/(Tau_j))))*Salcycl</f>
        <v>1.5615747538417555E-2</v>
      </c>
      <c r="P184" s="169">
        <f>(INDEX(Models!$BJ184:$BT184,,T184)*(1-R184)+INDEX(Models!$BJ184:$BT184,,T184+1)*R184-ERP_i)*Q184*Ramure*Pc/MaxiM</f>
        <v>0</v>
      </c>
      <c r="Q184" s="304">
        <f t="shared" si="53"/>
        <v>0.6</v>
      </c>
      <c r="R184" s="177">
        <f t="shared" si="54"/>
        <v>0.79463850415753345</v>
      </c>
      <c r="S184" s="799">
        <f t="shared" si="55"/>
        <v>1</v>
      </c>
      <c r="T184" s="176">
        <f t="shared" si="56"/>
        <v>7</v>
      </c>
      <c r="U184" s="250">
        <f t="shared" si="57"/>
        <v>1.7946385041575335</v>
      </c>
      <c r="V184" s="382">
        <f t="shared" si="58"/>
        <v>58.687705144650501</v>
      </c>
      <c r="W184" s="400">
        <f t="shared" si="59"/>
        <v>57.645239824495128</v>
      </c>
      <c r="X184" s="157">
        <f t="shared" si="60"/>
        <v>45827</v>
      </c>
      <c r="Y184" s="383">
        <f t="shared" si="61"/>
        <v>55.528899032352491</v>
      </c>
      <c r="Z184" s="383">
        <f t="shared" si="62"/>
        <v>58.065814490145996</v>
      </c>
      <c r="AA184" s="384">
        <f t="shared" si="63"/>
        <v>61.235074740567264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5.1755636191322958E-2</v>
      </c>
      <c r="AD184" s="230">
        <f>(INDEX(Models!$BJ184:$BT184,,AH184)*(1-AF184)+INDEX(Models!$BJ184:$BT184,,AH184+1)*AF184-ERP_i)*AE184*Ramure*Pc/MaxiM</f>
        <v>0</v>
      </c>
      <c r="AE184" s="304">
        <f t="shared" si="65"/>
        <v>0.6</v>
      </c>
      <c r="AF184" s="177">
        <f t="shared" si="66"/>
        <v>0.79463850415753345</v>
      </c>
      <c r="AG184" s="799">
        <f t="shared" si="74"/>
        <v>1</v>
      </c>
      <c r="AH184" s="176">
        <f t="shared" si="67"/>
        <v>7</v>
      </c>
      <c r="AI184" s="224">
        <f t="shared" si="68"/>
        <v>1.7946385041575335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45828</v>
      </c>
      <c r="B185" s="409">
        <f>IF(t&gt;Tmaj,'2024'!Wh/'2024'!Env_an*'2025'!Env_an,0.001*'[8]mon-tableau'!$B$254)</f>
        <v>30.469723996287644</v>
      </c>
      <c r="C185" s="829"/>
      <c r="D185" s="391">
        <f t="shared" si="50"/>
        <v>31.862386610859872</v>
      </c>
      <c r="E185" s="383">
        <f t="shared" si="75"/>
        <v>32.372040628003937</v>
      </c>
      <c r="F185" s="383">
        <f t="shared" si="51"/>
        <v>32.372040628003937</v>
      </c>
      <c r="G185" s="110">
        <f t="shared" si="76"/>
        <v>0.51975592732939868</v>
      </c>
      <c r="H185" s="412" t="b">
        <f>Wh_hp&gt;='2024'!Maxi_hp</f>
        <v>0</v>
      </c>
      <c r="I185" s="388">
        <f>IF(H185,Wh_hp,'2024'!Maxi_hp)</f>
        <v>58.11759070939933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4.3708672284378025E-2</v>
      </c>
      <c r="M185" s="832"/>
      <c r="N185" s="832"/>
      <c r="O185" s="48">
        <f>IF(t&lt;Tnet,'2024'!Resal+('2024'!Salim-'2024'!Resal)*(1-EXP(('2024'!Tnet-t)/('2024'!Tau_j))),Resal+(Salim-Resal)*(1-EXP((Tnet-t)/(Tau_j))))*Salcycl</f>
        <v>1.5743648137621132E-2</v>
      </c>
      <c r="P185" s="169">
        <f>(INDEX(Models!$BJ185:$BT185,,T185)*(1-R185)+INDEX(Models!$BJ185:$BT185,,T185+1)*R185-ERP_i)*Q185*Ramure*Pc/MaxiM</f>
        <v>0</v>
      </c>
      <c r="Q185" s="304">
        <f t="shared" si="53"/>
        <v>0.6</v>
      </c>
      <c r="R185" s="177">
        <f t="shared" si="54"/>
        <v>0.79959298223461572</v>
      </c>
      <c r="S185" s="799">
        <f t="shared" si="55"/>
        <v>1</v>
      </c>
      <c r="T185" s="176">
        <f t="shared" si="56"/>
        <v>7</v>
      </c>
      <c r="U185" s="250">
        <f t="shared" si="57"/>
        <v>1.7995929822346157</v>
      </c>
      <c r="V185" s="382">
        <f t="shared" si="58"/>
        <v>58.623139043063304</v>
      </c>
      <c r="W185" s="400">
        <f t="shared" si="59"/>
        <v>30.469723996287644</v>
      </c>
      <c r="X185" s="157">
        <f t="shared" si="60"/>
        <v>45828</v>
      </c>
      <c r="Y185" s="383">
        <f t="shared" si="61"/>
        <v>29.351724214297072</v>
      </c>
      <c r="Z185" s="383">
        <f t="shared" si="62"/>
        <v>30.693287038806616</v>
      </c>
      <c r="AA185" s="384">
        <f t="shared" si="63"/>
        <v>32.372040628003937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5.185813302560506E-2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0.79959298223461572</v>
      </c>
      <c r="AG185" s="799">
        <f t="shared" si="74"/>
        <v>1</v>
      </c>
      <c r="AH185" s="176">
        <f t="shared" si="67"/>
        <v>7</v>
      </c>
      <c r="AI185" s="224">
        <f t="shared" si="68"/>
        <v>1.7995929822346157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45829</v>
      </c>
      <c r="B186" s="409">
        <f>IF(t&gt;Tmaj,'2024'!Wh/'2024'!Env_an*'2025'!Env_an,0.001*'[8]mon-tableau'!$B$255)</f>
        <v>22.715092694928725</v>
      </c>
      <c r="C186" s="829"/>
      <c r="D186" s="391">
        <f t="shared" si="50"/>
        <v>23.753773954119012</v>
      </c>
      <c r="E186" s="383">
        <f t="shared" si="75"/>
        <v>24.136856138620903</v>
      </c>
      <c r="F186" s="383">
        <f t="shared" si="51"/>
        <v>24.136856138620903</v>
      </c>
      <c r="G186" s="110">
        <f t="shared" si="76"/>
        <v>0.38791609902370316</v>
      </c>
      <c r="H186" s="412" t="b">
        <f>Wh_hp&gt;='2024'!Maxi_hp</f>
        <v>0</v>
      </c>
      <c r="I186" s="388">
        <f>IF(H186,Wh_hp,'2024'!Maxi_hp)</f>
        <v>54.852267304881771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4.3726999389508636E-2</v>
      </c>
      <c r="M186" s="832"/>
      <c r="N186" s="832"/>
      <c r="O186" s="48">
        <f>IF(t&lt;Tnet,'2024'!Resal+('2024'!Salim-'2024'!Resal)*(1-EXP(('2024'!Tnet-t)/('2024'!Tau_j))),Resal+(Salim-Resal)*(1-EXP((Tnet-t)/(Tau_j))))*Salcycl</f>
        <v>1.5871254412828332E-2</v>
      </c>
      <c r="P186" s="169">
        <f>(INDEX(Models!$BJ186:$BT186,,T186)*(1-R186)+INDEX(Models!$BJ186:$BT186,,T186+1)*R186-ERP_i)*Q186*Ramure*Pc/MaxiM</f>
        <v>0</v>
      </c>
      <c r="Q186" s="304">
        <f t="shared" si="53"/>
        <v>0.6</v>
      </c>
      <c r="R186" s="177">
        <f t="shared" si="54"/>
        <v>0.80450637878424258</v>
      </c>
      <c r="S186" s="799">
        <f t="shared" si="55"/>
        <v>1</v>
      </c>
      <c r="T186" s="176">
        <f t="shared" si="56"/>
        <v>7</v>
      </c>
      <c r="U186" s="250">
        <f t="shared" si="57"/>
        <v>1.8045063787842426</v>
      </c>
      <c r="V186" s="382">
        <f t="shared" si="58"/>
        <v>58.556715619943233</v>
      </c>
      <c r="W186" s="400">
        <f t="shared" si="59"/>
        <v>22.715092694928725</v>
      </c>
      <c r="X186" s="157">
        <f t="shared" si="60"/>
        <v>45829</v>
      </c>
      <c r="Y186" s="383">
        <f t="shared" si="61"/>
        <v>21.882118829651191</v>
      </c>
      <c r="Z186" s="383">
        <f t="shared" si="62"/>
        <v>22.882711125046399</v>
      </c>
      <c r="AA186" s="384">
        <f t="shared" si="63"/>
        <v>24.136856138620903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5.1959750117073995E-2</v>
      </c>
      <c r="AD186" s="230">
        <f>(INDEX(Models!$BJ186:$BT186,,AH186)*(1-AF186)+INDEX(Models!$BJ186:$BT186,,AH186+1)*AF186-ERP_i)*AE186*Ramure*Pc/MaxiM</f>
        <v>0</v>
      </c>
      <c r="AE186" s="304">
        <f t="shared" si="65"/>
        <v>0.6</v>
      </c>
      <c r="AF186" s="177">
        <f t="shared" si="66"/>
        <v>0.80450637878424258</v>
      </c>
      <c r="AG186" s="799">
        <f t="shared" si="74"/>
        <v>1</v>
      </c>
      <c r="AH186" s="176">
        <f t="shared" si="67"/>
        <v>7</v>
      </c>
      <c r="AI186" s="224">
        <f t="shared" si="68"/>
        <v>1.8045063787842426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45830</v>
      </c>
      <c r="B187" s="409">
        <f>IF(t&gt;Tmaj,'2024'!Wh/'2024'!Env_an*'2025'!Env_an,0.001*'[8]mon-tableau'!$B$256)</f>
        <v>42.94691541953754</v>
      </c>
      <c r="C187" s="829"/>
      <c r="D187" s="391">
        <f t="shared" si="50"/>
        <v>44.91158746062041</v>
      </c>
      <c r="E187" s="383">
        <f t="shared" si="75"/>
        <v>45.641790308516825</v>
      </c>
      <c r="F187" s="383">
        <f t="shared" si="51"/>
        <v>45.641790308516825</v>
      </c>
      <c r="G187" s="110">
        <f t="shared" si="76"/>
        <v>0.73428045362943595</v>
      </c>
      <c r="H187" s="412" t="b">
        <f>Wh_hp&gt;='2024'!Maxi_hp</f>
        <v>0</v>
      </c>
      <c r="I187" s="388">
        <f>IF(H187,Wh_hp,'2024'!Maxi_hp)</f>
        <v>62.350039866865146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4.3745326143404317E-2</v>
      </c>
      <c r="M187" s="832"/>
      <c r="N187" s="832"/>
      <c r="O187" s="48">
        <f>IF(t&lt;Tnet,'2024'!Resal+('2024'!Salim-'2024'!Resal)*(1-EXP(('2024'!Tnet-t)/('2024'!Tau_j))),Resal+(Salim-Resal)*(1-EXP((Tnet-t)/(Tau_j))))*Salcycl</f>
        <v>1.5998558403616307E-2</v>
      </c>
      <c r="P187" s="169">
        <f>(INDEX(Models!$BJ187:$BT187,,T187)*(1-R187)+INDEX(Models!$BJ187:$BT187,,T187+1)*R187-ERP_i)*Q187*Ramure*Pc/MaxiM</f>
        <v>0</v>
      </c>
      <c r="Q187" s="304">
        <f t="shared" si="53"/>
        <v>0.6</v>
      </c>
      <c r="R187" s="177">
        <f t="shared" si="54"/>
        <v>0.80937510772433008</v>
      </c>
      <c r="S187" s="799">
        <f t="shared" si="55"/>
        <v>1</v>
      </c>
      <c r="T187" s="176">
        <f t="shared" si="56"/>
        <v>7</v>
      </c>
      <c r="U187" s="250">
        <f t="shared" si="57"/>
        <v>1.8093751077243301</v>
      </c>
      <c r="V187" s="382">
        <f t="shared" si="58"/>
        <v>58.48843613806892</v>
      </c>
      <c r="W187" s="400">
        <f t="shared" si="59"/>
        <v>42.94691541953754</v>
      </c>
      <c r="X187" s="157">
        <f t="shared" si="60"/>
        <v>45830</v>
      </c>
      <c r="Y187" s="383">
        <f t="shared" si="61"/>
        <v>41.372986653265443</v>
      </c>
      <c r="Z187" s="383">
        <f t="shared" si="62"/>
        <v>43.265656926315764</v>
      </c>
      <c r="AA187" s="384">
        <f t="shared" si="63"/>
        <v>45.641790308516825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5.2060477166638947E-2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0.80937510772433008</v>
      </c>
      <c r="AG187" s="799">
        <f t="shared" si="74"/>
        <v>1</v>
      </c>
      <c r="AH187" s="176">
        <f t="shared" si="67"/>
        <v>7</v>
      </c>
      <c r="AI187" s="224">
        <f t="shared" si="68"/>
        <v>1.8093751077243301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45831</v>
      </c>
      <c r="B188" s="409">
        <f>IF(t&gt;Tmaj,'2024'!Wh/'2024'!Env_an*'2025'!Env_an,0.001*'[8]mon-tableau'!$B$257)</f>
        <v>43.617328999207132</v>
      </c>
      <c r="C188" s="829"/>
      <c r="D188" s="391">
        <f t="shared" si="50"/>
        <v>45.61354430350039</v>
      </c>
      <c r="E188" s="383">
        <f t="shared" si="75"/>
        <v>46.361143373016795</v>
      </c>
      <c r="F188" s="383">
        <f t="shared" si="51"/>
        <v>46.361143373016795</v>
      </c>
      <c r="G188" s="110">
        <f t="shared" si="76"/>
        <v>0.74663808507722507</v>
      </c>
      <c r="H188" s="412" t="b">
        <f>Wh_hp&gt;='2024'!Maxi_hp</f>
        <v>0</v>
      </c>
      <c r="I188" s="388">
        <f>IF(H188,Wh_hp,'2024'!Maxi_hp)</f>
        <v>54.242625495320887</v>
      </c>
      <c r="J188" s="85">
        <f>IF(H188,An,'2024'!An_max)</f>
        <v>2018</v>
      </c>
      <c r="K188" s="197">
        <f t="shared" si="52"/>
        <v>45831</v>
      </c>
      <c r="L188" s="147">
        <f>IF(t&lt;Tvie,1-EXP((T0-t)*PertePVj)+'2024'!Pspv,1-EXP((T0-t)*PertePVj)+Pspv)</f>
        <v>4.3763652546072063E-2</v>
      </c>
      <c r="M188" s="832"/>
      <c r="N188" s="832"/>
      <c r="O188" s="48">
        <f>IF(t&lt;Tnet,'2024'!Resal+('2024'!Salim-'2024'!Resal)*(1-EXP(('2024'!Tnet-t)/('2024'!Tau_j))),Resal+(Salim-Resal)*(1-EXP((Tnet-t)/(Tau_j))))*Salcycl</f>
        <v>1.6125552890300775E-2</v>
      </c>
      <c r="P188" s="169">
        <f>(INDEX(Models!$BJ188:$BT188,,T188)*(1-R188)+INDEX(Models!$BJ188:$BT188,,T188+1)*R188-ERP_i)*Q188*Ramure*Pc/MaxiM</f>
        <v>0</v>
      </c>
      <c r="Q188" s="304">
        <f t="shared" si="53"/>
        <v>0.6</v>
      </c>
      <c r="R188" s="177">
        <f t="shared" si="54"/>
        <v>0.81419572255555206</v>
      </c>
      <c r="S188" s="799">
        <f t="shared" si="55"/>
        <v>1</v>
      </c>
      <c r="T188" s="176">
        <f t="shared" si="56"/>
        <v>7</v>
      </c>
      <c r="U188" s="250">
        <f t="shared" si="57"/>
        <v>1.8141957225555521</v>
      </c>
      <c r="V188" s="382">
        <f t="shared" si="58"/>
        <v>58.418301813114425</v>
      </c>
      <c r="W188" s="400">
        <f t="shared" si="59"/>
        <v>43.617328999207132</v>
      </c>
      <c r="X188" s="157">
        <f t="shared" si="60"/>
        <v>45831</v>
      </c>
      <c r="Y188" s="383">
        <f t="shared" si="61"/>
        <v>42.019828725372854</v>
      </c>
      <c r="Z188" s="383">
        <f t="shared" si="62"/>
        <v>43.942931930222819</v>
      </c>
      <c r="AA188" s="384">
        <f t="shared" si="63"/>
        <v>46.361143373016795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5.2160306387124752E-2</v>
      </c>
      <c r="AD188" s="230">
        <f>(INDEX(Models!$BJ188:$BT188,,AH188)*(1-AF188)+INDEX(Models!$BJ188:$BT188,,AH188+1)*AF188-ERP_i)*AE188*Ramure*Pc/MaxiM</f>
        <v>0</v>
      </c>
      <c r="AE188" s="304">
        <f t="shared" si="65"/>
        <v>0.6</v>
      </c>
      <c r="AF188" s="177">
        <f t="shared" si="66"/>
        <v>0.81419572255555206</v>
      </c>
      <c r="AG188" s="799">
        <f t="shared" si="74"/>
        <v>1</v>
      </c>
      <c r="AH188" s="176">
        <f t="shared" si="67"/>
        <v>7</v>
      </c>
      <c r="AI188" s="224">
        <f t="shared" si="68"/>
        <v>1.8141957225555521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45832</v>
      </c>
      <c r="B189" s="409">
        <f>IF(t&gt;Tmaj,'2024'!Wh/'2024'!Env_an*'2025'!Env_an,0.001*'[8]mon-tableau'!$B$258)</f>
        <v>40.081260158379372</v>
      </c>
      <c r="C189" s="829"/>
      <c r="D189" s="391">
        <f t="shared" si="50"/>
        <v>41.916445058829083</v>
      </c>
      <c r="E189" s="383">
        <f t="shared" si="75"/>
        <v>42.608935336270086</v>
      </c>
      <c r="F189" s="383">
        <f t="shared" si="51"/>
        <v>42.608935336270086</v>
      </c>
      <c r="G189" s="110">
        <f t="shared" si="76"/>
        <v>0.68695445422333945</v>
      </c>
      <c r="H189" s="412" t="b">
        <f>Wh_hp&gt;='2024'!Maxi_hp</f>
        <v>0</v>
      </c>
      <c r="I189" s="388">
        <f>IF(H189,Wh_hp,'2024'!Maxi_hp)</f>
        <v>61.322953896057307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4.3781978597518423E-2</v>
      </c>
      <c r="M189" s="832"/>
      <c r="N189" s="832"/>
      <c r="O189" s="48">
        <f>IF(t&lt;Tnet,'2024'!Resal+('2024'!Salim-'2024'!Resal)*(1-EXP(('2024'!Tnet-t)/('2024'!Tau_j))),Resal+(Salim-Resal)*(1-EXP((Tnet-t)/(Tau_j))))*Salcycl</f>
        <v>1.6252231415215115E-2</v>
      </c>
      <c r="P189" s="169">
        <f>(INDEX(Models!$BJ189:$BT189,,T189)*(1-R189)+INDEX(Models!$BJ189:$BT189,,T189+1)*R189-ERP_i)*Q189*Ramure*Pc/MaxiM</f>
        <v>-1.7938377904598949E-20</v>
      </c>
      <c r="Q189" s="304">
        <f t="shared" si="53"/>
        <v>0.6</v>
      </c>
      <c r="R189" s="177">
        <f t="shared" si="54"/>
        <v>0.81896492493709427</v>
      </c>
      <c r="S189" s="799">
        <f t="shared" si="55"/>
        <v>1</v>
      </c>
      <c r="T189" s="176">
        <f t="shared" si="56"/>
        <v>7</v>
      </c>
      <c r="U189" s="250">
        <f t="shared" si="57"/>
        <v>1.8189649249370943</v>
      </c>
      <c r="V189" s="382">
        <f t="shared" si="58"/>
        <v>58.346313808671134</v>
      </c>
      <c r="W189" s="400">
        <f t="shared" si="59"/>
        <v>40.081260158379372</v>
      </c>
      <c r="X189" s="157">
        <f t="shared" si="60"/>
        <v>45832</v>
      </c>
      <c r="Y189" s="383">
        <f t="shared" si="61"/>
        <v>38.614211364026346</v>
      </c>
      <c r="Z189" s="383">
        <f t="shared" si="62"/>
        <v>40.382225078116619</v>
      </c>
      <c r="AA189" s="384">
        <f t="shared" si="63"/>
        <v>42.608935336270086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5.2259232496194845E-2</v>
      </c>
      <c r="AD189" s="230">
        <f>(INDEX(Models!$BJ189:$BT189,,AH189)*(1-AF189)+INDEX(Models!$BJ189:$BT189,,AH189+1)*AF189-ERP_i)*AE189*Ramure*Pc/MaxiM</f>
        <v>-1.7938377904598949E-20</v>
      </c>
      <c r="AE189" s="304">
        <f t="shared" si="65"/>
        <v>0.6</v>
      </c>
      <c r="AF189" s="177">
        <f t="shared" si="66"/>
        <v>0.81896492493709427</v>
      </c>
      <c r="AG189" s="799">
        <f t="shared" si="74"/>
        <v>1</v>
      </c>
      <c r="AH189" s="176">
        <f t="shared" si="67"/>
        <v>7</v>
      </c>
      <c r="AI189" s="224">
        <f t="shared" si="68"/>
        <v>1.8189649249370943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45833</v>
      </c>
      <c r="B190" s="409">
        <f>IF(t&gt;Tmaj,'2024'!Wh/'2024'!Env_an*'2025'!Env_an,0.001*'[8]mon-tableau'!$B$259)</f>
        <v>37.925746400640925</v>
      </c>
      <c r="C190" s="829"/>
      <c r="D190" s="391">
        <f t="shared" si="50"/>
        <v>39.662997772434551</v>
      </c>
      <c r="E190" s="383">
        <f t="shared" si="75"/>
        <v>40.323438774937273</v>
      </c>
      <c r="F190" s="383">
        <f t="shared" si="51"/>
        <v>40.323438774937273</v>
      </c>
      <c r="G190" s="110">
        <f t="shared" si="76"/>
        <v>0.6508346787641327</v>
      </c>
      <c r="H190" s="412" t="b">
        <f>Wh_hp&gt;='2024'!Maxi_hp</f>
        <v>0</v>
      </c>
      <c r="I190" s="388">
        <f>IF(H190,Wh_hp,'2024'!Maxi_hp)</f>
        <v>60.963352971258608</v>
      </c>
      <c r="J190" s="85">
        <f>IF(H190,An,'2024'!An_max)</f>
        <v>2020</v>
      </c>
      <c r="K190" s="197">
        <f t="shared" si="52"/>
        <v>45833</v>
      </c>
      <c r="L190" s="147">
        <f>IF(t&lt;Tvie,1-EXP((T0-t)*PertePVj)+'2024'!Pspv,1-EXP((T0-t)*PertePVj)+Pspv)</f>
        <v>4.3800304297750281E-2</v>
      </c>
      <c r="M190" s="832"/>
      <c r="N190" s="832"/>
      <c r="O190" s="48">
        <f>IF(t&lt;Tnet,'2024'!Resal+('2024'!Salim-'2024'!Resal)*(1-EXP(('2024'!Tnet-t)/('2024'!Tau_j))),Resal+(Salim-Resal)*(1-EXP((Tnet-t)/(Tau_j))))*Salcycl</f>
        <v>1.6378588299200629E-2</v>
      </c>
      <c r="P190" s="169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0.82367957232807032</v>
      </c>
      <c r="S190" s="799">
        <f t="shared" si="55"/>
        <v>1</v>
      </c>
      <c r="T190" s="176">
        <f t="shared" si="56"/>
        <v>7</v>
      </c>
      <c r="U190" s="250">
        <f t="shared" si="57"/>
        <v>1.8236795723280703</v>
      </c>
      <c r="V190" s="382">
        <f t="shared" si="58"/>
        <v>58.27247323799336</v>
      </c>
      <c r="W190" s="400">
        <f t="shared" si="59"/>
        <v>37.925746400640925</v>
      </c>
      <c r="X190" s="157">
        <f t="shared" si="60"/>
        <v>45833</v>
      </c>
      <c r="Y190" s="383">
        <f t="shared" si="61"/>
        <v>36.538507687165477</v>
      </c>
      <c r="Z190" s="383">
        <f t="shared" si="62"/>
        <v>38.212214301460286</v>
      </c>
      <c r="AA190" s="384">
        <f t="shared" si="63"/>
        <v>40.323438774937273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5.2357252695154656E-2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0.82367957232807032</v>
      </c>
      <c r="AG190" s="799">
        <f t="shared" si="74"/>
        <v>1</v>
      </c>
      <c r="AH190" s="176">
        <f t="shared" si="67"/>
        <v>7</v>
      </c>
      <c r="AI190" s="224">
        <f t="shared" si="68"/>
        <v>1.8236795723280703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45834</v>
      </c>
      <c r="B191" s="409">
        <f>IF(t&gt;Tmaj,'2024'!Wh/'2024'!Env_an*'2025'!Env_an,0.001*'[8]mon-tableau'!$B$260)</f>
        <v>12.289117214036818</v>
      </c>
      <c r="C191" s="829"/>
      <c r="D191" s="391">
        <f t="shared" si="50"/>
        <v>12.852286809872753</v>
      </c>
      <c r="E191" s="383">
        <f t="shared" si="75"/>
        <v>13.067968648996214</v>
      </c>
      <c r="F191" s="383">
        <f t="shared" si="51"/>
        <v>13.067968648996214</v>
      </c>
      <c r="G191" s="110">
        <f t="shared" si="76"/>
        <v>0.21116648786525158</v>
      </c>
      <c r="H191" s="412" t="b">
        <f>Wh_hp&gt;='2024'!Maxi_hp</f>
        <v>0</v>
      </c>
      <c r="I191" s="388">
        <f>IF(H191,Wh_hp,'2024'!Maxi_hp)</f>
        <v>60.568355603676984</v>
      </c>
      <c r="J191" s="85">
        <f>IF(H191,An,'2024'!An_max)</f>
        <v>2018</v>
      </c>
      <c r="K191" s="197">
        <f t="shared" si="52"/>
        <v>45834</v>
      </c>
      <c r="L191" s="147">
        <f>IF(t&lt;Tvie,1-EXP((T0-t)*PertePVj)+'2024'!Pspv,1-EXP((T0-t)*PertePVj)+Pspv)</f>
        <v>4.3818629646774188E-2</v>
      </c>
      <c r="M191" s="832"/>
      <c r="N191" s="832"/>
      <c r="O191" s="48">
        <f>IF(t&lt;Tnet,'2024'!Resal+('2024'!Salim-'2024'!Resal)*(1-EXP(('2024'!Tnet-t)/('2024'!Tau_j))),Resal+(Salim-Resal)*(1-EXP((Tnet-t)/(Tau_j))))*Salcycl</f>
        <v>1.6504618653185081E-2</v>
      </c>
      <c r="P191" s="169">
        <f>(INDEX(Models!$BJ191:$BT191,,T191)*(1-R191)+INDEX(Models!$BJ191:$BT191,,T191+1)*R191-ERP_i)*Q191*Ramure*Pc/MaxiM</f>
        <v>0</v>
      </c>
      <c r="Q191" s="304">
        <f t="shared" si="53"/>
        <v>0.6</v>
      </c>
      <c r="R191" s="177">
        <f t="shared" si="54"/>
        <v>0.82833668466890265</v>
      </c>
      <c r="S191" s="799">
        <f t="shared" si="55"/>
        <v>1</v>
      </c>
      <c r="T191" s="176">
        <f t="shared" si="56"/>
        <v>7</v>
      </c>
      <c r="U191" s="250">
        <f t="shared" si="57"/>
        <v>1.8283366846689026</v>
      </c>
      <c r="V191" s="382">
        <f t="shared" si="58"/>
        <v>58.196342318666979</v>
      </c>
      <c r="W191" s="400">
        <f t="shared" si="59"/>
        <v>12.289117214036818</v>
      </c>
      <c r="X191" s="157">
        <f t="shared" si="60"/>
        <v>45834</v>
      </c>
      <c r="Y191" s="383">
        <f t="shared" si="61"/>
        <v>11.839912596376216</v>
      </c>
      <c r="Z191" s="383">
        <f t="shared" si="62"/>
        <v>12.382496630322759</v>
      </c>
      <c r="AA191" s="384">
        <f t="shared" si="63"/>
        <v>13.067968648996214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5.2454366633800258E-2</v>
      </c>
      <c r="AD191" s="230">
        <f>(INDEX(Models!$BJ191:$BT191,,AH191)*(1-AF191)+INDEX(Models!$BJ191:$BT191,,AH191+1)*AF191-ERP_i)*AE191*Ramure*Pc/MaxiM</f>
        <v>0</v>
      </c>
      <c r="AE191" s="304">
        <f t="shared" si="65"/>
        <v>0.6</v>
      </c>
      <c r="AF191" s="177">
        <f t="shared" si="66"/>
        <v>0.82833668466890265</v>
      </c>
      <c r="AG191" s="799">
        <f t="shared" si="74"/>
        <v>1</v>
      </c>
      <c r="AH191" s="176">
        <f t="shared" si="67"/>
        <v>7</v>
      </c>
      <c r="AI191" s="224">
        <f t="shared" si="68"/>
        <v>1.8283366846689026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45835</v>
      </c>
      <c r="B192" s="409">
        <f>IF(t&gt;Tmaj,'2024'!Wh/'2024'!Env_an*'2025'!Env_an,0.001*'[8]mon-tableau'!$B$261)</f>
        <v>15.132961516981307</v>
      </c>
      <c r="C192" s="829"/>
      <c r="D192" s="391">
        <f t="shared" si="50"/>
        <v>15.82675840746013</v>
      </c>
      <c r="E192" s="383">
        <f t="shared" si="75"/>
        <v>16.094413630348956</v>
      </c>
      <c r="F192" s="383">
        <f t="shared" si="51"/>
        <v>16.094413630348956</v>
      </c>
      <c r="G192" s="110">
        <f t="shared" si="76"/>
        <v>0.2603850933963755</v>
      </c>
      <c r="H192" s="412" t="b">
        <f>Wh_hp&gt;='2024'!Maxi_hp</f>
        <v>0</v>
      </c>
      <c r="I192" s="388">
        <f>IF(H192,Wh_hp,'2024'!Maxi_hp)</f>
        <v>60.063496146867578</v>
      </c>
      <c r="J192" s="85">
        <f>IF(H192,An,'2024'!An_max)</f>
        <v>2018</v>
      </c>
      <c r="K192" s="197">
        <f t="shared" si="52"/>
        <v>45835</v>
      </c>
      <c r="L192" s="147">
        <f>IF(t&lt;Tvie,1-EXP((T0-t)*PertePVj)+'2024'!Pspv,1-EXP((T0-t)*PertePVj)+Pspv)</f>
        <v>4.3836954644596915E-2</v>
      </c>
      <c r="M192" s="832"/>
      <c r="N192" s="832"/>
      <c r="O192" s="48">
        <f>IF(t&lt;Tnet,'2024'!Resal+('2024'!Salim-'2024'!Resal)*(1-EXP(('2024'!Tnet-t)/('2024'!Tau_j))),Resal+(Salim-Resal)*(1-EXP((Tnet-t)/(Tau_j))))*Salcycl</f>
        <v>1.6630318384766505E-2</v>
      </c>
      <c r="P192" s="169">
        <f>(INDEX(Models!$BJ192:$BT192,,T192)*(1-R192)+INDEX(Models!$BJ192:$BT192,,T192+1)*R192-ERP_i)*Q192*Ramure*Pc/MaxiM</f>
        <v>0</v>
      </c>
      <c r="Q192" s="304">
        <f t="shared" si="53"/>
        <v>0.6</v>
      </c>
      <c r="R192" s="177">
        <f t="shared" si="54"/>
        <v>0.83293345008661968</v>
      </c>
      <c r="S192" s="799">
        <f t="shared" si="55"/>
        <v>1</v>
      </c>
      <c r="T192" s="176">
        <f t="shared" si="56"/>
        <v>7</v>
      </c>
      <c r="U192" s="250">
        <f t="shared" si="57"/>
        <v>1.8329334500866197</v>
      </c>
      <c r="V192" s="382">
        <f t="shared" si="58"/>
        <v>58.117618484192199</v>
      </c>
      <c r="W192" s="400">
        <f t="shared" si="59"/>
        <v>15.132961516981307</v>
      </c>
      <c r="X192" s="157">
        <f t="shared" si="60"/>
        <v>45835</v>
      </c>
      <c r="Y192" s="383">
        <f t="shared" si="61"/>
        <v>14.580188849889911</v>
      </c>
      <c r="Z192" s="383">
        <f t="shared" si="62"/>
        <v>15.248642917872335</v>
      </c>
      <c r="AA192" s="384">
        <f t="shared" si="63"/>
        <v>16.094413630348956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5.2550576361587067E-2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0.83293345008661968</v>
      </c>
      <c r="AG192" s="799">
        <f t="shared" si="74"/>
        <v>1</v>
      </c>
      <c r="AH192" s="176">
        <f t="shared" si="67"/>
        <v>7</v>
      </c>
      <c r="AI192" s="224">
        <f t="shared" si="68"/>
        <v>1.8329334500866197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45836</v>
      </c>
      <c r="B193" s="409">
        <f>IF(t&gt;Tmaj,'2024'!Wh/'2024'!Env_an*'2025'!Env_an,0.001*'[8]mon-tableau'!$B$262)</f>
        <v>58.074960294560626</v>
      </c>
      <c r="C193" s="829"/>
      <c r="D193" s="391">
        <f t="shared" si="50"/>
        <v>60.738671706005547</v>
      </c>
      <c r="E193" s="383">
        <f t="shared" si="75"/>
        <v>61.773732865744336</v>
      </c>
      <c r="F193" s="383">
        <f t="shared" si="51"/>
        <v>61.773732865744336</v>
      </c>
      <c r="G193" s="110">
        <f t="shared" si="76"/>
        <v>1.0006625966645875</v>
      </c>
      <c r="H193" s="412" t="b">
        <f>Wh_hp&gt;='2024'!Maxi_hp</f>
        <v>1</v>
      </c>
      <c r="I193" s="388">
        <f>IF(H193,Wh_hp,'2024'!Maxi_hp)</f>
        <v>61.773732865744336</v>
      </c>
      <c r="J193" s="85">
        <f>IF(H193,An,'2024'!An_max)</f>
        <v>2025</v>
      </c>
      <c r="K193" s="197">
        <f t="shared" si="52"/>
        <v>45836</v>
      </c>
      <c r="L193" s="147">
        <f>IF(t&lt;Tvie,1-EXP((T0-t)*PertePVj)+'2024'!Pspv,1-EXP((T0-t)*PertePVj)+Pspv)</f>
        <v>4.3855279291225346E-2</v>
      </c>
      <c r="M193" s="832"/>
      <c r="N193" s="832"/>
      <c r="O193" s="48">
        <f>IF(t&lt;Tnet,'2024'!Resal+('2024'!Salim-'2024'!Resal)*(1-EXP(('2024'!Tnet-t)/('2024'!Tau_j))),Resal+(Salim-Resal)*(1-EXP((Tnet-t)/(Tau_j))))*Salcycl</f>
        <v>1.6755684199760701E-2</v>
      </c>
      <c r="P193" s="169">
        <f>(INDEX(Models!$BJ193:$BT193,,T193)*(1-R193)+INDEX(Models!$BJ193:$BT193,,T193+1)*R193-ERP_i)*Q193*Ramure*Pc/MaxiM</f>
        <v>0</v>
      </c>
      <c r="Q193" s="304">
        <f t="shared" si="53"/>
        <v>0.6</v>
      </c>
      <c r="R193" s="177">
        <f t="shared" si="54"/>
        <v>0.83746722961744924</v>
      </c>
      <c r="S193" s="799">
        <f t="shared" si="55"/>
        <v>1</v>
      </c>
      <c r="T193" s="176">
        <f t="shared" si="56"/>
        <v>7</v>
      </c>
      <c r="U193" s="250">
        <f t="shared" si="57"/>
        <v>1.8374672296174492</v>
      </c>
      <c r="V193" s="382">
        <f t="shared" si="58"/>
        <v>58.036505499592288</v>
      </c>
      <c r="W193" s="400">
        <f t="shared" si="59"/>
        <v>58.074960294560626</v>
      </c>
      <c r="X193" s="157">
        <f t="shared" si="60"/>
        <v>45836</v>
      </c>
      <c r="Y193" s="383">
        <f t="shared" si="61"/>
        <v>55.955118840674047</v>
      </c>
      <c r="Z193" s="383">
        <f t="shared" si="62"/>
        <v>58.52159995109885</v>
      </c>
      <c r="AA193" s="384">
        <f t="shared" si="63"/>
        <v>61.773732865744336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5.2645886265502186E-2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0.83746722961744924</v>
      </c>
      <c r="AG193" s="799">
        <f t="shared" si="74"/>
        <v>1</v>
      </c>
      <c r="AH193" s="176">
        <f t="shared" si="67"/>
        <v>7</v>
      </c>
      <c r="AI193" s="224">
        <f t="shared" si="68"/>
        <v>1.8374672296174492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45837</v>
      </c>
      <c r="B194" s="409">
        <f>IF(t&gt;Tmaj,'2024'!Wh/'2024'!Env_an*'2025'!Env_an,0.001*'[8]mon-tableau'!$B$263)</f>
        <v>57.607778027902611</v>
      </c>
      <c r="C194" s="829"/>
      <c r="D194" s="391">
        <f t="shared" si="50"/>
        <v>60.251215994039704</v>
      </c>
      <c r="E194" s="383">
        <f t="shared" si="75"/>
        <v>61.285763413908377</v>
      </c>
      <c r="F194" s="383">
        <f t="shared" si="51"/>
        <v>61.285763413908377</v>
      </c>
      <c r="G194" s="110">
        <f t="shared" si="76"/>
        <v>0.99403951999911422</v>
      </c>
      <c r="H194" s="412" t="b">
        <f>Wh_hp&gt;='2024'!Maxi_hp</f>
        <v>1</v>
      </c>
      <c r="I194" s="388">
        <f>IF(H194,Wh_hp,'2024'!Maxi_hp)</f>
        <v>61.285763413908377</v>
      </c>
      <c r="J194" s="85">
        <f>IF(H194,An,'2024'!An_max)</f>
        <v>2025</v>
      </c>
      <c r="K194" s="197">
        <f t="shared" si="52"/>
        <v>45837</v>
      </c>
      <c r="L194" s="147">
        <f>IF(t&lt;Tvie,1-EXP((T0-t)*PertePVj)+'2024'!Pspv,1-EXP((T0-t)*PertePVj)+Pspv)</f>
        <v>4.3873603586666032E-2</v>
      </c>
      <c r="M194" s="832"/>
      <c r="N194" s="832"/>
      <c r="O194" s="48">
        <f>IF(t&lt;Tnet,'2024'!Resal+('2024'!Salim-'2024'!Resal)*(1-EXP(('2024'!Tnet-t)/('2024'!Tau_j))),Resal+(Salim-Resal)*(1-EXP((Tnet-t)/(Tau_j))))*Salcycl</f>
        <v>1.6880713598713029E-2</v>
      </c>
      <c r="P194" s="169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0.84193556094922162</v>
      </c>
      <c r="S194" s="799">
        <f t="shared" si="55"/>
        <v>1</v>
      </c>
      <c r="T194" s="176">
        <f t="shared" si="56"/>
        <v>7</v>
      </c>
      <c r="U194" s="250">
        <f t="shared" si="57"/>
        <v>1.8419355609492216</v>
      </c>
      <c r="V194" s="382">
        <f t="shared" si="58"/>
        <v>57.953206958968742</v>
      </c>
      <c r="W194" s="400">
        <f t="shared" si="59"/>
        <v>57.607778027902611</v>
      </c>
      <c r="X194" s="157">
        <f t="shared" si="60"/>
        <v>45837</v>
      </c>
      <c r="Y194" s="383">
        <f t="shared" si="61"/>
        <v>55.506515958594306</v>
      </c>
      <c r="Z194" s="383">
        <f t="shared" si="62"/>
        <v>58.053533682171043</v>
      </c>
      <c r="AA194" s="384">
        <f t="shared" si="63"/>
        <v>61.285763413908377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5.2740302995129211E-2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0.84193556094922162</v>
      </c>
      <c r="AG194" s="799">
        <f t="shared" si="74"/>
        <v>1</v>
      </c>
      <c r="AH194" s="176">
        <f t="shared" si="67"/>
        <v>7</v>
      </c>
      <c r="AI194" s="224">
        <f t="shared" si="68"/>
        <v>1.8419355609492216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45838</v>
      </c>
      <c r="B195" s="409">
        <f>IF(t&gt;Tmaj,'2024'!Wh/'2024'!Env_an*'2025'!Env_an,0.001*'[8]mon-tableau'!$B$264)</f>
        <v>14.173089013003962</v>
      </c>
      <c r="C195" s="829"/>
      <c r="D195" s="391">
        <f t="shared" si="50"/>
        <v>14.823731146211401</v>
      </c>
      <c r="E195" s="383">
        <f t="shared" si="75"/>
        <v>15.080175638429733</v>
      </c>
      <c r="F195" s="383">
        <f t="shared" si="51"/>
        <v>15.080175638429733</v>
      </c>
      <c r="G195" s="110">
        <f t="shared" si="76"/>
        <v>0.24492132210197964</v>
      </c>
      <c r="H195" s="412" t="b">
        <f>Wh_hp&gt;='2024'!Maxi_hp</f>
        <v>0</v>
      </c>
      <c r="I195" s="388">
        <f>IF(H195,Wh_hp,'2024'!Maxi_hp)</f>
        <v>48.567329624942467</v>
      </c>
      <c r="J195" s="85">
        <f>IF(H195,An,'2024'!An_max)</f>
        <v>2018</v>
      </c>
      <c r="K195" s="197">
        <f t="shared" si="52"/>
        <v>45838</v>
      </c>
      <c r="L195" s="147">
        <f>IF(t&lt;Tvie,1-EXP((T0-t)*PertePVj)+'2024'!Pspv,1-EXP((T0-t)*PertePVj)+Pspv)</f>
        <v>4.3891927530925856E-2</v>
      </c>
      <c r="M195" s="832"/>
      <c r="N195" s="832"/>
      <c r="O195" s="48">
        <f>IF(t&lt;Tnet,'2024'!Resal+('2024'!Salim-'2024'!Resal)*(1-EXP(('2024'!Tnet-t)/('2024'!Tau_j))),Resal+(Salim-Resal)*(1-EXP((Tnet-t)/(Tau_j))))*Salcycl</f>
        <v>1.7005404868416785E-2</v>
      </c>
      <c r="P195" s="169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0.84633616119477706</v>
      </c>
      <c r="S195" s="799">
        <f t="shared" si="55"/>
        <v>1</v>
      </c>
      <c r="T195" s="176">
        <f t="shared" si="56"/>
        <v>7</v>
      </c>
      <c r="U195" s="250">
        <f t="shared" si="57"/>
        <v>1.8463361611947771</v>
      </c>
      <c r="V195" s="382">
        <f t="shared" si="58"/>
        <v>57.867926284925943</v>
      </c>
      <c r="W195" s="400">
        <f t="shared" si="59"/>
        <v>14.173089013003962</v>
      </c>
      <c r="X195" s="157">
        <f t="shared" si="60"/>
        <v>45838</v>
      </c>
      <c r="Y195" s="383">
        <f t="shared" si="61"/>
        <v>13.656504753753701</v>
      </c>
      <c r="Z195" s="383">
        <f t="shared" si="62"/>
        <v>14.283432121315375</v>
      </c>
      <c r="AA195" s="384">
        <f t="shared" si="63"/>
        <v>15.080175638429733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5.2833835375495679E-2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0.84633616119477706</v>
      </c>
      <c r="AG195" s="799">
        <f t="shared" si="74"/>
        <v>1</v>
      </c>
      <c r="AH195" s="176">
        <f t="shared" si="67"/>
        <v>7</v>
      </c>
      <c r="AI195" s="224">
        <f t="shared" si="68"/>
        <v>1.8463361611947771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45839</v>
      </c>
      <c r="B196" s="409">
        <f>IF(t&gt;Tmaj,'2024'!Wh/'2024'!Env_an*'2025'!Env_an,0.001*[9]mois!$B$242)</f>
        <v>48.145795439813824</v>
      </c>
      <c r="C196" s="829"/>
      <c r="D196" s="391">
        <f t="shared" si="50"/>
        <v>50.356983218798909</v>
      </c>
      <c r="E196" s="383">
        <f t="shared" si="75"/>
        <v>51.234619809636129</v>
      </c>
      <c r="F196" s="383">
        <f t="shared" si="51"/>
        <v>51.234619809636129</v>
      </c>
      <c r="G196" s="110">
        <f t="shared" si="76"/>
        <v>0.83324806571576482</v>
      </c>
      <c r="H196" s="412" t="b">
        <f>Wh_hp&gt;='2024'!Maxi_hp</f>
        <v>0</v>
      </c>
      <c r="I196" s="388">
        <f>IF(H196,Wh_hp,'2024'!Maxi_hp)</f>
        <v>60.829668831248355</v>
      </c>
      <c r="J196" s="85">
        <f>IF(H196,An,'2024'!An_max)</f>
        <v>2020</v>
      </c>
      <c r="K196" s="197">
        <f t="shared" si="52"/>
        <v>45839</v>
      </c>
      <c r="L196" s="147">
        <f>IF(t&lt;Tvie,1-EXP((T0-t)*PertePVj)+'2024'!Pspv,1-EXP((T0-t)*PertePVj)+Pspv)</f>
        <v>4.3910251124011368E-2</v>
      </c>
      <c r="M196" s="832"/>
      <c r="N196" s="832"/>
      <c r="O196" s="48">
        <f>IF(t&lt;Tnet,'2024'!Resal+('2024'!Salim-'2024'!Resal)*(1-EXP(('2024'!Tnet-t)/('2024'!Tau_j))),Resal+(Salim-Resal)*(1-EXP((Tnet-t)/(Tau_j))))*Salcycl</f>
        <v>1.7129757068523419E-2</v>
      </c>
      <c r="P196" s="169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0.85066692871572003</v>
      </c>
      <c r="S196" s="799">
        <f t="shared" si="55"/>
        <v>1</v>
      </c>
      <c r="T196" s="176">
        <f t="shared" si="56"/>
        <v>7</v>
      </c>
      <c r="U196" s="250">
        <f t="shared" si="57"/>
        <v>1.85066692871572</v>
      </c>
      <c r="V196" s="382">
        <f t="shared" si="58"/>
        <v>57.780866731993321</v>
      </c>
      <c r="W196" s="400">
        <f t="shared" si="59"/>
        <v>48.145795439813824</v>
      </c>
      <c r="X196" s="157">
        <f t="shared" si="60"/>
        <v>45839</v>
      </c>
      <c r="Y196" s="383">
        <f t="shared" si="61"/>
        <v>46.392296032381317</v>
      </c>
      <c r="Z196" s="383">
        <f t="shared" si="62"/>
        <v>48.522950995888898</v>
      </c>
      <c r="AA196" s="384">
        <f t="shared" si="63"/>
        <v>51.234619809636129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5.2926494308390019E-2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0.85066692871572003</v>
      </c>
      <c r="AG196" s="799">
        <f t="shared" si="74"/>
        <v>1</v>
      </c>
      <c r="AH196" s="176">
        <f t="shared" si="67"/>
        <v>7</v>
      </c>
      <c r="AI196" s="224">
        <f t="shared" si="68"/>
        <v>1.85066692871572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45840</v>
      </c>
      <c r="B197" s="409">
        <f>IF(t&gt;Tmaj,'2024'!Wh/'2024'!Env_an*'2025'!Env_an,0.001*[9]mois!$B$243)</f>
        <v>35.211201623069648</v>
      </c>
      <c r="C197" s="829"/>
      <c r="D197" s="391">
        <f t="shared" si="50"/>
        <v>36.829049251960889</v>
      </c>
      <c r="E197" s="383">
        <f t="shared" si="75"/>
        <v>37.47564541912508</v>
      </c>
      <c r="F197" s="383">
        <f t="shared" si="51"/>
        <v>37.47564541912508</v>
      </c>
      <c r="G197" s="110">
        <f t="shared" si="76"/>
        <v>0.61032830202047483</v>
      </c>
      <c r="H197" s="412" t="b">
        <f>Wh_hp&gt;='2024'!Maxi_hp</f>
        <v>0</v>
      </c>
      <c r="I197" s="388">
        <f>IF(H197,Wh_hp,'2024'!Maxi_hp)</f>
        <v>55.982473400012779</v>
      </c>
      <c r="J197" s="85">
        <f>IF(H197,An,'2024'!An_max)</f>
        <v>2021</v>
      </c>
      <c r="K197" s="197">
        <f t="shared" si="52"/>
        <v>45840</v>
      </c>
      <c r="L197" s="147">
        <f>IF(t&lt;Tvie,1-EXP((T0-t)*PertePVj)+'2024'!Pspv,1-EXP((T0-t)*PertePVj)+Pspv)</f>
        <v>4.3928574365929451E-2</v>
      </c>
      <c r="M197" s="832"/>
      <c r="N197" s="832"/>
      <c r="O197" s="48">
        <f>IF(t&lt;Tnet,'2024'!Resal+('2024'!Salim-'2024'!Resal)*(1-EXP(('2024'!Tnet-t)/('2024'!Tau_j))),Resal+(Salim-Resal)*(1-EXP((Tnet-t)/(Tau_j))))*Salcycl</f>
        <v>1.7253770013370136E-2</v>
      </c>
      <c r="P197" s="169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0.85492594402338051</v>
      </c>
      <c r="S197" s="799">
        <f t="shared" si="55"/>
        <v>1</v>
      </c>
      <c r="T197" s="176">
        <f t="shared" si="56"/>
        <v>7</v>
      </c>
      <c r="U197" s="250">
        <f t="shared" si="57"/>
        <v>1.8549259440233805</v>
      </c>
      <c r="V197" s="382">
        <f t="shared" si="58"/>
        <v>57.692231388424794</v>
      </c>
      <c r="W197" s="400">
        <f t="shared" si="59"/>
        <v>35.211201623069648</v>
      </c>
      <c r="X197" s="157">
        <f t="shared" si="60"/>
        <v>45840</v>
      </c>
      <c r="Y197" s="383">
        <f t="shared" si="61"/>
        <v>33.929780459049063</v>
      </c>
      <c r="Z197" s="383">
        <f t="shared" si="62"/>
        <v>35.488750682561914</v>
      </c>
      <c r="AA197" s="384">
        <f t="shared" si="63"/>
        <v>37.47564541912508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5.3018292662924536E-2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0.85492594402338051</v>
      </c>
      <c r="AG197" s="799">
        <f t="shared" si="74"/>
        <v>1</v>
      </c>
      <c r="AH197" s="176">
        <f t="shared" si="67"/>
        <v>7</v>
      </c>
      <c r="AI197" s="224">
        <f t="shared" si="68"/>
        <v>1.8549259440233805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45841</v>
      </c>
      <c r="B198" s="409">
        <f>IF(t&gt;Tmaj,'2024'!Wh/'2024'!Env_an*'2025'!Env_an,0.001*[9]mois!$B$244)</f>
        <v>50.034558596685372</v>
      </c>
      <c r="C198" s="829"/>
      <c r="D198" s="391">
        <f t="shared" si="50"/>
        <v>52.334497375841842</v>
      </c>
      <c r="E198" s="383">
        <f t="shared" si="75"/>
        <v>53.260020411249151</v>
      </c>
      <c r="F198" s="383">
        <f t="shared" si="51"/>
        <v>53.260020411249151</v>
      </c>
      <c r="G198" s="110">
        <f t="shared" si="76"/>
        <v>0.86862200511697973</v>
      </c>
      <c r="H198" s="412" t="b">
        <f>Wh_hp&gt;='2024'!Maxi_hp</f>
        <v>1</v>
      </c>
      <c r="I198" s="388">
        <f>IF(H198,Wh_hp,'2024'!Maxi_hp)</f>
        <v>53.260020411249151</v>
      </c>
      <c r="J198" s="85">
        <f>IF(H198,An,'2024'!An_max)</f>
        <v>2025</v>
      </c>
      <c r="K198" s="197">
        <f t="shared" si="52"/>
        <v>45841</v>
      </c>
      <c r="L198" s="147">
        <f>IF(t&lt;Tvie,1-EXP((T0-t)*PertePVj)+'2024'!Pspv,1-EXP((T0-t)*PertePVj)+Pspv)</f>
        <v>4.3946897256686879E-2</v>
      </c>
      <c r="M198" s="832"/>
      <c r="N198" s="832"/>
      <c r="O198" s="48">
        <f>IF(t&lt;Tnet,'2024'!Resal+('2024'!Salim-'2024'!Resal)*(1-EXP(('2024'!Tnet-t)/('2024'!Tau_j))),Resal+(Salim-Resal)*(1-EXP((Tnet-t)/(Tau_j))))*Salcycl</f>
        <v>1.7377444249191958E-2</v>
      </c>
      <c r="P198" s="169">
        <f>(INDEX(Models!$BJ198:$BT198,,T198)*(1-R198)+INDEX(Models!$BJ198:$BT198,,T198+1)*R198-ERP_i)*Q198*Ramure*Pc/MaxiM</f>
        <v>0</v>
      </c>
      <c r="Q198" s="304">
        <f t="shared" si="53"/>
        <v>0.6</v>
      </c>
      <c r="R198" s="177">
        <f t="shared" si="54"/>
        <v>0.85911146979067698</v>
      </c>
      <c r="S198" s="799">
        <f t="shared" si="55"/>
        <v>1</v>
      </c>
      <c r="T198" s="176">
        <f t="shared" si="56"/>
        <v>7</v>
      </c>
      <c r="U198" s="250">
        <f t="shared" si="57"/>
        <v>1.859111469790677</v>
      </c>
      <c r="V198" s="382">
        <f t="shared" si="58"/>
        <v>57.6022231787083</v>
      </c>
      <c r="W198" s="400">
        <f t="shared" si="59"/>
        <v>50.034558596685372</v>
      </c>
      <c r="X198" s="157">
        <f t="shared" si="60"/>
        <v>45841</v>
      </c>
      <c r="Y198" s="383">
        <f t="shared" si="61"/>
        <v>48.215116456075243</v>
      </c>
      <c r="Z198" s="383">
        <f t="shared" si="62"/>
        <v>50.431420930203629</v>
      </c>
      <c r="AA198" s="384">
        <f t="shared" si="63"/>
        <v>53.260020411249151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5.3109245156205236E-2</v>
      </c>
      <c r="AD198" s="230">
        <f>(INDEX(Models!$BJ198:$BT198,,AH198)*(1-AF198)+INDEX(Models!$BJ198:$BT198,,AH198+1)*AF198-ERP_i)*AE198*Ramure*Pc/MaxiM</f>
        <v>0</v>
      </c>
      <c r="AE198" s="304">
        <f t="shared" si="65"/>
        <v>0.6</v>
      </c>
      <c r="AF198" s="177">
        <f t="shared" si="66"/>
        <v>0.85911146979067698</v>
      </c>
      <c r="AG198" s="799">
        <f t="shared" si="74"/>
        <v>1</v>
      </c>
      <c r="AH198" s="176">
        <f t="shared" si="67"/>
        <v>7</v>
      </c>
      <c r="AI198" s="224">
        <f t="shared" si="68"/>
        <v>1.859111469790677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45842</v>
      </c>
      <c r="B199" s="409">
        <f>IF(t&gt;Tmaj,'2024'!Wh/'2024'!Env_an*'2025'!Env_an,0.001*[9]mois!$B$245)</f>
        <v>45.308336024167772</v>
      </c>
      <c r="C199" s="829"/>
      <c r="D199" s="391">
        <f t="shared" si="50"/>
        <v>47.391932764740602</v>
      </c>
      <c r="E199" s="383">
        <f t="shared" si="75"/>
        <v>48.236102227414882</v>
      </c>
      <c r="F199" s="383">
        <f t="shared" si="51"/>
        <v>48.236102227414882</v>
      </c>
      <c r="G199" s="110">
        <f t="shared" si="76"/>
        <v>0.78781973324448795</v>
      </c>
      <c r="H199" s="412" t="b">
        <f>Wh_hp&gt;='2024'!Maxi_hp</f>
        <v>0</v>
      </c>
      <c r="I199" s="388">
        <f>IF(H199,Wh_hp,'2024'!Maxi_hp)</f>
        <v>58.038793817867159</v>
      </c>
      <c r="J199" s="85">
        <f>IF(H199,An,'2024'!An_max)</f>
        <v>2018</v>
      </c>
      <c r="K199" s="197">
        <f t="shared" si="52"/>
        <v>45842</v>
      </c>
      <c r="L199" s="147">
        <f>IF(t&lt;Tvie,1-EXP((T0-t)*PertePVj)+'2024'!Pspv,1-EXP((T0-t)*PertePVj)+Pspv)</f>
        <v>4.39652197962902E-2</v>
      </c>
      <c r="M199" s="832"/>
      <c r="N199" s="832"/>
      <c r="O199" s="48">
        <f>IF(t&lt;Tnet,'2024'!Resal+('2024'!Salim-'2024'!Resal)*(1-EXP(('2024'!Tnet-t)/('2024'!Tau_j))),Resal+(Salim-Resal)*(1-EXP((Tnet-t)/(Tau_j))))*Salcycl</f>
        <v>1.7500781026923439E-2</v>
      </c>
      <c r="P199" s="169">
        <f>(INDEX(Models!$BJ199:$BT199,,T199)*(1-R199)+INDEX(Models!$BJ199:$BT199,,T199+1)*R199-ERP_i)*Q199*Ramure*Pc/MaxiM</f>
        <v>0</v>
      </c>
      <c r="Q199" s="304">
        <f t="shared" si="53"/>
        <v>0.6</v>
      </c>
      <c r="R199" s="177">
        <f t="shared" si="54"/>
        <v>0.86322195001463431</v>
      </c>
      <c r="S199" s="799">
        <f t="shared" si="55"/>
        <v>1</v>
      </c>
      <c r="T199" s="176">
        <f t="shared" si="56"/>
        <v>7</v>
      </c>
      <c r="U199" s="250">
        <f t="shared" si="57"/>
        <v>1.8632219500146343</v>
      </c>
      <c r="V199" s="382">
        <f t="shared" si="58"/>
        <v>57.511044865014846</v>
      </c>
      <c r="W199" s="400">
        <f t="shared" si="59"/>
        <v>45.308336024167772</v>
      </c>
      <c r="X199" s="157">
        <f t="shared" si="60"/>
        <v>45842</v>
      </c>
      <c r="Y199" s="383">
        <f t="shared" si="61"/>
        <v>43.662081703425322</v>
      </c>
      <c r="Z199" s="383">
        <f t="shared" si="62"/>
        <v>45.669972063277761</v>
      </c>
      <c r="AA199" s="384">
        <f t="shared" si="63"/>
        <v>48.236102227414882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5.3199368225044272E-2</v>
      </c>
      <c r="AD199" s="230">
        <f>(INDEX(Models!$BJ199:$BT199,,AH199)*(1-AF199)+INDEX(Models!$BJ199:$BT199,,AH199+1)*AF199-ERP_i)*AE199*Ramure*Pc/MaxiM</f>
        <v>0</v>
      </c>
      <c r="AE199" s="304">
        <f t="shared" si="65"/>
        <v>0.6</v>
      </c>
      <c r="AF199" s="177">
        <f t="shared" si="66"/>
        <v>0.86322195001463431</v>
      </c>
      <c r="AG199" s="799">
        <f t="shared" si="74"/>
        <v>1</v>
      </c>
      <c r="AH199" s="176">
        <f t="shared" si="67"/>
        <v>7</v>
      </c>
      <c r="AI199" s="224">
        <f t="shared" si="68"/>
        <v>1.8632219500146343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45843</v>
      </c>
      <c r="B200" s="409">
        <f>IF(t&gt;Tmaj,'2024'!Wh/'2024'!Env_an*'2025'!Env_an,0.001*[9]mois!$B$246)</f>
        <v>56.480162819466912</v>
      </c>
      <c r="C200" s="829"/>
      <c r="D200" s="391">
        <f t="shared" si="50"/>
        <v>59.078651152850483</v>
      </c>
      <c r="E200" s="383">
        <f t="shared" si="75"/>
        <v>60.13851932349808</v>
      </c>
      <c r="F200" s="383">
        <f t="shared" si="51"/>
        <v>60.13851932349808</v>
      </c>
      <c r="G200" s="110">
        <f t="shared" si="76"/>
        <v>0.98365109316285027</v>
      </c>
      <c r="H200" s="412" t="b">
        <f>Wh_hp&gt;='2024'!Maxi_hp</f>
        <v>1</v>
      </c>
      <c r="I200" s="388">
        <f>IF(H200,Wh_hp,'2024'!Maxi_hp)</f>
        <v>60.13851932349808</v>
      </c>
      <c r="J200" s="85">
        <f>IF(H200,An,'2024'!An_max)</f>
        <v>2025</v>
      </c>
      <c r="K200" s="197">
        <f t="shared" si="52"/>
        <v>45843</v>
      </c>
      <c r="L200" s="147">
        <f>IF(t&lt;Tvie,1-EXP((T0-t)*PertePVj)+'2024'!Pspv,1-EXP((T0-t)*PertePVj)+Pspv)</f>
        <v>4.3983541984746188E-2</v>
      </c>
      <c r="M200" s="832"/>
      <c r="N200" s="832"/>
      <c r="O200" s="48">
        <f>IF(t&lt;Tnet,'2024'!Resal+('2024'!Salim-'2024'!Resal)*(1-EXP(('2024'!Tnet-t)/('2024'!Tau_j))),Resal+(Salim-Resal)*(1-EXP((Tnet-t)/(Tau_j))))*Salcycl</f>
        <v>1.7623782270832701E-2</v>
      </c>
      <c r="P200" s="169">
        <f>(INDEX(Models!$BJ200:$BT200,,T200)*(1-R200)+INDEX(Models!$BJ200:$BT200,,T200+1)*R200-ERP_i)*Q200*Ramure*Pc/MaxiM</f>
        <v>0</v>
      </c>
      <c r="Q200" s="304">
        <f t="shared" si="53"/>
        <v>0.6</v>
      </c>
      <c r="R200" s="177">
        <f t="shared" si="54"/>
        <v>0.86725600837460792</v>
      </c>
      <c r="S200" s="799">
        <f t="shared" si="55"/>
        <v>1</v>
      </c>
      <c r="T200" s="176">
        <f t="shared" si="56"/>
        <v>7</v>
      </c>
      <c r="U200" s="250">
        <f t="shared" si="57"/>
        <v>1.8672560083746079</v>
      </c>
      <c r="V200" s="382">
        <f t="shared" si="58"/>
        <v>57.418899050739142</v>
      </c>
      <c r="W200" s="400">
        <f t="shared" si="59"/>
        <v>56.480162819466912</v>
      </c>
      <c r="X200" s="157">
        <f t="shared" si="60"/>
        <v>45843</v>
      </c>
      <c r="Y200" s="383">
        <f t="shared" si="61"/>
        <v>54.429666087053512</v>
      </c>
      <c r="Z200" s="383">
        <f t="shared" si="62"/>
        <v>56.933817018226534</v>
      </c>
      <c r="AA200" s="384">
        <f t="shared" si="63"/>
        <v>60.13851932349808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5.3288679889718645E-2</v>
      </c>
      <c r="AD200" s="230">
        <f>(INDEX(Models!$BJ200:$BT200,,AH200)*(1-AF200)+INDEX(Models!$BJ200:$BT200,,AH200+1)*AF200-ERP_i)*AE200*Ramure*Pc/MaxiM</f>
        <v>0</v>
      </c>
      <c r="AE200" s="304">
        <f t="shared" si="65"/>
        <v>0.6</v>
      </c>
      <c r="AF200" s="177">
        <f t="shared" si="66"/>
        <v>0.86725600837460792</v>
      </c>
      <c r="AG200" s="799">
        <f t="shared" si="74"/>
        <v>1</v>
      </c>
      <c r="AH200" s="176">
        <f t="shared" si="67"/>
        <v>7</v>
      </c>
      <c r="AI200" s="224">
        <f t="shared" si="68"/>
        <v>1.8672560083746079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45844</v>
      </c>
      <c r="B201" s="409">
        <f>IF(t&gt;Tmaj,'2024'!Wh/'2024'!Env_an*'2025'!Env_an,0.001*[9]mois!$B$247)</f>
        <v>46.056665225653127</v>
      </c>
      <c r="C201" s="829"/>
      <c r="D201" s="391">
        <f t="shared" si="50"/>
        <v>48.176521985478722</v>
      </c>
      <c r="E201" s="383">
        <f t="shared" si="75"/>
        <v>49.046930919337704</v>
      </c>
      <c r="F201" s="383">
        <f t="shared" si="51"/>
        <v>49.046930919337704</v>
      </c>
      <c r="G201" s="110">
        <f t="shared" si="76"/>
        <v>0.80341685655393913</v>
      </c>
      <c r="H201" s="412" t="b">
        <f>Wh_hp&gt;='2024'!Maxi_hp</f>
        <v>0</v>
      </c>
      <c r="I201" s="388">
        <f>IF(H201,Wh_hp,'2024'!Maxi_hp)</f>
        <v>59.81714469792518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4.4001863822061615E-2</v>
      </c>
      <c r="M201" s="832"/>
      <c r="N201" s="832"/>
      <c r="O201" s="48">
        <f>IF(t&lt;Tnet,'2024'!Resal+('2024'!Salim-'2024'!Resal)*(1-EXP(('2024'!Tnet-t)/('2024'!Tau_j))),Resal+(Salim-Resal)*(1-EXP((Tnet-t)/(Tau_j))))*Salcycl</f>
        <v>1.7746450543265412E-2</v>
      </c>
      <c r="P201" s="169">
        <f>(INDEX(Models!$BJ201:$BT201,,T201)*(1-R201)+INDEX(Models!$BJ201:$BT201,,T201+1)*R201-ERP_i)*Q201*Ramure*Pc/MaxiM</f>
        <v>0</v>
      </c>
      <c r="Q201" s="304">
        <f t="shared" si="53"/>
        <v>0.6</v>
      </c>
      <c r="R201" s="177">
        <f t="shared" si="54"/>
        <v>0.87121244583573421</v>
      </c>
      <c r="S201" s="799">
        <f t="shared" si="55"/>
        <v>1</v>
      </c>
      <c r="T201" s="176">
        <f t="shared" si="56"/>
        <v>7</v>
      </c>
      <c r="U201" s="250">
        <f t="shared" si="57"/>
        <v>1.8712124458357342</v>
      </c>
      <c r="V201" s="382">
        <f t="shared" si="58"/>
        <v>57.325988184019408</v>
      </c>
      <c r="W201" s="400">
        <f t="shared" si="59"/>
        <v>46.056665225653127</v>
      </c>
      <c r="X201" s="157">
        <f t="shared" si="60"/>
        <v>45844</v>
      </c>
      <c r="Y201" s="383">
        <f t="shared" si="61"/>
        <v>44.38598306578514</v>
      </c>
      <c r="Z201" s="383">
        <f t="shared" si="62"/>
        <v>46.428943097357305</v>
      </c>
      <c r="AA201" s="384">
        <f t="shared" si="63"/>
        <v>49.046930919337704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5.3377199610836555E-2</v>
      </c>
      <c r="AD201" s="230">
        <f>(INDEX(Models!$BJ201:$BT201,,AH201)*(1-AF201)+INDEX(Models!$BJ201:$BT201,,AH201+1)*AF201-ERP_i)*AE201*Ramure*Pc/MaxiM</f>
        <v>0</v>
      </c>
      <c r="AE201" s="304">
        <f t="shared" si="65"/>
        <v>0.6</v>
      </c>
      <c r="AF201" s="177">
        <f t="shared" si="66"/>
        <v>0.87121244583573421</v>
      </c>
      <c r="AG201" s="799">
        <f t="shared" si="74"/>
        <v>1</v>
      </c>
      <c r="AH201" s="176">
        <f t="shared" si="67"/>
        <v>7</v>
      </c>
      <c r="AI201" s="224">
        <f t="shared" si="68"/>
        <v>1.8712124458357342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45845</v>
      </c>
      <c r="B202" s="409">
        <f>IF(t&gt;Tmaj,'2024'!Wh/'2024'!Env_an*'2025'!Env_an,0.001*[9]mois!$B$248)</f>
        <v>56.163351196635162</v>
      </c>
      <c r="C202" s="829"/>
      <c r="D202" s="391">
        <f t="shared" si="50"/>
        <v>58.749515767489612</v>
      </c>
      <c r="E202" s="383">
        <f t="shared" si="75"/>
        <v>59.818398101836763</v>
      </c>
      <c r="F202" s="383">
        <f t="shared" si="51"/>
        <v>59.818398101836763</v>
      </c>
      <c r="G202" s="110">
        <f t="shared" si="76"/>
        <v>0.98131895178301876</v>
      </c>
      <c r="H202" s="412" t="b">
        <f>Wh_hp&gt;='2024'!Maxi_hp</f>
        <v>1</v>
      </c>
      <c r="I202" s="388">
        <f>IF(H202,Wh_hp,'2024'!Maxi_hp)</f>
        <v>59.818398101836763</v>
      </c>
      <c r="J202" s="85">
        <f>IF(H202,An,'2024'!An_max)</f>
        <v>2025</v>
      </c>
      <c r="K202" s="197">
        <f t="shared" si="52"/>
        <v>45845</v>
      </c>
      <c r="L202" s="147">
        <f>IF(t&lt;Tvie,1-EXP((T0-t)*PertePVj)+'2024'!Pspv,1-EXP((T0-t)*PertePVj)+Pspv)</f>
        <v>4.4020185308243254E-2</v>
      </c>
      <c r="M202" s="832"/>
      <c r="N202" s="832"/>
      <c r="O202" s="48">
        <f>IF(t&lt;Tnet,'2024'!Resal+('2024'!Salim-'2024'!Resal)*(1-EXP(('2024'!Tnet-t)/('2024'!Tau_j))),Resal+(Salim-Resal)*(1-EXP((Tnet-t)/(Tau_j))))*Salcycl</f>
        <v>1.78687890058081E-2</v>
      </c>
      <c r="P202" s="169">
        <f>(INDEX(Models!$BJ202:$BT202,,T202)*(1-R202)+INDEX(Models!$BJ202:$BT202,,T202+1)*R202-ERP_i)*Q202*Ramure*Pc/MaxiM</f>
        <v>0</v>
      </c>
      <c r="Q202" s="304">
        <f t="shared" si="53"/>
        <v>0.6</v>
      </c>
      <c r="R202" s="177">
        <f t="shared" si="54"/>
        <v>0.87509023755077386</v>
      </c>
      <c r="S202" s="799">
        <f t="shared" si="55"/>
        <v>1</v>
      </c>
      <c r="T202" s="176">
        <f t="shared" si="56"/>
        <v>7</v>
      </c>
      <c r="U202" s="250">
        <f t="shared" si="57"/>
        <v>1.8750902375507739</v>
      </c>
      <c r="V202" s="382">
        <f t="shared" si="58"/>
        <v>57.232514560723104</v>
      </c>
      <c r="W202" s="400">
        <f t="shared" si="59"/>
        <v>56.163351196635162</v>
      </c>
      <c r="X202" s="157">
        <f t="shared" si="60"/>
        <v>45845</v>
      </c>
      <c r="Y202" s="383">
        <f t="shared" si="61"/>
        <v>54.127778388899152</v>
      </c>
      <c r="Z202" s="383">
        <f t="shared" si="62"/>
        <v>56.620210549478969</v>
      </c>
      <c r="AA202" s="384">
        <f t="shared" si="63"/>
        <v>59.818398101836763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5.3464948140421527E-2</v>
      </c>
      <c r="AD202" s="230">
        <f>(INDEX(Models!$BJ202:$BT202,,AH202)*(1-AF202)+INDEX(Models!$BJ202:$BT202,,AH202+1)*AF202-ERP_i)*AE202*Ramure*Pc/MaxiM</f>
        <v>0</v>
      </c>
      <c r="AE202" s="304">
        <f t="shared" si="65"/>
        <v>0.6</v>
      </c>
      <c r="AF202" s="177">
        <f t="shared" si="66"/>
        <v>0.87509023755077386</v>
      </c>
      <c r="AG202" s="799">
        <f t="shared" si="74"/>
        <v>1</v>
      </c>
      <c r="AH202" s="176">
        <f t="shared" si="67"/>
        <v>7</v>
      </c>
      <c r="AI202" s="224">
        <f t="shared" si="68"/>
        <v>1.8750902375507739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45846</v>
      </c>
      <c r="B203" s="409">
        <f>IF(t&gt;Tmaj,'2024'!Wh/'2024'!Env_an*'2025'!Env_an,0.001*[9]mois!$B$249)</f>
        <v>58.007449225596709</v>
      </c>
      <c r="C203" s="829"/>
      <c r="D203" s="391">
        <f t="shared" si="50"/>
        <v>60.679692243436619</v>
      </c>
      <c r="E203" s="383">
        <f t="shared" si="75"/>
        <v>61.791368480597036</v>
      </c>
      <c r="F203" s="383">
        <f t="shared" si="51"/>
        <v>61.791368480597036</v>
      </c>
      <c r="G203" s="110">
        <f t="shared" si="76"/>
        <v>1.0152045670878949</v>
      </c>
      <c r="H203" s="412" t="b">
        <f>Wh_hp&gt;='2024'!Maxi_hp</f>
        <v>0</v>
      </c>
      <c r="I203" s="388">
        <f>IF(H203,Wh_hp,'2024'!Maxi_hp)</f>
        <v>63.269155638139843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4.4038506443297765E-2</v>
      </c>
      <c r="M203" s="832"/>
      <c r="N203" s="832"/>
      <c r="O203" s="48">
        <f>IF(t&lt;Tnet,'2024'!Resal+('2024'!Salim-'2024'!Resal)*(1-EXP(('2024'!Tnet-t)/('2024'!Tau_j))),Resal+(Salim-Resal)*(1-EXP((Tnet-t)/(Tau_j))))*Salcycl</f>
        <v>1.7990801377209993E-2</v>
      </c>
      <c r="P203" s="169">
        <f>(INDEX(Models!$BJ203:$BT203,,T203)*(1-R203)+INDEX(Models!$BJ203:$BT203,,T203+1)*R203-ERP_i)*Q203*Ramure*Pc/MaxiM</f>
        <v>0</v>
      </c>
      <c r="Q203" s="304">
        <f t="shared" si="53"/>
        <v>0.6</v>
      </c>
      <c r="R203" s="177">
        <f t="shared" si="54"/>
        <v>0.87888852911637616</v>
      </c>
      <c r="S203" s="799">
        <f t="shared" si="55"/>
        <v>1</v>
      </c>
      <c r="T203" s="176">
        <f t="shared" si="56"/>
        <v>7</v>
      </c>
      <c r="U203" s="250">
        <f t="shared" si="57"/>
        <v>1.8788885291163762</v>
      </c>
      <c r="V203" s="382">
        <f t="shared" si="58"/>
        <v>57.1386803272473</v>
      </c>
      <c r="W203" s="400">
        <f t="shared" si="59"/>
        <v>58.007449225596709</v>
      </c>
      <c r="X203" s="157">
        <f t="shared" si="60"/>
        <v>45846</v>
      </c>
      <c r="Y203" s="383">
        <f t="shared" si="61"/>
        <v>55.906846325564032</v>
      </c>
      <c r="Z203" s="383">
        <f t="shared" si="62"/>
        <v>58.482320367905025</v>
      </c>
      <c r="AA203" s="384">
        <f t="shared" si="63"/>
        <v>61.791368480597036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5.3551947368362225E-2</v>
      </c>
      <c r="AD203" s="230">
        <f>(INDEX(Models!$BJ203:$BT203,,AH203)*(1-AF203)+INDEX(Models!$BJ203:$BT203,,AH203+1)*AF203-ERP_i)*AE203*Ramure*Pc/MaxiM</f>
        <v>0</v>
      </c>
      <c r="AE203" s="304">
        <f t="shared" si="65"/>
        <v>0.6</v>
      </c>
      <c r="AF203" s="177">
        <f t="shared" si="66"/>
        <v>0.87888852911637616</v>
      </c>
      <c r="AG203" s="799">
        <f t="shared" si="74"/>
        <v>1</v>
      </c>
      <c r="AH203" s="176">
        <f t="shared" si="67"/>
        <v>7</v>
      </c>
      <c r="AI203" s="224">
        <f t="shared" si="68"/>
        <v>1.8788885291163762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45847</v>
      </c>
      <c r="B204" s="409">
        <f>IF(t&gt;Tmaj,'2024'!Wh/'2024'!Env_an*'2025'!Env_an,0.001*[9]mois!$B$250)</f>
        <v>57.31985049788841</v>
      </c>
      <c r="C204" s="829"/>
      <c r="D204" s="391">
        <f t="shared" si="50"/>
        <v>59.961566890664528</v>
      </c>
      <c r="E204" s="383">
        <f t="shared" si="75"/>
        <v>61.067654283520113</v>
      </c>
      <c r="F204" s="383">
        <f t="shared" si="51"/>
        <v>61.067654283520113</v>
      </c>
      <c r="G204" s="110">
        <f t="shared" si="76"/>
        <v>1.0048236395791403</v>
      </c>
      <c r="H204" s="412" t="b">
        <f>Wh_hp&gt;='2024'!Maxi_hp</f>
        <v>1</v>
      </c>
      <c r="I204" s="388">
        <f>IF(H204,Wh_hp,'2024'!Maxi_hp)</f>
        <v>61.067654283520113</v>
      </c>
      <c r="J204" s="85">
        <f>IF(H204,An,'2024'!An_max)</f>
        <v>2025</v>
      </c>
      <c r="K204" s="197">
        <f t="shared" si="52"/>
        <v>45847</v>
      </c>
      <c r="L204" s="147">
        <f>IF(t&lt;Tvie,1-EXP((T0-t)*PertePVj)+'2024'!Pspv,1-EXP((T0-t)*PertePVj)+Pspv)</f>
        <v>4.4056827227231921E-2</v>
      </c>
      <c r="M204" s="832"/>
      <c r="N204" s="832"/>
      <c r="O204" s="48">
        <f>IF(t&lt;Tnet,'2024'!Resal+('2024'!Salim-'2024'!Resal)*(1-EXP(('2024'!Tnet-t)/('2024'!Tau_j))),Resal+(Salim-Resal)*(1-EXP((Tnet-t)/(Tau_j))))*Salcycl</f>
        <v>1.8112491888427982E-2</v>
      </c>
      <c r="P204" s="169">
        <f>(INDEX(Models!$BJ204:$BT204,,T204)*(1-R204)+INDEX(Models!$BJ204:$BT204,,T204+1)*R204-ERP_i)*Q204*Ramure*Pc/MaxiM</f>
        <v>0</v>
      </c>
      <c r="Q204" s="304">
        <f t="shared" si="53"/>
        <v>0.6</v>
      </c>
      <c r="R204" s="177">
        <f t="shared" si="54"/>
        <v>0.88260663224182823</v>
      </c>
      <c r="S204" s="799">
        <f t="shared" si="55"/>
        <v>1</v>
      </c>
      <c r="T204" s="176">
        <f t="shared" si="56"/>
        <v>7</v>
      </c>
      <c r="U204" s="250">
        <f t="shared" si="57"/>
        <v>1.8826066322418282</v>
      </c>
      <c r="V204" s="382">
        <f t="shared" si="58"/>
        <v>57.044687485553403</v>
      </c>
      <c r="W204" s="400">
        <f t="shared" si="59"/>
        <v>57.31985049788841</v>
      </c>
      <c r="X204" s="157">
        <f t="shared" si="60"/>
        <v>45847</v>
      </c>
      <c r="Y204" s="383">
        <f t="shared" si="61"/>
        <v>55.245957697702714</v>
      </c>
      <c r="Z204" s="383">
        <f t="shared" si="62"/>
        <v>57.792093998075892</v>
      </c>
      <c r="AA204" s="384">
        <f t="shared" si="63"/>
        <v>61.067654283520113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5.3638220165403892E-2</v>
      </c>
      <c r="AD204" s="230">
        <f>(INDEX(Models!$BJ204:$BT204,,AH204)*(1-AF204)+INDEX(Models!$BJ204:$BT204,,AH204+1)*AF204-ERP_i)*AE204*Ramure*Pc/MaxiM</f>
        <v>0</v>
      </c>
      <c r="AE204" s="304">
        <f t="shared" si="65"/>
        <v>0.6</v>
      </c>
      <c r="AF204" s="177">
        <f t="shared" si="66"/>
        <v>0.88260663224182823</v>
      </c>
      <c r="AG204" s="799">
        <f t="shared" si="74"/>
        <v>1</v>
      </c>
      <c r="AH204" s="176">
        <f t="shared" si="67"/>
        <v>7</v>
      </c>
      <c r="AI204" s="224">
        <f t="shared" si="68"/>
        <v>1.8826066322418282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45848</v>
      </c>
      <c r="B205" s="409">
        <f>IF(t&gt;Tmaj,'2024'!Wh/'2024'!Env_an*'2025'!Env_an,0.001*[9]mois!$B$251)</f>
        <v>56.607902428322603</v>
      </c>
      <c r="C205" s="829"/>
      <c r="D205" s="391">
        <f t="shared" si="50"/>
        <v>59.217941964533843</v>
      </c>
      <c r="E205" s="383">
        <f t="shared" si="75"/>
        <v>60.317768017858462</v>
      </c>
      <c r="F205" s="383">
        <f t="shared" si="51"/>
        <v>60.317768017858462</v>
      </c>
      <c r="G205" s="110">
        <f t="shared" si="76"/>
        <v>0.99398895981519897</v>
      </c>
      <c r="H205" s="412" t="b">
        <f>Wh_hp&gt;='2024'!Maxi_hp</f>
        <v>1</v>
      </c>
      <c r="I205" s="388">
        <f>IF(H205,Wh_hp,'2024'!Maxi_hp)</f>
        <v>60.317768017858462</v>
      </c>
      <c r="J205" s="85">
        <f>IF(H205,An,'2024'!An_max)</f>
        <v>2025</v>
      </c>
      <c r="K205" s="197">
        <f t="shared" si="52"/>
        <v>45848</v>
      </c>
      <c r="L205" s="147">
        <f>IF(t&lt;Tvie,1-EXP((T0-t)*PertePVj)+'2024'!Pspv,1-EXP((T0-t)*PertePVj)+Pspv)</f>
        <v>4.4075147660052383E-2</v>
      </c>
      <c r="M205" s="832"/>
      <c r="N205" s="832"/>
      <c r="O205" s="48">
        <f>IF(t&lt;Tnet,'2024'!Resal+('2024'!Salim-'2024'!Resal)*(1-EXP(('2024'!Tnet-t)/('2024'!Tau_j))),Resal+(Salim-Resal)*(1-EXP((Tnet-t)/(Tau_j))))*Salcycl</f>
        <v>1.8233865235182334E-2</v>
      </c>
      <c r="P205" s="169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0.88624401988965706</v>
      </c>
      <c r="S205" s="799">
        <f t="shared" si="55"/>
        <v>1</v>
      </c>
      <c r="T205" s="176">
        <f t="shared" si="56"/>
        <v>7</v>
      </c>
      <c r="U205" s="250">
        <f t="shared" si="57"/>
        <v>1.8862440198896571</v>
      </c>
      <c r="V205" s="382">
        <f t="shared" si="58"/>
        <v>56.9502325648034</v>
      </c>
      <c r="W205" s="400">
        <f t="shared" si="59"/>
        <v>56.607902428322603</v>
      </c>
      <c r="X205" s="157">
        <f t="shared" si="60"/>
        <v>45848</v>
      </c>
      <c r="Y205" s="383">
        <f t="shared" si="61"/>
        <v>54.561579847202403</v>
      </c>
      <c r="Z205" s="383">
        <f t="shared" si="62"/>
        <v>57.077268902094744</v>
      </c>
      <c r="AA205" s="384">
        <f t="shared" si="63"/>
        <v>60.317768017858462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5.3723790223873878E-2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0.88624401988965706</v>
      </c>
      <c r="AG205" s="799">
        <f t="shared" si="74"/>
        <v>1</v>
      </c>
      <c r="AH205" s="176">
        <f t="shared" si="67"/>
        <v>7</v>
      </c>
      <c r="AI205" s="224">
        <f t="shared" si="68"/>
        <v>1.8862440198896571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45849</v>
      </c>
      <c r="B206" s="409">
        <f>IF(t&gt;Tmaj,'2024'!Wh/'2024'!Env_an*'2025'!Env_an,0.001*[9]mois!$B$252)</f>
        <v>55.630478780824653</v>
      </c>
      <c r="C206" s="829"/>
      <c r="D206" s="391">
        <f t="shared" si="50"/>
        <v>58.196567241153993</v>
      </c>
      <c r="E206" s="383">
        <f t="shared" si="75"/>
        <v>59.284734181309361</v>
      </c>
      <c r="F206" s="383">
        <f t="shared" si="51"/>
        <v>59.284734181309361</v>
      </c>
      <c r="G206" s="110">
        <f t="shared" si="76"/>
        <v>0.97846449096408605</v>
      </c>
      <c r="H206" s="412" t="b">
        <f>Wh_hp&gt;='2024'!Maxi_hp</f>
        <v>0</v>
      </c>
      <c r="I206" s="388">
        <f>IF(H206,Wh_hp,'2024'!Maxi_hp)</f>
        <v>60.058702365360794</v>
      </c>
      <c r="J206" s="85">
        <f>IF(H206,An,'2024'!An_max)</f>
        <v>2018</v>
      </c>
      <c r="K206" s="197">
        <f t="shared" si="52"/>
        <v>45849</v>
      </c>
      <c r="L206" s="147">
        <f>IF(t&lt;Tvie,1-EXP((T0-t)*PertePVj)+'2024'!Pspv,1-EXP((T0-t)*PertePVj)+Pspv)</f>
        <v>4.4093467741766035E-2</v>
      </c>
      <c r="M206" s="832"/>
      <c r="N206" s="832"/>
      <c r="O206" s="48">
        <f>IF(t&lt;Tnet,'2024'!Resal+('2024'!Salim-'2024'!Resal)*(1-EXP(('2024'!Tnet-t)/('2024'!Tau_j))),Resal+(Salim-Resal)*(1-EXP((Tnet-t)/(Tau_j))))*Salcycl</f>
        <v>1.8354926528428822E-2</v>
      </c>
      <c r="P206" s="169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0.8898003209480212</v>
      </c>
      <c r="S206" s="799">
        <f t="shared" si="55"/>
        <v>1</v>
      </c>
      <c r="T206" s="176">
        <f t="shared" si="56"/>
        <v>7</v>
      </c>
      <c r="U206" s="250">
        <f t="shared" si="57"/>
        <v>1.8898003209480212</v>
      </c>
      <c r="V206" s="382">
        <f t="shared" si="58"/>
        <v>56.854877509158918</v>
      </c>
      <c r="W206" s="400">
        <f t="shared" si="59"/>
        <v>55.630478780824653</v>
      </c>
      <c r="X206" s="157">
        <f t="shared" si="60"/>
        <v>45849</v>
      </c>
      <c r="Y206" s="383">
        <f t="shared" si="61"/>
        <v>53.621290899123487</v>
      </c>
      <c r="Z206" s="383">
        <f t="shared" si="62"/>
        <v>56.094700778378957</v>
      </c>
      <c r="AA206" s="384">
        <f t="shared" si="63"/>
        <v>59.284734181309361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5.3808681897339485E-2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0.8898003209480212</v>
      </c>
      <c r="AG206" s="799">
        <f t="shared" si="74"/>
        <v>1</v>
      </c>
      <c r="AH206" s="176">
        <f t="shared" si="67"/>
        <v>7</v>
      </c>
      <c r="AI206" s="224">
        <f t="shared" si="68"/>
        <v>1.8898003209480212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45850</v>
      </c>
      <c r="B207" s="409">
        <f>IF(t&gt;Tmaj,'2024'!Wh/'2024'!Env_an*'2025'!Env_an,0.001*[9]mois!$B$253)</f>
        <v>55.224207128106507</v>
      </c>
      <c r="C207" s="829"/>
      <c r="D207" s="391">
        <f t="shared" ref="D207:D270" si="77">Wh/(1-Ppv)</f>
        <v>57.772662539774537</v>
      </c>
      <c r="E207" s="383">
        <f t="shared" si="75"/>
        <v>58.860143794447765</v>
      </c>
      <c r="F207" s="383">
        <f t="shared" ref="F207:F270" si="78">Wh_sa/(1-Pvg*MEDIAN((-Sdif+Wh/Env_an)/Csdif,0,1))</f>
        <v>58.860143794447765</v>
      </c>
      <c r="G207" s="110">
        <f t="shared" si="76"/>
        <v>0.97296595427046195</v>
      </c>
      <c r="H207" s="412" t="b">
        <f>Wh_hp&gt;='2024'!Maxi_hp</f>
        <v>0</v>
      </c>
      <c r="I207" s="388">
        <f>IF(H207,Wh_hp,'2024'!Maxi_hp)</f>
        <v>60.040514635762435</v>
      </c>
      <c r="J207" s="85">
        <f>IF(H207,An,'2024'!An_max)</f>
        <v>2018</v>
      </c>
      <c r="K207" s="197">
        <f t="shared" ref="K207:K270" si="79">t</f>
        <v>45850</v>
      </c>
      <c r="L207" s="147">
        <f>IF(t&lt;Tvie,1-EXP((T0-t)*PertePVj)+'2024'!Pspv,1-EXP((T0-t)*PertePVj)+Pspv)</f>
        <v>4.4111787472379427E-2</v>
      </c>
      <c r="M207" s="832"/>
      <c r="N207" s="832"/>
      <c r="O207" s="48">
        <f>IF(t&lt;Tnet,'2024'!Resal+('2024'!Salim-'2024'!Resal)*(1-EXP(('2024'!Tnet-t)/('2024'!Tau_j))),Resal+(Salim-Resal)*(1-EXP((Tnet-t)/(Tau_j))))*Salcycl</f>
        <v>1.8475681243167643E-2</v>
      </c>
      <c r="P207" s="169">
        <f>(INDEX(Models!$BJ207:$BT207,,T207)*(1-R207)+INDEX(Models!$BJ207:$BT207,,T207+1)*R207-ERP_i)*Q207*Ramure*Pc/MaxiM</f>
        <v>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0.8932753144947394</v>
      </c>
      <c r="S207" s="799">
        <f t="shared" ref="S207:S270" si="82">INDEX(Echel_vg,T207)</f>
        <v>1</v>
      </c>
      <c r="T207" s="176">
        <f t="shared" ref="T207:T270" si="83">MIN(MATCH(Hp_vg,Echel_vg),10)</f>
        <v>7</v>
      </c>
      <c r="U207" s="250">
        <f t="shared" ref="U207:U270" si="84">IF(OR(t&lt;Ttai,Notai),Hdd+PousH*Croivg,Hdtf+PousH*(Croivg-Croi_tai))</f>
        <v>1.8932753144947394</v>
      </c>
      <c r="V207" s="382">
        <f t="shared" ref="V207:V270" si="85">MaxiM*(1-Ppv)*(1-Pvg)*(1-Psa)</f>
        <v>56.758622319435709</v>
      </c>
      <c r="W207" s="400">
        <f t="shared" ref="W207:W270" si="86">Wh*(A207&gt;Tmaj)</f>
        <v>55.224207128106507</v>
      </c>
      <c r="X207" s="157">
        <f t="shared" ref="X207:X270" si="87">t</f>
        <v>45850</v>
      </c>
      <c r="Y207" s="383">
        <f t="shared" ref="Y207:Y270" si="88">Wh_pvt_s*(1-Ppv)</f>
        <v>53.231501604803</v>
      </c>
      <c r="Z207" s="383">
        <f t="shared" ref="Z207:Z270" si="89">Wh_sa_s*(1-Psa_s)</f>
        <v>55.687998771367702</v>
      </c>
      <c r="AA207" s="384">
        <f t="shared" ref="AA207:AA270" si="90">Wh_hp*(1-Pvg_s*MEDIAN((-Sdif+Wh/Env_an)/Csdif,0,1))</f>
        <v>58.860143794447765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5.3892920040390632E-2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0.8932753144947394</v>
      </c>
      <c r="AG207" s="799">
        <f t="shared" si="74"/>
        <v>1</v>
      </c>
      <c r="AH207" s="176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1.8932753144947394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45851</v>
      </c>
      <c r="B208" s="409">
        <f>IF(t&gt;Tmaj,'2024'!Wh/'2024'!Env_an*'2025'!Env_an,0.001*[9]mois!$B$254)</f>
        <v>54.708641355446225</v>
      </c>
      <c r="C208" s="829"/>
      <c r="D208" s="391">
        <f t="shared" si="77"/>
        <v>57.234401614289332</v>
      </c>
      <c r="E208" s="383">
        <f t="shared" si="75"/>
        <v>58.318907908490303</v>
      </c>
      <c r="F208" s="383">
        <f t="shared" si="78"/>
        <v>58.318907908490303</v>
      </c>
      <c r="G208" s="110">
        <f t="shared" si="76"/>
        <v>0.9655352088876108</v>
      </c>
      <c r="H208" s="412" t="b">
        <f>Wh_hp&gt;='2024'!Maxi_hp</f>
        <v>1</v>
      </c>
      <c r="I208" s="388">
        <f>IF(H208,Wh_hp,'2024'!Maxi_hp)</f>
        <v>58.318907908490303</v>
      </c>
      <c r="J208" s="85">
        <f>IF(H208,An,'2024'!An_max)</f>
        <v>2025</v>
      </c>
      <c r="K208" s="197">
        <f t="shared" si="79"/>
        <v>45851</v>
      </c>
      <c r="L208" s="147">
        <f>IF(t&lt;Tvie,1-EXP((T0-t)*PertePVj)+'2024'!Pspv,1-EXP((T0-t)*PertePVj)+Pspv)</f>
        <v>4.4130106851899331E-2</v>
      </c>
      <c r="M208" s="832"/>
      <c r="N208" s="832"/>
      <c r="O208" s="48">
        <f>IF(t&lt;Tnet,'2024'!Resal+('2024'!Salim-'2024'!Resal)*(1-EXP(('2024'!Tnet-t)/('2024'!Tau_j))),Resal+(Salim-Resal)*(1-EXP((Tnet-t)/(Tau_j))))*Salcycl</f>
        <v>1.8596135166020232E-2</v>
      </c>
      <c r="P208" s="169">
        <f>(INDEX(Models!$BJ208:$BT208,,T208)*(1-R208)+INDEX(Models!$BJ208:$BT208,,T208+1)*R208-ERP_i)*Q208*Ramure*Pc/MaxiM</f>
        <v>0</v>
      </c>
      <c r="Q208" s="304">
        <f t="shared" si="80"/>
        <v>0.6</v>
      </c>
      <c r="R208" s="177">
        <f t="shared" si="81"/>
        <v>0.89666892371208484</v>
      </c>
      <c r="S208" s="799">
        <f t="shared" si="82"/>
        <v>1</v>
      </c>
      <c r="T208" s="176">
        <f t="shared" si="83"/>
        <v>7</v>
      </c>
      <c r="U208" s="250">
        <f t="shared" si="84"/>
        <v>1.8966689237120848</v>
      </c>
      <c r="V208" s="382">
        <f t="shared" si="85"/>
        <v>56.661466978998966</v>
      </c>
      <c r="W208" s="400">
        <f t="shared" si="86"/>
        <v>54.708641355446225</v>
      </c>
      <c r="X208" s="157">
        <f t="shared" si="87"/>
        <v>45851</v>
      </c>
      <c r="Y208" s="383">
        <f t="shared" si="88"/>
        <v>52.736351054661299</v>
      </c>
      <c r="Z208" s="383">
        <f t="shared" si="89"/>
        <v>55.171055634964361</v>
      </c>
      <c r="AA208" s="384">
        <f t="shared" si="90"/>
        <v>58.318907908490303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5.3976529849724071E-2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0.89666892371208484</v>
      </c>
      <c r="AG208" s="799">
        <f t="shared" ref="AG208:AG271" si="99">INDEX(Echel_vg,AH208)</f>
        <v>1</v>
      </c>
      <c r="AH208" s="176">
        <f t="shared" si="94"/>
        <v>7</v>
      </c>
      <c r="AI208" s="224">
        <f t="shared" si="95"/>
        <v>1.8966689237120848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45852</v>
      </c>
      <c r="B209" s="409">
        <f>IF(t&gt;Tmaj,'2024'!Wh/'2024'!Env_an*'2025'!Env_an,0.001*[9]mois!$B$255)</f>
        <v>54.390295018887365</v>
      </c>
      <c r="C209" s="829"/>
      <c r="D209" s="391">
        <f t="shared" si="77"/>
        <v>56.902448551157583</v>
      </c>
      <c r="E209" s="383">
        <f t="shared" si="75"/>
        <v>57.987764622059274</v>
      </c>
      <c r="F209" s="383">
        <f t="shared" si="78"/>
        <v>57.987764622059274</v>
      </c>
      <c r="G209" s="110">
        <f t="shared" si="76"/>
        <v>0.96158088096967786</v>
      </c>
      <c r="H209" s="412" t="b">
        <f>Wh_hp&gt;='2024'!Maxi_hp</f>
        <v>0</v>
      </c>
      <c r="I209" s="388">
        <f>IF(H209,Wh_hp,'2024'!Maxi_hp)</f>
        <v>60.412493272450547</v>
      </c>
      <c r="J209" s="85">
        <f>IF(H209,An,'2024'!An_max)</f>
        <v>2018</v>
      </c>
      <c r="K209" s="197">
        <f t="shared" si="79"/>
        <v>45852</v>
      </c>
      <c r="L209" s="147">
        <f>IF(t&lt;Tvie,1-EXP((T0-t)*PertePVj)+'2024'!Pspv,1-EXP((T0-t)*PertePVj)+Pspv)</f>
        <v>4.4148425880332631E-2</v>
      </c>
      <c r="M209" s="832"/>
      <c r="N209" s="832"/>
      <c r="O209" s="48">
        <f>IF(t&lt;Tnet,'2024'!Resal+('2024'!Salim-'2024'!Resal)*(1-EXP(('2024'!Tnet-t)/('2024'!Tau_j))),Resal+(Salim-Resal)*(1-EXP((Tnet-t)/(Tau_j))))*Salcycl</f>
        <v>1.871629434201063E-2</v>
      </c>
      <c r="P209" s="169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0.89998120951021776</v>
      </c>
      <c r="S209" s="799">
        <f t="shared" si="82"/>
        <v>1</v>
      </c>
      <c r="T209" s="176">
        <f t="shared" si="83"/>
        <v>7</v>
      </c>
      <c r="U209" s="250">
        <f t="shared" si="84"/>
        <v>1.8999812095102178</v>
      </c>
      <c r="V209" s="382">
        <f t="shared" si="85"/>
        <v>56.563411456391549</v>
      </c>
      <c r="W209" s="400">
        <f t="shared" si="86"/>
        <v>54.390295018887365</v>
      </c>
      <c r="X209" s="157">
        <f t="shared" si="87"/>
        <v>45852</v>
      </c>
      <c r="Y209" s="383">
        <f t="shared" si="88"/>
        <v>52.431300522078025</v>
      </c>
      <c r="Z209" s="383">
        <f t="shared" si="89"/>
        <v>54.852972931876884</v>
      </c>
      <c r="AA209" s="384">
        <f t="shared" si="90"/>
        <v>57.987764622059274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5.4059536707677755E-2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0.89998120951021776</v>
      </c>
      <c r="AG209" s="799">
        <f t="shared" si="99"/>
        <v>1</v>
      </c>
      <c r="AH209" s="176">
        <f t="shared" si="94"/>
        <v>7</v>
      </c>
      <c r="AI209" s="224">
        <f t="shared" si="95"/>
        <v>1.8999812095102178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45853</v>
      </c>
      <c r="B210" s="409">
        <f>IF(t&gt;Tmaj,'2024'!Wh/'2024'!Env_an*'2025'!Env_an,0.001*[9]mois!$B$256)</f>
        <v>52.171546714914157</v>
      </c>
      <c r="C210" s="829"/>
      <c r="D210" s="391">
        <f t="shared" si="77"/>
        <v>54.582267793948688</v>
      </c>
      <c r="E210" s="383">
        <f t="shared" si="75"/>
        <v>55.630126027949629</v>
      </c>
      <c r="F210" s="383">
        <f t="shared" si="78"/>
        <v>55.630126027949629</v>
      </c>
      <c r="G210" s="110">
        <f t="shared" si="76"/>
        <v>0.92397148011035013</v>
      </c>
      <c r="H210" s="412" t="b">
        <f>Wh_hp&gt;='2024'!Maxi_hp</f>
        <v>0</v>
      </c>
      <c r="I210" s="388">
        <f>IF(H210,Wh_hp,'2024'!Maxi_hp)</f>
        <v>62.029169256698459</v>
      </c>
      <c r="J210" s="85">
        <f>IF(H210,An,'2024'!An_max)</f>
        <v>2018</v>
      </c>
      <c r="K210" s="197">
        <f t="shared" si="79"/>
        <v>45853</v>
      </c>
      <c r="L210" s="147">
        <f>IF(t&lt;Tvie,1-EXP((T0-t)*PertePVj)+'2024'!Pspv,1-EXP((T0-t)*PertePVj)+Pspv)</f>
        <v>4.4166744557685766E-2</v>
      </c>
      <c r="M210" s="832"/>
      <c r="N210" s="832"/>
      <c r="O210" s="48">
        <f>IF(t&lt;Tnet,'2024'!Resal+('2024'!Salim-'2024'!Resal)*(1-EXP(('2024'!Tnet-t)/('2024'!Tau_j))),Resal+(Salim-Resal)*(1-EXP((Tnet-t)/(Tau_j))))*Salcycl</f>
        <v>1.8836165020990135E-2</v>
      </c>
      <c r="P210" s="169">
        <f>(INDEX(Models!$BJ210:$BT210,,T210)*(1-R210)+INDEX(Models!$BJ210:$BT210,,T210+1)*R210-ERP_i)*Q210*Ramure*Pc/MaxiM</f>
        <v>0</v>
      </c>
      <c r="Q210" s="304">
        <f t="shared" si="80"/>
        <v>0.6</v>
      </c>
      <c r="R210" s="177">
        <f t="shared" si="81"/>
        <v>0.90321236391537019</v>
      </c>
      <c r="S210" s="799">
        <f t="shared" si="82"/>
        <v>1</v>
      </c>
      <c r="T210" s="176">
        <f t="shared" si="83"/>
        <v>7</v>
      </c>
      <c r="U210" s="250">
        <f t="shared" si="84"/>
        <v>1.9032123639153702</v>
      </c>
      <c r="V210" s="382">
        <f t="shared" si="85"/>
        <v>56.464455708831295</v>
      </c>
      <c r="W210" s="400">
        <f t="shared" si="86"/>
        <v>52.171546714914157</v>
      </c>
      <c r="X210" s="157">
        <f t="shared" si="87"/>
        <v>45853</v>
      </c>
      <c r="Y210" s="383">
        <f t="shared" si="88"/>
        <v>50.294226963668642</v>
      </c>
      <c r="Z210" s="383">
        <f t="shared" si="89"/>
        <v>52.618201634337218</v>
      </c>
      <c r="AA210" s="384">
        <f t="shared" si="90"/>
        <v>55.630126027949629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5.4141966029326666E-2</v>
      </c>
      <c r="AD210" s="230">
        <f>(INDEX(Models!$BJ210:$BT210,,AH210)*(1-AF210)+INDEX(Models!$BJ210:$BT210,,AH210+1)*AF210-ERP_i)*AE210*Ramure*Pc/MaxiM</f>
        <v>0</v>
      </c>
      <c r="AE210" s="304">
        <f t="shared" si="92"/>
        <v>0.6</v>
      </c>
      <c r="AF210" s="177">
        <f t="shared" si="93"/>
        <v>0.90321236391537019</v>
      </c>
      <c r="AG210" s="799">
        <f t="shared" si="99"/>
        <v>1</v>
      </c>
      <c r="AH210" s="176">
        <f t="shared" si="94"/>
        <v>7</v>
      </c>
      <c r="AI210" s="224">
        <f t="shared" si="95"/>
        <v>1.9032123639153702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45854</v>
      </c>
      <c r="B211" s="409">
        <f>IF(t&gt;Tmaj,'2024'!Wh/'2024'!Env_an*'2025'!Env_an,0.001*[9]mois!$B$257)</f>
        <v>53.6024004762156</v>
      </c>
      <c r="C211" s="829"/>
      <c r="D211" s="391">
        <f t="shared" si="77"/>
        <v>56.080312615692428</v>
      </c>
      <c r="E211" s="383">
        <f t="shared" si="75"/>
        <v>57.163897369276839</v>
      </c>
      <c r="F211" s="383">
        <f t="shared" si="78"/>
        <v>57.163897369276839</v>
      </c>
      <c r="G211" s="110">
        <f t="shared" si="76"/>
        <v>0.95099407739320341</v>
      </c>
      <c r="H211" s="412" t="b">
        <f>Wh_hp&gt;='2024'!Maxi_hp</f>
        <v>0</v>
      </c>
      <c r="I211" s="388">
        <f>IF(H211,Wh_hp,'2024'!Maxi_hp)</f>
        <v>60.446549664611396</v>
      </c>
      <c r="J211" s="85">
        <f>IF(H211,An,'2024'!An_max)</f>
        <v>2018</v>
      </c>
      <c r="K211" s="197">
        <f t="shared" si="79"/>
        <v>45854</v>
      </c>
      <c r="L211" s="147">
        <f>IF(t&lt;Tvie,1-EXP((T0-t)*PertePVj)+'2024'!Pspv,1-EXP((T0-t)*PertePVj)+Pspv)</f>
        <v>4.4185062883965731E-2</v>
      </c>
      <c r="M211" s="832"/>
      <c r="N211" s="832"/>
      <c r="O211" s="48">
        <f>IF(t&lt;Tnet,'2024'!Resal+('2024'!Salim-'2024'!Resal)*(1-EXP(('2024'!Tnet-t)/('2024'!Tau_j))),Resal+(Salim-Resal)*(1-EXP((Tnet-t)/(Tau_j))))*Salcycl</f>
        <v>1.8955753604140965E-2</v>
      </c>
      <c r="P211" s="169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0.90636270327671165</v>
      </c>
      <c r="S211" s="799">
        <f t="shared" si="82"/>
        <v>1</v>
      </c>
      <c r="T211" s="176">
        <f t="shared" si="83"/>
        <v>7</v>
      </c>
      <c r="U211" s="250">
        <f t="shared" si="84"/>
        <v>1.9063627032767116</v>
      </c>
      <c r="V211" s="382">
        <f t="shared" si="85"/>
        <v>56.36459968620062</v>
      </c>
      <c r="W211" s="400">
        <f t="shared" si="86"/>
        <v>53.6024004762156</v>
      </c>
      <c r="X211" s="157">
        <f t="shared" si="87"/>
        <v>45854</v>
      </c>
      <c r="Y211" s="383">
        <f t="shared" si="88"/>
        <v>51.675418828961192</v>
      </c>
      <c r="Z211" s="383">
        <f t="shared" si="89"/>
        <v>54.064251166528784</v>
      </c>
      <c r="AA211" s="384">
        <f t="shared" si="90"/>
        <v>57.163897369276839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5.4223843114202738E-2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0.90636270327671165</v>
      </c>
      <c r="AG211" s="799">
        <f t="shared" si="99"/>
        <v>1</v>
      </c>
      <c r="AH211" s="176">
        <f t="shared" si="94"/>
        <v>7</v>
      </c>
      <c r="AI211" s="224">
        <f t="shared" si="95"/>
        <v>1.9063627032767116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45855</v>
      </c>
      <c r="B212" s="409">
        <f>IF(t&gt;Tmaj,'2024'!Wh/'2024'!Env_an*'2025'!Env_an,0.001*[9]mois!$B$258)</f>
        <v>53.745796113208193</v>
      </c>
      <c r="C212" s="829"/>
      <c r="D212" s="391">
        <f t="shared" si="77"/>
        <v>56.231414755914344</v>
      </c>
      <c r="E212" s="383">
        <f t="shared" si="75"/>
        <v>57.324890866514217</v>
      </c>
      <c r="F212" s="383">
        <f t="shared" si="78"/>
        <v>57.324890866514217</v>
      </c>
      <c r="G212" s="110">
        <f t="shared" si="76"/>
        <v>0.95524573029177495</v>
      </c>
      <c r="H212" s="412" t="b">
        <f>Wh_hp&gt;='2024'!Maxi_hp</f>
        <v>0</v>
      </c>
      <c r="I212" s="388">
        <f>IF(H212,Wh_hp,'2024'!Maxi_hp)</f>
        <v>60.566791048252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4.4203380859179187E-2</v>
      </c>
      <c r="M212" s="832"/>
      <c r="N212" s="832"/>
      <c r="O212" s="48">
        <f>IF(t&lt;Tnet,'2024'!Resal+('2024'!Salim-'2024'!Resal)*(1-EXP(('2024'!Tnet-t)/('2024'!Tau_j))),Resal+(Salim-Resal)*(1-EXP((Tnet-t)/(Tau_j))))*Salcycl</f>
        <v>1.9075066590987937E-2</v>
      </c>
      <c r="P212" s="169">
        <f>(INDEX(Models!$BJ212:$BT212,,T212)*(1-R212)+INDEX(Models!$BJ212:$BT212,,T212+1)*R212-ERP_i)*Q212*Ramure*Pc/MaxiM</f>
        <v>0</v>
      </c>
      <c r="Q212" s="304">
        <f t="shared" si="80"/>
        <v>0.6</v>
      </c>
      <c r="R212" s="177">
        <f t="shared" si="81"/>
        <v>0.90943266134328793</v>
      </c>
      <c r="S212" s="799">
        <f t="shared" si="82"/>
        <v>1</v>
      </c>
      <c r="T212" s="176">
        <f t="shared" si="83"/>
        <v>7</v>
      </c>
      <c r="U212" s="250">
        <f t="shared" si="84"/>
        <v>1.9094326613432879</v>
      </c>
      <c r="V212" s="382">
        <f t="shared" si="85"/>
        <v>56.263843332533725</v>
      </c>
      <c r="W212" s="400">
        <f t="shared" si="86"/>
        <v>53.745796113208193</v>
      </c>
      <c r="X212" s="157">
        <f t="shared" si="87"/>
        <v>45855</v>
      </c>
      <c r="Y212" s="383">
        <f t="shared" si="88"/>
        <v>51.815504480558189</v>
      </c>
      <c r="Z212" s="383">
        <f t="shared" si="89"/>
        <v>54.211851604095315</v>
      </c>
      <c r="AA212" s="384">
        <f t="shared" si="90"/>
        <v>57.324890866514217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5.4305193003644357E-2</v>
      </c>
      <c r="AD212" s="230">
        <f>(INDEX(Models!$BJ212:$BT212,,AH212)*(1-AF212)+INDEX(Models!$BJ212:$BT212,,AH212+1)*AF212-ERP_i)*AE212*Ramure*Pc/MaxiM</f>
        <v>0</v>
      </c>
      <c r="AE212" s="304">
        <f t="shared" si="92"/>
        <v>0.6</v>
      </c>
      <c r="AF212" s="177">
        <f t="shared" si="93"/>
        <v>0.90943266134328793</v>
      </c>
      <c r="AG212" s="799">
        <f t="shared" si="99"/>
        <v>1</v>
      </c>
      <c r="AH212" s="176">
        <f t="shared" si="94"/>
        <v>7</v>
      </c>
      <c r="AI212" s="224">
        <f t="shared" si="95"/>
        <v>1.9094326613432879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45856</v>
      </c>
      <c r="B213" s="409">
        <f>IF(t&gt;Tmaj,'2024'!Wh/'2024'!Env_an*'2025'!Env_an,0.001*[9]mois!$B$259)</f>
        <v>55.973857785963013</v>
      </c>
      <c r="C213" s="829"/>
      <c r="D213" s="391">
        <f t="shared" si="77"/>
        <v>58.563641481650556</v>
      </c>
      <c r="E213" s="383">
        <f t="shared" si="75"/>
        <v>59.709716377353317</v>
      </c>
      <c r="F213" s="383">
        <f t="shared" si="78"/>
        <v>59.709716377353317</v>
      </c>
      <c r="G213" s="110">
        <f t="shared" si="76"/>
        <v>0.99664669742893386</v>
      </c>
      <c r="H213" s="412" t="b">
        <f>Wh_hp&gt;='2024'!Maxi_hp</f>
        <v>1</v>
      </c>
      <c r="I213" s="388">
        <f>IF(H213,Wh_hp,'2024'!Maxi_hp)</f>
        <v>59.709716377353317</v>
      </c>
      <c r="J213" s="85">
        <f>IF(H213,An,'2024'!An_max)</f>
        <v>2025</v>
      </c>
      <c r="K213" s="197">
        <f t="shared" si="79"/>
        <v>45856</v>
      </c>
      <c r="L213" s="147">
        <f>IF(t&lt;Tvie,1-EXP((T0-t)*PertePVj)+'2024'!Pspv,1-EXP((T0-t)*PertePVj)+Pspv)</f>
        <v>4.4221698483332683E-2</v>
      </c>
      <c r="M213" s="832"/>
      <c r="N213" s="832"/>
      <c r="O213" s="48">
        <f>IF(t&lt;Tnet,'2024'!Resal+('2024'!Salim-'2024'!Resal)*(1-EXP(('2024'!Tnet-t)/('2024'!Tau_j))),Resal+(Salim-Resal)*(1-EXP((Tnet-t)/(Tau_j))))*Salcycl</f>
        <v>1.9194110527335256E-2</v>
      </c>
      <c r="P213" s="169">
        <f>(INDEX(Models!$BJ213:$BT213,,T213)*(1-R213)+INDEX(Models!$BJ213:$BT213,,T213+1)*R213-ERP_i)*Q213*Ramure*Pc/MaxiM</f>
        <v>-1.9493036937755797E-20</v>
      </c>
      <c r="Q213" s="304">
        <f t="shared" si="80"/>
        <v>0.6</v>
      </c>
      <c r="R213" s="177">
        <f t="shared" si="81"/>
        <v>0.91242278225957829</v>
      </c>
      <c r="S213" s="799">
        <f t="shared" si="82"/>
        <v>1</v>
      </c>
      <c r="T213" s="176">
        <f t="shared" si="83"/>
        <v>7</v>
      </c>
      <c r="U213" s="250">
        <f t="shared" si="84"/>
        <v>1.9124227822595783</v>
      </c>
      <c r="V213" s="382">
        <f t="shared" si="85"/>
        <v>56.162186590654152</v>
      </c>
      <c r="W213" s="400">
        <f t="shared" si="86"/>
        <v>55.973857785963013</v>
      </c>
      <c r="X213" s="157">
        <f t="shared" si="87"/>
        <v>45856</v>
      </c>
      <c r="Y213" s="383">
        <f t="shared" si="88"/>
        <v>53.965480699370886</v>
      </c>
      <c r="Z213" s="383">
        <f t="shared" si="89"/>
        <v>56.462341333483195</v>
      </c>
      <c r="AA213" s="384">
        <f t="shared" si="90"/>
        <v>59.709716377353317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5.4386040344713137E-2</v>
      </c>
      <c r="AD213" s="230">
        <f>(INDEX(Models!$BJ213:$BT213,,AH213)*(1-AF213)+INDEX(Models!$BJ213:$BT213,,AH213+1)*AF213-ERP_i)*AE213*Ramure*Pc/MaxiM</f>
        <v>-1.9493036937755797E-20</v>
      </c>
      <c r="AE213" s="304">
        <f t="shared" si="92"/>
        <v>0.6</v>
      </c>
      <c r="AF213" s="177">
        <f t="shared" si="93"/>
        <v>0.91242278225957829</v>
      </c>
      <c r="AG213" s="799">
        <f t="shared" si="99"/>
        <v>1</v>
      </c>
      <c r="AH213" s="176">
        <f t="shared" si="94"/>
        <v>7</v>
      </c>
      <c r="AI213" s="224">
        <f t="shared" si="95"/>
        <v>1.9124227822595783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45857</v>
      </c>
      <c r="B214" s="409">
        <f>IF(t&gt;Tmaj,'2024'!Wh/'2024'!Env_an*'2025'!Env_an,0.001*[9]mois!$B$260)</f>
        <v>43.878953040713959</v>
      </c>
      <c r="C214" s="829"/>
      <c r="D214" s="391">
        <f t="shared" si="77"/>
        <v>45.910012727140717</v>
      </c>
      <c r="E214" s="383">
        <f t="shared" si="75"/>
        <v>46.814128941330075</v>
      </c>
      <c r="F214" s="383">
        <f t="shared" si="78"/>
        <v>46.814128941330075</v>
      </c>
      <c r="G214" s="110">
        <f t="shared" si="76"/>
        <v>0.78271928492841281</v>
      </c>
      <c r="H214" s="412" t="b">
        <f>Wh_hp&gt;='2024'!Maxi_hp</f>
        <v>0</v>
      </c>
      <c r="I214" s="388">
        <f>IF(H214,Wh_hp,'2024'!Maxi_hp)</f>
        <v>60.093272883435894</v>
      </c>
      <c r="J214" s="85">
        <f>IF(H214,An,'2024'!An_max)</f>
        <v>2020</v>
      </c>
      <c r="K214" s="197">
        <f t="shared" si="79"/>
        <v>45857</v>
      </c>
      <c r="L214" s="147">
        <f>IF(t&lt;Tvie,1-EXP((T0-t)*PertePVj)+'2024'!Pspv,1-EXP((T0-t)*PertePVj)+Pspv)</f>
        <v>4.4240015756433215E-2</v>
      </c>
      <c r="M214" s="832"/>
      <c r="N214" s="832"/>
      <c r="O214" s="48">
        <f>IF(t&lt;Tnet,'2024'!Resal+('2024'!Salim-'2024'!Resal)*(1-EXP(('2024'!Tnet-t)/('2024'!Tau_j))),Resal+(Salim-Resal)*(1-EXP((Tnet-t)/(Tau_j))))*Salcycl</f>
        <v>1.9312891954530214E-2</v>
      </c>
      <c r="P214" s="169">
        <f>(INDEX(Models!$BJ214:$BT214,,T214)*(1-R214)+INDEX(Models!$BJ214:$BT214,,T214+1)*R214-ERP_i)*Q214*Ramure*Pc/MaxiM</f>
        <v>0</v>
      </c>
      <c r="Q214" s="304">
        <f t="shared" si="80"/>
        <v>0.6</v>
      </c>
      <c r="R214" s="177">
        <f t="shared" si="81"/>
        <v>0.91533371352514203</v>
      </c>
      <c r="S214" s="799">
        <f t="shared" si="82"/>
        <v>1</v>
      </c>
      <c r="T214" s="176">
        <f t="shared" si="83"/>
        <v>7</v>
      </c>
      <c r="U214" s="250">
        <f t="shared" si="84"/>
        <v>1.915333713525142</v>
      </c>
      <c r="V214" s="382">
        <f t="shared" si="85"/>
        <v>56.059629404336341</v>
      </c>
      <c r="W214" s="400">
        <f t="shared" si="86"/>
        <v>43.878953040713959</v>
      </c>
      <c r="X214" s="157">
        <f t="shared" si="87"/>
        <v>45857</v>
      </c>
      <c r="Y214" s="383">
        <f t="shared" si="88"/>
        <v>42.306076715048299</v>
      </c>
      <c r="Z214" s="383">
        <f t="shared" si="89"/>
        <v>44.264331435189042</v>
      </c>
      <c r="AA214" s="384">
        <f t="shared" si="90"/>
        <v>46.814128941330075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5.4466409261540928E-2</v>
      </c>
      <c r="AD214" s="230">
        <f>(INDEX(Models!$BJ214:$BT214,,AH214)*(1-AF214)+INDEX(Models!$BJ214:$BT214,,AH214+1)*AF214-ERP_i)*AE214*Ramure*Pc/MaxiM</f>
        <v>0</v>
      </c>
      <c r="AE214" s="304">
        <f t="shared" si="92"/>
        <v>0.6</v>
      </c>
      <c r="AF214" s="177">
        <f t="shared" si="93"/>
        <v>0.91533371352514203</v>
      </c>
      <c r="AG214" s="799">
        <f t="shared" si="99"/>
        <v>1</v>
      </c>
      <c r="AH214" s="176">
        <f t="shared" si="94"/>
        <v>7</v>
      </c>
      <c r="AI214" s="224">
        <f t="shared" si="95"/>
        <v>1.915333713525142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45858</v>
      </c>
      <c r="B215" s="409">
        <f>IF(t&gt;Tmaj,'2024'!Wh/'2024'!Env_an*'2025'!Env_an,0.001*[9]mois!$B$261)</f>
        <v>43.977818947937891</v>
      </c>
      <c r="C215" s="829"/>
      <c r="D215" s="391">
        <f t="shared" si="77"/>
        <v>46.014336772808818</v>
      </c>
      <c r="E215" s="383">
        <f t="shared" si="75"/>
        <v>46.926178940940737</v>
      </c>
      <c r="F215" s="383">
        <f t="shared" si="78"/>
        <v>46.926178940940737</v>
      </c>
      <c r="G215" s="110">
        <f t="shared" si="76"/>
        <v>0.78593330449409482</v>
      </c>
      <c r="H215" s="412" t="b">
        <f>Wh_hp&gt;='2024'!Maxi_hp</f>
        <v>0</v>
      </c>
      <c r="I215" s="388">
        <f>IF(H215,Wh_hp,'2024'!Maxi_hp)</f>
        <v>59.221861562396249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4.4258332678487333E-2</v>
      </c>
      <c r="M215" s="832"/>
      <c r="N215" s="832"/>
      <c r="O215" s="48">
        <f>IF(t&lt;Tnet,'2024'!Resal+('2024'!Salim-'2024'!Resal)*(1-EXP(('2024'!Tnet-t)/('2024'!Tau_j))),Resal+(Salim-Resal)*(1-EXP((Tnet-t)/(Tau_j))))*Salcycl</f>
        <v>1.9431417360435976E-2</v>
      </c>
      <c r="P215" s="169">
        <f>(INDEX(Models!$BJ215:$BT215,,T215)*(1-R215)+INDEX(Models!$BJ215:$BT215,,T215+1)*R215-ERP_i)*Q215*Ramure*Pc/MaxiM</f>
        <v>0</v>
      </c>
      <c r="Q215" s="304">
        <f t="shared" si="80"/>
        <v>0.6</v>
      </c>
      <c r="R215" s="177">
        <f t="shared" si="81"/>
        <v>0.91816619896057716</v>
      </c>
      <c r="S215" s="799">
        <f t="shared" si="82"/>
        <v>1</v>
      </c>
      <c r="T215" s="176">
        <f t="shared" si="83"/>
        <v>7</v>
      </c>
      <c r="U215" s="250">
        <f t="shared" si="84"/>
        <v>1.9181661989605772</v>
      </c>
      <c r="V215" s="382">
        <f t="shared" si="85"/>
        <v>55.956171721525926</v>
      </c>
      <c r="W215" s="400">
        <f t="shared" si="86"/>
        <v>43.977818947937891</v>
      </c>
      <c r="X215" s="157">
        <f t="shared" si="87"/>
        <v>45858</v>
      </c>
      <c r="Y215" s="383">
        <f t="shared" si="88"/>
        <v>42.402939841814089</v>
      </c>
      <c r="Z215" s="383">
        <f t="shared" si="89"/>
        <v>44.366528416250041</v>
      </c>
      <c r="AA215" s="384">
        <f t="shared" si="90"/>
        <v>46.926178940940737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5.4546323234886986E-2</v>
      </c>
      <c r="AD215" s="230">
        <f>(INDEX(Models!$BJ215:$BT215,,AH215)*(1-AF215)+INDEX(Models!$BJ215:$BT215,,AH215+1)*AF215-ERP_i)*AE215*Ramure*Pc/MaxiM</f>
        <v>0</v>
      </c>
      <c r="AE215" s="304">
        <f t="shared" si="92"/>
        <v>0.6</v>
      </c>
      <c r="AF215" s="177">
        <f t="shared" si="93"/>
        <v>0.91816619896057716</v>
      </c>
      <c r="AG215" s="799">
        <f t="shared" si="99"/>
        <v>1</v>
      </c>
      <c r="AH215" s="176">
        <f t="shared" si="94"/>
        <v>7</v>
      </c>
      <c r="AI215" s="224">
        <f t="shared" si="95"/>
        <v>1.9181661989605772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45859</v>
      </c>
      <c r="B216" s="409">
        <f>IF(t&gt;Tmaj,'2024'!Wh/'2024'!Env_an*'2025'!Env_an,0.001*[9]mois!$B$262)</f>
        <v>53.199022329103222</v>
      </c>
      <c r="C216" s="829"/>
      <c r="D216" s="391">
        <f t="shared" si="77"/>
        <v>55.663620949857275</v>
      </c>
      <c r="E216" s="383">
        <f t="shared" si="75"/>
        <v>56.773525960432139</v>
      </c>
      <c r="F216" s="383">
        <f t="shared" si="78"/>
        <v>56.773525960432139</v>
      </c>
      <c r="G216" s="110">
        <f t="shared" si="76"/>
        <v>0.95250304329432023</v>
      </c>
      <c r="H216" s="412" t="b">
        <f>Wh_hp&gt;='2024'!Maxi_hp</f>
        <v>1</v>
      </c>
      <c r="I216" s="388">
        <f>IF(H216,Wh_hp,'2024'!Maxi_hp)</f>
        <v>56.773525960432139</v>
      </c>
      <c r="J216" s="85">
        <f>IF(H216,An,'2024'!An_max)</f>
        <v>2025</v>
      </c>
      <c r="K216" s="197">
        <f t="shared" si="79"/>
        <v>45859</v>
      </c>
      <c r="L216" s="147">
        <f>IF(t&lt;Tvie,1-EXP((T0-t)*PertePVj)+'2024'!Pspv,1-EXP((T0-t)*PertePVj)+Pspv)</f>
        <v>4.4276649249501809E-2</v>
      </c>
      <c r="M216" s="832"/>
      <c r="N216" s="832"/>
      <c r="O216" s="48">
        <f>IF(t&lt;Tnet,'2024'!Resal+('2024'!Salim-'2024'!Resal)*(1-EXP(('2024'!Tnet-t)/('2024'!Tau_j))),Resal+(Salim-Resal)*(1-EXP((Tnet-t)/(Tau_j))))*Salcycl</f>
        <v>1.9549693132471697E-2</v>
      </c>
      <c r="P216" s="169">
        <f>(INDEX(Models!$BJ216:$BT216,,T216)*(1-R216)+INDEX(Models!$BJ216:$BT216,,T216+1)*R216-ERP_i)*Q216*Ramure*Pc/MaxiM</f>
        <v>-1.9619566310446586E-20</v>
      </c>
      <c r="Q216" s="304">
        <f t="shared" si="80"/>
        <v>0.6</v>
      </c>
      <c r="R216" s="177">
        <f t="shared" si="81"/>
        <v>0.92092107171863713</v>
      </c>
      <c r="S216" s="799">
        <f t="shared" si="82"/>
        <v>1</v>
      </c>
      <c r="T216" s="176">
        <f t="shared" si="83"/>
        <v>7</v>
      </c>
      <c r="U216" s="250">
        <f t="shared" si="84"/>
        <v>1.9209210717186371</v>
      </c>
      <c r="V216" s="382">
        <f t="shared" si="85"/>
        <v>55.851813496689168</v>
      </c>
      <c r="W216" s="400">
        <f t="shared" si="86"/>
        <v>53.199022329103222</v>
      </c>
      <c r="X216" s="157">
        <f t="shared" si="87"/>
        <v>45859</v>
      </c>
      <c r="Y216" s="383">
        <f t="shared" si="88"/>
        <v>51.295800059817381</v>
      </c>
      <c r="Z216" s="383">
        <f t="shared" si="89"/>
        <v>53.672226402689098</v>
      </c>
      <c r="AA216" s="384">
        <f t="shared" si="90"/>
        <v>56.773525960432139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5.4625804990594926E-2</v>
      </c>
      <c r="AD216" s="230">
        <f>(INDEX(Models!$BJ216:$BT216,,AH216)*(1-AF216)+INDEX(Models!$BJ216:$BT216,,AH216+1)*AF216-ERP_i)*AE216*Ramure*Pc/MaxiM</f>
        <v>-1.9619566310446586E-20</v>
      </c>
      <c r="AE216" s="304">
        <f t="shared" si="92"/>
        <v>0.6</v>
      </c>
      <c r="AF216" s="177">
        <f t="shared" si="93"/>
        <v>0.92092107171863713</v>
      </c>
      <c r="AG216" s="799">
        <f t="shared" si="99"/>
        <v>1</v>
      </c>
      <c r="AH216" s="176">
        <f t="shared" si="94"/>
        <v>7</v>
      </c>
      <c r="AI216" s="224">
        <f t="shared" si="95"/>
        <v>1.9209210717186371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45860</v>
      </c>
      <c r="B217" s="409">
        <f>IF(t&gt;Tmaj,'2024'!Wh/'2024'!Env_an*'2025'!Env_an,0.001*[9]mois!$B$263)</f>
        <v>44.714192577856934</v>
      </c>
      <c r="C217" s="829"/>
      <c r="D217" s="391">
        <f t="shared" si="77"/>
        <v>46.786603567305121</v>
      </c>
      <c r="E217" s="383">
        <f t="shared" si="75"/>
        <v>47.725250698076472</v>
      </c>
      <c r="F217" s="383">
        <f t="shared" si="78"/>
        <v>47.725250698076472</v>
      </c>
      <c r="G217" s="110">
        <f t="shared" si="76"/>
        <v>0.80209786637045477</v>
      </c>
      <c r="H217" s="412" t="b">
        <f>Wh_hp&gt;='2024'!Maxi_hp</f>
        <v>0</v>
      </c>
      <c r="I217" s="388">
        <f>IF(H217,Wh_hp,'2024'!Maxi_hp)</f>
        <v>55.683659624670192</v>
      </c>
      <c r="J217" s="85">
        <f>IF(H217,An,'2024'!An_max)</f>
        <v>2021</v>
      </c>
      <c r="K217" s="197">
        <f t="shared" si="79"/>
        <v>45860</v>
      </c>
      <c r="L217" s="147">
        <f>IF(t&lt;Tvie,1-EXP((T0-t)*PertePVj)+'2024'!Pspv,1-EXP((T0-t)*PertePVj)+Pspv)</f>
        <v>4.4294965469483416E-2</v>
      </c>
      <c r="M217" s="832"/>
      <c r="N217" s="832"/>
      <c r="O217" s="48">
        <f>IF(t&lt;Tnet,'2024'!Resal+('2024'!Salim-'2024'!Resal)*(1-EXP(('2024'!Tnet-t)/('2024'!Tau_j))),Resal+(Salim-Resal)*(1-EXP((Tnet-t)/(Tau_j))))*Salcycl</f>
        <v>1.9667725513051706E-2</v>
      </c>
      <c r="P217" s="169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0.92359924737591625</v>
      </c>
      <c r="S217" s="799">
        <f t="shared" si="82"/>
        <v>1</v>
      </c>
      <c r="T217" s="176">
        <f t="shared" si="83"/>
        <v>7</v>
      </c>
      <c r="U217" s="250">
        <f t="shared" si="84"/>
        <v>1.9235992473759163</v>
      </c>
      <c r="V217" s="382">
        <f t="shared" si="85"/>
        <v>55.746554694368619</v>
      </c>
      <c r="W217" s="400">
        <f t="shared" si="86"/>
        <v>44.714192577856934</v>
      </c>
      <c r="X217" s="157">
        <f t="shared" si="87"/>
        <v>45860</v>
      </c>
      <c r="Y217" s="383">
        <f t="shared" si="88"/>
        <v>43.116103896293801</v>
      </c>
      <c r="Z217" s="383">
        <f t="shared" si="89"/>
        <v>45.114446757596383</v>
      </c>
      <c r="AA217" s="384">
        <f t="shared" si="90"/>
        <v>47.725250698076472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5.4704876397544296E-2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0.92359924737591625</v>
      </c>
      <c r="AG217" s="799">
        <f t="shared" si="99"/>
        <v>1</v>
      </c>
      <c r="AH217" s="176">
        <f t="shared" si="94"/>
        <v>7</v>
      </c>
      <c r="AI217" s="224">
        <f t="shared" si="95"/>
        <v>1.9235992473759163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45861</v>
      </c>
      <c r="B218" s="409">
        <f>IF(t&gt;Tmaj,'2024'!Wh/'2024'!Env_an*'2025'!Env_an,0.001*[9]mois!$B$264)</f>
        <v>44.666657371275406</v>
      </c>
      <c r="C218" s="829"/>
      <c r="D218" s="391">
        <f t="shared" si="77"/>
        <v>46.737760920054477</v>
      </c>
      <c r="E218" s="383">
        <f t="shared" si="75"/>
        <v>47.681157440815845</v>
      </c>
      <c r="F218" s="383">
        <f t="shared" si="78"/>
        <v>47.681157440815845</v>
      </c>
      <c r="G218" s="110">
        <f t="shared" si="76"/>
        <v>0.80277390443400365</v>
      </c>
      <c r="H218" s="412" t="b">
        <f>Wh_hp&gt;='2024'!Maxi_hp</f>
        <v>0</v>
      </c>
      <c r="I218" s="388">
        <f>IF(H218,Wh_hp,'2024'!Maxi_hp)</f>
        <v>57.020157721480658</v>
      </c>
      <c r="J218" s="85">
        <f>IF(H218,An,'2024'!An_max)</f>
        <v>2018</v>
      </c>
      <c r="K218" s="197">
        <f t="shared" si="79"/>
        <v>45861</v>
      </c>
      <c r="L218" s="147">
        <f>IF(t&lt;Tvie,1-EXP((T0-t)*PertePVj)+'2024'!Pspv,1-EXP((T0-t)*PertePVj)+Pspv)</f>
        <v>4.4313281338438926E-2</v>
      </c>
      <c r="M218" s="832"/>
      <c r="N218" s="832"/>
      <c r="O218" s="48">
        <f>IF(t&lt;Tnet,'2024'!Resal+('2024'!Salim-'2024'!Resal)*(1-EXP(('2024'!Tnet-t)/('2024'!Tau_j))),Resal+(Salim-Resal)*(1-EXP((Tnet-t)/(Tau_j))))*Salcycl</f>
        <v>1.9785520557724662E-2</v>
      </c>
      <c r="P218" s="169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0.92620171713704846</v>
      </c>
      <c r="S218" s="799">
        <f t="shared" si="82"/>
        <v>1</v>
      </c>
      <c r="T218" s="176">
        <f t="shared" si="83"/>
        <v>7</v>
      </c>
      <c r="U218" s="250">
        <f t="shared" si="84"/>
        <v>1.9262017171370485</v>
      </c>
      <c r="V218" s="382">
        <f t="shared" si="85"/>
        <v>55.640395290088151</v>
      </c>
      <c r="W218" s="400">
        <f t="shared" si="86"/>
        <v>44.666657371275406</v>
      </c>
      <c r="X218" s="157">
        <f t="shared" si="87"/>
        <v>45861</v>
      </c>
      <c r="Y218" s="383">
        <f t="shared" si="88"/>
        <v>43.071858073098326</v>
      </c>
      <c r="Z218" s="383">
        <f t="shared" si="89"/>
        <v>45.069013968741189</v>
      </c>
      <c r="AA218" s="384">
        <f t="shared" si="90"/>
        <v>47.681157440815845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5.4783558375590451E-2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0.92620171713704846</v>
      </c>
      <c r="AG218" s="799">
        <f t="shared" si="99"/>
        <v>1</v>
      </c>
      <c r="AH218" s="176">
        <f t="shared" si="94"/>
        <v>7</v>
      </c>
      <c r="AI218" s="224">
        <f t="shared" si="95"/>
        <v>1.9262017171370485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45862</v>
      </c>
      <c r="B219" s="409">
        <f>IF(t&gt;Tmaj,'2024'!Wh/'2024'!Env_an*'2025'!Env_an,0.001*[9]mois!$B$265)</f>
        <v>53.449672809183333</v>
      </c>
      <c r="C219" s="829"/>
      <c r="D219" s="391">
        <f t="shared" si="77"/>
        <v>55.929099082237322</v>
      </c>
      <c r="E219" s="383">
        <f t="shared" si="75"/>
        <v>57.064865907333967</v>
      </c>
      <c r="F219" s="383">
        <f t="shared" si="78"/>
        <v>57.064865907333967</v>
      </c>
      <c r="G219" s="110">
        <f t="shared" si="76"/>
        <v>0.96247528086777834</v>
      </c>
      <c r="H219" s="412" t="b">
        <f>Wh_hp&gt;='2024'!Maxi_hp</f>
        <v>0</v>
      </c>
      <c r="I219" s="388">
        <f>IF(H219,Wh_hp,'2024'!Maxi_hp)</f>
        <v>57.130225133334037</v>
      </c>
      <c r="J219" s="85">
        <f>IF(H219,An,'2024'!An_max)</f>
        <v>2018</v>
      </c>
      <c r="K219" s="197">
        <f t="shared" si="79"/>
        <v>45862</v>
      </c>
      <c r="L219" s="147">
        <f>IF(t&lt;Tvie,1-EXP((T0-t)*PertePVj)+'2024'!Pspv,1-EXP((T0-t)*PertePVj)+Pspv)</f>
        <v>4.4331596856374889E-2</v>
      </c>
      <c r="M219" s="832"/>
      <c r="N219" s="832"/>
      <c r="O219" s="48">
        <f>IF(t&lt;Tnet,'2024'!Resal+('2024'!Salim-'2024'!Resal)*(1-EXP(('2024'!Tnet-t)/('2024'!Tau_j))),Resal+(Salim-Resal)*(1-EXP((Tnet-t)/(Tau_j))))*Salcycl</f>
        <v>1.99030840962806E-2</v>
      </c>
      <c r="P219" s="169">
        <f>(INDEX(Models!$BJ219:$BT219,,T219)*(1-R219)+INDEX(Models!$BJ219:$BT219,,T219+1)*R219-ERP_i)*Q219*Ramure*Pc/MaxiM</f>
        <v>0</v>
      </c>
      <c r="Q219" s="304">
        <f t="shared" si="80"/>
        <v>0.6</v>
      </c>
      <c r="R219" s="177">
        <f t="shared" si="81"/>
        <v>0.92872954117992568</v>
      </c>
      <c r="S219" s="799">
        <f t="shared" si="82"/>
        <v>1</v>
      </c>
      <c r="T219" s="176">
        <f t="shared" si="83"/>
        <v>7</v>
      </c>
      <c r="U219" s="250">
        <f t="shared" si="84"/>
        <v>1.9287295411799257</v>
      </c>
      <c r="V219" s="382">
        <f t="shared" si="85"/>
        <v>55.533553818641984</v>
      </c>
      <c r="W219" s="400">
        <f t="shared" si="86"/>
        <v>53.449672809183333</v>
      </c>
      <c r="X219" s="157">
        <f t="shared" si="87"/>
        <v>45862</v>
      </c>
      <c r="Y219" s="383">
        <f t="shared" si="88"/>
        <v>51.543192254513983</v>
      </c>
      <c r="Z219" s="383">
        <f t="shared" si="89"/>
        <v>53.934180605914285</v>
      </c>
      <c r="AA219" s="384">
        <f t="shared" si="90"/>
        <v>57.064865907333967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5.4861870813882545E-2</v>
      </c>
      <c r="AD219" s="230">
        <f>(INDEX(Models!$BJ219:$BT219,,AH219)*(1-AF219)+INDEX(Models!$BJ219:$BT219,,AH219+1)*AF219-ERP_i)*AE219*Ramure*Pc/MaxiM</f>
        <v>0</v>
      </c>
      <c r="AE219" s="304">
        <f t="shared" si="92"/>
        <v>0.6</v>
      </c>
      <c r="AF219" s="177">
        <f t="shared" si="93"/>
        <v>0.92872954117992568</v>
      </c>
      <c r="AG219" s="799">
        <f t="shared" si="99"/>
        <v>1</v>
      </c>
      <c r="AH219" s="176">
        <f t="shared" si="94"/>
        <v>7</v>
      </c>
      <c r="AI219" s="224">
        <f t="shared" si="95"/>
        <v>1.9287295411799257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45863</v>
      </c>
      <c r="B220" s="409">
        <f>IF(t&gt;Tmaj,'2024'!Wh/'2024'!Env_an*'2025'!Env_an,0.001*[9]mois!$B$266)</f>
        <v>26.249642946697872</v>
      </c>
      <c r="C220" s="829"/>
      <c r="D220" s="391">
        <f t="shared" si="77"/>
        <v>27.467839198627082</v>
      </c>
      <c r="E220" s="383">
        <f t="shared" si="75"/>
        <v>28.028991426733498</v>
      </c>
      <c r="F220" s="383">
        <f t="shared" si="78"/>
        <v>28.028991426733498</v>
      </c>
      <c r="G220" s="110">
        <f t="shared" si="76"/>
        <v>0.47359645295049041</v>
      </c>
      <c r="H220" s="412" t="b">
        <f>Wh_hp&gt;='2024'!Maxi_hp</f>
        <v>0</v>
      </c>
      <c r="I220" s="388">
        <f>IF(H220,Wh_hp,'2024'!Maxi_hp)</f>
        <v>58.039813998105629</v>
      </c>
      <c r="J220" s="85">
        <f>IF(H220,An,'2024'!An_max)</f>
        <v>2018</v>
      </c>
      <c r="K220" s="197">
        <f t="shared" si="79"/>
        <v>45863</v>
      </c>
      <c r="L220" s="147">
        <f>IF(t&lt;Tvie,1-EXP((T0-t)*PertePVj)+'2024'!Pspv,1-EXP((T0-t)*PertePVj)+Pspv)</f>
        <v>4.4349912023298077E-2</v>
      </c>
      <c r="M220" s="832"/>
      <c r="N220" s="832"/>
      <c r="O220" s="48">
        <f>IF(t&lt;Tnet,'2024'!Resal+('2024'!Salim-'2024'!Resal)*(1-EXP(('2024'!Tnet-t)/('2024'!Tau_j))),Resal+(Salim-Resal)*(1-EXP((Tnet-t)/(Tau_j))))*Salcycl</f>
        <v>2.002042169705754E-2</v>
      </c>
      <c r="P220" s="169">
        <f>(INDEX(Models!$BJ220:$BT220,,T220)*(1-R220)+INDEX(Models!$BJ220:$BT220,,T220+1)*R220-ERP_i)*Q220*Ramure*Pc/MaxiM</f>
        <v>0</v>
      </c>
      <c r="Q220" s="304">
        <f t="shared" si="80"/>
        <v>0.6</v>
      </c>
      <c r="R220" s="177">
        <f t="shared" si="81"/>
        <v>0.93118384216706063</v>
      </c>
      <c r="S220" s="799">
        <f t="shared" si="82"/>
        <v>1</v>
      </c>
      <c r="T220" s="176">
        <f t="shared" si="83"/>
        <v>7</v>
      </c>
      <c r="U220" s="250">
        <f t="shared" si="84"/>
        <v>1.9311838421670606</v>
      </c>
      <c r="V220" s="382">
        <f t="shared" si="85"/>
        <v>55.426181474044952</v>
      </c>
      <c r="W220" s="400">
        <f t="shared" si="86"/>
        <v>26.249642946697872</v>
      </c>
      <c r="X220" s="157">
        <f t="shared" si="87"/>
        <v>45863</v>
      </c>
      <c r="Y220" s="383">
        <f t="shared" si="88"/>
        <v>25.314294817230206</v>
      </c>
      <c r="Z220" s="383">
        <f t="shared" si="89"/>
        <v>26.489083332609237</v>
      </c>
      <c r="AA220" s="384">
        <f t="shared" si="90"/>
        <v>28.028991426733498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5.4939832499842564E-2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0.93118384216706063</v>
      </c>
      <c r="AG220" s="799">
        <f t="shared" si="99"/>
        <v>1</v>
      </c>
      <c r="AH220" s="176">
        <f t="shared" si="94"/>
        <v>7</v>
      </c>
      <c r="AI220" s="224">
        <f t="shared" si="95"/>
        <v>1.9311838421670606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45864</v>
      </c>
      <c r="B221" s="409">
        <f>IF(t&gt;Tmaj,'2024'!Wh/'2024'!Env_an*'2025'!Env_an,0.001*[9]mois!$B$267)</f>
        <v>55.73560777998474</v>
      </c>
      <c r="C221" s="829"/>
      <c r="D221" s="391">
        <f t="shared" si="77"/>
        <v>58.323309610810995</v>
      </c>
      <c r="E221" s="383">
        <f t="shared" si="75"/>
        <v>59.521934873943664</v>
      </c>
      <c r="F221" s="383">
        <f t="shared" si="78"/>
        <v>59.521934873943664</v>
      </c>
      <c r="G221" s="110">
        <f t="shared" si="76"/>
        <v>1.0075459914600897</v>
      </c>
      <c r="H221" s="412" t="b">
        <f>Wh_hp&gt;='2024'!Maxi_hp</f>
        <v>1</v>
      </c>
      <c r="I221" s="388">
        <f>IF(H221,Wh_hp,'2024'!Maxi_hp)</f>
        <v>59.521934873943664</v>
      </c>
      <c r="J221" s="85">
        <f>IF(H221,An,'2024'!An_max)</f>
        <v>2025</v>
      </c>
      <c r="K221" s="197">
        <f t="shared" si="79"/>
        <v>45864</v>
      </c>
      <c r="L221" s="147">
        <f>IF(t&lt;Tvie,1-EXP((T0-t)*PertePVj)+'2024'!Pspv,1-EXP((T0-t)*PertePVj)+Pspv)</f>
        <v>4.4368226839215374E-2</v>
      </c>
      <c r="M221" s="832"/>
      <c r="N221" s="832"/>
      <c r="O221" s="48">
        <f>IF(t&lt;Tnet,'2024'!Resal+('2024'!Salim-'2024'!Resal)*(1-EXP(('2024'!Tnet-t)/('2024'!Tau_j))),Resal+(Salim-Resal)*(1-EXP((Tnet-t)/(Tau_j))))*Salcycl</f>
        <v>2.0137538634641784E-2</v>
      </c>
      <c r="P221" s="169">
        <f>(INDEX(Models!$BJ221:$BT221,,T221)*(1-R221)+INDEX(Models!$BJ221:$BT221,,T221+1)*R221-ERP_i)*Q221*Ramure*Pc/MaxiM</f>
        <v>0</v>
      </c>
      <c r="Q221" s="304">
        <f t="shared" si="80"/>
        <v>0.6</v>
      </c>
      <c r="R221" s="177">
        <f t="shared" si="81"/>
        <v>0.93356579894491953</v>
      </c>
      <c r="S221" s="799">
        <f t="shared" si="82"/>
        <v>1</v>
      </c>
      <c r="T221" s="176">
        <f t="shared" si="83"/>
        <v>7</v>
      </c>
      <c r="U221" s="250">
        <f t="shared" si="84"/>
        <v>1.9335657989449195</v>
      </c>
      <c r="V221" s="382">
        <f t="shared" si="85"/>
        <v>55.318177286592388</v>
      </c>
      <c r="W221" s="400">
        <f t="shared" si="86"/>
        <v>55.73560777998474</v>
      </c>
      <c r="X221" s="157">
        <f t="shared" si="87"/>
        <v>45864</v>
      </c>
      <c r="Y221" s="383">
        <f t="shared" si="88"/>
        <v>53.751601093035724</v>
      </c>
      <c r="Z221" s="383">
        <f t="shared" si="89"/>
        <v>56.247189139861341</v>
      </c>
      <c r="AA221" s="384">
        <f t="shared" si="90"/>
        <v>59.521934873943664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5.5017461058979707E-2</v>
      </c>
      <c r="AD221" s="230">
        <f>(INDEX(Models!$BJ221:$BT221,,AH221)*(1-AF221)+INDEX(Models!$BJ221:$BT221,,AH221+1)*AF221-ERP_i)*AE221*Ramure*Pc/MaxiM</f>
        <v>0</v>
      </c>
      <c r="AE221" s="304">
        <f t="shared" si="92"/>
        <v>0.6</v>
      </c>
      <c r="AF221" s="177">
        <f t="shared" si="93"/>
        <v>0.93356579894491953</v>
      </c>
      <c r="AG221" s="799">
        <f t="shared" si="99"/>
        <v>1</v>
      </c>
      <c r="AH221" s="176">
        <f t="shared" si="94"/>
        <v>7</v>
      </c>
      <c r="AI221" s="224">
        <f t="shared" si="95"/>
        <v>1.9335657989449195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45865</v>
      </c>
      <c r="B222" s="409">
        <f>IF(t&gt;Tmaj,'2024'!Wh/'2024'!Env_an*'2025'!Env_an,0.001*[9]mois!$B$268)</f>
        <v>57.150169547533721</v>
      </c>
      <c r="C222" s="829"/>
      <c r="D222" s="391">
        <f t="shared" si="77"/>
        <v>59.804693024653517</v>
      </c>
      <c r="E222" s="383">
        <f t="shared" si="75"/>
        <v>61.041045203793381</v>
      </c>
      <c r="F222" s="383">
        <f t="shared" si="78"/>
        <v>61.041045203793381</v>
      </c>
      <c r="G222" s="110">
        <f t="shared" si="76"/>
        <v>1.0351521256731888</v>
      </c>
      <c r="H222" s="412" t="b">
        <f>Wh_hp&gt;='2024'!Maxi_hp</f>
        <v>1</v>
      </c>
      <c r="I222" s="388">
        <f>IF(H222,Wh_hp,'2024'!Maxi_hp)</f>
        <v>61.041045203793381</v>
      </c>
      <c r="J222" s="85">
        <f>IF(H222,An,'2024'!An_max)</f>
        <v>2025</v>
      </c>
      <c r="K222" s="197">
        <f t="shared" si="79"/>
        <v>45865</v>
      </c>
      <c r="L222" s="147">
        <f>IF(t&lt;Tvie,1-EXP((T0-t)*PertePVj)+'2024'!Pspv,1-EXP((T0-t)*PertePVj)+Pspv)</f>
        <v>4.4386541304133331E-2</v>
      </c>
      <c r="M222" s="832"/>
      <c r="N222" s="832"/>
      <c r="O222" s="48">
        <f>IF(t&lt;Tnet,'2024'!Resal+('2024'!Salim-'2024'!Resal)*(1-EXP(('2024'!Tnet-t)/('2024'!Tau_j))),Resal+(Salim-Resal)*(1-EXP((Tnet-t)/(Tau_j))))*Salcycl</f>
        <v>2.0254439861115466E-2</v>
      </c>
      <c r="P222" s="169">
        <f>(INDEX(Models!$BJ222:$BT222,,T222)*(1-R222)+INDEX(Models!$BJ222:$BT222,,T222+1)*R222-ERP_i)*Q222*Ramure*Pc/MaxiM</f>
        <v>0</v>
      </c>
      <c r="Q222" s="304">
        <f t="shared" si="80"/>
        <v>0.6</v>
      </c>
      <c r="R222" s="177">
        <f t="shared" si="81"/>
        <v>0.9358766404498855</v>
      </c>
      <c r="S222" s="799">
        <f t="shared" si="82"/>
        <v>1</v>
      </c>
      <c r="T222" s="176">
        <f t="shared" si="83"/>
        <v>7</v>
      </c>
      <c r="U222" s="250">
        <f t="shared" si="84"/>
        <v>1.9358766404498855</v>
      </c>
      <c r="V222" s="382">
        <f t="shared" si="85"/>
        <v>55.209440361596457</v>
      </c>
      <c r="W222" s="400">
        <f t="shared" si="86"/>
        <v>57.150169547533721</v>
      </c>
      <c r="X222" s="157">
        <f t="shared" si="87"/>
        <v>45865</v>
      </c>
      <c r="Y222" s="383">
        <f t="shared" si="88"/>
        <v>55.117875632057448</v>
      </c>
      <c r="Z222" s="383">
        <f t="shared" si="89"/>
        <v>57.678002680369588</v>
      </c>
      <c r="AA222" s="384">
        <f t="shared" si="90"/>
        <v>61.041045203793381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5.5094772905605452E-2</v>
      </c>
      <c r="AD222" s="230">
        <f>(INDEX(Models!$BJ222:$BT222,,AH222)*(1-AF222)+INDEX(Models!$BJ222:$BT222,,AH222+1)*AF222-ERP_i)*AE222*Ramure*Pc/MaxiM</f>
        <v>0</v>
      </c>
      <c r="AE222" s="304">
        <f t="shared" si="92"/>
        <v>0.6</v>
      </c>
      <c r="AF222" s="177">
        <f t="shared" si="93"/>
        <v>0.9358766404498855</v>
      </c>
      <c r="AG222" s="799">
        <f t="shared" si="99"/>
        <v>1</v>
      </c>
      <c r="AH222" s="176">
        <f t="shared" si="94"/>
        <v>7</v>
      </c>
      <c r="AI222" s="224">
        <f t="shared" si="95"/>
        <v>1.9358766404498855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45866</v>
      </c>
      <c r="B223" s="409">
        <f>IF(t&gt;Tmaj,'2024'!Wh/'2024'!Env_an*'2025'!Env_an,0.001*[9]mois!$B$269)</f>
        <v>43.277865574326924</v>
      </c>
      <c r="C223" s="829"/>
      <c r="D223" s="391">
        <f t="shared" si="77"/>
        <v>45.288913217804549</v>
      </c>
      <c r="E223" s="383">
        <f t="shared" si="75"/>
        <v>46.230684500880955</v>
      </c>
      <c r="F223" s="383">
        <f t="shared" si="78"/>
        <v>46.230684500880955</v>
      </c>
      <c r="G223" s="110">
        <f t="shared" si="76"/>
        <v>0.78544406126196087</v>
      </c>
      <c r="H223" s="412" t="b">
        <f>Wh_hp&gt;='2024'!Maxi_hp</f>
        <v>0</v>
      </c>
      <c r="I223" s="388">
        <f>IF(H223,Wh_hp,'2024'!Maxi_hp)</f>
        <v>56.607198272356136</v>
      </c>
      <c r="J223" s="85">
        <f>IF(H223,An,'2024'!An_max)</f>
        <v>2020</v>
      </c>
      <c r="K223" s="197">
        <f t="shared" si="79"/>
        <v>45866</v>
      </c>
      <c r="L223" s="147">
        <f>IF(t&lt;Tvie,1-EXP((T0-t)*PertePVj)+'2024'!Pspv,1-EXP((T0-t)*PertePVj)+Pspv)</f>
        <v>4.4404855418058831E-2</v>
      </c>
      <c r="M223" s="832"/>
      <c r="N223" s="832"/>
      <c r="O223" s="48">
        <f>IF(t&lt;Tnet,'2024'!Resal+('2024'!Salim-'2024'!Resal)*(1-EXP(('2024'!Tnet-t)/('2024'!Tau_j))),Resal+(Salim-Resal)*(1-EXP((Tnet-t)/(Tau_j))))*Salcycl</f>
        <v>2.0371129980964443E-2</v>
      </c>
      <c r="P223" s="169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0.93811763983646701</v>
      </c>
      <c r="S223" s="799">
        <f t="shared" si="82"/>
        <v>1</v>
      </c>
      <c r="T223" s="176">
        <f t="shared" si="83"/>
        <v>7</v>
      </c>
      <c r="U223" s="250">
        <f t="shared" si="84"/>
        <v>1.938117639836467</v>
      </c>
      <c r="V223" s="382">
        <f t="shared" si="85"/>
        <v>55.099869880985601</v>
      </c>
      <c r="W223" s="400">
        <f t="shared" si="86"/>
        <v>43.277865574326924</v>
      </c>
      <c r="X223" s="157">
        <f t="shared" si="87"/>
        <v>45866</v>
      </c>
      <c r="Y223" s="383">
        <f t="shared" si="88"/>
        <v>41.740448662477824</v>
      </c>
      <c r="Z223" s="383">
        <f t="shared" si="89"/>
        <v>43.680055198207036</v>
      </c>
      <c r="AA223" s="384">
        <f t="shared" si="90"/>
        <v>46.230684500880955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5.5171783204406466E-2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0.93811763983646701</v>
      </c>
      <c r="AG223" s="799">
        <f t="shared" si="99"/>
        <v>1</v>
      </c>
      <c r="AH223" s="176">
        <f t="shared" si="94"/>
        <v>7</v>
      </c>
      <c r="AI223" s="224">
        <f t="shared" si="95"/>
        <v>1.938117639836467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45867</v>
      </c>
      <c r="B224" s="409">
        <f>IF(t&gt;Tmaj,'2024'!Wh/'2024'!Env_an*'2025'!Env_an,0.001*[9]mois!$B$270)</f>
        <v>29.958764451624056</v>
      </c>
      <c r="C224" s="829"/>
      <c r="D224" s="391">
        <f t="shared" si="77"/>
        <v>31.351497321201403</v>
      </c>
      <c r="E224" s="383">
        <f t="shared" si="75"/>
        <v>32.007249468866611</v>
      </c>
      <c r="F224" s="383">
        <f t="shared" si="78"/>
        <v>32.007249468866611</v>
      </c>
      <c r="G224" s="110">
        <f t="shared" si="76"/>
        <v>0.54481015365298757</v>
      </c>
      <c r="H224" s="412" t="b">
        <f>Wh_hp&gt;='2024'!Maxi_hp</f>
        <v>0</v>
      </c>
      <c r="I224" s="388">
        <f>IF(H224,Wh_hp,'2024'!Maxi_hp)</f>
        <v>59.144534762584179</v>
      </c>
      <c r="J224" s="85">
        <f>IF(H224,An,'2024'!An_max)</f>
        <v>2018</v>
      </c>
      <c r="K224" s="197">
        <f t="shared" si="79"/>
        <v>45867</v>
      </c>
      <c r="L224" s="147">
        <f>IF(t&lt;Tvie,1-EXP((T0-t)*PertePVj)+'2024'!Pspv,1-EXP((T0-t)*PertePVj)+Pspv)</f>
        <v>4.4423169180998423E-2</v>
      </c>
      <c r="M224" s="832"/>
      <c r="N224" s="832"/>
      <c r="O224" s="48">
        <f>IF(t&lt;Tnet,'2024'!Resal+('2024'!Salim-'2024'!Resal)*(1-EXP(('2024'!Tnet-t)/('2024'!Tau_j))),Resal+(Salim-Resal)*(1-EXP((Tnet-t)/(Tau_j))))*Salcycl</f>
        <v>2.0487613229717198E-2</v>
      </c>
      <c r="P224" s="169">
        <f>(INDEX(Models!$BJ224:$BT224,,T224)*(1-R224)+INDEX(Models!$BJ224:$BT224,,T224+1)*R224-ERP_i)*Q224*Ramure*Pc/MaxiM</f>
        <v>0</v>
      </c>
      <c r="Q224" s="304">
        <f t="shared" si="80"/>
        <v>0.6</v>
      </c>
      <c r="R224" s="177">
        <f t="shared" si="81"/>
        <v>0.94029010884050024</v>
      </c>
      <c r="S224" s="799">
        <f t="shared" si="82"/>
        <v>1</v>
      </c>
      <c r="T224" s="176">
        <f t="shared" si="83"/>
        <v>7</v>
      </c>
      <c r="U224" s="250">
        <f t="shared" si="84"/>
        <v>1.9402901088405002</v>
      </c>
      <c r="V224" s="382">
        <f t="shared" si="85"/>
        <v>54.989365104061633</v>
      </c>
      <c r="W224" s="400">
        <f t="shared" si="86"/>
        <v>29.958764451624056</v>
      </c>
      <c r="X224" s="157">
        <f t="shared" si="87"/>
        <v>45867</v>
      </c>
      <c r="Y224" s="383">
        <f t="shared" si="88"/>
        <v>28.89558913297893</v>
      </c>
      <c r="Z224" s="383">
        <f t="shared" si="89"/>
        <v>30.238896759576335</v>
      </c>
      <c r="AA224" s="384">
        <f t="shared" si="90"/>
        <v>32.007249468866611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5.5248505842726385E-2</v>
      </c>
      <c r="AD224" s="230">
        <f>(INDEX(Models!$BJ224:$BT224,,AH224)*(1-AF224)+INDEX(Models!$BJ224:$BT224,,AH224+1)*AF224-ERP_i)*AE224*Ramure*Pc/MaxiM</f>
        <v>0</v>
      </c>
      <c r="AE224" s="304">
        <f t="shared" si="92"/>
        <v>0.6</v>
      </c>
      <c r="AF224" s="177">
        <f t="shared" si="93"/>
        <v>0.94029010884050024</v>
      </c>
      <c r="AG224" s="799">
        <f t="shared" si="99"/>
        <v>1</v>
      </c>
      <c r="AH224" s="176">
        <f t="shared" si="94"/>
        <v>7</v>
      </c>
      <c r="AI224" s="224">
        <f t="shared" si="95"/>
        <v>1.9402901088405002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45868</v>
      </c>
      <c r="B225" s="409">
        <f>IF(t&gt;Tmaj,'2024'!Wh/'2024'!Env_an*'2025'!Env_an,0.001*[9]mois!$B$271)</f>
        <v>48.183549853200319</v>
      </c>
      <c r="C225" s="829"/>
      <c r="D225" s="391">
        <f t="shared" si="77"/>
        <v>50.42448889885776</v>
      </c>
      <c r="E225" s="383">
        <f t="shared" si="75"/>
        <v>51.485286251349898</v>
      </c>
      <c r="F225" s="383">
        <f t="shared" si="78"/>
        <v>51.485286251349898</v>
      </c>
      <c r="G225" s="110">
        <f t="shared" si="76"/>
        <v>0.87801492734352826</v>
      </c>
      <c r="H225" s="412" t="b">
        <f>Wh_hp&gt;='2024'!Maxi_hp</f>
        <v>1</v>
      </c>
      <c r="I225" s="388">
        <f>IF(H225,Wh_hp,'2024'!Maxi_hp)</f>
        <v>51.485286251349898</v>
      </c>
      <c r="J225" s="85">
        <f>IF(H225,An,'2024'!An_max)</f>
        <v>2025</v>
      </c>
      <c r="K225" s="197">
        <f t="shared" si="79"/>
        <v>45868</v>
      </c>
      <c r="L225" s="147">
        <f>IF(t&lt;Tvie,1-EXP((T0-t)*PertePVj)+'2024'!Pspv,1-EXP((T0-t)*PertePVj)+Pspv)</f>
        <v>4.4441482592958992E-2</v>
      </c>
      <c r="M225" s="832"/>
      <c r="N225" s="832"/>
      <c r="O225" s="48">
        <f>IF(t&lt;Tnet,'2024'!Resal+('2024'!Salim-'2024'!Resal)*(1-EXP(('2024'!Tnet-t)/('2024'!Tau_j))),Resal+(Salim-Resal)*(1-EXP((Tnet-t)/(Tau_j))))*Salcycl</f>
        <v>2.0603893456343052E-2</v>
      </c>
      <c r="P225" s="169">
        <f>(INDEX(Models!$BJ225:$BT225,,T225)*(1-R225)+INDEX(Models!$BJ225:$BT225,,T225+1)*R225-ERP_i)*Q225*Ramure*Pc/MaxiM</f>
        <v>0</v>
      </c>
      <c r="Q225" s="304">
        <f t="shared" si="80"/>
        <v>0.6</v>
      </c>
      <c r="R225" s="177">
        <f t="shared" si="81"/>
        <v>0.9423953923873829</v>
      </c>
      <c r="S225" s="799">
        <f t="shared" si="82"/>
        <v>1</v>
      </c>
      <c r="T225" s="176">
        <f t="shared" si="83"/>
        <v>7</v>
      </c>
      <c r="U225" s="250">
        <f t="shared" si="84"/>
        <v>1.9423953923873829</v>
      </c>
      <c r="V225" s="382">
        <f t="shared" si="85"/>
        <v>54.877825367937319</v>
      </c>
      <c r="W225" s="400">
        <f t="shared" si="86"/>
        <v>48.183549853200319</v>
      </c>
      <c r="X225" s="157">
        <f t="shared" si="87"/>
        <v>45868</v>
      </c>
      <c r="Y225" s="383">
        <f t="shared" si="88"/>
        <v>46.47537079039374</v>
      </c>
      <c r="Z225" s="383">
        <f t="shared" si="89"/>
        <v>48.636865188023371</v>
      </c>
      <c r="AA225" s="384">
        <f t="shared" si="90"/>
        <v>51.485286251349898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5.5324953413303499E-2</v>
      </c>
      <c r="AD225" s="230">
        <f>(INDEX(Models!$BJ225:$BT225,,AH225)*(1-AF225)+INDEX(Models!$BJ225:$BT225,,AH225+1)*AF225-ERP_i)*AE225*Ramure*Pc/MaxiM</f>
        <v>0</v>
      </c>
      <c r="AE225" s="304">
        <f t="shared" si="92"/>
        <v>0.6</v>
      </c>
      <c r="AF225" s="177">
        <f t="shared" si="93"/>
        <v>0.9423953923873829</v>
      </c>
      <c r="AG225" s="799">
        <f t="shared" si="99"/>
        <v>1</v>
      </c>
      <c r="AH225" s="176">
        <f t="shared" si="94"/>
        <v>7</v>
      </c>
      <c r="AI225" s="224">
        <f t="shared" si="95"/>
        <v>1.9423953923873829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45869</v>
      </c>
      <c r="B226" s="409">
        <f>IF(t&gt;Tmaj,'2024'!Wh/'2024'!Env_an*'2025'!Env_an,0.001*[9]mois!$B$272)</f>
        <v>54.785891283094209</v>
      </c>
      <c r="C226" s="829"/>
      <c r="D226" s="391">
        <f t="shared" si="77"/>
        <v>57.334993372244618</v>
      </c>
      <c r="E226" s="383">
        <f t="shared" si="75"/>
        <v>58.548108667999671</v>
      </c>
      <c r="F226" s="383">
        <f t="shared" si="78"/>
        <v>58.548108667999671</v>
      </c>
      <c r="G226" s="110">
        <f t="shared" si="76"/>
        <v>1.00037872980777</v>
      </c>
      <c r="H226" s="412" t="b">
        <f>Wh_hp&gt;='2024'!Maxi_hp</f>
        <v>1</v>
      </c>
      <c r="I226" s="388">
        <f>IF(H226,Wh_hp,'2024'!Maxi_hp)</f>
        <v>58.548108667999671</v>
      </c>
      <c r="J226" s="85">
        <f>IF(H226,An,'2024'!An_max)</f>
        <v>2025</v>
      </c>
      <c r="K226" s="197">
        <f t="shared" si="79"/>
        <v>45869</v>
      </c>
      <c r="L226" s="147">
        <f>IF(t&lt;Tvie,1-EXP((T0-t)*PertePVj)+'2024'!Pspv,1-EXP((T0-t)*PertePVj)+Pspv)</f>
        <v>4.4459795653947087E-2</v>
      </c>
      <c r="M226" s="832"/>
      <c r="N226" s="832"/>
      <c r="O226" s="48">
        <f>IF(t&lt;Tnet,'2024'!Resal+('2024'!Salim-'2024'!Resal)*(1-EXP(('2024'!Tnet-t)/('2024'!Tau_j))),Resal+(Salim-Resal)*(1-EXP((Tnet-t)/(Tau_j))))*Salcycl</f>
        <v>2.0719974109396001E-2</v>
      </c>
      <c r="P226" s="169">
        <f>(INDEX(Models!$BJ226:$BT226,,T226)*(1-R226)+INDEX(Models!$BJ226:$BT226,,T226+1)*R226-ERP_i)*Q226*Ramure*Pc/MaxiM</f>
        <v>0</v>
      </c>
      <c r="Q226" s="304">
        <f t="shared" si="80"/>
        <v>0.6</v>
      </c>
      <c r="R226" s="177">
        <f t="shared" si="81"/>
        <v>0.94443486345285588</v>
      </c>
      <c r="S226" s="799">
        <f t="shared" si="82"/>
        <v>1</v>
      </c>
      <c r="T226" s="176">
        <f t="shared" si="83"/>
        <v>7</v>
      </c>
      <c r="U226" s="250">
        <f t="shared" si="84"/>
        <v>1.9444348634528559</v>
      </c>
      <c r="V226" s="382">
        <f t="shared" si="85"/>
        <v>54.76515008832876</v>
      </c>
      <c r="W226" s="400">
        <f t="shared" si="86"/>
        <v>54.785891283094209</v>
      </c>
      <c r="X226" s="157">
        <f t="shared" si="87"/>
        <v>45869</v>
      </c>
      <c r="Y226" s="383">
        <f t="shared" si="88"/>
        <v>52.845651126235332</v>
      </c>
      <c r="Z226" s="383">
        <f t="shared" si="89"/>
        <v>55.304476866466892</v>
      </c>
      <c r="AA226" s="384">
        <f t="shared" si="90"/>
        <v>58.548108667999671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5.5401137207112532E-2</v>
      </c>
      <c r="AD226" s="230">
        <f>(INDEX(Models!$BJ226:$BT226,,AH226)*(1-AF226)+INDEX(Models!$BJ226:$BT226,,AH226+1)*AF226-ERP_i)*AE226*Ramure*Pc/MaxiM</f>
        <v>0</v>
      </c>
      <c r="AE226" s="304">
        <f t="shared" si="92"/>
        <v>0.6</v>
      </c>
      <c r="AF226" s="177">
        <f t="shared" si="93"/>
        <v>0.94443486345285588</v>
      </c>
      <c r="AG226" s="799">
        <f t="shared" si="99"/>
        <v>1</v>
      </c>
      <c r="AH226" s="176">
        <f t="shared" si="94"/>
        <v>7</v>
      </c>
      <c r="AI226" s="224">
        <f t="shared" si="95"/>
        <v>1.9444348634528559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45870</v>
      </c>
      <c r="B227" s="409">
        <f>IF(t&gt;Tmaj,'2024'!Wh/'2024'!Env_an*'2025'!Env_an,0.001*'[10]mon-tableau (1)'!$B$242)</f>
        <v>54.4317330558723</v>
      </c>
      <c r="C227" s="829"/>
      <c r="D227" s="391">
        <f t="shared" si="77"/>
        <v>56.965448444802348</v>
      </c>
      <c r="E227" s="383">
        <f t="shared" si="75"/>
        <v>58.177629280464252</v>
      </c>
      <c r="F227" s="383">
        <f t="shared" si="78"/>
        <v>58.177629280464252</v>
      </c>
      <c r="G227" s="110">
        <f t="shared" si="76"/>
        <v>0.99598351824544618</v>
      </c>
      <c r="H227" s="412" t="b">
        <f>Wh_hp&gt;='2024'!Maxi_hp</f>
        <v>1</v>
      </c>
      <c r="I227" s="388">
        <f>IF(H227,Wh_hp,'2024'!Maxi_hp)</f>
        <v>58.177629280464252</v>
      </c>
      <c r="J227" s="85">
        <f>IF(H227,An,'2024'!An_max)</f>
        <v>2025</v>
      </c>
      <c r="K227" s="197">
        <f t="shared" si="79"/>
        <v>45870</v>
      </c>
      <c r="L227" s="147">
        <f>IF(t&lt;Tvie,1-EXP((T0-t)*PertePVj)+'2024'!Pspv,1-EXP((T0-t)*PertePVj)+Pspv)</f>
        <v>4.4478108363969704E-2</v>
      </c>
      <c r="M227" s="832"/>
      <c r="N227" s="832"/>
      <c r="O227" s="48">
        <f>IF(t&lt;Tnet,'2024'!Resal+('2024'!Salim-'2024'!Resal)*(1-EXP(('2024'!Tnet-t)/('2024'!Tau_j))),Resal+(Salim-Resal)*(1-EXP((Tnet-t)/(Tau_j))))*Salcycl</f>
        <v>2.0835858226848476E-2</v>
      </c>
      <c r="P227" s="169">
        <f>(INDEX(Models!$BJ227:$BT227,,T227)*(1-R227)+INDEX(Models!$BJ227:$BT227,,T227+1)*R227-ERP_i)*Q227*Ramure*Pc/MaxiM</f>
        <v>0</v>
      </c>
      <c r="Q227" s="304">
        <f t="shared" si="80"/>
        <v>0.6</v>
      </c>
      <c r="R227" s="177">
        <f t="shared" si="81"/>
        <v>0.94640991818152509</v>
      </c>
      <c r="S227" s="799">
        <f t="shared" si="82"/>
        <v>1</v>
      </c>
      <c r="T227" s="176">
        <f t="shared" si="83"/>
        <v>7</v>
      </c>
      <c r="U227" s="250">
        <f t="shared" si="84"/>
        <v>1.9464099181815251</v>
      </c>
      <c r="V227" s="382">
        <f t="shared" si="85"/>
        <v>54.65123875921244</v>
      </c>
      <c r="W227" s="400">
        <f t="shared" si="86"/>
        <v>54.4317330558723</v>
      </c>
      <c r="X227" s="157">
        <f t="shared" si="87"/>
        <v>45870</v>
      </c>
      <c r="Y227" s="383">
        <f t="shared" si="88"/>
        <v>52.506028304258109</v>
      </c>
      <c r="Z227" s="383">
        <f t="shared" si="89"/>
        <v>54.950105030412303</v>
      </c>
      <c r="AA227" s="384">
        <f t="shared" si="90"/>
        <v>58.177629280464252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5.5477067215864311E-2</v>
      </c>
      <c r="AD227" s="230">
        <f>(INDEX(Models!$BJ227:$BT227,,AH227)*(1-AF227)+INDEX(Models!$BJ227:$BT227,,AH227+1)*AF227-ERP_i)*AE227*Ramure*Pc/MaxiM</f>
        <v>0</v>
      </c>
      <c r="AE227" s="304">
        <f t="shared" si="92"/>
        <v>0.6</v>
      </c>
      <c r="AF227" s="177">
        <f t="shared" si="93"/>
        <v>0.94640991818152509</v>
      </c>
      <c r="AG227" s="799">
        <f t="shared" si="99"/>
        <v>1</v>
      </c>
      <c r="AH227" s="176">
        <f t="shared" si="94"/>
        <v>7</v>
      </c>
      <c r="AI227" s="224">
        <f t="shared" si="95"/>
        <v>1.9464099181815251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45871</v>
      </c>
      <c r="B228" s="409">
        <f>IF(t&gt;Tmaj,'2024'!Wh/'2024'!Env_an*'2025'!Env_an,0.001*'[10]mon-tableau (1)'!$B$243)</f>
        <v>54.501914563095212</v>
      </c>
      <c r="C228" s="829"/>
      <c r="D228" s="391">
        <f t="shared" si="77"/>
        <v>57.039989954131855</v>
      </c>
      <c r="E228" s="383">
        <f t="shared" si="75"/>
        <v>58.260640586923572</v>
      </c>
      <c r="F228" s="383">
        <f t="shared" si="78"/>
        <v>58.260640586923572</v>
      </c>
      <c r="G228" s="110">
        <f t="shared" si="76"/>
        <v>0.99937515778508601</v>
      </c>
      <c r="H228" s="412" t="b">
        <f>Wh_hp&gt;='2024'!Maxi_hp</f>
        <v>1</v>
      </c>
      <c r="I228" s="388">
        <f>IF(H228,Wh_hp,'2024'!Maxi_hp)</f>
        <v>58.260640586923572</v>
      </c>
      <c r="J228" s="85">
        <f>IF(H228,An,'2024'!An_max)</f>
        <v>2025</v>
      </c>
      <c r="K228" s="197">
        <f t="shared" si="79"/>
        <v>45871</v>
      </c>
      <c r="L228" s="147">
        <f>IF(t&lt;Tvie,1-EXP((T0-t)*PertePVj)+'2024'!Pspv,1-EXP((T0-t)*PertePVj)+Pspv)</f>
        <v>4.4496420723033281E-2</v>
      </c>
      <c r="M228" s="832"/>
      <c r="N228" s="832"/>
      <c r="O228" s="48">
        <f>IF(t&lt;Tnet,'2024'!Resal+('2024'!Salim-'2024'!Resal)*(1-EXP(('2024'!Tnet-t)/('2024'!Tau_j))),Resal+(Salim-Resal)*(1-EXP((Tnet-t)/(Tau_j))))*Salcycl</f>
        <v>2.0951548429518792E-2</v>
      </c>
      <c r="P228" s="169">
        <f>(INDEX(Models!$BJ228:$BT228,,T228)*(1-R228)+INDEX(Models!$BJ228:$BT228,,T228+1)*R228-ERP_i)*Q228*Ramure*Pc/MaxiM</f>
        <v>0</v>
      </c>
      <c r="Q228" s="304">
        <f t="shared" si="80"/>
        <v>0.6</v>
      </c>
      <c r="R228" s="177">
        <f t="shared" si="81"/>
        <v>0.94832197126616191</v>
      </c>
      <c r="S228" s="799">
        <f t="shared" si="82"/>
        <v>1</v>
      </c>
      <c r="T228" s="176">
        <f t="shared" si="83"/>
        <v>7</v>
      </c>
      <c r="U228" s="250">
        <f t="shared" si="84"/>
        <v>1.9483219712661619</v>
      </c>
      <c r="V228" s="382">
        <f t="shared" si="85"/>
        <v>54.535990952474485</v>
      </c>
      <c r="W228" s="400">
        <f t="shared" si="86"/>
        <v>54.501914563095212</v>
      </c>
      <c r="X228" s="157">
        <f t="shared" si="87"/>
        <v>45871</v>
      </c>
      <c r="Y228" s="383">
        <f t="shared" si="88"/>
        <v>52.575726083269082</v>
      </c>
      <c r="Z228" s="383">
        <f t="shared" si="89"/>
        <v>55.024101660669174</v>
      </c>
      <c r="AA228" s="384">
        <f t="shared" si="90"/>
        <v>58.260640586923572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5.5552752143628613E-2</v>
      </c>
      <c r="AD228" s="230">
        <f>(INDEX(Models!$BJ228:$BT228,,AH228)*(1-AF228)+INDEX(Models!$BJ228:$BT228,,AH228+1)*AF228-ERP_i)*AE228*Ramure*Pc/MaxiM</f>
        <v>0</v>
      </c>
      <c r="AE228" s="304">
        <f t="shared" si="92"/>
        <v>0.6</v>
      </c>
      <c r="AF228" s="177">
        <f t="shared" si="93"/>
        <v>0.94832197126616191</v>
      </c>
      <c r="AG228" s="799">
        <f t="shared" si="99"/>
        <v>1</v>
      </c>
      <c r="AH228" s="176">
        <f t="shared" si="94"/>
        <v>7</v>
      </c>
      <c r="AI228" s="224">
        <f t="shared" si="95"/>
        <v>1.9483219712661619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45872</v>
      </c>
      <c r="B229" s="409">
        <f>IF(t&gt;Tmaj,'2024'!Wh/'2024'!Env_an*'2025'!Env_an,0.001*'[10]mon-tableau (1)'!$B$244)</f>
        <v>53.860059693333952</v>
      </c>
      <c r="C229" s="829"/>
      <c r="D229" s="391">
        <f t="shared" si="77"/>
        <v>56.369325135997897</v>
      </c>
      <c r="E229" s="383">
        <f t="shared" si="75"/>
        <v>57.582416608335059</v>
      </c>
      <c r="F229" s="383">
        <f t="shared" si="78"/>
        <v>57.582416608335059</v>
      </c>
      <c r="G229" s="110">
        <f t="shared" si="76"/>
        <v>0.98972337826311496</v>
      </c>
      <c r="H229" s="412" t="b">
        <f>Wh_hp&gt;='2024'!Maxi_hp</f>
        <v>1</v>
      </c>
      <c r="I229" s="388">
        <f>IF(H229,Wh_hp,'2024'!Maxi_hp)</f>
        <v>57.582416608335059</v>
      </c>
      <c r="J229" s="85">
        <f>IF(H229,An,'2024'!An_max)</f>
        <v>2025</v>
      </c>
      <c r="K229" s="197">
        <f t="shared" si="79"/>
        <v>45872</v>
      </c>
      <c r="L229" s="147">
        <f>IF(t&lt;Tvie,1-EXP((T0-t)*PertePVj)+'2024'!Pspv,1-EXP((T0-t)*PertePVj)+Pspv)</f>
        <v>4.4514732731144702E-2</v>
      </c>
      <c r="M229" s="832"/>
      <c r="N229" s="832"/>
      <c r="O229" s="48">
        <f>IF(t&lt;Tnet,'2024'!Resal+('2024'!Salim-'2024'!Resal)*(1-EXP(('2024'!Tnet-t)/('2024'!Tau_j))),Resal+(Salim-Resal)*(1-EXP((Tnet-t)/(Tau_j))))*Salcycl</f>
        <v>2.1067046917957341E-2</v>
      </c>
      <c r="P229" s="169">
        <f>(INDEX(Models!$BJ229:$BT229,,T229)*(1-R229)+INDEX(Models!$BJ229:$BT229,,T229+1)*R229-ERP_i)*Q229*Ramure*Pc/MaxiM</f>
        <v>0</v>
      </c>
      <c r="Q229" s="304">
        <f t="shared" si="80"/>
        <v>0.6</v>
      </c>
      <c r="R229" s="177">
        <f t="shared" si="81"/>
        <v>0.95017245158888475</v>
      </c>
      <c r="S229" s="799">
        <f t="shared" si="82"/>
        <v>1</v>
      </c>
      <c r="T229" s="176">
        <f t="shared" si="83"/>
        <v>7</v>
      </c>
      <c r="U229" s="250">
        <f t="shared" si="84"/>
        <v>1.9501724515888847</v>
      </c>
      <c r="V229" s="382">
        <f t="shared" si="85"/>
        <v>54.419306319563788</v>
      </c>
      <c r="W229" s="400">
        <f t="shared" si="86"/>
        <v>53.860059693333952</v>
      </c>
      <c r="X229" s="157">
        <f t="shared" si="87"/>
        <v>45872</v>
      </c>
      <c r="Y229" s="383">
        <f t="shared" si="88"/>
        <v>51.958534434280217</v>
      </c>
      <c r="Z229" s="383">
        <f t="shared" si="89"/>
        <v>54.379210453760017</v>
      </c>
      <c r="AA229" s="384">
        <f t="shared" si="90"/>
        <v>57.582416608335059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5.5628199426964925E-2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0.95017245158888475</v>
      </c>
      <c r="AG229" s="799">
        <f t="shared" si="99"/>
        <v>1</v>
      </c>
      <c r="AH229" s="176">
        <f t="shared" si="94"/>
        <v>7</v>
      </c>
      <c r="AI229" s="224">
        <f t="shared" si="95"/>
        <v>1.9501724515888847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45873</v>
      </c>
      <c r="B230" s="409">
        <f>IF(t&gt;Tmaj,'2024'!Wh/'2024'!Env_an*'2025'!Env_an,0.001*'[10]mon-tableau (1)'!$B$245)</f>
        <v>52.34433784819047</v>
      </c>
      <c r="C230" s="829"/>
      <c r="D230" s="391">
        <f t="shared" si="77"/>
        <v>54.784037836954461</v>
      </c>
      <c r="E230" s="383">
        <f t="shared" si="75"/>
        <v>55.96960592532713</v>
      </c>
      <c r="F230" s="383">
        <f t="shared" si="78"/>
        <v>55.96960592532713</v>
      </c>
      <c r="G230" s="110">
        <f t="shared" si="76"/>
        <v>0.9639648681948243</v>
      </c>
      <c r="H230" s="412" t="b">
        <f>Wh_hp&gt;='2024'!Maxi_hp</f>
        <v>1</v>
      </c>
      <c r="I230" s="388">
        <f>IF(H230,Wh_hp,'2024'!Maxi_hp)</f>
        <v>55.96960592532713</v>
      </c>
      <c r="J230" s="85">
        <f>IF(H230,An,'2024'!An_max)</f>
        <v>2025</v>
      </c>
      <c r="K230" s="197">
        <f t="shared" si="79"/>
        <v>45873</v>
      </c>
      <c r="L230" s="147">
        <f>IF(t&lt;Tvie,1-EXP((T0-t)*PertePVj)+'2024'!Pspv,1-EXP((T0-t)*PertePVj)+Pspv)</f>
        <v>4.4533044388310739E-2</v>
      </c>
      <c r="M230" s="832"/>
      <c r="N230" s="832"/>
      <c r="O230" s="48">
        <f>IF(t&lt;Tnet,'2024'!Resal+('2024'!Salim-'2024'!Resal)*(1-EXP(('2024'!Tnet-t)/('2024'!Tau_j))),Resal+(Salim-Resal)*(1-EXP((Tnet-t)/(Tau_j))))*Salcycl</f>
        <v>2.1182355472618805E-2</v>
      </c>
      <c r="P230" s="169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0.95196279812356166</v>
      </c>
      <c r="S230" s="799">
        <f t="shared" si="82"/>
        <v>1</v>
      </c>
      <c r="T230" s="176">
        <f t="shared" si="83"/>
        <v>7</v>
      </c>
      <c r="U230" s="250">
        <f t="shared" si="84"/>
        <v>1.9519627981235617</v>
      </c>
      <c r="V230" s="382">
        <f t="shared" si="85"/>
        <v>54.301084588501098</v>
      </c>
      <c r="W230" s="400">
        <f t="shared" si="86"/>
        <v>52.34433784819047</v>
      </c>
      <c r="X230" s="157">
        <f t="shared" si="87"/>
        <v>45873</v>
      </c>
      <c r="Y230" s="383">
        <f t="shared" si="88"/>
        <v>50.498251371673092</v>
      </c>
      <c r="Z230" s="383">
        <f t="shared" si="89"/>
        <v>52.851907724369333</v>
      </c>
      <c r="AA230" s="384">
        <f t="shared" si="90"/>
        <v>55.96960592532713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5.5703415262871897E-2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0.95196279812356166</v>
      </c>
      <c r="AG230" s="799">
        <f t="shared" si="99"/>
        <v>1</v>
      </c>
      <c r="AH230" s="176">
        <f t="shared" si="94"/>
        <v>7</v>
      </c>
      <c r="AI230" s="224">
        <f t="shared" si="95"/>
        <v>1.9519627981235617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45874</v>
      </c>
      <c r="B231" s="409">
        <f>IF(t&gt;Tmaj,'2024'!Wh/'2024'!Env_an*'2025'!Env_an,0.001*'[10]mon-tableau (1)'!$B$246)</f>
        <v>43.125663693632795</v>
      </c>
      <c r="C231" s="829"/>
      <c r="D231" s="391">
        <f t="shared" si="77"/>
        <v>45.13655856928014</v>
      </c>
      <c r="E231" s="383">
        <f t="shared" si="75"/>
        <v>46.118771983715554</v>
      </c>
      <c r="F231" s="383">
        <f t="shared" si="78"/>
        <v>46.118771983715554</v>
      </c>
      <c r="G231" s="110">
        <f t="shared" si="76"/>
        <v>0.79595216320881057</v>
      </c>
      <c r="H231" s="412" t="b">
        <f>Wh_hp&gt;='2024'!Maxi_hp</f>
        <v>0</v>
      </c>
      <c r="I231" s="388">
        <f>IF(H231,Wh_hp,'2024'!Maxi_hp)</f>
        <v>54.752335956396053</v>
      </c>
      <c r="J231" s="85">
        <f>IF(H231,An,'2024'!An_max)</f>
        <v>2020</v>
      </c>
      <c r="K231" s="197">
        <f t="shared" si="79"/>
        <v>45874</v>
      </c>
      <c r="L231" s="147">
        <f>IF(t&lt;Tvie,1-EXP((T0-t)*PertePVj)+'2024'!Pspv,1-EXP((T0-t)*PertePVj)+Pspv)</f>
        <v>4.4551355694537942E-2</v>
      </c>
      <c r="M231" s="832"/>
      <c r="N231" s="832"/>
      <c r="O231" s="48">
        <f>IF(t&lt;Tnet,'2024'!Resal+('2024'!Salim-'2024'!Resal)*(1-EXP(('2024'!Tnet-t)/('2024'!Tau_j))),Resal+(Salim-Resal)*(1-EXP((Tnet-t)/(Tau_j))))*Salcycl</f>
        <v>2.1297475457113867E-2</v>
      </c>
      <c r="P231" s="169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0.95369445609720405</v>
      </c>
      <c r="S231" s="799">
        <f t="shared" si="82"/>
        <v>1</v>
      </c>
      <c r="T231" s="176">
        <f t="shared" si="83"/>
        <v>7</v>
      </c>
      <c r="U231" s="250">
        <f t="shared" si="84"/>
        <v>1.953694456097204</v>
      </c>
      <c r="V231" s="382">
        <f t="shared" si="85"/>
        <v>54.181225564832324</v>
      </c>
      <c r="W231" s="400">
        <f t="shared" si="86"/>
        <v>43.125663693632795</v>
      </c>
      <c r="X231" s="157">
        <f t="shared" si="87"/>
        <v>45874</v>
      </c>
      <c r="Y231" s="383">
        <f t="shared" si="88"/>
        <v>41.606291955377991</v>
      </c>
      <c r="Z231" s="383">
        <f t="shared" si="89"/>
        <v>43.546340458332615</v>
      </c>
      <c r="AA231" s="384">
        <f t="shared" si="90"/>
        <v>46.118771983715554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5.5778404643802251E-2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0.95369445609720405</v>
      </c>
      <c r="AG231" s="799">
        <f t="shared" si="99"/>
        <v>1</v>
      </c>
      <c r="AH231" s="176">
        <f t="shared" si="94"/>
        <v>7</v>
      </c>
      <c r="AI231" s="224">
        <f t="shared" si="95"/>
        <v>1.953694456097204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45875</v>
      </c>
      <c r="B232" s="409">
        <f>IF(t&gt;Tmaj,'2024'!Wh/'2024'!Env_an*'2025'!Env_an,0.001*'[10]mon-tableau (1)'!$B$247)</f>
        <v>50.772259884764381</v>
      </c>
      <c r="C232" s="829"/>
      <c r="D232" s="391">
        <f t="shared" si="77"/>
        <v>53.140724250123071</v>
      </c>
      <c r="E232" s="383">
        <f t="shared" si="75"/>
        <v>54.303492783895862</v>
      </c>
      <c r="F232" s="383">
        <f t="shared" si="78"/>
        <v>54.303492783895862</v>
      </c>
      <c r="G232" s="110">
        <f t="shared" si="76"/>
        <v>0.93918994082779916</v>
      </c>
      <c r="H232" s="412" t="b">
        <f>Wh_hp&gt;='2024'!Maxi_hp</f>
        <v>0</v>
      </c>
      <c r="I232" s="388">
        <f>IF(H232,Wh_hp,'2024'!Maxi_hp)</f>
        <v>57.804553829679008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4.4569666649833195E-2</v>
      </c>
      <c r="M232" s="832"/>
      <c r="N232" s="832"/>
      <c r="O232" s="48">
        <f>IF(t&lt;Tnet,'2024'!Resal+('2024'!Salim-'2024'!Resal)*(1-EXP(('2024'!Tnet-t)/('2024'!Tau_j))),Resal+(Salim-Resal)*(1-EXP((Tnet-t)/(Tau_j))))*Salcycl</f>
        <v>2.1412407824301507E-2</v>
      </c>
      <c r="P232" s="169">
        <f>(INDEX(Models!$BJ232:$BT232,,T232)*(1-R232)+INDEX(Models!$BJ232:$BT232,,T232+1)*R232-ERP_i)*Q232*Ramure*Pc/MaxiM</f>
        <v>0</v>
      </c>
      <c r="Q232" s="304">
        <f t="shared" si="80"/>
        <v>0.6</v>
      </c>
      <c r="R232" s="177">
        <f t="shared" si="81"/>
        <v>0.9553688734067356</v>
      </c>
      <c r="S232" s="799">
        <f t="shared" si="82"/>
        <v>1</v>
      </c>
      <c r="T232" s="176">
        <f t="shared" si="83"/>
        <v>7</v>
      </c>
      <c r="U232" s="250">
        <f t="shared" si="84"/>
        <v>1.9553688734067356</v>
      </c>
      <c r="V232" s="382">
        <f t="shared" si="85"/>
        <v>54.059629131050805</v>
      </c>
      <c r="W232" s="400">
        <f t="shared" si="86"/>
        <v>50.772259884764381</v>
      </c>
      <c r="X232" s="157">
        <f t="shared" si="87"/>
        <v>45875</v>
      </c>
      <c r="Y232" s="383">
        <f t="shared" si="88"/>
        <v>48.985362714983964</v>
      </c>
      <c r="Z232" s="383">
        <f t="shared" si="89"/>
        <v>51.270470493876132</v>
      </c>
      <c r="AA232" s="384">
        <f t="shared" si="90"/>
        <v>54.303492783895862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5.5853171398934254E-2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0.9553688734067356</v>
      </c>
      <c r="AG232" s="799">
        <f t="shared" si="99"/>
        <v>1</v>
      </c>
      <c r="AH232" s="176">
        <f t="shared" si="94"/>
        <v>7</v>
      </c>
      <c r="AI232" s="224">
        <f t="shared" si="95"/>
        <v>1.9553688734067356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45876</v>
      </c>
      <c r="B233" s="409">
        <f>IF(t&gt;Tmaj,'2024'!Wh/'2024'!Env_an*'2025'!Env_an,0.001*'[10]mon-tableau (1)'!$B$248)</f>
        <v>53.221207769839857</v>
      </c>
      <c r="C233" s="829"/>
      <c r="D233" s="391">
        <f t="shared" si="77"/>
        <v>55.704980158073894</v>
      </c>
      <c r="E233" s="383">
        <f t="shared" ref="E233:E296" si="100">Wh_pvt/(1-Psa)</f>
        <v>56.930532447557667</v>
      </c>
      <c r="F233" s="383">
        <f t="shared" si="78"/>
        <v>56.930532447557667</v>
      </c>
      <c r="G233" s="110">
        <f t="shared" ref="G233:G296" si="101">+Wh_hp/MaxiM</f>
        <v>0.98674321419123123</v>
      </c>
      <c r="H233" s="412" t="b">
        <f>Wh_hp&gt;='2024'!Maxi_hp</f>
        <v>1</v>
      </c>
      <c r="I233" s="388">
        <f>IF(H233,Wh_hp,'2024'!Maxi_hp)</f>
        <v>56.930532447557667</v>
      </c>
      <c r="J233" s="85">
        <f>IF(H233,An,'2024'!An_max)</f>
        <v>2025</v>
      </c>
      <c r="K233" s="197">
        <f t="shared" si="79"/>
        <v>45876</v>
      </c>
      <c r="L233" s="147">
        <f>IF(t&lt;Tvie,1-EXP((T0-t)*PertePVj)+'2024'!Pspv,1-EXP((T0-t)*PertePVj)+Pspv)</f>
        <v>4.4587977254203159E-2</v>
      </c>
      <c r="M233" s="832"/>
      <c r="N233" s="832"/>
      <c r="O233" s="48">
        <f>IF(t&lt;Tnet,'2024'!Resal+('2024'!Salim-'2024'!Resal)*(1-EXP(('2024'!Tnet-t)/('2024'!Tau_j))),Resal+(Salim-Resal)*(1-EXP((Tnet-t)/(Tau_j))))*Salcycl</f>
        <v>2.1527153124954665E-2</v>
      </c>
      <c r="P233" s="169">
        <f>(INDEX(Models!$BJ233:$BT233,,T233)*(1-R233)+INDEX(Models!$BJ233:$BT233,,T233+1)*R233-ERP_i)*Q233*Ramure*Pc/MaxiM</f>
        <v>0</v>
      </c>
      <c r="Q233" s="304">
        <f t="shared" si="80"/>
        <v>0.6</v>
      </c>
      <c r="R233" s="177">
        <f t="shared" si="81"/>
        <v>0.95698749728629906</v>
      </c>
      <c r="S233" s="799">
        <f t="shared" si="82"/>
        <v>1</v>
      </c>
      <c r="T233" s="176">
        <f t="shared" si="83"/>
        <v>7</v>
      </c>
      <c r="U233" s="250">
        <f t="shared" si="84"/>
        <v>1.9569874972862991</v>
      </c>
      <c r="V233" s="382">
        <f t="shared" si="85"/>
        <v>53.936228802406092</v>
      </c>
      <c r="W233" s="400">
        <f t="shared" si="86"/>
        <v>53.221207769839857</v>
      </c>
      <c r="X233" s="157">
        <f t="shared" si="87"/>
        <v>45876</v>
      </c>
      <c r="Y233" s="383">
        <f t="shared" si="88"/>
        <v>51.350088270428195</v>
      </c>
      <c r="Z233" s="383">
        <f t="shared" si="89"/>
        <v>53.746537669529346</v>
      </c>
      <c r="AA233" s="384">
        <f t="shared" si="90"/>
        <v>56.930532447557667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5.592771824084547E-2</v>
      </c>
      <c r="AD233" s="230">
        <f>(INDEX(Models!$BJ233:$BT233,,AH233)*(1-AF233)+INDEX(Models!$BJ233:$BT233,,AH233+1)*AF233-ERP_i)*AE233*Ramure*Pc/MaxiM</f>
        <v>0</v>
      </c>
      <c r="AE233" s="304">
        <f t="shared" si="92"/>
        <v>0.6</v>
      </c>
      <c r="AF233" s="177">
        <f t="shared" si="93"/>
        <v>0.95698749728629906</v>
      </c>
      <c r="AG233" s="799">
        <f t="shared" si="99"/>
        <v>1</v>
      </c>
      <c r="AH233" s="176">
        <f t="shared" si="94"/>
        <v>7</v>
      </c>
      <c r="AI233" s="224">
        <f t="shared" si="95"/>
        <v>1.9569874972862991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45877</v>
      </c>
      <c r="B234" s="409">
        <f>IF(t&gt;Tmaj,'2024'!Wh/'2024'!Env_an*'2025'!Env_an,0.001*'[10]mon-tableau (1)'!$B$249)</f>
        <v>53.974087010262956</v>
      </c>
      <c r="C234" s="829"/>
      <c r="D234" s="391">
        <f t="shared" si="77"/>
        <v>56.494078100493461</v>
      </c>
      <c r="E234" s="383">
        <f t="shared" si="100"/>
        <v>57.74375171716418</v>
      </c>
      <c r="F234" s="383">
        <f t="shared" si="78"/>
        <v>57.74375171716418</v>
      </c>
      <c r="G234" s="110">
        <f t="shared" si="101"/>
        <v>1.0030290157698138</v>
      </c>
      <c r="H234" s="412" t="b">
        <f>Wh_hp&gt;='2024'!Maxi_hp</f>
        <v>1</v>
      </c>
      <c r="I234" s="388">
        <f>IF(H234,Wh_hp,'2024'!Maxi_hp)</f>
        <v>57.74375171716418</v>
      </c>
      <c r="J234" s="85">
        <f>IF(H234,An,'2024'!An_max)</f>
        <v>2025</v>
      </c>
      <c r="K234" s="197">
        <f t="shared" si="79"/>
        <v>45877</v>
      </c>
      <c r="L234" s="147">
        <f>IF(t&lt;Tvie,1-EXP((T0-t)*PertePVj)+'2024'!Pspv,1-EXP((T0-t)*PertePVj)+Pspv)</f>
        <v>4.4606287507654607E-2</v>
      </c>
      <c r="M234" s="832"/>
      <c r="N234" s="832"/>
      <c r="O234" s="48">
        <f>IF(t&lt;Tnet,'2024'!Resal+('2024'!Salim-'2024'!Resal)*(1-EXP(('2024'!Tnet-t)/('2024'!Tau_j))),Resal+(Salim-Resal)*(1-EXP((Tnet-t)/(Tau_j))))*Salcycl</f>
        <v>2.1641711518707182E-2</v>
      </c>
      <c r="P234" s="169">
        <f>(INDEX(Models!$BJ234:$BT234,,T234)*(1-R234)+INDEX(Models!$BJ234:$BT234,,T234+1)*R234-ERP_i)*Q234*Ramure*Pc/MaxiM</f>
        <v>0</v>
      </c>
      <c r="Q234" s="304">
        <f t="shared" si="80"/>
        <v>0.6</v>
      </c>
      <c r="R234" s="177">
        <f t="shared" si="81"/>
        <v>0.95855177121922064</v>
      </c>
      <c r="S234" s="799">
        <f t="shared" si="82"/>
        <v>1</v>
      </c>
      <c r="T234" s="176">
        <f t="shared" si="83"/>
        <v>7</v>
      </c>
      <c r="U234" s="250">
        <f t="shared" si="84"/>
        <v>1.9585517712192206</v>
      </c>
      <c r="V234" s="382">
        <f t="shared" si="85"/>
        <v>53.811092362904809</v>
      </c>
      <c r="W234" s="400">
        <f t="shared" si="86"/>
        <v>53.974087010262956</v>
      </c>
      <c r="X234" s="157">
        <f t="shared" si="87"/>
        <v>45877</v>
      </c>
      <c r="Y234" s="383">
        <f t="shared" si="88"/>
        <v>52.078495437205902</v>
      </c>
      <c r="Z234" s="383">
        <f t="shared" si="89"/>
        <v>54.509983430127669</v>
      </c>
      <c r="AA234" s="384">
        <f t="shared" si="90"/>
        <v>57.74375171716418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5.600204681669977E-2</v>
      </c>
      <c r="AD234" s="230">
        <f>(INDEX(Models!$BJ234:$BT234,,AH234)*(1-AF234)+INDEX(Models!$BJ234:$BT234,,AH234+1)*AF234-ERP_i)*AE234*Ramure*Pc/MaxiM</f>
        <v>0</v>
      </c>
      <c r="AE234" s="304">
        <f t="shared" si="92"/>
        <v>0.6</v>
      </c>
      <c r="AF234" s="177">
        <f t="shared" si="93"/>
        <v>0.95855177121922064</v>
      </c>
      <c r="AG234" s="799">
        <f t="shared" si="99"/>
        <v>1</v>
      </c>
      <c r="AH234" s="176">
        <f t="shared" si="94"/>
        <v>7</v>
      </c>
      <c r="AI234" s="224">
        <f t="shared" si="95"/>
        <v>1.9585517712192206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45878</v>
      </c>
      <c r="B235" s="409">
        <f>IF(t&gt;Tmaj,'2024'!Wh/'2024'!Env_an*'2025'!Env_an,0.001*'[10]mon-tableau (1)'!$B$250)</f>
        <v>51.831615424524152</v>
      </c>
      <c r="C235" s="829"/>
      <c r="D235" s="391">
        <f t="shared" si="77"/>
        <v>54.252616598690331</v>
      </c>
      <c r="E235" s="383">
        <f t="shared" si="100"/>
        <v>55.459191357154921</v>
      </c>
      <c r="F235" s="383">
        <f t="shared" si="78"/>
        <v>55.459191357154921</v>
      </c>
      <c r="G235" s="110">
        <f t="shared" si="101"/>
        <v>0.96548888644004527</v>
      </c>
      <c r="H235" s="412" t="b">
        <f>Wh_hp&gt;='2024'!Maxi_hp</f>
        <v>0</v>
      </c>
      <c r="I235" s="388">
        <f>IF(H235,Wh_hp,'2024'!Maxi_hp)</f>
        <v>56.250511188466319</v>
      </c>
      <c r="J235" s="85">
        <f>IF(H235,An,'2024'!An_max)</f>
        <v>2021</v>
      </c>
      <c r="K235" s="197">
        <f t="shared" si="79"/>
        <v>45878</v>
      </c>
      <c r="L235" s="147">
        <f>IF(t&lt;Tvie,1-EXP((T0-t)*PertePVj)+'2024'!Pspv,1-EXP((T0-t)*PertePVj)+Pspv)</f>
        <v>4.46245974101942E-2</v>
      </c>
      <c r="M235" s="832"/>
      <c r="N235" s="832"/>
      <c r="O235" s="48">
        <f>IF(t&lt;Tnet,'2024'!Resal+('2024'!Salim-'2024'!Resal)*(1-EXP(('2024'!Tnet-t)/('2024'!Tau_j))),Resal+(Salim-Resal)*(1-EXP((Tnet-t)/(Tau_j))))*Salcycl</f>
        <v>2.1756082786968525E-2</v>
      </c>
      <c r="P235" s="169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0.96006313208784899</v>
      </c>
      <c r="S235" s="799">
        <f t="shared" si="82"/>
        <v>1</v>
      </c>
      <c r="T235" s="176">
        <f t="shared" si="83"/>
        <v>7</v>
      </c>
      <c r="U235" s="250">
        <f t="shared" si="84"/>
        <v>1.960063132087849</v>
      </c>
      <c r="V235" s="382">
        <f t="shared" si="85"/>
        <v>53.684321127338826</v>
      </c>
      <c r="W235" s="400">
        <f t="shared" si="86"/>
        <v>51.831615424524152</v>
      </c>
      <c r="X235" s="157">
        <f t="shared" si="87"/>
        <v>45878</v>
      </c>
      <c r="Y235" s="383">
        <f t="shared" si="88"/>
        <v>50.013188653654829</v>
      </c>
      <c r="Z235" s="383">
        <f t="shared" si="89"/>
        <v>52.349252993200821</v>
      </c>
      <c r="AA235" s="384">
        <f t="shared" si="90"/>
        <v>55.459191357154921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5.607615776303379E-2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0.96006313208784899</v>
      </c>
      <c r="AG235" s="799">
        <f t="shared" si="99"/>
        <v>1</v>
      </c>
      <c r="AH235" s="176">
        <f t="shared" si="94"/>
        <v>7</v>
      </c>
      <c r="AI235" s="224">
        <f t="shared" si="95"/>
        <v>1.960063132087849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45879</v>
      </c>
      <c r="B236" s="409">
        <f>IF(t&gt;Tmaj,'2024'!Wh/'2024'!Env_an*'2025'!Env_an,0.001*'[10]mon-tableau (1)'!$B$251)</f>
        <v>49.921386131761864</v>
      </c>
      <c r="C236" s="829"/>
      <c r="D236" s="391">
        <f t="shared" si="77"/>
        <v>52.254163909543777</v>
      </c>
      <c r="E236" s="383">
        <f t="shared" si="100"/>
        <v>53.422528844324901</v>
      </c>
      <c r="F236" s="383">
        <f t="shared" si="78"/>
        <v>53.422528844324901</v>
      </c>
      <c r="G236" s="110">
        <f t="shared" si="101"/>
        <v>0.93213404417001011</v>
      </c>
      <c r="H236" s="412" t="b">
        <f>Wh_hp&gt;='2024'!Maxi_hp</f>
        <v>0</v>
      </c>
      <c r="I236" s="388">
        <f>IF(H236,Wh_hp,'2024'!Maxi_hp)</f>
        <v>54.321267794225101</v>
      </c>
      <c r="J236" s="85">
        <f>IF(H236,An,'2024'!An_max)</f>
        <v>2021</v>
      </c>
      <c r="K236" s="197">
        <f t="shared" si="79"/>
        <v>45879</v>
      </c>
      <c r="L236" s="147">
        <f>IF(t&lt;Tvie,1-EXP((T0-t)*PertePVj)+'2024'!Pspv,1-EXP((T0-t)*PertePVj)+Pspv)</f>
        <v>4.464290696182871E-2</v>
      </c>
      <c r="M236" s="832"/>
      <c r="N236" s="832"/>
      <c r="O236" s="48">
        <f>IF(t&lt;Tnet,'2024'!Resal+('2024'!Salim-'2024'!Resal)*(1-EXP(('2024'!Tnet-t)/('2024'!Tau_j))),Resal+(Salim-Resal)*(1-EXP((Tnet-t)/(Tau_j))))*Salcycl</f>
        <v>2.1870266347476328E-2</v>
      </c>
      <c r="P236" s="169">
        <f>(INDEX(Models!$BJ236:$BT236,,T236)*(1-R236)+INDEX(Models!$BJ236:$BT236,,T236+1)*R236-ERP_i)*Q236*Ramure*Pc/MaxiM</f>
        <v>0</v>
      </c>
      <c r="Q236" s="304">
        <f t="shared" si="80"/>
        <v>0.6</v>
      </c>
      <c r="R236" s="177">
        <f t="shared" si="81"/>
        <v>0.9615230075537462</v>
      </c>
      <c r="S236" s="799">
        <f t="shared" si="82"/>
        <v>1</v>
      </c>
      <c r="T236" s="176">
        <f t="shared" si="83"/>
        <v>7</v>
      </c>
      <c r="U236" s="250">
        <f t="shared" si="84"/>
        <v>1.9615230075537462</v>
      </c>
      <c r="V236" s="382">
        <f t="shared" si="85"/>
        <v>53.556016373388466</v>
      </c>
      <c r="W236" s="400">
        <f t="shared" si="86"/>
        <v>49.921386131761864</v>
      </c>
      <c r="X236" s="157">
        <f t="shared" si="87"/>
        <v>45879</v>
      </c>
      <c r="Y236" s="383">
        <f t="shared" si="88"/>
        <v>48.171828485720972</v>
      </c>
      <c r="Z236" s="383">
        <f t="shared" si="89"/>
        <v>50.422851137816657</v>
      </c>
      <c r="AA236" s="384">
        <f t="shared" si="90"/>
        <v>53.422528844324901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5.6150050763216552E-2</v>
      </c>
      <c r="AD236" s="230">
        <f>(INDEX(Models!$BJ236:$BT236,,AH236)*(1-AF236)+INDEX(Models!$BJ236:$BT236,,AH236+1)*AF236-ERP_i)*AE236*Ramure*Pc/MaxiM</f>
        <v>0</v>
      </c>
      <c r="AE236" s="304">
        <f t="shared" si="92"/>
        <v>0.6</v>
      </c>
      <c r="AF236" s="177">
        <f t="shared" si="93"/>
        <v>0.9615230075537462</v>
      </c>
      <c r="AG236" s="799">
        <f t="shared" si="99"/>
        <v>1</v>
      </c>
      <c r="AH236" s="176">
        <f t="shared" si="94"/>
        <v>7</v>
      </c>
      <c r="AI236" s="224">
        <f t="shared" si="95"/>
        <v>1.9615230075537462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45880</v>
      </c>
      <c r="B237" s="409">
        <f>IF(t&gt;Tmaj,'2024'!Wh/'2024'!Env_an*'2025'!Env_an,0.001*'[10]mon-tableau (1)'!$B$252)</f>
        <v>48.393539878972447</v>
      </c>
      <c r="C237" s="829"/>
      <c r="D237" s="391">
        <f t="shared" si="77"/>
        <v>50.655893697295255</v>
      </c>
      <c r="E237" s="383">
        <f t="shared" si="100"/>
        <v>51.794558810558392</v>
      </c>
      <c r="F237" s="383">
        <f t="shared" si="78"/>
        <v>51.794558810558392</v>
      </c>
      <c r="G237" s="110">
        <f t="shared" si="101"/>
        <v>0.90580030045709481</v>
      </c>
      <c r="H237" s="412" t="b">
        <f>Wh_hp&gt;='2024'!Maxi_hp</f>
        <v>0</v>
      </c>
      <c r="I237" s="388">
        <f>IF(H237,Wh_hp,'2024'!Maxi_hp)</f>
        <v>52.572729783905686</v>
      </c>
      <c r="J237" s="85">
        <f>IF(H237,An,'2024'!An_max)</f>
        <v>2021</v>
      </c>
      <c r="K237" s="197">
        <f t="shared" si="79"/>
        <v>45880</v>
      </c>
      <c r="L237" s="147">
        <f>IF(t&lt;Tvie,1-EXP((T0-t)*PertePVj)+'2024'!Pspv,1-EXP((T0-t)*PertePVj)+Pspv)</f>
        <v>4.4661216162564799E-2</v>
      </c>
      <c r="M237" s="832"/>
      <c r="N237" s="832"/>
      <c r="O237" s="48">
        <f>IF(t&lt;Tnet,'2024'!Resal+('2024'!Salim-'2024'!Resal)*(1-EXP(('2024'!Tnet-t)/('2024'!Tau_j))),Resal+(Salim-Resal)*(1-EXP((Tnet-t)/(Tau_j))))*Salcycl</f>
        <v>2.198426127014361E-2</v>
      </c>
      <c r="P237" s="169">
        <f>(INDEX(Models!$BJ237:$BT237,,T237)*(1-R237)+INDEX(Models!$BJ237:$BT237,,T237+1)*R237-ERP_i)*Q237*Ramure*Pc/MaxiM</f>
        <v>0</v>
      </c>
      <c r="Q237" s="304">
        <f t="shared" si="80"/>
        <v>0.6</v>
      </c>
      <c r="R237" s="177">
        <f t="shared" si="81"/>
        <v>0.96293281366008854</v>
      </c>
      <c r="S237" s="799">
        <f t="shared" si="82"/>
        <v>1</v>
      </c>
      <c r="T237" s="176">
        <f t="shared" si="83"/>
        <v>7</v>
      </c>
      <c r="U237" s="250">
        <f t="shared" si="84"/>
        <v>1.9629328136600885</v>
      </c>
      <c r="V237" s="382">
        <f t="shared" si="85"/>
        <v>53.426279340547332</v>
      </c>
      <c r="W237" s="400">
        <f t="shared" si="86"/>
        <v>48.393539878972447</v>
      </c>
      <c r="X237" s="157">
        <f t="shared" si="87"/>
        <v>45880</v>
      </c>
      <c r="Y237" s="383">
        <f t="shared" si="88"/>
        <v>46.69932498161112</v>
      </c>
      <c r="Z237" s="383">
        <f t="shared" si="89"/>
        <v>48.882475799870477</v>
      </c>
      <c r="AA237" s="384">
        <f t="shared" si="90"/>
        <v>51.794558810558392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5.6223724606652654E-2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0.96293281366008854</v>
      </c>
      <c r="AG237" s="799">
        <f t="shared" si="99"/>
        <v>1</v>
      </c>
      <c r="AH237" s="176">
        <f t="shared" si="94"/>
        <v>7</v>
      </c>
      <c r="AI237" s="224">
        <f t="shared" si="95"/>
        <v>1.9629328136600885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45881</v>
      </c>
      <c r="B238" s="409">
        <f>IF(t&gt;Tmaj,'2024'!Wh/'2024'!Env_an*'2025'!Env_an,0.001*'[10]mon-tableau (1)'!$B$253)</f>
        <v>48.655062198656509</v>
      </c>
      <c r="C238" s="829"/>
      <c r="D238" s="391">
        <f t="shared" si="77"/>
        <v>50.930618020396267</v>
      </c>
      <c r="E238" s="383">
        <f t="shared" si="100"/>
        <v>52.081518877229691</v>
      </c>
      <c r="F238" s="383">
        <f t="shared" si="78"/>
        <v>52.081518877229691</v>
      </c>
      <c r="G238" s="110">
        <f t="shared" si="101"/>
        <v>0.91293497250078726</v>
      </c>
      <c r="H238" s="412" t="b">
        <f>Wh_hp&gt;='2024'!Maxi_hp</f>
        <v>1</v>
      </c>
      <c r="I238" s="388">
        <f>IF(H238,Wh_hp,'2024'!Maxi_hp)</f>
        <v>52.081518877229691</v>
      </c>
      <c r="J238" s="85">
        <f>IF(H238,An,'2024'!An_max)</f>
        <v>2025</v>
      </c>
      <c r="K238" s="197">
        <f t="shared" si="79"/>
        <v>45881</v>
      </c>
      <c r="L238" s="147">
        <f>IF(t&lt;Tvie,1-EXP((T0-t)*PertePVj)+'2024'!Pspv,1-EXP((T0-t)*PertePVj)+Pspv)</f>
        <v>4.4679525012409238E-2</v>
      </c>
      <c r="M238" s="832"/>
      <c r="N238" s="832"/>
      <c r="O238" s="48">
        <f>IF(t&lt;Tnet,'2024'!Resal+('2024'!Salim-'2024'!Resal)*(1-EXP(('2024'!Tnet-t)/('2024'!Tau_j))),Resal+(Salim-Resal)*(1-EXP((Tnet-t)/(Tau_j))))*Salcycl</f>
        <v>2.2098066293850038E-2</v>
      </c>
      <c r="P238" s="169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0.96429395264765461</v>
      </c>
      <c r="S238" s="799">
        <f t="shared" si="82"/>
        <v>1</v>
      </c>
      <c r="T238" s="176">
        <f t="shared" si="83"/>
        <v>7</v>
      </c>
      <c r="U238" s="250">
        <f t="shared" si="84"/>
        <v>1.9642939526476546</v>
      </c>
      <c r="V238" s="382">
        <f t="shared" si="85"/>
        <v>53.295211229970221</v>
      </c>
      <c r="W238" s="400">
        <f t="shared" si="86"/>
        <v>48.655062198656509</v>
      </c>
      <c r="X238" s="157">
        <f t="shared" si="87"/>
        <v>45881</v>
      </c>
      <c r="Y238" s="383">
        <f t="shared" si="88"/>
        <v>46.953501118450781</v>
      </c>
      <c r="Z238" s="383">
        <f t="shared" si="89"/>
        <v>49.149476377611073</v>
      </c>
      <c r="AA238" s="384">
        <f t="shared" si="90"/>
        <v>52.081518877229691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5.6297177248809449E-2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0.96429395264765461</v>
      </c>
      <c r="AG238" s="799">
        <f t="shared" si="99"/>
        <v>1</v>
      </c>
      <c r="AH238" s="176">
        <f t="shared" si="94"/>
        <v>7</v>
      </c>
      <c r="AI238" s="224">
        <f t="shared" si="95"/>
        <v>1.9642939526476546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45882</v>
      </c>
      <c r="B239" s="409">
        <f>IF(t&gt;Tmaj,'2024'!Wh/'2024'!Env_an*'2025'!Env_an,0.001*'[10]mon-tableau (1)'!$B$254)</f>
        <v>38.004943655983375</v>
      </c>
      <c r="C239" s="829"/>
      <c r="D239" s="391">
        <f t="shared" si="77"/>
        <v>39.78316493898128</v>
      </c>
      <c r="E239" s="383">
        <f t="shared" si="100"/>
        <v>40.686889093364215</v>
      </c>
      <c r="F239" s="383">
        <f t="shared" si="78"/>
        <v>40.686889093364215</v>
      </c>
      <c r="G239" s="110">
        <f t="shared" si="101"/>
        <v>0.71487699537572391</v>
      </c>
      <c r="H239" s="412" t="b">
        <f>Wh_hp&gt;='2024'!Maxi_hp</f>
        <v>0</v>
      </c>
      <c r="I239" s="388">
        <f>IF(H239,Wh_hp,'2024'!Maxi_hp)</f>
        <v>50.157042918193603</v>
      </c>
      <c r="J239" s="85">
        <f>IF(H239,An,'2024'!An_max)</f>
        <v>2018</v>
      </c>
      <c r="K239" s="197">
        <f t="shared" si="79"/>
        <v>45882</v>
      </c>
      <c r="L239" s="147">
        <f>IF(t&lt;Tvie,1-EXP((T0-t)*PertePVj)+'2024'!Pspv,1-EXP((T0-t)*PertePVj)+Pspv)</f>
        <v>4.469783351136869E-2</v>
      </c>
      <c r="M239" s="832"/>
      <c r="N239" s="832"/>
      <c r="O239" s="48">
        <f>IF(t&lt;Tnet,'2024'!Resal+('2024'!Salim-'2024'!Resal)*(1-EXP(('2024'!Tnet-t)/('2024'!Tau_j))),Resal+(Salim-Resal)*(1-EXP((Tnet-t)/(Tau_j))))*Salcycl</f>
        <v>2.2211679843822881E-2</v>
      </c>
      <c r="P239" s="169">
        <f>(INDEX(Models!$BJ239:$BT239,,T239)*(1-R239)+INDEX(Models!$BJ239:$BT239,,T239+1)*R239-ERP_i)*Q239*Ramure*Pc/MaxiM</f>
        <v>0</v>
      </c>
      <c r="Q239" s="304">
        <f t="shared" si="80"/>
        <v>0.6</v>
      </c>
      <c r="R239" s="177">
        <f t="shared" si="81"/>
        <v>0.96560781097539827</v>
      </c>
      <c r="S239" s="799">
        <f t="shared" si="82"/>
        <v>1</v>
      </c>
      <c r="T239" s="176">
        <f t="shared" si="83"/>
        <v>7</v>
      </c>
      <c r="U239" s="250">
        <f t="shared" si="84"/>
        <v>1.9656078109753983</v>
      </c>
      <c r="V239" s="382">
        <f t="shared" si="85"/>
        <v>53.162913203003257</v>
      </c>
      <c r="W239" s="400">
        <f t="shared" si="86"/>
        <v>38.004943655983375</v>
      </c>
      <c r="X239" s="157">
        <f t="shared" si="87"/>
        <v>45882</v>
      </c>
      <c r="Y239" s="383">
        <f t="shared" si="88"/>
        <v>36.677252957221441</v>
      </c>
      <c r="Z239" s="383">
        <f t="shared" si="89"/>
        <v>38.39335264153609</v>
      </c>
      <c r="AA239" s="384">
        <f t="shared" si="90"/>
        <v>40.686889093364215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5.6370405871167671E-2</v>
      </c>
      <c r="AD239" s="230">
        <f>(INDEX(Models!$BJ239:$BT239,,AH239)*(1-AF239)+INDEX(Models!$BJ239:$BT239,,AH239+1)*AF239-ERP_i)*AE239*Ramure*Pc/MaxiM</f>
        <v>0</v>
      </c>
      <c r="AE239" s="304">
        <f t="shared" si="92"/>
        <v>0.6</v>
      </c>
      <c r="AF239" s="177">
        <f t="shared" si="93"/>
        <v>0.96560781097539827</v>
      </c>
      <c r="AG239" s="799">
        <f t="shared" si="99"/>
        <v>1</v>
      </c>
      <c r="AH239" s="176">
        <f t="shared" si="94"/>
        <v>7</v>
      </c>
      <c r="AI239" s="224">
        <f t="shared" si="95"/>
        <v>1.9656078109753983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45883</v>
      </c>
      <c r="B240" s="409">
        <f>IF(t&gt;Tmaj,'2024'!Wh/'2024'!Env_an*'2025'!Env_an,0.001*'[10]mon-tableau (1)'!$B$255)</f>
        <v>34.25469884859718</v>
      </c>
      <c r="C240" s="829"/>
      <c r="D240" s="391">
        <f t="shared" si="77"/>
        <v>35.858136353420612</v>
      </c>
      <c r="E240" s="383">
        <f t="shared" si="100"/>
        <v>36.676952998616535</v>
      </c>
      <c r="F240" s="383">
        <f t="shared" si="78"/>
        <v>36.676953389012311</v>
      </c>
      <c r="G240" s="110">
        <f t="shared" si="101"/>
        <v>0.64595570411460501</v>
      </c>
      <c r="H240" s="412" t="b">
        <f>Wh_hp&gt;='2024'!Maxi_hp</f>
        <v>0</v>
      </c>
      <c r="I240" s="388">
        <f>IF(H240,Wh_hp,'2024'!Maxi_hp)</f>
        <v>57.247327740538942</v>
      </c>
      <c r="J240" s="85">
        <f>IF(H240,An,'2024'!An_max)</f>
        <v>2018</v>
      </c>
      <c r="K240" s="197">
        <f t="shared" si="79"/>
        <v>45883</v>
      </c>
      <c r="L240" s="147">
        <f>IF(t&lt;Tvie,1-EXP((T0-t)*PertePVj)+'2024'!Pspv,1-EXP((T0-t)*PertePVj)+Pspv)</f>
        <v>4.4716141659450037E-2</v>
      </c>
      <c r="M240" s="832"/>
      <c r="N240" s="832"/>
      <c r="O240" s="48">
        <f>IF(t&lt;Tnet,'2024'!Resal+('2024'!Salim-'2024'!Resal)*(1-EXP(('2024'!Tnet-t)/('2024'!Tau_j))),Resal+(Salim-Resal)*(1-EXP((Tnet-t)/(Tau_j))))*Salcycl</f>
        <v>2.2325100049254535E-2</v>
      </c>
      <c r="P240" s="169">
        <f>(INDEX(Models!$BJ240:$BT240,,T240)*(1-R240)+INDEX(Models!$BJ240:$BT240,,T240+1)*R240-ERP_i)*Q240*Ramure*Pc/MaxiM</f>
        <v>2.1537207659711418E-8</v>
      </c>
      <c r="Q240" s="304">
        <f t="shared" si="80"/>
        <v>0.6</v>
      </c>
      <c r="R240" s="177">
        <f t="shared" si="81"/>
        <v>0.96687575753634714</v>
      </c>
      <c r="S240" s="799">
        <f t="shared" si="82"/>
        <v>1</v>
      </c>
      <c r="T240" s="176">
        <f t="shared" si="83"/>
        <v>7</v>
      </c>
      <c r="U240" s="250">
        <f t="shared" si="84"/>
        <v>1.9668757575363471</v>
      </c>
      <c r="V240" s="382">
        <f t="shared" si="85"/>
        <v>53.029485237554383</v>
      </c>
      <c r="W240" s="400">
        <f t="shared" si="86"/>
        <v>34.25469884859718</v>
      </c>
      <c r="X240" s="157">
        <f t="shared" si="87"/>
        <v>45883</v>
      </c>
      <c r="Y240" s="383">
        <f t="shared" si="88"/>
        <v>33.059299101878587</v>
      </c>
      <c r="Z240" s="383">
        <f t="shared" si="89"/>
        <v>34.606780815188074</v>
      </c>
      <c r="AA240" s="384">
        <f t="shared" si="90"/>
        <v>36.676952998616535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5.6443406940226135E-2</v>
      </c>
      <c r="AD240" s="230">
        <f>(INDEX(Models!$BJ240:$BT240,,AH240)*(1-AF240)+INDEX(Models!$BJ240:$BT240,,AH240+1)*AF240-ERP_i)*AE240*Ramure*Pc/MaxiM</f>
        <v>2.1537207659711418E-8</v>
      </c>
      <c r="AE240" s="304">
        <f t="shared" si="92"/>
        <v>0.6</v>
      </c>
      <c r="AF240" s="177">
        <f t="shared" si="93"/>
        <v>0.96687575753634714</v>
      </c>
      <c r="AG240" s="799">
        <f t="shared" si="99"/>
        <v>1</v>
      </c>
      <c r="AH240" s="176">
        <f t="shared" si="94"/>
        <v>7</v>
      </c>
      <c r="AI240" s="224">
        <f t="shared" si="95"/>
        <v>1.9668757575363471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45884</v>
      </c>
      <c r="B241" s="409">
        <f>IF(t&gt;Tmaj,'2024'!Wh/'2024'!Env_an*'2025'!Env_an,0.001*'[10]mon-tableau (1)'!$B$256)</f>
        <v>36.622635056595158</v>
      </c>
      <c r="C241" s="829"/>
      <c r="D241" s="391">
        <f t="shared" si="77"/>
        <v>38.337648662997189</v>
      </c>
      <c r="E241" s="383">
        <f t="shared" si="100"/>
        <v>39.217626502815513</v>
      </c>
      <c r="F241" s="383">
        <f t="shared" si="78"/>
        <v>39.217627926408504</v>
      </c>
      <c r="G241" s="110">
        <f t="shared" si="101"/>
        <v>0.69236438873350414</v>
      </c>
      <c r="H241" s="412" t="b">
        <f>Wh_hp&gt;='2024'!Maxi_hp</f>
        <v>0</v>
      </c>
      <c r="I241" s="388">
        <f>IF(H241,Wh_hp,'2024'!Maxi_hp)</f>
        <v>50.015473109752712</v>
      </c>
      <c r="J241" s="85">
        <f>IF(H241,An,'2024'!An_max)</f>
        <v>2020</v>
      </c>
      <c r="K241" s="197">
        <f t="shared" si="79"/>
        <v>45884</v>
      </c>
      <c r="L241" s="147">
        <f>IF(t&lt;Tvie,1-EXP((T0-t)*PertePVj)+'2024'!Pspv,1-EXP((T0-t)*PertePVj)+Pspv)</f>
        <v>4.4734449456659831E-2</v>
      </c>
      <c r="M241" s="832"/>
      <c r="N241" s="832"/>
      <c r="O241" s="48">
        <f>IF(t&lt;Tnet,'2024'!Resal+('2024'!Salim-'2024'!Resal)*(1-EXP(('2024'!Tnet-t)/('2024'!Tau_j))),Resal+(Salim-Resal)*(1-EXP((Tnet-t)/(Tau_j))))*Salcycl</f>
        <v>2.2438324760809945E-2</v>
      </c>
      <c r="P241" s="169">
        <f>(INDEX(Models!$BJ241:$BT241,,T241)*(1-R241)+INDEX(Models!$BJ241:$BT241,,T241+1)*R241-ERP_i)*Q241*Ramure*Pc/MaxiM</f>
        <v>6.476091163333322E-8</v>
      </c>
      <c r="Q241" s="304">
        <f t="shared" si="80"/>
        <v>0.6</v>
      </c>
      <c r="R241" s="177">
        <f t="shared" si="81"/>
        <v>0.96809914205938741</v>
      </c>
      <c r="S241" s="799">
        <f t="shared" si="82"/>
        <v>1</v>
      </c>
      <c r="T241" s="176">
        <f t="shared" si="83"/>
        <v>7</v>
      </c>
      <c r="U241" s="250">
        <f t="shared" si="84"/>
        <v>1.9680991420593874</v>
      </c>
      <c r="V241" s="382">
        <f t="shared" si="85"/>
        <v>52.895028413096796</v>
      </c>
      <c r="W241" s="400">
        <f t="shared" si="86"/>
        <v>36.622635056595158</v>
      </c>
      <c r="X241" s="157">
        <f t="shared" si="87"/>
        <v>45884</v>
      </c>
      <c r="Y241" s="383">
        <f t="shared" si="88"/>
        <v>35.345968068974557</v>
      </c>
      <c r="Z241" s="383">
        <f t="shared" si="89"/>
        <v>37.001196210697977</v>
      </c>
      <c r="AA241" s="384">
        <f t="shared" si="90"/>
        <v>39.217626502815513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5.65161762647318E-2</v>
      </c>
      <c r="AD241" s="230">
        <f>(INDEX(Models!$BJ241:$BT241,,AH241)*(1-AF241)+INDEX(Models!$BJ241:$BT241,,AH241+1)*AF241-ERP_i)*AE241*Ramure*Pc/MaxiM</f>
        <v>6.476091163333322E-8</v>
      </c>
      <c r="AE241" s="304">
        <f t="shared" si="92"/>
        <v>0.6</v>
      </c>
      <c r="AF241" s="177">
        <f t="shared" si="93"/>
        <v>0.96809914205938741</v>
      </c>
      <c r="AG241" s="799">
        <f t="shared" si="99"/>
        <v>1</v>
      </c>
      <c r="AH241" s="176">
        <f t="shared" si="94"/>
        <v>7</v>
      </c>
      <c r="AI241" s="224">
        <f t="shared" si="95"/>
        <v>1.9680991420593874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45885</v>
      </c>
      <c r="B242" s="409">
        <f>IF(t&gt;Tmaj,'2024'!Wh/'2024'!Env_an*'2025'!Env_an,0.001*'[10]mon-tableau (1)'!$B$257)</f>
        <v>37.913104929158948</v>
      </c>
      <c r="C242" s="829"/>
      <c r="D242" s="391">
        <f t="shared" si="77"/>
        <v>39.689311016738813</v>
      </c>
      <c r="E242" s="383">
        <f t="shared" si="100"/>
        <v>40.605008846648637</v>
      </c>
      <c r="F242" s="383">
        <f t="shared" si="78"/>
        <v>40.60501199891349</v>
      </c>
      <c r="G242" s="110">
        <f t="shared" si="101"/>
        <v>0.71860043479836433</v>
      </c>
      <c r="H242" s="412" t="b">
        <f>Wh_hp&gt;='2024'!Maxi_hp</f>
        <v>0</v>
      </c>
      <c r="I242" s="388">
        <f>IF(H242,Wh_hp,'2024'!Maxi_hp)</f>
        <v>56.868065915870055</v>
      </c>
      <c r="J242" s="85">
        <f>IF(H242,An,'2024'!An_max)</f>
        <v>2018</v>
      </c>
      <c r="K242" s="197">
        <f t="shared" si="79"/>
        <v>45885</v>
      </c>
      <c r="L242" s="147">
        <f>IF(t&lt;Tvie,1-EXP((T0-t)*PertePVj)+'2024'!Pspv,1-EXP((T0-t)*PertePVj)+Pspv)</f>
        <v>4.4752756903004953E-2</v>
      </c>
      <c r="M242" s="832"/>
      <c r="N242" s="832"/>
      <c r="O242" s="48">
        <f>IF(t&lt;Tnet,'2024'!Resal+('2024'!Salim-'2024'!Resal)*(1-EXP(('2024'!Tnet-t)/('2024'!Tau_j))),Resal+(Salim-Resal)*(1-EXP((Tnet-t)/(Tau_j))))*Salcycl</f>
        <v>2.2551351567687283E-2</v>
      </c>
      <c r="P242" s="169">
        <f>(INDEX(Models!$BJ242:$BT242,,T242)*(1-R242)+INDEX(Models!$BJ242:$BT242,,T242+1)*R242-ERP_i)*Q242*Ramure*Pc/MaxiM</f>
        <v>1.2981993370914173E-7</v>
      </c>
      <c r="Q242" s="304">
        <f t="shared" si="80"/>
        <v>0.6</v>
      </c>
      <c r="R242" s="177">
        <f t="shared" si="81"/>
        <v>0.96927929368740617</v>
      </c>
      <c r="S242" s="799">
        <f t="shared" si="82"/>
        <v>1</v>
      </c>
      <c r="T242" s="176">
        <f t="shared" si="83"/>
        <v>7</v>
      </c>
      <c r="U242" s="250">
        <f t="shared" si="84"/>
        <v>1.9692792936874062</v>
      </c>
      <c r="V242" s="382">
        <f t="shared" si="85"/>
        <v>52.759643766714213</v>
      </c>
      <c r="W242" s="400">
        <f t="shared" si="86"/>
        <v>37.913104929158948</v>
      </c>
      <c r="X242" s="157">
        <f t="shared" si="87"/>
        <v>45885</v>
      </c>
      <c r="Y242" s="383">
        <f t="shared" si="88"/>
        <v>36.592869940015021</v>
      </c>
      <c r="Z242" s="383">
        <f t="shared" si="89"/>
        <v>38.307223815038441</v>
      </c>
      <c r="AA242" s="384">
        <f t="shared" si="90"/>
        <v>40.605008846648637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5.6588709050357566E-2</v>
      </c>
      <c r="AD242" s="230">
        <f>(INDEX(Models!$BJ242:$BT242,,AH242)*(1-AF242)+INDEX(Models!$BJ242:$BT242,,AH242+1)*AF242-ERP_i)*AE242*Ramure*Pc/MaxiM</f>
        <v>1.2981993370914173E-7</v>
      </c>
      <c r="AE242" s="304">
        <f t="shared" si="92"/>
        <v>0.6</v>
      </c>
      <c r="AF242" s="177">
        <f t="shared" si="93"/>
        <v>0.96927929368740617</v>
      </c>
      <c r="AG242" s="799">
        <f t="shared" si="99"/>
        <v>1</v>
      </c>
      <c r="AH242" s="176">
        <f t="shared" si="94"/>
        <v>7</v>
      </c>
      <c r="AI242" s="224">
        <f t="shared" si="95"/>
        <v>1.9692792936874062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45886</v>
      </c>
      <c r="B243" s="409">
        <f>IF(t&gt;Tmaj,'2024'!Wh/'2024'!Env_an*'2025'!Env_an,0.001*'[10]mon-tableau (1)'!$B$258)</f>
        <v>29.319016034050492</v>
      </c>
      <c r="C243" s="829"/>
      <c r="D243" s="391">
        <f t="shared" si="77"/>
        <v>30.693182470766573</v>
      </c>
      <c r="E243" s="383">
        <f t="shared" si="100"/>
        <v>31.404949838135025</v>
      </c>
      <c r="F243" s="383">
        <f t="shared" si="78"/>
        <v>31.404952340012581</v>
      </c>
      <c r="G243" s="110">
        <f t="shared" si="101"/>
        <v>0.55714746709901608</v>
      </c>
      <c r="H243" s="412" t="b">
        <f>Wh_hp&gt;='2024'!Maxi_hp</f>
        <v>0</v>
      </c>
      <c r="I243" s="388">
        <f>IF(H243,Wh_hp,'2024'!Maxi_hp)</f>
        <v>54.878692753943</v>
      </c>
      <c r="J243" s="85">
        <f>IF(H243,An,'2024'!An_max)</f>
        <v>2018</v>
      </c>
      <c r="K243" s="197">
        <f t="shared" si="79"/>
        <v>45886</v>
      </c>
      <c r="L243" s="147">
        <f>IF(t&lt;Tvie,1-EXP((T0-t)*PertePVj)+'2024'!Pspv,1-EXP((T0-t)*PertePVj)+Pspv)</f>
        <v>4.4771063998491956E-2</v>
      </c>
      <c r="M243" s="832"/>
      <c r="N243" s="832"/>
      <c r="O243" s="48">
        <f>IF(t&lt;Tnet,'2024'!Resal+('2024'!Salim-'2024'!Resal)*(1-EXP(('2024'!Tnet-t)/('2024'!Tau_j))),Resal+(Salim-Resal)*(1-EXP((Tnet-t)/(Tau_j))))*Salcycl</f>
        <v>2.2664177813911154E-2</v>
      </c>
      <c r="P243" s="169">
        <f>(INDEX(Models!$BJ243:$BT243,,T243)*(1-R243)+INDEX(Models!$BJ243:$BT243,,T243+1)*R243-ERP_i)*Q243*Ramure*Pc/MaxiM</f>
        <v>2.1686205685331191E-7</v>
      </c>
      <c r="Q243" s="304">
        <f t="shared" si="80"/>
        <v>0.6</v>
      </c>
      <c r="R243" s="177">
        <f t="shared" si="81"/>
        <v>0.97041751972225887</v>
      </c>
      <c r="S243" s="799">
        <f t="shared" si="82"/>
        <v>1</v>
      </c>
      <c r="T243" s="176">
        <f t="shared" si="83"/>
        <v>7</v>
      </c>
      <c r="U243" s="250">
        <f t="shared" si="84"/>
        <v>1.9704175197222589</v>
      </c>
      <c r="V243" s="382">
        <f t="shared" si="85"/>
        <v>52.623432292044839</v>
      </c>
      <c r="W243" s="400">
        <f t="shared" si="86"/>
        <v>29.319016034050492</v>
      </c>
      <c r="X243" s="157">
        <f t="shared" si="87"/>
        <v>45886</v>
      </c>
      <c r="Y243" s="383">
        <f t="shared" si="88"/>
        <v>28.299148194644193</v>
      </c>
      <c r="Z243" s="383">
        <f t="shared" si="89"/>
        <v>29.625513976891835</v>
      </c>
      <c r="AA243" s="384">
        <f t="shared" si="90"/>
        <v>31.404949838135025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5.6660999951110257E-2</v>
      </c>
      <c r="AD243" s="230">
        <f>(INDEX(Models!$BJ243:$BT243,,AH243)*(1-AF243)+INDEX(Models!$BJ243:$BT243,,AH243+1)*AF243-ERP_i)*AE243*Ramure*Pc/MaxiM</f>
        <v>2.1686205685331191E-7</v>
      </c>
      <c r="AE243" s="304">
        <f t="shared" si="92"/>
        <v>0.6</v>
      </c>
      <c r="AF243" s="177">
        <f t="shared" si="93"/>
        <v>0.97041751972225887</v>
      </c>
      <c r="AG243" s="799">
        <f t="shared" si="99"/>
        <v>1</v>
      </c>
      <c r="AH243" s="176">
        <f t="shared" si="94"/>
        <v>7</v>
      </c>
      <c r="AI243" s="224">
        <f t="shared" si="95"/>
        <v>1.9704175197222589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45887</v>
      </c>
      <c r="B244" s="409">
        <f>IF(t&gt;Tmaj,'2024'!Wh/'2024'!Env_an*'2025'!Env_an,0.001*'[10]mon-tableau (1)'!$B$259)</f>
        <v>37.217266279908294</v>
      </c>
      <c r="C244" s="829"/>
      <c r="D244" s="391">
        <f t="shared" si="77"/>
        <v>38.96236614207519</v>
      </c>
      <c r="E244" s="383">
        <f t="shared" si="100"/>
        <v>39.870488304553149</v>
      </c>
      <c r="F244" s="383">
        <f t="shared" si="78"/>
        <v>39.870495901285551</v>
      </c>
      <c r="G244" s="110">
        <f t="shared" si="101"/>
        <v>0.70908261792470528</v>
      </c>
      <c r="H244" s="412" t="b">
        <f>Wh_hp&gt;='2024'!Maxi_hp</f>
        <v>0</v>
      </c>
      <c r="I244" s="388">
        <f>IF(H244,Wh_hp,'2024'!Maxi_hp)</f>
        <v>51.155268788996608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4.4789370743127721E-2</v>
      </c>
      <c r="M244" s="832"/>
      <c r="N244" s="832"/>
      <c r="O244" s="48">
        <f>IF(t&lt;Tnet,'2024'!Resal+('2024'!Salim-'2024'!Resal)*(1-EXP(('2024'!Tnet-t)/('2024'!Tau_j))),Resal+(Salim-Resal)*(1-EXP((Tnet-t)/(Tau_j))))*Salcycl</f>
        <v>2.2776800613556785E-2</v>
      </c>
      <c r="P244" s="169">
        <f>(INDEX(Models!$BJ244:$BT244,,T244)*(1-R244)+INDEX(Models!$BJ244:$BT244,,T244+1)*R244-ERP_i)*Q244*Ramure*Pc/MaxiM</f>
        <v>3.2603340700327403E-7</v>
      </c>
      <c r="Q244" s="304">
        <f t="shared" si="80"/>
        <v>0.6</v>
      </c>
      <c r="R244" s="177">
        <f t="shared" si="81"/>
        <v>0.97151510452707246</v>
      </c>
      <c r="S244" s="799">
        <f t="shared" si="82"/>
        <v>1</v>
      </c>
      <c r="T244" s="176">
        <f t="shared" si="83"/>
        <v>7</v>
      </c>
      <c r="U244" s="250">
        <f t="shared" si="84"/>
        <v>1.9715151045270725</v>
      </c>
      <c r="V244" s="382">
        <f t="shared" si="85"/>
        <v>52.486494938994497</v>
      </c>
      <c r="W244" s="400">
        <f t="shared" si="86"/>
        <v>37.217266279908294</v>
      </c>
      <c r="X244" s="157">
        <f t="shared" si="87"/>
        <v>45887</v>
      </c>
      <c r="Y244" s="383">
        <f t="shared" si="88"/>
        <v>35.924052488112778</v>
      </c>
      <c r="Z244" s="383">
        <f t="shared" si="89"/>
        <v>37.608514172482259</v>
      </c>
      <c r="AA244" s="384">
        <f t="shared" si="90"/>
        <v>39.870488304553149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5.6733043116820252E-2</v>
      </c>
      <c r="AD244" s="230">
        <f>(INDEX(Models!$BJ244:$BT244,,AH244)*(1-AF244)+INDEX(Models!$BJ244:$BT244,,AH244+1)*AF244-ERP_i)*AE244*Ramure*Pc/MaxiM</f>
        <v>3.2603340700327403E-7</v>
      </c>
      <c r="AE244" s="304">
        <f t="shared" si="92"/>
        <v>0.6</v>
      </c>
      <c r="AF244" s="177">
        <f t="shared" si="93"/>
        <v>0.97151510452707246</v>
      </c>
      <c r="AG244" s="799">
        <f t="shared" si="99"/>
        <v>1</v>
      </c>
      <c r="AH244" s="176">
        <f t="shared" si="94"/>
        <v>7</v>
      </c>
      <c r="AI244" s="224">
        <f t="shared" si="95"/>
        <v>1.9715151045270725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45888</v>
      </c>
      <c r="B245" s="409">
        <f>IF(t&gt;Tmaj,'2024'!Wh/'2024'!Env_an*'2025'!Env_an,0.001*'[10]mon-tableau (1)'!$B$260)</f>
        <v>38.856570590468522</v>
      </c>
      <c r="C245" s="829"/>
      <c r="D245" s="391">
        <f t="shared" si="77"/>
        <v>40.679316259578322</v>
      </c>
      <c r="E245" s="383">
        <f t="shared" si="100"/>
        <v>41.632245761371841</v>
      </c>
      <c r="F245" s="383">
        <f t="shared" si="78"/>
        <v>41.63225779455631</v>
      </c>
      <c r="G245" s="110">
        <f t="shared" si="101"/>
        <v>0.74226086582545692</v>
      </c>
      <c r="H245" s="412" t="b">
        <f>Wh_hp&gt;='2024'!Maxi_hp</f>
        <v>0</v>
      </c>
      <c r="I245" s="388">
        <f>IF(H245,Wh_hp,'2024'!Maxi_hp)</f>
        <v>45.575246648150426</v>
      </c>
      <c r="J245" s="85">
        <f>IF(H245,An,'2024'!An_max)</f>
        <v>2021</v>
      </c>
      <c r="K245" s="197">
        <f t="shared" si="79"/>
        <v>45888</v>
      </c>
      <c r="L245" s="147">
        <f>IF(t&lt;Tvie,1-EXP((T0-t)*PertePVj)+'2024'!Pspv,1-EXP((T0-t)*PertePVj)+Pspv)</f>
        <v>4.48076771369188E-2</v>
      </c>
      <c r="M245" s="832"/>
      <c r="N245" s="832"/>
      <c r="O245" s="48">
        <f>IF(t&lt;Tnet,'2024'!Resal+('2024'!Salim-'2024'!Resal)*(1-EXP(('2024'!Tnet-t)/('2024'!Tau_j))),Resal+(Salim-Resal)*(1-EXP((Tnet-t)/(Tau_j))))*Salcycl</f>
        <v>2.2889216864627762E-2</v>
      </c>
      <c r="P245" s="169">
        <f>(INDEX(Models!$BJ245:$BT245,,T245)*(1-R245)+INDEX(Models!$BJ245:$BT245,,T245+1)*R245-ERP_i)*Q245*Ramure*Pc/MaxiM</f>
        <v>4.5747779146205036E-7</v>
      </c>
      <c r="Q245" s="304">
        <f t="shared" si="80"/>
        <v>0.6</v>
      </c>
      <c r="R245" s="177">
        <f t="shared" si="81"/>
        <v>0.97257330857651181</v>
      </c>
      <c r="S245" s="799">
        <f t="shared" si="82"/>
        <v>1</v>
      </c>
      <c r="T245" s="176">
        <f t="shared" si="83"/>
        <v>7</v>
      </c>
      <c r="U245" s="250">
        <f t="shared" si="84"/>
        <v>1.9725733085765118</v>
      </c>
      <c r="V245" s="382">
        <f t="shared" si="85"/>
        <v>52.348932611650149</v>
      </c>
      <c r="W245" s="400">
        <f t="shared" si="86"/>
        <v>38.856570590468522</v>
      </c>
      <c r="X245" s="157">
        <f t="shared" si="87"/>
        <v>45888</v>
      </c>
      <c r="Y245" s="383">
        <f t="shared" si="88"/>
        <v>37.507855045058577</v>
      </c>
      <c r="Z245" s="383">
        <f t="shared" si="89"/>
        <v>39.267333025283342</v>
      </c>
      <c r="AA245" s="384">
        <f t="shared" si="90"/>
        <v>41.632245761371841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5.6804832236140544E-2</v>
      </c>
      <c r="AD245" s="230">
        <f>(INDEX(Models!$BJ245:$BT245,,AH245)*(1-AF245)+INDEX(Models!$BJ245:$BT245,,AH245+1)*AF245-ERP_i)*AE245*Ramure*Pc/MaxiM</f>
        <v>4.5747779146205036E-7</v>
      </c>
      <c r="AE245" s="304">
        <f t="shared" si="92"/>
        <v>0.6</v>
      </c>
      <c r="AF245" s="177">
        <f t="shared" si="93"/>
        <v>0.97257330857651181</v>
      </c>
      <c r="AG245" s="799">
        <f t="shared" si="99"/>
        <v>1</v>
      </c>
      <c r="AH245" s="176">
        <f t="shared" si="94"/>
        <v>7</v>
      </c>
      <c r="AI245" s="224">
        <f t="shared" si="95"/>
        <v>1.9725733085765118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45889</v>
      </c>
      <c r="B246" s="409">
        <f>IF(t&gt;Tmaj,'2024'!Wh/'2024'!Env_an*'2025'!Env_an,0.001*'[10]mon-tableau (1)'!$B$261)</f>
        <v>50.814902323026132</v>
      </c>
      <c r="C246" s="829"/>
      <c r="D246" s="391">
        <f t="shared" si="77"/>
        <v>53.199627950720583</v>
      </c>
      <c r="E246" s="383">
        <f t="shared" si="100"/>
        <v>54.452103838582111</v>
      </c>
      <c r="F246" s="383">
        <f t="shared" si="78"/>
        <v>54.452135855668843</v>
      </c>
      <c r="G246" s="110">
        <f t="shared" si="101"/>
        <v>0.97326331335571137</v>
      </c>
      <c r="H246" s="412" t="b">
        <f>Wh_hp&gt;='2024'!Maxi_hp</f>
        <v>0</v>
      </c>
      <c r="I246" s="388">
        <f>IF(H246,Wh_hp,'2024'!Maxi_hp)</f>
        <v>54.452136439558863</v>
      </c>
      <c r="J246" s="85">
        <f>IF(H246,An,'2024'!An_max)</f>
        <v>2022</v>
      </c>
      <c r="K246" s="197">
        <f t="shared" si="79"/>
        <v>45889</v>
      </c>
      <c r="L246" s="147">
        <f>IF(t&lt;Tvie,1-EXP((T0-t)*PertePVj)+'2024'!Pspv,1-EXP((T0-t)*PertePVj)+Pspv)</f>
        <v>4.4825983179872075E-2</v>
      </c>
      <c r="M246" s="832"/>
      <c r="N246" s="832"/>
      <c r="O246" s="48">
        <f>IF(t&lt;Tnet,'2024'!Resal+('2024'!Salim-'2024'!Resal)*(1-EXP(('2024'!Tnet-t)/('2024'!Tau_j))),Resal+(Salim-Resal)*(1-EXP((Tnet-t)/(Tau_j))))*Salcycl</f>
        <v>2.3001423261337531E-2</v>
      </c>
      <c r="P246" s="169">
        <f>(INDEX(Models!$BJ246:$BT246,,T246)*(1-R246)+INDEX(Models!$BJ246:$BT246,,T246+1)*R246-ERP_i)*Q246*Ramure*Pc/MaxiM</f>
        <v>6.1133599624445742E-7</v>
      </c>
      <c r="Q246" s="304">
        <f t="shared" si="80"/>
        <v>0.6</v>
      </c>
      <c r="R246" s="177">
        <f t="shared" si="81"/>
        <v>0.97359336764579707</v>
      </c>
      <c r="S246" s="799">
        <f t="shared" si="82"/>
        <v>1</v>
      </c>
      <c r="T246" s="176">
        <f t="shared" si="83"/>
        <v>7</v>
      </c>
      <c r="U246" s="250">
        <f t="shared" si="84"/>
        <v>1.9735933676457971</v>
      </c>
      <c r="V246" s="382">
        <f t="shared" si="85"/>
        <v>52.210846169970957</v>
      </c>
      <c r="W246" s="400">
        <f t="shared" si="86"/>
        <v>50.814902323026132</v>
      </c>
      <c r="X246" s="157">
        <f t="shared" si="87"/>
        <v>45889</v>
      </c>
      <c r="Y246" s="383">
        <f t="shared" si="88"/>
        <v>49.053025006360571</v>
      </c>
      <c r="Z246" s="383">
        <f t="shared" si="89"/>
        <v>51.355066346615153</v>
      </c>
      <c r="AA246" s="384">
        <f t="shared" si="90"/>
        <v>54.452103838582111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5.6876360574566895E-2</v>
      </c>
      <c r="AD246" s="230">
        <f>(INDEX(Models!$BJ246:$BT246,,AH246)*(1-AF246)+INDEX(Models!$BJ246:$BT246,,AH246+1)*AF246-ERP_i)*AE246*Ramure*Pc/MaxiM</f>
        <v>6.1133599624445742E-7</v>
      </c>
      <c r="AE246" s="304">
        <f t="shared" si="92"/>
        <v>0.6</v>
      </c>
      <c r="AF246" s="177">
        <f t="shared" si="93"/>
        <v>0.97359336764579707</v>
      </c>
      <c r="AG246" s="799">
        <f t="shared" si="99"/>
        <v>1</v>
      </c>
      <c r="AH246" s="176">
        <f t="shared" si="94"/>
        <v>7</v>
      </c>
      <c r="AI246" s="224">
        <f t="shared" si="95"/>
        <v>1.9735933676457971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45890</v>
      </c>
      <c r="B247" s="409">
        <f>IF(t&gt;Tmaj,'2024'!Wh/'2024'!Env_an*'2025'!Env_an,0.001*'[10]mon-tableau (1)'!$B$262)</f>
        <v>37.953129159688672</v>
      </c>
      <c r="C247" s="829"/>
      <c r="D247" s="391">
        <f t="shared" si="77"/>
        <v>39.735017775130451</v>
      </c>
      <c r="E247" s="383">
        <f t="shared" si="100"/>
        <v>40.675159673929095</v>
      </c>
      <c r="F247" s="383">
        <f t="shared" si="78"/>
        <v>40.675179303581075</v>
      </c>
      <c r="G247" s="110">
        <f t="shared" si="101"/>
        <v>0.72884507510196161</v>
      </c>
      <c r="H247" s="412" t="b">
        <f>Wh_hp&gt;='2024'!Maxi_hp</f>
        <v>0</v>
      </c>
      <c r="I247" s="388">
        <f>IF(H247,Wh_hp,'2024'!Maxi_hp)</f>
        <v>55.472998221971906</v>
      </c>
      <c r="J247" s="85">
        <f>IF(H247,An,'2024'!An_max)</f>
        <v>2020</v>
      </c>
      <c r="K247" s="197">
        <f t="shared" si="79"/>
        <v>45890</v>
      </c>
      <c r="L247" s="147">
        <f>IF(t&lt;Tvie,1-EXP((T0-t)*PertePVj)+'2024'!Pspv,1-EXP((T0-t)*PertePVj)+Pspv)</f>
        <v>4.484428887199432E-2</v>
      </c>
      <c r="M247" s="832"/>
      <c r="N247" s="832"/>
      <c r="O247" s="48">
        <f>IF(t&lt;Tnet,'2024'!Resal+('2024'!Salim-'2024'!Resal)*(1-EXP(('2024'!Tnet-t)/('2024'!Tau_j))),Resal+(Salim-Resal)*(1-EXP((Tnet-t)/(Tau_j))))*Salcycl</f>
        <v>2.3113416304576511E-2</v>
      </c>
      <c r="P247" s="169">
        <f>(INDEX(Models!$BJ247:$BT247,,T247)*(1-R247)+INDEX(Models!$BJ247:$BT247,,T247+1)*R247-ERP_i)*Q247*Ramure*Pc/MaxiM</f>
        <v>7.8773567046831869E-7</v>
      </c>
      <c r="Q247" s="304">
        <f t="shared" si="80"/>
        <v>0.6</v>
      </c>
      <c r="R247" s="177">
        <f t="shared" si="81"/>
        <v>0.97457649212946129</v>
      </c>
      <c r="S247" s="799">
        <f t="shared" si="82"/>
        <v>1</v>
      </c>
      <c r="T247" s="176">
        <f t="shared" si="83"/>
        <v>7</v>
      </c>
      <c r="U247" s="250">
        <f t="shared" si="84"/>
        <v>1.9745764921294613</v>
      </c>
      <c r="V247" s="382">
        <f t="shared" si="85"/>
        <v>52.072956071416492</v>
      </c>
      <c r="W247" s="400">
        <f t="shared" si="86"/>
        <v>37.953129159688672</v>
      </c>
      <c r="X247" s="157">
        <f t="shared" si="87"/>
        <v>45890</v>
      </c>
      <c r="Y247" s="383">
        <f t="shared" si="88"/>
        <v>36.638632715043222</v>
      </c>
      <c r="Z247" s="383">
        <f t="shared" si="89"/>
        <v>38.358806096415705</v>
      </c>
      <c r="AA247" s="384">
        <f t="shared" si="90"/>
        <v>40.675159673929095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5.6947621007080264E-2</v>
      </c>
      <c r="AD247" s="230">
        <f>(INDEX(Models!$BJ247:$BT247,,AH247)*(1-AF247)+INDEX(Models!$BJ247:$BT247,,AH247+1)*AF247-ERP_i)*AE247*Ramure*Pc/MaxiM</f>
        <v>7.8773567046831869E-7</v>
      </c>
      <c r="AE247" s="304">
        <f t="shared" si="92"/>
        <v>0.6</v>
      </c>
      <c r="AF247" s="177">
        <f t="shared" si="93"/>
        <v>0.97457649212946129</v>
      </c>
      <c r="AG247" s="799">
        <f t="shared" si="99"/>
        <v>1</v>
      </c>
      <c r="AH247" s="176">
        <f t="shared" si="94"/>
        <v>7</v>
      </c>
      <c r="AI247" s="224">
        <f t="shared" si="95"/>
        <v>1.9745764921294613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45891</v>
      </c>
      <c r="B248" s="409">
        <f>IF(t&gt;Tmaj,'2024'!Wh/'2024'!Env_an*'2025'!Env_an,0.001*'[10]mon-tableau (1)'!$B$263)</f>
        <v>27.413085174528746</v>
      </c>
      <c r="C248" s="829"/>
      <c r="D248" s="391">
        <f t="shared" si="77"/>
        <v>28.70067176559764</v>
      </c>
      <c r="E248" s="383">
        <f t="shared" si="100"/>
        <v>29.383099911722535</v>
      </c>
      <c r="F248" s="383">
        <f t="shared" si="78"/>
        <v>29.383109797664904</v>
      </c>
      <c r="G248" s="110">
        <f t="shared" si="101"/>
        <v>0.52782758407999419</v>
      </c>
      <c r="H248" s="412" t="b">
        <f>Wh_hp&gt;='2024'!Maxi_hp</f>
        <v>0</v>
      </c>
      <c r="I248" s="388">
        <f>IF(H248,Wh_hp,'2024'!Maxi_hp)</f>
        <v>56.932210607769058</v>
      </c>
      <c r="J248" s="85">
        <f>IF(H248,An,'2024'!An_max)</f>
        <v>2018</v>
      </c>
      <c r="K248" s="197">
        <f t="shared" si="79"/>
        <v>45891</v>
      </c>
      <c r="L248" s="147">
        <f>IF(t&lt;Tvie,1-EXP((T0-t)*PertePVj)+'2024'!Pspv,1-EXP((T0-t)*PertePVj)+Pspv)</f>
        <v>4.4862594213291973E-2</v>
      </c>
      <c r="M248" s="832"/>
      <c r="N248" s="832"/>
      <c r="O248" s="48">
        <f>IF(t&lt;Tnet,'2024'!Resal+('2024'!Salim-'2024'!Resal)*(1-EXP(('2024'!Tnet-t)/('2024'!Tau_j))),Resal+(Salim-Resal)*(1-EXP((Tnet-t)/(Tau_j))))*Salcycl</f>
        <v>2.3225192310381025E-2</v>
      </c>
      <c r="P248" s="169">
        <f>(INDEX(Models!$BJ248:$BT248,,T248)*(1-R248)+INDEX(Models!$BJ248:$BT248,,T248+1)*R248-ERP_i)*Q248*Ramure*Pc/MaxiM</f>
        <v>1.0337400679189383E-6</v>
      </c>
      <c r="Q248" s="304">
        <f t="shared" si="80"/>
        <v>0.6</v>
      </c>
      <c r="R248" s="177">
        <f t="shared" si="81"/>
        <v>0.97552386648107969</v>
      </c>
      <c r="S248" s="799">
        <f t="shared" si="82"/>
        <v>1</v>
      </c>
      <c r="T248" s="176">
        <f t="shared" si="83"/>
        <v>7</v>
      </c>
      <c r="U248" s="250">
        <f t="shared" si="84"/>
        <v>1.9755238664810797</v>
      </c>
      <c r="V248" s="382">
        <f t="shared" si="85"/>
        <v>51.9356450599807</v>
      </c>
      <c r="W248" s="400">
        <f t="shared" si="86"/>
        <v>27.413085174528746</v>
      </c>
      <c r="X248" s="157">
        <f t="shared" si="87"/>
        <v>45891</v>
      </c>
      <c r="Y248" s="383">
        <f t="shared" si="88"/>
        <v>26.46467647095119</v>
      </c>
      <c r="Z248" s="383">
        <f t="shared" si="89"/>
        <v>27.707716513472015</v>
      </c>
      <c r="AA248" s="384">
        <f t="shared" si="90"/>
        <v>29.383099911722535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5.7018606045106827E-2</v>
      </c>
      <c r="AD248" s="230">
        <f>(INDEX(Models!$BJ248:$BT248,,AH248)*(1-AF248)+INDEX(Models!$BJ248:$BT248,,AH248+1)*AF248-ERP_i)*AE248*Ramure*Pc/MaxiM</f>
        <v>1.0337400679189383E-6</v>
      </c>
      <c r="AE248" s="304">
        <f t="shared" si="92"/>
        <v>0.6</v>
      </c>
      <c r="AF248" s="177">
        <f t="shared" si="93"/>
        <v>0.97552386648107969</v>
      </c>
      <c r="AG248" s="799">
        <f t="shared" si="99"/>
        <v>1</v>
      </c>
      <c r="AH248" s="176">
        <f t="shared" si="94"/>
        <v>7</v>
      </c>
      <c r="AI248" s="224">
        <f t="shared" si="95"/>
        <v>1.9755238664810797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45892</v>
      </c>
      <c r="B249" s="409">
        <f>IF(t&gt;Tmaj,'2024'!Wh/'2024'!Env_an*'2025'!Env_an,0.001*'[10]mon-tableau (1)'!$B$264)</f>
        <v>49.113530494158375</v>
      </c>
      <c r="C249" s="829"/>
      <c r="D249" s="391">
        <f t="shared" si="77"/>
        <v>51.421367715518663</v>
      </c>
      <c r="E249" s="383">
        <f t="shared" si="100"/>
        <v>52.650048601178071</v>
      </c>
      <c r="F249" s="383">
        <f t="shared" si="78"/>
        <v>52.650114404564448</v>
      </c>
      <c r="G249" s="110">
        <f t="shared" si="101"/>
        <v>0.94816481070001002</v>
      </c>
      <c r="H249" s="412" t="b">
        <f>Wh_hp&gt;='2024'!Maxi_hp</f>
        <v>0</v>
      </c>
      <c r="I249" s="388">
        <f>IF(H249,Wh_hp,'2024'!Maxi_hp)</f>
        <v>54.337170768740876</v>
      </c>
      <c r="J249" s="85">
        <f>IF(H249,An,'2024'!An_max)</f>
        <v>2018</v>
      </c>
      <c r="K249" s="197">
        <f t="shared" si="79"/>
        <v>45892</v>
      </c>
      <c r="L249" s="147">
        <f>IF(t&lt;Tvie,1-EXP((T0-t)*PertePVj)+'2024'!Pspv,1-EXP((T0-t)*PertePVj)+Pspv)</f>
        <v>4.4880899203772029E-2</v>
      </c>
      <c r="M249" s="832"/>
      <c r="N249" s="832"/>
      <c r="O249" s="48">
        <f>IF(t&lt;Tnet,'2024'!Resal+('2024'!Salim-'2024'!Resal)*(1-EXP(('2024'!Tnet-t)/('2024'!Tau_j))),Resal+(Salim-Resal)*(1-EXP((Tnet-t)/(Tau_j))))*Salcycl</f>
        <v>2.3336747416258168E-2</v>
      </c>
      <c r="P249" s="169">
        <f>(INDEX(Models!$BJ249:$BT249,,T249)*(1-R249)+INDEX(Models!$BJ249:$BT249,,T249+1)*R249-ERP_i)*Q249*Ramure*Pc/MaxiM</f>
        <v>1.3497752235657939E-6</v>
      </c>
      <c r="Q249" s="304">
        <f t="shared" si="80"/>
        <v>0.6</v>
      </c>
      <c r="R249" s="177">
        <f t="shared" si="81"/>
        <v>0.97643664876546588</v>
      </c>
      <c r="S249" s="799">
        <f t="shared" si="82"/>
        <v>1</v>
      </c>
      <c r="T249" s="176">
        <f t="shared" si="83"/>
        <v>7</v>
      </c>
      <c r="U249" s="250">
        <f t="shared" si="84"/>
        <v>1.9764366487654659</v>
      </c>
      <c r="V249" s="382">
        <f t="shared" si="85"/>
        <v>51.798511219736604</v>
      </c>
      <c r="W249" s="400">
        <f t="shared" si="86"/>
        <v>49.113530494158375</v>
      </c>
      <c r="X249" s="157">
        <f t="shared" si="87"/>
        <v>45892</v>
      </c>
      <c r="Y249" s="383">
        <f t="shared" si="88"/>
        <v>47.416213223230208</v>
      </c>
      <c r="Z249" s="383">
        <f t="shared" si="89"/>
        <v>49.644293767868355</v>
      </c>
      <c r="AA249" s="384">
        <f t="shared" si="90"/>
        <v>52.650048601178071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5.7089307857589706E-2</v>
      </c>
      <c r="AD249" s="230">
        <f>(INDEX(Models!$BJ249:$BT249,,AH249)*(1-AF249)+INDEX(Models!$BJ249:$BT249,,AH249+1)*AF249-ERP_i)*AE249*Ramure*Pc/MaxiM</f>
        <v>1.3497752235657939E-6</v>
      </c>
      <c r="AE249" s="304">
        <f t="shared" si="92"/>
        <v>0.6</v>
      </c>
      <c r="AF249" s="177">
        <f t="shared" si="93"/>
        <v>0.97643664876546588</v>
      </c>
      <c r="AG249" s="799">
        <f t="shared" si="99"/>
        <v>1</v>
      </c>
      <c r="AH249" s="176">
        <f t="shared" si="94"/>
        <v>7</v>
      </c>
      <c r="AI249" s="224">
        <f t="shared" si="95"/>
        <v>1.9764366487654659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45893</v>
      </c>
      <c r="B250" s="409">
        <f>IF(t&gt;Tmaj,'2024'!Wh/'2024'!Env_an*'2025'!Env_an,0.001*'[10]mon-tableau (1)'!$B$265)</f>
        <v>49.661493951035411</v>
      </c>
      <c r="C250" s="829"/>
      <c r="D250" s="391">
        <f t="shared" si="77"/>
        <v>51.996076383643768</v>
      </c>
      <c r="E250" s="383">
        <f t="shared" si="100"/>
        <v>53.244558932485667</v>
      </c>
      <c r="F250" s="383">
        <f t="shared" si="78"/>
        <v>53.244646267208076</v>
      </c>
      <c r="G250" s="110">
        <f t="shared" si="101"/>
        <v>0.96129270132843503</v>
      </c>
      <c r="H250" s="412" t="b">
        <f>Wh_hp&gt;='2024'!Maxi_hp</f>
        <v>0</v>
      </c>
      <c r="I250" s="388">
        <f>IF(H250,Wh_hp,'2024'!Maxi_hp)</f>
        <v>54.747664261265655</v>
      </c>
      <c r="J250" s="85">
        <f>IF(H250,An,'2024'!An_max)</f>
        <v>2018</v>
      </c>
      <c r="K250" s="197">
        <f t="shared" si="79"/>
        <v>45893</v>
      </c>
      <c r="L250" s="147">
        <f>IF(t&lt;Tvie,1-EXP((T0-t)*PertePVj)+'2024'!Pspv,1-EXP((T0-t)*PertePVj)+Pspv)</f>
        <v>4.4899203843441149E-2</v>
      </c>
      <c r="M250" s="832"/>
      <c r="N250" s="832"/>
      <c r="O250" s="48">
        <f>IF(t&lt;Tnet,'2024'!Resal+('2024'!Salim-'2024'!Resal)*(1-EXP(('2024'!Tnet-t)/('2024'!Tau_j))),Resal+(Salim-Resal)*(1-EXP((Tnet-t)/(Tau_j))))*Salcycl</f>
        <v>2.3448077585260411E-2</v>
      </c>
      <c r="P250" s="169">
        <f>(INDEX(Models!$BJ250:$BT250,,T250)*(1-R250)+INDEX(Models!$BJ250:$BT250,,T250+1)*R250-ERP_i)*Q250*Ramure*Pc/MaxiM</f>
        <v>1.7362619508424173E-6</v>
      </c>
      <c r="Q250" s="304">
        <f t="shared" si="80"/>
        <v>0.6</v>
      </c>
      <c r="R250" s="177">
        <f t="shared" si="81"/>
        <v>0.97731597031513018</v>
      </c>
      <c r="S250" s="799">
        <f t="shared" si="82"/>
        <v>1</v>
      </c>
      <c r="T250" s="176">
        <f t="shared" si="83"/>
        <v>7</v>
      </c>
      <c r="U250" s="250">
        <f t="shared" si="84"/>
        <v>1.9773159703151302</v>
      </c>
      <c r="V250" s="382">
        <f t="shared" si="85"/>
        <v>51.661152856440793</v>
      </c>
      <c r="W250" s="400">
        <f t="shared" si="86"/>
        <v>49.661493951035411</v>
      </c>
      <c r="X250" s="157">
        <f t="shared" si="87"/>
        <v>45893</v>
      </c>
      <c r="Y250" s="383">
        <f t="shared" si="88"/>
        <v>47.947124850616419</v>
      </c>
      <c r="Z250" s="383">
        <f t="shared" si="89"/>
        <v>50.201114943638878</v>
      </c>
      <c r="AA250" s="384">
        <f t="shared" si="90"/>
        <v>53.244558932485667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5.7159718286067231E-2</v>
      </c>
      <c r="AD250" s="230">
        <f>(INDEX(Models!$BJ250:$BT250,,AH250)*(1-AF250)+INDEX(Models!$BJ250:$BT250,,AH250+1)*AF250-ERP_i)*AE250*Ramure*Pc/MaxiM</f>
        <v>1.7362619508424173E-6</v>
      </c>
      <c r="AE250" s="304">
        <f t="shared" si="92"/>
        <v>0.6</v>
      </c>
      <c r="AF250" s="177">
        <f t="shared" si="93"/>
        <v>0.97731597031513018</v>
      </c>
      <c r="AG250" s="799">
        <f t="shared" si="99"/>
        <v>1</v>
      </c>
      <c r="AH250" s="176">
        <f t="shared" si="94"/>
        <v>7</v>
      </c>
      <c r="AI250" s="224">
        <f t="shared" si="95"/>
        <v>1.9773159703151302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45894</v>
      </c>
      <c r="B251" s="409">
        <f>IF(t&gt;Tmaj,'2024'!Wh/'2024'!Env_an*'2025'!Env_an,0.001*'[10]mon-tableau (1)'!$B$266)</f>
        <v>29.871082005134724</v>
      </c>
      <c r="C251" s="829"/>
      <c r="D251" s="391">
        <f t="shared" si="77"/>
        <v>31.275918320647758</v>
      </c>
      <c r="E251" s="383">
        <f t="shared" si="100"/>
        <v>32.030531329131776</v>
      </c>
      <c r="F251" s="383">
        <f t="shared" si="78"/>
        <v>32.030559410223631</v>
      </c>
      <c r="G251" s="110">
        <f t="shared" si="101"/>
        <v>0.57975942741965236</v>
      </c>
      <c r="H251" s="412" t="b">
        <f>Wh_hp&gt;='2024'!Maxi_hp</f>
        <v>0</v>
      </c>
      <c r="I251" s="388">
        <f>IF(H251,Wh_hp,'2024'!Maxi_hp)</f>
        <v>52.804588122486173</v>
      </c>
      <c r="J251" s="85">
        <f>IF(H251,An,'2024'!An_max)</f>
        <v>2021</v>
      </c>
      <c r="K251" s="197">
        <f t="shared" si="79"/>
        <v>45894</v>
      </c>
      <c r="L251" s="147">
        <f>IF(t&lt;Tvie,1-EXP((T0-t)*PertePVj)+'2024'!Pspv,1-EXP((T0-t)*PertePVj)+Pspv)</f>
        <v>4.4917508132305994E-2</v>
      </c>
      <c r="M251" s="832"/>
      <c r="N251" s="832"/>
      <c r="O251" s="48">
        <f>IF(t&lt;Tnet,'2024'!Resal+('2024'!Salim-'2024'!Resal)*(1-EXP(('2024'!Tnet-t)/('2024'!Tau_j))),Resal+(Salim-Resal)*(1-EXP((Tnet-t)/(Tau_j))))*Salcycl</f>
        <v>2.3559178607745895E-2</v>
      </c>
      <c r="P251" s="169">
        <f>(INDEX(Models!$BJ251:$BT251,,T251)*(1-R251)+INDEX(Models!$BJ251:$BT251,,T251+1)*R251-ERP_i)*Q251*Ramure*Pc/MaxiM</f>
        <v>2.1936209788261334E-6</v>
      </c>
      <c r="Q251" s="304">
        <f t="shared" si="80"/>
        <v>0.6</v>
      </c>
      <c r="R251" s="177">
        <f t="shared" si="81"/>
        <v>0.97816293548309474</v>
      </c>
      <c r="S251" s="799">
        <f t="shared" si="82"/>
        <v>1</v>
      </c>
      <c r="T251" s="176">
        <f t="shared" si="83"/>
        <v>7</v>
      </c>
      <c r="U251" s="250">
        <f t="shared" si="84"/>
        <v>1.9781629354830947</v>
      </c>
      <c r="V251" s="382">
        <f t="shared" si="85"/>
        <v>51.523168497837979</v>
      </c>
      <c r="W251" s="400">
        <f t="shared" si="86"/>
        <v>29.871082005134724</v>
      </c>
      <c r="X251" s="157">
        <f t="shared" si="87"/>
        <v>45894</v>
      </c>
      <c r="Y251" s="383">
        <f t="shared" si="88"/>
        <v>28.841036217791803</v>
      </c>
      <c r="Z251" s="383">
        <f t="shared" si="89"/>
        <v>30.197429503070719</v>
      </c>
      <c r="AA251" s="384">
        <f t="shared" si="90"/>
        <v>32.030531329131776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5.7229828853755237E-2</v>
      </c>
      <c r="AD251" s="230">
        <f>(INDEX(Models!$BJ251:$BT251,,AH251)*(1-AF251)+INDEX(Models!$BJ251:$BT251,,AH251+1)*AF251-ERP_i)*AE251*Ramure*Pc/MaxiM</f>
        <v>2.1936209788261334E-6</v>
      </c>
      <c r="AE251" s="304">
        <f t="shared" si="92"/>
        <v>0.6</v>
      </c>
      <c r="AF251" s="177">
        <f t="shared" si="93"/>
        <v>0.97816293548309474</v>
      </c>
      <c r="AG251" s="799">
        <f t="shared" si="99"/>
        <v>1</v>
      </c>
      <c r="AH251" s="176">
        <f t="shared" si="94"/>
        <v>7</v>
      </c>
      <c r="AI251" s="224">
        <f t="shared" si="95"/>
        <v>1.9781629354830947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45895</v>
      </c>
      <c r="B252" s="409">
        <f>IF(t&gt;Tmaj,'2024'!Wh/'2024'!Env_an*'2025'!Env_an,0.001*'[10]mon-tableau (1)'!$B$267)</f>
        <v>39.915063262871705</v>
      </c>
      <c r="C252" s="829"/>
      <c r="D252" s="391">
        <f t="shared" si="77"/>
        <v>41.793068745880795</v>
      </c>
      <c r="E252" s="383">
        <f t="shared" si="100"/>
        <v>42.806295739437921</v>
      </c>
      <c r="F252" s="383">
        <f t="shared" si="78"/>
        <v>42.806375113057378</v>
      </c>
      <c r="G252" s="110">
        <f t="shared" si="101"/>
        <v>0.7767964101893664</v>
      </c>
      <c r="H252" s="412" t="b">
        <f>Wh_hp&gt;='2024'!Maxi_hp</f>
        <v>0</v>
      </c>
      <c r="I252" s="388">
        <f>IF(H252,Wh_hp,'2024'!Maxi_hp)</f>
        <v>54.205725811203237</v>
      </c>
      <c r="J252" s="85">
        <f>IF(H252,An,'2024'!An_max)</f>
        <v>2020</v>
      </c>
      <c r="K252" s="197">
        <f t="shared" si="79"/>
        <v>45895</v>
      </c>
      <c r="L252" s="147">
        <f>IF(t&lt;Tvie,1-EXP((T0-t)*PertePVj)+'2024'!Pspv,1-EXP((T0-t)*PertePVj)+Pspv)</f>
        <v>4.4935812070373227E-2</v>
      </c>
      <c r="M252" s="832"/>
      <c r="N252" s="832"/>
      <c r="O252" s="48">
        <f>IF(t&lt;Tnet,'2024'!Resal+('2024'!Salim-'2024'!Resal)*(1-EXP(('2024'!Tnet-t)/('2024'!Tau_j))),Resal+(Salim-Resal)*(1-EXP((Tnet-t)/(Tau_j))))*Salcycl</f>
        <v>2.3670046100803626E-2</v>
      </c>
      <c r="P252" s="169">
        <f>(INDEX(Models!$BJ252:$BT252,,T252)*(1-R252)+INDEX(Models!$BJ252:$BT252,,T252+1)*R252-ERP_i)*Q252*Ramure*Pc/MaxiM</f>
        <v>2.7222761649019856E-6</v>
      </c>
      <c r="Q252" s="304">
        <f t="shared" si="80"/>
        <v>0.6</v>
      </c>
      <c r="R252" s="177">
        <f t="shared" si="81"/>
        <v>0.97897862148449843</v>
      </c>
      <c r="S252" s="799">
        <f t="shared" si="82"/>
        <v>1</v>
      </c>
      <c r="T252" s="176">
        <f t="shared" si="83"/>
        <v>7</v>
      </c>
      <c r="U252" s="250">
        <f t="shared" si="84"/>
        <v>1.9789786214844984</v>
      </c>
      <c r="V252" s="382">
        <f t="shared" si="85"/>
        <v>51.384156893391165</v>
      </c>
      <c r="W252" s="400">
        <f t="shared" si="86"/>
        <v>39.915063262871705</v>
      </c>
      <c r="X252" s="157">
        <f t="shared" si="87"/>
        <v>45895</v>
      </c>
      <c r="Y252" s="383">
        <f t="shared" si="88"/>
        <v>38.540193021347683</v>
      </c>
      <c r="Z252" s="383">
        <f t="shared" si="89"/>
        <v>40.353510798990918</v>
      </c>
      <c r="AA252" s="384">
        <f t="shared" si="90"/>
        <v>42.806295739437921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5.7299630768733595E-2</v>
      </c>
      <c r="AD252" s="230">
        <f>(INDEX(Models!$BJ252:$BT252,,AH252)*(1-AF252)+INDEX(Models!$BJ252:$BT252,,AH252+1)*AF252-ERP_i)*AE252*Ramure*Pc/MaxiM</f>
        <v>2.7222761649019856E-6</v>
      </c>
      <c r="AE252" s="304">
        <f t="shared" si="92"/>
        <v>0.6</v>
      </c>
      <c r="AF252" s="177">
        <f t="shared" si="93"/>
        <v>0.97897862148449843</v>
      </c>
      <c r="AG252" s="799">
        <f t="shared" si="99"/>
        <v>1</v>
      </c>
      <c r="AH252" s="176">
        <f t="shared" si="94"/>
        <v>7</v>
      </c>
      <c r="AI252" s="224">
        <f t="shared" si="95"/>
        <v>1.9789786214844984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45896</v>
      </c>
      <c r="B253" s="409">
        <f>IF(t&gt;Tmaj,'2024'!Wh/'2024'!Env_an*'2025'!Env_an,0.001*'[10]mon-tableau (1)'!$B$268)</f>
        <v>48.327914829732343</v>
      </c>
      <c r="C253" s="829"/>
      <c r="D253" s="391">
        <f t="shared" si="77"/>
        <v>50.602715138667087</v>
      </c>
      <c r="E253" s="383">
        <f t="shared" si="100"/>
        <v>51.835395867483975</v>
      </c>
      <c r="F253" s="383">
        <f t="shared" si="78"/>
        <v>51.835554099244973</v>
      </c>
      <c r="G253" s="110">
        <f t="shared" si="101"/>
        <v>0.94309906845229241</v>
      </c>
      <c r="H253" s="412" t="b">
        <f>Wh_hp&gt;='2024'!Maxi_hp</f>
        <v>0</v>
      </c>
      <c r="I253" s="388">
        <f>IF(H253,Wh_hp,'2024'!Maxi_hp)</f>
        <v>51.835560545336492</v>
      </c>
      <c r="J253" s="85">
        <f>IF(H253,An,'2024'!An_max)</f>
        <v>2022</v>
      </c>
      <c r="K253" s="197">
        <f t="shared" si="79"/>
        <v>45896</v>
      </c>
      <c r="L253" s="147">
        <f>IF(t&lt;Tvie,1-EXP((T0-t)*PertePVj)+'2024'!Pspv,1-EXP((T0-t)*PertePVj)+Pspv)</f>
        <v>4.4954115657649729E-2</v>
      </c>
      <c r="M253" s="832"/>
      <c r="N253" s="832"/>
      <c r="O253" s="48">
        <f>IF(t&lt;Tnet,'2024'!Resal+('2024'!Salim-'2024'!Resal)*(1-EXP(('2024'!Tnet-t)/('2024'!Tau_j))),Resal+(Salim-Resal)*(1-EXP((Tnet-t)/(Tau_j))))*Salcycl</f>
        <v>2.3780675505367242E-2</v>
      </c>
      <c r="P253" s="169">
        <f>(INDEX(Models!$BJ253:$BT253,,T253)*(1-R253)+INDEX(Models!$BJ253:$BT253,,T253+1)*R253-ERP_i)*Q253*Ramure*Pc/MaxiM</f>
        <v>3.3226600034934816E-6</v>
      </c>
      <c r="Q253" s="304">
        <f t="shared" si="80"/>
        <v>0.6</v>
      </c>
      <c r="R253" s="177">
        <f t="shared" si="81"/>
        <v>0.97976407831974566</v>
      </c>
      <c r="S253" s="799">
        <f t="shared" si="82"/>
        <v>1</v>
      </c>
      <c r="T253" s="176">
        <f t="shared" si="83"/>
        <v>7</v>
      </c>
      <c r="U253" s="250">
        <f t="shared" si="84"/>
        <v>1.9797640783197457</v>
      </c>
      <c r="V253" s="382">
        <f t="shared" si="85"/>
        <v>51.243717010783094</v>
      </c>
      <c r="W253" s="400">
        <f t="shared" si="86"/>
        <v>48.327914829732343</v>
      </c>
      <c r="X253" s="157">
        <f t="shared" si="87"/>
        <v>45896</v>
      </c>
      <c r="Y253" s="383">
        <f t="shared" si="88"/>
        <v>46.665113040591486</v>
      </c>
      <c r="Z253" s="383">
        <f t="shared" si="89"/>
        <v>48.861645084963989</v>
      </c>
      <c r="AA253" s="384">
        <f t="shared" si="90"/>
        <v>51.835395867483975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5.7369114921439264E-2</v>
      </c>
      <c r="AD253" s="230">
        <f>(INDEX(Models!$BJ253:$BT253,,AH253)*(1-AF253)+INDEX(Models!$BJ253:$BT253,,AH253+1)*AF253-ERP_i)*AE253*Ramure*Pc/MaxiM</f>
        <v>3.3226600034934816E-6</v>
      </c>
      <c r="AE253" s="304">
        <f t="shared" si="92"/>
        <v>0.6</v>
      </c>
      <c r="AF253" s="177">
        <f t="shared" si="93"/>
        <v>0.97976407831974566</v>
      </c>
      <c r="AG253" s="799">
        <f t="shared" si="99"/>
        <v>1</v>
      </c>
      <c r="AH253" s="176">
        <f t="shared" si="94"/>
        <v>7</v>
      </c>
      <c r="AI253" s="224">
        <f t="shared" si="95"/>
        <v>1.9797640783197457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45897</v>
      </c>
      <c r="B254" s="409">
        <f>IF(t&gt;Tmaj,'2024'!Wh/'2024'!Env_an*'2025'!Env_an,0.001*'[10]mon-tableau (1)'!$B$269)</f>
        <v>49.410844928075491</v>
      </c>
      <c r="C254" s="829"/>
      <c r="D254" s="391">
        <f t="shared" si="77"/>
        <v>51.737610416299241</v>
      </c>
      <c r="E254" s="383">
        <f t="shared" si="100"/>
        <v>53.003930613118811</v>
      </c>
      <c r="F254" s="383">
        <f t="shared" si="78"/>
        <v>53.004133719598507</v>
      </c>
      <c r="G254" s="110">
        <f t="shared" si="101"/>
        <v>0.96691656997891062</v>
      </c>
      <c r="H254" s="412" t="b">
        <f>Wh_hp&gt;='2024'!Maxi_hp</f>
        <v>0</v>
      </c>
      <c r="I254" s="388">
        <f>IF(H254,Wh_hp,'2024'!Maxi_hp)</f>
        <v>55.753732502644198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4.4972418894142274E-2</v>
      </c>
      <c r="M254" s="832"/>
      <c r="N254" s="832"/>
      <c r="O254" s="48">
        <f>IF(t&lt;Tnet,'2024'!Resal+('2024'!Salim-'2024'!Resal)*(1-EXP(('2024'!Tnet-t)/('2024'!Tau_j))),Resal+(Salim-Resal)*(1-EXP((Tnet-t)/(Tau_j))))*Salcycl</f>
        <v>2.3891062081085483E-2</v>
      </c>
      <c r="P254" s="169">
        <f>(INDEX(Models!$BJ254:$BT254,,T254)*(1-R254)+INDEX(Models!$BJ254:$BT254,,T254+1)*R254-ERP_i)*Q254*Ramure*Pc/MaxiM</f>
        <v>4.0219850354440721E-6</v>
      </c>
      <c r="Q254" s="304">
        <f t="shared" si="80"/>
        <v>0.6</v>
      </c>
      <c r="R254" s="177">
        <f t="shared" si="81"/>
        <v>0.98052032877230544</v>
      </c>
      <c r="S254" s="799">
        <f t="shared" si="82"/>
        <v>1</v>
      </c>
      <c r="T254" s="176">
        <f t="shared" si="83"/>
        <v>7</v>
      </c>
      <c r="U254" s="250">
        <f t="shared" si="84"/>
        <v>1.9805203287723054</v>
      </c>
      <c r="V254" s="382">
        <f t="shared" si="85"/>
        <v>51.10144667062513</v>
      </c>
      <c r="W254" s="400">
        <f t="shared" si="86"/>
        <v>49.410844928075491</v>
      </c>
      <c r="X254" s="157">
        <f t="shared" si="87"/>
        <v>45897</v>
      </c>
      <c r="Y254" s="383">
        <f t="shared" si="88"/>
        <v>47.712677934012206</v>
      </c>
      <c r="Z254" s="383">
        <f t="shared" si="89"/>
        <v>49.959476436025156</v>
      </c>
      <c r="AA254" s="384">
        <f t="shared" si="90"/>
        <v>53.003930613118811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5.7438271876767824E-2</v>
      </c>
      <c r="AD254" s="230">
        <f>(INDEX(Models!$BJ254:$BT254,,AH254)*(1-AF254)+INDEX(Models!$BJ254:$BT254,,AH254+1)*AF254-ERP_i)*AE254*Ramure*Pc/MaxiM</f>
        <v>4.0219850354440721E-6</v>
      </c>
      <c r="AE254" s="304">
        <f t="shared" si="92"/>
        <v>0.6</v>
      </c>
      <c r="AF254" s="177">
        <f t="shared" si="93"/>
        <v>0.98052032877230544</v>
      </c>
      <c r="AG254" s="799">
        <f t="shared" si="99"/>
        <v>1</v>
      </c>
      <c r="AH254" s="176">
        <f t="shared" si="94"/>
        <v>7</v>
      </c>
      <c r="AI254" s="224">
        <f t="shared" si="95"/>
        <v>1.9805203287723054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45898</v>
      </c>
      <c r="B255" s="409">
        <f>IF(t&gt;Tmaj,'2024'!Wh/'2024'!Env_an*'2025'!Env_an,0.001*'[10]mon-tableau (1)'!$B$270)</f>
        <v>33.974300985291599</v>
      </c>
      <c r="C255" s="829"/>
      <c r="D255" s="391">
        <f t="shared" si="77"/>
        <v>35.574838653515215</v>
      </c>
      <c r="E255" s="383">
        <f t="shared" si="100"/>
        <v>36.449674616695994</v>
      </c>
      <c r="F255" s="383">
        <f t="shared" si="78"/>
        <v>36.449766250472273</v>
      </c>
      <c r="G255" s="110">
        <f t="shared" si="101"/>
        <v>0.66672408290652141</v>
      </c>
      <c r="H255" s="412" t="b">
        <f>Wh_hp&gt;='2024'!Maxi_hp</f>
        <v>0</v>
      </c>
      <c r="I255" s="388">
        <f>IF(H255,Wh_hp,'2024'!Maxi_hp)</f>
        <v>55.057615254458725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4.4990721779857301E-2</v>
      </c>
      <c r="M255" s="832"/>
      <c r="N255" s="832"/>
      <c r="O255" s="48">
        <f>IF(t&lt;Tnet,'2024'!Resal+('2024'!Salim-'2024'!Resal)*(1-EXP(('2024'!Tnet-t)/('2024'!Tau_j))),Resal+(Salim-Resal)*(1-EXP((Tnet-t)/(Tau_j))))*Salcycl</f>
        <v>2.4001200899062426E-2</v>
      </c>
      <c r="P255" s="169">
        <f>(INDEX(Models!$BJ255:$BT255,,T255)*(1-R255)+INDEX(Models!$BJ255:$BT255,,T255+1)*R255-ERP_i)*Q255*Ramure*Pc/MaxiM</f>
        <v>4.7986341658786114E-6</v>
      </c>
      <c r="Q255" s="304">
        <f t="shared" si="80"/>
        <v>0.6</v>
      </c>
      <c r="R255" s="177">
        <f t="shared" si="81"/>
        <v>0.98124836847460006</v>
      </c>
      <c r="S255" s="799">
        <f t="shared" si="82"/>
        <v>1</v>
      </c>
      <c r="T255" s="176">
        <f t="shared" si="83"/>
        <v>7</v>
      </c>
      <c r="U255" s="250">
        <f t="shared" si="84"/>
        <v>1.9812483684746001</v>
      </c>
      <c r="V255" s="382">
        <f t="shared" si="85"/>
        <v>50.95694641367642</v>
      </c>
      <c r="W255" s="400">
        <f t="shared" si="86"/>
        <v>33.974300985291599</v>
      </c>
      <c r="X255" s="157">
        <f t="shared" si="87"/>
        <v>45898</v>
      </c>
      <c r="Y255" s="383">
        <f t="shared" si="88"/>
        <v>32.807968377735094</v>
      </c>
      <c r="Z255" s="383">
        <f t="shared" si="89"/>
        <v>34.353559830203459</v>
      </c>
      <c r="AA255" s="384">
        <f t="shared" si="90"/>
        <v>36.449674616695994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5.7507091861182205E-2</v>
      </c>
      <c r="AD255" s="230">
        <f>(INDEX(Models!$BJ255:$BT255,,AH255)*(1-AF255)+INDEX(Models!$BJ255:$BT255,,AH255+1)*AF255-ERP_i)*AE255*Ramure*Pc/MaxiM</f>
        <v>4.7986341658786114E-6</v>
      </c>
      <c r="AE255" s="304">
        <f t="shared" si="92"/>
        <v>0.6</v>
      </c>
      <c r="AF255" s="177">
        <f t="shared" si="93"/>
        <v>0.98124836847460006</v>
      </c>
      <c r="AG255" s="799">
        <f t="shared" si="99"/>
        <v>1</v>
      </c>
      <c r="AH255" s="176">
        <f t="shared" si="94"/>
        <v>7</v>
      </c>
      <c r="AI255" s="224">
        <f t="shared" si="95"/>
        <v>1.9812483684746001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45899</v>
      </c>
      <c r="B256" s="409">
        <f>IF(t&gt;Tmaj,'2024'!Wh/'2024'!Env_an*'2025'!Env_an,0.001*'[10]mon-tableau (1)'!$B$271)</f>
        <v>48.753510521630247</v>
      </c>
      <c r="C256" s="829"/>
      <c r="D256" s="391">
        <f t="shared" si="77"/>
        <v>51.051278769048054</v>
      </c>
      <c r="E256" s="383">
        <f t="shared" si="100"/>
        <v>52.312592222565989</v>
      </c>
      <c r="F256" s="383">
        <f t="shared" si="78"/>
        <v>52.31287085611411</v>
      </c>
      <c r="G256" s="110">
        <f t="shared" si="101"/>
        <v>0.95952905471322469</v>
      </c>
      <c r="H256" s="412" t="b">
        <f>Wh_hp&gt;='2024'!Maxi_hp</f>
        <v>0</v>
      </c>
      <c r="I256" s="388">
        <f>IF(H256,Wh_hp,'2024'!Maxi_hp)</f>
        <v>53.730779388968067</v>
      </c>
      <c r="J256" s="85">
        <f>IF(H256,An,'2024'!An_max)</f>
        <v>2021</v>
      </c>
      <c r="K256" s="197">
        <f t="shared" si="79"/>
        <v>45899</v>
      </c>
      <c r="L256" s="147">
        <f>IF(t&lt;Tvie,1-EXP((T0-t)*PertePVj)+'2024'!Pspv,1-EXP((T0-t)*PertePVj)+Pspv)</f>
        <v>4.5009024314801804E-2</v>
      </c>
      <c r="M256" s="832"/>
      <c r="N256" s="832"/>
      <c r="O256" s="48">
        <f>IF(t&lt;Tnet,'2024'!Resal+('2024'!Salim-'2024'!Resal)*(1-EXP(('2024'!Tnet-t)/('2024'!Tau_j))),Resal+(Salim-Resal)*(1-EXP((Tnet-t)/(Tau_j))))*Salcycl</f>
        <v>2.4111086832623974E-2</v>
      </c>
      <c r="P256" s="169">
        <f>(INDEX(Models!$BJ256:$BT256,,T256)*(1-R256)+INDEX(Models!$BJ256:$BT256,,T256+1)*R256-ERP_i)*Q256*Ramure*Pc/MaxiM</f>
        <v>5.6531271284563698E-6</v>
      </c>
      <c r="Q256" s="304">
        <f t="shared" si="80"/>
        <v>0.6</v>
      </c>
      <c r="R256" s="177">
        <f t="shared" si="81"/>
        <v>0.98194916603577487</v>
      </c>
      <c r="S256" s="799">
        <f t="shared" si="82"/>
        <v>1</v>
      </c>
      <c r="T256" s="176">
        <f t="shared" si="83"/>
        <v>7</v>
      </c>
      <c r="U256" s="250">
        <f t="shared" si="84"/>
        <v>1.9819491660357749</v>
      </c>
      <c r="V256" s="382">
        <f t="shared" si="85"/>
        <v>50.809815865017605</v>
      </c>
      <c r="W256" s="400">
        <f t="shared" si="86"/>
        <v>48.753510521630247</v>
      </c>
      <c r="X256" s="157">
        <f t="shared" si="87"/>
        <v>45899</v>
      </c>
      <c r="Y256" s="383">
        <f t="shared" si="88"/>
        <v>47.081690344144931</v>
      </c>
      <c r="Z256" s="383">
        <f t="shared" si="89"/>
        <v>49.300665182060179</v>
      </c>
      <c r="AA256" s="384">
        <f t="shared" si="90"/>
        <v>52.312592222565989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5.7575564745318775E-2</v>
      </c>
      <c r="AD256" s="230">
        <f>(INDEX(Models!$BJ256:$BT256,,AH256)*(1-AF256)+INDEX(Models!$BJ256:$BT256,,AH256+1)*AF256-ERP_i)*AE256*Ramure*Pc/MaxiM</f>
        <v>5.6531271284563698E-6</v>
      </c>
      <c r="AE256" s="304">
        <f t="shared" si="92"/>
        <v>0.6</v>
      </c>
      <c r="AF256" s="177">
        <f t="shared" si="93"/>
        <v>0.98194916603577487</v>
      </c>
      <c r="AG256" s="799">
        <f t="shared" si="99"/>
        <v>1</v>
      </c>
      <c r="AH256" s="176">
        <f t="shared" si="94"/>
        <v>7</v>
      </c>
      <c r="AI256" s="224">
        <f t="shared" si="95"/>
        <v>1.9819491660357749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45900</v>
      </c>
      <c r="B257" s="409">
        <f>IF(t&gt;Tmaj,'2024'!Wh/'2024'!Env_an*'2025'!Env_an,0.001*'[10]mon-tableau (1)'!$B$272)</f>
        <v>25.262613425078015</v>
      </c>
      <c r="C257" s="829"/>
      <c r="D257" s="391">
        <f t="shared" si="77"/>
        <v>26.453755302194093</v>
      </c>
      <c r="E257" s="383">
        <f t="shared" si="100"/>
        <v>27.110388277913053</v>
      </c>
      <c r="F257" s="383">
        <f t="shared" si="78"/>
        <v>27.110438953697269</v>
      </c>
      <c r="G257" s="110">
        <f t="shared" si="101"/>
        <v>0.49867087201236288</v>
      </c>
      <c r="H257" s="412" t="b">
        <f>Wh_hp&gt;='2024'!Maxi_hp</f>
        <v>0</v>
      </c>
      <c r="I257" s="388">
        <f>IF(H257,Wh_hp,'2024'!Maxi_hp)</f>
        <v>53.216072891494655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4.5027326498982334E-2</v>
      </c>
      <c r="M257" s="832"/>
      <c r="N257" s="832"/>
      <c r="O257" s="48">
        <f>IF(t&lt;Tnet,'2024'!Resal+('2024'!Salim-'2024'!Resal)*(1-EXP(('2024'!Tnet-t)/('2024'!Tau_j))),Resal+(Salim-Resal)*(1-EXP((Tnet-t)/(Tau_j))))*Salcycl</f>
        <v>2.4220714546309936E-2</v>
      </c>
      <c r="P257" s="169">
        <f>(INDEX(Models!$BJ257:$BT257,,T257)*(1-R257)+INDEX(Models!$BJ257:$BT257,,T257+1)*R257-ERP_i)*Q257*Ramure*Pc/MaxiM</f>
        <v>6.5860136888235234E-6</v>
      </c>
      <c r="Q257" s="304">
        <f t="shared" si="80"/>
        <v>0.6</v>
      </c>
      <c r="R257" s="177">
        <f t="shared" si="81"/>
        <v>0.98262366322547501</v>
      </c>
      <c r="S257" s="799">
        <f t="shared" si="82"/>
        <v>1</v>
      </c>
      <c r="T257" s="176">
        <f t="shared" si="83"/>
        <v>7</v>
      </c>
      <c r="U257" s="250">
        <f t="shared" si="84"/>
        <v>1.982623663225475</v>
      </c>
      <c r="V257" s="382">
        <f t="shared" si="85"/>
        <v>50.659654863649259</v>
      </c>
      <c r="W257" s="400">
        <f t="shared" si="86"/>
        <v>25.262613425078015</v>
      </c>
      <c r="X257" s="157">
        <f t="shared" si="87"/>
        <v>45900</v>
      </c>
      <c r="Y257" s="383">
        <f t="shared" si="88"/>
        <v>24.397303545132797</v>
      </c>
      <c r="Z257" s="383">
        <f t="shared" si="89"/>
        <v>25.547645730730743</v>
      </c>
      <c r="AA257" s="384">
        <f t="shared" si="90"/>
        <v>27.110388277913053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5.7643680022668072E-2</v>
      </c>
      <c r="AD257" s="230">
        <f>(INDEX(Models!$BJ257:$BT257,,AH257)*(1-AF257)+INDEX(Models!$BJ257:$BT257,,AH257+1)*AF257-ERP_i)*AE257*Ramure*Pc/MaxiM</f>
        <v>6.5860136888235234E-6</v>
      </c>
      <c r="AE257" s="304">
        <f t="shared" si="92"/>
        <v>0.6</v>
      </c>
      <c r="AF257" s="177">
        <f t="shared" si="93"/>
        <v>0.98262366322547501</v>
      </c>
      <c r="AG257" s="799">
        <f t="shared" si="99"/>
        <v>1</v>
      </c>
      <c r="AH257" s="176">
        <f t="shared" si="94"/>
        <v>7</v>
      </c>
      <c r="AI257" s="224">
        <f t="shared" si="95"/>
        <v>1.982623663225475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45901</v>
      </c>
      <c r="B258" s="409">
        <f>IF(t&gt;Tmaj,'2024'!Wh/'2024'!Env_an*'2025'!Env_an,0.001*'[11]mon-tableau (3)'!$B$235)</f>
        <v>39.624059442874177</v>
      </c>
      <c r="C258" s="829"/>
      <c r="D258" s="391">
        <f t="shared" si="77"/>
        <v>41.493144194607375</v>
      </c>
      <c r="E258" s="383">
        <f t="shared" si="100"/>
        <v>42.527850125897828</v>
      </c>
      <c r="F258" s="383">
        <f t="shared" si="78"/>
        <v>42.52807379205133</v>
      </c>
      <c r="G258" s="110">
        <f t="shared" si="101"/>
        <v>0.78453880695527278</v>
      </c>
      <c r="H258" s="412" t="b">
        <f>Wh_hp&gt;='2024'!Maxi_hp</f>
        <v>0</v>
      </c>
      <c r="I258" s="388">
        <f>IF(H258,Wh_hp,'2024'!Maxi_hp)</f>
        <v>44.616826041056136</v>
      </c>
      <c r="J258" s="85">
        <f>IF(H258,An,'2024'!An_max)</f>
        <v>2020</v>
      </c>
      <c r="K258" s="197">
        <f t="shared" si="79"/>
        <v>45901</v>
      </c>
      <c r="L258" s="147">
        <f>IF(t&lt;Tvie,1-EXP((T0-t)*PertePVj)+'2024'!Pspv,1-EXP((T0-t)*PertePVj)+Pspv)</f>
        <v>4.5045628332405663E-2</v>
      </c>
      <c r="M258" s="832"/>
      <c r="N258" s="832"/>
      <c r="O258" s="48">
        <f>IF(t&lt;Tnet,'2024'!Resal+('2024'!Salim-'2024'!Resal)*(1-EXP(('2024'!Tnet-t)/('2024'!Tau_j))),Resal+(Salim-Resal)*(1-EXP((Tnet-t)/(Tau_j))))*Salcycl</f>
        <v>2.4330078483331592E-2</v>
      </c>
      <c r="P258" s="169">
        <f>(INDEX(Models!$BJ258:$BT258,,T258)*(1-R258)+INDEX(Models!$BJ258:$BT258,,T258+1)*R258-ERP_i)*Q258*Ramure*Pc/MaxiM</f>
        <v>7.5978792303981021E-6</v>
      </c>
      <c r="Q258" s="304">
        <f t="shared" si="80"/>
        <v>0.6</v>
      </c>
      <c r="R258" s="177">
        <f t="shared" si="81"/>
        <v>0.98327277520809653</v>
      </c>
      <c r="S258" s="799">
        <f t="shared" si="82"/>
        <v>1</v>
      </c>
      <c r="T258" s="176">
        <f t="shared" si="83"/>
        <v>7</v>
      </c>
      <c r="U258" s="250">
        <f t="shared" si="84"/>
        <v>1.9832727752080965</v>
      </c>
      <c r="V258" s="382">
        <f t="shared" si="85"/>
        <v>50.50606346744749</v>
      </c>
      <c r="W258" s="400">
        <f t="shared" si="86"/>
        <v>39.624059442874177</v>
      </c>
      <c r="X258" s="157">
        <f t="shared" si="87"/>
        <v>45901</v>
      </c>
      <c r="Y258" s="383">
        <f t="shared" si="88"/>
        <v>38.268370904959696</v>
      </c>
      <c r="Z258" s="383">
        <f t="shared" si="89"/>
        <v>40.073507217034191</v>
      </c>
      <c r="AA258" s="384">
        <f t="shared" si="90"/>
        <v>42.527850125897828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5.7711426784986627E-2</v>
      </c>
      <c r="AD258" s="230">
        <f>(INDEX(Models!$BJ258:$BT258,,AH258)*(1-AF258)+INDEX(Models!$BJ258:$BT258,,AH258+1)*AF258-ERP_i)*AE258*Ramure*Pc/MaxiM</f>
        <v>7.5978792303981021E-6</v>
      </c>
      <c r="AE258" s="304">
        <f t="shared" si="92"/>
        <v>0.6</v>
      </c>
      <c r="AF258" s="177">
        <f t="shared" si="93"/>
        <v>0.98327277520809653</v>
      </c>
      <c r="AG258" s="799">
        <f t="shared" si="99"/>
        <v>1</v>
      </c>
      <c r="AH258" s="176">
        <f t="shared" si="94"/>
        <v>7</v>
      </c>
      <c r="AI258" s="224">
        <f t="shared" si="95"/>
        <v>1.9832727752080965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45902</v>
      </c>
      <c r="B259" s="409">
        <f>IF(t&gt;Tmaj,'2024'!Wh/'2024'!Env_an*'2025'!Env_an,0.001*'[11]mon-tableau (3)'!$B$236)</f>
        <v>37.748032249152899</v>
      </c>
      <c r="C259" s="829"/>
      <c r="D259" s="391">
        <f t="shared" si="77"/>
        <v>39.529381523773701</v>
      </c>
      <c r="E259" s="383">
        <f t="shared" si="100"/>
        <v>40.519648210277708</v>
      </c>
      <c r="F259" s="383">
        <f t="shared" si="78"/>
        <v>40.519874420383033</v>
      </c>
      <c r="G259" s="110">
        <f t="shared" si="101"/>
        <v>0.74973054920593074</v>
      </c>
      <c r="H259" s="412" t="b">
        <f>Wh_hp&gt;='2024'!Maxi_hp</f>
        <v>0</v>
      </c>
      <c r="I259" s="388">
        <f>IF(H259,Wh_hp,'2024'!Maxi_hp)</f>
        <v>52.82794412076764</v>
      </c>
      <c r="J259" s="85">
        <f>IF(H259,An,'2024'!An_max)</f>
        <v>2018</v>
      </c>
      <c r="K259" s="197">
        <f t="shared" si="79"/>
        <v>45902</v>
      </c>
      <c r="L259" s="147">
        <f>IF(t&lt;Tvie,1-EXP((T0-t)*PertePVj)+'2024'!Pspv,1-EXP((T0-t)*PertePVj)+Pspv)</f>
        <v>4.5063929815078563E-2</v>
      </c>
      <c r="M259" s="832"/>
      <c r="N259" s="832"/>
      <c r="O259" s="48">
        <f>IF(t&lt;Tnet,'2024'!Resal+('2024'!Salim-'2024'!Resal)*(1-EXP(('2024'!Tnet-t)/('2024'!Tau_j))),Resal+(Salim-Resal)*(1-EXP((Tnet-t)/(Tau_j))))*Salcycl</f>
        <v>2.4439172851772932E-2</v>
      </c>
      <c r="P259" s="169">
        <f>(INDEX(Models!$BJ259:$BT259,,T259)*(1-R259)+INDEX(Models!$BJ259:$BT259,,T259+1)*R259-ERP_i)*Q259*Ramure*Pc/MaxiM</f>
        <v>8.6893504438859627E-6</v>
      </c>
      <c r="Q259" s="304">
        <f t="shared" si="80"/>
        <v>0.6</v>
      </c>
      <c r="R259" s="177">
        <f t="shared" si="81"/>
        <v>0.98389739082230321</v>
      </c>
      <c r="S259" s="799">
        <f t="shared" si="82"/>
        <v>1</v>
      </c>
      <c r="T259" s="176">
        <f t="shared" si="83"/>
        <v>7</v>
      </c>
      <c r="U259" s="250">
        <f t="shared" si="84"/>
        <v>1.9838973908223032</v>
      </c>
      <c r="V259" s="382">
        <f t="shared" si="85"/>
        <v>50.348641946567732</v>
      </c>
      <c r="W259" s="400">
        <f t="shared" si="86"/>
        <v>37.748032249152899</v>
      </c>
      <c r="X259" s="157">
        <f t="shared" si="87"/>
        <v>45902</v>
      </c>
      <c r="Y259" s="383">
        <f t="shared" si="88"/>
        <v>36.457999841384023</v>
      </c>
      <c r="Z259" s="383">
        <f t="shared" si="89"/>
        <v>38.178471815735271</v>
      </c>
      <c r="AA259" s="384">
        <f t="shared" si="90"/>
        <v>40.519648210277708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5.7778793695168459E-2</v>
      </c>
      <c r="AD259" s="230">
        <f>(INDEX(Models!$BJ259:$BT259,,AH259)*(1-AF259)+INDEX(Models!$BJ259:$BT259,,AH259+1)*AF259-ERP_i)*AE259*Ramure*Pc/MaxiM</f>
        <v>8.6893504438859627E-6</v>
      </c>
      <c r="AE259" s="304">
        <f t="shared" si="92"/>
        <v>0.6</v>
      </c>
      <c r="AF259" s="177">
        <f t="shared" si="93"/>
        <v>0.98389739082230321</v>
      </c>
      <c r="AG259" s="799">
        <f t="shared" si="99"/>
        <v>1</v>
      </c>
      <c r="AH259" s="176">
        <f t="shared" si="94"/>
        <v>7</v>
      </c>
      <c r="AI259" s="224">
        <f t="shared" si="95"/>
        <v>1.9838973908223032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45903</v>
      </c>
      <c r="B260" s="409">
        <f>IF(t&gt;Tmaj,'2024'!Wh/'2024'!Env_an*'2025'!Env_an,0.001*'[11]mon-tableau (3)'!$B$237)</f>
        <v>39.265659310268845</v>
      </c>
      <c r="C260" s="829"/>
      <c r="D260" s="391">
        <f t="shared" si="77"/>
        <v>41.119414239415875</v>
      </c>
      <c r="E260" s="383">
        <f t="shared" si="100"/>
        <v>42.154215569536646</v>
      </c>
      <c r="F260" s="383">
        <f t="shared" si="78"/>
        <v>42.15450203159844</v>
      </c>
      <c r="G260" s="110">
        <f t="shared" si="101"/>
        <v>0.78238480370395191</v>
      </c>
      <c r="H260" s="412" t="b">
        <f>Wh_hp&gt;='2024'!Maxi_hp</f>
        <v>0</v>
      </c>
      <c r="I260" s="388">
        <f>IF(H260,Wh_hp,'2024'!Maxi_hp)</f>
        <v>55.63834028982383</v>
      </c>
      <c r="J260" s="85">
        <f>IF(H260,An,'2024'!An_max)</f>
        <v>2020</v>
      </c>
      <c r="K260" s="197">
        <f t="shared" si="79"/>
        <v>45903</v>
      </c>
      <c r="L260" s="147">
        <f>IF(t&lt;Tvie,1-EXP((T0-t)*PertePVj)+'2024'!Pspv,1-EXP((T0-t)*PertePVj)+Pspv)</f>
        <v>4.5082230947007806E-2</v>
      </c>
      <c r="M260" s="832"/>
      <c r="N260" s="832"/>
      <c r="O260" s="48">
        <f>IF(t&lt;Tnet,'2024'!Resal+('2024'!Salim-'2024'!Resal)*(1-EXP(('2024'!Tnet-t)/('2024'!Tau_j))),Resal+(Salim-Resal)*(1-EXP((Tnet-t)/(Tau_j))))*Salcycl</f>
        <v>2.4547991609849409E-2</v>
      </c>
      <c r="P260" s="169">
        <f>(INDEX(Models!$BJ260:$BT260,,T260)*(1-R260)+INDEX(Models!$BJ260:$BT260,,T260+1)*R260-ERP_i)*Q260*Ramure*Pc/MaxiM</f>
        <v>9.8611011289181983E-6</v>
      </c>
      <c r="Q260" s="304">
        <f t="shared" si="80"/>
        <v>0.6</v>
      </c>
      <c r="R260" s="177">
        <f t="shared" si="81"/>
        <v>0.98449837290092868</v>
      </c>
      <c r="S260" s="799">
        <f t="shared" si="82"/>
        <v>1</v>
      </c>
      <c r="T260" s="176">
        <f t="shared" si="83"/>
        <v>7</v>
      </c>
      <c r="U260" s="250">
        <f t="shared" si="84"/>
        <v>1.9844983729009287</v>
      </c>
      <c r="V260" s="382">
        <f t="shared" si="85"/>
        <v>50.186990789923371</v>
      </c>
      <c r="W260" s="400">
        <f t="shared" si="86"/>
        <v>39.265659310268845</v>
      </c>
      <c r="X260" s="157">
        <f t="shared" si="87"/>
        <v>45903</v>
      </c>
      <c r="Y260" s="383">
        <f t="shared" si="88"/>
        <v>37.92529692451302</v>
      </c>
      <c r="Z260" s="383">
        <f t="shared" si="89"/>
        <v>39.715772555079973</v>
      </c>
      <c r="AA260" s="384">
        <f t="shared" si="90"/>
        <v>42.154215569536646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5.7845768958368349E-2</v>
      </c>
      <c r="AD260" s="230">
        <f>(INDEX(Models!$BJ260:$BT260,,AH260)*(1-AF260)+INDEX(Models!$BJ260:$BT260,,AH260+1)*AF260-ERP_i)*AE260*Ramure*Pc/MaxiM</f>
        <v>9.8611011289181983E-6</v>
      </c>
      <c r="AE260" s="304">
        <f t="shared" si="92"/>
        <v>0.6</v>
      </c>
      <c r="AF260" s="177">
        <f t="shared" si="93"/>
        <v>0.98449837290092868</v>
      </c>
      <c r="AG260" s="799">
        <f t="shared" si="99"/>
        <v>1</v>
      </c>
      <c r="AH260" s="176">
        <f t="shared" si="94"/>
        <v>7</v>
      </c>
      <c r="AI260" s="224">
        <f t="shared" si="95"/>
        <v>1.9844983729009287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45904</v>
      </c>
      <c r="B261" s="409">
        <f>IF(t&gt;Tmaj,'2024'!Wh/'2024'!Env_an*'2025'!Env_an,0.001*'[11]mon-tableau (3)'!$B$238)</f>
        <v>48.824853875968692</v>
      </c>
      <c r="C261" s="829"/>
      <c r="D261" s="391">
        <f t="shared" si="77"/>
        <v>51.130883928894718</v>
      </c>
      <c r="E261" s="383">
        <f t="shared" si="100"/>
        <v>52.423464574657196</v>
      </c>
      <c r="F261" s="383">
        <f t="shared" si="78"/>
        <v>52.424027263581699</v>
      </c>
      <c r="G261" s="110">
        <f t="shared" si="101"/>
        <v>0.97606010300316892</v>
      </c>
      <c r="H261" s="412" t="b">
        <f>Wh_hp&gt;='2024'!Maxi_hp</f>
        <v>0</v>
      </c>
      <c r="I261" s="388">
        <f>IF(H261,Wh_hp,'2024'!Maxi_hp)</f>
        <v>54.520522140500951</v>
      </c>
      <c r="J261" s="85">
        <f>IF(H261,An,'2024'!An_max)</f>
        <v>2018</v>
      </c>
      <c r="K261" s="197">
        <f t="shared" si="79"/>
        <v>45904</v>
      </c>
      <c r="L261" s="147">
        <f>IF(t&lt;Tvie,1-EXP((T0-t)*PertePVj)+'2024'!Pspv,1-EXP((T0-t)*PertePVj)+Pspv)</f>
        <v>4.5100531728199944E-2</v>
      </c>
      <c r="M261" s="832"/>
      <c r="N261" s="832"/>
      <c r="O261" s="48">
        <f>IF(t&lt;Tnet,'2024'!Resal+('2024'!Salim-'2024'!Resal)*(1-EXP(('2024'!Tnet-t)/('2024'!Tau_j))),Resal+(Salim-Resal)*(1-EXP((Tnet-t)/(Tau_j))))*Salcycl</f>
        <v>2.4656528450569891E-2</v>
      </c>
      <c r="P261" s="169">
        <f>(INDEX(Models!$BJ261:$BT261,,T261)*(1-R261)+INDEX(Models!$BJ261:$BT261,,T261+1)*R261-ERP_i)*Q261*Ramure*Pc/MaxiM</f>
        <v>1.1113490448814326E-5</v>
      </c>
      <c r="Q261" s="304">
        <f t="shared" si="80"/>
        <v>0.6</v>
      </c>
      <c r="R261" s="177">
        <f t="shared" si="81"/>
        <v>0.98507655862669274</v>
      </c>
      <c r="S261" s="799">
        <f t="shared" si="82"/>
        <v>1</v>
      </c>
      <c r="T261" s="176">
        <f t="shared" si="83"/>
        <v>7</v>
      </c>
      <c r="U261" s="250">
        <f t="shared" si="84"/>
        <v>1.9850765586266927</v>
      </c>
      <c r="V261" s="382">
        <f t="shared" si="85"/>
        <v>50.022365598689881</v>
      </c>
      <c r="W261" s="400">
        <f t="shared" si="86"/>
        <v>48.824853875968692</v>
      </c>
      <c r="X261" s="157">
        <f t="shared" si="87"/>
        <v>45904</v>
      </c>
      <c r="Y261" s="383">
        <f t="shared" si="88"/>
        <v>47.160096586809843</v>
      </c>
      <c r="Z261" s="383">
        <f t="shared" si="89"/>
        <v>49.387499054912361</v>
      </c>
      <c r="AA261" s="384">
        <f t="shared" si="90"/>
        <v>52.423464574657196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5.791234029222276E-2</v>
      </c>
      <c r="AD261" s="230">
        <f>(INDEX(Models!$BJ261:$BT261,,AH261)*(1-AF261)+INDEX(Models!$BJ261:$BT261,,AH261+1)*AF261-ERP_i)*AE261*Ramure*Pc/MaxiM</f>
        <v>1.1113490448814326E-5</v>
      </c>
      <c r="AE261" s="304">
        <f t="shared" si="92"/>
        <v>0.6</v>
      </c>
      <c r="AF261" s="177">
        <f t="shared" si="93"/>
        <v>0.98507655862669274</v>
      </c>
      <c r="AG261" s="799">
        <f t="shared" si="99"/>
        <v>1</v>
      </c>
      <c r="AH261" s="176">
        <f t="shared" si="94"/>
        <v>7</v>
      </c>
      <c r="AI261" s="224">
        <f t="shared" si="95"/>
        <v>1.9850765586266927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45905</v>
      </c>
      <c r="B262" s="409">
        <f>IF(t&gt;Tmaj,'2024'!Wh/'2024'!Env_an*'2025'!Env_an,0.001*'[11]mon-tableau (3)'!$B$239)</f>
        <v>43.13650041727719</v>
      </c>
      <c r="C262" s="829"/>
      <c r="D262" s="391">
        <f t="shared" si="77"/>
        <v>45.174731547794742</v>
      </c>
      <c r="E262" s="383">
        <f t="shared" si="100"/>
        <v>46.321882631478758</v>
      </c>
      <c r="F262" s="383">
        <f t="shared" si="78"/>
        <v>46.322347352329444</v>
      </c>
      <c r="G262" s="110">
        <f t="shared" si="101"/>
        <v>0.86521822781539881</v>
      </c>
      <c r="H262" s="412" t="b">
        <f>Wh_hp&gt;='2024'!Maxi_hp</f>
        <v>0</v>
      </c>
      <c r="I262" s="388">
        <f>IF(H262,Wh_hp,'2024'!Maxi_hp)</f>
        <v>54.53002186266891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4.5118832158661748E-2</v>
      </c>
      <c r="M262" s="832"/>
      <c r="N262" s="832"/>
      <c r="O262" s="48">
        <f>IF(t&lt;Tnet,'2024'!Resal+('2024'!Salim-'2024'!Resal)*(1-EXP(('2024'!Tnet-t)/('2024'!Tau_j))),Resal+(Salim-Resal)*(1-EXP((Tnet-t)/(Tau_j))))*Salcycl</f>
        <v>2.4764776786175946E-2</v>
      </c>
      <c r="P262" s="169">
        <f>(INDEX(Models!$BJ262:$BT262,,T262)*(1-R262)+INDEX(Models!$BJ262:$BT262,,T262+1)*R262-ERP_i)*Q262*Ramure*Pc/MaxiM</f>
        <v>1.2424584961044614E-5</v>
      </c>
      <c r="Q262" s="304">
        <f t="shared" si="80"/>
        <v>0.6</v>
      </c>
      <c r="R262" s="177">
        <f t="shared" si="81"/>
        <v>0.98563275991946475</v>
      </c>
      <c r="S262" s="799">
        <f t="shared" si="82"/>
        <v>1</v>
      </c>
      <c r="T262" s="176">
        <f t="shared" si="83"/>
        <v>7</v>
      </c>
      <c r="U262" s="250">
        <f t="shared" si="84"/>
        <v>1.9856327599194648</v>
      </c>
      <c r="V262" s="382">
        <f t="shared" si="85"/>
        <v>49.856089291416751</v>
      </c>
      <c r="W262" s="400">
        <f t="shared" si="86"/>
        <v>43.13650041727719</v>
      </c>
      <c r="X262" s="157">
        <f t="shared" si="87"/>
        <v>45905</v>
      </c>
      <c r="Y262" s="383">
        <f t="shared" si="88"/>
        <v>41.667394778918528</v>
      </c>
      <c r="Z262" s="383">
        <f t="shared" si="89"/>
        <v>43.636209595707435</v>
      </c>
      <c r="AA262" s="384">
        <f t="shared" si="90"/>
        <v>46.321882631478758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5.7978494897058148E-2</v>
      </c>
      <c r="AD262" s="230">
        <f>(INDEX(Models!$BJ262:$BT262,,AH262)*(1-AF262)+INDEX(Models!$BJ262:$BT262,,AH262+1)*AF262-ERP_i)*AE262*Ramure*Pc/MaxiM</f>
        <v>1.2424584961044614E-5</v>
      </c>
      <c r="AE262" s="304">
        <f t="shared" si="92"/>
        <v>0.6</v>
      </c>
      <c r="AF262" s="177">
        <f t="shared" si="93"/>
        <v>0.98563275991946475</v>
      </c>
      <c r="AG262" s="799">
        <f t="shared" si="99"/>
        <v>1</v>
      </c>
      <c r="AH262" s="176">
        <f t="shared" si="94"/>
        <v>7</v>
      </c>
      <c r="AI262" s="224">
        <f t="shared" si="95"/>
        <v>1.9856327599194648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45906</v>
      </c>
      <c r="B263" s="409">
        <f>IF(t&gt;Tmaj,'2024'!Wh/'2024'!Env_an*'2025'!Env_an,0.001*'[11]mon-tableau (3)'!$B$240)</f>
        <v>44.387829234629628</v>
      </c>
      <c r="C263" s="829"/>
      <c r="D263" s="391">
        <f t="shared" si="77"/>
        <v>46.486077460194956</v>
      </c>
      <c r="E263" s="383">
        <f t="shared" si="100"/>
        <v>47.671805391572079</v>
      </c>
      <c r="F263" s="383">
        <f t="shared" si="78"/>
        <v>47.672360852460173</v>
      </c>
      <c r="G263" s="110">
        <f t="shared" si="101"/>
        <v>0.89333153744274263</v>
      </c>
      <c r="H263" s="412" t="b">
        <f>Wh_hp&gt;='2024'!Maxi_hp</f>
        <v>0</v>
      </c>
      <c r="I263" s="388">
        <f>IF(H263,Wh_hp,'2024'!Maxi_hp)</f>
        <v>55.510997901314788</v>
      </c>
      <c r="J263" s="85">
        <f>IF(H263,An,'2024'!An_max)</f>
        <v>2018</v>
      </c>
      <c r="K263" s="197">
        <f t="shared" si="79"/>
        <v>45906</v>
      </c>
      <c r="L263" s="147">
        <f>IF(t&lt;Tvie,1-EXP((T0-t)*PertePVj)+'2024'!Pspv,1-EXP((T0-t)*PertePVj)+Pspv)</f>
        <v>4.5137132238399991E-2</v>
      </c>
      <c r="M263" s="832"/>
      <c r="N263" s="832"/>
      <c r="O263" s="48">
        <f>IF(t&lt;Tnet,'2024'!Resal+('2024'!Salim-'2024'!Resal)*(1-EXP(('2024'!Tnet-t)/('2024'!Tau_j))),Resal+(Salim-Resal)*(1-EXP((Tnet-t)/(Tau_j))))*Salcycl</f>
        <v>2.4872729732756206E-2</v>
      </c>
      <c r="P263" s="169">
        <f>(INDEX(Models!$BJ263:$BT263,,T263)*(1-R263)+INDEX(Models!$BJ263:$BT263,,T263+1)*R263-ERP_i)*Q263*Ramure*Pc/MaxiM</f>
        <v>1.3746307720306412E-5</v>
      </c>
      <c r="Q263" s="304">
        <f t="shared" si="80"/>
        <v>0.6</v>
      </c>
      <c r="R263" s="177">
        <f t="shared" si="81"/>
        <v>0.98616776385109639</v>
      </c>
      <c r="S263" s="799">
        <f t="shared" si="82"/>
        <v>1</v>
      </c>
      <c r="T263" s="176">
        <f t="shared" si="83"/>
        <v>7</v>
      </c>
      <c r="U263" s="250">
        <f t="shared" si="84"/>
        <v>1.9861677638510964</v>
      </c>
      <c r="V263" s="382">
        <f t="shared" si="85"/>
        <v>49.687864353899243</v>
      </c>
      <c r="W263" s="400">
        <f t="shared" si="86"/>
        <v>44.387829234629628</v>
      </c>
      <c r="X263" s="157">
        <f t="shared" si="87"/>
        <v>45906</v>
      </c>
      <c r="Y263" s="383">
        <f t="shared" si="88"/>
        <v>42.87786180278534</v>
      </c>
      <c r="Z263" s="383">
        <f t="shared" si="89"/>
        <v>44.904732658942002</v>
      </c>
      <c r="AA263" s="384">
        <f t="shared" si="90"/>
        <v>47.671805391572079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5.8044219427008922E-2</v>
      </c>
      <c r="AD263" s="230">
        <f>(INDEX(Models!$BJ263:$BT263,,AH263)*(1-AF263)+INDEX(Models!$BJ263:$BT263,,AH263+1)*AF263-ERP_i)*AE263*Ramure*Pc/MaxiM</f>
        <v>1.3746307720306412E-5</v>
      </c>
      <c r="AE263" s="304">
        <f t="shared" si="92"/>
        <v>0.6</v>
      </c>
      <c r="AF263" s="177">
        <f t="shared" si="93"/>
        <v>0.98616776385109639</v>
      </c>
      <c r="AG263" s="799">
        <f t="shared" si="99"/>
        <v>1</v>
      </c>
      <c r="AH263" s="176">
        <f t="shared" si="94"/>
        <v>7</v>
      </c>
      <c r="AI263" s="224">
        <f t="shared" si="95"/>
        <v>1.9861677638510964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45907</v>
      </c>
      <c r="B264" s="409">
        <f>IF(t&gt;Tmaj,'2024'!Wh/'2024'!Env_an*'2025'!Env_an,0.001*'[11]mon-tableau (3)'!$B$241)</f>
        <v>37.133562072260666</v>
      </c>
      <c r="C264" s="829"/>
      <c r="D264" s="391">
        <f t="shared" si="77"/>
        <v>38.889640592262026</v>
      </c>
      <c r="E264" s="383">
        <f t="shared" si="100"/>
        <v>39.886008238551426</v>
      </c>
      <c r="F264" s="383">
        <f t="shared" si="78"/>
        <v>39.886394798567117</v>
      </c>
      <c r="G264" s="110">
        <f t="shared" si="101"/>
        <v>0.74990546264263236</v>
      </c>
      <c r="H264" s="412" t="b">
        <f>Wh_hp&gt;='2024'!Maxi_hp</f>
        <v>0</v>
      </c>
      <c r="I264" s="388">
        <f>IF(H264,Wh_hp,'2024'!Maxi_hp)</f>
        <v>52.173352901498127</v>
      </c>
      <c r="J264" s="85">
        <f>IF(H264,An,'2024'!An_max)</f>
        <v>2018</v>
      </c>
      <c r="K264" s="197">
        <f t="shared" si="79"/>
        <v>45907</v>
      </c>
      <c r="L264" s="147">
        <f>IF(t&lt;Tvie,1-EXP((T0-t)*PertePVj)+'2024'!Pspv,1-EXP((T0-t)*PertePVj)+Pspv)</f>
        <v>4.5155431967421444E-2</v>
      </c>
      <c r="M264" s="832"/>
      <c r="N264" s="832"/>
      <c r="O264" s="48">
        <f>IF(t&lt;Tnet,'2024'!Resal+('2024'!Salim-'2024'!Resal)*(1-EXP(('2024'!Tnet-t)/('2024'!Tau_j))),Resal+(Salim-Resal)*(1-EXP((Tnet-t)/(Tau_j))))*Salcycl</f>
        <v>2.4980380095453454E-2</v>
      </c>
      <c r="P264" s="169">
        <f>(INDEX(Models!$BJ264:$BT264,,T264)*(1-R264)+INDEX(Models!$BJ264:$BT264,,T264+1)*R264-ERP_i)*Q264*Ramure*Pc/MaxiM</f>
        <v>1.5078738880644064E-5</v>
      </c>
      <c r="Q264" s="304">
        <f t="shared" si="80"/>
        <v>0.6</v>
      </c>
      <c r="R264" s="177">
        <f t="shared" si="81"/>
        <v>0.98668233308413389</v>
      </c>
      <c r="S264" s="799">
        <f t="shared" si="82"/>
        <v>1</v>
      </c>
      <c r="T264" s="176">
        <f t="shared" si="83"/>
        <v>7</v>
      </c>
      <c r="U264" s="250">
        <f t="shared" si="84"/>
        <v>1.9866823330841339</v>
      </c>
      <c r="V264" s="382">
        <f t="shared" si="85"/>
        <v>49.517391022924855</v>
      </c>
      <c r="W264" s="400">
        <f t="shared" si="86"/>
        <v>37.133562072260666</v>
      </c>
      <c r="X264" s="157">
        <f t="shared" si="87"/>
        <v>45907</v>
      </c>
      <c r="Y264" s="383">
        <f t="shared" si="88"/>
        <v>35.871841585937588</v>
      </c>
      <c r="Z264" s="383">
        <f t="shared" si="89"/>
        <v>37.568252244289532</v>
      </c>
      <c r="AA264" s="384">
        <f t="shared" si="90"/>
        <v>39.886008238551426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5.8109499962989329E-2</v>
      </c>
      <c r="AD264" s="230">
        <f>(INDEX(Models!$BJ264:$BT264,,AH264)*(1-AF264)+INDEX(Models!$BJ264:$BT264,,AH264+1)*AF264-ERP_i)*AE264*Ramure*Pc/MaxiM</f>
        <v>1.5078738880644064E-5</v>
      </c>
      <c r="AE264" s="304">
        <f t="shared" si="92"/>
        <v>0.6</v>
      </c>
      <c r="AF264" s="177">
        <f t="shared" si="93"/>
        <v>0.98668233308413389</v>
      </c>
      <c r="AG264" s="799">
        <f t="shared" si="99"/>
        <v>1</v>
      </c>
      <c r="AH264" s="176">
        <f t="shared" si="94"/>
        <v>7</v>
      </c>
      <c r="AI264" s="224">
        <f t="shared" si="95"/>
        <v>1.9866823330841339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45908</v>
      </c>
      <c r="B265" s="409">
        <f>IF(t&gt;Tmaj,'2024'!Wh/'2024'!Env_an*'2025'!Env_an,0.001*'[11]mon-tableau (3)'!$B$242)</f>
        <v>36.934524657316778</v>
      </c>
      <c r="C265" s="829"/>
      <c r="D265" s="391">
        <f t="shared" si="77"/>
        <v>38.68193185486227</v>
      </c>
      <c r="E265" s="383">
        <f t="shared" si="100"/>
        <v>39.67734601613148</v>
      </c>
      <c r="F265" s="383">
        <f t="shared" si="78"/>
        <v>39.677763502503922</v>
      </c>
      <c r="G265" s="110">
        <f t="shared" si="101"/>
        <v>0.74850093263156003</v>
      </c>
      <c r="H265" s="412" t="b">
        <f>Wh_hp&gt;='2024'!Maxi_hp</f>
        <v>0</v>
      </c>
      <c r="I265" s="388">
        <f>IF(H265,Wh_hp,'2024'!Maxi_hp)</f>
        <v>51.203240442877672</v>
      </c>
      <c r="J265" s="85">
        <f>IF(H265,An,'2024'!An_max)</f>
        <v>2020</v>
      </c>
      <c r="K265" s="197">
        <f t="shared" si="79"/>
        <v>45908</v>
      </c>
      <c r="L265" s="147">
        <f>IF(t&lt;Tvie,1-EXP((T0-t)*PertePVj)+'2024'!Pspv,1-EXP((T0-t)*PertePVj)+Pspv)</f>
        <v>4.517373134573277E-2</v>
      </c>
      <c r="M265" s="832"/>
      <c r="N265" s="832"/>
      <c r="O265" s="48">
        <f>IF(t&lt;Tnet,'2024'!Resal+('2024'!Salim-'2024'!Resal)*(1-EXP(('2024'!Tnet-t)/('2024'!Tau_j))),Resal+(Salim-Resal)*(1-EXP((Tnet-t)/(Tau_j))))*Salcycl</f>
        <v>2.5087720354695777E-2</v>
      </c>
      <c r="P265" s="169">
        <f>(INDEX(Models!$BJ265:$BT265,,T265)*(1-R265)+INDEX(Models!$BJ265:$BT265,,T265+1)*R265-ERP_i)*Q265*Ramure*Pc/MaxiM</f>
        <v>1.6421980516032744E-5</v>
      </c>
      <c r="Q265" s="304">
        <f t="shared" si="80"/>
        <v>0.6</v>
      </c>
      <c r="R265" s="177">
        <f t="shared" si="81"/>
        <v>0.98717720633097983</v>
      </c>
      <c r="S265" s="799">
        <f t="shared" si="82"/>
        <v>1</v>
      </c>
      <c r="T265" s="176">
        <f t="shared" si="83"/>
        <v>7</v>
      </c>
      <c r="U265" s="250">
        <f t="shared" si="84"/>
        <v>1.9871772063309798</v>
      </c>
      <c r="V265" s="382">
        <f t="shared" si="85"/>
        <v>49.344369698179861</v>
      </c>
      <c r="W265" s="400">
        <f t="shared" si="86"/>
        <v>36.934524657316778</v>
      </c>
      <c r="X265" s="157">
        <f t="shared" si="87"/>
        <v>45908</v>
      </c>
      <c r="Y265" s="383">
        <f t="shared" si="88"/>
        <v>35.681039672683937</v>
      </c>
      <c r="Z265" s="383">
        <f t="shared" si="89"/>
        <v>37.369143313340992</v>
      </c>
      <c r="AA265" s="384">
        <f t="shared" si="90"/>
        <v>39.67734601613148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5.8174321988472895E-2</v>
      </c>
      <c r="AD265" s="230">
        <f>(INDEX(Models!$BJ265:$BT265,,AH265)*(1-AF265)+INDEX(Models!$BJ265:$BT265,,AH265+1)*AF265-ERP_i)*AE265*Ramure*Pc/MaxiM</f>
        <v>1.6421980516032744E-5</v>
      </c>
      <c r="AE265" s="304">
        <f t="shared" si="92"/>
        <v>0.6</v>
      </c>
      <c r="AF265" s="177">
        <f t="shared" si="93"/>
        <v>0.98717720633097983</v>
      </c>
      <c r="AG265" s="799">
        <f t="shared" si="99"/>
        <v>1</v>
      </c>
      <c r="AH265" s="176">
        <f t="shared" si="94"/>
        <v>7</v>
      </c>
      <c r="AI265" s="224">
        <f t="shared" si="95"/>
        <v>1.9871772063309798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45909</v>
      </c>
      <c r="B266" s="409">
        <f>IF(t&gt;Tmaj,'2024'!Wh/'2024'!Env_an*'2025'!Env_an,0.001*'[11]mon-tableau (3)'!$B$243)</f>
        <v>20.394867739235188</v>
      </c>
      <c r="C266" s="829"/>
      <c r="D266" s="391">
        <f t="shared" si="77"/>
        <v>21.360177530995902</v>
      </c>
      <c r="E266" s="383">
        <f t="shared" si="100"/>
        <v>21.912251057353412</v>
      </c>
      <c r="F266" s="383">
        <f t="shared" si="78"/>
        <v>21.912314935536944</v>
      </c>
      <c r="G266" s="110">
        <f t="shared" si="101"/>
        <v>0.41478923007992241</v>
      </c>
      <c r="H266" s="412" t="b">
        <f>Wh_hp&gt;='2024'!Maxi_hp</f>
        <v>0</v>
      </c>
      <c r="I266" s="388">
        <f>IF(H266,Wh_hp,'2024'!Maxi_hp)</f>
        <v>51.228956112547721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4.519203037334063E-2</v>
      </c>
      <c r="M266" s="832"/>
      <c r="N266" s="832"/>
      <c r="O266" s="48">
        <f>IF(t&lt;Tnet,'2024'!Resal+('2024'!Salim-'2024'!Resal)*(1-EXP(('2024'!Tnet-t)/('2024'!Tau_j))),Resal+(Salim-Resal)*(1-EXP((Tnet-t)/(Tau_j))))*Salcycl</f>
        <v>2.51947426538928E-2</v>
      </c>
      <c r="P266" s="169">
        <f>(INDEX(Models!$BJ266:$BT266,,T266)*(1-R266)+INDEX(Models!$BJ266:$BT266,,T266+1)*R266-ERP_i)*Q266*Ramure*Pc/MaxiM</f>
        <v>1.7776156794866557E-5</v>
      </c>
      <c r="Q266" s="304">
        <f t="shared" si="80"/>
        <v>0.6</v>
      </c>
      <c r="R266" s="177">
        <f t="shared" si="81"/>
        <v>0.98765309883033492</v>
      </c>
      <c r="S266" s="799">
        <f t="shared" si="82"/>
        <v>1</v>
      </c>
      <c r="T266" s="176">
        <f t="shared" si="83"/>
        <v>7</v>
      </c>
      <c r="U266" s="250">
        <f t="shared" si="84"/>
        <v>1.9876530988303349</v>
      </c>
      <c r="V266" s="382">
        <f t="shared" si="85"/>
        <v>49.168500943522638</v>
      </c>
      <c r="W266" s="400">
        <f t="shared" si="86"/>
        <v>20.394867739235188</v>
      </c>
      <c r="X266" s="157">
        <f t="shared" si="87"/>
        <v>45909</v>
      </c>
      <c r="Y266" s="383">
        <f t="shared" si="88"/>
        <v>19.703522949846334</v>
      </c>
      <c r="Z266" s="383">
        <f t="shared" si="89"/>
        <v>20.636110690980757</v>
      </c>
      <c r="AA266" s="384">
        <f t="shared" si="90"/>
        <v>21.912251057353412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5.8238670369030944E-2</v>
      </c>
      <c r="AD266" s="230">
        <f>(INDEX(Models!$BJ266:$BT266,,AH266)*(1-AF266)+INDEX(Models!$BJ266:$BT266,,AH266+1)*AF266-ERP_i)*AE266*Ramure*Pc/MaxiM</f>
        <v>1.7776156794866557E-5</v>
      </c>
      <c r="AE266" s="304">
        <f t="shared" si="92"/>
        <v>0.6</v>
      </c>
      <c r="AF266" s="177">
        <f t="shared" si="93"/>
        <v>0.98765309883033492</v>
      </c>
      <c r="AG266" s="799">
        <f t="shared" si="99"/>
        <v>1</v>
      </c>
      <c r="AH266" s="176">
        <f t="shared" si="94"/>
        <v>7</v>
      </c>
      <c r="AI266" s="224">
        <f t="shared" si="95"/>
        <v>1.9876530988303349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45910</v>
      </c>
      <c r="B267" s="409">
        <f>IF(t&gt;Tmaj,'2024'!Wh/'2024'!Env_an*'2025'!Env_an,0.001*'[11]mon-tableau (3)'!$B$244)</f>
        <v>47.3711138117582</v>
      </c>
      <c r="C267" s="829"/>
      <c r="D267" s="391">
        <f t="shared" si="77"/>
        <v>49.614187556760236</v>
      </c>
      <c r="E267" s="383">
        <f t="shared" si="100"/>
        <v>50.902083506843297</v>
      </c>
      <c r="F267" s="383">
        <f t="shared" si="78"/>
        <v>50.903011879735764</v>
      </c>
      <c r="G267" s="110">
        <f t="shared" si="101"/>
        <v>0.96696404443467887</v>
      </c>
      <c r="H267" s="412" t="b">
        <f>Wh_hp&gt;='2024'!Maxi_hp</f>
        <v>0</v>
      </c>
      <c r="I267" s="388">
        <f>IF(H267,Wh_hp,'2024'!Maxi_hp)</f>
        <v>50.90303337020184</v>
      </c>
      <c r="J267" s="85">
        <f>IF(H267,An,'2024'!An_max)</f>
        <v>2022</v>
      </c>
      <c r="K267" s="197">
        <f t="shared" si="79"/>
        <v>45910</v>
      </c>
      <c r="L267" s="147">
        <f>IF(t&lt;Tvie,1-EXP((T0-t)*PertePVj)+'2024'!Pspv,1-EXP((T0-t)*PertePVj)+Pspv)</f>
        <v>4.5210329050251796E-2</v>
      </c>
      <c r="M267" s="832"/>
      <c r="N267" s="832"/>
      <c r="O267" s="48">
        <f>IF(t&lt;Tnet,'2024'!Resal+('2024'!Salim-'2024'!Resal)*(1-EXP(('2024'!Tnet-t)/('2024'!Tau_j))),Resal+(Salim-Resal)*(1-EXP((Tnet-t)/(Tau_j))))*Salcycl</f>
        <v>2.5301438789041241E-2</v>
      </c>
      <c r="P267" s="169">
        <f>(INDEX(Models!$BJ267:$BT267,,T267)*(1-R267)+INDEX(Models!$BJ267:$BT267,,T267+1)*R267-ERP_i)*Q267*Ramure*Pc/MaxiM</f>
        <v>1.9141414169503664E-5</v>
      </c>
      <c r="Q267" s="304">
        <f t="shared" si="80"/>
        <v>0.6</v>
      </c>
      <c r="R267" s="177">
        <f t="shared" si="81"/>
        <v>0.98811070283799984</v>
      </c>
      <c r="S267" s="799">
        <f t="shared" si="82"/>
        <v>1</v>
      </c>
      <c r="T267" s="176">
        <f t="shared" si="83"/>
        <v>7</v>
      </c>
      <c r="U267" s="250">
        <f t="shared" si="84"/>
        <v>1.9881107028379998</v>
      </c>
      <c r="V267" s="382">
        <f t="shared" si="85"/>
        <v>48.989485484372771</v>
      </c>
      <c r="W267" s="400">
        <f t="shared" si="86"/>
        <v>47.3711138117582</v>
      </c>
      <c r="X267" s="157">
        <f t="shared" si="87"/>
        <v>45910</v>
      </c>
      <c r="Y267" s="383">
        <f t="shared" si="88"/>
        <v>45.767234952742797</v>
      </c>
      <c r="Z267" s="383">
        <f t="shared" si="89"/>
        <v>47.934363289893177</v>
      </c>
      <c r="AA267" s="384">
        <f t="shared" si="90"/>
        <v>50.902083506843297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5.8302529336567106E-2</v>
      </c>
      <c r="AD267" s="230">
        <f>(INDEX(Models!$BJ267:$BT267,,AH267)*(1-AF267)+INDEX(Models!$BJ267:$BT267,,AH267+1)*AF267-ERP_i)*AE267*Ramure*Pc/MaxiM</f>
        <v>1.9141414169503664E-5</v>
      </c>
      <c r="AE267" s="304">
        <f t="shared" si="92"/>
        <v>0.6</v>
      </c>
      <c r="AF267" s="177">
        <f t="shared" si="93"/>
        <v>0.98811070283799984</v>
      </c>
      <c r="AG267" s="799">
        <f t="shared" si="99"/>
        <v>1</v>
      </c>
      <c r="AH267" s="176">
        <f t="shared" si="94"/>
        <v>7</v>
      </c>
      <c r="AI267" s="224">
        <f t="shared" si="95"/>
        <v>1.9881107028379998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45911</v>
      </c>
      <c r="B268" s="409">
        <f>IF(t&gt;Tmaj,'2024'!Wh/'2024'!Env_an*'2025'!Env_an,0.001*'[11]mon-tableau (3)'!$B$245)</f>
        <v>47.779554929613731</v>
      </c>
      <c r="C268" s="829"/>
      <c r="D268" s="391">
        <f t="shared" si="77"/>
        <v>50.042927866935052</v>
      </c>
      <c r="E268" s="383">
        <f t="shared" si="100"/>
        <v>51.34755631867317</v>
      </c>
      <c r="F268" s="383">
        <f t="shared" si="78"/>
        <v>51.348579932187931</v>
      </c>
      <c r="G268" s="110">
        <f t="shared" si="101"/>
        <v>0.97894776077539991</v>
      </c>
      <c r="H268" s="412" t="b">
        <f>Wh_hp&gt;='2024'!Maxi_hp</f>
        <v>0</v>
      </c>
      <c r="I268" s="388">
        <f>IF(H268,Wh_hp,'2024'!Maxi_hp)</f>
        <v>51.348594776222477</v>
      </c>
      <c r="J268" s="85">
        <f>IF(H268,An,'2024'!An_max)</f>
        <v>2022</v>
      </c>
      <c r="K268" s="197">
        <f t="shared" si="79"/>
        <v>45911</v>
      </c>
      <c r="L268" s="147">
        <f>IF(t&lt;Tvie,1-EXP((T0-t)*PertePVj)+'2024'!Pspv,1-EXP((T0-t)*PertePVj)+Pspv)</f>
        <v>4.5228627376473041E-2</v>
      </c>
      <c r="M268" s="832"/>
      <c r="N268" s="832"/>
      <c r="O268" s="48">
        <f>IF(t&lt;Tnet,'2024'!Resal+('2024'!Salim-'2024'!Resal)*(1-EXP(('2024'!Tnet-t)/('2024'!Tau_j))),Resal+(Salim-Resal)*(1-EXP((Tnet-t)/(Tau_j))))*Salcycl</f>
        <v>2.5407800200682146E-2</v>
      </c>
      <c r="P268" s="169">
        <f>(INDEX(Models!$BJ268:$BT268,,T268)*(1-R268)+INDEX(Models!$BJ268:$BT268,,T268+1)*R268-ERP_i)*Q268*Ramure*Pc/MaxiM</f>
        <v>2.0552699211271052E-5</v>
      </c>
      <c r="Q268" s="304">
        <f t="shared" si="80"/>
        <v>0.6</v>
      </c>
      <c r="R268" s="177">
        <f t="shared" si="81"/>
        <v>0.98855068812933666</v>
      </c>
      <c r="S268" s="799">
        <f t="shared" si="82"/>
        <v>1</v>
      </c>
      <c r="T268" s="176">
        <f t="shared" si="83"/>
        <v>7</v>
      </c>
      <c r="U268" s="250">
        <f t="shared" si="84"/>
        <v>1.9885506881293367</v>
      </c>
      <c r="V268" s="382">
        <f t="shared" si="85"/>
        <v>48.807022510353555</v>
      </c>
      <c r="W268" s="400">
        <f t="shared" si="86"/>
        <v>47.779554929613731</v>
      </c>
      <c r="X268" s="157">
        <f t="shared" si="87"/>
        <v>45911</v>
      </c>
      <c r="Y268" s="383">
        <f t="shared" si="88"/>
        <v>46.163779118024593</v>
      </c>
      <c r="Z268" s="383">
        <f t="shared" si="89"/>
        <v>48.350610880985528</v>
      </c>
      <c r="AA268" s="384">
        <f t="shared" si="90"/>
        <v>51.34755631867317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5.8365882479158276E-2</v>
      </c>
      <c r="AD268" s="230">
        <f>(INDEX(Models!$BJ268:$BT268,,AH268)*(1-AF268)+INDEX(Models!$BJ268:$BT268,,AH268+1)*AF268-ERP_i)*AE268*Ramure*Pc/MaxiM</f>
        <v>2.0552699211271052E-5</v>
      </c>
      <c r="AE268" s="304">
        <f t="shared" si="92"/>
        <v>0.6</v>
      </c>
      <c r="AF268" s="177">
        <f t="shared" si="93"/>
        <v>0.98855068812933666</v>
      </c>
      <c r="AG268" s="799">
        <f t="shared" si="99"/>
        <v>1</v>
      </c>
      <c r="AH268" s="176">
        <f t="shared" si="94"/>
        <v>7</v>
      </c>
      <c r="AI268" s="224">
        <f t="shared" si="95"/>
        <v>1.9885506881293367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45912</v>
      </c>
      <c r="B269" s="409">
        <f>IF(t&gt;Tmaj,'2024'!Wh/'2024'!Env_an*'2025'!Env_an,0.001*'[11]mon-tableau (3)'!$B$246)</f>
        <v>37.45832252832831</v>
      </c>
      <c r="C269" s="829"/>
      <c r="D269" s="391">
        <f t="shared" si="77"/>
        <v>39.233518616464202</v>
      </c>
      <c r="E269" s="383">
        <f t="shared" si="100"/>
        <v>40.260723384173964</v>
      </c>
      <c r="F269" s="383">
        <f t="shared" si="78"/>
        <v>40.261318163502764</v>
      </c>
      <c r="G269" s="110">
        <f t="shared" si="101"/>
        <v>0.77041186788846383</v>
      </c>
      <c r="H269" s="412" t="b">
        <f>Wh_hp&gt;='2024'!Maxi_hp</f>
        <v>0</v>
      </c>
      <c r="I269" s="388">
        <f>IF(H269,Wh_hp,'2024'!Maxi_hp)</f>
        <v>51.806611892360216</v>
      </c>
      <c r="J269" s="85">
        <f>IF(H269,An,'2024'!An_max)</f>
        <v>2018</v>
      </c>
      <c r="K269" s="197">
        <f t="shared" si="79"/>
        <v>45912</v>
      </c>
      <c r="L269" s="147">
        <f>IF(t&lt;Tvie,1-EXP((T0-t)*PertePVj)+'2024'!Pspv,1-EXP((T0-t)*PertePVj)+Pspv)</f>
        <v>4.5246925352011025E-2</v>
      </c>
      <c r="M269" s="832"/>
      <c r="N269" s="832"/>
      <c r="O269" s="48">
        <f>IF(t&lt;Tnet,'2024'!Resal+('2024'!Salim-'2024'!Resal)*(1-EXP(('2024'!Tnet-t)/('2024'!Tau_j))),Resal+(Salim-Resal)*(1-EXP((Tnet-t)/(Tau_j))))*Salcycl</f>
        <v>2.5513817968644537E-2</v>
      </c>
      <c r="P269" s="169">
        <f>(INDEX(Models!$BJ269:$BT269,,T269)*(1-R269)+INDEX(Models!$BJ269:$BT269,,T269+1)*R269-ERP_i)*Q269*Ramure*Pc/MaxiM</f>
        <v>2.1982775201252078E-5</v>
      </c>
      <c r="Q269" s="304">
        <f t="shared" si="80"/>
        <v>0.6</v>
      </c>
      <c r="R269" s="177">
        <f t="shared" si="81"/>
        <v>0.98897370251092354</v>
      </c>
      <c r="S269" s="799">
        <f t="shared" si="82"/>
        <v>1</v>
      </c>
      <c r="T269" s="176">
        <f t="shared" si="83"/>
        <v>7</v>
      </c>
      <c r="U269" s="250">
        <f t="shared" si="84"/>
        <v>1.9889737025109235</v>
      </c>
      <c r="V269" s="382">
        <f t="shared" si="85"/>
        <v>48.620814422124845</v>
      </c>
      <c r="W269" s="400">
        <f t="shared" si="86"/>
        <v>37.45832252832831</v>
      </c>
      <c r="X269" s="157">
        <f t="shared" si="87"/>
        <v>45912</v>
      </c>
      <c r="Y269" s="383">
        <f t="shared" si="88"/>
        <v>36.193105261047073</v>
      </c>
      <c r="Z269" s="383">
        <f t="shared" si="89"/>
        <v>37.908341142961206</v>
      </c>
      <c r="AA269" s="384">
        <f t="shared" si="90"/>
        <v>40.260723384173964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5.8428712737373621E-2</v>
      </c>
      <c r="AD269" s="230">
        <f>(INDEX(Models!$BJ269:$BT269,,AH269)*(1-AF269)+INDEX(Models!$BJ269:$BT269,,AH269+1)*AF269-ERP_i)*AE269*Ramure*Pc/MaxiM</f>
        <v>2.1982775201252078E-5</v>
      </c>
      <c r="AE269" s="304">
        <f t="shared" si="92"/>
        <v>0.6</v>
      </c>
      <c r="AF269" s="177">
        <f t="shared" si="93"/>
        <v>0.98897370251092354</v>
      </c>
      <c r="AG269" s="799">
        <f t="shared" si="99"/>
        <v>1</v>
      </c>
      <c r="AH269" s="176">
        <f t="shared" si="94"/>
        <v>7</v>
      </c>
      <c r="AI269" s="224">
        <f t="shared" si="95"/>
        <v>1.9889737025109235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45913</v>
      </c>
      <c r="B270" s="409">
        <f>IF(t&gt;Tmaj,'2024'!Wh/'2024'!Env_an*'2025'!Env_an,0.001*'[11]mon-tableau (3)'!$B$247)</f>
        <v>14.891068323442818</v>
      </c>
      <c r="C270" s="829"/>
      <c r="D270" s="391">
        <f t="shared" si="77"/>
        <v>15.597073325299114</v>
      </c>
      <c r="E270" s="383">
        <f t="shared" si="100"/>
        <v>16.007168708872793</v>
      </c>
      <c r="F270" s="383">
        <f t="shared" si="78"/>
        <v>16.007172712859777</v>
      </c>
      <c r="G270" s="110">
        <f t="shared" si="101"/>
        <v>0.30746541803844979</v>
      </c>
      <c r="H270" s="412" t="b">
        <f>Wh_hp&gt;='2024'!Maxi_hp</f>
        <v>0</v>
      </c>
      <c r="I270" s="388">
        <f>IF(H270,Wh_hp,'2024'!Maxi_hp)</f>
        <v>49.476808548086147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4.5265222976872521E-2</v>
      </c>
      <c r="M270" s="832"/>
      <c r="N270" s="832"/>
      <c r="O270" s="48">
        <f>IF(t&lt;Tnet,'2024'!Resal+('2024'!Salim-'2024'!Resal)*(1-EXP(('2024'!Tnet-t)/('2024'!Tau_j))),Resal+(Salim-Resal)*(1-EXP((Tnet-t)/(Tau_j))))*Salcycl</f>
        <v>2.5619482809996361E-2</v>
      </c>
      <c r="P270" s="169">
        <f>(INDEX(Models!$BJ270:$BT270,,T270)*(1-R270)+INDEX(Models!$BJ270:$BT270,,T270+1)*R270-ERP_i)*Q270*Ramure*Pc/MaxiM</f>
        <v>2.3431898687527312E-5</v>
      </c>
      <c r="Q270" s="304">
        <f t="shared" si="80"/>
        <v>0.6</v>
      </c>
      <c r="R270" s="177">
        <f t="shared" si="81"/>
        <v>0.98938037233913367</v>
      </c>
      <c r="S270" s="799">
        <f t="shared" si="82"/>
        <v>1</v>
      </c>
      <c r="T270" s="176">
        <f t="shared" si="83"/>
        <v>7</v>
      </c>
      <c r="U270" s="250">
        <f t="shared" si="84"/>
        <v>1.9893803723391337</v>
      </c>
      <c r="V270" s="382">
        <f t="shared" si="85"/>
        <v>48.430562426041512</v>
      </c>
      <c r="W270" s="400">
        <f t="shared" si="86"/>
        <v>14.891068323442818</v>
      </c>
      <c r="X270" s="157">
        <f t="shared" si="87"/>
        <v>45913</v>
      </c>
      <c r="Y270" s="383">
        <f t="shared" si="88"/>
        <v>14.388706016734041</v>
      </c>
      <c r="Z270" s="383">
        <f t="shared" si="89"/>
        <v>15.07089336537857</v>
      </c>
      <c r="AA270" s="384">
        <f t="shared" si="90"/>
        <v>16.007168708872793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5.8491002407892741E-2</v>
      </c>
      <c r="AD270" s="230">
        <f>(INDEX(Models!$BJ270:$BT270,,AH270)*(1-AF270)+INDEX(Models!$BJ270:$BT270,,AH270+1)*AF270-ERP_i)*AE270*Ramure*Pc/MaxiM</f>
        <v>2.3431898687527312E-5</v>
      </c>
      <c r="AE270" s="304">
        <f t="shared" si="92"/>
        <v>0.6</v>
      </c>
      <c r="AF270" s="177">
        <f t="shared" si="93"/>
        <v>0.98938037233913367</v>
      </c>
      <c r="AG270" s="799">
        <f t="shared" si="99"/>
        <v>1</v>
      </c>
      <c r="AH270" s="176">
        <f t="shared" si="94"/>
        <v>7</v>
      </c>
      <c r="AI270" s="224">
        <f t="shared" si="95"/>
        <v>1.9893803723391337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45914</v>
      </c>
      <c r="B271" s="409">
        <f>IF(t&gt;Tmaj,'2024'!Wh/'2024'!Env_an*'2025'!Env_an,0.001*'[11]mon-tableau (3)'!$B$248)</f>
        <v>37.50251315104807</v>
      </c>
      <c r="C271" s="829"/>
      <c r="D271" s="391">
        <f t="shared" ref="D271:D334" si="102">Wh/(1-Ppv)</f>
        <v>39.281309107506132</v>
      </c>
      <c r="E271" s="383">
        <f t="shared" si="100"/>
        <v>40.318493692519922</v>
      </c>
      <c r="F271" s="383">
        <f t="shared" ref="F271:F334" si="103">Wh_sa/(1-Pvg*MEDIAN((-Sdif+Wh/Env_an)/Csdif,0,1))</f>
        <v>40.319178509550689</v>
      </c>
      <c r="G271" s="110">
        <f t="shared" si="101"/>
        <v>0.7774741119278693</v>
      </c>
      <c r="H271" s="412" t="b">
        <f>Wh_hp&gt;='2024'!Maxi_hp</f>
        <v>0</v>
      </c>
      <c r="I271" s="388">
        <f>IF(H271,Wh_hp,'2024'!Maxi_hp)</f>
        <v>49.421570563132221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4.528352025106408E-2</v>
      </c>
      <c r="M271" s="832"/>
      <c r="N271" s="832"/>
      <c r="O271" s="48">
        <f>IF(t&lt;Tnet,'2024'!Resal+('2024'!Salim-'2024'!Resal)*(1-EXP(('2024'!Tnet-t)/('2024'!Tau_j))),Resal+(Salim-Resal)*(1-EXP((Tnet-t)/(Tau_j))))*Salcycl</f>
        <v>2.5724785080604658E-2</v>
      </c>
      <c r="P271" s="169">
        <f>(INDEX(Models!$BJ271:$BT271,,T271)*(1-R271)+INDEX(Models!$BJ271:$BT271,,T271+1)*R271-ERP_i)*Q271*Ramure*Pc/MaxiM</f>
        <v>2.4900352209794857E-5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0.98977130304356908</v>
      </c>
      <c r="S271" s="799">
        <f t="shared" ref="S271:S334" si="107">INDEX(Echel_vg,T271)</f>
        <v>1</v>
      </c>
      <c r="T271" s="176">
        <f t="shared" ref="T271:T334" si="108">MIN(MATCH(Hp_vg,Echel_vg),10)</f>
        <v>7</v>
      </c>
      <c r="U271" s="250">
        <f t="shared" ref="U271:U334" si="109">IF(OR(t&lt;Ttai,Notai),Hdd+PousH*Croivg,Hdtf+PousH*(Croivg-Croi_tai))</f>
        <v>1.9897713030435691</v>
      </c>
      <c r="V271" s="382">
        <f t="shared" ref="V271:V334" si="110">MaxiM*(1-Ppv)*(1-Pvg)*(1-Psa)</f>
        <v>48.235967887717024</v>
      </c>
      <c r="W271" s="400">
        <f t="shared" ref="W271:W334" si="111">Wh*(A271&gt;Tmaj)</f>
        <v>37.50251315104807</v>
      </c>
      <c r="X271" s="157">
        <f t="shared" ref="X271:X334" si="112">t</f>
        <v>45914</v>
      </c>
      <c r="Y271" s="383">
        <f t="shared" ref="Y271:Y334" si="113">Wh_pvt_s*(1-Ppv)</f>
        <v>36.238875797314684</v>
      </c>
      <c r="Z271" s="383">
        <f t="shared" ref="Z271:Z334" si="114">Wh_sa_s*(1-Psa_s)</f>
        <v>37.957735690122902</v>
      </c>
      <c r="AA271" s="384">
        <f t="shared" ref="AA271:AA334" si="115">Wh_hp*(1-Pvg_s*MEDIAN((-Sdif+Wh/Env_an)/Csdif,0,1))</f>
        <v>40.318493692519922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5.8552733155182377E-2</v>
      </c>
      <c r="AD271" s="230">
        <f>(INDEX(Models!$BJ271:$BT271,,AH271)*(1-AF271)+INDEX(Models!$BJ271:$BT271,,AH271+1)*AF271-ERP_i)*AE271*Ramure*Pc/MaxiM</f>
        <v>2.4900352209794857E-5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0.98977130304356908</v>
      </c>
      <c r="AG271" s="799">
        <f t="shared" si="99"/>
        <v>1</v>
      </c>
      <c r="AH271" s="176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1.9897713030435691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45915</v>
      </c>
      <c r="B272" s="409">
        <f>IF(t&gt;Tmaj,'2024'!Wh/'2024'!Env_an*'2025'!Env_an,0.001*'[11]mon-tableau (3)'!$B$249)</f>
        <v>41.232273414683668</v>
      </c>
      <c r="C272" s="829"/>
      <c r="D272" s="391">
        <f t="shared" si="102"/>
        <v>43.188804751526504</v>
      </c>
      <c r="E272" s="383">
        <f t="shared" si="100"/>
        <v>44.333937717883941</v>
      </c>
      <c r="F272" s="383">
        <f t="shared" si="103"/>
        <v>44.334870900901464</v>
      </c>
      <c r="G272" s="110">
        <f t="shared" si="101"/>
        <v>0.85834425524747227</v>
      </c>
      <c r="H272" s="412" t="b">
        <f>Wh_hp&gt;='2024'!Maxi_hp</f>
        <v>0</v>
      </c>
      <c r="I272" s="388">
        <f>IF(H272,Wh_hp,'2024'!Maxi_hp)</f>
        <v>51.00676090295368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4.5301817174592696E-2</v>
      </c>
      <c r="M272" s="832"/>
      <c r="N272" s="832"/>
      <c r="O272" s="48">
        <f>IF(t&lt;Tnet,'2024'!Resal+('2024'!Salim-'2024'!Resal)*(1-EXP(('2024'!Tnet-t)/('2024'!Tau_j))),Resal+(Salim-Resal)*(1-EXP((Tnet-t)/(Tau_j))))*Salcycl</f>
        <v>2.5829714780681468E-2</v>
      </c>
      <c r="P272" s="169">
        <f>(INDEX(Models!$BJ272:$BT272,,T272)*(1-R272)+INDEX(Models!$BJ272:$BT272,,T272+1)*R272-ERP_i)*Q272*Ramure*Pc/MaxiM</f>
        <v>2.6388445124655517E-5</v>
      </c>
      <c r="Q272" s="304">
        <f t="shared" si="105"/>
        <v>0.6</v>
      </c>
      <c r="R272" s="177">
        <f t="shared" si="106"/>
        <v>0.99014707965346727</v>
      </c>
      <c r="S272" s="799">
        <f t="shared" si="107"/>
        <v>1</v>
      </c>
      <c r="T272" s="176">
        <f t="shared" si="108"/>
        <v>7</v>
      </c>
      <c r="U272" s="250">
        <f t="shared" si="109"/>
        <v>1.9901470796534673</v>
      </c>
      <c r="V272" s="382">
        <f t="shared" si="110"/>
        <v>48.036732325466851</v>
      </c>
      <c r="W272" s="400">
        <f t="shared" si="111"/>
        <v>41.232273414683668</v>
      </c>
      <c r="X272" s="157">
        <f t="shared" si="112"/>
        <v>45915</v>
      </c>
      <c r="Y272" s="383">
        <f t="shared" si="113"/>
        <v>39.844665998183117</v>
      </c>
      <c r="Z272" s="383">
        <f t="shared" si="114"/>
        <v>41.735353345141753</v>
      </c>
      <c r="AA272" s="384">
        <f t="shared" si="115"/>
        <v>44.333937717883941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5.8613886031917785E-2</v>
      </c>
      <c r="AD272" s="230">
        <f>(INDEX(Models!$BJ272:$BT272,,AH272)*(1-AF272)+INDEX(Models!$BJ272:$BT272,,AH272+1)*AF272-ERP_i)*AE272*Ramure*Pc/MaxiM</f>
        <v>2.6388445124655517E-5</v>
      </c>
      <c r="AE272" s="304">
        <f t="shared" si="117"/>
        <v>0.6</v>
      </c>
      <c r="AF272" s="177">
        <f t="shared" si="118"/>
        <v>0.99014707965346727</v>
      </c>
      <c r="AG272" s="799">
        <f t="shared" ref="AG272:AG335" si="124">INDEX(Echel_vg,AH272)</f>
        <v>1</v>
      </c>
      <c r="AH272" s="176">
        <f t="shared" si="119"/>
        <v>7</v>
      </c>
      <c r="AI272" s="224">
        <f t="shared" si="120"/>
        <v>1.9901470796534673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45916</v>
      </c>
      <c r="B273" s="409">
        <f>IF(t&gt;Tmaj,'2024'!Wh/'2024'!Env_an*'2025'!Env_an,0.001*'[11]mon-tableau (3)'!$B$250)</f>
        <v>29.823897448314799</v>
      </c>
      <c r="C273" s="829"/>
      <c r="D273" s="391">
        <f t="shared" si="102"/>
        <v>31.239683455974355</v>
      </c>
      <c r="E273" s="383">
        <f t="shared" si="100"/>
        <v>32.07143237185953</v>
      </c>
      <c r="F273" s="383">
        <f t="shared" si="103"/>
        <v>32.071845855667625</v>
      </c>
      <c r="G273" s="110">
        <f t="shared" si="101"/>
        <v>0.62349687276482624</v>
      </c>
      <c r="H273" s="412" t="b">
        <f>Wh_hp&gt;='2024'!Maxi_hp</f>
        <v>0</v>
      </c>
      <c r="I273" s="388">
        <f>IF(H273,Wh_hp,'2024'!Maxi_hp)</f>
        <v>45.030086079266795</v>
      </c>
      <c r="J273" s="85">
        <f>IF(H273,An,'2024'!An_max)</f>
        <v>2018</v>
      </c>
      <c r="K273" s="197">
        <f t="shared" si="104"/>
        <v>45916</v>
      </c>
      <c r="L273" s="147">
        <f>IF(t&lt;Tvie,1-EXP((T0-t)*PertePVj)+'2024'!Pspv,1-EXP((T0-t)*PertePVj)+Pspv)</f>
        <v>4.5320113747464918E-2</v>
      </c>
      <c r="M273" s="832"/>
      <c r="N273" s="832"/>
      <c r="O273" s="48">
        <f>IF(t&lt;Tnet,'2024'!Resal+('2024'!Salim-'2024'!Resal)*(1-EXP(('2024'!Tnet-t)/('2024'!Tau_j))),Resal+(Salim-Resal)*(1-EXP((Tnet-t)/(Tau_j))))*Salcycl</f>
        <v>2.5934261564662092E-2</v>
      </c>
      <c r="P273" s="169">
        <f>(INDEX(Models!$BJ273:$BT273,,T273)*(1-R273)+INDEX(Models!$BJ273:$BT273,,T273+1)*R273-ERP_i)*Q273*Ramure*Pc/MaxiM</f>
        <v>2.7896514582448787E-5</v>
      </c>
      <c r="Q273" s="304">
        <f t="shared" si="105"/>
        <v>0.6</v>
      </c>
      <c r="R273" s="177">
        <f t="shared" si="106"/>
        <v>0.9905082673253629</v>
      </c>
      <c r="S273" s="799">
        <f t="shared" si="107"/>
        <v>1</v>
      </c>
      <c r="T273" s="176">
        <f t="shared" si="108"/>
        <v>7</v>
      </c>
      <c r="U273" s="250">
        <f t="shared" si="109"/>
        <v>1.9905082673253629</v>
      </c>
      <c r="V273" s="382">
        <f t="shared" si="110"/>
        <v>47.832557410934292</v>
      </c>
      <c r="W273" s="400">
        <f t="shared" si="111"/>
        <v>29.823897448314799</v>
      </c>
      <c r="X273" s="157">
        <f t="shared" si="112"/>
        <v>45916</v>
      </c>
      <c r="Y273" s="383">
        <f t="shared" si="113"/>
        <v>28.821460209673802</v>
      </c>
      <c r="Z273" s="383">
        <f t="shared" si="114"/>
        <v>30.189658989054948</v>
      </c>
      <c r="AA273" s="384">
        <f t="shared" si="115"/>
        <v>32.07143237185953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5.8674441508752492E-2</v>
      </c>
      <c r="AD273" s="230">
        <f>(INDEX(Models!$BJ273:$BT273,,AH273)*(1-AF273)+INDEX(Models!$BJ273:$BT273,,AH273+1)*AF273-ERP_i)*AE273*Ramure*Pc/MaxiM</f>
        <v>2.7896514582448787E-5</v>
      </c>
      <c r="AE273" s="304">
        <f t="shared" si="117"/>
        <v>0.6</v>
      </c>
      <c r="AF273" s="177">
        <f t="shared" si="118"/>
        <v>0.9905082673253629</v>
      </c>
      <c r="AG273" s="799">
        <f t="shared" si="124"/>
        <v>1</v>
      </c>
      <c r="AH273" s="176">
        <f t="shared" si="119"/>
        <v>7</v>
      </c>
      <c r="AI273" s="224">
        <f t="shared" si="120"/>
        <v>1.9905082673253629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45917</v>
      </c>
      <c r="B274" s="409">
        <f>IF(t&gt;Tmaj,'2024'!Wh/'2024'!Env_an*'2025'!Env_an,0.001*'[11]mon-tableau (3)'!$B$251)</f>
        <v>48.121351928219958</v>
      </c>
      <c r="C274" s="829"/>
      <c r="D274" s="391">
        <f t="shared" si="102"/>
        <v>50.40671210694881</v>
      </c>
      <c r="E274" s="383">
        <f t="shared" si="100"/>
        <v>51.754312357511076</v>
      </c>
      <c r="F274" s="383">
        <f t="shared" si="103"/>
        <v>51.7558352691699</v>
      </c>
      <c r="G274" s="110">
        <f t="shared" si="101"/>
        <v>1.010461446092713</v>
      </c>
      <c r="H274" s="412" t="b">
        <f>Wh_hp&gt;='2024'!Maxi_hp</f>
        <v>1</v>
      </c>
      <c r="I274" s="388">
        <f>IF(H274,Wh_hp,'2024'!Maxi_hp)</f>
        <v>51.7558352691699</v>
      </c>
      <c r="J274" s="85">
        <f>IF(H274,An,'2024'!An_max)</f>
        <v>2025</v>
      </c>
      <c r="K274" s="197">
        <f t="shared" si="104"/>
        <v>45917</v>
      </c>
      <c r="L274" s="147">
        <f>IF(t&lt;Tvie,1-EXP((T0-t)*PertePVj)+'2024'!Pspv,1-EXP((T0-t)*PertePVj)+Pspv)</f>
        <v>4.533840996968741E-2</v>
      </c>
      <c r="M274" s="832"/>
      <c r="N274" s="832"/>
      <c r="O274" s="48">
        <f>IF(t&lt;Tnet,'2024'!Resal+('2024'!Salim-'2024'!Resal)*(1-EXP(('2024'!Tnet-t)/('2024'!Tau_j))),Resal+(Salim-Resal)*(1-EXP((Tnet-t)/(Tau_j))))*Salcycl</f>
        <v>2.6038414755725867E-2</v>
      </c>
      <c r="P274" s="169">
        <f>(INDEX(Models!$BJ274:$BT274,,T274)*(1-R274)+INDEX(Models!$BJ274:$BT274,,T274+1)*R274-ERP_i)*Q274*Ramure*Pc/MaxiM</f>
        <v>2.942492669490924E-5</v>
      </c>
      <c r="Q274" s="304">
        <f t="shared" si="105"/>
        <v>0.6</v>
      </c>
      <c r="R274" s="177">
        <f t="shared" si="106"/>
        <v>0.99085541187046111</v>
      </c>
      <c r="S274" s="799">
        <f t="shared" si="107"/>
        <v>1</v>
      </c>
      <c r="T274" s="176">
        <f t="shared" si="108"/>
        <v>7</v>
      </c>
      <c r="U274" s="250">
        <f t="shared" si="109"/>
        <v>1.9908554118704611</v>
      </c>
      <c r="V274" s="382">
        <f t="shared" si="110"/>
        <v>47.623144964409335</v>
      </c>
      <c r="W274" s="400">
        <f t="shared" si="111"/>
        <v>48.121351928219958</v>
      </c>
      <c r="X274" s="157">
        <f t="shared" si="112"/>
        <v>45917</v>
      </c>
      <c r="Y274" s="383">
        <f t="shared" si="113"/>
        <v>46.505914470932126</v>
      </c>
      <c r="Z274" s="383">
        <f t="shared" si="114"/>
        <v>48.714554934021656</v>
      </c>
      <c r="AA274" s="384">
        <f t="shared" si="115"/>
        <v>51.754312357511076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5.8734379513947145E-2</v>
      </c>
      <c r="AD274" s="230">
        <f>(INDEX(Models!$BJ274:$BT274,,AH274)*(1-AF274)+INDEX(Models!$BJ274:$BT274,,AH274+1)*AF274-ERP_i)*AE274*Ramure*Pc/MaxiM</f>
        <v>2.942492669490924E-5</v>
      </c>
      <c r="AE274" s="304">
        <f t="shared" si="117"/>
        <v>0.6</v>
      </c>
      <c r="AF274" s="177">
        <f t="shared" si="118"/>
        <v>0.99085541187046111</v>
      </c>
      <c r="AG274" s="799">
        <f t="shared" si="124"/>
        <v>1</v>
      </c>
      <c r="AH274" s="176">
        <f t="shared" si="119"/>
        <v>7</v>
      </c>
      <c r="AI274" s="224">
        <f t="shared" si="120"/>
        <v>1.9908554118704611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45918</v>
      </c>
      <c r="B275" s="409">
        <f>IF(t&gt;Tmaj,'2024'!Wh/'2024'!Env_an*'2025'!Env_an,0.001*'[11]mon-tableau (3)'!$B$252)</f>
        <v>46.512948933478278</v>
      </c>
      <c r="C275" s="829"/>
      <c r="D275" s="391">
        <f t="shared" si="102"/>
        <v>48.722857236919275</v>
      </c>
      <c r="E275" s="383">
        <f t="shared" si="100"/>
        <v>50.030769794166567</v>
      </c>
      <c r="F275" s="383">
        <f t="shared" si="103"/>
        <v>50.032277650200804</v>
      </c>
      <c r="G275" s="110">
        <f t="shared" si="101"/>
        <v>0.98110430607774324</v>
      </c>
      <c r="H275" s="412" t="b">
        <f>Wh_hp&gt;='2024'!Maxi_hp</f>
        <v>0</v>
      </c>
      <c r="I275" s="388">
        <f>IF(H275,Wh_hp,'2024'!Maxi_hp)</f>
        <v>50.032297106703666</v>
      </c>
      <c r="J275" s="85">
        <f>IF(H275,An,'2024'!An_max)</f>
        <v>2022</v>
      </c>
      <c r="K275" s="197">
        <f t="shared" si="104"/>
        <v>45918</v>
      </c>
      <c r="L275" s="147">
        <f>IF(t&lt;Tvie,1-EXP((T0-t)*PertePVj)+'2024'!Pspv,1-EXP((T0-t)*PertePVj)+Pspv)</f>
        <v>4.5356705841267053E-2</v>
      </c>
      <c r="M275" s="832"/>
      <c r="N275" s="832"/>
      <c r="O275" s="48">
        <f>IF(t&lt;Tnet,'2024'!Resal+('2024'!Salim-'2024'!Resal)*(1-EXP(('2024'!Tnet-t)/('2024'!Tau_j))),Resal+(Salim-Resal)*(1-EXP((Tnet-t)/(Tau_j))))*Salcycl</f>
        <v>2.6142163365229416E-2</v>
      </c>
      <c r="P275" s="169">
        <f>(INDEX(Models!$BJ275:$BT275,,T275)*(1-R275)+INDEX(Models!$BJ275:$BT275,,T275+1)*R275-ERP_i)*Q275*Ramure*Pc/MaxiM</f>
        <v>3.0973729077002814E-5</v>
      </c>
      <c r="Q275" s="304">
        <f t="shared" si="105"/>
        <v>0.6</v>
      </c>
      <c r="R275" s="177">
        <f t="shared" si="106"/>
        <v>0.99118904028031896</v>
      </c>
      <c r="S275" s="799">
        <f t="shared" si="107"/>
        <v>1</v>
      </c>
      <c r="T275" s="176">
        <f t="shared" si="108"/>
        <v>7</v>
      </c>
      <c r="U275" s="250">
        <f t="shared" si="109"/>
        <v>1.991189040280319</v>
      </c>
      <c r="V275" s="382">
        <f t="shared" si="110"/>
        <v>47.408730913087304</v>
      </c>
      <c r="W275" s="400">
        <f t="shared" si="111"/>
        <v>46.512948933478278</v>
      </c>
      <c r="X275" s="157">
        <f t="shared" si="112"/>
        <v>45918</v>
      </c>
      <c r="Y275" s="383">
        <f t="shared" si="113"/>
        <v>44.9534622767328</v>
      </c>
      <c r="Z275" s="383">
        <f t="shared" si="114"/>
        <v>47.089276750587203</v>
      </c>
      <c r="AA275" s="384">
        <f t="shared" si="115"/>
        <v>50.030769794166567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5.8793679483267254E-2</v>
      </c>
      <c r="AD275" s="230">
        <f>(INDEX(Models!$BJ275:$BT275,,AH275)*(1-AF275)+INDEX(Models!$BJ275:$BT275,,AH275+1)*AF275-ERP_i)*AE275*Ramure*Pc/MaxiM</f>
        <v>3.0973729077002814E-5</v>
      </c>
      <c r="AE275" s="304">
        <f t="shared" si="117"/>
        <v>0.6</v>
      </c>
      <c r="AF275" s="177">
        <f t="shared" si="118"/>
        <v>0.99118904028031896</v>
      </c>
      <c r="AG275" s="799">
        <f t="shared" si="124"/>
        <v>1</v>
      </c>
      <c r="AH275" s="176">
        <f t="shared" si="119"/>
        <v>7</v>
      </c>
      <c r="AI275" s="224">
        <f t="shared" si="120"/>
        <v>1.991189040280319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45919</v>
      </c>
      <c r="B276" s="409">
        <f>IF(t&gt;Tmaj,'2024'!Wh/'2024'!Env_an*'2025'!Env_an,0.001*'[11]mon-tableau (3)'!$B$253)</f>
        <v>47.072281898370299</v>
      </c>
      <c r="C276" s="829"/>
      <c r="D276" s="391">
        <f t="shared" si="102"/>
        <v>49.309710059489859</v>
      </c>
      <c r="E276" s="383">
        <f t="shared" si="100"/>
        <v>50.638749153789384</v>
      </c>
      <c r="F276" s="383">
        <f t="shared" si="103"/>
        <v>50.640393803845306</v>
      </c>
      <c r="G276" s="110">
        <f t="shared" si="101"/>
        <v>0.99750922539448295</v>
      </c>
      <c r="H276" s="412" t="b">
        <f>Wh_hp&gt;='2024'!Maxi_hp</f>
        <v>0</v>
      </c>
      <c r="I276" s="388">
        <f>IF(H276,Wh_hp,'2024'!Maxi_hp)</f>
        <v>50.64039652855579</v>
      </c>
      <c r="J276" s="85">
        <f>IF(H276,An,'2024'!An_max)</f>
        <v>2022</v>
      </c>
      <c r="K276" s="197">
        <f t="shared" si="104"/>
        <v>45919</v>
      </c>
      <c r="L276" s="147">
        <f>IF(t&lt;Tvie,1-EXP((T0-t)*PertePVj)+'2024'!Pspv,1-EXP((T0-t)*PertePVj)+Pspv)</f>
        <v>4.537500136221051E-2</v>
      </c>
      <c r="M276" s="832"/>
      <c r="N276" s="832"/>
      <c r="O276" s="48">
        <f>IF(t&lt;Tnet,'2024'!Resal+('2024'!Salim-'2024'!Resal)*(1-EXP(('2024'!Tnet-t)/('2024'!Tau_j))),Resal+(Salim-Resal)*(1-EXP((Tnet-t)/(Tau_j))))*Salcycl</f>
        <v>2.6245496117276657E-2</v>
      </c>
      <c r="P276" s="169">
        <f>(INDEX(Models!$BJ276:$BT276,,T276)*(1-R276)+INDEX(Models!$BJ276:$BT276,,T276+1)*R276-ERP_i)*Q276*Ramure*Pc/MaxiM</f>
        <v>3.2593007890313096E-5</v>
      </c>
      <c r="Q276" s="304">
        <f t="shared" si="105"/>
        <v>0.6</v>
      </c>
      <c r="R276" s="177">
        <f t="shared" si="106"/>
        <v>0.99150966124958062</v>
      </c>
      <c r="S276" s="799">
        <f t="shared" si="107"/>
        <v>1</v>
      </c>
      <c r="T276" s="176">
        <f t="shared" si="108"/>
        <v>7</v>
      </c>
      <c r="U276" s="250">
        <f t="shared" si="109"/>
        <v>1.9915096612495806</v>
      </c>
      <c r="V276" s="382">
        <f t="shared" si="110"/>
        <v>47.18981563370275</v>
      </c>
      <c r="W276" s="400">
        <f t="shared" si="111"/>
        <v>47.072281898370299</v>
      </c>
      <c r="X276" s="157">
        <f t="shared" si="112"/>
        <v>45919</v>
      </c>
      <c r="Y276" s="383">
        <f t="shared" si="113"/>
        <v>45.496034888174684</v>
      </c>
      <c r="Z276" s="383">
        <f t="shared" si="114"/>
        <v>47.658541262899725</v>
      </c>
      <c r="AA276" s="384">
        <f t="shared" si="115"/>
        <v>50.638749153789384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5.8852320420451028E-2</v>
      </c>
      <c r="AD276" s="230">
        <f>(INDEX(Models!$BJ276:$BT276,,AH276)*(1-AF276)+INDEX(Models!$BJ276:$BT276,,AH276+1)*AF276-ERP_i)*AE276*Ramure*Pc/MaxiM</f>
        <v>3.2593007890313096E-5</v>
      </c>
      <c r="AE276" s="304">
        <f t="shared" si="117"/>
        <v>0.6</v>
      </c>
      <c r="AF276" s="177">
        <f t="shared" si="118"/>
        <v>0.99150966124958062</v>
      </c>
      <c r="AG276" s="799">
        <f t="shared" si="124"/>
        <v>1</v>
      </c>
      <c r="AH276" s="176">
        <f t="shared" si="119"/>
        <v>7</v>
      </c>
      <c r="AI276" s="224">
        <f t="shared" si="120"/>
        <v>1.9915096612495806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45920</v>
      </c>
      <c r="B277" s="409">
        <f>IF(t&gt;Tmaj,'2024'!Wh/'2024'!Env_an*'2025'!Env_an,0.001*'[11]mon-tableau (3)'!$B$254)</f>
        <v>48.55955831678407</v>
      </c>
      <c r="C277" s="829"/>
      <c r="D277" s="391">
        <f t="shared" si="102"/>
        <v>50.868654222098229</v>
      </c>
      <c r="E277" s="383">
        <f t="shared" si="100"/>
        <v>52.24523258560663</v>
      </c>
      <c r="F277" s="383">
        <f t="shared" si="103"/>
        <v>52.247024974226619</v>
      </c>
      <c r="G277" s="110">
        <f t="shared" si="101"/>
        <v>1.0339190299948386</v>
      </c>
      <c r="H277" s="412" t="b">
        <f>Wh_hp&gt;='2024'!Maxi_hp</f>
        <v>1</v>
      </c>
      <c r="I277" s="388">
        <f>IF(H277,Wh_hp,'2024'!Maxi_hp)</f>
        <v>52.247024974226619</v>
      </c>
      <c r="J277" s="85">
        <f>IF(H277,An,'2024'!An_max)</f>
        <v>2025</v>
      </c>
      <c r="K277" s="197">
        <f t="shared" si="104"/>
        <v>45920</v>
      </c>
      <c r="L277" s="147">
        <f>IF(t&lt;Tvie,1-EXP((T0-t)*PertePVj)+'2024'!Pspv,1-EXP((T0-t)*PertePVj)+Pspv)</f>
        <v>4.5393296532524441E-2</v>
      </c>
      <c r="M277" s="832"/>
      <c r="N277" s="832"/>
      <c r="O277" s="48">
        <f>IF(t&lt;Tnet,'2024'!Resal+('2024'!Salim-'2024'!Resal)*(1-EXP(('2024'!Tnet-t)/('2024'!Tau_j))),Resal+(Salim-Resal)*(1-EXP((Tnet-t)/(Tau_j))))*Salcycl</f>
        <v>2.6348401478600063E-2</v>
      </c>
      <c r="P277" s="169">
        <f>(INDEX(Models!$BJ277:$BT277,,T277)*(1-R277)+INDEX(Models!$BJ277:$BT277,,T277+1)*R277-ERP_i)*Q277*Ramure*Pc/MaxiM</f>
        <v>3.4306041748230937E-5</v>
      </c>
      <c r="Q277" s="304">
        <f t="shared" si="105"/>
        <v>0.6</v>
      </c>
      <c r="R277" s="177">
        <f t="shared" si="106"/>
        <v>0.99181776569463942</v>
      </c>
      <c r="S277" s="799">
        <f t="shared" si="107"/>
        <v>1</v>
      </c>
      <c r="T277" s="176">
        <f t="shared" si="108"/>
        <v>7</v>
      </c>
      <c r="U277" s="250">
        <f t="shared" si="109"/>
        <v>1.9918177656946394</v>
      </c>
      <c r="V277" s="382">
        <f t="shared" si="110"/>
        <v>46.966500188149631</v>
      </c>
      <c r="W277" s="400">
        <f t="shared" si="111"/>
        <v>48.55955831678407</v>
      </c>
      <c r="X277" s="157">
        <f t="shared" si="112"/>
        <v>45920</v>
      </c>
      <c r="Y277" s="383">
        <f t="shared" si="113"/>
        <v>46.93557856017312</v>
      </c>
      <c r="Z277" s="383">
        <f t="shared" si="114"/>
        <v>49.167451254727403</v>
      </c>
      <c r="AA277" s="384">
        <f t="shared" si="115"/>
        <v>52.24523258560663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5.8910280968433086E-2</v>
      </c>
      <c r="AD277" s="230">
        <f>(INDEX(Models!$BJ277:$BT277,,AH277)*(1-AF277)+INDEX(Models!$BJ277:$BT277,,AH277+1)*AF277-ERP_i)*AE277*Ramure*Pc/MaxiM</f>
        <v>3.4306041748230937E-5</v>
      </c>
      <c r="AE277" s="304">
        <f t="shared" si="117"/>
        <v>0.6</v>
      </c>
      <c r="AF277" s="177">
        <f t="shared" si="118"/>
        <v>0.99181776569463942</v>
      </c>
      <c r="AG277" s="799">
        <f t="shared" si="124"/>
        <v>1</v>
      </c>
      <c r="AH277" s="176">
        <f t="shared" si="119"/>
        <v>7</v>
      </c>
      <c r="AI277" s="224">
        <f t="shared" si="120"/>
        <v>1.9918177656946394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45921</v>
      </c>
      <c r="B278" s="409">
        <f>IF(t&gt;Tmaj,'2024'!Wh/'2024'!Env_an*'2025'!Env_an,0.001*'[11]mon-tableau (3)'!$B$255)</f>
        <v>47.321326128354869</v>
      </c>
      <c r="C278" s="829"/>
      <c r="D278" s="391">
        <f t="shared" si="102"/>
        <v>49.572491871536094</v>
      </c>
      <c r="E278" s="383">
        <f t="shared" si="100"/>
        <v>50.919352939188258</v>
      </c>
      <c r="F278" s="383">
        <f t="shared" si="103"/>
        <v>50.921191873462099</v>
      </c>
      <c r="G278" s="110">
        <f t="shared" si="101"/>
        <v>1.0124615605457437</v>
      </c>
      <c r="H278" s="412" t="b">
        <f>Wh_hp&gt;='2024'!Maxi_hp</f>
        <v>1</v>
      </c>
      <c r="I278" s="388">
        <f>IF(H278,Wh_hp,'2024'!Maxi_hp)</f>
        <v>50.921191873462099</v>
      </c>
      <c r="J278" s="85">
        <f>IF(H278,An,'2024'!An_max)</f>
        <v>2025</v>
      </c>
      <c r="K278" s="197">
        <f t="shared" si="104"/>
        <v>45921</v>
      </c>
      <c r="L278" s="147">
        <f>IF(t&lt;Tvie,1-EXP((T0-t)*PertePVj)+'2024'!Pspv,1-EXP((T0-t)*PertePVj)+Pspv)</f>
        <v>4.5411591352215619E-2</v>
      </c>
      <c r="M278" s="832"/>
      <c r="N278" s="832"/>
      <c r="O278" s="48">
        <f>IF(t&lt;Tnet,'2024'!Resal+('2024'!Salim-'2024'!Resal)*(1-EXP(('2024'!Tnet-t)/('2024'!Tau_j))),Resal+(Salim-Resal)*(1-EXP((Tnet-t)/(Tau_j))))*Salcycl</f>
        <v>2.6450867693874412E-2</v>
      </c>
      <c r="P278" s="169">
        <f>(INDEX(Models!$BJ278:$BT278,,T278)*(1-R278)+INDEX(Models!$BJ278:$BT278,,T278+1)*R278-ERP_i)*Q278*Ramure*Pc/MaxiM</f>
        <v>3.6113339185218186E-5</v>
      </c>
      <c r="Q278" s="304">
        <f t="shared" si="105"/>
        <v>0.6</v>
      </c>
      <c r="R278" s="177">
        <f t="shared" si="106"/>
        <v>0.99211382726722697</v>
      </c>
      <c r="S278" s="799">
        <f t="shared" si="107"/>
        <v>1</v>
      </c>
      <c r="T278" s="176">
        <f t="shared" si="108"/>
        <v>7</v>
      </c>
      <c r="U278" s="250">
        <f t="shared" si="109"/>
        <v>1.992113827267227</v>
      </c>
      <c r="V278" s="382">
        <f t="shared" si="110"/>
        <v>46.73888666237108</v>
      </c>
      <c r="W278" s="400">
        <f t="shared" si="111"/>
        <v>47.321326128354869</v>
      </c>
      <c r="X278" s="157">
        <f t="shared" si="112"/>
        <v>45921</v>
      </c>
      <c r="Y278" s="383">
        <f t="shared" si="113"/>
        <v>45.740787478914591</v>
      </c>
      <c r="Z278" s="383">
        <f t="shared" si="114"/>
        <v>47.916763983870688</v>
      </c>
      <c r="AA278" s="384">
        <f t="shared" si="115"/>
        <v>50.919352939188258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5.8967539491389186E-2</v>
      </c>
      <c r="AD278" s="230">
        <f>(INDEX(Models!$BJ278:$BT278,,AH278)*(1-AF278)+INDEX(Models!$BJ278:$BT278,,AH278+1)*AF278-ERP_i)*AE278*Ramure*Pc/MaxiM</f>
        <v>3.6113339185218186E-5</v>
      </c>
      <c r="AE278" s="304">
        <f t="shared" si="117"/>
        <v>0.6</v>
      </c>
      <c r="AF278" s="177">
        <f t="shared" si="118"/>
        <v>0.99211382726722697</v>
      </c>
      <c r="AG278" s="799">
        <f t="shared" si="124"/>
        <v>1</v>
      </c>
      <c r="AH278" s="176">
        <f t="shared" si="119"/>
        <v>7</v>
      </c>
      <c r="AI278" s="224">
        <f t="shared" si="120"/>
        <v>1.992113827267227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45922</v>
      </c>
      <c r="B279" s="409">
        <f>IF(t&gt;Tmaj,'2024'!Wh/'2024'!Env_an*'2025'!Env_an,0.001*'[11]mon-tableau (3)'!$B$256)</f>
        <v>46.027681607919739</v>
      </c>
      <c r="C279" s="829"/>
      <c r="D279" s="391">
        <f t="shared" si="102"/>
        <v>48.218230305189181</v>
      </c>
      <c r="E279" s="383">
        <f t="shared" si="100"/>
        <v>49.53348718644002</v>
      </c>
      <c r="F279" s="383">
        <f t="shared" si="103"/>
        <v>49.535342561222024</v>
      </c>
      <c r="G279" s="110">
        <f t="shared" si="101"/>
        <v>0.9896914346579746</v>
      </c>
      <c r="H279" s="412" t="b">
        <f>Wh_hp&gt;='2024'!Maxi_hp</f>
        <v>0</v>
      </c>
      <c r="I279" s="388">
        <f>IF(H279,Wh_hp,'2024'!Maxi_hp)</f>
        <v>49.535355267430838</v>
      </c>
      <c r="J279" s="85">
        <f>IF(H279,An,'2024'!An_max)</f>
        <v>2022</v>
      </c>
      <c r="K279" s="197">
        <f t="shared" si="104"/>
        <v>45922</v>
      </c>
      <c r="L279" s="147">
        <f>IF(t&lt;Tvie,1-EXP((T0-t)*PertePVj)+'2024'!Pspv,1-EXP((T0-t)*PertePVj)+Pspv)</f>
        <v>4.5429885821290705E-2</v>
      </c>
      <c r="M279" s="832"/>
      <c r="N279" s="832"/>
      <c r="O279" s="48">
        <f>IF(t&lt;Tnet,'2024'!Resal+('2024'!Salim-'2024'!Resal)*(1-EXP(('2024'!Tnet-t)/('2024'!Tau_j))),Resal+(Salim-Resal)*(1-EXP((Tnet-t)/(Tau_j))))*Salcycl</f>
        <v>2.6552882826527471E-2</v>
      </c>
      <c r="P279" s="169">
        <f>(INDEX(Models!$BJ279:$BT279,,T279)*(1-R279)+INDEX(Models!$BJ279:$BT279,,T279+1)*R279-ERP_i)*Q279*Ramure*Pc/MaxiM</f>
        <v>3.8015380118279654E-5</v>
      </c>
      <c r="Q279" s="304">
        <f t="shared" si="105"/>
        <v>0.6</v>
      </c>
      <c r="R279" s="177">
        <f t="shared" si="106"/>
        <v>0.99239830286203734</v>
      </c>
      <c r="S279" s="799">
        <f t="shared" si="107"/>
        <v>1</v>
      </c>
      <c r="T279" s="176">
        <f t="shared" si="108"/>
        <v>7</v>
      </c>
      <c r="U279" s="250">
        <f t="shared" si="109"/>
        <v>1.9923983028620373</v>
      </c>
      <c r="V279" s="382">
        <f t="shared" si="110"/>
        <v>46.507077083444621</v>
      </c>
      <c r="W279" s="400">
        <f t="shared" si="111"/>
        <v>46.027681607919739</v>
      </c>
      <c r="X279" s="157">
        <f t="shared" si="112"/>
        <v>45922</v>
      </c>
      <c r="Y279" s="383">
        <f t="shared" si="113"/>
        <v>44.492340211240915</v>
      </c>
      <c r="Z279" s="383">
        <f t="shared" si="114"/>
        <v>46.609818964970557</v>
      </c>
      <c r="AA279" s="384">
        <f t="shared" si="115"/>
        <v>49.53348718644002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5.902407416754276E-2</v>
      </c>
      <c r="AD279" s="230">
        <f>(INDEX(Models!$BJ279:$BT279,,AH279)*(1-AF279)+INDEX(Models!$BJ279:$BT279,,AH279+1)*AF279-ERP_i)*AE279*Ramure*Pc/MaxiM</f>
        <v>3.8015380118279654E-5</v>
      </c>
      <c r="AE279" s="304">
        <f t="shared" si="117"/>
        <v>0.6</v>
      </c>
      <c r="AF279" s="177">
        <f t="shared" si="118"/>
        <v>0.99239830286203734</v>
      </c>
      <c r="AG279" s="799">
        <f t="shared" si="124"/>
        <v>1</v>
      </c>
      <c r="AH279" s="176">
        <f t="shared" si="119"/>
        <v>7</v>
      </c>
      <c r="AI279" s="224">
        <f t="shared" si="120"/>
        <v>1.9923983028620373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45923</v>
      </c>
      <c r="B280" s="409">
        <f>IF(t&gt;Tmaj,'2024'!Wh/'2024'!Env_an*'2025'!Env_an,0.001*'[11]mon-tableau (3)'!$B$257)</f>
        <v>32.578167723584592</v>
      </c>
      <c r="C280" s="829"/>
      <c r="D280" s="391">
        <f t="shared" si="102"/>
        <v>34.129281448050172</v>
      </c>
      <c r="E280" s="383">
        <f t="shared" si="100"/>
        <v>35.063889607607706</v>
      </c>
      <c r="F280" s="383">
        <f t="shared" si="103"/>
        <v>35.064699502045691</v>
      </c>
      <c r="G280" s="110">
        <f t="shared" si="101"/>
        <v>0.70405857971038577</v>
      </c>
      <c r="H280" s="412" t="b">
        <f>Wh_hp&gt;='2024'!Maxi_hp</f>
        <v>0</v>
      </c>
      <c r="I280" s="388">
        <f>IF(H280,Wh_hp,'2024'!Maxi_hp)</f>
        <v>43.314137814675796</v>
      </c>
      <c r="J280" s="85">
        <f>IF(H280,An,'2024'!An_max)</f>
        <v>2021</v>
      </c>
      <c r="K280" s="197">
        <f t="shared" si="104"/>
        <v>45923</v>
      </c>
      <c r="L280" s="147">
        <f>IF(t&lt;Tvie,1-EXP((T0-t)*PertePVj)+'2024'!Pspv,1-EXP((T0-t)*PertePVj)+Pspv)</f>
        <v>4.5448179939756472E-2</v>
      </c>
      <c r="M280" s="832"/>
      <c r="N280" s="832"/>
      <c r="O280" s="48">
        <f>IF(t&lt;Tnet,'2024'!Resal+('2024'!Salim-'2024'!Resal)*(1-EXP(('2024'!Tnet-t)/('2024'!Tau_j))),Resal+(Salim-Resal)*(1-EXP((Tnet-t)/(Tau_j))))*Salcycl</f>
        <v>2.6654434805052314E-2</v>
      </c>
      <c r="P280" s="169">
        <f>(INDEX(Models!$BJ280:$BT280,,T280)*(1-R280)+INDEX(Models!$BJ280:$BT280,,T280+1)*R280-ERP_i)*Q280*Ramure*Pc/MaxiM</f>
        <v>4.0012823732372449E-5</v>
      </c>
      <c r="Q280" s="304">
        <f t="shared" si="105"/>
        <v>0.6</v>
      </c>
      <c r="R280" s="177">
        <f t="shared" si="106"/>
        <v>0.99267163311760243</v>
      </c>
      <c r="S280" s="799">
        <f t="shared" si="107"/>
        <v>1</v>
      </c>
      <c r="T280" s="176">
        <f t="shared" si="108"/>
        <v>7</v>
      </c>
      <c r="U280" s="250">
        <f t="shared" si="109"/>
        <v>1.9926716331176024</v>
      </c>
      <c r="V280" s="382">
        <f t="shared" si="110"/>
        <v>46.27117340495694</v>
      </c>
      <c r="W280" s="400">
        <f t="shared" si="111"/>
        <v>32.578167723584592</v>
      </c>
      <c r="X280" s="157">
        <f t="shared" si="112"/>
        <v>45923</v>
      </c>
      <c r="Y280" s="383">
        <f t="shared" si="113"/>
        <v>31.492878922738772</v>
      </c>
      <c r="Z280" s="383">
        <f t="shared" si="114"/>
        <v>32.992319810098103</v>
      </c>
      <c r="AA280" s="384">
        <f t="shared" si="115"/>
        <v>35.063889607607706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5.9079863092545863E-2</v>
      </c>
      <c r="AD280" s="230">
        <f>(INDEX(Models!$BJ280:$BT280,,AH280)*(1-AF280)+INDEX(Models!$BJ280:$BT280,,AH280+1)*AF280-ERP_i)*AE280*Ramure*Pc/MaxiM</f>
        <v>4.0012823732372449E-5</v>
      </c>
      <c r="AE280" s="304">
        <f t="shared" si="117"/>
        <v>0.6</v>
      </c>
      <c r="AF280" s="177">
        <f t="shared" si="118"/>
        <v>0.99267163311760243</v>
      </c>
      <c r="AG280" s="799">
        <f t="shared" si="124"/>
        <v>1</v>
      </c>
      <c r="AH280" s="176">
        <f t="shared" si="119"/>
        <v>7</v>
      </c>
      <c r="AI280" s="224">
        <f t="shared" si="120"/>
        <v>1.9926716331176024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45924</v>
      </c>
      <c r="B281" s="409">
        <f>IF(t&gt;Tmaj,'2024'!Wh/'2024'!Env_an*'2025'!Env_an,0.001*'[11]mon-tableau (3)'!$B$258)</f>
        <v>18.519092691307836</v>
      </c>
      <c r="C281" s="829"/>
      <c r="D281" s="391">
        <f t="shared" si="102"/>
        <v>19.401196690534377</v>
      </c>
      <c r="E281" s="383">
        <f t="shared" si="100"/>
        <v>19.934555930476588</v>
      </c>
      <c r="F281" s="383">
        <f t="shared" si="103"/>
        <v>19.934678617483826</v>
      </c>
      <c r="G281" s="110">
        <f t="shared" si="101"/>
        <v>0.40230095472680921</v>
      </c>
      <c r="H281" s="412" t="b">
        <f>Wh_hp&gt;='2024'!Maxi_hp</f>
        <v>0</v>
      </c>
      <c r="I281" s="388">
        <f>IF(H281,Wh_hp,'2024'!Maxi_hp)</f>
        <v>43.384541721518524</v>
      </c>
      <c r="J281" s="85">
        <f>IF(H281,An,'2024'!An_max)</f>
        <v>2021</v>
      </c>
      <c r="K281" s="197">
        <f t="shared" si="104"/>
        <v>45924</v>
      </c>
      <c r="L281" s="147">
        <f>IF(t&lt;Tvie,1-EXP((T0-t)*PertePVj)+'2024'!Pspv,1-EXP((T0-t)*PertePVj)+Pspv)</f>
        <v>4.5466473707619692E-2</v>
      </c>
      <c r="M281" s="832"/>
      <c r="N281" s="832"/>
      <c r="O281" s="48">
        <f>IF(t&lt;Tnet,'2024'!Resal+('2024'!Salim-'2024'!Resal)*(1-EXP(('2024'!Tnet-t)/('2024'!Tau_j))),Resal+(Salim-Resal)*(1-EXP((Tnet-t)/(Tau_j))))*Salcycl</f>
        <v>2.6755511474764931E-2</v>
      </c>
      <c r="P281" s="169">
        <f>(INDEX(Models!$BJ281:$BT281,,T281)*(1-R281)+INDEX(Models!$BJ281:$BT281,,T281+1)*R281-ERP_i)*Q281*Ramure*Pc/MaxiM</f>
        <v>4.2106223181750119E-5</v>
      </c>
      <c r="Q281" s="304">
        <f t="shared" si="105"/>
        <v>0.6</v>
      </c>
      <c r="R281" s="177">
        <f t="shared" si="106"/>
        <v>0.99293424290973853</v>
      </c>
      <c r="S281" s="799">
        <f t="shared" si="107"/>
        <v>1</v>
      </c>
      <c r="T281" s="176">
        <f t="shared" si="108"/>
        <v>7</v>
      </c>
      <c r="U281" s="250">
        <f t="shared" si="109"/>
        <v>1.9929342429097385</v>
      </c>
      <c r="V281" s="382">
        <f t="shared" si="110"/>
        <v>46.031277518563819</v>
      </c>
      <c r="W281" s="400">
        <f t="shared" si="111"/>
        <v>18.519092691307836</v>
      </c>
      <c r="X281" s="157">
        <f t="shared" si="112"/>
        <v>45924</v>
      </c>
      <c r="Y281" s="383">
        <f t="shared" si="113"/>
        <v>17.902971443839952</v>
      </c>
      <c r="Z281" s="383">
        <f t="shared" si="114"/>
        <v>18.755728270099699</v>
      </c>
      <c r="AA281" s="384">
        <f t="shared" si="115"/>
        <v>19.934555930476588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5.9134884393118654E-2</v>
      </c>
      <c r="AD281" s="230">
        <f>(INDEX(Models!$BJ281:$BT281,,AH281)*(1-AF281)+INDEX(Models!$BJ281:$BT281,,AH281+1)*AF281-ERP_i)*AE281*Ramure*Pc/MaxiM</f>
        <v>4.2106223181750119E-5</v>
      </c>
      <c r="AE281" s="304">
        <f t="shared" si="117"/>
        <v>0.6</v>
      </c>
      <c r="AF281" s="177">
        <f t="shared" si="118"/>
        <v>0.99293424290973853</v>
      </c>
      <c r="AG281" s="799">
        <f t="shared" si="124"/>
        <v>1</v>
      </c>
      <c r="AH281" s="176">
        <f t="shared" si="119"/>
        <v>7</v>
      </c>
      <c r="AI281" s="224">
        <f t="shared" si="120"/>
        <v>1.9929342429097385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45925</v>
      </c>
      <c r="B282" s="409">
        <f>IF(t&gt;Tmaj,'2024'!Wh/'2024'!Env_an*'2025'!Env_an,0.001*'[11]mon-tableau (3)'!$B$259)</f>
        <v>36.19871275792331</v>
      </c>
      <c r="C282" s="829"/>
      <c r="D282" s="391">
        <f t="shared" si="102"/>
        <v>37.923661677863954</v>
      </c>
      <c r="E282" s="383">
        <f t="shared" si="100"/>
        <v>38.970250651918036</v>
      </c>
      <c r="F282" s="383">
        <f t="shared" si="103"/>
        <v>38.97145788845517</v>
      </c>
      <c r="G282" s="110">
        <f t="shared" si="101"/>
        <v>0.79057029850654814</v>
      </c>
      <c r="H282" s="412" t="b">
        <f>Wh_hp&gt;='2024'!Maxi_hp</f>
        <v>0</v>
      </c>
      <c r="I282" s="388">
        <f>IF(H282,Wh_hp,'2024'!Maxi_hp)</f>
        <v>38.971690131300377</v>
      </c>
      <c r="J282" s="85">
        <f>IF(H282,An,'2024'!An_max)</f>
        <v>2022</v>
      </c>
      <c r="K282" s="197">
        <f t="shared" si="104"/>
        <v>45925</v>
      </c>
      <c r="L282" s="147">
        <f>IF(t&lt;Tvie,1-EXP((T0-t)*PertePVj)+'2024'!Pspv,1-EXP((T0-t)*PertePVj)+Pspv)</f>
        <v>4.5484767124887027E-2</v>
      </c>
      <c r="M282" s="832"/>
      <c r="N282" s="832"/>
      <c r="O282" s="48">
        <f>IF(t&lt;Tnet,'2024'!Resal+('2024'!Salim-'2024'!Resal)*(1-EXP(('2024'!Tnet-t)/('2024'!Tau_j))),Resal+(Salim-Resal)*(1-EXP((Tnet-t)/(Tau_j))))*Salcycl</f>
        <v>2.6856100654886833E-2</v>
      </c>
      <c r="P282" s="169">
        <f>(INDEX(Models!$BJ282:$BT282,,T282)*(1-R282)+INDEX(Models!$BJ282:$BT282,,T282+1)*R282-ERP_i)*Q282*Ramure*Pc/MaxiM</f>
        <v>4.4201117826267331E-5</v>
      </c>
      <c r="Q282" s="304">
        <f t="shared" si="105"/>
        <v>0.6</v>
      </c>
      <c r="R282" s="177">
        <f t="shared" si="106"/>
        <v>0.99318654183695676</v>
      </c>
      <c r="S282" s="799">
        <f t="shared" si="107"/>
        <v>1</v>
      </c>
      <c r="T282" s="176">
        <f t="shared" si="108"/>
        <v>7</v>
      </c>
      <c r="U282" s="250">
        <f t="shared" si="109"/>
        <v>1.9931865418369568</v>
      </c>
      <c r="V282" s="382">
        <f t="shared" si="110"/>
        <v>45.787495598887432</v>
      </c>
      <c r="W282" s="400">
        <f t="shared" si="111"/>
        <v>36.19871275792331</v>
      </c>
      <c r="X282" s="157">
        <f t="shared" si="112"/>
        <v>45925</v>
      </c>
      <c r="Y282" s="383">
        <f t="shared" si="113"/>
        <v>34.995999008650848</v>
      </c>
      <c r="Z282" s="383">
        <f t="shared" si="114"/>
        <v>36.663635951873445</v>
      </c>
      <c r="AA282" s="384">
        <f t="shared" si="115"/>
        <v>38.970250651918036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5.918911635050169E-2</v>
      </c>
      <c r="AD282" s="230">
        <f>(INDEX(Models!$BJ282:$BT282,,AH282)*(1-AF282)+INDEX(Models!$BJ282:$BT282,,AH282+1)*AF282-ERP_i)*AE282*Ramure*Pc/MaxiM</f>
        <v>4.4201117826267331E-5</v>
      </c>
      <c r="AE282" s="304">
        <f t="shared" si="117"/>
        <v>0.6</v>
      </c>
      <c r="AF282" s="177">
        <f t="shared" si="118"/>
        <v>0.99318654183695676</v>
      </c>
      <c r="AG282" s="799">
        <f t="shared" si="124"/>
        <v>1</v>
      </c>
      <c r="AH282" s="176">
        <f t="shared" si="119"/>
        <v>7</v>
      </c>
      <c r="AI282" s="224">
        <f t="shared" si="120"/>
        <v>1.9931865418369568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45926</v>
      </c>
      <c r="B283" s="409">
        <f>IF(t&gt;Tmaj,'2024'!Wh/'2024'!Env_an*'2025'!Env_an,0.001*'[11]mon-tableau (3)'!$B$260)</f>
        <v>36.060256021656372</v>
      </c>
      <c r="C283" s="829"/>
      <c r="D283" s="391">
        <f t="shared" si="102"/>
        <v>37.779331203401838</v>
      </c>
      <c r="E283" s="383">
        <f t="shared" si="100"/>
        <v>38.825930367099183</v>
      </c>
      <c r="F283" s="383">
        <f t="shared" si="103"/>
        <v>38.827192417426019</v>
      </c>
      <c r="G283" s="110">
        <f t="shared" si="101"/>
        <v>0.79182728509680855</v>
      </c>
      <c r="H283" s="412" t="b">
        <f>Wh_hp&gt;='2024'!Maxi_hp</f>
        <v>0</v>
      </c>
      <c r="I283" s="388">
        <f>IF(H283,Wh_hp,'2024'!Maxi_hp)</f>
        <v>41.572893006475333</v>
      </c>
      <c r="J283" s="85">
        <f>IF(H283,An,'2024'!An_max)</f>
        <v>2021</v>
      </c>
      <c r="K283" s="197">
        <f t="shared" si="104"/>
        <v>45926</v>
      </c>
      <c r="L283" s="147">
        <f>IF(t&lt;Tvie,1-EXP((T0-t)*PertePVj)+'2024'!Pspv,1-EXP((T0-t)*PertePVj)+Pspv)</f>
        <v>4.5503060191565137E-2</v>
      </c>
      <c r="M283" s="832"/>
      <c r="N283" s="832"/>
      <c r="O283" s="48">
        <f>IF(t&lt;Tnet,'2024'!Resal+('2024'!Salim-'2024'!Resal)*(1-EXP(('2024'!Tnet-t)/('2024'!Tau_j))),Resal+(Salim-Resal)*(1-EXP((Tnet-t)/(Tau_j))))*Salcycl</f>
        <v>2.6956190200769233E-2</v>
      </c>
      <c r="P283" s="169">
        <f>(INDEX(Models!$BJ283:$BT283,,T283)*(1-R283)+INDEX(Models!$BJ283:$BT283,,T283+1)*R283-ERP_i)*Q283*Ramure*Pc/MaxiM</f>
        <v>4.6261156759005228E-5</v>
      </c>
      <c r="Q283" s="304">
        <f t="shared" si="105"/>
        <v>0.6</v>
      </c>
      <c r="R283" s="177">
        <f t="shared" si="106"/>
        <v>0.99342892469733468</v>
      </c>
      <c r="S283" s="799">
        <f t="shared" si="107"/>
        <v>1</v>
      </c>
      <c r="T283" s="176">
        <f t="shared" si="108"/>
        <v>7</v>
      </c>
      <c r="U283" s="250">
        <f t="shared" si="109"/>
        <v>1.9934289246973347</v>
      </c>
      <c r="V283" s="382">
        <f t="shared" si="110"/>
        <v>45.539931002743209</v>
      </c>
      <c r="W283" s="400">
        <f t="shared" si="111"/>
        <v>36.060256021656372</v>
      </c>
      <c r="X283" s="157">
        <f t="shared" si="112"/>
        <v>45926</v>
      </c>
      <c r="Y283" s="383">
        <f t="shared" si="113"/>
        <v>34.863748794453599</v>
      </c>
      <c r="Z283" s="383">
        <f t="shared" si="114"/>
        <v>36.525783730066927</v>
      </c>
      <c r="AA283" s="384">
        <f t="shared" si="115"/>
        <v>38.825930367099183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5.9242537533147822E-2</v>
      </c>
      <c r="AD283" s="230">
        <f>(INDEX(Models!$BJ283:$BT283,,AH283)*(1-AF283)+INDEX(Models!$BJ283:$BT283,,AH283+1)*AF283-ERP_i)*AE283*Ramure*Pc/MaxiM</f>
        <v>4.6261156759005228E-5</v>
      </c>
      <c r="AE283" s="304">
        <f t="shared" si="117"/>
        <v>0.6</v>
      </c>
      <c r="AF283" s="177">
        <f t="shared" si="118"/>
        <v>0.99342892469733468</v>
      </c>
      <c r="AG283" s="799">
        <f t="shared" si="124"/>
        <v>1</v>
      </c>
      <c r="AH283" s="176">
        <f t="shared" si="119"/>
        <v>7</v>
      </c>
      <c r="AI283" s="224">
        <f t="shared" si="120"/>
        <v>1.9934289246973347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45927</v>
      </c>
      <c r="B284" s="409">
        <f>IF(t&gt;Tmaj,'2024'!Wh/'2024'!Env_an*'2025'!Env_an,0.001*'[11]mon-tableau (3)'!$B$261)</f>
        <v>17.207891326073003</v>
      </c>
      <c r="C284" s="829"/>
      <c r="D284" s="391">
        <f t="shared" si="102"/>
        <v>18.02857652027522</v>
      </c>
      <c r="E284" s="383">
        <f t="shared" si="100"/>
        <v>18.529917675272312</v>
      </c>
      <c r="F284" s="383">
        <f t="shared" si="103"/>
        <v>18.530019879574848</v>
      </c>
      <c r="G284" s="110">
        <f t="shared" si="101"/>
        <v>0.37994380278828371</v>
      </c>
      <c r="H284" s="412" t="b">
        <f>Wh_hp&gt;='2024'!Maxi_hp</f>
        <v>0</v>
      </c>
      <c r="I284" s="388">
        <f>IF(H284,Wh_hp,'2024'!Maxi_hp)</f>
        <v>41.366659117573256</v>
      </c>
      <c r="J284" s="85">
        <f>IF(H284,An,'2024'!An_max)</f>
        <v>2018</v>
      </c>
      <c r="K284" s="197">
        <f t="shared" si="104"/>
        <v>45927</v>
      </c>
      <c r="L284" s="147">
        <f>IF(t&lt;Tvie,1-EXP((T0-t)*PertePVj)+'2024'!Pspv,1-EXP((T0-t)*PertePVj)+Pspv)</f>
        <v>4.5521352907660795E-2</v>
      </c>
      <c r="M284" s="832"/>
      <c r="N284" s="832"/>
      <c r="O284" s="48">
        <f>IF(t&lt;Tnet,'2024'!Resal+('2024'!Salim-'2024'!Resal)*(1-EXP(('2024'!Tnet-t)/('2024'!Tau_j))),Resal+(Salim-Resal)*(1-EXP((Tnet-t)/(Tau_j))))*Salcycl</f>
        <v>2.7055768071010854E-2</v>
      </c>
      <c r="P284" s="169">
        <f>(INDEX(Models!$BJ284:$BT284,,T284)*(1-R284)+INDEX(Models!$BJ284:$BT284,,T284+1)*R284-ERP_i)*Q284*Ramure*Pc/MaxiM</f>
        <v>4.8285669339608407E-5</v>
      </c>
      <c r="Q284" s="304">
        <f t="shared" si="105"/>
        <v>0.6</v>
      </c>
      <c r="R284" s="177">
        <f t="shared" si="106"/>
        <v>0.99366177195640404</v>
      </c>
      <c r="S284" s="799">
        <f t="shared" si="107"/>
        <v>1</v>
      </c>
      <c r="T284" s="176">
        <f t="shared" si="108"/>
        <v>7</v>
      </c>
      <c r="U284" s="250">
        <f t="shared" si="109"/>
        <v>1.993661771956404</v>
      </c>
      <c r="V284" s="382">
        <f t="shared" si="110"/>
        <v>45.288685361220949</v>
      </c>
      <c r="W284" s="400">
        <f t="shared" si="111"/>
        <v>17.207891326073003</v>
      </c>
      <c r="X284" s="157">
        <f t="shared" si="112"/>
        <v>45927</v>
      </c>
      <c r="Y284" s="383">
        <f t="shared" si="113"/>
        <v>16.637692782725107</v>
      </c>
      <c r="Z284" s="383">
        <f t="shared" si="114"/>
        <v>17.43118385456718</v>
      </c>
      <c r="AA284" s="384">
        <f t="shared" si="115"/>
        <v>18.529917675272312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5.9295126937955252E-2</v>
      </c>
      <c r="AD284" s="230">
        <f>(INDEX(Models!$BJ284:$BT284,,AH284)*(1-AF284)+INDEX(Models!$BJ284:$BT284,,AH284+1)*AF284-ERP_i)*AE284*Ramure*Pc/MaxiM</f>
        <v>4.8285669339608407E-5</v>
      </c>
      <c r="AE284" s="304">
        <f t="shared" si="117"/>
        <v>0.6</v>
      </c>
      <c r="AF284" s="177">
        <f t="shared" si="118"/>
        <v>0.99366177195640404</v>
      </c>
      <c r="AG284" s="799">
        <f t="shared" si="124"/>
        <v>1</v>
      </c>
      <c r="AH284" s="176">
        <f t="shared" si="119"/>
        <v>7</v>
      </c>
      <c r="AI284" s="224">
        <f t="shared" si="120"/>
        <v>1.993661771956404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45928</v>
      </c>
      <c r="B285" s="409">
        <f>IF(t&gt;Tmaj,'2024'!Wh/'2024'!Env_an*'2025'!Env_an,0.001*'[11]mon-tableau (3)'!$B$262)</f>
        <v>19.631312081206605</v>
      </c>
      <c r="C285" s="829"/>
      <c r="D285" s="391">
        <f t="shared" si="102"/>
        <v>20.567970145627871</v>
      </c>
      <c r="E285" s="383">
        <f t="shared" si="100"/>
        <v>21.142079561262822</v>
      </c>
      <c r="F285" s="383">
        <f t="shared" si="103"/>
        <v>21.142285952335989</v>
      </c>
      <c r="G285" s="110">
        <f t="shared" si="101"/>
        <v>0.43590570905219167</v>
      </c>
      <c r="H285" s="412" t="b">
        <f>Wh_hp&gt;='2024'!Maxi_hp</f>
        <v>0</v>
      </c>
      <c r="I285" s="388">
        <f>IF(H285,Wh_hp,'2024'!Maxi_hp)</f>
        <v>36.836006686533622</v>
      </c>
      <c r="J285" s="85">
        <f>IF(H285,An,'2024'!An_max)</f>
        <v>2018</v>
      </c>
      <c r="K285" s="197">
        <f t="shared" si="104"/>
        <v>45928</v>
      </c>
      <c r="L285" s="147">
        <f>IF(t&lt;Tvie,1-EXP((T0-t)*PertePVj)+'2024'!Pspv,1-EXP((T0-t)*PertePVj)+Pspv)</f>
        <v>4.5539645273180773E-2</v>
      </c>
      <c r="M285" s="832"/>
      <c r="N285" s="832"/>
      <c r="O285" s="48">
        <f>IF(t&lt;Tnet,'2024'!Resal+('2024'!Salim-'2024'!Resal)*(1-EXP(('2024'!Tnet-t)/('2024'!Tau_j))),Resal+(Salim-Resal)*(1-EXP((Tnet-t)/(Tau_j))))*Salcycl</f>
        <v>2.7154822399157546E-2</v>
      </c>
      <c r="P285" s="169">
        <f>(INDEX(Models!$BJ285:$BT285,,T285)*(1-R285)+INDEX(Models!$BJ285:$BT285,,T285+1)*R285-ERP_i)*Q285*Ramure*Pc/MaxiM</f>
        <v>5.0273934546074517E-5</v>
      </c>
      <c r="Q285" s="304">
        <f t="shared" si="105"/>
        <v>0.6</v>
      </c>
      <c r="R285" s="177">
        <f t="shared" si="106"/>
        <v>0.99388545020569063</v>
      </c>
      <c r="S285" s="799">
        <f t="shared" si="107"/>
        <v>1</v>
      </c>
      <c r="T285" s="176">
        <f t="shared" si="108"/>
        <v>7</v>
      </c>
      <c r="U285" s="250">
        <f t="shared" si="109"/>
        <v>1.9938854502056906</v>
      </c>
      <c r="V285" s="382">
        <f t="shared" si="110"/>
        <v>45.033860221212322</v>
      </c>
      <c r="W285" s="400">
        <f t="shared" si="111"/>
        <v>19.631312081206605</v>
      </c>
      <c r="X285" s="157">
        <f t="shared" si="112"/>
        <v>45928</v>
      </c>
      <c r="Y285" s="383">
        <f t="shared" si="113"/>
        <v>18.981699961538254</v>
      </c>
      <c r="Z285" s="383">
        <f t="shared" si="114"/>
        <v>19.887363437919955</v>
      </c>
      <c r="AA285" s="384">
        <f t="shared" si="115"/>
        <v>21.142079561262822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5.9346864139221092E-2</v>
      </c>
      <c r="AD285" s="230">
        <f>(INDEX(Models!$BJ285:$BT285,,AH285)*(1-AF285)+INDEX(Models!$BJ285:$BT285,,AH285+1)*AF285-ERP_i)*AE285*Ramure*Pc/MaxiM</f>
        <v>5.0273934546074517E-5</v>
      </c>
      <c r="AE285" s="304">
        <f t="shared" si="117"/>
        <v>0.6</v>
      </c>
      <c r="AF285" s="177">
        <f t="shared" si="118"/>
        <v>0.99388545020569063</v>
      </c>
      <c r="AG285" s="799">
        <f t="shared" si="124"/>
        <v>1</v>
      </c>
      <c r="AH285" s="176">
        <f t="shared" si="119"/>
        <v>7</v>
      </c>
      <c r="AI285" s="224">
        <f t="shared" si="120"/>
        <v>1.9938854502056906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45929</v>
      </c>
      <c r="B286" s="409">
        <f>IF(t&gt;Tmaj,'2024'!Wh/'2024'!Env_an*'2025'!Env_an,0.001*'[11]mon-tableau (3)'!$B$263)</f>
        <v>23.609185446573107</v>
      </c>
      <c r="C286" s="829"/>
      <c r="D286" s="391">
        <f t="shared" si="102"/>
        <v>24.736111670824766</v>
      </c>
      <c r="E286" s="383">
        <f t="shared" si="100"/>
        <v>25.429140728932033</v>
      </c>
      <c r="F286" s="383">
        <f t="shared" si="103"/>
        <v>25.429571929391994</v>
      </c>
      <c r="G286" s="110">
        <f t="shared" si="101"/>
        <v>0.52725983391413678</v>
      </c>
      <c r="H286" s="412" t="b">
        <f>Wh_hp&gt;='2024'!Maxi_hp</f>
        <v>0</v>
      </c>
      <c r="I286" s="388">
        <f>IF(H286,Wh_hp,'2024'!Maxi_hp)</f>
        <v>46.051965901147405</v>
      </c>
      <c r="J286" s="85">
        <f>IF(H286,An,'2024'!An_max)</f>
        <v>2018</v>
      </c>
      <c r="K286" s="197">
        <f t="shared" si="104"/>
        <v>45929</v>
      </c>
      <c r="L286" s="147">
        <f>IF(t&lt;Tvie,1-EXP((T0-t)*PertePVj)+'2024'!Pspv,1-EXP((T0-t)*PertePVj)+Pspv)</f>
        <v>4.5557937288131733E-2</v>
      </c>
      <c r="M286" s="832"/>
      <c r="N286" s="832"/>
      <c r="O286" s="48">
        <f>IF(t&lt;Tnet,'2024'!Resal+('2024'!Salim-'2024'!Resal)*(1-EXP(('2024'!Tnet-t)/('2024'!Tau_j))),Resal+(Salim-Resal)*(1-EXP((Tnet-t)/(Tau_j))))*Salcycl</f>
        <v>2.725334156961012E-2</v>
      </c>
      <c r="P286" s="169">
        <f>(INDEX(Models!$BJ286:$BT286,,T286)*(1-R286)+INDEX(Models!$BJ286:$BT286,,T286+1)*R286-ERP_i)*Q286*Ramure*Pc/MaxiM</f>
        <v>5.2225184650351449E-5</v>
      </c>
      <c r="Q286" s="304">
        <f t="shared" si="105"/>
        <v>0.6</v>
      </c>
      <c r="R286" s="177">
        <f t="shared" si="106"/>
        <v>0.99410031261160081</v>
      </c>
      <c r="S286" s="799">
        <f t="shared" si="107"/>
        <v>1</v>
      </c>
      <c r="T286" s="176">
        <f t="shared" si="108"/>
        <v>7</v>
      </c>
      <c r="U286" s="250">
        <f t="shared" si="109"/>
        <v>1.9941003126116008</v>
      </c>
      <c r="V286" s="382">
        <f t="shared" si="110"/>
        <v>44.775557045417948</v>
      </c>
      <c r="W286" s="400">
        <f t="shared" si="111"/>
        <v>23.609185446573107</v>
      </c>
      <c r="X286" s="157">
        <f t="shared" si="112"/>
        <v>45929</v>
      </c>
      <c r="Y286" s="383">
        <f t="shared" si="113"/>
        <v>22.829020531253242</v>
      </c>
      <c r="Z286" s="383">
        <f t="shared" si="114"/>
        <v>23.918707507911858</v>
      </c>
      <c r="AA286" s="384">
        <f t="shared" si="115"/>
        <v>25.429140728932033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5.9397729444380293E-2</v>
      </c>
      <c r="AD286" s="230">
        <f>(INDEX(Models!$BJ286:$BT286,,AH286)*(1-AF286)+INDEX(Models!$BJ286:$BT286,,AH286+1)*AF286-ERP_i)*AE286*Ramure*Pc/MaxiM</f>
        <v>5.2225184650351449E-5</v>
      </c>
      <c r="AE286" s="304">
        <f t="shared" si="117"/>
        <v>0.6</v>
      </c>
      <c r="AF286" s="177">
        <f t="shared" si="118"/>
        <v>0.99410031261160081</v>
      </c>
      <c r="AG286" s="799">
        <f t="shared" si="124"/>
        <v>1</v>
      </c>
      <c r="AH286" s="176">
        <f t="shared" si="119"/>
        <v>7</v>
      </c>
      <c r="AI286" s="224">
        <f t="shared" si="120"/>
        <v>1.9941003126116008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45930</v>
      </c>
      <c r="B287" s="409">
        <f>IF(t&gt;Tmaj,'2024'!Wh/'2024'!Env_an*'2025'!Env_an,0.001*'[11]mon-tableau (3)'!$B$264)</f>
        <v>26.088708440843263</v>
      </c>
      <c r="C287" s="829"/>
      <c r="D287" s="391">
        <f t="shared" si="102"/>
        <v>27.334512438024166</v>
      </c>
      <c r="E287" s="383">
        <f t="shared" si="100"/>
        <v>28.103171103630533</v>
      </c>
      <c r="F287" s="383">
        <f t="shared" si="103"/>
        <v>28.103792919799442</v>
      </c>
      <c r="G287" s="110">
        <f t="shared" si="101"/>
        <v>0.58606158085233306</v>
      </c>
      <c r="H287" s="412" t="b">
        <f>Wh_hp&gt;='2024'!Maxi_hp</f>
        <v>0</v>
      </c>
      <c r="I287" s="388">
        <f>IF(H287,Wh_hp,'2024'!Maxi_hp)</f>
        <v>37.058781916389229</v>
      </c>
      <c r="J287" s="85">
        <f>IF(H287,An,'2024'!An_max)</f>
        <v>2020</v>
      </c>
      <c r="K287" s="197">
        <f t="shared" si="104"/>
        <v>45930</v>
      </c>
      <c r="L287" s="147">
        <f>IF(t&lt;Tvie,1-EXP((T0-t)*PertePVj)+'2024'!Pspv,1-EXP((T0-t)*PertePVj)+Pspv)</f>
        <v>4.5576228952520337E-2</v>
      </c>
      <c r="M287" s="832"/>
      <c r="N287" s="832"/>
      <c r="O287" s="48">
        <f>IF(t&lt;Tnet,'2024'!Resal+('2024'!Salim-'2024'!Resal)*(1-EXP(('2024'!Tnet-t)/('2024'!Tau_j))),Resal+(Salim-Resal)*(1-EXP((Tnet-t)/(Tau_j))))*Salcycl</f>
        <v>2.7351314297305973E-2</v>
      </c>
      <c r="P287" s="169">
        <f>(INDEX(Models!$BJ287:$BT287,,T287)*(1-R287)+INDEX(Models!$BJ287:$BT287,,T287+1)*R287-ERP_i)*Q287*Ramure*Pc/MaxiM</f>
        <v>5.4138609301636545E-5</v>
      </c>
      <c r="Q287" s="304">
        <f t="shared" si="105"/>
        <v>0.6</v>
      </c>
      <c r="R287" s="177">
        <f t="shared" si="106"/>
        <v>0.99430669935440985</v>
      </c>
      <c r="S287" s="799">
        <f t="shared" si="107"/>
        <v>1</v>
      </c>
      <c r="T287" s="176">
        <f t="shared" si="108"/>
        <v>7</v>
      </c>
      <c r="U287" s="250">
        <f t="shared" si="109"/>
        <v>1.9943066993544099</v>
      </c>
      <c r="V287" s="382">
        <f t="shared" si="110"/>
        <v>44.513877209010296</v>
      </c>
      <c r="W287" s="400">
        <f t="shared" si="111"/>
        <v>26.088708440843263</v>
      </c>
      <c r="X287" s="157">
        <f t="shared" si="112"/>
        <v>45930</v>
      </c>
      <c r="Y287" s="383">
        <f t="shared" si="113"/>
        <v>25.22780833712304</v>
      </c>
      <c r="Z287" s="383">
        <f t="shared" si="114"/>
        <v>26.432502104841262</v>
      </c>
      <c r="AA287" s="384">
        <f t="shared" si="115"/>
        <v>28.103171103630533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5.9447704055484461E-2</v>
      </c>
      <c r="AD287" s="230">
        <f>(INDEX(Models!$BJ287:$BT287,,AH287)*(1-AF287)+INDEX(Models!$BJ287:$BT287,,AH287+1)*AF287-ERP_i)*AE287*Ramure*Pc/MaxiM</f>
        <v>5.4138609301636545E-5</v>
      </c>
      <c r="AE287" s="304">
        <f t="shared" si="117"/>
        <v>0.6</v>
      </c>
      <c r="AF287" s="177">
        <f t="shared" si="118"/>
        <v>0.99430669935440985</v>
      </c>
      <c r="AG287" s="799">
        <f t="shared" si="124"/>
        <v>1</v>
      </c>
      <c r="AH287" s="176">
        <f t="shared" si="119"/>
        <v>7</v>
      </c>
      <c r="AI287" s="224">
        <f t="shared" si="120"/>
        <v>1.9943066993544099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45931</v>
      </c>
      <c r="B288" s="409">
        <f>IF(t&gt;Tmaj,'2024'!Wh/'2024'!Env_an*'2025'!Env_an,0.001*'[12]mon-tableau (1)'!$B$242)</f>
        <v>37.68778489289118</v>
      </c>
      <c r="C288" s="829"/>
      <c r="D288" s="391">
        <f t="shared" si="102"/>
        <v>39.488231881703996</v>
      </c>
      <c r="E288" s="383">
        <f t="shared" si="100"/>
        <v>40.602725108730667</v>
      </c>
      <c r="F288" s="383">
        <f t="shared" si="103"/>
        <v>40.604517729089466</v>
      </c>
      <c r="G288" s="110">
        <f t="shared" si="101"/>
        <v>0.85171199666299835</v>
      </c>
      <c r="H288" s="412" t="b">
        <f>Wh_hp&gt;='2024'!Maxi_hp</f>
        <v>0</v>
      </c>
      <c r="I288" s="388">
        <f>IF(H288,Wh_hp,'2024'!Maxi_hp)</f>
        <v>45.618686630492995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4.5594520266353356E-2</v>
      </c>
      <c r="M288" s="832"/>
      <c r="N288" s="832"/>
      <c r="O288" s="48">
        <f>IF(t&lt;Tnet,'2024'!Resal+('2024'!Salim-'2024'!Resal)*(1-EXP(('2024'!Tnet-t)/('2024'!Tau_j))),Resal+(Salim-Resal)*(1-EXP((Tnet-t)/(Tau_j))))*Salcycl</f>
        <v>2.7448729710681973E-2</v>
      </c>
      <c r="P288" s="169">
        <f>(INDEX(Models!$BJ288:$BT288,,T288)*(1-R288)+INDEX(Models!$BJ288:$BT288,,T288+1)*R288-ERP_i)*Q288*Ramure*Pc/MaxiM</f>
        <v>5.6013360009010654E-5</v>
      </c>
      <c r="Q288" s="304">
        <f t="shared" si="105"/>
        <v>0.6</v>
      </c>
      <c r="R288" s="177">
        <f t="shared" si="106"/>
        <v>0.99450493805715823</v>
      </c>
      <c r="S288" s="799">
        <f t="shared" si="107"/>
        <v>1</v>
      </c>
      <c r="T288" s="176">
        <f t="shared" si="108"/>
        <v>7</v>
      </c>
      <c r="U288" s="250">
        <f t="shared" si="109"/>
        <v>1.9945049380571582</v>
      </c>
      <c r="V288" s="382">
        <f t="shared" si="110"/>
        <v>44.248921998177586</v>
      </c>
      <c r="W288" s="400">
        <f t="shared" si="111"/>
        <v>37.68778489289118</v>
      </c>
      <c r="X288" s="157">
        <f t="shared" si="112"/>
        <v>45931</v>
      </c>
      <c r="Y288" s="383">
        <f t="shared" si="113"/>
        <v>36.445876425515266</v>
      </c>
      <c r="Z288" s="383">
        <f t="shared" si="114"/>
        <v>38.186994102010502</v>
      </c>
      <c r="AA288" s="384">
        <f t="shared" si="115"/>
        <v>40.602725108730667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5.9496770235274589E-2</v>
      </c>
      <c r="AD288" s="230">
        <f>(INDEX(Models!$BJ288:$BT288,,AH288)*(1-AF288)+INDEX(Models!$BJ288:$BT288,,AH288+1)*AF288-ERP_i)*AE288*Ramure*Pc/MaxiM</f>
        <v>5.6013360009010654E-5</v>
      </c>
      <c r="AE288" s="304">
        <f t="shared" si="117"/>
        <v>0.6</v>
      </c>
      <c r="AF288" s="177">
        <f t="shared" si="118"/>
        <v>0.99450493805715823</v>
      </c>
      <c r="AG288" s="799">
        <f t="shared" si="124"/>
        <v>1</v>
      </c>
      <c r="AH288" s="176">
        <f t="shared" si="119"/>
        <v>7</v>
      </c>
      <c r="AI288" s="224">
        <f t="shared" si="120"/>
        <v>1.9945049380571582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45932</v>
      </c>
      <c r="B289" s="409">
        <f>IF(t&gt;Tmaj,'2024'!Wh/'2024'!Env_an*'2025'!Env_an,0.001*'[12]mon-tableau (1)'!$B$243)</f>
        <v>40.804261408266001</v>
      </c>
      <c r="C289" s="829"/>
      <c r="D289" s="391">
        <f t="shared" si="102"/>
        <v>42.754410252340492</v>
      </c>
      <c r="E289" s="383">
        <f t="shared" si="100"/>
        <v>43.965464355309706</v>
      </c>
      <c r="F289" s="383">
        <f t="shared" si="103"/>
        <v>43.967745480443043</v>
      </c>
      <c r="G289" s="110">
        <f t="shared" si="101"/>
        <v>0.92778345092433356</v>
      </c>
      <c r="H289" s="412" t="b">
        <f>Wh_hp&gt;='2024'!Maxi_hp</f>
        <v>0</v>
      </c>
      <c r="I289" s="388">
        <f>IF(H289,Wh_hp,'2024'!Maxi_hp)</f>
        <v>43.967860921635577</v>
      </c>
      <c r="J289" s="85">
        <f>IF(H289,An,'2024'!An_max)</f>
        <v>2022</v>
      </c>
      <c r="K289" s="197">
        <f t="shared" si="104"/>
        <v>45932</v>
      </c>
      <c r="L289" s="147">
        <f>IF(t&lt;Tvie,1-EXP((T0-t)*PertePVj)+'2024'!Pspv,1-EXP((T0-t)*PertePVj)+Pspv)</f>
        <v>4.5612811229637562E-2</v>
      </c>
      <c r="M289" s="832"/>
      <c r="N289" s="832"/>
      <c r="O289" s="48">
        <f>IF(t&lt;Tnet,'2024'!Resal+('2024'!Salim-'2024'!Resal)*(1-EXP(('2024'!Tnet-t)/('2024'!Tau_j))),Resal+(Salim-Resal)*(1-EXP((Tnet-t)/(Tau_j))))*Salcycl</f>
        <v>2.7545577437372244E-2</v>
      </c>
      <c r="P289" s="169">
        <f>(INDEX(Models!$BJ289:$BT289,,T289)*(1-R289)+INDEX(Models!$BJ289:$BT289,,T289+1)*R289-ERP_i)*Q289*Ramure*Pc/MaxiM</f>
        <v>5.7849453307044761E-5</v>
      </c>
      <c r="Q289" s="304">
        <f t="shared" si="105"/>
        <v>0.6</v>
      </c>
      <c r="R289" s="177">
        <f t="shared" si="106"/>
        <v>0.99469534420431449</v>
      </c>
      <c r="S289" s="799">
        <f t="shared" si="107"/>
        <v>1</v>
      </c>
      <c r="T289" s="176">
        <f t="shared" si="108"/>
        <v>7</v>
      </c>
      <c r="U289" s="250">
        <f t="shared" si="109"/>
        <v>1.9946953442043145</v>
      </c>
      <c r="V289" s="382">
        <f t="shared" si="110"/>
        <v>43.980109635169931</v>
      </c>
      <c r="W289" s="400">
        <f t="shared" si="111"/>
        <v>40.804261408266001</v>
      </c>
      <c r="X289" s="157">
        <f t="shared" si="112"/>
        <v>45932</v>
      </c>
      <c r="Y289" s="383">
        <f t="shared" si="113"/>
        <v>39.461566922300662</v>
      </c>
      <c r="Z289" s="383">
        <f t="shared" si="114"/>
        <v>41.347544672244766</v>
      </c>
      <c r="AA289" s="384">
        <f t="shared" si="115"/>
        <v>43.965464355309706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5.954491147660932E-2</v>
      </c>
      <c r="AD289" s="230">
        <f>(INDEX(Models!$BJ289:$BT289,,AH289)*(1-AF289)+INDEX(Models!$BJ289:$BT289,,AH289+1)*AF289-ERP_i)*AE289*Ramure*Pc/MaxiM</f>
        <v>5.7849453307044761E-5</v>
      </c>
      <c r="AE289" s="304">
        <f t="shared" si="117"/>
        <v>0.6</v>
      </c>
      <c r="AF289" s="177">
        <f t="shared" si="118"/>
        <v>0.99469534420431449</v>
      </c>
      <c r="AG289" s="799">
        <f t="shared" si="124"/>
        <v>1</v>
      </c>
      <c r="AH289" s="176">
        <f t="shared" si="119"/>
        <v>7</v>
      </c>
      <c r="AI289" s="224">
        <f t="shared" si="120"/>
        <v>1.9946953442043145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45933</v>
      </c>
      <c r="B290" s="409">
        <f>IF(t&gt;Tmaj,'2024'!Wh/'2024'!Env_an*'2025'!Env_an,0.001*'[12]mon-tableau (1)'!$B$244)</f>
        <v>36.979726920408687</v>
      </c>
      <c r="C290" s="829"/>
      <c r="D290" s="391">
        <f t="shared" si="102"/>
        <v>38.747833245401132</v>
      </c>
      <c r="E290" s="383">
        <f t="shared" si="100"/>
        <v>39.849342707139925</v>
      </c>
      <c r="F290" s="383">
        <f t="shared" si="103"/>
        <v>39.851199363996173</v>
      </c>
      <c r="G290" s="110">
        <f t="shared" si="101"/>
        <v>0.84607287943367604</v>
      </c>
      <c r="H290" s="412" t="b">
        <f>Wh_hp&gt;='2024'!Maxi_hp</f>
        <v>0</v>
      </c>
      <c r="I290" s="388">
        <f>IF(H290,Wh_hp,'2024'!Maxi_hp)</f>
        <v>39.851429653028248</v>
      </c>
      <c r="J290" s="85">
        <f>IF(H290,An,'2024'!An_max)</f>
        <v>2022</v>
      </c>
      <c r="K290" s="197">
        <f t="shared" si="104"/>
        <v>45933</v>
      </c>
      <c r="L290" s="147">
        <f>IF(t&lt;Tvie,1-EXP((T0-t)*PertePVj)+'2024'!Pspv,1-EXP((T0-t)*PertePVj)+Pspv)</f>
        <v>4.5631101842379729E-2</v>
      </c>
      <c r="M290" s="832"/>
      <c r="N290" s="832"/>
      <c r="O290" s="48">
        <f>IF(t&lt;Tnet,'2024'!Resal+('2024'!Salim-'2024'!Resal)*(1-EXP(('2024'!Tnet-t)/('2024'!Tau_j))),Resal+(Salim-Resal)*(1-EXP((Tnet-t)/(Tau_j))))*Salcycl</f>
        <v>2.7641847692043156E-2</v>
      </c>
      <c r="P290" s="169">
        <f>(INDEX(Models!$BJ290:$BT290,,T290)*(1-R290)+INDEX(Models!$BJ290:$BT290,,T290+1)*R290-ERP_i)*Q290*Ramure*Pc/MaxiM</f>
        <v>5.9721243900196121E-5</v>
      </c>
      <c r="Q290" s="304">
        <f t="shared" si="105"/>
        <v>0.6</v>
      </c>
      <c r="R290" s="177">
        <f t="shared" si="106"/>
        <v>0.99487822155010264</v>
      </c>
      <c r="S290" s="799">
        <f t="shared" si="107"/>
        <v>1</v>
      </c>
      <c r="T290" s="176">
        <f t="shared" si="108"/>
        <v>7</v>
      </c>
      <c r="U290" s="250">
        <f t="shared" si="109"/>
        <v>1.9948782215501026</v>
      </c>
      <c r="V290" s="382">
        <f t="shared" si="110"/>
        <v>43.706921941474413</v>
      </c>
      <c r="W290" s="400">
        <f t="shared" si="111"/>
        <v>36.979726920408687</v>
      </c>
      <c r="X290" s="157">
        <f t="shared" si="112"/>
        <v>45933</v>
      </c>
      <c r="Y290" s="383">
        <f t="shared" si="113"/>
        <v>35.764627246219248</v>
      </c>
      <c r="Z290" s="383">
        <f t="shared" si="114"/>
        <v>37.474636186554022</v>
      </c>
      <c r="AA290" s="384">
        <f t="shared" si="115"/>
        <v>39.849342707139925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5.9592112673929144E-2</v>
      </c>
      <c r="AD290" s="230">
        <f>(INDEX(Models!$BJ290:$BT290,,AH290)*(1-AF290)+INDEX(Models!$BJ290:$BT290,,AH290+1)*AF290-ERP_i)*AE290*Ramure*Pc/MaxiM</f>
        <v>5.9721243900196121E-5</v>
      </c>
      <c r="AE290" s="304">
        <f t="shared" si="117"/>
        <v>0.6</v>
      </c>
      <c r="AF290" s="177">
        <f t="shared" si="118"/>
        <v>0.99487822155010264</v>
      </c>
      <c r="AG290" s="799">
        <f t="shared" si="124"/>
        <v>1</v>
      </c>
      <c r="AH290" s="176">
        <f t="shared" si="119"/>
        <v>7</v>
      </c>
      <c r="AI290" s="224">
        <f t="shared" si="120"/>
        <v>1.9948782215501026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45934</v>
      </c>
      <c r="B291" s="409">
        <f>IF(t&gt;Tmaj,'2024'!Wh/'2024'!Env_an*'2025'!Env_an,0.001*'[12]mon-tableau (1)'!$B$245)</f>
        <v>43.432504603424235</v>
      </c>
      <c r="C291" s="829"/>
      <c r="D291" s="391">
        <f t="shared" si="102"/>
        <v>45.510008841723248</v>
      </c>
      <c r="E291" s="383">
        <f t="shared" si="100"/>
        <v>46.808357115389278</v>
      </c>
      <c r="F291" s="383">
        <f t="shared" si="103"/>
        <v>46.811239580800574</v>
      </c>
      <c r="G291" s="110">
        <f t="shared" si="101"/>
        <v>1.0000677422919388</v>
      </c>
      <c r="H291" s="412" t="b">
        <f>Wh_hp&gt;='2024'!Maxi_hp</f>
        <v>1</v>
      </c>
      <c r="I291" s="388">
        <f>IF(H291,Wh_hp,'2024'!Maxi_hp)</f>
        <v>46.811239580800574</v>
      </c>
      <c r="J291" s="85">
        <f>IF(H291,An,'2024'!An_max)</f>
        <v>2025</v>
      </c>
      <c r="K291" s="197">
        <f t="shared" si="104"/>
        <v>45934</v>
      </c>
      <c r="L291" s="147">
        <f>IF(t&lt;Tvie,1-EXP((T0-t)*PertePVj)+'2024'!Pspv,1-EXP((T0-t)*PertePVj)+Pspv)</f>
        <v>4.5649392104586295E-2</v>
      </c>
      <c r="M291" s="832"/>
      <c r="N291" s="832"/>
      <c r="O291" s="48">
        <f>IF(t&lt;Tnet,'2024'!Resal+('2024'!Salim-'2024'!Resal)*(1-EXP(('2024'!Tnet-t)/('2024'!Tau_j))),Resal+(Salim-Resal)*(1-EXP((Tnet-t)/(Tau_j))))*Salcycl</f>
        <v>2.773753136572198E-2</v>
      </c>
      <c r="P291" s="169">
        <f>(INDEX(Models!$BJ291:$BT291,,T291)*(1-R291)+INDEX(Models!$BJ291:$BT291,,T291+1)*R291-ERP_i)*Q291*Ramure*Pc/MaxiM</f>
        <v>6.1576352967952048E-5</v>
      </c>
      <c r="Q291" s="304">
        <f t="shared" si="105"/>
        <v>0.6</v>
      </c>
      <c r="R291" s="177">
        <f t="shared" si="106"/>
        <v>0.99505386251643291</v>
      </c>
      <c r="S291" s="799">
        <f t="shared" si="107"/>
        <v>1</v>
      </c>
      <c r="T291" s="176">
        <f t="shared" si="108"/>
        <v>7</v>
      </c>
      <c r="U291" s="250">
        <f t="shared" si="109"/>
        <v>1.9950538625164329</v>
      </c>
      <c r="V291" s="382">
        <f t="shared" si="110"/>
        <v>43.429562585316816</v>
      </c>
      <c r="W291" s="400">
        <f t="shared" si="111"/>
        <v>43.432504603424235</v>
      </c>
      <c r="X291" s="157">
        <f t="shared" si="112"/>
        <v>45934</v>
      </c>
      <c r="Y291" s="383">
        <f t="shared" si="113"/>
        <v>42.007444042065686</v>
      </c>
      <c r="Z291" s="383">
        <f t="shared" si="114"/>
        <v>44.016783448907532</v>
      </c>
      <c r="AA291" s="384">
        <f t="shared" si="115"/>
        <v>46.808357115389278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5.9638360295366004E-2</v>
      </c>
      <c r="AD291" s="230">
        <f>(INDEX(Models!$BJ291:$BT291,,AH291)*(1-AF291)+INDEX(Models!$BJ291:$BT291,,AH291+1)*AF291-ERP_i)*AE291*Ramure*Pc/MaxiM</f>
        <v>6.1576352967952048E-5</v>
      </c>
      <c r="AE291" s="304">
        <f t="shared" si="117"/>
        <v>0.6</v>
      </c>
      <c r="AF291" s="177">
        <f t="shared" si="118"/>
        <v>0.99505386251643291</v>
      </c>
      <c r="AG291" s="799">
        <f t="shared" si="124"/>
        <v>1</v>
      </c>
      <c r="AH291" s="176">
        <f t="shared" si="119"/>
        <v>7</v>
      </c>
      <c r="AI291" s="224">
        <f t="shared" si="120"/>
        <v>1.9950538625164329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45935</v>
      </c>
      <c r="B292" s="409">
        <f>IF(t&gt;Tmaj,'2024'!Wh/'2024'!Env_an*'2025'!Env_an,0.001*'[12]mon-tableau (1)'!$B$246)</f>
        <v>45.214163153270682</v>
      </c>
      <c r="C292" s="829"/>
      <c r="D292" s="391">
        <f t="shared" si="102"/>
        <v>47.37779733667287</v>
      </c>
      <c r="E292" s="383">
        <f t="shared" si="100"/>
        <v>48.734197749283531</v>
      </c>
      <c r="F292" s="383">
        <f t="shared" si="103"/>
        <v>48.737288376896331</v>
      </c>
      <c r="G292" s="110">
        <f t="shared" si="101"/>
        <v>1.0478798370423081</v>
      </c>
      <c r="H292" s="412" t="b">
        <f>Wh_hp&gt;='2024'!Maxi_hp</f>
        <v>1</v>
      </c>
      <c r="I292" s="388">
        <f>IF(H292,Wh_hp,'2024'!Maxi_hp)</f>
        <v>48.737288376896331</v>
      </c>
      <c r="J292" s="85">
        <f>IF(H292,An,'2024'!An_max)</f>
        <v>2025</v>
      </c>
      <c r="K292" s="197">
        <f t="shared" si="104"/>
        <v>45935</v>
      </c>
      <c r="L292" s="147">
        <f>IF(t&lt;Tvie,1-EXP((T0-t)*PertePVj)+'2024'!Pspv,1-EXP((T0-t)*PertePVj)+Pspv)</f>
        <v>4.5667682016264255E-2</v>
      </c>
      <c r="M292" s="832"/>
      <c r="N292" s="832"/>
      <c r="O292" s="48">
        <f>IF(t&lt;Tnet,'2024'!Resal+('2024'!Salim-'2024'!Resal)*(1-EXP(('2024'!Tnet-t)/('2024'!Tau_j))),Resal+(Salim-Resal)*(1-EXP((Tnet-t)/(Tau_j))))*Salcycl</f>
        <v>2.7832620115934965E-2</v>
      </c>
      <c r="P292" s="169">
        <f>(INDEX(Models!$BJ292:$BT292,,T292)*(1-R292)+INDEX(Models!$BJ292:$BT292,,T292+1)*R292-ERP_i)*Q292*Ramure*Pc/MaxiM</f>
        <v>6.3414024779137821E-5</v>
      </c>
      <c r="Q292" s="304">
        <f t="shared" si="105"/>
        <v>0.6</v>
      </c>
      <c r="R292" s="177">
        <f t="shared" si="106"/>
        <v>0.9952225485804147</v>
      </c>
      <c r="S292" s="799">
        <f t="shared" si="107"/>
        <v>1</v>
      </c>
      <c r="T292" s="176">
        <f t="shared" si="108"/>
        <v>7</v>
      </c>
      <c r="U292" s="250">
        <f t="shared" si="109"/>
        <v>1.9952225485804147</v>
      </c>
      <c r="V292" s="382">
        <f t="shared" si="110"/>
        <v>43.148232798227951</v>
      </c>
      <c r="W292" s="400">
        <f t="shared" si="111"/>
        <v>45.214163153270682</v>
      </c>
      <c r="X292" s="157">
        <f t="shared" si="112"/>
        <v>45935</v>
      </c>
      <c r="Y292" s="383">
        <f t="shared" si="113"/>
        <v>43.732816057169622</v>
      </c>
      <c r="Z292" s="383">
        <f t="shared" si="114"/>
        <v>45.825563310656889</v>
      </c>
      <c r="AA292" s="384">
        <f t="shared" si="115"/>
        <v>48.734197749283531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5.9683642554050363E-2</v>
      </c>
      <c r="AD292" s="230">
        <f>(INDEX(Models!$BJ292:$BT292,,AH292)*(1-AF292)+INDEX(Models!$BJ292:$BT292,,AH292+1)*AF292-ERP_i)*AE292*Ramure*Pc/MaxiM</f>
        <v>6.3414024779137821E-5</v>
      </c>
      <c r="AE292" s="304">
        <f t="shared" si="117"/>
        <v>0.6</v>
      </c>
      <c r="AF292" s="177">
        <f t="shared" si="118"/>
        <v>0.9952225485804147</v>
      </c>
      <c r="AG292" s="799">
        <f t="shared" si="124"/>
        <v>1</v>
      </c>
      <c r="AH292" s="176">
        <f t="shared" si="119"/>
        <v>7</v>
      </c>
      <c r="AI292" s="224">
        <f t="shared" si="120"/>
        <v>1.9952225485804147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45936</v>
      </c>
      <c r="B293" s="409">
        <f>IF(t&gt;Tmaj,'2024'!Wh/'2024'!Env_an*'2025'!Env_an,0.001*'[12]mon-tableau (1)'!$B$247)</f>
        <v>12.110972984215451</v>
      </c>
      <c r="C293" s="829"/>
      <c r="D293" s="391">
        <f t="shared" si="102"/>
        <v>12.690762813404428</v>
      </c>
      <c r="E293" s="383">
        <f t="shared" si="100"/>
        <v>13.055361277638795</v>
      </c>
      <c r="F293" s="383">
        <f t="shared" si="103"/>
        <v>13.055361277638795</v>
      </c>
      <c r="G293" s="110">
        <f t="shared" si="101"/>
        <v>0.2825314416501114</v>
      </c>
      <c r="H293" s="412" t="b">
        <f>Wh_hp&gt;='2024'!Maxi_hp</f>
        <v>0</v>
      </c>
      <c r="I293" s="388">
        <f>IF(H293,Wh_hp,'2024'!Maxi_hp)</f>
        <v>32.037742700397558</v>
      </c>
      <c r="J293" s="85">
        <f>IF(H293,An,'2024'!An_max)</f>
        <v>2020</v>
      </c>
      <c r="K293" s="197">
        <f t="shared" si="104"/>
        <v>45936</v>
      </c>
      <c r="L293" s="147">
        <f>IF(t&lt;Tvie,1-EXP((T0-t)*PertePVj)+'2024'!Pspv,1-EXP((T0-t)*PertePVj)+Pspv)</f>
        <v>4.568597157742027E-2</v>
      </c>
      <c r="M293" s="832"/>
      <c r="N293" s="832"/>
      <c r="O293" s="48">
        <f>IF(t&lt;Tnet,'2024'!Resal+('2024'!Salim-'2024'!Resal)*(1-EXP(('2024'!Tnet-t)/('2024'!Tau_j))),Resal+(Salim-Resal)*(1-EXP((Tnet-t)/(Tau_j))))*Salcycl</f>
        <v>2.7927106456935049E-2</v>
      </c>
      <c r="P293" s="169">
        <f>(INDEX(Models!$BJ293:$BT293,,T293)*(1-R293)+INDEX(Models!$BJ293:$BT293,,T293+1)*R293-ERP_i)*Q293*Ramure*Pc/MaxiM</f>
        <v>6.5233461140569852E-5</v>
      </c>
      <c r="Q293" s="304">
        <f t="shared" si="105"/>
        <v>0.6</v>
      </c>
      <c r="R293" s="177">
        <f t="shared" si="106"/>
        <v>0.99538455065145381</v>
      </c>
      <c r="S293" s="799">
        <f t="shared" si="107"/>
        <v>1</v>
      </c>
      <c r="T293" s="176">
        <f t="shared" si="108"/>
        <v>7</v>
      </c>
      <c r="U293" s="250">
        <f t="shared" si="109"/>
        <v>1.9953845506514538</v>
      </c>
      <c r="V293" s="382">
        <f t="shared" si="110"/>
        <v>42.863133649129338</v>
      </c>
      <c r="W293" s="400">
        <f t="shared" si="111"/>
        <v>12.110972984215451</v>
      </c>
      <c r="X293" s="157">
        <f t="shared" si="112"/>
        <v>45936</v>
      </c>
      <c r="Y293" s="383">
        <f t="shared" si="113"/>
        <v>11.714769001507857</v>
      </c>
      <c r="Z293" s="383">
        <f t="shared" si="114"/>
        <v>12.275591317536874</v>
      </c>
      <c r="AA293" s="384">
        <f t="shared" si="115"/>
        <v>13.055361277638795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5.9727949577122047E-2</v>
      </c>
      <c r="AD293" s="230">
        <f>(INDEX(Models!$BJ293:$BT293,,AH293)*(1-AF293)+INDEX(Models!$BJ293:$BT293,,AH293+1)*AF293-ERP_i)*AE293*Ramure*Pc/MaxiM</f>
        <v>6.5233461140569852E-5</v>
      </c>
      <c r="AE293" s="304">
        <f t="shared" si="117"/>
        <v>0.6</v>
      </c>
      <c r="AF293" s="177">
        <f t="shared" si="118"/>
        <v>0.99538455065145381</v>
      </c>
      <c r="AG293" s="799">
        <f t="shared" si="124"/>
        <v>1</v>
      </c>
      <c r="AH293" s="176">
        <f t="shared" si="119"/>
        <v>7</v>
      </c>
      <c r="AI293" s="224">
        <f t="shared" si="120"/>
        <v>1.9953845506514538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45937</v>
      </c>
      <c r="B294" s="409">
        <f>IF(t&gt;Tmaj,'2024'!Wh/'2024'!Env_an*'2025'!Env_an,0.001*'[12]mon-tableau (1)'!$B$248)</f>
        <v>33.060830275034128</v>
      </c>
      <c r="C294" s="829"/>
      <c r="D294" s="391">
        <f t="shared" si="102"/>
        <v>34.644218680401828</v>
      </c>
      <c r="E294" s="383">
        <f t="shared" si="100"/>
        <v>35.642969760397968</v>
      </c>
      <c r="F294" s="383">
        <f t="shared" si="103"/>
        <v>35.644596395715645</v>
      </c>
      <c r="G294" s="110">
        <f t="shared" si="101"/>
        <v>0.77652465999084508</v>
      </c>
      <c r="H294" s="412" t="b">
        <f>Wh_hp&gt;='2024'!Maxi_hp</f>
        <v>0</v>
      </c>
      <c r="I294" s="388">
        <f>IF(H294,Wh_hp,'2024'!Maxi_hp)</f>
        <v>45.95674728395548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4.5704260788061002E-2</v>
      </c>
      <c r="M294" s="832"/>
      <c r="N294" s="832"/>
      <c r="O294" s="48">
        <f>IF(t&lt;Tnet,'2024'!Resal+('2024'!Salim-'2024'!Resal)*(1-EXP(('2024'!Tnet-t)/('2024'!Tau_j))),Resal+(Salim-Resal)*(1-EXP((Tnet-t)/(Tau_j))))*Salcycl</f>
        <v>2.8020983849270344E-2</v>
      </c>
      <c r="P294" s="169">
        <f>(INDEX(Models!$BJ294:$BT294,,T294)*(1-R294)+INDEX(Models!$BJ294:$BT294,,T294+1)*R294-ERP_i)*Q294*Ramure*Pc/MaxiM</f>
        <v>6.7033826476800131E-5</v>
      </c>
      <c r="Q294" s="304">
        <f t="shared" si="105"/>
        <v>0.6</v>
      </c>
      <c r="R294" s="177">
        <f t="shared" si="106"/>
        <v>0.99554012943797665</v>
      </c>
      <c r="S294" s="799">
        <f t="shared" si="107"/>
        <v>1</v>
      </c>
      <c r="T294" s="176">
        <f t="shared" si="108"/>
        <v>7</v>
      </c>
      <c r="U294" s="250">
        <f t="shared" si="109"/>
        <v>1.9955401294379767</v>
      </c>
      <c r="V294" s="382">
        <f t="shared" si="110"/>
        <v>42.574466050764421</v>
      </c>
      <c r="W294" s="400">
        <f t="shared" si="111"/>
        <v>33.060830275034128</v>
      </c>
      <c r="X294" s="157">
        <f t="shared" si="112"/>
        <v>45937</v>
      </c>
      <c r="Y294" s="383">
        <f t="shared" si="113"/>
        <v>31.980878010398133</v>
      </c>
      <c r="Z294" s="383">
        <f t="shared" si="114"/>
        <v>33.512544063969166</v>
      </c>
      <c r="AA294" s="384">
        <f t="shared" si="115"/>
        <v>35.642969760397968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5.9771273570920713E-2</v>
      </c>
      <c r="AD294" s="230">
        <f>(INDEX(Models!$BJ294:$BT294,,AH294)*(1-AF294)+INDEX(Models!$BJ294:$BT294,,AH294+1)*AF294-ERP_i)*AE294*Ramure*Pc/MaxiM</f>
        <v>6.7033826476800131E-5</v>
      </c>
      <c r="AE294" s="304">
        <f t="shared" si="117"/>
        <v>0.6</v>
      </c>
      <c r="AF294" s="177">
        <f t="shared" si="118"/>
        <v>0.99554012943797665</v>
      </c>
      <c r="AG294" s="799">
        <f t="shared" si="124"/>
        <v>1</v>
      </c>
      <c r="AH294" s="176">
        <f t="shared" si="119"/>
        <v>7</v>
      </c>
      <c r="AI294" s="224">
        <f t="shared" si="120"/>
        <v>1.9955401294379767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45938</v>
      </c>
      <c r="B295" s="409">
        <f>IF(t&gt;Tmaj,'2024'!Wh/'2024'!Env_an*'2025'!Env_an,0.001*'[12]mon-tableau (1)'!$B$249)</f>
        <v>15.492005515415036</v>
      </c>
      <c r="C295" s="829"/>
      <c r="D295" s="391">
        <f t="shared" si="102"/>
        <v>16.234278101933253</v>
      </c>
      <c r="E295" s="383">
        <f t="shared" si="100"/>
        <v>16.703895543564709</v>
      </c>
      <c r="F295" s="383">
        <f t="shared" si="103"/>
        <v>16.704004568584157</v>
      </c>
      <c r="G295" s="110">
        <f t="shared" si="101"/>
        <v>0.36637062430706568</v>
      </c>
      <c r="H295" s="412" t="b">
        <f>Wh_hp&gt;='2024'!Maxi_hp</f>
        <v>0</v>
      </c>
      <c r="I295" s="388">
        <f>IF(H295,Wh_hp,'2024'!Maxi_hp)</f>
        <v>44.08585911576052</v>
      </c>
      <c r="J295" s="85">
        <f>IF(H295,An,'2024'!An_max)</f>
        <v>2021</v>
      </c>
      <c r="K295" s="197">
        <f t="shared" si="104"/>
        <v>45938</v>
      </c>
      <c r="L295" s="147">
        <f>IF(t&lt;Tvie,1-EXP((T0-t)*PertePVj)+'2024'!Pspv,1-EXP((T0-t)*PertePVj)+Pspv)</f>
        <v>4.5722549648193112E-2</v>
      </c>
      <c r="M295" s="832"/>
      <c r="N295" s="832"/>
      <c r="O295" s="48">
        <f>IF(t&lt;Tnet,'2024'!Resal+('2024'!Salim-'2024'!Resal)*(1-EXP(('2024'!Tnet-t)/('2024'!Tau_j))),Resal+(Salim-Resal)*(1-EXP((Tnet-t)/(Tau_j))))*Salcycl</f>
        <v>2.811424678792239E-2</v>
      </c>
      <c r="P295" s="169">
        <f>(INDEX(Models!$BJ295:$BT295,,T295)*(1-R295)+INDEX(Models!$BJ295:$BT295,,T295+1)*R295-ERP_i)*Q295*Ramure*Pc/MaxiM</f>
        <v>6.8814253263222943E-5</v>
      </c>
      <c r="Q295" s="304">
        <f t="shared" si="105"/>
        <v>0.6</v>
      </c>
      <c r="R295" s="177">
        <f t="shared" si="106"/>
        <v>0.99568953580383779</v>
      </c>
      <c r="S295" s="799">
        <f t="shared" si="107"/>
        <v>1</v>
      </c>
      <c r="T295" s="176">
        <f t="shared" si="108"/>
        <v>7</v>
      </c>
      <c r="U295" s="250">
        <f t="shared" si="109"/>
        <v>1.9956895358038378</v>
      </c>
      <c r="V295" s="382">
        <f t="shared" si="110"/>
        <v>42.28243075457474</v>
      </c>
      <c r="W295" s="400">
        <f t="shared" si="111"/>
        <v>15.492005515415036</v>
      </c>
      <c r="X295" s="157">
        <f t="shared" si="112"/>
        <v>45938</v>
      </c>
      <c r="Y295" s="383">
        <f t="shared" si="113"/>
        <v>14.986712900203445</v>
      </c>
      <c r="Z295" s="383">
        <f t="shared" si="114"/>
        <v>15.704775267065566</v>
      </c>
      <c r="AA295" s="384">
        <f t="shared" si="115"/>
        <v>16.703895543564709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5.9813608980814073E-2</v>
      </c>
      <c r="AD295" s="230">
        <f>(INDEX(Models!$BJ295:$BT295,,AH295)*(1-AF295)+INDEX(Models!$BJ295:$BT295,,AH295+1)*AF295-ERP_i)*AE295*Ramure*Pc/MaxiM</f>
        <v>6.8814253263222943E-5</v>
      </c>
      <c r="AE295" s="304">
        <f t="shared" si="117"/>
        <v>0.6</v>
      </c>
      <c r="AF295" s="177">
        <f t="shared" si="118"/>
        <v>0.99568953580383779</v>
      </c>
      <c r="AG295" s="799">
        <f t="shared" si="124"/>
        <v>1</v>
      </c>
      <c r="AH295" s="176">
        <f t="shared" si="119"/>
        <v>7</v>
      </c>
      <c r="AI295" s="224">
        <f t="shared" si="120"/>
        <v>1.9956895358038378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45939</v>
      </c>
      <c r="B296" s="409">
        <f>IF(t&gt;Tmaj,'2024'!Wh/'2024'!Env_an*'2025'!Env_an,0.001*'[12]mon-tableau (1)'!$B$250)</f>
        <v>41.272124955714666</v>
      </c>
      <c r="C296" s="829"/>
      <c r="D296" s="391">
        <f t="shared" si="102"/>
        <v>43.25043615619024</v>
      </c>
      <c r="E296" s="383">
        <f t="shared" si="100"/>
        <v>44.505806586467266</v>
      </c>
      <c r="F296" s="383">
        <f t="shared" si="103"/>
        <v>44.508876936210427</v>
      </c>
      <c r="G296" s="110">
        <f t="shared" si="101"/>
        <v>0.98296698562274187</v>
      </c>
      <c r="H296" s="412" t="b">
        <f>Wh_hp&gt;='2024'!Maxi_hp</f>
        <v>0</v>
      </c>
      <c r="I296" s="388">
        <f>IF(H296,Wh_hp,'2024'!Maxi_hp)</f>
        <v>44.50891239902672</v>
      </c>
      <c r="J296" s="85">
        <f>IF(H296,An,'2024'!An_max)</f>
        <v>2022</v>
      </c>
      <c r="K296" s="197">
        <f t="shared" si="104"/>
        <v>45939</v>
      </c>
      <c r="L296" s="147">
        <f>IF(t&lt;Tvie,1-EXP((T0-t)*PertePVj)+'2024'!Pspv,1-EXP((T0-t)*PertePVj)+Pspv)</f>
        <v>4.5740838157823482E-2</v>
      </c>
      <c r="M296" s="832"/>
      <c r="N296" s="832"/>
      <c r="O296" s="48">
        <f>IF(t&lt;Tnet,'2024'!Resal+('2024'!Salim-'2024'!Resal)*(1-EXP(('2024'!Tnet-t)/('2024'!Tau_j))),Resal+(Salim-Resal)*(1-EXP((Tnet-t)/(Tau_j))))*Salcycl</f>
        <v>2.820689088822724E-2</v>
      </c>
      <c r="P296" s="169">
        <f>(INDEX(Models!$BJ296:$BT296,,T296)*(1-R296)+INDEX(Models!$BJ296:$BT296,,T296+1)*R296-ERP_i)*Q296*Ramure*Pc/MaxiM</f>
        <v>7.0703101744429427E-5</v>
      </c>
      <c r="Q296" s="304">
        <f t="shared" si="105"/>
        <v>0.6</v>
      </c>
      <c r="R296" s="177">
        <f t="shared" si="106"/>
        <v>0.9958330111145004</v>
      </c>
      <c r="S296" s="799">
        <f t="shared" si="107"/>
        <v>1</v>
      </c>
      <c r="T296" s="176">
        <f t="shared" si="108"/>
        <v>7</v>
      </c>
      <c r="U296" s="250">
        <f t="shared" si="109"/>
        <v>1.9958330111145004</v>
      </c>
      <c r="V296" s="382">
        <f t="shared" si="110"/>
        <v>41.98722292462903</v>
      </c>
      <c r="W296" s="400">
        <f t="shared" si="111"/>
        <v>41.272124955714666</v>
      </c>
      <c r="X296" s="157">
        <f t="shared" si="112"/>
        <v>45939</v>
      </c>
      <c r="Y296" s="383">
        <f t="shared" si="113"/>
        <v>39.928029440786332</v>
      </c>
      <c r="Z296" s="383">
        <f t="shared" si="114"/>
        <v>41.841913640845888</v>
      </c>
      <c r="AA296" s="384">
        <f t="shared" si="115"/>
        <v>44.505806586467266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5.9854952644120329E-2</v>
      </c>
      <c r="AD296" s="230">
        <f>(INDEX(Models!$BJ296:$BT296,,AH296)*(1-AF296)+INDEX(Models!$BJ296:$BT296,,AH296+1)*AF296-ERP_i)*AE296*Ramure*Pc/MaxiM</f>
        <v>7.0703101744429427E-5</v>
      </c>
      <c r="AE296" s="304">
        <f t="shared" si="117"/>
        <v>0.6</v>
      </c>
      <c r="AF296" s="177">
        <f t="shared" si="118"/>
        <v>0.9958330111145004</v>
      </c>
      <c r="AG296" s="799">
        <f t="shared" si="124"/>
        <v>1</v>
      </c>
      <c r="AH296" s="176">
        <f t="shared" si="119"/>
        <v>7</v>
      </c>
      <c r="AI296" s="224">
        <f t="shared" si="120"/>
        <v>1.9958330111145004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45940</v>
      </c>
      <c r="B297" s="409">
        <f>IF(t&gt;Tmaj,'2024'!Wh/'2024'!Env_an*'2025'!Env_an,0.001*'[12]mon-tableau (1)'!$B$251)</f>
        <v>35.002023136113941</v>
      </c>
      <c r="C297" s="829"/>
      <c r="D297" s="391">
        <f t="shared" si="102"/>
        <v>36.68049032632419</v>
      </c>
      <c r="E297" s="383">
        <f t="shared" ref="E297:E360" si="125">Wh_pvt/(1-Psa)</f>
        <v>37.748738594491094</v>
      </c>
      <c r="F297" s="383">
        <f t="shared" si="103"/>
        <v>37.750857043677996</v>
      </c>
      <c r="G297" s="110">
        <f t="shared" ref="G297:G360" si="126">+Wh_hp/MaxiM</f>
        <v>0.83958373868473901</v>
      </c>
      <c r="H297" s="412" t="b">
        <f>Wh_hp&gt;='2024'!Maxi_hp</f>
        <v>0</v>
      </c>
      <c r="I297" s="388">
        <f>IF(H297,Wh_hp,'2024'!Maxi_hp)</f>
        <v>37.751152794670539</v>
      </c>
      <c r="J297" s="85">
        <f>IF(H297,An,'2024'!An_max)</f>
        <v>2022</v>
      </c>
      <c r="K297" s="197">
        <f t="shared" si="104"/>
        <v>45940</v>
      </c>
      <c r="L297" s="147">
        <f>IF(t&lt;Tvie,1-EXP((T0-t)*PertePVj)+'2024'!Pspv,1-EXP((T0-t)*PertePVj)+Pspv)</f>
        <v>4.5759126316958665E-2</v>
      </c>
      <c r="M297" s="832"/>
      <c r="N297" s="832"/>
      <c r="O297" s="48">
        <f>IF(t&lt;Tnet,'2024'!Resal+('2024'!Salim-'2024'!Resal)*(1-EXP(('2024'!Tnet-t)/('2024'!Tau_j))),Resal+(Salim-Resal)*(1-EXP((Tnet-t)/(Tau_j))))*Salcycl</f>
        <v>2.8298912968784614E-2</v>
      </c>
      <c r="P297" s="169">
        <f>(INDEX(Models!$BJ297:$BT297,,T297)*(1-R297)+INDEX(Models!$BJ297:$BT297,,T297+1)*R297-ERP_i)*Q297*Ramure*Pc/MaxiM</f>
        <v>7.279794998984234E-5</v>
      </c>
      <c r="Q297" s="304">
        <f t="shared" si="105"/>
        <v>0.6</v>
      </c>
      <c r="R297" s="177">
        <f t="shared" si="106"/>
        <v>0.99597078757309143</v>
      </c>
      <c r="S297" s="799">
        <f t="shared" si="107"/>
        <v>1</v>
      </c>
      <c r="T297" s="176">
        <f t="shared" si="108"/>
        <v>7</v>
      </c>
      <c r="U297" s="250">
        <f t="shared" si="109"/>
        <v>1.9959707875730914</v>
      </c>
      <c r="V297" s="382">
        <f t="shared" si="110"/>
        <v>41.689038995280519</v>
      </c>
      <c r="W297" s="400">
        <f t="shared" si="111"/>
        <v>35.002023136113941</v>
      </c>
      <c r="X297" s="157">
        <f t="shared" si="112"/>
        <v>45940</v>
      </c>
      <c r="Y297" s="383">
        <f t="shared" si="113"/>
        <v>33.863877236759372</v>
      </c>
      <c r="Z297" s="383">
        <f t="shared" si="114"/>
        <v>35.487766423226518</v>
      </c>
      <c r="AA297" s="384">
        <f t="shared" si="115"/>
        <v>37.748738594491094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5.989530393459374E-2</v>
      </c>
      <c r="AD297" s="230">
        <f>(INDEX(Models!$BJ297:$BT297,,AH297)*(1-AF297)+INDEX(Models!$BJ297:$BT297,,AH297+1)*AF297-ERP_i)*AE297*Ramure*Pc/MaxiM</f>
        <v>7.279794998984234E-5</v>
      </c>
      <c r="AE297" s="304">
        <f t="shared" si="117"/>
        <v>0.6</v>
      </c>
      <c r="AF297" s="177">
        <f t="shared" si="118"/>
        <v>0.99597078757309143</v>
      </c>
      <c r="AG297" s="799">
        <f t="shared" si="124"/>
        <v>1</v>
      </c>
      <c r="AH297" s="176">
        <f t="shared" si="119"/>
        <v>7</v>
      </c>
      <c r="AI297" s="224">
        <f t="shared" si="120"/>
        <v>1.9959707875730914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45941</v>
      </c>
      <c r="B298" s="409">
        <f>IF(t&gt;Tmaj,'2024'!Wh/'2024'!Env_an*'2025'!Env_an,0.001*'[12]mon-tableau (1)'!$B$252)</f>
        <v>23.913590438262474</v>
      </c>
      <c r="C298" s="829"/>
      <c r="D298" s="391">
        <f t="shared" si="102"/>
        <v>25.060809492734275</v>
      </c>
      <c r="E298" s="383">
        <f t="shared" si="125"/>
        <v>25.793083148331799</v>
      </c>
      <c r="F298" s="383">
        <f t="shared" si="103"/>
        <v>25.79385186736658</v>
      </c>
      <c r="G298" s="110">
        <f t="shared" si="126"/>
        <v>0.57776315196851336</v>
      </c>
      <c r="H298" s="412" t="b">
        <f>Wh_hp&gt;='2024'!Maxi_hp</f>
        <v>0</v>
      </c>
      <c r="I298" s="388">
        <f>IF(H298,Wh_hp,'2024'!Maxi_hp)</f>
        <v>44.857995782913029</v>
      </c>
      <c r="J298" s="85">
        <f>IF(H298,An,'2024'!An_max)</f>
        <v>2021</v>
      </c>
      <c r="K298" s="197">
        <f t="shared" si="104"/>
        <v>45941</v>
      </c>
      <c r="L298" s="147">
        <f>IF(t&lt;Tvie,1-EXP((T0-t)*PertePVj)+'2024'!Pspv,1-EXP((T0-t)*PertePVj)+Pspv)</f>
        <v>4.5777414125605431E-2</v>
      </c>
      <c r="M298" s="832"/>
      <c r="N298" s="832"/>
      <c r="O298" s="48">
        <f>IF(t&lt;Tnet,'2024'!Resal+('2024'!Salim-'2024'!Resal)*(1-EXP(('2024'!Tnet-t)/('2024'!Tau_j))),Resal+(Salim-Resal)*(1-EXP((Tnet-t)/(Tau_j))))*Salcycl</f>
        <v>2.8390311130559256E-2</v>
      </c>
      <c r="P298" s="169">
        <f>(INDEX(Models!$BJ298:$BT298,,T298)*(1-R298)+INDEX(Models!$BJ298:$BT298,,T298+1)*R298-ERP_i)*Q298*Ramure*Pc/MaxiM</f>
        <v>7.5098959838783112E-5</v>
      </c>
      <c r="Q298" s="304">
        <f t="shared" si="105"/>
        <v>0.6</v>
      </c>
      <c r="R298" s="177">
        <f t="shared" si="106"/>
        <v>0.9961030885464579</v>
      </c>
      <c r="S298" s="799">
        <f t="shared" si="107"/>
        <v>1</v>
      </c>
      <c r="T298" s="176">
        <f t="shared" si="108"/>
        <v>7</v>
      </c>
      <c r="U298" s="250">
        <f t="shared" si="109"/>
        <v>1.9961030885464579</v>
      </c>
      <c r="V298" s="382">
        <f t="shared" si="110"/>
        <v>41.388079391087906</v>
      </c>
      <c r="W298" s="400">
        <f t="shared" si="111"/>
        <v>23.913590438262474</v>
      </c>
      <c r="X298" s="157">
        <f t="shared" si="112"/>
        <v>45941</v>
      </c>
      <c r="Y298" s="383">
        <f t="shared" si="113"/>
        <v>23.13720999943898</v>
      </c>
      <c r="Z298" s="383">
        <f t="shared" si="114"/>
        <v>24.247183353176844</v>
      </c>
      <c r="AA298" s="384">
        <f t="shared" si="115"/>
        <v>25.793083148331799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5.9934664896970219E-2</v>
      </c>
      <c r="AD298" s="230">
        <f>(INDEX(Models!$BJ298:$BT298,,AH298)*(1-AF298)+INDEX(Models!$BJ298:$BT298,,AH298+1)*AF298-ERP_i)*AE298*Ramure*Pc/MaxiM</f>
        <v>7.5098959838783112E-5</v>
      </c>
      <c r="AE298" s="304">
        <f t="shared" si="117"/>
        <v>0.6</v>
      </c>
      <c r="AF298" s="177">
        <f t="shared" si="118"/>
        <v>0.9961030885464579</v>
      </c>
      <c r="AG298" s="799">
        <f t="shared" si="124"/>
        <v>1</v>
      </c>
      <c r="AH298" s="176">
        <f t="shared" si="119"/>
        <v>7</v>
      </c>
      <c r="AI298" s="224">
        <f t="shared" si="120"/>
        <v>1.9961030885464579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45942</v>
      </c>
      <c r="B299" s="409">
        <f>IF(t&gt;Tmaj,'2024'!Wh/'2024'!Env_an*'2025'!Env_an,0.001*'[12]mon-tableau (1)'!$B$253)</f>
        <v>28.197211086018495</v>
      </c>
      <c r="C299" s="829"/>
      <c r="D299" s="391">
        <f t="shared" si="102"/>
        <v>29.550496820041264</v>
      </c>
      <c r="E299" s="383">
        <f t="shared" si="125"/>
        <v>30.416800289382497</v>
      </c>
      <c r="F299" s="383">
        <f t="shared" si="103"/>
        <v>30.418103094099394</v>
      </c>
      <c r="G299" s="110">
        <f t="shared" si="126"/>
        <v>0.68629775196679199</v>
      </c>
      <c r="H299" s="412" t="b">
        <f>Wh_hp&gt;='2024'!Maxi_hp</f>
        <v>0</v>
      </c>
      <c r="I299" s="388">
        <f>IF(H299,Wh_hp,'2024'!Maxi_hp)</f>
        <v>43.06156480177809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4.5795701583770554E-2</v>
      </c>
      <c r="M299" s="832"/>
      <c r="N299" s="832"/>
      <c r="O299" s="48">
        <f>IF(t&lt;Tnet,'2024'!Resal+('2024'!Salim-'2024'!Resal)*(1-EXP(('2024'!Tnet-t)/('2024'!Tau_j))),Resal+(Salim-Resal)*(1-EXP((Tnet-t)/(Tau_j))))*Salcycl</f>
        <v>2.8481084831386169E-2</v>
      </c>
      <c r="P299" s="169">
        <f>(INDEX(Models!$BJ299:$BT299,,T299)*(1-R299)+INDEX(Models!$BJ299:$BT299,,T299+1)*R299-ERP_i)*Q299*Ramure*Pc/MaxiM</f>
        <v>7.7606164587501629E-5</v>
      </c>
      <c r="Q299" s="304">
        <f t="shared" si="105"/>
        <v>0.6</v>
      </c>
      <c r="R299" s="177">
        <f t="shared" si="106"/>
        <v>0.99623012888135931</v>
      </c>
      <c r="S299" s="799">
        <f t="shared" si="107"/>
        <v>1</v>
      </c>
      <c r="T299" s="176">
        <f t="shared" si="108"/>
        <v>7</v>
      </c>
      <c r="U299" s="250">
        <f t="shared" si="109"/>
        <v>1.9962301288813593</v>
      </c>
      <c r="V299" s="382">
        <f t="shared" si="110"/>
        <v>41.084544383124673</v>
      </c>
      <c r="W299" s="400">
        <f t="shared" si="111"/>
        <v>28.197211086018495</v>
      </c>
      <c r="X299" s="157">
        <f t="shared" si="112"/>
        <v>45942</v>
      </c>
      <c r="Y299" s="383">
        <f t="shared" si="113"/>
        <v>27.283193557411892</v>
      </c>
      <c r="Z299" s="383">
        <f t="shared" si="114"/>
        <v>28.592612297697702</v>
      </c>
      <c r="AA299" s="384">
        <f t="shared" si="115"/>
        <v>30.416800289382497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5.9973040370112779E-2</v>
      </c>
      <c r="AD299" s="230">
        <f>(INDEX(Models!$BJ299:$BT299,,AH299)*(1-AF299)+INDEX(Models!$BJ299:$BT299,,AH299+1)*AF299-ERP_i)*AE299*Ramure*Pc/MaxiM</f>
        <v>7.7606164587501629E-5</v>
      </c>
      <c r="AE299" s="304">
        <f t="shared" si="117"/>
        <v>0.6</v>
      </c>
      <c r="AF299" s="177">
        <f t="shared" si="118"/>
        <v>0.99623012888135931</v>
      </c>
      <c r="AG299" s="799">
        <f t="shared" si="124"/>
        <v>1</v>
      </c>
      <c r="AH299" s="176">
        <f t="shared" si="119"/>
        <v>7</v>
      </c>
      <c r="AI299" s="224">
        <f t="shared" si="120"/>
        <v>1.9962301288813593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45943</v>
      </c>
      <c r="B300" s="409">
        <f>IF(t&gt;Tmaj,'2024'!Wh/'2024'!Env_an*'2025'!Env_an,0.001*'[12]mon-tableau (1)'!$B$254)</f>
        <v>24.806313396006836</v>
      </c>
      <c r="C300" s="829"/>
      <c r="D300" s="391">
        <f t="shared" si="102"/>
        <v>25.997355968348639</v>
      </c>
      <c r="E300" s="383">
        <f t="shared" si="125"/>
        <v>26.761978751110149</v>
      </c>
      <c r="F300" s="383">
        <f t="shared" si="103"/>
        <v>26.762925539710718</v>
      </c>
      <c r="G300" s="110">
        <f t="shared" si="126"/>
        <v>0.60828909677734766</v>
      </c>
      <c r="H300" s="412" t="b">
        <f>Wh_hp&gt;='2024'!Maxi_hp</f>
        <v>0</v>
      </c>
      <c r="I300" s="388">
        <f>IF(H300,Wh_hp,'2024'!Maxi_hp)</f>
        <v>42.186291422825811</v>
      </c>
      <c r="J300" s="85">
        <f>IF(H300,An,'2024'!An_max)</f>
        <v>2021</v>
      </c>
      <c r="K300" s="197">
        <f t="shared" si="104"/>
        <v>45943</v>
      </c>
      <c r="L300" s="147">
        <f>IF(t&lt;Tvie,1-EXP((T0-t)*PertePVj)+'2024'!Pspv,1-EXP((T0-t)*PertePVj)+Pspv)</f>
        <v>4.5813988691460694E-2</v>
      </c>
      <c r="M300" s="832"/>
      <c r="N300" s="832"/>
      <c r="O300" s="48">
        <f>IF(t&lt;Tnet,'2024'!Resal+('2024'!Salim-'2024'!Resal)*(1-EXP(('2024'!Tnet-t)/('2024'!Tau_j))),Resal+(Salim-Resal)*(1-EXP((Tnet-t)/(Tau_j))))*Salcycl</f>
        <v>2.8571234955105544E-2</v>
      </c>
      <c r="P300" s="169">
        <f>(INDEX(Models!$BJ300:$BT300,,T300)*(1-R300)+INDEX(Models!$BJ300:$BT300,,T300+1)*R300-ERP_i)*Q300*Ramure*Pc/MaxiM</f>
        <v>8.0319462958541675E-5</v>
      </c>
      <c r="Q300" s="304">
        <f t="shared" si="105"/>
        <v>0.6</v>
      </c>
      <c r="R300" s="177">
        <f t="shared" si="106"/>
        <v>0.99635211521095357</v>
      </c>
      <c r="S300" s="799">
        <f t="shared" si="107"/>
        <v>1</v>
      </c>
      <c r="T300" s="176">
        <f t="shared" si="108"/>
        <v>7</v>
      </c>
      <c r="U300" s="250">
        <f t="shared" si="109"/>
        <v>1.9963521152109536</v>
      </c>
      <c r="V300" s="382">
        <f t="shared" si="110"/>
        <v>40.77863408697133</v>
      </c>
      <c r="W300" s="400">
        <f t="shared" si="111"/>
        <v>24.806313396006836</v>
      </c>
      <c r="X300" s="157">
        <f t="shared" si="112"/>
        <v>45943</v>
      </c>
      <c r="Y300" s="383">
        <f t="shared" si="113"/>
        <v>24.003484867420589</v>
      </c>
      <c r="Z300" s="383">
        <f t="shared" si="114"/>
        <v>25.155980681903941</v>
      </c>
      <c r="AA300" s="384">
        <f t="shared" si="115"/>
        <v>26.761978751110149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6.0010438097354381E-2</v>
      </c>
      <c r="AD300" s="230">
        <f>(INDEX(Models!$BJ300:$BT300,,AH300)*(1-AF300)+INDEX(Models!$BJ300:$BT300,,AH300+1)*AF300-ERP_i)*AE300*Ramure*Pc/MaxiM</f>
        <v>8.0319462958541675E-5</v>
      </c>
      <c r="AE300" s="304">
        <f t="shared" si="117"/>
        <v>0.6</v>
      </c>
      <c r="AF300" s="177">
        <f t="shared" si="118"/>
        <v>0.99635211521095357</v>
      </c>
      <c r="AG300" s="799">
        <f t="shared" si="124"/>
        <v>1</v>
      </c>
      <c r="AH300" s="176">
        <f t="shared" si="119"/>
        <v>7</v>
      </c>
      <c r="AI300" s="224">
        <f t="shared" si="120"/>
        <v>1.9963521152109536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45944</v>
      </c>
      <c r="B301" s="409">
        <f>IF(t&gt;Tmaj,'2024'!Wh/'2024'!Env_an*'2025'!Env_an,0.001*'[12]mon-tableau (1)'!$B$255)</f>
        <v>17.783435498393125</v>
      </c>
      <c r="C301" s="829"/>
      <c r="D301" s="391">
        <f t="shared" si="102"/>
        <v>18.637640994150697</v>
      </c>
      <c r="E301" s="383">
        <f t="shared" si="125"/>
        <v>19.18757144877047</v>
      </c>
      <c r="F301" s="383">
        <f t="shared" si="103"/>
        <v>19.187889552573822</v>
      </c>
      <c r="G301" s="110">
        <f t="shared" si="126"/>
        <v>0.43938742381937312</v>
      </c>
      <c r="H301" s="412" t="b">
        <f>Wh_hp&gt;='2024'!Maxi_hp</f>
        <v>0</v>
      </c>
      <c r="I301" s="388">
        <f>IF(H301,Wh_hp,'2024'!Maxi_hp)</f>
        <v>45.549482417186574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4.5832275448682624E-2</v>
      </c>
      <c r="M301" s="832"/>
      <c r="N301" s="832"/>
      <c r="O301" s="48">
        <f>IF(t&lt;Tnet,'2024'!Resal+('2024'!Salim-'2024'!Resal)*(1-EXP(('2024'!Tnet-t)/('2024'!Tau_j))),Resal+(Salim-Resal)*(1-EXP((Tnet-t)/(Tau_j))))*Salcycl</f>
        <v>2.8660763874576261E-2</v>
      </c>
      <c r="P301" s="169">
        <f>(INDEX(Models!$BJ301:$BT301,,T301)*(1-R301)+INDEX(Models!$BJ301:$BT301,,T301+1)*R301-ERP_i)*Q301*Ramure*Pc/MaxiM</f>
        <v>8.3238614609078019E-5</v>
      </c>
      <c r="Q301" s="304">
        <f t="shared" si="105"/>
        <v>0.6</v>
      </c>
      <c r="R301" s="177">
        <f t="shared" si="106"/>
        <v>0.99646924625173439</v>
      </c>
      <c r="S301" s="799">
        <f t="shared" si="107"/>
        <v>1</v>
      </c>
      <c r="T301" s="176">
        <f t="shared" si="108"/>
        <v>7</v>
      </c>
      <c r="U301" s="250">
        <f t="shared" si="109"/>
        <v>1.9964692462517344</v>
      </c>
      <c r="V301" s="382">
        <f t="shared" si="110"/>
        <v>40.470548464696265</v>
      </c>
      <c r="W301" s="400">
        <f t="shared" si="111"/>
        <v>17.783435498393125</v>
      </c>
      <c r="X301" s="157">
        <f t="shared" si="112"/>
        <v>45944</v>
      </c>
      <c r="Y301" s="383">
        <f t="shared" si="113"/>
        <v>17.20881362363254</v>
      </c>
      <c r="Z301" s="383">
        <f t="shared" si="114"/>
        <v>18.035417862959804</v>
      </c>
      <c r="AA301" s="384">
        <f t="shared" si="115"/>
        <v>19.18757144877047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6.0046868822708523E-2</v>
      </c>
      <c r="AD301" s="230">
        <f>(INDEX(Models!$BJ301:$BT301,,AH301)*(1-AF301)+INDEX(Models!$BJ301:$BT301,,AH301+1)*AF301-ERP_i)*AE301*Ramure*Pc/MaxiM</f>
        <v>8.3238614609078019E-5</v>
      </c>
      <c r="AE301" s="304">
        <f t="shared" si="117"/>
        <v>0.6</v>
      </c>
      <c r="AF301" s="177">
        <f t="shared" si="118"/>
        <v>0.99646924625173439</v>
      </c>
      <c r="AG301" s="799">
        <f t="shared" si="124"/>
        <v>1</v>
      </c>
      <c r="AH301" s="176">
        <f t="shared" si="119"/>
        <v>7</v>
      </c>
      <c r="AI301" s="224">
        <f t="shared" si="120"/>
        <v>1.9964692462517344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45945</v>
      </c>
      <c r="B302" s="409">
        <f>IF(t&gt;Tmaj,'2024'!Wh/'2024'!Env_an*'2025'!Env_an,0.001*'[12]mon-tableau (1)'!$B$256)</f>
        <v>40.583347970842532</v>
      </c>
      <c r="C302" s="829"/>
      <c r="D302" s="391">
        <f t="shared" si="102"/>
        <v>42.533534421778917</v>
      </c>
      <c r="E302" s="383">
        <f t="shared" si="125"/>
        <v>43.792556202252825</v>
      </c>
      <c r="F302" s="383">
        <f t="shared" si="103"/>
        <v>43.796338595835707</v>
      </c>
      <c r="G302" s="110">
        <f t="shared" si="126"/>
        <v>1.0105292707627349</v>
      </c>
      <c r="H302" s="412" t="b">
        <f>Wh_hp&gt;='2024'!Maxi_hp</f>
        <v>1</v>
      </c>
      <c r="I302" s="388">
        <f>IF(H302,Wh_hp,'2024'!Maxi_hp)</f>
        <v>43.796338595835707</v>
      </c>
      <c r="J302" s="85">
        <f>IF(H302,An,'2024'!An_max)</f>
        <v>2025</v>
      </c>
      <c r="K302" s="197">
        <f t="shared" si="104"/>
        <v>45945</v>
      </c>
      <c r="L302" s="147">
        <f>IF(t&lt;Tvie,1-EXP((T0-t)*PertePVj)+'2024'!Pspv,1-EXP((T0-t)*PertePVj)+Pspv)</f>
        <v>4.5850561855443006E-2</v>
      </c>
      <c r="M302" s="832"/>
      <c r="N302" s="832"/>
      <c r="O302" s="48">
        <f>IF(t&lt;Tnet,'2024'!Resal+('2024'!Salim-'2024'!Resal)*(1-EXP(('2024'!Tnet-t)/('2024'!Tau_j))),Resal+(Salim-Resal)*(1-EXP((Tnet-t)/(Tau_j))))*Salcycl</f>
        <v>2.8749675507846708E-2</v>
      </c>
      <c r="P302" s="169">
        <f>(INDEX(Models!$BJ302:$BT302,,T302)*(1-R302)+INDEX(Models!$BJ302:$BT302,,T302+1)*R302-ERP_i)*Q302*Ramure*Pc/MaxiM</f>
        <v>8.6363237296868515E-5</v>
      </c>
      <c r="Q302" s="304">
        <f t="shared" si="105"/>
        <v>0.6</v>
      </c>
      <c r="R302" s="177">
        <f t="shared" si="106"/>
        <v>0.99658171309110033</v>
      </c>
      <c r="S302" s="799">
        <f t="shared" si="107"/>
        <v>1</v>
      </c>
      <c r="T302" s="176">
        <f t="shared" si="108"/>
        <v>7</v>
      </c>
      <c r="U302" s="250">
        <f t="shared" si="109"/>
        <v>1.9965817130911003</v>
      </c>
      <c r="V302" s="382">
        <f t="shared" si="110"/>
        <v>40.160487325825521</v>
      </c>
      <c r="W302" s="400">
        <f t="shared" si="111"/>
        <v>40.583347970842532</v>
      </c>
      <c r="X302" s="157">
        <f t="shared" si="112"/>
        <v>45945</v>
      </c>
      <c r="Y302" s="383">
        <f t="shared" si="113"/>
        <v>39.274123507840493</v>
      </c>
      <c r="Z302" s="383">
        <f t="shared" si="114"/>
        <v>41.161396672006767</v>
      </c>
      <c r="AA302" s="384">
        <f t="shared" si="115"/>
        <v>43.792556202252825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6.0082346371703746E-2</v>
      </c>
      <c r="AD302" s="230">
        <f>(INDEX(Models!$BJ302:$BT302,,AH302)*(1-AF302)+INDEX(Models!$BJ302:$BT302,,AH302+1)*AF302-ERP_i)*AE302*Ramure*Pc/MaxiM</f>
        <v>8.6363237296868515E-5</v>
      </c>
      <c r="AE302" s="304">
        <f t="shared" si="117"/>
        <v>0.6</v>
      </c>
      <c r="AF302" s="177">
        <f t="shared" si="118"/>
        <v>0.99658171309110033</v>
      </c>
      <c r="AG302" s="799">
        <f t="shared" si="124"/>
        <v>1</v>
      </c>
      <c r="AH302" s="176">
        <f t="shared" si="119"/>
        <v>7</v>
      </c>
      <c r="AI302" s="224">
        <f t="shared" si="120"/>
        <v>1.9965817130911003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45946</v>
      </c>
      <c r="B303" s="409">
        <f>IF(t&gt;Tmaj,'2024'!Wh/'2024'!Env_an*'2025'!Env_an,0.001*'[12]mon-tableau (1)'!$B$257)</f>
        <v>34.920580531310407</v>
      </c>
      <c r="C303" s="829"/>
      <c r="D303" s="391">
        <f t="shared" si="102"/>
        <v>36.59935057657615</v>
      </c>
      <c r="E303" s="383">
        <f t="shared" si="125"/>
        <v>37.686142629392265</v>
      </c>
      <c r="F303" s="383">
        <f t="shared" si="103"/>
        <v>37.688926338437184</v>
      </c>
      <c r="G303" s="110">
        <f t="shared" si="126"/>
        <v>0.87637971673216153</v>
      </c>
      <c r="H303" s="412" t="b">
        <f>Wh_hp&gt;='2024'!Maxi_hp</f>
        <v>0</v>
      </c>
      <c r="I303" s="388">
        <f>IF(H303,Wh_hp,'2024'!Maxi_hp)</f>
        <v>41.812215939762069</v>
      </c>
      <c r="J303" s="85">
        <f>IF(H303,An,'2024'!An_max)</f>
        <v>2021</v>
      </c>
      <c r="K303" s="197">
        <f t="shared" si="104"/>
        <v>45946</v>
      </c>
      <c r="L303" s="147">
        <f>IF(t&lt;Tvie,1-EXP((T0-t)*PertePVj)+'2024'!Pspv,1-EXP((T0-t)*PertePVj)+Pspv)</f>
        <v>4.5868847911748611E-2</v>
      </c>
      <c r="M303" s="832"/>
      <c r="N303" s="832"/>
      <c r="O303" s="48">
        <f>IF(t&lt;Tnet,'2024'!Resal+('2024'!Salim-'2024'!Resal)*(1-EXP(('2024'!Tnet-t)/('2024'!Tau_j))),Resal+(Salim-Resal)*(1-EXP((Tnet-t)/(Tau_j))))*Salcycl</f>
        <v>2.8837975366799676E-2</v>
      </c>
      <c r="P303" s="169">
        <f>(INDEX(Models!$BJ303:$BT303,,T303)*(1-R303)+INDEX(Models!$BJ303:$BT303,,T303+1)*R303-ERP_i)*Q303*Ramure*Pc/MaxiM</f>
        <v>8.9699281768951714E-5</v>
      </c>
      <c r="Q303" s="304">
        <f t="shared" si="105"/>
        <v>0.6</v>
      </c>
      <c r="R303" s="177">
        <f t="shared" si="106"/>
        <v>0.99668969946573327</v>
      </c>
      <c r="S303" s="799">
        <f t="shared" si="107"/>
        <v>1</v>
      </c>
      <c r="T303" s="176">
        <f t="shared" si="108"/>
        <v>7</v>
      </c>
      <c r="U303" s="250">
        <f t="shared" si="109"/>
        <v>1.9966896994657333</v>
      </c>
      <c r="V303" s="382">
        <f t="shared" si="110"/>
        <v>39.845773140815858</v>
      </c>
      <c r="W303" s="400">
        <f t="shared" si="111"/>
        <v>34.920580531310407</v>
      </c>
      <c r="X303" s="157">
        <f t="shared" si="112"/>
        <v>45946</v>
      </c>
      <c r="Y303" s="383">
        <f t="shared" si="113"/>
        <v>33.795868330970748</v>
      </c>
      <c r="Z303" s="383">
        <f t="shared" si="114"/>
        <v>35.42056902450328</v>
      </c>
      <c r="AA303" s="384">
        <f t="shared" si="115"/>
        <v>37.686142629392265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6.0116887715698807E-2</v>
      </c>
      <c r="AD303" s="230">
        <f>(INDEX(Models!$BJ303:$BT303,,AH303)*(1-AF303)+INDEX(Models!$BJ303:$BT303,,AH303+1)*AF303-ERP_i)*AE303*Ramure*Pc/MaxiM</f>
        <v>8.9699281768951714E-5</v>
      </c>
      <c r="AE303" s="304">
        <f t="shared" si="117"/>
        <v>0.6</v>
      </c>
      <c r="AF303" s="177">
        <f t="shared" si="118"/>
        <v>0.99668969946573327</v>
      </c>
      <c r="AG303" s="799">
        <f t="shared" si="124"/>
        <v>1</v>
      </c>
      <c r="AH303" s="176">
        <f t="shared" si="119"/>
        <v>7</v>
      </c>
      <c r="AI303" s="224">
        <f t="shared" si="120"/>
        <v>1.9966896994657333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45947</v>
      </c>
      <c r="B304" s="409">
        <f>IF(t&gt;Tmaj,'2024'!Wh/'2024'!Env_an*'2025'!Env_an,0.001*'[12]mon-tableau (1)'!$B$258)</f>
        <v>19.520363429601986</v>
      </c>
      <c r="C304" s="829"/>
      <c r="D304" s="391">
        <f t="shared" si="102"/>
        <v>20.45917639033129</v>
      </c>
      <c r="E304" s="383">
        <f t="shared" si="125"/>
        <v>21.068599767149216</v>
      </c>
      <c r="F304" s="383">
        <f t="shared" si="103"/>
        <v>21.069142913131984</v>
      </c>
      <c r="G304" s="110">
        <f t="shared" si="126"/>
        <v>0.49384890800849718</v>
      </c>
      <c r="H304" s="412" t="b">
        <f>Wh_hp&gt;='2024'!Maxi_hp</f>
        <v>0</v>
      </c>
      <c r="I304" s="388">
        <f>IF(H304,Wh_hp,'2024'!Maxi_hp)</f>
        <v>39.356868501239063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4.5887133617606102E-2</v>
      </c>
      <c r="M304" s="832"/>
      <c r="N304" s="832"/>
      <c r="O304" s="48">
        <f>IF(t&lt;Tnet,'2024'!Resal+('2024'!Salim-'2024'!Resal)*(1-EXP(('2024'!Tnet-t)/('2024'!Tau_j))),Resal+(Salim-Resal)*(1-EXP((Tnet-t)/(Tau_j))))*Salcycl</f>
        <v>2.8925670597633058E-2</v>
      </c>
      <c r="P304" s="169">
        <f>(INDEX(Models!$BJ304:$BT304,,T304)*(1-R304)+INDEX(Models!$BJ304:$BT304,,T304+1)*R304-ERP_i)*Q304*Ramure*Pc/MaxiM</f>
        <v>9.307433191162798E-5</v>
      </c>
      <c r="Q304" s="304">
        <f t="shared" si="105"/>
        <v>0.6</v>
      </c>
      <c r="R304" s="177">
        <f t="shared" si="106"/>
        <v>0.99679338203097823</v>
      </c>
      <c r="S304" s="799">
        <f t="shared" si="107"/>
        <v>1</v>
      </c>
      <c r="T304" s="176">
        <f t="shared" si="108"/>
        <v>7</v>
      </c>
      <c r="U304" s="250">
        <f t="shared" si="109"/>
        <v>1.9967933820309782</v>
      </c>
      <c r="V304" s="382">
        <f t="shared" si="110"/>
        <v>39.524335184473728</v>
      </c>
      <c r="W304" s="400">
        <f t="shared" si="111"/>
        <v>19.520363429601986</v>
      </c>
      <c r="X304" s="157">
        <f t="shared" si="112"/>
        <v>45947</v>
      </c>
      <c r="Y304" s="383">
        <f t="shared" si="113"/>
        <v>18.892687201701516</v>
      </c>
      <c r="Z304" s="383">
        <f t="shared" si="114"/>
        <v>19.801312682570632</v>
      </c>
      <c r="AA304" s="384">
        <f t="shared" si="115"/>
        <v>21.068599767149216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6.0150513018647503E-2</v>
      </c>
      <c r="AD304" s="230">
        <f>(INDEX(Models!$BJ304:$BT304,,AH304)*(1-AF304)+INDEX(Models!$BJ304:$BT304,,AH304+1)*AF304-ERP_i)*AE304*Ramure*Pc/MaxiM</f>
        <v>9.307433191162798E-5</v>
      </c>
      <c r="AE304" s="304">
        <f t="shared" si="117"/>
        <v>0.6</v>
      </c>
      <c r="AF304" s="177">
        <f t="shared" si="118"/>
        <v>0.99679338203097823</v>
      </c>
      <c r="AG304" s="799">
        <f t="shared" si="124"/>
        <v>1</v>
      </c>
      <c r="AH304" s="176">
        <f t="shared" si="119"/>
        <v>7</v>
      </c>
      <c r="AI304" s="224">
        <f t="shared" si="120"/>
        <v>1.9967933820309782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45948</v>
      </c>
      <c r="B305" s="409">
        <f>IF(t&gt;Tmaj,'2024'!Wh/'2024'!Env_an*'2025'!Env_an,0.001*'[12]mon-tableau (1)'!$B$259)</f>
        <v>37.633725320677804</v>
      </c>
      <c r="C305" s="829"/>
      <c r="D305" s="391">
        <f t="shared" si="102"/>
        <v>39.444438810426149</v>
      </c>
      <c r="E305" s="383">
        <f t="shared" si="125"/>
        <v>40.623025300690728</v>
      </c>
      <c r="F305" s="383">
        <f t="shared" si="103"/>
        <v>40.626718932372277</v>
      </c>
      <c r="G305" s="110">
        <f t="shared" si="126"/>
        <v>0.96010547501685772</v>
      </c>
      <c r="H305" s="412" t="b">
        <f>Wh_hp&gt;='2024'!Maxi_hp</f>
        <v>0</v>
      </c>
      <c r="I305" s="388">
        <f>IF(H305,Wh_hp,'2024'!Maxi_hp)</f>
        <v>40.626836245820606</v>
      </c>
      <c r="J305" s="85">
        <f>IF(H305,An,'2024'!An_max)</f>
        <v>2022</v>
      </c>
      <c r="K305" s="197">
        <f t="shared" si="104"/>
        <v>45948</v>
      </c>
      <c r="L305" s="147">
        <f>IF(t&lt;Tvie,1-EXP((T0-t)*PertePVj)+'2024'!Pspv,1-EXP((T0-t)*PertePVj)+Pspv)</f>
        <v>4.5905418973022138E-2</v>
      </c>
      <c r="M305" s="832"/>
      <c r="N305" s="832"/>
      <c r="O305" s="48">
        <f>IF(t&lt;Tnet,'2024'!Resal+('2024'!Salim-'2024'!Resal)*(1-EXP(('2024'!Tnet-t)/('2024'!Tau_j))),Resal+(Salim-Resal)*(1-EXP((Tnet-t)/(Tau_j))))*Salcycl</f>
        <v>2.9012770012590412E-2</v>
      </c>
      <c r="P305" s="169">
        <f>(INDEX(Models!$BJ305:$BT305,,T305)*(1-R305)+INDEX(Models!$BJ305:$BT305,,T305+1)*R305-ERP_i)*Q305*Ramure*Pc/MaxiM</f>
        <v>9.6410219492127714E-5</v>
      </c>
      <c r="Q305" s="304">
        <f t="shared" si="105"/>
        <v>0.6</v>
      </c>
      <c r="R305" s="177">
        <f t="shared" si="106"/>
        <v>0.99689293062141848</v>
      </c>
      <c r="S305" s="799">
        <f t="shared" si="107"/>
        <v>1</v>
      </c>
      <c r="T305" s="176">
        <f t="shared" si="108"/>
        <v>7</v>
      </c>
      <c r="U305" s="250">
        <f t="shared" si="109"/>
        <v>1.9968929306214185</v>
      </c>
      <c r="V305" s="382">
        <f t="shared" si="110"/>
        <v>39.197275221478264</v>
      </c>
      <c r="W305" s="400">
        <f t="shared" si="111"/>
        <v>37.633725320677804</v>
      </c>
      <c r="X305" s="157">
        <f t="shared" si="112"/>
        <v>45948</v>
      </c>
      <c r="Y305" s="383">
        <f t="shared" si="113"/>
        <v>36.425613532381504</v>
      </c>
      <c r="Z305" s="383">
        <f t="shared" si="114"/>
        <v>38.178199789347232</v>
      </c>
      <c r="AA305" s="384">
        <f t="shared" si="115"/>
        <v>40.623025300690728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6.0183245665406573E-2</v>
      </c>
      <c r="AD305" s="230">
        <f>(INDEX(Models!$BJ305:$BT305,,AH305)*(1-AF305)+INDEX(Models!$BJ305:$BT305,,AH305+1)*AF305-ERP_i)*AE305*Ramure*Pc/MaxiM</f>
        <v>9.6410219492127714E-5</v>
      </c>
      <c r="AE305" s="304">
        <f t="shared" si="117"/>
        <v>0.6</v>
      </c>
      <c r="AF305" s="177">
        <f t="shared" si="118"/>
        <v>0.99689293062141848</v>
      </c>
      <c r="AG305" s="799">
        <f t="shared" si="124"/>
        <v>1</v>
      </c>
      <c r="AH305" s="176">
        <f t="shared" si="119"/>
        <v>7</v>
      </c>
      <c r="AI305" s="224">
        <f t="shared" si="120"/>
        <v>1.9968929306214185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45949</v>
      </c>
      <c r="B306" s="409">
        <f>IF(t&gt;Tmaj,'2024'!Wh/'2024'!Env_an*'2025'!Env_an,0.001*'[12]mon-tableau (1)'!$B$260)</f>
        <v>17.676601533961939</v>
      </c>
      <c r="C306" s="829"/>
      <c r="D306" s="391">
        <f t="shared" si="102"/>
        <v>18.527450695153213</v>
      </c>
      <c r="E306" s="383">
        <f t="shared" si="125"/>
        <v>19.082744910962017</v>
      </c>
      <c r="F306" s="383">
        <f t="shared" si="103"/>
        <v>19.083165708262616</v>
      </c>
      <c r="G306" s="110">
        <f t="shared" si="126"/>
        <v>0.45477716235665105</v>
      </c>
      <c r="H306" s="412" t="b">
        <f>Wh_hp&gt;='2024'!Maxi_hp</f>
        <v>0</v>
      </c>
      <c r="I306" s="388">
        <f>IF(H306,Wh_hp,'2024'!Maxi_hp)</f>
        <v>40.405295591154072</v>
      </c>
      <c r="J306" s="85">
        <f>IF(H306,An,'2024'!An_max)</f>
        <v>2020</v>
      </c>
      <c r="K306" s="197">
        <f t="shared" si="104"/>
        <v>45949</v>
      </c>
      <c r="L306" s="147">
        <f>IF(t&lt;Tvie,1-EXP((T0-t)*PertePVj)+'2024'!Pspv,1-EXP((T0-t)*PertePVj)+Pspv)</f>
        <v>4.5923703978003605E-2</v>
      </c>
      <c r="M306" s="832"/>
      <c r="N306" s="832"/>
      <c r="O306" s="48">
        <f>IF(t&lt;Tnet,'2024'!Resal+('2024'!Salim-'2024'!Resal)*(1-EXP(('2024'!Tnet-t)/('2024'!Tau_j))),Resal+(Salim-Resal)*(1-EXP((Tnet-t)/(Tau_j))))*Salcycl</f>
        <v>2.9099284112413915E-2</v>
      </c>
      <c r="P306" s="169">
        <f>(INDEX(Models!$BJ306:$BT306,,T306)*(1-R306)+INDEX(Models!$BJ306:$BT306,,T306+1)*R306-ERP_i)*Q306*Ramure*Pc/MaxiM</f>
        <v>9.9704461669532972E-5</v>
      </c>
      <c r="Q306" s="304">
        <f t="shared" si="105"/>
        <v>0.6</v>
      </c>
      <c r="R306" s="177">
        <f t="shared" si="106"/>
        <v>0.9969885085028487</v>
      </c>
      <c r="S306" s="799">
        <f t="shared" si="107"/>
        <v>1</v>
      </c>
      <c r="T306" s="176">
        <f t="shared" si="108"/>
        <v>7</v>
      </c>
      <c r="U306" s="250">
        <f t="shared" si="109"/>
        <v>1.9969885085028487</v>
      </c>
      <c r="V306" s="382">
        <f t="shared" si="110"/>
        <v>38.865691402853336</v>
      </c>
      <c r="W306" s="400">
        <f t="shared" si="111"/>
        <v>17.676601533961939</v>
      </c>
      <c r="X306" s="157">
        <f t="shared" si="112"/>
        <v>45949</v>
      </c>
      <c r="Y306" s="383">
        <f t="shared" si="113"/>
        <v>17.110094488746228</v>
      </c>
      <c r="Z306" s="383">
        <f t="shared" si="114"/>
        <v>17.933675283713107</v>
      </c>
      <c r="AA306" s="384">
        <f t="shared" si="115"/>
        <v>19.082744910962017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6.0215112270815448E-2</v>
      </c>
      <c r="AD306" s="230">
        <f>(INDEX(Models!$BJ306:$BT306,,AH306)*(1-AF306)+INDEX(Models!$BJ306:$BT306,,AH306+1)*AF306-ERP_i)*AE306*Ramure*Pc/MaxiM</f>
        <v>9.9704461669532972E-5</v>
      </c>
      <c r="AE306" s="304">
        <f t="shared" si="117"/>
        <v>0.6</v>
      </c>
      <c r="AF306" s="177">
        <f t="shared" si="118"/>
        <v>0.9969885085028487</v>
      </c>
      <c r="AG306" s="799">
        <f t="shared" si="124"/>
        <v>1</v>
      </c>
      <c r="AH306" s="176">
        <f t="shared" si="119"/>
        <v>7</v>
      </c>
      <c r="AI306" s="224">
        <f t="shared" si="120"/>
        <v>1.9969885085028487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45950</v>
      </c>
      <c r="B307" s="409">
        <f>IF(t&gt;Tmaj,'2024'!Wh/'2024'!Env_an*'2025'!Env_an,0.001*'[12]mon-tableau (1)'!$B$261)</f>
        <v>7.0898833376952544</v>
      </c>
      <c r="C307" s="829"/>
      <c r="D307" s="391">
        <f t="shared" si="102"/>
        <v>7.4312916544072483</v>
      </c>
      <c r="E307" s="383">
        <f t="shared" si="125"/>
        <v>7.6546956706190459</v>
      </c>
      <c r="F307" s="383">
        <f t="shared" si="103"/>
        <v>7.6546956706190459</v>
      </c>
      <c r="G307" s="110">
        <f t="shared" si="126"/>
        <v>0.18398723199663616</v>
      </c>
      <c r="H307" s="412" t="b">
        <f>Wh_hp&gt;='2024'!Maxi_hp</f>
        <v>0</v>
      </c>
      <c r="I307" s="388">
        <f>IF(H307,Wh_hp,'2024'!Maxi_hp)</f>
        <v>35.276334723455363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4.5941988632557051E-2</v>
      </c>
      <c r="M307" s="832"/>
      <c r="N307" s="832"/>
      <c r="O307" s="48">
        <f>IF(t&lt;Tnet,'2024'!Resal+('2024'!Salim-'2024'!Resal)*(1-EXP(('2024'!Tnet-t)/('2024'!Tau_j))),Resal+(Salim-Resal)*(1-EXP((Tnet-t)/(Tau_j))))*Salcycl</f>
        <v>2.9185225099057546E-2</v>
      </c>
      <c r="P307" s="169">
        <f>(INDEX(Models!$BJ307:$BT307,,T307)*(1-R307)+INDEX(Models!$BJ307:$BT307,,T307+1)*R307-ERP_i)*Q307*Ramure*Pc/MaxiM</f>
        <v>1.0295426877346306E-4</v>
      </c>
      <c r="Q307" s="304">
        <f t="shared" si="105"/>
        <v>0.6</v>
      </c>
      <c r="R307" s="177">
        <f t="shared" si="106"/>
        <v>0.99708027261584209</v>
      </c>
      <c r="S307" s="799">
        <f t="shared" si="107"/>
        <v>1</v>
      </c>
      <c r="T307" s="176">
        <f t="shared" si="108"/>
        <v>7</v>
      </c>
      <c r="U307" s="250">
        <f t="shared" si="109"/>
        <v>1.9970802726158421</v>
      </c>
      <c r="V307" s="382">
        <f t="shared" si="110"/>
        <v>38.530681325050551</v>
      </c>
      <c r="W307" s="400">
        <f t="shared" si="111"/>
        <v>7.0898833376952544</v>
      </c>
      <c r="X307" s="157">
        <f t="shared" si="112"/>
        <v>45950</v>
      </c>
      <c r="Y307" s="383">
        <f t="shared" si="113"/>
        <v>6.8630447196338729</v>
      </c>
      <c r="Z307" s="383">
        <f t="shared" si="114"/>
        <v>7.1935297831597591</v>
      </c>
      <c r="AA307" s="384">
        <f t="shared" si="115"/>
        <v>7.6546956706190459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6.0246142668920886E-2</v>
      </c>
      <c r="AD307" s="230">
        <f>(INDEX(Models!$BJ307:$BT307,,AH307)*(1-AF307)+INDEX(Models!$BJ307:$BT307,,AH307+1)*AF307-ERP_i)*AE307*Ramure*Pc/MaxiM</f>
        <v>1.0295426877346306E-4</v>
      </c>
      <c r="AE307" s="304">
        <f t="shared" si="117"/>
        <v>0.6</v>
      </c>
      <c r="AF307" s="177">
        <f t="shared" si="118"/>
        <v>0.99708027261584209</v>
      </c>
      <c r="AG307" s="799">
        <f t="shared" si="124"/>
        <v>1</v>
      </c>
      <c r="AH307" s="176">
        <f t="shared" si="119"/>
        <v>7</v>
      </c>
      <c r="AI307" s="224">
        <f t="shared" si="120"/>
        <v>1.9970802726158421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45951</v>
      </c>
      <c r="B308" s="409">
        <f>IF(t&gt;Tmaj,'2024'!Wh/'2024'!Env_an*'2025'!Env_an,0.001*'[12]mon-tableau (1)'!$B$262)</f>
        <v>18.309794595228567</v>
      </c>
      <c r="C308" s="829"/>
      <c r="D308" s="391">
        <f t="shared" si="102"/>
        <v>19.191857609105117</v>
      </c>
      <c r="E308" s="383">
        <f t="shared" si="125"/>
        <v>19.770553714652401</v>
      </c>
      <c r="F308" s="383">
        <f t="shared" si="103"/>
        <v>19.771091607666911</v>
      </c>
      <c r="G308" s="110">
        <f t="shared" si="126"/>
        <v>0.4793597001705433</v>
      </c>
      <c r="H308" s="412" t="b">
        <f>Wh_hp&gt;='2024'!Maxi_hp</f>
        <v>0</v>
      </c>
      <c r="I308" s="388">
        <f>IF(H308,Wh_hp,'2024'!Maxi_hp)</f>
        <v>23.212774519208907</v>
      </c>
      <c r="J308" s="85">
        <f>IF(H308,An,'2024'!An_max)</f>
        <v>2018</v>
      </c>
      <c r="K308" s="197">
        <f t="shared" si="104"/>
        <v>45951</v>
      </c>
      <c r="L308" s="147">
        <f>IF(t&lt;Tvie,1-EXP((T0-t)*PertePVj)+'2024'!Pspv,1-EXP((T0-t)*PertePVj)+Pspv)</f>
        <v>4.5960272936689361E-2</v>
      </c>
      <c r="M308" s="832"/>
      <c r="N308" s="832"/>
      <c r="O308" s="48">
        <f>IF(t&lt;Tnet,'2024'!Resal+('2024'!Salim-'2024'!Resal)*(1-EXP(('2024'!Tnet-t)/('2024'!Tau_j))),Resal+(Salim-Resal)*(1-EXP((Tnet-t)/(Tau_j))))*Salcycl</f>
        <v>2.9270606878268563E-2</v>
      </c>
      <c r="P308" s="169">
        <f>(INDEX(Models!$BJ308:$BT308,,T308)*(1-R308)+INDEX(Models!$BJ308:$BT308,,T308+1)*R308-ERP_i)*Q308*Ramure*Pc/MaxiM</f>
        <v>1.0615654819498129E-4</v>
      </c>
      <c r="Q308" s="304">
        <f t="shared" si="105"/>
        <v>0.6</v>
      </c>
      <c r="R308" s="177">
        <f t="shared" si="106"/>
        <v>0.99716837381112744</v>
      </c>
      <c r="S308" s="799">
        <f t="shared" si="107"/>
        <v>1</v>
      </c>
      <c r="T308" s="176">
        <f t="shared" si="108"/>
        <v>7</v>
      </c>
      <c r="U308" s="250">
        <f t="shared" si="109"/>
        <v>1.9971683738111274</v>
      </c>
      <c r="V308" s="382">
        <f t="shared" si="110"/>
        <v>38.193342038786021</v>
      </c>
      <c r="W308" s="400">
        <f t="shared" si="111"/>
        <v>18.309794595228567</v>
      </c>
      <c r="X308" s="157">
        <f t="shared" si="112"/>
        <v>45951</v>
      </c>
      <c r="Y308" s="383">
        <f t="shared" si="113"/>
        <v>17.724967190303015</v>
      </c>
      <c r="Z308" s="383">
        <f t="shared" si="114"/>
        <v>18.578856506178571</v>
      </c>
      <c r="AA308" s="384">
        <f t="shared" si="115"/>
        <v>19.770553714652401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6.0276369881873175E-2</v>
      </c>
      <c r="AD308" s="230">
        <f>(INDEX(Models!$BJ308:$BT308,,AH308)*(1-AF308)+INDEX(Models!$BJ308:$BT308,,AH308+1)*AF308-ERP_i)*AE308*Ramure*Pc/MaxiM</f>
        <v>1.0615654819498129E-4</v>
      </c>
      <c r="AE308" s="304">
        <f t="shared" si="117"/>
        <v>0.6</v>
      </c>
      <c r="AF308" s="177">
        <f t="shared" si="118"/>
        <v>0.99716837381112744</v>
      </c>
      <c r="AG308" s="799">
        <f t="shared" si="124"/>
        <v>1</v>
      </c>
      <c r="AH308" s="176">
        <f t="shared" si="119"/>
        <v>7</v>
      </c>
      <c r="AI308" s="224">
        <f t="shared" si="120"/>
        <v>1.9971683738111274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45952</v>
      </c>
      <c r="B309" s="409">
        <f>IF(t&gt;Tmaj,'2024'!Wh/'2024'!Env_an*'2025'!Env_an,0.001*'[12]mon-tableau (1)'!$B$263)</f>
        <v>35.684651806350374</v>
      </c>
      <c r="C309" s="829"/>
      <c r="D309" s="391">
        <f t="shared" si="102"/>
        <v>37.404454652547166</v>
      </c>
      <c r="E309" s="383">
        <f t="shared" si="125"/>
        <v>38.535686891624593</v>
      </c>
      <c r="F309" s="383">
        <f t="shared" si="103"/>
        <v>38.539554566612026</v>
      </c>
      <c r="G309" s="110">
        <f t="shared" si="126"/>
        <v>0.94266408881463593</v>
      </c>
      <c r="H309" s="412" t="b">
        <f>Wh_hp&gt;='2024'!Maxi_hp</f>
        <v>0</v>
      </c>
      <c r="I309" s="388">
        <f>IF(H309,Wh_hp,'2024'!Maxi_hp)</f>
        <v>38.539741779187835</v>
      </c>
      <c r="J309" s="85">
        <f>IF(H309,An,'2024'!An_max)</f>
        <v>2022</v>
      </c>
      <c r="K309" s="197">
        <f t="shared" si="104"/>
        <v>45952</v>
      </c>
      <c r="L309" s="147">
        <f>IF(t&lt;Tvie,1-EXP((T0-t)*PertePVj)+'2024'!Pspv,1-EXP((T0-t)*PertePVj)+Pspv)</f>
        <v>4.5978556890407085E-2</v>
      </c>
      <c r="M309" s="832"/>
      <c r="N309" s="832"/>
      <c r="O309" s="48">
        <f>IF(t&lt;Tnet,'2024'!Resal+('2024'!Salim-'2024'!Resal)*(1-EXP(('2024'!Tnet-t)/('2024'!Tau_j))),Resal+(Salim-Resal)*(1-EXP((Tnet-t)/(Tau_j))))*Salcycl</f>
        <v>2.9355445051721517E-2</v>
      </c>
      <c r="P309" s="169">
        <f>(INDEX(Models!$BJ309:$BT309,,T309)*(1-R309)+INDEX(Models!$BJ309:$BT309,,T309+1)*R309-ERP_i)*Q309*Ramure*Pc/MaxiM</f>
        <v>1.0930790860771609E-4</v>
      </c>
      <c r="Q309" s="304">
        <f t="shared" si="105"/>
        <v>0.6</v>
      </c>
      <c r="R309" s="177">
        <f t="shared" si="106"/>
        <v>0.99725295707697326</v>
      </c>
      <c r="S309" s="799">
        <f t="shared" si="107"/>
        <v>1</v>
      </c>
      <c r="T309" s="176">
        <f t="shared" si="108"/>
        <v>7</v>
      </c>
      <c r="U309" s="250">
        <f t="shared" si="109"/>
        <v>1.9972529570769733</v>
      </c>
      <c r="V309" s="382">
        <f t="shared" si="110"/>
        <v>37.854770062269971</v>
      </c>
      <c r="W309" s="400">
        <f t="shared" si="111"/>
        <v>35.684651806350374</v>
      </c>
      <c r="X309" s="157">
        <f t="shared" si="112"/>
        <v>45952</v>
      </c>
      <c r="Y309" s="383">
        <f t="shared" si="113"/>
        <v>34.546795825029115</v>
      </c>
      <c r="Z309" s="383">
        <f t="shared" si="114"/>
        <v>36.211760306377684</v>
      </c>
      <c r="AA309" s="384">
        <f t="shared" si="115"/>
        <v>38.535686891624593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6.0305830068180098E-2</v>
      </c>
      <c r="AD309" s="230">
        <f>(INDEX(Models!$BJ309:$BT309,,AH309)*(1-AF309)+INDEX(Models!$BJ309:$BT309,,AH309+1)*AF309-ERP_i)*AE309*Ramure*Pc/MaxiM</f>
        <v>1.0930790860771609E-4</v>
      </c>
      <c r="AE309" s="304">
        <f t="shared" si="117"/>
        <v>0.6</v>
      </c>
      <c r="AF309" s="177">
        <f t="shared" si="118"/>
        <v>0.99725295707697326</v>
      </c>
      <c r="AG309" s="799">
        <f t="shared" si="124"/>
        <v>1</v>
      </c>
      <c r="AH309" s="176">
        <f t="shared" si="119"/>
        <v>7</v>
      </c>
      <c r="AI309" s="224">
        <f t="shared" si="120"/>
        <v>1.9972529570769733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45953</v>
      </c>
      <c r="B310" s="409">
        <f>IF(t&gt;Tmaj,'2024'!Wh/'2024'!Env_an*'2025'!Env_an,0.001*'[12]mon-tableau (1)'!$B$264)</f>
        <v>17.347648881714896</v>
      </c>
      <c r="C310" s="829"/>
      <c r="D310" s="391">
        <f t="shared" si="102"/>
        <v>18.184058101749553</v>
      </c>
      <c r="E310" s="383">
        <f t="shared" si="125"/>
        <v>18.735630509282355</v>
      </c>
      <c r="F310" s="383">
        <f t="shared" si="103"/>
        <v>18.736119946843818</v>
      </c>
      <c r="G310" s="110">
        <f t="shared" si="126"/>
        <v>0.46236602167097018</v>
      </c>
      <c r="H310" s="412" t="b">
        <f>Wh_hp&gt;='2024'!Maxi_hp</f>
        <v>0</v>
      </c>
      <c r="I310" s="388">
        <f>IF(H310,Wh_hp,'2024'!Maxi_hp)</f>
        <v>37.731513799556055</v>
      </c>
      <c r="J310" s="85">
        <f>IF(H310,An,'2024'!An_max)</f>
        <v>2021</v>
      </c>
      <c r="K310" s="197">
        <f t="shared" si="104"/>
        <v>45953</v>
      </c>
      <c r="L310" s="147">
        <f>IF(t&lt;Tvie,1-EXP((T0-t)*PertePVj)+'2024'!Pspv,1-EXP((T0-t)*PertePVj)+Pspv)</f>
        <v>4.5996840493716995E-2</v>
      </c>
      <c r="M310" s="832"/>
      <c r="N310" s="832"/>
      <c r="O310" s="48">
        <f>IF(t&lt;Tnet,'2024'!Resal+('2024'!Salim-'2024'!Resal)*(1-EXP(('2024'!Tnet-t)/('2024'!Tau_j))),Resal+(Salim-Resal)*(1-EXP((Tnet-t)/(Tau_j))))*Salcycl</f>
        <v>2.9439756898468429E-2</v>
      </c>
      <c r="P310" s="169">
        <f>(INDEX(Models!$BJ310:$BT310,,T310)*(1-R310)+INDEX(Models!$BJ310:$BT310,,T310+1)*R310-ERP_i)*Q310*Ramure*Pc/MaxiM</f>
        <v>1.1259356963899722E-4</v>
      </c>
      <c r="Q310" s="304">
        <f t="shared" si="105"/>
        <v>0.6</v>
      </c>
      <c r="R310" s="177">
        <f t="shared" si="106"/>
        <v>0.99733416175879519</v>
      </c>
      <c r="S310" s="799">
        <f t="shared" si="107"/>
        <v>1</v>
      </c>
      <c r="T310" s="176">
        <f t="shared" si="108"/>
        <v>7</v>
      </c>
      <c r="U310" s="250">
        <f t="shared" si="109"/>
        <v>1.9973341617587952</v>
      </c>
      <c r="V310" s="382">
        <f t="shared" si="110"/>
        <v>37.516054300684438</v>
      </c>
      <c r="W310" s="400">
        <f t="shared" si="111"/>
        <v>17.347648881714896</v>
      </c>
      <c r="X310" s="157">
        <f t="shared" si="112"/>
        <v>45953</v>
      </c>
      <c r="Y310" s="383">
        <f t="shared" si="113"/>
        <v>16.795439739841235</v>
      </c>
      <c r="Z310" s="383">
        <f t="shared" si="114"/>
        <v>17.605224440276732</v>
      </c>
      <c r="AA310" s="384">
        <f t="shared" si="115"/>
        <v>18.735630509282355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6.0334562450170874E-2</v>
      </c>
      <c r="AD310" s="230">
        <f>(INDEX(Models!$BJ310:$BT310,,AH310)*(1-AF310)+INDEX(Models!$BJ310:$BT310,,AH310+1)*AF310-ERP_i)*AE310*Ramure*Pc/MaxiM</f>
        <v>1.1259356963899722E-4</v>
      </c>
      <c r="AE310" s="304">
        <f t="shared" si="117"/>
        <v>0.6</v>
      </c>
      <c r="AF310" s="177">
        <f t="shared" si="118"/>
        <v>0.99733416175879519</v>
      </c>
      <c r="AG310" s="799">
        <f t="shared" si="124"/>
        <v>1</v>
      </c>
      <c r="AH310" s="176">
        <f t="shared" si="119"/>
        <v>7</v>
      </c>
      <c r="AI310" s="224">
        <f t="shared" si="120"/>
        <v>1.9973341617587952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45954</v>
      </c>
      <c r="B311" s="409">
        <f>IF(t&gt;Tmaj,'2024'!Wh/'2024'!Env_an*'2025'!Env_an,0.001*'[12]mon-tableau (1)'!$B$265)</f>
        <v>29.461141434315941</v>
      </c>
      <c r="C311" s="829"/>
      <c r="D311" s="391">
        <f t="shared" si="102"/>
        <v>30.882189191530948</v>
      </c>
      <c r="E311" s="383">
        <f t="shared" si="125"/>
        <v>31.821678467896369</v>
      </c>
      <c r="F311" s="383">
        <f t="shared" si="103"/>
        <v>31.824272712874244</v>
      </c>
      <c r="G311" s="110">
        <f t="shared" si="126"/>
        <v>0.79240128713742408</v>
      </c>
      <c r="H311" s="412" t="b">
        <f>Wh_hp&gt;='2024'!Maxi_hp</f>
        <v>0</v>
      </c>
      <c r="I311" s="388">
        <f>IF(H311,Wh_hp,'2024'!Maxi_hp)</f>
        <v>41.981963629803325</v>
      </c>
      <c r="J311" s="85">
        <f>IF(H311,An,'2024'!An_max)</f>
        <v>2021</v>
      </c>
      <c r="K311" s="197">
        <f t="shared" si="104"/>
        <v>45954</v>
      </c>
      <c r="L311" s="147">
        <f>IF(t&lt;Tvie,1-EXP((T0-t)*PertePVj)+'2024'!Pspv,1-EXP((T0-t)*PertePVj)+Pspv)</f>
        <v>4.6015123746625863E-2</v>
      </c>
      <c r="M311" s="832"/>
      <c r="N311" s="832"/>
      <c r="O311" s="48">
        <f>IF(t&lt;Tnet,'2024'!Resal+('2024'!Salim-'2024'!Resal)*(1-EXP(('2024'!Tnet-t)/('2024'!Tau_j))),Resal+(Salim-Resal)*(1-EXP((Tnet-t)/(Tau_j))))*Salcycl</f>
        <v>2.9523561345553666E-2</v>
      </c>
      <c r="P311" s="169">
        <f>(INDEX(Models!$BJ311:$BT311,,T311)*(1-R311)+INDEX(Models!$BJ311:$BT311,,T311+1)*R311-ERP_i)*Q311*Ramure*Pc/MaxiM</f>
        <v>1.1587969418155354E-4</v>
      </c>
      <c r="Q311" s="304">
        <f t="shared" si="105"/>
        <v>0.6</v>
      </c>
      <c r="R311" s="177">
        <f t="shared" si="106"/>
        <v>0.99741212177118777</v>
      </c>
      <c r="S311" s="799">
        <f t="shared" si="107"/>
        <v>1</v>
      </c>
      <c r="T311" s="176">
        <f t="shared" si="108"/>
        <v>7</v>
      </c>
      <c r="U311" s="250">
        <f t="shared" si="109"/>
        <v>1.9974121217711878</v>
      </c>
      <c r="V311" s="382">
        <f t="shared" si="110"/>
        <v>37.178295252201892</v>
      </c>
      <c r="W311" s="400">
        <f t="shared" si="111"/>
        <v>29.461141434315941</v>
      </c>
      <c r="X311" s="157">
        <f t="shared" si="112"/>
        <v>45954</v>
      </c>
      <c r="Y311" s="383">
        <f t="shared" si="113"/>
        <v>28.524948122493978</v>
      </c>
      <c r="Z311" s="383">
        <f t="shared" si="114"/>
        <v>29.900838925792236</v>
      </c>
      <c r="AA311" s="384">
        <f t="shared" si="115"/>
        <v>31.821678467896369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6.0362609220691768E-2</v>
      </c>
      <c r="AD311" s="230">
        <f>(INDEX(Models!$BJ311:$BT311,,AH311)*(1-AF311)+INDEX(Models!$BJ311:$BT311,,AH311+1)*AF311-ERP_i)*AE311*Ramure*Pc/MaxiM</f>
        <v>1.1587969418155354E-4</v>
      </c>
      <c r="AE311" s="304">
        <f t="shared" si="117"/>
        <v>0.6</v>
      </c>
      <c r="AF311" s="177">
        <f t="shared" si="118"/>
        <v>0.99741212177118777</v>
      </c>
      <c r="AG311" s="799">
        <f t="shared" si="124"/>
        <v>1</v>
      </c>
      <c r="AH311" s="176">
        <f t="shared" si="119"/>
        <v>7</v>
      </c>
      <c r="AI311" s="224">
        <f t="shared" si="120"/>
        <v>1.9974121217711878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45955</v>
      </c>
      <c r="B312" s="409">
        <f>IF(t&gt;Tmaj,'2024'!Wh/'2024'!Env_an*'2025'!Env_an,0.001*'[12]mon-tableau (1)'!$B$266)</f>
        <v>23.978293427312686</v>
      </c>
      <c r="C312" s="829"/>
      <c r="D312" s="391">
        <f t="shared" si="102"/>
        <v>25.13535965980488</v>
      </c>
      <c r="E312" s="383">
        <f t="shared" si="125"/>
        <v>25.902244269859018</v>
      </c>
      <c r="F312" s="383">
        <f t="shared" si="103"/>
        <v>25.903791322835293</v>
      </c>
      <c r="G312" s="110">
        <f t="shared" si="126"/>
        <v>0.65079217911342713</v>
      </c>
      <c r="H312" s="412" t="b">
        <f>Wh_hp&gt;='2024'!Maxi_hp</f>
        <v>0</v>
      </c>
      <c r="I312" s="388">
        <f>IF(H312,Wh_hp,'2024'!Maxi_hp)</f>
        <v>38.701357747255933</v>
      </c>
      <c r="J312" s="85">
        <f>IF(H312,An,'2024'!An_max)</f>
        <v>2021</v>
      </c>
      <c r="K312" s="197">
        <f t="shared" si="104"/>
        <v>45955</v>
      </c>
      <c r="L312" s="147">
        <f>IF(t&lt;Tvie,1-EXP((T0-t)*PertePVj)+'2024'!Pspv,1-EXP((T0-t)*PertePVj)+Pspv)</f>
        <v>4.6033406649140352E-2</v>
      </c>
      <c r="M312" s="832"/>
      <c r="N312" s="832"/>
      <c r="O312" s="48">
        <f>IF(t&lt;Tnet,'2024'!Resal+('2024'!Salim-'2024'!Resal)*(1-EXP(('2024'!Tnet-t)/('2024'!Tau_j))),Resal+(Salim-Resal)*(1-EXP((Tnet-t)/(Tau_j))))*Salcycl</f>
        <v>2.9606878927727526E-2</v>
      </c>
      <c r="P312" s="169">
        <f>(INDEX(Models!$BJ312:$BT312,,T312)*(1-R312)+INDEX(Models!$BJ312:$BT312,,T312+1)*R312-ERP_i)*Q312*Ramure*Pc/MaxiM</f>
        <v>1.1916318327278077E-4</v>
      </c>
      <c r="Q312" s="304">
        <f t="shared" si="105"/>
        <v>0.6</v>
      </c>
      <c r="R312" s="177">
        <f t="shared" si="106"/>
        <v>0.99748696580259599</v>
      </c>
      <c r="S312" s="799">
        <f t="shared" si="107"/>
        <v>1</v>
      </c>
      <c r="T312" s="176">
        <f t="shared" si="108"/>
        <v>7</v>
      </c>
      <c r="U312" s="250">
        <f t="shared" si="109"/>
        <v>1.997486965802596</v>
      </c>
      <c r="V312" s="382">
        <f t="shared" si="110"/>
        <v>36.842587907982903</v>
      </c>
      <c r="W312" s="400">
        <f t="shared" si="111"/>
        <v>23.978293427312686</v>
      </c>
      <c r="X312" s="157">
        <f t="shared" si="112"/>
        <v>45955</v>
      </c>
      <c r="Y312" s="383">
        <f t="shared" si="113"/>
        <v>23.217645949896148</v>
      </c>
      <c r="Z312" s="383">
        <f t="shared" si="114"/>
        <v>24.338007338750618</v>
      </c>
      <c r="AA312" s="384">
        <f t="shared" si="115"/>
        <v>25.902244269859018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6.0390015429227277E-2</v>
      </c>
      <c r="AD312" s="230">
        <f>(INDEX(Models!$BJ312:$BT312,,AH312)*(1-AF312)+INDEX(Models!$BJ312:$BT312,,AH312+1)*AF312-ERP_i)*AE312*Ramure*Pc/MaxiM</f>
        <v>1.1916318327278077E-4</v>
      </c>
      <c r="AE312" s="304">
        <f t="shared" si="117"/>
        <v>0.6</v>
      </c>
      <c r="AF312" s="177">
        <f t="shared" si="118"/>
        <v>0.99748696580259599</v>
      </c>
      <c r="AG312" s="799">
        <f t="shared" si="124"/>
        <v>1</v>
      </c>
      <c r="AH312" s="176">
        <f t="shared" si="119"/>
        <v>7</v>
      </c>
      <c r="AI312" s="224">
        <f t="shared" si="120"/>
        <v>1.997486965802596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45956</v>
      </c>
      <c r="B313" s="409">
        <f>IF(t&gt;Tmaj,'2024'!Wh/'2024'!Env_an*'2025'!Env_an,0.001*'[12]mon-tableau (1)'!$B$267)</f>
        <v>13.238638124901357</v>
      </c>
      <c r="C313" s="829"/>
      <c r="D313" s="391">
        <f t="shared" si="102"/>
        <v>13.877731083581203</v>
      </c>
      <c r="E313" s="383">
        <f t="shared" si="125"/>
        <v>14.302364447213524</v>
      </c>
      <c r="F313" s="383">
        <f t="shared" si="103"/>
        <v>14.302521061189765</v>
      </c>
      <c r="G313" s="110">
        <f t="shared" si="126"/>
        <v>0.36256237805622882</v>
      </c>
      <c r="H313" s="412" t="b">
        <f>Wh_hp&gt;='2024'!Maxi_hp</f>
        <v>0</v>
      </c>
      <c r="I313" s="388">
        <f>IF(H313,Wh_hp,'2024'!Maxi_hp)</f>
        <v>38.488384875395617</v>
      </c>
      <c r="J313" s="85">
        <f>IF(H313,An,'2024'!An_max)</f>
        <v>2018</v>
      </c>
      <c r="K313" s="197">
        <f t="shared" si="104"/>
        <v>45956</v>
      </c>
      <c r="L313" s="147">
        <f>IF(t&lt;Tvie,1-EXP((T0-t)*PertePVj)+'2024'!Pspv,1-EXP((T0-t)*PertePVj)+Pspv)</f>
        <v>4.6051689201267121E-2</v>
      </c>
      <c r="M313" s="832"/>
      <c r="N313" s="832"/>
      <c r="O313" s="48">
        <f>IF(t&lt;Tnet,'2024'!Resal+('2024'!Salim-'2024'!Resal)*(1-EXP(('2024'!Tnet-t)/('2024'!Tau_j))),Resal+(Salim-Resal)*(1-EXP((Tnet-t)/(Tau_j))))*Salcycl</f>
        <v>2.9689731736283011E-2</v>
      </c>
      <c r="P313" s="169">
        <f>(INDEX(Models!$BJ313:$BT313,,T313)*(1-R313)+INDEX(Models!$BJ313:$BT313,,T313+1)*R313-ERP_i)*Q313*Ramure*Pc/MaxiM</f>
        <v>1.2243967486328747E-4</v>
      </c>
      <c r="Q313" s="304">
        <f t="shared" si="105"/>
        <v>0.6</v>
      </c>
      <c r="R313" s="177">
        <f t="shared" si="106"/>
        <v>0.9975588175128256</v>
      </c>
      <c r="S313" s="799">
        <f t="shared" si="107"/>
        <v>1</v>
      </c>
      <c r="T313" s="176">
        <f t="shared" si="108"/>
        <v>7</v>
      </c>
      <c r="U313" s="250">
        <f t="shared" si="109"/>
        <v>1.9975588175128256</v>
      </c>
      <c r="V313" s="382">
        <f t="shared" si="110"/>
        <v>36.510026797360482</v>
      </c>
      <c r="W313" s="400">
        <f t="shared" si="111"/>
        <v>13.238638124901357</v>
      </c>
      <c r="X313" s="157">
        <f t="shared" si="112"/>
        <v>45956</v>
      </c>
      <c r="Y313" s="383">
        <f t="shared" si="113"/>
        <v>12.81940632596743</v>
      </c>
      <c r="Z313" s="383">
        <f t="shared" si="114"/>
        <v>13.438260942287165</v>
      </c>
      <c r="AA313" s="384">
        <f t="shared" si="115"/>
        <v>14.302364447213524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6.0416828847813984E-2</v>
      </c>
      <c r="AD313" s="230">
        <f>(INDEX(Models!$BJ313:$BT313,,AH313)*(1-AF313)+INDEX(Models!$BJ313:$BT313,,AH313+1)*AF313-ERP_i)*AE313*Ramure*Pc/MaxiM</f>
        <v>1.2243967486328747E-4</v>
      </c>
      <c r="AE313" s="304">
        <f t="shared" si="117"/>
        <v>0.6</v>
      </c>
      <c r="AF313" s="177">
        <f t="shared" si="118"/>
        <v>0.9975588175128256</v>
      </c>
      <c r="AG313" s="799">
        <f t="shared" si="124"/>
        <v>1</v>
      </c>
      <c r="AH313" s="176">
        <f t="shared" si="119"/>
        <v>7</v>
      </c>
      <c r="AI313" s="224">
        <f t="shared" si="120"/>
        <v>1.9975588175128256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45957</v>
      </c>
      <c r="B314" s="409">
        <f>IF(t&gt;Tmaj,'2024'!Wh/'2024'!Env_an*'2025'!Env_an,0.001*'[12]mon-tableau (1)'!$B$268)</f>
        <v>17.078127322367116</v>
      </c>
      <c r="C314" s="829"/>
      <c r="D314" s="391">
        <f t="shared" si="102"/>
        <v>17.902914061197066</v>
      </c>
      <c r="E314" s="383">
        <f t="shared" si="125"/>
        <v>18.452277924841031</v>
      </c>
      <c r="F314" s="383">
        <f t="shared" si="103"/>
        <v>18.452847918082334</v>
      </c>
      <c r="G314" s="110">
        <f t="shared" si="126"/>
        <v>0.47196525279686319</v>
      </c>
      <c r="H314" s="412" t="b">
        <f>Wh_hp&gt;='2024'!Maxi_hp</f>
        <v>0</v>
      </c>
      <c r="I314" s="388">
        <f>IF(H314,Wh_hp,'2024'!Maxi_hp)</f>
        <v>29.983519029323368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4.6069971403013055E-2</v>
      </c>
      <c r="M314" s="832"/>
      <c r="N314" s="832"/>
      <c r="O314" s="48">
        <f>IF(t&lt;Tnet,'2024'!Resal+('2024'!Salim-'2024'!Resal)*(1-EXP(('2024'!Tnet-t)/('2024'!Tau_j))),Resal+(Salim-Resal)*(1-EXP((Tnet-t)/(Tau_j))))*Salcycl</f>
        <v>2.9772143357129573E-2</v>
      </c>
      <c r="P314" s="169">
        <f>(INDEX(Models!$BJ314:$BT314,,T314)*(1-R314)+INDEX(Models!$BJ314:$BT314,,T314+1)*R314-ERP_i)*Q314*Ramure*Pc/MaxiM</f>
        <v>1.2570444291708457E-4</v>
      </c>
      <c r="Q314" s="304">
        <f t="shared" si="105"/>
        <v>0.6</v>
      </c>
      <c r="R314" s="177">
        <f t="shared" si="106"/>
        <v>0.99762779572360283</v>
      </c>
      <c r="S314" s="799">
        <f t="shared" si="107"/>
        <v>1</v>
      </c>
      <c r="T314" s="176">
        <f t="shared" si="108"/>
        <v>7</v>
      </c>
      <c r="U314" s="250">
        <f t="shared" si="109"/>
        <v>1.9976277957236028</v>
      </c>
      <c r="V314" s="382">
        <f t="shared" si="110"/>
        <v>36.181705970785195</v>
      </c>
      <c r="W314" s="400">
        <f t="shared" si="111"/>
        <v>17.078127322367116</v>
      </c>
      <c r="X314" s="157">
        <f t="shared" si="112"/>
        <v>45957</v>
      </c>
      <c r="Y314" s="383">
        <f t="shared" si="113"/>
        <v>16.538251564379944</v>
      </c>
      <c r="Z314" s="383">
        <f t="shared" si="114"/>
        <v>17.33696504837355</v>
      </c>
      <c r="AA314" s="384">
        <f t="shared" si="115"/>
        <v>18.452277924841031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6.0443099817286627E-2</v>
      </c>
      <c r="AD314" s="230">
        <f>(INDEX(Models!$BJ314:$BT314,,AH314)*(1-AF314)+INDEX(Models!$BJ314:$BT314,,AH314+1)*AF314-ERP_i)*AE314*Ramure*Pc/MaxiM</f>
        <v>1.2570444291708457E-4</v>
      </c>
      <c r="AE314" s="304">
        <f t="shared" si="117"/>
        <v>0.6</v>
      </c>
      <c r="AF314" s="177">
        <f t="shared" si="118"/>
        <v>0.99762779572360283</v>
      </c>
      <c r="AG314" s="799">
        <f t="shared" si="124"/>
        <v>1</v>
      </c>
      <c r="AH314" s="176">
        <f t="shared" si="119"/>
        <v>7</v>
      </c>
      <c r="AI314" s="224">
        <f t="shared" si="120"/>
        <v>1.9976277957236028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45958</v>
      </c>
      <c r="B315" s="409">
        <f>IF(t&gt;Tmaj,'2024'!Wh/'2024'!Env_an*'2025'!Env_an,0.001*'[12]mon-tableau (1)'!$B$269)</f>
        <v>17.802200621117098</v>
      </c>
      <c r="C315" s="829"/>
      <c r="D315" s="391">
        <f t="shared" si="102"/>
        <v>18.662314078688567</v>
      </c>
      <c r="E315" s="383">
        <f t="shared" si="125"/>
        <v>19.236606396044522</v>
      </c>
      <c r="F315" s="383">
        <f t="shared" si="103"/>
        <v>19.237302599513345</v>
      </c>
      <c r="G315" s="110">
        <f t="shared" si="126"/>
        <v>0.49640783852205872</v>
      </c>
      <c r="H315" s="412" t="b">
        <f>Wh_hp&gt;='2024'!Maxi_hp</f>
        <v>0</v>
      </c>
      <c r="I315" s="388">
        <f>IF(H315,Wh_hp,'2024'!Maxi_hp)</f>
        <v>39.257780539476109</v>
      </c>
      <c r="J315" s="85">
        <f>IF(H315,An,'2024'!An_max)</f>
        <v>2021</v>
      </c>
      <c r="K315" s="197">
        <f t="shared" si="104"/>
        <v>45958</v>
      </c>
      <c r="L315" s="147">
        <f>IF(t&lt;Tvie,1-EXP((T0-t)*PertePVj)+'2024'!Pspv,1-EXP((T0-t)*PertePVj)+Pspv)</f>
        <v>4.6088253254384703E-2</v>
      </c>
      <c r="M315" s="832"/>
      <c r="N315" s="832"/>
      <c r="O315" s="48">
        <f>IF(t&lt;Tnet,'2024'!Resal+('2024'!Salim-'2024'!Resal)*(1-EXP(('2024'!Tnet-t)/('2024'!Tau_j))),Resal+(Salim-Resal)*(1-EXP((Tnet-t)/(Tau_j))))*Salcycl</f>
        <v>2.9854138798309199E-2</v>
      </c>
      <c r="P315" s="169">
        <f>(INDEX(Models!$BJ315:$BT315,,T315)*(1-R315)+INDEX(Models!$BJ315:$BT315,,T315+1)*R315-ERP_i)*Q315*Ramure*Pc/MaxiM</f>
        <v>1.2895239381538953E-4</v>
      </c>
      <c r="Q315" s="304">
        <f t="shared" si="105"/>
        <v>0.6</v>
      </c>
      <c r="R315" s="177">
        <f t="shared" si="106"/>
        <v>0.99769401460238494</v>
      </c>
      <c r="S315" s="799">
        <f t="shared" si="107"/>
        <v>1</v>
      </c>
      <c r="T315" s="176">
        <f t="shared" si="108"/>
        <v>7</v>
      </c>
      <c r="U315" s="250">
        <f t="shared" si="109"/>
        <v>1.9976940146023849</v>
      </c>
      <c r="V315" s="382">
        <f t="shared" si="110"/>
        <v>35.858719001460656</v>
      </c>
      <c r="W315" s="400">
        <f t="shared" si="111"/>
        <v>17.802200621117098</v>
      </c>
      <c r="X315" s="157">
        <f t="shared" si="112"/>
        <v>45958</v>
      </c>
      <c r="Y315" s="383">
        <f t="shared" si="113"/>
        <v>17.240419340835565</v>
      </c>
      <c r="Z315" s="383">
        <f t="shared" si="114"/>
        <v>18.073390331603871</v>
      </c>
      <c r="AA315" s="384">
        <f t="shared" si="115"/>
        <v>19.236606396044522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6.0468881074565953E-2</v>
      </c>
      <c r="AD315" s="230">
        <f>(INDEX(Models!$BJ315:$BT315,,AH315)*(1-AF315)+INDEX(Models!$BJ315:$BT315,,AH315+1)*AF315-ERP_i)*AE315*Ramure*Pc/MaxiM</f>
        <v>1.2895239381538953E-4</v>
      </c>
      <c r="AE315" s="304">
        <f t="shared" si="117"/>
        <v>0.6</v>
      </c>
      <c r="AF315" s="177">
        <f t="shared" si="118"/>
        <v>0.99769401460238494</v>
      </c>
      <c r="AG315" s="799">
        <f t="shared" si="124"/>
        <v>1</v>
      </c>
      <c r="AH315" s="176">
        <f t="shared" si="119"/>
        <v>7</v>
      </c>
      <c r="AI315" s="224">
        <f t="shared" si="120"/>
        <v>1.9976940146023849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45959</v>
      </c>
      <c r="B316" s="409">
        <f>IF(t&gt;Tmaj,'2024'!Wh/'2024'!Env_an*'2025'!Env_an,0.001*'[12]mon-tableau (1)'!$B$270)</f>
        <v>29.176700526185595</v>
      </c>
      <c r="C316" s="829"/>
      <c r="D316" s="391">
        <f t="shared" si="102"/>
        <v>30.586959224742863</v>
      </c>
      <c r="E316" s="383">
        <f t="shared" si="125"/>
        <v>31.53085895949539</v>
      </c>
      <c r="F316" s="383">
        <f t="shared" si="103"/>
        <v>31.533960643598309</v>
      </c>
      <c r="G316" s="110">
        <f t="shared" si="126"/>
        <v>0.82087623698348633</v>
      </c>
      <c r="H316" s="412" t="b">
        <f>Wh_hp&gt;='2024'!Maxi_hp</f>
        <v>0</v>
      </c>
      <c r="I316" s="388">
        <f>IF(H316,Wh_hp,'2024'!Maxi_hp)</f>
        <v>31.534576892719645</v>
      </c>
      <c r="J316" s="85">
        <f>IF(H316,An,'2024'!An_max)</f>
        <v>2022</v>
      </c>
      <c r="K316" s="197">
        <f t="shared" si="104"/>
        <v>45959</v>
      </c>
      <c r="L316" s="147">
        <f>IF(t&lt;Tvie,1-EXP((T0-t)*PertePVj)+'2024'!Pspv,1-EXP((T0-t)*PertePVj)+Pspv)</f>
        <v>4.6106534755388839E-2</v>
      </c>
      <c r="M316" s="832"/>
      <c r="N316" s="832"/>
      <c r="O316" s="48">
        <f>IF(t&lt;Tnet,'2024'!Resal+('2024'!Salim-'2024'!Resal)*(1-EXP(('2024'!Tnet-t)/('2024'!Tau_j))),Resal+(Salim-Resal)*(1-EXP((Tnet-t)/(Tau_j))))*Salcycl</f>
        <v>2.9935744407250754E-2</v>
      </c>
      <c r="P316" s="169">
        <f>(INDEX(Models!$BJ316:$BT316,,T316)*(1-R316)+INDEX(Models!$BJ316:$BT316,,T316+1)*R316-ERP_i)*Q316*Ramure*Pc/MaxiM</f>
        <v>1.3217806497219065E-4</v>
      </c>
      <c r="Q316" s="304">
        <f t="shared" si="105"/>
        <v>0.6</v>
      </c>
      <c r="R316" s="177">
        <f t="shared" si="106"/>
        <v>0.9977575838396211</v>
      </c>
      <c r="S316" s="799">
        <f t="shared" si="107"/>
        <v>1</v>
      </c>
      <c r="T316" s="176">
        <f t="shared" si="108"/>
        <v>7</v>
      </c>
      <c r="U316" s="250">
        <f t="shared" si="109"/>
        <v>1.9977575838396211</v>
      </c>
      <c r="V316" s="382">
        <f t="shared" si="110"/>
        <v>35.542158998582693</v>
      </c>
      <c r="W316" s="400">
        <f t="shared" si="111"/>
        <v>29.176700526185595</v>
      </c>
      <c r="X316" s="157">
        <f t="shared" si="112"/>
        <v>45959</v>
      </c>
      <c r="Y316" s="383">
        <f t="shared" si="113"/>
        <v>28.257590574039341</v>
      </c>
      <c r="Z316" s="383">
        <f t="shared" si="114"/>
        <v>29.623424002378631</v>
      </c>
      <c r="AA316" s="384">
        <f t="shared" si="115"/>
        <v>31.53085895949539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6.0494227561864129E-2</v>
      </c>
      <c r="AD316" s="230">
        <f>(INDEX(Models!$BJ316:$BT316,,AH316)*(1-AF316)+INDEX(Models!$BJ316:$BT316,,AH316+1)*AF316-ERP_i)*AE316*Ramure*Pc/MaxiM</f>
        <v>1.3217806497219065E-4</v>
      </c>
      <c r="AE316" s="304">
        <f t="shared" si="117"/>
        <v>0.6</v>
      </c>
      <c r="AF316" s="177">
        <f t="shared" si="118"/>
        <v>0.9977575838396211</v>
      </c>
      <c r="AG316" s="799">
        <f t="shared" si="124"/>
        <v>1</v>
      </c>
      <c r="AH316" s="176">
        <f t="shared" si="119"/>
        <v>7</v>
      </c>
      <c r="AI316" s="224">
        <f t="shared" si="120"/>
        <v>1.9977575838396211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45960</v>
      </c>
      <c r="B317" s="409">
        <f>IF(t&gt;Tmaj,'2024'!Wh/'2024'!Env_an*'2025'!Env_an,0.001*'[12]mon-tableau (1)'!$B$271)</f>
        <v>26.778562648945371</v>
      </c>
      <c r="C317" s="829"/>
      <c r="D317" s="391">
        <f t="shared" si="102"/>
        <v>28.073445137773255</v>
      </c>
      <c r="E317" s="383">
        <f t="shared" si="125"/>
        <v>28.94220288813921</v>
      </c>
      <c r="F317" s="383">
        <f t="shared" si="103"/>
        <v>28.944778684369766</v>
      </c>
      <c r="G317" s="110">
        <f t="shared" si="126"/>
        <v>0.76007268027398756</v>
      </c>
      <c r="H317" s="412" t="b">
        <f>Wh_hp&gt;='2024'!Maxi_hp</f>
        <v>0</v>
      </c>
      <c r="I317" s="388">
        <f>IF(H317,Wh_hp,'2024'!Maxi_hp)</f>
        <v>30.400555520503801</v>
      </c>
      <c r="J317" s="85">
        <f>IF(H317,An,'2024'!An_max)</f>
        <v>2020</v>
      </c>
      <c r="K317" s="197">
        <f t="shared" si="104"/>
        <v>45960</v>
      </c>
      <c r="L317" s="147">
        <f>IF(t&lt;Tvie,1-EXP((T0-t)*PertePVj)+'2024'!Pspv,1-EXP((T0-t)*PertePVj)+Pspv)</f>
        <v>4.6124815906032124E-2</v>
      </c>
      <c r="M317" s="832"/>
      <c r="N317" s="832"/>
      <c r="O317" s="48">
        <f>IF(t&lt;Tnet,'2024'!Resal+('2024'!Salim-'2024'!Resal)*(1-EXP(('2024'!Tnet-t)/('2024'!Tau_j))),Resal+(Salim-Resal)*(1-EXP((Tnet-t)/(Tau_j))))*Salcycl</f>
        <v>3.0016987778148034E-2</v>
      </c>
      <c r="P317" s="169">
        <f>(INDEX(Models!$BJ317:$BT317,,T317)*(1-R317)+INDEX(Models!$BJ317:$BT317,,T317+1)*R317-ERP_i)*Q317*Ramure*Pc/MaxiM</f>
        <v>1.3538781274717454E-4</v>
      </c>
      <c r="Q317" s="304">
        <f t="shared" si="105"/>
        <v>0.6</v>
      </c>
      <c r="R317" s="177">
        <f t="shared" si="106"/>
        <v>0.99781860881966367</v>
      </c>
      <c r="S317" s="799">
        <f t="shared" si="107"/>
        <v>1</v>
      </c>
      <c r="T317" s="176">
        <f t="shared" si="108"/>
        <v>7</v>
      </c>
      <c r="U317" s="250">
        <f t="shared" si="109"/>
        <v>1.9978186088196637</v>
      </c>
      <c r="V317" s="382">
        <f t="shared" si="110"/>
        <v>35.229946776047491</v>
      </c>
      <c r="W317" s="400">
        <f t="shared" si="111"/>
        <v>26.778562648945371</v>
      </c>
      <c r="X317" s="157">
        <f t="shared" si="112"/>
        <v>45960</v>
      </c>
      <c r="Y317" s="383">
        <f t="shared" si="113"/>
        <v>25.93648058217866</v>
      </c>
      <c r="Z317" s="383">
        <f t="shared" si="114"/>
        <v>27.190644032546309</v>
      </c>
      <c r="AA317" s="384">
        <f t="shared" si="115"/>
        <v>28.94220288813921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6.0519196218844391E-2</v>
      </c>
      <c r="AD317" s="230">
        <f>(INDEX(Models!$BJ317:$BT317,,AH317)*(1-AF317)+INDEX(Models!$BJ317:$BT317,,AH317+1)*AF317-ERP_i)*AE317*Ramure*Pc/MaxiM</f>
        <v>1.3538781274717454E-4</v>
      </c>
      <c r="AE317" s="304">
        <f t="shared" si="117"/>
        <v>0.6</v>
      </c>
      <c r="AF317" s="177">
        <f t="shared" si="118"/>
        <v>0.99781860881966367</v>
      </c>
      <c r="AG317" s="799">
        <f t="shared" si="124"/>
        <v>1</v>
      </c>
      <c r="AH317" s="176">
        <f t="shared" si="119"/>
        <v>7</v>
      </c>
      <c r="AI317" s="224">
        <f t="shared" si="120"/>
        <v>1.9978186088196637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45961</v>
      </c>
      <c r="B318" s="409">
        <f>IF(t&gt;Tmaj,'2024'!Wh/'2024'!Env_an*'2025'!Env_an,0.001*'[12]mon-tableau (1)'!$B$272)</f>
        <v>25.206199678604573</v>
      </c>
      <c r="C318" s="829"/>
      <c r="D318" s="391">
        <f t="shared" si="102"/>
        <v>26.425556696782593</v>
      </c>
      <c r="E318" s="383">
        <f t="shared" si="125"/>
        <v>27.245591728024575</v>
      </c>
      <c r="F318" s="383">
        <f t="shared" si="103"/>
        <v>27.247884626801444</v>
      </c>
      <c r="G318" s="110">
        <f t="shared" si="126"/>
        <v>0.72179999634487213</v>
      </c>
      <c r="H318" s="412" t="b">
        <f>Wh_hp&gt;='2024'!Maxi_hp</f>
        <v>0</v>
      </c>
      <c r="I318" s="388">
        <f>IF(H318,Wh_hp,'2024'!Maxi_hp)</f>
        <v>35.917509171902125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4.614309670632144E-2</v>
      </c>
      <c r="M318" s="832"/>
      <c r="N318" s="832"/>
      <c r="O318" s="48">
        <f>IF(t&lt;Tnet,'2024'!Resal+('2024'!Salim-'2024'!Resal)*(1-EXP(('2024'!Tnet-t)/('2024'!Tau_j))),Resal+(Salim-Resal)*(1-EXP((Tnet-t)/(Tau_j))))*Salcycl</f>
        <v>3.0097897649934351E-2</v>
      </c>
      <c r="P318" s="169">
        <f>(INDEX(Models!$BJ318:$BT318,,T318)*(1-R318)+INDEX(Models!$BJ318:$BT318,,T318+1)*R318-ERP_i)*Q318*Ramure*Pc/MaxiM</f>
        <v>1.396375813613055E-4</v>
      </c>
      <c r="Q318" s="304">
        <f t="shared" si="105"/>
        <v>0.6</v>
      </c>
      <c r="R318" s="177">
        <f t="shared" si="106"/>
        <v>0.99787719078552461</v>
      </c>
      <c r="S318" s="799">
        <f t="shared" si="107"/>
        <v>1</v>
      </c>
      <c r="T318" s="176">
        <f t="shared" si="108"/>
        <v>7</v>
      </c>
      <c r="U318" s="250">
        <f t="shared" si="109"/>
        <v>1.9978771907855246</v>
      </c>
      <c r="V318" s="382">
        <f t="shared" si="110"/>
        <v>34.919369697377711</v>
      </c>
      <c r="W318" s="400">
        <f t="shared" si="111"/>
        <v>25.206199678604573</v>
      </c>
      <c r="X318" s="157">
        <f t="shared" si="112"/>
        <v>45961</v>
      </c>
      <c r="Y318" s="383">
        <f t="shared" si="113"/>
        <v>24.414958330039418</v>
      </c>
      <c r="Z318" s="383">
        <f t="shared" si="114"/>
        <v>25.596038824832419</v>
      </c>
      <c r="AA318" s="384">
        <f t="shared" si="115"/>
        <v>27.245591728024575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6.0543845758924811E-2</v>
      </c>
      <c r="AD318" s="230">
        <f>(INDEX(Models!$BJ318:$BT318,,AH318)*(1-AF318)+INDEX(Models!$BJ318:$BT318,,AH318+1)*AF318-ERP_i)*AE318*Ramure*Pc/MaxiM</f>
        <v>1.396375813613055E-4</v>
      </c>
      <c r="AE318" s="304">
        <f t="shared" si="117"/>
        <v>0.6</v>
      </c>
      <c r="AF318" s="177">
        <f t="shared" si="118"/>
        <v>0.99787719078552461</v>
      </c>
      <c r="AG318" s="799">
        <f t="shared" si="124"/>
        <v>1</v>
      </c>
      <c r="AH318" s="176">
        <f t="shared" si="119"/>
        <v>7</v>
      </c>
      <c r="AI318" s="224">
        <f t="shared" si="120"/>
        <v>1.9978771907855246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45962</v>
      </c>
      <c r="B319" s="409">
        <f>IF(t&gt;Tmaj,'2024'!Wh/'2024'!Env_an*'2025'!Env_an,0.001*'[13]mon-tableau (3)'!$B$235)</f>
        <v>19.948254313338627</v>
      </c>
      <c r="C319" s="829"/>
      <c r="D319" s="391">
        <f t="shared" si="102"/>
        <v>20.913657547086625</v>
      </c>
      <c r="E319" s="383">
        <f t="shared" si="125"/>
        <v>21.564440084007778</v>
      </c>
      <c r="F319" s="383">
        <f t="shared" si="103"/>
        <v>21.565675534085816</v>
      </c>
      <c r="G319" s="110">
        <f t="shared" si="126"/>
        <v>0.57631161978123113</v>
      </c>
      <c r="H319" s="412" t="b">
        <f>Wh_hp&gt;='2024'!Maxi_hp</f>
        <v>0</v>
      </c>
      <c r="I319" s="388">
        <f>IF(H319,Wh_hp,'2024'!Maxi_hp)</f>
        <v>33.217100495865481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4.6161377156263339E-2</v>
      </c>
      <c r="M319" s="832"/>
      <c r="N319" s="832"/>
      <c r="O319" s="48">
        <f>IF(t&lt;Tnet,'2024'!Resal+('2024'!Salim-'2024'!Resal)*(1-EXP(('2024'!Tnet-t)/('2024'!Tau_j))),Resal+(Salim-Resal)*(1-EXP((Tnet-t)/(Tau_j))))*Salcycl</f>
        <v>3.0178503795411583E-2</v>
      </c>
      <c r="P319" s="169">
        <f>(INDEX(Models!$BJ319:$BT319,,T319)*(1-R319)+INDEX(Models!$BJ319:$BT319,,T319+1)*R319-ERP_i)*Q319*Ramure*Pc/MaxiM</f>
        <v>1.451046984421874E-4</v>
      </c>
      <c r="Q319" s="304">
        <f t="shared" si="105"/>
        <v>0.6</v>
      </c>
      <c r="R319" s="177">
        <f t="shared" si="106"/>
        <v>0.9979334269976663</v>
      </c>
      <c r="S319" s="799">
        <f t="shared" si="107"/>
        <v>1</v>
      </c>
      <c r="T319" s="176">
        <f t="shared" si="108"/>
        <v>7</v>
      </c>
      <c r="U319" s="250">
        <f t="shared" si="109"/>
        <v>1.9979334269976663</v>
      </c>
      <c r="V319" s="382">
        <f t="shared" si="110"/>
        <v>34.610619905075652</v>
      </c>
      <c r="W319" s="400">
        <f t="shared" si="111"/>
        <v>19.948254313338627</v>
      </c>
      <c r="X319" s="157">
        <f t="shared" si="112"/>
        <v>45962</v>
      </c>
      <c r="Y319" s="383">
        <f t="shared" si="113"/>
        <v>19.323168029416504</v>
      </c>
      <c r="Z319" s="383">
        <f t="shared" si="114"/>
        <v>20.258319978496129</v>
      </c>
      <c r="AA319" s="384">
        <f t="shared" si="115"/>
        <v>21.564440084007778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6.0568236431061746E-2</v>
      </c>
      <c r="AD319" s="230">
        <f>(INDEX(Models!$BJ319:$BT319,,AH319)*(1-AF319)+INDEX(Models!$BJ319:$BT319,,AH319+1)*AF319-ERP_i)*AE319*Ramure*Pc/MaxiM</f>
        <v>1.451046984421874E-4</v>
      </c>
      <c r="AE319" s="304">
        <f t="shared" si="117"/>
        <v>0.6</v>
      </c>
      <c r="AF319" s="177">
        <f t="shared" si="118"/>
        <v>0.9979334269976663</v>
      </c>
      <c r="AG319" s="799">
        <f t="shared" si="124"/>
        <v>1</v>
      </c>
      <c r="AH319" s="176">
        <f t="shared" si="119"/>
        <v>7</v>
      </c>
      <c r="AI319" s="224">
        <f t="shared" si="120"/>
        <v>1.9979334269976663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45963</v>
      </c>
      <c r="B320" s="409">
        <f>IF(t&gt;Tmaj,'2024'!Wh/'2024'!Env_an*'2025'!Env_an,0.001*'[13]mon-tableau (3)'!$B$236)</f>
        <v>30.797112505837266</v>
      </c>
      <c r="C320" s="829"/>
      <c r="D320" s="391">
        <f t="shared" si="102"/>
        <v>32.288169087727944</v>
      </c>
      <c r="E320" s="383">
        <f t="shared" si="125"/>
        <v>33.295656940645607</v>
      </c>
      <c r="F320" s="383">
        <f t="shared" si="103"/>
        <v>33.299973273660122</v>
      </c>
      <c r="G320" s="110">
        <f t="shared" si="126"/>
        <v>0.89775312635935067</v>
      </c>
      <c r="H320" s="412" t="b">
        <f>Wh_hp&gt;='2024'!Maxi_hp</f>
        <v>0</v>
      </c>
      <c r="I320" s="388">
        <f>IF(H320,Wh_hp,'2024'!Maxi_hp)</f>
        <v>33.300423626379668</v>
      </c>
      <c r="J320" s="85">
        <f>IF(H320,An,'2024'!An_max)</f>
        <v>2022</v>
      </c>
      <c r="K320" s="197">
        <f t="shared" si="104"/>
        <v>45963</v>
      </c>
      <c r="L320" s="147">
        <f>IF(t&lt;Tvie,1-EXP((T0-t)*PertePVj)+'2024'!Pspv,1-EXP((T0-t)*PertePVj)+Pspv)</f>
        <v>4.6179657255864481E-2</v>
      </c>
      <c r="M320" s="832"/>
      <c r="N320" s="832"/>
      <c r="O320" s="48">
        <f>IF(t&lt;Tnet,'2024'!Resal+('2024'!Salim-'2024'!Resal)*(1-EXP(('2024'!Tnet-t)/('2024'!Tau_j))),Resal+(Salim-Resal)*(1-EXP((Tnet-t)/(Tau_j))))*Salcycl</f>
        <v>3.02588369021719E-2</v>
      </c>
      <c r="P320" s="169">
        <f>(INDEX(Models!$BJ320:$BT320,,T320)*(1-R320)+INDEX(Models!$BJ320:$BT320,,T320+1)*R320-ERP_i)*Q320*Ramure*Pc/MaxiM</f>
        <v>1.5178637269701504E-4</v>
      </c>
      <c r="Q320" s="304">
        <f t="shared" si="105"/>
        <v>0.6</v>
      </c>
      <c r="R320" s="177">
        <f t="shared" si="106"/>
        <v>0.99798741088702037</v>
      </c>
      <c r="S320" s="799">
        <f t="shared" si="107"/>
        <v>1</v>
      </c>
      <c r="T320" s="176">
        <f t="shared" si="108"/>
        <v>7</v>
      </c>
      <c r="U320" s="250">
        <f t="shared" si="109"/>
        <v>1.9979874108870204</v>
      </c>
      <c r="V320" s="382">
        <f t="shared" si="110"/>
        <v>34.303895852913918</v>
      </c>
      <c r="W320" s="400">
        <f t="shared" si="111"/>
        <v>30.797112505837266</v>
      </c>
      <c r="X320" s="157">
        <f t="shared" si="112"/>
        <v>45963</v>
      </c>
      <c r="Y320" s="383">
        <f t="shared" si="113"/>
        <v>29.833775991147313</v>
      </c>
      <c r="Z320" s="383">
        <f t="shared" si="114"/>
        <v>31.278192185874033</v>
      </c>
      <c r="AA320" s="384">
        <f t="shared" si="115"/>
        <v>33.295656940645607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6.0592429768483051E-2</v>
      </c>
      <c r="AD320" s="230">
        <f>(INDEX(Models!$BJ320:$BT320,,AH320)*(1-AF320)+INDEX(Models!$BJ320:$BT320,,AH320+1)*AF320-ERP_i)*AE320*Ramure*Pc/MaxiM</f>
        <v>1.5178637269701504E-4</v>
      </c>
      <c r="AE320" s="304">
        <f t="shared" si="117"/>
        <v>0.6</v>
      </c>
      <c r="AF320" s="177">
        <f t="shared" si="118"/>
        <v>0.99798741088702037</v>
      </c>
      <c r="AG320" s="799">
        <f t="shared" si="124"/>
        <v>1</v>
      </c>
      <c r="AH320" s="176">
        <f t="shared" si="119"/>
        <v>7</v>
      </c>
      <c r="AI320" s="224">
        <f t="shared" si="120"/>
        <v>1.9979874108870204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45964</v>
      </c>
      <c r="B321" s="409">
        <f>IF(t&gt;Tmaj,'2024'!Wh/'2024'!Env_an*'2025'!Env_an,0.001*'[13]mon-tableau (3)'!$B$237)</f>
        <v>9.7376772406975629</v>
      </c>
      <c r="C321" s="829"/>
      <c r="D321" s="391">
        <f t="shared" si="102"/>
        <v>10.209327090488749</v>
      </c>
      <c r="E321" s="383">
        <f t="shared" si="125"/>
        <v>10.528758336278621</v>
      </c>
      <c r="F321" s="383">
        <f t="shared" si="103"/>
        <v>10.528758336278621</v>
      </c>
      <c r="G321" s="110">
        <f t="shared" si="126"/>
        <v>0.28636162707927643</v>
      </c>
      <c r="H321" s="412" t="b">
        <f>Wh_hp&gt;='2024'!Maxi_hp</f>
        <v>0</v>
      </c>
      <c r="I321" s="388">
        <f>IF(H321,Wh_hp,'2024'!Maxi_hp)</f>
        <v>31.680473871325951</v>
      </c>
      <c r="J321" s="85">
        <f>IF(H321,An,'2024'!An_max)</f>
        <v>2020</v>
      </c>
      <c r="K321" s="197">
        <f t="shared" si="104"/>
        <v>45964</v>
      </c>
      <c r="L321" s="147">
        <f>IF(t&lt;Tvie,1-EXP((T0-t)*PertePVj)+'2024'!Pspv,1-EXP((T0-t)*PertePVj)+Pspv)</f>
        <v>4.6197937005131862E-2</v>
      </c>
      <c r="M321" s="832"/>
      <c r="N321" s="832"/>
      <c r="O321" s="48">
        <f>IF(t&lt;Tnet,'2024'!Resal+('2024'!Salim-'2024'!Resal)*(1-EXP(('2024'!Tnet-t)/('2024'!Tau_j))),Resal+(Salim-Resal)*(1-EXP((Tnet-t)/(Tau_j))))*Salcycl</f>
        <v>3.0338928446027511E-2</v>
      </c>
      <c r="P321" s="169">
        <f>(INDEX(Models!$BJ321:$BT321,,T321)*(1-R321)+INDEX(Models!$BJ321:$BT321,,T321+1)*R321-ERP_i)*Q321*Ramure*Pc/MaxiM</f>
        <v>1.5967938153257138E-4</v>
      </c>
      <c r="Q321" s="304">
        <f t="shared" si="105"/>
        <v>0.6</v>
      </c>
      <c r="R321" s="177">
        <f t="shared" si="106"/>
        <v>0.99803923220241364</v>
      </c>
      <c r="S321" s="799">
        <f t="shared" si="107"/>
        <v>1</v>
      </c>
      <c r="T321" s="176">
        <f t="shared" si="108"/>
        <v>7</v>
      </c>
      <c r="U321" s="250">
        <f t="shared" si="109"/>
        <v>1.9980392322024136</v>
      </c>
      <c r="V321" s="382">
        <f t="shared" si="110"/>
        <v>33.999395916698205</v>
      </c>
      <c r="W321" s="400">
        <f t="shared" si="111"/>
        <v>9.7376772406975629</v>
      </c>
      <c r="X321" s="157">
        <f t="shared" si="112"/>
        <v>45964</v>
      </c>
      <c r="Y321" s="383">
        <f t="shared" si="113"/>
        <v>9.4336193441850931</v>
      </c>
      <c r="Z321" s="383">
        <f t="shared" si="114"/>
        <v>9.8905419795006768</v>
      </c>
      <c r="AA321" s="384">
        <f t="shared" si="115"/>
        <v>10.528758336278621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6.0616488325965286E-2</v>
      </c>
      <c r="AD321" s="230">
        <f>(INDEX(Models!$BJ321:$BT321,,AH321)*(1-AF321)+INDEX(Models!$BJ321:$BT321,,AH321+1)*AF321-ERP_i)*AE321*Ramure*Pc/MaxiM</f>
        <v>1.5967938153257138E-4</v>
      </c>
      <c r="AE321" s="304">
        <f t="shared" si="117"/>
        <v>0.6</v>
      </c>
      <c r="AF321" s="177">
        <f t="shared" si="118"/>
        <v>0.99803923220241364</v>
      </c>
      <c r="AG321" s="799">
        <f t="shared" si="124"/>
        <v>1</v>
      </c>
      <c r="AH321" s="176">
        <f t="shared" si="119"/>
        <v>7</v>
      </c>
      <c r="AI321" s="224">
        <f t="shared" si="120"/>
        <v>1.9980392322024136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45965</v>
      </c>
      <c r="B322" s="409">
        <f>IF(t&gt;Tmaj,'2024'!Wh/'2024'!Env_an*'2025'!Env_an,0.001*'[13]mon-tableau (3)'!$B$238)</f>
        <v>17.4638343589287</v>
      </c>
      <c r="C322" s="829"/>
      <c r="D322" s="391">
        <f t="shared" si="102"/>
        <v>18.310055863066843</v>
      </c>
      <c r="E322" s="383">
        <f t="shared" si="125"/>
        <v>18.884499887626102</v>
      </c>
      <c r="F322" s="383">
        <f t="shared" si="103"/>
        <v>18.885493730401507</v>
      </c>
      <c r="G322" s="110">
        <f t="shared" si="126"/>
        <v>0.51819570700391593</v>
      </c>
      <c r="H322" s="412" t="b">
        <f>Wh_hp&gt;='2024'!Maxi_hp</f>
        <v>0</v>
      </c>
      <c r="I322" s="388">
        <f>IF(H322,Wh_hp,'2024'!Maxi_hp)</f>
        <v>18.886875032481147</v>
      </c>
      <c r="J322" s="85">
        <f>IF(H322,An,'2024'!An_max)</f>
        <v>2022</v>
      </c>
      <c r="K322" s="197">
        <f t="shared" si="104"/>
        <v>45965</v>
      </c>
      <c r="L322" s="147">
        <f>IF(t&lt;Tvie,1-EXP((T0-t)*PertePVj)+'2024'!Pspv,1-EXP((T0-t)*PertePVj)+Pspv)</f>
        <v>4.6216216404071919E-2</v>
      </c>
      <c r="M322" s="832"/>
      <c r="N322" s="832"/>
      <c r="O322" s="48">
        <f>IF(t&lt;Tnet,'2024'!Resal+('2024'!Salim-'2024'!Resal)*(1-EXP(('2024'!Tnet-t)/('2024'!Tau_j))),Resal+(Salim-Resal)*(1-EXP((Tnet-t)/(Tau_j))))*Salcycl</f>
        <v>3.0418810557734575E-2</v>
      </c>
      <c r="P322" s="169">
        <f>(INDEX(Models!$BJ322:$BT322,,T322)*(1-R322)+INDEX(Models!$BJ322:$BT322,,T322+1)*R322-ERP_i)*Q322*Ramure*Pc/MaxiM</f>
        <v>1.6878015151552806E-4</v>
      </c>
      <c r="Q322" s="304">
        <f t="shared" si="105"/>
        <v>0.6</v>
      </c>
      <c r="R322" s="177">
        <f t="shared" si="106"/>
        <v>0.99808897715258604</v>
      </c>
      <c r="S322" s="799">
        <f t="shared" si="107"/>
        <v>1</v>
      </c>
      <c r="T322" s="176">
        <f t="shared" si="108"/>
        <v>7</v>
      </c>
      <c r="U322" s="250">
        <f t="shared" si="109"/>
        <v>1.998088977152586</v>
      </c>
      <c r="V322" s="382">
        <f t="shared" si="110"/>
        <v>33.697318399165049</v>
      </c>
      <c r="W322" s="400">
        <f t="shared" si="111"/>
        <v>17.4638343589287</v>
      </c>
      <c r="X322" s="157">
        <f t="shared" si="112"/>
        <v>45965</v>
      </c>
      <c r="Y322" s="383">
        <f t="shared" si="113"/>
        <v>16.91948989893714</v>
      </c>
      <c r="Z322" s="383">
        <f t="shared" si="114"/>
        <v>17.739334836610208</v>
      </c>
      <c r="AA322" s="384">
        <f t="shared" si="115"/>
        <v>18.884499887626102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6.064047540736054E-2</v>
      </c>
      <c r="AD322" s="230">
        <f>(INDEX(Models!$BJ322:$BT322,,AH322)*(1-AF322)+INDEX(Models!$BJ322:$BT322,,AH322+1)*AF322-ERP_i)*AE322*Ramure*Pc/MaxiM</f>
        <v>1.6878015151552806E-4</v>
      </c>
      <c r="AE322" s="304">
        <f t="shared" si="117"/>
        <v>0.6</v>
      </c>
      <c r="AF322" s="177">
        <f t="shared" si="118"/>
        <v>0.99808897715258604</v>
      </c>
      <c r="AG322" s="799">
        <f t="shared" si="124"/>
        <v>1</v>
      </c>
      <c r="AH322" s="176">
        <f t="shared" si="119"/>
        <v>7</v>
      </c>
      <c r="AI322" s="224">
        <f t="shared" si="120"/>
        <v>1.998088977152586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45966</v>
      </c>
      <c r="B323" s="409">
        <f>IF(t&gt;Tmaj,'2024'!Wh/'2024'!Env_an*'2025'!Env_an,0.001*'[13]mon-tableau (3)'!$B$239)</f>
        <v>32.660917909246798</v>
      </c>
      <c r="C323" s="829"/>
      <c r="D323" s="391">
        <f t="shared" si="102"/>
        <v>34.244180307977111</v>
      </c>
      <c r="E323" s="383">
        <f t="shared" si="125"/>
        <v>35.321431549118685</v>
      </c>
      <c r="F323" s="383">
        <f t="shared" si="103"/>
        <v>35.327558749680975</v>
      </c>
      <c r="G323" s="110">
        <f t="shared" si="126"/>
        <v>0.97792888555501978</v>
      </c>
      <c r="H323" s="412" t="b">
        <f>Wh_hp&gt;='2024'!Maxi_hp</f>
        <v>0</v>
      </c>
      <c r="I323" s="388">
        <f>IF(H323,Wh_hp,'2024'!Maxi_hp)</f>
        <v>35.327686274356154</v>
      </c>
      <c r="J323" s="85">
        <f>IF(H323,An,'2024'!An_max)</f>
        <v>2022</v>
      </c>
      <c r="K323" s="197">
        <f t="shared" si="104"/>
        <v>45966</v>
      </c>
      <c r="L323" s="147">
        <f>IF(t&lt;Tvie,1-EXP((T0-t)*PertePVj)+'2024'!Pspv,1-EXP((T0-t)*PertePVj)+Pspv)</f>
        <v>4.6234495452691426E-2</v>
      </c>
      <c r="M323" s="832"/>
      <c r="N323" s="832"/>
      <c r="O323" s="48">
        <f>IF(t&lt;Tnet,'2024'!Resal+('2024'!Salim-'2024'!Resal)*(1-EXP(('2024'!Tnet-t)/('2024'!Tau_j))),Resal+(Salim-Resal)*(1-EXP((Tnet-t)/(Tau_j))))*Salcycl</f>
        <v>3.0498515883862865E-2</v>
      </c>
      <c r="P323" s="169">
        <f>(INDEX(Models!$BJ323:$BT323,,T323)*(1-R323)+INDEX(Models!$BJ323:$BT323,,T323+1)*R323-ERP_i)*Q323*Ramure*Pc/MaxiM</f>
        <v>1.7908484399600211E-4</v>
      </c>
      <c r="Q323" s="304">
        <f t="shared" si="105"/>
        <v>0.6</v>
      </c>
      <c r="R323" s="177">
        <f t="shared" si="106"/>
        <v>0.99813672854297542</v>
      </c>
      <c r="S323" s="799">
        <f t="shared" si="107"/>
        <v>1</v>
      </c>
      <c r="T323" s="176">
        <f t="shared" si="108"/>
        <v>7</v>
      </c>
      <c r="U323" s="250">
        <f t="shared" si="109"/>
        <v>1.9981367285429754</v>
      </c>
      <c r="V323" s="382">
        <f t="shared" si="110"/>
        <v>33.397861525033576</v>
      </c>
      <c r="W323" s="400">
        <f t="shared" si="111"/>
        <v>32.660917909246798</v>
      </c>
      <c r="X323" s="157">
        <f t="shared" si="112"/>
        <v>45966</v>
      </c>
      <c r="Y323" s="383">
        <f t="shared" si="113"/>
        <v>31.644676809823057</v>
      </c>
      <c r="Z323" s="383">
        <f t="shared" si="114"/>
        <v>33.178676161959494</v>
      </c>
      <c r="AA323" s="384">
        <f t="shared" si="115"/>
        <v>35.321431549118685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6.0664454785175702E-2</v>
      </c>
      <c r="AD323" s="230">
        <f>(INDEX(Models!$BJ323:$BT323,,AH323)*(1-AF323)+INDEX(Models!$BJ323:$BT323,,AH323+1)*AF323-ERP_i)*AE323*Ramure*Pc/MaxiM</f>
        <v>1.7908484399600211E-4</v>
      </c>
      <c r="AE323" s="304">
        <f t="shared" si="117"/>
        <v>0.6</v>
      </c>
      <c r="AF323" s="177">
        <f t="shared" si="118"/>
        <v>0.99813672854297542</v>
      </c>
      <c r="AG323" s="799">
        <f t="shared" si="124"/>
        <v>1</v>
      </c>
      <c r="AH323" s="176">
        <f t="shared" si="119"/>
        <v>7</v>
      </c>
      <c r="AI323" s="224">
        <f t="shared" si="120"/>
        <v>1.9981367285429754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45967</v>
      </c>
      <c r="B324" s="409">
        <f>IF(t&gt;Tmaj,'2024'!Wh/'2024'!Env_an*'2025'!Env_an,0.001*'[13]mon-tableau (3)'!$B$240)</f>
        <v>34.018042532045783</v>
      </c>
      <c r="C324" s="829"/>
      <c r="D324" s="391">
        <f t="shared" si="102"/>
        <v>35.667776125653987</v>
      </c>
      <c r="E324" s="383">
        <f t="shared" si="125"/>
        <v>36.792830134854455</v>
      </c>
      <c r="F324" s="383">
        <f t="shared" si="103"/>
        <v>36.799919621138898</v>
      </c>
      <c r="G324" s="110">
        <f t="shared" si="126"/>
        <v>1.0276995556652961</v>
      </c>
      <c r="H324" s="412" t="b">
        <f>Wh_hp&gt;='2024'!Maxi_hp</f>
        <v>1</v>
      </c>
      <c r="I324" s="388">
        <f>IF(H324,Wh_hp,'2024'!Maxi_hp)</f>
        <v>36.799919621138898</v>
      </c>
      <c r="J324" s="85">
        <f>IF(H324,An,'2024'!An_max)</f>
        <v>2025</v>
      </c>
      <c r="K324" s="197">
        <f t="shared" si="104"/>
        <v>45967</v>
      </c>
      <c r="L324" s="147">
        <f>IF(t&lt;Tvie,1-EXP((T0-t)*PertePVj)+'2024'!Pspv,1-EXP((T0-t)*PertePVj)+Pspv)</f>
        <v>4.6252774150997267E-2</v>
      </c>
      <c r="M324" s="832"/>
      <c r="N324" s="832"/>
      <c r="O324" s="48">
        <f>IF(t&lt;Tnet,'2024'!Resal+('2024'!Salim-'2024'!Resal)*(1-EXP(('2024'!Tnet-t)/('2024'!Tau_j))),Resal+(Salim-Resal)*(1-EXP((Tnet-t)/(Tau_j))))*Salcycl</f>
        <v>3.0578077442721216E-2</v>
      </c>
      <c r="P324" s="169">
        <f>(INDEX(Models!$BJ324:$BT324,,T324)*(1-R324)+INDEX(Models!$BJ324:$BT324,,T324+1)*R324-ERP_i)*Q324*Ramure*Pc/MaxiM</f>
        <v>1.9264950460301292E-4</v>
      </c>
      <c r="Q324" s="304">
        <f t="shared" si="105"/>
        <v>0.6</v>
      </c>
      <c r="R324" s="177">
        <f t="shared" si="106"/>
        <v>0.99818256590744459</v>
      </c>
      <c r="S324" s="799">
        <f t="shared" si="107"/>
        <v>1</v>
      </c>
      <c r="T324" s="176">
        <f t="shared" si="108"/>
        <v>7</v>
      </c>
      <c r="U324" s="250">
        <f t="shared" si="109"/>
        <v>1.9981825659074446</v>
      </c>
      <c r="V324" s="382">
        <f t="shared" si="110"/>
        <v>33.101155239892762</v>
      </c>
      <c r="W324" s="400">
        <f t="shared" si="111"/>
        <v>34.018042532045783</v>
      </c>
      <c r="X324" s="157">
        <f t="shared" si="112"/>
        <v>45967</v>
      </c>
      <c r="Y324" s="383">
        <f t="shared" si="113"/>
        <v>32.961436233711346</v>
      </c>
      <c r="Z324" s="383">
        <f t="shared" si="114"/>
        <v>34.559928815908087</v>
      </c>
      <c r="AA324" s="384">
        <f t="shared" si="115"/>
        <v>36.792830134854455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6.0688490414090433E-2</v>
      </c>
      <c r="AD324" s="230">
        <f>(INDEX(Models!$BJ324:$BT324,,AH324)*(1-AF324)+INDEX(Models!$BJ324:$BT324,,AH324+1)*AF324-ERP_i)*AE324*Ramure*Pc/MaxiM</f>
        <v>1.9264950460301292E-4</v>
      </c>
      <c r="AE324" s="304">
        <f t="shared" si="117"/>
        <v>0.6</v>
      </c>
      <c r="AF324" s="177">
        <f t="shared" si="118"/>
        <v>0.99818256590744459</v>
      </c>
      <c r="AG324" s="799">
        <f t="shared" si="124"/>
        <v>1</v>
      </c>
      <c r="AH324" s="176">
        <f t="shared" si="119"/>
        <v>7</v>
      </c>
      <c r="AI324" s="224">
        <f t="shared" si="120"/>
        <v>1.9981825659074446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45968</v>
      </c>
      <c r="B325" s="409">
        <f>IF(t&gt;Tmaj,'2024'!Wh/'2024'!Env_an*'2025'!Env_an,0.001*'[13]mon-tableau (3)'!$B$241)</f>
        <v>32.555426631842003</v>
      </c>
      <c r="C325" s="829"/>
      <c r="D325" s="391">
        <f t="shared" si="102"/>
        <v>34.134883624057906</v>
      </c>
      <c r="E325" s="383">
        <f t="shared" si="125"/>
        <v>35.214472311732735</v>
      </c>
      <c r="F325" s="383">
        <f t="shared" si="103"/>
        <v>35.2217624956509</v>
      </c>
      <c r="G325" s="110">
        <f t="shared" si="126"/>
        <v>0.99231716327930264</v>
      </c>
      <c r="H325" s="412" t="b">
        <f>Wh_hp&gt;='2024'!Maxi_hp</f>
        <v>0</v>
      </c>
      <c r="I325" s="388">
        <f>IF(H325,Wh_hp,'2024'!Maxi_hp)</f>
        <v>35.221815454766798</v>
      </c>
      <c r="J325" s="85">
        <f>IF(H325,An,'2024'!An_max)</f>
        <v>2022</v>
      </c>
      <c r="K325" s="197">
        <f t="shared" si="104"/>
        <v>45968</v>
      </c>
      <c r="L325" s="147">
        <f>IF(t&lt;Tvie,1-EXP((T0-t)*PertePVj)+'2024'!Pspv,1-EXP((T0-t)*PertePVj)+Pspv)</f>
        <v>4.627105249899599E-2</v>
      </c>
      <c r="M325" s="832"/>
      <c r="N325" s="832"/>
      <c r="O325" s="48">
        <f>IF(t&lt;Tnet,'2024'!Resal+('2024'!Salim-'2024'!Resal)*(1-EXP(('2024'!Tnet-t)/('2024'!Tau_j))),Resal+(Salim-Resal)*(1-EXP((Tnet-t)/(Tau_j))))*Salcycl</f>
        <v>3.0657528476300117E-2</v>
      </c>
      <c r="P325" s="169">
        <f>(INDEX(Models!$BJ325:$BT325,,T325)*(1-R325)+INDEX(Models!$BJ325:$BT325,,T325+1)*R325-ERP_i)*Q325*Ramure*Pc/MaxiM</f>
        <v>2.0927575271210397E-4</v>
      </c>
      <c r="Q325" s="304">
        <f t="shared" si="105"/>
        <v>0.6</v>
      </c>
      <c r="R325" s="177">
        <f t="shared" si="106"/>
        <v>0.99822656563511569</v>
      </c>
      <c r="S325" s="799">
        <f t="shared" si="107"/>
        <v>1</v>
      </c>
      <c r="T325" s="176">
        <f t="shared" si="108"/>
        <v>7</v>
      </c>
      <c r="U325" s="250">
        <f t="shared" si="109"/>
        <v>1.9982265656351157</v>
      </c>
      <c r="V325" s="382">
        <f t="shared" si="110"/>
        <v>32.807405803943148</v>
      </c>
      <c r="W325" s="400">
        <f t="shared" si="111"/>
        <v>32.555426631842003</v>
      </c>
      <c r="X325" s="157">
        <f t="shared" si="112"/>
        <v>45968</v>
      </c>
      <c r="Y325" s="383">
        <f t="shared" si="113"/>
        <v>31.546023653258096</v>
      </c>
      <c r="Z325" s="383">
        <f t="shared" si="114"/>
        <v>33.076508515250751</v>
      </c>
      <c r="AA325" s="384">
        <f t="shared" si="115"/>
        <v>35.214472311732735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6.0712646140367012E-2</v>
      </c>
      <c r="AD325" s="230">
        <f>(INDEX(Models!$BJ325:$BT325,,AH325)*(1-AF325)+INDEX(Models!$BJ325:$BT325,,AH325+1)*AF325-ERP_i)*AE325*Ramure*Pc/MaxiM</f>
        <v>2.0927575271210397E-4</v>
      </c>
      <c r="AE325" s="304">
        <f t="shared" si="117"/>
        <v>0.6</v>
      </c>
      <c r="AF325" s="177">
        <f t="shared" si="118"/>
        <v>0.99822656563511569</v>
      </c>
      <c r="AG325" s="799">
        <f t="shared" si="124"/>
        <v>1</v>
      </c>
      <c r="AH325" s="176">
        <f t="shared" si="119"/>
        <v>7</v>
      </c>
      <c r="AI325" s="224">
        <f t="shared" si="120"/>
        <v>1.9982265656351157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45969</v>
      </c>
      <c r="B326" s="409">
        <f>IF(t&gt;Tmaj,'2024'!Wh/'2024'!Env_an*'2025'!Env_an,0.001*'[13]mon-tableau (3)'!$B$242)</f>
        <v>24.121009229273952</v>
      </c>
      <c r="C326" s="829"/>
      <c r="D326" s="391">
        <f t="shared" si="102"/>
        <v>25.291747277857567</v>
      </c>
      <c r="E326" s="383">
        <f t="shared" si="125"/>
        <v>26.093789537488181</v>
      </c>
      <c r="F326" s="383">
        <f t="shared" si="103"/>
        <v>26.097560704157765</v>
      </c>
      <c r="G326" s="110">
        <f t="shared" si="126"/>
        <v>0.74173849345500953</v>
      </c>
      <c r="H326" s="412" t="b">
        <f>Wh_hp&gt;='2024'!Maxi_hp</f>
        <v>0</v>
      </c>
      <c r="I326" s="388">
        <f>IF(H326,Wh_hp,'2024'!Maxi_hp)</f>
        <v>28.580031803596686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4.6289330496694259E-2</v>
      </c>
      <c r="M326" s="832"/>
      <c r="N326" s="832"/>
      <c r="O326" s="48">
        <f>IF(t&lt;Tnet,'2024'!Resal+('2024'!Salim-'2024'!Resal)*(1-EXP(('2024'!Tnet-t)/('2024'!Tau_j))),Resal+(Salim-Resal)*(1-EXP((Tnet-t)/(Tau_j))))*Salcycl</f>
        <v>3.0736902299236517E-2</v>
      </c>
      <c r="P326" s="169">
        <f>(INDEX(Models!$BJ326:$BT326,,T326)*(1-R326)+INDEX(Models!$BJ326:$BT326,,T326+1)*R326-ERP_i)*Q326*Ramure*Pc/MaxiM</f>
        <v>2.2895335410326743E-4</v>
      </c>
      <c r="Q326" s="304">
        <f t="shared" si="105"/>
        <v>0.6</v>
      </c>
      <c r="R326" s="177">
        <f t="shared" si="106"/>
        <v>0.99826880109248162</v>
      </c>
      <c r="S326" s="799">
        <f t="shared" si="107"/>
        <v>1</v>
      </c>
      <c r="T326" s="176">
        <f t="shared" si="108"/>
        <v>7</v>
      </c>
      <c r="U326" s="250">
        <f t="shared" si="109"/>
        <v>1.9982688010924816</v>
      </c>
      <c r="V326" s="382">
        <f t="shared" si="110"/>
        <v>32.51681301627665</v>
      </c>
      <c r="W326" s="400">
        <f t="shared" si="111"/>
        <v>24.121009229273952</v>
      </c>
      <c r="X326" s="157">
        <f t="shared" si="112"/>
        <v>45969</v>
      </c>
      <c r="Y326" s="383">
        <f t="shared" si="113"/>
        <v>23.374429396316373</v>
      </c>
      <c r="Z326" s="383">
        <f t="shared" si="114"/>
        <v>24.508931423080146</v>
      </c>
      <c r="AA326" s="384">
        <f t="shared" si="115"/>
        <v>26.093789537488181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6.0736985409157028E-2</v>
      </c>
      <c r="AD326" s="230">
        <f>(INDEX(Models!$BJ326:$BT326,,AH326)*(1-AF326)+INDEX(Models!$BJ326:$BT326,,AH326+1)*AF326-ERP_i)*AE326*Ramure*Pc/MaxiM</f>
        <v>2.2895335410326743E-4</v>
      </c>
      <c r="AE326" s="304">
        <f t="shared" si="117"/>
        <v>0.6</v>
      </c>
      <c r="AF326" s="177">
        <f t="shared" si="118"/>
        <v>0.99826880109248162</v>
      </c>
      <c r="AG326" s="799">
        <f t="shared" si="124"/>
        <v>1</v>
      </c>
      <c r="AH326" s="176">
        <f t="shared" si="119"/>
        <v>7</v>
      </c>
      <c r="AI326" s="224">
        <f t="shared" si="120"/>
        <v>1.9982688010924816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45970</v>
      </c>
      <c r="B327" s="409">
        <f>IF(t&gt;Tmaj,'2024'!Wh/'2024'!Env_an*'2025'!Env_an,0.001*'[13]mon-tableau (3)'!$B$243)</f>
        <v>10.766989941817991</v>
      </c>
      <c r="C327" s="829"/>
      <c r="D327" s="391">
        <f t="shared" si="102"/>
        <v>11.289793264330497</v>
      </c>
      <c r="E327" s="383">
        <f t="shared" si="125"/>
        <v>11.648764288868446</v>
      </c>
      <c r="F327" s="383">
        <f t="shared" si="103"/>
        <v>11.648906986152063</v>
      </c>
      <c r="G327" s="110">
        <f t="shared" si="126"/>
        <v>0.33399173073464811</v>
      </c>
      <c r="H327" s="412" t="b">
        <f>Wh_hp&gt;='2024'!Maxi_hp</f>
        <v>0</v>
      </c>
      <c r="I327" s="388">
        <f>IF(H327,Wh_hp,'2024'!Maxi_hp)</f>
        <v>26.22479613054475</v>
      </c>
      <c r="J327" s="85">
        <f>IF(H327,An,'2024'!An_max)</f>
        <v>2020</v>
      </c>
      <c r="K327" s="197">
        <f t="shared" si="104"/>
        <v>45970</v>
      </c>
      <c r="L327" s="147">
        <f>IF(t&lt;Tvie,1-EXP((T0-t)*PertePVj)+'2024'!Pspv,1-EXP((T0-t)*PertePVj)+Pspv)</f>
        <v>4.6307608144098955E-2</v>
      </c>
      <c r="M327" s="832"/>
      <c r="N327" s="832"/>
      <c r="O327" s="48">
        <f>IF(t&lt;Tnet,'2024'!Resal+('2024'!Salim-'2024'!Resal)*(1-EXP(('2024'!Tnet-t)/('2024'!Tau_j))),Resal+(Salim-Resal)*(1-EXP((Tnet-t)/(Tau_j))))*Salcycl</f>
        <v>3.0816232145840713E-2</v>
      </c>
      <c r="P327" s="169">
        <f>(INDEX(Models!$BJ327:$BT327,,T327)*(1-R327)+INDEX(Models!$BJ327:$BT327,,T327+1)*R327-ERP_i)*Q327*Ramure*Pc/MaxiM</f>
        <v>2.5167180486106307E-4</v>
      </c>
      <c r="Q327" s="304">
        <f t="shared" si="105"/>
        <v>0.6</v>
      </c>
      <c r="R327" s="177">
        <f t="shared" si="106"/>
        <v>0.99830934274095129</v>
      </c>
      <c r="S327" s="799">
        <f t="shared" si="107"/>
        <v>1</v>
      </c>
      <c r="T327" s="176">
        <f t="shared" si="108"/>
        <v>7</v>
      </c>
      <c r="U327" s="250">
        <f t="shared" si="109"/>
        <v>1.9983093427409513</v>
      </c>
      <c r="V327" s="382">
        <f t="shared" si="110"/>
        <v>32.229576560798264</v>
      </c>
      <c r="W327" s="400">
        <f t="shared" si="111"/>
        <v>10.766989941817991</v>
      </c>
      <c r="X327" s="157">
        <f t="shared" si="112"/>
        <v>45970</v>
      </c>
      <c r="Y327" s="383">
        <f t="shared" si="113"/>
        <v>10.434317054965284</v>
      </c>
      <c r="Z327" s="383">
        <f t="shared" si="114"/>
        <v>10.940967070797253</v>
      </c>
      <c r="AA327" s="384">
        <f t="shared" si="115"/>
        <v>11.648764288868446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6.0761570971743589E-2</v>
      </c>
      <c r="AD327" s="230">
        <f>(INDEX(Models!$BJ327:$BT327,,AH327)*(1-AF327)+INDEX(Models!$BJ327:$BT327,,AH327+1)*AF327-ERP_i)*AE327*Ramure*Pc/MaxiM</f>
        <v>2.5167180486106307E-4</v>
      </c>
      <c r="AE327" s="304">
        <f t="shared" si="117"/>
        <v>0.6</v>
      </c>
      <c r="AF327" s="177">
        <f t="shared" si="118"/>
        <v>0.99830934274095129</v>
      </c>
      <c r="AG327" s="799">
        <f t="shared" si="124"/>
        <v>1</v>
      </c>
      <c r="AH327" s="176">
        <f t="shared" si="119"/>
        <v>7</v>
      </c>
      <c r="AI327" s="224">
        <f t="shared" si="120"/>
        <v>1.9983093427409513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45971</v>
      </c>
      <c r="B328" s="409">
        <f>IF(t&gt;Tmaj,'2024'!Wh/'2024'!Env_an*'2025'!Env_an,0.001*'[13]mon-tableau (3)'!$B$244)</f>
        <v>20.196340089322234</v>
      </c>
      <c r="C328" s="829"/>
      <c r="D328" s="391">
        <f t="shared" si="102"/>
        <v>21.177401987749302</v>
      </c>
      <c r="E328" s="383">
        <f t="shared" si="125"/>
        <v>21.852548515236933</v>
      </c>
      <c r="F328" s="383">
        <f t="shared" si="103"/>
        <v>21.855425949607987</v>
      </c>
      <c r="G328" s="110">
        <f t="shared" si="126"/>
        <v>0.63211236350194933</v>
      </c>
      <c r="H328" s="412" t="b">
        <f>Wh_hp&gt;='2024'!Maxi_hp</f>
        <v>0</v>
      </c>
      <c r="I328" s="388">
        <f>IF(H328,Wh_hp,'2024'!Maxi_hp)</f>
        <v>21.857548277600785</v>
      </c>
      <c r="J328" s="85">
        <f>IF(H328,An,'2024'!An_max)</f>
        <v>2022</v>
      </c>
      <c r="K328" s="197">
        <f t="shared" si="104"/>
        <v>45971</v>
      </c>
      <c r="L328" s="147">
        <f>IF(t&lt;Tvie,1-EXP((T0-t)*PertePVj)+'2024'!Pspv,1-EXP((T0-t)*PertePVj)+Pspv)</f>
        <v>4.632588544121663E-2</v>
      </c>
      <c r="M328" s="832"/>
      <c r="N328" s="832"/>
      <c r="O328" s="48">
        <f>IF(t&lt;Tnet,'2024'!Resal+('2024'!Salim-'2024'!Resal)*(1-EXP(('2024'!Tnet-t)/('2024'!Tau_j))),Resal+(Salim-Resal)*(1-EXP((Tnet-t)/(Tau_j))))*Salcycl</f>
        <v>3.0895551016252219E-2</v>
      </c>
      <c r="P328" s="169">
        <f>(INDEX(Models!$BJ328:$BT328,,T328)*(1-R328)+INDEX(Models!$BJ328:$BT328,,T328+1)*R328-ERP_i)*Q328*Ramure*Pc/MaxiM</f>
        <v>2.7742056046426572E-4</v>
      </c>
      <c r="Q328" s="304">
        <f t="shared" si="105"/>
        <v>0.6</v>
      </c>
      <c r="R328" s="177">
        <f t="shared" si="106"/>
        <v>0.9983482582499863</v>
      </c>
      <c r="S328" s="799">
        <f t="shared" si="107"/>
        <v>1</v>
      </c>
      <c r="T328" s="176">
        <f t="shared" si="108"/>
        <v>7</v>
      </c>
      <c r="U328" s="250">
        <f t="shared" si="109"/>
        <v>1.9983482582499863</v>
      </c>
      <c r="V328" s="382">
        <f t="shared" si="110"/>
        <v>31.945895999923692</v>
      </c>
      <c r="W328" s="400">
        <f t="shared" si="111"/>
        <v>20.196340089322234</v>
      </c>
      <c r="X328" s="157">
        <f t="shared" si="112"/>
        <v>45971</v>
      </c>
      <c r="Y328" s="383">
        <f t="shared" si="113"/>
        <v>19.573407177554628</v>
      </c>
      <c r="Z328" s="383">
        <f t="shared" si="114"/>
        <v>20.524209348609876</v>
      </c>
      <c r="AA328" s="384">
        <f t="shared" si="115"/>
        <v>21.852548515236933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6.0786464594775193E-2</v>
      </c>
      <c r="AD328" s="230">
        <f>(INDEX(Models!$BJ328:$BT328,,AH328)*(1-AF328)+INDEX(Models!$BJ328:$BT328,,AH328+1)*AF328-ERP_i)*AE328*Ramure*Pc/MaxiM</f>
        <v>2.7742056046426572E-4</v>
      </c>
      <c r="AE328" s="304">
        <f t="shared" si="117"/>
        <v>0.6</v>
      </c>
      <c r="AF328" s="177">
        <f t="shared" si="118"/>
        <v>0.9983482582499863</v>
      </c>
      <c r="AG328" s="799">
        <f t="shared" si="124"/>
        <v>1</v>
      </c>
      <c r="AH328" s="176">
        <f t="shared" si="119"/>
        <v>7</v>
      </c>
      <c r="AI328" s="224">
        <f t="shared" si="120"/>
        <v>1.9983482582499863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45972</v>
      </c>
      <c r="B329" s="409">
        <f>IF(t&gt;Tmaj,'2024'!Wh/'2024'!Env_an*'2025'!Env_an,0.001*'[13]mon-tableau (3)'!$B$245)</f>
        <v>31.862593429598622</v>
      </c>
      <c r="C329" s="829"/>
      <c r="D329" s="391">
        <f t="shared" si="102"/>
        <v>33.410998153574873</v>
      </c>
      <c r="E329" s="383">
        <f t="shared" si="125"/>
        <v>34.478980845067845</v>
      </c>
      <c r="F329" s="383">
        <f t="shared" si="103"/>
        <v>34.489541172073231</v>
      </c>
      <c r="G329" s="110">
        <f t="shared" si="126"/>
        <v>1.0062092732884733</v>
      </c>
      <c r="H329" s="412" t="b">
        <f>Wh_hp&gt;='2024'!Maxi_hp</f>
        <v>1</v>
      </c>
      <c r="I329" s="388">
        <f>IF(H329,Wh_hp,'2024'!Maxi_hp)</f>
        <v>34.489541172073231</v>
      </c>
      <c r="J329" s="85">
        <f>IF(H329,An,'2024'!An_max)</f>
        <v>2025</v>
      </c>
      <c r="K329" s="197">
        <f t="shared" si="104"/>
        <v>45972</v>
      </c>
      <c r="L329" s="147">
        <f>IF(t&lt;Tvie,1-EXP((T0-t)*PertePVj)+'2024'!Pspv,1-EXP((T0-t)*PertePVj)+Pspv)</f>
        <v>4.6344162388054166E-2</v>
      </c>
      <c r="M329" s="832"/>
      <c r="N329" s="832"/>
      <c r="O329" s="48">
        <f>IF(t&lt;Tnet,'2024'!Resal+('2024'!Salim-'2024'!Resal)*(1-EXP(('2024'!Tnet-t)/('2024'!Tau_j))),Resal+(Salim-Resal)*(1-EXP((Tnet-t)/(Tau_j))))*Salcycl</f>
        <v>3.0974891522808468E-2</v>
      </c>
      <c r="P329" s="169">
        <f>(INDEX(Models!$BJ329:$BT329,,T329)*(1-R329)+INDEX(Models!$BJ329:$BT329,,T329+1)*R329-ERP_i)*Q329*Ramure*Pc/MaxiM</f>
        <v>3.0618925756937116E-4</v>
      </c>
      <c r="Q329" s="304">
        <f t="shared" si="105"/>
        <v>0.6</v>
      </c>
      <c r="R329" s="177">
        <f t="shared" si="106"/>
        <v>0.99838561260598357</v>
      </c>
      <c r="S329" s="799">
        <f t="shared" si="107"/>
        <v>1</v>
      </c>
      <c r="T329" s="176">
        <f t="shared" si="108"/>
        <v>7</v>
      </c>
      <c r="U329" s="250">
        <f t="shared" si="109"/>
        <v>1.9983856126059836</v>
      </c>
      <c r="V329" s="382">
        <f t="shared" si="110"/>
        <v>31.665970763185207</v>
      </c>
      <c r="W329" s="400">
        <f t="shared" si="111"/>
        <v>31.862593429598622</v>
      </c>
      <c r="X329" s="157">
        <f t="shared" si="112"/>
        <v>45972</v>
      </c>
      <c r="Y329" s="383">
        <f t="shared" si="113"/>
        <v>30.881526022259536</v>
      </c>
      <c r="Z329" s="383">
        <f t="shared" si="114"/>
        <v>32.38225448248722</v>
      </c>
      <c r="AA329" s="384">
        <f t="shared" si="115"/>
        <v>34.478980845067845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6.0811726773546945E-2</v>
      </c>
      <c r="AD329" s="230">
        <f>(INDEX(Models!$BJ329:$BT329,,AH329)*(1-AF329)+INDEX(Models!$BJ329:$BT329,,AH329+1)*AF329-ERP_i)*AE329*Ramure*Pc/MaxiM</f>
        <v>3.0618925756937116E-4</v>
      </c>
      <c r="AE329" s="304">
        <f t="shared" si="117"/>
        <v>0.6</v>
      </c>
      <c r="AF329" s="177">
        <f t="shared" si="118"/>
        <v>0.99838561260598357</v>
      </c>
      <c r="AG329" s="799">
        <f t="shared" si="124"/>
        <v>1</v>
      </c>
      <c r="AH329" s="176">
        <f t="shared" si="119"/>
        <v>7</v>
      </c>
      <c r="AI329" s="224">
        <f t="shared" si="120"/>
        <v>1.9983856126059836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45973</v>
      </c>
      <c r="B330" s="409">
        <f>IF(t&gt;Tmaj,'2024'!Wh/'2024'!Env_an*'2025'!Env_an,0.001*'[13]mon-tableau (3)'!$B$246)</f>
        <v>31.116493246795468</v>
      </c>
      <c r="C330" s="829"/>
      <c r="D330" s="391">
        <f t="shared" si="102"/>
        <v>32.62926558142729</v>
      </c>
      <c r="E330" s="383">
        <f t="shared" si="125"/>
        <v>33.67501925148612</v>
      </c>
      <c r="F330" s="383">
        <f t="shared" si="103"/>
        <v>33.686262415432083</v>
      </c>
      <c r="G330" s="110">
        <f t="shared" si="126"/>
        <v>0.99128264299289159</v>
      </c>
      <c r="H330" s="412" t="b">
        <f>Wh_hp&gt;='2024'!Maxi_hp</f>
        <v>0</v>
      </c>
      <c r="I330" s="388">
        <f>IF(H330,Wh_hp,'2024'!Maxi_hp)</f>
        <v>33.686357160072951</v>
      </c>
      <c r="J330" s="85">
        <f>IF(H330,An,'2024'!An_max)</f>
        <v>2022</v>
      </c>
      <c r="K330" s="197">
        <f t="shared" si="104"/>
        <v>45973</v>
      </c>
      <c r="L330" s="147">
        <f>IF(t&lt;Tvie,1-EXP((T0-t)*PertePVj)+'2024'!Pspv,1-EXP((T0-t)*PertePVj)+Pspv)</f>
        <v>4.6362438984618115E-2</v>
      </c>
      <c r="M330" s="832"/>
      <c r="N330" s="832"/>
      <c r="O330" s="48">
        <f>IF(t&lt;Tnet,'2024'!Resal+('2024'!Salim-'2024'!Resal)*(1-EXP(('2024'!Tnet-t)/('2024'!Tau_j))),Resal+(Salim-Resal)*(1-EXP((Tnet-t)/(Tau_j))))*Salcycl</f>
        <v>3.105428573771879E-2</v>
      </c>
      <c r="P330" s="169">
        <f>(INDEX(Models!$BJ330:$BT330,,T330)*(1-R330)+INDEX(Models!$BJ330:$BT330,,T330+1)*R330-ERP_i)*Q330*Ramure*Pc/MaxiM</f>
        <v>3.3796792298917326E-4</v>
      </c>
      <c r="Q330" s="304">
        <f t="shared" si="105"/>
        <v>0.6</v>
      </c>
      <c r="R330" s="177">
        <f t="shared" si="106"/>
        <v>0.99842146821704669</v>
      </c>
      <c r="S330" s="799">
        <f t="shared" si="107"/>
        <v>1</v>
      </c>
      <c r="T330" s="176">
        <f t="shared" si="108"/>
        <v>7</v>
      </c>
      <c r="U330" s="250">
        <f t="shared" si="109"/>
        <v>1.9984214682170467</v>
      </c>
      <c r="V330" s="382">
        <f t="shared" si="110"/>
        <v>31.390000139129167</v>
      </c>
      <c r="W330" s="400">
        <f t="shared" si="111"/>
        <v>31.116493246795468</v>
      </c>
      <c r="X330" s="157">
        <f t="shared" si="112"/>
        <v>45973</v>
      </c>
      <c r="Y330" s="383">
        <f t="shared" si="113"/>
        <v>30.160044838924406</v>
      </c>
      <c r="Z330" s="383">
        <f t="shared" si="114"/>
        <v>31.626318081275674</v>
      </c>
      <c r="AA330" s="384">
        <f t="shared" si="115"/>
        <v>33.67501925148612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6.0837416451366512E-2</v>
      </c>
      <c r="AD330" s="230">
        <f>(INDEX(Models!$BJ330:$BT330,,AH330)*(1-AF330)+INDEX(Models!$BJ330:$BT330,,AH330+1)*AF330-ERP_i)*AE330*Ramure*Pc/MaxiM</f>
        <v>3.3796792298917326E-4</v>
      </c>
      <c r="AE330" s="304">
        <f t="shared" si="117"/>
        <v>0.6</v>
      </c>
      <c r="AF330" s="177">
        <f t="shared" si="118"/>
        <v>0.99842146821704669</v>
      </c>
      <c r="AG330" s="799">
        <f t="shared" si="124"/>
        <v>1</v>
      </c>
      <c r="AH330" s="176">
        <f t="shared" si="119"/>
        <v>7</v>
      </c>
      <c r="AI330" s="224">
        <f t="shared" si="120"/>
        <v>1.9984214682170467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45974</v>
      </c>
      <c r="B331" s="409">
        <f>IF(t&gt;Tmaj,'2024'!Wh/'2024'!Env_an*'2025'!Env_an,0.001*'[13]mon-tableau (3)'!$B$247)</f>
        <v>30.13032124265623</v>
      </c>
      <c r="C331" s="829"/>
      <c r="D331" s="391">
        <f t="shared" si="102"/>
        <v>31.595754955765361</v>
      </c>
      <c r="E331" s="383">
        <f t="shared" si="125"/>
        <v>32.611060036757337</v>
      </c>
      <c r="F331" s="383">
        <f t="shared" si="103"/>
        <v>32.622670806813908</v>
      </c>
      <c r="G331" s="110">
        <f t="shared" si="126"/>
        <v>0.96831402699072189</v>
      </c>
      <c r="H331" s="412" t="b">
        <f>Wh_hp&gt;='2024'!Maxi_hp</f>
        <v>0</v>
      </c>
      <c r="I331" s="388">
        <f>IF(H331,Wh_hp,'2024'!Maxi_hp)</f>
        <v>32.623038757538794</v>
      </c>
      <c r="J331" s="85">
        <f>IF(H331,An,'2024'!An_max)</f>
        <v>2022</v>
      </c>
      <c r="K331" s="197">
        <f t="shared" si="104"/>
        <v>45974</v>
      </c>
      <c r="L331" s="147">
        <f>IF(t&lt;Tvie,1-EXP((T0-t)*PertePVj)+'2024'!Pspv,1-EXP((T0-t)*PertePVj)+Pspv)</f>
        <v>4.6380715230915248E-2</v>
      </c>
      <c r="M331" s="832"/>
      <c r="N331" s="832"/>
      <c r="O331" s="48">
        <f>IF(t&lt;Tnet,'2024'!Resal+('2024'!Salim-'2024'!Resal)*(1-EXP(('2024'!Tnet-t)/('2024'!Tau_j))),Resal+(Salim-Resal)*(1-EXP((Tnet-t)/(Tau_j))))*Salcycl</f>
        <v>3.113376504313509E-2</v>
      </c>
      <c r="P331" s="169">
        <f>(INDEX(Models!$BJ331:$BT331,,T331)*(1-R331)+INDEX(Models!$BJ331:$BT331,,T331+1)*R331-ERP_i)*Q331*Ramure*Pc/MaxiM</f>
        <v>3.7277635532109271E-4</v>
      </c>
      <c r="Q331" s="304">
        <f t="shared" si="105"/>
        <v>0.6</v>
      </c>
      <c r="R331" s="177">
        <f t="shared" si="106"/>
        <v>0.99845588501379745</v>
      </c>
      <c r="S331" s="799">
        <f t="shared" si="107"/>
        <v>1</v>
      </c>
      <c r="T331" s="176">
        <f t="shared" si="108"/>
        <v>7</v>
      </c>
      <c r="U331" s="250">
        <f t="shared" si="109"/>
        <v>1.9984558850137975</v>
      </c>
      <c r="V331" s="382">
        <f t="shared" si="110"/>
        <v>31.115745580242159</v>
      </c>
      <c r="W331" s="400">
        <f t="shared" si="111"/>
        <v>30.13032124265623</v>
      </c>
      <c r="X331" s="157">
        <f t="shared" si="112"/>
        <v>45974</v>
      </c>
      <c r="Y331" s="383">
        <f t="shared" si="113"/>
        <v>29.205767195228081</v>
      </c>
      <c r="Z331" s="383">
        <f t="shared" si="114"/>
        <v>30.626233824854062</v>
      </c>
      <c r="AA331" s="384">
        <f t="shared" si="115"/>
        <v>32.611060036757337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6.0863590747007076E-2</v>
      </c>
      <c r="AD331" s="230">
        <f>(INDEX(Models!$BJ331:$BT331,,AH331)*(1-AF331)+INDEX(Models!$BJ331:$BT331,,AH331+1)*AF331-ERP_i)*AE331*Ramure*Pc/MaxiM</f>
        <v>3.7277635532109271E-4</v>
      </c>
      <c r="AE331" s="304">
        <f t="shared" si="117"/>
        <v>0.6</v>
      </c>
      <c r="AF331" s="177">
        <f t="shared" si="118"/>
        <v>0.99845588501379745</v>
      </c>
      <c r="AG331" s="799">
        <f t="shared" si="124"/>
        <v>1</v>
      </c>
      <c r="AH331" s="176">
        <f t="shared" si="119"/>
        <v>7</v>
      </c>
      <c r="AI331" s="224">
        <f t="shared" si="120"/>
        <v>1.9984558850137975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45975</v>
      </c>
      <c r="B332" s="409">
        <f>IF(t&gt;Tmaj,'2024'!Wh/'2024'!Env_an*'2025'!Env_an,0.001*'[13]mon-tableau (3)'!$B$248)</f>
        <v>11.411759265894238</v>
      </c>
      <c r="C332" s="829"/>
      <c r="D332" s="391">
        <f t="shared" si="102"/>
        <v>11.967016770861532</v>
      </c>
      <c r="E332" s="383">
        <f t="shared" si="125"/>
        <v>12.35258237115298</v>
      </c>
      <c r="F332" s="383">
        <f t="shared" si="103"/>
        <v>12.353092029768401</v>
      </c>
      <c r="G332" s="110">
        <f t="shared" si="126"/>
        <v>0.36987722100583426</v>
      </c>
      <c r="H332" s="412" t="b">
        <f>Wh_hp&gt;='2024'!Maxi_hp</f>
        <v>0</v>
      </c>
      <c r="I332" s="388">
        <f>IF(H332,Wh_hp,'2024'!Maxi_hp)</f>
        <v>19.58493615154913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4.6398991126952338E-2</v>
      </c>
      <c r="M332" s="832"/>
      <c r="N332" s="832"/>
      <c r="O332" s="48">
        <f>IF(t&lt;Tnet,'2024'!Resal+('2024'!Salim-'2024'!Resal)*(1-EXP(('2024'!Tnet-t)/('2024'!Tau_j))),Resal+(Salim-Resal)*(1-EXP((Tnet-t)/(Tau_j))))*Salcycl</f>
        <v>3.1213359984699367E-2</v>
      </c>
      <c r="P332" s="169">
        <f>(INDEX(Models!$BJ332:$BT332,,T332)*(1-R332)+INDEX(Models!$BJ332:$BT332,,T332+1)*R332-ERP_i)*Q332*Ramure*Pc/MaxiM</f>
        <v>4.124897826595203E-4</v>
      </c>
      <c r="Q332" s="304">
        <f t="shared" si="105"/>
        <v>0.6</v>
      </c>
      <c r="R332" s="177">
        <f t="shared" si="106"/>
        <v>0.99848892054635918</v>
      </c>
      <c r="S332" s="799">
        <f t="shared" si="107"/>
        <v>1</v>
      </c>
      <c r="T332" s="176">
        <f t="shared" si="108"/>
        <v>7</v>
      </c>
      <c r="U332" s="250">
        <f t="shared" si="109"/>
        <v>1.9984889205463592</v>
      </c>
      <c r="V332" s="382">
        <f t="shared" si="110"/>
        <v>30.841376626251776</v>
      </c>
      <c r="W332" s="400">
        <f t="shared" si="111"/>
        <v>11.411759265894238</v>
      </c>
      <c r="X332" s="157">
        <f t="shared" si="112"/>
        <v>45975</v>
      </c>
      <c r="Y332" s="383">
        <f t="shared" si="113"/>
        <v>11.062181624377772</v>
      </c>
      <c r="Z332" s="383">
        <f t="shared" si="114"/>
        <v>11.600429866838022</v>
      </c>
      <c r="AA332" s="384">
        <f t="shared" si="115"/>
        <v>12.35258237115298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6.089030469219639E-2</v>
      </c>
      <c r="AD332" s="230">
        <f>(INDEX(Models!$BJ332:$BT332,,AH332)*(1-AF332)+INDEX(Models!$BJ332:$BT332,,AH332+1)*AF332-ERP_i)*AE332*Ramure*Pc/MaxiM</f>
        <v>4.124897826595203E-4</v>
      </c>
      <c r="AE332" s="304">
        <f t="shared" si="117"/>
        <v>0.6</v>
      </c>
      <c r="AF332" s="177">
        <f t="shared" si="118"/>
        <v>0.99848892054635918</v>
      </c>
      <c r="AG332" s="799">
        <f t="shared" si="124"/>
        <v>1</v>
      </c>
      <c r="AH332" s="176">
        <f t="shared" si="119"/>
        <v>7</v>
      </c>
      <c r="AI332" s="224">
        <f t="shared" si="120"/>
        <v>1.9984889205463592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45976</v>
      </c>
      <c r="B333" s="409">
        <f>IF(t&gt;Tmaj,'2024'!Wh/'2024'!Env_an*'2025'!Env_an,0.001*'[13]mon-tableau (3)'!$B$249)</f>
        <v>13.092537728992399</v>
      </c>
      <c r="C333" s="829"/>
      <c r="D333" s="391">
        <f t="shared" si="102"/>
        <v>13.729839343157566</v>
      </c>
      <c r="E333" s="383">
        <f t="shared" si="125"/>
        <v>14.173367966094643</v>
      </c>
      <c r="F333" s="383">
        <f t="shared" si="103"/>
        <v>14.174552945956489</v>
      </c>
      <c r="G333" s="110">
        <f t="shared" si="126"/>
        <v>0.4281515463829309</v>
      </c>
      <c r="H333" s="412" t="b">
        <f>Wh_hp&gt;='2024'!Maxi_hp</f>
        <v>0</v>
      </c>
      <c r="I333" s="388">
        <f>IF(H333,Wh_hp,'2024'!Maxi_hp)</f>
        <v>27.924813714733766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4.6417266672736046E-2</v>
      </c>
      <c r="M333" s="832"/>
      <c r="N333" s="832"/>
      <c r="O333" s="48">
        <f>IF(t&lt;Tnet,'2024'!Resal+('2024'!Salim-'2024'!Resal)*(1-EXP(('2024'!Tnet-t)/('2024'!Tau_j))),Resal+(Salim-Resal)*(1-EXP((Tnet-t)/(Tau_j))))*Salcycl</f>
        <v>3.1293100129629006E-2</v>
      </c>
      <c r="P333" s="169">
        <f>(INDEX(Models!$BJ333:$BT333,,T333)*(1-R333)+INDEX(Models!$BJ333:$BT333,,T333+1)*R333-ERP_i)*Q333*Ramure*Pc/MaxiM</f>
        <v>4.5607411955327678E-4</v>
      </c>
      <c r="Q333" s="304">
        <f t="shared" si="105"/>
        <v>0.6</v>
      </c>
      <c r="R333" s="177">
        <f t="shared" si="106"/>
        <v>0.99852063007765413</v>
      </c>
      <c r="S333" s="799">
        <f t="shared" si="107"/>
        <v>1</v>
      </c>
      <c r="T333" s="176">
        <f t="shared" si="108"/>
        <v>7</v>
      </c>
      <c r="U333" s="250">
        <f t="shared" si="109"/>
        <v>1.9985206300776541</v>
      </c>
      <c r="V333" s="382">
        <f t="shared" si="110"/>
        <v>30.567822979007946</v>
      </c>
      <c r="W333" s="400">
        <f t="shared" si="111"/>
        <v>13.092537728992399</v>
      </c>
      <c r="X333" s="157">
        <f t="shared" si="112"/>
        <v>45976</v>
      </c>
      <c r="Y333" s="383">
        <f t="shared" si="113"/>
        <v>12.692148275715358</v>
      </c>
      <c r="Z333" s="383">
        <f t="shared" si="114"/>
        <v>13.309960250045224</v>
      </c>
      <c r="AA333" s="384">
        <f t="shared" si="115"/>
        <v>14.173367966094643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6.091761098102115E-2</v>
      </c>
      <c r="AD333" s="230">
        <f>(INDEX(Models!$BJ333:$BT333,,AH333)*(1-AF333)+INDEX(Models!$BJ333:$BT333,,AH333+1)*AF333-ERP_i)*AE333*Ramure*Pc/MaxiM</f>
        <v>4.5607411955327678E-4</v>
      </c>
      <c r="AE333" s="304">
        <f t="shared" si="117"/>
        <v>0.6</v>
      </c>
      <c r="AF333" s="177">
        <f t="shared" si="118"/>
        <v>0.99852063007765413</v>
      </c>
      <c r="AG333" s="799">
        <f t="shared" si="124"/>
        <v>1</v>
      </c>
      <c r="AH333" s="176">
        <f t="shared" si="119"/>
        <v>7</v>
      </c>
      <c r="AI333" s="224">
        <f t="shared" si="120"/>
        <v>1.9985206300776541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45977</v>
      </c>
      <c r="B334" s="409">
        <f>IF(t&gt;Tmaj,'2024'!Wh/'2024'!Env_an*'2025'!Env_an,0.001*'[13]mon-tableau (3)'!$B$250)</f>
        <v>30.686184857976016</v>
      </c>
      <c r="C334" s="829"/>
      <c r="D334" s="391">
        <f t="shared" si="102"/>
        <v>32.180503998752201</v>
      </c>
      <c r="E334" s="383">
        <f t="shared" si="125"/>
        <v>33.222803474978676</v>
      </c>
      <c r="F334" s="383">
        <f t="shared" si="103"/>
        <v>33.239540587277773</v>
      </c>
      <c r="G334" s="110">
        <f t="shared" si="126"/>
        <v>1.0128797109208911</v>
      </c>
      <c r="H334" s="412" t="b">
        <f>Wh_hp&gt;='2024'!Maxi_hp</f>
        <v>1</v>
      </c>
      <c r="I334" s="388">
        <f>IF(H334,Wh_hp,'2024'!Maxi_hp)</f>
        <v>33.239540587277773</v>
      </c>
      <c r="J334" s="85">
        <f>IF(H334,An,'2024'!An_max)</f>
        <v>2025</v>
      </c>
      <c r="K334" s="197">
        <f t="shared" si="104"/>
        <v>45977</v>
      </c>
      <c r="L334" s="147">
        <f>IF(t&lt;Tvie,1-EXP((T0-t)*PertePVj)+'2024'!Pspv,1-EXP((T0-t)*PertePVj)+Pspv)</f>
        <v>4.6435541868273034E-2</v>
      </c>
      <c r="M334" s="832"/>
      <c r="N334" s="832"/>
      <c r="O334" s="48">
        <f>IF(t&lt;Tnet,'2024'!Resal+('2024'!Salim-'2024'!Resal)*(1-EXP(('2024'!Tnet-t)/('2024'!Tau_j))),Resal+(Salim-Resal)*(1-EXP((Tnet-t)/(Tau_j))))*Salcycl</f>
        <v>3.1373013930370772E-2</v>
      </c>
      <c r="P334" s="169">
        <f>(INDEX(Models!$BJ334:$BT334,,T334)*(1-R334)+INDEX(Models!$BJ334:$BT334,,T334+1)*R334-ERP_i)*Q334*Ramure*Pc/MaxiM</f>
        <v>5.0353019335973423E-4</v>
      </c>
      <c r="Q334" s="304">
        <f t="shared" si="105"/>
        <v>0.6</v>
      </c>
      <c r="R334" s="177">
        <f t="shared" si="106"/>
        <v>0.99855106667314386</v>
      </c>
      <c r="S334" s="799">
        <f t="shared" si="107"/>
        <v>1</v>
      </c>
      <c r="T334" s="176">
        <f t="shared" si="108"/>
        <v>7</v>
      </c>
      <c r="U334" s="250">
        <f t="shared" si="109"/>
        <v>1.9985510666731439</v>
      </c>
      <c r="V334" s="382">
        <f t="shared" si="110"/>
        <v>30.295981375791118</v>
      </c>
      <c r="W334" s="400">
        <f t="shared" si="111"/>
        <v>30.686184857976016</v>
      </c>
      <c r="X334" s="157">
        <f t="shared" si="112"/>
        <v>45977</v>
      </c>
      <c r="Y334" s="383">
        <f t="shared" si="113"/>
        <v>29.749324105310123</v>
      </c>
      <c r="Z334" s="383">
        <f t="shared" si="114"/>
        <v>31.198021121295298</v>
      </c>
      <c r="AA334" s="384">
        <f t="shared" si="115"/>
        <v>33.222803474978676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6.0945559733040527E-2</v>
      </c>
      <c r="AD334" s="230">
        <f>(INDEX(Models!$BJ334:$BT334,,AH334)*(1-AF334)+INDEX(Models!$BJ334:$BT334,,AH334+1)*AF334-ERP_i)*AE334*Ramure*Pc/MaxiM</f>
        <v>5.0353019335973423E-4</v>
      </c>
      <c r="AE334" s="304">
        <f t="shared" si="117"/>
        <v>0.6</v>
      </c>
      <c r="AF334" s="177">
        <f t="shared" si="118"/>
        <v>0.99855106667314386</v>
      </c>
      <c r="AG334" s="799">
        <f t="shared" si="124"/>
        <v>1</v>
      </c>
      <c r="AH334" s="176">
        <f t="shared" si="119"/>
        <v>7</v>
      </c>
      <c r="AI334" s="224">
        <f t="shared" si="120"/>
        <v>1.9985510666731439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45978</v>
      </c>
      <c r="B335" s="409">
        <f>IF(t&gt;Tmaj,'2024'!Wh/'2024'!Env_an*'2025'!Env_an,0.001*'[13]mon-tableau (3)'!$B$251)</f>
        <v>13.793641368006332</v>
      </c>
      <c r="C335" s="829"/>
      <c r="D335" s="391">
        <f t="shared" ref="D335:D379" si="127">Wh/(1-Ppv)</f>
        <v>14.465624853602865</v>
      </c>
      <c r="E335" s="383">
        <f t="shared" si="125"/>
        <v>14.935389582763193</v>
      </c>
      <c r="F335" s="383">
        <f t="shared" ref="F335:F379" si="128">Wh_sa/(1-Pvg*MEDIAN((-Sdif+Wh/Env_an)/Csdif,0,1))</f>
        <v>14.937276640448825</v>
      </c>
      <c r="G335" s="110">
        <f t="shared" si="126"/>
        <v>0.45918158203836001</v>
      </c>
      <c r="H335" s="412" t="b">
        <f>Wh_hp&gt;='2024'!Maxi_hp</f>
        <v>0</v>
      </c>
      <c r="I335" s="388">
        <f>IF(H335,Wh_hp,'2024'!Maxi_hp)</f>
        <v>24.838157791635798</v>
      </c>
      <c r="J335" s="85">
        <f>IF(H335,An,'2024'!An_max)</f>
        <v>2020</v>
      </c>
      <c r="K335" s="197">
        <f t="shared" ref="K335:K379" si="129">t</f>
        <v>45978</v>
      </c>
      <c r="L335" s="147">
        <f>IF(t&lt;Tvie,1-EXP((T0-t)*PertePVj)+'2024'!Pspv,1-EXP((T0-t)*PertePVj)+Pspv)</f>
        <v>4.6453816713570184E-2</v>
      </c>
      <c r="M335" s="832"/>
      <c r="N335" s="832"/>
      <c r="O335" s="48">
        <f>IF(t&lt;Tnet,'2024'!Resal+('2024'!Salim-'2024'!Resal)*(1-EXP(('2024'!Tnet-t)/('2024'!Tau_j))),Resal+(Salim-Resal)*(1-EXP((Tnet-t)/(Tau_j))))*Salcycl</f>
        <v>3.1453128594816158E-2</v>
      </c>
      <c r="P335" s="169">
        <f>(INDEX(Models!$BJ335:$BT335,,T335)*(1-R335)+INDEX(Models!$BJ335:$BT335,,T335+1)*R335-ERP_i)*Q335*Ramure*Pc/MaxiM</f>
        <v>5.5485839174938833E-4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0.99858028128713805</v>
      </c>
      <c r="S335" s="799">
        <f t="shared" ref="S335:S379" si="132">INDEX(Echel_vg,T335)</f>
        <v>1</v>
      </c>
      <c r="T335" s="176">
        <f t="shared" ref="T335:T379" si="133">MIN(MATCH(Hp_vg,Echel_vg),10)</f>
        <v>7</v>
      </c>
      <c r="U335" s="250">
        <f t="shared" ref="U335:U379" si="134">IF(OR(t&lt;Ttai,Notai),Hdd+PousH*Croivg,Hdtf+PousH*(Croivg-Croi_tai))</f>
        <v>1.998580281287138</v>
      </c>
      <c r="V335" s="382">
        <f t="shared" ref="V335:V379" si="135">MaxiM*(1-Ppv)*(1-Pvg)*(1-Psa)</f>
        <v>30.026748072358249</v>
      </c>
      <c r="W335" s="400">
        <f t="shared" ref="W335:W379" si="136">Wh*(A335&gt;Tmaj)</f>
        <v>13.793641368006332</v>
      </c>
      <c r="X335" s="157">
        <f t="shared" ref="X335:X379" si="137">t</f>
        <v>45978</v>
      </c>
      <c r="Y335" s="383">
        <f t="shared" ref="Y335:Y379" si="138">Wh_pvt_s*(1-Ppv)</f>
        <v>13.373214582327426</v>
      </c>
      <c r="Z335" s="383">
        <f t="shared" ref="Z335:Z379" si="139">Wh_sa_s*(1-Psa_s)</f>
        <v>14.024716177077213</v>
      </c>
      <c r="AA335" s="384">
        <f t="shared" ref="AA335:AA379" si="140">Wh_hp*(1-Pvg_s*MEDIAN((-Sdif+Wh/Env_an)/Csdif,0,1))</f>
        <v>14.935389582763193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6.0974198271800041E-2</v>
      </c>
      <c r="AD335" s="230">
        <f>(INDEX(Models!$BJ335:$BT335,,AH335)*(1-AF335)+INDEX(Models!$BJ335:$BT335,,AH335+1)*AF335-ERP_i)*AE335*Ramure*Pc/MaxiM</f>
        <v>5.5485839174938833E-4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0.99858028128713805</v>
      </c>
      <c r="AG335" s="799">
        <f t="shared" si="124"/>
        <v>1</v>
      </c>
      <c r="AH335" s="176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1.998580281287138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45979</v>
      </c>
      <c r="B336" s="409">
        <f>IF(t&gt;Tmaj,'2024'!Wh/'2024'!Env_an*'2025'!Env_an,0.001*'[13]mon-tableau (3)'!$B$252)</f>
        <v>17.585485233577998</v>
      </c>
      <c r="C336" s="829"/>
      <c r="D336" s="391">
        <f t="shared" si="127"/>
        <v>18.442549055400267</v>
      </c>
      <c r="E336" s="383">
        <f t="shared" si="125"/>
        <v>19.043042256416612</v>
      </c>
      <c r="F336" s="383">
        <f t="shared" si="128"/>
        <v>19.047871153646213</v>
      </c>
      <c r="G336" s="110">
        <f t="shared" si="126"/>
        <v>0.59067916151157418</v>
      </c>
      <c r="H336" s="412" t="b">
        <f>Wh_hp&gt;='2024'!Maxi_hp</f>
        <v>0</v>
      </c>
      <c r="I336" s="388">
        <f>IF(H336,Wh_hp,'2024'!Maxi_hp)</f>
        <v>29.745287536442678</v>
      </c>
      <c r="J336" s="85">
        <f>IF(H336,An,'2024'!An_max)</f>
        <v>2020</v>
      </c>
      <c r="K336" s="197">
        <f t="shared" si="129"/>
        <v>45979</v>
      </c>
      <c r="L336" s="147">
        <f>IF(t&lt;Tvie,1-EXP((T0-t)*PertePVj)+'2024'!Pspv,1-EXP((T0-t)*PertePVj)+Pspv)</f>
        <v>4.6472091208634048E-2</v>
      </c>
      <c r="M336" s="832"/>
      <c r="N336" s="832"/>
      <c r="O336" s="48">
        <f>IF(t&lt;Tnet,'2024'!Resal+('2024'!Salim-'2024'!Resal)*(1-EXP(('2024'!Tnet-t)/('2024'!Tau_j))),Resal+(Salim-Resal)*(1-EXP((Tnet-t)/(Tau_j))))*Salcycl</f>
        <v>3.1533469964023661E-2</v>
      </c>
      <c r="P336" s="169">
        <f>(INDEX(Models!$BJ336:$BT336,,T336)*(1-R336)+INDEX(Models!$BJ336:$BT336,,T336+1)*R336-ERP_i)*Q336*Ramure*Pc/MaxiM</f>
        <v>6.1005771799030708E-4</v>
      </c>
      <c r="Q336" s="304">
        <f t="shared" si="130"/>
        <v>0.6</v>
      </c>
      <c r="R336" s="177">
        <f t="shared" si="131"/>
        <v>0.99860832284580137</v>
      </c>
      <c r="S336" s="799">
        <f t="shared" si="132"/>
        <v>1</v>
      </c>
      <c r="T336" s="176">
        <f t="shared" si="133"/>
        <v>7</v>
      </c>
      <c r="U336" s="250">
        <f t="shared" si="134"/>
        <v>1.9986083228458014</v>
      </c>
      <c r="V336" s="382">
        <f t="shared" si="135"/>
        <v>29.761018824430852</v>
      </c>
      <c r="W336" s="400">
        <f t="shared" si="136"/>
        <v>17.585485233577998</v>
      </c>
      <c r="X336" s="157">
        <f t="shared" si="137"/>
        <v>45979</v>
      </c>
      <c r="Y336" s="383">
        <f t="shared" si="138"/>
        <v>17.05036501091034</v>
      </c>
      <c r="Z336" s="383">
        <f t="shared" si="139"/>
        <v>17.881348677588626</v>
      </c>
      <c r="AA336" s="384">
        <f t="shared" si="140"/>
        <v>19.043042256416612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6.1003570920321368E-2</v>
      </c>
      <c r="AD336" s="230">
        <f>(INDEX(Models!$BJ336:$BT336,,AH336)*(1-AF336)+INDEX(Models!$BJ336:$BT336,,AH336+1)*AF336-ERP_i)*AE336*Ramure*Pc/MaxiM</f>
        <v>6.1005771799030708E-4</v>
      </c>
      <c r="AE336" s="304">
        <f t="shared" si="142"/>
        <v>0.6</v>
      </c>
      <c r="AF336" s="177">
        <f t="shared" si="143"/>
        <v>0.99860832284580137</v>
      </c>
      <c r="AG336" s="799">
        <f t="shared" ref="AG336:AG379" si="149">INDEX(Echel_vg,AH336)</f>
        <v>1</v>
      </c>
      <c r="AH336" s="176">
        <f t="shared" si="144"/>
        <v>7</v>
      </c>
      <c r="AI336" s="224">
        <f t="shared" si="145"/>
        <v>1.9986083228458014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45980</v>
      </c>
      <c r="B337" s="409">
        <f>IF(t&gt;Tmaj,'2024'!Wh/'2024'!Env_an*'2025'!Env_an,0.001*'[13]mon-tableau (3)'!$B$253)</f>
        <v>6.9387220399375131</v>
      </c>
      <c r="C337" s="829"/>
      <c r="D337" s="391">
        <f t="shared" si="127"/>
        <v>7.2770340097399604</v>
      </c>
      <c r="E337" s="383">
        <f t="shared" si="125"/>
        <v>7.5146010770896874</v>
      </c>
      <c r="F337" s="383">
        <f t="shared" si="128"/>
        <v>7.5146010770896874</v>
      </c>
      <c r="G337" s="110">
        <f t="shared" si="126"/>
        <v>0.23505601006252702</v>
      </c>
      <c r="H337" s="412" t="b">
        <f>Wh_hp&gt;='2024'!Maxi_hp</f>
        <v>0</v>
      </c>
      <c r="I337" s="388">
        <f>IF(H337,Wh_hp,'2024'!Maxi_hp)</f>
        <v>31.924931644225545</v>
      </c>
      <c r="J337" s="85">
        <f>IF(H337,An,'2024'!An_max)</f>
        <v>2020</v>
      </c>
      <c r="K337" s="197">
        <f t="shared" si="129"/>
        <v>45980</v>
      </c>
      <c r="L337" s="147">
        <f>IF(t&lt;Tvie,1-EXP((T0-t)*PertePVj)+'2024'!Pspv,1-EXP((T0-t)*PertePVj)+Pspv)</f>
        <v>4.6490365353471286E-2</v>
      </c>
      <c r="M337" s="832"/>
      <c r="N337" s="832"/>
      <c r="O337" s="48">
        <f>IF(t&lt;Tnet,'2024'!Resal+('2024'!Salim-'2024'!Resal)*(1-EXP(('2024'!Tnet-t)/('2024'!Tau_j))),Resal+(Salim-Resal)*(1-EXP((Tnet-t)/(Tau_j))))*Salcycl</f>
        <v>3.1614062398337472E-2</v>
      </c>
      <c r="P337" s="169">
        <f>(INDEX(Models!$BJ337:$BT337,,T337)*(1-R337)+INDEX(Models!$BJ337:$BT337,,T337+1)*R337-ERP_i)*Q337*Ramure*Pc/MaxiM</f>
        <v>6.6912473530142066E-4</v>
      </c>
      <c r="Q337" s="304">
        <f t="shared" si="130"/>
        <v>0.6</v>
      </c>
      <c r="R337" s="177">
        <f t="shared" si="131"/>
        <v>0.99863523832697187</v>
      </c>
      <c r="S337" s="799">
        <f t="shared" si="132"/>
        <v>1</v>
      </c>
      <c r="T337" s="176">
        <f t="shared" si="133"/>
        <v>7</v>
      </c>
      <c r="U337" s="250">
        <f t="shared" si="134"/>
        <v>1.9986352383269719</v>
      </c>
      <c r="V337" s="382">
        <f t="shared" si="135"/>
        <v>29.499688893488329</v>
      </c>
      <c r="W337" s="400">
        <f t="shared" si="136"/>
        <v>6.9387220399375131</v>
      </c>
      <c r="X337" s="157">
        <f t="shared" si="137"/>
        <v>45980</v>
      </c>
      <c r="Y337" s="383">
        <f t="shared" si="138"/>
        <v>6.7279230077961101</v>
      </c>
      <c r="Z337" s="383">
        <f t="shared" si="139"/>
        <v>7.0559570279436015</v>
      </c>
      <c r="AA337" s="384">
        <f t="shared" si="140"/>
        <v>7.5146010770896874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6.103371881501312E-2</v>
      </c>
      <c r="AD337" s="230">
        <f>(INDEX(Models!$BJ337:$BT337,,AH337)*(1-AF337)+INDEX(Models!$BJ337:$BT337,,AH337+1)*AF337-ERP_i)*AE337*Ramure*Pc/MaxiM</f>
        <v>6.6912473530142066E-4</v>
      </c>
      <c r="AE337" s="304">
        <f t="shared" si="142"/>
        <v>0.6</v>
      </c>
      <c r="AF337" s="177">
        <f t="shared" si="143"/>
        <v>0.99863523832697187</v>
      </c>
      <c r="AG337" s="799">
        <f t="shared" si="149"/>
        <v>1</v>
      </c>
      <c r="AH337" s="176">
        <f t="shared" si="144"/>
        <v>7</v>
      </c>
      <c r="AI337" s="224">
        <f t="shared" si="145"/>
        <v>1.9986352383269719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45981</v>
      </c>
      <c r="B338" s="409">
        <f>IF(t&gt;Tmaj,'2024'!Wh/'2024'!Env_an*'2025'!Env_an,0.001*'[13]mon-tableau (3)'!$B$254)</f>
        <v>17.850438207290566</v>
      </c>
      <c r="C338" s="829"/>
      <c r="D338" s="391">
        <f t="shared" si="127"/>
        <v>18.721132608209288</v>
      </c>
      <c r="E338" s="383">
        <f t="shared" si="125"/>
        <v>19.333919817798673</v>
      </c>
      <c r="F338" s="383">
        <f t="shared" si="128"/>
        <v>19.340190555263728</v>
      </c>
      <c r="G338" s="110">
        <f t="shared" si="126"/>
        <v>0.61015482845380609</v>
      </c>
      <c r="H338" s="412" t="b">
        <f>Wh_hp&gt;='2024'!Maxi_hp</f>
        <v>0</v>
      </c>
      <c r="I338" s="388">
        <f>IF(H338,Wh_hp,'2024'!Maxi_hp)</f>
        <v>32.554516773217912</v>
      </c>
      <c r="J338" s="85">
        <f>IF(H338,An,'2024'!An_max)</f>
        <v>2018</v>
      </c>
      <c r="K338" s="197">
        <f t="shared" si="129"/>
        <v>45981</v>
      </c>
      <c r="L338" s="147">
        <f>IF(t&lt;Tvie,1-EXP((T0-t)*PertePVj)+'2024'!Pspv,1-EXP((T0-t)*PertePVj)+Pspv)</f>
        <v>4.6508639148088782E-2</v>
      </c>
      <c r="M338" s="832"/>
      <c r="N338" s="832"/>
      <c r="O338" s="48">
        <f>IF(t&lt;Tnet,'2024'!Resal+('2024'!Salim-'2024'!Resal)*(1-EXP(('2024'!Tnet-t)/('2024'!Tau_j))),Resal+(Salim-Resal)*(1-EXP((Tnet-t)/(Tau_j))))*Salcycl</f>
        <v>3.169492867272871E-2</v>
      </c>
      <c r="P338" s="169">
        <f>(INDEX(Models!$BJ338:$BT338,,T338)*(1-R338)+INDEX(Models!$BJ338:$BT338,,T338+1)*R338-ERP_i)*Q338*Ramure*Pc/MaxiM</f>
        <v>7.3118884619343826E-4</v>
      </c>
      <c r="Q338" s="304">
        <f t="shared" si="130"/>
        <v>0.6</v>
      </c>
      <c r="R338" s="177">
        <f t="shared" si="131"/>
        <v>0.99866107283691097</v>
      </c>
      <c r="S338" s="799">
        <f t="shared" si="132"/>
        <v>1</v>
      </c>
      <c r="T338" s="176">
        <f t="shared" si="133"/>
        <v>7</v>
      </c>
      <c r="U338" s="250">
        <f t="shared" si="134"/>
        <v>1.998661072836911</v>
      </c>
      <c r="V338" s="382">
        <f t="shared" si="135"/>
        <v>29.243678305308062</v>
      </c>
      <c r="W338" s="400">
        <f t="shared" si="136"/>
        <v>17.850438207290566</v>
      </c>
      <c r="X338" s="157">
        <f t="shared" si="137"/>
        <v>45981</v>
      </c>
      <c r="Y338" s="383">
        <f t="shared" si="138"/>
        <v>17.309014907855804</v>
      </c>
      <c r="Z338" s="383">
        <f t="shared" si="139"/>
        <v>18.153300196019401</v>
      </c>
      <c r="AA338" s="384">
        <f t="shared" si="140"/>
        <v>19.333919817798673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6.1064679739304746E-2</v>
      </c>
      <c r="AD338" s="230">
        <f>(INDEX(Models!$BJ338:$BT338,,AH338)*(1-AF338)+INDEX(Models!$BJ338:$BT338,,AH338+1)*AF338-ERP_i)*AE338*Ramure*Pc/MaxiM</f>
        <v>7.3118884619343826E-4</v>
      </c>
      <c r="AE338" s="304">
        <f t="shared" si="142"/>
        <v>0.6</v>
      </c>
      <c r="AF338" s="177">
        <f t="shared" si="143"/>
        <v>0.99866107283691097</v>
      </c>
      <c r="AG338" s="799">
        <f t="shared" si="149"/>
        <v>1</v>
      </c>
      <c r="AH338" s="176">
        <f t="shared" si="144"/>
        <v>7</v>
      </c>
      <c r="AI338" s="224">
        <f t="shared" si="145"/>
        <v>1.998661072836911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45982</v>
      </c>
      <c r="B339" s="409">
        <f>IF(t&gt;Tmaj,'2024'!Wh/'2024'!Env_an*'2025'!Env_an,0.001*'[13]mon-tableau (3)'!$B$255)</f>
        <v>3.1895918733484216</v>
      </c>
      <c r="C339" s="829"/>
      <c r="D339" s="391">
        <f t="shared" si="127"/>
        <v>3.3452353458878652</v>
      </c>
      <c r="E339" s="383">
        <f t="shared" si="125"/>
        <v>3.4550224497973474</v>
      </c>
      <c r="F339" s="383">
        <f t="shared" si="128"/>
        <v>3.4550224497973474</v>
      </c>
      <c r="G339" s="110">
        <f t="shared" si="126"/>
        <v>0.10992154639383532</v>
      </c>
      <c r="H339" s="412" t="b">
        <f>Wh_hp&gt;='2024'!Maxi_hp</f>
        <v>0</v>
      </c>
      <c r="I339" s="388">
        <f>IF(H339,Wh_hp,'2024'!Maxi_hp)</f>
        <v>29.917682231011785</v>
      </c>
      <c r="J339" s="85">
        <f>IF(H339,An,'2024'!An_max)</f>
        <v>2018</v>
      </c>
      <c r="K339" s="197">
        <f t="shared" si="129"/>
        <v>45982</v>
      </c>
      <c r="L339" s="147">
        <f>IF(t&lt;Tvie,1-EXP((T0-t)*PertePVj)+'2024'!Pspv,1-EXP((T0-t)*PertePVj)+Pspv)</f>
        <v>4.6526912592493197E-2</v>
      </c>
      <c r="M339" s="832"/>
      <c r="N339" s="832"/>
      <c r="O339" s="48">
        <f>IF(t&lt;Tnet,'2024'!Resal+('2024'!Salim-'2024'!Resal)*(1-EXP(('2024'!Tnet-t)/('2024'!Tau_j))),Resal+(Salim-Resal)*(1-EXP((Tnet-t)/(Tau_j))))*Salcycl</f>
        <v>3.1776089882114049E-2</v>
      </c>
      <c r="P339" s="169">
        <f>(INDEX(Models!$BJ339:$BT339,,T339)*(1-R339)+INDEX(Models!$BJ339:$BT339,,T339+1)*R339-ERP_i)*Q339*Ramure*Pc/MaxiM</f>
        <v>7.9420430304536903E-4</v>
      </c>
      <c r="Q339" s="304">
        <f t="shared" si="130"/>
        <v>0.6</v>
      </c>
      <c r="R339" s="177">
        <f t="shared" si="131"/>
        <v>0.99868586968409612</v>
      </c>
      <c r="S339" s="799">
        <f t="shared" si="132"/>
        <v>1</v>
      </c>
      <c r="T339" s="176">
        <f t="shared" si="133"/>
        <v>7</v>
      </c>
      <c r="U339" s="250">
        <f t="shared" si="134"/>
        <v>1.9986858696840961</v>
      </c>
      <c r="V339" s="382">
        <f t="shared" si="135"/>
        <v>28.993939680750238</v>
      </c>
      <c r="W339" s="400">
        <f t="shared" si="136"/>
        <v>3.1895918733484216</v>
      </c>
      <c r="X339" s="157">
        <f t="shared" si="137"/>
        <v>45982</v>
      </c>
      <c r="Y339" s="383">
        <f t="shared" si="138"/>
        <v>3.0930025384712478</v>
      </c>
      <c r="Z339" s="383">
        <f t="shared" si="139"/>
        <v>3.2439327122290584</v>
      </c>
      <c r="AA339" s="384">
        <f t="shared" si="140"/>
        <v>3.4550224497973474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6.1096487978152043E-2</v>
      </c>
      <c r="AD339" s="230">
        <f>(INDEX(Models!$BJ339:$BT339,,AH339)*(1-AF339)+INDEX(Models!$BJ339:$BT339,,AH339+1)*AF339-ERP_i)*AE339*Ramure*Pc/MaxiM</f>
        <v>7.9420430304536903E-4</v>
      </c>
      <c r="AE339" s="304">
        <f t="shared" si="142"/>
        <v>0.6</v>
      </c>
      <c r="AF339" s="177">
        <f t="shared" si="143"/>
        <v>0.99868586968409612</v>
      </c>
      <c r="AG339" s="799">
        <f t="shared" si="149"/>
        <v>1</v>
      </c>
      <c r="AH339" s="176">
        <f t="shared" si="144"/>
        <v>7</v>
      </c>
      <c r="AI339" s="224">
        <f t="shared" si="145"/>
        <v>1.9986858696840961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45983</v>
      </c>
      <c r="B340" s="409">
        <f>IF(t&gt;Tmaj,'2024'!Wh/'2024'!Env_an*'2025'!Env_an,0.001*'[13]mon-tableau (3)'!$B$256)</f>
        <v>8.1721266330397349</v>
      </c>
      <c r="C340" s="829"/>
      <c r="D340" s="391">
        <f t="shared" si="127"/>
        <v>8.5710686131732547</v>
      </c>
      <c r="E340" s="383">
        <f t="shared" si="125"/>
        <v>8.8531070496220181</v>
      </c>
      <c r="F340" s="383">
        <f t="shared" si="128"/>
        <v>8.8531070496220181</v>
      </c>
      <c r="G340" s="110">
        <f t="shared" si="126"/>
        <v>0.28399047459498189</v>
      </c>
      <c r="H340" s="412" t="b">
        <f>Wh_hp&gt;='2024'!Maxi_hp</f>
        <v>0</v>
      </c>
      <c r="I340" s="388">
        <f>IF(H340,Wh_hp,'2024'!Maxi_hp)</f>
        <v>32.069171926586371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4.6545185686691193E-2</v>
      </c>
      <c r="M340" s="832"/>
      <c r="N340" s="832"/>
      <c r="O340" s="48">
        <f>IF(t&lt;Tnet,'2024'!Resal+('2024'!Salim-'2024'!Resal)*(1-EXP(('2024'!Tnet-t)/('2024'!Tau_j))),Resal+(Salim-Resal)*(1-EXP((Tnet-t)/(Tau_j))))*Salcycl</f>
        <v>3.1857565357328976E-2</v>
      </c>
      <c r="P340" s="169">
        <f>(INDEX(Models!$BJ340:$BT340,,T340)*(1-R340)+INDEX(Models!$BJ340:$BT340,,T340+1)*R340-ERP_i)*Q340*Ramure*Pc/MaxiM</f>
        <v>8.5815589854352039E-4</v>
      </c>
      <c r="Q340" s="304">
        <f t="shared" si="130"/>
        <v>0.6</v>
      </c>
      <c r="R340" s="177">
        <f t="shared" si="131"/>
        <v>0.99870967045016457</v>
      </c>
      <c r="S340" s="799">
        <f t="shared" si="132"/>
        <v>1</v>
      </c>
      <c r="T340" s="176">
        <f t="shared" si="133"/>
        <v>7</v>
      </c>
      <c r="U340" s="250">
        <f t="shared" si="134"/>
        <v>1.9987096704501646</v>
      </c>
      <c r="V340" s="382">
        <f t="shared" si="135"/>
        <v>28.751364587177683</v>
      </c>
      <c r="W340" s="400">
        <f t="shared" si="136"/>
        <v>8.1721266330397349</v>
      </c>
      <c r="X340" s="157">
        <f t="shared" si="137"/>
        <v>45983</v>
      </c>
      <c r="Y340" s="383">
        <f t="shared" si="138"/>
        <v>7.9250438840456523</v>
      </c>
      <c r="Z340" s="383">
        <f t="shared" si="139"/>
        <v>8.3119239266240186</v>
      </c>
      <c r="AA340" s="384">
        <f t="shared" si="140"/>
        <v>8.8531070496220181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6.1129174194398291E-2</v>
      </c>
      <c r="AD340" s="230">
        <f>(INDEX(Models!$BJ340:$BT340,,AH340)*(1-AF340)+INDEX(Models!$BJ340:$BT340,,AH340+1)*AF340-ERP_i)*AE340*Ramure*Pc/MaxiM</f>
        <v>8.5815589854352039E-4</v>
      </c>
      <c r="AE340" s="304">
        <f t="shared" si="142"/>
        <v>0.6</v>
      </c>
      <c r="AF340" s="177">
        <f t="shared" si="143"/>
        <v>0.99870967045016457</v>
      </c>
      <c r="AG340" s="799">
        <f t="shared" si="149"/>
        <v>1</v>
      </c>
      <c r="AH340" s="176">
        <f t="shared" si="144"/>
        <v>7</v>
      </c>
      <c r="AI340" s="224">
        <f t="shared" si="145"/>
        <v>1.9987096704501646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45984</v>
      </c>
      <c r="B341" s="409">
        <f>IF(t&gt;Tmaj,'2024'!Wh/'2024'!Env_an*'2025'!Env_an,0.001*'[13]mon-tableau (3)'!$B$257)</f>
        <v>13.469715343684211</v>
      </c>
      <c r="C341" s="829"/>
      <c r="D341" s="391">
        <f t="shared" si="127"/>
        <v>14.127542585596427</v>
      </c>
      <c r="E341" s="383">
        <f t="shared" si="125"/>
        <v>14.593654762541336</v>
      </c>
      <c r="F341" s="383">
        <f t="shared" si="128"/>
        <v>14.596971917869283</v>
      </c>
      <c r="G341" s="110">
        <f t="shared" si="126"/>
        <v>0.47201370768153555</v>
      </c>
      <c r="H341" s="412" t="b">
        <f>Wh_hp&gt;='2024'!Maxi_hp</f>
        <v>0</v>
      </c>
      <c r="I341" s="388">
        <f>IF(H341,Wh_hp,'2024'!Maxi_hp)</f>
        <v>32.348955390885784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4.6563458430689542E-2</v>
      </c>
      <c r="M341" s="832"/>
      <c r="N341" s="832"/>
      <c r="O341" s="48">
        <f>IF(t&lt;Tnet,'2024'!Resal+('2024'!Salim-'2024'!Resal)*(1-EXP(('2024'!Tnet-t)/('2024'!Tau_j))),Resal+(Salim-Resal)*(1-EXP((Tnet-t)/(Tau_j))))*Salcycl</f>
        <v>3.1939372592348574E-2</v>
      </c>
      <c r="P341" s="169">
        <f>(INDEX(Models!$BJ341:$BT341,,T341)*(1-R341)+INDEX(Models!$BJ341:$BT341,,T341+1)*R341-ERP_i)*Q341*Ramure*Pc/MaxiM</f>
        <v>9.2301526500676047E-4</v>
      </c>
      <c r="Q341" s="304">
        <f t="shared" si="130"/>
        <v>0.6</v>
      </c>
      <c r="R341" s="177">
        <f t="shared" si="131"/>
        <v>0.99873251505811433</v>
      </c>
      <c r="S341" s="799">
        <f t="shared" si="132"/>
        <v>1</v>
      </c>
      <c r="T341" s="176">
        <f t="shared" si="133"/>
        <v>7</v>
      </c>
      <c r="U341" s="250">
        <f t="shared" si="134"/>
        <v>1.9987325150581143</v>
      </c>
      <c r="V341" s="382">
        <f t="shared" si="135"/>
        <v>28.516844380399021</v>
      </c>
      <c r="W341" s="400">
        <f t="shared" si="136"/>
        <v>13.469715343684211</v>
      </c>
      <c r="X341" s="157">
        <f t="shared" si="137"/>
        <v>45984</v>
      </c>
      <c r="Y341" s="383">
        <f t="shared" si="138"/>
        <v>13.063097441479728</v>
      </c>
      <c r="Z341" s="383">
        <f t="shared" si="139"/>
        <v>13.701066481025052</v>
      </c>
      <c r="AA341" s="384">
        <f t="shared" si="140"/>
        <v>14.593654762541336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6.1162765327802467E-2</v>
      </c>
      <c r="AD341" s="230">
        <f>(INDEX(Models!$BJ341:$BT341,,AH341)*(1-AF341)+INDEX(Models!$BJ341:$BT341,,AH341+1)*AF341-ERP_i)*AE341*Ramure*Pc/MaxiM</f>
        <v>9.2301526500676047E-4</v>
      </c>
      <c r="AE341" s="304">
        <f t="shared" si="142"/>
        <v>0.6</v>
      </c>
      <c r="AF341" s="177">
        <f t="shared" si="143"/>
        <v>0.99873251505811433</v>
      </c>
      <c r="AG341" s="799">
        <f t="shared" si="149"/>
        <v>1</v>
      </c>
      <c r="AH341" s="176">
        <f t="shared" si="144"/>
        <v>7</v>
      </c>
      <c r="AI341" s="224">
        <f t="shared" si="145"/>
        <v>1.9987325150581143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45985</v>
      </c>
      <c r="B342" s="409">
        <f>IF(t&gt;Tmaj,'2024'!Wh/'2024'!Env_an*'2025'!Env_an,0.001*'[13]mon-tableau (3)'!$B$258)</f>
        <v>14.442121295162902</v>
      </c>
      <c r="C342" s="829"/>
      <c r="D342" s="391">
        <f t="shared" si="127"/>
        <v>15.147728716853861</v>
      </c>
      <c r="E342" s="383">
        <f t="shared" si="125"/>
        <v>15.64882809095452</v>
      </c>
      <c r="F342" s="383">
        <f t="shared" si="128"/>
        <v>15.653481904941856</v>
      </c>
      <c r="G342" s="110">
        <f t="shared" si="126"/>
        <v>0.5101267067519536</v>
      </c>
      <c r="H342" s="412" t="b">
        <f>Wh_hp&gt;='2024'!Maxi_hp</f>
        <v>0</v>
      </c>
      <c r="I342" s="388">
        <f>IF(H342,Wh_hp,'2024'!Maxi_hp)</f>
        <v>29.959800379951087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4.6581730824494905E-2</v>
      </c>
      <c r="M342" s="832"/>
      <c r="N342" s="832"/>
      <c r="O342" s="48">
        <f>IF(t&lt;Tnet,'2024'!Resal+('2024'!Salim-'2024'!Resal)*(1-EXP(('2024'!Tnet-t)/('2024'!Tau_j))),Resal+(Salim-Resal)*(1-EXP((Tnet-t)/(Tau_j))))*Salcycl</f>
        <v>3.2021527183259742E-2</v>
      </c>
      <c r="P342" s="169">
        <f>(INDEX(Models!$BJ342:$BT342,,T342)*(1-R342)+INDEX(Models!$BJ342:$BT342,,T342+1)*R342-ERP_i)*Q342*Ramure*Pc/MaxiM</f>
        <v>9.8874823649347217E-4</v>
      </c>
      <c r="Q342" s="304">
        <f t="shared" si="130"/>
        <v>0.6</v>
      </c>
      <c r="R342" s="177">
        <f t="shared" si="131"/>
        <v>0.99875444183786244</v>
      </c>
      <c r="S342" s="799">
        <f t="shared" si="132"/>
        <v>1</v>
      </c>
      <c r="T342" s="176">
        <f t="shared" si="133"/>
        <v>7</v>
      </c>
      <c r="U342" s="250">
        <f t="shared" si="134"/>
        <v>1.9987544418378624</v>
      </c>
      <c r="V342" s="382">
        <f t="shared" si="135"/>
        <v>28.291269965508526</v>
      </c>
      <c r="W342" s="400">
        <f t="shared" si="136"/>
        <v>14.442121295162902</v>
      </c>
      <c r="X342" s="157">
        <f t="shared" si="137"/>
        <v>45985</v>
      </c>
      <c r="Y342" s="383">
        <f t="shared" si="138"/>
        <v>14.006822537876195</v>
      </c>
      <c r="Z342" s="383">
        <f t="shared" si="139"/>
        <v>14.691162305909014</v>
      </c>
      <c r="AA342" s="384">
        <f t="shared" si="140"/>
        <v>15.64882809095452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6.1197284517366848E-2</v>
      </c>
      <c r="AD342" s="230">
        <f>(INDEX(Models!$BJ342:$BT342,,AH342)*(1-AF342)+INDEX(Models!$BJ342:$BT342,,AH342+1)*AF342-ERP_i)*AE342*Ramure*Pc/MaxiM</f>
        <v>9.8874823649347217E-4</v>
      </c>
      <c r="AE342" s="304">
        <f t="shared" si="142"/>
        <v>0.6</v>
      </c>
      <c r="AF342" s="177">
        <f t="shared" si="143"/>
        <v>0.99875444183786244</v>
      </c>
      <c r="AG342" s="799">
        <f t="shared" si="149"/>
        <v>1</v>
      </c>
      <c r="AH342" s="176">
        <f t="shared" si="144"/>
        <v>7</v>
      </c>
      <c r="AI342" s="224">
        <f t="shared" si="145"/>
        <v>1.9987544418378624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45986</v>
      </c>
      <c r="B343" s="409">
        <f>IF(t&gt;Tmaj,'2024'!Wh/'2024'!Env_an*'2025'!Env_an,0.001*'[13]mon-tableau (3)'!$B$259)</f>
        <v>4.6029492070755227</v>
      </c>
      <c r="C343" s="829"/>
      <c r="D343" s="391">
        <f t="shared" si="127"/>
        <v>4.8279307960169691</v>
      </c>
      <c r="E343" s="383">
        <f t="shared" si="125"/>
        <v>4.9880679426338119</v>
      </c>
      <c r="F343" s="383">
        <f t="shared" si="128"/>
        <v>4.9880679426338119</v>
      </c>
      <c r="G343" s="110">
        <f t="shared" si="126"/>
        <v>0.1637757632446685</v>
      </c>
      <c r="H343" s="412" t="b">
        <f>Wh_hp&gt;='2024'!Maxi_hp</f>
        <v>0</v>
      </c>
      <c r="I343" s="388">
        <f>IF(H343,Wh_hp,'2024'!Maxi_hp)</f>
        <v>29.033907399331543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4.6600002868113943E-2</v>
      </c>
      <c r="M343" s="832"/>
      <c r="N343" s="832"/>
      <c r="O343" s="48">
        <f>IF(t&lt;Tnet,'2024'!Resal+('2024'!Salim-'2024'!Resal)*(1-EXP(('2024'!Tnet-t)/('2024'!Tau_j))),Resal+(Salim-Resal)*(1-EXP((Tnet-t)/(Tau_j))))*Salcycl</f>
        <v>3.2104042779394625E-2</v>
      </c>
      <c r="P343" s="169">
        <f>(INDEX(Models!$BJ343:$BT343,,T343)*(1-R343)+INDEX(Models!$BJ343:$BT343,,T343+1)*R343-ERP_i)*Q343*Ramure*Pc/MaxiM</f>
        <v>1.0553163579252692E-3</v>
      </c>
      <c r="Q343" s="304">
        <f t="shared" si="130"/>
        <v>0.6</v>
      </c>
      <c r="R343" s="177">
        <f t="shared" si="131"/>
        <v>0.99877548758925982</v>
      </c>
      <c r="S343" s="799">
        <f t="shared" si="132"/>
        <v>1</v>
      </c>
      <c r="T343" s="176">
        <f t="shared" si="133"/>
        <v>7</v>
      </c>
      <c r="U343" s="250">
        <f t="shared" si="134"/>
        <v>1.9987754875892598</v>
      </c>
      <c r="V343" s="382">
        <f t="shared" si="135"/>
        <v>28.075531741613066</v>
      </c>
      <c r="W343" s="400">
        <f t="shared" si="136"/>
        <v>4.6029492070755227</v>
      </c>
      <c r="X343" s="157">
        <f t="shared" si="137"/>
        <v>45986</v>
      </c>
      <c r="Y343" s="383">
        <f t="shared" si="138"/>
        <v>4.4644240240481903</v>
      </c>
      <c r="Z343" s="383">
        <f t="shared" si="139"/>
        <v>4.682634820094945</v>
      </c>
      <c r="AA343" s="384">
        <f t="shared" si="140"/>
        <v>4.9880679426338119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6.1232751047410737E-2</v>
      </c>
      <c r="AD343" s="230">
        <f>(INDEX(Models!$BJ343:$BT343,,AH343)*(1-AF343)+INDEX(Models!$BJ343:$BT343,,AH343+1)*AF343-ERP_i)*AE343*Ramure*Pc/MaxiM</f>
        <v>1.0553163579252692E-3</v>
      </c>
      <c r="AE343" s="304">
        <f t="shared" si="142"/>
        <v>0.6</v>
      </c>
      <c r="AF343" s="177">
        <f t="shared" si="143"/>
        <v>0.99877548758925982</v>
      </c>
      <c r="AG343" s="799">
        <f t="shared" si="149"/>
        <v>1</v>
      </c>
      <c r="AH343" s="176">
        <f t="shared" si="144"/>
        <v>7</v>
      </c>
      <c r="AI343" s="224">
        <f t="shared" si="145"/>
        <v>1.9987754875892598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45987</v>
      </c>
      <c r="B344" s="409">
        <f>IF(t&gt;Tmaj,'2024'!Wh/'2024'!Env_an*'2025'!Env_an,0.001*'[13]mon-tableau (3)'!$B$260)</f>
        <v>10.715537631780755</v>
      </c>
      <c r="C344" s="829"/>
      <c r="D344" s="391">
        <f t="shared" si="127"/>
        <v>11.239503911041336</v>
      </c>
      <c r="E344" s="383">
        <f t="shared" si="125"/>
        <v>11.613300410584179</v>
      </c>
      <c r="F344" s="383">
        <f t="shared" si="128"/>
        <v>11.614874035287309</v>
      </c>
      <c r="G344" s="110">
        <f t="shared" si="126"/>
        <v>0.38409610064477145</v>
      </c>
      <c r="H344" s="412" t="b">
        <f>Wh_hp&gt;='2024'!Maxi_hp</f>
        <v>0</v>
      </c>
      <c r="I344" s="388">
        <f>IF(H344,Wh_hp,'2024'!Maxi_hp)</f>
        <v>28.857430187211506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4.6618274561553541E-2</v>
      </c>
      <c r="M344" s="832"/>
      <c r="N344" s="832"/>
      <c r="O344" s="48">
        <f>IF(t&lt;Tnet,'2024'!Resal+('2024'!Salim-'2024'!Resal)*(1-EXP(('2024'!Tnet-t)/('2024'!Tau_j))),Resal+(Salim-Resal)*(1-EXP((Tnet-t)/(Tau_j))))*Salcycl</f>
        <v>3.2186931046937491E-2</v>
      </c>
      <c r="P344" s="169">
        <f>(INDEX(Models!$BJ344:$BT344,,T344)*(1-R344)+INDEX(Models!$BJ344:$BT344,,T344+1)*R344-ERP_i)*Q344*Ramure*Pc/MaxiM</f>
        <v>1.1226719987710164E-3</v>
      </c>
      <c r="Q344" s="304">
        <f t="shared" si="130"/>
        <v>0.6</v>
      </c>
      <c r="R344" s="177">
        <f t="shared" si="131"/>
        <v>0.99879568764265803</v>
      </c>
      <c r="S344" s="799">
        <f t="shared" si="132"/>
        <v>1</v>
      </c>
      <c r="T344" s="176">
        <f t="shared" si="133"/>
        <v>7</v>
      </c>
      <c r="U344" s="250">
        <f t="shared" si="134"/>
        <v>1.998795687642658</v>
      </c>
      <c r="V344" s="382">
        <f t="shared" si="135"/>
        <v>27.870519710494804</v>
      </c>
      <c r="W344" s="400">
        <f t="shared" si="136"/>
        <v>10.715537631780755</v>
      </c>
      <c r="X344" s="157">
        <f t="shared" si="137"/>
        <v>45987</v>
      </c>
      <c r="Y344" s="383">
        <f t="shared" si="138"/>
        <v>10.393541632269972</v>
      </c>
      <c r="Z344" s="383">
        <f t="shared" si="139"/>
        <v>10.901763013645068</v>
      </c>
      <c r="AA344" s="384">
        <f t="shared" si="140"/>
        <v>11.613300410584179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6.1269180317649115E-2</v>
      </c>
      <c r="AD344" s="230">
        <f>(INDEX(Models!$BJ344:$BT344,,AH344)*(1-AF344)+INDEX(Models!$BJ344:$BT344,,AH344+1)*AF344-ERP_i)*AE344*Ramure*Pc/MaxiM</f>
        <v>1.1226719987710164E-3</v>
      </c>
      <c r="AE344" s="304">
        <f t="shared" si="142"/>
        <v>0.6</v>
      </c>
      <c r="AF344" s="177">
        <f t="shared" si="143"/>
        <v>0.99879568764265803</v>
      </c>
      <c r="AG344" s="799">
        <f t="shared" si="149"/>
        <v>1</v>
      </c>
      <c r="AH344" s="176">
        <f t="shared" si="144"/>
        <v>7</v>
      </c>
      <c r="AI344" s="224">
        <f t="shared" si="145"/>
        <v>1.998795687642658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45988</v>
      </c>
      <c r="B345" s="409">
        <f>IF(t&gt;Tmaj,'2024'!Wh/'2024'!Env_an*'2025'!Env_an,0.001*'[13]mon-tableau (3)'!$B$261)</f>
        <v>16.664144059617708</v>
      </c>
      <c r="C345" s="829"/>
      <c r="D345" s="391">
        <f t="shared" si="127"/>
        <v>17.479319128540908</v>
      </c>
      <c r="E345" s="383">
        <f t="shared" si="125"/>
        <v>18.062189630056992</v>
      </c>
      <c r="F345" s="383">
        <f t="shared" si="128"/>
        <v>18.071479121030588</v>
      </c>
      <c r="G345" s="110">
        <f t="shared" si="126"/>
        <v>0.60174580983742365</v>
      </c>
      <c r="H345" s="412" t="b">
        <f>Wh_hp&gt;='2024'!Maxi_hp</f>
        <v>0</v>
      </c>
      <c r="I345" s="388">
        <f>IF(H345,Wh_hp,'2024'!Maxi_hp)</f>
        <v>26.802315744867702</v>
      </c>
      <c r="J345" s="85">
        <f>IF(H345,An,'2024'!An_max)</f>
        <v>2020</v>
      </c>
      <c r="K345" s="197">
        <f t="shared" si="129"/>
        <v>45988</v>
      </c>
      <c r="L345" s="147">
        <f>IF(t&lt;Tvie,1-EXP((T0-t)*PertePVj)+'2024'!Pspv,1-EXP((T0-t)*PertePVj)+Pspv)</f>
        <v>4.6636545904820248E-2</v>
      </c>
      <c r="M345" s="832"/>
      <c r="N345" s="832"/>
      <c r="O345" s="48">
        <f>IF(t&lt;Tnet,'2024'!Resal+('2024'!Salim-'2024'!Resal)*(1-EXP(('2024'!Tnet-t)/('2024'!Tau_j))),Resal+(Salim-Resal)*(1-EXP((Tnet-t)/(Tau_j))))*Salcycl</f>
        <v>3.2270201645216837E-2</v>
      </c>
      <c r="P345" s="169">
        <f>(INDEX(Models!$BJ345:$BT345,,T345)*(1-R345)+INDEX(Models!$BJ345:$BT345,,T345+1)*R345-ERP_i)*Q345*Ramure*Pc/MaxiM</f>
        <v>1.1908813969511427E-3</v>
      </c>
      <c r="Q345" s="304">
        <f t="shared" si="130"/>
        <v>0.6</v>
      </c>
      <c r="R345" s="177">
        <f t="shared" si="131"/>
        <v>0.9988150759171186</v>
      </c>
      <c r="S345" s="799">
        <f t="shared" si="132"/>
        <v>1</v>
      </c>
      <c r="T345" s="176">
        <f t="shared" si="133"/>
        <v>7</v>
      </c>
      <c r="U345" s="250">
        <f t="shared" si="134"/>
        <v>1.9988150759171186</v>
      </c>
      <c r="V345" s="382">
        <f t="shared" si="135"/>
        <v>27.674242229316079</v>
      </c>
      <c r="W345" s="400">
        <f t="shared" si="136"/>
        <v>16.664144059617708</v>
      </c>
      <c r="X345" s="157">
        <f t="shared" si="137"/>
        <v>45988</v>
      </c>
      <c r="Y345" s="383">
        <f t="shared" si="138"/>
        <v>16.164142451067121</v>
      </c>
      <c r="Z345" s="383">
        <f t="shared" si="139"/>
        <v>16.954858487215898</v>
      </c>
      <c r="AA345" s="384">
        <f t="shared" si="140"/>
        <v>18.062189630056992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6.1306583837343991E-2</v>
      </c>
      <c r="AD345" s="230">
        <f>(INDEX(Models!$BJ345:$BT345,,AH345)*(1-AF345)+INDEX(Models!$BJ345:$BT345,,AH345+1)*AF345-ERP_i)*AE345*Ramure*Pc/MaxiM</f>
        <v>1.1908813969511427E-3</v>
      </c>
      <c r="AE345" s="304">
        <f t="shared" si="142"/>
        <v>0.6</v>
      </c>
      <c r="AF345" s="177">
        <f t="shared" si="143"/>
        <v>0.9988150759171186</v>
      </c>
      <c r="AG345" s="799">
        <f t="shared" si="149"/>
        <v>1</v>
      </c>
      <c r="AH345" s="176">
        <f t="shared" si="144"/>
        <v>7</v>
      </c>
      <c r="AI345" s="224">
        <f t="shared" si="145"/>
        <v>1.9988150759171186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45989</v>
      </c>
      <c r="B346" s="409">
        <f>IF(t&gt;Tmaj,'2024'!Wh/'2024'!Env_an*'2025'!Env_an,0.001*'[13]mon-tableau (3)'!$B$262)</f>
        <v>10.344118550433837</v>
      </c>
      <c r="C346" s="829"/>
      <c r="D346" s="391">
        <f t="shared" si="127"/>
        <v>10.850339136109362</v>
      </c>
      <c r="E346" s="383">
        <f t="shared" si="125"/>
        <v>11.213127105488502</v>
      </c>
      <c r="F346" s="383">
        <f t="shared" si="128"/>
        <v>11.214665859206864</v>
      </c>
      <c r="G346" s="110">
        <f t="shared" si="126"/>
        <v>0.37594182767949241</v>
      </c>
      <c r="H346" s="412" t="b">
        <f>Wh_hp&gt;='2024'!Maxi_hp</f>
        <v>0</v>
      </c>
      <c r="I346" s="388">
        <f>IF(H346,Wh_hp,'2024'!Maxi_hp)</f>
        <v>18.703888708428419</v>
      </c>
      <c r="J346" s="85">
        <f>IF(H346,An,'2024'!An_max)</f>
        <v>2020</v>
      </c>
      <c r="K346" s="197">
        <f t="shared" si="129"/>
        <v>45989</v>
      </c>
      <c r="L346" s="147">
        <f>IF(t&lt;Tvie,1-EXP((T0-t)*PertePVj)+'2024'!Pspv,1-EXP((T0-t)*PertePVj)+Pspv)</f>
        <v>4.6654816897920726E-2</v>
      </c>
      <c r="M346" s="832"/>
      <c r="N346" s="832"/>
      <c r="O346" s="48">
        <f>IF(t&lt;Tnet,'2024'!Resal+('2024'!Salim-'2024'!Resal)*(1-EXP(('2024'!Tnet-t)/('2024'!Tau_j))),Resal+(Salim-Resal)*(1-EXP((Tnet-t)/(Tau_j))))*Salcycl</f>
        <v>3.2353862215792152E-2</v>
      </c>
      <c r="P346" s="169">
        <f>(INDEX(Models!$BJ346:$BT346,,T346)*(1-R346)+INDEX(Models!$BJ346:$BT346,,T346+1)*R346-ERP_i)*Q346*Ramure*Pc/MaxiM</f>
        <v>1.2577500108478872E-3</v>
      </c>
      <c r="Q346" s="304">
        <f t="shared" si="130"/>
        <v>0.6</v>
      </c>
      <c r="R346" s="177">
        <f t="shared" si="131"/>
        <v>0.99883368497635328</v>
      </c>
      <c r="S346" s="799">
        <f t="shared" si="132"/>
        <v>1</v>
      </c>
      <c r="T346" s="176">
        <f t="shared" si="133"/>
        <v>7</v>
      </c>
      <c r="U346" s="250">
        <f t="shared" si="134"/>
        <v>1.9988336849763533</v>
      </c>
      <c r="V346" s="382">
        <f t="shared" si="135"/>
        <v>27.484374418049374</v>
      </c>
      <c r="W346" s="400">
        <f t="shared" si="136"/>
        <v>10.344118550433837</v>
      </c>
      <c r="X346" s="157">
        <f t="shared" si="137"/>
        <v>45989</v>
      </c>
      <c r="Y346" s="383">
        <f t="shared" si="138"/>
        <v>10.034204175444801</v>
      </c>
      <c r="Z346" s="383">
        <f t="shared" si="139"/>
        <v>10.525258168079914</v>
      </c>
      <c r="AA346" s="384">
        <f t="shared" si="140"/>
        <v>11.213127105488502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6.1344969243405503E-2</v>
      </c>
      <c r="AD346" s="230">
        <f>(INDEX(Models!$BJ346:$BT346,,AH346)*(1-AF346)+INDEX(Models!$BJ346:$BT346,,AH346+1)*AF346-ERP_i)*AE346*Ramure*Pc/MaxiM</f>
        <v>1.2577500108478872E-3</v>
      </c>
      <c r="AE346" s="304">
        <f t="shared" si="142"/>
        <v>0.6</v>
      </c>
      <c r="AF346" s="177">
        <f t="shared" si="143"/>
        <v>0.99883368497635328</v>
      </c>
      <c r="AG346" s="799">
        <f t="shared" si="149"/>
        <v>1</v>
      </c>
      <c r="AH346" s="176">
        <f t="shared" si="144"/>
        <v>7</v>
      </c>
      <c r="AI346" s="224">
        <f t="shared" si="145"/>
        <v>1.9988336849763533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45990</v>
      </c>
      <c r="B347" s="409">
        <f>IF(t&gt;Tmaj,'2024'!Wh/'2024'!Env_an*'2025'!Env_an,0.001*'[13]mon-tableau (3)'!$B$263)</f>
        <v>15.387983990782905</v>
      </c>
      <c r="C347" s="829"/>
      <c r="D347" s="391">
        <f t="shared" si="127"/>
        <v>16.141350663319781</v>
      </c>
      <c r="E347" s="383">
        <f t="shared" si="125"/>
        <v>16.6824961106026</v>
      </c>
      <c r="F347" s="383">
        <f t="shared" si="128"/>
        <v>16.690802942855555</v>
      </c>
      <c r="G347" s="110">
        <f t="shared" si="126"/>
        <v>0.5631718729929861</v>
      </c>
      <c r="H347" s="412" t="b">
        <f>Wh_hp&gt;='2024'!Maxi_hp</f>
        <v>0</v>
      </c>
      <c r="I347" s="388">
        <f>IF(H347,Wh_hp,'2024'!Maxi_hp)</f>
        <v>16.758916593732387</v>
      </c>
      <c r="J347" s="85">
        <f>IF(H347,An,'2024'!An_max)</f>
        <v>2018</v>
      </c>
      <c r="K347" s="197">
        <f t="shared" si="129"/>
        <v>45990</v>
      </c>
      <c r="L347" s="147">
        <f>IF(t&lt;Tvie,1-EXP((T0-t)*PertePVj)+'2024'!Pspv,1-EXP((T0-t)*PertePVj)+Pspv)</f>
        <v>4.6673087540861968E-2</v>
      </c>
      <c r="M347" s="832"/>
      <c r="N347" s="832"/>
      <c r="O347" s="48">
        <f>IF(t&lt;Tnet,'2024'!Resal+('2024'!Salim-'2024'!Resal)*(1-EXP(('2024'!Tnet-t)/('2024'!Tau_j))),Resal+(Salim-Resal)*(1-EXP((Tnet-t)/(Tau_j))))*Salcycl</f>
        <v>3.2437918384341298E-2</v>
      </c>
      <c r="P347" s="169">
        <f>(INDEX(Models!$BJ347:$BT347,,T347)*(1-R347)+INDEX(Models!$BJ347:$BT347,,T347+1)*R347-ERP_i)*Q347*Ramure*Pc/MaxiM</f>
        <v>1.3214504045042446E-3</v>
      </c>
      <c r="Q347" s="304">
        <f t="shared" si="130"/>
        <v>0.6</v>
      </c>
      <c r="R347" s="177">
        <f t="shared" si="131"/>
        <v>0.9988515460824825</v>
      </c>
      <c r="S347" s="799">
        <f t="shared" si="132"/>
        <v>1</v>
      </c>
      <c r="T347" s="176">
        <f t="shared" si="133"/>
        <v>7</v>
      </c>
      <c r="U347" s="250">
        <f t="shared" si="134"/>
        <v>1.9988515460824825</v>
      </c>
      <c r="V347" s="382">
        <f t="shared" si="135"/>
        <v>27.301259867399704</v>
      </c>
      <c r="W347" s="400">
        <f t="shared" si="136"/>
        <v>15.387983990782905</v>
      </c>
      <c r="X347" s="157">
        <f t="shared" si="137"/>
        <v>45990</v>
      </c>
      <c r="Y347" s="383">
        <f t="shared" si="138"/>
        <v>14.927623786367782</v>
      </c>
      <c r="Z347" s="383">
        <f t="shared" si="139"/>
        <v>15.6584520915931</v>
      </c>
      <c r="AA347" s="384">
        <f t="shared" si="140"/>
        <v>16.6824961106026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6.1384340342130528E-2</v>
      </c>
      <c r="AD347" s="230">
        <f>(INDEX(Models!$BJ347:$BT347,,AH347)*(1-AF347)+INDEX(Models!$BJ347:$BT347,,AH347+1)*AF347-ERP_i)*AE347*Ramure*Pc/MaxiM</f>
        <v>1.3214504045042446E-3</v>
      </c>
      <c r="AE347" s="304">
        <f t="shared" si="142"/>
        <v>0.6</v>
      </c>
      <c r="AF347" s="177">
        <f t="shared" si="143"/>
        <v>0.9988515460824825</v>
      </c>
      <c r="AG347" s="799">
        <f t="shared" si="149"/>
        <v>1</v>
      </c>
      <c r="AH347" s="176">
        <f t="shared" si="144"/>
        <v>7</v>
      </c>
      <c r="AI347" s="224">
        <f t="shared" si="145"/>
        <v>1.9988515460824825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45991</v>
      </c>
      <c r="B348" s="409">
        <f>IF(t&gt;Tmaj,'2024'!Wh/'2024'!Env_an*'2025'!Env_an,0.001*'[13]mon-tableau (3)'!$B$264)</f>
        <v>3.9421584695093492</v>
      </c>
      <c r="C348" s="829"/>
      <c r="D348" s="391">
        <f t="shared" si="127"/>
        <v>4.1352383636751444</v>
      </c>
      <c r="E348" s="383">
        <f t="shared" si="125"/>
        <v>4.2742470229637259</v>
      </c>
      <c r="F348" s="383">
        <f t="shared" si="128"/>
        <v>4.2742470229637259</v>
      </c>
      <c r="G348" s="110">
        <f t="shared" si="126"/>
        <v>0.14513116066051227</v>
      </c>
      <c r="H348" s="412" t="b">
        <f>Wh_hp&gt;='2024'!Maxi_hp</f>
        <v>0</v>
      </c>
      <c r="I348" s="388">
        <f>IF(H348,Wh_hp,'2024'!Maxi_hp)</f>
        <v>27.894604255922708</v>
      </c>
      <c r="J348" s="85">
        <f>IF(H348,An,'2024'!An_max)</f>
        <v>2020</v>
      </c>
      <c r="K348" s="197">
        <f t="shared" si="129"/>
        <v>45991</v>
      </c>
      <c r="L348" s="147">
        <f>IF(t&lt;Tvie,1-EXP((T0-t)*PertePVj)+'2024'!Pspv,1-EXP((T0-t)*PertePVj)+Pspv)</f>
        <v>4.6691357833650415E-2</v>
      </c>
      <c r="M348" s="832"/>
      <c r="N348" s="832"/>
      <c r="O348" s="48">
        <f>IF(t&lt;Tnet,'2024'!Resal+('2024'!Salim-'2024'!Resal)*(1-EXP(('2024'!Tnet-t)/('2024'!Tau_j))),Resal+(Salim-Resal)*(1-EXP((Tnet-t)/(Tau_j))))*Salcycl</f>
        <v>3.2522373775251287E-2</v>
      </c>
      <c r="P348" s="169">
        <f>(INDEX(Models!$BJ348:$BT348,,T348)*(1-R348)+INDEX(Models!$BJ348:$BT348,,T348+1)*R348-ERP_i)*Q348*Ramure*Pc/MaxiM</f>
        <v>1.3819869960183214E-3</v>
      </c>
      <c r="Q348" s="304">
        <f t="shared" si="130"/>
        <v>0.6</v>
      </c>
      <c r="R348" s="177">
        <f t="shared" si="131"/>
        <v>0.99886868924769168</v>
      </c>
      <c r="S348" s="799">
        <f t="shared" si="132"/>
        <v>1</v>
      </c>
      <c r="T348" s="176">
        <f t="shared" si="133"/>
        <v>7</v>
      </c>
      <c r="U348" s="250">
        <f t="shared" si="134"/>
        <v>1.9988686892476917</v>
      </c>
      <c r="V348" s="382">
        <f t="shared" si="135"/>
        <v>27.12519103307465</v>
      </c>
      <c r="W348" s="400">
        <f t="shared" si="136"/>
        <v>3.9421584695093492</v>
      </c>
      <c r="X348" s="157">
        <f t="shared" si="137"/>
        <v>45991</v>
      </c>
      <c r="Y348" s="383">
        <f t="shared" si="138"/>
        <v>3.8243908479264164</v>
      </c>
      <c r="Z348" s="383">
        <f t="shared" si="139"/>
        <v>4.0117026939309666</v>
      </c>
      <c r="AA348" s="384">
        <f t="shared" si="140"/>
        <v>4.2742470229637259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6.142469717407998E-2</v>
      </c>
      <c r="AD348" s="230">
        <f>(INDEX(Models!$BJ348:$BT348,,AH348)*(1-AF348)+INDEX(Models!$BJ348:$BT348,,AH348+1)*AF348-ERP_i)*AE348*Ramure*Pc/MaxiM</f>
        <v>1.3819869960183214E-3</v>
      </c>
      <c r="AE348" s="304">
        <f t="shared" si="142"/>
        <v>0.6</v>
      </c>
      <c r="AF348" s="177">
        <f t="shared" si="143"/>
        <v>0.99886868924769168</v>
      </c>
      <c r="AG348" s="799">
        <f t="shared" si="149"/>
        <v>1</v>
      </c>
      <c r="AH348" s="176">
        <f t="shared" si="144"/>
        <v>7</v>
      </c>
      <c r="AI348" s="224">
        <f t="shared" si="145"/>
        <v>1.9988686892476917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45992</v>
      </c>
      <c r="B349" s="409">
        <f>IF(t&gt;Tmaj,'2024'!Wh/'2024'!Env_an*'2025'!Env_an,0.001*'[14]mon-tableau (2)'!$B$242)</f>
        <v>3.7506554511115575</v>
      </c>
      <c r="C349" s="829"/>
      <c r="D349" s="391">
        <f t="shared" si="127"/>
        <v>3.9344312713056513</v>
      </c>
      <c r="E349" s="383">
        <f t="shared" si="125"/>
        <v>4.0670463884726953</v>
      </c>
      <c r="F349" s="383">
        <f t="shared" si="128"/>
        <v>4.0670463884726953</v>
      </c>
      <c r="G349" s="110">
        <f t="shared" si="126"/>
        <v>0.13893726569731898</v>
      </c>
      <c r="H349" s="412" t="b">
        <f>Wh_hp&gt;='2024'!Maxi_hp</f>
        <v>0</v>
      </c>
      <c r="I349" s="388">
        <f>IF(H349,Wh_hp,'2024'!Maxi_hp)</f>
        <v>28.876381708820084</v>
      </c>
      <c r="J349" s="85">
        <f>IF(H349,An,'2024'!An_max)</f>
        <v>2020</v>
      </c>
      <c r="K349" s="197">
        <f t="shared" si="129"/>
        <v>45992</v>
      </c>
      <c r="L349" s="147">
        <f>IF(t&lt;Tvie,1-EXP((T0-t)*PertePVj)+'2024'!Pspv,1-EXP((T0-t)*PertePVj)+Pspv)</f>
        <v>4.6709627776292839E-2</v>
      </c>
      <c r="M349" s="832"/>
      <c r="N349" s="832"/>
      <c r="O349" s="48">
        <f>IF(t&lt;Tnet,'2024'!Resal+('2024'!Salim-'2024'!Resal)*(1-EXP(('2024'!Tnet-t)/('2024'!Tau_j))),Resal+(Salim-Resal)*(1-EXP((Tnet-t)/(Tau_j))))*Salcycl</f>
        <v>3.2607230038712451E-2</v>
      </c>
      <c r="P349" s="169">
        <f>(INDEX(Models!$BJ349:$BT349,,T349)*(1-R349)+INDEX(Models!$BJ349:$BT349,,T349+1)*R349-ERP_i)*Q349*Ramure*Pc/MaxiM</f>
        <v>1.4393592878442175E-3</v>
      </c>
      <c r="Q349" s="304">
        <f t="shared" si="130"/>
        <v>0.6</v>
      </c>
      <c r="R349" s="177">
        <f t="shared" si="131"/>
        <v>0.99888514328386702</v>
      </c>
      <c r="S349" s="799">
        <f t="shared" si="132"/>
        <v>1</v>
      </c>
      <c r="T349" s="176">
        <f t="shared" si="133"/>
        <v>7</v>
      </c>
      <c r="U349" s="250">
        <f t="shared" si="134"/>
        <v>1.998885143283867</v>
      </c>
      <c r="V349" s="382">
        <f t="shared" si="135"/>
        <v>26.956460468364948</v>
      </c>
      <c r="W349" s="400">
        <f t="shared" si="136"/>
        <v>3.7506554511115575</v>
      </c>
      <c r="X349" s="157">
        <f t="shared" si="137"/>
        <v>45992</v>
      </c>
      <c r="Y349" s="383">
        <f t="shared" si="138"/>
        <v>3.6387676619605416</v>
      </c>
      <c r="Z349" s="383">
        <f t="shared" si="139"/>
        <v>3.8170611683327036</v>
      </c>
      <c r="AA349" s="384">
        <f t="shared" si="140"/>
        <v>4.0670463884726953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6.1466036101414899E-2</v>
      </c>
      <c r="AD349" s="230">
        <f>(INDEX(Models!$BJ349:$BT349,,AH349)*(1-AF349)+INDEX(Models!$BJ349:$BT349,,AH349+1)*AF349-ERP_i)*AE349*Ramure*Pc/MaxiM</f>
        <v>1.4393592878442175E-3</v>
      </c>
      <c r="AE349" s="304">
        <f t="shared" si="142"/>
        <v>0.6</v>
      </c>
      <c r="AF349" s="177">
        <f t="shared" si="143"/>
        <v>0.99888514328386702</v>
      </c>
      <c r="AG349" s="799">
        <f t="shared" si="149"/>
        <v>1</v>
      </c>
      <c r="AH349" s="176">
        <f t="shared" si="144"/>
        <v>7</v>
      </c>
      <c r="AI349" s="224">
        <f t="shared" si="145"/>
        <v>1.998885143283867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45993</v>
      </c>
      <c r="B350" s="409">
        <f>IF(t&gt;Tmaj,'2024'!Wh/'2024'!Env_an*'2025'!Env_an,0.001*'[14]mon-tableau (2)'!$B$243)</f>
        <v>5.6212963893117616</v>
      </c>
      <c r="C350" s="829"/>
      <c r="D350" s="391">
        <f t="shared" si="127"/>
        <v>5.8968434865511785</v>
      </c>
      <c r="E350" s="383">
        <f t="shared" si="125"/>
        <v>6.0961415130461196</v>
      </c>
      <c r="F350" s="383">
        <f t="shared" si="128"/>
        <v>6.0961415130461196</v>
      </c>
      <c r="G350" s="110">
        <f t="shared" si="126"/>
        <v>0.20947285120383161</v>
      </c>
      <c r="H350" s="412" t="b">
        <f>Wh_hp&gt;='2024'!Maxi_hp</f>
        <v>0</v>
      </c>
      <c r="I350" s="388">
        <f>IF(H350,Wh_hp,'2024'!Maxi_hp)</f>
        <v>10.012976509324043</v>
      </c>
      <c r="J350" s="85">
        <f>IF(H350,An,'2024'!An_max)</f>
        <v>2021</v>
      </c>
      <c r="K350" s="197">
        <f t="shared" si="129"/>
        <v>45993</v>
      </c>
      <c r="L350" s="147">
        <f>IF(t&lt;Tvie,1-EXP((T0-t)*PertePVj)+'2024'!Pspv,1-EXP((T0-t)*PertePVj)+Pspv)</f>
        <v>4.6727897368796012E-2</v>
      </c>
      <c r="M350" s="832"/>
      <c r="N350" s="832"/>
      <c r="O350" s="48">
        <f>IF(t&lt;Tnet,'2024'!Resal+('2024'!Salim-'2024'!Resal)*(1-EXP(('2024'!Tnet-t)/('2024'!Tau_j))),Resal+(Salim-Resal)*(1-EXP((Tnet-t)/(Tau_j))))*Salcycl</f>
        <v>3.2692486890015672E-2</v>
      </c>
      <c r="P350" s="169">
        <f>(INDEX(Models!$BJ350:$BT350,,T350)*(1-R350)+INDEX(Models!$BJ350:$BT350,,T350+1)*R350-ERP_i)*Q350*Ramure*Pc/MaxiM</f>
        <v>1.4935617547454263E-3</v>
      </c>
      <c r="Q350" s="304">
        <f t="shared" si="130"/>
        <v>0.6</v>
      </c>
      <c r="R350" s="177">
        <f t="shared" si="131"/>
        <v>0.99890093585028916</v>
      </c>
      <c r="S350" s="799">
        <f t="shared" si="132"/>
        <v>1</v>
      </c>
      <c r="T350" s="176">
        <f t="shared" si="133"/>
        <v>7</v>
      </c>
      <c r="U350" s="250">
        <f t="shared" si="134"/>
        <v>1.9989009358502892</v>
      </c>
      <c r="V350" s="382">
        <f t="shared" si="135"/>
        <v>26.795360848699463</v>
      </c>
      <c r="W350" s="400">
        <f t="shared" si="136"/>
        <v>5.6212963893117616</v>
      </c>
      <c r="X350" s="157">
        <f t="shared" si="137"/>
        <v>45993</v>
      </c>
      <c r="Y350" s="383">
        <f t="shared" si="138"/>
        <v>5.4538392936186053</v>
      </c>
      <c r="Z350" s="383">
        <f t="shared" si="139"/>
        <v>5.7211779077191283</v>
      </c>
      <c r="AA350" s="384">
        <f t="shared" si="140"/>
        <v>6.0961415130461196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6.1508349916836097E-2</v>
      </c>
      <c r="AD350" s="230">
        <f>(INDEX(Models!$BJ350:$BT350,,AH350)*(1-AF350)+INDEX(Models!$BJ350:$BT350,,AH350+1)*AF350-ERP_i)*AE350*Ramure*Pc/MaxiM</f>
        <v>1.4935617547454263E-3</v>
      </c>
      <c r="AE350" s="304">
        <f t="shared" si="142"/>
        <v>0.6</v>
      </c>
      <c r="AF350" s="177">
        <f t="shared" si="143"/>
        <v>0.99890093585028916</v>
      </c>
      <c r="AG350" s="799">
        <f t="shared" si="149"/>
        <v>1</v>
      </c>
      <c r="AH350" s="176">
        <f t="shared" si="144"/>
        <v>7</v>
      </c>
      <c r="AI350" s="224">
        <f t="shared" si="145"/>
        <v>1.9989009358502892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45994</v>
      </c>
      <c r="B351" s="409">
        <f>IF(t&gt;Tmaj,'2024'!Wh/'2024'!Env_an*'2025'!Env_an,0.001*'[14]mon-tableau (2)'!$B$244)</f>
        <v>10.888609551385061</v>
      </c>
      <c r="C351" s="829"/>
      <c r="D351" s="391">
        <f t="shared" si="127"/>
        <v>11.42257095644281</v>
      </c>
      <c r="E351" s="383">
        <f t="shared" si="125"/>
        <v>11.809669998524871</v>
      </c>
      <c r="F351" s="383">
        <f t="shared" si="128"/>
        <v>11.812503198391227</v>
      </c>
      <c r="G351" s="110">
        <f t="shared" si="126"/>
        <v>0.40816469803604039</v>
      </c>
      <c r="H351" s="412" t="b">
        <f>Wh_hp&gt;='2024'!Maxi_hp</f>
        <v>0</v>
      </c>
      <c r="I351" s="388">
        <f>IF(H351,Wh_hp,'2024'!Maxi_hp)</f>
        <v>19.179192393399582</v>
      </c>
      <c r="J351" s="85">
        <f>IF(H351,An,'2024'!An_max)</f>
        <v>2021</v>
      </c>
      <c r="K351" s="197">
        <f t="shared" si="129"/>
        <v>45994</v>
      </c>
      <c r="L351" s="147">
        <f>IF(t&lt;Tvie,1-EXP((T0-t)*PertePVj)+'2024'!Pspv,1-EXP((T0-t)*PertePVj)+Pspv)</f>
        <v>4.6746166611166706E-2</v>
      </c>
      <c r="M351" s="832"/>
      <c r="N351" s="832"/>
      <c r="O351" s="48">
        <f>IF(t&lt;Tnet,'2024'!Resal+('2024'!Salim-'2024'!Resal)*(1-EXP(('2024'!Tnet-t)/('2024'!Tau_j))),Resal+(Salim-Resal)*(1-EXP((Tnet-t)/(Tau_j))))*Salcycl</f>
        <v>3.2778142160654229E-2</v>
      </c>
      <c r="P351" s="169">
        <f>(INDEX(Models!$BJ351:$BT351,,T351)*(1-R351)+INDEX(Models!$BJ351:$BT351,,T351+1)*R351-ERP_i)*Q351*Ramure*Pc/MaxiM</f>
        <v>1.5445838297213378E-3</v>
      </c>
      <c r="Q351" s="304">
        <f t="shared" si="130"/>
        <v>0.6</v>
      </c>
      <c r="R351" s="177">
        <f t="shared" si="131"/>
        <v>0.99891609349945165</v>
      </c>
      <c r="S351" s="799">
        <f t="shared" si="132"/>
        <v>1</v>
      </c>
      <c r="T351" s="176">
        <f t="shared" si="133"/>
        <v>7</v>
      </c>
      <c r="U351" s="250">
        <f t="shared" si="134"/>
        <v>1.9989160934994517</v>
      </c>
      <c r="V351" s="382">
        <f t="shared" si="135"/>
        <v>26.642184959744032</v>
      </c>
      <c r="W351" s="400">
        <f t="shared" si="136"/>
        <v>10.888609551385061</v>
      </c>
      <c r="X351" s="157">
        <f t="shared" si="137"/>
        <v>45994</v>
      </c>
      <c r="Y351" s="383">
        <f t="shared" si="138"/>
        <v>10.564688777774775</v>
      </c>
      <c r="Z351" s="383">
        <f t="shared" si="139"/>
        <v>11.082765584290524</v>
      </c>
      <c r="AA351" s="384">
        <f t="shared" si="140"/>
        <v>11.809669998524871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6.155162797310542E-2</v>
      </c>
      <c r="AD351" s="230">
        <f>(INDEX(Models!$BJ351:$BT351,,AH351)*(1-AF351)+INDEX(Models!$BJ351:$BT351,,AH351+1)*AF351-ERP_i)*AE351*Ramure*Pc/MaxiM</f>
        <v>1.5445838297213378E-3</v>
      </c>
      <c r="AE351" s="304">
        <f t="shared" si="142"/>
        <v>0.6</v>
      </c>
      <c r="AF351" s="177">
        <f t="shared" si="143"/>
        <v>0.99891609349945165</v>
      </c>
      <c r="AG351" s="799">
        <f t="shared" si="149"/>
        <v>1</v>
      </c>
      <c r="AH351" s="176">
        <f t="shared" si="144"/>
        <v>7</v>
      </c>
      <c r="AI351" s="224">
        <f t="shared" si="145"/>
        <v>1.9989160934994517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45995</v>
      </c>
      <c r="B352" s="409">
        <f>IF(t&gt;Tmaj,'2024'!Wh/'2024'!Env_an*'2025'!Env_an,0.001*'[14]mon-tableau (2)'!$B$245)</f>
        <v>17.6397011031411</v>
      </c>
      <c r="C352" s="829"/>
      <c r="D352" s="391">
        <f t="shared" si="127"/>
        <v>18.505080758770021</v>
      </c>
      <c r="E352" s="383">
        <f t="shared" si="125"/>
        <v>19.133900950656759</v>
      </c>
      <c r="F352" s="383">
        <f t="shared" si="128"/>
        <v>19.149821314612574</v>
      </c>
      <c r="G352" s="110">
        <f t="shared" si="126"/>
        <v>0.66521172480596091</v>
      </c>
      <c r="H352" s="412" t="b">
        <f>Wh_hp&gt;='2024'!Maxi_hp</f>
        <v>0</v>
      </c>
      <c r="I352" s="388">
        <f>IF(H352,Wh_hp,'2024'!Maxi_hp)</f>
        <v>19.158831148998573</v>
      </c>
      <c r="J352" s="85">
        <f>IF(H352,An,'2024'!An_max)</f>
        <v>2022</v>
      </c>
      <c r="K352" s="197">
        <f t="shared" si="129"/>
        <v>45995</v>
      </c>
      <c r="L352" s="147">
        <f>IF(t&lt;Tvie,1-EXP((T0-t)*PertePVj)+'2024'!Pspv,1-EXP((T0-t)*PertePVj)+Pspv)</f>
        <v>4.6764435503411361E-2</v>
      </c>
      <c r="M352" s="832"/>
      <c r="N352" s="832"/>
      <c r="O352" s="48">
        <f>IF(t&lt;Tnet,'2024'!Resal+('2024'!Salim-'2024'!Resal)*(1-EXP(('2024'!Tnet-t)/('2024'!Tau_j))),Resal+(Salim-Resal)*(1-EXP((Tnet-t)/(Tau_j))))*Salcycl</f>
        <v>3.2864191860737829E-2</v>
      </c>
      <c r="P352" s="169">
        <f>(INDEX(Models!$BJ352:$BT352,,T352)*(1-R352)+INDEX(Models!$BJ352:$BT352,,T352+1)*R352-ERP_i)*Q352*Ramure*Pc/MaxiM</f>
        <v>1.5912555909892304E-3</v>
      </c>
      <c r="Q352" s="304">
        <f t="shared" si="130"/>
        <v>0.6</v>
      </c>
      <c r="R352" s="177">
        <f t="shared" si="131"/>
        <v>0.99893064172108659</v>
      </c>
      <c r="S352" s="799">
        <f t="shared" si="132"/>
        <v>1</v>
      </c>
      <c r="T352" s="176">
        <f t="shared" si="133"/>
        <v>7</v>
      </c>
      <c r="U352" s="250">
        <f t="shared" si="134"/>
        <v>1.9989306417210866</v>
      </c>
      <c r="V352" s="382">
        <f t="shared" si="135"/>
        <v>26.497256336063668</v>
      </c>
      <c r="W352" s="400">
        <f t="shared" si="136"/>
        <v>17.6397011031411</v>
      </c>
      <c r="X352" s="157">
        <f t="shared" si="137"/>
        <v>45995</v>
      </c>
      <c r="Y352" s="383">
        <f t="shared" si="138"/>
        <v>17.115660974337104</v>
      </c>
      <c r="Z352" s="383">
        <f t="shared" si="139"/>
        <v>17.955331936629978</v>
      </c>
      <c r="AA352" s="384">
        <f t="shared" si="140"/>
        <v>19.133900950656759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6.1595856331969026E-2</v>
      </c>
      <c r="AD352" s="230">
        <f>(INDEX(Models!$BJ352:$BT352,,AH352)*(1-AF352)+INDEX(Models!$BJ352:$BT352,,AH352+1)*AF352-ERP_i)*AE352*Ramure*Pc/MaxiM</f>
        <v>1.5912555909892304E-3</v>
      </c>
      <c r="AE352" s="304">
        <f t="shared" si="142"/>
        <v>0.6</v>
      </c>
      <c r="AF352" s="177">
        <f t="shared" si="143"/>
        <v>0.99893064172108659</v>
      </c>
      <c r="AG352" s="799">
        <f t="shared" si="149"/>
        <v>1</v>
      </c>
      <c r="AH352" s="176">
        <f t="shared" si="144"/>
        <v>7</v>
      </c>
      <c r="AI352" s="224">
        <f t="shared" si="145"/>
        <v>1.9989306417210866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45996</v>
      </c>
      <c r="B353" s="409">
        <f>IF(t&gt;Tmaj,'2024'!Wh/'2024'!Env_an*'2025'!Env_an,0.001*'[14]mon-tableau (2)'!$B$246)</f>
        <v>27.31008575183704</v>
      </c>
      <c r="C353" s="829"/>
      <c r="D353" s="391">
        <f t="shared" si="127"/>
        <v>28.650430355957045</v>
      </c>
      <c r="E353" s="383">
        <f t="shared" si="125"/>
        <v>29.626647048461447</v>
      </c>
      <c r="F353" s="383">
        <f t="shared" si="128"/>
        <v>29.675148577196843</v>
      </c>
      <c r="G353" s="110">
        <f t="shared" si="126"/>
        <v>1.0360095025616594</v>
      </c>
      <c r="H353" s="412" t="b">
        <f>Wh_hp&gt;='2024'!Maxi_hp</f>
        <v>1</v>
      </c>
      <c r="I353" s="388">
        <f>IF(H353,Wh_hp,'2024'!Maxi_hp)</f>
        <v>29.675148577196843</v>
      </c>
      <c r="J353" s="85">
        <f>IF(H353,An,'2024'!An_max)</f>
        <v>2025</v>
      </c>
      <c r="K353" s="197">
        <f t="shared" si="129"/>
        <v>45996</v>
      </c>
      <c r="L353" s="147">
        <f>IF(t&lt;Tvie,1-EXP((T0-t)*PertePVj)+'2024'!Pspv,1-EXP((T0-t)*PertePVj)+Pspv)</f>
        <v>4.6782704045536971E-2</v>
      </c>
      <c r="M353" s="832"/>
      <c r="N353" s="832"/>
      <c r="O353" s="48">
        <f>IF(t&lt;Tnet,'2024'!Resal+('2024'!Salim-'2024'!Resal)*(1-EXP(('2024'!Tnet-t)/('2024'!Tau_j))),Resal+(Salim-Resal)*(1-EXP((Tnet-t)/(Tau_j))))*Salcycl</f>
        <v>3.2950630252136411E-2</v>
      </c>
      <c r="P353" s="169">
        <f>(INDEX(Models!$BJ353:$BT353,,T353)*(1-R353)+INDEX(Models!$BJ353:$BT353,,T353+1)*R353-ERP_i)*Q353*Ramure*Pc/MaxiM</f>
        <v>1.6344157000334589E-3</v>
      </c>
      <c r="Q353" s="304">
        <f t="shared" si="130"/>
        <v>0.6</v>
      </c>
      <c r="R353" s="177">
        <f t="shared" si="131"/>
        <v>0.9989446049844557</v>
      </c>
      <c r="S353" s="799">
        <f t="shared" si="132"/>
        <v>1</v>
      </c>
      <c r="T353" s="176">
        <f t="shared" si="133"/>
        <v>7</v>
      </c>
      <c r="U353" s="250">
        <f t="shared" si="134"/>
        <v>1.9989446049844557</v>
      </c>
      <c r="V353" s="382">
        <f t="shared" si="135"/>
        <v>26.360844841972526</v>
      </c>
      <c r="W353" s="400">
        <f t="shared" si="136"/>
        <v>27.31008575183704</v>
      </c>
      <c r="X353" s="157">
        <f t="shared" si="137"/>
        <v>45996</v>
      </c>
      <c r="Y353" s="383">
        <f t="shared" si="138"/>
        <v>26.499851060332325</v>
      </c>
      <c r="Z353" s="383">
        <f t="shared" si="139"/>
        <v>27.800430366507189</v>
      </c>
      <c r="AA353" s="384">
        <f t="shared" si="140"/>
        <v>29.626647048461447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6.1641017931156533E-2</v>
      </c>
      <c r="AD353" s="230">
        <f>(INDEX(Models!$BJ353:$BT353,,AH353)*(1-AF353)+INDEX(Models!$BJ353:$BT353,,AH353+1)*AF353-ERP_i)*AE353*Ramure*Pc/MaxiM</f>
        <v>1.6344157000334589E-3</v>
      </c>
      <c r="AE353" s="304">
        <f t="shared" si="142"/>
        <v>0.6</v>
      </c>
      <c r="AF353" s="177">
        <f t="shared" si="143"/>
        <v>0.9989446049844557</v>
      </c>
      <c r="AG353" s="799">
        <f t="shared" si="149"/>
        <v>1</v>
      </c>
      <c r="AH353" s="176">
        <f t="shared" si="144"/>
        <v>7</v>
      </c>
      <c r="AI353" s="224">
        <f t="shared" si="145"/>
        <v>1.9989446049844557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45997</v>
      </c>
      <c r="B354" s="409">
        <f>IF(t&gt;Tmaj,'2024'!Wh/'2024'!Env_an*'2025'!Env_an,0.001*'[14]mon-tableau (2)'!$B$247)</f>
        <v>12.280927729375261</v>
      </c>
      <c r="C354" s="829"/>
      <c r="D354" s="391">
        <f t="shared" si="127"/>
        <v>12.883907108260118</v>
      </c>
      <c r="E354" s="383">
        <f t="shared" si="125"/>
        <v>13.324101442553195</v>
      </c>
      <c r="F354" s="383">
        <f t="shared" si="128"/>
        <v>13.329461395479996</v>
      </c>
      <c r="G354" s="110">
        <f t="shared" si="126"/>
        <v>0.46754801812200097</v>
      </c>
      <c r="H354" s="412" t="b">
        <f>Wh_hp&gt;='2024'!Maxi_hp</f>
        <v>0</v>
      </c>
      <c r="I354" s="388">
        <f>IF(H354,Wh_hp,'2024'!Maxi_hp)</f>
        <v>22.171647596043584</v>
      </c>
      <c r="J354" s="85">
        <f>IF(H354,An,'2024'!An_max)</f>
        <v>2020</v>
      </c>
      <c r="K354" s="197">
        <f t="shared" si="129"/>
        <v>45997</v>
      </c>
      <c r="L354" s="147">
        <f>IF(t&lt;Tvie,1-EXP((T0-t)*PertePVj)+'2024'!Pspv,1-EXP((T0-t)*PertePVj)+Pspv)</f>
        <v>4.6800972237550198E-2</v>
      </c>
      <c r="M354" s="832"/>
      <c r="N354" s="832"/>
      <c r="O354" s="48">
        <f>IF(t&lt;Tnet,'2024'!Resal+('2024'!Salim-'2024'!Resal)*(1-EXP(('2024'!Tnet-t)/('2024'!Tau_j))),Resal+(Salim-Resal)*(1-EXP((Tnet-t)/(Tau_j))))*Salcycl</f>
        <v>3.303744993168755E-2</v>
      </c>
      <c r="P354" s="169">
        <f>(INDEX(Models!$BJ354:$BT354,,T354)*(1-R354)+INDEX(Models!$BJ354:$BT354,,T354+1)*R354-ERP_i)*Q354*Ramure*Pc/MaxiM</f>
        <v>1.6740399157473946E-3</v>
      </c>
      <c r="Q354" s="304">
        <f t="shared" si="130"/>
        <v>0.6</v>
      </c>
      <c r="R354" s="177">
        <f t="shared" si="131"/>
        <v>0.9989580067789785</v>
      </c>
      <c r="S354" s="799">
        <f t="shared" si="132"/>
        <v>1</v>
      </c>
      <c r="T354" s="176">
        <f t="shared" si="133"/>
        <v>7</v>
      </c>
      <c r="U354" s="250">
        <f t="shared" si="134"/>
        <v>1.9989580067789785</v>
      </c>
      <c r="V354" s="382">
        <f t="shared" si="135"/>
        <v>26.233243497348621</v>
      </c>
      <c r="W354" s="400">
        <f t="shared" si="136"/>
        <v>12.280927729375261</v>
      </c>
      <c r="X354" s="157">
        <f t="shared" si="137"/>
        <v>45997</v>
      </c>
      <c r="Y354" s="383">
        <f t="shared" si="138"/>
        <v>11.917062352044715</v>
      </c>
      <c r="Z354" s="383">
        <f t="shared" si="139"/>
        <v>12.502176360816232</v>
      </c>
      <c r="AA354" s="384">
        <f t="shared" si="140"/>
        <v>13.324101442553195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6.1687092767995569E-2</v>
      </c>
      <c r="AD354" s="230">
        <f>(INDEX(Models!$BJ354:$BT354,,AH354)*(1-AF354)+INDEX(Models!$BJ354:$BT354,,AH354+1)*AF354-ERP_i)*AE354*Ramure*Pc/MaxiM</f>
        <v>1.6740399157473946E-3</v>
      </c>
      <c r="AE354" s="304">
        <f t="shared" si="142"/>
        <v>0.6</v>
      </c>
      <c r="AF354" s="177">
        <f t="shared" si="143"/>
        <v>0.9989580067789785</v>
      </c>
      <c r="AG354" s="799">
        <f t="shared" si="149"/>
        <v>1</v>
      </c>
      <c r="AH354" s="176">
        <f t="shared" si="144"/>
        <v>7</v>
      </c>
      <c r="AI354" s="224">
        <f t="shared" si="145"/>
        <v>1.9989580067789785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45998</v>
      </c>
      <c r="B355" s="409">
        <f>IF(t&gt;Tmaj,'2024'!Wh/'2024'!Env_an*'2025'!Env_an,0.001*'[14]mon-tableau (2)'!$B$248)</f>
        <v>22.557437362888113</v>
      </c>
      <c r="C355" s="829"/>
      <c r="D355" s="391">
        <f t="shared" si="127"/>
        <v>23.665435047984509</v>
      </c>
      <c r="E355" s="383">
        <f t="shared" si="125"/>
        <v>24.47620042263765</v>
      </c>
      <c r="F355" s="383">
        <f t="shared" si="128"/>
        <v>24.509958444149781</v>
      </c>
      <c r="G355" s="110">
        <f t="shared" si="126"/>
        <v>0.86349378215310202</v>
      </c>
      <c r="H355" s="412" t="b">
        <f>Wh_hp&gt;='2024'!Maxi_hp</f>
        <v>0</v>
      </c>
      <c r="I355" s="388">
        <f>IF(H355,Wh_hp,'2024'!Maxi_hp)</f>
        <v>24.51491938242404</v>
      </c>
      <c r="J355" s="85">
        <f>IF(H355,An,'2024'!An_max)</f>
        <v>2022</v>
      </c>
      <c r="K355" s="197">
        <f t="shared" si="129"/>
        <v>45998</v>
      </c>
      <c r="L355" s="147">
        <f>IF(t&lt;Tvie,1-EXP((T0-t)*PertePVj)+'2024'!Pspv,1-EXP((T0-t)*PertePVj)+Pspv)</f>
        <v>4.6819240079457591E-2</v>
      </c>
      <c r="M355" s="832"/>
      <c r="N355" s="832"/>
      <c r="O355" s="48">
        <f>IF(t&lt;Tnet,'2024'!Resal+('2024'!Salim-'2024'!Resal)*(1-EXP(('2024'!Tnet-t)/('2024'!Tau_j))),Resal+(Salim-Resal)*(1-EXP((Tnet-t)/(Tau_j))))*Salcycl</f>
        <v>3.3124641923722505E-2</v>
      </c>
      <c r="P355" s="169">
        <f>(INDEX(Models!$BJ355:$BT355,,T355)*(1-R355)+INDEX(Models!$BJ355:$BT355,,T355+1)*R355-ERP_i)*Q355*Ramure*Pc/MaxiM</f>
        <v>1.7101000922966319E-3</v>
      </c>
      <c r="Q355" s="304">
        <f t="shared" si="130"/>
        <v>0.6</v>
      </c>
      <c r="R355" s="177">
        <f t="shared" si="131"/>
        <v>0.99897086965326354</v>
      </c>
      <c r="S355" s="799">
        <f t="shared" si="132"/>
        <v>1</v>
      </c>
      <c r="T355" s="176">
        <f t="shared" si="133"/>
        <v>7</v>
      </c>
      <c r="U355" s="250">
        <f t="shared" si="134"/>
        <v>1.9989708696532635</v>
      </c>
      <c r="V355" s="382">
        <f t="shared" si="135"/>
        <v>26.114745442046882</v>
      </c>
      <c r="W355" s="400">
        <f t="shared" si="136"/>
        <v>22.557437362888113</v>
      </c>
      <c r="X355" s="157">
        <f t="shared" si="137"/>
        <v>45998</v>
      </c>
      <c r="Y355" s="383">
        <f t="shared" si="138"/>
        <v>21.889972722331514</v>
      </c>
      <c r="Z355" s="383">
        <f t="shared" si="139"/>
        <v>22.965185243726776</v>
      </c>
      <c r="AA355" s="384">
        <f t="shared" si="140"/>
        <v>24.47620042263765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6.1734058098059985E-2</v>
      </c>
      <c r="AD355" s="230">
        <f>(INDEX(Models!$BJ355:$BT355,,AH355)*(1-AF355)+INDEX(Models!$BJ355:$BT355,,AH355+1)*AF355-ERP_i)*AE355*Ramure*Pc/MaxiM</f>
        <v>1.7101000922966319E-3</v>
      </c>
      <c r="AE355" s="304">
        <f t="shared" si="142"/>
        <v>0.6</v>
      </c>
      <c r="AF355" s="177">
        <f t="shared" si="143"/>
        <v>0.99897086965326354</v>
      </c>
      <c r="AG355" s="799">
        <f t="shared" si="149"/>
        <v>1</v>
      </c>
      <c r="AH355" s="176">
        <f t="shared" si="144"/>
        <v>7</v>
      </c>
      <c r="AI355" s="224">
        <f t="shared" si="145"/>
        <v>1.9989708696532635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45999</v>
      </c>
      <c r="B356" s="409">
        <f>IF(t&gt;Tmaj,'2024'!Wh/'2024'!Env_an*'2025'!Env_an,0.001*'[14]mon-tableau (2)'!$B$249)</f>
        <v>4.1453966533508604</v>
      </c>
      <c r="C356" s="829"/>
      <c r="D356" s="391">
        <f t="shared" si="127"/>
        <v>4.3490975424222365</v>
      </c>
      <c r="E356" s="383">
        <f t="shared" si="125"/>
        <v>4.4985026946383497</v>
      </c>
      <c r="F356" s="383">
        <f t="shared" si="128"/>
        <v>4.4985026946383497</v>
      </c>
      <c r="G356" s="110">
        <f t="shared" si="126"/>
        <v>0.15912595914761171</v>
      </c>
      <c r="H356" s="412" t="b">
        <f>Wh_hp&gt;='2024'!Maxi_hp</f>
        <v>0</v>
      </c>
      <c r="I356" s="388">
        <f>IF(H356,Wh_hp,'2024'!Maxi_hp)</f>
        <v>18.001380759086484</v>
      </c>
      <c r="J356" s="85">
        <f>IF(H356,An,'2024'!An_max)</f>
        <v>2018</v>
      </c>
      <c r="K356" s="197">
        <f t="shared" si="129"/>
        <v>45999</v>
      </c>
      <c r="L356" s="147">
        <f>IF(t&lt;Tvie,1-EXP((T0-t)*PertePVj)+'2024'!Pspv,1-EXP((T0-t)*PertePVj)+Pspv)</f>
        <v>4.6837507571266035E-2</v>
      </c>
      <c r="M356" s="832"/>
      <c r="N356" s="832"/>
      <c r="O356" s="48">
        <f>IF(t&lt;Tnet,'2024'!Resal+('2024'!Salim-'2024'!Resal)*(1-EXP(('2024'!Tnet-t)/('2024'!Tau_j))),Resal+(Salim-Resal)*(1-EXP((Tnet-t)/(Tau_j))))*Salcycl</f>
        <v>3.3212195781095084E-2</v>
      </c>
      <c r="P356" s="169">
        <f>(INDEX(Models!$BJ356:$BT356,,T356)*(1-R356)+INDEX(Models!$BJ356:$BT356,,T356+1)*R356-ERP_i)*Q356*Ramure*Pc/MaxiM</f>
        <v>1.7425647436853846E-3</v>
      </c>
      <c r="Q356" s="304">
        <f t="shared" si="130"/>
        <v>0.6</v>
      </c>
      <c r="R356" s="177">
        <f t="shared" si="131"/>
        <v>0.9989832152525977</v>
      </c>
      <c r="S356" s="799">
        <f t="shared" si="132"/>
        <v>1</v>
      </c>
      <c r="T356" s="176">
        <f t="shared" si="133"/>
        <v>7</v>
      </c>
      <c r="U356" s="250">
        <f t="shared" si="134"/>
        <v>1.9989832152525977</v>
      </c>
      <c r="V356" s="382">
        <f t="shared" si="135"/>
        <v>26.005643915430561</v>
      </c>
      <c r="W356" s="400">
        <f t="shared" si="136"/>
        <v>4.1453966533508604</v>
      </c>
      <c r="X356" s="157">
        <f t="shared" si="137"/>
        <v>45999</v>
      </c>
      <c r="Y356" s="383">
        <f t="shared" si="138"/>
        <v>4.0228954088404905</v>
      </c>
      <c r="Z356" s="383">
        <f t="shared" si="139"/>
        <v>4.220576702079236</v>
      </c>
      <c r="AA356" s="384">
        <f t="shared" si="140"/>
        <v>4.4985026946383497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6.178188864716392E-2</v>
      </c>
      <c r="AD356" s="230">
        <f>(INDEX(Models!$BJ356:$BT356,,AH356)*(1-AF356)+INDEX(Models!$BJ356:$BT356,,AH356+1)*AF356-ERP_i)*AE356*Ramure*Pc/MaxiM</f>
        <v>1.7425647436853846E-3</v>
      </c>
      <c r="AE356" s="304">
        <f t="shared" si="142"/>
        <v>0.6</v>
      </c>
      <c r="AF356" s="177">
        <f t="shared" si="143"/>
        <v>0.9989832152525977</v>
      </c>
      <c r="AG356" s="799">
        <f t="shared" si="149"/>
        <v>1</v>
      </c>
      <c r="AH356" s="176">
        <f t="shared" si="144"/>
        <v>7</v>
      </c>
      <c r="AI356" s="224">
        <f t="shared" si="145"/>
        <v>1.9989832152525977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46000</v>
      </c>
      <c r="B357" s="409">
        <f>IF(t&gt;Tmaj,'2024'!Wh/'2024'!Env_an*'2025'!Env_an,0.001*'[14]mon-tableau (2)'!$B$250)</f>
        <v>5.0090401673981466</v>
      </c>
      <c r="C357" s="829"/>
      <c r="D357" s="391">
        <f t="shared" si="127"/>
        <v>5.2552804019662256</v>
      </c>
      <c r="E357" s="383">
        <f t="shared" si="125"/>
        <v>5.4363100692384565</v>
      </c>
      <c r="F357" s="383">
        <f t="shared" si="128"/>
        <v>5.4363100692384565</v>
      </c>
      <c r="G357" s="110">
        <f t="shared" si="126"/>
        <v>0.19301020329092214</v>
      </c>
      <c r="H357" s="412" t="b">
        <f>Wh_hp&gt;='2024'!Maxi_hp</f>
        <v>0</v>
      </c>
      <c r="I357" s="388">
        <f>IF(H357,Wh_hp,'2024'!Maxi_hp)</f>
        <v>12.508888202524682</v>
      </c>
      <c r="J357" s="85">
        <f>IF(H357,An,'2024'!An_max)</f>
        <v>2018</v>
      </c>
      <c r="K357" s="197">
        <f t="shared" si="129"/>
        <v>46000</v>
      </c>
      <c r="L357" s="147">
        <f>IF(t&lt;Tvie,1-EXP((T0-t)*PertePVj)+'2024'!Pspv,1-EXP((T0-t)*PertePVj)+Pspv)</f>
        <v>4.6855774712982079E-2</v>
      </c>
      <c r="M357" s="832"/>
      <c r="N357" s="832"/>
      <c r="O357" s="48">
        <f>IF(t&lt;Tnet,'2024'!Resal+('2024'!Salim-'2024'!Resal)*(1-EXP(('2024'!Tnet-t)/('2024'!Tau_j))),Resal+(Salim-Resal)*(1-EXP((Tnet-t)/(Tau_j))))*Salcycl</f>
        <v>3.33000996938334E-2</v>
      </c>
      <c r="P357" s="169">
        <f>(INDEX(Models!$BJ357:$BT357,,T357)*(1-R357)+INDEX(Models!$BJ357:$BT357,,T357+1)*R357-ERP_i)*Q357*Ramure*Pc/MaxiM</f>
        <v>1.7713997094485213E-3</v>
      </c>
      <c r="Q357" s="304">
        <f t="shared" si="130"/>
        <v>0.6</v>
      </c>
      <c r="R357" s="177">
        <f t="shared" si="131"/>
        <v>0.99899506435495766</v>
      </c>
      <c r="S357" s="799">
        <f t="shared" si="132"/>
        <v>1</v>
      </c>
      <c r="T357" s="176">
        <f t="shared" si="133"/>
        <v>7</v>
      </c>
      <c r="U357" s="250">
        <f t="shared" si="134"/>
        <v>1.9989950643549577</v>
      </c>
      <c r="V357" s="382">
        <f t="shared" si="135"/>
        <v>25.906232260500264</v>
      </c>
      <c r="W357" s="400">
        <f t="shared" si="136"/>
        <v>5.0090401673981466</v>
      </c>
      <c r="X357" s="157">
        <f t="shared" si="137"/>
        <v>46000</v>
      </c>
      <c r="Y357" s="383">
        <f t="shared" si="138"/>
        <v>4.8612071058982123</v>
      </c>
      <c r="Z357" s="383">
        <f t="shared" si="139"/>
        <v>5.1001799905301519</v>
      </c>
      <c r="AA357" s="384">
        <f t="shared" si="140"/>
        <v>5.4363100692384565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6.1830556834921564E-2</v>
      </c>
      <c r="AD357" s="230">
        <f>(INDEX(Models!$BJ357:$BT357,,AH357)*(1-AF357)+INDEX(Models!$BJ357:$BT357,,AH357+1)*AF357-ERP_i)*AE357*Ramure*Pc/MaxiM</f>
        <v>1.7713997094485213E-3</v>
      </c>
      <c r="AE357" s="304">
        <f t="shared" si="142"/>
        <v>0.6</v>
      </c>
      <c r="AF357" s="177">
        <f t="shared" si="143"/>
        <v>0.99899506435495766</v>
      </c>
      <c r="AG357" s="799">
        <f t="shared" si="149"/>
        <v>1</v>
      </c>
      <c r="AH357" s="176">
        <f t="shared" si="144"/>
        <v>7</v>
      </c>
      <c r="AI357" s="224">
        <f t="shared" si="145"/>
        <v>1.9989950643549577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46001</v>
      </c>
      <c r="B358" s="409">
        <f>IF(t&gt;Tmaj,'2024'!Wh/'2024'!Env_an*'2025'!Env_an,0.001*'[14]mon-tableau (2)'!$B$251)</f>
        <v>11.579315674543436</v>
      </c>
      <c r="C358" s="829"/>
      <c r="D358" s="391">
        <f t="shared" si="127"/>
        <v>12.148777998684077</v>
      </c>
      <c r="E358" s="383">
        <f t="shared" si="125"/>
        <v>12.568416572050683</v>
      </c>
      <c r="F358" s="383">
        <f t="shared" si="128"/>
        <v>12.573209188887978</v>
      </c>
      <c r="G358" s="110">
        <f t="shared" si="126"/>
        <v>0.44788348705992459</v>
      </c>
      <c r="H358" s="412" t="b">
        <f>Wh_hp&gt;='2024'!Maxi_hp</f>
        <v>0</v>
      </c>
      <c r="I358" s="388">
        <f>IF(H358,Wh_hp,'2024'!Maxi_hp)</f>
        <v>24.237624658257118</v>
      </c>
      <c r="J358" s="85">
        <f>IF(H358,An,'2024'!An_max)</f>
        <v>2018</v>
      </c>
      <c r="K358" s="197">
        <f t="shared" si="129"/>
        <v>46001</v>
      </c>
      <c r="L358" s="147">
        <f>IF(t&lt;Tvie,1-EXP((T0-t)*PertePVj)+'2024'!Pspv,1-EXP((T0-t)*PertePVj)+Pspv)</f>
        <v>4.6874041504612607E-2</v>
      </c>
      <c r="M358" s="832"/>
      <c r="N358" s="832"/>
      <c r="O358" s="48">
        <f>IF(t&lt;Tnet,'2024'!Resal+('2024'!Salim-'2024'!Resal)*(1-EXP(('2024'!Tnet-t)/('2024'!Tau_j))),Resal+(Salim-Resal)*(1-EXP((Tnet-t)/(Tau_j))))*Salcycl</f>
        <v>3.3388340604479004E-2</v>
      </c>
      <c r="P358" s="169">
        <f>(INDEX(Models!$BJ358:$BT358,,T358)*(1-R358)+INDEX(Models!$BJ358:$BT358,,T358+1)*R358-ERP_i)*Q358*Ramure*Pc/MaxiM</f>
        <v>1.7965689184331875E-3</v>
      </c>
      <c r="Q358" s="304">
        <f t="shared" si="130"/>
        <v>0.6</v>
      </c>
      <c r="R358" s="177">
        <f t="shared" si="131"/>
        <v>0.9990064369056022</v>
      </c>
      <c r="S358" s="799">
        <f t="shared" si="132"/>
        <v>1</v>
      </c>
      <c r="T358" s="176">
        <f t="shared" si="133"/>
        <v>7</v>
      </c>
      <c r="U358" s="250">
        <f t="shared" si="134"/>
        <v>1.9990064369056022</v>
      </c>
      <c r="V358" s="382">
        <f t="shared" si="135"/>
        <v>25.816803896498133</v>
      </c>
      <c r="W358" s="400">
        <f t="shared" si="136"/>
        <v>11.579315674543436</v>
      </c>
      <c r="X358" s="157">
        <f t="shared" si="137"/>
        <v>46001</v>
      </c>
      <c r="Y358" s="383">
        <f t="shared" si="138"/>
        <v>11.238005596979411</v>
      </c>
      <c r="Z358" s="383">
        <f t="shared" si="139"/>
        <v>11.790682539713661</v>
      </c>
      <c r="AA358" s="384">
        <f t="shared" si="140"/>
        <v>12.568416572050683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6.1880033008018448E-2</v>
      </c>
      <c r="AD358" s="230">
        <f>(INDEX(Models!$BJ358:$BT358,,AH358)*(1-AF358)+INDEX(Models!$BJ358:$BT358,,AH358+1)*AF358-ERP_i)*AE358*Ramure*Pc/MaxiM</f>
        <v>1.7965689184331875E-3</v>
      </c>
      <c r="AE358" s="304">
        <f t="shared" si="142"/>
        <v>0.6</v>
      </c>
      <c r="AF358" s="177">
        <f t="shared" si="143"/>
        <v>0.9990064369056022</v>
      </c>
      <c r="AG358" s="799">
        <f t="shared" si="149"/>
        <v>1</v>
      </c>
      <c r="AH358" s="176">
        <f t="shared" si="144"/>
        <v>7</v>
      </c>
      <c r="AI358" s="224">
        <f t="shared" si="145"/>
        <v>1.9990064369056022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46002</v>
      </c>
      <c r="B359" s="409">
        <f>IF(t&gt;Tmaj,'2024'!Wh/'2024'!Env_an*'2025'!Env_an,0.001*'[14]mon-tableau (2)'!$B$252)</f>
        <v>18.218106214531982</v>
      </c>
      <c r="C359" s="829"/>
      <c r="D359" s="391">
        <f t="shared" si="127"/>
        <v>19.114425753163413</v>
      </c>
      <c r="E359" s="383">
        <f t="shared" si="125"/>
        <v>19.776481119570114</v>
      </c>
      <c r="F359" s="383">
        <f t="shared" si="128"/>
        <v>19.797454301446972</v>
      </c>
      <c r="G359" s="110">
        <f t="shared" si="126"/>
        <v>0.70733816727299159</v>
      </c>
      <c r="H359" s="412" t="b">
        <f>Wh_hp&gt;='2024'!Maxi_hp</f>
        <v>0</v>
      </c>
      <c r="I359" s="388">
        <f>IF(H359,Wh_hp,'2024'!Maxi_hp)</f>
        <v>19.806310126672773</v>
      </c>
      <c r="J359" s="85">
        <f>IF(H359,An,'2024'!An_max)</f>
        <v>2022</v>
      </c>
      <c r="K359" s="197">
        <f t="shared" si="129"/>
        <v>46002</v>
      </c>
      <c r="L359" s="147">
        <f>IF(t&lt;Tvie,1-EXP((T0-t)*PertePVj)+'2024'!Pspv,1-EXP((T0-t)*PertePVj)+Pspv)</f>
        <v>4.6892307946164169E-2</v>
      </c>
      <c r="M359" s="832"/>
      <c r="N359" s="832"/>
      <c r="O359" s="48">
        <f>IF(t&lt;Tnet,'2024'!Resal+('2024'!Salim-'2024'!Resal)*(1-EXP(('2024'!Tnet-t)/('2024'!Tau_j))),Resal+(Salim-Resal)*(1-EXP((Tnet-t)/(Tau_j))))*Salcycl</f>
        <v>3.3476904329130294E-2</v>
      </c>
      <c r="P359" s="169">
        <f>(INDEX(Models!$BJ359:$BT359,,T359)*(1-R359)+INDEX(Models!$BJ359:$BT359,,T359+1)*R359-ERP_i)*Q359*Ramure*Pc/MaxiM</f>
        <v>1.8181304512000481E-3</v>
      </c>
      <c r="Q359" s="304">
        <f t="shared" si="130"/>
        <v>0.6</v>
      </c>
      <c r="R359" s="177">
        <f t="shared" si="131"/>
        <v>0.99901735205029363</v>
      </c>
      <c r="S359" s="799">
        <f t="shared" si="132"/>
        <v>1</v>
      </c>
      <c r="T359" s="176">
        <f t="shared" si="133"/>
        <v>7</v>
      </c>
      <c r="U359" s="250">
        <f t="shared" si="134"/>
        <v>1.9990173520502936</v>
      </c>
      <c r="V359" s="382">
        <f t="shared" si="135"/>
        <v>25.736302017331472</v>
      </c>
      <c r="W359" s="400">
        <f t="shared" si="136"/>
        <v>18.218106214531982</v>
      </c>
      <c r="X359" s="157">
        <f t="shared" si="137"/>
        <v>46002</v>
      </c>
      <c r="Y359" s="383">
        <f t="shared" si="138"/>
        <v>17.681785120956611</v>
      </c>
      <c r="Z359" s="383">
        <f t="shared" si="139"/>
        <v>18.551717994064688</v>
      </c>
      <c r="AA359" s="384">
        <f t="shared" si="140"/>
        <v>19.776481119570114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6.1930285681280409E-2</v>
      </c>
      <c r="AD359" s="230">
        <f>(INDEX(Models!$BJ359:$BT359,,AH359)*(1-AF359)+INDEX(Models!$BJ359:$BT359,,AH359+1)*AF359-ERP_i)*AE359*Ramure*Pc/MaxiM</f>
        <v>1.8181304512000481E-3</v>
      </c>
      <c r="AE359" s="304">
        <f t="shared" si="142"/>
        <v>0.6</v>
      </c>
      <c r="AF359" s="177">
        <f t="shared" si="143"/>
        <v>0.99901735205029363</v>
      </c>
      <c r="AG359" s="799">
        <f t="shared" si="149"/>
        <v>1</v>
      </c>
      <c r="AH359" s="176">
        <f t="shared" si="144"/>
        <v>7</v>
      </c>
      <c r="AI359" s="224">
        <f t="shared" si="145"/>
        <v>1.9990173520502936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46003</v>
      </c>
      <c r="B360" s="409">
        <f>IF(t&gt;Tmaj,'2024'!Wh/'2024'!Env_an*'2025'!Env_an,0.001*'[14]mon-tableau (2)'!$B$253)</f>
        <v>7.0232660421378963</v>
      </c>
      <c r="C360" s="829"/>
      <c r="D360" s="391">
        <f t="shared" si="127"/>
        <v>7.3689476043093665</v>
      </c>
      <c r="E360" s="383">
        <f t="shared" si="125"/>
        <v>7.6248827068582479</v>
      </c>
      <c r="F360" s="383">
        <f t="shared" si="128"/>
        <v>7.6248827068582479</v>
      </c>
      <c r="G360" s="110">
        <f t="shared" si="126"/>
        <v>0.27316332382030506</v>
      </c>
      <c r="H360" s="412" t="b">
        <f>Wh_hp&gt;='2024'!Maxi_hp</f>
        <v>0</v>
      </c>
      <c r="I360" s="388">
        <f>IF(H360,Wh_hp,'2024'!Maxi_hp)</f>
        <v>26.814406326002654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4.6910574037643538E-2</v>
      </c>
      <c r="M360" s="832"/>
      <c r="N360" s="832"/>
      <c r="O360" s="48">
        <f>IF(t&lt;Tnet,'2024'!Resal+('2024'!Salim-'2024'!Resal)*(1-EXP(('2024'!Tnet-t)/('2024'!Tau_j))),Resal+(Salim-Resal)*(1-EXP((Tnet-t)/(Tau_j))))*Salcycl</f>
        <v>3.356577568316943E-2</v>
      </c>
      <c r="P360" s="169">
        <f>(INDEX(Models!$BJ360:$BT360,,T360)*(1-R360)+INDEX(Models!$BJ360:$BT360,,T360+1)*R360-ERP_i)*Q360*Ramure*Pc/MaxiM</f>
        <v>1.8361478533567405E-3</v>
      </c>
      <c r="Q360" s="304">
        <f t="shared" si="130"/>
        <v>0.6</v>
      </c>
      <c r="R360" s="177">
        <f t="shared" si="131"/>
        <v>0.99902782816720825</v>
      </c>
      <c r="S360" s="799">
        <f t="shared" si="132"/>
        <v>1</v>
      </c>
      <c r="T360" s="176">
        <f t="shared" si="133"/>
        <v>7</v>
      </c>
      <c r="U360" s="250">
        <f t="shared" si="134"/>
        <v>1.9990278281672083</v>
      </c>
      <c r="V360" s="382">
        <f t="shared" si="135"/>
        <v>25.663658609904381</v>
      </c>
      <c r="W360" s="400">
        <f t="shared" si="136"/>
        <v>7.0232660421378963</v>
      </c>
      <c r="X360" s="157">
        <f t="shared" si="137"/>
        <v>46003</v>
      </c>
      <c r="Y360" s="383">
        <f t="shared" si="138"/>
        <v>6.816765015942023</v>
      </c>
      <c r="Z360" s="383">
        <f t="shared" si="139"/>
        <v>7.1522827032300533</v>
      </c>
      <c r="AA360" s="384">
        <f t="shared" si="140"/>
        <v>7.6248827068582479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6.1981281784585493E-2</v>
      </c>
      <c r="AD360" s="230">
        <f>(INDEX(Models!$BJ360:$BT360,,AH360)*(1-AF360)+INDEX(Models!$BJ360:$BT360,,AH360+1)*AF360-ERP_i)*AE360*Ramure*Pc/MaxiM</f>
        <v>1.8361478533567405E-3</v>
      </c>
      <c r="AE360" s="304">
        <f t="shared" si="142"/>
        <v>0.6</v>
      </c>
      <c r="AF360" s="177">
        <f t="shared" si="143"/>
        <v>0.99902782816720825</v>
      </c>
      <c r="AG360" s="799">
        <f t="shared" si="149"/>
        <v>1</v>
      </c>
      <c r="AH360" s="176">
        <f t="shared" si="144"/>
        <v>7</v>
      </c>
      <c r="AI360" s="224">
        <f t="shared" si="145"/>
        <v>1.9990278281672083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46004</v>
      </c>
      <c r="B361" s="409">
        <f>IF(t&gt;Tmaj,'2024'!Wh/'2024'!Env_an*'2025'!Env_an,0.001*'[14]mon-tableau (2)'!$B$254)</f>
        <v>5.4509617828280046</v>
      </c>
      <c r="C361" s="829"/>
      <c r="D361" s="391">
        <f t="shared" si="127"/>
        <v>5.7193649439191443</v>
      </c>
      <c r="E361" s="383">
        <f t="shared" ref="E361:E379" si="150">Wh_pvt/(1-Psa)</f>
        <v>5.9185534985774524</v>
      </c>
      <c r="F361" s="383">
        <f t="shared" si="128"/>
        <v>5.9185534985774524</v>
      </c>
      <c r="G361" s="110">
        <f t="shared" ref="G361:G379" si="151">+Wh_hp/MaxiM</f>
        <v>0.2125412052703505</v>
      </c>
      <c r="H361" s="412" t="b">
        <f>Wh_hp&gt;='2024'!Maxi_hp</f>
        <v>0</v>
      </c>
      <c r="I361" s="388">
        <f>IF(H361,Wh_hp,'2024'!Maxi_hp)</f>
        <v>28.151976192045886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4.6928839779057485E-2</v>
      </c>
      <c r="M361" s="832"/>
      <c r="N361" s="832"/>
      <c r="O361" s="48">
        <f>IF(t&lt;Tnet,'2024'!Resal+('2024'!Salim-'2024'!Resal)*(1-EXP(('2024'!Tnet-t)/('2024'!Tau_j))),Resal+(Salim-Resal)*(1-EXP((Tnet-t)/(Tau_j))))*Salcycl</f>
        <v>3.3654938610622277E-2</v>
      </c>
      <c r="P361" s="169">
        <f>(INDEX(Models!$BJ361:$BT361,,T361)*(1-R361)+INDEX(Models!$BJ361:$BT361,,T361+1)*R361-ERP_i)*Q361*Ramure*Pc/MaxiM</f>
        <v>1.852022787450543E-3</v>
      </c>
      <c r="Q361" s="304">
        <f t="shared" si="130"/>
        <v>0.6</v>
      </c>
      <c r="R361" s="177">
        <f t="shared" si="131"/>
        <v>0.99903788289758433</v>
      </c>
      <c r="S361" s="799">
        <f t="shared" si="132"/>
        <v>1</v>
      </c>
      <c r="T361" s="176">
        <f t="shared" si="133"/>
        <v>7</v>
      </c>
      <c r="U361" s="250">
        <f t="shared" si="134"/>
        <v>1.9990378828975843</v>
      </c>
      <c r="V361" s="382">
        <f t="shared" si="135"/>
        <v>25.599113689375912</v>
      </c>
      <c r="W361" s="400">
        <f t="shared" si="136"/>
        <v>5.4509617828280046</v>
      </c>
      <c r="X361" s="157">
        <f t="shared" si="137"/>
        <v>46004</v>
      </c>
      <c r="Y361" s="383">
        <f t="shared" si="138"/>
        <v>5.290886812766491</v>
      </c>
      <c r="Z361" s="383">
        <f t="shared" si="139"/>
        <v>5.5514079468525193</v>
      </c>
      <c r="AA361" s="384">
        <f t="shared" si="140"/>
        <v>5.9185534985774524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6.2032986913639912E-2</v>
      </c>
      <c r="AD361" s="230">
        <f>(INDEX(Models!$BJ361:$BT361,,AH361)*(1-AF361)+INDEX(Models!$BJ361:$BT361,,AH361+1)*AF361-ERP_i)*AE361*Ramure*Pc/MaxiM</f>
        <v>1.852022787450543E-3</v>
      </c>
      <c r="AE361" s="304">
        <f t="shared" si="142"/>
        <v>0.6</v>
      </c>
      <c r="AF361" s="177">
        <f t="shared" si="143"/>
        <v>0.99903788289758433</v>
      </c>
      <c r="AG361" s="799">
        <f t="shared" si="149"/>
        <v>1</v>
      </c>
      <c r="AH361" s="176">
        <f t="shared" si="144"/>
        <v>7</v>
      </c>
      <c r="AI361" s="224">
        <f t="shared" si="145"/>
        <v>1.9990378828975843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46005</v>
      </c>
      <c r="B362" s="409">
        <f>IF(t&gt;Tmaj,'2024'!Wh/'2024'!Env_an*'2025'!Env_an,0.001*'[14]mon-tableau (2)'!$B$255)</f>
        <v>17.706179522725371</v>
      </c>
      <c r="C362" s="829"/>
      <c r="D362" s="391">
        <f t="shared" si="127"/>
        <v>18.578380716100089</v>
      </c>
      <c r="E362" s="383">
        <f t="shared" si="150"/>
        <v>19.227190259725162</v>
      </c>
      <c r="F362" s="383">
        <f t="shared" si="128"/>
        <v>19.247361144412949</v>
      </c>
      <c r="G362" s="110">
        <f t="shared" si="151"/>
        <v>0.69262513554138561</v>
      </c>
      <c r="H362" s="412" t="b">
        <f>Wh_hp&gt;='2024'!Maxi_hp</f>
        <v>0</v>
      </c>
      <c r="I362" s="388">
        <f>IF(H362,Wh_hp,'2024'!Maxi_hp)</f>
        <v>27.05277642016825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4.6947105170412673E-2</v>
      </c>
      <c r="M362" s="832"/>
      <c r="N362" s="832"/>
      <c r="O362" s="48">
        <f>IF(t&lt;Tnet,'2024'!Resal+('2024'!Salim-'2024'!Resal)*(1-EXP(('2024'!Tnet-t)/('2024'!Tau_j))),Resal+(Salim-Resal)*(1-EXP((Tnet-t)/(Tau_j))))*Salcycl</f>
        <v>3.3744376316082104E-2</v>
      </c>
      <c r="P362" s="169">
        <f>(INDEX(Models!$BJ362:$BT362,,T362)*(1-R362)+INDEX(Models!$BJ362:$BT362,,T362+1)*R362-ERP_i)*Q362*Ramure*Pc/MaxiM</f>
        <v>1.8657200449786852E-3</v>
      </c>
      <c r="Q362" s="304">
        <f t="shared" si="130"/>
        <v>0.6</v>
      </c>
      <c r="R362" s="177">
        <f t="shared" si="131"/>
        <v>0.9990475331751536</v>
      </c>
      <c r="S362" s="799">
        <f t="shared" si="132"/>
        <v>1</v>
      </c>
      <c r="T362" s="176">
        <f t="shared" si="133"/>
        <v>7</v>
      </c>
      <c r="U362" s="250">
        <f t="shared" si="134"/>
        <v>1.9990475331751536</v>
      </c>
      <c r="V362" s="382">
        <f t="shared" si="135"/>
        <v>25.542944380050741</v>
      </c>
      <c r="W362" s="400">
        <f t="shared" si="136"/>
        <v>17.706179522725371</v>
      </c>
      <c r="X362" s="157">
        <f t="shared" si="137"/>
        <v>46005</v>
      </c>
      <c r="Y362" s="383">
        <f t="shared" si="138"/>
        <v>17.186844233485878</v>
      </c>
      <c r="Z362" s="383">
        <f t="shared" si="139"/>
        <v>18.033463123323298</v>
      </c>
      <c r="AA362" s="384">
        <f t="shared" si="140"/>
        <v>19.227190259725162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6.2085365582632362E-2</v>
      </c>
      <c r="AD362" s="230">
        <f>(INDEX(Models!$BJ362:$BT362,,AH362)*(1-AF362)+INDEX(Models!$BJ362:$BT362,,AH362+1)*AF362-ERP_i)*AE362*Ramure*Pc/MaxiM</f>
        <v>1.8657200449786852E-3</v>
      </c>
      <c r="AE362" s="304">
        <f t="shared" si="142"/>
        <v>0.6</v>
      </c>
      <c r="AF362" s="177">
        <f t="shared" si="143"/>
        <v>0.9990475331751536</v>
      </c>
      <c r="AG362" s="799">
        <f t="shared" si="149"/>
        <v>1</v>
      </c>
      <c r="AH362" s="176">
        <f t="shared" si="144"/>
        <v>7</v>
      </c>
      <c r="AI362" s="224">
        <f t="shared" si="145"/>
        <v>1.9990475331751536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46006</v>
      </c>
      <c r="B363" s="409">
        <f>IF(t&gt;Tmaj,'2024'!Wh/'2024'!Env_an*'2025'!Env_an,0.001*'[14]mon-tableau (2)'!$B$256)</f>
        <v>5.9300489662373526</v>
      </c>
      <c r="C363" s="829"/>
      <c r="D363" s="391">
        <f t="shared" si="127"/>
        <v>6.222280682030104</v>
      </c>
      <c r="E363" s="383">
        <f t="shared" si="150"/>
        <v>6.4401781286514943</v>
      </c>
      <c r="F363" s="383">
        <f t="shared" si="128"/>
        <v>6.4401781286514943</v>
      </c>
      <c r="G363" s="110">
        <f t="shared" si="151"/>
        <v>0.23215602058827978</v>
      </c>
      <c r="H363" s="412" t="b">
        <f>Wh_hp&gt;='2024'!Maxi_hp</f>
        <v>0</v>
      </c>
      <c r="I363" s="388">
        <f>IF(H363,Wh_hp,'2024'!Maxi_hp)</f>
        <v>28.710535852153466</v>
      </c>
      <c r="J363" s="85">
        <f>IF(H363,An,'2024'!An_max)</f>
        <v>2018</v>
      </c>
      <c r="K363" s="197">
        <f t="shared" si="129"/>
        <v>46006</v>
      </c>
      <c r="L363" s="147">
        <f>IF(t&lt;Tvie,1-EXP((T0-t)*PertePVj)+'2024'!Pspv,1-EXP((T0-t)*PertePVj)+Pspv)</f>
        <v>4.6965370211715762E-2</v>
      </c>
      <c r="M363" s="832"/>
      <c r="N363" s="832"/>
      <c r="O363" s="48">
        <f>IF(t&lt;Tnet,'2024'!Resal+('2024'!Salim-'2024'!Resal)*(1-EXP(('2024'!Tnet-t)/('2024'!Tau_j))),Resal+(Salim-Resal)*(1-EXP((Tnet-t)/(Tau_j))))*Salcycl</f>
        <v>3.3834071398117657E-2</v>
      </c>
      <c r="P363" s="169">
        <f>(INDEX(Models!$BJ363:$BT363,,T363)*(1-R363)+INDEX(Models!$BJ363:$BT363,,T363+1)*R363-ERP_i)*Q363*Ramure*Pc/MaxiM</f>
        <v>1.8772036578779858E-3</v>
      </c>
      <c r="Q363" s="304">
        <f t="shared" si="130"/>
        <v>0.6</v>
      </c>
      <c r="R363" s="177">
        <f t="shared" si="131"/>
        <v>0.99905679525441005</v>
      </c>
      <c r="S363" s="799">
        <f t="shared" si="132"/>
        <v>1</v>
      </c>
      <c r="T363" s="176">
        <f t="shared" si="133"/>
        <v>7</v>
      </c>
      <c r="U363" s="250">
        <f t="shared" si="134"/>
        <v>1.99905679525441</v>
      </c>
      <c r="V363" s="382">
        <f t="shared" si="135"/>
        <v>25.495427780111374</v>
      </c>
      <c r="W363" s="400">
        <f t="shared" si="136"/>
        <v>5.9300489662373526</v>
      </c>
      <c r="X363" s="157">
        <f t="shared" si="137"/>
        <v>46006</v>
      </c>
      <c r="Y363" s="383">
        <f t="shared" si="138"/>
        <v>5.7563252405777341</v>
      </c>
      <c r="Z363" s="383">
        <f t="shared" si="139"/>
        <v>6.0399958833148553</v>
      </c>
      <c r="AA363" s="384">
        <f t="shared" si="140"/>
        <v>6.4401781286514943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6.2138381476792119E-2</v>
      </c>
      <c r="AD363" s="230">
        <f>(INDEX(Models!$BJ363:$BT363,,AH363)*(1-AF363)+INDEX(Models!$BJ363:$BT363,,AH363+1)*AF363-ERP_i)*AE363*Ramure*Pc/MaxiM</f>
        <v>1.8772036578779858E-3</v>
      </c>
      <c r="AE363" s="304">
        <f t="shared" si="142"/>
        <v>0.6</v>
      </c>
      <c r="AF363" s="177">
        <f t="shared" si="143"/>
        <v>0.99905679525441005</v>
      </c>
      <c r="AG363" s="799">
        <f t="shared" si="149"/>
        <v>1</v>
      </c>
      <c r="AH363" s="176">
        <f t="shared" si="144"/>
        <v>7</v>
      </c>
      <c r="AI363" s="224">
        <f t="shared" si="145"/>
        <v>1.99905679525441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46007</v>
      </c>
      <c r="B364" s="409">
        <f>IF(t&gt;Tmaj,'2024'!Wh/'2024'!Env_an*'2025'!Env_an,0.001*'[14]mon-tableau (2)'!$B$257)</f>
        <v>5.2943115513709724</v>
      </c>
      <c r="C364" s="829"/>
      <c r="D364" s="391">
        <f t="shared" si="127"/>
        <v>5.5553207114465017</v>
      </c>
      <c r="E364" s="383">
        <f t="shared" si="150"/>
        <v>5.7503972211830376</v>
      </c>
      <c r="F364" s="383">
        <f t="shared" si="128"/>
        <v>5.7503972211830376</v>
      </c>
      <c r="G364" s="110">
        <f t="shared" si="151"/>
        <v>0.20757972959302645</v>
      </c>
      <c r="H364" s="412" t="b">
        <f>Wh_hp&gt;='2024'!Maxi_hp</f>
        <v>0</v>
      </c>
      <c r="I364" s="388">
        <f>IF(H364,Wh_hp,'2024'!Maxi_hp)</f>
        <v>28.36247847047073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4.6983634902973526E-2</v>
      </c>
      <c r="M364" s="832"/>
      <c r="N364" s="832"/>
      <c r="O364" s="48">
        <f>IF(t&lt;Tnet,'2024'!Resal+('2024'!Salim-'2024'!Resal)*(1-EXP(('2024'!Tnet-t)/('2024'!Tau_j))),Resal+(Salim-Resal)*(1-EXP((Tnet-t)/(Tau_j))))*Salcycl</f>
        <v>3.3924005983086189E-2</v>
      </c>
      <c r="P364" s="169">
        <f>(INDEX(Models!$BJ364:$BT364,,T364)*(1-R364)+INDEX(Models!$BJ364:$BT364,,T364+1)*R364-ERP_i)*Q364*Ramure*Pc/MaxiM</f>
        <v>1.8864375870375396E-3</v>
      </c>
      <c r="Q364" s="304">
        <f t="shared" si="130"/>
        <v>0.6</v>
      </c>
      <c r="R364" s="177">
        <f t="shared" si="131"/>
        <v>0.99906568473775526</v>
      </c>
      <c r="S364" s="799">
        <f t="shared" si="132"/>
        <v>1</v>
      </c>
      <c r="T364" s="176">
        <f t="shared" si="133"/>
        <v>7</v>
      </c>
      <c r="U364" s="250">
        <f t="shared" si="134"/>
        <v>1.9990656847377553</v>
      </c>
      <c r="V364" s="382">
        <f t="shared" si="135"/>
        <v>25.45684096141391</v>
      </c>
      <c r="W364" s="400">
        <f t="shared" si="136"/>
        <v>5.2943115513709724</v>
      </c>
      <c r="X364" s="157">
        <f t="shared" si="137"/>
        <v>46007</v>
      </c>
      <c r="Y364" s="383">
        <f t="shared" si="138"/>
        <v>5.1393966626632919</v>
      </c>
      <c r="Z364" s="383">
        <f t="shared" si="139"/>
        <v>5.3927685304124351</v>
      </c>
      <c r="AA364" s="384">
        <f t="shared" si="140"/>
        <v>5.7503972211830376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6.2191997702904331E-2</v>
      </c>
      <c r="AD364" s="230">
        <f>(INDEX(Models!$BJ364:$BT364,,AH364)*(1-AF364)+INDEX(Models!$BJ364:$BT364,,AH364+1)*AF364-ERP_i)*AE364*Ramure*Pc/MaxiM</f>
        <v>1.8864375870375396E-3</v>
      </c>
      <c r="AE364" s="304">
        <f t="shared" si="142"/>
        <v>0.6</v>
      </c>
      <c r="AF364" s="177">
        <f t="shared" si="143"/>
        <v>0.99906568473775526</v>
      </c>
      <c r="AG364" s="799">
        <f t="shared" si="149"/>
        <v>1</v>
      </c>
      <c r="AH364" s="176">
        <f t="shared" si="144"/>
        <v>7</v>
      </c>
      <c r="AI364" s="224">
        <f t="shared" si="145"/>
        <v>1.9990656847377553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46008</v>
      </c>
      <c r="B365" s="409">
        <f>IF(t&gt;Tmaj,'2024'!Wh/'2024'!Env_an*'2025'!Env_an,0.001*'[14]mon-tableau (2)'!$B$258)</f>
        <v>3.4932294623361249</v>
      </c>
      <c r="C365" s="829"/>
      <c r="D365" s="391">
        <f t="shared" si="127"/>
        <v>3.6655156600686833</v>
      </c>
      <c r="E365" s="383">
        <f t="shared" si="150"/>
        <v>3.7945852986003321</v>
      </c>
      <c r="F365" s="383">
        <f t="shared" si="128"/>
        <v>3.7945852986003321</v>
      </c>
      <c r="G365" s="110">
        <f t="shared" si="151"/>
        <v>0.13712007804611928</v>
      </c>
      <c r="H365" s="412" t="b">
        <f>Wh_hp&gt;='2024'!Maxi_hp</f>
        <v>0</v>
      </c>
      <c r="I365" s="388">
        <f>IF(H365,Wh_hp,'2024'!Maxi_hp)</f>
        <v>28.942207486281909</v>
      </c>
      <c r="J365" s="85">
        <f>IF(H365,An,'2024'!An_max)</f>
        <v>2021</v>
      </c>
      <c r="K365" s="197">
        <f t="shared" si="129"/>
        <v>46008</v>
      </c>
      <c r="L365" s="147">
        <f>IF(t&lt;Tvie,1-EXP((T0-t)*PertePVj)+'2024'!Pspv,1-EXP((T0-t)*PertePVj)+Pspv)</f>
        <v>4.7001899244192624E-2</v>
      </c>
      <c r="M365" s="832"/>
      <c r="N365" s="832"/>
      <c r="O365" s="48">
        <f>IF(t&lt;Tnet,'2024'!Resal+('2024'!Salim-'2024'!Resal)*(1-EXP(('2024'!Tnet-t)/('2024'!Tau_j))),Resal+(Salim-Resal)*(1-EXP((Tnet-t)/(Tau_j))))*Salcycl</f>
        <v>3.4014161858281849E-2</v>
      </c>
      <c r="P365" s="169">
        <f>(INDEX(Models!$BJ365:$BT365,,T365)*(1-R365)+INDEX(Models!$BJ365:$BT365,,T365+1)*R365-ERP_i)*Q365*Ramure*Pc/MaxiM</f>
        <v>1.8933864360361585E-3</v>
      </c>
      <c r="Q365" s="304">
        <f t="shared" si="130"/>
        <v>0.6</v>
      </c>
      <c r="R365" s="177">
        <f t="shared" si="131"/>
        <v>0.99907421660156759</v>
      </c>
      <c r="S365" s="799">
        <f t="shared" si="132"/>
        <v>1</v>
      </c>
      <c r="T365" s="176">
        <f t="shared" si="133"/>
        <v>7</v>
      </c>
      <c r="U365" s="250">
        <f t="shared" si="134"/>
        <v>1.9990742166015676</v>
      </c>
      <c r="V365" s="382">
        <f t="shared" si="135"/>
        <v>25.427460943257916</v>
      </c>
      <c r="W365" s="400">
        <f t="shared" si="136"/>
        <v>3.4932294623361249</v>
      </c>
      <c r="X365" s="157">
        <f t="shared" si="137"/>
        <v>46008</v>
      </c>
      <c r="Y365" s="383">
        <f t="shared" si="138"/>
        <v>3.3911359291749883</v>
      </c>
      <c r="Z365" s="383">
        <f t="shared" si="139"/>
        <v>3.5583868703259043</v>
      </c>
      <c r="AA365" s="384">
        <f t="shared" si="140"/>
        <v>3.7945852986003321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6.2246177035881103E-2</v>
      </c>
      <c r="AD365" s="230">
        <f>(INDEX(Models!$BJ365:$BT365,,AH365)*(1-AF365)+INDEX(Models!$BJ365:$BT365,,AH365+1)*AF365-ERP_i)*AE365*Ramure*Pc/MaxiM</f>
        <v>1.8933864360361585E-3</v>
      </c>
      <c r="AE365" s="304">
        <f t="shared" si="142"/>
        <v>0.6</v>
      </c>
      <c r="AF365" s="177">
        <f t="shared" si="143"/>
        <v>0.99907421660156759</v>
      </c>
      <c r="AG365" s="799">
        <f t="shared" si="149"/>
        <v>1</v>
      </c>
      <c r="AH365" s="176">
        <f t="shared" si="144"/>
        <v>7</v>
      </c>
      <c r="AI365" s="224">
        <f t="shared" si="145"/>
        <v>1.9990742166015676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46009</v>
      </c>
      <c r="B366" s="409">
        <f>IF(t&gt;Tmaj,'2024'!Wh/'2024'!Env_an*'2025'!Env_an,0.001*'[14]mon-tableau (2)'!$B$259)</f>
        <v>24.730508656966741</v>
      </c>
      <c r="C366" s="829"/>
      <c r="D366" s="391">
        <f t="shared" si="127"/>
        <v>25.950715537620567</v>
      </c>
      <c r="E366" s="383">
        <f t="shared" si="150"/>
        <v>26.867001752437318</v>
      </c>
      <c r="F366" s="383">
        <f t="shared" si="128"/>
        <v>26.916122295728002</v>
      </c>
      <c r="G366" s="110">
        <f t="shared" si="151"/>
        <v>0.97328093665117632</v>
      </c>
      <c r="H366" s="412" t="b">
        <f>Wh_hp&gt;='2024'!Maxi_hp</f>
        <v>0</v>
      </c>
      <c r="I366" s="388">
        <f>IF(H366,Wh_hp,'2024'!Maxi_hp)</f>
        <v>28.845869606100038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4.702016323537983E-2</v>
      </c>
      <c r="M366" s="832"/>
      <c r="N366" s="832"/>
      <c r="O366" s="48">
        <f>IF(t&lt;Tnet,'2024'!Resal+('2024'!Salim-'2024'!Resal)*(1-EXP(('2024'!Tnet-t)/('2024'!Tau_j))),Resal+(Salim-Resal)*(1-EXP((Tnet-t)/(Tau_j))))*Salcycl</f>
        <v>3.4104520603368993E-2</v>
      </c>
      <c r="P366" s="169">
        <f>(INDEX(Models!$BJ366:$BT366,,T366)*(1-R366)+INDEX(Models!$BJ366:$BT366,,T366+1)*R366-ERP_i)*Q366*Ramure*Pc/MaxiM</f>
        <v>1.8971731253042314E-3</v>
      </c>
      <c r="Q366" s="304">
        <f t="shared" si="130"/>
        <v>0.6</v>
      </c>
      <c r="R366" s="177">
        <f t="shared" si="131"/>
        <v>0.99908240522123704</v>
      </c>
      <c r="S366" s="799">
        <f t="shared" si="132"/>
        <v>1</v>
      </c>
      <c r="T366" s="176">
        <f t="shared" si="133"/>
        <v>7</v>
      </c>
      <c r="U366" s="250">
        <f t="shared" si="134"/>
        <v>1.999082405221237</v>
      </c>
      <c r="V366" s="382">
        <f t="shared" si="135"/>
        <v>25.407586149296066</v>
      </c>
      <c r="W366" s="400">
        <f t="shared" si="136"/>
        <v>24.730508656966741</v>
      </c>
      <c r="X366" s="157">
        <f t="shared" si="137"/>
        <v>46009</v>
      </c>
      <c r="Y366" s="383">
        <f t="shared" si="138"/>
        <v>24.008577165998748</v>
      </c>
      <c r="Z366" s="383">
        <f t="shared" si="139"/>
        <v>25.193163842278345</v>
      </c>
      <c r="AA366" s="384">
        <f t="shared" si="140"/>
        <v>26.867001752437318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6.2300882159548175E-2</v>
      </c>
      <c r="AD366" s="230">
        <f>(INDEX(Models!$BJ366:$BT366,,AH366)*(1-AF366)+INDEX(Models!$BJ366:$BT366,,AH366+1)*AF366-ERP_i)*AE366*Ramure*Pc/MaxiM</f>
        <v>1.8971731253042314E-3</v>
      </c>
      <c r="AE366" s="304">
        <f t="shared" si="142"/>
        <v>0.6</v>
      </c>
      <c r="AF366" s="177">
        <f t="shared" si="143"/>
        <v>0.99908240522123704</v>
      </c>
      <c r="AG366" s="799">
        <f t="shared" si="149"/>
        <v>1</v>
      </c>
      <c r="AH366" s="176">
        <f t="shared" si="144"/>
        <v>7</v>
      </c>
      <c r="AI366" s="224">
        <f t="shared" si="145"/>
        <v>1.999082405221237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46010</v>
      </c>
      <c r="B367" s="409">
        <f>IF(t&gt;Tmaj,'2024'!Wh/'2024'!Env_an*'2025'!Env_an,0.001*'[14]mon-tableau (2)'!$B$260)</f>
        <v>19.91821976381722</v>
      </c>
      <c r="C367" s="829"/>
      <c r="D367" s="391">
        <f t="shared" si="127"/>
        <v>20.901388183505244</v>
      </c>
      <c r="E367" s="383">
        <f t="shared" si="150"/>
        <v>21.64141784571051</v>
      </c>
      <c r="F367" s="383">
        <f t="shared" si="128"/>
        <v>21.669884819370139</v>
      </c>
      <c r="G367" s="110">
        <f t="shared" si="151"/>
        <v>0.7838005848135432</v>
      </c>
      <c r="H367" s="412" t="b">
        <f>Wh_hp&gt;='2024'!Maxi_hp</f>
        <v>0</v>
      </c>
      <c r="I367" s="388">
        <f>IF(H367,Wh_hp,'2024'!Maxi_hp)</f>
        <v>28.572996708311734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4.7038426876541695E-2</v>
      </c>
      <c r="M367" s="832"/>
      <c r="N367" s="832"/>
      <c r="O367" s="48">
        <f>IF(t&lt;Tnet,'2024'!Resal+('2024'!Salim-'2024'!Resal)*(1-EXP(('2024'!Tnet-t)/('2024'!Tau_j))),Resal+(Salim-Resal)*(1-EXP((Tnet-t)/(Tau_j))))*Salcycl</f>
        <v>3.4195063719078093E-2</v>
      </c>
      <c r="P367" s="169">
        <f>(INDEX(Models!$BJ367:$BT367,,T367)*(1-R367)+INDEX(Models!$BJ367:$BT367,,T367+1)*R367-ERP_i)*Q367*Ramure*Pc/MaxiM</f>
        <v>1.8989082668185297E-3</v>
      </c>
      <c r="Q367" s="304">
        <f t="shared" si="130"/>
        <v>0.6</v>
      </c>
      <c r="R367" s="177">
        <f t="shared" si="131"/>
        <v>0.99909026439520332</v>
      </c>
      <c r="S367" s="799">
        <f t="shared" si="132"/>
        <v>1</v>
      </c>
      <c r="T367" s="176">
        <f t="shared" si="133"/>
        <v>7</v>
      </c>
      <c r="U367" s="250">
        <f t="shared" si="134"/>
        <v>1.9990902643952033</v>
      </c>
      <c r="V367" s="382">
        <f t="shared" si="135"/>
        <v>25.397464375548864</v>
      </c>
      <c r="W367" s="400">
        <f t="shared" si="136"/>
        <v>19.91821976381722</v>
      </c>
      <c r="X367" s="157">
        <f t="shared" si="137"/>
        <v>46010</v>
      </c>
      <c r="Y367" s="383">
        <f t="shared" si="138"/>
        <v>19.337442830175963</v>
      </c>
      <c r="Z367" s="383">
        <f t="shared" si="139"/>
        <v>20.291943951942283</v>
      </c>
      <c r="AA367" s="384">
        <f t="shared" si="140"/>
        <v>21.64141784571051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6.2356075899883873E-2</v>
      </c>
      <c r="AD367" s="230">
        <f>(INDEX(Models!$BJ367:$BT367,,AH367)*(1-AF367)+INDEX(Models!$BJ367:$BT367,,AH367+1)*AF367-ERP_i)*AE367*Ramure*Pc/MaxiM</f>
        <v>1.8989082668185297E-3</v>
      </c>
      <c r="AE367" s="304">
        <f t="shared" si="142"/>
        <v>0.6</v>
      </c>
      <c r="AF367" s="177">
        <f t="shared" si="143"/>
        <v>0.99909026439520332</v>
      </c>
      <c r="AG367" s="799">
        <f t="shared" si="149"/>
        <v>1</v>
      </c>
      <c r="AH367" s="176">
        <f t="shared" si="144"/>
        <v>7</v>
      </c>
      <c r="AI367" s="224">
        <f t="shared" si="145"/>
        <v>1.9990902643952033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46011</v>
      </c>
      <c r="B368" s="409">
        <f>IF(t&gt;Tmaj,'2024'!Wh/'2024'!Env_an*'2025'!Env_an,0.001*'[14]mon-tableau (2)'!$B$261)</f>
        <v>4.391448830769856</v>
      </c>
      <c r="C368" s="829"/>
      <c r="D368" s="391">
        <f t="shared" si="127"/>
        <v>4.6083001847639808</v>
      </c>
      <c r="E368" s="383">
        <f t="shared" si="150"/>
        <v>4.7719087642491651</v>
      </c>
      <c r="F368" s="383">
        <f t="shared" si="128"/>
        <v>4.7719087642491651</v>
      </c>
      <c r="G368" s="110">
        <f t="shared" si="151"/>
        <v>0.17258129343123768</v>
      </c>
      <c r="H368" s="412" t="b">
        <f>Wh_hp&gt;='2024'!Maxi_hp</f>
        <v>0</v>
      </c>
      <c r="I368" s="388">
        <f>IF(H368,Wh_hp,'2024'!Maxi_hp)</f>
        <v>25.354958891522763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4.7056690167685211E-2</v>
      </c>
      <c r="M368" s="832"/>
      <c r="N368" s="832"/>
      <c r="O368" s="48">
        <f>IF(t&lt;Tnet,'2024'!Resal+('2024'!Salim-'2024'!Resal)*(1-EXP(('2024'!Tnet-t)/('2024'!Tau_j))),Resal+(Salim-Resal)*(1-EXP((Tnet-t)/(Tau_j))))*Salcycl</f>
        <v>3.4285772752180241E-2</v>
      </c>
      <c r="P368" s="169">
        <f>(INDEX(Models!$BJ368:$BT368,,T368)*(1-R368)+INDEX(Models!$BJ368:$BT368,,T368+1)*R368-ERP_i)*Q368*Ramure*Pc/MaxiM</f>
        <v>1.8985615474504259E-3</v>
      </c>
      <c r="Q368" s="304">
        <f t="shared" si="130"/>
        <v>0.6</v>
      </c>
      <c r="R368" s="177">
        <f t="shared" si="131"/>
        <v>0.99909780736804166</v>
      </c>
      <c r="S368" s="799">
        <f t="shared" si="132"/>
        <v>1</v>
      </c>
      <c r="T368" s="176">
        <f t="shared" si="133"/>
        <v>7</v>
      </c>
      <c r="U368" s="250">
        <f t="shared" si="134"/>
        <v>1.9990978073680417</v>
      </c>
      <c r="V368" s="382">
        <f t="shared" si="135"/>
        <v>25.397372494653034</v>
      </c>
      <c r="W368" s="400">
        <f t="shared" si="136"/>
        <v>4.391448830769856</v>
      </c>
      <c r="X368" s="157">
        <f t="shared" si="137"/>
        <v>46011</v>
      </c>
      <c r="Y368" s="383">
        <f t="shared" si="138"/>
        <v>4.2635500579919974</v>
      </c>
      <c r="Z368" s="383">
        <f t="shared" si="139"/>
        <v>4.4740857236746177</v>
      </c>
      <c r="AA368" s="384">
        <f t="shared" si="140"/>
        <v>4.7719087642491651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6.2411721449039129E-2</v>
      </c>
      <c r="AD368" s="230">
        <f>(INDEX(Models!$BJ368:$BT368,,AH368)*(1-AF368)+INDEX(Models!$BJ368:$BT368,,AH368+1)*AF368-ERP_i)*AE368*Ramure*Pc/MaxiM</f>
        <v>1.8985615474504259E-3</v>
      </c>
      <c r="AE368" s="304">
        <f t="shared" si="142"/>
        <v>0.6</v>
      </c>
      <c r="AF368" s="177">
        <f t="shared" si="143"/>
        <v>0.99909780736804166</v>
      </c>
      <c r="AG368" s="799">
        <f t="shared" si="149"/>
        <v>1</v>
      </c>
      <c r="AH368" s="176">
        <f t="shared" si="144"/>
        <v>7</v>
      </c>
      <c r="AI368" s="224">
        <f t="shared" si="145"/>
        <v>1.9990978073680417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46012</v>
      </c>
      <c r="B369" s="409">
        <f>IF(t&gt;Tmaj,'2024'!Wh/'2024'!Env_an*'2025'!Env_an,0.001*'[14]mon-tableau (2)'!$B$262)</f>
        <v>22.638784819170912</v>
      </c>
      <c r="C369" s="829"/>
      <c r="D369" s="391">
        <f t="shared" si="127"/>
        <v>23.757151617566926</v>
      </c>
      <c r="E369" s="383">
        <f t="shared" si="150"/>
        <v>24.602916977034162</v>
      </c>
      <c r="F369" s="383">
        <f t="shared" si="128"/>
        <v>24.642367477024923</v>
      </c>
      <c r="G369" s="110">
        <f t="shared" si="151"/>
        <v>0.89076114320903366</v>
      </c>
      <c r="H369" s="412" t="b">
        <f>Wh_hp&gt;='2024'!Maxi_hp</f>
        <v>0</v>
      </c>
      <c r="I369" s="388">
        <f>IF(H369,Wh_hp,'2024'!Maxi_hp)</f>
        <v>24.6464004878308</v>
      </c>
      <c r="J369" s="85">
        <f>IF(H369,An,'2024'!An_max)</f>
        <v>2022</v>
      </c>
      <c r="K369" s="197">
        <f t="shared" si="129"/>
        <v>46012</v>
      </c>
      <c r="L369" s="147">
        <f>IF(t&lt;Tvie,1-EXP((T0-t)*PertePVj)+'2024'!Pspv,1-EXP((T0-t)*PertePVj)+Pspv)</f>
        <v>4.7074953108816819E-2</v>
      </c>
      <c r="M369" s="832"/>
      <c r="N369" s="832"/>
      <c r="O369" s="48">
        <f>IF(t&lt;Tnet,'2024'!Resal+('2024'!Salim-'2024'!Resal)*(1-EXP(('2024'!Tnet-t)/('2024'!Tau_j))),Resal+(Salim-Resal)*(1-EXP((Tnet-t)/(Tau_j))))*Salcycl</f>
        <v>3.4376629415801579E-2</v>
      </c>
      <c r="P369" s="169">
        <f>(INDEX(Models!$BJ369:$BT369,,T369)*(1-R369)+INDEX(Models!$BJ369:$BT369,,T369+1)*R369-ERP_i)*Q369*Ramure*Pc/MaxiM</f>
        <v>1.8961058498926638E-3</v>
      </c>
      <c r="Q369" s="304">
        <f t="shared" si="130"/>
        <v>0.6</v>
      </c>
      <c r="R369" s="177">
        <f t="shared" si="131"/>
        <v>0.99910504685262858</v>
      </c>
      <c r="S369" s="799">
        <f t="shared" si="132"/>
        <v>1</v>
      </c>
      <c r="T369" s="176">
        <f t="shared" si="133"/>
        <v>7</v>
      </c>
      <c r="U369" s="250">
        <f t="shared" si="134"/>
        <v>1.9991050468526286</v>
      </c>
      <c r="V369" s="382">
        <f t="shared" si="135"/>
        <v>25.407587280827975</v>
      </c>
      <c r="W369" s="400">
        <f t="shared" si="136"/>
        <v>22.638784819170912</v>
      </c>
      <c r="X369" s="157">
        <f t="shared" si="137"/>
        <v>46012</v>
      </c>
      <c r="Y369" s="383">
        <f t="shared" si="138"/>
        <v>21.980195154559119</v>
      </c>
      <c r="Z369" s="383">
        <f t="shared" si="139"/>
        <v>23.066027308514109</v>
      </c>
      <c r="AA369" s="384">
        <f t="shared" si="140"/>
        <v>24.602916977034162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6.2467782578573043E-2</v>
      </c>
      <c r="AD369" s="230">
        <f>(INDEX(Models!$BJ369:$BT369,,AH369)*(1-AF369)+INDEX(Models!$BJ369:$BT369,,AH369+1)*AF369-ERP_i)*AE369*Ramure*Pc/MaxiM</f>
        <v>1.8961058498926638E-3</v>
      </c>
      <c r="AE369" s="304">
        <f t="shared" si="142"/>
        <v>0.6</v>
      </c>
      <c r="AF369" s="177">
        <f t="shared" si="143"/>
        <v>0.99910504685262858</v>
      </c>
      <c r="AG369" s="799">
        <f t="shared" si="149"/>
        <v>1</v>
      </c>
      <c r="AH369" s="176">
        <f t="shared" si="144"/>
        <v>7</v>
      </c>
      <c r="AI369" s="224">
        <f t="shared" si="145"/>
        <v>1.9991050468526286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46013</v>
      </c>
      <c r="B370" s="409">
        <f>IF(t&gt;Tmaj,'2024'!Wh/'2024'!Env_an*'2025'!Env_an,0.001*'[14]mon-tableau (2)'!$B$263)</f>
        <v>20.264081608652521</v>
      </c>
      <c r="C370" s="829"/>
      <c r="D370" s="391">
        <f t="shared" si="127"/>
        <v>21.265544481916137</v>
      </c>
      <c r="E370" s="383">
        <f t="shared" si="150"/>
        <v>22.024682784126167</v>
      </c>
      <c r="F370" s="383">
        <f t="shared" si="128"/>
        <v>22.054295723574437</v>
      </c>
      <c r="G370" s="110">
        <f t="shared" si="151"/>
        <v>0.79646999345779323</v>
      </c>
      <c r="H370" s="412" t="b">
        <f>Wh_hp&gt;='2024'!Maxi_hp</f>
        <v>0</v>
      </c>
      <c r="I370" s="388">
        <f>IF(H370,Wh_hp,'2024'!Maxi_hp)</f>
        <v>28.339103776749631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4.7093215699943292E-2</v>
      </c>
      <c r="M370" s="832"/>
      <c r="N370" s="832"/>
      <c r="O370" s="48">
        <f>IF(t&lt;Tnet,'2024'!Resal+('2024'!Salim-'2024'!Resal)*(1-EXP(('2024'!Tnet-t)/('2024'!Tau_j))),Resal+(Salim-Resal)*(1-EXP((Tnet-t)/(Tau_j))))*Salcycl</f>
        <v>3.4467615704193551E-2</v>
      </c>
      <c r="P370" s="169">
        <f>(INDEX(Models!$BJ370:$BT370,,T370)*(1-R370)+INDEX(Models!$BJ370:$BT370,,T370+1)*R370-ERP_i)*Q370*Ramure*Pc/MaxiM</f>
        <v>1.8915178750832295E-3</v>
      </c>
      <c r="Q370" s="304">
        <f t="shared" si="130"/>
        <v>0.6</v>
      </c>
      <c r="R370" s="177">
        <f t="shared" si="131"/>
        <v>0.99911199505142578</v>
      </c>
      <c r="S370" s="799">
        <f t="shared" si="132"/>
        <v>1</v>
      </c>
      <c r="T370" s="176">
        <f t="shared" si="133"/>
        <v>7</v>
      </c>
      <c r="U370" s="250">
        <f t="shared" si="134"/>
        <v>1.9991119950514258</v>
      </c>
      <c r="V370" s="382">
        <f t="shared" si="135"/>
        <v>25.42838539749102</v>
      </c>
      <c r="W370" s="400">
        <f t="shared" si="136"/>
        <v>20.264081608652521</v>
      </c>
      <c r="X370" s="157">
        <f t="shared" si="137"/>
        <v>46013</v>
      </c>
      <c r="Y370" s="383">
        <f t="shared" si="138"/>
        <v>19.675244396993516</v>
      </c>
      <c r="Z370" s="383">
        <f t="shared" si="139"/>
        <v>20.647606587716417</v>
      </c>
      <c r="AA370" s="384">
        <f t="shared" si="140"/>
        <v>22.024682784126167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6.2524223840456264E-2</v>
      </c>
      <c r="AD370" s="230">
        <f>(INDEX(Models!$BJ370:$BT370,,AH370)*(1-AF370)+INDEX(Models!$BJ370:$BT370,,AH370+1)*AF370-ERP_i)*AE370*Ramure*Pc/MaxiM</f>
        <v>1.8915178750832295E-3</v>
      </c>
      <c r="AE370" s="304">
        <f t="shared" si="142"/>
        <v>0.6</v>
      </c>
      <c r="AF370" s="177">
        <f t="shared" si="143"/>
        <v>0.99911199505142578</v>
      </c>
      <c r="AG370" s="799">
        <f t="shared" si="149"/>
        <v>1</v>
      </c>
      <c r="AH370" s="176">
        <f t="shared" si="144"/>
        <v>7</v>
      </c>
      <c r="AI370" s="224">
        <f t="shared" si="145"/>
        <v>1.9991119950514258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46014</v>
      </c>
      <c r="B371" s="409">
        <f>IF(t&gt;Tmaj,'2024'!Wh/'2024'!Env_an*'2025'!Env_an,0.001*'[14]mon-tableau (2)'!$B$264)</f>
        <v>20.615750501926083</v>
      </c>
      <c r="C371" s="829"/>
      <c r="D371" s="391">
        <f t="shared" si="127"/>
        <v>21.635007689442151</v>
      </c>
      <c r="E371" s="383">
        <f t="shared" si="150"/>
        <v>22.409449443689553</v>
      </c>
      <c r="F371" s="383">
        <f t="shared" si="128"/>
        <v>22.440247902321094</v>
      </c>
      <c r="G371" s="110">
        <f t="shared" si="151"/>
        <v>0.80931418464849258</v>
      </c>
      <c r="H371" s="412" t="b">
        <f>Wh_hp&gt;='2024'!Maxi_hp</f>
        <v>0</v>
      </c>
      <c r="I371" s="388">
        <f>IF(H371,Wh_hp,'2024'!Maxi_hp)</f>
        <v>22.446630123759167</v>
      </c>
      <c r="J371" s="85">
        <f>IF(H371,An,'2024'!An_max)</f>
        <v>2022</v>
      </c>
      <c r="K371" s="197">
        <f t="shared" si="129"/>
        <v>46014</v>
      </c>
      <c r="L371" s="147">
        <f>IF(t&lt;Tvie,1-EXP((T0-t)*PertePVj)+'2024'!Pspv,1-EXP((T0-t)*PertePVj)+Pspv)</f>
        <v>4.7111477941071511E-2</v>
      </c>
      <c r="M371" s="832"/>
      <c r="N371" s="832"/>
      <c r="O371" s="48">
        <f>IF(t&lt;Tnet,'2024'!Resal+('2024'!Salim-'2024'!Resal)*(1-EXP(('2024'!Tnet-t)/('2024'!Tau_j))),Resal+(Salim-Resal)*(1-EXP((Tnet-t)/(Tau_j))))*Salcycl</f>
        <v>3.4558714001136775E-2</v>
      </c>
      <c r="P371" s="169">
        <f>(INDEX(Models!$BJ371:$BT371,,T371)*(1-R371)+INDEX(Models!$BJ371:$BT371,,T371+1)*R371-ERP_i)*Q371*Ramure*Pc/MaxiM</f>
        <v>1.8847750697105578E-3</v>
      </c>
      <c r="Q371" s="304">
        <f t="shared" si="130"/>
        <v>0.6</v>
      </c>
      <c r="R371" s="177">
        <f t="shared" si="131"/>
        <v>0.99911199505142578</v>
      </c>
      <c r="S371" s="799">
        <f t="shared" si="132"/>
        <v>1</v>
      </c>
      <c r="T371" s="176">
        <f t="shared" si="133"/>
        <v>7</v>
      </c>
      <c r="U371" s="250">
        <f t="shared" si="134"/>
        <v>1.9991119950514258</v>
      </c>
      <c r="V371" s="382">
        <f t="shared" si="135"/>
        <v>25.460043484053827</v>
      </c>
      <c r="W371" s="400">
        <f t="shared" si="136"/>
        <v>20.615750501926083</v>
      </c>
      <c r="X371" s="157">
        <f t="shared" si="137"/>
        <v>46014</v>
      </c>
      <c r="Y371" s="383">
        <f t="shared" si="138"/>
        <v>20.017370583088148</v>
      </c>
      <c r="Z371" s="383">
        <f t="shared" si="139"/>
        <v>21.007043447051025</v>
      </c>
      <c r="AA371" s="384">
        <f t="shared" si="140"/>
        <v>22.409449443689553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6.2581010754525365E-2</v>
      </c>
      <c r="AD371" s="230">
        <f>(INDEX(Models!$BJ371:$BT371,,AH371)*(1-AF371)+INDEX(Models!$BJ371:$BT371,,AH371+1)*AF371-ERP_i)*AE371*Ramure*Pc/MaxiM</f>
        <v>1.8847750697105578E-3</v>
      </c>
      <c r="AE371" s="304">
        <f t="shared" si="142"/>
        <v>0.6</v>
      </c>
      <c r="AF371" s="177">
        <f t="shared" si="143"/>
        <v>0.99911199505142578</v>
      </c>
      <c r="AG371" s="799">
        <f t="shared" si="149"/>
        <v>1</v>
      </c>
      <c r="AH371" s="176">
        <f t="shared" si="144"/>
        <v>7</v>
      </c>
      <c r="AI371" s="224">
        <f t="shared" si="145"/>
        <v>1.9991119950514258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46015</v>
      </c>
      <c r="B372" s="409">
        <f>IF(t&gt;Tmaj,'2024'!Wh/'2024'!Env_an*'2025'!Env_an,0.001*'[14]mon-tableau (2)'!$B$265)</f>
        <v>22.668110971602264</v>
      </c>
      <c r="C372" s="829"/>
      <c r="D372" s="391">
        <f t="shared" si="127"/>
        <v>23.789294218932394</v>
      </c>
      <c r="E372" s="383">
        <f t="shared" si="150"/>
        <v>24.643178051051727</v>
      </c>
      <c r="F372" s="383">
        <f t="shared" si="128"/>
        <v>24.682126320315277</v>
      </c>
      <c r="G372" s="110">
        <f t="shared" si="151"/>
        <v>0.88858142782467586</v>
      </c>
      <c r="H372" s="412" t="b">
        <f>Wh_hp&gt;='2024'!Maxi_hp</f>
        <v>0</v>
      </c>
      <c r="I372" s="388">
        <f>IF(H372,Wh_hp,'2024'!Maxi_hp)</f>
        <v>24.686219605998851</v>
      </c>
      <c r="J372" s="85">
        <f>IF(H372,An,'2024'!An_max)</f>
        <v>2022</v>
      </c>
      <c r="K372" s="197">
        <f t="shared" si="129"/>
        <v>46015</v>
      </c>
      <c r="L372" s="147">
        <f>IF(t&lt;Tvie,1-EXP((T0-t)*PertePVj)+'2024'!Pspv,1-EXP((T0-t)*PertePVj)+Pspv)</f>
        <v>4.7129739832207918E-2</v>
      </c>
      <c r="M372" s="832"/>
      <c r="N372" s="832"/>
      <c r="O372" s="48">
        <f>IF(t&lt;Tnet,'2024'!Resal+('2024'!Salim-'2024'!Resal)*(1-EXP(('2024'!Tnet-t)/('2024'!Tau_j))),Resal+(Salim-Resal)*(1-EXP((Tnet-t)/(Tau_j))))*Salcycl</f>
        <v>3.4649907181224654E-2</v>
      </c>
      <c r="P372" s="169">
        <f>(INDEX(Models!$BJ372:$BT372,,T372)*(1-R372)+INDEX(Models!$BJ372:$BT372,,T372+1)*R372-ERP_i)*Q372*Ramure*Pc/MaxiM</f>
        <v>1.8758644647627145E-3</v>
      </c>
      <c r="Q372" s="304">
        <f t="shared" si="130"/>
        <v>0.6</v>
      </c>
      <c r="R372" s="177">
        <f t="shared" si="131"/>
        <v>0.99911199505142578</v>
      </c>
      <c r="S372" s="799">
        <f t="shared" si="132"/>
        <v>1</v>
      </c>
      <c r="T372" s="176">
        <f t="shared" si="133"/>
        <v>7</v>
      </c>
      <c r="U372" s="250">
        <f t="shared" si="134"/>
        <v>1.9991119950514258</v>
      </c>
      <c r="V372" s="382">
        <f t="shared" si="135"/>
        <v>25.50283795022759</v>
      </c>
      <c r="W372" s="400">
        <f t="shared" si="136"/>
        <v>22.668110971602264</v>
      </c>
      <c r="X372" s="157">
        <f t="shared" si="137"/>
        <v>46015</v>
      </c>
      <c r="Y372" s="383">
        <f t="shared" si="138"/>
        <v>22.010898949056884</v>
      </c>
      <c r="Z372" s="383">
        <f t="shared" si="139"/>
        <v>23.099575954003388</v>
      </c>
      <c r="AA372" s="384">
        <f t="shared" si="140"/>
        <v>24.643178051051727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6.2638109981210832E-2</v>
      </c>
      <c r="AD372" s="230">
        <f>(INDEX(Models!$BJ372:$BT372,,AH372)*(1-AF372)+INDEX(Models!$BJ372:$BT372,,AH372+1)*AF372-ERP_i)*AE372*Ramure*Pc/MaxiM</f>
        <v>1.8758644647627145E-3</v>
      </c>
      <c r="AE372" s="304">
        <f t="shared" si="142"/>
        <v>0.6</v>
      </c>
      <c r="AF372" s="177">
        <f t="shared" si="143"/>
        <v>0.99911199505142578</v>
      </c>
      <c r="AG372" s="799">
        <f t="shared" si="149"/>
        <v>1</v>
      </c>
      <c r="AH372" s="176">
        <f t="shared" si="144"/>
        <v>7</v>
      </c>
      <c r="AI372" s="224">
        <f t="shared" si="145"/>
        <v>1.9991119950514258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46016</v>
      </c>
      <c r="B373" s="409">
        <f>IF(t&gt;Tmaj,'2024'!Wh/'2024'!Env_an*'2025'!Env_an,0.001*'[14]mon-tableau (2)'!$B$266)</f>
        <v>13.379321621668456</v>
      </c>
      <c r="C373" s="829"/>
      <c r="D373" s="391">
        <f t="shared" si="127"/>
        <v>14.041342874813997</v>
      </c>
      <c r="E373" s="383">
        <f t="shared" si="150"/>
        <v>14.546712824599707</v>
      </c>
      <c r="F373" s="383">
        <f t="shared" si="128"/>
        <v>14.555379599886933</v>
      </c>
      <c r="G373" s="110">
        <f t="shared" si="151"/>
        <v>0.52284815796288264</v>
      </c>
      <c r="H373" s="412" t="b">
        <f>Wh_hp&gt;='2024'!Maxi_hp</f>
        <v>0</v>
      </c>
      <c r="I373" s="388">
        <f>IF(H373,Wh_hp,'2024'!Maxi_hp)</f>
        <v>14.565704855109912</v>
      </c>
      <c r="J373" s="85">
        <f>IF(H373,An,'2024'!An_max)</f>
        <v>2022</v>
      </c>
      <c r="K373" s="197">
        <f t="shared" si="129"/>
        <v>46016</v>
      </c>
      <c r="L373" s="147">
        <f>IF(t&lt;Tvie,1-EXP((T0-t)*PertePVj)+'2024'!Pspv,1-EXP((T0-t)*PertePVj)+Pspv)</f>
        <v>4.7148001373359394E-2</v>
      </c>
      <c r="M373" s="832"/>
      <c r="N373" s="832"/>
      <c r="O373" s="48">
        <f>IF(t&lt;Tnet,'2024'!Resal+('2024'!Salim-'2024'!Resal)*(1-EXP(('2024'!Tnet-t)/('2024'!Tau_j))),Resal+(Salim-Resal)*(1-EXP((Tnet-t)/(Tau_j))))*Salcycl</f>
        <v>3.4741178703348419E-2</v>
      </c>
      <c r="P373" s="169">
        <f>(INDEX(Models!$BJ373:$BT373,,T373)*(1-R373)+INDEX(Models!$BJ373:$BT373,,T373+1)*R373-ERP_i)*Q373*Ramure*Pc/MaxiM</f>
        <v>1.8647864477638503E-3</v>
      </c>
      <c r="Q373" s="304">
        <f t="shared" si="130"/>
        <v>0.6</v>
      </c>
      <c r="R373" s="177">
        <f t="shared" si="131"/>
        <v>0.99911199505142578</v>
      </c>
      <c r="S373" s="799">
        <f t="shared" si="132"/>
        <v>1</v>
      </c>
      <c r="T373" s="176">
        <f t="shared" si="133"/>
        <v>7</v>
      </c>
      <c r="U373" s="250">
        <f t="shared" si="134"/>
        <v>1.9991119950514258</v>
      </c>
      <c r="V373" s="382">
        <f t="shared" si="135"/>
        <v>25.556805034074774</v>
      </c>
      <c r="W373" s="400">
        <f t="shared" si="136"/>
        <v>13.379321621668456</v>
      </c>
      <c r="X373" s="157">
        <f t="shared" si="137"/>
        <v>46016</v>
      </c>
      <c r="Y373" s="383">
        <f t="shared" si="138"/>
        <v>12.991850710943647</v>
      </c>
      <c r="Z373" s="383">
        <f t="shared" si="139"/>
        <v>13.634699543758096</v>
      </c>
      <c r="AA373" s="384">
        <f t="shared" si="140"/>
        <v>14.546712824599707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6.2695489478510974E-2</v>
      </c>
      <c r="AD373" s="230">
        <f>(INDEX(Models!$BJ373:$BT373,,AH373)*(1-AF373)+INDEX(Models!$BJ373:$BT373,,AH373+1)*AF373-ERP_i)*AE373*Ramure*Pc/MaxiM</f>
        <v>1.8647864477638503E-3</v>
      </c>
      <c r="AE373" s="304">
        <f t="shared" si="142"/>
        <v>0.6</v>
      </c>
      <c r="AF373" s="177">
        <f t="shared" si="143"/>
        <v>0.99911199505142578</v>
      </c>
      <c r="AG373" s="799">
        <f t="shared" si="149"/>
        <v>1</v>
      </c>
      <c r="AH373" s="176">
        <f t="shared" si="144"/>
        <v>7</v>
      </c>
      <c r="AI373" s="224">
        <f t="shared" si="145"/>
        <v>1.9991119950514258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46017</v>
      </c>
      <c r="B374" s="409">
        <f>IF(t&gt;Tmaj,'2024'!Wh/'2024'!Env_an*'2025'!Env_an,0.001*'[14]mon-tableau (2)'!$B$267)</f>
        <v>22.40209198291365</v>
      </c>
      <c r="C374" s="829"/>
      <c r="D374" s="391">
        <f t="shared" si="127"/>
        <v>23.511018872199493</v>
      </c>
      <c r="E374" s="383">
        <f t="shared" si="150"/>
        <v>24.359522239883482</v>
      </c>
      <c r="F374" s="383">
        <f t="shared" si="128"/>
        <v>24.396585320673541</v>
      </c>
      <c r="G374" s="110">
        <f t="shared" si="151"/>
        <v>0.87405075772377738</v>
      </c>
      <c r="H374" s="412" t="b">
        <f>Wh_hp&gt;='2024'!Maxi_hp</f>
        <v>0</v>
      </c>
      <c r="I374" s="388">
        <f>IF(H374,Wh_hp,'2024'!Maxi_hp)</f>
        <v>24.401144284830412</v>
      </c>
      <c r="J374" s="85">
        <f>IF(H374,An,'2024'!An_max)</f>
        <v>2022</v>
      </c>
      <c r="K374" s="197">
        <f t="shared" si="129"/>
        <v>46017</v>
      </c>
      <c r="L374" s="147">
        <f>IF(t&lt;Tvie,1-EXP((T0-t)*PertePVj)+'2024'!Pspv,1-EXP((T0-t)*PertePVj)+Pspv)</f>
        <v>4.7166262564532602E-2</v>
      </c>
      <c r="M374" s="832"/>
      <c r="N374" s="832"/>
      <c r="O374" s="48">
        <f>IF(t&lt;Tnet,'2024'!Resal+('2024'!Salim-'2024'!Resal)*(1-EXP(('2024'!Tnet-t)/('2024'!Tau_j))),Resal+(Salim-Resal)*(1-EXP((Tnet-t)/(Tau_j))))*Salcycl</f>
        <v>3.4832512695784627E-2</v>
      </c>
      <c r="P374" s="169">
        <f>(INDEX(Models!$BJ374:$BT374,,T374)*(1-R374)+INDEX(Models!$BJ374:$BT374,,T374+1)*R374-ERP_i)*Q374*Ramure*Pc/MaxiM</f>
        <v>1.8515697536628109E-3</v>
      </c>
      <c r="Q374" s="304">
        <f t="shared" si="130"/>
        <v>0.6</v>
      </c>
      <c r="R374" s="177">
        <f t="shared" si="131"/>
        <v>0.99911199505142578</v>
      </c>
      <c r="S374" s="799">
        <f t="shared" si="132"/>
        <v>1</v>
      </c>
      <c r="T374" s="176">
        <f t="shared" si="133"/>
        <v>7</v>
      </c>
      <c r="U374" s="250">
        <f t="shared" si="134"/>
        <v>1.9991119950514258</v>
      </c>
      <c r="V374" s="382">
        <f t="shared" si="135"/>
        <v>25.621663826532558</v>
      </c>
      <c r="W374" s="400">
        <f t="shared" si="136"/>
        <v>22.40209198291365</v>
      </c>
      <c r="X374" s="157">
        <f t="shared" si="137"/>
        <v>46017</v>
      </c>
      <c r="Y374" s="383">
        <f t="shared" si="138"/>
        <v>21.754038675212183</v>
      </c>
      <c r="Z374" s="383">
        <f t="shared" si="139"/>
        <v>22.830886250693364</v>
      </c>
      <c r="AA374" s="384">
        <f t="shared" si="140"/>
        <v>24.359522239883482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6.2753118642339623E-2</v>
      </c>
      <c r="AD374" s="230">
        <f>(INDEX(Models!$BJ374:$BT374,,AH374)*(1-AF374)+INDEX(Models!$BJ374:$BT374,,AH374+1)*AF374-ERP_i)*AE374*Ramure*Pc/MaxiM</f>
        <v>1.8515697536628109E-3</v>
      </c>
      <c r="AE374" s="304">
        <f t="shared" si="142"/>
        <v>0.6</v>
      </c>
      <c r="AF374" s="177">
        <f t="shared" si="143"/>
        <v>0.99911199505142578</v>
      </c>
      <c r="AG374" s="799">
        <f t="shared" si="149"/>
        <v>1</v>
      </c>
      <c r="AH374" s="176">
        <f t="shared" si="144"/>
        <v>7</v>
      </c>
      <c r="AI374" s="224">
        <f t="shared" si="145"/>
        <v>1.9991119950514258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46018</v>
      </c>
      <c r="B375" s="409">
        <f>IF(t&gt;Tmaj,'2024'!Wh/'2024'!Env_an*'2025'!Env_an,0.001*'[14]mon-tableau (2)'!$B$268)</f>
        <v>7.3203665349663574</v>
      </c>
      <c r="C375" s="829"/>
      <c r="D375" s="391">
        <f t="shared" si="127"/>
        <v>7.6828795446650426</v>
      </c>
      <c r="E375" s="383">
        <f t="shared" si="150"/>
        <v>7.9609053598543431</v>
      </c>
      <c r="F375" s="383">
        <f t="shared" si="128"/>
        <v>7.9609053598543431</v>
      </c>
      <c r="G375" s="110">
        <f t="shared" si="151"/>
        <v>0.28434694248653308</v>
      </c>
      <c r="H375" s="412" t="b">
        <f>Wh_hp&gt;='2024'!Maxi_hp</f>
        <v>0</v>
      </c>
      <c r="I375" s="388">
        <f>IF(H375,Wh_hp,'2024'!Maxi_hp)</f>
        <v>23.939485558369796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4.7184523405734313E-2</v>
      </c>
      <c r="M375" s="832"/>
      <c r="N375" s="832"/>
      <c r="O375" s="48">
        <f>IF(t&lt;Tnet,'2024'!Resal+('2024'!Salim-'2024'!Resal)*(1-EXP(('2024'!Tnet-t)/('2024'!Tau_j))),Resal+(Salim-Resal)*(1-EXP((Tnet-t)/(Tau_j))))*Salcycl</f>
        <v>3.492389403237256E-2</v>
      </c>
      <c r="P375" s="169">
        <f>(INDEX(Models!$BJ375:$BT375,,T375)*(1-R375)+INDEX(Models!$BJ375:$BT375,,T375+1)*R375-ERP_i)*Q375*Ramure*Pc/MaxiM</f>
        <v>1.8351295422890876E-3</v>
      </c>
      <c r="Q375" s="304">
        <f t="shared" si="130"/>
        <v>0.6</v>
      </c>
      <c r="R375" s="177">
        <f t="shared" si="131"/>
        <v>0.99911199505142578</v>
      </c>
      <c r="S375" s="799">
        <f t="shared" si="132"/>
        <v>1</v>
      </c>
      <c r="T375" s="176">
        <f t="shared" si="133"/>
        <v>7</v>
      </c>
      <c r="U375" s="250">
        <f t="shared" si="134"/>
        <v>1.9991119950514258</v>
      </c>
      <c r="V375" s="382">
        <f t="shared" si="135"/>
        <v>25.697243832413353</v>
      </c>
      <c r="W375" s="400">
        <f t="shared" si="136"/>
        <v>7.3203665349663574</v>
      </c>
      <c r="X375" s="157">
        <f t="shared" si="137"/>
        <v>46018</v>
      </c>
      <c r="Y375" s="383">
        <f t="shared" si="138"/>
        <v>7.1088354392187849</v>
      </c>
      <c r="Z375" s="383">
        <f t="shared" si="139"/>
        <v>7.460873184625985</v>
      </c>
      <c r="AA375" s="384">
        <f t="shared" si="140"/>
        <v>7.9609053598543431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6.2810968429538955E-2</v>
      </c>
      <c r="AD375" s="230">
        <f>(INDEX(Models!$BJ375:$BT375,,AH375)*(1-AF375)+INDEX(Models!$BJ375:$BT375,,AH375+1)*AF375-ERP_i)*AE375*Ramure*Pc/MaxiM</f>
        <v>1.8351295422890876E-3</v>
      </c>
      <c r="AE375" s="304">
        <f t="shared" si="142"/>
        <v>0.6</v>
      </c>
      <c r="AF375" s="177">
        <f t="shared" si="143"/>
        <v>0.99911199505142578</v>
      </c>
      <c r="AG375" s="799">
        <f t="shared" si="149"/>
        <v>1</v>
      </c>
      <c r="AH375" s="176">
        <f t="shared" si="144"/>
        <v>7</v>
      </c>
      <c r="AI375" s="224">
        <f t="shared" si="145"/>
        <v>1.9991119950514258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46019</v>
      </c>
      <c r="B376" s="409">
        <f>IF(t&gt;Tmaj,'2024'!Wh/'2024'!Env_an*'2025'!Env_an,0.001*'[14]mon-tableau (2)'!$B$269)</f>
        <v>24.73886019164847</v>
      </c>
      <c r="C376" s="829"/>
      <c r="D376" s="391">
        <f t="shared" si="127"/>
        <v>25.964454737631581</v>
      </c>
      <c r="E376" s="383">
        <f t="shared" si="150"/>
        <v>26.906597548779466</v>
      </c>
      <c r="F376" s="383">
        <f t="shared" si="128"/>
        <v>26.952719558392381</v>
      </c>
      <c r="G376" s="110">
        <f t="shared" si="151"/>
        <v>0.95938966890041932</v>
      </c>
      <c r="H376" s="412" t="b">
        <f>Wh_hp&gt;='2024'!Maxi_hp</f>
        <v>0</v>
      </c>
      <c r="I376" s="388">
        <f>IF(H376,Wh_hp,'2024'!Maxi_hp)</f>
        <v>26.954334776843393</v>
      </c>
      <c r="J376" s="85">
        <f>IF(H376,An,'2024'!An_max)</f>
        <v>2022</v>
      </c>
      <c r="K376" s="197">
        <f t="shared" si="129"/>
        <v>46019</v>
      </c>
      <c r="L376" s="147">
        <f>IF(t&lt;Tvie,1-EXP((T0-t)*PertePVj)+'2024'!Pspv,1-EXP((T0-t)*PertePVj)+Pspv)</f>
        <v>4.7202783896971079E-2</v>
      </c>
      <c r="M376" s="832"/>
      <c r="N376" s="832"/>
      <c r="O376" s="48">
        <f>IF(t&lt;Tnet,'2024'!Resal+('2024'!Salim-'2024'!Resal)*(1-EXP(('2024'!Tnet-t)/('2024'!Tau_j))),Resal+(Salim-Resal)*(1-EXP((Tnet-t)/(Tau_j))))*Salcycl</f>
        <v>3.5015308399356612E-2</v>
      </c>
      <c r="P376" s="169">
        <f>(INDEX(Models!$BJ376:$BT376,,T376)*(1-R376)+INDEX(Models!$BJ376:$BT376,,T376+1)*R376-ERP_i)*Q376*Ramure*Pc/MaxiM</f>
        <v>1.8163310061748818E-3</v>
      </c>
      <c r="Q376" s="304">
        <f t="shared" si="130"/>
        <v>0.6</v>
      </c>
      <c r="R376" s="177">
        <f t="shared" si="131"/>
        <v>0.99911199505142578</v>
      </c>
      <c r="S376" s="799">
        <f t="shared" si="132"/>
        <v>1</v>
      </c>
      <c r="T376" s="176">
        <f t="shared" si="133"/>
        <v>7</v>
      </c>
      <c r="U376" s="250">
        <f t="shared" si="134"/>
        <v>1.9991119950514258</v>
      </c>
      <c r="V376" s="382">
        <f t="shared" si="135"/>
        <v>25.783324741105723</v>
      </c>
      <c r="W376" s="400">
        <f t="shared" si="136"/>
        <v>24.73886019164847</v>
      </c>
      <c r="X376" s="157">
        <f t="shared" si="137"/>
        <v>46019</v>
      </c>
      <c r="Y376" s="383">
        <f t="shared" si="138"/>
        <v>24.024787862927337</v>
      </c>
      <c r="Z376" s="383">
        <f t="shared" si="139"/>
        <v>25.215006359054538</v>
      </c>
      <c r="AA376" s="384">
        <f t="shared" si="140"/>
        <v>26.906597548779466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6.2869011463014227E-2</v>
      </c>
      <c r="AD376" s="230">
        <f>(INDEX(Models!$BJ376:$BT376,,AH376)*(1-AF376)+INDEX(Models!$BJ376:$BT376,,AH376+1)*AF376-ERP_i)*AE376*Ramure*Pc/MaxiM</f>
        <v>1.8163310061748818E-3</v>
      </c>
      <c r="AE376" s="304">
        <f t="shared" si="142"/>
        <v>0.6</v>
      </c>
      <c r="AF376" s="177">
        <f t="shared" si="143"/>
        <v>0.99911199505142578</v>
      </c>
      <c r="AG376" s="799">
        <f t="shared" si="149"/>
        <v>1</v>
      </c>
      <c r="AH376" s="176">
        <f t="shared" si="144"/>
        <v>7</v>
      </c>
      <c r="AI376" s="224">
        <f t="shared" si="145"/>
        <v>1.9991119950514258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46020</v>
      </c>
      <c r="B377" s="409">
        <f>IF(t&gt;Tmaj,'2024'!Wh/'2024'!Env_an*'2025'!Env_an,0.001*'[14]mon-tableau (2)'!$B$270)</f>
        <v>10.976145056235266</v>
      </c>
      <c r="C377" s="829"/>
      <c r="D377" s="391">
        <f t="shared" si="127"/>
        <v>11.520138000062952</v>
      </c>
      <c r="E377" s="383">
        <f t="shared" si="150"/>
        <v>11.939287489841991</v>
      </c>
      <c r="F377" s="383">
        <f t="shared" si="128"/>
        <v>11.943089234372055</v>
      </c>
      <c r="G377" s="110">
        <f t="shared" si="151"/>
        <v>0.42349509853677697</v>
      </c>
      <c r="H377" s="412" t="b">
        <f>Wh_hp&gt;='2024'!Maxi_hp</f>
        <v>0</v>
      </c>
      <c r="I377" s="388">
        <f>IF(H377,Wh_hp,'2024'!Maxi_hp)</f>
        <v>26.417584370860784</v>
      </c>
      <c r="J377" s="85">
        <f>IF(H377,An,'2024'!An_max)</f>
        <v>2018</v>
      </c>
      <c r="K377" s="197">
        <f t="shared" si="129"/>
        <v>46020</v>
      </c>
      <c r="L377" s="147">
        <f>IF(t&lt;Tvie,1-EXP((T0-t)*PertePVj)+'2024'!Pspv,1-EXP((T0-t)*PertePVj)+Pspv)</f>
        <v>4.7221044038249671E-2</v>
      </c>
      <c r="M377" s="832"/>
      <c r="N377" s="832"/>
      <c r="O377" s="48">
        <f>IF(t&lt;Tnet,'2024'!Resal+('2024'!Salim-'2024'!Resal)*(1-EXP(('2024'!Tnet-t)/('2024'!Tau_j))),Resal+(Salim-Resal)*(1-EXP((Tnet-t)/(Tau_j))))*Salcycl</f>
        <v>3.5106742352561157E-2</v>
      </c>
      <c r="P377" s="169">
        <f>(INDEX(Models!$BJ377:$BT377,,T377)*(1-R377)+INDEX(Models!$BJ377:$BT377,,T377+1)*R377-ERP_i)*Q377*Ramure*Pc/MaxiM</f>
        <v>1.7952157289575302E-3</v>
      </c>
      <c r="Q377" s="304">
        <f t="shared" si="130"/>
        <v>0.6</v>
      </c>
      <c r="R377" s="177">
        <f t="shared" si="131"/>
        <v>0.99911199505142578</v>
      </c>
      <c r="S377" s="799">
        <f t="shared" si="132"/>
        <v>1</v>
      </c>
      <c r="T377" s="176">
        <f t="shared" si="133"/>
        <v>7</v>
      </c>
      <c r="U377" s="250">
        <f t="shared" si="134"/>
        <v>1.9991119950514258</v>
      </c>
      <c r="V377" s="382">
        <f t="shared" si="135"/>
        <v>25.879707532000555</v>
      </c>
      <c r="W377" s="400">
        <f t="shared" si="136"/>
        <v>10.976145056235266</v>
      </c>
      <c r="X377" s="157">
        <f t="shared" si="137"/>
        <v>46020</v>
      </c>
      <c r="Y377" s="383">
        <f t="shared" si="138"/>
        <v>10.659673136646148</v>
      </c>
      <c r="Z377" s="383">
        <f t="shared" si="139"/>
        <v>11.187981294030685</v>
      </c>
      <c r="AA377" s="384">
        <f t="shared" si="140"/>
        <v>11.939287489841991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6.2927222118616608E-2</v>
      </c>
      <c r="AD377" s="230">
        <f>(INDEX(Models!$BJ377:$BT377,,AH377)*(1-AF377)+INDEX(Models!$BJ377:$BT377,,AH377+1)*AF377-ERP_i)*AE377*Ramure*Pc/MaxiM</f>
        <v>1.7952157289575302E-3</v>
      </c>
      <c r="AE377" s="304">
        <f t="shared" si="142"/>
        <v>0.6</v>
      </c>
      <c r="AF377" s="177">
        <f t="shared" si="143"/>
        <v>0.99911199505142578</v>
      </c>
      <c r="AG377" s="799">
        <f t="shared" si="149"/>
        <v>1</v>
      </c>
      <c r="AH377" s="176">
        <f t="shared" si="144"/>
        <v>7</v>
      </c>
      <c r="AI377" s="224">
        <f t="shared" si="145"/>
        <v>1.9991119950514258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46021</v>
      </c>
      <c r="B378" s="409">
        <f>IF(t&gt;Tmaj,'2024'!Wh/'2024'!Env_an*'2025'!Env_an,0.001*'[14]mon-tableau (2)'!$B$271)</f>
        <v>14.239082158369447</v>
      </c>
      <c r="C378" s="829"/>
      <c r="D378" s="391">
        <f t="shared" si="127"/>
        <v>14.945077201025157</v>
      </c>
      <c r="E378" s="383">
        <f t="shared" si="150"/>
        <v>15.490307898822961</v>
      </c>
      <c r="F378" s="383">
        <f t="shared" si="128"/>
        <v>15.500035758882776</v>
      </c>
      <c r="G378" s="110">
        <f t="shared" si="151"/>
        <v>0.54732061150659328</v>
      </c>
      <c r="H378" s="412" t="b">
        <f>Wh_hp&gt;='2024'!Maxi_hp</f>
        <v>0</v>
      </c>
      <c r="I378" s="388">
        <f>IF(H378,Wh_hp,'2024'!Maxi_hp)</f>
        <v>29.01951581106924</v>
      </c>
      <c r="J378" s="85">
        <f>IF(H378,An,'2024'!An_max)</f>
        <v>2018</v>
      </c>
      <c r="K378" s="197">
        <f t="shared" si="129"/>
        <v>46021</v>
      </c>
      <c r="L378" s="147">
        <f>IF(t&lt;Tvie,1-EXP((T0-t)*PertePVj)+'2024'!Pspv,1-EXP((T0-t)*PertePVj)+Pspv)</f>
        <v>4.7239303829576862E-2</v>
      </c>
      <c r="M378" s="832"/>
      <c r="N378" s="832"/>
      <c r="O378" s="48">
        <f>IF(t&lt;Tnet,'2024'!Resal+('2024'!Salim-'2024'!Resal)*(1-EXP(('2024'!Tnet-t)/('2024'!Tau_j))),Resal+(Salim-Resal)*(1-EXP((Tnet-t)/(Tau_j))))*Salcycl</f>
        <v>3.5198183364659512E-2</v>
      </c>
      <c r="P378" s="169">
        <f>(INDEX(Models!$BJ378:$BT378,,T378)*(1-R378)+INDEX(Models!$BJ378:$BT378,,T378+1)*R378-ERP_i)*Q378*Ramure*Pc/MaxiM</f>
        <v>1.7718301009669844E-3</v>
      </c>
      <c r="Q378" s="304">
        <f t="shared" si="130"/>
        <v>0.6</v>
      </c>
      <c r="R378" s="177">
        <f t="shared" si="131"/>
        <v>0.99911199505142578</v>
      </c>
      <c r="S378" s="799">
        <f t="shared" si="132"/>
        <v>1</v>
      </c>
      <c r="T378" s="176">
        <f t="shared" si="133"/>
        <v>7</v>
      </c>
      <c r="U378" s="250">
        <f t="shared" si="134"/>
        <v>1.9991119950514258</v>
      </c>
      <c r="V378" s="382">
        <f t="shared" si="135"/>
        <v>25.98619323976903</v>
      </c>
      <c r="W378" s="400">
        <f t="shared" si="136"/>
        <v>14.239082158369447</v>
      </c>
      <c r="X378" s="157">
        <f t="shared" si="137"/>
        <v>46021</v>
      </c>
      <c r="Y378" s="383">
        <f t="shared" si="138"/>
        <v>13.828980344368672</v>
      </c>
      <c r="Z378" s="383">
        <f t="shared" si="139"/>
        <v>14.514641924203643</v>
      </c>
      <c r="AA378" s="384">
        <f t="shared" si="140"/>
        <v>15.490307898822961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6.2985576593571374E-2</v>
      </c>
      <c r="AD378" s="230">
        <f>(INDEX(Models!$BJ378:$BT378,,AH378)*(1-AF378)+INDEX(Models!$BJ378:$BT378,,AH378+1)*AF378-ERP_i)*AE378*Ramure*Pc/MaxiM</f>
        <v>1.7718301009669844E-3</v>
      </c>
      <c r="AE378" s="304">
        <f t="shared" si="142"/>
        <v>0.6</v>
      </c>
      <c r="AF378" s="177">
        <f t="shared" si="143"/>
        <v>0.99911199505142578</v>
      </c>
      <c r="AG378" s="799">
        <f t="shared" si="149"/>
        <v>1</v>
      </c>
      <c r="AH378" s="176">
        <f t="shared" si="144"/>
        <v>7</v>
      </c>
      <c r="AI378" s="224">
        <f t="shared" si="145"/>
        <v>1.9991119950514258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46022</v>
      </c>
      <c r="B379" s="409">
        <f>IF(t&gt;Tmaj,'2024'!Wh/'2024'!Env_an*'2025'!Env_an,0.001*'[14]mon-tableau (2)'!$B$272)</f>
        <v>13.335696401448144</v>
      </c>
      <c r="C379" s="829"/>
      <c r="D379" s="391">
        <f t="shared" si="127"/>
        <v>13.997168476332716</v>
      </c>
      <c r="E379" s="383">
        <f t="shared" si="150"/>
        <v>14.509192359199186</v>
      </c>
      <c r="F379" s="383">
        <f t="shared" si="128"/>
        <v>14.516829690020723</v>
      </c>
      <c r="G379" s="110">
        <f t="shared" si="151"/>
        <v>0.51027197857371842</v>
      </c>
      <c r="H379" s="412" t="b">
        <f>Wh_hp&gt;='2024'!Maxi_hp</f>
        <v>0</v>
      </c>
      <c r="I379" s="388">
        <f>IF(H379,Wh_hp,'2024'!Maxi_hp)</f>
        <v>28.959989458050305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4.7257563270959313E-2</v>
      </c>
      <c r="M379" s="832"/>
      <c r="N379" s="832"/>
      <c r="O379" s="48">
        <f>IF(t&lt;Tnet,'2024'!Resal+('2024'!Salim-'2024'!Resal)*(1-EXP(('2024'!Tnet-t)/('2024'!Tau_j))),Resal+(Salim-Resal)*(1-EXP((Tnet-t)/(Tau_j))))*Salcycl</f>
        <v>3.5289619862392631E-2</v>
      </c>
      <c r="P379" s="169">
        <f>(INDEX(Models!$BJ379:$BT379,,T379)*(1-R379)+INDEX(Models!$BJ379:$BT379,,T379+1)*R379-ERP_i)*Q379*Ramure*Pc/MaxiM</f>
        <v>1.7462250499128053E-3</v>
      </c>
      <c r="Q379" s="305">
        <f t="shared" si="130"/>
        <v>0.6</v>
      </c>
      <c r="R379" s="177">
        <f t="shared" si="131"/>
        <v>0.99911199505142578</v>
      </c>
      <c r="S379" s="799">
        <f t="shared" si="132"/>
        <v>1</v>
      </c>
      <c r="T379" s="176">
        <f t="shared" si="133"/>
        <v>7</v>
      </c>
      <c r="U379" s="306">
        <f t="shared" si="134"/>
        <v>1.9991119950514258</v>
      </c>
      <c r="V379" s="382">
        <f t="shared" si="135"/>
        <v>26.102582942487683</v>
      </c>
      <c r="W379" s="400">
        <f t="shared" si="136"/>
        <v>13.335696401448144</v>
      </c>
      <c r="X379" s="157">
        <f t="shared" si="137"/>
        <v>46022</v>
      </c>
      <c r="Y379" s="383">
        <f t="shared" si="138"/>
        <v>12.952032349358838</v>
      </c>
      <c r="Z379" s="383">
        <f t="shared" si="139"/>
        <v>13.594474067750996</v>
      </c>
      <c r="AA379" s="384">
        <f t="shared" si="140"/>
        <v>14.509192359199186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6.3044052956416657E-2</v>
      </c>
      <c r="AD379" s="230">
        <f>(INDEX(Models!$BJ379:$BT379,,AH379)*(1-AF379)+INDEX(Models!$BJ379:$BT379,,AH379+1)*AF379-ERP_i)*AE379*Ramure*Pc/MaxiM</f>
        <v>1.7462250499128053E-3</v>
      </c>
      <c r="AE379" s="305">
        <f t="shared" si="142"/>
        <v>0.6</v>
      </c>
      <c r="AF379" s="177">
        <f t="shared" si="143"/>
        <v>0.99911199505142578</v>
      </c>
      <c r="AG379" s="799">
        <f t="shared" si="149"/>
        <v>1</v>
      </c>
      <c r="AH379" s="176">
        <f t="shared" si="144"/>
        <v>7</v>
      </c>
      <c r="AI379" s="221">
        <f t="shared" si="145"/>
        <v>1.9991119950514258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600" t="b">
        <f>Wh_hp&gt;='2024'!Maxi_hp</f>
        <v>0</v>
      </c>
      <c r="I380" s="601">
        <f>IF(H380,Wh_hp,'2024'!Maxi_hp)</f>
        <v>18.799311780498957</v>
      </c>
      <c r="J380" s="151">
        <f>IF(H380,An,'2024'!An_max)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1.5546261096107357</v>
      </c>
      <c r="C381" s="374"/>
      <c r="D381" s="372">
        <f>MIN(D15:D380)</f>
        <v>1.6204256659801424</v>
      </c>
      <c r="E381" s="372">
        <f>MIN(E15:E380)</f>
        <v>1.6800200737936977</v>
      </c>
      <c r="F381" s="373">
        <f>MIN(F15:F380)</f>
        <v>1.6800200737936977</v>
      </c>
      <c r="G381" s="125">
        <f>+MIN(G15:G380)</f>
        <v>5.8457214639354813E-2</v>
      </c>
      <c r="H381" s="94"/>
      <c r="I381" s="373">
        <f>MIN(I15:I380)</f>
        <v>10.012976509324043</v>
      </c>
      <c r="J381" s="57">
        <f>MIN(J15:J380)</f>
        <v>2018</v>
      </c>
      <c r="K381" s="200" t="s">
        <v>7</v>
      </c>
      <c r="L381" s="146">
        <f t="shared" ref="L381:T381" si="152">MIN(L15:L380)</f>
        <v>4.0587953600385696E-2</v>
      </c>
      <c r="M381" s="833"/>
      <c r="N381" s="833"/>
      <c r="O381" s="47">
        <f t="shared" si="152"/>
        <v>9.099574010168537E-3</v>
      </c>
      <c r="P381" s="168">
        <f t="shared" si="152"/>
        <v>-1.9619566310446586E-20</v>
      </c>
      <c r="Q381" s="309">
        <f t="shared" si="152"/>
        <v>0.6</v>
      </c>
      <c r="R381" s="310">
        <f t="shared" si="152"/>
        <v>0.49911326808759671</v>
      </c>
      <c r="S381" s="799">
        <f t="shared" si="152"/>
        <v>1</v>
      </c>
      <c r="T381" s="176">
        <f t="shared" si="152"/>
        <v>7</v>
      </c>
      <c r="U381" s="251">
        <f>+MIN(U15:U380)</f>
        <v>1.4991132680875967</v>
      </c>
      <c r="V381" s="372">
        <f>MIN(V15:V380)</f>
        <v>25.397372494653034</v>
      </c>
      <c r="W381" s="793"/>
      <c r="X381" s="112" t="s">
        <v>7</v>
      </c>
      <c r="Y381" s="372">
        <f>MIN(Y15:Y380)</f>
        <v>1.509898690491752</v>
      </c>
      <c r="Z381" s="372">
        <f>MIN(Z15:Z380)</f>
        <v>1.5738051586662649</v>
      </c>
      <c r="AA381" s="372">
        <f>MIN(AA15:AA380)</f>
        <v>1.6800200737936977</v>
      </c>
      <c r="AB381" s="200" t="s">
        <v>7</v>
      </c>
      <c r="AC381" s="47">
        <f t="shared" ref="AC381:AH381" si="153">MIN(AC15:AC380)</f>
        <v>4.6193912119919384E-2</v>
      </c>
      <c r="AD381" s="168">
        <f t="shared" si="153"/>
        <v>-1.9619566310446586E-20</v>
      </c>
      <c r="AE381" s="309">
        <f t="shared" si="153"/>
        <v>0.6</v>
      </c>
      <c r="AF381" s="310">
        <f t="shared" si="153"/>
        <v>0.49911326808759671</v>
      </c>
      <c r="AG381" s="799">
        <f t="shared" si="153"/>
        <v>1</v>
      </c>
      <c r="AH381" s="176">
        <f t="shared" si="153"/>
        <v>7</v>
      </c>
      <c r="AI381" s="225">
        <f>MIN(AI15:AI380)</f>
        <v>1.4991132680875967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31.368449100129734</v>
      </c>
      <c r="C382" s="374"/>
      <c r="D382" s="374">
        <f>AVERAGE(D15:D380)</f>
        <v>32.808478842460651</v>
      </c>
      <c r="E382" s="374">
        <f>AVERAGE(E15:E380)</f>
        <v>33.692683263573684</v>
      </c>
      <c r="F382" s="375">
        <f>AVERAGE(F15:F380)</f>
        <v>33.695104228023894</v>
      </c>
      <c r="G382" s="126">
        <f>AVERAGE(G15:G380)</f>
        <v>0.66664608590898677</v>
      </c>
      <c r="H382" s="94"/>
      <c r="I382" s="375">
        <f>AVERAGE(I15:I380)</f>
        <v>44.754373436251484</v>
      </c>
      <c r="J382" s="59">
        <f>AVERAGE(J15:J380)</f>
        <v>2020.8333333333333</v>
      </c>
      <c r="K382" s="200" t="s">
        <v>8</v>
      </c>
      <c r="L382" s="147">
        <f t="shared" ref="L382:V382" si="154">AVERAGE(L15:L380)</f>
        <v>4.3926625071407592E-2</v>
      </c>
      <c r="M382" s="832"/>
      <c r="N382" s="832"/>
      <c r="O382" s="48">
        <f t="shared" si="154"/>
        <v>2.9034363050070254E-2</v>
      </c>
      <c r="P382" s="169">
        <f t="shared" si="154"/>
        <v>2.8047067829214018E-4</v>
      </c>
      <c r="Q382" s="311">
        <f t="shared" si="154"/>
        <v>0.59999999999999631</v>
      </c>
      <c r="R382" s="177">
        <f t="shared" si="154"/>
        <v>0.77899686508674015</v>
      </c>
      <c r="S382" s="799">
        <f t="shared" si="154"/>
        <v>1</v>
      </c>
      <c r="T382" s="176">
        <f t="shared" si="154"/>
        <v>7</v>
      </c>
      <c r="U382" s="250">
        <f t="shared" si="154"/>
        <v>1.7789968650867403</v>
      </c>
      <c r="V382" s="374">
        <f t="shared" si="154"/>
        <v>45.365047264884247</v>
      </c>
      <c r="X382" s="112" t="s">
        <v>8</v>
      </c>
      <c r="Y382" s="374">
        <f>AVERAGE(Y15:Y380)</f>
        <v>30.339836084574941</v>
      </c>
      <c r="Z382" s="374">
        <f>AVERAGE(Z15:Z380)</f>
        <v>31.73257635022556</v>
      </c>
      <c r="AA382" s="374">
        <f>AVERAGE(AA15:AA380)</f>
        <v>33.692683263573684</v>
      </c>
      <c r="AB382" s="200" t="s">
        <v>8</v>
      </c>
      <c r="AC382" s="48">
        <f t="shared" ref="AC382:AH382" si="155">AVERAGE(AC15:AC380)</f>
        <v>5.9787486321242533E-2</v>
      </c>
      <c r="AD382" s="169">
        <f t="shared" si="155"/>
        <v>2.8047067829214018E-4</v>
      </c>
      <c r="AE382" s="311">
        <f t="shared" si="155"/>
        <v>0.59999999999999631</v>
      </c>
      <c r="AF382" s="177">
        <f t="shared" si="155"/>
        <v>0.77899686508674015</v>
      </c>
      <c r="AG382" s="799">
        <f t="shared" si="155"/>
        <v>1</v>
      </c>
      <c r="AH382" s="176">
        <f t="shared" si="155"/>
        <v>7</v>
      </c>
      <c r="AI382" s="224">
        <f>AVERAGE(AI15:AI380)</f>
        <v>1.7789968650867403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60.554400613629994</v>
      </c>
      <c r="C383" s="376"/>
      <c r="D383" s="376">
        <f>MAX(D15:D380)</f>
        <v>63.295433879142514</v>
      </c>
      <c r="E383" s="376">
        <f>MAX(E15:E380)</f>
        <v>64.121433060958893</v>
      </c>
      <c r="F383" s="377">
        <f>MAX(F15:F380)</f>
        <v>64.121433060958893</v>
      </c>
      <c r="G383" s="127">
        <f>+MAX(G15:G380)</f>
        <v>1.0478798370423081</v>
      </c>
      <c r="H383" s="94"/>
      <c r="I383" s="377">
        <f>MAX(I15:I380)</f>
        <v>65.55404847482302</v>
      </c>
      <c r="J383" s="60">
        <f>MAX(J15:J380)</f>
        <v>2025</v>
      </c>
      <c r="K383" s="200" t="s">
        <v>9</v>
      </c>
      <c r="L383" s="148">
        <f t="shared" ref="L383:T383" si="156">MAX(L15:L380)</f>
        <v>4.7257563270959313E-2</v>
      </c>
      <c r="M383" s="834"/>
      <c r="N383" s="834"/>
      <c r="O383" s="49">
        <f t="shared" si="156"/>
        <v>4.6088880511343445E-2</v>
      </c>
      <c r="P383" s="170">
        <f t="shared" si="156"/>
        <v>1.8989082668185297E-3</v>
      </c>
      <c r="Q383" s="312">
        <f t="shared" si="156"/>
        <v>0.6</v>
      </c>
      <c r="R383" s="313">
        <f t="shared" si="156"/>
        <v>0.99911199505142578</v>
      </c>
      <c r="S383" s="800">
        <f t="shared" si="156"/>
        <v>1</v>
      </c>
      <c r="T383" s="232">
        <f t="shared" si="156"/>
        <v>7</v>
      </c>
      <c r="U383" s="252">
        <f>+MAX(U15:U380)</f>
        <v>1.9991119950514258</v>
      </c>
      <c r="V383" s="376">
        <f>MAX(V15:V380)</f>
        <v>59.718139821980742</v>
      </c>
      <c r="X383" s="112" t="s">
        <v>9</v>
      </c>
      <c r="Y383" s="376">
        <f>MAX(Y15:Y380)</f>
        <v>58.311614635052692</v>
      </c>
      <c r="Z383" s="376">
        <f>MAX(Z15:Z380)</f>
        <v>60.951126773902097</v>
      </c>
      <c r="AA383" s="376">
        <f>MAX(AA15:AA380)</f>
        <v>64.121433060958893</v>
      </c>
      <c r="AB383" s="200" t="s">
        <v>9</v>
      </c>
      <c r="AC383" s="49">
        <f t="shared" ref="AC383:AH383" si="157">MAX(AC15:AC380)</f>
        <v>7.0612672188079206E-2</v>
      </c>
      <c r="AD383" s="170">
        <f t="shared" si="157"/>
        <v>1.8989082668185297E-3</v>
      </c>
      <c r="AE383" s="312">
        <f t="shared" si="157"/>
        <v>0.6</v>
      </c>
      <c r="AF383" s="313">
        <f t="shared" si="157"/>
        <v>0.99911199505142578</v>
      </c>
      <c r="AG383" s="800">
        <f t="shared" si="157"/>
        <v>1</v>
      </c>
      <c r="AH383" s="232">
        <f t="shared" si="157"/>
        <v>7</v>
      </c>
      <c r="AI383" s="226">
        <f>MAX(AI15:AI380)</f>
        <v>1.9991119950514258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4" sqref="B14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7">
        <f>'2025'!An+1</f>
        <v>2026</v>
      </c>
      <c r="K1" s="1278"/>
      <c r="L1" s="113" t="str">
        <f>"Calcul pertes et enveloppes en "&amp;TEXT(An,0)</f>
        <v>Calcul pertes et enveloppes en 2026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2026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7">
        <f>Tmaj</f>
        <v>44947</v>
      </c>
      <c r="F3" s="1287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76.83272164496428</v>
      </c>
      <c r="AK3" s="822">
        <f>AM11-AK11</f>
        <v>-6.384583210401501E-3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0" t="str">
        <f>Station</f>
        <v>Esp. Berjean Escalquens</v>
      </c>
      <c r="F4" s="1221"/>
      <c r="G4" s="1221"/>
      <c r="H4" s="1221"/>
      <c r="I4" s="1222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295.77692593669479</v>
      </c>
      <c r="AK4" s="822">
        <f>AM12-AK12</f>
        <v>0.76089735676430981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88">
        <f>T0</f>
        <v>43496</v>
      </c>
      <c r="F5" s="1288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372.661444763475</v>
      </c>
      <c r="AA5" s="236">
        <f>Wh_Pvg_s-Wh_Pvg</f>
        <v>0.75223145367926325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2867.9577992833451</v>
      </c>
      <c r="AK5" s="514">
        <f>SUMIF(AK15:AK380,"VRAI",Wh)</f>
        <v>1905.6769339956031</v>
      </c>
      <c r="AL5" s="514">
        <f>SUMIF(AJ15:AJ380,"VRAI",Wh_s)</f>
        <v>2791.1211209560538</v>
      </c>
      <c r="AM5" s="514">
        <f>SUMIF(AK15:AK380,"VRAI",Wh_s)</f>
        <v>1853.7722358113972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89">
        <f>Tservice</f>
        <v>43535</v>
      </c>
      <c r="F6" s="1289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8502.6643840999259</v>
      </c>
      <c r="AK6" s="514">
        <f>SUMIF(AK15:AK380,"FAUX",Wh)</f>
        <v>9464.9452493876724</v>
      </c>
      <c r="AL6" s="514">
        <f>SUMIF(AJ15:AJ380,"FAUX",Wh_s)</f>
        <v>8206.0595771316002</v>
      </c>
      <c r="AM6" s="514">
        <f>SUMIF(AK15:AK380,"FAUX",Wh_s)</f>
        <v>9143.4084622762566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AND(YEAR(Tnet)=An,Resal_2026="I")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3014.2458143284839</v>
      </c>
      <c r="AK7" s="514">
        <f>SUMIF(AK15:AK380,"VRAI",Wh_sa)</f>
        <v>2085.6073585988925</v>
      </c>
      <c r="AL7" s="514">
        <f>SUMIF(AJ15:AJ380,"VRAI",Wh_pvt_s)</f>
        <v>2933.491446096295</v>
      </c>
      <c r="AM7" s="514">
        <f>SUMIF(AK15:AK380,"VRAI",Wh_sa_s)</f>
        <v>2085.6073585988925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AND(YEAR(Tnet)=An,Resal_2026&lt;&gt;"I")</f>
        <v>1</v>
      </c>
      <c r="F8" s="320" t="b">
        <f>YEAR(Ttai)=An</f>
        <v>1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5" t="s">
        <v>102</v>
      </c>
      <c r="Y8" s="1276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8961.8535828065415</v>
      </c>
      <c r="AK8" s="514">
        <f>SUMIF(AK15:AK380,"FAUX",Wh_sa)</f>
        <v>10213.26045837669</v>
      </c>
      <c r="AL8" s="514">
        <f>SUMIF(AJ15:AJ380,"FAUX",Wh_pvt_s)</f>
        <v>8649.2530413043241</v>
      </c>
      <c r="AM8" s="514">
        <f>SUMIF(AK15:AK380,"FAUX",Wh_sa_s)</f>
        <v>10212.409213966417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11976.099397135027</v>
      </c>
      <c r="E9" s="184">
        <f>SUM(E$15:E$380)</f>
        <v>12298.867816975579</v>
      </c>
      <c r="F9" s="184">
        <f>SUM(F$15:F$380)</f>
        <v>12299.163892074239</v>
      </c>
      <c r="H9" s="1279">
        <f>+SUM(Wh)</f>
        <v>11370.622183383275</v>
      </c>
      <c r="I9" s="1280"/>
      <c r="J9" s="1281"/>
      <c r="K9" s="191"/>
      <c r="L9" s="231"/>
      <c r="M9" s="231"/>
      <c r="N9" s="231"/>
      <c r="O9" s="222">
        <f>Tnet_2026</f>
        <v>46142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3">
        <f>+SUM(Wh_s)</f>
        <v>10997.18069808765</v>
      </c>
      <c r="Y9" s="1274"/>
      <c r="Z9" s="514">
        <f>SUM(Z$15:Z$380)</f>
        <v>11582.744487400616</v>
      </c>
      <c r="AA9" s="514">
        <f>SUM(AA$15:AA$380)</f>
        <v>12298.016572565308</v>
      </c>
      <c r="AB9" s="514">
        <f>F9</f>
        <v>12299.163892074239</v>
      </c>
      <c r="AC9" s="324">
        <f>IF(An_Tnet,Tnet,'2025'!Tnet_s)</f>
        <v>46142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3144.9413720518596</v>
      </c>
      <c r="AK9" s="514">
        <f>SUMIF(AK15:AK380,"VRAI",Wh_hp)</f>
        <v>2085.8639005727605</v>
      </c>
      <c r="AL9" s="514">
        <f>SUMIF(AJ15:AJ380,"VRAI",Wh_sa_s)</f>
        <v>3144.9389016277073</v>
      </c>
      <c r="AM9" s="514">
        <f>SUMIF(AK15:AK380,"VRAI",Wh_hp)</f>
        <v>2085.8639005727605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IF(Inflex,'2025'!Resal+('2025'!Salim-'2025'!Resal)*(1-EXP(-(Tnet-'2025'!Tnet)/('2025'!Tau_j))),IF(An_Tnet,Resal_2026,'2025'!Resal))</f>
        <v>8.9999999999999993E-3</v>
      </c>
      <c r="P10" s="419" t="b">
        <f>NOT(Acti_tai)</f>
        <v>0</v>
      </c>
      <c r="Q10" s="256">
        <f>IF(Acti_tai,'2025'!PousD,Dens-Dd)</f>
        <v>0</v>
      </c>
      <c r="R10" s="273"/>
      <c r="S10" s="274"/>
      <c r="T10" s="275"/>
      <c r="U10" s="265">
        <f>IF(Acti_tai,'2025'!PousH,Hdtf-Hdd)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IF(OR(Inflex,GainD),'2025'!Resal_s+('2025'!Salim-'2025'!Resal_s)*(1-EXP(('2025'!Tnet_s-Tnet)/('2025'!Tau_j))),IF(Acti_net,'2025'!Resal+('2025'!Salim-'2025'!Resal)*(1-EXP(('2025'!Tnet-Tnet)/'2025'!Tau_j)),'2025'!Resal_s))</f>
        <v>4.5688425481752219E-2</v>
      </c>
      <c r="AD10" s="426"/>
      <c r="AE10" s="426"/>
      <c r="AF10" s="259"/>
      <c r="AG10" s="260"/>
      <c r="AH10" s="261"/>
      <c r="AI10" s="471"/>
      <c r="AJ10" s="514">
        <f>SUMIF(AJ15:AJ380,"FAUX",Wh_sa)</f>
        <v>9153.9264449237216</v>
      </c>
      <c r="AK10" s="514">
        <f>SUMIF(AK15:AK380,"FAUX",Wh_hp)</f>
        <v>10213.299991501472</v>
      </c>
      <c r="AL10" s="514">
        <f>SUMIF(AJ15:AJ380,"FAUX",Wh_sa_s)</f>
        <v>9153.077670937595</v>
      </c>
      <c r="AM10" s="514">
        <f>SUMIF(AK15:AK380,"FAUX",Wh_hp)</f>
        <v>10213.299991501472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605.47721375175206</v>
      </c>
      <c r="E11" s="51">
        <f>(E$9-D$9)*Prod_an/D$9</f>
        <v>306.45017488853767</v>
      </c>
      <c r="F11" s="186">
        <f>(F$9-E$9)*Prod_an/E$9</f>
        <v>0.27372910538385098</v>
      </c>
      <c r="G11" s="185" t="s">
        <v>6</v>
      </c>
      <c r="K11" s="194"/>
      <c r="L11" s="211">
        <f>Tvie_2026</f>
        <v>43496</v>
      </c>
      <c r="M11" s="831"/>
      <c r="N11" s="831"/>
      <c r="O11" s="202">
        <f>IF(An_Tnet,Salim_2026,'2025'!Salim)</f>
        <v>0.11666666666666665</v>
      </c>
      <c r="P11" s="255">
        <f>Ttai_2026</f>
        <v>46112</v>
      </c>
      <c r="Q11" s="271">
        <f>Dens_2026</f>
        <v>0.6</v>
      </c>
      <c r="R11" s="276"/>
      <c r="S11" s="229"/>
      <c r="T11" s="229"/>
      <c r="U11" s="265">
        <f>Htf_2026</f>
        <v>-1.5008874621829826</v>
      </c>
      <c r="V11" s="426"/>
      <c r="W11" s="517"/>
      <c r="X11" s="524" t="s">
        <v>43</v>
      </c>
      <c r="Y11" s="50">
        <f>Z$9-Prod_an_s</f>
        <v>585.56378931296604</v>
      </c>
      <c r="Z11" s="51">
        <f>(AA$9-Z$9)*Prod_an_s/Z$9</f>
        <v>679.11161965201268</v>
      </c>
      <c r="AA11" s="186">
        <f>(AB$9-AA$9)*Prod_an_s/AA$9</f>
        <v>1.0259605590631142</v>
      </c>
      <c r="AB11" s="525" t="s">
        <v>6</v>
      </c>
      <c r="AC11" s="324"/>
      <c r="AD11" s="426"/>
      <c r="AE11" s="271">
        <f>IF(Acti_tai,IF(GainD,Dd_s,Dd)+PousD*Croi_tai,"NA")</f>
        <v>0.6</v>
      </c>
      <c r="AF11" s="246"/>
      <c r="AG11" s="246"/>
      <c r="AH11" s="246"/>
      <c r="AI11" s="265">
        <f>IF(Acti_tai,IF(GainD,Hdd_s,Hdd)+PousH*Croi_tai,"NA")</f>
        <v>2.0241001041909961</v>
      </c>
      <c r="AJ11" s="821">
        <f>IF($AJ7=0,0,($AJ9-$AJ7)*$AJ5/$AJ7)</f>
        <v>124.35261328809268</v>
      </c>
      <c r="AK11" s="822">
        <f>IF($AK7=0,0,($AK9-$AK7)*$AK5/$AK7)</f>
        <v>0.23440947318599342</v>
      </c>
      <c r="AL11" s="821">
        <f>IF($AL7=0,0,($AL9-$AL7)*$AL5/$AL7)</f>
        <v>201.18533493305696</v>
      </c>
      <c r="AM11" s="822">
        <f>IF($AM7=0,0,($AM9-$AM7)*$AM5/$AM7)</f>
        <v>0.22802488997559192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4.787983704230836E-2</v>
      </c>
      <c r="K12" s="191"/>
      <c r="L12" s="212">
        <f>Pspv_2026</f>
        <v>0</v>
      </c>
      <c r="M12" s="212"/>
      <c r="N12" s="212"/>
      <c r="O12" s="205">
        <f>IF(An_Tnet,Tau_2026*365,'2025'!Tau_j)</f>
        <v>876</v>
      </c>
      <c r="P12" s="280">
        <f>INDEX(Croivg,MIN(MAX(Ttai-$A$15,0)+1,366))</f>
        <v>4.9976218279140845E-2</v>
      </c>
      <c r="Q12" s="279">
        <f>'2025'!Df</f>
        <v>0.6</v>
      </c>
      <c r="R12" s="277"/>
      <c r="S12" s="278"/>
      <c r="T12" s="278"/>
      <c r="U12" s="266">
        <f>'2025'!Hdf</f>
        <v>1.9991119950514258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'2025'!Df_s</f>
        <v>0.6</v>
      </c>
      <c r="AF12" s="203"/>
      <c r="AG12" s="203"/>
      <c r="AH12" s="203"/>
      <c r="AI12" s="296">
        <f>'2025'!Hdf_s</f>
        <v>1.9991119950514258</v>
      </c>
      <c r="AJ12" s="821">
        <f>IF($AJ8=0,0,($AJ10-$AJ8)*$AJ6/$AJ8)</f>
        <v>182.23139541233655</v>
      </c>
      <c r="AK12" s="822">
        <f>IF($AK8=0,0,($AK10-$AK8)*$AK6/$AK8)</f>
        <v>3.6636572926213903E-2</v>
      </c>
      <c r="AL12" s="821">
        <f>IF($AL8=0,0,($AL10-$AL8)*$AL6/$AL8)</f>
        <v>478.00832134903135</v>
      </c>
      <c r="AM12" s="822">
        <f>IF($AM8=0,0,($AM10-$AM8)*$AM6/$AM8)</f>
        <v>0.79753392969052372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200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306.58400870042925</v>
      </c>
      <c r="AK13" s="73">
        <f>+AK11+AK12</f>
        <v>0.27104604611220734</v>
      </c>
      <c r="AL13" s="73">
        <f>+AL11+AL12</f>
        <v>679.19365628208834</v>
      </c>
      <c r="AM13" s="73">
        <f>+AM11+AM12</f>
        <v>1.0255588196661156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414" t="s">
        <v>365</v>
      </c>
      <c r="C14" s="414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199</v>
      </c>
      <c r="V14" s="45" t="str">
        <f>"Enveloppe "&amp; TEXT(An,0)</f>
        <v>Enveloppe 2026</v>
      </c>
      <c r="W14" s="826" t="s">
        <v>116</v>
      </c>
      <c r="X14" s="257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129">
        <f>DATE(An,1,1)</f>
        <v>46023</v>
      </c>
      <c r="B15" s="408">
        <f>IF(t&gt;Tmaj,'2025'!Wh/'2025'!Env_an*'2026'!Env_an,0.001*'[3]mon-tableau (2)'!$B$242)</f>
        <v>9.6378199423122055</v>
      </c>
      <c r="C15" s="829"/>
      <c r="D15" s="391">
        <f t="shared" ref="D15:D78" si="0">Wh/(1-Ppv)</f>
        <v>10.11606524588306</v>
      </c>
      <c r="E15" s="398">
        <f t="shared" ref="E15:E79" si="1">Wh_pvt/(1-Psa)</f>
        <v>10.487110121732046</v>
      </c>
      <c r="F15" s="398">
        <f t="shared" ref="F15:F78" si="2">Wh_sa/(1-Pvg*MEDIAN((-Sdif+Wh/Env_an)/Csdif,0,1))</f>
        <v>10.488847014048268</v>
      </c>
      <c r="G15" s="123">
        <f>+Wh_hp/MaxiM</f>
        <v>0.36688281995991895</v>
      </c>
      <c r="H15" s="412" t="b">
        <f>Wh_hp&gt;='2025'!Maxi_hp</f>
        <v>0</v>
      </c>
      <c r="I15" s="394">
        <f>IF(H15,Wh_hp,'2025'!Maxi_hp)</f>
        <v>28.767141164856003</v>
      </c>
      <c r="J15" s="84">
        <f>IF(H15,An,'2025'!An_max)</f>
        <v>2022</v>
      </c>
      <c r="K15" s="197">
        <f t="shared" ref="K15:K78" si="3">t</f>
        <v>46023</v>
      </c>
      <c r="L15" s="146">
        <f>IF(t&lt;Tvie,1-EXP((T0-t)*PertePVj)+'2025'!Pspv,1-EXP((T0-t)*PertePVj)+Pspv)</f>
        <v>4.7275822362403797E-2</v>
      </c>
      <c r="M15" s="832"/>
      <c r="N15" s="832"/>
      <c r="O15" s="48">
        <f>IF(t&lt;Tnet,'2025'!Resal+('2025'!Salim-'2025'!Resal)*(1-EXP(('2025'!Tnet-t)/('2025'!Tau_j))),Resal+(Salim-Resal)*(1-EXP((Tnet-t)/(Tau_j))))*Salcycl</f>
        <v>3.5381041253689453E-2</v>
      </c>
      <c r="P15" s="301">
        <f>(INDEX(Models!$BJ15:$BT15,,T15)*(1-R15)+INDEX(Models!$BJ15:$BT15,,T15+1)*R15-ERP_i)*Q15*Ramure*Pc/MaxiM</f>
        <v>1.7184566066312801E-3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0.99911319054965508</v>
      </c>
      <c r="S15" s="798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1.9991131905496551</v>
      </c>
      <c r="V15" s="381">
        <f t="shared" ref="V15:V78" si="9">MaxiM*(1-Ppv)*(1-Pvg)*(1-Psa)</f>
        <v>26.228677746328795</v>
      </c>
      <c r="W15" s="400">
        <f t="shared" ref="W15:W78" si="10">Wh*(A15&gt;Tmaj)</f>
        <v>9.6378199423122055</v>
      </c>
      <c r="X15" s="156">
        <f t="shared" ref="X15:X78" si="11">t</f>
        <v>46023</v>
      </c>
      <c r="Y15" s="383">
        <f t="shared" ref="Y15:Y78" si="12">Wh_pvt_s*(1-Ppv)</f>
        <v>9.3608445731384293</v>
      </c>
      <c r="Z15" s="383">
        <f>Wh_sa_s*(1-Psa_s)</f>
        <v>9.8253458795911577</v>
      </c>
      <c r="AA15" s="384">
        <f t="shared" ref="AA15:AA78" si="13">Wh_hp*(1-Pvg_s*MEDIAN((-Sdif+Wh/Env_an)/Csdif,0,1))</f>
        <v>10.487110121732046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6.3102631178587401E-2</v>
      </c>
      <c r="AD15" s="230">
        <f>(INDEX(Models!$BJ15:$BT15,,AH15)*(1-AF15)+INDEX(Models!$BJ15:$BT15,,AH15+1)*AF15-ERP_i)*AE15*Ramure*Pc/MaxiM</f>
        <v>1.7184566066312801E-3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0.99911319054965508</v>
      </c>
      <c r="AG15" s="798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1.9991131905496551</v>
      </c>
      <c r="AJ15" s="264" t="b">
        <f t="shared" ref="AJ15:AJ78" si="18">t&lt;Tnet</f>
        <v>1</v>
      </c>
      <c r="AK15" s="264" t="b">
        <f t="shared" ref="AK15:AK78" si="19">t&lt;Ttai</f>
        <v>1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46024</v>
      </c>
      <c r="B16" s="409">
        <f>IF(t&gt;Tmaj,'2025'!Wh/'2025'!Env_an*'2026'!Env_an,0.001*'[3]mon-tableau (2)'!$B$243)</f>
        <v>1.543226668116056</v>
      </c>
      <c r="C16" s="829"/>
      <c r="D16" s="391">
        <f t="shared" si="0"/>
        <v>1.6198352896812267</v>
      </c>
      <c r="E16" s="383">
        <f t="shared" si="1"/>
        <v>1.6794079852208654</v>
      </c>
      <c r="F16" s="383">
        <f t="shared" si="2"/>
        <v>1.6794079852208654</v>
      </c>
      <c r="G16" s="110">
        <f t="shared" ref="G16:G79" si="21">+Wh_hp/MaxiM</f>
        <v>5.8435916683670534E-2</v>
      </c>
      <c r="H16" s="412" t="b">
        <f>Wh_hp&gt;='2025'!Maxi_hp</f>
        <v>0</v>
      </c>
      <c r="I16" s="388">
        <f>IF(H16,Wh_hp,'2025'!Maxi_hp)</f>
        <v>27.700774451172606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4.7294081103916863E-2</v>
      </c>
      <c r="M16" s="832"/>
      <c r="N16" s="832"/>
      <c r="O16" s="48">
        <f>IF(t&lt;Tnet,'2025'!Resal+('2025'!Salim-'2025'!Resal)*(1-EXP(('2025'!Tnet-t)/('2025'!Tau_j))),Resal+(Salim-Resal)*(1-EXP((Tnet-t)/(Tau_j))))*Salcycl</f>
        <v>3.5472437944734536E-2</v>
      </c>
      <c r="P16" s="169">
        <f>(INDEX(Models!$BJ16:$BT16,,T16)*(1-R16)+INDEX(Models!$BJ16:$BT16,,T16+1)*R16-ERP_i)*Q16*Ramure*Pc/MaxiM</f>
        <v>1.6872551042690987E-3</v>
      </c>
      <c r="Q16" s="304">
        <f t="shared" si="4"/>
        <v>0.6</v>
      </c>
      <c r="R16" s="177">
        <f t="shared" si="5"/>
        <v>0.99914240516364949</v>
      </c>
      <c r="S16" s="799">
        <f t="shared" si="6"/>
        <v>1</v>
      </c>
      <c r="T16" s="176">
        <f t="shared" si="7"/>
        <v>7</v>
      </c>
      <c r="U16" s="250">
        <f t="shared" si="8"/>
        <v>1.9991424051636495</v>
      </c>
      <c r="V16" s="382">
        <f t="shared" si="9"/>
        <v>26.364313909595058</v>
      </c>
      <c r="W16" s="400">
        <f t="shared" si="10"/>
        <v>1.543226668116056</v>
      </c>
      <c r="X16" s="157">
        <f t="shared" si="11"/>
        <v>46024</v>
      </c>
      <c r="Y16" s="383">
        <f t="shared" si="12"/>
        <v>1.4989250001905272</v>
      </c>
      <c r="Z16" s="383">
        <f t="shared" ref="Z16:Z78" si="22">Wh_sa_s*(1-Psa_s)</f>
        <v>1.5733344051513374</v>
      </c>
      <c r="AA16" s="384">
        <f t="shared" si="13"/>
        <v>1.6794079852208654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6.3161293147940958E-2</v>
      </c>
      <c r="AD16" s="230">
        <f>(INDEX(Models!$BJ16:$BT16,,AH16)*(1-AF16)+INDEX(Models!$BJ16:$BT16,,AH16+1)*AF16-ERP_i)*AE16*Ramure*Pc/MaxiM</f>
        <v>1.6872551042690987E-3</v>
      </c>
      <c r="AE16" s="304">
        <f t="shared" si="15"/>
        <v>0.6</v>
      </c>
      <c r="AF16" s="177">
        <f t="shared" ref="AF16:AF78" si="23">(Hp_vg_s-AG16)/(INDEX(Echel_vg,AH16+1)-AG16)</f>
        <v>0.99914240516364949</v>
      </c>
      <c r="AG16" s="799">
        <f t="shared" ref="AG16:AG79" si="24">INDEX(Echel_vg,AH16)</f>
        <v>1</v>
      </c>
      <c r="AH16" s="176">
        <f t="shared" si="16"/>
        <v>7</v>
      </c>
      <c r="AI16" s="224">
        <f t="shared" si="17"/>
        <v>1.9991424051636495</v>
      </c>
      <c r="AJ16" s="264" t="b">
        <f t="shared" si="18"/>
        <v>1</v>
      </c>
      <c r="AK16" s="264" t="b">
        <f t="shared" si="19"/>
        <v>1</v>
      </c>
      <c r="AL16" s="264"/>
      <c r="AM16" s="264"/>
      <c r="AN16" s="75"/>
    </row>
    <row r="17" spans="1:40" s="6" customFormat="1" ht="11.25" x14ac:dyDescent="0.2">
      <c r="A17" s="56">
        <f t="shared" si="20"/>
        <v>46025</v>
      </c>
      <c r="B17" s="409">
        <f>IF(t&gt;Tmaj,'2025'!Wh/'2025'!Env_an*'2026'!Env_an,0.001*'[3]mon-tableau (2)'!$B$244)</f>
        <v>15.883068407709857</v>
      </c>
      <c r="C17" s="829"/>
      <c r="D17" s="391">
        <f t="shared" si="0"/>
        <v>16.671852765783697</v>
      </c>
      <c r="E17" s="383">
        <f t="shared" si="1"/>
        <v>17.286631079454391</v>
      </c>
      <c r="F17" s="383">
        <f t="shared" si="2"/>
        <v>17.29884907874046</v>
      </c>
      <c r="G17" s="110">
        <f t="shared" si="21"/>
        <v>0.59858352392206926</v>
      </c>
      <c r="H17" s="412" t="b">
        <f>Wh_hp&gt;='2025'!Maxi_hp</f>
        <v>0</v>
      </c>
      <c r="I17" s="388">
        <f>IF(H17,Wh_hp,'2025'!Maxi_hp)</f>
        <v>27.58667687662351</v>
      </c>
      <c r="J17" s="85">
        <f>IF(H17,An,'2025'!An_max)</f>
        <v>2021</v>
      </c>
      <c r="K17" s="197">
        <f t="shared" si="3"/>
        <v>46025</v>
      </c>
      <c r="L17" s="147">
        <f>IF(t&lt;Tvie,1-EXP((T0-t)*PertePVj)+'2025'!Pspv,1-EXP((T0-t)*PertePVj)+Pspv)</f>
        <v>4.7312339495505396E-2</v>
      </c>
      <c r="M17" s="832"/>
      <c r="N17" s="832"/>
      <c r="O17" s="48">
        <f>IF(t&lt;Tnet,'2025'!Resal+('2025'!Salim-'2025'!Resal)*(1-EXP(('2025'!Tnet-t)/('2025'!Tau_j))),Resal+(Salim-Resal)*(1-EXP((Tnet-t)/(Tau_j))))*Salcycl</f>
        <v>3.5563801347121581E-2</v>
      </c>
      <c r="P17" s="169">
        <f>(INDEX(Models!$BJ17:$BT17,,T17)*(1-R17)+INDEX(Models!$BJ17:$BT17,,T17+1)*R17-ERP_i)*Q17*Ramure*Pc/MaxiM</f>
        <v>1.6526866758345008E-3</v>
      </c>
      <c r="Q17" s="304">
        <f t="shared" si="4"/>
        <v>0.6</v>
      </c>
      <c r="R17" s="177">
        <f t="shared" si="5"/>
        <v>0.99917284175913901</v>
      </c>
      <c r="S17" s="799">
        <f t="shared" si="6"/>
        <v>1</v>
      </c>
      <c r="T17" s="176">
        <f t="shared" si="7"/>
        <v>7</v>
      </c>
      <c r="U17" s="250">
        <f t="shared" si="8"/>
        <v>1.999172841759139</v>
      </c>
      <c r="V17" s="382">
        <f t="shared" si="9"/>
        <v>26.509293125762607</v>
      </c>
      <c r="W17" s="400">
        <f t="shared" si="10"/>
        <v>15.883068407709857</v>
      </c>
      <c r="X17" s="157">
        <f t="shared" si="11"/>
        <v>46025</v>
      </c>
      <c r="Y17" s="383">
        <f t="shared" si="12"/>
        <v>15.427604732975208</v>
      </c>
      <c r="Z17" s="383">
        <f t="shared" si="22"/>
        <v>16.193769870815309</v>
      </c>
      <c r="AA17" s="384">
        <f t="shared" si="13"/>
        <v>17.286631079454391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6.3220022664680825E-2</v>
      </c>
      <c r="AD17" s="230">
        <f>(INDEX(Models!$BJ17:$BT17,,AH17)*(1-AF17)+INDEX(Models!$BJ17:$BT17,,AH17+1)*AF17-ERP_i)*AE17*Ramure*Pc/MaxiM</f>
        <v>1.6526866758345008E-3</v>
      </c>
      <c r="AE17" s="304">
        <f t="shared" si="15"/>
        <v>0.6</v>
      </c>
      <c r="AF17" s="177">
        <f>(Hp_vg_s-AG17)/(INDEX(Echel_vg,AH17+1)-AG17)</f>
        <v>0.99917284175913901</v>
      </c>
      <c r="AG17" s="799">
        <f>INDEX(Echel_vg,AH17)</f>
        <v>1</v>
      </c>
      <c r="AH17" s="176">
        <f t="shared" si="16"/>
        <v>7</v>
      </c>
      <c r="AI17" s="224">
        <f t="shared" si="17"/>
        <v>1.999172841759139</v>
      </c>
      <c r="AJ17" s="264" t="b">
        <f t="shared" si="18"/>
        <v>1</v>
      </c>
      <c r="AK17" s="264" t="b">
        <f t="shared" si="19"/>
        <v>1</v>
      </c>
      <c r="AL17" s="264"/>
      <c r="AM17" s="264"/>
      <c r="AN17" s="75"/>
    </row>
    <row r="18" spans="1:40" s="6" customFormat="1" ht="11.25" x14ac:dyDescent="0.2">
      <c r="A18" s="56">
        <f t="shared" si="20"/>
        <v>46026</v>
      </c>
      <c r="B18" s="409">
        <f>IF(t&gt;Tmaj,'2025'!Wh/'2025'!Env_an*'2026'!Env_an,0.001*'[3]mon-tableau (2)'!$B$245)</f>
        <v>14.227178291585144</v>
      </c>
      <c r="C18" s="829"/>
      <c r="D18" s="391">
        <f t="shared" si="0"/>
        <v>14.934014102694276</v>
      </c>
      <c r="E18" s="383">
        <f t="shared" si="1"/>
        <v>15.486175612513433</v>
      </c>
      <c r="F18" s="383">
        <f t="shared" si="2"/>
        <v>15.494524984437559</v>
      </c>
      <c r="G18" s="110">
        <f t="shared" si="21"/>
        <v>0.53300978049638725</v>
      </c>
      <c r="H18" s="412" t="b">
        <f>Wh_hp&gt;='2025'!Maxi_hp</f>
        <v>0</v>
      </c>
      <c r="I18" s="388">
        <f>IF(H18,Wh_hp,'2025'!Maxi_hp)</f>
        <v>23.787440527034882</v>
      </c>
      <c r="J18" s="85">
        <f>IF(H18,An,'2025'!An_max)</f>
        <v>2021</v>
      </c>
      <c r="K18" s="197">
        <f t="shared" si="3"/>
        <v>46026</v>
      </c>
      <c r="L18" s="147">
        <f>IF(t&lt;Tvie,1-EXP((T0-t)*PertePVj)+'2025'!Pspv,1-EXP((T0-t)*PertePVj)+Pspv)</f>
        <v>4.7330597537175945E-2</v>
      </c>
      <c r="M18" s="832"/>
      <c r="N18" s="832"/>
      <c r="O18" s="48">
        <f>IF(t&lt;Tnet,'2025'!Resal+('2025'!Salim-'2025'!Resal)*(1-EXP(('2025'!Tnet-t)/('2025'!Tau_j))),Resal+(Salim-Resal)*(1-EXP((Tnet-t)/(Tau_j))))*Salcycl</f>
        <v>3.5655123875321937E-2</v>
      </c>
      <c r="P18" s="169">
        <f>(INDEX(Models!$BJ18:$BT18,,T18)*(1-R18)+INDEX(Models!$BJ18:$BT18,,T18+1)*R18-ERP_i)*Q18*Ramure*Pc/MaxiM</f>
        <v>1.6148421814777343E-3</v>
      </c>
      <c r="Q18" s="304">
        <f t="shared" si="4"/>
        <v>0.6</v>
      </c>
      <c r="R18" s="177">
        <f t="shared" si="5"/>
        <v>0.99920455129043417</v>
      </c>
      <c r="S18" s="799">
        <f t="shared" si="6"/>
        <v>1</v>
      </c>
      <c r="T18" s="176">
        <f t="shared" si="7"/>
        <v>7</v>
      </c>
      <c r="U18" s="250">
        <f t="shared" si="8"/>
        <v>1.9992045512904342</v>
      </c>
      <c r="V18" s="382">
        <f t="shared" si="9"/>
        <v>26.66341662141738</v>
      </c>
      <c r="W18" s="400">
        <f t="shared" si="10"/>
        <v>14.227178291585144</v>
      </c>
      <c r="X18" s="157">
        <f t="shared" si="11"/>
        <v>46026</v>
      </c>
      <c r="Y18" s="383">
        <f t="shared" si="12"/>
        <v>13.819640436466853</v>
      </c>
      <c r="Z18" s="383">
        <f>Wh_sa_s*(1-Psa_s)</f>
        <v>14.506228919224826</v>
      </c>
      <c r="AA18" s="384">
        <f t="shared" si="13"/>
        <v>15.486175612513433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6.3278805420285439E-2</v>
      </c>
      <c r="AD18" s="230">
        <f>(INDEX(Models!$BJ18:$BT18,,AH18)*(1-AF18)+INDEX(Models!$BJ18:$BT18,,AH18+1)*AF18-ERP_i)*AE18*Ramure*Pc/MaxiM</f>
        <v>1.6148421814777343E-3</v>
      </c>
      <c r="AE18" s="304">
        <f t="shared" si="15"/>
        <v>0.6</v>
      </c>
      <c r="AF18" s="177">
        <f t="shared" si="23"/>
        <v>0.99920455129043417</v>
      </c>
      <c r="AG18" s="799">
        <f t="shared" si="24"/>
        <v>1</v>
      </c>
      <c r="AH18" s="176">
        <f t="shared" si="16"/>
        <v>7</v>
      </c>
      <c r="AI18" s="224">
        <f t="shared" si="17"/>
        <v>1.9992045512904342</v>
      </c>
      <c r="AJ18" s="264" t="b">
        <f t="shared" si="18"/>
        <v>1</v>
      </c>
      <c r="AK18" s="264" t="b">
        <f t="shared" si="19"/>
        <v>1</v>
      </c>
      <c r="AL18" s="264"/>
      <c r="AM18" s="264"/>
      <c r="AN18" s="75"/>
    </row>
    <row r="19" spans="1:40" s="6" customFormat="1" ht="11.25" x14ac:dyDescent="0.2">
      <c r="A19" s="56">
        <f t="shared" si="20"/>
        <v>46027</v>
      </c>
      <c r="B19" s="409">
        <f>IF(t&gt;Tmaj,'2025'!Wh/'2025'!Env_an*'2026'!Env_an,0.001*'[3]mon-tableau (2)'!$B$246)</f>
        <v>14.046637677936308</v>
      </c>
      <c r="C19" s="829"/>
      <c r="D19" s="391">
        <f t="shared" si="0"/>
        <v>14.744786436289763</v>
      </c>
      <c r="E19" s="383">
        <f t="shared" si="1"/>
        <v>15.29139888095945</v>
      </c>
      <c r="F19" s="383">
        <f t="shared" si="2"/>
        <v>15.299090443071115</v>
      </c>
      <c r="G19" s="110">
        <f t="shared" si="21"/>
        <v>0.5230496959616423</v>
      </c>
      <c r="H19" s="412" t="b">
        <f>Wh_hp&gt;='2025'!Maxi_hp</f>
        <v>0</v>
      </c>
      <c r="I19" s="388">
        <f>IF(H19,Wh_hp,'2025'!Maxi_hp)</f>
        <v>16.919002934899346</v>
      </c>
      <c r="J19" s="85">
        <f>IF(H19,An,'2025'!An_max)</f>
        <v>2022</v>
      </c>
      <c r="K19" s="197">
        <f t="shared" si="3"/>
        <v>46027</v>
      </c>
      <c r="L19" s="147">
        <f>IF(t&lt;Tvie,1-EXP((T0-t)*PertePVj)+'2025'!Pspv,1-EXP((T0-t)*PertePVj)+Pspv)</f>
        <v>4.7348855228935394E-2</v>
      </c>
      <c r="M19" s="832"/>
      <c r="N19" s="832"/>
      <c r="O19" s="48">
        <f>IF(t&lt;Tnet,'2025'!Resal+('2025'!Salim-'2025'!Resal)*(1-EXP(('2025'!Tnet-t)/('2025'!Tau_j))),Resal+(Salim-Resal)*(1-EXP((Tnet-t)/(Tau_j))))*Salcycl</f>
        <v>3.574639893478402E-2</v>
      </c>
      <c r="P19" s="169">
        <f>(INDEX(Models!$BJ19:$BT19,,T19)*(1-R19)+INDEX(Models!$BJ19:$BT19,,T19+1)*R19-ERP_i)*Q19*Ramure*Pc/MaxiM</f>
        <v>1.5738168830987354E-3</v>
      </c>
      <c r="Q19" s="304">
        <f t="shared" si="4"/>
        <v>0.6</v>
      </c>
      <c r="R19" s="177">
        <f t="shared" si="5"/>
        <v>0.99923758682299568</v>
      </c>
      <c r="S19" s="799">
        <f t="shared" si="6"/>
        <v>1</v>
      </c>
      <c r="T19" s="176">
        <f t="shared" si="7"/>
        <v>7</v>
      </c>
      <c r="U19" s="250">
        <f t="shared" si="8"/>
        <v>1.9992375868229957</v>
      </c>
      <c r="V19" s="382">
        <f t="shared" si="9"/>
        <v>26.826485665102354</v>
      </c>
      <c r="W19" s="400">
        <f t="shared" si="10"/>
        <v>14.046637677936308</v>
      </c>
      <c r="X19" s="157">
        <f t="shared" si="11"/>
        <v>46027</v>
      </c>
      <c r="Y19" s="383">
        <f t="shared" si="12"/>
        <v>13.64470605867413</v>
      </c>
      <c r="Z19" s="383">
        <f t="shared" si="22"/>
        <v>14.322877932354917</v>
      </c>
      <c r="AA19" s="384">
        <f t="shared" si="13"/>
        <v>15.29139888095945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6.3337628960193917E-2</v>
      </c>
      <c r="AD19" s="230">
        <f>(INDEX(Models!$BJ19:$BT19,,AH19)*(1-AF19)+INDEX(Models!$BJ19:$BT19,,AH19+1)*AF19-ERP_i)*AE19*Ramure*Pc/MaxiM</f>
        <v>1.5738168830987354E-3</v>
      </c>
      <c r="AE19" s="304">
        <f t="shared" si="15"/>
        <v>0.6</v>
      </c>
      <c r="AF19" s="177">
        <f t="shared" si="23"/>
        <v>0.99923758682299568</v>
      </c>
      <c r="AG19" s="799">
        <f t="shared" si="24"/>
        <v>1</v>
      </c>
      <c r="AH19" s="176">
        <f t="shared" si="16"/>
        <v>7</v>
      </c>
      <c r="AI19" s="224">
        <f t="shared" si="17"/>
        <v>1.9992375868229957</v>
      </c>
      <c r="AJ19" s="264" t="b">
        <f t="shared" si="18"/>
        <v>1</v>
      </c>
      <c r="AK19" s="264" t="b">
        <f t="shared" si="19"/>
        <v>1</v>
      </c>
      <c r="AL19" s="264"/>
      <c r="AM19" s="264"/>
      <c r="AN19" s="75"/>
    </row>
    <row r="20" spans="1:40" s="6" customFormat="1" ht="11.25" x14ac:dyDescent="0.2">
      <c r="A20" s="56">
        <f t="shared" si="20"/>
        <v>46028</v>
      </c>
      <c r="B20" s="409">
        <f>IF(t&gt;Tmaj,'2025'!Wh/'2025'!Env_an*'2026'!Env_an,0.001*'[3]mon-tableau (2)'!$B$247)</f>
        <v>4.6129931251074545</v>
      </c>
      <c r="C20" s="829"/>
      <c r="D20" s="391">
        <f t="shared" si="0"/>
        <v>4.8423618226703793</v>
      </c>
      <c r="E20" s="383">
        <f t="shared" si="1"/>
        <v>5.0223509313813208</v>
      </c>
      <c r="F20" s="383">
        <f t="shared" si="2"/>
        <v>5.0223509313813208</v>
      </c>
      <c r="G20" s="110">
        <f t="shared" si="21"/>
        <v>0.17060097546215244</v>
      </c>
      <c r="H20" s="412" t="b">
        <f>Wh_hp&gt;='2025'!Maxi_hp</f>
        <v>0</v>
      </c>
      <c r="I20" s="388">
        <f>IF(H20,Wh_hp,'2025'!Maxi_hp)</f>
        <v>29.950318368832068</v>
      </c>
      <c r="J20" s="85">
        <f>IF(H20,An,'2025'!An_max)</f>
        <v>2020</v>
      </c>
      <c r="K20" s="197">
        <f t="shared" si="3"/>
        <v>46028</v>
      </c>
      <c r="L20" s="147">
        <f>IF(t&lt;Tvie,1-EXP((T0-t)*PertePVj)+'2025'!Pspv,1-EXP((T0-t)*PertePVj)+Pspv)</f>
        <v>4.7367112570790182E-2</v>
      </c>
      <c r="M20" s="832"/>
      <c r="N20" s="832"/>
      <c r="O20" s="48">
        <f>IF(t&lt;Tnet,'2025'!Resal+('2025'!Salim-'2025'!Resal)*(1-EXP(('2025'!Tnet-t)/('2025'!Tau_j))),Resal+(Salim-Resal)*(1-EXP((Tnet-t)/(Tau_j))))*Salcycl</f>
        <v>3.5837620901062364E-2</v>
      </c>
      <c r="P20" s="169">
        <f>(INDEX(Models!$BJ20:$BT20,,T20)*(1-R20)+INDEX(Models!$BJ20:$BT20,,T20+1)*R20-ERP_i)*Q20*Ramure*Pc/MaxiM</f>
        <v>1.5297098594967602E-3</v>
      </c>
      <c r="Q20" s="304">
        <f t="shared" si="4"/>
        <v>0.6</v>
      </c>
      <c r="R20" s="177">
        <f t="shared" si="5"/>
        <v>0.99927200361974644</v>
      </c>
      <c r="S20" s="799">
        <f t="shared" si="6"/>
        <v>1</v>
      </c>
      <c r="T20" s="176">
        <f t="shared" si="7"/>
        <v>7</v>
      </c>
      <c r="U20" s="250">
        <f t="shared" si="8"/>
        <v>1.9992720036197464</v>
      </c>
      <c r="V20" s="382">
        <f t="shared" si="9"/>
        <v>26.998301572220534</v>
      </c>
      <c r="W20" s="400">
        <f t="shared" si="10"/>
        <v>4.6129931251074545</v>
      </c>
      <c r="X20" s="157">
        <f t="shared" si="11"/>
        <v>46028</v>
      </c>
      <c r="Y20" s="383">
        <f t="shared" si="12"/>
        <v>4.4811389453007138</v>
      </c>
      <c r="Z20" s="383">
        <f t="shared" si="22"/>
        <v>4.7039515477925464</v>
      </c>
      <c r="AA20" s="384">
        <f t="shared" si="13"/>
        <v>5.0223509313813208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6.3396482631133719E-2</v>
      </c>
      <c r="AD20" s="230">
        <f>(INDEX(Models!$BJ20:$BT20,,AH20)*(1-AF20)+INDEX(Models!$BJ20:$BT20,,AH20+1)*AF20-ERP_i)*AE20*Ramure*Pc/MaxiM</f>
        <v>1.5297098594967602E-3</v>
      </c>
      <c r="AE20" s="304">
        <f t="shared" si="15"/>
        <v>0.6</v>
      </c>
      <c r="AF20" s="177">
        <f t="shared" si="23"/>
        <v>0.99927200361974644</v>
      </c>
      <c r="AG20" s="799">
        <f t="shared" si="24"/>
        <v>1</v>
      </c>
      <c r="AH20" s="176">
        <f t="shared" si="16"/>
        <v>7</v>
      </c>
      <c r="AI20" s="224">
        <f t="shared" si="17"/>
        <v>1.9992720036197464</v>
      </c>
      <c r="AJ20" s="264" t="b">
        <f t="shared" si="18"/>
        <v>1</v>
      </c>
      <c r="AK20" s="264" t="b">
        <f t="shared" si="19"/>
        <v>1</v>
      </c>
      <c r="AL20" s="264"/>
      <c r="AM20" s="264"/>
      <c r="AN20" s="75"/>
    </row>
    <row r="21" spans="1:40" s="6" customFormat="1" ht="11.25" x14ac:dyDescent="0.2">
      <c r="A21" s="56">
        <f t="shared" si="20"/>
        <v>46029</v>
      </c>
      <c r="B21" s="409">
        <f>IF(t&gt;Tmaj,'2025'!Wh/'2025'!Env_an*'2026'!Env_an,0.001*'[3]mon-tableau (2)'!$B$248)</f>
        <v>17.83599440317326</v>
      </c>
      <c r="C21" s="829"/>
      <c r="D21" s="391">
        <f t="shared" si="0"/>
        <v>18.723200162259204</v>
      </c>
      <c r="E21" s="383">
        <f t="shared" si="1"/>
        <v>19.420972094904716</v>
      </c>
      <c r="F21" s="383">
        <f t="shared" si="2"/>
        <v>19.435637236059751</v>
      </c>
      <c r="G21" s="110">
        <f t="shared" si="21"/>
        <v>0.65577165799616455</v>
      </c>
      <c r="H21" s="412" t="b">
        <f>Wh_hp&gt;='2025'!Maxi_hp</f>
        <v>0</v>
      </c>
      <c r="I21" s="388">
        <f>IF(H21,Wh_hp,'2025'!Maxi_hp)</f>
        <v>19.444347736940536</v>
      </c>
      <c r="J21" s="85">
        <f>IF(H21,An,'2025'!An_max)</f>
        <v>2023</v>
      </c>
      <c r="K21" s="197">
        <f t="shared" si="3"/>
        <v>46029</v>
      </c>
      <c r="L21" s="147">
        <f>IF(t&lt;Tvie,1-EXP((T0-t)*PertePVj)+'2025'!Pspv,1-EXP((T0-t)*PertePVj)+Pspv)</f>
        <v>4.7385369562747304E-2</v>
      </c>
      <c r="M21" s="832"/>
      <c r="N21" s="832"/>
      <c r="O21" s="48">
        <f>IF(t&lt;Tnet,'2025'!Resal+('2025'!Salim-'2025'!Resal)*(1-EXP(('2025'!Tnet-t)/('2025'!Tau_j))),Resal+(Salim-Resal)*(1-EXP((Tnet-t)/(Tau_j))))*Salcycl</f>
        <v>3.5928785090452747E-2</v>
      </c>
      <c r="P21" s="169">
        <f>(INDEX(Models!$BJ21:$BT21,,T21)*(1-R21)+INDEX(Models!$BJ21:$BT21,,T21+1)*R21-ERP_i)*Q21*Ramure*Pc/MaxiM</f>
        <v>1.4826234081165334E-3</v>
      </c>
      <c r="Q21" s="304">
        <f t="shared" si="4"/>
        <v>0.6</v>
      </c>
      <c r="R21" s="177">
        <f t="shared" si="5"/>
        <v>0.99930785923080956</v>
      </c>
      <c r="S21" s="799">
        <f t="shared" si="6"/>
        <v>1</v>
      </c>
      <c r="T21" s="176">
        <f t="shared" si="7"/>
        <v>7</v>
      </c>
      <c r="U21" s="250">
        <f t="shared" si="8"/>
        <v>1.9993078592308096</v>
      </c>
      <c r="V21" s="382">
        <f t="shared" si="9"/>
        <v>27.178665697627313</v>
      </c>
      <c r="W21" s="400">
        <f t="shared" si="10"/>
        <v>17.83599440317326</v>
      </c>
      <c r="X21" s="157">
        <f t="shared" si="11"/>
        <v>46029</v>
      </c>
      <c r="Y21" s="383">
        <f t="shared" si="12"/>
        <v>17.326733485417527</v>
      </c>
      <c r="Z21" s="383">
        <f t="shared" si="22"/>
        <v>18.188607367351171</v>
      </c>
      <c r="AA21" s="384">
        <f t="shared" si="13"/>
        <v>19.420972094904716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6.3455357514100419E-2</v>
      </c>
      <c r="AD21" s="230">
        <f>(INDEX(Models!$BJ21:$BT21,,AH21)*(1-AF21)+INDEX(Models!$BJ21:$BT21,,AH21+1)*AF21-ERP_i)*AE21*Ramure*Pc/MaxiM</f>
        <v>1.4826234081165334E-3</v>
      </c>
      <c r="AE21" s="304">
        <f t="shared" si="15"/>
        <v>0.6</v>
      </c>
      <c r="AF21" s="177">
        <f t="shared" si="23"/>
        <v>0.99930785923080956</v>
      </c>
      <c r="AG21" s="799">
        <f t="shared" si="24"/>
        <v>1</v>
      </c>
      <c r="AH21" s="176">
        <f t="shared" si="16"/>
        <v>7</v>
      </c>
      <c r="AI21" s="224">
        <f t="shared" si="17"/>
        <v>1.9993078592308096</v>
      </c>
      <c r="AJ21" s="264" t="b">
        <f t="shared" si="18"/>
        <v>1</v>
      </c>
      <c r="AK21" s="264" t="b">
        <f t="shared" si="19"/>
        <v>1</v>
      </c>
      <c r="AL21" s="264"/>
      <c r="AM21" s="264"/>
      <c r="AN21" s="75"/>
    </row>
    <row r="22" spans="1:40" s="6" customFormat="1" ht="11.25" x14ac:dyDescent="0.2">
      <c r="A22" s="56">
        <f t="shared" si="20"/>
        <v>46030</v>
      </c>
      <c r="B22" s="409">
        <f>IF(t&gt;Tmaj,'2025'!Wh/'2025'!Env_an*'2026'!Env_an,0.001*'[3]mon-tableau (2)'!$B$249)</f>
        <v>6.6604812769337967</v>
      </c>
      <c r="C22" s="829"/>
      <c r="D22" s="391">
        <f t="shared" si="0"/>
        <v>6.9919238201570515</v>
      </c>
      <c r="E22" s="383">
        <f t="shared" si="1"/>
        <v>7.2531826446494323</v>
      </c>
      <c r="F22" s="383">
        <f t="shared" si="2"/>
        <v>7.2531826446494323</v>
      </c>
      <c r="G22" s="110">
        <f t="shared" si="21"/>
        <v>0.24302433011109728</v>
      </c>
      <c r="H22" s="412" t="b">
        <f>Wh_hp&gt;='2025'!Maxi_hp</f>
        <v>0</v>
      </c>
      <c r="I22" s="388">
        <f>IF(H22,Wh_hp,'2025'!Maxi_hp)</f>
        <v>23.032683038014351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4.7403626204813309E-2</v>
      </c>
      <c r="M22" s="832"/>
      <c r="N22" s="832"/>
      <c r="O22" s="48">
        <f>IF(t&lt;Tnet,'2025'!Resal+('2025'!Salim-'2025'!Resal)*(1-EXP(('2025'!Tnet-t)/('2025'!Tau_j))),Resal+(Salim-Resal)*(1-EXP((Tnet-t)/(Tau_j))))*Salcycl</f>
        <v>3.6019887722682338E-2</v>
      </c>
      <c r="P22" s="169">
        <f>(INDEX(Models!$BJ22:$BT22,,T22)*(1-R22)+INDEX(Models!$BJ22:$BT22,,T22+1)*R22-ERP_i)*Q22*Ramure*Pc/MaxiM</f>
        <v>1.4326624401965653E-3</v>
      </c>
      <c r="Q22" s="304">
        <f t="shared" si="4"/>
        <v>0.6</v>
      </c>
      <c r="R22" s="177">
        <f t="shared" si="5"/>
        <v>0.99934521358680684</v>
      </c>
      <c r="S22" s="799">
        <f t="shared" si="6"/>
        <v>1</v>
      </c>
      <c r="T22" s="176">
        <f t="shared" si="7"/>
        <v>7</v>
      </c>
      <c r="U22" s="250">
        <f t="shared" si="8"/>
        <v>1.9993452135868068</v>
      </c>
      <c r="V22" s="382">
        <f t="shared" si="9"/>
        <v>27.367379441121219</v>
      </c>
      <c r="W22" s="400">
        <f t="shared" si="10"/>
        <v>6.6604812769337967</v>
      </c>
      <c r="X22" s="157">
        <f t="shared" si="11"/>
        <v>46030</v>
      </c>
      <c r="Y22" s="383">
        <f t="shared" si="12"/>
        <v>6.4705129793651803</v>
      </c>
      <c r="Z22" s="383">
        <f t="shared" si="22"/>
        <v>6.7925022153783416</v>
      </c>
      <c r="AA22" s="384">
        <f t="shared" si="13"/>
        <v>7.2531826446494323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6.3514246344110528E-2</v>
      </c>
      <c r="AD22" s="230">
        <f>(INDEX(Models!$BJ22:$BT22,,AH22)*(1-AF22)+INDEX(Models!$BJ22:$BT22,,AH22+1)*AF22-ERP_i)*AE22*Ramure*Pc/MaxiM</f>
        <v>1.4326624401965653E-3</v>
      </c>
      <c r="AE22" s="304">
        <f t="shared" si="15"/>
        <v>0.6</v>
      </c>
      <c r="AF22" s="177">
        <f t="shared" si="23"/>
        <v>0.99934521358680684</v>
      </c>
      <c r="AG22" s="799">
        <f t="shared" si="24"/>
        <v>1</v>
      </c>
      <c r="AH22" s="176">
        <f t="shared" si="16"/>
        <v>7</v>
      </c>
      <c r="AI22" s="224">
        <f t="shared" si="17"/>
        <v>1.9993452135868068</v>
      </c>
      <c r="AJ22" s="264" t="b">
        <f t="shared" si="18"/>
        <v>1</v>
      </c>
      <c r="AK22" s="264" t="b">
        <f t="shared" si="19"/>
        <v>1</v>
      </c>
      <c r="AL22" s="264"/>
      <c r="AM22" s="264"/>
      <c r="AN22" s="75"/>
    </row>
    <row r="23" spans="1:40" s="6" customFormat="1" ht="11.25" x14ac:dyDescent="0.2">
      <c r="A23" s="56">
        <f t="shared" si="20"/>
        <v>46031</v>
      </c>
      <c r="B23" s="409">
        <f>IF(t&gt;Tmaj,'2025'!Wh/'2025'!Env_an*'2026'!Env_an,0.001*'[3]mon-tableau (2)'!$B$250)</f>
        <v>8.5237177055841489</v>
      </c>
      <c r="C23" s="829"/>
      <c r="D23" s="391">
        <f t="shared" si="0"/>
        <v>8.9480511350894645</v>
      </c>
      <c r="E23" s="383">
        <f t="shared" si="1"/>
        <v>9.2832789325100684</v>
      </c>
      <c r="F23" s="383">
        <f t="shared" si="2"/>
        <v>9.2834473618906443</v>
      </c>
      <c r="G23" s="110">
        <f t="shared" si="21"/>
        <v>0.30878315408033852</v>
      </c>
      <c r="H23" s="412" t="b">
        <f>Wh_hp&gt;='2025'!Maxi_hp</f>
        <v>0</v>
      </c>
      <c r="I23" s="388">
        <f>IF(H23,Wh_hp,'2025'!Maxi_hp)</f>
        <v>29.267673438612903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4.7421882496994971E-2</v>
      </c>
      <c r="M23" s="832"/>
      <c r="N23" s="832"/>
      <c r="O23" s="48">
        <f>IF(t&lt;Tnet,'2025'!Resal+('2025'!Salim-'2025'!Resal)*(1-EXP(('2025'!Tnet-t)/('2025'!Tau_j))),Resal+(Salim-Resal)*(1-EXP((Tnet-t)/(Tau_j))))*Salcycl</f>
        <v>3.6110925876269372E-2</v>
      </c>
      <c r="P23" s="169">
        <f>(INDEX(Models!$BJ23:$BT23,,T23)*(1-R23)+INDEX(Models!$BJ23:$BT23,,T23+1)*R23-ERP_i)*Q23*Ramure*Pc/MaxiM</f>
        <v>1.3798146119120191E-3</v>
      </c>
      <c r="Q23" s="304">
        <f t="shared" si="4"/>
        <v>0.6</v>
      </c>
      <c r="R23" s="177">
        <f t="shared" si="5"/>
        <v>0.99938412909584184</v>
      </c>
      <c r="S23" s="799">
        <f t="shared" si="6"/>
        <v>1</v>
      </c>
      <c r="T23" s="176">
        <f t="shared" si="7"/>
        <v>7</v>
      </c>
      <c r="U23" s="250">
        <f t="shared" si="8"/>
        <v>1.9993841290958418</v>
      </c>
      <c r="V23" s="382">
        <f t="shared" si="9"/>
        <v>27.566630102409409</v>
      </c>
      <c r="W23" s="400">
        <f t="shared" si="10"/>
        <v>8.5237177055841489</v>
      </c>
      <c r="X23" s="157">
        <f t="shared" si="11"/>
        <v>46031</v>
      </c>
      <c r="Y23" s="383">
        <f t="shared" si="12"/>
        <v>8.2808679875214892</v>
      </c>
      <c r="Z23" s="383">
        <f t="shared" si="22"/>
        <v>8.6931117095447732</v>
      </c>
      <c r="AA23" s="384">
        <f t="shared" si="13"/>
        <v>9.2832789325100684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6.3573143417949923E-2</v>
      </c>
      <c r="AD23" s="230">
        <f>(INDEX(Models!$BJ23:$BT23,,AH23)*(1-AF23)+INDEX(Models!$BJ23:$BT23,,AH23+1)*AF23-ERP_i)*AE23*Ramure*Pc/MaxiM</f>
        <v>1.3798146119120191E-3</v>
      </c>
      <c r="AE23" s="304">
        <f t="shared" si="15"/>
        <v>0.6</v>
      </c>
      <c r="AF23" s="177">
        <f t="shared" si="23"/>
        <v>0.99938412909584184</v>
      </c>
      <c r="AG23" s="799">
        <f t="shared" si="24"/>
        <v>1</v>
      </c>
      <c r="AH23" s="176">
        <f t="shared" si="16"/>
        <v>7</v>
      </c>
      <c r="AI23" s="224">
        <f t="shared" si="17"/>
        <v>1.9993841290958418</v>
      </c>
      <c r="AJ23" s="264" t="b">
        <f t="shared" si="18"/>
        <v>1</v>
      </c>
      <c r="AK23" s="264" t="b">
        <f t="shared" si="19"/>
        <v>1</v>
      </c>
      <c r="AL23" s="264"/>
      <c r="AM23" s="264"/>
      <c r="AN23" s="75"/>
    </row>
    <row r="24" spans="1:40" s="6" customFormat="1" ht="11.25" x14ac:dyDescent="0.2">
      <c r="A24" s="56">
        <f t="shared" si="20"/>
        <v>46032</v>
      </c>
      <c r="B24" s="409">
        <f>IF(t&gt;Tmaj,'2025'!Wh/'2025'!Env_an*'2026'!Env_an,0.001*'[3]mon-tableau (2)'!$B$251)</f>
        <v>24.305496549804467</v>
      </c>
      <c r="C24" s="829"/>
      <c r="D24" s="391">
        <f t="shared" si="0"/>
        <v>25.515978082450012</v>
      </c>
      <c r="E24" s="383">
        <f t="shared" si="1"/>
        <v>26.474401655909162</v>
      </c>
      <c r="F24" s="383">
        <f t="shared" si="2"/>
        <v>26.503210938084596</v>
      </c>
      <c r="G24" s="110">
        <f t="shared" si="21"/>
        <v>0.87477810484544505</v>
      </c>
      <c r="H24" s="412" t="b">
        <f>Wh_hp&gt;='2025'!Maxi_hp</f>
        <v>0</v>
      </c>
      <c r="I24" s="388">
        <f>IF(H24,Wh_hp,'2025'!Maxi_hp)</f>
        <v>26.507126301272365</v>
      </c>
      <c r="J24" s="85">
        <f>IF(H24,An,'2025'!An_max)</f>
        <v>2023</v>
      </c>
      <c r="K24" s="197">
        <f t="shared" si="3"/>
        <v>46032</v>
      </c>
      <c r="L24" s="147">
        <f>IF(t&lt;Tvie,1-EXP((T0-t)*PertePVj)+'2025'!Pspv,1-EXP((T0-t)*PertePVj)+Pspv)</f>
        <v>4.7440138439298951E-2</v>
      </c>
      <c r="M24" s="832"/>
      <c r="N24" s="832"/>
      <c r="O24" s="48">
        <f>IF(t&lt;Tnet,'2025'!Resal+('2025'!Salim-'2025'!Resal)*(1-EXP(('2025'!Tnet-t)/('2025'!Tau_j))),Resal+(Salim-Resal)*(1-EXP((Tnet-t)/(Tau_j))))*Salcycl</f>
        <v>3.6201897437226023E-2</v>
      </c>
      <c r="P24" s="169">
        <f>(INDEX(Models!$BJ24:$BT24,,T24)*(1-R24)+INDEX(Models!$BJ24:$BT24,,T24+1)*R24-ERP_i)*Q24*Ramure*Pc/MaxiM</f>
        <v>1.3233519904165955E-3</v>
      </c>
      <c r="Q24" s="304">
        <f t="shared" si="4"/>
        <v>0.6</v>
      </c>
      <c r="R24" s="177">
        <f t="shared" si="5"/>
        <v>0.99942467074431152</v>
      </c>
      <c r="S24" s="799">
        <f t="shared" si="6"/>
        <v>1</v>
      </c>
      <c r="T24" s="176">
        <f t="shared" si="7"/>
        <v>7</v>
      </c>
      <c r="U24" s="250">
        <f t="shared" si="8"/>
        <v>1.9994246707443115</v>
      </c>
      <c r="V24" s="382">
        <f t="shared" si="9"/>
        <v>27.778182580698537</v>
      </c>
      <c r="W24" s="400">
        <f t="shared" si="10"/>
        <v>24.305496549804467</v>
      </c>
      <c r="X24" s="157">
        <f t="shared" si="11"/>
        <v>46032</v>
      </c>
      <c r="Y24" s="383">
        <f t="shared" si="12"/>
        <v>23.613750692649518</v>
      </c>
      <c r="Z24" s="383">
        <f t="shared" si="22"/>
        <v>24.789781351861791</v>
      </c>
      <c r="AA24" s="384">
        <f t="shared" si="13"/>
        <v>26.474401655909162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6.3632044491224921E-2</v>
      </c>
      <c r="AD24" s="230">
        <f>(INDEX(Models!$BJ24:$BT24,,AH24)*(1-AF24)+INDEX(Models!$BJ24:$BT24,,AH24+1)*AF24-ERP_i)*AE24*Ramure*Pc/MaxiM</f>
        <v>1.3233519904165955E-3</v>
      </c>
      <c r="AE24" s="304">
        <f t="shared" si="15"/>
        <v>0.6</v>
      </c>
      <c r="AF24" s="177">
        <f t="shared" si="23"/>
        <v>0.99942467074431152</v>
      </c>
      <c r="AG24" s="799">
        <f t="shared" si="24"/>
        <v>1</v>
      </c>
      <c r="AH24" s="176">
        <f t="shared" si="16"/>
        <v>7</v>
      </c>
      <c r="AI24" s="224">
        <f t="shared" si="17"/>
        <v>1.9994246707443115</v>
      </c>
      <c r="AJ24" s="264" t="b">
        <f t="shared" si="18"/>
        <v>1</v>
      </c>
      <c r="AK24" s="264" t="b">
        <f t="shared" si="19"/>
        <v>1</v>
      </c>
      <c r="AL24" s="264"/>
      <c r="AM24" s="264"/>
      <c r="AN24" s="75"/>
    </row>
    <row r="25" spans="1:40" s="6" customFormat="1" ht="11.25" x14ac:dyDescent="0.2">
      <c r="A25" s="56">
        <f t="shared" si="20"/>
        <v>46033</v>
      </c>
      <c r="B25" s="409">
        <f>IF(t&gt;Tmaj,'2025'!Wh/'2025'!Env_an*'2026'!Env_an,0.001*'[3]mon-tableau (2)'!$B$252)</f>
        <v>4.4200015940548711</v>
      </c>
      <c r="C25" s="829"/>
      <c r="D25" s="391">
        <f t="shared" si="0"/>
        <v>4.6402189325492982</v>
      </c>
      <c r="E25" s="383">
        <f t="shared" si="1"/>
        <v>4.8149675934409073</v>
      </c>
      <c r="F25" s="383">
        <f t="shared" si="2"/>
        <v>4.8149675934409073</v>
      </c>
      <c r="G25" s="110">
        <f t="shared" si="21"/>
        <v>0.15765114729832799</v>
      </c>
      <c r="H25" s="412" t="b">
        <f>Wh_hp&gt;='2025'!Maxi_hp</f>
        <v>0</v>
      </c>
      <c r="I25" s="388">
        <f>IF(H25,Wh_hp,'2025'!Maxi_hp)</f>
        <v>29.842314321550671</v>
      </c>
      <c r="J25" s="85">
        <f>IF(H25,An,'2025'!An_max)</f>
        <v>2020</v>
      </c>
      <c r="K25" s="197">
        <f t="shared" si="3"/>
        <v>46033</v>
      </c>
      <c r="L25" s="147">
        <f>IF(t&lt;Tvie,1-EXP((T0-t)*PertePVj)+'2025'!Pspv,1-EXP((T0-t)*PertePVj)+Pspv)</f>
        <v>4.745839403173191E-2</v>
      </c>
      <c r="M25" s="832"/>
      <c r="N25" s="832"/>
      <c r="O25" s="48">
        <f>IF(t&lt;Tnet,'2025'!Resal+('2025'!Salim-'2025'!Resal)*(1-EXP(('2025'!Tnet-t)/('2025'!Tau_j))),Resal+(Salim-Resal)*(1-EXP((Tnet-t)/(Tau_j))))*Salcycl</f>
        <v>3.6292801041829845E-2</v>
      </c>
      <c r="P25" s="169">
        <f>(INDEX(Models!$BJ25:$BT25,,T25)*(1-R25)+INDEX(Models!$BJ25:$BT25,,T25+1)*R25-ERP_i)*Q25*Ramure*Pc/MaxiM</f>
        <v>1.2644800222519226E-3</v>
      </c>
      <c r="Q25" s="304">
        <f t="shared" si="4"/>
        <v>0.6</v>
      </c>
      <c r="R25" s="177">
        <f t="shared" si="5"/>
        <v>0.99946690620167744</v>
      </c>
      <c r="S25" s="799">
        <f t="shared" si="6"/>
        <v>1</v>
      </c>
      <c r="T25" s="176">
        <f t="shared" si="7"/>
        <v>7</v>
      </c>
      <c r="U25" s="250">
        <f t="shared" si="8"/>
        <v>1.9994669062016774</v>
      </c>
      <c r="V25" s="382">
        <f t="shared" si="9"/>
        <v>28.001144717249293</v>
      </c>
      <c r="W25" s="400">
        <f t="shared" si="10"/>
        <v>4.4200015940548711</v>
      </c>
      <c r="X25" s="157">
        <f t="shared" si="11"/>
        <v>46033</v>
      </c>
      <c r="Y25" s="383">
        <f t="shared" si="12"/>
        <v>4.294341178251889</v>
      </c>
      <c r="Z25" s="383">
        <f t="shared" si="22"/>
        <v>4.508297749248074</v>
      </c>
      <c r="AA25" s="384">
        <f t="shared" si="13"/>
        <v>4.8149675934409073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6.3690946666097689E-2</v>
      </c>
      <c r="AD25" s="230">
        <f>(INDEX(Models!$BJ25:$BT25,,AH25)*(1-AF25)+INDEX(Models!$BJ25:$BT25,,AH25+1)*AF25-ERP_i)*AE25*Ramure*Pc/MaxiM</f>
        <v>1.2644800222519226E-3</v>
      </c>
      <c r="AE25" s="304">
        <f t="shared" si="15"/>
        <v>0.6</v>
      </c>
      <c r="AF25" s="177">
        <f t="shared" si="23"/>
        <v>0.99946690620167744</v>
      </c>
      <c r="AG25" s="799">
        <f t="shared" si="24"/>
        <v>1</v>
      </c>
      <c r="AH25" s="176">
        <f t="shared" si="16"/>
        <v>7</v>
      </c>
      <c r="AI25" s="224">
        <f t="shared" si="17"/>
        <v>1.9994669062016774</v>
      </c>
      <c r="AJ25" s="264" t="b">
        <f t="shared" si="18"/>
        <v>1</v>
      </c>
      <c r="AK25" s="264" t="b">
        <f t="shared" si="19"/>
        <v>1</v>
      </c>
      <c r="AL25" s="264"/>
      <c r="AM25" s="264"/>
      <c r="AN25" s="75"/>
    </row>
    <row r="26" spans="1:40" s="6" customFormat="1" ht="11.25" x14ac:dyDescent="0.2">
      <c r="A26" s="56">
        <f t="shared" si="20"/>
        <v>46034</v>
      </c>
      <c r="B26" s="409">
        <f>IF(t&gt;Tmaj,'2025'!Wh/'2025'!Env_an*'2026'!Env_an,0.001*'[3]mon-tableau (2)'!$B$253)</f>
        <v>23.627847178942524</v>
      </c>
      <c r="C26" s="829"/>
      <c r="D26" s="391">
        <f t="shared" si="0"/>
        <v>24.805530658058057</v>
      </c>
      <c r="E26" s="383">
        <f t="shared" si="1"/>
        <v>25.74212267987641</v>
      </c>
      <c r="F26" s="383">
        <f t="shared" si="2"/>
        <v>25.76590128402459</v>
      </c>
      <c r="G26" s="110">
        <f t="shared" si="21"/>
        <v>0.83660364253090125</v>
      </c>
      <c r="H26" s="412" t="b">
        <f>Wh_hp&gt;='2025'!Maxi_hp</f>
        <v>0</v>
      </c>
      <c r="I26" s="388">
        <f>IF(H26,Wh_hp,'2025'!Maxi_hp)</f>
        <v>31.06915900574295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4.747664927430062E-2</v>
      </c>
      <c r="M26" s="832"/>
      <c r="N26" s="832"/>
      <c r="O26" s="48">
        <f>IF(t&lt;Tnet,'2025'!Resal+('2025'!Salim-'2025'!Resal)*(1-EXP(('2025'!Tnet-t)/('2025'!Tau_j))),Resal+(Salim-Resal)*(1-EXP((Tnet-t)/(Tau_j))))*Salcycl</f>
        <v>3.6383636014232897E-2</v>
      </c>
      <c r="P26" s="169">
        <f>(INDEX(Models!$BJ26:$BT26,,T26)*(1-R26)+INDEX(Models!$BJ26:$BT26,,T26+1)*R26-ERP_i)*Q26*Ramure*Pc/MaxiM</f>
        <v>1.2033593516253482E-3</v>
      </c>
      <c r="Q26" s="304">
        <f t="shared" si="4"/>
        <v>0.6</v>
      </c>
      <c r="R26" s="177">
        <f t="shared" si="5"/>
        <v>0.99951090592934855</v>
      </c>
      <c r="S26" s="799">
        <f t="shared" si="6"/>
        <v>1</v>
      </c>
      <c r="T26" s="176">
        <f t="shared" si="7"/>
        <v>7</v>
      </c>
      <c r="U26" s="250">
        <f t="shared" si="8"/>
        <v>1.9995109059293485</v>
      </c>
      <c r="V26" s="382">
        <f t="shared" si="9"/>
        <v>28.234653211318275</v>
      </c>
      <c r="W26" s="400">
        <f t="shared" si="10"/>
        <v>23.627847178942524</v>
      </c>
      <c r="X26" s="157">
        <f t="shared" si="11"/>
        <v>46034</v>
      </c>
      <c r="Y26" s="383">
        <f t="shared" si="12"/>
        <v>22.956828394663816</v>
      </c>
      <c r="Z26" s="383">
        <f t="shared" si="22"/>
        <v>24.101066264857117</v>
      </c>
      <c r="AA26" s="384">
        <f t="shared" si="13"/>
        <v>25.74212267987641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6.3749848271143772E-2</v>
      </c>
      <c r="AD26" s="230">
        <f>(INDEX(Models!$BJ26:$BT26,,AH26)*(1-AF26)+INDEX(Models!$BJ26:$BT26,,AH26+1)*AF26-ERP_i)*AE26*Ramure*Pc/MaxiM</f>
        <v>1.2033593516253482E-3</v>
      </c>
      <c r="AE26" s="304">
        <f t="shared" si="15"/>
        <v>0.6</v>
      </c>
      <c r="AF26" s="177">
        <f t="shared" si="23"/>
        <v>0.99951090592934855</v>
      </c>
      <c r="AG26" s="799">
        <f t="shared" si="24"/>
        <v>1</v>
      </c>
      <c r="AH26" s="176">
        <f t="shared" si="16"/>
        <v>7</v>
      </c>
      <c r="AI26" s="224">
        <f t="shared" si="17"/>
        <v>1.9995109059293485</v>
      </c>
      <c r="AJ26" s="264" t="b">
        <f t="shared" si="18"/>
        <v>1</v>
      </c>
      <c r="AK26" s="264" t="b">
        <f t="shared" si="19"/>
        <v>1</v>
      </c>
      <c r="AL26" s="264"/>
      <c r="AM26" s="264"/>
      <c r="AN26" s="75"/>
    </row>
    <row r="27" spans="1:40" s="6" customFormat="1" ht="11.25" x14ac:dyDescent="0.2">
      <c r="A27" s="56">
        <f t="shared" si="20"/>
        <v>46035</v>
      </c>
      <c r="B27" s="409">
        <f>IF(t&gt;Tmaj,'2025'!Wh/'2025'!Env_an*'2026'!Env_an,0.001*'[3]mon-tableau (2)'!$B$254)</f>
        <v>13.360146183464554</v>
      </c>
      <c r="C27" s="829"/>
      <c r="D27" s="391">
        <f t="shared" si="0"/>
        <v>14.026325152392797</v>
      </c>
      <c r="E27" s="383">
        <f t="shared" si="1"/>
        <v>14.557293740685664</v>
      </c>
      <c r="F27" s="383">
        <f t="shared" si="2"/>
        <v>14.561305296476425</v>
      </c>
      <c r="G27" s="110">
        <f t="shared" si="21"/>
        <v>0.46873599836954477</v>
      </c>
      <c r="H27" s="412" t="b">
        <f>Wh_hp&gt;='2025'!Maxi_hp</f>
        <v>0</v>
      </c>
      <c r="I27" s="388">
        <f>IF(H27,Wh_hp,'2025'!Maxi_hp)</f>
        <v>16.623085463395078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4.7494904167011742E-2</v>
      </c>
      <c r="M27" s="832"/>
      <c r="N27" s="832"/>
      <c r="O27" s="48">
        <f>IF(t&lt;Tnet,'2025'!Resal+('2025'!Salim-'2025'!Resal)*(1-EXP(('2025'!Tnet-t)/('2025'!Tau_j))),Resal+(Salim-Resal)*(1-EXP((Tnet-t)/(Tau_j))))*Salcycl</f>
        <v>3.647440229971316E-2</v>
      </c>
      <c r="P27" s="169">
        <f>(INDEX(Models!$BJ27:$BT27,,T27)*(1-R27)+INDEX(Models!$BJ27:$BT27,,T27+1)*R27-ERP_i)*Q27*Ramure*Pc/MaxiM</f>
        <v>1.1401440900407418E-3</v>
      </c>
      <c r="Q27" s="304">
        <f t="shared" si="4"/>
        <v>0.6</v>
      </c>
      <c r="R27" s="177">
        <f t="shared" si="5"/>
        <v>0.99955674329381772</v>
      </c>
      <c r="S27" s="799">
        <f t="shared" si="6"/>
        <v>1</v>
      </c>
      <c r="T27" s="176">
        <f t="shared" si="7"/>
        <v>7</v>
      </c>
      <c r="U27" s="250">
        <f t="shared" si="8"/>
        <v>1.9995567432938177</v>
      </c>
      <c r="V27" s="382">
        <f t="shared" si="9"/>
        <v>28.477845094483513</v>
      </c>
      <c r="W27" s="400">
        <f t="shared" si="10"/>
        <v>13.360146183464554</v>
      </c>
      <c r="X27" s="157">
        <f t="shared" si="11"/>
        <v>46035</v>
      </c>
      <c r="Y27" s="383">
        <f t="shared" si="12"/>
        <v>12.981130965732881</v>
      </c>
      <c r="Z27" s="383">
        <f t="shared" si="22"/>
        <v>13.628411042127365</v>
      </c>
      <c r="AA27" s="384">
        <f t="shared" si="13"/>
        <v>14.557293740685664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6.3808748734814486E-2</v>
      </c>
      <c r="AD27" s="230">
        <f>(INDEX(Models!$BJ27:$BT27,,AH27)*(1-AF27)+INDEX(Models!$BJ27:$BT27,,AH27+1)*AF27-ERP_i)*AE27*Ramure*Pc/MaxiM</f>
        <v>1.1401440900407418E-3</v>
      </c>
      <c r="AE27" s="304">
        <f t="shared" si="15"/>
        <v>0.6</v>
      </c>
      <c r="AF27" s="177">
        <f t="shared" si="23"/>
        <v>0.99955674329381772</v>
      </c>
      <c r="AG27" s="799">
        <f t="shared" si="24"/>
        <v>1</v>
      </c>
      <c r="AH27" s="176">
        <f t="shared" si="16"/>
        <v>7</v>
      </c>
      <c r="AI27" s="224">
        <f t="shared" si="17"/>
        <v>1.9995567432938177</v>
      </c>
      <c r="AJ27" s="264" t="b">
        <f t="shared" si="18"/>
        <v>1</v>
      </c>
      <c r="AK27" s="264" t="b">
        <f t="shared" si="19"/>
        <v>1</v>
      </c>
      <c r="AL27" s="264"/>
      <c r="AM27" s="264"/>
      <c r="AN27" s="75"/>
    </row>
    <row r="28" spans="1:40" s="6" customFormat="1" ht="11.25" x14ac:dyDescent="0.2">
      <c r="A28" s="56">
        <f t="shared" si="20"/>
        <v>46036</v>
      </c>
      <c r="B28" s="409">
        <f>IF(t&gt;Tmaj,'2025'!Wh/'2025'!Env_an*'2026'!Env_an,0.001*'[3]mon-tableau (2)'!$B$255)</f>
        <v>18.040382187259119</v>
      </c>
      <c r="C28" s="829"/>
      <c r="D28" s="391">
        <f t="shared" si="0"/>
        <v>18.940295451036064</v>
      </c>
      <c r="E28" s="383">
        <f t="shared" si="1"/>
        <v>19.65913364648679</v>
      </c>
      <c r="F28" s="383">
        <f t="shared" si="2"/>
        <v>19.669038976155093</v>
      </c>
      <c r="G28" s="110">
        <f t="shared" si="21"/>
        <v>0.62757251399195724</v>
      </c>
      <c r="H28" s="412" t="b">
        <f>Wh_hp&gt;='2025'!Maxi_hp</f>
        <v>0</v>
      </c>
      <c r="I28" s="388">
        <f>IF(H28,Wh_hp,'2025'!Maxi_hp)</f>
        <v>31.753841494972857</v>
      </c>
      <c r="J28" s="85">
        <f>IF(H28,An,'2025'!An_max)</f>
        <v>2022</v>
      </c>
      <c r="K28" s="197">
        <f t="shared" si="3"/>
        <v>46036</v>
      </c>
      <c r="L28" s="147">
        <f>IF(t&lt;Tvie,1-EXP((T0-t)*PertePVj)+'2025'!Pspv,1-EXP((T0-t)*PertePVj)+Pspv)</f>
        <v>4.751315870987205E-2</v>
      </c>
      <c r="M28" s="832"/>
      <c r="N28" s="832"/>
      <c r="O28" s="48">
        <f>IF(t&lt;Tnet,'2025'!Resal+('2025'!Salim-'2025'!Resal)*(1-EXP(('2025'!Tnet-t)/('2025'!Tau_j))),Resal+(Salim-Resal)*(1-EXP((Tnet-t)/(Tau_j))))*Salcycl</f>
        <v>3.6565100394400522E-2</v>
      </c>
      <c r="P28" s="169">
        <f>(INDEX(Models!$BJ28:$BT28,,T28)*(1-R28)+INDEX(Models!$BJ28:$BT28,,T28+1)*R28-ERP_i)*Q28*Ramure*Pc/MaxiM</f>
        <v>1.0749808326676149E-3</v>
      </c>
      <c r="Q28" s="304">
        <f t="shared" si="4"/>
        <v>0.6</v>
      </c>
      <c r="R28" s="177">
        <f t="shared" si="5"/>
        <v>0.99960449468420731</v>
      </c>
      <c r="S28" s="799">
        <f t="shared" si="6"/>
        <v>1</v>
      </c>
      <c r="T28" s="176">
        <f t="shared" si="7"/>
        <v>7</v>
      </c>
      <c r="U28" s="250">
        <f t="shared" si="8"/>
        <v>1.9996044946842073</v>
      </c>
      <c r="V28" s="382">
        <f t="shared" si="9"/>
        <v>28.729857768611616</v>
      </c>
      <c r="W28" s="400">
        <f t="shared" si="10"/>
        <v>18.040382187259119</v>
      </c>
      <c r="X28" s="157">
        <f t="shared" si="11"/>
        <v>46036</v>
      </c>
      <c r="Y28" s="383">
        <f t="shared" si="12"/>
        <v>17.529140169886627</v>
      </c>
      <c r="Z28" s="383">
        <f t="shared" si="22"/>
        <v>18.403551009842499</v>
      </c>
      <c r="AA28" s="384">
        <f t="shared" si="13"/>
        <v>19.65913364648679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6.3867648454013673E-2</v>
      </c>
      <c r="AD28" s="230">
        <f>(INDEX(Models!$BJ28:$BT28,,AH28)*(1-AF28)+INDEX(Models!$BJ28:$BT28,,AH28+1)*AF28-ERP_i)*AE28*Ramure*Pc/MaxiM</f>
        <v>1.0749808326676149E-3</v>
      </c>
      <c r="AE28" s="304">
        <f t="shared" si="15"/>
        <v>0.6</v>
      </c>
      <c r="AF28" s="177">
        <f t="shared" si="23"/>
        <v>0.99960449468420731</v>
      </c>
      <c r="AG28" s="799">
        <f t="shared" si="24"/>
        <v>1</v>
      </c>
      <c r="AH28" s="176">
        <f t="shared" si="16"/>
        <v>7</v>
      </c>
      <c r="AI28" s="224">
        <f t="shared" si="17"/>
        <v>1.9996044946842073</v>
      </c>
      <c r="AJ28" s="264" t="b">
        <f t="shared" si="18"/>
        <v>1</v>
      </c>
      <c r="AK28" s="264" t="b">
        <f t="shared" si="19"/>
        <v>1</v>
      </c>
      <c r="AL28" s="264"/>
      <c r="AM28" s="264"/>
      <c r="AN28" s="75"/>
    </row>
    <row r="29" spans="1:40" s="6" customFormat="1" ht="11.25" x14ac:dyDescent="0.2">
      <c r="A29" s="56">
        <f t="shared" si="20"/>
        <v>46037</v>
      </c>
      <c r="B29" s="409">
        <f>IF(t&gt;Tmaj,'2025'!Wh/'2025'!Env_an*'2026'!Env_an,0.001*'[3]mon-tableau (2)'!$B$256)</f>
        <v>5.8790362045503466</v>
      </c>
      <c r="C29" s="829"/>
      <c r="D29" s="391">
        <f t="shared" si="0"/>
        <v>6.1724200505847566</v>
      </c>
      <c r="E29" s="383">
        <f t="shared" si="1"/>
        <v>6.4072837208414821</v>
      </c>
      <c r="F29" s="383">
        <f t="shared" si="2"/>
        <v>6.4072837208414821</v>
      </c>
      <c r="G29" s="110">
        <f t="shared" si="21"/>
        <v>0.20259209166475148</v>
      </c>
      <c r="H29" s="412" t="b">
        <f>Wh_hp&gt;='2025'!Maxi_hp</f>
        <v>0</v>
      </c>
      <c r="I29" s="388">
        <f>IF(H29,Wh_hp,'2025'!Maxi_hp)</f>
        <v>32.62432731925049</v>
      </c>
      <c r="J29" s="85">
        <f>IF(H29,An,'2025'!An_max)</f>
        <v>2022</v>
      </c>
      <c r="K29" s="197">
        <f t="shared" si="3"/>
        <v>46037</v>
      </c>
      <c r="L29" s="147">
        <f>IF(t&lt;Tvie,1-EXP((T0-t)*PertePVj)+'2025'!Pspv,1-EXP((T0-t)*PertePVj)+Pspv)</f>
        <v>4.7531412902888204E-2</v>
      </c>
      <c r="M29" s="832"/>
      <c r="N29" s="832"/>
      <c r="O29" s="48">
        <f>IF(t&lt;Tnet,'2025'!Resal+('2025'!Salim-'2025'!Resal)*(1-EXP(('2025'!Tnet-t)/('2025'!Tau_j))),Resal+(Salim-Resal)*(1-EXP((Tnet-t)/(Tau_j))))*Salcycl</f>
        <v>3.6655731272327727E-2</v>
      </c>
      <c r="P29" s="169">
        <f>(INDEX(Models!$BJ29:$BT29,,T29)*(1-R29)+INDEX(Models!$BJ29:$BT29,,T29+1)*R29-ERP_i)*Q29*Ramure*Pc/MaxiM</f>
        <v>1.0080078520920733E-3</v>
      </c>
      <c r="Q29" s="304">
        <f t="shared" si="4"/>
        <v>0.6</v>
      </c>
      <c r="R29" s="177">
        <f t="shared" si="5"/>
        <v>0.99965423963437949</v>
      </c>
      <c r="S29" s="799">
        <f t="shared" si="6"/>
        <v>1</v>
      </c>
      <c r="T29" s="176">
        <f t="shared" si="7"/>
        <v>7</v>
      </c>
      <c r="U29" s="250">
        <f t="shared" si="8"/>
        <v>1.9996542396343795</v>
      </c>
      <c r="V29" s="382">
        <f t="shared" si="9"/>
        <v>28.989828979169747</v>
      </c>
      <c r="W29" s="400">
        <f t="shared" si="10"/>
        <v>5.8790362045503466</v>
      </c>
      <c r="X29" s="157">
        <f t="shared" si="11"/>
        <v>46037</v>
      </c>
      <c r="Y29" s="383">
        <f t="shared" si="12"/>
        <v>5.7126095926419023</v>
      </c>
      <c r="Z29" s="383">
        <f t="shared" si="22"/>
        <v>5.9976881862870881</v>
      </c>
      <c r="AA29" s="384">
        <f t="shared" si="13"/>
        <v>6.4072837208414821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6.3926548659312452E-2</v>
      </c>
      <c r="AD29" s="230">
        <f>(INDEX(Models!$BJ29:$BT29,,AH29)*(1-AF29)+INDEX(Models!$BJ29:$BT29,,AH29+1)*AF29-ERP_i)*AE29*Ramure*Pc/MaxiM</f>
        <v>1.0080078520920733E-3</v>
      </c>
      <c r="AE29" s="304">
        <f t="shared" si="15"/>
        <v>0.6</v>
      </c>
      <c r="AF29" s="177">
        <f t="shared" si="23"/>
        <v>0.99965423963437949</v>
      </c>
      <c r="AG29" s="799">
        <f t="shared" si="24"/>
        <v>1</v>
      </c>
      <c r="AH29" s="176">
        <f t="shared" si="16"/>
        <v>7</v>
      </c>
      <c r="AI29" s="224">
        <f t="shared" si="17"/>
        <v>1.9996542396343795</v>
      </c>
      <c r="AJ29" s="264" t="b">
        <f t="shared" si="18"/>
        <v>1</v>
      </c>
      <c r="AK29" s="264" t="b">
        <f t="shared" si="19"/>
        <v>1</v>
      </c>
      <c r="AL29" s="264"/>
      <c r="AM29" s="264"/>
      <c r="AN29" s="75"/>
    </row>
    <row r="30" spans="1:40" s="6" customFormat="1" ht="11.25" x14ac:dyDescent="0.2">
      <c r="A30" s="56">
        <f t="shared" si="20"/>
        <v>46038</v>
      </c>
      <c r="B30" s="409">
        <f>IF(t&gt;Tmaj,'2025'!Wh/'2025'!Env_an*'2026'!Env_an,0.001*'[3]mon-tableau (2)'!$B$257)</f>
        <v>3.5656881563284015</v>
      </c>
      <c r="C30" s="829"/>
      <c r="D30" s="391">
        <f t="shared" si="0"/>
        <v>3.7436998359238882</v>
      </c>
      <c r="E30" s="383">
        <f t="shared" si="1"/>
        <v>3.8865148626838826</v>
      </c>
      <c r="F30" s="383">
        <f t="shared" si="2"/>
        <v>3.8865148626838826</v>
      </c>
      <c r="G30" s="110">
        <f t="shared" si="21"/>
        <v>0.12176064777988881</v>
      </c>
      <c r="H30" s="412" t="b">
        <f>Wh_hp&gt;='2025'!Maxi_hp</f>
        <v>0</v>
      </c>
      <c r="I30" s="388">
        <f>IF(H30,Wh_hp,'2025'!Maxi_hp)</f>
        <v>31.820475310957626</v>
      </c>
      <c r="J30" s="85">
        <f>IF(H30,An,'2025'!An_max)</f>
        <v>2022</v>
      </c>
      <c r="K30" s="197">
        <f t="shared" si="3"/>
        <v>46038</v>
      </c>
      <c r="L30" s="147">
        <f>IF(t&lt;Tvie,1-EXP((T0-t)*PertePVj)+'2025'!Pspv,1-EXP((T0-t)*PertePVj)+Pspv)</f>
        <v>4.7549666746066976E-2</v>
      </c>
      <c r="M30" s="832"/>
      <c r="N30" s="832"/>
      <c r="O30" s="48">
        <f>IF(t&lt;Tnet,'2025'!Resal+('2025'!Salim-'2025'!Resal)*(1-EXP(('2025'!Tnet-t)/('2025'!Tau_j))),Resal+(Salim-Resal)*(1-EXP((Tnet-t)/(Tau_j))))*Salcycl</f>
        <v>3.6746296310667226E-2</v>
      </c>
      <c r="P30" s="169">
        <f>(INDEX(Models!$BJ30:$BT30,,T30)*(1-R30)+INDEX(Models!$BJ30:$BT30,,T30+1)*R30-ERP_i)*Q30*Ramure*Pc/MaxiM</f>
        <v>9.4089345949806692E-4</v>
      </c>
      <c r="Q30" s="304">
        <f t="shared" si="4"/>
        <v>0.6</v>
      </c>
      <c r="R30" s="177">
        <f t="shared" si="5"/>
        <v>0.99970606094977277</v>
      </c>
      <c r="S30" s="799">
        <f t="shared" si="6"/>
        <v>1</v>
      </c>
      <c r="T30" s="176">
        <f t="shared" si="7"/>
        <v>7</v>
      </c>
      <c r="U30" s="250">
        <f t="shared" si="8"/>
        <v>1.9997060609497728</v>
      </c>
      <c r="V30" s="382">
        <f t="shared" si="9"/>
        <v>29.256851771216454</v>
      </c>
      <c r="W30" s="400">
        <f t="shared" si="10"/>
        <v>3.5656881563284015</v>
      </c>
      <c r="X30" s="157">
        <f t="shared" si="11"/>
        <v>46038</v>
      </c>
      <c r="Y30" s="383">
        <f t="shared" si="12"/>
        <v>3.4648566392685001</v>
      </c>
      <c r="Z30" s="383">
        <f t="shared" si="22"/>
        <v>3.6378344552951445</v>
      </c>
      <c r="AA30" s="384">
        <f t="shared" si="13"/>
        <v>3.8865148626838826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6.3985451278323155E-2</v>
      </c>
      <c r="AD30" s="230">
        <f>(INDEX(Models!$BJ30:$BT30,,AH30)*(1-AF30)+INDEX(Models!$BJ30:$BT30,,AH30+1)*AF30-ERP_i)*AE30*Ramure*Pc/MaxiM</f>
        <v>9.4089345949806692E-4</v>
      </c>
      <c r="AE30" s="304">
        <f t="shared" si="15"/>
        <v>0.6</v>
      </c>
      <c r="AF30" s="177">
        <f t="shared" si="23"/>
        <v>0.99970606094977277</v>
      </c>
      <c r="AG30" s="799">
        <f t="shared" si="24"/>
        <v>1</v>
      </c>
      <c r="AH30" s="176">
        <f t="shared" si="16"/>
        <v>7</v>
      </c>
      <c r="AI30" s="224">
        <f t="shared" si="17"/>
        <v>1.9997060609497728</v>
      </c>
      <c r="AJ30" s="264" t="b">
        <f t="shared" si="18"/>
        <v>1</v>
      </c>
      <c r="AK30" s="264" t="b">
        <f t="shared" si="19"/>
        <v>1</v>
      </c>
      <c r="AL30" s="264"/>
      <c r="AM30" s="264"/>
      <c r="AN30" s="75"/>
    </row>
    <row r="31" spans="1:40" s="6" customFormat="1" ht="11.25" x14ac:dyDescent="0.2">
      <c r="A31" s="56">
        <f t="shared" si="20"/>
        <v>46039</v>
      </c>
      <c r="B31" s="409">
        <f>IF(t&gt;Tmaj,'2025'!Wh/'2025'!Env_an*'2026'!Env_an,0.001*'[3]mon-tableau (2)'!$B$258)</f>
        <v>6.7095164500047328</v>
      </c>
      <c r="C31" s="829"/>
      <c r="D31" s="391">
        <f t="shared" si="0"/>
        <v>7.0446140912130115</v>
      </c>
      <c r="E31" s="383">
        <f t="shared" si="1"/>
        <v>7.3140398956648367</v>
      </c>
      <c r="F31" s="383">
        <f t="shared" si="2"/>
        <v>7.3140398956648367</v>
      </c>
      <c r="G31" s="110">
        <f t="shared" si="21"/>
        <v>0.22701116073813965</v>
      </c>
      <c r="H31" s="412" t="b">
        <f>Wh_hp&gt;='2025'!Maxi_hp</f>
        <v>0</v>
      </c>
      <c r="I31" s="388">
        <f>IF(H31,Wh_hp,'2025'!Maxi_hp)</f>
        <v>12.614398134606729</v>
      </c>
      <c r="J31" s="85">
        <f>IF(H31,An,'2025'!An_max)</f>
        <v>2022</v>
      </c>
      <c r="K31" s="197">
        <f t="shared" si="3"/>
        <v>46039</v>
      </c>
      <c r="L31" s="147">
        <f>IF(t&lt;Tvie,1-EXP((T0-t)*PertePVj)+'2025'!Pspv,1-EXP((T0-t)*PertePVj)+Pspv)</f>
        <v>4.7567920239414918E-2</v>
      </c>
      <c r="M31" s="832"/>
      <c r="N31" s="832"/>
      <c r="O31" s="48">
        <f>IF(t&lt;Tnet,'2025'!Resal+('2025'!Salim-'2025'!Resal)*(1-EXP(('2025'!Tnet-t)/('2025'!Tau_j))),Resal+(Salim-Resal)*(1-EXP((Tnet-t)/(Tau_j))))*Salcycl</f>
        <v>3.6836797214015511E-2</v>
      </c>
      <c r="P31" s="169">
        <f>(INDEX(Models!$BJ31:$BT31,,T31)*(1-R31)+INDEX(Models!$BJ31:$BT31,,T31+1)*R31-ERP_i)*Q31*Ramure*Pc/MaxiM</f>
        <v>8.7562674511103234E-4</v>
      </c>
      <c r="Q31" s="304">
        <f t="shared" si="4"/>
        <v>0.6</v>
      </c>
      <c r="R31" s="177">
        <f t="shared" si="5"/>
        <v>0.99976004483912684</v>
      </c>
      <c r="S31" s="799">
        <f t="shared" si="6"/>
        <v>1</v>
      </c>
      <c r="T31" s="176">
        <f t="shared" si="7"/>
        <v>7</v>
      </c>
      <c r="U31" s="250">
        <f t="shared" si="8"/>
        <v>1.9997600448391268</v>
      </c>
      <c r="V31" s="382">
        <f t="shared" si="9"/>
        <v>29.530008111306408</v>
      </c>
      <c r="W31" s="400">
        <f t="shared" si="10"/>
        <v>6.7095164500047328</v>
      </c>
      <c r="X31" s="157">
        <f t="shared" si="11"/>
        <v>46039</v>
      </c>
      <c r="Y31" s="383">
        <f t="shared" si="12"/>
        <v>6.519985141614657</v>
      </c>
      <c r="Z31" s="383">
        <f t="shared" si="22"/>
        <v>6.8456169003186034</v>
      </c>
      <c r="AA31" s="384">
        <f t="shared" si="13"/>
        <v>7.3140398956648367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6.4044358798736739E-2</v>
      </c>
      <c r="AD31" s="230">
        <f>(INDEX(Models!$BJ31:$BT31,,AH31)*(1-AF31)+INDEX(Models!$BJ31:$BT31,,AH31+1)*AF31-ERP_i)*AE31*Ramure*Pc/MaxiM</f>
        <v>8.7562674511103234E-4</v>
      </c>
      <c r="AE31" s="304">
        <f t="shared" si="15"/>
        <v>0.6</v>
      </c>
      <c r="AF31" s="177">
        <f t="shared" si="23"/>
        <v>0.99976004483912684</v>
      </c>
      <c r="AG31" s="799">
        <f t="shared" si="24"/>
        <v>1</v>
      </c>
      <c r="AH31" s="176">
        <f t="shared" si="16"/>
        <v>7</v>
      </c>
      <c r="AI31" s="224">
        <f t="shared" si="17"/>
        <v>1.9997600448391268</v>
      </c>
      <c r="AJ31" s="264" t="b">
        <f t="shared" si="18"/>
        <v>1</v>
      </c>
      <c r="AK31" s="264" t="b">
        <f t="shared" si="19"/>
        <v>1</v>
      </c>
      <c r="AL31" s="264"/>
      <c r="AM31" s="264"/>
      <c r="AN31" s="75"/>
    </row>
    <row r="32" spans="1:40" s="6" customFormat="1" ht="11.25" x14ac:dyDescent="0.2">
      <c r="A32" s="56">
        <f t="shared" si="20"/>
        <v>46040</v>
      </c>
      <c r="B32" s="409">
        <f>IF(t&gt;Tmaj,'2025'!Wh/'2025'!Env_an*'2026'!Env_an,0.001*'[3]mon-tableau (2)'!$B$259)</f>
        <v>19.216974542281328</v>
      </c>
      <c r="C32" s="829"/>
      <c r="D32" s="391">
        <f t="shared" si="0"/>
        <v>20.177126796383579</v>
      </c>
      <c r="E32" s="383">
        <f t="shared" si="1"/>
        <v>20.950781238266618</v>
      </c>
      <c r="F32" s="383">
        <f t="shared" si="2"/>
        <v>20.959163646355226</v>
      </c>
      <c r="G32" s="110">
        <f t="shared" si="21"/>
        <v>0.64441650063509925</v>
      </c>
      <c r="H32" s="412" t="b">
        <f>Wh_hp&gt;='2025'!Maxi_hp</f>
        <v>0</v>
      </c>
      <c r="I32" s="388">
        <f>IF(H32,Wh_hp,'2025'!Maxi_hp)</f>
        <v>30.661484813289494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4.7586173382938912E-2</v>
      </c>
      <c r="M32" s="832"/>
      <c r="N32" s="832"/>
      <c r="O32" s="48">
        <f>IF(t&lt;Tnet,'2025'!Resal+('2025'!Salim-'2025'!Resal)*(1-EXP(('2025'!Tnet-t)/('2025'!Tau_j))),Resal+(Salim-Resal)*(1-EXP((Tnet-t)/(Tau_j))))*Salcycl</f>
        <v>3.6927235938579731E-2</v>
      </c>
      <c r="P32" s="169">
        <f>(INDEX(Models!$BJ32:$BT32,,T32)*(1-R32)+INDEX(Models!$BJ32:$BT32,,T32+1)*R32-ERP_i)*Q32*Ramure*Pc/MaxiM</f>
        <v>8.1222020224582848E-4</v>
      </c>
      <c r="Q32" s="304">
        <f t="shared" si="4"/>
        <v>0.6</v>
      </c>
      <c r="R32" s="177">
        <f t="shared" si="5"/>
        <v>0.99981628105126852</v>
      </c>
      <c r="S32" s="799">
        <f t="shared" si="6"/>
        <v>1</v>
      </c>
      <c r="T32" s="176">
        <f t="shared" si="7"/>
        <v>7</v>
      </c>
      <c r="U32" s="250">
        <f t="shared" si="8"/>
        <v>1.9998162810512685</v>
      </c>
      <c r="V32" s="382">
        <f t="shared" si="9"/>
        <v>29.808436896728175</v>
      </c>
      <c r="W32" s="400">
        <f t="shared" si="10"/>
        <v>19.216974542281328</v>
      </c>
      <c r="X32" s="157">
        <f t="shared" si="11"/>
        <v>46040</v>
      </c>
      <c r="Y32" s="383">
        <f t="shared" si="12"/>
        <v>18.674708938247207</v>
      </c>
      <c r="Z32" s="383">
        <f t="shared" si="22"/>
        <v>19.607767565260037</v>
      </c>
      <c r="AA32" s="384">
        <f t="shared" si="13"/>
        <v>20.950781238266618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6.4103274132497098E-2</v>
      </c>
      <c r="AD32" s="230">
        <f>(INDEX(Models!$BJ32:$BT32,,AH32)*(1-AF32)+INDEX(Models!$BJ32:$BT32,,AH32+1)*AF32-ERP_i)*AE32*Ramure*Pc/MaxiM</f>
        <v>8.1222020224582848E-4</v>
      </c>
      <c r="AE32" s="304">
        <f t="shared" si="15"/>
        <v>0.6</v>
      </c>
      <c r="AF32" s="177">
        <f t="shared" si="23"/>
        <v>0.99981628105126852</v>
      </c>
      <c r="AG32" s="799">
        <f t="shared" si="24"/>
        <v>1</v>
      </c>
      <c r="AH32" s="176">
        <f t="shared" si="16"/>
        <v>7</v>
      </c>
      <c r="AI32" s="224">
        <f t="shared" si="17"/>
        <v>1.9998162810512685</v>
      </c>
      <c r="AJ32" s="264" t="b">
        <f t="shared" si="18"/>
        <v>1</v>
      </c>
      <c r="AK32" s="264" t="b">
        <f t="shared" si="19"/>
        <v>1</v>
      </c>
      <c r="AL32" s="264"/>
      <c r="AM32" s="264"/>
      <c r="AN32" s="75"/>
    </row>
    <row r="33" spans="1:40" s="6" customFormat="1" ht="11.25" x14ac:dyDescent="0.2">
      <c r="A33" s="56">
        <f t="shared" si="20"/>
        <v>46041</v>
      </c>
      <c r="B33" s="409">
        <f>IF(t&gt;Tmaj,'2025'!Wh/'2025'!Env_an*'2026'!Env_an,0.001*'[3]mon-tableau (2)'!$B$260)</f>
        <v>10.098940436872146</v>
      </c>
      <c r="C33" s="829"/>
      <c r="D33" s="391">
        <f t="shared" si="0"/>
        <v>10.603724664878847</v>
      </c>
      <c r="E33" s="383">
        <f t="shared" si="1"/>
        <v>11.011338136431922</v>
      </c>
      <c r="F33" s="383">
        <f t="shared" si="2"/>
        <v>11.011758656239065</v>
      </c>
      <c r="G33" s="110">
        <f t="shared" si="21"/>
        <v>0.33537109948856364</v>
      </c>
      <c r="H33" s="412" t="b">
        <f>Wh_hp&gt;='2025'!Maxi_hp</f>
        <v>0</v>
      </c>
      <c r="I33" s="388">
        <f>IF(H33,Wh_hp,'2025'!Maxi_hp)</f>
        <v>33.4781759439336</v>
      </c>
      <c r="J33" s="85">
        <f>IF(H33,An,'2025'!An_max)</f>
        <v>2021</v>
      </c>
      <c r="K33" s="197">
        <f t="shared" si="3"/>
        <v>46041</v>
      </c>
      <c r="L33" s="147">
        <f>IF(t&lt;Tvie,1-EXP((T0-t)*PertePVj)+'2025'!Pspv,1-EXP((T0-t)*PertePVj)+Pspv)</f>
        <v>4.7604426176645509E-2</v>
      </c>
      <c r="M33" s="832"/>
      <c r="N33" s="832"/>
      <c r="O33" s="48">
        <f>IF(t&lt;Tnet,'2025'!Resal+('2025'!Salim-'2025'!Resal)*(1-EXP(('2025'!Tnet-t)/('2025'!Tau_j))),Resal+(Salim-Resal)*(1-EXP((Tnet-t)/(Tau_j))))*Salcycl</f>
        <v>3.7017614617105621E-2</v>
      </c>
      <c r="P33" s="169">
        <f>(INDEX(Models!$BJ33:$BT33,,T33)*(1-R33)+INDEX(Models!$BJ33:$BT33,,T33+1)*R33-ERP_i)*Q33*Ramure*Pc/MaxiM</f>
        <v>7.5067692912956379E-4</v>
      </c>
      <c r="Q33" s="304">
        <f t="shared" si="4"/>
        <v>0.6</v>
      </c>
      <c r="R33" s="177">
        <f t="shared" si="5"/>
        <v>0.99987486301712947</v>
      </c>
      <c r="S33" s="799">
        <f t="shared" si="6"/>
        <v>1</v>
      </c>
      <c r="T33" s="176">
        <f t="shared" si="7"/>
        <v>7</v>
      </c>
      <c r="U33" s="250">
        <f t="shared" si="8"/>
        <v>1.9998748630171295</v>
      </c>
      <c r="V33" s="382">
        <f t="shared" si="9"/>
        <v>30.091277384227112</v>
      </c>
      <c r="W33" s="400">
        <f t="shared" si="10"/>
        <v>10.098940436872146</v>
      </c>
      <c r="X33" s="157">
        <f t="shared" si="11"/>
        <v>46041</v>
      </c>
      <c r="Y33" s="383">
        <f t="shared" si="12"/>
        <v>9.8142711012751178</v>
      </c>
      <c r="Z33" s="383">
        <f t="shared" si="22"/>
        <v>10.30482645134113</v>
      </c>
      <c r="AA33" s="384">
        <f t="shared" si="13"/>
        <v>11.011338136431922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6.4162200482540746E-2</v>
      </c>
      <c r="AD33" s="230">
        <f>(INDEX(Models!$BJ33:$BT33,,AH33)*(1-AF33)+INDEX(Models!$BJ33:$BT33,,AH33+1)*AF33-ERP_i)*AE33*Ramure*Pc/MaxiM</f>
        <v>7.5067692912956379E-4</v>
      </c>
      <c r="AE33" s="304">
        <f t="shared" si="15"/>
        <v>0.6</v>
      </c>
      <c r="AF33" s="177">
        <f t="shared" si="23"/>
        <v>0.99987486301712947</v>
      </c>
      <c r="AG33" s="799">
        <f t="shared" si="24"/>
        <v>1</v>
      </c>
      <c r="AH33" s="176">
        <f t="shared" si="16"/>
        <v>7</v>
      </c>
      <c r="AI33" s="224">
        <f t="shared" si="17"/>
        <v>1.9998748630171295</v>
      </c>
      <c r="AJ33" s="264" t="b">
        <f t="shared" si="18"/>
        <v>1</v>
      </c>
      <c r="AK33" s="264" t="b">
        <f t="shared" si="19"/>
        <v>1</v>
      </c>
      <c r="AL33" s="264"/>
      <c r="AM33" s="264"/>
      <c r="AN33" s="75"/>
    </row>
    <row r="34" spans="1:40" s="6" customFormat="1" ht="11.25" x14ac:dyDescent="0.2">
      <c r="A34" s="56">
        <f t="shared" si="20"/>
        <v>46042</v>
      </c>
      <c r="B34" s="409">
        <f>IF(t&gt;Tmaj,'2025'!Wh/'2025'!Env_an*'2026'!Env_an,0.001*'[3]mon-tableau (2)'!$B$261)</f>
        <v>18.105715050440342</v>
      </c>
      <c r="C34" s="829"/>
      <c r="D34" s="391">
        <f t="shared" si="0"/>
        <v>19.011073283659627</v>
      </c>
      <c r="E34" s="383">
        <f t="shared" si="1"/>
        <v>19.743722047644532</v>
      </c>
      <c r="F34" s="383">
        <f t="shared" si="2"/>
        <v>19.749493098643189</v>
      </c>
      <c r="G34" s="110">
        <f t="shared" si="21"/>
        <v>0.59578279802820289</v>
      </c>
      <c r="H34" s="412" t="b">
        <f>Wh_hp&gt;='2025'!Maxi_hp</f>
        <v>0</v>
      </c>
      <c r="I34" s="388">
        <f>IF(H34,Wh_hp,'2025'!Maxi_hp)</f>
        <v>19.75459752863182</v>
      </c>
      <c r="J34" s="85">
        <f>IF(H34,An,'2025'!An_max)</f>
        <v>2023</v>
      </c>
      <c r="K34" s="197">
        <f t="shared" si="3"/>
        <v>46042</v>
      </c>
      <c r="L34" s="147">
        <f>IF(t&lt;Tvie,1-EXP((T0-t)*PertePVj)+'2025'!Pspv,1-EXP((T0-t)*PertePVj)+Pspv)</f>
        <v>4.7622678620541481E-2</v>
      </c>
      <c r="M34" s="832"/>
      <c r="N34" s="832"/>
      <c r="O34" s="48">
        <f>IF(t&lt;Tnet,'2025'!Resal+('2025'!Salim-'2025'!Resal)*(1-EXP(('2025'!Tnet-t)/('2025'!Tau_j))),Resal+(Salim-Resal)*(1-EXP((Tnet-t)/(Tau_j))))*Salcycl</f>
        <v>3.7107935485361634E-2</v>
      </c>
      <c r="P34" s="169">
        <f>(INDEX(Models!$BJ34:$BT34,,T34)*(1-R34)+INDEX(Models!$BJ34:$BT34,,T34+1)*R34-ERP_i)*Q34*Ramure*Pc/MaxiM</f>
        <v>6.9099537000100197E-4</v>
      </c>
      <c r="Q34" s="304">
        <f t="shared" si="4"/>
        <v>0.6</v>
      </c>
      <c r="R34" s="177">
        <f t="shared" si="5"/>
        <v>0.99993588799717226</v>
      </c>
      <c r="S34" s="799">
        <f t="shared" si="6"/>
        <v>1</v>
      </c>
      <c r="T34" s="176">
        <f t="shared" si="7"/>
        <v>7</v>
      </c>
      <c r="U34" s="250">
        <f t="shared" si="8"/>
        <v>1.9999358879971723</v>
      </c>
      <c r="V34" s="382">
        <f t="shared" si="9"/>
        <v>30.3776690984086</v>
      </c>
      <c r="W34" s="400">
        <f t="shared" si="10"/>
        <v>18.105715050440342</v>
      </c>
      <c r="X34" s="157">
        <f t="shared" si="11"/>
        <v>46042</v>
      </c>
      <c r="Y34" s="383">
        <f t="shared" si="12"/>
        <v>17.595892615394551</v>
      </c>
      <c r="Z34" s="383">
        <f t="shared" si="22"/>
        <v>18.475757685943226</v>
      </c>
      <c r="AA34" s="384">
        <f t="shared" si="13"/>
        <v>19.743722047644532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6.4221141213471333E-2</v>
      </c>
      <c r="AD34" s="230">
        <f>(INDEX(Models!$BJ34:$BT34,,AH34)*(1-AF34)+INDEX(Models!$BJ34:$BT34,,AH34+1)*AF34-ERP_i)*AE34*Ramure*Pc/MaxiM</f>
        <v>6.9099537000100197E-4</v>
      </c>
      <c r="AE34" s="304">
        <f t="shared" si="15"/>
        <v>0.6</v>
      </c>
      <c r="AF34" s="177">
        <f t="shared" si="23"/>
        <v>0.99993588799717226</v>
      </c>
      <c r="AG34" s="799">
        <f t="shared" si="24"/>
        <v>1</v>
      </c>
      <c r="AH34" s="176">
        <f t="shared" si="16"/>
        <v>7</v>
      </c>
      <c r="AI34" s="224">
        <f t="shared" si="17"/>
        <v>1.9999358879971723</v>
      </c>
      <c r="AJ34" s="264" t="b">
        <f t="shared" si="18"/>
        <v>1</v>
      </c>
      <c r="AK34" s="264" t="b">
        <f t="shared" si="19"/>
        <v>1</v>
      </c>
      <c r="AL34" s="264"/>
      <c r="AM34" s="264"/>
      <c r="AN34" s="75"/>
    </row>
    <row r="35" spans="1:40" s="6" customFormat="1" ht="11.25" x14ac:dyDescent="0.2">
      <c r="A35" s="56">
        <f t="shared" si="20"/>
        <v>46043</v>
      </c>
      <c r="B35" s="409">
        <f>IF(t&gt;Tmaj,'2025'!Wh/'2025'!Env_an*'2026'!Env_an,0.001*'[3]mon-tableau (2)'!$B$262)</f>
        <v>6.585631004711006</v>
      </c>
      <c r="C35" s="829"/>
      <c r="D35" s="391">
        <f t="shared" si="0"/>
        <v>6.9150714442744246</v>
      </c>
      <c r="E35" s="383">
        <f t="shared" si="1"/>
        <v>7.1822377670035014</v>
      </c>
      <c r="F35" s="383">
        <f t="shared" si="2"/>
        <v>7.1822377670035014</v>
      </c>
      <c r="G35" s="110">
        <f t="shared" si="21"/>
        <v>0.21461226868450259</v>
      </c>
      <c r="H35" s="412" t="b">
        <f>Wh_hp&gt;='2025'!Maxi_hp</f>
        <v>0</v>
      </c>
      <c r="I35" s="388">
        <f>IF(H35,Wh_hp,'2025'!Maxi_hp)</f>
        <v>24.694624919253947</v>
      </c>
      <c r="J35" s="85">
        <f>IF(H35,An,'2025'!An_max)</f>
        <v>2022</v>
      </c>
      <c r="K35" s="197">
        <f t="shared" si="3"/>
        <v>46043</v>
      </c>
      <c r="L35" s="147">
        <f>IF(t&lt;Tvie,1-EXP((T0-t)*PertePVj)+'2025'!Pspv,1-EXP((T0-t)*PertePVj)+Pspv)</f>
        <v>4.7640930714633489E-2</v>
      </c>
      <c r="M35" s="832"/>
      <c r="N35" s="832"/>
      <c r="O35" s="48">
        <f>IF(t&lt;Tnet,'2025'!Resal+('2025'!Salim-'2025'!Resal)*(1-EXP(('2025'!Tnet-t)/('2025'!Tau_j))),Resal+(Salim-Resal)*(1-EXP((Tnet-t)/(Tau_j))))*Salcycl</f>
        <v>3.7198200810962728E-2</v>
      </c>
      <c r="P35" s="169">
        <f>(INDEX(Models!$BJ35:$BT35,,T35)*(1-R35)+INDEX(Models!$BJ35:$BT35,,T35+1)*R35-ERP_i)*Q35*Ramure*Pc/MaxiM</f>
        <v>6.3316663788587683E-4</v>
      </c>
      <c r="Q35" s="304">
        <f t="shared" si="4"/>
        <v>0.6</v>
      </c>
      <c r="R35" s="177">
        <f t="shared" si="5"/>
        <v>0.99999945723440842</v>
      </c>
      <c r="S35" s="799">
        <f t="shared" si="6"/>
        <v>1</v>
      </c>
      <c r="T35" s="176">
        <f t="shared" si="7"/>
        <v>7</v>
      </c>
      <c r="U35" s="250">
        <f t="shared" si="8"/>
        <v>1.9999994572344084</v>
      </c>
      <c r="V35" s="382">
        <f t="shared" si="9"/>
        <v>30.666751920621447</v>
      </c>
      <c r="W35" s="400">
        <f t="shared" si="10"/>
        <v>6.585631004711006</v>
      </c>
      <c r="X35" s="157">
        <f t="shared" si="11"/>
        <v>46043</v>
      </c>
      <c r="Y35" s="383">
        <f t="shared" si="12"/>
        <v>6.4003889400189617</v>
      </c>
      <c r="Z35" s="383">
        <f t="shared" si="22"/>
        <v>6.7205628070741232</v>
      </c>
      <c r="AA35" s="384">
        <f t="shared" si="13"/>
        <v>7.1822377670035014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6.4280099727468815E-2</v>
      </c>
      <c r="AD35" s="230">
        <f>(INDEX(Models!$BJ35:$BT35,,AH35)*(1-AF35)+INDEX(Models!$BJ35:$BT35,,AH35+1)*AF35-ERP_i)*AE35*Ramure*Pc/MaxiM</f>
        <v>6.3316663788587683E-4</v>
      </c>
      <c r="AE35" s="304">
        <f t="shared" si="15"/>
        <v>0.6</v>
      </c>
      <c r="AF35" s="177">
        <f t="shared" si="23"/>
        <v>0.99999945723440842</v>
      </c>
      <c r="AG35" s="799">
        <f t="shared" si="24"/>
        <v>1</v>
      </c>
      <c r="AH35" s="176">
        <f t="shared" si="16"/>
        <v>7</v>
      </c>
      <c r="AI35" s="224">
        <f t="shared" si="17"/>
        <v>1.9999994572344084</v>
      </c>
      <c r="AJ35" s="264" t="b">
        <f t="shared" si="18"/>
        <v>1</v>
      </c>
      <c r="AK35" s="264" t="b">
        <f t="shared" si="19"/>
        <v>1</v>
      </c>
      <c r="AL35" s="264"/>
      <c r="AM35" s="264"/>
      <c r="AN35" s="75"/>
    </row>
    <row r="36" spans="1:40" s="6" customFormat="1" ht="11.25" x14ac:dyDescent="0.2">
      <c r="A36" s="56">
        <f t="shared" si="20"/>
        <v>46044</v>
      </c>
      <c r="B36" s="409">
        <f>IF(t&gt;Tmaj,'2025'!Wh/'2025'!Env_an*'2026'!Env_an,0.001*'[3]mon-tableau (2)'!$B$263)</f>
        <v>31.044845982204624</v>
      </c>
      <c r="C36" s="829"/>
      <c r="D36" s="391">
        <f t="shared" si="0"/>
        <v>32.598462032071566</v>
      </c>
      <c r="E36" s="383">
        <f t="shared" si="1"/>
        <v>33.861088270204135</v>
      </c>
      <c r="F36" s="383">
        <f t="shared" si="2"/>
        <v>33.880643604916138</v>
      </c>
      <c r="G36" s="110">
        <f t="shared" si="21"/>
        <v>1.0028161076790945</v>
      </c>
      <c r="H36" s="412" t="b">
        <f>Wh_hp&gt;='2025'!Maxi_hp</f>
        <v>1</v>
      </c>
      <c r="I36" s="388">
        <f>IF(H36,Wh_hp,'2025'!Maxi_hp)</f>
        <v>33.880643604916138</v>
      </c>
      <c r="J36" s="85">
        <f>IF(H36,An,'2025'!An_max)</f>
        <v>2026</v>
      </c>
      <c r="K36" s="197">
        <f t="shared" si="3"/>
        <v>46044</v>
      </c>
      <c r="L36" s="147">
        <f>IF(t&lt;Tvie,1-EXP((T0-t)*PertePVj)+'2025'!Pspv,1-EXP((T0-t)*PertePVj)+Pspv)</f>
        <v>4.7659182458928306E-2</v>
      </c>
      <c r="M36" s="832"/>
      <c r="N36" s="832"/>
      <c r="O36" s="48">
        <f>IF(t&lt;Tnet,'2025'!Resal+('2025'!Salim-'2025'!Resal)*(1-EXP(('2025'!Tnet-t)/('2025'!Tau_j))),Resal+(Salim-Resal)*(1-EXP((Tnet-t)/(Tau_j))))*Salcycl</f>
        <v>3.7288412825278519E-2</v>
      </c>
      <c r="P36" s="169">
        <f>(INDEX(Models!$BJ36:$BT36,,T36)*(1-R36)+INDEX(Models!$BJ36:$BT36,,T36+1)*R36-ERP_i)*Q36*Ramure*Pc/MaxiM</f>
        <v>5.7718309427772071E-4</v>
      </c>
      <c r="Q36" s="304">
        <f t="shared" si="4"/>
        <v>0.6</v>
      </c>
      <c r="R36" s="177">
        <f t="shared" si="5"/>
        <v>6.5676113190527019E-5</v>
      </c>
      <c r="S36" s="799">
        <f t="shared" si="6"/>
        <v>2</v>
      </c>
      <c r="T36" s="176">
        <f t="shared" si="7"/>
        <v>8</v>
      </c>
      <c r="U36" s="250">
        <f t="shared" si="8"/>
        <v>2.0000656761131905</v>
      </c>
      <c r="V36" s="382">
        <f t="shared" si="9"/>
        <v>30.957665861644806</v>
      </c>
      <c r="W36" s="400">
        <f t="shared" si="10"/>
        <v>31.044845982204624</v>
      </c>
      <c r="X36" s="157">
        <f t="shared" si="11"/>
        <v>46044</v>
      </c>
      <c r="Y36" s="383">
        <f t="shared" si="12"/>
        <v>30.172535118743987</v>
      </c>
      <c r="Z36" s="383">
        <f t="shared" si="22"/>
        <v>31.682497025223569</v>
      </c>
      <c r="AA36" s="384">
        <f t="shared" si="13"/>
        <v>33.861088270204135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6.433907934664948E-2</v>
      </c>
      <c r="AD36" s="230">
        <f>(INDEX(Models!$BJ36:$BT36,,AH36)*(1-AF36)+INDEX(Models!$BJ36:$BT36,,AH36+1)*AF36-ERP_i)*AE36*Ramure*Pc/MaxiM</f>
        <v>5.7718309427772071E-4</v>
      </c>
      <c r="AE36" s="304">
        <f t="shared" si="15"/>
        <v>0.6</v>
      </c>
      <c r="AF36" s="177">
        <f t="shared" si="23"/>
        <v>6.5676113190527019E-5</v>
      </c>
      <c r="AG36" s="799">
        <f t="shared" si="24"/>
        <v>2</v>
      </c>
      <c r="AH36" s="176">
        <f t="shared" si="16"/>
        <v>8</v>
      </c>
      <c r="AI36" s="224">
        <f t="shared" si="17"/>
        <v>2.0000656761131905</v>
      </c>
      <c r="AJ36" s="264" t="b">
        <f t="shared" si="18"/>
        <v>1</v>
      </c>
      <c r="AK36" s="264" t="b">
        <f t="shared" si="19"/>
        <v>1</v>
      </c>
      <c r="AL36" s="264"/>
      <c r="AM36" s="264"/>
      <c r="AN36" s="75"/>
    </row>
    <row r="37" spans="1:40" s="6" customFormat="1" ht="11.25" x14ac:dyDescent="0.2">
      <c r="A37" s="56">
        <f t="shared" si="20"/>
        <v>46045</v>
      </c>
      <c r="B37" s="409">
        <f>IF(t&gt;Tmaj,'2025'!Wh/'2025'!Env_an*'2026'!Env_an,0.001*'[3]mon-tableau (2)'!$B$264)</f>
        <v>30.944013652676151</v>
      </c>
      <c r="C37" s="829"/>
      <c r="D37" s="391">
        <f t="shared" si="0"/>
        <v>32.493206349069872</v>
      </c>
      <c r="E37" s="383">
        <f t="shared" si="1"/>
        <v>33.754917000531862</v>
      </c>
      <c r="F37" s="383">
        <f t="shared" si="2"/>
        <v>33.772328156209511</v>
      </c>
      <c r="G37" s="110">
        <f t="shared" si="21"/>
        <v>0.99009308239215499</v>
      </c>
      <c r="H37" s="412" t="b">
        <f>Wh_hp&gt;='2025'!Maxi_hp</f>
        <v>0</v>
      </c>
      <c r="I37" s="388">
        <f>IF(H37,Wh_hp,'2025'!Maxi_hp)</f>
        <v>33.772529804178184</v>
      </c>
      <c r="J37" s="85">
        <f>IF(H37,An,'2025'!An_max)</f>
        <v>2022</v>
      </c>
      <c r="K37" s="197">
        <f t="shared" si="3"/>
        <v>46045</v>
      </c>
      <c r="L37" s="147">
        <f>IF(t&lt;Tvie,1-EXP((T0-t)*PertePVj)+'2025'!Pspv,1-EXP((T0-t)*PertePVj)+Pspv)</f>
        <v>4.7677433853432705E-2</v>
      </c>
      <c r="M37" s="832"/>
      <c r="N37" s="832"/>
      <c r="O37" s="48">
        <f>IF(t&lt;Tnet,'2025'!Resal+('2025'!Salim-'2025'!Resal)*(1-EXP(('2025'!Tnet-t)/('2025'!Tau_j))),Resal+(Salim-Resal)*(1-EXP((Tnet-t)/(Tau_j))))*Salcycl</f>
        <v>3.7378573659123726E-2</v>
      </c>
      <c r="P37" s="169">
        <f>(INDEX(Models!$BJ37:$BT37,,T37)*(1-R37)+INDEX(Models!$BJ37:$BT37,,T37+1)*R37-ERP_i)*Q37*Ramure*Pc/MaxiM</f>
        <v>5.2294059134072601E-4</v>
      </c>
      <c r="Q37" s="304">
        <f t="shared" si="4"/>
        <v>0.6</v>
      </c>
      <c r="R37" s="177">
        <f t="shared" si="5"/>
        <v>1.346543239675313E-4</v>
      </c>
      <c r="S37" s="799">
        <f t="shared" si="6"/>
        <v>2</v>
      </c>
      <c r="T37" s="176">
        <f t="shared" si="7"/>
        <v>8</v>
      </c>
      <c r="U37" s="250">
        <f t="shared" si="8"/>
        <v>2.0001346543239675</v>
      </c>
      <c r="V37" s="382">
        <f t="shared" si="9"/>
        <v>31.253409640319862</v>
      </c>
      <c r="W37" s="400">
        <f t="shared" si="10"/>
        <v>30.944013652676151</v>
      </c>
      <c r="X37" s="157">
        <f t="shared" si="11"/>
        <v>46045</v>
      </c>
      <c r="Y37" s="383">
        <f t="shared" si="12"/>
        <v>30.07545613947751</v>
      </c>
      <c r="Z37" s="383">
        <f t="shared" si="22"/>
        <v>31.581165047021205</v>
      </c>
      <c r="AA37" s="384">
        <f t="shared" si="13"/>
        <v>33.754917000531862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6.4398083203001347E-2</v>
      </c>
      <c r="AD37" s="230">
        <f>(INDEX(Models!$BJ37:$BT37,,AH37)*(1-AF37)+INDEX(Models!$BJ37:$BT37,,AH37+1)*AF37-ERP_i)*AE37*Ramure*Pc/MaxiM</f>
        <v>5.2294059134072601E-4</v>
      </c>
      <c r="AE37" s="304">
        <f t="shared" si="15"/>
        <v>0.6</v>
      </c>
      <c r="AF37" s="177">
        <f t="shared" si="23"/>
        <v>1.346543239675313E-4</v>
      </c>
      <c r="AG37" s="799">
        <f t="shared" si="24"/>
        <v>2</v>
      </c>
      <c r="AH37" s="176">
        <f t="shared" si="16"/>
        <v>8</v>
      </c>
      <c r="AI37" s="224">
        <f t="shared" si="17"/>
        <v>2.0001346543239675</v>
      </c>
      <c r="AJ37" s="264" t="b">
        <f t="shared" si="18"/>
        <v>1</v>
      </c>
      <c r="AK37" s="264" t="b">
        <f t="shared" si="19"/>
        <v>1</v>
      </c>
      <c r="AL37" s="264"/>
      <c r="AM37" s="264"/>
      <c r="AN37" s="75"/>
    </row>
    <row r="38" spans="1:40" s="6" customFormat="1" ht="11.25" x14ac:dyDescent="0.2">
      <c r="A38" s="56">
        <f t="shared" si="20"/>
        <v>46046</v>
      </c>
      <c r="B38" s="409">
        <f>IF(t&gt;Tmaj,'2025'!Wh/'2025'!Env_an*'2026'!Env_an,0.001*'[3]mon-tableau (2)'!$B$265)</f>
        <v>31.952377595769487</v>
      </c>
      <c r="C38" s="829"/>
      <c r="D38" s="391">
        <f t="shared" si="0"/>
        <v>33.552696432287249</v>
      </c>
      <c r="E38" s="383">
        <f t="shared" si="1"/>
        <v>34.858810221824349</v>
      </c>
      <c r="F38" s="383">
        <f t="shared" si="2"/>
        <v>34.875269429553484</v>
      </c>
      <c r="G38" s="110">
        <f t="shared" si="21"/>
        <v>1.012529757282697</v>
      </c>
      <c r="H38" s="412" t="b">
        <f>Wh_hp&gt;='2025'!Maxi_hp</f>
        <v>1</v>
      </c>
      <c r="I38" s="388">
        <f>IF(H38,Wh_hp,'2025'!Maxi_hp)</f>
        <v>34.875269429553484</v>
      </c>
      <c r="J38" s="85">
        <f>IF(H38,An,'2025'!An_max)</f>
        <v>2026</v>
      </c>
      <c r="K38" s="197">
        <f t="shared" si="3"/>
        <v>46046</v>
      </c>
      <c r="L38" s="147">
        <f>IF(t&lt;Tvie,1-EXP((T0-t)*PertePVj)+'2025'!Pspv,1-EXP((T0-t)*PertePVj)+Pspv)</f>
        <v>4.7695684898153123E-2</v>
      </c>
      <c r="M38" s="832"/>
      <c r="N38" s="832"/>
      <c r="O38" s="48">
        <f>IF(t&lt;Tnet,'2025'!Resal+('2025'!Salim-'2025'!Resal)*(1-EXP(('2025'!Tnet-t)/('2025'!Tau_j))),Resal+(Salim-Resal)*(1-EXP((Tnet-t)/(Tau_j))))*Salcycl</f>
        <v>3.7468685282877848E-2</v>
      </c>
      <c r="P38" s="169">
        <f>(INDEX(Models!$BJ38:$BT38,,T38)*(1-R38)+INDEX(Models!$BJ38:$BT38,,T38+1)*R38-ERP_i)*Q38*Ramure*Pc/MaxiM</f>
        <v>4.7194496267291916E-4</v>
      </c>
      <c r="Q38" s="304">
        <f t="shared" si="4"/>
        <v>0.6</v>
      </c>
      <c r="R38" s="177">
        <f t="shared" si="5"/>
        <v>2.0650603419714031E-4</v>
      </c>
      <c r="S38" s="799">
        <f t="shared" si="6"/>
        <v>2</v>
      </c>
      <c r="T38" s="176">
        <f t="shared" si="7"/>
        <v>8</v>
      </c>
      <c r="U38" s="250">
        <f t="shared" si="8"/>
        <v>2.0002065060341971</v>
      </c>
      <c r="V38" s="382">
        <f t="shared" si="9"/>
        <v>31.556976341633014</v>
      </c>
      <c r="W38" s="400">
        <f t="shared" si="10"/>
        <v>31.952377595769487</v>
      </c>
      <c r="X38" s="157">
        <f t="shared" si="11"/>
        <v>46046</v>
      </c>
      <c r="Y38" s="383">
        <f t="shared" si="12"/>
        <v>31.056464438165644</v>
      </c>
      <c r="Z38" s="383">
        <f t="shared" si="22"/>
        <v>32.611911912679112</v>
      </c>
      <c r="AA38" s="384">
        <f t="shared" si="13"/>
        <v>34.858810221824349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6.4457114136916349E-2</v>
      </c>
      <c r="AD38" s="230">
        <f>(INDEX(Models!$BJ38:$BT38,,AH38)*(1-AF38)+INDEX(Models!$BJ38:$BT38,,AH38+1)*AF38-ERP_i)*AE38*Ramure*Pc/MaxiM</f>
        <v>4.7194496267291916E-4</v>
      </c>
      <c r="AE38" s="304">
        <f t="shared" si="15"/>
        <v>0.6</v>
      </c>
      <c r="AF38" s="177">
        <f t="shared" si="23"/>
        <v>2.0650603419714031E-4</v>
      </c>
      <c r="AG38" s="799">
        <f t="shared" si="24"/>
        <v>2</v>
      </c>
      <c r="AH38" s="176">
        <f t="shared" si="16"/>
        <v>8</v>
      </c>
      <c r="AI38" s="224">
        <f t="shared" si="17"/>
        <v>2.0002065060341971</v>
      </c>
      <c r="AJ38" s="264" t="b">
        <f t="shared" si="18"/>
        <v>1</v>
      </c>
      <c r="AK38" s="264" t="b">
        <f t="shared" si="19"/>
        <v>1</v>
      </c>
      <c r="AL38" s="264"/>
      <c r="AM38" s="264"/>
      <c r="AN38" s="75"/>
    </row>
    <row r="39" spans="1:40" s="6" customFormat="1" ht="11.25" x14ac:dyDescent="0.2">
      <c r="A39" s="56">
        <f t="shared" si="20"/>
        <v>46047</v>
      </c>
      <c r="B39" s="409">
        <f>IF(t&gt;Tmaj,'2025'!Wh/'2025'!Env_an*'2026'!Env_an,0.001*'[3]mon-tableau (2)'!$B$266)</f>
        <v>29.580355865830757</v>
      </c>
      <c r="C39" s="829"/>
      <c r="D39" s="391">
        <f t="shared" si="0"/>
        <v>31.062468486561126</v>
      </c>
      <c r="E39" s="383">
        <f t="shared" si="1"/>
        <v>32.274664525094288</v>
      </c>
      <c r="F39" s="383">
        <f t="shared" si="2"/>
        <v>32.286974129521234</v>
      </c>
      <c r="G39" s="110">
        <f t="shared" si="21"/>
        <v>0.92818759288111397</v>
      </c>
      <c r="H39" s="412" t="b">
        <f>Wh_hp&gt;='2025'!Maxi_hp</f>
        <v>0</v>
      </c>
      <c r="I39" s="388">
        <f>IF(H39,Wh_hp,'2025'!Maxi_hp)</f>
        <v>32.288114654998978</v>
      </c>
      <c r="J39" s="85">
        <f>IF(H39,An,'2025'!An_max)</f>
        <v>2022</v>
      </c>
      <c r="K39" s="197">
        <f t="shared" si="3"/>
        <v>46047</v>
      </c>
      <c r="L39" s="147">
        <f>IF(t&lt;Tvie,1-EXP((T0-t)*PertePVj)+'2025'!Pspv,1-EXP((T0-t)*PertePVj)+Pspv)</f>
        <v>4.7713935593096557E-2</v>
      </c>
      <c r="M39" s="832"/>
      <c r="N39" s="832"/>
      <c r="O39" s="48">
        <f>IF(t&lt;Tnet,'2025'!Resal+('2025'!Salim-'2025'!Resal)*(1-EXP(('2025'!Tnet-t)/('2025'!Tau_j))),Resal+(Salim-Resal)*(1-EXP((Tnet-t)/(Tau_j))))*Salcycl</f>
        <v>3.7558749451621722E-2</v>
      </c>
      <c r="P39" s="169">
        <f>(INDEX(Models!$BJ39:$BT39,,T39)*(1-R39)+INDEX(Models!$BJ39:$BT39,,T39+1)*R39-ERP_i)*Q39*Ramure*Pc/MaxiM</f>
        <v>4.248126841589593E-4</v>
      </c>
      <c r="Q39" s="304">
        <f t="shared" si="4"/>
        <v>0.6</v>
      </c>
      <c r="R39" s="177">
        <f t="shared" si="5"/>
        <v>2.8135006560559006E-4</v>
      </c>
      <c r="S39" s="799">
        <f t="shared" si="6"/>
        <v>2</v>
      </c>
      <c r="T39" s="176">
        <f t="shared" si="7"/>
        <v>8</v>
      </c>
      <c r="U39" s="250">
        <f t="shared" si="8"/>
        <v>2.0002813500656056</v>
      </c>
      <c r="V39" s="382">
        <f t="shared" si="9"/>
        <v>31.867552616232739</v>
      </c>
      <c r="W39" s="400">
        <f t="shared" si="10"/>
        <v>29.580355865830757</v>
      </c>
      <c r="X39" s="157">
        <f t="shared" si="11"/>
        <v>46047</v>
      </c>
      <c r="Y39" s="383">
        <f t="shared" si="12"/>
        <v>28.75182713348903</v>
      </c>
      <c r="Z39" s="383">
        <f t="shared" si="22"/>
        <v>30.192426633268077</v>
      </c>
      <c r="AA39" s="384">
        <f t="shared" si="13"/>
        <v>32.274664525094288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6.4516174605230167E-2</v>
      </c>
      <c r="AD39" s="230">
        <f>(INDEX(Models!$BJ39:$BT39,,AH39)*(1-AF39)+INDEX(Models!$BJ39:$BT39,,AH39+1)*AF39-ERP_i)*AE39*Ramure*Pc/MaxiM</f>
        <v>4.248126841589593E-4</v>
      </c>
      <c r="AE39" s="304">
        <f t="shared" si="15"/>
        <v>0.6</v>
      </c>
      <c r="AF39" s="177">
        <f t="shared" si="23"/>
        <v>2.8135006560559006E-4</v>
      </c>
      <c r="AG39" s="799">
        <f t="shared" si="24"/>
        <v>2</v>
      </c>
      <c r="AH39" s="176">
        <f t="shared" si="16"/>
        <v>8</v>
      </c>
      <c r="AI39" s="224">
        <f t="shared" si="17"/>
        <v>2.0002813500656056</v>
      </c>
      <c r="AJ39" s="264" t="b">
        <f t="shared" si="18"/>
        <v>1</v>
      </c>
      <c r="AK39" s="264" t="b">
        <f t="shared" si="19"/>
        <v>1</v>
      </c>
      <c r="AL39" s="264"/>
      <c r="AM39" s="264"/>
      <c r="AN39" s="75"/>
    </row>
    <row r="40" spans="1:40" s="6" customFormat="1" ht="11.25" x14ac:dyDescent="0.2">
      <c r="A40" s="56">
        <f t="shared" si="20"/>
        <v>46048</v>
      </c>
      <c r="B40" s="409">
        <f>IF(t&gt;Tmaj,'2025'!Wh/'2025'!Env_an*'2026'!Env_an,0.001*'[3]mon-tableau (2)'!$B$267)</f>
        <v>31.189893389395689</v>
      </c>
      <c r="C40" s="829"/>
      <c r="D40" s="391">
        <f t="shared" si="0"/>
        <v>32.753278992346381</v>
      </c>
      <c r="E40" s="383">
        <f t="shared" si="1"/>
        <v>34.03464129469959</v>
      </c>
      <c r="F40" s="383">
        <f t="shared" si="2"/>
        <v>34.047055951069005</v>
      </c>
      <c r="G40" s="110">
        <f t="shared" si="21"/>
        <v>0.96908501491931476</v>
      </c>
      <c r="H40" s="412" t="b">
        <f>Wh_hp&gt;='2025'!Maxi_hp</f>
        <v>0</v>
      </c>
      <c r="I40" s="388">
        <f>IF(H40,Wh_hp,'2025'!Maxi_hp)</f>
        <v>34.047521820123769</v>
      </c>
      <c r="J40" s="85">
        <f>IF(H40,An,'2025'!An_max)</f>
        <v>2022</v>
      </c>
      <c r="K40" s="197">
        <f t="shared" si="3"/>
        <v>46048</v>
      </c>
      <c r="L40" s="147">
        <f>IF(t&lt;Tvie,1-EXP((T0-t)*PertePVj)+'2025'!Pspv,1-EXP((T0-t)*PertePVj)+Pspv)</f>
        <v>4.7732185938269556E-2</v>
      </c>
      <c r="M40" s="832"/>
      <c r="N40" s="832"/>
      <c r="O40" s="48">
        <f>IF(t&lt;Tnet,'2025'!Resal+('2025'!Salim-'2025'!Resal)*(1-EXP(('2025'!Tnet-t)/('2025'!Tau_j))),Resal+(Salim-Resal)*(1-EXP((Tnet-t)/(Tau_j))))*Salcycl</f>
        <v>3.7648767655816644E-2</v>
      </c>
      <c r="P40" s="169">
        <f>(INDEX(Models!$BJ40:$BT40,,T40)*(1-R40)+INDEX(Models!$BJ40:$BT40,,T40+1)*R40-ERP_i)*Q40*Ramure*Pc/MaxiM</f>
        <v>3.8147078195838288E-4</v>
      </c>
      <c r="Q40" s="304">
        <f t="shared" si="4"/>
        <v>0.6</v>
      </c>
      <c r="R40" s="177">
        <f t="shared" si="5"/>
        <v>3.5931007799794301E-4</v>
      </c>
      <c r="S40" s="799">
        <f t="shared" si="6"/>
        <v>2</v>
      </c>
      <c r="T40" s="176">
        <f t="shared" si="7"/>
        <v>8</v>
      </c>
      <c r="U40" s="250">
        <f t="shared" si="8"/>
        <v>2.0003593100779979</v>
      </c>
      <c r="V40" s="382">
        <f t="shared" si="9"/>
        <v>32.184346602459534</v>
      </c>
      <c r="W40" s="400">
        <f t="shared" si="10"/>
        <v>31.189893389395689</v>
      </c>
      <c r="X40" s="157">
        <f t="shared" si="11"/>
        <v>46048</v>
      </c>
      <c r="Y40" s="383">
        <f t="shared" si="12"/>
        <v>30.317203041860729</v>
      </c>
      <c r="Z40" s="383">
        <f t="shared" si="22"/>
        <v>31.836845259473851</v>
      </c>
      <c r="AA40" s="384">
        <f t="shared" si="13"/>
        <v>34.03464129469959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6.4575266599563447E-2</v>
      </c>
      <c r="AD40" s="230">
        <f>(INDEX(Models!$BJ40:$BT40,,AH40)*(1-AF40)+INDEX(Models!$BJ40:$BT40,,AH40+1)*AF40-ERP_i)*AE40*Ramure*Pc/MaxiM</f>
        <v>3.8147078195838288E-4</v>
      </c>
      <c r="AE40" s="304">
        <f t="shared" si="15"/>
        <v>0.6</v>
      </c>
      <c r="AF40" s="177">
        <f t="shared" si="23"/>
        <v>3.5931007799794301E-4</v>
      </c>
      <c r="AG40" s="799">
        <f t="shared" si="24"/>
        <v>2</v>
      </c>
      <c r="AH40" s="176">
        <f t="shared" si="16"/>
        <v>8</v>
      </c>
      <c r="AI40" s="224">
        <f t="shared" si="17"/>
        <v>2.0003593100779979</v>
      </c>
      <c r="AJ40" s="264" t="b">
        <f t="shared" si="18"/>
        <v>1</v>
      </c>
      <c r="AK40" s="264" t="b">
        <f t="shared" si="19"/>
        <v>1</v>
      </c>
      <c r="AL40" s="264"/>
      <c r="AM40" s="264"/>
      <c r="AN40" s="75"/>
    </row>
    <row r="41" spans="1:40" s="6" customFormat="1" ht="11.25" x14ac:dyDescent="0.2">
      <c r="A41" s="56">
        <f t="shared" si="20"/>
        <v>46049</v>
      </c>
      <c r="B41" s="409">
        <f>IF(t&gt;Tmaj,'2025'!Wh/'2025'!Env_an*'2026'!Env_an,0.001*'[3]mon-tableau (2)'!$B$268)</f>
        <v>27.529873690363914</v>
      </c>
      <c r="C41" s="829"/>
      <c r="D41" s="391">
        <f t="shared" si="0"/>
        <v>28.910355781949768</v>
      </c>
      <c r="E41" s="383">
        <f t="shared" si="1"/>
        <v>30.044185520195327</v>
      </c>
      <c r="F41" s="383">
        <f t="shared" si="2"/>
        <v>30.052211736800281</v>
      </c>
      <c r="G41" s="110">
        <f t="shared" si="21"/>
        <v>0.84683858024207304</v>
      </c>
      <c r="H41" s="412" t="b">
        <f>Wh_hp&gt;='2025'!Maxi_hp</f>
        <v>0</v>
      </c>
      <c r="I41" s="388">
        <f>IF(H41,Wh_hp,'2025'!Maxi_hp)</f>
        <v>30.054040469475297</v>
      </c>
      <c r="J41" s="85">
        <f>IF(H41,An,'2025'!An_max)</f>
        <v>2022</v>
      </c>
      <c r="K41" s="197">
        <f t="shared" si="3"/>
        <v>46049</v>
      </c>
      <c r="L41" s="147">
        <f>IF(t&lt;Tvie,1-EXP((T0-t)*PertePVj)+'2025'!Pspv,1-EXP((T0-t)*PertePVj)+Pspv)</f>
        <v>4.7750435933678892E-2</v>
      </c>
      <c r="M41" s="832"/>
      <c r="N41" s="832"/>
      <c r="O41" s="48">
        <f>IF(t&lt;Tnet,'2025'!Resal+('2025'!Salim-'2025'!Resal)*(1-EXP(('2025'!Tnet-t)/('2025'!Tau_j))),Resal+(Salim-Resal)*(1-EXP((Tnet-t)/(Tau_j))))*Salcycl</f>
        <v>3.7738741077983723E-2</v>
      </c>
      <c r="P41" s="169">
        <f>(INDEX(Models!$BJ41:$BT41,,T41)*(1-R41)+INDEX(Models!$BJ41:$BT41,,T41+1)*R41-ERP_i)*Q41*Ramure*Pc/MaxiM</f>
        <v>3.418401194892136E-4</v>
      </c>
      <c r="Q41" s="304">
        <f t="shared" si="4"/>
        <v>0.6</v>
      </c>
      <c r="R41" s="177">
        <f t="shared" si="5"/>
        <v>4.4051475981987664E-4</v>
      </c>
      <c r="S41" s="799">
        <f t="shared" si="6"/>
        <v>2</v>
      </c>
      <c r="T41" s="176">
        <f t="shared" si="7"/>
        <v>8</v>
      </c>
      <c r="U41" s="250">
        <f t="shared" si="8"/>
        <v>2.0004405147598199</v>
      </c>
      <c r="V41" s="382">
        <f t="shared" si="9"/>
        <v>32.506566810688078</v>
      </c>
      <c r="W41" s="400">
        <f t="shared" si="10"/>
        <v>27.529873690363914</v>
      </c>
      <c r="X41" s="157">
        <f t="shared" si="11"/>
        <v>46049</v>
      </c>
      <c r="Y41" s="383">
        <f t="shared" si="12"/>
        <v>26.760400894742943</v>
      </c>
      <c r="Z41" s="383">
        <f t="shared" si="22"/>
        <v>28.102297868712039</v>
      </c>
      <c r="AA41" s="384">
        <f t="shared" si="13"/>
        <v>30.044185520195327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6.4634391575633707E-2</v>
      </c>
      <c r="AD41" s="230">
        <f>(INDEX(Models!$BJ41:$BT41,,AH41)*(1-AF41)+INDEX(Models!$BJ41:$BT41,,AH41+1)*AF41-ERP_i)*AE41*Ramure*Pc/MaxiM</f>
        <v>3.418401194892136E-4</v>
      </c>
      <c r="AE41" s="304">
        <f t="shared" si="15"/>
        <v>0.6</v>
      </c>
      <c r="AF41" s="177">
        <f t="shared" si="23"/>
        <v>4.4051475981987664E-4</v>
      </c>
      <c r="AG41" s="799">
        <f t="shared" si="24"/>
        <v>2</v>
      </c>
      <c r="AH41" s="176">
        <f t="shared" si="16"/>
        <v>8</v>
      </c>
      <c r="AI41" s="224">
        <f t="shared" si="17"/>
        <v>2.0004405147598199</v>
      </c>
      <c r="AJ41" s="264" t="b">
        <f t="shared" si="18"/>
        <v>1</v>
      </c>
      <c r="AK41" s="264" t="b">
        <f t="shared" si="19"/>
        <v>1</v>
      </c>
      <c r="AL41" s="264"/>
      <c r="AM41" s="264"/>
      <c r="AN41" s="75"/>
    </row>
    <row r="42" spans="1:40" s="6" customFormat="1" ht="11.25" x14ac:dyDescent="0.2">
      <c r="A42" s="56">
        <f t="shared" si="20"/>
        <v>46050</v>
      </c>
      <c r="B42" s="409">
        <f>IF(t&gt;Tmaj,'2025'!Wh/'2025'!Env_an*'2026'!Env_an,0.001*'[3]mon-tableau (2)'!$B$269)</f>
        <v>4.2033181709212499</v>
      </c>
      <c r="C42" s="829"/>
      <c r="D42" s="391">
        <f t="shared" si="0"/>
        <v>4.4141776344317352</v>
      </c>
      <c r="E42" s="383">
        <f t="shared" si="1"/>
        <v>4.5877251788217981</v>
      </c>
      <c r="F42" s="383">
        <f t="shared" si="2"/>
        <v>4.5877251788217981</v>
      </c>
      <c r="G42" s="110">
        <f t="shared" si="21"/>
        <v>0.1279803434992845</v>
      </c>
      <c r="H42" s="412" t="b">
        <f>Wh_hp&gt;='2025'!Maxi_hp</f>
        <v>0</v>
      </c>
      <c r="I42" s="388">
        <f>IF(H42,Wh_hp,'2025'!Maxi_hp)</f>
        <v>18.140123451777548</v>
      </c>
      <c r="J42" s="85">
        <f>IF(H42,An,'2025'!An_max)</f>
        <v>2021</v>
      </c>
      <c r="K42" s="197">
        <f t="shared" si="3"/>
        <v>46050</v>
      </c>
      <c r="L42" s="147">
        <f>IF(t&lt;Tvie,1-EXP((T0-t)*PertePVj)+'2025'!Pspv,1-EXP((T0-t)*PertePVj)+Pspv)</f>
        <v>4.7768685579331116E-2</v>
      </c>
      <c r="M42" s="832"/>
      <c r="N42" s="832"/>
      <c r="O42" s="48">
        <f>IF(t&lt;Tnet,'2025'!Resal+('2025'!Salim-'2025'!Resal)*(1-EXP(('2025'!Tnet-t)/('2025'!Tau_j))),Resal+(Salim-Resal)*(1-EXP((Tnet-t)/(Tau_j))))*Salcycl</f>
        <v>3.7828670555770494E-2</v>
      </c>
      <c r="P42" s="169">
        <f>(INDEX(Models!$BJ42:$BT42,,T42)*(1-R42)+INDEX(Models!$BJ42:$BT42,,T42+1)*R42-ERP_i)*Q42*Ramure*Pc/MaxiM</f>
        <v>3.0583681610995921E-4</v>
      </c>
      <c r="Q42" s="304">
        <f t="shared" si="4"/>
        <v>0.6</v>
      </c>
      <c r="R42" s="177">
        <f t="shared" si="5"/>
        <v>5.2509802566591546E-4</v>
      </c>
      <c r="S42" s="799">
        <f t="shared" si="6"/>
        <v>2</v>
      </c>
      <c r="T42" s="176">
        <f t="shared" si="7"/>
        <v>8</v>
      </c>
      <c r="U42" s="250">
        <f t="shared" si="8"/>
        <v>2.0005250980256659</v>
      </c>
      <c r="V42" s="382">
        <f t="shared" si="9"/>
        <v>32.833422122345304</v>
      </c>
      <c r="W42" s="400">
        <f t="shared" si="10"/>
        <v>4.2033181709212499</v>
      </c>
      <c r="X42" s="157">
        <f t="shared" si="11"/>
        <v>46050</v>
      </c>
      <c r="Y42" s="383">
        <f t="shared" si="12"/>
        <v>4.0859569129743827</v>
      </c>
      <c r="Z42" s="383">
        <f t="shared" si="22"/>
        <v>4.2909289487714979</v>
      </c>
      <c r="AA42" s="384">
        <f t="shared" si="13"/>
        <v>4.5877251788217981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6.4693550394080604E-2</v>
      </c>
      <c r="AD42" s="230">
        <f>(INDEX(Models!$BJ42:$BT42,,AH42)*(1-AF42)+INDEX(Models!$BJ42:$BT42,,AH42+1)*AF42-ERP_i)*AE42*Ramure*Pc/MaxiM</f>
        <v>3.0583681610995921E-4</v>
      </c>
      <c r="AE42" s="304">
        <f t="shared" si="15"/>
        <v>0.6</v>
      </c>
      <c r="AF42" s="177">
        <f t="shared" si="23"/>
        <v>5.2509802566591546E-4</v>
      </c>
      <c r="AG42" s="799">
        <f t="shared" si="24"/>
        <v>2</v>
      </c>
      <c r="AH42" s="176">
        <f t="shared" si="16"/>
        <v>8</v>
      </c>
      <c r="AI42" s="224">
        <f t="shared" si="17"/>
        <v>2.0005250980256659</v>
      </c>
      <c r="AJ42" s="264" t="b">
        <f t="shared" si="18"/>
        <v>1</v>
      </c>
      <c r="AK42" s="264" t="b">
        <f t="shared" si="19"/>
        <v>1</v>
      </c>
      <c r="AL42" s="264"/>
      <c r="AM42" s="264"/>
      <c r="AN42" s="75"/>
    </row>
    <row r="43" spans="1:40" s="6" customFormat="1" ht="11.25" x14ac:dyDescent="0.2">
      <c r="A43" s="56">
        <f t="shared" si="20"/>
        <v>46051</v>
      </c>
      <c r="B43" s="409">
        <f>IF(t&gt;Tmaj,'2025'!Wh/'2025'!Env_an*'2026'!Env_an,0.001*'[3]mon-tableau (2)'!$B$270)</f>
        <v>7.9962796482530951</v>
      </c>
      <c r="C43" s="829"/>
      <c r="D43" s="391">
        <f t="shared" si="0"/>
        <v>8.3975739686005628</v>
      </c>
      <c r="E43" s="383">
        <f t="shared" si="1"/>
        <v>8.7285479059881546</v>
      </c>
      <c r="F43" s="383">
        <f t="shared" si="2"/>
        <v>8.7285479059881546</v>
      </c>
      <c r="G43" s="110">
        <f t="shared" si="21"/>
        <v>0.24104644557403518</v>
      </c>
      <c r="H43" s="412" t="b">
        <f>Wh_hp&gt;='2025'!Maxi_hp</f>
        <v>0</v>
      </c>
      <c r="I43" s="388">
        <f>IF(H43,Wh_hp,'2025'!Maxi_hp)</f>
        <v>22.560776300734982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4.7786934875233111E-2</v>
      </c>
      <c r="M43" s="832"/>
      <c r="N43" s="832"/>
      <c r="O43" s="48">
        <f>IF(t&lt;Tnet,'2025'!Resal+('2025'!Salim-'2025'!Resal)*(1-EXP(('2025'!Tnet-t)/('2025'!Tau_j))),Resal+(Salim-Resal)*(1-EXP((Tnet-t)/(Tau_j))))*Salcycl</f>
        <v>3.7918556551717955E-2</v>
      </c>
      <c r="P43" s="169">
        <f>(INDEX(Models!$BJ43:$BT43,,T43)*(1-R43)+INDEX(Models!$BJ43:$BT43,,T43+1)*R43-ERP_i)*Q43*Ramure*Pc/MaxiM</f>
        <v>2.7337355353494302E-4</v>
      </c>
      <c r="Q43" s="304">
        <f t="shared" si="4"/>
        <v>0.6</v>
      </c>
      <c r="R43" s="177">
        <f t="shared" si="5"/>
        <v>6.13199220951266E-4</v>
      </c>
      <c r="S43" s="799">
        <f t="shared" si="6"/>
        <v>2</v>
      </c>
      <c r="T43" s="176">
        <f t="shared" si="7"/>
        <v>8</v>
      </c>
      <c r="U43" s="250">
        <f t="shared" si="8"/>
        <v>2.0006131992209513</v>
      </c>
      <c r="V43" s="382">
        <f t="shared" si="9"/>
        <v>33.164121785049439</v>
      </c>
      <c r="W43" s="400">
        <f t="shared" si="10"/>
        <v>7.9962796482530951</v>
      </c>
      <c r="X43" s="157">
        <f t="shared" si="11"/>
        <v>46051</v>
      </c>
      <c r="Y43" s="383">
        <f t="shared" si="12"/>
        <v>7.7732489863275731</v>
      </c>
      <c r="Z43" s="383">
        <f t="shared" si="22"/>
        <v>8.1633504842837432</v>
      </c>
      <c r="AA43" s="384">
        <f t="shared" si="13"/>
        <v>8.7285479059881546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6.4752743273215257E-2</v>
      </c>
      <c r="AD43" s="230">
        <f>(INDEX(Models!$BJ43:$BT43,,AH43)*(1-AF43)+INDEX(Models!$BJ43:$BT43,,AH43+1)*AF43-ERP_i)*AE43*Ramure*Pc/MaxiM</f>
        <v>2.7337355353494302E-4</v>
      </c>
      <c r="AE43" s="304">
        <f t="shared" si="15"/>
        <v>0.6</v>
      </c>
      <c r="AF43" s="177">
        <f t="shared" si="23"/>
        <v>6.13199220951266E-4</v>
      </c>
      <c r="AG43" s="799">
        <f t="shared" si="24"/>
        <v>2</v>
      </c>
      <c r="AH43" s="176">
        <f t="shared" si="16"/>
        <v>8</v>
      </c>
      <c r="AI43" s="224">
        <f t="shared" si="17"/>
        <v>2.0006131992209513</v>
      </c>
      <c r="AJ43" s="264" t="b">
        <f t="shared" si="18"/>
        <v>1</v>
      </c>
      <c r="AK43" s="264" t="b">
        <f t="shared" si="19"/>
        <v>1</v>
      </c>
      <c r="AL43" s="264"/>
      <c r="AM43" s="264"/>
      <c r="AN43" s="75"/>
    </row>
    <row r="44" spans="1:40" s="6" customFormat="1" ht="11.25" x14ac:dyDescent="0.2">
      <c r="A44" s="56">
        <f t="shared" si="20"/>
        <v>46052</v>
      </c>
      <c r="B44" s="409">
        <f>IF(t&gt;Tmaj,'2025'!Wh/'2025'!Env_an*'2026'!Env_an,0.001*'[3]mon-tableau (2)'!$B$271)</f>
        <v>4.6269577934808357</v>
      </c>
      <c r="C44" s="829"/>
      <c r="D44" s="391">
        <f t="shared" si="0"/>
        <v>4.8592553906667471</v>
      </c>
      <c r="E44" s="383">
        <f t="shared" si="1"/>
        <v>5.0512451317371063</v>
      </c>
      <c r="F44" s="383">
        <f t="shared" si="2"/>
        <v>5.0512451317371063</v>
      </c>
      <c r="G44" s="110">
        <f t="shared" si="21"/>
        <v>0.13809315036241393</v>
      </c>
      <c r="H44" s="412" t="b">
        <f>Wh_hp&gt;='2025'!Maxi_hp</f>
        <v>0</v>
      </c>
      <c r="I44" s="388">
        <f>IF(H44,Wh_hp,'2025'!Maxi_hp)</f>
        <v>12.305895524222464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4.7805183821391539E-2</v>
      </c>
      <c r="M44" s="832"/>
      <c r="N44" s="832"/>
      <c r="O44" s="48">
        <f>IF(t&lt;Tnet,'2025'!Resal+('2025'!Salim-'2025'!Resal)*(1-EXP(('2025'!Tnet-t)/('2025'!Tau_j))),Resal+(Salim-Resal)*(1-EXP((Tnet-t)/(Tau_j))))*Salcycl</f>
        <v>3.8008399129965516E-2</v>
      </c>
      <c r="P44" s="169">
        <f>(INDEX(Models!$BJ44:$BT44,,T44)*(1-R44)+INDEX(Models!$BJ44:$BT44,,T44+1)*R44-ERP_i)*Q44*Ramure*Pc/MaxiM</f>
        <v>2.4511107468800616E-4</v>
      </c>
      <c r="Q44" s="304">
        <f t="shared" si="4"/>
        <v>0.6</v>
      </c>
      <c r="R44" s="177">
        <f t="shared" si="5"/>
        <v>7.0496333394443056E-4</v>
      </c>
      <c r="S44" s="799">
        <f t="shared" si="6"/>
        <v>2</v>
      </c>
      <c r="T44" s="176">
        <f t="shared" si="7"/>
        <v>8</v>
      </c>
      <c r="U44" s="250">
        <f t="shared" si="8"/>
        <v>2.0007049633339444</v>
      </c>
      <c r="V44" s="382">
        <f t="shared" si="9"/>
        <v>33.497850275292087</v>
      </c>
      <c r="W44" s="400">
        <f t="shared" si="10"/>
        <v>4.6269577934808357</v>
      </c>
      <c r="X44" s="157">
        <f t="shared" si="11"/>
        <v>46052</v>
      </c>
      <c r="Y44" s="383">
        <f t="shared" si="12"/>
        <v>4.4980387988870154</v>
      </c>
      <c r="Z44" s="383">
        <f t="shared" si="22"/>
        <v>4.7238639850390589</v>
      </c>
      <c r="AA44" s="384">
        <f t="shared" si="13"/>
        <v>5.0512451317371063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6.4811969753972756E-2</v>
      </c>
      <c r="AD44" s="230">
        <f>(INDEX(Models!$BJ44:$BT44,,AH44)*(1-AF44)+INDEX(Models!$BJ44:$BT44,,AH44+1)*AF44-ERP_i)*AE44*Ramure*Pc/MaxiM</f>
        <v>2.4511107468800616E-4</v>
      </c>
      <c r="AE44" s="304">
        <f t="shared" si="15"/>
        <v>0.6</v>
      </c>
      <c r="AF44" s="177">
        <f t="shared" si="23"/>
        <v>7.0496333394443056E-4</v>
      </c>
      <c r="AG44" s="799">
        <f t="shared" si="24"/>
        <v>2</v>
      </c>
      <c r="AH44" s="176">
        <f t="shared" si="16"/>
        <v>8</v>
      </c>
      <c r="AI44" s="224">
        <f t="shared" si="17"/>
        <v>2.0007049633339444</v>
      </c>
      <c r="AJ44" s="264" t="b">
        <f t="shared" si="18"/>
        <v>1</v>
      </c>
      <c r="AK44" s="264" t="b">
        <f t="shared" si="19"/>
        <v>1</v>
      </c>
      <c r="AL44" s="264"/>
      <c r="AM44" s="264"/>
      <c r="AN44" s="75"/>
    </row>
    <row r="45" spans="1:40" s="6" customFormat="1" ht="11.25" x14ac:dyDescent="0.2">
      <c r="A45" s="56">
        <f t="shared" si="20"/>
        <v>46053</v>
      </c>
      <c r="B45" s="409">
        <f>IF(t&gt;Tmaj,'2025'!Wh/'2025'!Env_an*'2026'!Env_an,0.001*'[3]mon-tableau (2)'!$B$272)</f>
        <v>7.3786756503739417</v>
      </c>
      <c r="C45" s="829"/>
      <c r="D45" s="391">
        <f t="shared" si="0"/>
        <v>7.7492724580591537</v>
      </c>
      <c r="E45" s="383">
        <f t="shared" si="1"/>
        <v>8.0561991270458382</v>
      </c>
      <c r="F45" s="383">
        <f t="shared" si="2"/>
        <v>8.0561991270458382</v>
      </c>
      <c r="G45" s="110">
        <f t="shared" si="21"/>
        <v>0.2180376310231846</v>
      </c>
      <c r="H45" s="412" t="b">
        <f>Wh_hp&gt;='2025'!Maxi_hp</f>
        <v>0</v>
      </c>
      <c r="I45" s="388">
        <f>IF(H45,Wh_hp,'2025'!Maxi_hp)</f>
        <v>23.230245238916424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4.7823432417813061E-2</v>
      </c>
      <c r="M45" s="832"/>
      <c r="N45" s="832"/>
      <c r="O45" s="48">
        <f>IF(t&lt;Tnet,'2025'!Resal+('2025'!Salim-'2025'!Resal)*(1-EXP(('2025'!Tnet-t)/('2025'!Tau_j))),Resal+(Salim-Resal)*(1-EXP((Tnet-t)/(Tau_j))))*Salcycl</f>
        <v>3.8098197940054264E-2</v>
      </c>
      <c r="P45" s="169">
        <f>(INDEX(Models!$BJ45:$BT45,,T45)*(1-R45)+INDEX(Models!$BJ45:$BT45,,T45+1)*R45-ERP_i)*Q45*Ramure*Pc/MaxiM</f>
        <v>2.1960798783066492E-4</v>
      </c>
      <c r="Q45" s="304">
        <f t="shared" si="4"/>
        <v>0.6</v>
      </c>
      <c r="R45" s="177">
        <f t="shared" si="5"/>
        <v>8.0054121537465051E-4</v>
      </c>
      <c r="S45" s="799">
        <f t="shared" si="6"/>
        <v>2</v>
      </c>
      <c r="T45" s="176">
        <f t="shared" si="7"/>
        <v>8</v>
      </c>
      <c r="U45" s="250">
        <f t="shared" si="8"/>
        <v>2.0008005412153747</v>
      </c>
      <c r="V45" s="382">
        <f t="shared" si="9"/>
        <v>33.83386252934055</v>
      </c>
      <c r="W45" s="400">
        <f t="shared" si="10"/>
        <v>7.3786756503739417</v>
      </c>
      <c r="X45" s="157">
        <f t="shared" si="11"/>
        <v>46053</v>
      </c>
      <c r="Y45" s="383">
        <f t="shared" si="12"/>
        <v>7.1733017654680902</v>
      </c>
      <c r="Z45" s="383">
        <f t="shared" si="22"/>
        <v>7.5335835912060798</v>
      </c>
      <c r="AA45" s="384">
        <f t="shared" si="13"/>
        <v>8.0561991270458382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6.4871228677213566E-2</v>
      </c>
      <c r="AD45" s="230">
        <f>(INDEX(Models!$BJ45:$BT45,,AH45)*(1-AF45)+INDEX(Models!$BJ45:$BT45,,AH45+1)*AF45-ERP_i)*AE45*Ramure*Pc/MaxiM</f>
        <v>2.1960798783066492E-4</v>
      </c>
      <c r="AE45" s="304">
        <f t="shared" si="15"/>
        <v>0.6</v>
      </c>
      <c r="AF45" s="177">
        <f t="shared" si="23"/>
        <v>8.0054121537465051E-4</v>
      </c>
      <c r="AG45" s="799">
        <f t="shared" si="24"/>
        <v>2</v>
      </c>
      <c r="AH45" s="176">
        <f t="shared" si="16"/>
        <v>8</v>
      </c>
      <c r="AI45" s="224">
        <f t="shared" si="17"/>
        <v>2.0008005412153747</v>
      </c>
      <c r="AJ45" s="264" t="b">
        <f t="shared" si="18"/>
        <v>1</v>
      </c>
      <c r="AK45" s="264" t="b">
        <f t="shared" si="19"/>
        <v>1</v>
      </c>
      <c r="AL45" s="264"/>
      <c r="AM45" s="264"/>
      <c r="AN45" s="75"/>
    </row>
    <row r="46" spans="1:40" s="6" customFormat="1" ht="11.25" x14ac:dyDescent="0.2">
      <c r="A46" s="56">
        <f t="shared" si="20"/>
        <v>46054</v>
      </c>
      <c r="B46" s="409">
        <f>IF(t&gt;Tmaj,'2025'!Wh/'2025'!Env_an*'2026'!Env_an,0.001*'[4]mon-tableau'!$B$221)</f>
        <v>16.191314699027362</v>
      </c>
      <c r="C46" s="829"/>
      <c r="D46" s="391">
        <f t="shared" si="0"/>
        <v>17.00485556890073</v>
      </c>
      <c r="E46" s="383">
        <f t="shared" si="1"/>
        <v>17.680019301002364</v>
      </c>
      <c r="F46" s="383">
        <f t="shared" si="2"/>
        <v>17.680883331395549</v>
      </c>
      <c r="G46" s="110">
        <f t="shared" si="21"/>
        <v>0.47375683323791828</v>
      </c>
      <c r="H46" s="412" t="b">
        <f>Wh_hp&gt;='2025'!Maxi_hp</f>
        <v>0</v>
      </c>
      <c r="I46" s="388">
        <f>IF(H46,Wh_hp,'2025'!Maxi_hp)</f>
        <v>17.683006794963966</v>
      </c>
      <c r="J46" s="85">
        <f>IF(H46,An,'2025'!An_max)</f>
        <v>2022</v>
      </c>
      <c r="K46" s="197">
        <f t="shared" si="3"/>
        <v>46054</v>
      </c>
      <c r="L46" s="147">
        <f>IF(t&lt;Tvie,1-EXP((T0-t)*PertePVj)+'2025'!Pspv,1-EXP((T0-t)*PertePVj)+Pspv)</f>
        <v>4.7841680664504338E-2</v>
      </c>
      <c r="M46" s="832"/>
      <c r="N46" s="832"/>
      <c r="O46" s="48">
        <f>IF(t&lt;Tnet,'2025'!Resal+('2025'!Salim-'2025'!Resal)*(1-EXP(('2025'!Tnet-t)/('2025'!Tau_j))),Resal+(Salim-Resal)*(1-EXP((Tnet-t)/(Tau_j))))*Salcycl</f>
        <v>3.8187952207911727E-2</v>
      </c>
      <c r="P46" s="169">
        <f>(INDEX(Models!$BJ46:$BT46,,T46)*(1-R46)+INDEX(Models!$BJ46:$BT46,,T46+1)*R46-ERP_i)*Q46*Ramure*Pc/MaxiM</f>
        <v>1.9679137004311077E-4</v>
      </c>
      <c r="Q46" s="304">
        <f t="shared" si="4"/>
        <v>0.6</v>
      </c>
      <c r="R46" s="177">
        <f t="shared" si="5"/>
        <v>9.0008980581490761E-4</v>
      </c>
      <c r="S46" s="799">
        <f t="shared" si="6"/>
        <v>2</v>
      </c>
      <c r="T46" s="176">
        <f t="shared" si="7"/>
        <v>8</v>
      </c>
      <c r="U46" s="250">
        <f t="shared" si="8"/>
        <v>2.0009000898058149</v>
      </c>
      <c r="V46" s="382">
        <f t="shared" si="9"/>
        <v>34.171368882223199</v>
      </c>
      <c r="W46" s="400">
        <f t="shared" si="10"/>
        <v>16.191314699027362</v>
      </c>
      <c r="X46" s="157">
        <f t="shared" si="11"/>
        <v>46054</v>
      </c>
      <c r="Y46" s="383">
        <f t="shared" si="12"/>
        <v>15.741125597736204</v>
      </c>
      <c r="Z46" s="383">
        <f t="shared" si="22"/>
        <v>16.532046486472776</v>
      </c>
      <c r="AA46" s="384">
        <f t="shared" si="13"/>
        <v>17.680019301002364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6.4930518173388102E-2</v>
      </c>
      <c r="AD46" s="230">
        <f>(INDEX(Models!$BJ46:$BT46,,AH46)*(1-AF46)+INDEX(Models!$BJ46:$BT46,,AH46+1)*AF46-ERP_i)*AE46*Ramure*Pc/MaxiM</f>
        <v>1.9679137004311077E-4</v>
      </c>
      <c r="AE46" s="304">
        <f t="shared" si="15"/>
        <v>0.6</v>
      </c>
      <c r="AF46" s="177">
        <f t="shared" si="23"/>
        <v>9.0008980581490761E-4</v>
      </c>
      <c r="AG46" s="799">
        <f t="shared" si="24"/>
        <v>2</v>
      </c>
      <c r="AH46" s="176">
        <f t="shared" si="16"/>
        <v>8</v>
      </c>
      <c r="AI46" s="224">
        <f t="shared" si="17"/>
        <v>2.0009000898058149</v>
      </c>
      <c r="AJ46" s="264" t="b">
        <f t="shared" si="18"/>
        <v>1</v>
      </c>
      <c r="AK46" s="264" t="b">
        <f t="shared" si="19"/>
        <v>1</v>
      </c>
      <c r="AL46" s="264"/>
      <c r="AM46" s="264"/>
      <c r="AN46" s="75"/>
    </row>
    <row r="47" spans="1:40" s="6" customFormat="1" ht="11.25" x14ac:dyDescent="0.2">
      <c r="A47" s="56">
        <f t="shared" si="20"/>
        <v>46055</v>
      </c>
      <c r="B47" s="409">
        <f>IF(t&gt;Tmaj,'2025'!Wh/'2025'!Env_an*'2026'!Env_an,0.001*'[4]mon-tableau'!$B$222)</f>
        <v>5.3158951177191938</v>
      </c>
      <c r="C47" s="829"/>
      <c r="D47" s="391">
        <f t="shared" si="0"/>
        <v>5.5831019796149812</v>
      </c>
      <c r="E47" s="383">
        <f t="shared" si="1"/>
        <v>5.8053158917741525</v>
      </c>
      <c r="F47" s="383">
        <f t="shared" si="2"/>
        <v>5.8053158917741525</v>
      </c>
      <c r="G47" s="110">
        <f t="shared" si="21"/>
        <v>0.15401394010073038</v>
      </c>
      <c r="H47" s="412" t="b">
        <f>Wh_hp&gt;='2025'!Maxi_hp</f>
        <v>0</v>
      </c>
      <c r="I47" s="388">
        <f>IF(H47,Wh_hp,'2025'!Maxi_hp)</f>
        <v>31.802968969314829</v>
      </c>
      <c r="J47" s="85">
        <f>IF(H47,An,'2025'!An_max)</f>
        <v>2021</v>
      </c>
      <c r="K47" s="197">
        <f t="shared" si="3"/>
        <v>46055</v>
      </c>
      <c r="L47" s="147">
        <f>IF(t&lt;Tvie,1-EXP((T0-t)*PertePVj)+'2025'!Pspv,1-EXP((T0-t)*PertePVj)+Pspv)</f>
        <v>4.7859928561472254E-2</v>
      </c>
      <c r="M47" s="832"/>
      <c r="N47" s="832"/>
      <c r="O47" s="48">
        <f>IF(t&lt;Tnet,'2025'!Resal+('2025'!Salim-'2025'!Resal)*(1-EXP(('2025'!Tnet-t)/('2025'!Tau_j))),Resal+(Salim-Resal)*(1-EXP((Tnet-t)/(Tau_j))))*Salcycl</f>
        <v>3.8277660734024381E-2</v>
      </c>
      <c r="P47" s="169">
        <f>(INDEX(Models!$BJ47:$BT47,,T47)*(1-R47)+INDEX(Models!$BJ47:$BT47,,T47+1)*R47-ERP_i)*Q47*Ramure*Pc/MaxiM</f>
        <v>1.7658836004959952E-4</v>
      </c>
      <c r="Q47" s="304">
        <f t="shared" si="4"/>
        <v>0.6</v>
      </c>
      <c r="R47" s="177">
        <f t="shared" si="5"/>
        <v>1.0037723710598634E-3</v>
      </c>
      <c r="S47" s="799">
        <f t="shared" si="6"/>
        <v>2</v>
      </c>
      <c r="T47" s="176">
        <f t="shared" si="7"/>
        <v>8</v>
      </c>
      <c r="U47" s="250">
        <f t="shared" si="8"/>
        <v>2.0010037723710599</v>
      </c>
      <c r="V47" s="382">
        <f t="shared" si="9"/>
        <v>34.509580035690256</v>
      </c>
      <c r="W47" s="400">
        <f t="shared" si="10"/>
        <v>5.3158951177191938</v>
      </c>
      <c r="X47" s="157">
        <f t="shared" si="11"/>
        <v>46055</v>
      </c>
      <c r="Y47" s="383">
        <f t="shared" si="12"/>
        <v>5.1682442683017946</v>
      </c>
      <c r="Z47" s="383">
        <f t="shared" si="22"/>
        <v>5.4280293659875314</v>
      </c>
      <c r="AA47" s="384">
        <f t="shared" si="13"/>
        <v>5.8053158917741525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6.4989835664449769E-2</v>
      </c>
      <c r="AD47" s="230">
        <f>(INDEX(Models!$BJ47:$BT47,,AH47)*(1-AF47)+INDEX(Models!$BJ47:$BT47,,AH47+1)*AF47-ERP_i)*AE47*Ramure*Pc/MaxiM</f>
        <v>1.7658836004959952E-4</v>
      </c>
      <c r="AE47" s="304">
        <f t="shared" si="15"/>
        <v>0.6</v>
      </c>
      <c r="AF47" s="177">
        <f t="shared" si="23"/>
        <v>1.0037723710598634E-3</v>
      </c>
      <c r="AG47" s="799">
        <f t="shared" si="24"/>
        <v>2</v>
      </c>
      <c r="AH47" s="176">
        <f t="shared" si="16"/>
        <v>8</v>
      </c>
      <c r="AI47" s="224">
        <f t="shared" si="17"/>
        <v>2.0010037723710599</v>
      </c>
      <c r="AJ47" s="264" t="b">
        <f t="shared" si="18"/>
        <v>1</v>
      </c>
      <c r="AK47" s="264" t="b">
        <f t="shared" si="19"/>
        <v>1</v>
      </c>
      <c r="AL47" s="264"/>
      <c r="AM47" s="264"/>
      <c r="AN47" s="75"/>
    </row>
    <row r="48" spans="1:40" s="6" customFormat="1" ht="11.25" x14ac:dyDescent="0.2">
      <c r="A48" s="56">
        <f t="shared" si="20"/>
        <v>46056</v>
      </c>
      <c r="B48" s="409">
        <f>IF(t&gt;Tmaj,'2025'!Wh/'2025'!Env_an*'2026'!Env_an,0.001*'[4]mon-tableau'!$B$223)</f>
        <v>10.689750048338171</v>
      </c>
      <c r="C48" s="829"/>
      <c r="D48" s="391">
        <f t="shared" si="0"/>
        <v>11.227292327624284</v>
      </c>
      <c r="E48" s="383">
        <f t="shared" si="1"/>
        <v>11.675240019705232</v>
      </c>
      <c r="F48" s="383">
        <f t="shared" si="2"/>
        <v>11.675257928561249</v>
      </c>
      <c r="G48" s="110">
        <f t="shared" si="21"/>
        <v>0.30670791445919876</v>
      </c>
      <c r="H48" s="412" t="b">
        <f>Wh_hp&gt;='2025'!Maxi_hp</f>
        <v>0</v>
      </c>
      <c r="I48" s="388">
        <f>IF(H48,Wh_hp,'2025'!Maxi_hp)</f>
        <v>29.439960485046544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4.7878176108723247E-2</v>
      </c>
      <c r="M48" s="832"/>
      <c r="N48" s="832"/>
      <c r="O48" s="48">
        <f>IF(t&lt;Tnet,'2025'!Resal+('2025'!Salim-'2025'!Resal)*(1-EXP(('2025'!Tnet-t)/('2025'!Tau_j))),Resal+(Salim-Resal)*(1-EXP((Tnet-t)/(Tau_j))))*Salcycl</f>
        <v>3.8367321898728442E-2</v>
      </c>
      <c r="P48" s="169">
        <f>(INDEX(Models!$BJ48:$BT48,,T48)*(1-R48)+INDEX(Models!$BJ48:$BT48,,T48+1)*R48-ERP_i)*Q48*Ramure*Pc/MaxiM</f>
        <v>1.5892681325275652E-4</v>
      </c>
      <c r="Q48" s="304">
        <f t="shared" si="4"/>
        <v>0.6</v>
      </c>
      <c r="R48" s="177">
        <f t="shared" si="5"/>
        <v>1.1117587456928035E-3</v>
      </c>
      <c r="S48" s="799">
        <f t="shared" si="6"/>
        <v>2</v>
      </c>
      <c r="T48" s="176">
        <f t="shared" si="7"/>
        <v>8</v>
      </c>
      <c r="U48" s="250">
        <f t="shared" si="8"/>
        <v>2.0011117587456928</v>
      </c>
      <c r="V48" s="382">
        <f t="shared" si="9"/>
        <v>34.847707056610737</v>
      </c>
      <c r="W48" s="400">
        <f t="shared" si="10"/>
        <v>10.689750048338171</v>
      </c>
      <c r="X48" s="157">
        <f t="shared" si="11"/>
        <v>46056</v>
      </c>
      <c r="Y48" s="383">
        <f t="shared" si="12"/>
        <v>10.393147844880467</v>
      </c>
      <c r="Z48" s="383">
        <f t="shared" si="22"/>
        <v>10.915775254897703</v>
      </c>
      <c r="AA48" s="384">
        <f t="shared" si="13"/>
        <v>11.675240019705232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6.5049177877775574E-2</v>
      </c>
      <c r="AD48" s="230">
        <f>(INDEX(Models!$BJ48:$BT48,,AH48)*(1-AF48)+INDEX(Models!$BJ48:$BT48,,AH48+1)*AF48-ERP_i)*AE48*Ramure*Pc/MaxiM</f>
        <v>1.5892681325275652E-4</v>
      </c>
      <c r="AE48" s="304">
        <f t="shared" si="15"/>
        <v>0.6</v>
      </c>
      <c r="AF48" s="177">
        <f t="shared" si="23"/>
        <v>1.1117587456928035E-3</v>
      </c>
      <c r="AG48" s="799">
        <f t="shared" si="24"/>
        <v>2</v>
      </c>
      <c r="AH48" s="176">
        <f t="shared" si="16"/>
        <v>8</v>
      </c>
      <c r="AI48" s="224">
        <f t="shared" si="17"/>
        <v>2.0011117587456928</v>
      </c>
      <c r="AJ48" s="264" t="b">
        <f t="shared" si="18"/>
        <v>1</v>
      </c>
      <c r="AK48" s="264" t="b">
        <f t="shared" si="19"/>
        <v>1</v>
      </c>
      <c r="AL48" s="264"/>
      <c r="AM48" s="264"/>
      <c r="AN48" s="75"/>
    </row>
    <row r="49" spans="1:40" s="6" customFormat="1" ht="11.25" x14ac:dyDescent="0.2">
      <c r="A49" s="56">
        <f t="shared" si="20"/>
        <v>46057</v>
      </c>
      <c r="B49" s="409">
        <f>IF(t&gt;Tmaj,'2025'!Wh/'2025'!Env_an*'2026'!Env_an,0.001*'[4]mon-tableau'!$B$224)</f>
        <v>11.040068313637843</v>
      </c>
      <c r="C49" s="829"/>
      <c r="D49" s="391">
        <f t="shared" si="0"/>
        <v>11.595448839689755</v>
      </c>
      <c r="E49" s="383">
        <f t="shared" si="1"/>
        <v>12.059209041983971</v>
      </c>
      <c r="F49" s="383">
        <f t="shared" si="2"/>
        <v>12.059243145214456</v>
      </c>
      <c r="G49" s="110">
        <f t="shared" si="21"/>
        <v>0.31372814534879279</v>
      </c>
      <c r="H49" s="412" t="b">
        <f>Wh_hp&gt;='2025'!Maxi_hp</f>
        <v>0</v>
      </c>
      <c r="I49" s="388">
        <f>IF(H49,Wh_hp,'2025'!Maxi_hp)</f>
        <v>20.989724213200883</v>
      </c>
      <c r="J49" s="85">
        <f>IF(H49,An,'2025'!An_max)</f>
        <v>2020</v>
      </c>
      <c r="K49" s="197">
        <f t="shared" si="3"/>
        <v>46057</v>
      </c>
      <c r="L49" s="147">
        <f>IF(t&lt;Tvie,1-EXP((T0-t)*PertePVj)+'2025'!Pspv,1-EXP((T0-t)*PertePVj)+Pspv)</f>
        <v>4.7896423306264313E-2</v>
      </c>
      <c r="M49" s="832"/>
      <c r="N49" s="832"/>
      <c r="O49" s="48">
        <f>IF(t&lt;Tnet,'2025'!Resal+('2025'!Salim-'2025'!Resal)*(1-EXP(('2025'!Tnet-t)/('2025'!Tau_j))),Resal+(Salim-Resal)*(1-EXP((Tnet-t)/(Tau_j))))*Salcycl</f>
        <v>3.8456933674475752E-2</v>
      </c>
      <c r="P49" s="169">
        <f>(INDEX(Models!$BJ49:$BT49,,T49)*(1-R49)+INDEX(Models!$BJ49:$BT49,,T49+1)*R49-ERP_i)*Q49*Ramure*Pc/MaxiM</f>
        <v>1.4373587929439007E-4</v>
      </c>
      <c r="Q49" s="304">
        <f t="shared" si="4"/>
        <v>0.6</v>
      </c>
      <c r="R49" s="177">
        <f t="shared" si="5"/>
        <v>1.2242255850587469E-3</v>
      </c>
      <c r="S49" s="799">
        <f t="shared" si="6"/>
        <v>2</v>
      </c>
      <c r="T49" s="176">
        <f t="shared" si="7"/>
        <v>8</v>
      </c>
      <c r="U49" s="250">
        <f t="shared" si="8"/>
        <v>2.0012242255850587</v>
      </c>
      <c r="V49" s="382">
        <f t="shared" si="9"/>
        <v>35.184961374982585</v>
      </c>
      <c r="W49" s="400">
        <f t="shared" si="10"/>
        <v>11.040068313637843</v>
      </c>
      <c r="X49" s="157">
        <f t="shared" si="11"/>
        <v>46057</v>
      </c>
      <c r="Y49" s="383">
        <f t="shared" si="12"/>
        <v>10.734064792391134</v>
      </c>
      <c r="Z49" s="383">
        <f t="shared" si="22"/>
        <v>11.274051537193179</v>
      </c>
      <c r="AA49" s="384">
        <f t="shared" si="13"/>
        <v>12.059209041983971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6.5108540871733553E-2</v>
      </c>
      <c r="AD49" s="230">
        <f>(INDEX(Models!$BJ49:$BT49,,AH49)*(1-AF49)+INDEX(Models!$BJ49:$BT49,,AH49+1)*AF49-ERP_i)*AE49*Ramure*Pc/MaxiM</f>
        <v>1.4373587929439007E-4</v>
      </c>
      <c r="AE49" s="304">
        <f t="shared" si="15"/>
        <v>0.6</v>
      </c>
      <c r="AF49" s="177">
        <f t="shared" si="23"/>
        <v>1.2242255850587469E-3</v>
      </c>
      <c r="AG49" s="799">
        <f t="shared" si="24"/>
        <v>2</v>
      </c>
      <c r="AH49" s="176">
        <f t="shared" si="16"/>
        <v>8</v>
      </c>
      <c r="AI49" s="224">
        <f t="shared" si="17"/>
        <v>2.0012242255850587</v>
      </c>
      <c r="AJ49" s="264" t="b">
        <f t="shared" si="18"/>
        <v>1</v>
      </c>
      <c r="AK49" s="264" t="b">
        <f t="shared" si="19"/>
        <v>1</v>
      </c>
      <c r="AL49" s="264"/>
      <c r="AM49" s="264"/>
      <c r="AN49" s="75"/>
    </row>
    <row r="50" spans="1:40" s="6" customFormat="1" ht="11.25" x14ac:dyDescent="0.2">
      <c r="A50" s="56">
        <f t="shared" si="20"/>
        <v>46058</v>
      </c>
      <c r="B50" s="409">
        <f>IF(t&gt;Tmaj,'2025'!Wh/'2025'!Env_an*'2026'!Env_an,0.001*'[4]mon-tableau'!$B$225)</f>
        <v>9.1089545173503019</v>
      </c>
      <c r="C50" s="829"/>
      <c r="D50" s="391">
        <f t="shared" si="0"/>
        <v>9.5673719905175432</v>
      </c>
      <c r="E50" s="383">
        <f t="shared" si="1"/>
        <v>9.9509460699637522</v>
      </c>
      <c r="F50" s="383">
        <f t="shared" si="2"/>
        <v>9.9509460699637522</v>
      </c>
      <c r="G50" s="110">
        <f t="shared" si="21"/>
        <v>0.25640820608292031</v>
      </c>
      <c r="H50" s="412" t="b">
        <f>Wh_hp&gt;='2025'!Maxi_hp</f>
        <v>0</v>
      </c>
      <c r="I50" s="388">
        <f>IF(H50,Wh_hp,'2025'!Maxi_hp)</f>
        <v>38.888374306898015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4.791467015410189E-2</v>
      </c>
      <c r="M50" s="832"/>
      <c r="N50" s="832"/>
      <c r="O50" s="48">
        <f>IF(t&lt;Tnet,'2025'!Resal+('2025'!Salim-'2025'!Resal)*(1-EXP(('2025'!Tnet-t)/('2025'!Tau_j))),Resal+(Salim-Resal)*(1-EXP((Tnet-t)/(Tau_j))))*Salcycl</f>
        <v>3.8546493644860673E-2</v>
      </c>
      <c r="P50" s="169">
        <f>(INDEX(Models!$BJ50:$BT50,,T50)*(1-R50)+INDEX(Models!$BJ50:$BT50,,T50+1)*R50-ERP_i)*Q50*Ramure*Pc/MaxiM</f>
        <v>1.3094650789045016E-4</v>
      </c>
      <c r="Q50" s="304">
        <f t="shared" si="4"/>
        <v>0.6</v>
      </c>
      <c r="R50" s="177">
        <f t="shared" si="5"/>
        <v>1.3413566258395626E-3</v>
      </c>
      <c r="S50" s="799">
        <f t="shared" si="6"/>
        <v>2</v>
      </c>
      <c r="T50" s="176">
        <f t="shared" si="7"/>
        <v>8</v>
      </c>
      <c r="U50" s="250">
        <f t="shared" si="8"/>
        <v>2.0013413566258396</v>
      </c>
      <c r="V50" s="382">
        <f t="shared" si="9"/>
        <v>35.52055478528775</v>
      </c>
      <c r="W50" s="400">
        <f t="shared" si="10"/>
        <v>9.1089545173503019</v>
      </c>
      <c r="X50" s="157">
        <f t="shared" si="11"/>
        <v>46058</v>
      </c>
      <c r="Y50" s="383">
        <f t="shared" si="12"/>
        <v>8.8567391362499439</v>
      </c>
      <c r="Z50" s="383">
        <f t="shared" si="22"/>
        <v>9.3024636118313797</v>
      </c>
      <c r="AA50" s="384">
        <f t="shared" si="13"/>
        <v>9.9509460699637522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6.5167920072421323E-2</v>
      </c>
      <c r="AD50" s="230">
        <f>(INDEX(Models!$BJ50:$BT50,,AH50)*(1-AF50)+INDEX(Models!$BJ50:$BT50,,AH50+1)*AF50-ERP_i)*AE50*Ramure*Pc/MaxiM</f>
        <v>1.3094650789045016E-4</v>
      </c>
      <c r="AE50" s="304">
        <f t="shared" si="15"/>
        <v>0.6</v>
      </c>
      <c r="AF50" s="177">
        <f t="shared" si="23"/>
        <v>1.3413566258395626E-3</v>
      </c>
      <c r="AG50" s="799">
        <f t="shared" si="24"/>
        <v>2</v>
      </c>
      <c r="AH50" s="176">
        <f t="shared" si="16"/>
        <v>8</v>
      </c>
      <c r="AI50" s="224">
        <f t="shared" si="17"/>
        <v>2.0013413566258396</v>
      </c>
      <c r="AJ50" s="264" t="b">
        <f t="shared" si="18"/>
        <v>1</v>
      </c>
      <c r="AK50" s="264" t="b">
        <f t="shared" si="19"/>
        <v>1</v>
      </c>
      <c r="AL50" s="264"/>
      <c r="AM50" s="264"/>
      <c r="AN50" s="75"/>
    </row>
    <row r="51" spans="1:40" s="6" customFormat="1" ht="11.25" x14ac:dyDescent="0.2">
      <c r="A51" s="56">
        <f t="shared" si="20"/>
        <v>46059</v>
      </c>
      <c r="B51" s="409">
        <f>IF(t&gt;Tmaj,'2025'!Wh/'2025'!Env_an*'2026'!Env_an,0.001*'[4]mon-tableau'!$B$226)</f>
        <v>24.919248139123784</v>
      </c>
      <c r="C51" s="829"/>
      <c r="D51" s="391">
        <f t="shared" si="0"/>
        <v>26.173836460662137</v>
      </c>
      <c r="E51" s="383">
        <f t="shared" si="1"/>
        <v>27.225729728028739</v>
      </c>
      <c r="F51" s="383">
        <f t="shared" si="2"/>
        <v>27.227580639450032</v>
      </c>
      <c r="G51" s="110">
        <f t="shared" si="21"/>
        <v>0.69492631876294186</v>
      </c>
      <c r="H51" s="412" t="b">
        <f>Wh_hp&gt;='2025'!Maxi_hp</f>
        <v>0</v>
      </c>
      <c r="I51" s="388">
        <f>IF(H51,Wh_hp,'2025'!Maxi_hp)</f>
        <v>41.004542581463518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4.7932916652242863E-2</v>
      </c>
      <c r="M51" s="832"/>
      <c r="N51" s="832"/>
      <c r="O51" s="48">
        <f>IF(t&lt;Tnet,'2025'!Resal+('2025'!Salim-'2025'!Resal)*(1-EXP(('2025'!Tnet-t)/('2025'!Tau_j))),Resal+(Salim-Resal)*(1-EXP((Tnet-t)/(Tau_j))))*Salcycl</f>
        <v>3.8635999030126385E-2</v>
      </c>
      <c r="P51" s="169">
        <f>(INDEX(Models!$BJ51:$BT51,,T51)*(1-R51)+INDEX(Models!$BJ51:$BT51,,T51+1)*R51-ERP_i)*Q51*Ramure*Pc/MaxiM</f>
        <v>1.2048096033261458E-4</v>
      </c>
      <c r="Q51" s="304">
        <f t="shared" si="4"/>
        <v>0.6</v>
      </c>
      <c r="R51" s="177">
        <f t="shared" si="5"/>
        <v>1.4633429554340438E-3</v>
      </c>
      <c r="S51" s="799">
        <f t="shared" si="6"/>
        <v>2</v>
      </c>
      <c r="T51" s="176">
        <f t="shared" si="7"/>
        <v>8</v>
      </c>
      <c r="U51" s="250">
        <f t="shared" si="8"/>
        <v>2.001463342955434</v>
      </c>
      <c r="V51" s="382">
        <f t="shared" si="9"/>
        <v>35.856952133030248</v>
      </c>
      <c r="W51" s="400">
        <f t="shared" si="10"/>
        <v>24.919248139123784</v>
      </c>
      <c r="X51" s="157">
        <f t="shared" si="11"/>
        <v>46059</v>
      </c>
      <c r="Y51" s="383">
        <f t="shared" si="12"/>
        <v>24.229982175624748</v>
      </c>
      <c r="Z51" s="383">
        <f t="shared" si="22"/>
        <v>25.449868606343127</v>
      </c>
      <c r="AA51" s="384">
        <f t="shared" si="13"/>
        <v>27.225729728028739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6.5227310320992771E-2</v>
      </c>
      <c r="AD51" s="230">
        <f>(INDEX(Models!$BJ51:$BT51,,AH51)*(1-AF51)+INDEX(Models!$BJ51:$BT51,,AH51+1)*AF51-ERP_i)*AE51*Ramure*Pc/MaxiM</f>
        <v>1.2048096033261458E-4</v>
      </c>
      <c r="AE51" s="304">
        <f t="shared" si="15"/>
        <v>0.6</v>
      </c>
      <c r="AF51" s="177">
        <f t="shared" si="23"/>
        <v>1.4633429554340438E-3</v>
      </c>
      <c r="AG51" s="799">
        <f t="shared" si="24"/>
        <v>2</v>
      </c>
      <c r="AH51" s="176">
        <f t="shared" si="16"/>
        <v>8</v>
      </c>
      <c r="AI51" s="224">
        <f t="shared" si="17"/>
        <v>2.001463342955434</v>
      </c>
      <c r="AJ51" s="264" t="b">
        <f t="shared" si="18"/>
        <v>1</v>
      </c>
      <c r="AK51" s="264" t="b">
        <f t="shared" si="19"/>
        <v>1</v>
      </c>
      <c r="AL51" s="264"/>
      <c r="AM51" s="264"/>
      <c r="AN51" s="75"/>
    </row>
    <row r="52" spans="1:40" s="6" customFormat="1" ht="11.25" x14ac:dyDescent="0.2">
      <c r="A52" s="56">
        <f t="shared" si="20"/>
        <v>46060</v>
      </c>
      <c r="B52" s="409">
        <f>IF(t&gt;Tmaj,'2025'!Wh/'2025'!Env_an*'2026'!Env_an,0.001*'[4]mon-tableau'!$B$227)</f>
        <v>8.9396104199706929</v>
      </c>
      <c r="C52" s="829"/>
      <c r="D52" s="391">
        <f t="shared" si="0"/>
        <v>9.3898653836591315</v>
      </c>
      <c r="E52" s="383">
        <f t="shared" si="1"/>
        <v>9.7681410077984072</v>
      </c>
      <c r="F52" s="383">
        <f t="shared" si="2"/>
        <v>9.7681410077984072</v>
      </c>
      <c r="G52" s="110">
        <f t="shared" si="21"/>
        <v>0.24694501988910347</v>
      </c>
      <c r="H52" s="412" t="b">
        <f>Wh_hp&gt;='2025'!Maxi_hp</f>
        <v>0</v>
      </c>
      <c r="I52" s="388">
        <f>IF(H52,Wh_hp,'2025'!Maxi_hp)</f>
        <v>27.6544109096825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4.7951162800693781E-2</v>
      </c>
      <c r="M52" s="832"/>
      <c r="N52" s="832"/>
      <c r="O52" s="48">
        <f>IF(t&lt;Tnet,'2025'!Resal+('2025'!Salim-'2025'!Resal)*(1-EXP(('2025'!Tnet-t)/('2025'!Tau_j))),Resal+(Salim-Resal)*(1-EXP((Tnet-t)/(Tau_j))))*Salcycl</f>
        <v>3.8725446718805547E-2</v>
      </c>
      <c r="P52" s="169">
        <f>(INDEX(Models!$BJ52:$BT52,,T52)*(1-R52)+INDEX(Models!$BJ52:$BT52,,T52+1)*R52-ERP_i)*Q52*Ramure*Pc/MaxiM</f>
        <v>1.1239304950650273E-4</v>
      </c>
      <c r="Q52" s="304">
        <f t="shared" si="4"/>
        <v>0.6</v>
      </c>
      <c r="R52" s="177">
        <f t="shared" si="5"/>
        <v>1.5903832903352288E-3</v>
      </c>
      <c r="S52" s="799">
        <f t="shared" si="6"/>
        <v>2</v>
      </c>
      <c r="T52" s="176">
        <f t="shared" si="7"/>
        <v>8</v>
      </c>
      <c r="U52" s="250">
        <f t="shared" si="8"/>
        <v>2.0015903832903352</v>
      </c>
      <c r="V52" s="382">
        <f t="shared" si="9"/>
        <v>36.196744011716802</v>
      </c>
      <c r="W52" s="400">
        <f t="shared" si="10"/>
        <v>8.9396104199706929</v>
      </c>
      <c r="X52" s="157">
        <f t="shared" si="11"/>
        <v>46060</v>
      </c>
      <c r="Y52" s="383">
        <f t="shared" si="12"/>
        <v>8.6925974216452868</v>
      </c>
      <c r="Z52" s="383">
        <f t="shared" si="22"/>
        <v>9.1304112583307937</v>
      </c>
      <c r="AA52" s="384">
        <f t="shared" si="13"/>
        <v>9.7681410077984072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6.5286705930891253E-2</v>
      </c>
      <c r="AD52" s="230">
        <f>(INDEX(Models!$BJ52:$BT52,,AH52)*(1-AF52)+INDEX(Models!$BJ52:$BT52,,AH52+1)*AF52-ERP_i)*AE52*Ramure*Pc/MaxiM</f>
        <v>1.1239304950650273E-4</v>
      </c>
      <c r="AE52" s="304">
        <f t="shared" si="15"/>
        <v>0.6</v>
      </c>
      <c r="AF52" s="177">
        <f t="shared" si="23"/>
        <v>1.5903832903352288E-3</v>
      </c>
      <c r="AG52" s="799">
        <f t="shared" si="24"/>
        <v>2</v>
      </c>
      <c r="AH52" s="176">
        <f t="shared" si="16"/>
        <v>8</v>
      </c>
      <c r="AI52" s="224">
        <f t="shared" si="17"/>
        <v>2.0015903832903352</v>
      </c>
      <c r="AJ52" s="264" t="b">
        <f t="shared" si="18"/>
        <v>1</v>
      </c>
      <c r="AK52" s="264" t="b">
        <f t="shared" si="19"/>
        <v>1</v>
      </c>
      <c r="AL52" s="264"/>
      <c r="AM52" s="264"/>
      <c r="AN52" s="75"/>
    </row>
    <row r="53" spans="1:40" s="6" customFormat="1" ht="11.25" x14ac:dyDescent="0.2">
      <c r="A53" s="56">
        <f t="shared" si="20"/>
        <v>46061</v>
      </c>
      <c r="B53" s="409">
        <f>IF(t&gt;Tmaj,'2025'!Wh/'2025'!Env_an*'2026'!Env_an,0.001*'[4]mon-tableau'!$B$228)</f>
        <v>36.1281386643251</v>
      </c>
      <c r="C53" s="829"/>
      <c r="D53" s="391">
        <f t="shared" si="0"/>
        <v>37.948506057118138</v>
      </c>
      <c r="E53" s="383">
        <f t="shared" si="1"/>
        <v>39.480952653073388</v>
      </c>
      <c r="F53" s="383">
        <f t="shared" si="2"/>
        <v>39.485042022620995</v>
      </c>
      <c r="G53" s="110">
        <f t="shared" si="21"/>
        <v>0.988743370225181</v>
      </c>
      <c r="H53" s="412" t="b">
        <f>Wh_hp&gt;='2025'!Maxi_hp</f>
        <v>0</v>
      </c>
      <c r="I53" s="388">
        <f>IF(H53,Wh_hp,'2025'!Maxi_hp)</f>
        <v>39.485093112915379</v>
      </c>
      <c r="J53" s="85">
        <f>IF(H53,An,'2025'!An_max)</f>
        <v>2022</v>
      </c>
      <c r="K53" s="197">
        <f t="shared" si="3"/>
        <v>46061</v>
      </c>
      <c r="L53" s="147">
        <f>IF(t&lt;Tvie,1-EXP((T0-t)*PertePVj)+'2025'!Pspv,1-EXP((T0-t)*PertePVj)+Pspv)</f>
        <v>4.7969408599461416E-2</v>
      </c>
      <c r="M53" s="832"/>
      <c r="N53" s="832"/>
      <c r="O53" s="48">
        <f>IF(t&lt;Tnet,'2025'!Resal+('2025'!Salim-'2025'!Resal)*(1-EXP(('2025'!Tnet-t)/('2025'!Tau_j))),Resal+(Salim-Resal)*(1-EXP((Tnet-t)/(Tau_j))))*Salcycl</f>
        <v>3.8814833305091404E-2</v>
      </c>
      <c r="P53" s="169">
        <f>(INDEX(Models!$BJ53:$BT53,,T53)*(1-R53)+INDEX(Models!$BJ53:$BT53,,T53+1)*R53-ERP_i)*Q53*Ramure*Pc/MaxiM</f>
        <v>1.0525998586876837E-4</v>
      </c>
      <c r="Q53" s="304">
        <f t="shared" si="4"/>
        <v>0.6</v>
      </c>
      <c r="R53" s="177">
        <f t="shared" si="5"/>
        <v>1.7226842637017015E-3</v>
      </c>
      <c r="S53" s="799">
        <f t="shared" si="6"/>
        <v>2</v>
      </c>
      <c r="T53" s="176">
        <f t="shared" si="7"/>
        <v>8</v>
      </c>
      <c r="U53" s="250">
        <f t="shared" si="8"/>
        <v>2.0017226842637017</v>
      </c>
      <c r="V53" s="382">
        <f t="shared" si="9"/>
        <v>36.539387875388471</v>
      </c>
      <c r="W53" s="400">
        <f t="shared" si="10"/>
        <v>36.1281386643251</v>
      </c>
      <c r="X53" s="157">
        <f t="shared" si="11"/>
        <v>46061</v>
      </c>
      <c r="Y53" s="383">
        <f t="shared" si="12"/>
        <v>35.130905932739957</v>
      </c>
      <c r="Z53" s="383">
        <f t="shared" si="22"/>
        <v>36.901026343133204</v>
      </c>
      <c r="AA53" s="384">
        <f t="shared" si="13"/>
        <v>39.480952653073388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6.5346100754216541E-2</v>
      </c>
      <c r="AD53" s="230">
        <f>(INDEX(Models!$BJ53:$BT53,,AH53)*(1-AF53)+INDEX(Models!$BJ53:$BT53,,AH53+1)*AF53-ERP_i)*AE53*Ramure*Pc/MaxiM</f>
        <v>1.0525998586876837E-4</v>
      </c>
      <c r="AE53" s="304">
        <f t="shared" si="15"/>
        <v>0.6</v>
      </c>
      <c r="AF53" s="177">
        <f t="shared" si="23"/>
        <v>1.7226842637017015E-3</v>
      </c>
      <c r="AG53" s="799">
        <f t="shared" si="24"/>
        <v>2</v>
      </c>
      <c r="AH53" s="176">
        <f t="shared" si="16"/>
        <v>8</v>
      </c>
      <c r="AI53" s="224">
        <f t="shared" si="17"/>
        <v>2.0017226842637017</v>
      </c>
      <c r="AJ53" s="264" t="b">
        <f t="shared" si="18"/>
        <v>1</v>
      </c>
      <c r="AK53" s="264" t="b">
        <f t="shared" si="19"/>
        <v>1</v>
      </c>
      <c r="AL53" s="264"/>
      <c r="AM53" s="264"/>
      <c r="AN53" s="75"/>
    </row>
    <row r="54" spans="1:40" s="6" customFormat="1" ht="11.25" x14ac:dyDescent="0.2">
      <c r="A54" s="56">
        <f t="shared" si="20"/>
        <v>46062</v>
      </c>
      <c r="B54" s="409">
        <f>IF(t&gt;Tmaj,'2025'!Wh/'2025'!Env_an*'2026'!Env_an,0.001*'[4]mon-tableau'!$B$229)</f>
        <v>36.864641067529277</v>
      </c>
      <c r="C54" s="829"/>
      <c r="D54" s="391">
        <f t="shared" si="0"/>
        <v>38.722860290941405</v>
      </c>
      <c r="E54" s="383">
        <f t="shared" si="1"/>
        <v>40.290321197090257</v>
      </c>
      <c r="F54" s="383">
        <f t="shared" si="2"/>
        <v>40.294309648404948</v>
      </c>
      <c r="G54" s="110">
        <f t="shared" si="21"/>
        <v>0.99946715923611207</v>
      </c>
      <c r="H54" s="412" t="b">
        <f>Wh_hp&gt;='2025'!Maxi_hp</f>
        <v>0</v>
      </c>
      <c r="I54" s="388">
        <f>IF(H54,Wh_hp,'2025'!Maxi_hp)</f>
        <v>40.294311941413838</v>
      </c>
      <c r="J54" s="85">
        <f>IF(H54,An,'2025'!An_max)</f>
        <v>2022</v>
      </c>
      <c r="K54" s="197">
        <f t="shared" si="3"/>
        <v>46062</v>
      </c>
      <c r="L54" s="147">
        <f>IF(t&lt;Tvie,1-EXP((T0-t)*PertePVj)+'2025'!Pspv,1-EXP((T0-t)*PertePVj)+Pspv)</f>
        <v>4.7987654048552542E-2</v>
      </c>
      <c r="M54" s="832"/>
      <c r="N54" s="832"/>
      <c r="O54" s="48">
        <f>IF(t&lt;Tnet,'2025'!Resal+('2025'!Salim-'2025'!Resal)*(1-EXP(('2025'!Tnet-t)/('2025'!Tau_j))),Resal+(Salim-Resal)*(1-EXP((Tnet-t)/(Tau_j))))*Salcycl</f>
        <v>3.8904155131482321E-2</v>
      </c>
      <c r="P54" s="169">
        <f>(INDEX(Models!$BJ54:$BT54,,T54)*(1-R54)+INDEX(Models!$BJ54:$BT54,,T54+1)*R54-ERP_i)*Q54*Ramure*Pc/MaxiM</f>
        <v>9.9058384316616318E-5</v>
      </c>
      <c r="Q54" s="304">
        <f t="shared" si="4"/>
        <v>0.6</v>
      </c>
      <c r="R54" s="177">
        <f t="shared" si="5"/>
        <v>1.8604607222929559E-3</v>
      </c>
      <c r="S54" s="799">
        <f t="shared" si="6"/>
        <v>2</v>
      </c>
      <c r="T54" s="176">
        <f t="shared" si="7"/>
        <v>8</v>
      </c>
      <c r="U54" s="250">
        <f t="shared" si="8"/>
        <v>2.001860460722293</v>
      </c>
      <c r="V54" s="382">
        <f t="shared" si="9"/>
        <v>36.884291742117171</v>
      </c>
      <c r="W54" s="400">
        <f t="shared" si="10"/>
        <v>36.864641067529277</v>
      </c>
      <c r="X54" s="157">
        <f t="shared" si="11"/>
        <v>46062</v>
      </c>
      <c r="Y54" s="383">
        <f t="shared" si="12"/>
        <v>35.848132528161059</v>
      </c>
      <c r="Z54" s="383">
        <f t="shared" si="22"/>
        <v>37.655113067188431</v>
      </c>
      <c r="AA54" s="384">
        <f t="shared" si="13"/>
        <v>40.290321197090257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6.5405488256374003E-2</v>
      </c>
      <c r="AD54" s="230">
        <f>(INDEX(Models!$BJ54:$BT54,,AH54)*(1-AF54)+INDEX(Models!$BJ54:$BT54,,AH54+1)*AF54-ERP_i)*AE54*Ramure*Pc/MaxiM</f>
        <v>9.9058384316616318E-5</v>
      </c>
      <c r="AE54" s="304">
        <f t="shared" si="15"/>
        <v>0.6</v>
      </c>
      <c r="AF54" s="177">
        <f t="shared" si="23"/>
        <v>1.8604607222929559E-3</v>
      </c>
      <c r="AG54" s="799">
        <f t="shared" si="24"/>
        <v>2</v>
      </c>
      <c r="AH54" s="176">
        <f t="shared" si="16"/>
        <v>8</v>
      </c>
      <c r="AI54" s="224">
        <f t="shared" si="17"/>
        <v>2.001860460722293</v>
      </c>
      <c r="AJ54" s="264" t="b">
        <f t="shared" si="18"/>
        <v>1</v>
      </c>
      <c r="AK54" s="264" t="b">
        <f t="shared" si="19"/>
        <v>1</v>
      </c>
      <c r="AL54" s="264"/>
      <c r="AM54" s="264"/>
      <c r="AN54" s="75"/>
    </row>
    <row r="55" spans="1:40" s="6" customFormat="1" ht="11.25" x14ac:dyDescent="0.2">
      <c r="A55" s="56">
        <f t="shared" si="20"/>
        <v>46063</v>
      </c>
      <c r="B55" s="409">
        <f>IF(t&gt;Tmaj,'2025'!Wh/'2025'!Env_an*'2026'!Env_an,0.001*'[4]mon-tableau'!$B$230)</f>
        <v>34.562738484589509</v>
      </c>
      <c r="C55" s="829"/>
      <c r="D55" s="391">
        <f t="shared" si="0"/>
        <v>36.30562253868608</v>
      </c>
      <c r="E55" s="383">
        <f t="shared" si="1"/>
        <v>37.778744551407911</v>
      </c>
      <c r="F55" s="383">
        <f t="shared" si="2"/>
        <v>37.781924490360694</v>
      </c>
      <c r="G55" s="110">
        <f t="shared" si="21"/>
        <v>0.92832674419894112</v>
      </c>
      <c r="H55" s="412" t="b">
        <f>Wh_hp&gt;='2025'!Maxi_hp</f>
        <v>0</v>
      </c>
      <c r="I55" s="388">
        <f>IF(H55,Wh_hp,'2025'!Maxi_hp)</f>
        <v>37.78219486426039</v>
      </c>
      <c r="J55" s="85">
        <f>IF(H55,An,'2025'!An_max)</f>
        <v>2022</v>
      </c>
      <c r="K55" s="197">
        <f t="shared" si="3"/>
        <v>46063</v>
      </c>
      <c r="L55" s="147">
        <f>IF(t&lt;Tvie,1-EXP((T0-t)*PertePVj)+'2025'!Pspv,1-EXP((T0-t)*PertePVj)+Pspv)</f>
        <v>4.8005899147973818E-2</v>
      </c>
      <c r="M55" s="832"/>
      <c r="N55" s="832"/>
      <c r="O55" s="48">
        <f>IF(t&lt;Tnet,'2025'!Resal+('2025'!Salim-'2025'!Resal)*(1-EXP(('2025'!Tnet-t)/('2025'!Tau_j))),Resal+(Salim-Resal)*(1-EXP((Tnet-t)/(Tau_j))))*Salcycl</f>
        <v>3.8993408336194468E-2</v>
      </c>
      <c r="P55" s="169">
        <f>(INDEX(Models!$BJ55:$BT55,,T55)*(1-R55)+INDEX(Models!$BJ55:$BT55,,T55+1)*R55-ERP_i)*Q55*Ramure*Pc/MaxiM</f>
        <v>9.3765061199229977E-5</v>
      </c>
      <c r="Q55" s="304">
        <f t="shared" si="4"/>
        <v>0.6</v>
      </c>
      <c r="R55" s="177">
        <f t="shared" si="5"/>
        <v>2.0039360329553446E-3</v>
      </c>
      <c r="S55" s="799">
        <f t="shared" si="6"/>
        <v>2</v>
      </c>
      <c r="T55" s="176">
        <f t="shared" si="7"/>
        <v>8</v>
      </c>
      <c r="U55" s="250">
        <f t="shared" si="8"/>
        <v>2.0020039360329553</v>
      </c>
      <c r="V55" s="382">
        <f t="shared" si="9"/>
        <v>37.230863905980151</v>
      </c>
      <c r="W55" s="400">
        <f t="shared" si="10"/>
        <v>34.562738484589509</v>
      </c>
      <c r="X55" s="157">
        <f t="shared" si="11"/>
        <v>46063</v>
      </c>
      <c r="Y55" s="383">
        <f t="shared" si="12"/>
        <v>33.610688910388703</v>
      </c>
      <c r="Z55" s="383">
        <f t="shared" si="22"/>
        <v>35.305564268000651</v>
      </c>
      <c r="AA55" s="384">
        <f t="shared" si="13"/>
        <v>37.778744551407911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6.5464861598083304E-2</v>
      </c>
      <c r="AD55" s="230">
        <f>(INDEX(Models!$BJ55:$BT55,,AH55)*(1-AF55)+INDEX(Models!$BJ55:$BT55,,AH55+1)*AF55-ERP_i)*AE55*Ramure*Pc/MaxiM</f>
        <v>9.3765061199229977E-5</v>
      </c>
      <c r="AE55" s="304">
        <f t="shared" si="15"/>
        <v>0.6</v>
      </c>
      <c r="AF55" s="177">
        <f t="shared" si="23"/>
        <v>2.0039360329553446E-3</v>
      </c>
      <c r="AG55" s="799">
        <f t="shared" si="24"/>
        <v>2</v>
      </c>
      <c r="AH55" s="176">
        <f t="shared" si="16"/>
        <v>8</v>
      </c>
      <c r="AI55" s="224">
        <f t="shared" si="17"/>
        <v>2.0020039360329553</v>
      </c>
      <c r="AJ55" s="264" t="b">
        <f t="shared" si="18"/>
        <v>1</v>
      </c>
      <c r="AK55" s="264" t="b">
        <f t="shared" si="19"/>
        <v>1</v>
      </c>
      <c r="AL55" s="264"/>
      <c r="AM55" s="264"/>
      <c r="AN55" s="75"/>
    </row>
    <row r="56" spans="1:40" s="6" customFormat="1" ht="11.25" x14ac:dyDescent="0.2">
      <c r="A56" s="56">
        <f t="shared" si="20"/>
        <v>46064</v>
      </c>
      <c r="B56" s="409">
        <f>IF(t&gt;Tmaj,'2025'!Wh/'2025'!Env_an*'2026'!Env_an,0.001*'[4]mon-tableau'!$B$231)</f>
        <v>17.083085834652799</v>
      </c>
      <c r="C56" s="829"/>
      <c r="D56" s="391">
        <f t="shared" si="0"/>
        <v>17.944872997721919</v>
      </c>
      <c r="E56" s="383">
        <f t="shared" si="1"/>
        <v>18.674729784809795</v>
      </c>
      <c r="F56" s="383">
        <f t="shared" si="2"/>
        <v>18.67509833435016</v>
      </c>
      <c r="G56" s="110">
        <f t="shared" si="21"/>
        <v>0.45456552461582378</v>
      </c>
      <c r="H56" s="412" t="b">
        <f>Wh_hp&gt;='2025'!Maxi_hp</f>
        <v>0</v>
      </c>
      <c r="I56" s="388">
        <f>IF(H56,Wh_hp,'2025'!Maxi_hp)</f>
        <v>35.249540811228528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4.8024143897731908E-2</v>
      </c>
      <c r="M56" s="832"/>
      <c r="N56" s="832"/>
      <c r="O56" s="48">
        <f>IF(t&lt;Tnet,'2025'!Resal+('2025'!Salim-'2025'!Resal)*(1-EXP(('2025'!Tnet-t)/('2025'!Tau_j))),Resal+(Salim-Resal)*(1-EXP((Tnet-t)/(Tau_j))))*Salcycl</f>
        <v>3.9082588904796309E-2</v>
      </c>
      <c r="P56" s="169">
        <f>(INDEX(Models!$BJ56:$BT56,,T56)*(1-R56)+INDEX(Models!$BJ56:$BT56,,T56+1)*R56-ERP_i)*Q56*Ramure*Pc/MaxiM</f>
        <v>8.9357181519769178E-5</v>
      </c>
      <c r="Q56" s="304">
        <f t="shared" si="4"/>
        <v>0.6</v>
      </c>
      <c r="R56" s="177">
        <f t="shared" si="5"/>
        <v>2.1533423988167044E-3</v>
      </c>
      <c r="S56" s="799">
        <f t="shared" si="6"/>
        <v>2</v>
      </c>
      <c r="T56" s="176">
        <f t="shared" si="7"/>
        <v>8</v>
      </c>
      <c r="U56" s="250">
        <f t="shared" si="8"/>
        <v>2.0021533423988167</v>
      </c>
      <c r="V56" s="382">
        <f t="shared" si="9"/>
        <v>37.578512934278443</v>
      </c>
      <c r="W56" s="400">
        <f t="shared" si="10"/>
        <v>17.083085834652799</v>
      </c>
      <c r="X56" s="157">
        <f t="shared" si="11"/>
        <v>46064</v>
      </c>
      <c r="Y56" s="383">
        <f t="shared" si="12"/>
        <v>16.613009487638418</v>
      </c>
      <c r="Z56" s="383">
        <f t="shared" si="22"/>
        <v>17.451082799156335</v>
      </c>
      <c r="AA56" s="384">
        <f t="shared" si="13"/>
        <v>18.674729784809795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6.5524213723766253E-2</v>
      </c>
      <c r="AD56" s="230">
        <f>(INDEX(Models!$BJ56:$BT56,,AH56)*(1-AF56)+INDEX(Models!$BJ56:$BT56,,AH56+1)*AF56-ERP_i)*AE56*Ramure*Pc/MaxiM</f>
        <v>8.9357181519769178E-5</v>
      </c>
      <c r="AE56" s="304">
        <f t="shared" si="15"/>
        <v>0.6</v>
      </c>
      <c r="AF56" s="177">
        <f t="shared" si="23"/>
        <v>2.1533423988167044E-3</v>
      </c>
      <c r="AG56" s="799">
        <f t="shared" si="24"/>
        <v>2</v>
      </c>
      <c r="AH56" s="176">
        <f t="shared" si="16"/>
        <v>8</v>
      </c>
      <c r="AI56" s="224">
        <f t="shared" si="17"/>
        <v>2.0021533423988167</v>
      </c>
      <c r="AJ56" s="264" t="b">
        <f t="shared" si="18"/>
        <v>1</v>
      </c>
      <c r="AK56" s="264" t="b">
        <f t="shared" si="19"/>
        <v>1</v>
      </c>
      <c r="AL56" s="264"/>
      <c r="AM56" s="264"/>
      <c r="AN56" s="75"/>
    </row>
    <row r="57" spans="1:40" s="6" customFormat="1" ht="11.25" x14ac:dyDescent="0.2">
      <c r="A57" s="56">
        <f t="shared" si="20"/>
        <v>46065</v>
      </c>
      <c r="B57" s="409">
        <f>IF(t&gt;Tmaj,'2025'!Wh/'2025'!Env_an*'2026'!Env_an,0.001*'[4]mon-tableau'!$B$232)</f>
        <v>27.769040532932465</v>
      </c>
      <c r="C57" s="829"/>
      <c r="D57" s="391">
        <f t="shared" si="0"/>
        <v>29.170459053612152</v>
      </c>
      <c r="E57" s="383">
        <f t="shared" si="1"/>
        <v>30.359699888897939</v>
      </c>
      <c r="F57" s="383">
        <f t="shared" si="2"/>
        <v>30.361308439237643</v>
      </c>
      <c r="G57" s="110">
        <f t="shared" si="21"/>
        <v>0.73215352470099193</v>
      </c>
      <c r="H57" s="412" t="b">
        <f>Wh_hp&gt;='2025'!Maxi_hp</f>
        <v>0</v>
      </c>
      <c r="I57" s="388">
        <f>IF(H57,Wh_hp,'2025'!Maxi_hp)</f>
        <v>30.36203542631517</v>
      </c>
      <c r="J57" s="85">
        <f>IF(H57,An,'2025'!An_max)</f>
        <v>2022</v>
      </c>
      <c r="K57" s="197">
        <f t="shared" si="3"/>
        <v>46065</v>
      </c>
      <c r="L57" s="147">
        <f>IF(t&lt;Tvie,1-EXP((T0-t)*PertePVj)+'2025'!Pspv,1-EXP((T0-t)*PertePVj)+Pspv)</f>
        <v>4.8042388297833472E-2</v>
      </c>
      <c r="M57" s="832"/>
      <c r="N57" s="832"/>
      <c r="O57" s="48">
        <f>IF(t&lt;Tnet,'2025'!Resal+('2025'!Salim-'2025'!Resal)*(1-EXP(('2025'!Tnet-t)/('2025'!Tau_j))),Resal+(Salim-Resal)*(1-EXP((Tnet-t)/(Tau_j))))*Salcycl</f>
        <v>3.9171692725482883E-2</v>
      </c>
      <c r="P57" s="169">
        <f>(INDEX(Models!$BJ57:$BT57,,T57)*(1-R57)+INDEX(Models!$BJ57:$BT57,,T57+1)*R57-ERP_i)*Q57*Ramure*Pc/MaxiM</f>
        <v>8.5812389387566961E-5</v>
      </c>
      <c r="Q57" s="304">
        <f t="shared" si="4"/>
        <v>0.6</v>
      </c>
      <c r="R57" s="177">
        <f t="shared" si="5"/>
        <v>2.3089211853393188E-3</v>
      </c>
      <c r="S57" s="799">
        <f t="shared" si="6"/>
        <v>2</v>
      </c>
      <c r="T57" s="176">
        <f t="shared" si="7"/>
        <v>8</v>
      </c>
      <c r="U57" s="250">
        <f t="shared" si="8"/>
        <v>2.0023089211853393</v>
      </c>
      <c r="V57" s="382">
        <f t="shared" si="9"/>
        <v>37.926647665231805</v>
      </c>
      <c r="W57" s="400">
        <f t="shared" si="10"/>
        <v>27.769040532932465</v>
      </c>
      <c r="X57" s="157">
        <f t="shared" si="11"/>
        <v>46065</v>
      </c>
      <c r="Y57" s="383">
        <f t="shared" si="12"/>
        <v>27.00570791533729</v>
      </c>
      <c r="Z57" s="383">
        <f t="shared" si="22"/>
        <v>28.368603374103184</v>
      </c>
      <c r="AA57" s="384">
        <f t="shared" si="13"/>
        <v>30.359699888897939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6.5583537455285168E-2</v>
      </c>
      <c r="AD57" s="230">
        <f>(INDEX(Models!$BJ57:$BT57,,AH57)*(1-AF57)+INDEX(Models!$BJ57:$BT57,,AH57+1)*AF57-ERP_i)*AE57*Ramure*Pc/MaxiM</f>
        <v>8.5812389387566961E-5</v>
      </c>
      <c r="AE57" s="304">
        <f t="shared" si="15"/>
        <v>0.6</v>
      </c>
      <c r="AF57" s="177">
        <f t="shared" si="23"/>
        <v>2.3089211853393188E-3</v>
      </c>
      <c r="AG57" s="799">
        <f t="shared" si="24"/>
        <v>2</v>
      </c>
      <c r="AH57" s="176">
        <f t="shared" si="16"/>
        <v>8</v>
      </c>
      <c r="AI57" s="224">
        <f t="shared" si="17"/>
        <v>2.0023089211853393</v>
      </c>
      <c r="AJ57" s="264" t="b">
        <f t="shared" si="18"/>
        <v>1</v>
      </c>
      <c r="AK57" s="264" t="b">
        <f t="shared" si="19"/>
        <v>1</v>
      </c>
      <c r="AL57" s="264"/>
      <c r="AM57" s="264"/>
      <c r="AN57" s="75"/>
    </row>
    <row r="58" spans="1:40" s="6" customFormat="1" ht="11.25" x14ac:dyDescent="0.2">
      <c r="A58" s="56">
        <f t="shared" si="20"/>
        <v>46066</v>
      </c>
      <c r="B58" s="409">
        <f>IF(t&gt;Tmaj,'2025'!Wh/'2025'!Env_an*'2026'!Env_an,0.001*'[4]mon-tableau'!$B$233)</f>
        <v>34.578273062895825</v>
      </c>
      <c r="C58" s="829"/>
      <c r="D58" s="391">
        <f t="shared" si="0"/>
        <v>36.32402885931171</v>
      </c>
      <c r="E58" s="383">
        <f t="shared" si="1"/>
        <v>37.80841426067856</v>
      </c>
      <c r="F58" s="383">
        <f t="shared" si="2"/>
        <v>37.811119481092398</v>
      </c>
      <c r="G58" s="110">
        <f t="shared" si="21"/>
        <v>0.90341384225123256</v>
      </c>
      <c r="H58" s="412" t="b">
        <f>Wh_hp&gt;='2025'!Maxi_hp</f>
        <v>0</v>
      </c>
      <c r="I58" s="388">
        <f>IF(H58,Wh_hp,'2025'!Maxi_hp)</f>
        <v>37.811432491234164</v>
      </c>
      <c r="J58" s="85">
        <f>IF(H58,An,'2025'!An_max)</f>
        <v>2022</v>
      </c>
      <c r="K58" s="197">
        <f t="shared" si="3"/>
        <v>46066</v>
      </c>
      <c r="L58" s="147">
        <f>IF(t&lt;Tvie,1-EXP((T0-t)*PertePVj)+'2025'!Pspv,1-EXP((T0-t)*PertePVj)+Pspv)</f>
        <v>4.8060632348285282E-2</v>
      </c>
      <c r="M58" s="832"/>
      <c r="N58" s="832"/>
      <c r="O58" s="48">
        <f>IF(t&lt;Tnet,'2025'!Resal+('2025'!Salim-'2025'!Resal)*(1-EXP(('2025'!Tnet-t)/('2025'!Tau_j))),Resal+(Salim-Resal)*(1-EXP((Tnet-t)/(Tau_j))))*Salcycl</f>
        <v>3.9260715647380005E-2</v>
      </c>
      <c r="P58" s="169">
        <f>(INDEX(Models!$BJ58:$BT58,,T58)*(1-R58)+INDEX(Models!$BJ58:$BT58,,T58+1)*R58-ERP_i)*Q58*Ramure*Pc/MaxiM</f>
        <v>8.2996245317765508E-5</v>
      </c>
      <c r="Q58" s="304">
        <f t="shared" si="4"/>
        <v>0.6</v>
      </c>
      <c r="R58" s="177">
        <f t="shared" si="5"/>
        <v>2.4709232563786543E-3</v>
      </c>
      <c r="S58" s="799">
        <f t="shared" si="6"/>
        <v>2</v>
      </c>
      <c r="T58" s="176">
        <f t="shared" si="7"/>
        <v>8</v>
      </c>
      <c r="U58" s="250">
        <f t="shared" si="8"/>
        <v>2.0024709232563787</v>
      </c>
      <c r="V58" s="382">
        <f t="shared" si="9"/>
        <v>38.274681519095132</v>
      </c>
      <c r="W58" s="400">
        <f t="shared" si="10"/>
        <v>34.578273062895825</v>
      </c>
      <c r="X58" s="157">
        <f t="shared" si="11"/>
        <v>46066</v>
      </c>
      <c r="Y58" s="383">
        <f t="shared" si="12"/>
        <v>33.628746155411363</v>
      </c>
      <c r="Z58" s="383">
        <f t="shared" si="22"/>
        <v>35.326563117531542</v>
      </c>
      <c r="AA58" s="384">
        <f t="shared" si="13"/>
        <v>37.80841426067856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6.5642825589968895E-2</v>
      </c>
      <c r="AD58" s="230">
        <f>(INDEX(Models!$BJ58:$BT58,,AH58)*(1-AF58)+INDEX(Models!$BJ58:$BT58,,AH58+1)*AF58-ERP_i)*AE58*Ramure*Pc/MaxiM</f>
        <v>8.2996245317765508E-5</v>
      </c>
      <c r="AE58" s="304">
        <f t="shared" si="15"/>
        <v>0.6</v>
      </c>
      <c r="AF58" s="177">
        <f t="shared" si="23"/>
        <v>2.4709232563786543E-3</v>
      </c>
      <c r="AG58" s="799">
        <f t="shared" si="24"/>
        <v>2</v>
      </c>
      <c r="AH58" s="176">
        <f t="shared" si="16"/>
        <v>8</v>
      </c>
      <c r="AI58" s="224">
        <f t="shared" si="17"/>
        <v>2.0024709232563787</v>
      </c>
      <c r="AJ58" s="264" t="b">
        <f t="shared" si="18"/>
        <v>1</v>
      </c>
      <c r="AK58" s="264" t="b">
        <f t="shared" si="19"/>
        <v>1</v>
      </c>
      <c r="AL58" s="264"/>
      <c r="AM58" s="264"/>
      <c r="AN58" s="75"/>
    </row>
    <row r="59" spans="1:40" s="6" customFormat="1" ht="11.25" x14ac:dyDescent="0.2">
      <c r="A59" s="56">
        <f t="shared" si="20"/>
        <v>46067</v>
      </c>
      <c r="B59" s="409">
        <f>IF(t&gt;Tmaj,'2025'!Wh/'2025'!Env_an*'2026'!Env_an,0.001*'[4]mon-tableau'!$B$234)</f>
        <v>15.217220276930409</v>
      </c>
      <c r="C59" s="829"/>
      <c r="D59" s="391">
        <f t="shared" si="0"/>
        <v>15.985799552143584</v>
      </c>
      <c r="E59" s="383">
        <f t="shared" si="1"/>
        <v>16.640601454079583</v>
      </c>
      <c r="F59" s="383">
        <f t="shared" si="2"/>
        <v>16.640780763216355</v>
      </c>
      <c r="G59" s="110">
        <f t="shared" si="21"/>
        <v>0.39397607320858463</v>
      </c>
      <c r="H59" s="412" t="b">
        <f>Wh_hp&gt;='2025'!Maxi_hp</f>
        <v>0</v>
      </c>
      <c r="I59" s="388">
        <f>IF(H59,Wh_hp,'2025'!Maxi_hp)</f>
        <v>40.693105086860676</v>
      </c>
      <c r="J59" s="85">
        <f>IF(H59,An,'2025'!An_max)</f>
        <v>2021</v>
      </c>
      <c r="K59" s="197">
        <f t="shared" si="3"/>
        <v>46067</v>
      </c>
      <c r="L59" s="147">
        <f>IF(t&lt;Tvie,1-EXP((T0-t)*PertePVj)+'2025'!Pspv,1-EXP((T0-t)*PertePVj)+Pspv)</f>
        <v>4.807887604909411E-2</v>
      </c>
      <c r="M59" s="832"/>
      <c r="N59" s="832"/>
      <c r="O59" s="48">
        <f>IF(t&lt;Tnet,'2025'!Resal+('2025'!Salim-'2025'!Resal)*(1-EXP(('2025'!Tnet-t)/('2025'!Tau_j))),Resal+(Salim-Resal)*(1-EXP((Tnet-t)/(Tau_j))))*Salcycl</f>
        <v>3.9349653541246712E-2</v>
      </c>
      <c r="P59" s="169">
        <f>(INDEX(Models!$BJ59:$BT59,,T59)*(1-R59)+INDEX(Models!$BJ59:$BT59,,T59+1)*R59-ERP_i)*Q59*Ramure*Pc/MaxiM</f>
        <v>8.0238537408888562E-5</v>
      </c>
      <c r="Q59" s="304">
        <f t="shared" si="4"/>
        <v>0.6</v>
      </c>
      <c r="R59" s="177">
        <f t="shared" si="5"/>
        <v>2.6396093203602256E-3</v>
      </c>
      <c r="S59" s="799">
        <f t="shared" si="6"/>
        <v>2</v>
      </c>
      <c r="T59" s="176">
        <f t="shared" si="7"/>
        <v>8</v>
      </c>
      <c r="U59" s="250">
        <f t="shared" si="8"/>
        <v>2.0026396093203602</v>
      </c>
      <c r="V59" s="382">
        <f t="shared" si="9"/>
        <v>38.622049059954961</v>
      </c>
      <c r="W59" s="400">
        <f t="shared" si="10"/>
        <v>15.217220276930409</v>
      </c>
      <c r="X59" s="157">
        <f t="shared" si="11"/>
        <v>46067</v>
      </c>
      <c r="Y59" s="383">
        <f t="shared" si="12"/>
        <v>14.79978375301128</v>
      </c>
      <c r="Z59" s="383">
        <f t="shared" si="22"/>
        <v>15.547279475830353</v>
      </c>
      <c r="AA59" s="384">
        <f t="shared" si="13"/>
        <v>16.640601454079583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6.5702071001838364E-2</v>
      </c>
      <c r="AD59" s="230">
        <f>(INDEX(Models!$BJ59:$BT59,,AH59)*(1-AF59)+INDEX(Models!$BJ59:$BT59,,AH59+1)*AF59-ERP_i)*AE59*Ramure*Pc/MaxiM</f>
        <v>8.0238537408888562E-5</v>
      </c>
      <c r="AE59" s="304">
        <f t="shared" si="15"/>
        <v>0.6</v>
      </c>
      <c r="AF59" s="177">
        <f t="shared" si="23"/>
        <v>2.6396093203602256E-3</v>
      </c>
      <c r="AG59" s="799">
        <f t="shared" si="24"/>
        <v>2</v>
      </c>
      <c r="AH59" s="176">
        <f t="shared" si="16"/>
        <v>8</v>
      </c>
      <c r="AI59" s="224">
        <f t="shared" si="17"/>
        <v>2.0026396093203602</v>
      </c>
      <c r="AJ59" s="264" t="b">
        <f t="shared" si="18"/>
        <v>1</v>
      </c>
      <c r="AK59" s="264" t="b">
        <f t="shared" si="19"/>
        <v>1</v>
      </c>
      <c r="AL59" s="264"/>
      <c r="AM59" s="264"/>
      <c r="AN59" s="75"/>
    </row>
    <row r="60" spans="1:40" s="6" customFormat="1" ht="11.25" x14ac:dyDescent="0.2">
      <c r="A60" s="56">
        <f t="shared" si="20"/>
        <v>46068</v>
      </c>
      <c r="B60" s="409">
        <f>IF(t&gt;Tmaj,'2025'!Wh/'2025'!Env_an*'2026'!Env_an,0.001*'[4]mon-tableau'!$B$235)</f>
        <v>19.346263804670905</v>
      </c>
      <c r="C60" s="829"/>
      <c r="D60" s="391">
        <f t="shared" si="0"/>
        <v>20.323779031409227</v>
      </c>
      <c r="E60" s="383">
        <f t="shared" si="1"/>
        <v>21.158227850464012</v>
      </c>
      <c r="F60" s="383">
        <f t="shared" si="2"/>
        <v>21.158688309047374</v>
      </c>
      <c r="G60" s="110">
        <f t="shared" si="21"/>
        <v>0.49643567313067111</v>
      </c>
      <c r="H60" s="412" t="b">
        <f>Wh_hp&gt;='2025'!Maxi_hp</f>
        <v>0</v>
      </c>
      <c r="I60" s="388">
        <f>IF(H60,Wh_hp,'2025'!Maxi_hp)</f>
        <v>42.120737329566786</v>
      </c>
      <c r="J60" s="85">
        <f>IF(H60,An,'2025'!An_max)</f>
        <v>2020</v>
      </c>
      <c r="K60" s="197">
        <f t="shared" si="3"/>
        <v>46068</v>
      </c>
      <c r="L60" s="147">
        <f>IF(t&lt;Tvie,1-EXP((T0-t)*PertePVj)+'2025'!Pspv,1-EXP((T0-t)*PertePVj)+Pspv)</f>
        <v>4.8097119400266508E-2</v>
      </c>
      <c r="M60" s="832"/>
      <c r="N60" s="832"/>
      <c r="O60" s="48">
        <f>IF(t&lt;Tnet,'2025'!Resal+('2025'!Salim-'2025'!Resal)*(1-EXP(('2025'!Tnet-t)/('2025'!Tau_j))),Resal+(Salim-Resal)*(1-EXP((Tnet-t)/(Tau_j))))*Salcycl</f>
        <v>3.9438502361930243E-2</v>
      </c>
      <c r="P60" s="169">
        <f>(INDEX(Models!$BJ60:$BT60,,T60)*(1-R60)+INDEX(Models!$BJ60:$BT60,,T60+1)*R60-ERP_i)*Q60*Ramure*Pc/MaxiM</f>
        <v>7.7538660529007862E-5</v>
      </c>
      <c r="Q60" s="304">
        <f t="shared" si="4"/>
        <v>0.6</v>
      </c>
      <c r="R60" s="177">
        <f t="shared" si="5"/>
        <v>2.815250286690496E-3</v>
      </c>
      <c r="S60" s="799">
        <f t="shared" si="6"/>
        <v>2</v>
      </c>
      <c r="T60" s="176">
        <f t="shared" si="7"/>
        <v>8</v>
      </c>
      <c r="U60" s="250">
        <f t="shared" si="8"/>
        <v>2.0028152502866905</v>
      </c>
      <c r="V60" s="382">
        <f t="shared" si="9"/>
        <v>38.96815994736216</v>
      </c>
      <c r="W60" s="400">
        <f t="shared" si="10"/>
        <v>19.346263804670905</v>
      </c>
      <c r="X60" s="157">
        <f t="shared" si="11"/>
        <v>46068</v>
      </c>
      <c r="Y60" s="383">
        <f t="shared" si="12"/>
        <v>18.816108114406454</v>
      </c>
      <c r="Z60" s="383">
        <f t="shared" si="22"/>
        <v>19.766835984939576</v>
      </c>
      <c r="AA60" s="384">
        <f t="shared" si="13"/>
        <v>21.158227850464012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6.5761266744933058E-2</v>
      </c>
      <c r="AD60" s="230">
        <f>(INDEX(Models!$BJ60:$BT60,,AH60)*(1-AF60)+INDEX(Models!$BJ60:$BT60,,AH60+1)*AF60-ERP_i)*AE60*Ramure*Pc/MaxiM</f>
        <v>7.7538660529007862E-5</v>
      </c>
      <c r="AE60" s="304">
        <f t="shared" si="15"/>
        <v>0.6</v>
      </c>
      <c r="AF60" s="177">
        <f t="shared" si="23"/>
        <v>2.815250286690496E-3</v>
      </c>
      <c r="AG60" s="799">
        <f t="shared" si="24"/>
        <v>2</v>
      </c>
      <c r="AH60" s="176">
        <f t="shared" si="16"/>
        <v>8</v>
      </c>
      <c r="AI60" s="224">
        <f t="shared" si="17"/>
        <v>2.0028152502866905</v>
      </c>
      <c r="AJ60" s="264" t="b">
        <f t="shared" si="18"/>
        <v>1</v>
      </c>
      <c r="AK60" s="264" t="b">
        <f t="shared" si="19"/>
        <v>1</v>
      </c>
      <c r="AL60" s="264"/>
      <c r="AM60" s="264"/>
      <c r="AN60" s="75"/>
    </row>
    <row r="61" spans="1:40" s="6" customFormat="1" ht="11.25" x14ac:dyDescent="0.2">
      <c r="A61" s="56">
        <f t="shared" si="20"/>
        <v>46069</v>
      </c>
      <c r="B61" s="409">
        <f>IF(t&gt;Tmaj,'2025'!Wh/'2025'!Env_an*'2026'!Env_an,0.001*'[4]mon-tableau'!$B$236)</f>
        <v>8.7168151483740335</v>
      </c>
      <c r="C61" s="829"/>
      <c r="D61" s="391">
        <f t="shared" si="0"/>
        <v>9.1574281210887367</v>
      </c>
      <c r="E61" s="383">
        <f t="shared" si="1"/>
        <v>9.5342925651806212</v>
      </c>
      <c r="F61" s="383">
        <f t="shared" si="2"/>
        <v>9.5342925651806212</v>
      </c>
      <c r="G61" s="110">
        <f t="shared" si="21"/>
        <v>0.22171520819435472</v>
      </c>
      <c r="H61" s="412" t="b">
        <f>Wh_hp&gt;='2025'!Maxi_hp</f>
        <v>0</v>
      </c>
      <c r="I61" s="388">
        <f>IF(H61,Wh_hp,'2025'!Maxi_hp)</f>
        <v>34.417893598161328</v>
      </c>
      <c r="J61" s="85">
        <f>IF(H61,An,'2025'!An_max)</f>
        <v>2021</v>
      </c>
      <c r="K61" s="197">
        <f t="shared" si="3"/>
        <v>46069</v>
      </c>
      <c r="L61" s="147">
        <f>IF(t&lt;Tvie,1-EXP((T0-t)*PertePVj)+'2025'!Pspv,1-EXP((T0-t)*PertePVj)+Pspv)</f>
        <v>4.8115362401809247E-2</v>
      </c>
      <c r="M61" s="832"/>
      <c r="N61" s="832"/>
      <c r="O61" s="48">
        <f>IF(t&lt;Tnet,'2025'!Resal+('2025'!Salim-'2025'!Resal)*(1-EXP(('2025'!Tnet-t)/('2025'!Tau_j))),Resal+(Salim-Resal)*(1-EXP((Tnet-t)/(Tau_j))))*Salcycl</f>
        <v>3.9527258211920109E-2</v>
      </c>
      <c r="P61" s="169">
        <f>(INDEX(Models!$BJ61:$BT61,,T61)*(1-R61)+INDEX(Models!$BJ61:$BT61,,T61+1)*R61-ERP_i)*Q61*Ramure*Pc/MaxiM</f>
        <v>7.4895898201981793E-5</v>
      </c>
      <c r="Q61" s="304">
        <f t="shared" si="4"/>
        <v>0.6</v>
      </c>
      <c r="R61" s="177">
        <f t="shared" si="5"/>
        <v>2.9981276324786421E-3</v>
      </c>
      <c r="S61" s="799">
        <f t="shared" si="6"/>
        <v>2</v>
      </c>
      <c r="T61" s="176">
        <f t="shared" si="7"/>
        <v>8</v>
      </c>
      <c r="U61" s="250">
        <f t="shared" si="8"/>
        <v>2.0029981276324786</v>
      </c>
      <c r="V61" s="382">
        <f t="shared" si="9"/>
        <v>39.312424103237333</v>
      </c>
      <c r="W61" s="400">
        <f t="shared" si="10"/>
        <v>8.7168151483740335</v>
      </c>
      <c r="X61" s="157">
        <f t="shared" si="11"/>
        <v>46069</v>
      </c>
      <c r="Y61" s="383">
        <f t="shared" si="12"/>
        <v>8.4781904583229633</v>
      </c>
      <c r="Z61" s="383">
        <f t="shared" si="22"/>
        <v>8.9067415561146746</v>
      </c>
      <c r="AA61" s="384">
        <f t="shared" si="13"/>
        <v>9.5342925651806212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6.5820406157639025E-2</v>
      </c>
      <c r="AD61" s="230">
        <f>(INDEX(Models!$BJ61:$BT61,,AH61)*(1-AF61)+INDEX(Models!$BJ61:$BT61,,AH61+1)*AF61-ERP_i)*AE61*Ramure*Pc/MaxiM</f>
        <v>7.4895898201981793E-5</v>
      </c>
      <c r="AE61" s="304">
        <f t="shared" si="15"/>
        <v>0.6</v>
      </c>
      <c r="AF61" s="177">
        <f t="shared" si="23"/>
        <v>2.9981276324786421E-3</v>
      </c>
      <c r="AG61" s="799">
        <f t="shared" si="24"/>
        <v>2</v>
      </c>
      <c r="AH61" s="176">
        <f t="shared" si="16"/>
        <v>8</v>
      </c>
      <c r="AI61" s="224">
        <f t="shared" si="17"/>
        <v>2.0029981276324786</v>
      </c>
      <c r="AJ61" s="264" t="b">
        <f t="shared" si="18"/>
        <v>1</v>
      </c>
      <c r="AK61" s="264" t="b">
        <f t="shared" si="19"/>
        <v>1</v>
      </c>
      <c r="AL61" s="264"/>
      <c r="AM61" s="264"/>
      <c r="AN61" s="75"/>
    </row>
    <row r="62" spans="1:40" s="6" customFormat="1" ht="11.25" x14ac:dyDescent="0.2">
      <c r="A62" s="56">
        <f t="shared" si="20"/>
        <v>46070</v>
      </c>
      <c r="B62" s="409">
        <f>IF(t&gt;Tmaj,'2025'!Wh/'2025'!Env_an*'2026'!Env_an,0.001*'[4]mon-tableau'!$B$237)</f>
        <v>10.993685243156426</v>
      </c>
      <c r="C62" s="829"/>
      <c r="D62" s="391">
        <f t="shared" si="0"/>
        <v>11.54960958967038</v>
      </c>
      <c r="E62" s="383">
        <f t="shared" si="1"/>
        <v>12.026031875150425</v>
      </c>
      <c r="F62" s="383">
        <f t="shared" si="2"/>
        <v>12.026031875150425</v>
      </c>
      <c r="G62" s="110">
        <f t="shared" si="21"/>
        <v>0.27721845255272837</v>
      </c>
      <c r="H62" s="412" t="b">
        <f>Wh_hp&gt;='2025'!Maxi_hp</f>
        <v>0</v>
      </c>
      <c r="I62" s="388">
        <f>IF(H62,Wh_hp,'2025'!Maxi_hp)</f>
        <v>38.835369308971607</v>
      </c>
      <c r="J62" s="85">
        <f>IF(H62,An,'2025'!An_max)</f>
        <v>2021</v>
      </c>
      <c r="K62" s="197">
        <f t="shared" si="3"/>
        <v>46070</v>
      </c>
      <c r="L62" s="147">
        <f>IF(t&lt;Tvie,1-EXP((T0-t)*PertePVj)+'2025'!Pspv,1-EXP((T0-t)*PertePVj)+Pspv)</f>
        <v>4.8133605053728989E-2</v>
      </c>
      <c r="M62" s="832"/>
      <c r="N62" s="832"/>
      <c r="O62" s="48">
        <f>IF(t&lt;Tnet,'2025'!Resal+('2025'!Salim-'2025'!Resal)*(1-EXP(('2025'!Tnet-t)/('2025'!Tau_j))),Resal+(Salim-Resal)*(1-EXP((Tnet-t)/(Tau_j))))*Salcycl</f>
        <v>3.9615917405348158E-2</v>
      </c>
      <c r="P62" s="169">
        <f>(INDEX(Models!$BJ62:$BT62,,T62)*(1-R62)+INDEX(Models!$BJ62:$BT62,,T62+1)*R62-ERP_i)*Q62*Ramure*Pc/MaxiM</f>
        <v>7.2309437527950883E-5</v>
      </c>
      <c r="Q62" s="304">
        <f t="shared" si="4"/>
        <v>0.6</v>
      </c>
      <c r="R62" s="177">
        <f t="shared" si="5"/>
        <v>3.1885337796349056E-3</v>
      </c>
      <c r="S62" s="799">
        <f t="shared" si="6"/>
        <v>2</v>
      </c>
      <c r="T62" s="176">
        <f t="shared" si="7"/>
        <v>8</v>
      </c>
      <c r="U62" s="250">
        <f t="shared" si="8"/>
        <v>2.0031885337796349</v>
      </c>
      <c r="V62" s="382">
        <f t="shared" si="9"/>
        <v>39.654251709197567</v>
      </c>
      <c r="W62" s="400">
        <f t="shared" si="10"/>
        <v>10.993685243156426</v>
      </c>
      <c r="X62" s="157">
        <f t="shared" si="11"/>
        <v>46070</v>
      </c>
      <c r="Y62" s="383">
        <f t="shared" si="12"/>
        <v>10.693041596119942</v>
      </c>
      <c r="Z62" s="383">
        <f t="shared" si="22"/>
        <v>11.233763113071683</v>
      </c>
      <c r="AA62" s="384">
        <f t="shared" si="13"/>
        <v>12.026031875150425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6.5879482966930913E-2</v>
      </c>
      <c r="AD62" s="230">
        <f>(INDEX(Models!$BJ62:$BT62,,AH62)*(1-AF62)+INDEX(Models!$BJ62:$BT62,,AH62+1)*AF62-ERP_i)*AE62*Ramure*Pc/MaxiM</f>
        <v>7.2309437527950883E-5</v>
      </c>
      <c r="AE62" s="304">
        <f t="shared" si="15"/>
        <v>0.6</v>
      </c>
      <c r="AF62" s="177">
        <f t="shared" si="23"/>
        <v>3.1885337796349056E-3</v>
      </c>
      <c r="AG62" s="799">
        <f t="shared" si="24"/>
        <v>2</v>
      </c>
      <c r="AH62" s="176">
        <f t="shared" si="16"/>
        <v>8</v>
      </c>
      <c r="AI62" s="224">
        <f t="shared" si="17"/>
        <v>2.0031885337796349</v>
      </c>
      <c r="AJ62" s="264" t="b">
        <f t="shared" si="18"/>
        <v>1</v>
      </c>
      <c r="AK62" s="264" t="b">
        <f t="shared" si="19"/>
        <v>1</v>
      </c>
      <c r="AL62" s="264"/>
      <c r="AM62" s="264"/>
      <c r="AN62" s="75"/>
    </row>
    <row r="63" spans="1:40" s="6" customFormat="1" ht="11.25" x14ac:dyDescent="0.2">
      <c r="A63" s="56">
        <f t="shared" si="20"/>
        <v>46071</v>
      </c>
      <c r="B63" s="409">
        <f>IF(t&gt;Tmaj,'2025'!Wh/'2025'!Env_an*'2026'!Env_an,0.001*'[4]mon-tableau'!$B$238)</f>
        <v>31.188073317603422</v>
      </c>
      <c r="C63" s="829"/>
      <c r="D63" s="391">
        <f t="shared" si="0"/>
        <v>32.76580747777016</v>
      </c>
      <c r="E63" s="383">
        <f t="shared" si="1"/>
        <v>34.120545891365673</v>
      </c>
      <c r="F63" s="383">
        <f t="shared" si="2"/>
        <v>34.122178016972526</v>
      </c>
      <c r="G63" s="110">
        <f t="shared" si="21"/>
        <v>0.77982015170353369</v>
      </c>
      <c r="H63" s="412" t="b">
        <f>Wh_hp&gt;='2025'!Maxi_hp</f>
        <v>0</v>
      </c>
      <c r="I63" s="388">
        <f>IF(H63,Wh_hp,'2025'!Maxi_hp)</f>
        <v>34.122699512103274</v>
      </c>
      <c r="J63" s="85">
        <f>IF(H63,An,'2025'!An_max)</f>
        <v>2022</v>
      </c>
      <c r="K63" s="197">
        <f t="shared" si="3"/>
        <v>46071</v>
      </c>
      <c r="L63" s="147">
        <f>IF(t&lt;Tvie,1-EXP((T0-t)*PertePVj)+'2025'!Pspv,1-EXP((T0-t)*PertePVj)+Pspv)</f>
        <v>4.8151847356032507E-2</v>
      </c>
      <c r="M63" s="832"/>
      <c r="N63" s="832"/>
      <c r="O63" s="48">
        <f>IF(t&lt;Tnet,'2025'!Resal+('2025'!Salim-'2025'!Resal)*(1-EXP(('2025'!Tnet-t)/('2025'!Tau_j))),Resal+(Salim-Resal)*(1-EXP((Tnet-t)/(Tau_j))))*Salcycl</f>
        <v>3.9704476531787616E-2</v>
      </c>
      <c r="P63" s="169">
        <f>(INDEX(Models!$BJ63:$BT63,,T63)*(1-R63)+INDEX(Models!$BJ63:$BT63,,T63+1)*R63-ERP_i)*Q63*Ramure*Pc/MaxiM</f>
        <v>6.9778382679252309E-5</v>
      </c>
      <c r="Q63" s="304">
        <f t="shared" si="4"/>
        <v>0.6</v>
      </c>
      <c r="R63" s="177">
        <f t="shared" si="5"/>
        <v>3.3867724823832823E-3</v>
      </c>
      <c r="S63" s="799">
        <f t="shared" si="6"/>
        <v>2</v>
      </c>
      <c r="T63" s="176">
        <f t="shared" si="7"/>
        <v>8</v>
      </c>
      <c r="U63" s="250">
        <f t="shared" si="8"/>
        <v>2.0033867724823833</v>
      </c>
      <c r="V63" s="382">
        <f t="shared" si="9"/>
        <v>39.993053200125814</v>
      </c>
      <c r="W63" s="400">
        <f t="shared" si="10"/>
        <v>31.188073317603422</v>
      </c>
      <c r="X63" s="157">
        <f t="shared" si="11"/>
        <v>46071</v>
      </c>
      <c r="Y63" s="383">
        <f t="shared" si="12"/>
        <v>30.336056038689446</v>
      </c>
      <c r="Z63" s="383">
        <f t="shared" si="22"/>
        <v>31.870688569835831</v>
      </c>
      <c r="AA63" s="384">
        <f t="shared" si="13"/>
        <v>34.120545891365673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6.5938491391463239E-2</v>
      </c>
      <c r="AD63" s="230">
        <f>(INDEX(Models!$BJ63:$BT63,,AH63)*(1-AF63)+INDEX(Models!$BJ63:$BT63,,AH63+1)*AF63-ERP_i)*AE63*Ramure*Pc/MaxiM</f>
        <v>6.9778382679252309E-5</v>
      </c>
      <c r="AE63" s="304">
        <f t="shared" si="15"/>
        <v>0.6</v>
      </c>
      <c r="AF63" s="177">
        <f t="shared" si="23"/>
        <v>3.3867724823832823E-3</v>
      </c>
      <c r="AG63" s="799">
        <f t="shared" si="24"/>
        <v>2</v>
      </c>
      <c r="AH63" s="176">
        <f t="shared" si="16"/>
        <v>8</v>
      </c>
      <c r="AI63" s="224">
        <f t="shared" si="17"/>
        <v>2.0033867724823833</v>
      </c>
      <c r="AJ63" s="264" t="b">
        <f t="shared" si="18"/>
        <v>1</v>
      </c>
      <c r="AK63" s="264" t="b">
        <f t="shared" si="19"/>
        <v>1</v>
      </c>
      <c r="AL63" s="264"/>
      <c r="AM63" s="264"/>
      <c r="AN63" s="75"/>
    </row>
    <row r="64" spans="1:40" s="6" customFormat="1" ht="11.25" x14ac:dyDescent="0.2">
      <c r="A64" s="56">
        <f t="shared" si="20"/>
        <v>46072</v>
      </c>
      <c r="B64" s="409">
        <f>IF(t&gt;Tmaj,'2025'!Wh/'2025'!Env_an*'2026'!Env_an,0.001*'[4]mon-tableau'!$B$239)</f>
        <v>18.768915196636307</v>
      </c>
      <c r="C64" s="829"/>
      <c r="D64" s="391">
        <f t="shared" si="0"/>
        <v>19.718770114090283</v>
      </c>
      <c r="E64" s="383">
        <f t="shared" si="1"/>
        <v>20.535956026469201</v>
      </c>
      <c r="F64" s="383">
        <f t="shared" si="2"/>
        <v>20.536282611069705</v>
      </c>
      <c r="G64" s="110">
        <f t="shared" si="21"/>
        <v>0.4653798633750505</v>
      </c>
      <c r="H64" s="412" t="b">
        <f>Wh_hp&gt;='2025'!Maxi_hp</f>
        <v>0</v>
      </c>
      <c r="I64" s="388">
        <f>IF(H64,Wh_hp,'2025'!Maxi_hp)</f>
        <v>41.255245253729655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4.8170089308726571E-2</v>
      </c>
      <c r="M64" s="832"/>
      <c r="N64" s="832"/>
      <c r="O64" s="48">
        <f>IF(t&lt;Tnet,'2025'!Resal+('2025'!Salim-'2025'!Resal)*(1-EXP(('2025'!Tnet-t)/('2025'!Tau_j))),Resal+(Salim-Resal)*(1-EXP((Tnet-t)/(Tau_j))))*Salcycl</f>
        <v>3.9792932519218033E-2</v>
      </c>
      <c r="P64" s="169">
        <f>(INDEX(Models!$BJ64:$BT64,,T64)*(1-R64)+INDEX(Models!$BJ64:$BT64,,T64+1)*R64-ERP_i)*Q64*Ramure*Pc/MaxiM</f>
        <v>6.7301767003481681E-5</v>
      </c>
      <c r="Q64" s="304">
        <f t="shared" si="4"/>
        <v>0.6</v>
      </c>
      <c r="R64" s="177">
        <f t="shared" si="5"/>
        <v>3.5931592251920996E-3</v>
      </c>
      <c r="S64" s="799">
        <f t="shared" si="6"/>
        <v>2</v>
      </c>
      <c r="T64" s="176">
        <f t="shared" si="7"/>
        <v>8</v>
      </c>
      <c r="U64" s="250">
        <f t="shared" si="8"/>
        <v>2.0035931592251921</v>
      </c>
      <c r="V64" s="382">
        <f t="shared" si="9"/>
        <v>40.328239263554657</v>
      </c>
      <c r="W64" s="400">
        <f t="shared" si="10"/>
        <v>18.768915196636307</v>
      </c>
      <c r="X64" s="157">
        <f t="shared" si="11"/>
        <v>46072</v>
      </c>
      <c r="Y64" s="383">
        <f t="shared" si="12"/>
        <v>18.256702844614097</v>
      </c>
      <c r="Z64" s="383">
        <f t="shared" si="22"/>
        <v>19.1806357832935</v>
      </c>
      <c r="AA64" s="384">
        <f t="shared" si="13"/>
        <v>20.535956026469201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6.5997426242479396E-2</v>
      </c>
      <c r="AD64" s="230">
        <f>(INDEX(Models!$BJ64:$BT64,,AH64)*(1-AF64)+INDEX(Models!$BJ64:$BT64,,AH64+1)*AF64-ERP_i)*AE64*Ramure*Pc/MaxiM</f>
        <v>6.7301767003481681E-5</v>
      </c>
      <c r="AE64" s="304">
        <f t="shared" si="15"/>
        <v>0.6</v>
      </c>
      <c r="AF64" s="177">
        <f t="shared" si="23"/>
        <v>3.5931592251920996E-3</v>
      </c>
      <c r="AG64" s="799">
        <f t="shared" si="24"/>
        <v>2</v>
      </c>
      <c r="AH64" s="176">
        <f t="shared" si="16"/>
        <v>8</v>
      </c>
      <c r="AI64" s="224">
        <f t="shared" si="17"/>
        <v>2.0035931592251921</v>
      </c>
      <c r="AJ64" s="264" t="b">
        <f t="shared" si="18"/>
        <v>1</v>
      </c>
      <c r="AK64" s="264" t="b">
        <f t="shared" si="19"/>
        <v>1</v>
      </c>
      <c r="AL64" s="264"/>
      <c r="AM64" s="264"/>
      <c r="AN64" s="75"/>
    </row>
    <row r="65" spans="1:40" s="6" customFormat="1" ht="11.25" x14ac:dyDescent="0.2">
      <c r="A65" s="56">
        <f t="shared" si="20"/>
        <v>46073</v>
      </c>
      <c r="B65" s="409">
        <f>IF(t&gt;Tmaj,'2025'!Wh/'2025'!Env_an*'2026'!Env_an,0.001*'[4]mon-tableau'!$B$240)</f>
        <v>20.405560366316053</v>
      </c>
      <c r="C65" s="829"/>
      <c r="D65" s="391">
        <f t="shared" si="0"/>
        <v>21.438653285123301</v>
      </c>
      <c r="E65" s="383">
        <f t="shared" si="1"/>
        <v>22.329169194110207</v>
      </c>
      <c r="F65" s="383">
        <f t="shared" si="2"/>
        <v>22.329586932368709</v>
      </c>
      <c r="G65" s="110">
        <f t="shared" si="21"/>
        <v>0.50182920486471638</v>
      </c>
      <c r="H65" s="412" t="b">
        <f>Wh_hp&gt;='2025'!Maxi_hp</f>
        <v>0</v>
      </c>
      <c r="I65" s="388">
        <f>IF(H65,Wh_hp,'2025'!Maxi_hp)</f>
        <v>44.665553120035945</v>
      </c>
      <c r="J65" s="85">
        <f>IF(H65,An,'2025'!An_max)</f>
        <v>2020</v>
      </c>
      <c r="K65" s="197">
        <f t="shared" si="3"/>
        <v>46073</v>
      </c>
      <c r="L65" s="147">
        <f>IF(t&lt;Tvie,1-EXP((T0-t)*PertePVj)+'2025'!Pspv,1-EXP((T0-t)*PertePVj)+Pspv)</f>
        <v>4.8188330911817623E-2</v>
      </c>
      <c r="M65" s="832"/>
      <c r="N65" s="832"/>
      <c r="O65" s="48">
        <f>IF(t&lt;Tnet,'2025'!Resal+('2025'!Salim-'2025'!Resal)*(1-EXP(('2025'!Tnet-t)/('2025'!Tau_j))),Resal+(Salim-Resal)*(1-EXP((Tnet-t)/(Tau_j))))*Salcycl</f>
        <v>3.9881282695542419E-2</v>
      </c>
      <c r="P65" s="169">
        <f>(INDEX(Models!$BJ65:$BT65,,T65)*(1-R65)+INDEX(Models!$BJ65:$BT65,,T65+1)*R65-ERP_i)*Q65*Ramure*Pc/MaxiM</f>
        <v>6.48765487466598E-5</v>
      </c>
      <c r="Q65" s="304">
        <f t="shared" si="4"/>
        <v>0.6</v>
      </c>
      <c r="R65" s="177">
        <f t="shared" si="5"/>
        <v>3.8080216311024984E-3</v>
      </c>
      <c r="S65" s="799">
        <f t="shared" si="6"/>
        <v>2</v>
      </c>
      <c r="T65" s="176">
        <f t="shared" si="7"/>
        <v>8</v>
      </c>
      <c r="U65" s="250">
        <f t="shared" si="8"/>
        <v>2.0038080216311025</v>
      </c>
      <c r="V65" s="382">
        <f t="shared" si="9"/>
        <v>40.66048379098288</v>
      </c>
      <c r="W65" s="400">
        <f t="shared" si="10"/>
        <v>20.405560366316053</v>
      </c>
      <c r="X65" s="157">
        <f t="shared" si="11"/>
        <v>46073</v>
      </c>
      <c r="Y65" s="383">
        <f t="shared" si="12"/>
        <v>19.849258796922388</v>
      </c>
      <c r="Z65" s="383">
        <f t="shared" si="22"/>
        <v>20.854187274187975</v>
      </c>
      <c r="AA65" s="384">
        <f t="shared" si="13"/>
        <v>22.329169194110207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6.6056283021550574E-2</v>
      </c>
      <c r="AD65" s="230">
        <f>(INDEX(Models!$BJ65:$BT65,,AH65)*(1-AF65)+INDEX(Models!$BJ65:$BT65,,AH65+1)*AF65-ERP_i)*AE65*Ramure*Pc/MaxiM</f>
        <v>6.48765487466598E-5</v>
      </c>
      <c r="AE65" s="304">
        <f t="shared" si="15"/>
        <v>0.6</v>
      </c>
      <c r="AF65" s="177">
        <f t="shared" si="23"/>
        <v>3.8080216311024984E-3</v>
      </c>
      <c r="AG65" s="799">
        <f t="shared" si="24"/>
        <v>2</v>
      </c>
      <c r="AH65" s="176">
        <f t="shared" si="16"/>
        <v>8</v>
      </c>
      <c r="AI65" s="224">
        <f t="shared" si="17"/>
        <v>2.0038080216311025</v>
      </c>
      <c r="AJ65" s="264" t="b">
        <f t="shared" si="18"/>
        <v>1</v>
      </c>
      <c r="AK65" s="264" t="b">
        <f t="shared" si="19"/>
        <v>1</v>
      </c>
      <c r="AL65" s="264"/>
      <c r="AM65" s="264"/>
      <c r="AN65" s="75"/>
    </row>
    <row r="66" spans="1:40" s="6" customFormat="1" ht="11.25" x14ac:dyDescent="0.2">
      <c r="A66" s="56">
        <f t="shared" si="20"/>
        <v>46074</v>
      </c>
      <c r="B66" s="409">
        <f>IF(t&gt;Tmaj,'2025'!Wh/'2025'!Env_an*'2026'!Env_an,0.001*'[4]mon-tableau'!$B$241)</f>
        <v>21.479323723148546</v>
      </c>
      <c r="C66" s="829"/>
      <c r="D66" s="391">
        <f t="shared" si="0"/>
        <v>22.567211639623959</v>
      </c>
      <c r="E66" s="383">
        <f t="shared" si="1"/>
        <v>23.506765903501716</v>
      </c>
      <c r="F66" s="383">
        <f t="shared" si="2"/>
        <v>23.507236629132592</v>
      </c>
      <c r="G66" s="110">
        <f t="shared" si="21"/>
        <v>0.52397974012514448</v>
      </c>
      <c r="H66" s="412" t="b">
        <f>Wh_hp&gt;='2025'!Maxi_hp</f>
        <v>0</v>
      </c>
      <c r="I66" s="388">
        <f>IF(H66,Wh_hp,'2025'!Maxi_hp)</f>
        <v>23.507922443525114</v>
      </c>
      <c r="J66" s="85">
        <f>IF(H66,An,'2025'!An_max)</f>
        <v>2022</v>
      </c>
      <c r="K66" s="197">
        <f t="shared" si="3"/>
        <v>46074</v>
      </c>
      <c r="L66" s="147">
        <f>IF(t&lt;Tvie,1-EXP((T0-t)*PertePVj)+'2025'!Pspv,1-EXP((T0-t)*PertePVj)+Pspv)</f>
        <v>4.8206572165312545E-2</v>
      </c>
      <c r="M66" s="832"/>
      <c r="N66" s="832"/>
      <c r="O66" s="48">
        <f>IF(t&lt;Tnet,'2025'!Resal+('2025'!Salim-'2025'!Resal)*(1-EXP(('2025'!Tnet-t)/('2025'!Tau_j))),Resal+(Salim-Resal)*(1-EXP((Tnet-t)/(Tau_j))))*Salcycl</f>
        <v>3.9969524848069177E-2</v>
      </c>
      <c r="P66" s="169">
        <f>(INDEX(Models!$BJ66:$BT66,,T66)*(1-R66)+INDEX(Models!$BJ66:$BT66,,T66+1)*R66-ERP_i)*Q66*Ramure*Pc/MaxiM</f>
        <v>6.2576654031619802E-5</v>
      </c>
      <c r="Q66" s="304">
        <f t="shared" si="4"/>
        <v>0.6</v>
      </c>
      <c r="R66" s="177">
        <f t="shared" si="5"/>
        <v>4.0316998803890947E-3</v>
      </c>
      <c r="S66" s="799">
        <f t="shared" si="6"/>
        <v>2</v>
      </c>
      <c r="T66" s="176">
        <f t="shared" si="7"/>
        <v>8</v>
      </c>
      <c r="U66" s="250">
        <f t="shared" si="8"/>
        <v>2.0040316998803891</v>
      </c>
      <c r="V66" s="382">
        <f t="shared" si="9"/>
        <v>40.990916390711334</v>
      </c>
      <c r="W66" s="400">
        <f t="shared" si="10"/>
        <v>21.479323723148546</v>
      </c>
      <c r="X66" s="157">
        <f t="shared" si="11"/>
        <v>46074</v>
      </c>
      <c r="Y66" s="383">
        <f t="shared" si="12"/>
        <v>20.894354406730773</v>
      </c>
      <c r="Z66" s="383">
        <f t="shared" si="22"/>
        <v>21.952614712065248</v>
      </c>
      <c r="AA66" s="384">
        <f t="shared" si="13"/>
        <v>23.506765903501716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6.6115058014209929E-2</v>
      </c>
      <c r="AD66" s="230">
        <f>(INDEX(Models!$BJ66:$BT66,,AH66)*(1-AF66)+INDEX(Models!$BJ66:$BT66,,AH66+1)*AF66-ERP_i)*AE66*Ramure*Pc/MaxiM</f>
        <v>6.2576654031619802E-5</v>
      </c>
      <c r="AE66" s="304">
        <f t="shared" si="15"/>
        <v>0.6</v>
      </c>
      <c r="AF66" s="177">
        <f t="shared" si="23"/>
        <v>4.0316998803890947E-3</v>
      </c>
      <c r="AG66" s="799">
        <f t="shared" si="24"/>
        <v>2</v>
      </c>
      <c r="AH66" s="176">
        <f t="shared" si="16"/>
        <v>8</v>
      </c>
      <c r="AI66" s="224">
        <f t="shared" si="17"/>
        <v>2.0040316998803891</v>
      </c>
      <c r="AJ66" s="264" t="b">
        <f t="shared" si="18"/>
        <v>1</v>
      </c>
      <c r="AK66" s="264" t="b">
        <f t="shared" si="19"/>
        <v>1</v>
      </c>
      <c r="AL66" s="264"/>
      <c r="AM66" s="264"/>
      <c r="AN66" s="75"/>
    </row>
    <row r="67" spans="1:40" s="6" customFormat="1" ht="11.25" x14ac:dyDescent="0.2">
      <c r="A67" s="56">
        <f t="shared" si="20"/>
        <v>46075</v>
      </c>
      <c r="B67" s="409">
        <f>IF(t&gt;Tmaj,'2025'!Wh/'2025'!Env_an*'2026'!Env_an,0.001*'[4]mon-tableau'!$B$242)</f>
        <v>33.946037838637125</v>
      </c>
      <c r="C67" s="829"/>
      <c r="D67" s="391">
        <f t="shared" si="0"/>
        <v>35.666025238695212</v>
      </c>
      <c r="E67" s="383">
        <f t="shared" si="1"/>
        <v>37.154341100998181</v>
      </c>
      <c r="F67" s="383">
        <f t="shared" si="2"/>
        <v>37.156010077546682</v>
      </c>
      <c r="G67" s="110">
        <f t="shared" si="21"/>
        <v>0.82153463619653122</v>
      </c>
      <c r="H67" s="412" t="b">
        <f>Wh_hp&gt;='2025'!Maxi_hp</f>
        <v>0</v>
      </c>
      <c r="I67" s="388">
        <f>IF(H67,Wh_hp,'2025'!Maxi_hp)</f>
        <v>42.383788099046349</v>
      </c>
      <c r="J67" s="85">
        <f>IF(H67,An,'2025'!An_max)</f>
        <v>2020</v>
      </c>
      <c r="K67" s="197">
        <f t="shared" si="3"/>
        <v>46075</v>
      </c>
      <c r="L67" s="147">
        <f>IF(t&lt;Tvie,1-EXP((T0-t)*PertePVj)+'2025'!Pspv,1-EXP((T0-t)*PertePVj)+Pspv)</f>
        <v>4.8224813069217998E-2</v>
      </c>
      <c r="M67" s="832"/>
      <c r="N67" s="832"/>
      <c r="O67" s="48">
        <f>IF(t&lt;Tnet,'2025'!Resal+('2025'!Salim-'2025'!Resal)*(1-EXP(('2025'!Tnet-t)/('2025'!Tau_j))),Resal+(Salim-Resal)*(1-EXP((Tnet-t)/(Tau_j))))*Salcycl</f>
        <v>4.0057657280402802E-2</v>
      </c>
      <c r="P67" s="169">
        <f>(INDEX(Models!$BJ67:$BT67,,T67)*(1-R67)+INDEX(Models!$BJ67:$BT67,,T67+1)*R67-ERP_i)*Q67*Ramure*Pc/MaxiM</f>
        <v>6.0287257971889511E-5</v>
      </c>
      <c r="Q67" s="304">
        <f t="shared" si="4"/>
        <v>0.6</v>
      </c>
      <c r="R67" s="177">
        <f t="shared" si="5"/>
        <v>4.2645471394586743E-3</v>
      </c>
      <c r="S67" s="799">
        <f t="shared" si="6"/>
        <v>2</v>
      </c>
      <c r="T67" s="176">
        <f t="shared" si="7"/>
        <v>8</v>
      </c>
      <c r="U67" s="250">
        <f t="shared" si="8"/>
        <v>2.0042645471394587</v>
      </c>
      <c r="V67" s="382">
        <f t="shared" si="9"/>
        <v>41.319640824378311</v>
      </c>
      <c r="W67" s="400">
        <f t="shared" si="10"/>
        <v>33.946037838637125</v>
      </c>
      <c r="X67" s="157">
        <f t="shared" si="11"/>
        <v>46075</v>
      </c>
      <c r="Y67" s="383">
        <f t="shared" si="12"/>
        <v>33.022505479281712</v>
      </c>
      <c r="Z67" s="383">
        <f t="shared" si="22"/>
        <v>34.695699081807724</v>
      </c>
      <c r="AA67" s="384">
        <f t="shared" si="13"/>
        <v>37.154341100998181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6.6173748378608829E-2</v>
      </c>
      <c r="AD67" s="230">
        <f>(INDEX(Models!$BJ67:$BT67,,AH67)*(1-AF67)+INDEX(Models!$BJ67:$BT67,,AH67+1)*AF67-ERP_i)*AE67*Ramure*Pc/MaxiM</f>
        <v>6.0287257971889511E-5</v>
      </c>
      <c r="AE67" s="304">
        <f t="shared" si="15"/>
        <v>0.6</v>
      </c>
      <c r="AF67" s="177">
        <f t="shared" si="23"/>
        <v>4.2645471394586743E-3</v>
      </c>
      <c r="AG67" s="799">
        <f t="shared" si="24"/>
        <v>2</v>
      </c>
      <c r="AH67" s="176">
        <f t="shared" si="16"/>
        <v>8</v>
      </c>
      <c r="AI67" s="224">
        <f t="shared" si="17"/>
        <v>2.0042645471394587</v>
      </c>
      <c r="AJ67" s="264" t="b">
        <f t="shared" si="18"/>
        <v>1</v>
      </c>
      <c r="AK67" s="264" t="b">
        <f t="shared" si="19"/>
        <v>1</v>
      </c>
      <c r="AL67" s="264"/>
      <c r="AM67" s="264"/>
      <c r="AN67" s="75"/>
    </row>
    <row r="68" spans="1:40" s="6" customFormat="1" ht="11.25" x14ac:dyDescent="0.2">
      <c r="A68" s="56">
        <f t="shared" si="20"/>
        <v>46076</v>
      </c>
      <c r="B68" s="409">
        <f>IF(t&gt;Tmaj,'2025'!Wh/'2025'!Env_an*'2026'!Env_an,0.001*'[4]mon-tableau'!$B$243)</f>
        <v>36.070450608802084</v>
      </c>
      <c r="C68" s="829"/>
      <c r="D68" s="391">
        <f t="shared" si="0"/>
        <v>37.898804675006517</v>
      </c>
      <c r="E68" s="383">
        <f t="shared" si="1"/>
        <v>39.483913173658095</v>
      </c>
      <c r="F68" s="383">
        <f t="shared" si="2"/>
        <v>39.485765518399624</v>
      </c>
      <c r="G68" s="110">
        <f t="shared" si="21"/>
        <v>0.86609507335663294</v>
      </c>
      <c r="H68" s="412" t="b">
        <f>Wh_hp&gt;='2025'!Maxi_hp</f>
        <v>0</v>
      </c>
      <c r="I68" s="388">
        <f>IF(H68,Wh_hp,'2025'!Maxi_hp)</f>
        <v>44.04907717434498</v>
      </c>
      <c r="J68" s="85">
        <f>IF(H68,An,'2025'!An_max)</f>
        <v>2020</v>
      </c>
      <c r="K68" s="197">
        <f t="shared" si="3"/>
        <v>46076</v>
      </c>
      <c r="L68" s="147">
        <f>IF(t&lt;Tvie,1-EXP((T0-t)*PertePVj)+'2025'!Pspv,1-EXP((T0-t)*PertePVj)+Pspv)</f>
        <v>4.8243053623540755E-2</v>
      </c>
      <c r="M68" s="832"/>
      <c r="N68" s="832"/>
      <c r="O68" s="48">
        <f>IF(t&lt;Tnet,'2025'!Resal+('2025'!Salim-'2025'!Resal)*(1-EXP(('2025'!Tnet-t)/('2025'!Tau_j))),Resal+(Salim-Resal)*(1-EXP((Tnet-t)/(Tau_j))))*Salcycl</f>
        <v>4.0145678866224659E-2</v>
      </c>
      <c r="P68" s="169">
        <f>(INDEX(Models!$BJ68:$BT68,,T68)*(1-R68)+INDEX(Models!$BJ68:$BT68,,T68+1)*R68-ERP_i)*Q68*Ramure*Pc/MaxiM</f>
        <v>5.8007286004206377E-5</v>
      </c>
      <c r="Q68" s="304">
        <f t="shared" si="4"/>
        <v>0.6</v>
      </c>
      <c r="R68" s="177">
        <f t="shared" si="5"/>
        <v>4.5069299998363732E-3</v>
      </c>
      <c r="S68" s="799">
        <f t="shared" si="6"/>
        <v>2</v>
      </c>
      <c r="T68" s="176">
        <f t="shared" si="7"/>
        <v>8</v>
      </c>
      <c r="U68" s="250">
        <f t="shared" si="8"/>
        <v>2.0045069299998364</v>
      </c>
      <c r="V68" s="382">
        <f t="shared" si="9"/>
        <v>41.646756201684411</v>
      </c>
      <c r="W68" s="400">
        <f t="shared" si="10"/>
        <v>36.070450608802084</v>
      </c>
      <c r="X68" s="157">
        <f t="shared" si="11"/>
        <v>46076</v>
      </c>
      <c r="Y68" s="383">
        <f t="shared" si="12"/>
        <v>35.090137198381072</v>
      </c>
      <c r="Z68" s="383">
        <f t="shared" si="22"/>
        <v>36.868800728985143</v>
      </c>
      <c r="AA68" s="384">
        <f t="shared" si="13"/>
        <v>39.483913173658095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6.6232352228391661E-2</v>
      </c>
      <c r="AD68" s="230">
        <f>(INDEX(Models!$BJ68:$BT68,,AH68)*(1-AF68)+INDEX(Models!$BJ68:$BT68,,AH68+1)*AF68-ERP_i)*AE68*Ramure*Pc/MaxiM</f>
        <v>5.8007286004206377E-5</v>
      </c>
      <c r="AE68" s="304">
        <f t="shared" si="15"/>
        <v>0.6</v>
      </c>
      <c r="AF68" s="177">
        <f t="shared" si="23"/>
        <v>4.5069299998363732E-3</v>
      </c>
      <c r="AG68" s="799">
        <f t="shared" si="24"/>
        <v>2</v>
      </c>
      <c r="AH68" s="176">
        <f t="shared" si="16"/>
        <v>8</v>
      </c>
      <c r="AI68" s="224">
        <f t="shared" si="17"/>
        <v>2.0045069299998364</v>
      </c>
      <c r="AJ68" s="264" t="b">
        <f t="shared" si="18"/>
        <v>1</v>
      </c>
      <c r="AK68" s="264" t="b">
        <f t="shared" si="19"/>
        <v>1</v>
      </c>
      <c r="AL68" s="264"/>
      <c r="AM68" s="264"/>
      <c r="AN68" s="75"/>
    </row>
    <row r="69" spans="1:40" s="6" customFormat="1" ht="11.25" x14ac:dyDescent="0.2">
      <c r="A69" s="56">
        <f t="shared" si="20"/>
        <v>46077</v>
      </c>
      <c r="B69" s="409">
        <f>IF(t&gt;Tmaj,'2025'!Wh/'2025'!Env_an*'2026'!Env_an,0.001*'[4]mon-tableau'!$B$244)</f>
        <v>24.863287130551068</v>
      </c>
      <c r="C69" s="829"/>
      <c r="D69" s="391">
        <f t="shared" si="0"/>
        <v>26.12406847522416</v>
      </c>
      <c r="E69" s="383">
        <f t="shared" si="1"/>
        <v>27.219194356586094</v>
      </c>
      <c r="F69" s="383">
        <f t="shared" si="2"/>
        <v>27.219828022860558</v>
      </c>
      <c r="G69" s="110">
        <f t="shared" si="21"/>
        <v>0.59235361607024362</v>
      </c>
      <c r="H69" s="412" t="b">
        <f>Wh_hp&gt;='2025'!Maxi_hp</f>
        <v>0</v>
      </c>
      <c r="I69" s="388">
        <f>IF(H69,Wh_hp,'2025'!Maxi_hp)</f>
        <v>42.202501894458955</v>
      </c>
      <c r="J69" s="85">
        <f>IF(H69,An,'2025'!An_max)</f>
        <v>2021</v>
      </c>
      <c r="K69" s="197">
        <f t="shared" si="3"/>
        <v>46077</v>
      </c>
      <c r="L69" s="147">
        <f>IF(t&lt;Tvie,1-EXP((T0-t)*PertePVj)+'2025'!Pspv,1-EXP((T0-t)*PertePVj)+Pspv)</f>
        <v>4.8261293828287366E-2</v>
      </c>
      <c r="M69" s="832"/>
      <c r="N69" s="832"/>
      <c r="O69" s="48">
        <f>IF(t&lt;Tnet,'2025'!Resal+('2025'!Salim-'2025'!Resal)*(1-EXP(('2025'!Tnet-t)/('2025'!Tau_j))),Resal+(Salim-Resal)*(1-EXP((Tnet-t)/(Tau_j))))*Salcycl</f>
        <v>4.0233589099486045E-2</v>
      </c>
      <c r="P69" s="169">
        <f>(INDEX(Models!$BJ69:$BT69,,T69)*(1-R69)+INDEX(Models!$BJ69:$BT69,,T69+1)*R69-ERP_i)*Q69*Ramure*Pc/MaxiM</f>
        <v>5.5736054965933101E-5</v>
      </c>
      <c r="Q69" s="304">
        <f t="shared" si="4"/>
        <v>0.6</v>
      </c>
      <c r="R69" s="177">
        <f t="shared" si="5"/>
        <v>4.759228927054604E-3</v>
      </c>
      <c r="S69" s="799">
        <f t="shared" si="6"/>
        <v>2</v>
      </c>
      <c r="T69" s="176">
        <f t="shared" si="7"/>
        <v>8</v>
      </c>
      <c r="U69" s="250">
        <f t="shared" si="8"/>
        <v>2.0047592289270546</v>
      </c>
      <c r="V69" s="382">
        <f t="shared" si="9"/>
        <v>41.972361546723207</v>
      </c>
      <c r="W69" s="400">
        <f t="shared" si="10"/>
        <v>24.863287130551068</v>
      </c>
      <c r="X69" s="157">
        <f t="shared" si="11"/>
        <v>46077</v>
      </c>
      <c r="Y69" s="383">
        <f t="shared" si="12"/>
        <v>24.188258688822142</v>
      </c>
      <c r="Z69" s="383">
        <f t="shared" si="22"/>
        <v>25.414810317127206</v>
      </c>
      <c r="AA69" s="384">
        <f t="shared" si="13"/>
        <v>27.219194356586094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6.629086870906202E-2</v>
      </c>
      <c r="AD69" s="230">
        <f>(INDEX(Models!$BJ69:$BT69,,AH69)*(1-AF69)+INDEX(Models!$BJ69:$BT69,,AH69+1)*AF69-ERP_i)*AE69*Ramure*Pc/MaxiM</f>
        <v>5.5736054965933101E-5</v>
      </c>
      <c r="AE69" s="304">
        <f t="shared" si="15"/>
        <v>0.6</v>
      </c>
      <c r="AF69" s="177">
        <f t="shared" si="23"/>
        <v>4.759228927054604E-3</v>
      </c>
      <c r="AG69" s="799">
        <f t="shared" si="24"/>
        <v>2</v>
      </c>
      <c r="AH69" s="176">
        <f t="shared" si="16"/>
        <v>8</v>
      </c>
      <c r="AI69" s="224">
        <f t="shared" si="17"/>
        <v>2.0047592289270546</v>
      </c>
      <c r="AJ69" s="264" t="b">
        <f t="shared" si="18"/>
        <v>1</v>
      </c>
      <c r="AK69" s="264" t="b">
        <f t="shared" si="19"/>
        <v>1</v>
      </c>
      <c r="AL69" s="264"/>
      <c r="AM69" s="264"/>
      <c r="AN69" s="75"/>
    </row>
    <row r="70" spans="1:40" s="6" customFormat="1" ht="11.25" x14ac:dyDescent="0.2">
      <c r="A70" s="56">
        <f t="shared" si="20"/>
        <v>46078</v>
      </c>
      <c r="B70" s="409">
        <f>IF(t&gt;Tmaj,'2025'!Wh/'2025'!Env_an*'2026'!Env_an,0.001*'[4]mon-tableau'!$B$245)</f>
        <v>29.457524522564437</v>
      </c>
      <c r="C70" s="829"/>
      <c r="D70" s="391">
        <f t="shared" si="0"/>
        <v>30.95186618879233</v>
      </c>
      <c r="E70" s="383">
        <f t="shared" si="1"/>
        <v>32.252324691098188</v>
      </c>
      <c r="F70" s="383">
        <f t="shared" si="2"/>
        <v>32.253301480548139</v>
      </c>
      <c r="G70" s="110">
        <f t="shared" si="21"/>
        <v>0.69643593612470611</v>
      </c>
      <c r="H70" s="412" t="b">
        <f>Wh_hp&gt;='2025'!Maxi_hp</f>
        <v>0</v>
      </c>
      <c r="I70" s="388">
        <f>IF(H70,Wh_hp,'2025'!Maxi_hp)</f>
        <v>38.963373237809762</v>
      </c>
      <c r="J70" s="85">
        <f>IF(H70,An,'2025'!An_max)</f>
        <v>2021</v>
      </c>
      <c r="K70" s="197">
        <f t="shared" si="3"/>
        <v>46078</v>
      </c>
      <c r="L70" s="147">
        <f>IF(t&lt;Tvie,1-EXP((T0-t)*PertePVj)+'2025'!Pspv,1-EXP((T0-t)*PertePVj)+Pspv)</f>
        <v>4.8279533683464715E-2</v>
      </c>
      <c r="M70" s="832"/>
      <c r="N70" s="832"/>
      <c r="O70" s="48">
        <f>IF(t&lt;Tnet,'2025'!Resal+('2025'!Salim-'2025'!Resal)*(1-EXP(('2025'!Tnet-t)/('2025'!Tau_j))),Resal+(Salim-Resal)*(1-EXP((Tnet-t)/(Tau_j))))*Salcycl</f>
        <v>4.0321388140582365E-2</v>
      </c>
      <c r="P70" s="169">
        <f>(INDEX(Models!$BJ70:$BT70,,T70)*(1-R70)+INDEX(Models!$BJ70:$BT70,,T70+1)*R70-ERP_i)*Q70*Ramure*Pc/MaxiM</f>
        <v>5.3472946675847758E-5</v>
      </c>
      <c r="Q70" s="304">
        <f t="shared" si="4"/>
        <v>0.6</v>
      </c>
      <c r="R70" s="177">
        <f t="shared" si="5"/>
        <v>5.0218387191907077E-3</v>
      </c>
      <c r="S70" s="799">
        <f t="shared" si="6"/>
        <v>2</v>
      </c>
      <c r="T70" s="176">
        <f t="shared" si="7"/>
        <v>8</v>
      </c>
      <c r="U70" s="250">
        <f t="shared" si="8"/>
        <v>2.0050218387191907</v>
      </c>
      <c r="V70" s="382">
        <f t="shared" si="9"/>
        <v>42.296555810503499</v>
      </c>
      <c r="W70" s="400">
        <f t="shared" si="10"/>
        <v>29.457524522564437</v>
      </c>
      <c r="X70" s="157">
        <f t="shared" si="11"/>
        <v>46078</v>
      </c>
      <c r="Y70" s="383">
        <f t="shared" si="12"/>
        <v>28.65859268699008</v>
      </c>
      <c r="Z70" s="383">
        <f t="shared" si="22"/>
        <v>30.112405586808553</v>
      </c>
      <c r="AA70" s="384">
        <f t="shared" si="13"/>
        <v>32.252324691098188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6.6349298067195278E-2</v>
      </c>
      <c r="AD70" s="230">
        <f>(INDEX(Models!$BJ70:$BT70,,AH70)*(1-AF70)+INDEX(Models!$BJ70:$BT70,,AH70+1)*AF70-ERP_i)*AE70*Ramure*Pc/MaxiM</f>
        <v>5.3472946675847758E-5</v>
      </c>
      <c r="AE70" s="304">
        <f t="shared" si="15"/>
        <v>0.6</v>
      </c>
      <c r="AF70" s="177">
        <f t="shared" si="23"/>
        <v>5.0218387191907077E-3</v>
      </c>
      <c r="AG70" s="799">
        <f t="shared" si="24"/>
        <v>2</v>
      </c>
      <c r="AH70" s="176">
        <f t="shared" si="16"/>
        <v>8</v>
      </c>
      <c r="AI70" s="224">
        <f t="shared" si="17"/>
        <v>2.0050218387191907</v>
      </c>
      <c r="AJ70" s="264" t="b">
        <f t="shared" si="18"/>
        <v>1</v>
      </c>
      <c r="AK70" s="264" t="b">
        <f t="shared" si="19"/>
        <v>1</v>
      </c>
      <c r="AL70" s="264"/>
      <c r="AM70" s="264"/>
      <c r="AN70" s="75"/>
    </row>
    <row r="71" spans="1:40" s="6" customFormat="1" ht="11.25" x14ac:dyDescent="0.2">
      <c r="A71" s="56">
        <f t="shared" si="20"/>
        <v>46079</v>
      </c>
      <c r="B71" s="409">
        <f>IF(t&gt;Tmaj,'2025'!Wh/'2025'!Env_an*'2026'!Env_an,0.001*'[4]mon-tableau'!$B$246)</f>
        <v>44.300698697562623</v>
      </c>
      <c r="C71" s="829"/>
      <c r="D71" s="391">
        <f t="shared" si="0"/>
        <v>46.548907262737821</v>
      </c>
      <c r="E71" s="383">
        <f t="shared" si="1"/>
        <v>48.509115853585079</v>
      </c>
      <c r="F71" s="383">
        <f t="shared" si="2"/>
        <v>48.511600491772313</v>
      </c>
      <c r="G71" s="110">
        <f t="shared" si="21"/>
        <v>1.0394482169514443</v>
      </c>
      <c r="H71" s="412" t="b">
        <f>Wh_hp&gt;='2025'!Maxi_hp</f>
        <v>1</v>
      </c>
      <c r="I71" s="388">
        <f>IF(H71,Wh_hp,'2025'!Maxi_hp)</f>
        <v>48.511600491772313</v>
      </c>
      <c r="J71" s="85">
        <f>IF(H71,An,'2025'!An_max)</f>
        <v>2026</v>
      </c>
      <c r="K71" s="197">
        <f t="shared" si="3"/>
        <v>46079</v>
      </c>
      <c r="L71" s="147">
        <f>IF(t&lt;Tvie,1-EXP((T0-t)*PertePVj)+'2025'!Pspv,1-EXP((T0-t)*PertePVj)+Pspv)</f>
        <v>4.8297773189079352E-2</v>
      </c>
      <c r="M71" s="832"/>
      <c r="N71" s="832"/>
      <c r="O71" s="48">
        <f>IF(t&lt;Tnet,'2025'!Resal+('2025'!Salim-'2025'!Resal)*(1-EXP(('2025'!Tnet-t)/('2025'!Tau_j))),Resal+(Salim-Resal)*(1-EXP((Tnet-t)/(Tau_j))))*Salcycl</f>
        <v>4.0409076858125989E-2</v>
      </c>
      <c r="P71" s="169">
        <f>(INDEX(Models!$BJ71:$BT71,,T71)*(1-R71)+INDEX(Models!$BJ71:$BT71,,T71+1)*R71-ERP_i)*Q71*Ramure*Pc/MaxiM</f>
        <v>5.1217402890158058E-5</v>
      </c>
      <c r="Q71" s="304">
        <f t="shared" si="4"/>
        <v>0.6</v>
      </c>
      <c r="R71" s="177">
        <f t="shared" si="5"/>
        <v>5.2951689747557928E-3</v>
      </c>
      <c r="S71" s="799">
        <f t="shared" si="6"/>
        <v>2</v>
      </c>
      <c r="T71" s="176">
        <f t="shared" si="7"/>
        <v>8</v>
      </c>
      <c r="U71" s="250">
        <f t="shared" si="8"/>
        <v>2.0052951689747558</v>
      </c>
      <c r="V71" s="382">
        <f t="shared" si="9"/>
        <v>42.619437866265571</v>
      </c>
      <c r="W71" s="400">
        <f t="shared" si="10"/>
        <v>44.300698697562623</v>
      </c>
      <c r="X71" s="157">
        <f t="shared" si="11"/>
        <v>46079</v>
      </c>
      <c r="Y71" s="383">
        <f t="shared" si="12"/>
        <v>43.100442879816057</v>
      </c>
      <c r="Z71" s="383">
        <f t="shared" si="22"/>
        <v>45.287739868217237</v>
      </c>
      <c r="AA71" s="384">
        <f t="shared" si="13"/>
        <v>48.509115853585079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6.6407641711939469E-2</v>
      </c>
      <c r="AD71" s="230">
        <f>(INDEX(Models!$BJ71:$BT71,,AH71)*(1-AF71)+INDEX(Models!$BJ71:$BT71,,AH71+1)*AF71-ERP_i)*AE71*Ramure*Pc/MaxiM</f>
        <v>5.1217402890158058E-5</v>
      </c>
      <c r="AE71" s="304">
        <f t="shared" si="15"/>
        <v>0.6</v>
      </c>
      <c r="AF71" s="177">
        <f t="shared" si="23"/>
        <v>5.2951689747557928E-3</v>
      </c>
      <c r="AG71" s="799">
        <f t="shared" si="24"/>
        <v>2</v>
      </c>
      <c r="AH71" s="176">
        <f t="shared" si="16"/>
        <v>8</v>
      </c>
      <c r="AI71" s="224">
        <f t="shared" si="17"/>
        <v>2.0052951689747558</v>
      </c>
      <c r="AJ71" s="264" t="b">
        <f t="shared" si="18"/>
        <v>1</v>
      </c>
      <c r="AK71" s="264" t="b">
        <f t="shared" si="19"/>
        <v>1</v>
      </c>
      <c r="AL71" s="264"/>
      <c r="AM71" s="264"/>
      <c r="AN71" s="75"/>
    </row>
    <row r="72" spans="1:40" s="6" customFormat="1" ht="11.25" x14ac:dyDescent="0.2">
      <c r="A72" s="56">
        <f t="shared" si="20"/>
        <v>46080</v>
      </c>
      <c r="B72" s="409">
        <f>IF(t&gt;Tmaj,'2025'!Wh/'2025'!Env_an*'2026'!Env_an,0.001*'[4]mon-tableau'!$B$247)</f>
        <v>26.095204463052315</v>
      </c>
      <c r="C72" s="829"/>
      <c r="D72" s="391">
        <f t="shared" si="0"/>
        <v>27.420031020334882</v>
      </c>
      <c r="E72" s="383">
        <f t="shared" si="1"/>
        <v>28.577316813481058</v>
      </c>
      <c r="F72" s="383">
        <f t="shared" si="2"/>
        <v>28.577932505023046</v>
      </c>
      <c r="G72" s="110">
        <f t="shared" si="21"/>
        <v>0.60768086614620109</v>
      </c>
      <c r="H72" s="412" t="b">
        <f>Wh_hp&gt;='2025'!Maxi_hp</f>
        <v>0</v>
      </c>
      <c r="I72" s="388">
        <f>IF(H72,Wh_hp,'2025'!Maxi_hp)</f>
        <v>44.999579692306305</v>
      </c>
      <c r="J72" s="85">
        <f>IF(H72,An,'2025'!An_max)</f>
        <v>2021</v>
      </c>
      <c r="K72" s="197">
        <f t="shared" si="3"/>
        <v>46080</v>
      </c>
      <c r="L72" s="147">
        <f>IF(t&lt;Tvie,1-EXP((T0-t)*PertePVj)+'2025'!Pspv,1-EXP((T0-t)*PertePVj)+Pspv)</f>
        <v>4.8316012345137938E-2</v>
      </c>
      <c r="M72" s="832"/>
      <c r="N72" s="832"/>
      <c r="O72" s="48">
        <f>IF(t&lt;Tnet,'2025'!Resal+('2025'!Salim-'2025'!Resal)*(1-EXP(('2025'!Tnet-t)/('2025'!Tau_j))),Resal+(Salim-Resal)*(1-EXP((Tnet-t)/(Tau_j))))*Salcycl</f>
        <v>4.04966568659881E-2</v>
      </c>
      <c r="P72" s="169">
        <f>(INDEX(Models!$BJ72:$BT72,,T72)*(1-R72)+INDEX(Models!$BJ72:$BT72,,T72+1)*R72-ERP_i)*Q72*Ramure*Pc/MaxiM</f>
        <v>4.9012445304925933E-5</v>
      </c>
      <c r="Q72" s="304">
        <f t="shared" si="4"/>
        <v>0.6</v>
      </c>
      <c r="R72" s="177">
        <f t="shared" si="5"/>
        <v>5.5796445695661667E-3</v>
      </c>
      <c r="S72" s="799">
        <f t="shared" si="6"/>
        <v>2</v>
      </c>
      <c r="T72" s="176">
        <f t="shared" si="7"/>
        <v>8</v>
      </c>
      <c r="U72" s="250">
        <f t="shared" si="8"/>
        <v>2.0055796445695662</v>
      </c>
      <c r="V72" s="382">
        <f t="shared" si="9"/>
        <v>42.941104639708783</v>
      </c>
      <c r="W72" s="400">
        <f t="shared" si="10"/>
        <v>26.095204463052315</v>
      </c>
      <c r="X72" s="157">
        <f t="shared" si="11"/>
        <v>46080</v>
      </c>
      <c r="Y72" s="383">
        <f t="shared" si="12"/>
        <v>25.388929937408641</v>
      </c>
      <c r="Z72" s="383">
        <f t="shared" si="22"/>
        <v>26.677899667064899</v>
      </c>
      <c r="AA72" s="384">
        <f t="shared" si="13"/>
        <v>28.577316813481058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6.6465902268337804E-2</v>
      </c>
      <c r="AD72" s="230">
        <f>(INDEX(Models!$BJ72:$BT72,,AH72)*(1-AF72)+INDEX(Models!$BJ72:$BT72,,AH72+1)*AF72-ERP_i)*AE72*Ramure*Pc/MaxiM</f>
        <v>4.9012445304925933E-5</v>
      </c>
      <c r="AE72" s="304">
        <f t="shared" si="15"/>
        <v>0.6</v>
      </c>
      <c r="AF72" s="177">
        <f t="shared" si="23"/>
        <v>5.5796445695661667E-3</v>
      </c>
      <c r="AG72" s="799">
        <f t="shared" si="24"/>
        <v>2</v>
      </c>
      <c r="AH72" s="176">
        <f t="shared" si="16"/>
        <v>8</v>
      </c>
      <c r="AI72" s="224">
        <f t="shared" si="17"/>
        <v>2.0055796445695662</v>
      </c>
      <c r="AJ72" s="264" t="b">
        <f t="shared" si="18"/>
        <v>1</v>
      </c>
      <c r="AK72" s="264" t="b">
        <f t="shared" si="19"/>
        <v>1</v>
      </c>
      <c r="AL72" s="264"/>
      <c r="AM72" s="264"/>
      <c r="AN72" s="75"/>
    </row>
    <row r="73" spans="1:40" s="6" customFormat="1" ht="11.25" x14ac:dyDescent="0.2">
      <c r="A73" s="56">
        <f t="shared" si="20"/>
        <v>46081</v>
      </c>
      <c r="B73" s="409">
        <f>IF(t&gt;Tmaj,'2025'!Wh/'2025'!Env_an*'2026'!Env_an,0.001*'[4]mon-tableau'!$B$248)</f>
        <v>37.308162463353007</v>
      </c>
      <c r="C73" s="829"/>
      <c r="D73" s="391">
        <f t="shared" si="0"/>
        <v>39.203010624792427</v>
      </c>
      <c r="E73" s="383">
        <f t="shared" si="1"/>
        <v>40.861332268231209</v>
      </c>
      <c r="F73" s="383">
        <f t="shared" si="2"/>
        <v>40.862873833597341</v>
      </c>
      <c r="G73" s="110">
        <f t="shared" si="21"/>
        <v>0.86237620623418487</v>
      </c>
      <c r="H73" s="412" t="b">
        <f>Wh_hp&gt;='2025'!Maxi_hp</f>
        <v>0</v>
      </c>
      <c r="I73" s="388">
        <f>IF(H73,Wh_hp,'2025'!Maxi_hp)</f>
        <v>40.863117136509821</v>
      </c>
      <c r="J73" s="85">
        <f>IF(H73,An,'2025'!An_max)</f>
        <v>2022</v>
      </c>
      <c r="K73" s="197">
        <f t="shared" si="3"/>
        <v>46081</v>
      </c>
      <c r="L73" s="147">
        <f>IF(t&lt;Tvie,1-EXP((T0-t)*PertePVj)+'2025'!Pspv,1-EXP((T0-t)*PertePVj)+Pspv)</f>
        <v>4.8334251151647356E-2</v>
      </c>
      <c r="M73" s="832"/>
      <c r="N73" s="832"/>
      <c r="O73" s="48">
        <f>IF(t&lt;Tnet,'2025'!Resal+('2025'!Salim-'2025'!Resal)*(1-EXP(('2025'!Tnet-t)/('2025'!Tau_j))),Resal+(Salim-Resal)*(1-EXP((Tnet-t)/(Tau_j))))*Salcycl</f>
        <v>4.0584130555334004E-2</v>
      </c>
      <c r="P73" s="169">
        <f>(INDEX(Models!$BJ73:$BT73,,T73)*(1-R73)+INDEX(Models!$BJ73:$BT73,,T73+1)*R73-ERP_i)*Q73*Ramure*Pc/MaxiM</f>
        <v>4.6956745834810533E-5</v>
      </c>
      <c r="Q73" s="304">
        <f t="shared" si="4"/>
        <v>0.6</v>
      </c>
      <c r="R73" s="177">
        <f t="shared" si="5"/>
        <v>5.8757061421537138E-3</v>
      </c>
      <c r="S73" s="799">
        <f t="shared" si="6"/>
        <v>2</v>
      </c>
      <c r="T73" s="176">
        <f t="shared" si="7"/>
        <v>8</v>
      </c>
      <c r="U73" s="250">
        <f t="shared" si="8"/>
        <v>2.0058757061421537</v>
      </c>
      <c r="V73" s="382">
        <f t="shared" si="9"/>
        <v>43.261650511071345</v>
      </c>
      <c r="W73" s="400">
        <f t="shared" si="10"/>
        <v>37.308162463353007</v>
      </c>
      <c r="X73" s="157">
        <f t="shared" si="11"/>
        <v>46081</v>
      </c>
      <c r="Y73" s="383">
        <f t="shared" si="12"/>
        <v>36.299452878564949</v>
      </c>
      <c r="Z73" s="383">
        <f t="shared" si="22"/>
        <v>38.143069583509039</v>
      </c>
      <c r="AA73" s="384">
        <f t="shared" si="13"/>
        <v>40.861332268231209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6.6524083622098565E-2</v>
      </c>
      <c r="AD73" s="230">
        <f>(INDEX(Models!$BJ73:$BT73,,AH73)*(1-AF73)+INDEX(Models!$BJ73:$BT73,,AH73+1)*AF73-ERP_i)*AE73*Ramure*Pc/MaxiM</f>
        <v>4.6956745834810533E-5</v>
      </c>
      <c r="AE73" s="304">
        <f t="shared" si="15"/>
        <v>0.6</v>
      </c>
      <c r="AF73" s="177">
        <f t="shared" si="23"/>
        <v>5.8757061421537138E-3</v>
      </c>
      <c r="AG73" s="799">
        <f t="shared" si="24"/>
        <v>2</v>
      </c>
      <c r="AH73" s="176">
        <f t="shared" si="16"/>
        <v>8</v>
      </c>
      <c r="AI73" s="224">
        <f t="shared" si="17"/>
        <v>2.0058757061421537</v>
      </c>
      <c r="AJ73" s="264" t="b">
        <f t="shared" si="18"/>
        <v>1</v>
      </c>
      <c r="AK73" s="264" t="b">
        <f t="shared" si="19"/>
        <v>1</v>
      </c>
      <c r="AL73" s="264"/>
      <c r="AM73" s="264"/>
      <c r="AN73" s="75"/>
    </row>
    <row r="74" spans="1:40" s="6" customFormat="1" ht="11.25" x14ac:dyDescent="0.2">
      <c r="A74" s="56">
        <f t="shared" si="20"/>
        <v>46082</v>
      </c>
      <c r="B74" s="409">
        <f>IF(t&gt;Tmaj,'2025'!Wh/'2025'!Env_an*'2026'!Env_an,0.001*'[5]mon-tableau'!$B$242)</f>
        <v>42.26767233640733</v>
      </c>
      <c r="C74" s="829"/>
      <c r="D74" s="391">
        <f t="shared" si="0"/>
        <v>44.415260771316291</v>
      </c>
      <c r="E74" s="383">
        <f t="shared" si="1"/>
        <v>46.298281374145255</v>
      </c>
      <c r="F74" s="383">
        <f t="shared" si="2"/>
        <v>46.300277257568887</v>
      </c>
      <c r="G74" s="110">
        <f t="shared" si="21"/>
        <v>0.96985891784237555</v>
      </c>
      <c r="H74" s="412" t="b">
        <f>Wh_hp&gt;='2025'!Maxi_hp</f>
        <v>0</v>
      </c>
      <c r="I74" s="388">
        <f>IF(H74,Wh_hp,'2025'!Maxi_hp)</f>
        <v>46.300334532075077</v>
      </c>
      <c r="J74" s="85">
        <f>IF(H74,An,'2025'!An_max)</f>
        <v>2022</v>
      </c>
      <c r="K74" s="197">
        <f t="shared" si="3"/>
        <v>46082</v>
      </c>
      <c r="L74" s="147">
        <f>IF(t&lt;Tvie,1-EXP((T0-t)*PertePVj)+'2025'!Pspv,1-EXP((T0-t)*PertePVj)+Pspv)</f>
        <v>4.8352489608614158E-2</v>
      </c>
      <c r="M74" s="832"/>
      <c r="N74" s="832"/>
      <c r="O74" s="48">
        <f>IF(t&lt;Tnet,'2025'!Resal+('2025'!Salim-'2025'!Resal)*(1-EXP(('2025'!Tnet-t)/('2025'!Tau_j))),Resal+(Salim-Resal)*(1-EXP((Tnet-t)/(Tau_j))))*Salcycl</f>
        <v>4.067150112143296E-2</v>
      </c>
      <c r="P74" s="169">
        <f>(INDEX(Models!$BJ74:$BT74,,T74)*(1-R74)+INDEX(Models!$BJ74:$BT74,,T74+1)*R74-ERP_i)*Q74*Ramure*Pc/MaxiM</f>
        <v>4.5046915247331667E-5</v>
      </c>
      <c r="Q74" s="304">
        <f t="shared" si="4"/>
        <v>0.6</v>
      </c>
      <c r="R74" s="177">
        <f t="shared" si="5"/>
        <v>6.1838105872125126E-3</v>
      </c>
      <c r="S74" s="799">
        <f t="shared" si="6"/>
        <v>2</v>
      </c>
      <c r="T74" s="176">
        <f t="shared" si="7"/>
        <v>8</v>
      </c>
      <c r="U74" s="250">
        <f t="shared" si="8"/>
        <v>2.0061838105872125</v>
      </c>
      <c r="V74" s="382">
        <f t="shared" si="9"/>
        <v>43.581174102169285</v>
      </c>
      <c r="W74" s="400">
        <f t="shared" si="10"/>
        <v>42.26767233640733</v>
      </c>
      <c r="X74" s="157">
        <f t="shared" si="11"/>
        <v>46082</v>
      </c>
      <c r="Y74" s="383">
        <f t="shared" si="12"/>
        <v>41.126056561207996</v>
      </c>
      <c r="Z74" s="383">
        <f t="shared" si="22"/>
        <v>43.215640362778871</v>
      </c>
      <c r="AA74" s="384">
        <f t="shared" si="13"/>
        <v>46.298281374145255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6.6582190955533971E-2</v>
      </c>
      <c r="AD74" s="230">
        <f>(INDEX(Models!$BJ74:$BT74,,AH74)*(1-AF74)+INDEX(Models!$BJ74:$BT74,,AH74+1)*AF74-ERP_i)*AE74*Ramure*Pc/MaxiM</f>
        <v>4.5046915247331667E-5</v>
      </c>
      <c r="AE74" s="304">
        <f t="shared" si="15"/>
        <v>0.6</v>
      </c>
      <c r="AF74" s="177">
        <f t="shared" si="23"/>
        <v>6.1838105872125126E-3</v>
      </c>
      <c r="AG74" s="799">
        <f t="shared" si="24"/>
        <v>2</v>
      </c>
      <c r="AH74" s="176">
        <f t="shared" si="16"/>
        <v>8</v>
      </c>
      <c r="AI74" s="224">
        <f t="shared" si="17"/>
        <v>2.0061838105872125</v>
      </c>
      <c r="AJ74" s="264" t="b">
        <f t="shared" si="18"/>
        <v>1</v>
      </c>
      <c r="AK74" s="264" t="b">
        <f t="shared" si="19"/>
        <v>1</v>
      </c>
      <c r="AL74" s="264"/>
      <c r="AM74" s="264"/>
      <c r="AN74" s="75"/>
    </row>
    <row r="75" spans="1:40" s="6" customFormat="1" ht="11.25" x14ac:dyDescent="0.2">
      <c r="A75" s="56">
        <f t="shared" si="20"/>
        <v>46083</v>
      </c>
      <c r="B75" s="409">
        <f>IF(t&gt;Tmaj,'2025'!Wh/'2025'!Env_an*'2026'!Env_an,0.001*'[5]mon-tableau'!$B$243)</f>
        <v>12.396566573677115</v>
      </c>
      <c r="C75" s="829"/>
      <c r="D75" s="391">
        <f t="shared" si="0"/>
        <v>13.026676390402299</v>
      </c>
      <c r="E75" s="383">
        <f t="shared" si="1"/>
        <v>13.580188192607379</v>
      </c>
      <c r="F75" s="383">
        <f t="shared" si="2"/>
        <v>13.580188192607379</v>
      </c>
      <c r="G75" s="110">
        <f t="shared" si="21"/>
        <v>0.28237115910569055</v>
      </c>
      <c r="H75" s="412" t="b">
        <f>Wh_hp&gt;='2025'!Maxi_hp</f>
        <v>0</v>
      </c>
      <c r="I75" s="388">
        <f>IF(H75,Wh_hp,'2025'!Maxi_hp)</f>
        <v>33.645098322767872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4.8370727716045225E-2</v>
      </c>
      <c r="M75" s="832"/>
      <c r="N75" s="832"/>
      <c r="O75" s="48">
        <f>IF(t&lt;Tnet,'2025'!Resal+('2025'!Salim-'2025'!Resal)*(1-EXP(('2025'!Tnet-t)/('2025'!Tau_j))),Resal+(Salim-Resal)*(1-EXP((Tnet-t)/(Tau_j))))*Salcycl</f>
        <v>4.0758772585080497E-2</v>
      </c>
      <c r="P75" s="169">
        <f>(INDEX(Models!$BJ75:$BT75,,T75)*(1-R75)+INDEX(Models!$BJ75:$BT75,,T75+1)*R75-ERP_i)*Q75*Ramure*Pc/MaxiM</f>
        <v>4.3279713840344112E-5</v>
      </c>
      <c r="Q75" s="304">
        <f t="shared" si="4"/>
        <v>0.6</v>
      </c>
      <c r="R75" s="177">
        <f t="shared" si="5"/>
        <v>6.5044315564741773E-3</v>
      </c>
      <c r="S75" s="799">
        <f t="shared" si="6"/>
        <v>2</v>
      </c>
      <c r="T75" s="176">
        <f t="shared" si="7"/>
        <v>8</v>
      </c>
      <c r="U75" s="250">
        <f t="shared" si="8"/>
        <v>2.0065044315564742</v>
      </c>
      <c r="V75" s="382">
        <f t="shared" si="9"/>
        <v>43.899773946755694</v>
      </c>
      <c r="W75" s="400">
        <f t="shared" si="10"/>
        <v>12.396566573677115</v>
      </c>
      <c r="X75" s="157">
        <f t="shared" si="11"/>
        <v>46083</v>
      </c>
      <c r="Y75" s="383">
        <f t="shared" si="12"/>
        <v>12.062092605816673</v>
      </c>
      <c r="Z75" s="383">
        <f t="shared" si="22"/>
        <v>12.675201317491092</v>
      </c>
      <c r="AA75" s="384">
        <f t="shared" si="13"/>
        <v>13.580188192607379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6.6640230774484513E-2</v>
      </c>
      <c r="AD75" s="230">
        <f>(INDEX(Models!$BJ75:$BT75,,AH75)*(1-AF75)+INDEX(Models!$BJ75:$BT75,,AH75+1)*AF75-ERP_i)*AE75*Ramure*Pc/MaxiM</f>
        <v>4.3279713840344112E-5</v>
      </c>
      <c r="AE75" s="304">
        <f t="shared" si="15"/>
        <v>0.6</v>
      </c>
      <c r="AF75" s="177">
        <f t="shared" si="23"/>
        <v>6.5044315564741773E-3</v>
      </c>
      <c r="AG75" s="799">
        <f t="shared" si="24"/>
        <v>2</v>
      </c>
      <c r="AH75" s="176">
        <f t="shared" si="16"/>
        <v>8</v>
      </c>
      <c r="AI75" s="224">
        <f t="shared" si="17"/>
        <v>2.0065044315564742</v>
      </c>
      <c r="AJ75" s="264" t="b">
        <f t="shared" si="18"/>
        <v>1</v>
      </c>
      <c r="AK75" s="264" t="b">
        <f t="shared" si="19"/>
        <v>1</v>
      </c>
      <c r="AL75" s="264"/>
      <c r="AM75" s="264"/>
      <c r="AN75" s="75"/>
    </row>
    <row r="76" spans="1:40" s="6" customFormat="1" ht="11.25" x14ac:dyDescent="0.2">
      <c r="A76" s="56">
        <f t="shared" si="20"/>
        <v>46084</v>
      </c>
      <c r="B76" s="409">
        <f>IF(t&gt;Tmaj,'2025'!Wh/'2025'!Env_an*'2026'!Env_an,0.001*'[5]mon-tableau'!$B$244)</f>
        <v>34.194824141703876</v>
      </c>
      <c r="C76" s="829"/>
      <c r="D76" s="391">
        <f t="shared" si="0"/>
        <v>35.933614576815522</v>
      </c>
      <c r="E76" s="383">
        <f t="shared" si="1"/>
        <v>37.463861586824621</v>
      </c>
      <c r="F76" s="383">
        <f t="shared" si="2"/>
        <v>37.464916771443797</v>
      </c>
      <c r="G76" s="110">
        <f t="shared" si="21"/>
        <v>0.77332109299493079</v>
      </c>
      <c r="H76" s="412" t="b">
        <f>Wh_hp&gt;='2025'!Maxi_hp</f>
        <v>0</v>
      </c>
      <c r="I76" s="388">
        <f>IF(H76,Wh_hp,'2025'!Maxi_hp)</f>
        <v>37.465231980084269</v>
      </c>
      <c r="J76" s="85">
        <f>IF(H76,An,'2025'!An_max)</f>
        <v>2022</v>
      </c>
      <c r="K76" s="197">
        <f t="shared" si="3"/>
        <v>46084</v>
      </c>
      <c r="L76" s="147">
        <f>IF(t&lt;Tvie,1-EXP((T0-t)*PertePVj)+'2025'!Pspv,1-EXP((T0-t)*PertePVj)+Pspv)</f>
        <v>4.8388965473946999E-2</v>
      </c>
      <c r="M76" s="832"/>
      <c r="N76" s="832"/>
      <c r="O76" s="48">
        <f>IF(t&lt;Tnet,'2025'!Resal+('2025'!Salim-'2025'!Resal)*(1-EXP(('2025'!Tnet-t)/('2025'!Tau_j))),Resal+(Salim-Resal)*(1-EXP((Tnet-t)/(Tau_j))))*Salcycl</f>
        <v>4.0845949808528556E-2</v>
      </c>
      <c r="P76" s="169">
        <f>(INDEX(Models!$BJ76:$BT76,,T76)*(1-R76)+INDEX(Models!$BJ76:$BT76,,T76+1)*R76-ERP_i)*Q76*Ramure*Pc/MaxiM</f>
        <v>4.1652041348614284E-5</v>
      </c>
      <c r="Q76" s="304">
        <f t="shared" si="4"/>
        <v>0.6</v>
      </c>
      <c r="R76" s="177">
        <f t="shared" si="5"/>
        <v>6.8380599663320218E-3</v>
      </c>
      <c r="S76" s="799">
        <f t="shared" si="6"/>
        <v>2</v>
      </c>
      <c r="T76" s="176">
        <f t="shared" si="7"/>
        <v>8</v>
      </c>
      <c r="U76" s="250">
        <f t="shared" si="8"/>
        <v>2.006838059966332</v>
      </c>
      <c r="V76" s="382">
        <f t="shared" si="9"/>
        <v>44.217548490504953</v>
      </c>
      <c r="W76" s="400">
        <f t="shared" si="10"/>
        <v>34.194824141703876</v>
      </c>
      <c r="X76" s="157">
        <f t="shared" si="11"/>
        <v>46084</v>
      </c>
      <c r="Y76" s="383">
        <f t="shared" si="12"/>
        <v>33.273164558026309</v>
      </c>
      <c r="Z76" s="383">
        <f t="shared" si="22"/>
        <v>34.965089044598891</v>
      </c>
      <c r="AA76" s="384">
        <f t="shared" si="13"/>
        <v>37.463861586824621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6.6698210926139562E-2</v>
      </c>
      <c r="AD76" s="230">
        <f>(INDEX(Models!$BJ76:$BT76,,AH76)*(1-AF76)+INDEX(Models!$BJ76:$BT76,,AH76+1)*AF76-ERP_i)*AE76*Ramure*Pc/MaxiM</f>
        <v>4.1652041348614284E-5</v>
      </c>
      <c r="AE76" s="304">
        <f t="shared" si="15"/>
        <v>0.6</v>
      </c>
      <c r="AF76" s="177">
        <f t="shared" si="23"/>
        <v>6.8380599663320218E-3</v>
      </c>
      <c r="AG76" s="799">
        <f t="shared" si="24"/>
        <v>2</v>
      </c>
      <c r="AH76" s="176">
        <f t="shared" si="16"/>
        <v>8</v>
      </c>
      <c r="AI76" s="224">
        <f t="shared" si="17"/>
        <v>2.006838059966332</v>
      </c>
      <c r="AJ76" s="264" t="b">
        <f t="shared" si="18"/>
        <v>1</v>
      </c>
      <c r="AK76" s="264" t="b">
        <f t="shared" si="19"/>
        <v>1</v>
      </c>
      <c r="AL76" s="264"/>
      <c r="AM76" s="264"/>
      <c r="AN76" s="75"/>
    </row>
    <row r="77" spans="1:40" s="6" customFormat="1" ht="11.25" x14ac:dyDescent="0.2">
      <c r="A77" s="56">
        <f t="shared" si="20"/>
        <v>46085</v>
      </c>
      <c r="B77" s="409">
        <f>IF(t&gt;Tmaj,'2025'!Wh/'2025'!Env_an*'2026'!Env_an,0.001*'[5]mon-tableau'!$B$245)</f>
        <v>3.6611972190786468</v>
      </c>
      <c r="C77" s="829"/>
      <c r="D77" s="391">
        <f t="shared" si="0"/>
        <v>3.8474410800168175</v>
      </c>
      <c r="E77" s="383">
        <f t="shared" si="1"/>
        <v>4.0116501083750329</v>
      </c>
      <c r="F77" s="383">
        <f t="shared" si="2"/>
        <v>4.0116501083750329</v>
      </c>
      <c r="G77" s="110">
        <f t="shared" si="21"/>
        <v>8.2206879674447245E-2</v>
      </c>
      <c r="H77" s="412" t="b">
        <f>Wh_hp&gt;='2025'!Maxi_hp</f>
        <v>0</v>
      </c>
      <c r="I77" s="388">
        <f>IF(H77,Wh_hp,'2025'!Maxi_hp)</f>
        <v>31.305227886602569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4.840720288232625E-2</v>
      </c>
      <c r="M77" s="832"/>
      <c r="N77" s="832"/>
      <c r="O77" s="48">
        <f>IF(t&lt;Tnet,'2025'!Resal+('2025'!Salim-'2025'!Resal)*(1-EXP(('2025'!Tnet-t)/('2025'!Tau_j))),Resal+(Salim-Resal)*(1-EXP((Tnet-t)/(Tau_j))))*Salcycl</f>
        <v>4.0933038505875763E-2</v>
      </c>
      <c r="P77" s="169">
        <f>(INDEX(Models!$BJ77:$BT77,,T77)*(1-R77)+INDEX(Models!$BJ77:$BT77,,T77+1)*R77-ERP_i)*Q77*Ramure*Pc/MaxiM</f>
        <v>4.0160928017582615E-5</v>
      </c>
      <c r="Q77" s="304">
        <f t="shared" si="4"/>
        <v>0.6</v>
      </c>
      <c r="R77" s="177">
        <f t="shared" si="5"/>
        <v>7.1852045114302321E-3</v>
      </c>
      <c r="S77" s="799">
        <f t="shared" si="6"/>
        <v>2</v>
      </c>
      <c r="T77" s="176">
        <f t="shared" si="7"/>
        <v>8</v>
      </c>
      <c r="U77" s="250">
        <f t="shared" si="8"/>
        <v>2.0071852045114302</v>
      </c>
      <c r="V77" s="382">
        <f t="shared" si="9"/>
        <v>44.534596088539473</v>
      </c>
      <c r="W77" s="400">
        <f t="shared" si="10"/>
        <v>3.6611972190786468</v>
      </c>
      <c r="X77" s="157">
        <f t="shared" si="11"/>
        <v>46085</v>
      </c>
      <c r="Y77" s="383">
        <f t="shared" si="12"/>
        <v>3.5626186282197669</v>
      </c>
      <c r="Z77" s="383">
        <f t="shared" si="22"/>
        <v>3.7438478296712185</v>
      </c>
      <c r="AA77" s="384">
        <f t="shared" si="13"/>
        <v>4.0116501083750329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6.6756140607758752E-2</v>
      </c>
      <c r="AD77" s="230">
        <f>(INDEX(Models!$BJ77:$BT77,,AH77)*(1-AF77)+INDEX(Models!$BJ77:$BT77,,AH77+1)*AF77-ERP_i)*AE77*Ramure*Pc/MaxiM</f>
        <v>4.0160928017582615E-5</v>
      </c>
      <c r="AE77" s="304">
        <f t="shared" si="15"/>
        <v>0.6</v>
      </c>
      <c r="AF77" s="177">
        <f t="shared" si="23"/>
        <v>7.1852045114302321E-3</v>
      </c>
      <c r="AG77" s="799">
        <f t="shared" si="24"/>
        <v>2</v>
      </c>
      <c r="AH77" s="176">
        <f t="shared" si="16"/>
        <v>8</v>
      </c>
      <c r="AI77" s="224">
        <f t="shared" si="17"/>
        <v>2.0071852045114302</v>
      </c>
      <c r="AJ77" s="264" t="b">
        <f t="shared" si="18"/>
        <v>1</v>
      </c>
      <c r="AK77" s="264" t="b">
        <f t="shared" si="19"/>
        <v>1</v>
      </c>
      <c r="AL77" s="264"/>
      <c r="AM77" s="264"/>
      <c r="AN77" s="75"/>
    </row>
    <row r="78" spans="1:40" s="6" customFormat="1" ht="11.25" x14ac:dyDescent="0.2">
      <c r="A78" s="56">
        <f t="shared" si="20"/>
        <v>46086</v>
      </c>
      <c r="B78" s="409">
        <f>IF(t&gt;Tmaj,'2025'!Wh/'2025'!Env_an*'2026'!Env_an,0.001*'[5]mon-tableau'!$B$246)</f>
        <v>12.540711712940787</v>
      </c>
      <c r="C78" s="829"/>
      <c r="D78" s="391">
        <f t="shared" si="0"/>
        <v>13.178906035661287</v>
      </c>
      <c r="E78" s="383">
        <f t="shared" si="1"/>
        <v>13.742629311859226</v>
      </c>
      <c r="F78" s="383">
        <f t="shared" si="2"/>
        <v>13.742629311859226</v>
      </c>
      <c r="G78" s="110">
        <f t="shared" si="21"/>
        <v>0.27959735332379765</v>
      </c>
      <c r="H78" s="412" t="b">
        <f>Wh_hp&gt;='2025'!Maxi_hp</f>
        <v>0</v>
      </c>
      <c r="I78" s="388">
        <f>IF(H78,Wh_hp,'2025'!Maxi_hp)</f>
        <v>38.458441078302194</v>
      </c>
      <c r="J78" s="85">
        <f>IF(H78,An,'2025'!An_max)</f>
        <v>2021</v>
      </c>
      <c r="K78" s="197">
        <f t="shared" si="3"/>
        <v>46086</v>
      </c>
      <c r="L78" s="147">
        <f>IF(t&lt;Tvie,1-EXP((T0-t)*PertePVj)+'2025'!Pspv,1-EXP((T0-t)*PertePVj)+Pspv)</f>
        <v>4.8425439941189863E-2</v>
      </c>
      <c r="M78" s="832"/>
      <c r="N78" s="832"/>
      <c r="O78" s="48">
        <f>IF(t&lt;Tnet,'2025'!Resal+('2025'!Salim-'2025'!Resal)*(1-EXP(('2025'!Tnet-t)/('2025'!Tau_j))),Resal+(Salim-Resal)*(1-EXP((Tnet-t)/(Tau_j))))*Salcycl</f>
        <v>4.10200452479259E-2</v>
      </c>
      <c r="P78" s="169">
        <f>(INDEX(Models!$BJ78:$BT78,,T78)*(1-R78)+INDEX(Models!$BJ78:$BT78,,T78+1)*R78-ERP_i)*Q78*Ramure*Pc/MaxiM</f>
        <v>3.8803526800755485E-5</v>
      </c>
      <c r="Q78" s="304">
        <f t="shared" si="4"/>
        <v>0.6</v>
      </c>
      <c r="R78" s="177">
        <f t="shared" si="5"/>
        <v>7.5463921833258674E-3</v>
      </c>
      <c r="S78" s="799">
        <f t="shared" si="6"/>
        <v>2</v>
      </c>
      <c r="T78" s="176">
        <f t="shared" si="7"/>
        <v>8</v>
      </c>
      <c r="U78" s="250">
        <f t="shared" si="8"/>
        <v>2.0075463921833259</v>
      </c>
      <c r="V78" s="382">
        <f t="shared" si="9"/>
        <v>44.851015004334037</v>
      </c>
      <c r="W78" s="400">
        <f t="shared" si="10"/>
        <v>12.540711712940787</v>
      </c>
      <c r="X78" s="157">
        <f t="shared" si="11"/>
        <v>46086</v>
      </c>
      <c r="Y78" s="383">
        <f t="shared" si="12"/>
        <v>12.203400250177065</v>
      </c>
      <c r="Z78" s="383">
        <f t="shared" si="22"/>
        <v>12.824428859702659</v>
      </c>
      <c r="AA78" s="384">
        <f t="shared" si="13"/>
        <v>13.742629311859226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6.6814030366387292E-2</v>
      </c>
      <c r="AD78" s="230">
        <f>(INDEX(Models!$BJ78:$BT78,,AH78)*(1-AF78)+INDEX(Models!$BJ78:$BT78,,AH78+1)*AF78-ERP_i)*AE78*Ramure*Pc/MaxiM</f>
        <v>3.8803526800755485E-5</v>
      </c>
      <c r="AE78" s="304">
        <f t="shared" si="15"/>
        <v>0.6</v>
      </c>
      <c r="AF78" s="177">
        <f t="shared" si="23"/>
        <v>7.5463921833258674E-3</v>
      </c>
      <c r="AG78" s="799">
        <f t="shared" si="24"/>
        <v>2</v>
      </c>
      <c r="AH78" s="176">
        <f t="shared" si="16"/>
        <v>8</v>
      </c>
      <c r="AI78" s="224">
        <f t="shared" si="17"/>
        <v>2.0075463921833259</v>
      </c>
      <c r="AJ78" s="264" t="b">
        <f t="shared" si="18"/>
        <v>1</v>
      </c>
      <c r="AK78" s="264" t="b">
        <f t="shared" si="19"/>
        <v>1</v>
      </c>
      <c r="AL78" s="264"/>
      <c r="AM78" s="264"/>
      <c r="AN78" s="75"/>
    </row>
    <row r="79" spans="1:40" s="6" customFormat="1" ht="11.25" x14ac:dyDescent="0.2">
      <c r="A79" s="56">
        <f t="shared" si="20"/>
        <v>46087</v>
      </c>
      <c r="B79" s="409">
        <f>IF(t&gt;Tmaj,'2025'!Wh/'2025'!Env_an*'2026'!Env_an,0.001*'[5]mon-tableau'!$B$247)</f>
        <v>15.408471457014549</v>
      </c>
      <c r="C79" s="829"/>
      <c r="D79" s="391">
        <f t="shared" ref="D79:D142" si="25">Wh/(1-Ppv)</f>
        <v>16.192915835793194</v>
      </c>
      <c r="E79" s="383">
        <f t="shared" si="1"/>
        <v>16.887093195158108</v>
      </c>
      <c r="F79" s="383">
        <f t="shared" ref="F79:F142" si="26">Wh_sa/(1-Pvg*MEDIAN((-Sdif+Wh/Env_an)/Csdif,0,1))</f>
        <v>16.887130488128911</v>
      </c>
      <c r="G79" s="110">
        <f t="shared" si="21"/>
        <v>0.34112693141932032</v>
      </c>
      <c r="H79" s="412" t="b">
        <f>Wh_hp&gt;='2025'!Maxi_hp</f>
        <v>0</v>
      </c>
      <c r="I79" s="388">
        <f>IF(H79,Wh_hp,'2025'!Maxi_hp)</f>
        <v>16.88749179346107</v>
      </c>
      <c r="J79" s="85">
        <f>IF(H79,An,'2025'!An_max)</f>
        <v>2022</v>
      </c>
      <c r="K79" s="197">
        <f t="shared" ref="K79:K142" si="27">t</f>
        <v>46087</v>
      </c>
      <c r="L79" s="147">
        <f>IF(t&lt;Tvie,1-EXP((T0-t)*PertePVj)+'2025'!Pspv,1-EXP((T0-t)*PertePVj)+Pspv)</f>
        <v>4.8443676650544387E-2</v>
      </c>
      <c r="M79" s="832"/>
      <c r="N79" s="832"/>
      <c r="O79" s="48">
        <f>IF(t&lt;Tnet,'2025'!Resal+('2025'!Salim-'2025'!Resal)*(1-EXP(('2025'!Tnet-t)/('2025'!Tau_j))),Resal+(Salim-Resal)*(1-EXP((Tnet-t)/(Tau_j))))*Salcycl</f>
        <v>4.1106977461576953E-2</v>
      </c>
      <c r="P79" s="169">
        <f>(INDEX(Models!$BJ79:$BT79,,T79)*(1-R79)+INDEX(Models!$BJ79:$BT79,,T79+1)*R79-ERP_i)*Q79*Ramure*Pc/MaxiM</f>
        <v>3.7576425437753949E-5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7.9221687932240492E-3</v>
      </c>
      <c r="S79" s="799">
        <f t="shared" ref="S79:S142" si="30">INDEX(Echel_vg,T79)</f>
        <v>2</v>
      </c>
      <c r="T79" s="176">
        <f t="shared" ref="T79:T142" si="31">MIN(MATCH(Hp_vg,Echel_vg),10)</f>
        <v>8</v>
      </c>
      <c r="U79" s="250">
        <f t="shared" ref="U79:U142" si="32">IF(OR(t&lt;Ttai,Notai),Hdd+PousH*Croivg,Hdtf+PousH*(Croivg-Croi_tai))</f>
        <v>2.007922168793224</v>
      </c>
      <c r="V79" s="382">
        <f t="shared" ref="V79:V142" si="33">MaxiM*(1-Ppv)*(1-Pvg)*(1-Psa)</f>
        <v>45.167722243373525</v>
      </c>
      <c r="W79" s="400">
        <f t="shared" ref="W79:W142" si="34">Wh*(A79&gt;Tmaj)</f>
        <v>15.408471457014549</v>
      </c>
      <c r="X79" s="157">
        <f t="shared" ref="X79:X142" si="35">t</f>
        <v>46087</v>
      </c>
      <c r="Y79" s="383">
        <f t="shared" ref="Y79:Y142" si="36">Wh_pvt_s*(1-Ppv)</f>
        <v>14.994454520495802</v>
      </c>
      <c r="Z79" s="383">
        <f t="shared" ref="Z79:Z142" si="37">Wh_sa_s*(1-Psa_s)</f>
        <v>15.757821321302011</v>
      </c>
      <c r="AA79" s="384">
        <f t="shared" ref="AA79:AA142" si="38">Wh_hp*(1-Pvg_s*MEDIAN((-Sdif+Wh/Env_an)/Csdif,0,1))</f>
        <v>16.887093195158108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6.6871892089746088E-2</v>
      </c>
      <c r="AD79" s="230">
        <f>(INDEX(Models!$BJ79:$BT79,,AH79)*(1-AF79)+INDEX(Models!$BJ79:$BT79,,AH79+1)*AF79-ERP_i)*AE79*Ramure*Pc/MaxiM</f>
        <v>3.7576425437753949E-5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7.9221687932240492E-3</v>
      </c>
      <c r="AG79" s="799">
        <f t="shared" si="24"/>
        <v>2</v>
      </c>
      <c r="AH79" s="176">
        <f t="shared" ref="AH79:AH142" si="42">MIN(MATCH(Hp_vg_s,Echel_vg),10)</f>
        <v>8</v>
      </c>
      <c r="AI79" s="224">
        <f t="shared" ref="AI79:AI142" si="43">IF(OR(t&lt;Ttai,Notai),Hdd_s+PousH*Croivg,Hdtai_s+PousH*(Croivg-Croi_tai))</f>
        <v>2.007922168793224</v>
      </c>
      <c r="AJ79" s="264" t="b">
        <f t="shared" ref="AJ79:AJ142" si="44">t&lt;Tnet</f>
        <v>1</v>
      </c>
      <c r="AK79" s="264" t="b">
        <f t="shared" ref="AK79:AK142" si="45">t&lt;Ttai</f>
        <v>1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46088</v>
      </c>
      <c r="B80" s="409">
        <f>IF(t&gt;Tmaj,'2025'!Wh/'2025'!Env_an*'2026'!Env_an,0.001*'[5]mon-tableau'!$B$248)</f>
        <v>37.597956773783714</v>
      </c>
      <c r="C80" s="829"/>
      <c r="D80" s="391">
        <f t="shared" si="25"/>
        <v>39.512823803756483</v>
      </c>
      <c r="E80" s="383">
        <f t="shared" ref="E80:E143" si="47">Wh_pvt/(1-Psa)</f>
        <v>41.210440225848188</v>
      </c>
      <c r="F80" s="383">
        <f t="shared" si="26"/>
        <v>41.211569472688254</v>
      </c>
      <c r="G80" s="110">
        <f t="shared" ref="G80:G143" si="48">+Wh_hp/MaxiM</f>
        <v>0.82658933796098588</v>
      </c>
      <c r="H80" s="412" t="b">
        <f>Wh_hp&gt;='2025'!Maxi_hp</f>
        <v>0</v>
      </c>
      <c r="I80" s="388">
        <f>IF(H80,Wh_hp,'2025'!Maxi_hp)</f>
        <v>41.211792495970926</v>
      </c>
      <c r="J80" s="85">
        <f>IF(H80,An,'2025'!An_max)</f>
        <v>2022</v>
      </c>
      <c r="K80" s="197">
        <f t="shared" si="27"/>
        <v>46088</v>
      </c>
      <c r="L80" s="147">
        <f>IF(t&lt;Tvie,1-EXP((T0-t)*PertePVj)+'2025'!Pspv,1-EXP((T0-t)*PertePVj)+Pspv)</f>
        <v>4.8461913010396485E-2</v>
      </c>
      <c r="M80" s="832"/>
      <c r="N80" s="832"/>
      <c r="O80" s="48">
        <f>IF(t&lt;Tnet,'2025'!Resal+('2025'!Salim-'2025'!Resal)*(1-EXP(('2025'!Tnet-t)/('2025'!Tau_j))),Resal+(Salim-Resal)*(1-EXP((Tnet-t)/(Tau_j))))*Salcycl</f>
        <v>4.1193843423854619E-2</v>
      </c>
      <c r="P80" s="169">
        <f>(INDEX(Models!$BJ80:$BT80,,T80)*(1-R80)+INDEX(Models!$BJ80:$BT80,,T80+1)*R80-ERP_i)*Q80*Ramure*Pc/MaxiM</f>
        <v>3.6424161002044991E-5</v>
      </c>
      <c r="Q80" s="304">
        <f t="shared" si="28"/>
        <v>0.6</v>
      </c>
      <c r="R80" s="177">
        <f t="shared" si="29"/>
        <v>8.3130994976596817E-3</v>
      </c>
      <c r="S80" s="799">
        <f t="shared" si="30"/>
        <v>2</v>
      </c>
      <c r="T80" s="176">
        <f t="shared" si="31"/>
        <v>8</v>
      </c>
      <c r="U80" s="250">
        <f t="shared" si="32"/>
        <v>2.0083130994976597</v>
      </c>
      <c r="V80" s="382">
        <f t="shared" si="33"/>
        <v>45.48524375197502</v>
      </c>
      <c r="W80" s="400">
        <f t="shared" si="34"/>
        <v>37.597956773783714</v>
      </c>
      <c r="X80" s="157">
        <f t="shared" si="35"/>
        <v>46088</v>
      </c>
      <c r="Y80" s="383">
        <f t="shared" si="36"/>
        <v>36.588767291280149</v>
      </c>
      <c r="Z80" s="383">
        <f t="shared" si="37"/>
        <v>38.452236217928622</v>
      </c>
      <c r="AA80" s="384">
        <f t="shared" si="38"/>
        <v>41.210440225848188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6.6929738988557461E-2</v>
      </c>
      <c r="AD80" s="230">
        <f>(INDEX(Models!$BJ80:$BT80,,AH80)*(1-AF80)+INDEX(Models!$BJ80:$BT80,,AH80+1)*AF80-ERP_i)*AE80*Ramure*Pc/MaxiM</f>
        <v>3.6424161002044991E-5</v>
      </c>
      <c r="AE80" s="304">
        <f t="shared" si="40"/>
        <v>0.6</v>
      </c>
      <c r="AF80" s="177">
        <f t="shared" si="41"/>
        <v>8.3130994976596817E-3</v>
      </c>
      <c r="AG80" s="799">
        <f t="shared" ref="AG80:AG143" si="49">INDEX(Echel_vg,AH80)</f>
        <v>2</v>
      </c>
      <c r="AH80" s="176">
        <f t="shared" si="42"/>
        <v>8</v>
      </c>
      <c r="AI80" s="224">
        <f t="shared" si="43"/>
        <v>2.0083130994976597</v>
      </c>
      <c r="AJ80" s="264" t="b">
        <f t="shared" si="44"/>
        <v>1</v>
      </c>
      <c r="AK80" s="264" t="b">
        <f t="shared" si="45"/>
        <v>1</v>
      </c>
      <c r="AL80" s="264"/>
      <c r="AM80" s="264"/>
      <c r="AN80" s="75"/>
    </row>
    <row r="81" spans="1:40" s="6" customFormat="1" ht="11.25" x14ac:dyDescent="0.2">
      <c r="A81" s="56">
        <f t="shared" si="46"/>
        <v>46089</v>
      </c>
      <c r="B81" s="409">
        <f>IF(t&gt;Tmaj,'2025'!Wh/'2025'!Env_an*'2026'!Env_an,0.001*'[5]mon-tableau'!$B$249)</f>
        <v>35.275997942625096</v>
      </c>
      <c r="C81" s="829"/>
      <c r="D81" s="391">
        <f t="shared" si="25"/>
        <v>37.073317920084548</v>
      </c>
      <c r="E81" s="383">
        <f t="shared" si="47"/>
        <v>38.669625273674015</v>
      </c>
      <c r="F81" s="383">
        <f t="shared" si="26"/>
        <v>38.670541530024444</v>
      </c>
      <c r="G81" s="110">
        <f t="shared" si="48"/>
        <v>0.77015739974582931</v>
      </c>
      <c r="H81" s="412" t="b">
        <f>Wh_hp&gt;='2025'!Maxi_hp</f>
        <v>0</v>
      </c>
      <c r="I81" s="388">
        <f>IF(H81,Wh_hp,'2025'!Maxi_hp)</f>
        <v>38.670808244768345</v>
      </c>
      <c r="J81" s="85">
        <f>IF(H81,An,'2025'!An_max)</f>
        <v>2022</v>
      </c>
      <c r="K81" s="197">
        <f t="shared" si="27"/>
        <v>46089</v>
      </c>
      <c r="L81" s="147">
        <f>IF(t&lt;Tvie,1-EXP((T0-t)*PertePVj)+'2025'!Pspv,1-EXP((T0-t)*PertePVj)+Pspv)</f>
        <v>4.8480149020752927E-2</v>
      </c>
      <c r="M81" s="832"/>
      <c r="N81" s="832"/>
      <c r="O81" s="48">
        <f>IF(t&lt;Tnet,'2025'!Resal+('2025'!Salim-'2025'!Resal)*(1-EXP(('2025'!Tnet-t)/('2025'!Tau_j))),Resal+(Salim-Resal)*(1-EXP((Tnet-t)/(Tau_j))))*Salcycl</f>
        <v>4.1280652250753058E-2</v>
      </c>
      <c r="P81" s="169">
        <f>(INDEX(Models!$BJ81:$BT81,,T81)*(1-R81)+INDEX(Models!$BJ81:$BT81,,T81+1)*R81-ERP_i)*Q81*Ramure*Pc/MaxiM</f>
        <v>3.5276319549838073E-5</v>
      </c>
      <c r="Q81" s="304">
        <f t="shared" si="28"/>
        <v>0.6</v>
      </c>
      <c r="R81" s="177">
        <f t="shared" si="29"/>
        <v>8.7197693258698195E-3</v>
      </c>
      <c r="S81" s="799">
        <f t="shared" si="30"/>
        <v>2</v>
      </c>
      <c r="T81" s="176">
        <f t="shared" si="31"/>
        <v>8</v>
      </c>
      <c r="U81" s="250">
        <f t="shared" si="32"/>
        <v>2.0087197693258698</v>
      </c>
      <c r="V81" s="382">
        <f t="shared" si="33"/>
        <v>45.803090853309165</v>
      </c>
      <c r="W81" s="400">
        <f t="shared" si="34"/>
        <v>35.275997942625096</v>
      </c>
      <c r="X81" s="157">
        <f t="shared" si="35"/>
        <v>46089</v>
      </c>
      <c r="Y81" s="383">
        <f t="shared" si="36"/>
        <v>34.33011348850134</v>
      </c>
      <c r="Z81" s="383">
        <f t="shared" si="37"/>
        <v>36.079240441669029</v>
      </c>
      <c r="AA81" s="384">
        <f t="shared" si="38"/>
        <v>38.669625273674015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6.6987585570644201E-2</v>
      </c>
      <c r="AD81" s="230">
        <f>(INDEX(Models!$BJ81:$BT81,,AH81)*(1-AF81)+INDEX(Models!$BJ81:$BT81,,AH81+1)*AF81-ERP_i)*AE81*Ramure*Pc/MaxiM</f>
        <v>3.5276319549838073E-5</v>
      </c>
      <c r="AE81" s="304">
        <f t="shared" si="40"/>
        <v>0.6</v>
      </c>
      <c r="AF81" s="177">
        <f t="shared" si="41"/>
        <v>8.7197693258698195E-3</v>
      </c>
      <c r="AG81" s="799">
        <f t="shared" si="49"/>
        <v>2</v>
      </c>
      <c r="AH81" s="176">
        <f t="shared" si="42"/>
        <v>8</v>
      </c>
      <c r="AI81" s="224">
        <f t="shared" si="43"/>
        <v>2.0087197693258698</v>
      </c>
      <c r="AJ81" s="264" t="b">
        <f t="shared" si="44"/>
        <v>1</v>
      </c>
      <c r="AK81" s="264" t="b">
        <f t="shared" si="45"/>
        <v>1</v>
      </c>
      <c r="AL81" s="264"/>
      <c r="AM81" s="264"/>
      <c r="AN81" s="75"/>
    </row>
    <row r="82" spans="1:40" s="6" customFormat="1" ht="11.25" x14ac:dyDescent="0.2">
      <c r="A82" s="56">
        <f t="shared" si="46"/>
        <v>46090</v>
      </c>
      <c r="B82" s="409">
        <f>IF(t&gt;Tmaj,'2025'!Wh/'2025'!Env_an*'2026'!Env_an,0.001*'[5]mon-tableau'!$B$250)</f>
        <v>30.830720952952561</v>
      </c>
      <c r="C82" s="829"/>
      <c r="D82" s="391">
        <f t="shared" si="25"/>
        <v>32.402174054782208</v>
      </c>
      <c r="E82" s="383">
        <f t="shared" si="47"/>
        <v>33.8004095875404</v>
      </c>
      <c r="F82" s="383">
        <f t="shared" si="26"/>
        <v>33.801016914136582</v>
      </c>
      <c r="G82" s="110">
        <f t="shared" si="48"/>
        <v>0.66846718528955906</v>
      </c>
      <c r="H82" s="412" t="b">
        <f>Wh_hp&gt;='2025'!Maxi_hp</f>
        <v>0</v>
      </c>
      <c r="I82" s="388">
        <f>IF(H82,Wh_hp,'2025'!Maxi_hp)</f>
        <v>46.982445789324288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4.8498384681620377E-2</v>
      </c>
      <c r="M82" s="832"/>
      <c r="N82" s="832"/>
      <c r="O82" s="48">
        <f>IF(t&lt;Tnet,'2025'!Resal+('2025'!Salim-'2025'!Resal)*(1-EXP(('2025'!Tnet-t)/('2025'!Tau_j))),Resal+(Salim-Resal)*(1-EXP((Tnet-t)/(Tau_j))))*Salcycl</f>
        <v>4.1367413881091386E-2</v>
      </c>
      <c r="P82" s="169">
        <f>(INDEX(Models!$BJ82:$BT82,,T82)*(1-R82)+INDEX(Models!$BJ82:$BT82,,T82+1)*R82-ERP_i)*Q82*Ramure*Pc/MaxiM</f>
        <v>3.4133358341045002E-5</v>
      </c>
      <c r="Q82" s="304">
        <f t="shared" si="28"/>
        <v>0.6</v>
      </c>
      <c r="R82" s="177">
        <f t="shared" si="29"/>
        <v>9.14278370745647E-3</v>
      </c>
      <c r="S82" s="799">
        <f t="shared" si="30"/>
        <v>2</v>
      </c>
      <c r="T82" s="176">
        <f t="shared" si="31"/>
        <v>8</v>
      </c>
      <c r="U82" s="250">
        <f t="shared" si="32"/>
        <v>2.0091427837074565</v>
      </c>
      <c r="V82" s="382">
        <f t="shared" si="33"/>
        <v>46.120771854792238</v>
      </c>
      <c r="W82" s="400">
        <f t="shared" si="34"/>
        <v>30.830720952952561</v>
      </c>
      <c r="X82" s="157">
        <f t="shared" si="35"/>
        <v>46090</v>
      </c>
      <c r="Y82" s="383">
        <f t="shared" si="36"/>
        <v>30.004886004408235</v>
      </c>
      <c r="Z82" s="383">
        <f t="shared" si="37"/>
        <v>31.53424599743677</v>
      </c>
      <c r="AA82" s="384">
        <f t="shared" si="38"/>
        <v>33.8004095875404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6.7045447607208541E-2</v>
      </c>
      <c r="AD82" s="230">
        <f>(INDEX(Models!$BJ82:$BT82,,AH82)*(1-AF82)+INDEX(Models!$BJ82:$BT82,,AH82+1)*AF82-ERP_i)*AE82*Ramure*Pc/MaxiM</f>
        <v>3.4133358341045002E-5</v>
      </c>
      <c r="AE82" s="304">
        <f t="shared" si="40"/>
        <v>0.6</v>
      </c>
      <c r="AF82" s="177">
        <f t="shared" si="41"/>
        <v>9.14278370745647E-3</v>
      </c>
      <c r="AG82" s="799">
        <f t="shared" si="49"/>
        <v>2</v>
      </c>
      <c r="AH82" s="176">
        <f t="shared" si="42"/>
        <v>8</v>
      </c>
      <c r="AI82" s="224">
        <f t="shared" si="43"/>
        <v>2.0091427837074565</v>
      </c>
      <c r="AJ82" s="264" t="b">
        <f t="shared" si="44"/>
        <v>1</v>
      </c>
      <c r="AK82" s="264" t="b">
        <f t="shared" si="45"/>
        <v>1</v>
      </c>
      <c r="AL82" s="264"/>
      <c r="AM82" s="264"/>
      <c r="AN82" s="75"/>
    </row>
    <row r="83" spans="1:40" s="6" customFormat="1" ht="11.25" x14ac:dyDescent="0.2">
      <c r="A83" s="56">
        <f t="shared" si="46"/>
        <v>46091</v>
      </c>
      <c r="B83" s="409">
        <f>IF(t&gt;Tmaj,'2025'!Wh/'2025'!Env_an*'2026'!Env_an,0.001*'[5]mon-tableau'!$B$251)</f>
        <v>26.071816404681169</v>
      </c>
      <c r="C83" s="829"/>
      <c r="D83" s="391">
        <f t="shared" si="25"/>
        <v>27.401231542782714</v>
      </c>
      <c r="E83" s="383">
        <f t="shared" si="47"/>
        <v>28.586249922134005</v>
      </c>
      <c r="F83" s="383">
        <f t="shared" si="26"/>
        <v>28.58660220027879</v>
      </c>
      <c r="G83" s="110">
        <f t="shared" si="48"/>
        <v>0.56142367014004269</v>
      </c>
      <c r="H83" s="412" t="b">
        <f>Wh_hp&gt;='2025'!Maxi_hp</f>
        <v>0</v>
      </c>
      <c r="I83" s="388">
        <f>IF(H83,Wh_hp,'2025'!Maxi_hp)</f>
        <v>45.805582995042379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4.8516619993005494E-2</v>
      </c>
      <c r="M83" s="832"/>
      <c r="N83" s="832"/>
      <c r="O83" s="48">
        <f>IF(t&lt;Tnet,'2025'!Resal+('2025'!Salim-'2025'!Resal)*(1-EXP(('2025'!Tnet-t)/('2025'!Tau_j))),Resal+(Salim-Resal)*(1-EXP((Tnet-t)/(Tau_j))))*Salcycl</f>
        <v>4.1454139055635469E-2</v>
      </c>
      <c r="P83" s="169">
        <f>(INDEX(Models!$BJ83:$BT83,,T83)*(1-R83)+INDEX(Models!$BJ83:$BT83,,T83+1)*R83-ERP_i)*Q83*Ramure*Pc/MaxiM</f>
        <v>3.2995674749824345E-5</v>
      </c>
      <c r="Q83" s="304">
        <f t="shared" si="28"/>
        <v>0.6</v>
      </c>
      <c r="R83" s="177">
        <f t="shared" si="29"/>
        <v>9.5827689987935116E-3</v>
      </c>
      <c r="S83" s="799">
        <f t="shared" si="30"/>
        <v>2</v>
      </c>
      <c r="T83" s="176">
        <f t="shared" si="31"/>
        <v>8</v>
      </c>
      <c r="U83" s="250">
        <f t="shared" si="32"/>
        <v>2.0095827689987935</v>
      </c>
      <c r="V83" s="382">
        <f t="shared" si="33"/>
        <v>46.437795225702033</v>
      </c>
      <c r="W83" s="400">
        <f t="shared" si="34"/>
        <v>26.071816404681169</v>
      </c>
      <c r="X83" s="157">
        <f t="shared" si="35"/>
        <v>46091</v>
      </c>
      <c r="Y83" s="383">
        <f t="shared" si="36"/>
        <v>25.37417496702955</v>
      </c>
      <c r="Z83" s="383">
        <f t="shared" si="37"/>
        <v>26.668017014488491</v>
      </c>
      <c r="AA83" s="384">
        <f t="shared" si="38"/>
        <v>28.586249922134005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6.7103342091760318E-2</v>
      </c>
      <c r="AD83" s="230">
        <f>(INDEX(Models!$BJ83:$BT83,,AH83)*(1-AF83)+INDEX(Models!$BJ83:$BT83,,AH83+1)*AF83-ERP_i)*AE83*Ramure*Pc/MaxiM</f>
        <v>3.2995674749824345E-5</v>
      </c>
      <c r="AE83" s="304">
        <f t="shared" si="40"/>
        <v>0.6</v>
      </c>
      <c r="AF83" s="177">
        <f t="shared" si="41"/>
        <v>9.5827689987935116E-3</v>
      </c>
      <c r="AG83" s="799">
        <f t="shared" si="49"/>
        <v>2</v>
      </c>
      <c r="AH83" s="176">
        <f t="shared" si="42"/>
        <v>8</v>
      </c>
      <c r="AI83" s="224">
        <f t="shared" si="43"/>
        <v>2.0095827689987935</v>
      </c>
      <c r="AJ83" s="264" t="b">
        <f t="shared" si="44"/>
        <v>1</v>
      </c>
      <c r="AK83" s="264" t="b">
        <f t="shared" si="45"/>
        <v>1</v>
      </c>
      <c r="AL83" s="264"/>
      <c r="AM83" s="264"/>
      <c r="AN83" s="75"/>
    </row>
    <row r="84" spans="1:40" s="6" customFormat="1" ht="11.25" x14ac:dyDescent="0.2">
      <c r="A84" s="56">
        <f t="shared" si="46"/>
        <v>46092</v>
      </c>
      <c r="B84" s="409">
        <f>IF(t&gt;Tmaj,'2025'!Wh/'2025'!Env_an*'2026'!Env_an,0.001*'[5]mon-tableau'!$B$252)</f>
        <v>16.606905351666732</v>
      </c>
      <c r="C84" s="829"/>
      <c r="D84" s="391">
        <f t="shared" si="25"/>
        <v>17.454034378610704</v>
      </c>
      <c r="E84" s="383">
        <f t="shared" si="47"/>
        <v>18.21051443205312</v>
      </c>
      <c r="F84" s="383">
        <f t="shared" si="26"/>
        <v>18.210560189269749</v>
      </c>
      <c r="G84" s="110">
        <f t="shared" si="48"/>
        <v>0.35518961537523919</v>
      </c>
      <c r="H84" s="412" t="b">
        <f>Wh_hp&gt;='2025'!Maxi_hp</f>
        <v>0</v>
      </c>
      <c r="I84" s="388">
        <f>IF(H84,Wh_hp,'2025'!Maxi_hp)</f>
        <v>35.092284275887017</v>
      </c>
      <c r="J84" s="85">
        <f>IF(H84,An,'2025'!An_max)</f>
        <v>2021</v>
      </c>
      <c r="K84" s="197">
        <f t="shared" si="27"/>
        <v>46092</v>
      </c>
      <c r="L84" s="147">
        <f>IF(t&lt;Tvie,1-EXP((T0-t)*PertePVj)+'2025'!Pspv,1-EXP((T0-t)*PertePVj)+Pspv)</f>
        <v>4.8534854954915052E-2</v>
      </c>
      <c r="M84" s="832"/>
      <c r="N84" s="832"/>
      <c r="O84" s="48">
        <f>IF(t&lt;Tnet,'2025'!Resal+('2025'!Salim-'2025'!Resal)*(1-EXP(('2025'!Tnet-t)/('2025'!Tau_j))),Resal+(Salim-Resal)*(1-EXP((Tnet-t)/(Tau_j))))*Salcycl</f>
        <v>4.154083929177213E-2</v>
      </c>
      <c r="P84" s="169">
        <f>(INDEX(Models!$BJ84:$BT84,,T84)*(1-R84)+INDEX(Models!$BJ84:$BT84,,T84+1)*R84-ERP_i)*Q84*Ramure*Pc/MaxiM</f>
        <v>3.1863606786875692E-5</v>
      </c>
      <c r="Q84" s="304">
        <f t="shared" si="28"/>
        <v>0.6</v>
      </c>
      <c r="R84" s="177">
        <f t="shared" si="29"/>
        <v>1.0040373006458214E-2</v>
      </c>
      <c r="S84" s="799">
        <f t="shared" si="30"/>
        <v>2</v>
      </c>
      <c r="T84" s="176">
        <f t="shared" si="31"/>
        <v>8</v>
      </c>
      <c r="U84" s="250">
        <f t="shared" si="32"/>
        <v>2.0100403730064582</v>
      </c>
      <c r="V84" s="382">
        <f t="shared" si="33"/>
        <v>46.75366959912256</v>
      </c>
      <c r="W84" s="400">
        <f t="shared" si="34"/>
        <v>16.606905351666732</v>
      </c>
      <c r="X84" s="157">
        <f t="shared" si="35"/>
        <v>46092</v>
      </c>
      <c r="Y84" s="383">
        <f t="shared" si="36"/>
        <v>16.162988311909277</v>
      </c>
      <c r="Z84" s="383">
        <f t="shared" si="37"/>
        <v>16.987472842363971</v>
      </c>
      <c r="AA84" s="384">
        <f t="shared" si="38"/>
        <v>18.21051443205312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6.7161287192218033E-2</v>
      </c>
      <c r="AD84" s="230">
        <f>(INDEX(Models!$BJ84:$BT84,,AH84)*(1-AF84)+INDEX(Models!$BJ84:$BT84,,AH84+1)*AF84-ERP_i)*AE84*Ramure*Pc/MaxiM</f>
        <v>3.1863606786875692E-5</v>
      </c>
      <c r="AE84" s="304">
        <f t="shared" si="40"/>
        <v>0.6</v>
      </c>
      <c r="AF84" s="177">
        <f t="shared" si="41"/>
        <v>1.0040373006458214E-2</v>
      </c>
      <c r="AG84" s="799">
        <f t="shared" si="49"/>
        <v>2</v>
      </c>
      <c r="AH84" s="176">
        <f t="shared" si="42"/>
        <v>8</v>
      </c>
      <c r="AI84" s="224">
        <f t="shared" si="43"/>
        <v>2.0100403730064582</v>
      </c>
      <c r="AJ84" s="264" t="b">
        <f t="shared" si="44"/>
        <v>1</v>
      </c>
      <c r="AK84" s="264" t="b">
        <f t="shared" si="45"/>
        <v>1</v>
      </c>
      <c r="AL84" s="264"/>
      <c r="AM84" s="264"/>
      <c r="AN84" s="75"/>
    </row>
    <row r="85" spans="1:40" s="6" customFormat="1" ht="11.25" x14ac:dyDescent="0.2">
      <c r="A85" s="56">
        <f t="shared" si="46"/>
        <v>46093</v>
      </c>
      <c r="B85" s="409">
        <f>IF(t&gt;Tmaj,'2025'!Wh/'2025'!Env_an*'2026'!Env_an,0.001*'[5]mon-tableau'!$B$253)</f>
        <v>13.65227097561039</v>
      </c>
      <c r="C85" s="829"/>
      <c r="D85" s="391">
        <f t="shared" si="25"/>
        <v>14.34895717870627</v>
      </c>
      <c r="E85" s="383">
        <f t="shared" si="47"/>
        <v>14.972213393822251</v>
      </c>
      <c r="F85" s="383">
        <f t="shared" si="26"/>
        <v>14.972213393822251</v>
      </c>
      <c r="G85" s="110">
        <f t="shared" si="48"/>
        <v>0.2900458751301645</v>
      </c>
      <c r="H85" s="412" t="b">
        <f>Wh_hp&gt;='2025'!Maxi_hp</f>
        <v>0</v>
      </c>
      <c r="I85" s="388">
        <f>IF(H85,Wh_hp,'2025'!Maxi_hp)</f>
        <v>45.555962265985798</v>
      </c>
      <c r="J85" s="85">
        <f>IF(H85,An,'2025'!An_max)</f>
        <v>2018</v>
      </c>
      <c r="K85" s="197">
        <f t="shared" si="27"/>
        <v>46093</v>
      </c>
      <c r="L85" s="147">
        <f>IF(t&lt;Tvie,1-EXP((T0-t)*PertePVj)+'2025'!Pspv,1-EXP((T0-t)*PertePVj)+Pspv)</f>
        <v>4.8553089567355823E-2</v>
      </c>
      <c r="M85" s="832"/>
      <c r="N85" s="832"/>
      <c r="O85" s="48">
        <f>IF(t&lt;Tnet,'2025'!Resal+('2025'!Salim-'2025'!Resal)*(1-EXP(('2025'!Tnet-t)/('2025'!Tau_j))),Resal+(Salim-Resal)*(1-EXP((Tnet-t)/(Tau_j))))*Salcycl</f>
        <v>4.1627526854055207E-2</v>
      </c>
      <c r="P85" s="169">
        <f>(INDEX(Models!$BJ85:$BT85,,T85)*(1-R85)+INDEX(Models!$BJ85:$BT85,,T85+1)*R85-ERP_i)*Q85*Ramure*Pc/MaxiM</f>
        <v>3.0737433676396566E-5</v>
      </c>
      <c r="Q85" s="304">
        <f t="shared" si="28"/>
        <v>0.6</v>
      </c>
      <c r="R85" s="177">
        <f t="shared" si="29"/>
        <v>1.0516265505813305E-2</v>
      </c>
      <c r="S85" s="799">
        <f t="shared" si="30"/>
        <v>2</v>
      </c>
      <c r="T85" s="176">
        <f t="shared" si="31"/>
        <v>8</v>
      </c>
      <c r="U85" s="250">
        <f t="shared" si="32"/>
        <v>2.0105162655058133</v>
      </c>
      <c r="V85" s="382">
        <f t="shared" si="33"/>
        <v>47.067903771119568</v>
      </c>
      <c r="W85" s="400">
        <f t="shared" si="34"/>
        <v>13.65227097561039</v>
      </c>
      <c r="X85" s="157">
        <f t="shared" si="35"/>
        <v>46093</v>
      </c>
      <c r="Y85" s="383">
        <f t="shared" si="36"/>
        <v>13.28770932394006</v>
      </c>
      <c r="Z85" s="383">
        <f t="shared" si="37"/>
        <v>13.965791657148628</v>
      </c>
      <c r="AA85" s="384">
        <f t="shared" si="38"/>
        <v>14.972213393822251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6.7219302196753886E-2</v>
      </c>
      <c r="AD85" s="230">
        <f>(INDEX(Models!$BJ85:$BT85,,AH85)*(1-AF85)+INDEX(Models!$BJ85:$BT85,,AH85+1)*AF85-ERP_i)*AE85*Ramure*Pc/MaxiM</f>
        <v>3.0737433676396566E-5</v>
      </c>
      <c r="AE85" s="304">
        <f t="shared" si="40"/>
        <v>0.6</v>
      </c>
      <c r="AF85" s="177">
        <f t="shared" si="41"/>
        <v>1.0516265505813305E-2</v>
      </c>
      <c r="AG85" s="799">
        <f t="shared" si="49"/>
        <v>2</v>
      </c>
      <c r="AH85" s="176">
        <f t="shared" si="42"/>
        <v>8</v>
      </c>
      <c r="AI85" s="224">
        <f t="shared" si="43"/>
        <v>2.0105162655058133</v>
      </c>
      <c r="AJ85" s="264" t="b">
        <f t="shared" si="44"/>
        <v>1</v>
      </c>
      <c r="AK85" s="264" t="b">
        <f t="shared" si="45"/>
        <v>1</v>
      </c>
      <c r="AL85" s="264"/>
      <c r="AM85" s="264"/>
      <c r="AN85" s="75"/>
    </row>
    <row r="86" spans="1:40" s="6" customFormat="1" ht="11.25" x14ac:dyDescent="0.2">
      <c r="A86" s="56">
        <f t="shared" si="46"/>
        <v>46094</v>
      </c>
      <c r="B86" s="409">
        <f>IF(t&gt;Tmaj,'2025'!Wh/'2025'!Env_an*'2026'!Env_an,0.001*'[5]mon-tableau'!$B$254)</f>
        <v>7.8664090046455346</v>
      </c>
      <c r="C86" s="829"/>
      <c r="D86" s="391">
        <f t="shared" si="25"/>
        <v>8.2679965421209776</v>
      </c>
      <c r="E86" s="383">
        <f t="shared" si="47"/>
        <v>8.6279027291566646</v>
      </c>
      <c r="F86" s="383">
        <f t="shared" si="26"/>
        <v>8.6279027291566646</v>
      </c>
      <c r="G86" s="110">
        <f t="shared" si="48"/>
        <v>0.16602310911023879</v>
      </c>
      <c r="H86" s="412" t="b">
        <f>Wh_hp&gt;='2025'!Maxi_hp</f>
        <v>0</v>
      </c>
      <c r="I86" s="388">
        <f>IF(H86,Wh_hp,'2025'!Maxi_hp)</f>
        <v>42.650905420994242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4.8571323830334356E-2</v>
      </c>
      <c r="M86" s="832"/>
      <c r="N86" s="832"/>
      <c r="O86" s="48">
        <f>IF(t&lt;Tnet,'2025'!Resal+('2025'!Salim-'2025'!Resal)*(1-EXP(('2025'!Tnet-t)/('2025'!Tau_j))),Resal+(Salim-Resal)*(1-EXP((Tnet-t)/(Tau_j))))*Salcycl</f>
        <v>4.1714214720970207E-2</v>
      </c>
      <c r="P86" s="169">
        <f>(INDEX(Models!$BJ86:$BT86,,T86)*(1-R86)+INDEX(Models!$BJ86:$BT86,,T86+1)*R86-ERP_i)*Q86*Ramure*Pc/MaxiM</f>
        <v>2.9644601530989207E-5</v>
      </c>
      <c r="Q86" s="304">
        <f t="shared" si="28"/>
        <v>0.6</v>
      </c>
      <c r="R86" s="177">
        <f t="shared" si="29"/>
        <v>1.1011138752659466E-2</v>
      </c>
      <c r="S86" s="799">
        <f t="shared" si="30"/>
        <v>2</v>
      </c>
      <c r="T86" s="176">
        <f t="shared" si="31"/>
        <v>8</v>
      </c>
      <c r="U86" s="250">
        <f t="shared" si="32"/>
        <v>2.0110111387526595</v>
      </c>
      <c r="V86" s="382">
        <f t="shared" si="33"/>
        <v>47.380005411547842</v>
      </c>
      <c r="W86" s="400">
        <f t="shared" si="34"/>
        <v>7.8664090046455346</v>
      </c>
      <c r="X86" s="157">
        <f t="shared" si="35"/>
        <v>46094</v>
      </c>
      <c r="Y86" s="383">
        <f t="shared" si="36"/>
        <v>7.6565649971567149</v>
      </c>
      <c r="Z86" s="383">
        <f t="shared" si="37"/>
        <v>8.0474398017737911</v>
      </c>
      <c r="AA86" s="384">
        <f t="shared" si="38"/>
        <v>8.6279027291566646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6.7277407453990967E-2</v>
      </c>
      <c r="AD86" s="230">
        <f>(INDEX(Models!$BJ86:$BT86,,AH86)*(1-AF86)+INDEX(Models!$BJ86:$BT86,,AH86+1)*AF86-ERP_i)*AE86*Ramure*Pc/MaxiM</f>
        <v>2.9644601530989207E-5</v>
      </c>
      <c r="AE86" s="304">
        <f t="shared" si="40"/>
        <v>0.6</v>
      </c>
      <c r="AF86" s="177">
        <f t="shared" si="41"/>
        <v>1.1011138752659466E-2</v>
      </c>
      <c r="AG86" s="799">
        <f t="shared" si="49"/>
        <v>2</v>
      </c>
      <c r="AH86" s="176">
        <f t="shared" si="42"/>
        <v>8</v>
      </c>
      <c r="AI86" s="224">
        <f t="shared" si="43"/>
        <v>2.0110111387526595</v>
      </c>
      <c r="AJ86" s="264" t="b">
        <f t="shared" si="44"/>
        <v>1</v>
      </c>
      <c r="AK86" s="264" t="b">
        <f t="shared" si="45"/>
        <v>1</v>
      </c>
      <c r="AL86" s="264"/>
      <c r="AM86" s="264"/>
      <c r="AN86" s="75"/>
    </row>
    <row r="87" spans="1:40" s="6" customFormat="1" ht="11.25" x14ac:dyDescent="0.2">
      <c r="A87" s="56">
        <f t="shared" si="46"/>
        <v>46095</v>
      </c>
      <c r="B87" s="409">
        <f>IF(t&gt;Tmaj,'2025'!Wh/'2025'!Env_an*'2026'!Env_an,0.001*'[5]mon-tableau'!$B$255)</f>
        <v>14.118194296275551</v>
      </c>
      <c r="C87" s="829"/>
      <c r="D87" s="391">
        <f t="shared" si="25"/>
        <v>14.839225710825856</v>
      </c>
      <c r="E87" s="383">
        <f t="shared" si="47"/>
        <v>15.486578903175976</v>
      </c>
      <c r="F87" s="383">
        <f t="shared" si="26"/>
        <v>15.486578903175976</v>
      </c>
      <c r="G87" s="110">
        <f t="shared" si="48"/>
        <v>0.29603572218411095</v>
      </c>
      <c r="H87" s="412" t="b">
        <f>Wh_hp&gt;='2025'!Maxi_hp</f>
        <v>0</v>
      </c>
      <c r="I87" s="388">
        <f>IF(H87,Wh_hp,'2025'!Maxi_hp)</f>
        <v>42.248499261755185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4.8589557743857315E-2</v>
      </c>
      <c r="M87" s="832"/>
      <c r="N87" s="832"/>
      <c r="O87" s="48">
        <f>IF(t&lt;Tnet,'2025'!Resal+('2025'!Salim-'2025'!Resal)*(1-EXP(('2025'!Tnet-t)/('2025'!Tau_j))),Resal+(Salim-Resal)*(1-EXP((Tnet-t)/(Tau_j))))*Salcycl</f>
        <v>4.1800916548287027E-2</v>
      </c>
      <c r="P87" s="169">
        <f>(INDEX(Models!$BJ87:$BT87,,T87)*(1-R87)+INDEX(Models!$BJ87:$BT87,,T87+1)*R87-ERP_i)*Q87*Ramure*Pc/MaxiM</f>
        <v>2.8545071765088631E-5</v>
      </c>
      <c r="Q87" s="304">
        <f t="shared" si="28"/>
        <v>0.6</v>
      </c>
      <c r="R87" s="177">
        <f t="shared" si="29"/>
        <v>1.1525707985696965E-2</v>
      </c>
      <c r="S87" s="799">
        <f t="shared" si="30"/>
        <v>2</v>
      </c>
      <c r="T87" s="176">
        <f t="shared" si="31"/>
        <v>8</v>
      </c>
      <c r="U87" s="250">
        <f t="shared" si="32"/>
        <v>2.011525707985697</v>
      </c>
      <c r="V87" s="382">
        <f t="shared" si="33"/>
        <v>47.689485536566472</v>
      </c>
      <c r="W87" s="400">
        <f t="shared" si="34"/>
        <v>14.118194296275551</v>
      </c>
      <c r="X87" s="157">
        <f t="shared" si="35"/>
        <v>46095</v>
      </c>
      <c r="Y87" s="383">
        <f t="shared" si="36"/>
        <v>13.741963540393066</v>
      </c>
      <c r="Z87" s="383">
        <f t="shared" si="37"/>
        <v>14.443780444332559</v>
      </c>
      <c r="AA87" s="384">
        <f t="shared" si="38"/>
        <v>15.486578903175976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6.7335624308191191E-2</v>
      </c>
      <c r="AD87" s="230">
        <f>(INDEX(Models!$BJ87:$BT87,,AH87)*(1-AF87)+INDEX(Models!$BJ87:$BT87,,AH87+1)*AF87-ERP_i)*AE87*Ramure*Pc/MaxiM</f>
        <v>2.8545071765088631E-5</v>
      </c>
      <c r="AE87" s="304">
        <f t="shared" si="40"/>
        <v>0.6</v>
      </c>
      <c r="AF87" s="177">
        <f t="shared" si="41"/>
        <v>1.1525707985696965E-2</v>
      </c>
      <c r="AG87" s="799">
        <f t="shared" si="49"/>
        <v>2</v>
      </c>
      <c r="AH87" s="176">
        <f t="shared" si="42"/>
        <v>8</v>
      </c>
      <c r="AI87" s="224">
        <f t="shared" si="43"/>
        <v>2.011525707985697</v>
      </c>
      <c r="AJ87" s="264" t="b">
        <f t="shared" si="44"/>
        <v>1</v>
      </c>
      <c r="AK87" s="264" t="b">
        <f t="shared" si="45"/>
        <v>1</v>
      </c>
      <c r="AL87" s="264"/>
      <c r="AM87" s="264"/>
      <c r="AN87" s="75"/>
    </row>
    <row r="88" spans="1:40" s="6" customFormat="1" ht="11.25" x14ac:dyDescent="0.2">
      <c r="A88" s="56">
        <f t="shared" si="46"/>
        <v>46096</v>
      </c>
      <c r="B88" s="409">
        <f>IF(t&gt;Tmaj,'2025'!Wh/'2025'!Env_an*'2026'!Env_an,0.001*'[5]mon-tableau'!$B$256)</f>
        <v>13.387502021396369</v>
      </c>
      <c r="C88" s="829"/>
      <c r="D88" s="391">
        <f t="shared" si="25"/>
        <v>14.071485869955682</v>
      </c>
      <c r="E88" s="383">
        <f t="shared" si="47"/>
        <v>14.686676171591539</v>
      </c>
      <c r="F88" s="383">
        <f t="shared" si="26"/>
        <v>14.686676171591539</v>
      </c>
      <c r="G88" s="110">
        <f t="shared" si="48"/>
        <v>0.27892273436849246</v>
      </c>
      <c r="H88" s="412" t="b">
        <f>Wh_hp&gt;='2025'!Maxi_hp</f>
        <v>0</v>
      </c>
      <c r="I88" s="388">
        <f>IF(H88,Wh_hp,'2025'!Maxi_hp)</f>
        <v>34.209482776257786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4.860779130793158E-2</v>
      </c>
      <c r="M88" s="832"/>
      <c r="N88" s="832"/>
      <c r="O88" s="48">
        <f>IF(t&lt;Tnet,'2025'!Resal+('2025'!Salim-'2025'!Resal)*(1-EXP(('2025'!Tnet-t)/('2025'!Tau_j))),Resal+(Salim-Resal)*(1-EXP((Tnet-t)/(Tau_j))))*Salcycl</f>
        <v>4.1887646629386481E-2</v>
      </c>
      <c r="P88" s="169">
        <f>(INDEX(Models!$BJ88:$BT88,,T88)*(1-R88)+INDEX(Models!$BJ88:$BT88,,T88+1)*R88-ERP_i)*Q88*Ramure*Pc/MaxiM</f>
        <v>2.7439088886866837E-5</v>
      </c>
      <c r="Q88" s="304">
        <f t="shared" si="28"/>
        <v>0.6</v>
      </c>
      <c r="R88" s="177">
        <f t="shared" si="29"/>
        <v>1.2060711917328604E-2</v>
      </c>
      <c r="S88" s="799">
        <f t="shared" si="30"/>
        <v>2</v>
      </c>
      <c r="T88" s="176">
        <f t="shared" si="31"/>
        <v>8</v>
      </c>
      <c r="U88" s="250">
        <f t="shared" si="32"/>
        <v>2.0120607119173286</v>
      </c>
      <c r="V88" s="382">
        <f t="shared" si="33"/>
        <v>47.995853442524762</v>
      </c>
      <c r="W88" s="400">
        <f t="shared" si="34"/>
        <v>13.387502021396369</v>
      </c>
      <c r="X88" s="157">
        <f t="shared" si="35"/>
        <v>46096</v>
      </c>
      <c r="Y88" s="383">
        <f t="shared" si="36"/>
        <v>13.031107469315312</v>
      </c>
      <c r="Z88" s="383">
        <f t="shared" si="37"/>
        <v>13.69688268440825</v>
      </c>
      <c r="AA88" s="384">
        <f t="shared" si="38"/>
        <v>14.686676171591539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6.739397503009216E-2</v>
      </c>
      <c r="AD88" s="230">
        <f>(INDEX(Models!$BJ88:$BT88,,AH88)*(1-AF88)+INDEX(Models!$BJ88:$BT88,,AH88+1)*AF88-ERP_i)*AE88*Ramure*Pc/MaxiM</f>
        <v>2.7439088886866837E-5</v>
      </c>
      <c r="AE88" s="304">
        <f t="shared" si="40"/>
        <v>0.6</v>
      </c>
      <c r="AF88" s="177">
        <f t="shared" si="41"/>
        <v>1.2060711917328604E-2</v>
      </c>
      <c r="AG88" s="799">
        <f t="shared" si="49"/>
        <v>2</v>
      </c>
      <c r="AH88" s="176">
        <f t="shared" si="42"/>
        <v>8</v>
      </c>
      <c r="AI88" s="224">
        <f t="shared" si="43"/>
        <v>2.0120607119173286</v>
      </c>
      <c r="AJ88" s="264" t="b">
        <f t="shared" si="44"/>
        <v>1</v>
      </c>
      <c r="AK88" s="264" t="b">
        <f t="shared" si="45"/>
        <v>1</v>
      </c>
      <c r="AL88" s="264"/>
      <c r="AM88" s="264"/>
      <c r="AN88" s="75"/>
    </row>
    <row r="89" spans="1:40" s="6" customFormat="1" ht="11.25" x14ac:dyDescent="0.2">
      <c r="A89" s="56">
        <f t="shared" si="46"/>
        <v>46097</v>
      </c>
      <c r="B89" s="409">
        <f>IF(t&gt;Tmaj,'2025'!Wh/'2025'!Env_an*'2026'!Env_an,0.001*'[5]mon-tableau'!$B$257)</f>
        <v>13.460032320027414</v>
      </c>
      <c r="C89" s="829"/>
      <c r="D89" s="391">
        <f t="shared" si="25"/>
        <v>14.147992973291759</v>
      </c>
      <c r="E89" s="383">
        <f t="shared" si="47"/>
        <v>14.767865562754872</v>
      </c>
      <c r="F89" s="383">
        <f t="shared" si="26"/>
        <v>14.767865562754872</v>
      </c>
      <c r="G89" s="110">
        <f t="shared" si="48"/>
        <v>0.27867625104550048</v>
      </c>
      <c r="H89" s="412" t="b">
        <f>Wh_hp&gt;='2025'!Maxi_hp</f>
        <v>0</v>
      </c>
      <c r="I89" s="388">
        <f>IF(H89,Wh_hp,'2025'!Maxi_hp)</f>
        <v>54.475764848808986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4.8626024522563704E-2</v>
      </c>
      <c r="M89" s="832"/>
      <c r="N89" s="832"/>
      <c r="O89" s="48">
        <f>IF(t&lt;Tnet,'2025'!Resal+('2025'!Salim-'2025'!Resal)*(1-EXP(('2025'!Tnet-t)/('2025'!Tau_j))),Resal+(Salim-Resal)*(1-EXP((Tnet-t)/(Tau_j))))*Salcycl</f>
        <v>4.1974419852958043E-2</v>
      </c>
      <c r="P89" s="169">
        <f>(INDEX(Models!$BJ89:$BT89,,T89)*(1-R89)+INDEX(Models!$BJ89:$BT89,,T89+1)*R89-ERP_i)*Q89*Ramure*Pc/MaxiM</f>
        <v>2.6326821185373707E-5</v>
      </c>
      <c r="Q89" s="304">
        <f t="shared" si="28"/>
        <v>0.6</v>
      </c>
      <c r="R89" s="177">
        <f t="shared" si="29"/>
        <v>1.2616913210100389E-2</v>
      </c>
      <c r="S89" s="799">
        <f t="shared" si="30"/>
        <v>2</v>
      </c>
      <c r="T89" s="176">
        <f t="shared" si="31"/>
        <v>8</v>
      </c>
      <c r="U89" s="250">
        <f t="shared" si="32"/>
        <v>2.0126169132101004</v>
      </c>
      <c r="V89" s="382">
        <f t="shared" si="33"/>
        <v>48.298618592962796</v>
      </c>
      <c r="W89" s="400">
        <f t="shared" si="34"/>
        <v>13.460032320027414</v>
      </c>
      <c r="X89" s="157">
        <f t="shared" si="35"/>
        <v>46097</v>
      </c>
      <c r="Y89" s="383">
        <f t="shared" si="36"/>
        <v>13.102071575478888</v>
      </c>
      <c r="Z89" s="383">
        <f t="shared" si="37"/>
        <v>13.771736365716501</v>
      </c>
      <c r="AA89" s="384">
        <f t="shared" si="38"/>
        <v>14.767865562754872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6.7452482744063458E-2</v>
      </c>
      <c r="AD89" s="230">
        <f>(INDEX(Models!$BJ89:$BT89,,AH89)*(1-AF89)+INDEX(Models!$BJ89:$BT89,,AH89+1)*AF89-ERP_i)*AE89*Ramure*Pc/MaxiM</f>
        <v>2.6326821185373707E-5</v>
      </c>
      <c r="AE89" s="304">
        <f t="shared" si="40"/>
        <v>0.6</v>
      </c>
      <c r="AF89" s="177">
        <f t="shared" si="41"/>
        <v>1.2616913210100389E-2</v>
      </c>
      <c r="AG89" s="799">
        <f t="shared" si="49"/>
        <v>2</v>
      </c>
      <c r="AH89" s="176">
        <f t="shared" si="42"/>
        <v>8</v>
      </c>
      <c r="AI89" s="224">
        <f t="shared" si="43"/>
        <v>2.0126169132101004</v>
      </c>
      <c r="AJ89" s="264" t="b">
        <f t="shared" si="44"/>
        <v>1</v>
      </c>
      <c r="AK89" s="264" t="b">
        <f t="shared" si="45"/>
        <v>1</v>
      </c>
      <c r="AL89" s="264"/>
      <c r="AM89" s="264"/>
      <c r="AN89" s="75"/>
    </row>
    <row r="90" spans="1:40" s="6" customFormat="1" ht="11.25" x14ac:dyDescent="0.2">
      <c r="A90" s="56">
        <f t="shared" si="46"/>
        <v>46098</v>
      </c>
      <c r="B90" s="409">
        <f>IF(t&gt;Tmaj,'2025'!Wh/'2025'!Env_an*'2026'!Env_an,0.001*'[5]mon-tableau'!$B$258)</f>
        <v>11.097648619194752</v>
      </c>
      <c r="C90" s="829"/>
      <c r="D90" s="391">
        <f t="shared" si="25"/>
        <v>11.665088170617173</v>
      </c>
      <c r="E90" s="383">
        <f t="shared" si="47"/>
        <v>12.177279800835754</v>
      </c>
      <c r="F90" s="383">
        <f t="shared" si="26"/>
        <v>12.177279800835754</v>
      </c>
      <c r="G90" s="110">
        <f t="shared" si="48"/>
        <v>0.22835365353135231</v>
      </c>
      <c r="H90" s="412" t="b">
        <f>Wh_hp&gt;='2025'!Maxi_hp</f>
        <v>0</v>
      </c>
      <c r="I90" s="388">
        <f>IF(H90,Wh_hp,'2025'!Maxi_hp)</f>
        <v>28.016167697203379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4.8644257387760459E-2</v>
      </c>
      <c r="M90" s="832"/>
      <c r="N90" s="832"/>
      <c r="O90" s="48">
        <f>IF(t&lt;Tnet,'2025'!Resal+('2025'!Salim-'2025'!Resal)*(1-EXP(('2025'!Tnet-t)/('2025'!Tau_j))),Resal+(Salim-Resal)*(1-EXP((Tnet-t)/(Tau_j))))*Salcycl</f>
        <v>4.2061251658472083E-2</v>
      </c>
      <c r="P90" s="169">
        <f>(INDEX(Models!$BJ90:$BT90,,T90)*(1-R90)+INDEX(Models!$BJ90:$BT90,,T90+1)*R90-ERP_i)*Q90*Ramure*Pc/MaxiM</f>
        <v>2.520835963916239E-5</v>
      </c>
      <c r="Q90" s="304">
        <f t="shared" si="28"/>
        <v>0.6</v>
      </c>
      <c r="R90" s="177">
        <f t="shared" si="29"/>
        <v>1.3195098935864902E-2</v>
      </c>
      <c r="S90" s="799">
        <f t="shared" si="30"/>
        <v>2</v>
      </c>
      <c r="T90" s="176">
        <f t="shared" si="31"/>
        <v>8</v>
      </c>
      <c r="U90" s="250">
        <f t="shared" si="32"/>
        <v>2.0131950989358649</v>
      </c>
      <c r="V90" s="382">
        <f t="shared" si="33"/>
        <v>48.597290623833054</v>
      </c>
      <c r="W90" s="400">
        <f t="shared" si="34"/>
        <v>11.097648619194752</v>
      </c>
      <c r="X90" s="157">
        <f t="shared" si="35"/>
        <v>46098</v>
      </c>
      <c r="Y90" s="383">
        <f t="shared" si="36"/>
        <v>10.802813206557673</v>
      </c>
      <c r="Z90" s="383">
        <f t="shared" si="37"/>
        <v>11.355177377597185</v>
      </c>
      <c r="AA90" s="384">
        <f t="shared" si="38"/>
        <v>12.177279800835754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6.7511171352254415E-2</v>
      </c>
      <c r="AD90" s="230">
        <f>(INDEX(Models!$BJ90:$BT90,,AH90)*(1-AF90)+INDEX(Models!$BJ90:$BT90,,AH90+1)*AF90-ERP_i)*AE90*Ramure*Pc/MaxiM</f>
        <v>2.520835963916239E-5</v>
      </c>
      <c r="AE90" s="304">
        <f t="shared" si="40"/>
        <v>0.6</v>
      </c>
      <c r="AF90" s="177">
        <f t="shared" si="41"/>
        <v>1.3195098935864902E-2</v>
      </c>
      <c r="AG90" s="799">
        <f t="shared" si="49"/>
        <v>2</v>
      </c>
      <c r="AH90" s="176">
        <f t="shared" si="42"/>
        <v>8</v>
      </c>
      <c r="AI90" s="224">
        <f t="shared" si="43"/>
        <v>2.0131950989358649</v>
      </c>
      <c r="AJ90" s="264" t="b">
        <f t="shared" si="44"/>
        <v>1</v>
      </c>
      <c r="AK90" s="264" t="b">
        <f t="shared" si="45"/>
        <v>1</v>
      </c>
      <c r="AL90" s="264"/>
      <c r="AM90" s="264"/>
      <c r="AN90" s="75"/>
    </row>
    <row r="91" spans="1:40" s="6" customFormat="1" ht="11.25" x14ac:dyDescent="0.2">
      <c r="A91" s="56">
        <f t="shared" si="46"/>
        <v>46099</v>
      </c>
      <c r="B91" s="409">
        <f>IF(t&gt;Tmaj,'2025'!Wh/'2025'!Env_an*'2026'!Env_an,0.001*'[5]mon-tableau'!$B$259)</f>
        <v>13.909212916248546</v>
      </c>
      <c r="C91" s="829"/>
      <c r="D91" s="391">
        <f t="shared" si="25"/>
        <v>14.620692202957565</v>
      </c>
      <c r="E91" s="383">
        <f t="shared" si="47"/>
        <v>15.264043520837465</v>
      </c>
      <c r="F91" s="383">
        <f t="shared" si="26"/>
        <v>15.264043520837465</v>
      </c>
      <c r="G91" s="110">
        <f t="shared" si="48"/>
        <v>0.28448528386762317</v>
      </c>
      <c r="H91" s="412" t="b">
        <f>Wh_hp&gt;='2025'!Maxi_hp</f>
        <v>0</v>
      </c>
      <c r="I91" s="388">
        <f>IF(H91,Wh_hp,'2025'!Maxi_hp)</f>
        <v>36.161356704838056</v>
      </c>
      <c r="J91" s="85">
        <f>IF(H91,An,'2025'!An_max)</f>
        <v>2018</v>
      </c>
      <c r="K91" s="197">
        <f t="shared" si="27"/>
        <v>46099</v>
      </c>
      <c r="L91" s="147">
        <f>IF(t&lt;Tvie,1-EXP((T0-t)*PertePVj)+'2025'!Pspv,1-EXP((T0-t)*PertePVj)+Pspv)</f>
        <v>4.8662489903528505E-2</v>
      </c>
      <c r="M91" s="832"/>
      <c r="N91" s="832"/>
      <c r="O91" s="48">
        <f>IF(t&lt;Tnet,'2025'!Resal+('2025'!Salim-'2025'!Resal)*(1-EXP(('2025'!Tnet-t)/('2025'!Tau_j))),Resal+(Salim-Resal)*(1-EXP((Tnet-t)/(Tau_j))))*Salcycl</f>
        <v>4.2148157989830036E-2</v>
      </c>
      <c r="P91" s="169">
        <f>(INDEX(Models!$BJ91:$BT91,,T91)*(1-R91)+INDEX(Models!$BJ91:$BT91,,T91+1)*R91-ERP_i)*Q91*Ramure*Pc/MaxiM</f>
        <v>2.4083716865758472E-5</v>
      </c>
      <c r="Q91" s="304">
        <f t="shared" si="28"/>
        <v>0.6</v>
      </c>
      <c r="R91" s="177">
        <f t="shared" si="29"/>
        <v>1.3796081014489925E-2</v>
      </c>
      <c r="S91" s="799">
        <f t="shared" si="30"/>
        <v>2</v>
      </c>
      <c r="T91" s="176">
        <f t="shared" si="31"/>
        <v>8</v>
      </c>
      <c r="U91" s="250">
        <f t="shared" si="32"/>
        <v>2.0137960810144899</v>
      </c>
      <c r="V91" s="382">
        <f t="shared" si="33"/>
        <v>48.891379341698844</v>
      </c>
      <c r="W91" s="400">
        <f t="shared" si="34"/>
        <v>13.909212916248546</v>
      </c>
      <c r="X91" s="157">
        <f t="shared" si="35"/>
        <v>46099</v>
      </c>
      <c r="Y91" s="383">
        <f t="shared" si="36"/>
        <v>13.540054860502025</v>
      </c>
      <c r="Z91" s="383">
        <f t="shared" si="37"/>
        <v>14.23265110100513</v>
      </c>
      <c r="AA91" s="384">
        <f t="shared" si="38"/>
        <v>15.264043520837465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6.7570065456400527E-2</v>
      </c>
      <c r="AD91" s="230">
        <f>(INDEX(Models!$BJ91:$BT91,,AH91)*(1-AF91)+INDEX(Models!$BJ91:$BT91,,AH91+1)*AF91-ERP_i)*AE91*Ramure*Pc/MaxiM</f>
        <v>2.4083716865758472E-5</v>
      </c>
      <c r="AE91" s="304">
        <f t="shared" si="40"/>
        <v>0.6</v>
      </c>
      <c r="AF91" s="177">
        <f t="shared" si="41"/>
        <v>1.3796081014489925E-2</v>
      </c>
      <c r="AG91" s="799">
        <f t="shared" si="49"/>
        <v>2</v>
      </c>
      <c r="AH91" s="176">
        <f t="shared" si="42"/>
        <v>8</v>
      </c>
      <c r="AI91" s="224">
        <f t="shared" si="43"/>
        <v>2.0137960810144899</v>
      </c>
      <c r="AJ91" s="264" t="b">
        <f t="shared" si="44"/>
        <v>1</v>
      </c>
      <c r="AK91" s="264" t="b">
        <f t="shared" si="45"/>
        <v>1</v>
      </c>
      <c r="AL91" s="264"/>
      <c r="AM91" s="264"/>
      <c r="AN91" s="75"/>
    </row>
    <row r="92" spans="1:40" s="6" customFormat="1" ht="11.25" x14ac:dyDescent="0.2">
      <c r="A92" s="56">
        <f t="shared" si="46"/>
        <v>46100</v>
      </c>
      <c r="B92" s="409">
        <f>IF(t&gt;Tmaj,'2025'!Wh/'2025'!Env_an*'2026'!Env_an,0.001*'[5]mon-tableau'!$B$260)</f>
        <v>27.951987869822787</v>
      </c>
      <c r="C92" s="829"/>
      <c r="D92" s="391">
        <f t="shared" si="25"/>
        <v>29.382341468618765</v>
      </c>
      <c r="E92" s="383">
        <f t="shared" si="47"/>
        <v>30.678032953082941</v>
      </c>
      <c r="F92" s="383">
        <f t="shared" si="26"/>
        <v>30.678302901804656</v>
      </c>
      <c r="G92" s="110">
        <f t="shared" si="48"/>
        <v>0.56834826970151975</v>
      </c>
      <c r="H92" s="412" t="b">
        <f>Wh_hp&gt;='2025'!Maxi_hp</f>
        <v>0</v>
      </c>
      <c r="I92" s="388">
        <f>IF(H92,Wh_hp,'2025'!Maxi_hp)</f>
        <v>48.151919129153704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4.8680722069874505E-2</v>
      </c>
      <c r="M92" s="832"/>
      <c r="N92" s="832"/>
      <c r="O92" s="48">
        <f>IF(t&lt;Tnet,'2025'!Resal+('2025'!Salim-'2025'!Resal)*(1-EXP(('2025'!Tnet-t)/('2025'!Tau_j))),Resal+(Salim-Resal)*(1-EXP((Tnet-t)/(Tau_j))))*Salcycl</f>
        <v>4.2235155247591145E-2</v>
      </c>
      <c r="P92" s="169">
        <f>(INDEX(Models!$BJ92:$BT92,,T92)*(1-R92)+INDEX(Models!$BJ92:$BT92,,T92+1)*R92-ERP_i)*Q92*Ramure*Pc/MaxiM</f>
        <v>2.2952826093633891E-5</v>
      </c>
      <c r="Q92" s="304">
        <f t="shared" si="28"/>
        <v>0.6</v>
      </c>
      <c r="R92" s="177">
        <f t="shared" si="29"/>
        <v>1.4420696628696827E-2</v>
      </c>
      <c r="S92" s="799">
        <f t="shared" si="30"/>
        <v>2</v>
      </c>
      <c r="T92" s="176">
        <f t="shared" si="31"/>
        <v>8</v>
      </c>
      <c r="U92" s="250">
        <f t="shared" si="32"/>
        <v>2.0144206966286968</v>
      </c>
      <c r="V92" s="382">
        <f t="shared" si="33"/>
        <v>49.180394730262407</v>
      </c>
      <c r="W92" s="400">
        <f t="shared" si="34"/>
        <v>27.951987869822787</v>
      </c>
      <c r="X92" s="157">
        <f t="shared" si="35"/>
        <v>46100</v>
      </c>
      <c r="Y92" s="383">
        <f t="shared" si="36"/>
        <v>27.21087300950688</v>
      </c>
      <c r="Z92" s="383">
        <f t="shared" si="37"/>
        <v>28.60330242514598</v>
      </c>
      <c r="AA92" s="384">
        <f t="shared" si="38"/>
        <v>30.678032953082941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6.7629190277940052E-2</v>
      </c>
      <c r="AD92" s="230">
        <f>(INDEX(Models!$BJ92:$BT92,,AH92)*(1-AF92)+INDEX(Models!$BJ92:$BT92,,AH92+1)*AF92-ERP_i)*AE92*Ramure*Pc/MaxiM</f>
        <v>2.2952826093633891E-5</v>
      </c>
      <c r="AE92" s="304">
        <f t="shared" si="40"/>
        <v>0.6</v>
      </c>
      <c r="AF92" s="177">
        <f t="shared" si="41"/>
        <v>1.4420696628696827E-2</v>
      </c>
      <c r="AG92" s="799">
        <f t="shared" si="49"/>
        <v>2</v>
      </c>
      <c r="AH92" s="176">
        <f t="shared" si="42"/>
        <v>8</v>
      </c>
      <c r="AI92" s="224">
        <f t="shared" si="43"/>
        <v>2.0144206966286968</v>
      </c>
      <c r="AJ92" s="264" t="b">
        <f t="shared" si="44"/>
        <v>1</v>
      </c>
      <c r="AK92" s="264" t="b">
        <f t="shared" si="45"/>
        <v>1</v>
      </c>
      <c r="AL92" s="264"/>
      <c r="AM92" s="264"/>
      <c r="AN92" s="75"/>
    </row>
    <row r="93" spans="1:40" s="6" customFormat="1" ht="11.25" x14ac:dyDescent="0.2">
      <c r="A93" s="56">
        <f t="shared" si="46"/>
        <v>46101</v>
      </c>
      <c r="B93" s="409">
        <f>IF(t&gt;Tmaj,'2025'!Wh/'2025'!Env_an*'2026'!Env_an,0.001*'[5]mon-tableau'!$B$261)</f>
        <v>30.930610986994562</v>
      </c>
      <c r="C93" s="829"/>
      <c r="D93" s="391">
        <f t="shared" si="25"/>
        <v>32.514009222811417</v>
      </c>
      <c r="E93" s="383">
        <f t="shared" si="47"/>
        <v>33.950887519809321</v>
      </c>
      <c r="F93" s="383">
        <f t="shared" si="26"/>
        <v>33.951231680540168</v>
      </c>
      <c r="G93" s="110">
        <f t="shared" si="48"/>
        <v>0.62527592323492631</v>
      </c>
      <c r="H93" s="412" t="b">
        <f>Wh_hp&gt;='2025'!Maxi_hp</f>
        <v>0</v>
      </c>
      <c r="I93" s="388">
        <f>IF(H93,Wh_hp,'2025'!Maxi_hp)</f>
        <v>53.213779784597463</v>
      </c>
      <c r="J93" s="85">
        <f>IF(H93,An,'2025'!An_max)</f>
        <v>2018</v>
      </c>
      <c r="K93" s="197">
        <f t="shared" si="27"/>
        <v>46101</v>
      </c>
      <c r="L93" s="147">
        <f>IF(t&lt;Tvie,1-EXP((T0-t)*PertePVj)+'2025'!Pspv,1-EXP((T0-t)*PertePVj)+Pspv)</f>
        <v>4.869895388680523E-2</v>
      </c>
      <c r="M93" s="832"/>
      <c r="N93" s="832"/>
      <c r="O93" s="48">
        <f>IF(t&lt;Tnet,'2025'!Resal+('2025'!Salim-'2025'!Resal)*(1-EXP(('2025'!Tnet-t)/('2025'!Tau_j))),Resal+(Salim-Resal)*(1-EXP((Tnet-t)/(Tau_j))))*Salcycl</f>
        <v>4.232226024016382E-2</v>
      </c>
      <c r="P93" s="169">
        <f>(INDEX(Models!$BJ93:$BT93,,T93)*(1-R93)+INDEX(Models!$BJ93:$BT93,,T93+1)*R93-ERP_i)*Q93*Ramure*Pc/MaxiM</f>
        <v>2.1814343827119186E-5</v>
      </c>
      <c r="Q93" s="304">
        <f t="shared" si="28"/>
        <v>0.6</v>
      </c>
      <c r="R93" s="177">
        <f t="shared" si="29"/>
        <v>1.5069808611318347E-2</v>
      </c>
      <c r="S93" s="799">
        <f t="shared" si="30"/>
        <v>2</v>
      </c>
      <c r="T93" s="176">
        <f t="shared" si="31"/>
        <v>8</v>
      </c>
      <c r="U93" s="250">
        <f t="shared" si="32"/>
        <v>2.0150698086113183</v>
      </c>
      <c r="V93" s="382">
        <f t="shared" si="33"/>
        <v>49.466561311503803</v>
      </c>
      <c r="W93" s="400">
        <f t="shared" si="34"/>
        <v>30.930610986994562</v>
      </c>
      <c r="X93" s="157">
        <f t="shared" si="35"/>
        <v>46101</v>
      </c>
      <c r="Y93" s="383">
        <f t="shared" si="36"/>
        <v>30.11134217081263</v>
      </c>
      <c r="Z93" s="383">
        <f t="shared" si="37"/>
        <v>31.652800439819657</v>
      </c>
      <c r="AA93" s="384">
        <f t="shared" si="38"/>
        <v>33.950887519809321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6.7688571577070006E-2</v>
      </c>
      <c r="AD93" s="230">
        <f>(INDEX(Models!$BJ93:$BT93,,AH93)*(1-AF93)+INDEX(Models!$BJ93:$BT93,,AH93+1)*AF93-ERP_i)*AE93*Ramure*Pc/MaxiM</f>
        <v>2.1814343827119186E-5</v>
      </c>
      <c r="AE93" s="304">
        <f t="shared" si="40"/>
        <v>0.6</v>
      </c>
      <c r="AF93" s="177">
        <f t="shared" si="41"/>
        <v>1.5069808611318347E-2</v>
      </c>
      <c r="AG93" s="799">
        <f t="shared" si="49"/>
        <v>2</v>
      </c>
      <c r="AH93" s="176">
        <f t="shared" si="42"/>
        <v>8</v>
      </c>
      <c r="AI93" s="224">
        <f t="shared" si="43"/>
        <v>2.0150698086113183</v>
      </c>
      <c r="AJ93" s="264" t="b">
        <f t="shared" si="44"/>
        <v>1</v>
      </c>
      <c r="AK93" s="264" t="b">
        <f t="shared" si="45"/>
        <v>1</v>
      </c>
      <c r="AL93" s="264"/>
      <c r="AM93" s="264"/>
      <c r="AN93" s="75"/>
    </row>
    <row r="94" spans="1:40" s="6" customFormat="1" ht="11.25" x14ac:dyDescent="0.2">
      <c r="A94" s="56">
        <f t="shared" si="46"/>
        <v>46102</v>
      </c>
      <c r="B94" s="409">
        <f>IF(t&gt;Tmaj,'2025'!Wh/'2025'!Env_an*'2026'!Env_an,0.001*'[5]mon-tableau'!$B$262)</f>
        <v>45.308566269034337</v>
      </c>
      <c r="C94" s="829"/>
      <c r="D94" s="391">
        <f t="shared" si="25"/>
        <v>47.628912844294959</v>
      </c>
      <c r="E94" s="383">
        <f t="shared" si="47"/>
        <v>49.738288290865135</v>
      </c>
      <c r="F94" s="383">
        <f t="shared" si="26"/>
        <v>49.739185902081459</v>
      </c>
      <c r="G94" s="110">
        <f t="shared" si="48"/>
        <v>0.91068646900530759</v>
      </c>
      <c r="H94" s="412" t="b">
        <f>Wh_hp&gt;='2025'!Maxi_hp</f>
        <v>0</v>
      </c>
      <c r="I94" s="388">
        <f>IF(H94,Wh_hp,'2025'!Maxi_hp)</f>
        <v>53.458089214511951</v>
      </c>
      <c r="J94" s="85">
        <f>IF(H94,An,'2025'!An_max)</f>
        <v>2020</v>
      </c>
      <c r="K94" s="197">
        <f t="shared" si="27"/>
        <v>46102</v>
      </c>
      <c r="L94" s="147">
        <f>IF(t&lt;Tvie,1-EXP((T0-t)*PertePVj)+'2025'!Pspv,1-EXP((T0-t)*PertePVj)+Pspv)</f>
        <v>4.8717185354327341E-2</v>
      </c>
      <c r="M94" s="832"/>
      <c r="N94" s="832"/>
      <c r="O94" s="48">
        <f>IF(t&lt;Tnet,'2025'!Resal+('2025'!Salim-'2025'!Resal)*(1-EXP(('2025'!Tnet-t)/('2025'!Tau_j))),Resal+(Salim-Resal)*(1-EXP((Tnet-t)/(Tau_j))))*Salcycl</f>
        <v>4.2409490134335349E-2</v>
      </c>
      <c r="P94" s="169">
        <f>(INDEX(Models!$BJ94:$BT94,,T94)*(1-R94)+INDEX(Models!$BJ94:$BT94,,T94+1)*R94-ERP_i)*Q94*Ramure*Pc/MaxiM</f>
        <v>2.0685576608430476E-5</v>
      </c>
      <c r="Q94" s="304">
        <f t="shared" si="28"/>
        <v>0.6</v>
      </c>
      <c r="R94" s="177">
        <f t="shared" si="29"/>
        <v>1.5744305801018488E-2</v>
      </c>
      <c r="S94" s="799">
        <f t="shared" si="30"/>
        <v>2</v>
      </c>
      <c r="T94" s="176">
        <f t="shared" si="31"/>
        <v>8</v>
      </c>
      <c r="U94" s="250">
        <f t="shared" si="32"/>
        <v>2.0157443058010185</v>
      </c>
      <c r="V94" s="382">
        <f t="shared" si="33"/>
        <v>49.751970881052515</v>
      </c>
      <c r="W94" s="400">
        <f t="shared" si="34"/>
        <v>45.308566269034337</v>
      </c>
      <c r="X94" s="157">
        <f t="shared" si="35"/>
        <v>46102</v>
      </c>
      <c r="Y94" s="383">
        <f t="shared" si="36"/>
        <v>44.109658996062485</v>
      </c>
      <c r="Z94" s="383">
        <f t="shared" si="37"/>
        <v>46.36860701882032</v>
      </c>
      <c r="AA94" s="384">
        <f t="shared" si="38"/>
        <v>49.738288290865135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6.7748235571341284E-2</v>
      </c>
      <c r="AD94" s="230">
        <f>(INDEX(Models!$BJ94:$BT94,,AH94)*(1-AF94)+INDEX(Models!$BJ94:$BT94,,AH94+1)*AF94-ERP_i)*AE94*Ramure*Pc/MaxiM</f>
        <v>2.0685576608430476E-5</v>
      </c>
      <c r="AE94" s="304">
        <f t="shared" si="40"/>
        <v>0.6</v>
      </c>
      <c r="AF94" s="177">
        <f t="shared" si="41"/>
        <v>1.5744305801018488E-2</v>
      </c>
      <c r="AG94" s="799">
        <f t="shared" si="49"/>
        <v>2</v>
      </c>
      <c r="AH94" s="176">
        <f t="shared" si="42"/>
        <v>8</v>
      </c>
      <c r="AI94" s="224">
        <f t="shared" si="43"/>
        <v>2.0157443058010185</v>
      </c>
      <c r="AJ94" s="264" t="b">
        <f t="shared" si="44"/>
        <v>1</v>
      </c>
      <c r="AK94" s="264" t="b">
        <f t="shared" si="45"/>
        <v>1</v>
      </c>
      <c r="AL94" s="264"/>
      <c r="AM94" s="264"/>
      <c r="AN94" s="75"/>
    </row>
    <row r="95" spans="1:40" s="6" customFormat="1" ht="11.25" x14ac:dyDescent="0.2">
      <c r="A95" s="56">
        <f t="shared" si="46"/>
        <v>46103</v>
      </c>
      <c r="B95" s="409">
        <f>IF(t&gt;Tmaj,'2025'!Wh/'2025'!Env_an*'2026'!Env_an,0.001*'[5]mon-tableau'!$B$263)</f>
        <v>42.651813640599286</v>
      </c>
      <c r="C95" s="829"/>
      <c r="D95" s="391">
        <f t="shared" si="25"/>
        <v>44.8369616394574</v>
      </c>
      <c r="E95" s="383">
        <f t="shared" si="47"/>
        <v>46.826960538321913</v>
      </c>
      <c r="F95" s="383">
        <f t="shared" si="26"/>
        <v>46.827685399835445</v>
      </c>
      <c r="G95" s="110">
        <f t="shared" si="48"/>
        <v>0.85242013431519947</v>
      </c>
      <c r="H95" s="412" t="b">
        <f>Wh_hp&gt;='2025'!Maxi_hp</f>
        <v>0</v>
      </c>
      <c r="I95" s="388">
        <f>IF(H95,Wh_hp,'2025'!Maxi_hp)</f>
        <v>53.132913238257949</v>
      </c>
      <c r="J95" s="85">
        <f>IF(H95,An,'2025'!An_max)</f>
        <v>2020</v>
      </c>
      <c r="K95" s="197">
        <f t="shared" si="27"/>
        <v>46103</v>
      </c>
      <c r="L95" s="147">
        <f>IF(t&lt;Tvie,1-EXP((T0-t)*PertePVj)+'2025'!Pspv,1-EXP((T0-t)*PertePVj)+Pspv)</f>
        <v>4.8735416472447612E-2</v>
      </c>
      <c r="M95" s="832"/>
      <c r="N95" s="832"/>
      <c r="O95" s="48">
        <f>IF(t&lt;Tnet,'2025'!Resal+('2025'!Salim-'2025'!Resal)*(1-EXP(('2025'!Tnet-t)/('2025'!Tau_j))),Resal+(Salim-Resal)*(1-EXP((Tnet-t)/(Tau_j))))*Salcycl</f>
        <v>4.2496862405492969E-2</v>
      </c>
      <c r="P95" s="169">
        <f>(INDEX(Models!$BJ95:$BT95,,T95)*(1-R95)+INDEX(Models!$BJ95:$BT95,,T95+1)*R95-ERP_i)*Q95*Ramure*Pc/MaxiM</f>
        <v>1.9614539624124755E-5</v>
      </c>
      <c r="Q95" s="304">
        <f t="shared" si="28"/>
        <v>0.6</v>
      </c>
      <c r="R95" s="177">
        <f t="shared" si="29"/>
        <v>1.644510336219307E-2</v>
      </c>
      <c r="S95" s="799">
        <f t="shared" si="30"/>
        <v>2</v>
      </c>
      <c r="T95" s="176">
        <f t="shared" si="31"/>
        <v>8</v>
      </c>
      <c r="U95" s="250">
        <f t="shared" si="32"/>
        <v>2.0164451033621931</v>
      </c>
      <c r="V95" s="382">
        <f t="shared" si="33"/>
        <v>50.035933628237437</v>
      </c>
      <c r="W95" s="400">
        <f t="shared" si="34"/>
        <v>42.651813640599286</v>
      </c>
      <c r="X95" s="157">
        <f t="shared" si="35"/>
        <v>46103</v>
      </c>
      <c r="Y95" s="383">
        <f t="shared" si="36"/>
        <v>41.524324038380698</v>
      </c>
      <c r="Z95" s="383">
        <f t="shared" si="37"/>
        <v>43.651708218124774</v>
      </c>
      <c r="AA95" s="384">
        <f t="shared" si="38"/>
        <v>46.826960538321913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6.7808208854354374E-2</v>
      </c>
      <c r="AD95" s="230">
        <f>(INDEX(Models!$BJ95:$BT95,,AH95)*(1-AF95)+INDEX(Models!$BJ95:$BT95,,AH95+1)*AF95-ERP_i)*AE95*Ramure*Pc/MaxiM</f>
        <v>1.9614539624124755E-5</v>
      </c>
      <c r="AE95" s="304">
        <f t="shared" si="40"/>
        <v>0.6</v>
      </c>
      <c r="AF95" s="177">
        <f t="shared" si="41"/>
        <v>1.644510336219307E-2</v>
      </c>
      <c r="AG95" s="799">
        <f t="shared" si="49"/>
        <v>2</v>
      </c>
      <c r="AH95" s="176">
        <f t="shared" si="42"/>
        <v>8</v>
      </c>
      <c r="AI95" s="224">
        <f t="shared" si="43"/>
        <v>2.0164451033621931</v>
      </c>
      <c r="AJ95" s="264" t="b">
        <f t="shared" si="44"/>
        <v>1</v>
      </c>
      <c r="AK95" s="264" t="b">
        <f t="shared" si="45"/>
        <v>1</v>
      </c>
      <c r="AL95" s="264"/>
      <c r="AM95" s="264"/>
      <c r="AN95" s="75"/>
    </row>
    <row r="96" spans="1:40" s="6" customFormat="1" ht="11.25" x14ac:dyDescent="0.2">
      <c r="A96" s="56">
        <f t="shared" si="46"/>
        <v>46104</v>
      </c>
      <c r="B96" s="409">
        <f>IF(t&gt;Tmaj,'2025'!Wh/'2025'!Env_an*'2026'!Env_an,0.001*'[5]mon-tableau'!$B$264)</f>
        <v>48.502205253702208</v>
      </c>
      <c r="C96" s="829"/>
      <c r="D96" s="391">
        <f t="shared" si="25"/>
        <v>50.98805910060517</v>
      </c>
      <c r="E96" s="383">
        <f t="shared" si="47"/>
        <v>53.25593067736532</v>
      </c>
      <c r="F96" s="383">
        <f t="shared" si="26"/>
        <v>53.256870213502388</v>
      </c>
      <c r="G96" s="110">
        <f t="shared" si="48"/>
        <v>0.96391724161331627</v>
      </c>
      <c r="H96" s="412" t="b">
        <f>Wh_hp&gt;='2025'!Maxi_hp</f>
        <v>0</v>
      </c>
      <c r="I96" s="388">
        <f>IF(H96,Wh_hp,'2025'!Maxi_hp)</f>
        <v>53.726378247452473</v>
      </c>
      <c r="J96" s="85">
        <f>IF(H96,An,'2025'!An_max)</f>
        <v>2021</v>
      </c>
      <c r="K96" s="197">
        <f t="shared" si="27"/>
        <v>46104</v>
      </c>
      <c r="L96" s="147">
        <f>IF(t&lt;Tvie,1-EXP((T0-t)*PertePVj)+'2025'!Pspv,1-EXP((T0-t)*PertePVj)+Pspv)</f>
        <v>4.8753647241172593E-2</v>
      </c>
      <c r="M96" s="832"/>
      <c r="N96" s="832"/>
      <c r="O96" s="48">
        <f>IF(t&lt;Tnet,'2025'!Resal+('2025'!Salim-'2025'!Resal)*(1-EXP(('2025'!Tnet-t)/('2025'!Tau_j))),Resal+(Salim-Resal)*(1-EXP((Tnet-t)/(Tau_j))))*Salcycl</f>
        <v>4.2584394787866055E-2</v>
      </c>
      <c r="P96" s="169">
        <f>(INDEX(Models!$BJ96:$BT96,,T96)*(1-R96)+INDEX(Models!$BJ96:$BT96,,T96+1)*R96-ERP_i)*Q96*Ramure*Pc/MaxiM</f>
        <v>1.860035944150395E-5</v>
      </c>
      <c r="Q96" s="304">
        <f t="shared" si="28"/>
        <v>0.6</v>
      </c>
      <c r="R96" s="177">
        <f t="shared" si="29"/>
        <v>1.7173143064487917E-2</v>
      </c>
      <c r="S96" s="799">
        <f t="shared" si="30"/>
        <v>2</v>
      </c>
      <c r="T96" s="176">
        <f t="shared" si="31"/>
        <v>8</v>
      </c>
      <c r="U96" s="250">
        <f t="shared" si="32"/>
        <v>2.0171731430644879</v>
      </c>
      <c r="V96" s="382">
        <f t="shared" si="33"/>
        <v>50.317762414452986</v>
      </c>
      <c r="W96" s="400">
        <f t="shared" si="34"/>
        <v>48.502205253702208</v>
      </c>
      <c r="X96" s="157">
        <f t="shared" si="35"/>
        <v>46104</v>
      </c>
      <c r="Y96" s="383">
        <f t="shared" si="36"/>
        <v>47.221323949595089</v>
      </c>
      <c r="Z96" s="383">
        <f t="shared" si="37"/>
        <v>49.64152957080222</v>
      </c>
      <c r="AA96" s="384">
        <f t="shared" si="38"/>
        <v>53.25593067736532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6.7868518315074372E-2</v>
      </c>
      <c r="AD96" s="230">
        <f>(INDEX(Models!$BJ96:$BT96,,AH96)*(1-AF96)+INDEX(Models!$BJ96:$BT96,,AH96+1)*AF96-ERP_i)*AE96*Ramure*Pc/MaxiM</f>
        <v>1.860035944150395E-5</v>
      </c>
      <c r="AE96" s="304">
        <f t="shared" si="40"/>
        <v>0.6</v>
      </c>
      <c r="AF96" s="177">
        <f t="shared" si="41"/>
        <v>1.7173143064487917E-2</v>
      </c>
      <c r="AG96" s="799">
        <f t="shared" si="49"/>
        <v>2</v>
      </c>
      <c r="AH96" s="176">
        <f t="shared" si="42"/>
        <v>8</v>
      </c>
      <c r="AI96" s="224">
        <f t="shared" si="43"/>
        <v>2.0171731430644879</v>
      </c>
      <c r="AJ96" s="264" t="b">
        <f t="shared" si="44"/>
        <v>1</v>
      </c>
      <c r="AK96" s="264" t="b">
        <f t="shared" si="45"/>
        <v>1</v>
      </c>
      <c r="AL96" s="264"/>
      <c r="AM96" s="264"/>
      <c r="AN96" s="75"/>
    </row>
    <row r="97" spans="1:40" s="6" customFormat="1" ht="11.25" x14ac:dyDescent="0.2">
      <c r="A97" s="56">
        <f t="shared" si="46"/>
        <v>46105</v>
      </c>
      <c r="B97" s="409">
        <f>IF(t&gt;Tmaj,'2025'!Wh/'2025'!Env_an*'2026'!Env_an,0.001*'[5]mon-tableau'!$B$265)</f>
        <v>47.861121463493106</v>
      </c>
      <c r="C97" s="829"/>
      <c r="D97" s="391">
        <f t="shared" si="25"/>
        <v>50.315082512259444</v>
      </c>
      <c r="E97" s="383">
        <f t="shared" si="47"/>
        <v>52.557836021366278</v>
      </c>
      <c r="F97" s="383">
        <f t="shared" si="26"/>
        <v>52.558691649088644</v>
      </c>
      <c r="G97" s="110">
        <f t="shared" si="48"/>
        <v>0.94593105229784136</v>
      </c>
      <c r="H97" s="412" t="b">
        <f>Wh_hp&gt;='2025'!Maxi_hp</f>
        <v>0</v>
      </c>
      <c r="I97" s="388">
        <f>IF(H97,Wh_hp,'2025'!Maxi_hp)</f>
        <v>52.931336323355495</v>
      </c>
      <c r="J97" s="85">
        <f>IF(H97,An,'2025'!An_max)</f>
        <v>2018</v>
      </c>
      <c r="K97" s="197">
        <f t="shared" si="27"/>
        <v>46105</v>
      </c>
      <c r="L97" s="147">
        <f>IF(t&lt;Tvie,1-EXP((T0-t)*PertePVj)+'2025'!Pspv,1-EXP((T0-t)*PertePVj)+Pspv)</f>
        <v>4.8771877660509055E-2</v>
      </c>
      <c r="M97" s="832"/>
      <c r="N97" s="832"/>
      <c r="O97" s="48">
        <f>IF(t&lt;Tnet,'2025'!Resal+('2025'!Salim-'2025'!Resal)*(1-EXP(('2025'!Tnet-t)/('2025'!Tau_j))),Resal+(Salim-Resal)*(1-EXP((Tnet-t)/(Tau_j))))*Salcycl</f>
        <v>4.267210522509126E-2</v>
      </c>
      <c r="P97" s="169">
        <f>(INDEX(Models!$BJ97:$BT97,,T97)*(1-R97)+INDEX(Models!$BJ97:$BT97,,T97+1)*R97-ERP_i)*Q97*Ramure*Pc/MaxiM</f>
        <v>1.7642141932965101E-5</v>
      </c>
      <c r="Q97" s="304">
        <f t="shared" si="28"/>
        <v>0.6</v>
      </c>
      <c r="R97" s="177">
        <f t="shared" si="29"/>
        <v>1.7929393517047476E-2</v>
      </c>
      <c r="S97" s="799">
        <f t="shared" si="30"/>
        <v>2</v>
      </c>
      <c r="T97" s="176">
        <f t="shared" si="31"/>
        <v>8</v>
      </c>
      <c r="U97" s="250">
        <f t="shared" si="32"/>
        <v>2.0179293935170475</v>
      </c>
      <c r="V97" s="382">
        <f t="shared" si="33"/>
        <v>50.596770374788441</v>
      </c>
      <c r="W97" s="400">
        <f t="shared" si="34"/>
        <v>47.861121463493106</v>
      </c>
      <c r="X97" s="157">
        <f t="shared" si="35"/>
        <v>46105</v>
      </c>
      <c r="Y97" s="383">
        <f t="shared" si="36"/>
        <v>46.598406296128005</v>
      </c>
      <c r="Z97" s="383">
        <f t="shared" si="37"/>
        <v>48.987624736663484</v>
      </c>
      <c r="AA97" s="384">
        <f t="shared" si="38"/>
        <v>52.557836021366278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6.7929191058235402E-2</v>
      </c>
      <c r="AD97" s="230">
        <f>(INDEX(Models!$BJ97:$BT97,,AH97)*(1-AF97)+INDEX(Models!$BJ97:$BT97,,AH97+1)*AF97-ERP_i)*AE97*Ramure*Pc/MaxiM</f>
        <v>1.7642141932965101E-5</v>
      </c>
      <c r="AE97" s="304">
        <f t="shared" si="40"/>
        <v>0.6</v>
      </c>
      <c r="AF97" s="177">
        <f t="shared" si="41"/>
        <v>1.7929393517047476E-2</v>
      </c>
      <c r="AG97" s="799">
        <f t="shared" si="49"/>
        <v>2</v>
      </c>
      <c r="AH97" s="176">
        <f t="shared" si="42"/>
        <v>8</v>
      </c>
      <c r="AI97" s="224">
        <f t="shared" si="43"/>
        <v>2.0179293935170475</v>
      </c>
      <c r="AJ97" s="264" t="b">
        <f t="shared" si="44"/>
        <v>1</v>
      </c>
      <c r="AK97" s="264" t="b">
        <f t="shared" si="45"/>
        <v>1</v>
      </c>
      <c r="AL97" s="264"/>
      <c r="AM97" s="264"/>
      <c r="AN97" s="75"/>
    </row>
    <row r="98" spans="1:40" s="6" customFormat="1" ht="11.25" x14ac:dyDescent="0.2">
      <c r="A98" s="56">
        <f t="shared" si="46"/>
        <v>46106</v>
      </c>
      <c r="B98" s="409">
        <f>IF(t&gt;Tmaj,'2025'!Wh/'2025'!Env_an*'2026'!Env_an,0.001*'[5]mon-tableau'!$B$266)</f>
        <v>40.179767904284127</v>
      </c>
      <c r="C98" s="829"/>
      <c r="D98" s="391">
        <f t="shared" si="25"/>
        <v>42.240696013387044</v>
      </c>
      <c r="E98" s="383">
        <f t="shared" si="47"/>
        <v>44.127592385436962</v>
      </c>
      <c r="F98" s="383">
        <f t="shared" si="26"/>
        <v>44.128109253743318</v>
      </c>
      <c r="G98" s="110">
        <f t="shared" si="48"/>
        <v>0.78981270597129594</v>
      </c>
      <c r="H98" s="412" t="b">
        <f>Wh_hp&gt;='2025'!Maxi_hp</f>
        <v>0</v>
      </c>
      <c r="I98" s="388">
        <f>IF(H98,Wh_hp,'2025'!Maxi_hp)</f>
        <v>46.534768311108202</v>
      </c>
      <c r="J98" s="85">
        <f>IF(H98,An,'2025'!An_max)</f>
        <v>2020</v>
      </c>
      <c r="K98" s="197">
        <f t="shared" si="27"/>
        <v>46106</v>
      </c>
      <c r="L98" s="147">
        <f>IF(t&lt;Tvie,1-EXP((T0-t)*PertePVj)+'2025'!Pspv,1-EXP((T0-t)*PertePVj)+Pspv)</f>
        <v>4.8790107730463661E-2</v>
      </c>
      <c r="M98" s="832"/>
      <c r="N98" s="832"/>
      <c r="O98" s="48">
        <f>IF(t&lt;Tnet,'2025'!Resal+('2025'!Salim-'2025'!Resal)*(1-EXP(('2025'!Tnet-t)/('2025'!Tau_j))),Resal+(Salim-Resal)*(1-EXP((Tnet-t)/(Tau_j))))*Salcycl</f>
        <v>4.2760011821370902E-2</v>
      </c>
      <c r="P98" s="169">
        <f>(INDEX(Models!$BJ98:$BT98,,T98)*(1-R98)+INDEX(Models!$BJ98:$BT98,,T98+1)*R98-ERP_i)*Q98*Ramure*Pc/MaxiM</f>
        <v>1.6738982542473958E-5</v>
      </c>
      <c r="Q98" s="304">
        <f t="shared" si="28"/>
        <v>0.6</v>
      </c>
      <c r="R98" s="177">
        <f t="shared" si="29"/>
        <v>1.8714850352294921E-2</v>
      </c>
      <c r="S98" s="799">
        <f t="shared" si="30"/>
        <v>2</v>
      </c>
      <c r="T98" s="176">
        <f t="shared" si="31"/>
        <v>8</v>
      </c>
      <c r="U98" s="250">
        <f t="shared" si="32"/>
        <v>2.0187148503522949</v>
      </c>
      <c r="V98" s="382">
        <f t="shared" si="33"/>
        <v>50.872270921289413</v>
      </c>
      <c r="W98" s="400">
        <f t="shared" si="34"/>
        <v>40.179767904284127</v>
      </c>
      <c r="X98" s="157">
        <f t="shared" si="35"/>
        <v>46106</v>
      </c>
      <c r="Y98" s="383">
        <f t="shared" si="36"/>
        <v>39.120738506709856</v>
      </c>
      <c r="Z98" s="383">
        <f t="shared" si="37"/>
        <v>41.12734615634605</v>
      </c>
      <c r="AA98" s="384">
        <f t="shared" si="38"/>
        <v>44.127592385436962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6.7990254326249222E-2</v>
      </c>
      <c r="AD98" s="230">
        <f>(INDEX(Models!$BJ98:$BT98,,AH98)*(1-AF98)+INDEX(Models!$BJ98:$BT98,,AH98+1)*AF98-ERP_i)*AE98*Ramure*Pc/MaxiM</f>
        <v>1.6738982542473958E-5</v>
      </c>
      <c r="AE98" s="304">
        <f t="shared" si="40"/>
        <v>0.6</v>
      </c>
      <c r="AF98" s="177">
        <f t="shared" si="41"/>
        <v>1.8714850352294921E-2</v>
      </c>
      <c r="AG98" s="799">
        <f t="shared" si="49"/>
        <v>2</v>
      </c>
      <c r="AH98" s="176">
        <f t="shared" si="42"/>
        <v>8</v>
      </c>
      <c r="AI98" s="224">
        <f t="shared" si="43"/>
        <v>2.0187148503522949</v>
      </c>
      <c r="AJ98" s="264" t="b">
        <f t="shared" si="44"/>
        <v>1</v>
      </c>
      <c r="AK98" s="264" t="b">
        <f t="shared" si="45"/>
        <v>1</v>
      </c>
      <c r="AL98" s="264"/>
      <c r="AM98" s="264"/>
      <c r="AN98" s="75"/>
    </row>
    <row r="99" spans="1:40" s="6" customFormat="1" ht="11.25" x14ac:dyDescent="0.2">
      <c r="A99" s="56">
        <f t="shared" si="46"/>
        <v>46107</v>
      </c>
      <c r="B99" s="409">
        <f>IF(t&gt;Tmaj,'2025'!Wh/'2025'!Env_an*'2026'!Env_an,0.001*'[5]mon-tableau'!$B$267)</f>
        <v>46.471977641905092</v>
      </c>
      <c r="C99" s="829"/>
      <c r="D99" s="391">
        <f t="shared" si="25"/>
        <v>48.856586397500337</v>
      </c>
      <c r="E99" s="383">
        <f t="shared" si="47"/>
        <v>51.043714243685244</v>
      </c>
      <c r="F99" s="383">
        <f t="shared" si="26"/>
        <v>51.044419498730534</v>
      </c>
      <c r="G99" s="110">
        <f t="shared" si="48"/>
        <v>0.90865526679380249</v>
      </c>
      <c r="H99" s="412" t="b">
        <f>Wh_hp&gt;='2025'!Maxi_hp</f>
        <v>0</v>
      </c>
      <c r="I99" s="388">
        <f>IF(H99,Wh_hp,'2025'!Maxi_hp)</f>
        <v>56.562989488883829</v>
      </c>
      <c r="J99" s="85">
        <f>IF(H99,An,'2025'!An_max)</f>
        <v>2020</v>
      </c>
      <c r="K99" s="197">
        <f t="shared" si="27"/>
        <v>46107</v>
      </c>
      <c r="L99" s="147">
        <f>IF(t&lt;Tvie,1-EXP((T0-t)*PertePVj)+'2025'!Pspv,1-EXP((T0-t)*PertePVj)+Pspv)</f>
        <v>4.8808337451043182E-2</v>
      </c>
      <c r="M99" s="832"/>
      <c r="N99" s="832"/>
      <c r="O99" s="48">
        <f>IF(t&lt;Tnet,'2025'!Resal+('2025'!Salim-'2025'!Resal)*(1-EXP(('2025'!Tnet-t)/('2025'!Tau_j))),Resal+(Salim-Resal)*(1-EXP((Tnet-t)/(Tau_j))))*Salcycl</f>
        <v>4.2848132793461134E-2</v>
      </c>
      <c r="P99" s="169">
        <f>(INDEX(Models!$BJ99:$BT99,,T99)*(1-R99)+INDEX(Models!$BJ99:$BT99,,T99+1)*R99-ERP_i)*Q99*Ramure*Pc/MaxiM</f>
        <v>1.5889976093020118E-5</v>
      </c>
      <c r="Q99" s="304">
        <f t="shared" si="28"/>
        <v>0.6</v>
      </c>
      <c r="R99" s="177">
        <f t="shared" si="29"/>
        <v>1.9530536353698391E-2</v>
      </c>
      <c r="S99" s="799">
        <f t="shared" si="30"/>
        <v>2</v>
      </c>
      <c r="T99" s="176">
        <f t="shared" si="31"/>
        <v>8</v>
      </c>
      <c r="U99" s="250">
        <f t="shared" si="32"/>
        <v>2.0195305363536984</v>
      </c>
      <c r="V99" s="382">
        <f t="shared" si="33"/>
        <v>51.143577746326869</v>
      </c>
      <c r="W99" s="400">
        <f t="shared" si="34"/>
        <v>46.471977641905092</v>
      </c>
      <c r="X99" s="157">
        <f t="shared" si="35"/>
        <v>46107</v>
      </c>
      <c r="Y99" s="383">
        <f t="shared" si="36"/>
        <v>45.248283369320461</v>
      </c>
      <c r="Z99" s="383">
        <f t="shared" si="37"/>
        <v>47.57010090696793</v>
      </c>
      <c r="AA99" s="384">
        <f t="shared" si="38"/>
        <v>51.043714243685244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6.8051735422977003E-2</v>
      </c>
      <c r="AD99" s="230">
        <f>(INDEX(Models!$BJ99:$BT99,,AH99)*(1-AF99)+INDEX(Models!$BJ99:$BT99,,AH99+1)*AF99-ERP_i)*AE99*Ramure*Pc/MaxiM</f>
        <v>1.5889976093020118E-5</v>
      </c>
      <c r="AE99" s="304">
        <f t="shared" si="40"/>
        <v>0.6</v>
      </c>
      <c r="AF99" s="177">
        <f t="shared" si="41"/>
        <v>1.9530536353698391E-2</v>
      </c>
      <c r="AG99" s="799">
        <f t="shared" si="49"/>
        <v>2</v>
      </c>
      <c r="AH99" s="176">
        <f t="shared" si="42"/>
        <v>8</v>
      </c>
      <c r="AI99" s="224">
        <f t="shared" si="43"/>
        <v>2.0195305363536984</v>
      </c>
      <c r="AJ99" s="264" t="b">
        <f t="shared" si="44"/>
        <v>1</v>
      </c>
      <c r="AK99" s="264" t="b">
        <f t="shared" si="45"/>
        <v>1</v>
      </c>
      <c r="AL99" s="264"/>
      <c r="AM99" s="264"/>
      <c r="AN99" s="75"/>
    </row>
    <row r="100" spans="1:40" s="6" customFormat="1" ht="11.25" x14ac:dyDescent="0.2">
      <c r="A100" s="56">
        <f t="shared" si="46"/>
        <v>46108</v>
      </c>
      <c r="B100" s="409">
        <f>IF(t&gt;Tmaj,'2025'!Wh/'2025'!Env_an*'2026'!Env_an,0.001*'[5]mon-tableau'!$B$268)</f>
        <v>45.656793491021965</v>
      </c>
      <c r="C100" s="829"/>
      <c r="D100" s="391">
        <f t="shared" si="25"/>
        <v>48.000492758180386</v>
      </c>
      <c r="E100" s="383">
        <f t="shared" si="47"/>
        <v>50.153926126401387</v>
      </c>
      <c r="F100" s="383">
        <f t="shared" si="26"/>
        <v>50.154561652525459</v>
      </c>
      <c r="G100" s="110">
        <f t="shared" si="48"/>
        <v>0.88808944915506105</v>
      </c>
      <c r="H100" s="412" t="b">
        <f>Wh_hp&gt;='2025'!Maxi_hp</f>
        <v>0</v>
      </c>
      <c r="I100" s="388">
        <f>IF(H100,Wh_hp,'2025'!Maxi_hp)</f>
        <v>55.827090198915265</v>
      </c>
      <c r="J100" s="85">
        <f>IF(H100,An,'2025'!An_max)</f>
        <v>2018</v>
      </c>
      <c r="K100" s="197">
        <f t="shared" si="27"/>
        <v>46108</v>
      </c>
      <c r="L100" s="147">
        <f>IF(t&lt;Tvie,1-EXP((T0-t)*PertePVj)+'2025'!Pspv,1-EXP((T0-t)*PertePVj)+Pspv)</f>
        <v>4.8826566822254169E-2</v>
      </c>
      <c r="M100" s="832"/>
      <c r="N100" s="832"/>
      <c r="O100" s="48">
        <f>IF(t&lt;Tnet,'2025'!Resal+('2025'!Salim-'2025'!Resal)*(1-EXP(('2025'!Tnet-t)/('2025'!Tau_j))),Resal+(Salim-Resal)*(1-EXP((Tnet-t)/(Tau_j))))*Salcycl</f>
        <v>4.2936486423690447E-2</v>
      </c>
      <c r="P100" s="169">
        <f>(INDEX(Models!$BJ100:$BT100,,T100)*(1-R100)+INDEX(Models!$BJ100:$BT100,,T100+1)*R100-ERP_i)*Q100*Ramure*Pc/MaxiM</f>
        <v>1.5082593947378673E-5</v>
      </c>
      <c r="Q100" s="304">
        <f t="shared" si="28"/>
        <v>0.6</v>
      </c>
      <c r="R100" s="177">
        <f t="shared" si="29"/>
        <v>2.0377501521663177E-2</v>
      </c>
      <c r="S100" s="799">
        <f t="shared" si="30"/>
        <v>2</v>
      </c>
      <c r="T100" s="176">
        <f t="shared" si="31"/>
        <v>8</v>
      </c>
      <c r="U100" s="250">
        <f t="shared" si="32"/>
        <v>2.0203775015216632</v>
      </c>
      <c r="V100" s="382">
        <f t="shared" si="33"/>
        <v>51.41000542626297</v>
      </c>
      <c r="W100" s="400">
        <f t="shared" si="34"/>
        <v>45.656793491021965</v>
      </c>
      <c r="X100" s="157">
        <f t="shared" si="35"/>
        <v>46108</v>
      </c>
      <c r="Y100" s="383">
        <f t="shared" si="36"/>
        <v>44.455714280273021</v>
      </c>
      <c r="Z100" s="383">
        <f t="shared" si="37"/>
        <v>46.737758572327131</v>
      </c>
      <c r="AA100" s="384">
        <f t="shared" si="38"/>
        <v>50.153926126401387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6.8113661639661052E-2</v>
      </c>
      <c r="AD100" s="230">
        <f>(INDEX(Models!$BJ100:$BT100,,AH100)*(1-AF100)+INDEX(Models!$BJ100:$BT100,,AH100+1)*AF100-ERP_i)*AE100*Ramure*Pc/MaxiM</f>
        <v>1.5082593947378673E-5</v>
      </c>
      <c r="AE100" s="304">
        <f t="shared" si="40"/>
        <v>0.6</v>
      </c>
      <c r="AF100" s="177">
        <f t="shared" si="41"/>
        <v>2.0377501521663177E-2</v>
      </c>
      <c r="AG100" s="799">
        <f t="shared" si="49"/>
        <v>2</v>
      </c>
      <c r="AH100" s="176">
        <f t="shared" si="42"/>
        <v>8</v>
      </c>
      <c r="AI100" s="224">
        <f t="shared" si="43"/>
        <v>2.0203775015216632</v>
      </c>
      <c r="AJ100" s="264" t="b">
        <f t="shared" si="44"/>
        <v>1</v>
      </c>
      <c r="AK100" s="264" t="b">
        <f t="shared" si="45"/>
        <v>1</v>
      </c>
      <c r="AL100" s="264"/>
      <c r="AM100" s="264"/>
      <c r="AN100" s="75"/>
    </row>
    <row r="101" spans="1:40" s="6" customFormat="1" ht="11.25" x14ac:dyDescent="0.2">
      <c r="A101" s="56">
        <f t="shared" si="46"/>
        <v>46109</v>
      </c>
      <c r="B101" s="409">
        <f>IF(t&gt;Tmaj,'2025'!Wh/'2025'!Env_an*'2026'!Env_an,0.001*'[5]mon-tableau'!$B$269)</f>
        <v>36.420759678398433</v>
      </c>
      <c r="C101" s="829"/>
      <c r="D101" s="391">
        <f t="shared" si="25"/>
        <v>38.291079646375977</v>
      </c>
      <c r="E101" s="383">
        <f t="shared" si="47"/>
        <v>40.012626545199169</v>
      </c>
      <c r="F101" s="383">
        <f t="shared" si="26"/>
        <v>40.012957266819058</v>
      </c>
      <c r="G101" s="110">
        <f t="shared" si="48"/>
        <v>0.70485634461121038</v>
      </c>
      <c r="H101" s="412" t="b">
        <f>Wh_hp&gt;='2025'!Maxi_hp</f>
        <v>0</v>
      </c>
      <c r="I101" s="388">
        <f>IF(H101,Wh_hp,'2025'!Maxi_hp)</f>
        <v>54.360653644959861</v>
      </c>
      <c r="J101" s="85">
        <f>IF(H101,An,'2025'!An_max)</f>
        <v>2018</v>
      </c>
      <c r="K101" s="197">
        <f t="shared" si="27"/>
        <v>46109</v>
      </c>
      <c r="L101" s="147">
        <f>IF(t&lt;Tvie,1-EXP((T0-t)*PertePVj)+'2025'!Pspv,1-EXP((T0-t)*PertePVj)+Pspv)</f>
        <v>4.8844795844103506E-2</v>
      </c>
      <c r="M101" s="832"/>
      <c r="N101" s="832"/>
      <c r="O101" s="48">
        <f>IF(t&lt;Tnet,'2025'!Resal+('2025'!Salim-'2025'!Resal)*(1-EXP(('2025'!Tnet-t)/('2025'!Tau_j))),Resal+(Salim-Resal)*(1-EXP((Tnet-t)/(Tau_j))))*Salcycl</f>
        <v>4.3025091014170062E-2</v>
      </c>
      <c r="P101" s="169">
        <f>(INDEX(Models!$BJ101:$BT101,,T101)*(1-R101)+INDEX(Models!$BJ101:$BT101,,T101+1)*R101-ERP_i)*Q101*Ramure*Pc/MaxiM</f>
        <v>1.4290731866314355E-5</v>
      </c>
      <c r="Q101" s="304">
        <f t="shared" si="28"/>
        <v>0.6</v>
      </c>
      <c r="R101" s="177">
        <f t="shared" si="29"/>
        <v>2.1256823071327258E-2</v>
      </c>
      <c r="S101" s="799">
        <f t="shared" si="30"/>
        <v>2</v>
      </c>
      <c r="T101" s="176">
        <f t="shared" si="31"/>
        <v>8</v>
      </c>
      <c r="U101" s="250">
        <f t="shared" si="32"/>
        <v>2.0212568230713273</v>
      </c>
      <c r="V101" s="382">
        <f t="shared" si="33"/>
        <v>51.670869541743734</v>
      </c>
      <c r="W101" s="400">
        <f t="shared" si="34"/>
        <v>36.420759678398433</v>
      </c>
      <c r="X101" s="157">
        <f t="shared" si="35"/>
        <v>46109</v>
      </c>
      <c r="Y101" s="383">
        <f t="shared" si="36"/>
        <v>35.463558611594429</v>
      </c>
      <c r="Z101" s="383">
        <f t="shared" si="37"/>
        <v>37.284723309763727</v>
      </c>
      <c r="AA101" s="384">
        <f t="shared" si="38"/>
        <v>40.012626545199169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6.817606018325098E-2</v>
      </c>
      <c r="AD101" s="230">
        <f>(INDEX(Models!$BJ101:$BT101,,AH101)*(1-AF101)+INDEX(Models!$BJ101:$BT101,,AH101+1)*AF101-ERP_i)*AE101*Ramure*Pc/MaxiM</f>
        <v>1.4290731866314355E-5</v>
      </c>
      <c r="AE101" s="304">
        <f t="shared" si="40"/>
        <v>0.6</v>
      </c>
      <c r="AF101" s="177">
        <f t="shared" si="41"/>
        <v>2.1256823071327258E-2</v>
      </c>
      <c r="AG101" s="799">
        <f t="shared" si="49"/>
        <v>2</v>
      </c>
      <c r="AH101" s="176">
        <f t="shared" si="42"/>
        <v>8</v>
      </c>
      <c r="AI101" s="224">
        <f t="shared" si="43"/>
        <v>2.0212568230713273</v>
      </c>
      <c r="AJ101" s="264" t="b">
        <f t="shared" si="44"/>
        <v>1</v>
      </c>
      <c r="AK101" s="264" t="b">
        <f t="shared" si="45"/>
        <v>1</v>
      </c>
      <c r="AL101" s="264"/>
      <c r="AM101" s="264"/>
      <c r="AN101" s="75"/>
    </row>
    <row r="102" spans="1:40" s="6" customFormat="1" ht="11.25" x14ac:dyDescent="0.2">
      <c r="A102" s="56">
        <f t="shared" si="46"/>
        <v>46110</v>
      </c>
      <c r="B102" s="409">
        <f>IF(t&gt;Tmaj,'2025'!Wh/'2025'!Env_an*'2026'!Env_an,0.001*'[5]mon-tableau'!$B$270)</f>
        <v>27.295599774249649</v>
      </c>
      <c r="C102" s="829"/>
      <c r="D102" s="391">
        <f t="shared" si="25"/>
        <v>28.697864217061941</v>
      </c>
      <c r="E102" s="383">
        <f t="shared" si="47"/>
        <v>29.99089041186912</v>
      </c>
      <c r="F102" s="383">
        <f t="shared" si="26"/>
        <v>29.991021072129907</v>
      </c>
      <c r="G102" s="110">
        <f t="shared" si="48"/>
        <v>0.52566384303718883</v>
      </c>
      <c r="H102" s="412" t="b">
        <f>Wh_hp&gt;='2025'!Maxi_hp</f>
        <v>0</v>
      </c>
      <c r="I102" s="388">
        <f>IF(H102,Wh_hp,'2025'!Maxi_hp)</f>
        <v>56.601597113397979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4.8863024516597853E-2</v>
      </c>
      <c r="M102" s="832"/>
      <c r="N102" s="832"/>
      <c r="O102" s="48">
        <f>IF(t&lt;Tnet,'2025'!Resal+('2025'!Salim-'2025'!Resal)*(1-EXP(('2025'!Tnet-t)/('2025'!Tau_j))),Resal+(Salim-Resal)*(1-EXP((Tnet-t)/(Tau_j))))*Salcycl</f>
        <v>4.3113964842319406E-2</v>
      </c>
      <c r="P102" s="169">
        <f>(INDEX(Models!$BJ102:$BT102,,T102)*(1-R102)+INDEX(Models!$BJ102:$BT102,,T102+1)*R102-ERP_i)*Q102*Ramure*Pc/MaxiM</f>
        <v>1.3513849093333881E-5</v>
      </c>
      <c r="Q102" s="304">
        <f t="shared" si="28"/>
        <v>0.6</v>
      </c>
      <c r="R102" s="177">
        <f t="shared" si="29"/>
        <v>2.216960535571344E-2</v>
      </c>
      <c r="S102" s="799">
        <f t="shared" si="30"/>
        <v>2</v>
      </c>
      <c r="T102" s="176">
        <f t="shared" si="31"/>
        <v>8</v>
      </c>
      <c r="U102" s="250">
        <f t="shared" si="32"/>
        <v>2.0221696053557134</v>
      </c>
      <c r="V102" s="382">
        <f t="shared" si="33"/>
        <v>51.925484667352066</v>
      </c>
      <c r="W102" s="400">
        <f t="shared" si="34"/>
        <v>27.295599774249649</v>
      </c>
      <c r="X102" s="157">
        <f t="shared" si="35"/>
        <v>46110</v>
      </c>
      <c r="Y102" s="383">
        <f t="shared" si="36"/>
        <v>26.578898165809438</v>
      </c>
      <c r="Z102" s="383">
        <f t="shared" si="37"/>
        <v>27.944343297453116</v>
      </c>
      <c r="AA102" s="384">
        <f t="shared" si="38"/>
        <v>29.99089041186912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6.8238958107294773E-2</v>
      </c>
      <c r="AD102" s="230">
        <f>(INDEX(Models!$BJ102:$BT102,,AH102)*(1-AF102)+INDEX(Models!$BJ102:$BT102,,AH102+1)*AF102-ERP_i)*AE102*Ramure*Pc/MaxiM</f>
        <v>1.3513849093333881E-5</v>
      </c>
      <c r="AE102" s="304">
        <f t="shared" si="40"/>
        <v>0.6</v>
      </c>
      <c r="AF102" s="177">
        <f t="shared" si="41"/>
        <v>2.216960535571344E-2</v>
      </c>
      <c r="AG102" s="799">
        <f t="shared" si="49"/>
        <v>2</v>
      </c>
      <c r="AH102" s="176">
        <f t="shared" si="42"/>
        <v>8</v>
      </c>
      <c r="AI102" s="224">
        <f t="shared" si="43"/>
        <v>2.0221696053557134</v>
      </c>
      <c r="AJ102" s="264" t="b">
        <f t="shared" si="44"/>
        <v>1</v>
      </c>
      <c r="AK102" s="264" t="b">
        <f t="shared" si="45"/>
        <v>1</v>
      </c>
      <c r="AL102" s="264"/>
      <c r="AM102" s="264"/>
      <c r="AN102" s="75"/>
    </row>
    <row r="103" spans="1:40" s="6" customFormat="1" ht="11.25" x14ac:dyDescent="0.2">
      <c r="A103" s="56">
        <f t="shared" si="46"/>
        <v>46111</v>
      </c>
      <c r="B103" s="409">
        <f>IF(t&gt;Tmaj,'2025'!Wh/'2025'!Env_an*'2026'!Env_an,0.001*'[5]mon-tableau'!$B$271)</f>
        <v>7.420552822274499</v>
      </c>
      <c r="C103" s="829"/>
      <c r="D103" s="391">
        <f t="shared" si="25"/>
        <v>7.8019204693735178</v>
      </c>
      <c r="E103" s="383">
        <f t="shared" si="47"/>
        <v>8.1542077345185806</v>
      </c>
      <c r="F103" s="383">
        <f t="shared" si="26"/>
        <v>8.1542077345185806</v>
      </c>
      <c r="G103" s="110">
        <f t="shared" si="48"/>
        <v>0.14222748616819811</v>
      </c>
      <c r="H103" s="412" t="b">
        <f>Wh_hp&gt;='2025'!Maxi_hp</f>
        <v>0</v>
      </c>
      <c r="I103" s="388">
        <f>IF(H103,Wh_hp,'2025'!Maxi_hp)</f>
        <v>56.745534114329011</v>
      </c>
      <c r="J103" s="85">
        <f>IF(H103,An,'2025'!An_max)</f>
        <v>2018</v>
      </c>
      <c r="K103" s="197">
        <f t="shared" si="27"/>
        <v>46111</v>
      </c>
      <c r="L103" s="147">
        <f>IF(t&lt;Tvie,1-EXP((T0-t)*PertePVj)+'2025'!Pspv,1-EXP((T0-t)*PertePVj)+Pspv)</f>
        <v>4.8881252839743761E-2</v>
      </c>
      <c r="M103" s="832"/>
      <c r="N103" s="832"/>
      <c r="O103" s="48">
        <f>IF(t&lt;Tnet,'2025'!Resal+('2025'!Salim-'2025'!Resal)*(1-EXP(('2025'!Tnet-t)/('2025'!Tau_j))),Resal+(Salim-Resal)*(1-EXP((Tnet-t)/(Tau_j))))*Salcycl</f>
        <v>4.32031261177898E-2</v>
      </c>
      <c r="P103" s="169">
        <f>(INDEX(Models!$BJ103:$BT103,,T103)*(1-R103)+INDEX(Models!$BJ103:$BT103,,T103+1)*R103-ERP_i)*Q103*Ramure*Pc/MaxiM</f>
        <v>1.2751366923757E-5</v>
      </c>
      <c r="Q103" s="304">
        <f t="shared" si="28"/>
        <v>0.6</v>
      </c>
      <c r="R103" s="177">
        <f t="shared" si="29"/>
        <v>2.3116979707332064E-2</v>
      </c>
      <c r="S103" s="799">
        <f t="shared" si="30"/>
        <v>2</v>
      </c>
      <c r="T103" s="176">
        <f t="shared" si="31"/>
        <v>8</v>
      </c>
      <c r="U103" s="250">
        <f t="shared" si="32"/>
        <v>2.0231169797073321</v>
      </c>
      <c r="V103" s="382">
        <f t="shared" si="33"/>
        <v>52.173165679854989</v>
      </c>
      <c r="W103" s="400">
        <f t="shared" si="34"/>
        <v>7.420552822274499</v>
      </c>
      <c r="X103" s="157">
        <f t="shared" si="35"/>
        <v>46111</v>
      </c>
      <c r="Y103" s="383">
        <f t="shared" si="36"/>
        <v>7.2258925333672321</v>
      </c>
      <c r="Z103" s="383">
        <f t="shared" si="37"/>
        <v>7.5972559209262691</v>
      </c>
      <c r="AA103" s="384">
        <f t="shared" si="38"/>
        <v>8.1542077345185806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6.8302382245501364E-2</v>
      </c>
      <c r="AD103" s="230">
        <f>(INDEX(Models!$BJ103:$BT103,,AH103)*(1-AF103)+INDEX(Models!$BJ103:$BT103,,AH103+1)*AF103-ERP_i)*AE103*Ramure*Pc/MaxiM</f>
        <v>1.2751366923757E-5</v>
      </c>
      <c r="AE103" s="304">
        <f t="shared" si="40"/>
        <v>0.6</v>
      </c>
      <c r="AF103" s="177">
        <f t="shared" si="41"/>
        <v>2.3116979707332064E-2</v>
      </c>
      <c r="AG103" s="799">
        <f t="shared" si="49"/>
        <v>2</v>
      </c>
      <c r="AH103" s="176">
        <f t="shared" si="42"/>
        <v>8</v>
      </c>
      <c r="AI103" s="224">
        <f t="shared" si="43"/>
        <v>2.0231169797073321</v>
      </c>
      <c r="AJ103" s="264" t="b">
        <f t="shared" si="44"/>
        <v>1</v>
      </c>
      <c r="AK103" s="264" t="b">
        <f t="shared" si="45"/>
        <v>1</v>
      </c>
      <c r="AL103" s="264"/>
      <c r="AM103" s="264"/>
      <c r="AN103" s="75"/>
    </row>
    <row r="104" spans="1:40" s="6" customFormat="1" ht="11.25" x14ac:dyDescent="0.2">
      <c r="A104" s="56">
        <f t="shared" si="46"/>
        <v>46112</v>
      </c>
      <c r="B104" s="409">
        <f>IF(t&gt;Tmaj,'2025'!Wh/'2025'!Env_an*'2026'!Env_an,0.001*'[5]mon-tableau'!$B$272)</f>
        <v>25.191849083691672</v>
      </c>
      <c r="C104" s="829"/>
      <c r="D104" s="391">
        <f t="shared" si="25"/>
        <v>26.487052183758831</v>
      </c>
      <c r="E104" s="383">
        <f t="shared" si="47"/>
        <v>27.685635115105423</v>
      </c>
      <c r="F104" s="383">
        <f t="shared" si="26"/>
        <v>27.685635115105423</v>
      </c>
      <c r="G104" s="110">
        <f t="shared" si="48"/>
        <v>0.48063337805426493</v>
      </c>
      <c r="H104" s="412" t="b">
        <f>Wh_hp&gt;='2025'!Maxi_hp</f>
        <v>0</v>
      </c>
      <c r="I104" s="388">
        <f>IF(H104,Wh_hp,'2025'!Maxi_hp)</f>
        <v>51.692988498313227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4.8899480813548002E-2</v>
      </c>
      <c r="M104" s="832"/>
      <c r="N104" s="832"/>
      <c r="O104" s="48">
        <f>IF(t&lt;Tnet,'2025'!Resal+('2025'!Salim-'2025'!Resal)*(1-EXP(('2025'!Tnet-t)/('2025'!Tau_j))),Resal+(Salim-Resal)*(1-EXP((Tnet-t)/(Tau_j))))*Salcycl</f>
        <v>4.3292592940829447E-2</v>
      </c>
      <c r="P104" s="169">
        <f>(INDEX(Models!$BJ104:$BT104,,T104)*(1-R104)+INDEX(Models!$BJ104:$BT104,,T104+1)*R104-ERP_i)*Q104*Ramure*Pc/MaxiM</f>
        <v>0</v>
      </c>
      <c r="Q104" s="304">
        <f t="shared" si="28"/>
        <v>0.6</v>
      </c>
      <c r="R104" s="177">
        <f t="shared" si="29"/>
        <v>0.49911253781701737</v>
      </c>
      <c r="S104" s="799">
        <f t="shared" si="30"/>
        <v>-2</v>
      </c>
      <c r="T104" s="176">
        <f t="shared" si="31"/>
        <v>4</v>
      </c>
      <c r="U104" s="250">
        <f t="shared" si="32"/>
        <v>-1.5008874621829826</v>
      </c>
      <c r="V104" s="382">
        <f t="shared" si="33"/>
        <v>52.413856868774182</v>
      </c>
      <c r="W104" s="400">
        <f t="shared" si="34"/>
        <v>25.191849083691672</v>
      </c>
      <c r="X104" s="157">
        <f t="shared" si="35"/>
        <v>46112</v>
      </c>
      <c r="Y104" s="383">
        <f t="shared" si="36"/>
        <v>24.531535155945253</v>
      </c>
      <c r="Z104" s="383">
        <f t="shared" si="37"/>
        <v>25.79278915432506</v>
      </c>
      <c r="AA104" s="384">
        <f t="shared" si="38"/>
        <v>27.685549365453831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6.8366359148016989E-2</v>
      </c>
      <c r="AD104" s="230">
        <f>(INDEX(Models!$BJ104:$BT104,,AH104)*(1-AF104)+INDEX(Models!$BJ104:$BT104,,AH104+1)*AF104-ERP_i)*AE104*Ramure*Pc/MaxiM</f>
        <v>1.2002671208824364E-5</v>
      </c>
      <c r="AE104" s="304">
        <f t="shared" si="40"/>
        <v>0.6</v>
      </c>
      <c r="AF104" s="177">
        <f t="shared" si="41"/>
        <v>2.4100104190996063E-2</v>
      </c>
      <c r="AG104" s="799">
        <f t="shared" si="49"/>
        <v>2</v>
      </c>
      <c r="AH104" s="176">
        <f t="shared" si="42"/>
        <v>8</v>
      </c>
      <c r="AI104" s="224">
        <f t="shared" si="43"/>
        <v>2.0241001041909961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46113</v>
      </c>
      <c r="B105" s="409">
        <f>IF(t&gt;Tmaj,'2025'!Wh/'2025'!Env_an*'2026'!Env_an,0.001*'[6]mon-tableau'!$B$235)</f>
        <v>29.935416559070823</v>
      </c>
      <c r="C105" s="829"/>
      <c r="D105" s="391">
        <f t="shared" si="25"/>
        <v>31.475106649191474</v>
      </c>
      <c r="E105" s="383">
        <f t="shared" si="47"/>
        <v>32.902495311054921</v>
      </c>
      <c r="F105" s="383">
        <f t="shared" si="26"/>
        <v>32.902495341290887</v>
      </c>
      <c r="G105" s="110">
        <f t="shared" si="48"/>
        <v>0.56862165496249595</v>
      </c>
      <c r="H105" s="412" t="b">
        <f>Wh_hp&gt;='2025'!Maxi_hp</f>
        <v>0</v>
      </c>
      <c r="I105" s="388">
        <f>IF(H105,Wh_hp,'2025'!Maxi_hp)</f>
        <v>52.356654743992351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4.8917708438017349E-2</v>
      </c>
      <c r="M105" s="832"/>
      <c r="N105" s="832"/>
      <c r="O105" s="48">
        <f>IF(t&lt;Tnet,'2025'!Resal+('2025'!Salim-'2025'!Resal)*(1-EXP(('2025'!Tnet-t)/('2025'!Tau_j))),Resal+(Salim-Resal)*(1-EXP((Tnet-t)/(Tau_j))))*Salcycl</f>
        <v>4.3382383262094336E-2</v>
      </c>
      <c r="P105" s="169">
        <f>(INDEX(Models!$BJ105:$BT105,,T105)*(1-R105)+INDEX(Models!$BJ105:$BT105,,T105+1)*R105-ERP_i)*Q105*Ramure*Pc/MaxiM</f>
        <v>2.394705266117551E-9</v>
      </c>
      <c r="Q105" s="304">
        <f t="shared" si="28"/>
        <v>0.6</v>
      </c>
      <c r="R105" s="177">
        <f t="shared" si="29"/>
        <v>0.50013259688630263</v>
      </c>
      <c r="S105" s="799">
        <f t="shared" si="30"/>
        <v>-2</v>
      </c>
      <c r="T105" s="176">
        <f t="shared" si="31"/>
        <v>4</v>
      </c>
      <c r="U105" s="250">
        <f t="shared" si="32"/>
        <v>-1.4998674031136974</v>
      </c>
      <c r="V105" s="382">
        <f t="shared" si="33"/>
        <v>52.64557945277005</v>
      </c>
      <c r="W105" s="400">
        <f t="shared" si="34"/>
        <v>29.935416559070823</v>
      </c>
      <c r="X105" s="157">
        <f t="shared" si="35"/>
        <v>46113</v>
      </c>
      <c r="Y105" s="383">
        <f t="shared" si="36"/>
        <v>29.151447323824414</v>
      </c>
      <c r="Z105" s="383">
        <f t="shared" si="37"/>
        <v>30.650814953087153</v>
      </c>
      <c r="AA105" s="384">
        <f t="shared" si="38"/>
        <v>32.902353080725369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6.8430915020396957E-2</v>
      </c>
      <c r="AD105" s="230">
        <f>(INDEX(Models!$BJ105:$BT105,,AH105)*(1-AF105)+INDEX(Models!$BJ105:$BT105,,AH105+1)*AF105-ERP_i)*AE105*Ramure*Pc/MaxiM</f>
        <v>1.1267114627310315E-5</v>
      </c>
      <c r="AE105" s="304">
        <f t="shared" si="40"/>
        <v>0.6</v>
      </c>
      <c r="AF105" s="177">
        <f t="shared" si="41"/>
        <v>2.5120163260281103E-2</v>
      </c>
      <c r="AG105" s="799">
        <f t="shared" si="49"/>
        <v>2</v>
      </c>
      <c r="AH105" s="176">
        <f t="shared" si="42"/>
        <v>8</v>
      </c>
      <c r="AI105" s="224">
        <f t="shared" si="43"/>
        <v>2.0251201632602811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46114</v>
      </c>
      <c r="B106" s="409">
        <f>IF(t&gt;Tmaj,'2025'!Wh/'2025'!Env_an*'2026'!Env_an,0.001*'[6]mon-tableau'!$B$236)</f>
        <v>19.229735113465114</v>
      </c>
      <c r="C106" s="829"/>
      <c r="D106" s="391">
        <f t="shared" si="25"/>
        <v>20.21917958585113</v>
      </c>
      <c r="E106" s="383">
        <f t="shared" si="47"/>
        <v>21.138106222374642</v>
      </c>
      <c r="F106" s="383">
        <f t="shared" si="26"/>
        <v>21.138106231174032</v>
      </c>
      <c r="G106" s="110">
        <f t="shared" si="48"/>
        <v>0.36372892077703228</v>
      </c>
      <c r="H106" s="412" t="b">
        <f>Wh_hp&gt;='2025'!Maxi_hp</f>
        <v>0</v>
      </c>
      <c r="I106" s="388">
        <f>IF(H106,Wh_hp,'2025'!Maxi_hp)</f>
        <v>47.319485851291006</v>
      </c>
      <c r="J106" s="85">
        <f>IF(H106,An,'2025'!An_max)</f>
        <v>2021</v>
      </c>
      <c r="K106" s="197">
        <f t="shared" si="27"/>
        <v>46114</v>
      </c>
      <c r="L106" s="147">
        <f>IF(t&lt;Tvie,1-EXP((T0-t)*PertePVj)+'2025'!Pspv,1-EXP((T0-t)*PertePVj)+Pspv)</f>
        <v>4.8935935713158352E-2</v>
      </c>
      <c r="M106" s="832"/>
      <c r="N106" s="832"/>
      <c r="O106" s="48">
        <f>IF(t&lt;Tnet,'2025'!Resal+('2025'!Salim-'2025'!Resal)*(1-EXP(('2025'!Tnet-t)/('2025'!Tau_j))),Resal+(Salim-Resal)*(1-EXP((Tnet-t)/(Tau_j))))*Salcycl</f>
        <v>4.3472514843871407E-2</v>
      </c>
      <c r="P106" s="169">
        <f>(INDEX(Models!$BJ106:$BT106,,T106)*(1-R106)+INDEX(Models!$BJ106:$BT106,,T106+1)*R106-ERP_i)*Q106*Ramure*Pc/MaxiM</f>
        <v>4.5724392559161775E-9</v>
      </c>
      <c r="Q106" s="304">
        <f t="shared" si="28"/>
        <v>0.6</v>
      </c>
      <c r="R106" s="177">
        <f t="shared" si="29"/>
        <v>0.50119080093574198</v>
      </c>
      <c r="S106" s="799">
        <f t="shared" si="30"/>
        <v>-2</v>
      </c>
      <c r="T106" s="176">
        <f t="shared" si="31"/>
        <v>4</v>
      </c>
      <c r="U106" s="250">
        <f t="shared" si="32"/>
        <v>-1.498809199064258</v>
      </c>
      <c r="V106" s="382">
        <f t="shared" si="33"/>
        <v>52.868314657143308</v>
      </c>
      <c r="W106" s="400">
        <f t="shared" si="34"/>
        <v>19.229735113465114</v>
      </c>
      <c r="X106" s="157">
        <f t="shared" si="35"/>
        <v>46114</v>
      </c>
      <c r="Y106" s="383">
        <f t="shared" si="36"/>
        <v>18.726651154853251</v>
      </c>
      <c r="Z106" s="383">
        <f t="shared" si="37"/>
        <v>19.69021000587956</v>
      </c>
      <c r="AA106" s="384">
        <f t="shared" si="38"/>
        <v>21.138085939831658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6.8496075665194806E-2</v>
      </c>
      <c r="AD106" s="230">
        <f>(INDEX(Models!$BJ106:$BT106,,AH106)*(1-AF106)+INDEX(Models!$BJ106:$BT106,,AH106+1)*AF106-ERP_i)*AE106*Ramure*Pc/MaxiM</f>
        <v>1.0544018720039368E-5</v>
      </c>
      <c r="AE106" s="304">
        <f t="shared" si="40"/>
        <v>0.6</v>
      </c>
      <c r="AF106" s="177">
        <f t="shared" si="41"/>
        <v>2.6178367309720674E-2</v>
      </c>
      <c r="AG106" s="799">
        <f t="shared" si="49"/>
        <v>2</v>
      </c>
      <c r="AH106" s="176">
        <f t="shared" si="42"/>
        <v>8</v>
      </c>
      <c r="AI106" s="224">
        <f t="shared" si="43"/>
        <v>2.0261783673097207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46115</v>
      </c>
      <c r="B107" s="409">
        <f>IF(t&gt;Tmaj,'2025'!Wh/'2025'!Env_an*'2026'!Env_an,0.001*'[6]mon-tableau'!$B$237)</f>
        <v>23.827603095965035</v>
      </c>
      <c r="C107" s="829"/>
      <c r="D107" s="391">
        <f t="shared" si="25"/>
        <v>25.054105869473403</v>
      </c>
      <c r="E107" s="383">
        <f t="shared" si="47"/>
        <v>26.195249667549337</v>
      </c>
      <c r="F107" s="383">
        <f t="shared" si="26"/>
        <v>26.195249703919234</v>
      </c>
      <c r="G107" s="110">
        <f t="shared" si="48"/>
        <v>0.44887546991216215</v>
      </c>
      <c r="H107" s="412" t="b">
        <f>Wh_hp&gt;='2025'!Maxi_hp</f>
        <v>0</v>
      </c>
      <c r="I107" s="388">
        <f>IF(H107,Wh_hp,'2025'!Maxi_hp)</f>
        <v>54.874354285186392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4.8954162638977783E-2</v>
      </c>
      <c r="M107" s="832"/>
      <c r="N107" s="832"/>
      <c r="O107" s="48">
        <f>IF(t&lt;Tnet,'2025'!Resal+('2025'!Salim-'2025'!Resal)*(1-EXP(('2025'!Tnet-t)/('2025'!Tau_j))),Resal+(Salim-Resal)*(1-EXP((Tnet-t)/(Tau_j))))*Salcycl</f>
        <v>4.3563005222644627E-2</v>
      </c>
      <c r="P107" s="169">
        <f>(INDEX(Models!$BJ107:$BT107,,T107)*(1-R107)+INDEX(Models!$BJ107:$BT107,,T107+1)*R107-ERP_i)*Q107*Ramure*Pc/MaxiM</f>
        <v>6.5282143773408598E-9</v>
      </c>
      <c r="Q107" s="304">
        <f t="shared" si="28"/>
        <v>0.6</v>
      </c>
      <c r="R107" s="177">
        <f t="shared" si="29"/>
        <v>0.50228838574055557</v>
      </c>
      <c r="S107" s="799">
        <f t="shared" si="30"/>
        <v>-2</v>
      </c>
      <c r="T107" s="176">
        <f t="shared" si="31"/>
        <v>4</v>
      </c>
      <c r="U107" s="250">
        <f t="shared" si="32"/>
        <v>-1.4977116142594444</v>
      </c>
      <c r="V107" s="382">
        <f t="shared" si="33"/>
        <v>53.082880599732121</v>
      </c>
      <c r="W107" s="400">
        <f t="shared" si="34"/>
        <v>23.827603095965035</v>
      </c>
      <c r="X107" s="157">
        <f t="shared" si="35"/>
        <v>46115</v>
      </c>
      <c r="Y107" s="383">
        <f t="shared" si="36"/>
        <v>23.204760895351168</v>
      </c>
      <c r="Z107" s="383">
        <f t="shared" si="37"/>
        <v>24.399203470297628</v>
      </c>
      <c r="AA107" s="384">
        <f t="shared" si="38"/>
        <v>26.195194925804596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6.8561866426035165E-2</v>
      </c>
      <c r="AD107" s="230">
        <f>(INDEX(Models!$BJ107:$BT107,,AH107)*(1-AF107)+INDEX(Models!$BJ107:$BT107,,AH107+1)*AF107-ERP_i)*AE107*Ramure*Pc/MaxiM</f>
        <v>9.832397457908628E-6</v>
      </c>
      <c r="AE107" s="304">
        <f t="shared" si="40"/>
        <v>0.6</v>
      </c>
      <c r="AF107" s="177">
        <f t="shared" si="41"/>
        <v>2.7275952114534263E-2</v>
      </c>
      <c r="AG107" s="799">
        <f t="shared" si="49"/>
        <v>2</v>
      </c>
      <c r="AH107" s="176">
        <f t="shared" si="42"/>
        <v>8</v>
      </c>
      <c r="AI107" s="224">
        <f t="shared" si="43"/>
        <v>2.0272759521145343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46116</v>
      </c>
      <c r="B108" s="409">
        <f>IF(t&gt;Tmaj,'2025'!Wh/'2025'!Env_an*'2026'!Env_an,0.001*'[6]mon-tableau'!$B$238)</f>
        <v>45.029612349516533</v>
      </c>
      <c r="C108" s="829"/>
      <c r="D108" s="391">
        <f t="shared" si="25"/>
        <v>47.348375419269793</v>
      </c>
      <c r="E108" s="383">
        <f t="shared" si="47"/>
        <v>49.509663935268456</v>
      </c>
      <c r="F108" s="383">
        <f t="shared" si="26"/>
        <v>49.509664253943747</v>
      </c>
      <c r="G108" s="110">
        <f t="shared" si="48"/>
        <v>0.84498199586394418</v>
      </c>
      <c r="H108" s="412" t="b">
        <f>Wh_hp&gt;='2025'!Maxi_hp</f>
        <v>0</v>
      </c>
      <c r="I108" s="388">
        <f>IF(H108,Wh_hp,'2025'!Maxi_hp)</f>
        <v>58.531654511187028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4.8972389215482415E-2</v>
      </c>
      <c r="M108" s="832"/>
      <c r="N108" s="832"/>
      <c r="O108" s="48">
        <f>IF(t&lt;Tnet,'2025'!Resal+('2025'!Salim-'2025'!Resal)*(1-EXP(('2025'!Tnet-t)/('2025'!Tau_j))),Resal+(Salim-Resal)*(1-EXP((Tnet-t)/(Tau_j))))*Salcycl</f>
        <v>4.3653871672901016E-2</v>
      </c>
      <c r="P108" s="169">
        <f>(INDEX(Models!$BJ108:$BT108,,T108)*(1-R108)+INDEX(Models!$BJ108:$BT108,,T108+1)*R108-ERP_i)*Q108*Ramure*Pc/MaxiM</f>
        <v>8.2675016855821542E-9</v>
      </c>
      <c r="Q108" s="304">
        <f t="shared" si="28"/>
        <v>0.6</v>
      </c>
      <c r="R108" s="177">
        <f t="shared" si="29"/>
        <v>0.50342661177540826</v>
      </c>
      <c r="S108" s="799">
        <f t="shared" si="30"/>
        <v>-2</v>
      </c>
      <c r="T108" s="176">
        <f t="shared" si="31"/>
        <v>4</v>
      </c>
      <c r="U108" s="250">
        <f t="shared" si="32"/>
        <v>-1.4965733882245917</v>
      </c>
      <c r="V108" s="382">
        <f t="shared" si="33"/>
        <v>53.290617418460947</v>
      </c>
      <c r="W108" s="400">
        <f t="shared" si="34"/>
        <v>45.029612349516533</v>
      </c>
      <c r="X108" s="157">
        <f t="shared" si="35"/>
        <v>46116</v>
      </c>
      <c r="Y108" s="383">
        <f t="shared" si="36"/>
        <v>43.853377426308043</v>
      </c>
      <c r="Z108" s="383">
        <f t="shared" si="37"/>
        <v>46.111571240431921</v>
      </c>
      <c r="AA108" s="384">
        <f t="shared" si="38"/>
        <v>49.509311740068121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6.8628312133985667E-2</v>
      </c>
      <c r="AD108" s="230">
        <f>(INDEX(Models!$BJ108:$BT108,,AH108)*(1-AF108)+INDEX(Models!$BJ108:$BT108,,AH108+1)*AF108-ERP_i)*AE108*Ramure*Pc/MaxiM</f>
        <v>9.1453876495080081E-6</v>
      </c>
      <c r="AE108" s="304">
        <f t="shared" si="40"/>
        <v>0.6</v>
      </c>
      <c r="AF108" s="177">
        <f t="shared" si="41"/>
        <v>2.8414178149386959E-2</v>
      </c>
      <c r="AG108" s="799">
        <f t="shared" si="49"/>
        <v>2</v>
      </c>
      <c r="AH108" s="176">
        <f t="shared" si="42"/>
        <v>8</v>
      </c>
      <c r="AI108" s="224">
        <f t="shared" si="43"/>
        <v>2.028414178149387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46117</v>
      </c>
      <c r="B109" s="409">
        <f>IF(t&gt;Tmaj,'2025'!Wh/'2025'!Env_an*'2026'!Env_an,0.001*'[6]mon-tableau'!$B$239)</f>
        <v>51.694751287036915</v>
      </c>
      <c r="C109" s="829"/>
      <c r="D109" s="391">
        <f t="shared" si="25"/>
        <v>54.357771990967208</v>
      </c>
      <c r="E109" s="383">
        <f t="shared" si="47"/>
        <v>56.844439451159438</v>
      </c>
      <c r="F109" s="383">
        <f t="shared" si="26"/>
        <v>56.844439979745893</v>
      </c>
      <c r="G109" s="110">
        <f t="shared" si="48"/>
        <v>0.96640833159766282</v>
      </c>
      <c r="H109" s="412" t="b">
        <f>Wh_hp&gt;='2025'!Maxi_hp</f>
        <v>0</v>
      </c>
      <c r="I109" s="388">
        <f>IF(H109,Wh_hp,'2025'!Maxi_hp)</f>
        <v>60.630362862646294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4.8990615442678798E-2</v>
      </c>
      <c r="M109" s="832"/>
      <c r="N109" s="832"/>
      <c r="O109" s="48">
        <f>IF(t&lt;Tnet,'2025'!Resal+('2025'!Salim-'2025'!Resal)*(1-EXP(('2025'!Tnet-t)/('2025'!Tau_j))),Resal+(Salim-Resal)*(1-EXP((Tnet-t)/(Tau_j))))*Salcycl</f>
        <v>4.3745131172043053E-2</v>
      </c>
      <c r="P109" s="169">
        <f>(INDEX(Models!$BJ109:$BT109,,T109)*(1-R109)+INDEX(Models!$BJ109:$BT109,,T109+1)*R109-ERP_i)*Q109*Ramure*Pc/MaxiM</f>
        <v>9.7675503771390613E-9</v>
      </c>
      <c r="Q109" s="304">
        <f t="shared" si="28"/>
        <v>0.6</v>
      </c>
      <c r="R109" s="177">
        <f t="shared" si="29"/>
        <v>0.50460676340342703</v>
      </c>
      <c r="S109" s="799">
        <f t="shared" si="30"/>
        <v>-2</v>
      </c>
      <c r="T109" s="176">
        <f t="shared" si="31"/>
        <v>4</v>
      </c>
      <c r="U109" s="250">
        <f t="shared" si="32"/>
        <v>-1.495393236596573</v>
      </c>
      <c r="V109" s="382">
        <f t="shared" si="33"/>
        <v>53.491624164026675</v>
      </c>
      <c r="W109" s="400">
        <f t="shared" si="34"/>
        <v>51.694751287036915</v>
      </c>
      <c r="X109" s="157">
        <f t="shared" si="35"/>
        <v>46117</v>
      </c>
      <c r="Y109" s="383">
        <f t="shared" si="36"/>
        <v>50.345542601091637</v>
      </c>
      <c r="Z109" s="383">
        <f t="shared" si="37"/>
        <v>52.939059717614285</v>
      </c>
      <c r="AA109" s="384">
        <f t="shared" si="38"/>
        <v>56.843981898107991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6.8695437055996844E-2</v>
      </c>
      <c r="AD109" s="230">
        <f>(INDEX(Models!$BJ109:$BT109,,AH109)*(1-AF109)+INDEX(Models!$BJ109:$BT109,,AH109+1)*AF109-ERP_i)*AE109*Ramure*Pc/MaxiM</f>
        <v>8.4647183631737581E-6</v>
      </c>
      <c r="AE109" s="304">
        <f t="shared" si="40"/>
        <v>0.6</v>
      </c>
      <c r="AF109" s="177">
        <f t="shared" si="41"/>
        <v>2.9594329777405726E-2</v>
      </c>
      <c r="AG109" s="799">
        <f t="shared" si="49"/>
        <v>2</v>
      </c>
      <c r="AH109" s="176">
        <f t="shared" si="42"/>
        <v>8</v>
      </c>
      <c r="AI109" s="224">
        <f t="shared" si="43"/>
        <v>2.0295943297774057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46118</v>
      </c>
      <c r="B110" s="409">
        <f>IF(t&gt;Tmaj,'2025'!Wh/'2025'!Env_an*'2026'!Env_an,0.001*'[6]mon-tableau'!$B$240)</f>
        <v>10.926413613175152</v>
      </c>
      <c r="C110" s="829"/>
      <c r="D110" s="391">
        <f t="shared" si="25"/>
        <v>11.489500731371557</v>
      </c>
      <c r="E110" s="383">
        <f t="shared" si="47"/>
        <v>12.016254898507356</v>
      </c>
      <c r="F110" s="383">
        <f t="shared" si="26"/>
        <v>12.016254898507356</v>
      </c>
      <c r="G110" s="110">
        <f t="shared" si="48"/>
        <v>0.20352444809799189</v>
      </c>
      <c r="H110" s="412" t="b">
        <f>Wh_hp&gt;='2025'!Maxi_hp</f>
        <v>0</v>
      </c>
      <c r="I110" s="388">
        <f>IF(H110,Wh_hp,'2025'!Maxi_hp)</f>
        <v>61.789879611435509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4.9008841320573815E-2</v>
      </c>
      <c r="M110" s="832"/>
      <c r="N110" s="832"/>
      <c r="O110" s="48">
        <f>IF(t&lt;Tnet,'2025'!Resal+('2025'!Salim-'2025'!Resal)*(1-EXP(('2025'!Tnet-t)/('2025'!Tau_j))),Resal+(Salim-Resal)*(1-EXP((Tnet-t)/(Tau_j))))*Salcycl</f>
        <v>4.3836800366246542E-2</v>
      </c>
      <c r="P110" s="169">
        <f>(INDEX(Models!$BJ110:$BT110,,T110)*(1-R110)+INDEX(Models!$BJ110:$BT110,,T110+1)*R110-ERP_i)*Q110*Ramure*Pc/MaxiM</f>
        <v>1.1014149524945711E-8</v>
      </c>
      <c r="Q110" s="304">
        <f t="shared" si="28"/>
        <v>0.6</v>
      </c>
      <c r="R110" s="177">
        <f t="shared" si="29"/>
        <v>0.50583014792646708</v>
      </c>
      <c r="S110" s="799">
        <f t="shared" si="30"/>
        <v>-2</v>
      </c>
      <c r="T110" s="176">
        <f t="shared" si="31"/>
        <v>4</v>
      </c>
      <c r="U110" s="250">
        <f t="shared" si="32"/>
        <v>-1.4941698520735329</v>
      </c>
      <c r="V110" s="382">
        <f t="shared" si="33"/>
        <v>53.685999863609531</v>
      </c>
      <c r="W110" s="400">
        <f t="shared" si="34"/>
        <v>10.926413613175152</v>
      </c>
      <c r="X110" s="157">
        <f t="shared" si="35"/>
        <v>46118</v>
      </c>
      <c r="Y110" s="383">
        <f t="shared" si="36"/>
        <v>10.641570125248807</v>
      </c>
      <c r="Z110" s="383">
        <f t="shared" si="37"/>
        <v>11.189977980474602</v>
      </c>
      <c r="AA110" s="384">
        <f t="shared" si="38"/>
        <v>12.016254898507356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6.8763264845138533E-2</v>
      </c>
      <c r="AD110" s="230">
        <f>(INDEX(Models!$BJ110:$BT110,,AH110)*(1-AF110)+INDEX(Models!$BJ110:$BT110,,AH110+1)*AF110-ERP_i)*AE110*Ramure*Pc/MaxiM</f>
        <v>7.789702552965671E-6</v>
      </c>
      <c r="AE110" s="304">
        <f t="shared" si="40"/>
        <v>0.6</v>
      </c>
      <c r="AF110" s="177">
        <f t="shared" si="41"/>
        <v>3.0817714300445775E-2</v>
      </c>
      <c r="AG110" s="799">
        <f t="shared" si="49"/>
        <v>2</v>
      </c>
      <c r="AH110" s="176">
        <f t="shared" si="42"/>
        <v>8</v>
      </c>
      <c r="AI110" s="224">
        <f t="shared" si="43"/>
        <v>2.0308177143004458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46119</v>
      </c>
      <c r="B111" s="409">
        <f>IF(t&gt;Tmaj,'2025'!Wh/'2025'!Env_an*'2026'!Env_an,0.001*'[6]mon-tableau'!$B$241)</f>
        <v>39.635394314694466</v>
      </c>
      <c r="C111" s="829"/>
      <c r="D111" s="391">
        <f t="shared" si="25"/>
        <v>41.678782784460402</v>
      </c>
      <c r="E111" s="383">
        <f t="shared" si="47"/>
        <v>43.593810742636926</v>
      </c>
      <c r="F111" s="383">
        <f t="shared" si="26"/>
        <v>43.593811068029972</v>
      </c>
      <c r="G111" s="110">
        <f t="shared" si="48"/>
        <v>0.73570756316391117</v>
      </c>
      <c r="H111" s="412" t="b">
        <f>Wh_hp&gt;='2025'!Maxi_hp</f>
        <v>0</v>
      </c>
      <c r="I111" s="388">
        <f>IF(H111,Wh_hp,'2025'!Maxi_hp)</f>
        <v>57.641590326418545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4.9027066849173906E-2</v>
      </c>
      <c r="M111" s="832"/>
      <c r="N111" s="832"/>
      <c r="O111" s="48">
        <f>IF(t&lt;Tnet,'2025'!Resal+('2025'!Salim-'2025'!Resal)*(1-EXP(('2025'!Tnet-t)/('2025'!Tau_j))),Resal+(Salim-Resal)*(1-EXP((Tnet-t)/(Tau_j))))*Salcycl</f>
        <v>4.3928895537079841E-2</v>
      </c>
      <c r="P111" s="169">
        <f>(INDEX(Models!$BJ111:$BT111,,T111)*(1-R111)+INDEX(Models!$BJ111:$BT111,,T111+1)*R111-ERP_i)*Q111*Ramure*Pc/MaxiM</f>
        <v>1.199185499567737E-8</v>
      </c>
      <c r="Q111" s="304">
        <f t="shared" si="28"/>
        <v>0.6</v>
      </c>
      <c r="R111" s="177">
        <f t="shared" si="29"/>
        <v>0.50709809448741616</v>
      </c>
      <c r="S111" s="799">
        <f t="shared" si="30"/>
        <v>-2</v>
      </c>
      <c r="T111" s="176">
        <f t="shared" si="31"/>
        <v>4</v>
      </c>
      <c r="U111" s="250">
        <f t="shared" si="32"/>
        <v>-1.4929019055125838</v>
      </c>
      <c r="V111" s="382">
        <f t="shared" si="33"/>
        <v>53.87384352117725</v>
      </c>
      <c r="W111" s="400">
        <f t="shared" si="34"/>
        <v>39.635394314694466</v>
      </c>
      <c r="X111" s="157">
        <f t="shared" si="35"/>
        <v>46119</v>
      </c>
      <c r="Y111" s="383">
        <f t="shared" si="36"/>
        <v>38.602834657556265</v>
      </c>
      <c r="Z111" s="383">
        <f t="shared" si="37"/>
        <v>40.592989886320751</v>
      </c>
      <c r="AA111" s="384">
        <f t="shared" si="38"/>
        <v>43.593617879635715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6.8831818492327293E-2</v>
      </c>
      <c r="AD111" s="230">
        <f>(INDEX(Models!$BJ111:$BT111,,AH111)*(1-AF111)+INDEX(Models!$BJ111:$BT111,,AH111+1)*AF111-ERP_i)*AE111*Ramure*Pc/MaxiM</f>
        <v>7.1196580124233508E-6</v>
      </c>
      <c r="AE111" s="304">
        <f t="shared" si="40"/>
        <v>0.6</v>
      </c>
      <c r="AF111" s="177">
        <f t="shared" si="41"/>
        <v>3.208566086139486E-2</v>
      </c>
      <c r="AG111" s="799">
        <f t="shared" si="49"/>
        <v>2</v>
      </c>
      <c r="AH111" s="176">
        <f t="shared" si="42"/>
        <v>8</v>
      </c>
      <c r="AI111" s="224">
        <f t="shared" si="43"/>
        <v>2.0320856608613949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46120</v>
      </c>
      <c r="B112" s="409">
        <f>IF(t&gt;Tmaj,'2025'!Wh/'2025'!Env_an*'2026'!Env_an,0.001*'[6]mon-tableau'!$B$242)</f>
        <v>33.990347316635713</v>
      </c>
      <c r="C112" s="829"/>
      <c r="D112" s="391">
        <f t="shared" si="25"/>
        <v>35.743392436786692</v>
      </c>
      <c r="E112" s="383">
        <f t="shared" si="47"/>
        <v>37.38932404397719</v>
      </c>
      <c r="F112" s="383">
        <f t="shared" si="26"/>
        <v>37.389324266740964</v>
      </c>
      <c r="G112" s="110">
        <f t="shared" si="48"/>
        <v>0.62880746078349348</v>
      </c>
      <c r="H112" s="412" t="b">
        <f>Wh_hp&gt;='2025'!Maxi_hp</f>
        <v>0</v>
      </c>
      <c r="I112" s="388">
        <f>IF(H112,Wh_hp,'2025'!Maxi_hp)</f>
        <v>59.015866902452174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4.9045292028485954E-2</v>
      </c>
      <c r="M112" s="832"/>
      <c r="N112" s="832"/>
      <c r="O112" s="48">
        <f>IF(t&lt;Tnet,'2025'!Resal+('2025'!Salim-'2025'!Resal)*(1-EXP(('2025'!Tnet-t)/('2025'!Tau_j))),Resal+(Salim-Resal)*(1-EXP((Tnet-t)/(Tau_j))))*Salcycl</f>
        <v>4.4021432568680775E-2</v>
      </c>
      <c r="P112" s="169">
        <f>(INDEX(Models!$BJ112:$BT112,,T112)*(1-R112)+INDEX(Models!$BJ112:$BT112,,T112+1)*R112-ERP_i)*Q112*Ramure*Pc/MaxiM</f>
        <v>1.2683915112305833E-8</v>
      </c>
      <c r="Q112" s="304">
        <f t="shared" si="28"/>
        <v>0.6</v>
      </c>
      <c r="R112" s="177">
        <f t="shared" si="29"/>
        <v>0.50841195281515983</v>
      </c>
      <c r="S112" s="799">
        <f t="shared" si="30"/>
        <v>-2</v>
      </c>
      <c r="T112" s="176">
        <f t="shared" si="31"/>
        <v>4</v>
      </c>
      <c r="U112" s="250">
        <f t="shared" si="32"/>
        <v>-1.4915880471848402</v>
      </c>
      <c r="V112" s="382">
        <f t="shared" si="33"/>
        <v>54.055254124475439</v>
      </c>
      <c r="W112" s="400">
        <f t="shared" si="34"/>
        <v>33.990347316635713</v>
      </c>
      <c r="X112" s="157">
        <f t="shared" si="35"/>
        <v>46120</v>
      </c>
      <c r="Y112" s="383">
        <f t="shared" si="36"/>
        <v>33.105636078697579</v>
      </c>
      <c r="Z112" s="383">
        <f t="shared" si="37"/>
        <v>34.813052400061579</v>
      </c>
      <c r="AA112" s="384">
        <f t="shared" si="38"/>
        <v>37.389210918716905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6.8901120279211733E-2</v>
      </c>
      <c r="AD112" s="230">
        <f>(INDEX(Models!$BJ112:$BT112,,AH112)*(1-AF112)+INDEX(Models!$BJ112:$BT112,,AH112+1)*AF112-ERP_i)*AE112*Ramure*Pc/MaxiM</f>
        <v>6.4539070823377936E-6</v>
      </c>
      <c r="AE112" s="304">
        <f t="shared" si="40"/>
        <v>0.6</v>
      </c>
      <c r="AF112" s="177">
        <f t="shared" si="41"/>
        <v>3.3399519189138527E-2</v>
      </c>
      <c r="AG112" s="799">
        <f t="shared" si="49"/>
        <v>2</v>
      </c>
      <c r="AH112" s="176">
        <f t="shared" si="42"/>
        <v>8</v>
      </c>
      <c r="AI112" s="224">
        <f t="shared" si="43"/>
        <v>2.0333995191891385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46121</v>
      </c>
      <c r="B113" s="409">
        <f>IF(t&gt;Tmaj,'2025'!Wh/'2025'!Env_an*'2026'!Env_an,0.001*'[6]mon-tableau'!$B$243)</f>
        <v>33.50442150652799</v>
      </c>
      <c r="C113" s="829"/>
      <c r="D113" s="391">
        <f t="shared" si="25"/>
        <v>35.233080337651842</v>
      </c>
      <c r="E113" s="383">
        <f t="shared" si="47"/>
        <v>36.859098337420875</v>
      </c>
      <c r="F113" s="383">
        <f t="shared" si="26"/>
        <v>36.859098556183078</v>
      </c>
      <c r="G113" s="110">
        <f t="shared" si="48"/>
        <v>0.61781701992535687</v>
      </c>
      <c r="H113" s="412" t="b">
        <f>Wh_hp&gt;='2025'!Maxi_hp</f>
        <v>0</v>
      </c>
      <c r="I113" s="388">
        <f>IF(H113,Wh_hp,'2025'!Maxi_hp)</f>
        <v>41.335283844945479</v>
      </c>
      <c r="J113" s="85">
        <f>IF(H113,An,'2025'!An_max)</f>
        <v>2020</v>
      </c>
      <c r="K113" s="197">
        <f t="shared" si="27"/>
        <v>46121</v>
      </c>
      <c r="L113" s="147">
        <f>IF(t&lt;Tvie,1-EXP((T0-t)*PertePVj)+'2025'!Pspv,1-EXP((T0-t)*PertePVj)+Pspv)</f>
        <v>4.906351685851662E-2</v>
      </c>
      <c r="M113" s="832"/>
      <c r="N113" s="832"/>
      <c r="O113" s="48">
        <f>IF(t&lt;Tnet,'2025'!Resal+('2025'!Salim-'2025'!Resal)*(1-EXP(('2025'!Tnet-t)/('2025'!Tau_j))),Resal+(Salim-Resal)*(1-EXP((Tnet-t)/(Tau_j))))*Salcycl</f>
        <v>4.4114426915273446E-2</v>
      </c>
      <c r="P113" s="169">
        <f>(INDEX(Models!$BJ113:$BT113,,T113)*(1-R113)+INDEX(Models!$BJ113:$BT113,,T113+1)*R113-ERP_i)*Q113*Ramure*Pc/MaxiM</f>
        <v>1.3072193132297791E-8</v>
      </c>
      <c r="Q113" s="304">
        <f t="shared" si="28"/>
        <v>0.6</v>
      </c>
      <c r="R113" s="177">
        <f t="shared" si="29"/>
        <v>0.50977309180272568</v>
      </c>
      <c r="S113" s="799">
        <f t="shared" si="30"/>
        <v>-2</v>
      </c>
      <c r="T113" s="176">
        <f t="shared" si="31"/>
        <v>4</v>
      </c>
      <c r="U113" s="250">
        <f t="shared" si="32"/>
        <v>-1.4902269081972743</v>
      </c>
      <c r="V113" s="382">
        <f t="shared" si="33"/>
        <v>54.230330642965328</v>
      </c>
      <c r="W113" s="400">
        <f t="shared" si="34"/>
        <v>33.50442150652799</v>
      </c>
      <c r="X113" s="157">
        <f t="shared" si="35"/>
        <v>46121</v>
      </c>
      <c r="Y113" s="383">
        <f t="shared" si="36"/>
        <v>32.633089842057437</v>
      </c>
      <c r="Z113" s="383">
        <f t="shared" si="37"/>
        <v>34.316792362673695</v>
      </c>
      <c r="AA113" s="384">
        <f t="shared" si="38"/>
        <v>36.859001631226072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6.8971191731863848E-2</v>
      </c>
      <c r="AD113" s="230">
        <f>(INDEX(Models!$BJ113:$BT113,,AH113)*(1-AF113)+INDEX(Models!$BJ113:$BT113,,AH113+1)*AF113-ERP_i)*AE113*Ramure*Pc/MaxiM</f>
        <v>5.7917764438538884E-6</v>
      </c>
      <c r="AE113" s="304">
        <f t="shared" si="40"/>
        <v>0.6</v>
      </c>
      <c r="AF113" s="177">
        <f t="shared" si="41"/>
        <v>3.4760658176704595E-2</v>
      </c>
      <c r="AG113" s="799">
        <f t="shared" si="49"/>
        <v>2</v>
      </c>
      <c r="AH113" s="176">
        <f t="shared" si="42"/>
        <v>8</v>
      </c>
      <c r="AI113" s="224">
        <f t="shared" si="43"/>
        <v>2.0347606581767046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46122</v>
      </c>
      <c r="B114" s="409">
        <f>IF(t&gt;Tmaj,'2025'!Wh/'2025'!Env_an*'2026'!Env_an,0.001*'[6]mon-tableau'!$B$244)</f>
        <v>54.383536829459857</v>
      </c>
      <c r="C114" s="829"/>
      <c r="D114" s="391">
        <f t="shared" si="25"/>
        <v>57.190548539948736</v>
      </c>
      <c r="E114" s="383">
        <f t="shared" si="47"/>
        <v>59.835761516686304</v>
      </c>
      <c r="F114" s="383">
        <f t="shared" si="26"/>
        <v>59.835762306271782</v>
      </c>
      <c r="G114" s="110">
        <f t="shared" si="48"/>
        <v>0.9997125838495986</v>
      </c>
      <c r="H114" s="412" t="b">
        <f>Wh_hp&gt;='2025'!Maxi_hp</f>
        <v>1</v>
      </c>
      <c r="I114" s="388">
        <f>IF(H114,Wh_hp,'2025'!Maxi_hp)</f>
        <v>59.835762306271782</v>
      </c>
      <c r="J114" s="85">
        <f>IF(H114,An,'2025'!An_max)</f>
        <v>2026</v>
      </c>
      <c r="K114" s="197">
        <f t="shared" si="27"/>
        <v>46122</v>
      </c>
      <c r="L114" s="147">
        <f>IF(t&lt;Tvie,1-EXP((T0-t)*PertePVj)+'2025'!Pspv,1-EXP((T0-t)*PertePVj)+Pspv)</f>
        <v>4.9081741339272567E-2</v>
      </c>
      <c r="M114" s="832"/>
      <c r="N114" s="832"/>
      <c r="O114" s="48">
        <f>IF(t&lt;Tnet,'2025'!Resal+('2025'!Salim-'2025'!Resal)*(1-EXP(('2025'!Tnet-t)/('2025'!Tau_j))),Resal+(Salim-Resal)*(1-EXP((Tnet-t)/(Tau_j))))*Salcycl</f>
        <v>4.4207893568796772E-2</v>
      </c>
      <c r="P114" s="169">
        <f>(INDEX(Models!$BJ114:$BT114,,T114)*(1-R114)+INDEX(Models!$BJ114:$BT114,,T114+1)*R114-ERP_i)*Q114*Ramure*Pc/MaxiM</f>
        <v>1.3201299327289108E-8</v>
      </c>
      <c r="Q114" s="304">
        <f t="shared" si="28"/>
        <v>0.6</v>
      </c>
      <c r="R114" s="177">
        <f t="shared" si="29"/>
        <v>0.51118289790906823</v>
      </c>
      <c r="S114" s="799">
        <f t="shared" si="30"/>
        <v>-2</v>
      </c>
      <c r="T114" s="176">
        <f t="shared" si="31"/>
        <v>4</v>
      </c>
      <c r="U114" s="250">
        <f t="shared" si="32"/>
        <v>-1.4888171020909318</v>
      </c>
      <c r="V114" s="382">
        <f t="shared" si="33"/>
        <v>54.39917202977491</v>
      </c>
      <c r="W114" s="400">
        <f t="shared" si="34"/>
        <v>54.383536829459857</v>
      </c>
      <c r="X114" s="157">
        <f t="shared" si="35"/>
        <v>46122</v>
      </c>
      <c r="Y114" s="383">
        <f t="shared" si="36"/>
        <v>52.970227593242825</v>
      </c>
      <c r="Z114" s="383">
        <f t="shared" si="37"/>
        <v>55.704291205687916</v>
      </c>
      <c r="AA114" s="384">
        <f t="shared" si="38"/>
        <v>59.835453813563042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6.9042053574910903E-2</v>
      </c>
      <c r="AD114" s="230">
        <f>(INDEX(Models!$BJ114:$BT114,,AH114)*(1-AF114)+INDEX(Models!$BJ114:$BT114,,AH114+1)*AF114-ERP_i)*AE114*Ramure*Pc/MaxiM</f>
        <v>5.1577754553682751E-6</v>
      </c>
      <c r="AE114" s="304">
        <f t="shared" si="40"/>
        <v>0.6</v>
      </c>
      <c r="AF114" s="177">
        <f t="shared" si="41"/>
        <v>3.6170464283046933E-2</v>
      </c>
      <c r="AG114" s="799">
        <f t="shared" si="49"/>
        <v>2</v>
      </c>
      <c r="AH114" s="176">
        <f t="shared" si="42"/>
        <v>8</v>
      </c>
      <c r="AI114" s="224">
        <f t="shared" si="43"/>
        <v>2.0361704642830469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46123</v>
      </c>
      <c r="B115" s="409">
        <f>IF(t&gt;Tmaj,'2025'!Wh/'2025'!Env_an*'2026'!Env_an,0.001*'[6]mon-tableau'!$B$245)</f>
        <v>45.485189411893479</v>
      </c>
      <c r="C115" s="829"/>
      <c r="D115" s="391">
        <f t="shared" si="25"/>
        <v>47.833828751948417</v>
      </c>
      <c r="E115" s="383">
        <f t="shared" si="47"/>
        <v>50.051188864514174</v>
      </c>
      <c r="F115" s="383">
        <f t="shared" si="26"/>
        <v>50.051189364862495</v>
      </c>
      <c r="G115" s="110">
        <f t="shared" si="48"/>
        <v>0.83364414095997152</v>
      </c>
      <c r="H115" s="412" t="b">
        <f>Wh_hp&gt;='2025'!Maxi_hp</f>
        <v>0</v>
      </c>
      <c r="I115" s="388">
        <f>IF(H115,Wh_hp,'2025'!Maxi_hp)</f>
        <v>61.040326499043537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4.9099965470760454E-2</v>
      </c>
      <c r="M115" s="832"/>
      <c r="N115" s="832"/>
      <c r="O115" s="48">
        <f>IF(t&lt;Tnet,'2025'!Resal+('2025'!Salim-'2025'!Resal)*(1-EXP(('2025'!Tnet-t)/('2025'!Tau_j))),Resal+(Salim-Resal)*(1-EXP((Tnet-t)/(Tau_j))))*Salcycl</f>
        <v>4.4301847026411961E-2</v>
      </c>
      <c r="P115" s="169">
        <f>(INDEX(Models!$BJ115:$BT115,,T115)*(1-R115)+INDEX(Models!$BJ115:$BT115,,T115+1)*R115-ERP_i)*Q115*Ramure*Pc/MaxiM</f>
        <v>1.3113068781060173E-8</v>
      </c>
      <c r="Q115" s="304">
        <f t="shared" si="28"/>
        <v>0.6</v>
      </c>
      <c r="R115" s="177">
        <f t="shared" si="29"/>
        <v>0.51264277337496544</v>
      </c>
      <c r="S115" s="799">
        <f t="shared" si="30"/>
        <v>-2</v>
      </c>
      <c r="T115" s="176">
        <f t="shared" si="31"/>
        <v>4</v>
      </c>
      <c r="U115" s="250">
        <f t="shared" si="32"/>
        <v>-1.4873572266250346</v>
      </c>
      <c r="V115" s="382">
        <f t="shared" si="33"/>
        <v>54.561877227096517</v>
      </c>
      <c r="W115" s="400">
        <f t="shared" si="34"/>
        <v>45.485189411893479</v>
      </c>
      <c r="X115" s="157">
        <f t="shared" si="35"/>
        <v>46123</v>
      </c>
      <c r="Y115" s="383">
        <f t="shared" si="36"/>
        <v>44.304147197646756</v>
      </c>
      <c r="Z115" s="383">
        <f t="shared" si="37"/>
        <v>46.591803122165551</v>
      </c>
      <c r="AA115" s="384">
        <f t="shared" si="38"/>
        <v>50.051015261222418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6.9113725685739189E-2</v>
      </c>
      <c r="AD115" s="230">
        <f>(INDEX(Models!$BJ115:$BT115,,AH115)*(1-AF115)+INDEX(Models!$BJ115:$BT115,,AH115+1)*AF115-ERP_i)*AE115*Ramure*Pc/MaxiM</f>
        <v>4.5628872936027786E-6</v>
      </c>
      <c r="AE115" s="304">
        <f t="shared" si="40"/>
        <v>0.6</v>
      </c>
      <c r="AF115" s="177">
        <f t="shared" si="41"/>
        <v>3.7630339748944142E-2</v>
      </c>
      <c r="AG115" s="799">
        <f t="shared" si="49"/>
        <v>2</v>
      </c>
      <c r="AH115" s="176">
        <f t="shared" si="42"/>
        <v>8</v>
      </c>
      <c r="AI115" s="224">
        <f t="shared" si="43"/>
        <v>2.0376303397489441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46124</v>
      </c>
      <c r="B116" s="409">
        <f>IF(t&gt;Tmaj,'2025'!Wh/'2025'!Env_an*'2026'!Env_an,0.001*'[6]mon-tableau'!$B$246)</f>
        <v>37.819166983719221</v>
      </c>
      <c r="C116" s="829"/>
      <c r="D116" s="391">
        <f t="shared" si="25"/>
        <v>39.772731538537343</v>
      </c>
      <c r="E116" s="383">
        <f t="shared" si="47"/>
        <v>41.620529086358374</v>
      </c>
      <c r="F116" s="383">
        <f t="shared" si="26"/>
        <v>41.620529384603721</v>
      </c>
      <c r="G116" s="110">
        <f t="shared" si="48"/>
        <v>0.69115811924198767</v>
      </c>
      <c r="H116" s="412" t="b">
        <f>Wh_hp&gt;='2025'!Maxi_hp</f>
        <v>0</v>
      </c>
      <c r="I116" s="388">
        <f>IF(H116,Wh_hp,'2025'!Maxi_hp)</f>
        <v>60.002961591028409</v>
      </c>
      <c r="J116" s="85">
        <f>IF(H116,An,'2025'!An_max)</f>
        <v>2020</v>
      </c>
      <c r="K116" s="197">
        <f t="shared" si="27"/>
        <v>46124</v>
      </c>
      <c r="L116" s="147">
        <f>IF(t&lt;Tvie,1-EXP((T0-t)*PertePVj)+'2025'!Pspv,1-EXP((T0-t)*PertePVj)+Pspv)</f>
        <v>4.9118189252987055E-2</v>
      </c>
      <c r="M116" s="832"/>
      <c r="N116" s="832"/>
      <c r="O116" s="48">
        <f>IF(t&lt;Tnet,'2025'!Resal+('2025'!Salim-'2025'!Resal)*(1-EXP(('2025'!Tnet-t)/('2025'!Tau_j))),Resal+(Salim-Resal)*(1-EXP((Tnet-t)/(Tau_j))))*Salcycl</f>
        <v>4.4396301257656791E-2</v>
      </c>
      <c r="P116" s="169">
        <f>(INDEX(Models!$BJ116:$BT116,,T116)*(1-R116)+INDEX(Models!$BJ116:$BT116,,T116+1)*R116-ERP_i)*Q116*Ramure*Pc/MaxiM</f>
        <v>1.282365331847117E-8</v>
      </c>
      <c r="Q116" s="304">
        <f t="shared" si="28"/>
        <v>0.6</v>
      </c>
      <c r="R116" s="177">
        <f t="shared" si="29"/>
        <v>0.5141541342435938</v>
      </c>
      <c r="S116" s="799">
        <f t="shared" si="30"/>
        <v>-2</v>
      </c>
      <c r="T116" s="176">
        <f t="shared" si="31"/>
        <v>4</v>
      </c>
      <c r="U116" s="250">
        <f t="shared" si="32"/>
        <v>-1.4858458657564062</v>
      </c>
      <c r="V116" s="382">
        <f t="shared" si="33"/>
        <v>54.718545173457727</v>
      </c>
      <c r="W116" s="400">
        <f t="shared" si="34"/>
        <v>37.819166983719221</v>
      </c>
      <c r="X116" s="157">
        <f t="shared" si="35"/>
        <v>46124</v>
      </c>
      <c r="Y116" s="383">
        <f t="shared" si="36"/>
        <v>36.837993607716271</v>
      </c>
      <c r="Z116" s="383">
        <f t="shared" si="37"/>
        <v>38.74087525007586</v>
      </c>
      <c r="AA116" s="384">
        <f t="shared" si="38"/>
        <v>41.620436198778158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6.9186227048404436E-2</v>
      </c>
      <c r="AD116" s="230">
        <f>(INDEX(Models!$BJ116:$BT116,,AH116)*(1-AF116)+INDEX(Models!$BJ116:$BT116,,AH116+1)*AF116-ERP_i)*AE116*Ramure*Pc/MaxiM</f>
        <v>4.0067103110430258E-6</v>
      </c>
      <c r="AE116" s="304">
        <f t="shared" si="40"/>
        <v>0.6</v>
      </c>
      <c r="AF116" s="177">
        <f t="shared" si="41"/>
        <v>3.9141700617572273E-2</v>
      </c>
      <c r="AG116" s="799">
        <f t="shared" si="49"/>
        <v>2</v>
      </c>
      <c r="AH116" s="176">
        <f t="shared" si="42"/>
        <v>8</v>
      </c>
      <c r="AI116" s="224">
        <f t="shared" si="43"/>
        <v>2.0391417006175723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46125</v>
      </c>
      <c r="B117" s="409">
        <f>IF(t&gt;Tmaj,'2025'!Wh/'2025'!Env_an*'2026'!Env_an,0.001*'[6]mon-tableau'!$B$247)</f>
        <v>7.6737954968407829</v>
      </c>
      <c r="C117" s="829"/>
      <c r="D117" s="391">
        <f t="shared" si="25"/>
        <v>8.0703432113931228</v>
      </c>
      <c r="E117" s="383">
        <f t="shared" si="47"/>
        <v>8.4461218984514268</v>
      </c>
      <c r="F117" s="383">
        <f t="shared" si="26"/>
        <v>8.4461218984514268</v>
      </c>
      <c r="G117" s="110">
        <f t="shared" si="48"/>
        <v>0.13985596547905477</v>
      </c>
      <c r="H117" s="412" t="b">
        <f>Wh_hp&gt;='2025'!Maxi_hp</f>
        <v>0</v>
      </c>
      <c r="I117" s="388">
        <f>IF(H117,Wh_hp,'2025'!Maxi_hp)</f>
        <v>59.530054657867453</v>
      </c>
      <c r="J117" s="85">
        <f>IF(H117,An,'2025'!An_max)</f>
        <v>2018</v>
      </c>
      <c r="K117" s="197">
        <f t="shared" si="27"/>
        <v>46125</v>
      </c>
      <c r="L117" s="147">
        <f>IF(t&lt;Tvie,1-EXP((T0-t)*PertePVj)+'2025'!Pspv,1-EXP((T0-t)*PertePVj)+Pspv)</f>
        <v>4.913641268595903E-2</v>
      </c>
      <c r="M117" s="832"/>
      <c r="N117" s="832"/>
      <c r="O117" s="48">
        <f>IF(t&lt;Tnet,'2025'!Resal+('2025'!Salim-'2025'!Resal)*(1-EXP(('2025'!Tnet-t)/('2025'!Tau_j))),Resal+(Salim-Resal)*(1-EXP((Tnet-t)/(Tau_j))))*Salcycl</f>
        <v>4.4491269671019323E-2</v>
      </c>
      <c r="P117" s="169">
        <f>(INDEX(Models!$BJ117:$BT117,,T117)*(1-R117)+INDEX(Models!$BJ117:$BT117,,T117+1)*R117-ERP_i)*Q117*Ramure*Pc/MaxiM</f>
        <v>1.2350688201205049E-8</v>
      </c>
      <c r="Q117" s="304">
        <f t="shared" si="28"/>
        <v>0.6</v>
      </c>
      <c r="R117" s="177">
        <f t="shared" si="29"/>
        <v>0.51571840817651537</v>
      </c>
      <c r="S117" s="799">
        <f t="shared" si="30"/>
        <v>-2</v>
      </c>
      <c r="T117" s="176">
        <f t="shared" si="31"/>
        <v>4</v>
      </c>
      <c r="U117" s="250">
        <f t="shared" si="32"/>
        <v>-1.4842815918234846</v>
      </c>
      <c r="V117" s="382">
        <f t="shared" si="33"/>
        <v>54.869274798388027</v>
      </c>
      <c r="W117" s="400">
        <f t="shared" si="34"/>
        <v>7.6737954968407829</v>
      </c>
      <c r="X117" s="157">
        <f t="shared" si="35"/>
        <v>46125</v>
      </c>
      <c r="Y117" s="383">
        <f t="shared" si="36"/>
        <v>7.4748785123177441</v>
      </c>
      <c r="Z117" s="383">
        <f t="shared" si="37"/>
        <v>7.8611470793959661</v>
      </c>
      <c r="AA117" s="384">
        <f t="shared" si="38"/>
        <v>8.4461218984514268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6.925957570689506E-2</v>
      </c>
      <c r="AD117" s="230">
        <f>(INDEX(Models!$BJ117:$BT117,,AH117)*(1-AF117)+INDEX(Models!$BJ117:$BT117,,AH117+1)*AF117-ERP_i)*AE117*Ramure*Pc/MaxiM</f>
        <v>3.4889227603612673E-6</v>
      </c>
      <c r="AE117" s="304">
        <f t="shared" si="40"/>
        <v>0.6</v>
      </c>
      <c r="AF117" s="177">
        <f t="shared" si="41"/>
        <v>4.0705974550494073E-2</v>
      </c>
      <c r="AG117" s="799">
        <f t="shared" si="49"/>
        <v>2</v>
      </c>
      <c r="AH117" s="176">
        <f t="shared" si="42"/>
        <v>8</v>
      </c>
      <c r="AI117" s="224">
        <f t="shared" si="43"/>
        <v>2.0407059745504941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46126</v>
      </c>
      <c r="B118" s="409">
        <f>IF(t&gt;Tmaj,'2025'!Wh/'2025'!Env_an*'2026'!Env_an,0.001*'[6]mon-tableau'!$B$248)</f>
        <v>39.735153712132742</v>
      </c>
      <c r="C118" s="829"/>
      <c r="D118" s="391">
        <f t="shared" si="25"/>
        <v>41.789291094979731</v>
      </c>
      <c r="E118" s="383">
        <f t="shared" si="47"/>
        <v>43.739493621800662</v>
      </c>
      <c r="F118" s="383">
        <f t="shared" si="26"/>
        <v>43.739493930867958</v>
      </c>
      <c r="G118" s="110">
        <f t="shared" si="48"/>
        <v>0.72227131872122474</v>
      </c>
      <c r="H118" s="412" t="b">
        <f>Wh_hp&gt;='2025'!Maxi_hp</f>
        <v>0</v>
      </c>
      <c r="I118" s="388">
        <f>IF(H118,Wh_hp,'2025'!Maxi_hp)</f>
        <v>58.540655243985405</v>
      </c>
      <c r="J118" s="85">
        <f>IF(H118,An,'2025'!An_max)</f>
        <v>2021</v>
      </c>
      <c r="K118" s="197">
        <f t="shared" si="27"/>
        <v>46126</v>
      </c>
      <c r="L118" s="147">
        <f>IF(t&lt;Tvie,1-EXP((T0-t)*PertePVj)+'2025'!Pspv,1-EXP((T0-t)*PertePVj)+Pspv)</f>
        <v>4.9154635769683042E-2</v>
      </c>
      <c r="M118" s="832"/>
      <c r="N118" s="832"/>
      <c r="O118" s="48">
        <f>IF(t&lt;Tnet,'2025'!Resal+('2025'!Salim-'2025'!Resal)*(1-EXP(('2025'!Tnet-t)/('2025'!Tau_j))),Resal+(Salim-Resal)*(1-EXP((Tnet-t)/(Tau_j))))*Salcycl</f>
        <v>4.4586765079715221E-2</v>
      </c>
      <c r="P118" s="169">
        <f>(INDEX(Models!$BJ118:$BT118,,T118)*(1-R118)+INDEX(Models!$BJ118:$BT118,,T118+1)*R118-ERP_i)*Q118*Ramure*Pc/MaxiM</f>
        <v>1.1713474823987165E-8</v>
      </c>
      <c r="Q118" s="304">
        <f t="shared" si="28"/>
        <v>0.6</v>
      </c>
      <c r="R118" s="177">
        <f t="shared" si="29"/>
        <v>0.51733703205607884</v>
      </c>
      <c r="S118" s="799">
        <f t="shared" si="30"/>
        <v>-2</v>
      </c>
      <c r="T118" s="176">
        <f t="shared" si="31"/>
        <v>4</v>
      </c>
      <c r="U118" s="250">
        <f t="shared" si="32"/>
        <v>-1.4826629679439212</v>
      </c>
      <c r="V118" s="382">
        <f t="shared" si="33"/>
        <v>55.014165034019392</v>
      </c>
      <c r="W118" s="400">
        <f t="shared" si="34"/>
        <v>39.735153712132742</v>
      </c>
      <c r="X118" s="157">
        <f t="shared" si="35"/>
        <v>46126</v>
      </c>
      <c r="Y118" s="383">
        <f t="shared" si="36"/>
        <v>38.705867511906916</v>
      </c>
      <c r="Z118" s="383">
        <f t="shared" si="37"/>
        <v>40.706795203485321</v>
      </c>
      <c r="AA118" s="384">
        <f t="shared" si="38"/>
        <v>43.739414529067076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6.9333788717414677E-2</v>
      </c>
      <c r="AD118" s="230">
        <f>(INDEX(Models!$BJ118:$BT118,,AH118)*(1-AF118)+INDEX(Models!$BJ118:$BT118,,AH118+1)*AF118-ERP_i)*AE118*Ramure*Pc/MaxiM</f>
        <v>3.009283131805868E-6</v>
      </c>
      <c r="AE118" s="304">
        <f t="shared" si="40"/>
        <v>0.6</v>
      </c>
      <c r="AF118" s="177">
        <f t="shared" si="41"/>
        <v>4.2324598430057758E-2</v>
      </c>
      <c r="AG118" s="799">
        <f t="shared" si="49"/>
        <v>2</v>
      </c>
      <c r="AH118" s="176">
        <f t="shared" si="42"/>
        <v>8</v>
      </c>
      <c r="AI118" s="224">
        <f t="shared" si="43"/>
        <v>2.0423245984300578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46127</v>
      </c>
      <c r="B119" s="409">
        <f>IF(t&gt;Tmaj,'2025'!Wh/'2025'!Env_an*'2026'!Env_an,0.001*'[6]mon-tableau'!$B$249)</f>
        <v>42.820132998946029</v>
      </c>
      <c r="C119" s="829"/>
      <c r="D119" s="391">
        <f t="shared" si="25"/>
        <v>45.034613685492523</v>
      </c>
      <c r="E119" s="383">
        <f t="shared" si="47"/>
        <v>47.141005803904186</v>
      </c>
      <c r="F119" s="383">
        <f t="shared" si="26"/>
        <v>47.141006154659316</v>
      </c>
      <c r="G119" s="110">
        <f t="shared" si="48"/>
        <v>0.77638366793153757</v>
      </c>
      <c r="H119" s="412" t="b">
        <f>Wh_hp&gt;='2025'!Maxi_hp</f>
        <v>0</v>
      </c>
      <c r="I119" s="388">
        <f>IF(H119,Wh_hp,'2025'!Maxi_hp)</f>
        <v>59.383919600806216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4.9172858504165862E-2</v>
      </c>
      <c r="M119" s="832"/>
      <c r="N119" s="832"/>
      <c r="O119" s="48">
        <f>IF(t&lt;Tnet,'2025'!Resal+('2025'!Salim-'2025'!Resal)*(1-EXP(('2025'!Tnet-t)/('2025'!Tau_j))),Resal+(Salim-Resal)*(1-EXP((Tnet-t)/(Tau_j))))*Salcycl</f>
        <v>4.468279966646814E-2</v>
      </c>
      <c r="P119" s="169">
        <f>(INDEX(Models!$BJ119:$BT119,,T119)*(1-R119)+INDEX(Models!$BJ119:$BT119,,T119+1)*R119-ERP_i)*Q119*Ramure*Pc/MaxiM</f>
        <v>1.0933176510095261E-8</v>
      </c>
      <c r="Q119" s="304">
        <f t="shared" si="28"/>
        <v>0.6</v>
      </c>
      <c r="R119" s="177">
        <f t="shared" si="29"/>
        <v>0.51901144936561039</v>
      </c>
      <c r="S119" s="799">
        <f t="shared" si="30"/>
        <v>-2</v>
      </c>
      <c r="T119" s="176">
        <f t="shared" si="31"/>
        <v>4</v>
      </c>
      <c r="U119" s="250">
        <f t="shared" si="32"/>
        <v>-1.4809885506343896</v>
      </c>
      <c r="V119" s="382">
        <f t="shared" si="33"/>
        <v>55.15331480822357</v>
      </c>
      <c r="W119" s="400">
        <f t="shared" si="34"/>
        <v>42.820132998946029</v>
      </c>
      <c r="X119" s="157">
        <f t="shared" si="35"/>
        <v>46127</v>
      </c>
      <c r="Y119" s="383">
        <f t="shared" si="36"/>
        <v>41.711764520120241</v>
      </c>
      <c r="Z119" s="383">
        <f t="shared" si="37"/>
        <v>43.868924959903445</v>
      </c>
      <c r="AA119" s="384">
        <f t="shared" si="38"/>
        <v>47.140923780650347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6.9408882099377595E-2</v>
      </c>
      <c r="AD119" s="230">
        <f>(INDEX(Models!$BJ119:$BT119,,AH119)*(1-AF119)+INDEX(Models!$BJ119:$BT119,,AH119+1)*AF119-ERP_i)*AE119*Ramure*Pc/MaxiM</f>
        <v>2.5676305160659902E-6</v>
      </c>
      <c r="AE119" s="304">
        <f t="shared" si="40"/>
        <v>0.6</v>
      </c>
      <c r="AF119" s="177">
        <f t="shared" si="41"/>
        <v>4.3999015739589087E-2</v>
      </c>
      <c r="AG119" s="799">
        <f t="shared" si="49"/>
        <v>2</v>
      </c>
      <c r="AH119" s="176">
        <f t="shared" si="42"/>
        <v>8</v>
      </c>
      <c r="AI119" s="224">
        <f t="shared" si="43"/>
        <v>2.0439990157395891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46128</v>
      </c>
      <c r="B120" s="409">
        <f>IF(t&gt;Tmaj,'2025'!Wh/'2025'!Env_an*'2026'!Env_an,0.001*'[6]mon-tableau'!$B$250)</f>
        <v>41.291623615655347</v>
      </c>
      <c r="C120" s="829"/>
      <c r="D120" s="391">
        <f t="shared" si="25"/>
        <v>43.427888386113082</v>
      </c>
      <c r="E120" s="383">
        <f t="shared" si="47"/>
        <v>45.463726077256695</v>
      </c>
      <c r="F120" s="383">
        <f t="shared" si="26"/>
        <v>45.46372636844395</v>
      </c>
      <c r="G120" s="110">
        <f t="shared" si="48"/>
        <v>0.74686193170516968</v>
      </c>
      <c r="H120" s="412" t="b">
        <f>Wh_hp&gt;='2025'!Maxi_hp</f>
        <v>0</v>
      </c>
      <c r="I120" s="388">
        <f>IF(H120,Wh_hp,'2025'!Maxi_hp)</f>
        <v>56.502985475141656</v>
      </c>
      <c r="J120" s="85">
        <f>IF(H120,An,'2025'!An_max)</f>
        <v>2020</v>
      </c>
      <c r="K120" s="197">
        <f t="shared" si="27"/>
        <v>46128</v>
      </c>
      <c r="L120" s="147">
        <f>IF(t&lt;Tvie,1-EXP((T0-t)*PertePVj)+'2025'!Pspv,1-EXP((T0-t)*PertePVj)+Pspv)</f>
        <v>4.9191080889414041E-2</v>
      </c>
      <c r="M120" s="832"/>
      <c r="N120" s="832"/>
      <c r="O120" s="48">
        <f>IF(t&lt;Tnet,'2025'!Resal+('2025'!Salim-'2025'!Resal)*(1-EXP(('2025'!Tnet-t)/('2025'!Tau_j))),Resal+(Salim-Resal)*(1-EXP((Tnet-t)/(Tau_j))))*Salcycl</f>
        <v>4.4779384947113782E-2</v>
      </c>
      <c r="P120" s="169">
        <f>(INDEX(Models!$BJ120:$BT120,,T120)*(1-R120)+INDEX(Models!$BJ120:$BT120,,T120+1)*R120-ERP_i)*Q120*Ramure*Pc/MaxiM</f>
        <v>1.003302785215328E-8</v>
      </c>
      <c r="Q120" s="304">
        <f t="shared" si="28"/>
        <v>0.6</v>
      </c>
      <c r="R120" s="177">
        <f t="shared" si="29"/>
        <v>0.52074310733925278</v>
      </c>
      <c r="S120" s="799">
        <f t="shared" si="30"/>
        <v>-2</v>
      </c>
      <c r="T120" s="176">
        <f t="shared" si="31"/>
        <v>4</v>
      </c>
      <c r="U120" s="250">
        <f t="shared" si="32"/>
        <v>-1.4792568926607472</v>
      </c>
      <c r="V120" s="382">
        <f t="shared" si="33"/>
        <v>55.286823056528789</v>
      </c>
      <c r="W120" s="400">
        <f t="shared" si="34"/>
        <v>41.291623615655347</v>
      </c>
      <c r="X120" s="157">
        <f t="shared" si="35"/>
        <v>46128</v>
      </c>
      <c r="Y120" s="383">
        <f t="shared" si="36"/>
        <v>40.22361646015073</v>
      </c>
      <c r="Z120" s="383">
        <f t="shared" si="37"/>
        <v>42.304626777982961</v>
      </c>
      <c r="AA120" s="384">
        <f t="shared" si="38"/>
        <v>45.463663566292489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6.9484870784845637E-2</v>
      </c>
      <c r="AD120" s="230">
        <f>(INDEX(Models!$BJ120:$BT120,,AH120)*(1-AF120)+INDEX(Models!$BJ120:$BT120,,AH120+1)*AF120-ERP_i)*AE120*Ramure*Pc/MaxiM</f>
        <v>2.1638849762232464E-6</v>
      </c>
      <c r="AE120" s="304">
        <f t="shared" si="40"/>
        <v>0.6</v>
      </c>
      <c r="AF120" s="177">
        <f t="shared" si="41"/>
        <v>4.5730673713231251E-2</v>
      </c>
      <c r="AG120" s="799">
        <f t="shared" si="49"/>
        <v>2</v>
      </c>
      <c r="AH120" s="176">
        <f t="shared" si="42"/>
        <v>8</v>
      </c>
      <c r="AI120" s="224">
        <f t="shared" si="43"/>
        <v>2.0457306737132313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46129</v>
      </c>
      <c r="B121" s="409">
        <f>IF(t&gt;Tmaj,'2025'!Wh/'2025'!Env_an*'2026'!Env_an,0.001*'[6]mon-tableau'!$B$251)</f>
        <v>53.310872022305119</v>
      </c>
      <c r="C121" s="829"/>
      <c r="D121" s="391">
        <f t="shared" si="25"/>
        <v>56.070039585299213</v>
      </c>
      <c r="E121" s="383">
        <f t="shared" si="47"/>
        <v>58.70449365779556</v>
      </c>
      <c r="F121" s="383">
        <f t="shared" si="26"/>
        <v>58.704494159649528</v>
      </c>
      <c r="G121" s="110">
        <f t="shared" si="48"/>
        <v>0.96205593651015131</v>
      </c>
      <c r="H121" s="412" t="b">
        <f>Wh_hp&gt;='2025'!Maxi_hp</f>
        <v>1</v>
      </c>
      <c r="I121" s="388">
        <f>IF(H121,Wh_hp,'2025'!Maxi_hp)</f>
        <v>58.704494159649528</v>
      </c>
      <c r="J121" s="85">
        <f>IF(H121,An,'2025'!An_max)</f>
        <v>2026</v>
      </c>
      <c r="K121" s="197">
        <f t="shared" si="27"/>
        <v>46129</v>
      </c>
      <c r="L121" s="147">
        <f>IF(t&lt;Tvie,1-EXP((T0-t)*PertePVj)+'2025'!Pspv,1-EXP((T0-t)*PertePVj)+Pspv)</f>
        <v>4.9209302925434462E-2</v>
      </c>
      <c r="M121" s="832"/>
      <c r="N121" s="832"/>
      <c r="O121" s="48">
        <f>IF(t&lt;Tnet,'2025'!Resal+('2025'!Salim-'2025'!Resal)*(1-EXP(('2025'!Tnet-t)/('2025'!Tau_j))),Resal+(Salim-Resal)*(1-EXP((Tnet-t)/(Tau_j))))*Salcycl</f>
        <v>4.487653173287371E-2</v>
      </c>
      <c r="P121" s="169">
        <f>(INDEX(Models!$BJ121:$BT121,,T121)*(1-R121)+INDEX(Models!$BJ121:$BT121,,T121+1)*R121-ERP_i)*Q121*Ramure*Pc/MaxiM</f>
        <v>9.0387706804419931E-9</v>
      </c>
      <c r="Q121" s="304">
        <f t="shared" si="28"/>
        <v>0.6</v>
      </c>
      <c r="R121" s="177">
        <f t="shared" si="29"/>
        <v>0.52253345387392947</v>
      </c>
      <c r="S121" s="799">
        <f t="shared" si="30"/>
        <v>-2</v>
      </c>
      <c r="T121" s="176">
        <f t="shared" si="31"/>
        <v>4</v>
      </c>
      <c r="U121" s="250">
        <f t="shared" si="32"/>
        <v>-1.4774665461260705</v>
      </c>
      <c r="V121" s="382">
        <f t="shared" si="33"/>
        <v>55.413484780905698</v>
      </c>
      <c r="W121" s="400">
        <f t="shared" si="34"/>
        <v>53.310872022305119</v>
      </c>
      <c r="X121" s="157">
        <f t="shared" si="35"/>
        <v>46129</v>
      </c>
      <c r="Y121" s="383">
        <f t="shared" si="36"/>
        <v>51.932960708777578</v>
      </c>
      <c r="Z121" s="383">
        <f t="shared" si="37"/>
        <v>54.620812833536533</v>
      </c>
      <c r="AA121" s="384">
        <f t="shared" si="38"/>
        <v>58.704394325418924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6.9561768566177073E-2</v>
      </c>
      <c r="AD121" s="230">
        <f>(INDEX(Models!$BJ121:$BT121,,AH121)*(1-AF121)+INDEX(Models!$BJ121:$BT121,,AH121+1)*AF121-ERP_i)*AE121*Ramure*Pc/MaxiM</f>
        <v>1.7980902274157492E-6</v>
      </c>
      <c r="AE121" s="304">
        <f t="shared" si="40"/>
        <v>0.6</v>
      </c>
      <c r="AF121" s="177">
        <f t="shared" si="41"/>
        <v>4.7521020247908385E-2</v>
      </c>
      <c r="AG121" s="799">
        <f t="shared" si="49"/>
        <v>2</v>
      </c>
      <c r="AH121" s="176">
        <f t="shared" si="42"/>
        <v>8</v>
      </c>
      <c r="AI121" s="224">
        <f t="shared" si="43"/>
        <v>2.0475210202479084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46130</v>
      </c>
      <c r="B122" s="409">
        <f>IF(t&gt;Tmaj,'2025'!Wh/'2025'!Env_an*'2026'!Env_an,0.001*'[6]mon-tableau'!$B$252)</f>
        <v>35.40431305872869</v>
      </c>
      <c r="C122" s="829"/>
      <c r="D122" s="391">
        <f t="shared" si="25"/>
        <v>37.237419020033443</v>
      </c>
      <c r="E122" s="383">
        <f t="shared" si="47"/>
        <v>38.991010476511711</v>
      </c>
      <c r="F122" s="383">
        <f t="shared" si="26"/>
        <v>38.991010627758776</v>
      </c>
      <c r="G122" s="110">
        <f t="shared" si="48"/>
        <v>0.63754386128149476</v>
      </c>
      <c r="H122" s="412" t="b">
        <f>Wh_hp&gt;='2025'!Maxi_hp</f>
        <v>0</v>
      </c>
      <c r="I122" s="388">
        <f>IF(H122,Wh_hp,'2025'!Maxi_hp)</f>
        <v>44.767493272933869</v>
      </c>
      <c r="J122" s="85">
        <f>IF(H122,An,'2025'!An_max)</f>
        <v>2021</v>
      </c>
      <c r="K122" s="197">
        <f t="shared" si="27"/>
        <v>46130</v>
      </c>
      <c r="L122" s="147">
        <f>IF(t&lt;Tvie,1-EXP((T0-t)*PertePVj)+'2025'!Pspv,1-EXP((T0-t)*PertePVj)+Pspv)</f>
        <v>4.9227524612233675E-2</v>
      </c>
      <c r="M122" s="832"/>
      <c r="N122" s="832"/>
      <c r="O122" s="48">
        <f>IF(t&lt;Tnet,'2025'!Resal+('2025'!Salim-'2025'!Resal)*(1-EXP(('2025'!Tnet-t)/('2025'!Tau_j))),Resal+(Salim-Resal)*(1-EXP((Tnet-t)/(Tau_j))))*Salcycl</f>
        <v>4.4974250091175123E-2</v>
      </c>
      <c r="P122" s="169">
        <f>(INDEX(Models!$BJ122:$BT122,,T122)*(1-R122)+INDEX(Models!$BJ122:$BT122,,T122+1)*R122-ERP_i)*Q122*Ramure*Pc/MaxiM</f>
        <v>8.0443376666587525E-9</v>
      </c>
      <c r="Q122" s="304">
        <f t="shared" si="28"/>
        <v>0.6</v>
      </c>
      <c r="R122" s="177">
        <f t="shared" si="29"/>
        <v>0.52438393419665252</v>
      </c>
      <c r="S122" s="799">
        <f t="shared" si="30"/>
        <v>-2</v>
      </c>
      <c r="T122" s="176">
        <f t="shared" si="31"/>
        <v>4</v>
      </c>
      <c r="U122" s="250">
        <f t="shared" si="32"/>
        <v>-1.4756160658033475</v>
      </c>
      <c r="V122" s="382">
        <f t="shared" si="33"/>
        <v>55.532356377950521</v>
      </c>
      <c r="W122" s="400">
        <f t="shared" si="34"/>
        <v>35.40431305872869</v>
      </c>
      <c r="X122" s="157">
        <f t="shared" si="35"/>
        <v>46130</v>
      </c>
      <c r="Y122" s="383">
        <f t="shared" si="36"/>
        <v>34.489905500908812</v>
      </c>
      <c r="Z122" s="383">
        <f t="shared" si="37"/>
        <v>36.275666780154033</v>
      </c>
      <c r="AA122" s="384">
        <f t="shared" si="38"/>
        <v>38.990982756669787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6.9639588041706238E-2</v>
      </c>
      <c r="AD122" s="230">
        <f>(INDEX(Models!$BJ122:$BT122,,AH122)*(1-AF122)+INDEX(Models!$BJ122:$BT122,,AH122+1)*AF122-ERP_i)*AE122*Ramure*Pc/MaxiM</f>
        <v>1.4823722227268731E-6</v>
      </c>
      <c r="AE122" s="304">
        <f t="shared" si="40"/>
        <v>0.6</v>
      </c>
      <c r="AF122" s="177">
        <f t="shared" si="41"/>
        <v>4.9371500570631E-2</v>
      </c>
      <c r="AG122" s="799">
        <f t="shared" si="49"/>
        <v>2</v>
      </c>
      <c r="AH122" s="176">
        <f t="shared" si="42"/>
        <v>8</v>
      </c>
      <c r="AI122" s="224">
        <f t="shared" si="43"/>
        <v>2.049371500570631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46131</v>
      </c>
      <c r="B123" s="409">
        <f>IF(t&gt;Tmaj,'2025'!Wh/'2025'!Env_an*'2026'!Env_an,0.001*'[6]mon-tableau'!$B$253)</f>
        <v>8.9345504389599117</v>
      </c>
      <c r="C123" s="829"/>
      <c r="D123" s="391">
        <f t="shared" si="25"/>
        <v>9.3973289111240081</v>
      </c>
      <c r="E123" s="383">
        <f t="shared" si="47"/>
        <v>9.8408825762458445</v>
      </c>
      <c r="F123" s="383">
        <f t="shared" si="26"/>
        <v>9.8408825762458445</v>
      </c>
      <c r="G123" s="110">
        <f t="shared" si="48"/>
        <v>0.16056649081816074</v>
      </c>
      <c r="H123" s="412" t="b">
        <f>Wh_hp&gt;='2025'!Maxi_hp</f>
        <v>0</v>
      </c>
      <c r="I123" s="388">
        <f>IF(H123,Wh_hp,'2025'!Maxi_hp)</f>
        <v>58.622323149510997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4.9245745949818454E-2</v>
      </c>
      <c r="M123" s="832"/>
      <c r="N123" s="832"/>
      <c r="O123" s="48">
        <f>IF(t&lt;Tnet,'2025'!Resal+('2025'!Salim-'2025'!Resal)*(1-EXP(('2025'!Tnet-t)/('2025'!Tau_j))),Resal+(Salim-Resal)*(1-EXP((Tnet-t)/(Tau_j))))*Salcycl</f>
        <v>4.5072549304926886E-2</v>
      </c>
      <c r="P123" s="169">
        <f>(INDEX(Models!$BJ123:$BT123,,T123)*(1-R123)+INDEX(Models!$BJ123:$BT123,,T123+1)*R123-ERP_i)*Q123*Ramure*Pc/MaxiM</f>
        <v>7.0231005351209018E-9</v>
      </c>
      <c r="Q123" s="304">
        <f t="shared" si="28"/>
        <v>0.6</v>
      </c>
      <c r="R123" s="177">
        <f t="shared" si="29"/>
        <v>0.52629598728128935</v>
      </c>
      <c r="S123" s="799">
        <f t="shared" si="30"/>
        <v>-2</v>
      </c>
      <c r="T123" s="176">
        <f t="shared" si="31"/>
        <v>4</v>
      </c>
      <c r="U123" s="250">
        <f t="shared" si="32"/>
        <v>-1.4737040127187107</v>
      </c>
      <c r="V123" s="382">
        <f t="shared" si="33"/>
        <v>55.643928759269677</v>
      </c>
      <c r="W123" s="400">
        <f t="shared" si="34"/>
        <v>8.9345504389599117</v>
      </c>
      <c r="X123" s="157">
        <f t="shared" si="35"/>
        <v>46131</v>
      </c>
      <c r="Y123" s="383">
        <f t="shared" si="36"/>
        <v>8.7039579840983006</v>
      </c>
      <c r="Z123" s="383">
        <f t="shared" si="37"/>
        <v>9.1547925733907878</v>
      </c>
      <c r="AA123" s="384">
        <f t="shared" si="38"/>
        <v>9.8408825762458445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6.9718340559327269E-2</v>
      </c>
      <c r="AD123" s="230">
        <f>(INDEX(Models!$BJ123:$BT123,,AH123)*(1-AF123)+INDEX(Models!$BJ123:$BT123,,AH123+1)*AF123-ERP_i)*AE123*Ramure*Pc/MaxiM</f>
        <v>1.2023781145813479E-6</v>
      </c>
      <c r="AE123" s="304">
        <f t="shared" si="40"/>
        <v>0.6</v>
      </c>
      <c r="AF123" s="177">
        <f t="shared" si="41"/>
        <v>5.1283553655268044E-2</v>
      </c>
      <c r="AG123" s="799">
        <f t="shared" si="49"/>
        <v>2</v>
      </c>
      <c r="AH123" s="176">
        <f t="shared" si="42"/>
        <v>8</v>
      </c>
      <c r="AI123" s="224">
        <f t="shared" si="43"/>
        <v>2.051283553655268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46132</v>
      </c>
      <c r="B124" s="409">
        <f>IF(t&gt;Tmaj,'2025'!Wh/'2025'!Env_an*'2026'!Env_an,0.001*'[6]mon-tableau'!$B$254)</f>
        <v>9.2549474476503111</v>
      </c>
      <c r="C124" s="829"/>
      <c r="D124" s="391">
        <f t="shared" si="25"/>
        <v>9.7345079241870636</v>
      </c>
      <c r="E124" s="383">
        <f t="shared" si="47"/>
        <v>10.195032186789518</v>
      </c>
      <c r="F124" s="383">
        <f t="shared" si="26"/>
        <v>10.195032186789518</v>
      </c>
      <c r="G124" s="110">
        <f t="shared" si="48"/>
        <v>0.16601191794183393</v>
      </c>
      <c r="H124" s="412" t="b">
        <f>Wh_hp&gt;='2025'!Maxi_hp</f>
        <v>0</v>
      </c>
      <c r="I124" s="388">
        <f>IF(H124,Wh_hp,'2025'!Maxi_hp)</f>
        <v>57.174498343837172</v>
      </c>
      <c r="J124" s="85">
        <f>IF(H124,An,'2025'!An_max)</f>
        <v>2018</v>
      </c>
      <c r="K124" s="197">
        <f t="shared" si="27"/>
        <v>46132</v>
      </c>
      <c r="L124" s="147">
        <f>IF(t&lt;Tvie,1-EXP((T0-t)*PertePVj)+'2025'!Pspv,1-EXP((T0-t)*PertePVj)+Pspv)</f>
        <v>4.9263966938195347E-2</v>
      </c>
      <c r="M124" s="832"/>
      <c r="N124" s="832"/>
      <c r="O124" s="48">
        <f>IF(t&lt;Tnet,'2025'!Resal+('2025'!Salim-'2025'!Resal)*(1-EXP(('2025'!Tnet-t)/('2025'!Tau_j))),Resal+(Salim-Resal)*(1-EXP((Tnet-t)/(Tau_j))))*Salcycl</f>
        <v>4.5171437830200445E-2</v>
      </c>
      <c r="P124" s="169">
        <f>(INDEX(Models!$BJ124:$BT124,,T124)*(1-R124)+INDEX(Models!$BJ124:$BT124,,T124+1)*R124-ERP_i)*Q124*Ramure*Pc/MaxiM</f>
        <v>6.009027452172225E-9</v>
      </c>
      <c r="Q124" s="304">
        <f t="shared" si="28"/>
        <v>0.6</v>
      </c>
      <c r="R124" s="177">
        <f t="shared" si="29"/>
        <v>0.52827104200995856</v>
      </c>
      <c r="S124" s="799">
        <f t="shared" si="30"/>
        <v>-2</v>
      </c>
      <c r="T124" s="176">
        <f t="shared" si="31"/>
        <v>4</v>
      </c>
      <c r="U124" s="250">
        <f t="shared" si="32"/>
        <v>-1.4717289579900414</v>
      </c>
      <c r="V124" s="382">
        <f t="shared" si="33"/>
        <v>55.748692664822777</v>
      </c>
      <c r="W124" s="400">
        <f t="shared" si="34"/>
        <v>9.2549474476503111</v>
      </c>
      <c r="X124" s="157">
        <f t="shared" si="35"/>
        <v>46132</v>
      </c>
      <c r="Y124" s="383">
        <f t="shared" si="36"/>
        <v>9.016247138120967</v>
      </c>
      <c r="Z124" s="383">
        <f t="shared" si="37"/>
        <v>9.4834389615848789</v>
      </c>
      <c r="AA124" s="384">
        <f t="shared" si="38"/>
        <v>10.195032186789518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6.9798036157914828E-2</v>
      </c>
      <c r="AD124" s="230">
        <f>(INDEX(Models!$BJ124:$BT124,,AH124)*(1-AF124)+INDEX(Models!$BJ124:$BT124,,AH124+1)*AF124-ERP_i)*AE124*Ramure*Pc/MaxiM</f>
        <v>9.5829992289261955E-7</v>
      </c>
      <c r="AE124" s="304">
        <f t="shared" si="40"/>
        <v>0.6</v>
      </c>
      <c r="AF124" s="177">
        <f t="shared" si="41"/>
        <v>5.3258608383937034E-2</v>
      </c>
      <c r="AG124" s="799">
        <f t="shared" si="49"/>
        <v>2</v>
      </c>
      <c r="AH124" s="176">
        <f t="shared" si="42"/>
        <v>8</v>
      </c>
      <c r="AI124" s="224">
        <f t="shared" si="43"/>
        <v>2.053258608383937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46133</v>
      </c>
      <c r="B125" s="409">
        <f>IF(t&gt;Tmaj,'2025'!Wh/'2025'!Env_an*'2026'!Env_an,0.001*'[6]mon-tableau'!$B$255)</f>
        <v>8.8071645583077629</v>
      </c>
      <c r="C125" s="829"/>
      <c r="D125" s="391">
        <f t="shared" si="25"/>
        <v>9.2636999572620358</v>
      </c>
      <c r="E125" s="383">
        <f t="shared" si="47"/>
        <v>9.7029620055346211</v>
      </c>
      <c r="F125" s="383">
        <f t="shared" si="26"/>
        <v>9.7029620055346211</v>
      </c>
      <c r="G125" s="110">
        <f t="shared" si="48"/>
        <v>0.15770126678833529</v>
      </c>
      <c r="H125" s="412" t="b">
        <f>Wh_hp&gt;='2025'!Maxi_hp</f>
        <v>0</v>
      </c>
      <c r="I125" s="388">
        <f>IF(H125,Wh_hp,'2025'!Maxi_hp)</f>
        <v>52.981756605548966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4.9282187577371239E-2</v>
      </c>
      <c r="M125" s="832"/>
      <c r="N125" s="832"/>
      <c r="O125" s="48">
        <f>IF(t&lt;Tnet,'2025'!Resal+('2025'!Salim-'2025'!Resal)*(1-EXP(('2025'!Tnet-t)/('2025'!Tau_j))),Resal+(Salim-Resal)*(1-EXP((Tnet-t)/(Tau_j))))*Salcycl</f>
        <v>4.5270923252304598E-2</v>
      </c>
      <c r="P125" s="169">
        <f>(INDEX(Models!$BJ125:$BT125,,T125)*(1-R125)+INDEX(Models!$BJ125:$BT125,,T125+1)*R125-ERP_i)*Q125*Ramure*Pc/MaxiM</f>
        <v>5.0394818488238487E-9</v>
      </c>
      <c r="Q125" s="304">
        <f t="shared" si="28"/>
        <v>0.6</v>
      </c>
      <c r="R125" s="177">
        <f t="shared" si="29"/>
        <v>0.53031051307543153</v>
      </c>
      <c r="S125" s="799">
        <f t="shared" si="30"/>
        <v>-2</v>
      </c>
      <c r="T125" s="176">
        <f t="shared" si="31"/>
        <v>4</v>
      </c>
      <c r="U125" s="250">
        <f t="shared" si="32"/>
        <v>-1.4696894869245685</v>
      </c>
      <c r="V125" s="382">
        <f t="shared" si="33"/>
        <v>55.847138664682284</v>
      </c>
      <c r="W125" s="400">
        <f t="shared" si="34"/>
        <v>8.8071645583077629</v>
      </c>
      <c r="X125" s="157">
        <f t="shared" si="35"/>
        <v>46133</v>
      </c>
      <c r="Y125" s="383">
        <f t="shared" si="36"/>
        <v>8.5801634129052911</v>
      </c>
      <c r="Z125" s="383">
        <f t="shared" si="37"/>
        <v>9.0249317944735168</v>
      </c>
      <c r="AA125" s="384">
        <f t="shared" si="38"/>
        <v>9.7029620055346211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6.9878683506577902E-2</v>
      </c>
      <c r="AD125" s="230">
        <f>(INDEX(Models!$BJ125:$BT125,,AH125)*(1-AF125)+INDEX(Models!$BJ125:$BT125,,AH125+1)*AF125-ERP_i)*AE125*Ramure*Pc/MaxiM</f>
        <v>7.5042238014249225E-7</v>
      </c>
      <c r="AE125" s="304">
        <f t="shared" si="40"/>
        <v>0.6</v>
      </c>
      <c r="AF125" s="177">
        <f t="shared" si="41"/>
        <v>5.5298079449410231E-2</v>
      </c>
      <c r="AG125" s="799">
        <f t="shared" si="49"/>
        <v>2</v>
      </c>
      <c r="AH125" s="176">
        <f t="shared" si="42"/>
        <v>8</v>
      </c>
      <c r="AI125" s="224">
        <f t="shared" si="43"/>
        <v>2.0552980794494102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46134</v>
      </c>
      <c r="B126" s="409">
        <f>IF(t&gt;Tmaj,'2025'!Wh/'2025'!Env_an*'2026'!Env_an,0.001*'[6]mon-tableau'!$B$256)</f>
        <v>25.466392129735073</v>
      </c>
      <c r="C126" s="829"/>
      <c r="D126" s="391">
        <f t="shared" si="25"/>
        <v>26.787002267044048</v>
      </c>
      <c r="E126" s="383">
        <f t="shared" si="47"/>
        <v>28.060118234945698</v>
      </c>
      <c r="F126" s="383">
        <f t="shared" si="26"/>
        <v>28.060118260806224</v>
      </c>
      <c r="G126" s="110">
        <f t="shared" si="48"/>
        <v>0.4552467393194024</v>
      </c>
      <c r="H126" s="412" t="b">
        <f>Wh_hp&gt;='2025'!Maxi_hp</f>
        <v>0</v>
      </c>
      <c r="I126" s="388">
        <f>IF(H126,Wh_hp,'2025'!Maxi_hp)</f>
        <v>60.779702375651659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4.9300407867352791E-2</v>
      </c>
      <c r="M126" s="832"/>
      <c r="N126" s="832"/>
      <c r="O126" s="48">
        <f>IF(t&lt;Tnet,'2025'!Resal+('2025'!Salim-'2025'!Resal)*(1-EXP(('2025'!Tnet-t)/('2025'!Tau_j))),Resal+(Salim-Resal)*(1-EXP((Tnet-t)/(Tau_j))))*Salcycl</f>
        <v>4.5371012240287931E-2</v>
      </c>
      <c r="P126" s="169">
        <f>(INDEX(Models!$BJ126:$BT126,,T126)*(1-R126)+INDEX(Models!$BJ126:$BT126,,T126+1)*R126-ERP_i)*Q126*Ramure*Pc/MaxiM</f>
        <v>4.1555009668639047E-9</v>
      </c>
      <c r="Q126" s="304">
        <f t="shared" si="28"/>
        <v>0.6</v>
      </c>
      <c r="R126" s="177">
        <f t="shared" si="29"/>
        <v>0.53241579662231397</v>
      </c>
      <c r="S126" s="799">
        <f t="shared" si="30"/>
        <v>-2</v>
      </c>
      <c r="T126" s="176">
        <f t="shared" si="31"/>
        <v>4</v>
      </c>
      <c r="U126" s="250">
        <f t="shared" si="32"/>
        <v>-1.467584203377686</v>
      </c>
      <c r="V126" s="382">
        <f t="shared" si="33"/>
        <v>55.939757164328157</v>
      </c>
      <c r="W126" s="400">
        <f t="shared" si="34"/>
        <v>25.466392129735073</v>
      </c>
      <c r="X126" s="157">
        <f t="shared" si="35"/>
        <v>46134</v>
      </c>
      <c r="Y126" s="383">
        <f t="shared" si="36"/>
        <v>24.810427127845671</v>
      </c>
      <c r="Z126" s="383">
        <f t="shared" si="37"/>
        <v>26.097020902459768</v>
      </c>
      <c r="AA126" s="384">
        <f t="shared" si="38"/>
        <v>28.060114656847272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6.9960289841811713E-2</v>
      </c>
      <c r="AD126" s="230">
        <f>(INDEX(Models!$BJ126:$BT126,,AH126)*(1-AF126)+INDEX(Models!$BJ126:$BT126,,AH126+1)*AF126-ERP_i)*AE126*Ramure*Pc/MaxiM</f>
        <v>5.791164314713374E-7</v>
      </c>
      <c r="AE126" s="304">
        <f t="shared" si="40"/>
        <v>0.6</v>
      </c>
      <c r="AF126" s="177">
        <f t="shared" si="41"/>
        <v>5.7403362996292895E-2</v>
      </c>
      <c r="AG126" s="799">
        <f t="shared" si="49"/>
        <v>2</v>
      </c>
      <c r="AH126" s="176">
        <f t="shared" si="42"/>
        <v>8</v>
      </c>
      <c r="AI126" s="224">
        <f t="shared" si="43"/>
        <v>2.0574033629962929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46135</v>
      </c>
      <c r="B127" s="409">
        <f>IF(t&gt;Tmaj,'2025'!Wh/'2025'!Env_an*'2026'!Env_an,0.001*'[6]mon-tableau'!$B$257)</f>
        <v>8.6766489365679167</v>
      </c>
      <c r="C127" s="829"/>
      <c r="D127" s="391">
        <f t="shared" si="25"/>
        <v>9.126768642330056</v>
      </c>
      <c r="E127" s="383">
        <f t="shared" si="47"/>
        <v>9.5615486127816443</v>
      </c>
      <c r="F127" s="383">
        <f t="shared" si="26"/>
        <v>9.5615486127816443</v>
      </c>
      <c r="G127" s="110">
        <f t="shared" si="48"/>
        <v>0.15486538561475602</v>
      </c>
      <c r="H127" s="412" t="b">
        <f>Wh_hp&gt;='2025'!Maxi_hp</f>
        <v>0</v>
      </c>
      <c r="I127" s="388">
        <f>IF(H127,Wh_hp,'2025'!Maxi_hp)</f>
        <v>61.484717168911814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4.9318627808146553E-2</v>
      </c>
      <c r="M127" s="832"/>
      <c r="N127" s="832"/>
      <c r="O127" s="48">
        <f>IF(t&lt;Tnet,'2025'!Resal+('2025'!Salim-'2025'!Resal)*(1-EXP(('2025'!Tnet-t)/('2025'!Tau_j))),Resal+(Salim-Resal)*(1-EXP((Tnet-t)/(Tau_j))))*Salcycl</f>
        <v>4.5471710499948151E-2</v>
      </c>
      <c r="P127" s="169">
        <f>(INDEX(Models!$BJ127:$BT127,,T127)*(1-R127)+INDEX(Models!$BJ127:$BT127,,T127+1)*R127-ERP_i)*Q127*Ramure*Pc/MaxiM</f>
        <v>3.4021018545396072E-9</v>
      </c>
      <c r="Q127" s="304">
        <f t="shared" si="28"/>
        <v>0.6</v>
      </c>
      <c r="R127" s="177">
        <f t="shared" si="29"/>
        <v>0.53458826562634743</v>
      </c>
      <c r="S127" s="799">
        <f t="shared" si="30"/>
        <v>-2</v>
      </c>
      <c r="T127" s="176">
        <f t="shared" si="31"/>
        <v>4</v>
      </c>
      <c r="U127" s="250">
        <f t="shared" si="32"/>
        <v>-1.4654117343736526</v>
      </c>
      <c r="V127" s="382">
        <f t="shared" si="33"/>
        <v>56.027038402455879</v>
      </c>
      <c r="W127" s="400">
        <f t="shared" si="34"/>
        <v>8.6766489365679167</v>
      </c>
      <c r="X127" s="157">
        <f t="shared" si="35"/>
        <v>46135</v>
      </c>
      <c r="Y127" s="383">
        <f t="shared" si="36"/>
        <v>8.4532975195828914</v>
      </c>
      <c r="Z127" s="383">
        <f t="shared" si="37"/>
        <v>8.8918303932823495</v>
      </c>
      <c r="AA127" s="384">
        <f t="shared" si="38"/>
        <v>9.5615486127816443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7.0042860902681803E-2</v>
      </c>
      <c r="AD127" s="230">
        <f>(INDEX(Models!$BJ127:$BT127,,AH127)*(1-AF127)+INDEX(Models!$BJ127:$BT127,,AH127+1)*AF127-ERP_i)*AE127*Ramure*Pc/MaxiM</f>
        <v>4.4483644665214467E-7</v>
      </c>
      <c r="AE127" s="304">
        <f t="shared" si="40"/>
        <v>0.6</v>
      </c>
      <c r="AF127" s="177">
        <f t="shared" si="41"/>
        <v>5.9575832000326123E-2</v>
      </c>
      <c r="AG127" s="799">
        <f t="shared" si="49"/>
        <v>2</v>
      </c>
      <c r="AH127" s="176">
        <f t="shared" si="42"/>
        <v>8</v>
      </c>
      <c r="AI127" s="224">
        <f t="shared" si="43"/>
        <v>2.0595758320003261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46136</v>
      </c>
      <c r="B128" s="409">
        <f>IF(t&gt;Tmaj,'2025'!Wh/'2025'!Env_an*'2026'!Env_an,0.001*'[6]mon-tableau'!$B$258)</f>
        <v>28.488092401839523</v>
      </c>
      <c r="C128" s="829"/>
      <c r="D128" s="391">
        <f t="shared" si="25"/>
        <v>29.966547376869805</v>
      </c>
      <c r="E128" s="383">
        <f t="shared" si="47"/>
        <v>31.397422841549076</v>
      </c>
      <c r="F128" s="383">
        <f t="shared" si="26"/>
        <v>31.397422867903696</v>
      </c>
      <c r="G128" s="110">
        <f t="shared" si="48"/>
        <v>0.50772340393423443</v>
      </c>
      <c r="H128" s="412" t="b">
        <f>Wh_hp&gt;='2025'!Maxi_hp</f>
        <v>0</v>
      </c>
      <c r="I128" s="388">
        <f>IF(H128,Wh_hp,'2025'!Maxi_hp)</f>
        <v>60.938970338666145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4.9336847399759298E-2</v>
      </c>
      <c r="M128" s="832"/>
      <c r="N128" s="832"/>
      <c r="O128" s="48">
        <f>IF(t&lt;Tnet,'2025'!Resal+('2025'!Salim-'2025'!Resal)*(1-EXP(('2025'!Tnet-t)/('2025'!Tau_j))),Resal+(Salim-Resal)*(1-EXP((Tnet-t)/(Tau_j))))*Salcycl</f>
        <v>4.5573022725475261E-2</v>
      </c>
      <c r="P128" s="169">
        <f>(INDEX(Models!$BJ128:$BT128,,T128)*(1-R128)+INDEX(Models!$BJ128:$BT128,,T128+1)*R128-ERP_i)*Q128*Ramure*Pc/MaxiM</f>
        <v>2.8286247586042798E-9</v>
      </c>
      <c r="Q128" s="304">
        <f t="shared" si="28"/>
        <v>0.6</v>
      </c>
      <c r="R128" s="177">
        <f t="shared" si="29"/>
        <v>0.53682926501292894</v>
      </c>
      <c r="S128" s="799">
        <f t="shared" si="30"/>
        <v>-2</v>
      </c>
      <c r="T128" s="176">
        <f t="shared" si="31"/>
        <v>4</v>
      </c>
      <c r="U128" s="250">
        <f t="shared" si="32"/>
        <v>-1.4631707349870711</v>
      </c>
      <c r="V128" s="382">
        <f t="shared" si="33"/>
        <v>56.109472449806603</v>
      </c>
      <c r="W128" s="400">
        <f t="shared" si="34"/>
        <v>28.488092401839523</v>
      </c>
      <c r="X128" s="157">
        <f t="shared" si="35"/>
        <v>46136</v>
      </c>
      <c r="Y128" s="383">
        <f t="shared" si="36"/>
        <v>27.755211169252831</v>
      </c>
      <c r="Z128" s="383">
        <f t="shared" si="37"/>
        <v>29.195631589735189</v>
      </c>
      <c r="AA128" s="384">
        <f t="shared" si="38"/>
        <v>31.397419624420255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7.0126400864246791E-2</v>
      </c>
      <c r="AD128" s="230">
        <f>(INDEX(Models!$BJ128:$BT128,,AH128)*(1-AF128)+INDEX(Models!$BJ128:$BT128,,AH128+1)*AF128-ERP_i)*AE128*Ramure*Pc/MaxiM</f>
        <v>3.48121054103727E-7</v>
      </c>
      <c r="AE128" s="304">
        <f t="shared" si="40"/>
        <v>0.6</v>
      </c>
      <c r="AF128" s="177">
        <f t="shared" si="41"/>
        <v>6.1816831386907634E-2</v>
      </c>
      <c r="AG128" s="799">
        <f t="shared" si="49"/>
        <v>2</v>
      </c>
      <c r="AH128" s="176">
        <f t="shared" si="42"/>
        <v>8</v>
      </c>
      <c r="AI128" s="224">
        <f t="shared" si="43"/>
        <v>2.0618168313869076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46137</v>
      </c>
      <c r="B129" s="409">
        <f>IF(t&gt;Tmaj,'2025'!Wh/'2025'!Env_an*'2026'!Env_an,0.001*'[6]mon-tableau'!$B$259)</f>
        <v>43.321697398864266</v>
      </c>
      <c r="C129" s="829"/>
      <c r="D129" s="391">
        <f t="shared" si="25"/>
        <v>45.570849723930436</v>
      </c>
      <c r="E129" s="383">
        <f t="shared" si="47"/>
        <v>47.751916231993754</v>
      </c>
      <c r="F129" s="383">
        <f t="shared" si="26"/>
        <v>47.751916304751262</v>
      </c>
      <c r="G129" s="110">
        <f t="shared" si="48"/>
        <v>0.77101952237669757</v>
      </c>
      <c r="H129" s="412" t="b">
        <f>Wh_hp&gt;='2025'!Maxi_hp</f>
        <v>0</v>
      </c>
      <c r="I129" s="388">
        <f>IF(H129,Wh_hp,'2025'!Maxi_hp)</f>
        <v>53.779346350507211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4.9355066642197798E-2</v>
      </c>
      <c r="M129" s="832"/>
      <c r="N129" s="832"/>
      <c r="O129" s="48">
        <f>IF(t&lt;Tnet,'2025'!Resal+('2025'!Salim-'2025'!Resal)*(1-EXP(('2025'!Tnet-t)/('2025'!Tau_j))),Resal+(Salim-Resal)*(1-EXP((Tnet-t)/(Tau_j))))*Salcycl</f>
        <v>4.5674952549904266E-2</v>
      </c>
      <c r="P129" s="169">
        <f>(INDEX(Models!$BJ129:$BT129,,T129)*(1-R129)+INDEX(Models!$BJ129:$BT129,,T129+1)*R129-ERP_i)*Q129*Ramure*Pc/MaxiM</f>
        <v>2.2643634825425572E-9</v>
      </c>
      <c r="Q129" s="304">
        <f t="shared" si="28"/>
        <v>0.6</v>
      </c>
      <c r="R129" s="177">
        <f t="shared" si="29"/>
        <v>0.53914010651789468</v>
      </c>
      <c r="S129" s="799">
        <f t="shared" si="30"/>
        <v>-2</v>
      </c>
      <c r="T129" s="176">
        <f t="shared" si="31"/>
        <v>4</v>
      </c>
      <c r="U129" s="250">
        <f t="shared" si="32"/>
        <v>-1.4608598934821053</v>
      </c>
      <c r="V129" s="382">
        <f t="shared" si="33"/>
        <v>56.187549224739165</v>
      </c>
      <c r="W129" s="400">
        <f t="shared" si="34"/>
        <v>43.321697398864266</v>
      </c>
      <c r="X129" s="157">
        <f t="shared" si="35"/>
        <v>46137</v>
      </c>
      <c r="Y129" s="383">
        <f t="shared" si="36"/>
        <v>42.207877232313706</v>
      </c>
      <c r="Z129" s="383">
        <f t="shared" si="37"/>
        <v>44.399202847723558</v>
      </c>
      <c r="AA129" s="384">
        <f t="shared" si="38"/>
        <v>47.751907861272571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7.0210912269499215E-2</v>
      </c>
      <c r="AD129" s="230">
        <f>(INDEX(Models!$BJ129:$BT129,,AH129)*(1-AF129)+INDEX(Models!$BJ129:$BT129,,AH129+1)*AF129-ERP_i)*AE129*Ramure*Pc/MaxiM</f>
        <v>2.6277844517387019E-7</v>
      </c>
      <c r="AE129" s="304">
        <f t="shared" si="40"/>
        <v>0.6</v>
      </c>
      <c r="AF129" s="177">
        <f t="shared" si="41"/>
        <v>6.4127672891873377E-2</v>
      </c>
      <c r="AG129" s="799">
        <f t="shared" si="49"/>
        <v>2</v>
      </c>
      <c r="AH129" s="176">
        <f t="shared" si="42"/>
        <v>8</v>
      </c>
      <c r="AI129" s="224">
        <f t="shared" si="43"/>
        <v>2.0641276728918734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46138</v>
      </c>
      <c r="B130" s="409">
        <f>IF(t&gt;Tmaj,'2025'!Wh/'2025'!Env_an*'2026'!Env_an,0.001*'[6]mon-tableau'!$B$260)</f>
        <v>53.262970134461398</v>
      </c>
      <c r="C130" s="829"/>
      <c r="D130" s="391">
        <f t="shared" si="25"/>
        <v>56.029321840027755</v>
      </c>
      <c r="E130" s="383">
        <f t="shared" si="47"/>
        <v>58.717250941477388</v>
      </c>
      <c r="F130" s="383">
        <f t="shared" si="26"/>
        <v>58.717251034993211</v>
      </c>
      <c r="G130" s="110">
        <f t="shared" si="48"/>
        <v>0.94669934914361165</v>
      </c>
      <c r="H130" s="412" t="b">
        <f>Wh_hp&gt;='2025'!Maxi_hp</f>
        <v>1</v>
      </c>
      <c r="I130" s="388">
        <f>IF(H130,Wh_hp,'2025'!Maxi_hp)</f>
        <v>58.717251034993211</v>
      </c>
      <c r="J130" s="85">
        <f>IF(H130,An,'2025'!An_max)</f>
        <v>2026</v>
      </c>
      <c r="K130" s="197">
        <f t="shared" si="27"/>
        <v>46138</v>
      </c>
      <c r="L130" s="147">
        <f>IF(t&lt;Tvie,1-EXP((T0-t)*PertePVj)+'2025'!Pspv,1-EXP((T0-t)*PertePVj)+Pspv)</f>
        <v>4.9373285535468603E-2</v>
      </c>
      <c r="M130" s="832"/>
      <c r="N130" s="832"/>
      <c r="O130" s="48">
        <f>IF(t&lt;Tnet,'2025'!Resal+('2025'!Salim-'2025'!Resal)*(1-EXP(('2025'!Tnet-t)/('2025'!Tau_j))),Resal+(Salim-Resal)*(1-EXP((Tnet-t)/(Tau_j))))*Salcycl</f>
        <v>4.5777502494601621E-2</v>
      </c>
      <c r="P130" s="169">
        <f>(INDEX(Models!$BJ130:$BT130,,T130)*(1-R130)+INDEX(Models!$BJ130:$BT130,,T130+1)*R130-ERP_i)*Q130*Ramure*Pc/MaxiM</f>
        <v>1.7239115826943904E-9</v>
      </c>
      <c r="Q130" s="304">
        <f t="shared" si="28"/>
        <v>0.6</v>
      </c>
      <c r="R130" s="177">
        <f t="shared" si="29"/>
        <v>0.54152206329575381</v>
      </c>
      <c r="S130" s="799">
        <f t="shared" si="30"/>
        <v>-2</v>
      </c>
      <c r="T130" s="176">
        <f t="shared" si="31"/>
        <v>4</v>
      </c>
      <c r="U130" s="250">
        <f t="shared" si="32"/>
        <v>-1.4584779367042462</v>
      </c>
      <c r="V130" s="382">
        <f t="shared" si="33"/>
        <v>56.261758472372193</v>
      </c>
      <c r="W130" s="400">
        <f t="shared" si="34"/>
        <v>53.262970134461398</v>
      </c>
      <c r="X130" s="157">
        <f t="shared" si="35"/>
        <v>46138</v>
      </c>
      <c r="Y130" s="383">
        <f t="shared" si="36"/>
        <v>51.894360968700532</v>
      </c>
      <c r="Z130" s="383">
        <f t="shared" si="37"/>
        <v>54.58963037655802</v>
      </c>
      <c r="AA130" s="384">
        <f t="shared" si="38"/>
        <v>58.717240784429279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7.0296395960176436E-2</v>
      </c>
      <c r="AD130" s="230">
        <f>(INDEX(Models!$BJ130:$BT130,,AH130)*(1-AF130)+INDEX(Models!$BJ130:$BT130,,AH130+1)*AF130-ERP_i)*AE130*Ramure*Pc/MaxiM</f>
        <v>1.889633848296897E-7</v>
      </c>
      <c r="AE130" s="304">
        <f t="shared" si="40"/>
        <v>0.6</v>
      </c>
      <c r="AF130" s="177">
        <f t="shared" si="41"/>
        <v>6.6509629669732284E-2</v>
      </c>
      <c r="AG130" s="799">
        <f t="shared" si="49"/>
        <v>2</v>
      </c>
      <c r="AH130" s="176">
        <f t="shared" si="42"/>
        <v>8</v>
      </c>
      <c r="AI130" s="224">
        <f t="shared" si="43"/>
        <v>2.0665096296697323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46139</v>
      </c>
      <c r="B131" s="409">
        <f>IF(t&gt;Tmaj,'2025'!Wh/'2025'!Env_an*'2026'!Env_an,0.001*'[6]mon-tableau'!$B$261)</f>
        <v>40.675896995493503</v>
      </c>
      <c r="C131" s="829"/>
      <c r="D131" s="391">
        <f t="shared" si="25"/>
        <v>42.789326173767563</v>
      </c>
      <c r="E131" s="383">
        <f t="shared" si="47"/>
        <v>44.846933715807289</v>
      </c>
      <c r="F131" s="383">
        <f t="shared" si="26"/>
        <v>44.84693374888743</v>
      </c>
      <c r="G131" s="110">
        <f t="shared" si="48"/>
        <v>0.72206687356266241</v>
      </c>
      <c r="H131" s="412" t="b">
        <f>Wh_hp&gt;='2025'!Maxi_hp</f>
        <v>1</v>
      </c>
      <c r="I131" s="388">
        <f>IF(H131,Wh_hp,'2025'!Maxi_hp)</f>
        <v>44.84693374888743</v>
      </c>
      <c r="J131" s="85">
        <f>IF(H131,An,'2025'!An_max)</f>
        <v>2026</v>
      </c>
      <c r="K131" s="197">
        <f t="shared" si="27"/>
        <v>46139</v>
      </c>
      <c r="L131" s="147">
        <f>IF(t&lt;Tvie,1-EXP((T0-t)*PertePVj)+'2025'!Pspv,1-EXP((T0-t)*PertePVj)+Pspv)</f>
        <v>4.9391504079578596E-2</v>
      </c>
      <c r="M131" s="832"/>
      <c r="N131" s="832"/>
      <c r="O131" s="48">
        <f>IF(t&lt;Tnet,'2025'!Resal+('2025'!Salim-'2025'!Resal)*(1-EXP(('2025'!Tnet-t)/('2025'!Tau_j))),Resal+(Salim-Resal)*(1-EXP((Tnet-t)/(Tau_j))))*Salcycl</f>
        <v>4.5880673918058203E-2</v>
      </c>
      <c r="P131" s="169">
        <f>(INDEX(Models!$BJ131:$BT131,,T131)*(1-R131)+INDEX(Models!$BJ131:$BT131,,T131+1)*R131-ERP_i)*Q131*Ramure*Pc/MaxiM</f>
        <v>1.2233516814651341E-9</v>
      </c>
      <c r="Q131" s="304">
        <f t="shared" si="28"/>
        <v>0.6</v>
      </c>
      <c r="R131" s="177">
        <f t="shared" si="29"/>
        <v>0.54397636428288876</v>
      </c>
      <c r="S131" s="799">
        <f t="shared" si="30"/>
        <v>-2</v>
      </c>
      <c r="T131" s="176">
        <f t="shared" si="31"/>
        <v>4</v>
      </c>
      <c r="U131" s="250">
        <f t="shared" si="32"/>
        <v>-1.4560236357171112</v>
      </c>
      <c r="V131" s="382">
        <f t="shared" si="33"/>
        <v>56.332589771141372</v>
      </c>
      <c r="W131" s="400">
        <f t="shared" si="34"/>
        <v>40.675896995493503</v>
      </c>
      <c r="X131" s="157">
        <f t="shared" si="35"/>
        <v>46139</v>
      </c>
      <c r="Y131" s="383">
        <f t="shared" si="36"/>
        <v>39.631320212945859</v>
      </c>
      <c r="Z131" s="383">
        <f t="shared" si="37"/>
        <v>41.690475503875078</v>
      </c>
      <c r="AA131" s="384">
        <f t="shared" si="38"/>
        <v>44.846930318604649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7.0382851006864283E-2</v>
      </c>
      <c r="AD131" s="230">
        <f>(INDEX(Models!$BJ131:$BT131,,AH131)*(1-AF131)+INDEX(Models!$BJ131:$BT131,,AH131+1)*AF131-ERP_i)*AE131*Ramure*Pc/MaxiM</f>
        <v>1.2685685512217822E-7</v>
      </c>
      <c r="AE131" s="304">
        <f t="shared" si="40"/>
        <v>0.6</v>
      </c>
      <c r="AF131" s="177">
        <f t="shared" si="41"/>
        <v>6.8963930656867234E-2</v>
      </c>
      <c r="AG131" s="799">
        <f t="shared" si="49"/>
        <v>2</v>
      </c>
      <c r="AH131" s="176">
        <f t="shared" si="42"/>
        <v>8</v>
      </c>
      <c r="AI131" s="224">
        <f t="shared" si="43"/>
        <v>2.0689639306568672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46140</v>
      </c>
      <c r="B132" s="409">
        <f>IF(t&gt;Tmaj,'2025'!Wh/'2025'!Env_an*'2026'!Env_an,0.001*'[6]mon-tableau'!$B$262)</f>
        <v>22.917623218341642</v>
      </c>
      <c r="C132" s="829"/>
      <c r="D132" s="391">
        <f t="shared" si="25"/>
        <v>24.108834011197768</v>
      </c>
      <c r="E132" s="383">
        <f t="shared" si="47"/>
        <v>25.270903016099865</v>
      </c>
      <c r="F132" s="383">
        <f t="shared" si="26"/>
        <v>25.270903019095613</v>
      </c>
      <c r="G132" s="110">
        <f t="shared" si="48"/>
        <v>0.40633700024446168</v>
      </c>
      <c r="H132" s="412" t="b">
        <f>Wh_hp&gt;='2025'!Maxi_hp</f>
        <v>0</v>
      </c>
      <c r="I132" s="388">
        <f>IF(H132,Wh_hp,'2025'!Maxi_hp)</f>
        <v>48.436349706395312</v>
      </c>
      <c r="J132" s="85">
        <f>IF(H132,An,'2025'!An_max)</f>
        <v>2018</v>
      </c>
      <c r="K132" s="197">
        <f t="shared" si="27"/>
        <v>46140</v>
      </c>
      <c r="L132" s="147">
        <f>IF(t&lt;Tvie,1-EXP((T0-t)*PertePVj)+'2025'!Pspv,1-EXP((T0-t)*PertePVj)+Pspv)</f>
        <v>4.9409722274534218E-2</v>
      </c>
      <c r="M132" s="832"/>
      <c r="N132" s="832"/>
      <c r="O132" s="48">
        <f>IF(t&lt;Tnet,'2025'!Resal+('2025'!Salim-'2025'!Resal)*(1-EXP(('2025'!Tnet-t)/('2025'!Tau_j))),Resal+(Salim-Resal)*(1-EXP((Tnet-t)/(Tau_j))))*Salcycl</f>
        <v>4.5984466964308801E-2</v>
      </c>
      <c r="P132" s="169">
        <f>(INDEX(Models!$BJ132:$BT132,,T132)*(1-R132)+INDEX(Models!$BJ132:$BT132,,T132+1)*R132-ERP_i)*Q132*Ramure*Pc/MaxiM</f>
        <v>7.8036595202552752E-10</v>
      </c>
      <c r="Q132" s="304">
        <f t="shared" si="28"/>
        <v>0.6</v>
      </c>
      <c r="R132" s="177">
        <f t="shared" si="29"/>
        <v>0.54650418832576597</v>
      </c>
      <c r="S132" s="799">
        <f t="shared" si="30"/>
        <v>-2</v>
      </c>
      <c r="T132" s="176">
        <f t="shared" si="31"/>
        <v>4</v>
      </c>
      <c r="U132" s="250">
        <f t="shared" si="32"/>
        <v>-1.453495811674234</v>
      </c>
      <c r="V132" s="382">
        <f t="shared" si="33"/>
        <v>56.400532536752785</v>
      </c>
      <c r="W132" s="400">
        <f t="shared" si="34"/>
        <v>22.917623218341642</v>
      </c>
      <c r="X132" s="157">
        <f t="shared" si="35"/>
        <v>46140</v>
      </c>
      <c r="Y132" s="383">
        <f t="shared" si="36"/>
        <v>22.329418162322977</v>
      </c>
      <c r="Z132" s="383">
        <f t="shared" si="37"/>
        <v>23.490055269397359</v>
      </c>
      <c r="AA132" s="384">
        <f t="shared" si="38"/>
        <v>25.270902724785568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7.0470274638885944E-2</v>
      </c>
      <c r="AD132" s="230">
        <f>(INDEX(Models!$BJ132:$BT132,,AH132)*(1-AF132)+INDEX(Models!$BJ132:$BT132,,AH132+1)*AF132-ERP_i)*AE132*Ramure*Pc/MaxiM</f>
        <v>7.6665144187005365E-8</v>
      </c>
      <c r="AE132" s="304">
        <f t="shared" si="40"/>
        <v>0.6</v>
      </c>
      <c r="AF132" s="177">
        <f t="shared" si="41"/>
        <v>7.1491754699744892E-2</v>
      </c>
      <c r="AG132" s="799">
        <f t="shared" si="49"/>
        <v>2</v>
      </c>
      <c r="AH132" s="176">
        <f t="shared" si="42"/>
        <v>8</v>
      </c>
      <c r="AI132" s="224">
        <f t="shared" si="43"/>
        <v>2.0714917546997449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46141</v>
      </c>
      <c r="B133" s="409">
        <f>IF(t&gt;Tmaj,'2025'!Wh/'2025'!Env_an*'2026'!Env_an,0.001*'[6]mon-tableau'!$B$263)</f>
        <v>41.585553258061047</v>
      </c>
      <c r="C133" s="829"/>
      <c r="D133" s="391">
        <f t="shared" si="25"/>
        <v>43.747922975272147</v>
      </c>
      <c r="E133" s="383">
        <f t="shared" si="47"/>
        <v>45.861634361410097</v>
      </c>
      <c r="F133" s="383">
        <f t="shared" si="26"/>
        <v>45.861634373258781</v>
      </c>
      <c r="G133" s="110">
        <f t="shared" si="48"/>
        <v>0.73646968555166714</v>
      </c>
      <c r="H133" s="412" t="b">
        <f>Wh_hp&gt;='2025'!Maxi_hp</f>
        <v>0</v>
      </c>
      <c r="I133" s="388">
        <f>IF(H133,Wh_hp,'2025'!Maxi_hp)</f>
        <v>49.060314253198726</v>
      </c>
      <c r="J133" s="85">
        <f>IF(H133,An,'2025'!An_max)</f>
        <v>2018</v>
      </c>
      <c r="K133" s="197">
        <f t="shared" si="27"/>
        <v>46141</v>
      </c>
      <c r="L133" s="147">
        <f>IF(t&lt;Tvie,1-EXP((T0-t)*PertePVj)+'2025'!Pspv,1-EXP((T0-t)*PertePVj)+Pspv)</f>
        <v>4.9427940120342351E-2</v>
      </c>
      <c r="M133" s="832"/>
      <c r="N133" s="832"/>
      <c r="O133" s="48">
        <f>IF(t&lt;Tnet,'2025'!Resal+('2025'!Salim-'2025'!Resal)*(1-EXP(('2025'!Tnet-t)/('2025'!Tau_j))),Resal+(Salim-Resal)*(1-EXP((Tnet-t)/(Tau_j))))*Salcycl</f>
        <v>4.6088880511343445E-2</v>
      </c>
      <c r="P133" s="169">
        <f>(INDEX(Models!$BJ133:$BT133,,T133)*(1-R133)+INDEX(Models!$BJ133:$BT133,,T133+1)*R133-ERP_i)*Q133*Ramure*Pc/MaxiM</f>
        <v>4.143472844206558E-10</v>
      </c>
      <c r="Q133" s="304">
        <f t="shared" si="28"/>
        <v>0.6</v>
      </c>
      <c r="R133" s="177">
        <f t="shared" si="29"/>
        <v>0.54910665808689796</v>
      </c>
      <c r="S133" s="799">
        <f t="shared" si="30"/>
        <v>-2</v>
      </c>
      <c r="T133" s="176">
        <f t="shared" si="31"/>
        <v>4</v>
      </c>
      <c r="U133" s="250">
        <f t="shared" si="32"/>
        <v>-1.450893341913102</v>
      </c>
      <c r="V133" s="382">
        <f t="shared" si="33"/>
        <v>56.466076021070208</v>
      </c>
      <c r="W133" s="400">
        <f t="shared" si="34"/>
        <v>41.585553258061047</v>
      </c>
      <c r="X133" s="157">
        <f t="shared" si="35"/>
        <v>46141</v>
      </c>
      <c r="Y133" s="383">
        <f t="shared" si="36"/>
        <v>40.518797342846163</v>
      </c>
      <c r="Z133" s="383">
        <f t="shared" si="37"/>
        <v>42.625697780319612</v>
      </c>
      <c r="AA133" s="384">
        <f t="shared" si="38"/>
        <v>45.861633268913188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7.0558662174533243E-2</v>
      </c>
      <c r="AD133" s="230">
        <f>(INDEX(Models!$BJ133:$BT133,,AH133)*(1-AF133)+INDEX(Models!$BJ133:$BT133,,AH133+1)*AF133-ERP_i)*AE133*Ramure*Pc/MaxiM</f>
        <v>3.8618857972351062E-8</v>
      </c>
      <c r="AE133" s="304">
        <f t="shared" si="40"/>
        <v>0.6</v>
      </c>
      <c r="AF133" s="177">
        <f t="shared" si="41"/>
        <v>7.4094224460876656E-2</v>
      </c>
      <c r="AG133" s="799">
        <f t="shared" si="49"/>
        <v>2</v>
      </c>
      <c r="AH133" s="176">
        <f t="shared" si="42"/>
        <v>8</v>
      </c>
      <c r="AI133" s="224">
        <f t="shared" si="43"/>
        <v>2.0740942244608767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46142</v>
      </c>
      <c r="B134" s="409">
        <f>IF(t&gt;Tmaj,'2025'!Wh/'2025'!Env_an*'2026'!Env_an,0.001*'[6]mon-tableau'!$B$264)</f>
        <v>44.273750622155497</v>
      </c>
      <c r="C134" s="829"/>
      <c r="D134" s="391">
        <f t="shared" si="25"/>
        <v>46.576794125794535</v>
      </c>
      <c r="E134" s="383">
        <f t="shared" si="47"/>
        <v>47.004515190583341</v>
      </c>
      <c r="F134" s="383">
        <f t="shared" si="26"/>
        <v>47.00451519504859</v>
      </c>
      <c r="G134" s="110">
        <f t="shared" si="48"/>
        <v>0.75387551333645608</v>
      </c>
      <c r="H134" s="412" t="b">
        <f>Wh_hp&gt;='2025'!Maxi_hp</f>
        <v>0</v>
      </c>
      <c r="I134" s="388">
        <f>IF(H134,Wh_hp,'2025'!Maxi_hp)</f>
        <v>62.303261019981171</v>
      </c>
      <c r="J134" s="85">
        <f>IF(H134,An,'2025'!An_max)</f>
        <v>2018</v>
      </c>
      <c r="K134" s="197">
        <f t="shared" si="27"/>
        <v>46142</v>
      </c>
      <c r="L134" s="147">
        <f>IF(t&lt;Tvie,1-EXP((T0-t)*PertePVj)+'2025'!Pspv,1-EXP((T0-t)*PertePVj)+Pspv)</f>
        <v>4.9446157617009545E-2</v>
      </c>
      <c r="M134" s="832"/>
      <c r="N134" s="832"/>
      <c r="O134" s="48">
        <f>IF(t&lt;Tnet,'2025'!Resal+('2025'!Salim-'2025'!Resal)*(1-EXP(('2025'!Tnet-t)/('2025'!Tau_j))),Resal+(Salim-Resal)*(1-EXP((Tnet-t)/(Tau_j))))*Salcycl</f>
        <v>9.099574010168537E-3</v>
      </c>
      <c r="P134" s="169">
        <f>(INDEX(Models!$BJ134:$BT134,,T134)*(1-R134)+INDEX(Models!$BJ134:$BT134,,T134+1)*R134-ERP_i)*Q134*Ramure*Pc/MaxiM</f>
        <v>1.4651014571792455E-10</v>
      </c>
      <c r="Q134" s="304">
        <f t="shared" si="28"/>
        <v>0.6</v>
      </c>
      <c r="R134" s="177">
        <f t="shared" si="29"/>
        <v>0.55178483374417731</v>
      </c>
      <c r="S134" s="799">
        <f t="shared" si="30"/>
        <v>-2</v>
      </c>
      <c r="T134" s="176">
        <f t="shared" si="31"/>
        <v>4</v>
      </c>
      <c r="U134" s="250">
        <f t="shared" si="32"/>
        <v>-1.4482151662558227</v>
      </c>
      <c r="V134" s="382">
        <f t="shared" si="33"/>
        <v>58.728198272325784</v>
      </c>
      <c r="W134" s="400">
        <f t="shared" si="34"/>
        <v>44.273750622155497</v>
      </c>
      <c r="X134" s="157">
        <f t="shared" si="35"/>
        <v>46142</v>
      </c>
      <c r="Y134" s="383">
        <f t="shared" si="36"/>
        <v>42.616363277214631</v>
      </c>
      <c r="Z134" s="383">
        <f t="shared" si="37"/>
        <v>44.833192373803428</v>
      </c>
      <c r="AA134" s="384">
        <f t="shared" si="38"/>
        <v>47.004514799700232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4.6193912119919384E-2</v>
      </c>
      <c r="AD134" s="230">
        <f>(INDEX(Models!$BJ134:$BT134,,AH134)*(1-AF134)+INDEX(Models!$BJ134:$BT134,,AH134+1)*AF134-ERP_i)*AE134*Ramure*Pc/MaxiM</f>
        <v>1.2971841883950972E-8</v>
      </c>
      <c r="AE134" s="304">
        <f t="shared" si="40"/>
        <v>0.6</v>
      </c>
      <c r="AF134" s="177">
        <f t="shared" si="41"/>
        <v>7.6772400118156003E-2</v>
      </c>
      <c r="AG134" s="799">
        <f t="shared" si="49"/>
        <v>2</v>
      </c>
      <c r="AH134" s="176">
        <f t="shared" si="42"/>
        <v>8</v>
      </c>
      <c r="AI134" s="224">
        <f t="shared" si="43"/>
        <v>2.076772400118156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46143</v>
      </c>
      <c r="B135" s="409">
        <f>IF(t&gt;Tmaj,'2025'!Wh/'2025'!Env_an*'2026'!Env_an,0.001*[7]mois!$B$242)</f>
        <v>47.986763425311246</v>
      </c>
      <c r="C135" s="829"/>
      <c r="D135" s="391">
        <f t="shared" si="25"/>
        <v>50.483918909850892</v>
      </c>
      <c r="E135" s="383">
        <f t="shared" si="47"/>
        <v>50.954149693561234</v>
      </c>
      <c r="F135" s="383">
        <f t="shared" si="26"/>
        <v>50.954149693561234</v>
      </c>
      <c r="G135" s="110">
        <f t="shared" si="48"/>
        <v>0.81624045075881102</v>
      </c>
      <c r="H135" s="412" t="b">
        <f>Wh_hp&gt;='2025'!Maxi_hp</f>
        <v>0</v>
      </c>
      <c r="I135" s="388">
        <f>IF(H135,Wh_hp,'2025'!Maxi_hp)</f>
        <v>58.712576893324226</v>
      </c>
      <c r="J135" s="85">
        <f>IF(H135,An,'2025'!An_max)</f>
        <v>2018</v>
      </c>
      <c r="K135" s="197">
        <f t="shared" si="27"/>
        <v>46143</v>
      </c>
      <c r="L135" s="147">
        <f>IF(t&lt;Tvie,1-EXP((T0-t)*PertePVj)+'2025'!Pspv,1-EXP((T0-t)*PertePVj)+Pspv)</f>
        <v>4.9464374764542685E-2</v>
      </c>
      <c r="M135" s="832"/>
      <c r="N135" s="832"/>
      <c r="O135" s="48">
        <f>IF(t&lt;Tnet,'2025'!Resal+('2025'!Salim-'2025'!Resal)*(1-EXP(('2025'!Tnet-t)/('2025'!Tau_j))),Resal+(Salim-Resal)*(1-EXP((Tnet-t)/(Tau_j))))*Salcycl</f>
        <v>9.2285081104938309E-3</v>
      </c>
      <c r="P135" s="169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0.55453970650223727</v>
      </c>
      <c r="S135" s="799">
        <f t="shared" si="30"/>
        <v>-2</v>
      </c>
      <c r="T135" s="176">
        <f t="shared" si="31"/>
        <v>4</v>
      </c>
      <c r="U135" s="250">
        <f t="shared" si="32"/>
        <v>-1.4454602934977627</v>
      </c>
      <c r="V135" s="382">
        <f t="shared" si="33"/>
        <v>58.78998447173349</v>
      </c>
      <c r="W135" s="400">
        <f t="shared" si="34"/>
        <v>47.986763425311246</v>
      </c>
      <c r="X135" s="157">
        <f t="shared" si="35"/>
        <v>46143</v>
      </c>
      <c r="Y135" s="383">
        <f t="shared" si="36"/>
        <v>46.191274036756134</v>
      </c>
      <c r="Z135" s="383">
        <f t="shared" si="37"/>
        <v>48.594995085338425</v>
      </c>
      <c r="AA135" s="384">
        <f t="shared" si="38"/>
        <v>50.954149693561234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4.6299557983221953E-2</v>
      </c>
      <c r="AD135" s="230">
        <f>(INDEX(Models!$BJ135:$BT135,,AH135)*(1-AF135)+INDEX(Models!$BJ135:$BT135,,AH135+1)*AF135-ERP_i)*AE135*Ramure*Pc/MaxiM</f>
        <v>0</v>
      </c>
      <c r="AE135" s="304">
        <f t="shared" si="40"/>
        <v>0.6</v>
      </c>
      <c r="AF135" s="177">
        <f t="shared" si="41"/>
        <v>7.9527272876215971E-2</v>
      </c>
      <c r="AG135" s="799">
        <f t="shared" si="49"/>
        <v>2</v>
      </c>
      <c r="AH135" s="176">
        <f t="shared" si="42"/>
        <v>8</v>
      </c>
      <c r="AI135" s="224">
        <f t="shared" si="43"/>
        <v>2.079527272876216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46144</v>
      </c>
      <c r="B136" s="409">
        <f>IF(t&gt;Tmaj,'2025'!Wh/'2025'!Env_an*'2026'!Env_an,0.001*[7]mois!$B$243)</f>
        <v>29.733039481426673</v>
      </c>
      <c r="C136" s="829"/>
      <c r="D136" s="391">
        <f t="shared" si="25"/>
        <v>31.280899452769731</v>
      </c>
      <c r="E136" s="383">
        <f t="shared" si="47"/>
        <v>31.576377064141163</v>
      </c>
      <c r="F136" s="383">
        <f t="shared" si="26"/>
        <v>31.576377064141163</v>
      </c>
      <c r="G136" s="110">
        <f t="shared" si="48"/>
        <v>0.5052582348550011</v>
      </c>
      <c r="H136" s="412" t="b">
        <f>Wh_hp&gt;='2025'!Maxi_hp</f>
        <v>0</v>
      </c>
      <c r="I136" s="388">
        <f>IF(H136,Wh_hp,'2025'!Maxi_hp)</f>
        <v>48.58732792238655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4.9482591562948319E-2</v>
      </c>
      <c r="M136" s="832"/>
      <c r="N136" s="832"/>
      <c r="O136" s="48">
        <f>IF(t&lt;Tnet,'2025'!Resal+('2025'!Salim-'2025'!Resal)*(1-EXP(('2025'!Tnet-t)/('2025'!Tau_j))),Resal+(Salim-Resal)*(1-EXP((Tnet-t)/(Tau_j))))*Salcycl</f>
        <v>9.3575526657547672E-3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0.55737219193767218</v>
      </c>
      <c r="S136" s="799">
        <f t="shared" si="30"/>
        <v>-2</v>
      </c>
      <c r="T136" s="176">
        <f t="shared" si="31"/>
        <v>4</v>
      </c>
      <c r="U136" s="250">
        <f t="shared" si="32"/>
        <v>-1.4426278080623278</v>
      </c>
      <c r="V136" s="382">
        <f t="shared" si="33"/>
        <v>58.847214019103426</v>
      </c>
      <c r="W136" s="400">
        <f t="shared" si="34"/>
        <v>29.733039481426673</v>
      </c>
      <c r="X136" s="157">
        <f t="shared" si="35"/>
        <v>46144</v>
      </c>
      <c r="Y136" s="383">
        <f t="shared" si="36"/>
        <v>28.621076848926037</v>
      </c>
      <c r="Z136" s="383">
        <f t="shared" si="37"/>
        <v>30.111049618741916</v>
      </c>
      <c r="AA136" s="384">
        <f t="shared" si="38"/>
        <v>31.576377064141163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4.6405812877858867E-2</v>
      </c>
      <c r="AD136" s="230">
        <f>(INDEX(Models!$BJ136:$BT136,,AH136)*(1-AF136)+INDEX(Models!$BJ136:$BT136,,AH136+1)*AF136-ERP_i)*AE136*Ramure*Pc/MaxiM</f>
        <v>0</v>
      </c>
      <c r="AE136" s="304">
        <f t="shared" si="40"/>
        <v>0.6</v>
      </c>
      <c r="AF136" s="177">
        <f t="shared" si="41"/>
        <v>8.2359758311651099E-2</v>
      </c>
      <c r="AG136" s="799">
        <f t="shared" si="49"/>
        <v>2</v>
      </c>
      <c r="AH136" s="176">
        <f t="shared" si="42"/>
        <v>8</v>
      </c>
      <c r="AI136" s="224">
        <f t="shared" si="43"/>
        <v>2.0823597583116511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46145</v>
      </c>
      <c r="B137" s="409">
        <f>IF(t&gt;Tmaj,'2025'!Wh/'2025'!Env_an*'2026'!Env_an,0.001*[7]mois!$B$244)</f>
        <v>38.904618133979071</v>
      </c>
      <c r="C137" s="829"/>
      <c r="D137" s="391">
        <f t="shared" si="25"/>
        <v>40.930721942665031</v>
      </c>
      <c r="E137" s="383">
        <f t="shared" si="47"/>
        <v>41.322738805069307</v>
      </c>
      <c r="F137" s="383">
        <f t="shared" si="26"/>
        <v>41.322738805069307</v>
      </c>
      <c r="G137" s="110">
        <f t="shared" si="48"/>
        <v>0.6605188059649213</v>
      </c>
      <c r="H137" s="412" t="b">
        <f>Wh_hp&gt;='2025'!Maxi_hp</f>
        <v>0</v>
      </c>
      <c r="I137" s="388">
        <f>IF(H137,Wh_hp,'2025'!Maxi_hp)</f>
        <v>60.66641025918041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4.9500808012233111E-2</v>
      </c>
      <c r="M137" s="832"/>
      <c r="N137" s="832"/>
      <c r="O137" s="48">
        <f>IF(t&lt;Tnet,'2025'!Resal+('2025'!Salim-'2025'!Resal)*(1-EXP(('2025'!Tnet-t)/('2025'!Tau_j))),Resal+(Salim-Resal)*(1-EXP((Tnet-t)/(Tau_j))))*Salcycl</f>
        <v>9.4867105555013296E-3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0.56028312320323614</v>
      </c>
      <c r="S137" s="799">
        <f t="shared" si="30"/>
        <v>-2</v>
      </c>
      <c r="T137" s="176">
        <f t="shared" si="31"/>
        <v>4</v>
      </c>
      <c r="U137" s="250">
        <f t="shared" si="32"/>
        <v>-1.4397168767967639</v>
      </c>
      <c r="V137" s="382">
        <f t="shared" si="33"/>
        <v>58.900091538113166</v>
      </c>
      <c r="W137" s="400">
        <f t="shared" si="34"/>
        <v>38.904618133979071</v>
      </c>
      <c r="X137" s="157">
        <f t="shared" si="35"/>
        <v>46145</v>
      </c>
      <c r="Y137" s="383">
        <f t="shared" si="36"/>
        <v>37.450341010064236</v>
      </c>
      <c r="Z137" s="383">
        <f t="shared" si="37"/>
        <v>39.400707886710364</v>
      </c>
      <c r="AA137" s="384">
        <f t="shared" si="38"/>
        <v>41.322738805069307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4.6512670116704645E-2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8.5270689577214842E-2</v>
      </c>
      <c r="AG137" s="799">
        <f t="shared" si="49"/>
        <v>2</v>
      </c>
      <c r="AH137" s="176">
        <f t="shared" si="42"/>
        <v>8</v>
      </c>
      <c r="AI137" s="224">
        <f t="shared" si="43"/>
        <v>2.0852706895772148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46146</v>
      </c>
      <c r="B138" s="409">
        <f>IF(t&gt;Tmaj,'2025'!Wh/'2025'!Env_an*'2026'!Env_an,0.001*[7]mois!$B$245)</f>
        <v>20.812898875142842</v>
      </c>
      <c r="C138" s="829"/>
      <c r="D138" s="391">
        <f t="shared" si="25"/>
        <v>21.897228248789457</v>
      </c>
      <c r="E138" s="383">
        <f t="shared" si="47"/>
        <v>22.109836084282307</v>
      </c>
      <c r="F138" s="383">
        <f t="shared" si="26"/>
        <v>22.109836084282307</v>
      </c>
      <c r="G138" s="110">
        <f t="shared" si="48"/>
        <v>0.35306725952179019</v>
      </c>
      <c r="H138" s="412" t="b">
        <f>Wh_hp&gt;='2025'!Maxi_hp</f>
        <v>0</v>
      </c>
      <c r="I138" s="388">
        <f>IF(H138,Wh_hp,'2025'!Maxi_hp)</f>
        <v>53.762353847555971</v>
      </c>
      <c r="J138" s="85">
        <f>IF(H138,An,'2025'!An_max)</f>
        <v>2021</v>
      </c>
      <c r="K138" s="197">
        <f t="shared" si="27"/>
        <v>46146</v>
      </c>
      <c r="L138" s="147">
        <f>IF(t&lt;Tvie,1-EXP((T0-t)*PertePVj)+'2025'!Pspv,1-EXP((T0-t)*PertePVj)+Pspv)</f>
        <v>4.9519024112403831E-2</v>
      </c>
      <c r="M138" s="832"/>
      <c r="N138" s="832"/>
      <c r="O138" s="48">
        <f>IF(t&lt;Tnet,'2025'!Resal+('2025'!Salim-'2025'!Resal)*(1-EXP(('2025'!Tnet-t)/('2025'!Tau_j))),Resal+(Salim-Resal)*(1-EXP((Tnet-t)/(Tau_j))))*Salcycl</f>
        <v>9.6159842471193503E-3</v>
      </c>
      <c r="P138" s="169">
        <f>(INDEX(Models!$BJ138:$BT138,,T138)*(1-R138)+INDEX(Models!$BJ138:$BT138,,T138+1)*R138-ERP_i)*Q138*Ramure*Pc/MaxiM</f>
        <v>0</v>
      </c>
      <c r="Q138" s="304">
        <f t="shared" si="28"/>
        <v>0.6</v>
      </c>
      <c r="R138" s="177">
        <f t="shared" si="29"/>
        <v>0.56327324411952651</v>
      </c>
      <c r="S138" s="799">
        <f t="shared" si="30"/>
        <v>-2</v>
      </c>
      <c r="T138" s="176">
        <f t="shared" si="31"/>
        <v>4</v>
      </c>
      <c r="U138" s="250">
        <f t="shared" si="32"/>
        <v>-1.4367267558804735</v>
      </c>
      <c r="V138" s="382">
        <f t="shared" si="33"/>
        <v>58.948821545596566</v>
      </c>
      <c r="W138" s="400">
        <f t="shared" si="34"/>
        <v>20.812898875142842</v>
      </c>
      <c r="X138" s="157">
        <f t="shared" si="35"/>
        <v>46146</v>
      </c>
      <c r="Y138" s="383">
        <f t="shared" si="36"/>
        <v>20.035257723385389</v>
      </c>
      <c r="Z138" s="383">
        <f t="shared" si="37"/>
        <v>21.079072839596485</v>
      </c>
      <c r="AA138" s="384">
        <f t="shared" si="38"/>
        <v>22.109836084282307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4.6620121504138259E-2</v>
      </c>
      <c r="AD138" s="230">
        <f>(INDEX(Models!$BJ138:$BT138,,AH138)*(1-AF138)+INDEX(Models!$BJ138:$BT138,,AH138+1)*AF138-ERP_i)*AE138*Ramure*Pc/MaxiM</f>
        <v>0</v>
      </c>
      <c r="AE138" s="304">
        <f t="shared" si="40"/>
        <v>0.6</v>
      </c>
      <c r="AF138" s="177">
        <f t="shared" si="41"/>
        <v>8.8260810493505204E-2</v>
      </c>
      <c r="AG138" s="799">
        <f t="shared" si="49"/>
        <v>2</v>
      </c>
      <c r="AH138" s="176">
        <f t="shared" si="42"/>
        <v>8</v>
      </c>
      <c r="AI138" s="224">
        <f t="shared" si="43"/>
        <v>2.0882608104935052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46147</v>
      </c>
      <c r="B139" s="409">
        <f>IF(t&gt;Tmaj,'2025'!Wh/'2025'!Env_an*'2026'!Env_an,0.001*[7]mois!$B$246)</f>
        <v>43.586632509393354</v>
      </c>
      <c r="C139" s="829"/>
      <c r="D139" s="391">
        <f t="shared" si="25"/>
        <v>45.858327477377635</v>
      </c>
      <c r="E139" s="383">
        <f t="shared" si="47"/>
        <v>46.309632245425448</v>
      </c>
      <c r="F139" s="383">
        <f t="shared" si="26"/>
        <v>46.309632245425448</v>
      </c>
      <c r="G139" s="110">
        <f t="shared" si="48"/>
        <v>0.73883652213561524</v>
      </c>
      <c r="H139" s="412" t="b">
        <f>Wh_hp&gt;='2025'!Maxi_hp</f>
        <v>0</v>
      </c>
      <c r="I139" s="388">
        <f>IF(H139,Wh_hp,'2025'!Maxi_hp)</f>
        <v>62.195002367063097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4.9537239863467142E-2</v>
      </c>
      <c r="M139" s="832"/>
      <c r="N139" s="832"/>
      <c r="O139" s="48">
        <f>IF(t&lt;Tnet,'2025'!Resal+('2025'!Salim-'2025'!Resal)*(1-EXP(('2025'!Tnet-t)/('2025'!Tau_j))),Resal+(Salim-Resal)*(1-EXP((Tnet-t)/(Tau_j))))*Salcycl</f>
        <v>9.7453757709854132E-3</v>
      </c>
      <c r="P139" s="169">
        <f>(INDEX(Models!$BJ139:$BT139,,T139)*(1-R139)+INDEX(Models!$BJ139:$BT139,,T139+1)*R139-ERP_i)*Q139*Ramure*Pc/MaxiM</f>
        <v>0</v>
      </c>
      <c r="Q139" s="304">
        <f t="shared" si="28"/>
        <v>0.6</v>
      </c>
      <c r="R139" s="177">
        <f t="shared" si="29"/>
        <v>0.56634320218610279</v>
      </c>
      <c r="S139" s="799">
        <f t="shared" si="30"/>
        <v>-2</v>
      </c>
      <c r="T139" s="176">
        <f t="shared" si="31"/>
        <v>4</v>
      </c>
      <c r="U139" s="250">
        <f t="shared" si="32"/>
        <v>-1.4336567978138972</v>
      </c>
      <c r="V139" s="382">
        <f t="shared" si="33"/>
        <v>58.993608468901485</v>
      </c>
      <c r="W139" s="400">
        <f t="shared" si="34"/>
        <v>43.586632509393354</v>
      </c>
      <c r="X139" s="157">
        <f t="shared" si="35"/>
        <v>46147</v>
      </c>
      <c r="Y139" s="383">
        <f t="shared" si="36"/>
        <v>41.9588138979082</v>
      </c>
      <c r="Z139" s="383">
        <f t="shared" si="37"/>
        <v>44.145668465622855</v>
      </c>
      <c r="AA139" s="384">
        <f t="shared" si="38"/>
        <v>46.309632245425448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4.6728157294238855E-2</v>
      </c>
      <c r="AD139" s="230">
        <f>(INDEX(Models!$BJ139:$BT139,,AH139)*(1-AF139)+INDEX(Models!$BJ139:$BT139,,AH139+1)*AF139-ERP_i)*AE139*Ramure*Pc/MaxiM</f>
        <v>0</v>
      </c>
      <c r="AE139" s="304">
        <f t="shared" si="40"/>
        <v>0.6</v>
      </c>
      <c r="AF139" s="177">
        <f t="shared" si="41"/>
        <v>9.1330768560081488E-2</v>
      </c>
      <c r="AG139" s="799">
        <f t="shared" si="49"/>
        <v>2</v>
      </c>
      <c r="AH139" s="176">
        <f t="shared" si="42"/>
        <v>8</v>
      </c>
      <c r="AI139" s="224">
        <f t="shared" si="43"/>
        <v>2.0913307685600815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46148</v>
      </c>
      <c r="B140" s="409">
        <f>IF(t&gt;Tmaj,'2025'!Wh/'2025'!Env_an*'2026'!Env_an,0.001*[7]mois!$B$247)</f>
        <v>41.443579674238819</v>
      </c>
      <c r="C140" s="829"/>
      <c r="D140" s="391">
        <f t="shared" si="25"/>
        <v>43.604416379508741</v>
      </c>
      <c r="E140" s="383">
        <f t="shared" si="47"/>
        <v>44.039299471966494</v>
      </c>
      <c r="F140" s="383">
        <f t="shared" si="26"/>
        <v>44.039299471966494</v>
      </c>
      <c r="G140" s="110">
        <f t="shared" si="48"/>
        <v>0.70202118603639385</v>
      </c>
      <c r="H140" s="412" t="b">
        <f>Wh_hp&gt;='2025'!Maxi_hp</f>
        <v>0</v>
      </c>
      <c r="I140" s="388">
        <f>IF(H140,Wh_hp,'2025'!Maxi_hp)</f>
        <v>64.219243698545085</v>
      </c>
      <c r="J140" s="85">
        <f>IF(H140,An,'2025'!An_max)</f>
        <v>2018</v>
      </c>
      <c r="K140" s="197">
        <f t="shared" si="27"/>
        <v>46148</v>
      </c>
      <c r="L140" s="147">
        <f>IF(t&lt;Tvie,1-EXP((T0-t)*PertePVj)+'2025'!Pspv,1-EXP((T0-t)*PertePVj)+Pspv)</f>
        <v>4.9555455265429815E-2</v>
      </c>
      <c r="M140" s="832"/>
      <c r="N140" s="832"/>
      <c r="O140" s="48">
        <f>IF(t&lt;Tnet,'2025'!Resal+('2025'!Salim-'2025'!Resal)*(1-EXP(('2025'!Tnet-t)/('2025'!Tau_j))),Resal+(Salim-Resal)*(1-EXP((Tnet-t)/(Tau_j))))*Salcycl</f>
        <v>9.8748866960197343E-3</v>
      </c>
      <c r="P140" s="169">
        <f>(INDEX(Models!$BJ140:$BT140,,T140)*(1-R140)+INDEX(Models!$BJ140:$BT140,,T140+1)*R140-ERP_i)*Q140*Ramure*Pc/MaxiM</f>
        <v>0</v>
      </c>
      <c r="Q140" s="304">
        <f t="shared" si="28"/>
        <v>0.6</v>
      </c>
      <c r="R140" s="177">
        <f t="shared" si="29"/>
        <v>0.56949354154744425</v>
      </c>
      <c r="S140" s="799">
        <f t="shared" si="30"/>
        <v>-2</v>
      </c>
      <c r="T140" s="176">
        <f t="shared" si="31"/>
        <v>4</v>
      </c>
      <c r="U140" s="250">
        <f t="shared" si="32"/>
        <v>-1.4305064584525558</v>
      </c>
      <c r="V140" s="382">
        <f t="shared" si="33"/>
        <v>59.034656643667617</v>
      </c>
      <c r="W140" s="400">
        <f t="shared" si="34"/>
        <v>41.443579674238819</v>
      </c>
      <c r="X140" s="157">
        <f t="shared" si="35"/>
        <v>46148</v>
      </c>
      <c r="Y140" s="383">
        <f t="shared" si="36"/>
        <v>39.896469540799771</v>
      </c>
      <c r="Z140" s="383">
        <f t="shared" si="37"/>
        <v>41.976641101077206</v>
      </c>
      <c r="AA140" s="384">
        <f t="shared" si="38"/>
        <v>44.039299471966494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4.6836766152519992E-2</v>
      </c>
      <c r="AD140" s="230">
        <f>(INDEX(Models!$BJ140:$BT140,,AH140)*(1-AF140)+INDEX(Models!$BJ140:$BT140,,AH140+1)*AF140-ERP_i)*AE140*Ramure*Pc/MaxiM</f>
        <v>0</v>
      </c>
      <c r="AE140" s="304">
        <f t="shared" si="40"/>
        <v>0.6</v>
      </c>
      <c r="AF140" s="177">
        <f t="shared" si="41"/>
        <v>9.4481107921422947E-2</v>
      </c>
      <c r="AG140" s="799">
        <f t="shared" si="49"/>
        <v>2</v>
      </c>
      <c r="AH140" s="176">
        <f t="shared" si="42"/>
        <v>8</v>
      </c>
      <c r="AI140" s="224">
        <f t="shared" si="43"/>
        <v>2.0944811079214229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46149</v>
      </c>
      <c r="B141" s="409">
        <f>IF(t&gt;Tmaj,'2025'!Wh/'2025'!Env_an*'2026'!Env_an,0.001*[7]mois!$B$248)</f>
        <v>51.516137801542136</v>
      </c>
      <c r="C141" s="829"/>
      <c r="D141" s="391">
        <f t="shared" si="25"/>
        <v>54.203188814008264</v>
      </c>
      <c r="E141" s="383">
        <f t="shared" si="47"/>
        <v>54.750945640984504</v>
      </c>
      <c r="F141" s="383">
        <f t="shared" si="26"/>
        <v>54.750945640984504</v>
      </c>
      <c r="G141" s="110">
        <f t="shared" si="48"/>
        <v>0.87208811746012604</v>
      </c>
      <c r="H141" s="412" t="b">
        <f>Wh_hp&gt;='2025'!Maxi_hp</f>
        <v>0</v>
      </c>
      <c r="I141" s="388">
        <f>IF(H141,Wh_hp,'2025'!Maxi_hp)</f>
        <v>60.265273662889911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4.9573670318298402E-2</v>
      </c>
      <c r="M141" s="832"/>
      <c r="N141" s="832"/>
      <c r="O141" s="48">
        <f>IF(t&lt;Tnet,'2025'!Resal+('2025'!Salim-'2025'!Resal)*(1-EXP(('2025'!Tnet-t)/('2025'!Tau_j))),Resal+(Salim-Resal)*(1-EXP((Tnet-t)/(Tau_j))))*Salcycl</f>
        <v>1.0004518105824445E-2</v>
      </c>
      <c r="P141" s="169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0.57272469595259645</v>
      </c>
      <c r="S141" s="799">
        <f t="shared" si="30"/>
        <v>-2</v>
      </c>
      <c r="T141" s="176">
        <f t="shared" si="31"/>
        <v>4</v>
      </c>
      <c r="U141" s="250">
        <f t="shared" si="32"/>
        <v>-1.4272753040474035</v>
      </c>
      <c r="V141" s="382">
        <f t="shared" si="33"/>
        <v>59.07217031184647</v>
      </c>
      <c r="W141" s="400">
        <f t="shared" si="34"/>
        <v>51.516137801542136</v>
      </c>
      <c r="X141" s="157">
        <f t="shared" si="35"/>
        <v>46149</v>
      </c>
      <c r="Y141" s="383">
        <f t="shared" si="36"/>
        <v>49.593826877518907</v>
      </c>
      <c r="Z141" s="383">
        <f t="shared" si="37"/>
        <v>52.180611299066086</v>
      </c>
      <c r="AA141" s="384">
        <f t="shared" si="38"/>
        <v>54.750945640984504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4.694593512179205E-2</v>
      </c>
      <c r="AD141" s="230">
        <f>(INDEX(Models!$BJ141:$BT141,,AH141)*(1-AF141)+INDEX(Models!$BJ141:$BT141,,AH141+1)*AF141-ERP_i)*AE141*Ramure*Pc/MaxiM</f>
        <v>0</v>
      </c>
      <c r="AE141" s="304">
        <f t="shared" si="40"/>
        <v>0.6</v>
      </c>
      <c r="AF141" s="177">
        <f t="shared" si="41"/>
        <v>9.771226232657515E-2</v>
      </c>
      <c r="AG141" s="799">
        <f t="shared" si="49"/>
        <v>2</v>
      </c>
      <c r="AH141" s="176">
        <f t="shared" si="42"/>
        <v>8</v>
      </c>
      <c r="AI141" s="224">
        <f t="shared" si="43"/>
        <v>2.0977122623265751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46150</v>
      </c>
      <c r="B142" s="409">
        <f>IF(t&gt;Tmaj,'2025'!Wh/'2025'!Env_an*'2026'!Env_an,0.001*[7]mois!$B$249)</f>
        <v>50.69473279120696</v>
      </c>
      <c r="C142" s="829"/>
      <c r="D142" s="391">
        <f t="shared" si="25"/>
        <v>53.339962056599958</v>
      </c>
      <c r="E142" s="383">
        <f t="shared" si="47"/>
        <v>53.886057948098731</v>
      </c>
      <c r="F142" s="383">
        <f t="shared" si="26"/>
        <v>53.886057948098731</v>
      </c>
      <c r="G142" s="110">
        <f t="shared" si="48"/>
        <v>0.85768668978985596</v>
      </c>
      <c r="H142" s="412" t="b">
        <f>Wh_hp&gt;='2025'!Maxi_hp</f>
        <v>0</v>
      </c>
      <c r="I142" s="388">
        <f>IF(H142,Wh_hp,'2025'!Maxi_hp)</f>
        <v>60.80360190588106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4.9591885022079674E-2</v>
      </c>
      <c r="M142" s="832"/>
      <c r="N142" s="832"/>
      <c r="O142" s="48">
        <f>IF(t&lt;Tnet,'2025'!Resal+('2025'!Salim-'2025'!Resal)*(1-EXP(('2025'!Tnet-t)/('2025'!Tau_j))),Resal+(Salim-Resal)*(1-EXP((Tnet-t)/(Tau_j))))*Salcycl</f>
        <v>1.0134270575605283E-2</v>
      </c>
      <c r="P142" s="169">
        <f>(INDEX(Models!$BJ142:$BT142,,T142)*(1-R142)+INDEX(Models!$BJ142:$BT142,,T142+1)*R142-ERP_i)*Q142*Ramure*Pc/MaxiM</f>
        <v>1.2222808551248918E-20</v>
      </c>
      <c r="Q142" s="304">
        <f t="shared" si="28"/>
        <v>0.6</v>
      </c>
      <c r="R142" s="177">
        <f t="shared" si="29"/>
        <v>0.57603698175072959</v>
      </c>
      <c r="S142" s="799">
        <f t="shared" si="30"/>
        <v>-2</v>
      </c>
      <c r="T142" s="176">
        <f t="shared" si="31"/>
        <v>4</v>
      </c>
      <c r="U142" s="250">
        <f t="shared" si="32"/>
        <v>-1.4239630182492704</v>
      </c>
      <c r="V142" s="382">
        <f t="shared" si="33"/>
        <v>59.106353630867005</v>
      </c>
      <c r="W142" s="400">
        <f t="shared" si="34"/>
        <v>50.69473279120696</v>
      </c>
      <c r="X142" s="157">
        <f t="shared" si="35"/>
        <v>46150</v>
      </c>
      <c r="Y142" s="383">
        <f t="shared" si="36"/>
        <v>48.803850636265409</v>
      </c>
      <c r="Z142" s="383">
        <f t="shared" si="37"/>
        <v>51.350414487358634</v>
      </c>
      <c r="AA142" s="384">
        <f t="shared" si="38"/>
        <v>53.886057948098731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4.7055649592745177E-2</v>
      </c>
      <c r="AD142" s="230">
        <f>(INDEX(Models!$BJ142:$BT142,,AH142)*(1-AF142)+INDEX(Models!$BJ142:$BT142,,AH142+1)*AF142-ERP_i)*AE142*Ramure*Pc/MaxiM</f>
        <v>0</v>
      </c>
      <c r="AE142" s="304">
        <f t="shared" si="40"/>
        <v>0.6</v>
      </c>
      <c r="AF142" s="177">
        <f t="shared" si="41"/>
        <v>0.10102454812470807</v>
      </c>
      <c r="AG142" s="799">
        <f t="shared" si="49"/>
        <v>2</v>
      </c>
      <c r="AH142" s="176">
        <f t="shared" si="42"/>
        <v>8</v>
      </c>
      <c r="AI142" s="224">
        <f t="shared" si="43"/>
        <v>2.1010245481247081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46151</v>
      </c>
      <c r="B143" s="409">
        <f>IF(t&gt;Tmaj,'2025'!Wh/'2025'!Env_an*'2026'!Env_an,0.001*[7]mois!$B$250)</f>
        <v>55.888290715126047</v>
      </c>
      <c r="C143" s="829"/>
      <c r="D143" s="391">
        <f t="shared" ref="D143:D206" si="50">Wh/(1-Ppv)</f>
        <v>58.805644587002881</v>
      </c>
      <c r="E143" s="383">
        <f t="shared" si="47"/>
        <v>59.415493779908203</v>
      </c>
      <c r="F143" s="383">
        <f t="shared" ref="F143:F206" si="51">Wh_sa/(1-Pvg*MEDIAN((-Sdif+Wh/Env_an)/Csdif,0,1))</f>
        <v>59.415493779908203</v>
      </c>
      <c r="G143" s="110">
        <f t="shared" si="48"/>
        <v>0.94505812960057023</v>
      </c>
      <c r="H143" s="412" t="b">
        <f>Wh_hp&gt;='2025'!Maxi_hp</f>
        <v>1</v>
      </c>
      <c r="I143" s="388">
        <f>IF(H143,Wh_hp,'2025'!Maxi_hp)</f>
        <v>59.415493779908203</v>
      </c>
      <c r="J143" s="85">
        <f>IF(H143,An,'2025'!An_max)</f>
        <v>2026</v>
      </c>
      <c r="K143" s="197">
        <f t="shared" ref="K143:K206" si="52">t</f>
        <v>46151</v>
      </c>
      <c r="L143" s="147">
        <f>IF(t&lt;Tvie,1-EXP((T0-t)*PertePVj)+'2025'!Pspv,1-EXP((T0-t)*PertePVj)+Pspv)</f>
        <v>4.9610099376780292E-2</v>
      </c>
      <c r="M143" s="832"/>
      <c r="N143" s="832"/>
      <c r="O143" s="48">
        <f>IF(t&lt;Tnet,'2025'!Resal+('2025'!Salim-'2025'!Resal)*(1-EXP(('2025'!Tnet-t)/('2025'!Tau_j))),Resal+(Salim-Resal)*(1-EXP((Tnet-t)/(Tau_j))))*Salcycl</f>
        <v>1.0264144150082671E-2</v>
      </c>
      <c r="P143" s="169">
        <f>(INDEX(Models!$BJ143:$BT143,,T143)*(1-R143)+INDEX(Models!$BJ143:$BT143,,T143+1)*R143-ERP_i)*Q143*Ramure*Pc/MaxiM</f>
        <v>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0.57943059096807481</v>
      </c>
      <c r="S143" s="799">
        <f t="shared" ref="S143:S206" si="55">INDEX(Echel_vg,T143)</f>
        <v>-2</v>
      </c>
      <c r="T143" s="176">
        <f t="shared" ref="T143:T206" si="56">MIN(MATCH(Hp_vg,Echel_vg),10)</f>
        <v>4</v>
      </c>
      <c r="U143" s="250">
        <f t="shared" ref="U143:U206" si="57">IF(OR(t&lt;Ttai,Notai),Hdd+PousH*Croivg,Hdtf+PousH*(Croivg-Croi_tai))</f>
        <v>-1.4205694090319252</v>
      </c>
      <c r="V143" s="382">
        <f t="shared" ref="V143:V206" si="58">MaxiM*(1-Ppv)*(1-Pvg)*(1-Psa)</f>
        <v>59.137410667793837</v>
      </c>
      <c r="W143" s="400">
        <f t="shared" ref="W143:W206" si="59">Wh*(A143&gt;Tmaj)</f>
        <v>55.888290715126047</v>
      </c>
      <c r="X143" s="157">
        <f t="shared" ref="X143:X206" si="60">t</f>
        <v>46151</v>
      </c>
      <c r="Y143" s="383">
        <f t="shared" ref="Y143:Y206" si="61">Wh_pvt_s*(1-Ppv)</f>
        <v>53.804526980518752</v>
      </c>
      <c r="Z143" s="383">
        <f t="shared" ref="Z143:Z206" si="62">Wh_sa_s*(1-Psa_s)</f>
        <v>56.613108941116003</v>
      </c>
      <c r="AA143" s="384">
        <f t="shared" ref="AA143:AA206" si="63">Wh_hp*(1-Pvg_s*MEDIAN((-Sdif+Wh/Env_an)/Csdif,0,1))</f>
        <v>59.415493779908203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4.7165893279840894E-2</v>
      </c>
      <c r="AD143" s="230">
        <f>(INDEX(Models!$BJ143:$BT143,,AH143)*(1-AF143)+INDEX(Models!$BJ143:$BT143,,AH143+1)*AF143-ERP_i)*AE143*Ramure*Pc/MaxiM</f>
        <v>-1.2329921231475895E-20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0.10441815734205351</v>
      </c>
      <c r="AG143" s="799">
        <f t="shared" si="49"/>
        <v>2</v>
      </c>
      <c r="AH143" s="176">
        <f t="shared" ref="AH143:AH206" si="67">MIN(MATCH(Hp_vg_s,Echel_vg),10)</f>
        <v>8</v>
      </c>
      <c r="AI143" s="224">
        <f t="shared" ref="AI143:AI206" si="68">IF(OR(t&lt;Ttai,Notai),Hdd_s+PousH*Croivg,Hdtai_s+PousH*(Croivg-Croi_tai))</f>
        <v>2.1044181573420535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46152</v>
      </c>
      <c r="B144" s="409">
        <f>IF(t&gt;Tmaj,'2025'!Wh/'2025'!Env_an*'2026'!Env_an,0.001*[7]mois!$B$251)</f>
        <v>53.870453050332152</v>
      </c>
      <c r="C144" s="829"/>
      <c r="D144" s="391">
        <f t="shared" si="50"/>
        <v>56.683562661740297</v>
      </c>
      <c r="E144" s="383">
        <f t="shared" ref="E144:E169" si="72">Wh_pvt/(1-Psa)</f>
        <v>57.278927759846646</v>
      </c>
      <c r="F144" s="383">
        <f t="shared" si="51"/>
        <v>57.278927759846646</v>
      </c>
      <c r="G144" s="110">
        <f t="shared" ref="G144:G169" si="73">+Wh_hp/MaxiM</f>
        <v>0.91050378534553278</v>
      </c>
      <c r="H144" s="412" t="b">
        <f>Wh_hp&gt;='2025'!Maxi_hp</f>
        <v>1</v>
      </c>
      <c r="I144" s="388">
        <f>IF(H144,Wh_hp,'2025'!Maxi_hp)</f>
        <v>57.278927759846646</v>
      </c>
      <c r="J144" s="85">
        <f>IF(H144,An,'2025'!An_max)</f>
        <v>2026</v>
      </c>
      <c r="K144" s="197">
        <f t="shared" si="52"/>
        <v>46152</v>
      </c>
      <c r="L144" s="147">
        <f>IF(t&lt;Tvie,1-EXP((T0-t)*PertePVj)+'2025'!Pspv,1-EXP((T0-t)*PertePVj)+Pspv)</f>
        <v>4.9628313382406919E-2</v>
      </c>
      <c r="M144" s="832"/>
      <c r="N144" s="832"/>
      <c r="O144" s="48">
        <f>IF(t&lt;Tnet,'2025'!Resal+('2025'!Salim-'2025'!Resal)*(1-EXP(('2025'!Tnet-t)/('2025'!Tau_j))),Resal+(Salim-Resal)*(1-EXP((Tnet-t)/(Tau_j))))*Salcycl</f>
        <v>1.0394138322605087E-2</v>
      </c>
      <c r="P144" s="169">
        <f>(INDEX(Models!$BJ144:$BT144,,T144)*(1-R144)+INDEX(Models!$BJ144:$BT144,,T144+1)*R144-ERP_i)*Q144*Ramure*Pc/MaxiM</f>
        <v>0</v>
      </c>
      <c r="Q144" s="304">
        <f t="shared" si="53"/>
        <v>0.6</v>
      </c>
      <c r="R144" s="177">
        <f t="shared" si="54"/>
        <v>0.58290558451479324</v>
      </c>
      <c r="S144" s="799">
        <f t="shared" si="55"/>
        <v>-2</v>
      </c>
      <c r="T144" s="176">
        <f t="shared" si="56"/>
        <v>4</v>
      </c>
      <c r="U144" s="250">
        <f t="shared" si="57"/>
        <v>-1.4170944154852068</v>
      </c>
      <c r="V144" s="382">
        <f t="shared" si="58"/>
        <v>59.165545401756368</v>
      </c>
      <c r="W144" s="400">
        <f t="shared" si="59"/>
        <v>53.870453050332152</v>
      </c>
      <c r="X144" s="157">
        <f t="shared" si="60"/>
        <v>46152</v>
      </c>
      <c r="Y144" s="383">
        <f t="shared" si="61"/>
        <v>51.862706740576797</v>
      </c>
      <c r="Z144" s="383">
        <f t="shared" si="62"/>
        <v>54.570972042694194</v>
      </c>
      <c r="AA144" s="384">
        <f t="shared" si="63"/>
        <v>57.278927759846646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4.7276648203089619E-2</v>
      </c>
      <c r="AD144" s="230">
        <f>(INDEX(Models!$BJ144:$BT144,,AH144)*(1-AF144)+INDEX(Models!$BJ144:$BT144,,AH144+1)*AF144-ERP_i)*AE144*Ramure*Pc/MaxiM</f>
        <v>1.2439520968745455E-20</v>
      </c>
      <c r="AE144" s="304">
        <f t="shared" si="65"/>
        <v>0.6</v>
      </c>
      <c r="AF144" s="177">
        <f t="shared" si="66"/>
        <v>0.10789315088877194</v>
      </c>
      <c r="AG144" s="799">
        <f t="shared" ref="AG144:AG207" si="74">INDEX(Echel_vg,AH144)</f>
        <v>2</v>
      </c>
      <c r="AH144" s="176">
        <f t="shared" si="67"/>
        <v>8</v>
      </c>
      <c r="AI144" s="224">
        <f t="shared" si="68"/>
        <v>2.1078931508887719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46153</v>
      </c>
      <c r="B145" s="409">
        <f>IF(t&gt;Tmaj,'2025'!Wh/'2025'!Env_an*'2026'!Env_an,0.001*[7]mois!$B$252)</f>
        <v>57.734052704094601</v>
      </c>
      <c r="C145" s="829"/>
      <c r="D145" s="391">
        <f t="shared" si="50"/>
        <v>60.750083360259168</v>
      </c>
      <c r="E145" s="383">
        <f t="shared" si="72"/>
        <v>61.396232786922226</v>
      </c>
      <c r="F145" s="383">
        <f t="shared" si="51"/>
        <v>61.396232786922226</v>
      </c>
      <c r="G145" s="110">
        <f t="shared" si="73"/>
        <v>0.97538629238634755</v>
      </c>
      <c r="H145" s="412" t="b">
        <f>Wh_hp&gt;='2025'!Maxi_hp</f>
        <v>1</v>
      </c>
      <c r="I145" s="388">
        <f>IF(H145,Wh_hp,'2025'!Maxi_hp)</f>
        <v>61.396232786922226</v>
      </c>
      <c r="J145" s="85">
        <f>IF(H145,An,'2025'!An_max)</f>
        <v>2026</v>
      </c>
      <c r="K145" s="197">
        <f t="shared" si="52"/>
        <v>46153</v>
      </c>
      <c r="L145" s="147">
        <f>IF(t&lt;Tvie,1-EXP((T0-t)*PertePVj)+'2025'!Pspv,1-EXP((T0-t)*PertePVj)+Pspv)</f>
        <v>4.9646527038966326E-2</v>
      </c>
      <c r="M145" s="832"/>
      <c r="N145" s="832"/>
      <c r="O145" s="48">
        <f>IF(t&lt;Tnet,'2025'!Resal+('2025'!Salim-'2025'!Resal)*(1-EXP(('2025'!Tnet-t)/('2025'!Tau_j))),Resal+(Salim-Resal)*(1-EXP((Tnet-t)/(Tau_j))))*Salcycl</f>
        <v>1.0524252015682165E-2</v>
      </c>
      <c r="P145" s="169">
        <f>(INDEX(Models!$BJ145:$BT145,,T145)*(1-R145)+INDEX(Models!$BJ145:$BT145,,T145+1)*R145-ERP_i)*Q145*Ramure*Pc/MaxiM</f>
        <v>0</v>
      </c>
      <c r="Q145" s="304">
        <f t="shared" si="53"/>
        <v>0.6</v>
      </c>
      <c r="R145" s="177">
        <f t="shared" si="54"/>
        <v>0.58646188557315737</v>
      </c>
      <c r="S145" s="799">
        <f t="shared" si="55"/>
        <v>-2</v>
      </c>
      <c r="T145" s="176">
        <f t="shared" si="56"/>
        <v>4</v>
      </c>
      <c r="U145" s="250">
        <f t="shared" si="57"/>
        <v>-1.4135381144268426</v>
      </c>
      <c r="V145" s="382">
        <f t="shared" si="58"/>
        <v>59.190961729474793</v>
      </c>
      <c r="W145" s="400">
        <f t="shared" si="59"/>
        <v>57.734052704094601</v>
      </c>
      <c r="X145" s="157">
        <f t="shared" si="60"/>
        <v>46153</v>
      </c>
      <c r="Y145" s="383">
        <f t="shared" si="61"/>
        <v>55.583128345850362</v>
      </c>
      <c r="Z145" s="383">
        <f t="shared" si="62"/>
        <v>58.486794574095669</v>
      </c>
      <c r="AA145" s="384">
        <f t="shared" si="63"/>
        <v>61.396232786922226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4.7387894676272163E-2</v>
      </c>
      <c r="AD145" s="230">
        <f>(INDEX(Models!$BJ145:$BT145,,AH145)*(1-AF145)+INDEX(Models!$BJ145:$BT145,,AH145+1)*AF145-ERP_i)*AE145*Ramure*Pc/MaxiM</f>
        <v>0</v>
      </c>
      <c r="AE145" s="304">
        <f t="shared" si="65"/>
        <v>0.6</v>
      </c>
      <c r="AF145" s="177">
        <f t="shared" si="66"/>
        <v>0.11144945194713607</v>
      </c>
      <c r="AG145" s="799">
        <f t="shared" si="74"/>
        <v>2</v>
      </c>
      <c r="AH145" s="176">
        <f t="shared" si="67"/>
        <v>8</v>
      </c>
      <c r="AI145" s="224">
        <f t="shared" si="68"/>
        <v>2.1114494519471361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46154</v>
      </c>
      <c r="B146" s="409">
        <f>IF(t&gt;Tmaj,'2025'!Wh/'2025'!Env_an*'2026'!Env_an,0.001*[7]mois!$B$253)</f>
        <v>41.272199699722165</v>
      </c>
      <c r="C146" s="829"/>
      <c r="D146" s="391">
        <f t="shared" si="50"/>
        <v>43.429094396401574</v>
      </c>
      <c r="E146" s="383">
        <f t="shared" si="72"/>
        <v>43.896792045728127</v>
      </c>
      <c r="F146" s="383">
        <f t="shared" si="51"/>
        <v>43.896792045728127</v>
      </c>
      <c r="G146" s="110">
        <f t="shared" si="73"/>
        <v>0.69700231141390234</v>
      </c>
      <c r="H146" s="412" t="b">
        <f>Wh_hp&gt;='2025'!Maxi_hp</f>
        <v>0</v>
      </c>
      <c r="I146" s="388">
        <f>IF(H146,Wh_hp,'2025'!Maxi_hp)</f>
        <v>54.191031708919418</v>
      </c>
      <c r="J146" s="85">
        <f>IF(H146,An,'2025'!An_max)</f>
        <v>2018</v>
      </c>
      <c r="K146" s="197">
        <f t="shared" si="52"/>
        <v>46154</v>
      </c>
      <c r="L146" s="147">
        <f>IF(t&lt;Tvie,1-EXP((T0-t)*PertePVj)+'2025'!Pspv,1-EXP((T0-t)*PertePVj)+Pspv)</f>
        <v>4.9664740346465175E-2</v>
      </c>
      <c r="M146" s="832"/>
      <c r="N146" s="832"/>
      <c r="O146" s="48">
        <f>IF(t&lt;Tnet,'2025'!Resal+('2025'!Salim-'2025'!Resal)*(1-EXP(('2025'!Tnet-t)/('2025'!Tau_j))),Resal+(Salim-Resal)*(1-EXP((Tnet-t)/(Tau_j))))*Salcycl</f>
        <v>1.0654483563157466E-2</v>
      </c>
      <c r="P146" s="169">
        <f>(INDEX(Models!$BJ146:$BT146,,T146)*(1-R146)+INDEX(Models!$BJ146:$BT146,,T146+1)*R146-ERP_i)*Q146*Ramure*Pc/MaxiM</f>
        <v>1.2665693720788202E-20</v>
      </c>
      <c r="Q146" s="304">
        <f t="shared" si="53"/>
        <v>0.6</v>
      </c>
      <c r="R146" s="177">
        <f t="shared" si="54"/>
        <v>0.59009927322098621</v>
      </c>
      <c r="S146" s="799">
        <f t="shared" si="55"/>
        <v>-2</v>
      </c>
      <c r="T146" s="176">
        <f t="shared" si="56"/>
        <v>4</v>
      </c>
      <c r="U146" s="250">
        <f t="shared" si="57"/>
        <v>-1.4099007267790138</v>
      </c>
      <c r="V146" s="382">
        <f t="shared" si="58"/>
        <v>59.213863460509259</v>
      </c>
      <c r="W146" s="400">
        <f t="shared" si="59"/>
        <v>41.272199699722165</v>
      </c>
      <c r="X146" s="157">
        <f t="shared" si="60"/>
        <v>46154</v>
      </c>
      <c r="Y146" s="383">
        <f t="shared" si="61"/>
        <v>39.735143691744504</v>
      </c>
      <c r="Z146" s="383">
        <f t="shared" si="62"/>
        <v>41.811711486145221</v>
      </c>
      <c r="AA146" s="384">
        <f t="shared" si="63"/>
        <v>43.896792045728127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4.7499611302138749E-2</v>
      </c>
      <c r="AD146" s="230">
        <f>(INDEX(Models!$BJ146:$BT146,,AH146)*(1-AF146)+INDEX(Models!$BJ146:$BT146,,AH146+1)*AF146-ERP_i)*AE146*Ramure*Pc/MaxiM</f>
        <v>1.2665693720788202E-20</v>
      </c>
      <c r="AE146" s="304">
        <f t="shared" si="65"/>
        <v>0.6</v>
      </c>
      <c r="AF146" s="177">
        <f t="shared" si="66"/>
        <v>0.11508683959496491</v>
      </c>
      <c r="AG146" s="799">
        <f t="shared" si="74"/>
        <v>2</v>
      </c>
      <c r="AH146" s="176">
        <f t="shared" si="67"/>
        <v>8</v>
      </c>
      <c r="AI146" s="224">
        <f t="shared" si="68"/>
        <v>2.1150868395949649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46155</v>
      </c>
      <c r="B147" s="409">
        <f>IF(t&gt;Tmaj,'2025'!Wh/'2025'!Env_an*'2026'!Env_an,0.001*[7]mois!$B$254)</f>
        <v>42.36370359588804</v>
      </c>
      <c r="C147" s="829"/>
      <c r="D147" s="391">
        <f t="shared" si="50"/>
        <v>44.578494875174513</v>
      </c>
      <c r="E147" s="383">
        <f t="shared" si="72"/>
        <v>45.064507963884282</v>
      </c>
      <c r="F147" s="383">
        <f t="shared" si="51"/>
        <v>45.064507963884282</v>
      </c>
      <c r="G147" s="110">
        <f t="shared" si="73"/>
        <v>0.71518686347729132</v>
      </c>
      <c r="H147" s="412" t="b">
        <f>Wh_hp&gt;='2025'!Maxi_hp</f>
        <v>0</v>
      </c>
      <c r="I147" s="388">
        <f>IF(H147,Wh_hp,'2025'!Maxi_hp)</f>
        <v>65.060121509053133</v>
      </c>
      <c r="J147" s="85">
        <f>IF(H147,An,'2025'!An_max)</f>
        <v>2018</v>
      </c>
      <c r="K147" s="197">
        <f t="shared" si="52"/>
        <v>46155</v>
      </c>
      <c r="L147" s="147">
        <f>IF(t&lt;Tvie,1-EXP((T0-t)*PertePVj)+'2025'!Pspv,1-EXP((T0-t)*PertePVj)+Pspv)</f>
        <v>4.9682953304910127E-2</v>
      </c>
      <c r="M147" s="832"/>
      <c r="N147" s="832"/>
      <c r="O147" s="48">
        <f>IF(t&lt;Tnet,'2025'!Resal+('2025'!Salim-'2025'!Resal)*(1-EXP(('2025'!Tnet-t)/('2025'!Tau_j))),Resal+(Salim-Resal)*(1-EXP((Tnet-t)/(Tau_j))))*Salcycl</f>
        <v>1.0784830694241025E-2</v>
      </c>
      <c r="P147" s="169">
        <f>(INDEX(Models!$BJ147:$BT147,,T147)*(1-R147)+INDEX(Models!$BJ147:$BT147,,T147+1)*R147-ERP_i)*Q147*Ramure*Pc/MaxiM</f>
        <v>1.2782005825439509E-20</v>
      </c>
      <c r="Q147" s="304">
        <f t="shared" si="53"/>
        <v>0.6</v>
      </c>
      <c r="R147" s="177">
        <f t="shared" si="54"/>
        <v>0.59381737634643827</v>
      </c>
      <c r="S147" s="799">
        <f t="shared" si="55"/>
        <v>-2</v>
      </c>
      <c r="T147" s="176">
        <f t="shared" si="56"/>
        <v>4</v>
      </c>
      <c r="U147" s="250">
        <f t="shared" si="57"/>
        <v>-1.4061826236535617</v>
      </c>
      <c r="V147" s="382">
        <f t="shared" si="58"/>
        <v>59.234454321367963</v>
      </c>
      <c r="W147" s="400">
        <f t="shared" si="59"/>
        <v>42.36370359588804</v>
      </c>
      <c r="X147" s="157">
        <f t="shared" si="60"/>
        <v>46155</v>
      </c>
      <c r="Y147" s="383">
        <f t="shared" si="61"/>
        <v>40.786568711320015</v>
      </c>
      <c r="Z147" s="383">
        <f t="shared" si="62"/>
        <v>42.918906751344878</v>
      </c>
      <c r="AA147" s="384">
        <f t="shared" si="63"/>
        <v>45.064507963884282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4.7611774975085473E-2</v>
      </c>
      <c r="AD147" s="230">
        <f>(INDEX(Models!$BJ147:$BT147,,AH147)*(1-AF147)+INDEX(Models!$BJ147:$BT147,,AH147+1)*AF147-ERP_i)*AE147*Ramure*Pc/MaxiM</f>
        <v>0</v>
      </c>
      <c r="AE147" s="304">
        <f t="shared" si="65"/>
        <v>0.6</v>
      </c>
      <c r="AF147" s="177">
        <f t="shared" si="66"/>
        <v>0.11880494272041675</v>
      </c>
      <c r="AG147" s="799">
        <f t="shared" si="74"/>
        <v>2</v>
      </c>
      <c r="AH147" s="176">
        <f t="shared" si="67"/>
        <v>8</v>
      </c>
      <c r="AI147" s="224">
        <f t="shared" si="68"/>
        <v>2.1188049427204168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46156</v>
      </c>
      <c r="B148" s="409">
        <f>IF(t&gt;Tmaj,'2025'!Wh/'2025'!Env_an*'2026'!Env_an,0.001*[7]mois!$B$255)</f>
        <v>52.544139586067445</v>
      </c>
      <c r="C148" s="829"/>
      <c r="D148" s="391">
        <f t="shared" si="50"/>
        <v>55.292227772352852</v>
      </c>
      <c r="E148" s="383">
        <f t="shared" si="72"/>
        <v>55.902418915565733</v>
      </c>
      <c r="F148" s="383">
        <f t="shared" si="51"/>
        <v>55.902418915565733</v>
      </c>
      <c r="G148" s="110">
        <f t="shared" si="73"/>
        <v>0.88677694978913102</v>
      </c>
      <c r="H148" s="412" t="b">
        <f>Wh_hp&gt;='2025'!Maxi_hp</f>
        <v>0</v>
      </c>
      <c r="I148" s="388">
        <f>IF(H148,Wh_hp,'2025'!Maxi_hp)</f>
        <v>63.419199758926844</v>
      </c>
      <c r="J148" s="85">
        <f>IF(H148,An,'2025'!An_max)</f>
        <v>2018</v>
      </c>
      <c r="K148" s="197">
        <f t="shared" si="52"/>
        <v>46156</v>
      </c>
      <c r="L148" s="147">
        <f>IF(t&lt;Tvie,1-EXP((T0-t)*PertePVj)+'2025'!Pspv,1-EXP((T0-t)*PertePVj)+Pspv)</f>
        <v>4.9701165914307843E-2</v>
      </c>
      <c r="M148" s="832"/>
      <c r="N148" s="832"/>
      <c r="O148" s="48">
        <f>IF(t&lt;Tnet,'2025'!Resal+('2025'!Salim-'2025'!Resal)*(1-EXP(('2025'!Tnet-t)/('2025'!Tau_j))),Resal+(Salim-Resal)*(1-EXP((Tnet-t)/(Tau_j))))*Salcycl</f>
        <v>1.091529051961955E-2</v>
      </c>
      <c r="P148" s="169">
        <f>(INDEX(Models!$BJ148:$BT148,,T148)*(1-R148)+INDEX(Models!$BJ148:$BT148,,T148+1)*R148-ERP_i)*Q148*Ramure*Pc/MaxiM</f>
        <v>0</v>
      </c>
      <c r="Q148" s="304">
        <f t="shared" si="53"/>
        <v>0.6</v>
      </c>
      <c r="R148" s="177">
        <f t="shared" si="54"/>
        <v>0.59761566791204057</v>
      </c>
      <c r="S148" s="799">
        <f t="shared" si="55"/>
        <v>-2</v>
      </c>
      <c r="T148" s="176">
        <f t="shared" si="56"/>
        <v>4</v>
      </c>
      <c r="U148" s="250">
        <f t="shared" si="57"/>
        <v>-1.4023843320879594</v>
      </c>
      <c r="V148" s="382">
        <f t="shared" si="58"/>
        <v>59.252937955324676</v>
      </c>
      <c r="W148" s="400">
        <f t="shared" si="59"/>
        <v>52.544139586067445</v>
      </c>
      <c r="X148" s="157">
        <f t="shared" si="60"/>
        <v>46156</v>
      </c>
      <c r="Y148" s="383">
        <f t="shared" si="61"/>
        <v>50.588694402121902</v>
      </c>
      <c r="Z148" s="383">
        <f t="shared" si="62"/>
        <v>53.234511700516428</v>
      </c>
      <c r="AA148" s="384">
        <f t="shared" si="63"/>
        <v>55.902418915565733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4.7724360891768951E-2</v>
      </c>
      <c r="AD148" s="230">
        <f>(INDEX(Models!$BJ148:$BT148,,AH148)*(1-AF148)+INDEX(Models!$BJ148:$BT148,,AH148+1)*AF148-ERP_i)*AE148*Ramure*Pc/MaxiM</f>
        <v>0</v>
      </c>
      <c r="AE148" s="304">
        <f t="shared" si="65"/>
        <v>0.6</v>
      </c>
      <c r="AF148" s="177">
        <f t="shared" si="66"/>
        <v>0.12260323428601927</v>
      </c>
      <c r="AG148" s="799">
        <f t="shared" si="74"/>
        <v>2</v>
      </c>
      <c r="AH148" s="176">
        <f t="shared" si="67"/>
        <v>8</v>
      </c>
      <c r="AI148" s="224">
        <f t="shared" si="68"/>
        <v>2.1226032342860193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46157</v>
      </c>
      <c r="B149" s="409">
        <f>IF(t&gt;Tmaj,'2025'!Wh/'2025'!Env_an*'2026'!Env_an,0.001*[7]mois!$B$256)</f>
        <v>54.802029071705356</v>
      </c>
      <c r="C149" s="829"/>
      <c r="D149" s="391">
        <f t="shared" si="50"/>
        <v>57.669311372928505</v>
      </c>
      <c r="E149" s="383">
        <f t="shared" si="72"/>
        <v>58.313433366010031</v>
      </c>
      <c r="F149" s="383">
        <f t="shared" si="51"/>
        <v>58.313433366010031</v>
      </c>
      <c r="G149" s="110">
        <f t="shared" si="73"/>
        <v>0.92463548941580387</v>
      </c>
      <c r="H149" s="412" t="b">
        <f>Wh_hp&gt;='2025'!Maxi_hp</f>
        <v>0</v>
      </c>
      <c r="I149" s="388">
        <f>IF(H149,Wh_hp,'2025'!Maxi_hp)</f>
        <v>63.720230232595142</v>
      </c>
      <c r="J149" s="85">
        <f>IF(H149,An,'2025'!An_max)</f>
        <v>2018</v>
      </c>
      <c r="K149" s="197">
        <f t="shared" si="52"/>
        <v>46157</v>
      </c>
      <c r="L149" s="147">
        <f>IF(t&lt;Tvie,1-EXP((T0-t)*PertePVj)+'2025'!Pspv,1-EXP((T0-t)*PertePVj)+Pspv)</f>
        <v>4.9719378174665096E-2</v>
      </c>
      <c r="M149" s="832"/>
      <c r="N149" s="832"/>
      <c r="O149" s="48">
        <f>IF(t&lt;Tnet,'2025'!Resal+('2025'!Salim-'2025'!Resal)*(1-EXP(('2025'!Tnet-t)/('2025'!Tau_j))),Resal+(Salim-Resal)*(1-EXP((Tnet-t)/(Tau_j))))*Salcycl</f>
        <v>1.1045859519857619E-2</v>
      </c>
      <c r="P149" s="169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0.60149345962708023</v>
      </c>
      <c r="S149" s="799">
        <f t="shared" si="55"/>
        <v>-2</v>
      </c>
      <c r="T149" s="176">
        <f t="shared" si="56"/>
        <v>4</v>
      </c>
      <c r="U149" s="250">
        <f t="shared" si="57"/>
        <v>-1.3985065403729198</v>
      </c>
      <c r="V149" s="382">
        <f t="shared" si="58"/>
        <v>59.268792620462754</v>
      </c>
      <c r="W149" s="400">
        <f t="shared" si="59"/>
        <v>54.802029071705356</v>
      </c>
      <c r="X149" s="157">
        <f t="shared" si="60"/>
        <v>46157</v>
      </c>
      <c r="Y149" s="383">
        <f t="shared" si="61"/>
        <v>52.763261204541983</v>
      </c>
      <c r="Z149" s="383">
        <f t="shared" si="62"/>
        <v>55.523873677643053</v>
      </c>
      <c r="AA149" s="384">
        <f t="shared" si="63"/>
        <v>58.313433366010031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4.7837342570073507E-2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0.12648102600105915</v>
      </c>
      <c r="AG149" s="799">
        <f t="shared" si="74"/>
        <v>2</v>
      </c>
      <c r="AH149" s="176">
        <f t="shared" si="67"/>
        <v>8</v>
      </c>
      <c r="AI149" s="224">
        <f t="shared" si="68"/>
        <v>2.1264810260010591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46158</v>
      </c>
      <c r="B150" s="409">
        <f>IF(t&gt;Tmaj,'2025'!Wh/'2025'!Env_an*'2026'!Env_an,0.001*[7]mois!$B$257)</f>
        <v>52.40483154991842</v>
      </c>
      <c r="C150" s="829"/>
      <c r="D150" s="391">
        <f t="shared" si="50"/>
        <v>55.147747614956685</v>
      </c>
      <c r="E150" s="383">
        <f t="shared" si="72"/>
        <v>55.771074903976235</v>
      </c>
      <c r="F150" s="383">
        <f t="shared" si="51"/>
        <v>55.771074903976235</v>
      </c>
      <c r="G150" s="110">
        <f t="shared" si="73"/>
        <v>0.88400080795457237</v>
      </c>
      <c r="H150" s="412" t="b">
        <f>Wh_hp&gt;='2025'!Maxi_hp</f>
        <v>0</v>
      </c>
      <c r="I150" s="388">
        <f>IF(H150,Wh_hp,'2025'!Maxi_hp)</f>
        <v>57.127425816284799</v>
      </c>
      <c r="J150" s="85">
        <f>IF(H150,An,'2025'!An_max)</f>
        <v>2018</v>
      </c>
      <c r="K150" s="197">
        <f t="shared" si="52"/>
        <v>46158</v>
      </c>
      <c r="L150" s="147">
        <f>IF(t&lt;Tvie,1-EXP((T0-t)*PertePVj)+'2025'!Pspv,1-EXP((T0-t)*PertePVj)+Pspv)</f>
        <v>4.9737590085988548E-2</v>
      </c>
      <c r="M150" s="832"/>
      <c r="N150" s="832"/>
      <c r="O150" s="48">
        <f>IF(t&lt;Tnet,'2025'!Resal+('2025'!Salim-'2025'!Resal)*(1-EXP(('2025'!Tnet-t)/('2025'!Tau_j))),Resal+(Salim-Resal)*(1-EXP((Tnet-t)/(Tau_j))))*Salcycl</f>
        <v>1.1176533536295614E-2</v>
      </c>
      <c r="P150" s="169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0.60544989708820629</v>
      </c>
      <c r="S150" s="799">
        <f t="shared" si="55"/>
        <v>-2</v>
      </c>
      <c r="T150" s="176">
        <f t="shared" si="56"/>
        <v>4</v>
      </c>
      <c r="U150" s="250">
        <f t="shared" si="57"/>
        <v>-1.3945501029117937</v>
      </c>
      <c r="V150" s="382">
        <f t="shared" si="58"/>
        <v>59.281429471964273</v>
      </c>
      <c r="W150" s="400">
        <f t="shared" si="59"/>
        <v>52.40483154991842</v>
      </c>
      <c r="X150" s="157">
        <f t="shared" si="60"/>
        <v>46158</v>
      </c>
      <c r="Y150" s="383">
        <f t="shared" si="61"/>
        <v>50.4559057420432</v>
      </c>
      <c r="Z150" s="383">
        <f t="shared" si="62"/>
        <v>53.096813275618175</v>
      </c>
      <c r="AA150" s="384">
        <f t="shared" si="63"/>
        <v>55.771074903976235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4.7950691876792115E-2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0.13043746346218521</v>
      </c>
      <c r="AG150" s="799">
        <f t="shared" si="74"/>
        <v>2</v>
      </c>
      <c r="AH150" s="176">
        <f t="shared" si="67"/>
        <v>8</v>
      </c>
      <c r="AI150" s="224">
        <f t="shared" si="68"/>
        <v>2.1304374634621852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46159</v>
      </c>
      <c r="B151" s="409">
        <f>IF(t&gt;Tmaj,'2025'!Wh/'2025'!Env_an*'2026'!Env_an,0.001*[7]mois!$B$258)</f>
        <v>55.62535325158823</v>
      </c>
      <c r="C151" s="829"/>
      <c r="D151" s="391">
        <f t="shared" si="50"/>
        <v>58.537956188604419</v>
      </c>
      <c r="E151" s="383">
        <f t="shared" si="72"/>
        <v>59.207432853837062</v>
      </c>
      <c r="F151" s="383">
        <f t="shared" si="51"/>
        <v>59.207432853837062</v>
      </c>
      <c r="G151" s="110">
        <f t="shared" si="73"/>
        <v>0.93817609463648932</v>
      </c>
      <c r="H151" s="412" t="b">
        <f>Wh_hp&gt;='2025'!Maxi_hp</f>
        <v>1</v>
      </c>
      <c r="I151" s="388">
        <f>IF(H151,Wh_hp,'2025'!Maxi_hp)</f>
        <v>59.207432853837062</v>
      </c>
      <c r="J151" s="85">
        <f>IF(H151,An,'2025'!An_max)</f>
        <v>2026</v>
      </c>
      <c r="K151" s="197">
        <f t="shared" si="52"/>
        <v>46159</v>
      </c>
      <c r="L151" s="147">
        <f>IF(t&lt;Tvie,1-EXP((T0-t)*PertePVj)+'2025'!Pspv,1-EXP((T0-t)*PertePVj)+Pspv)</f>
        <v>4.9755801648284859E-2</v>
      </c>
      <c r="M151" s="832"/>
      <c r="N151" s="832"/>
      <c r="O151" s="48">
        <f>IF(t&lt;Tnet,'2025'!Resal+('2025'!Salim-'2025'!Resal)*(1-EXP(('2025'!Tnet-t)/('2025'!Tau_j))),Resal+(Salim-Resal)*(1-EXP((Tnet-t)/(Tau_j))))*Salcycl</f>
        <v>1.1307307764640855E-2</v>
      </c>
      <c r="P151" s="169">
        <f>(INDEX(Models!$BJ151:$BT151,,T151)*(1-R151)+INDEX(Models!$BJ151:$BT151,,T151+1)*R151-ERP_i)*Q151*Ramure*Pc/MaxiM</f>
        <v>0</v>
      </c>
      <c r="Q151" s="304">
        <f t="shared" si="53"/>
        <v>0.6</v>
      </c>
      <c r="R151" s="177">
        <f t="shared" si="54"/>
        <v>0.60948395544818013</v>
      </c>
      <c r="S151" s="799">
        <f t="shared" si="55"/>
        <v>-2</v>
      </c>
      <c r="T151" s="176">
        <f t="shared" si="56"/>
        <v>4</v>
      </c>
      <c r="U151" s="250">
        <f t="shared" si="57"/>
        <v>-1.3905160445518199</v>
      </c>
      <c r="V151" s="382">
        <f t="shared" si="58"/>
        <v>59.290951421162696</v>
      </c>
      <c r="W151" s="400">
        <f t="shared" si="59"/>
        <v>55.62535325158823</v>
      </c>
      <c r="X151" s="157">
        <f t="shared" si="60"/>
        <v>46159</v>
      </c>
      <c r="Y151" s="383">
        <f t="shared" si="61"/>
        <v>53.557344565374585</v>
      </c>
      <c r="Z151" s="383">
        <f t="shared" si="62"/>
        <v>56.361664357724742</v>
      </c>
      <c r="AA151" s="384">
        <f t="shared" si="63"/>
        <v>59.207432853837062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4.8064379064323676E-2</v>
      </c>
      <c r="AD151" s="230">
        <f>(INDEX(Models!$BJ151:$BT151,,AH151)*(1-AF151)+INDEX(Models!$BJ151:$BT151,,AH151+1)*AF151-ERP_i)*AE151*Ramure*Pc/MaxiM</f>
        <v>1.326692502046981E-20</v>
      </c>
      <c r="AE151" s="304">
        <f t="shared" si="65"/>
        <v>0.6</v>
      </c>
      <c r="AF151" s="177">
        <f t="shared" si="66"/>
        <v>0.13447152182215882</v>
      </c>
      <c r="AG151" s="799">
        <f t="shared" si="74"/>
        <v>2</v>
      </c>
      <c r="AH151" s="176">
        <f t="shared" si="67"/>
        <v>8</v>
      </c>
      <c r="AI151" s="224">
        <f t="shared" si="68"/>
        <v>2.1344715218221588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46160</v>
      </c>
      <c r="B152" s="409">
        <f>IF(t&gt;Tmaj,'2025'!Wh/'2025'!Env_an*'2026'!Env_an,0.001*[7]mois!$B$259)</f>
        <v>52.709527207197944</v>
      </c>
      <c r="C152" s="829"/>
      <c r="D152" s="391">
        <f t="shared" si="50"/>
        <v>55.470517456515999</v>
      </c>
      <c r="E152" s="383">
        <f t="shared" si="72"/>
        <v>56.112340323067961</v>
      </c>
      <c r="F152" s="383">
        <f t="shared" si="51"/>
        <v>56.112340323067961</v>
      </c>
      <c r="G152" s="110">
        <f t="shared" si="73"/>
        <v>0.88890023282259123</v>
      </c>
      <c r="H152" s="412" t="b">
        <f>Wh_hp&gt;='2025'!Maxi_hp</f>
        <v>0</v>
      </c>
      <c r="I152" s="388">
        <f>IF(H152,Wh_hp,'2025'!Maxi_hp)</f>
        <v>64.598562640471044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4.977401286156069E-2</v>
      </c>
      <c r="M152" s="832"/>
      <c r="N152" s="832"/>
      <c r="O152" s="48">
        <f>IF(t&lt;Tnet,'2025'!Resal+('2025'!Salim-'2025'!Resal)*(1-EXP(('2025'!Tnet-t)/('2025'!Tau_j))),Resal+(Salim-Resal)*(1-EXP((Tnet-t)/(Tau_j))))*Salcycl</f>
        <v>1.1438176751435686E-2</v>
      </c>
      <c r="P152" s="169">
        <f>(INDEX(Models!$BJ152:$BT152,,T152)*(1-R152)+INDEX(Models!$BJ152:$BT152,,T152+1)*R152-ERP_i)*Q152*Ramure*Pc/MaxiM</f>
        <v>-1.3392794902799644E-20</v>
      </c>
      <c r="Q152" s="304">
        <f t="shared" si="53"/>
        <v>0.6</v>
      </c>
      <c r="R152" s="177">
        <f t="shared" si="54"/>
        <v>0.61359443567213723</v>
      </c>
      <c r="S152" s="799">
        <f t="shared" si="55"/>
        <v>-2</v>
      </c>
      <c r="T152" s="176">
        <f t="shared" si="56"/>
        <v>4</v>
      </c>
      <c r="U152" s="250">
        <f t="shared" si="57"/>
        <v>-1.3864055643278628</v>
      </c>
      <c r="V152" s="382">
        <f t="shared" si="58"/>
        <v>59.297461358318522</v>
      </c>
      <c r="W152" s="400">
        <f t="shared" si="59"/>
        <v>52.709527207197944</v>
      </c>
      <c r="X152" s="157">
        <f t="shared" si="60"/>
        <v>46160</v>
      </c>
      <c r="Y152" s="383">
        <f t="shared" si="61"/>
        <v>50.75056185110919</v>
      </c>
      <c r="Z152" s="383">
        <f t="shared" si="62"/>
        <v>53.408939071369865</v>
      </c>
      <c r="AA152" s="384">
        <f t="shared" si="63"/>
        <v>56.112340323067961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4.8178372816624862E-2</v>
      </c>
      <c r="AD152" s="230">
        <f>(INDEX(Models!$BJ152:$BT152,,AH152)*(1-AF152)+INDEX(Models!$BJ152:$BT152,,AH152+1)*AF152-ERP_i)*AE152*Ramure*Pc/MaxiM</f>
        <v>0</v>
      </c>
      <c r="AE152" s="304">
        <f t="shared" si="65"/>
        <v>0.6</v>
      </c>
      <c r="AF152" s="177">
        <f t="shared" si="66"/>
        <v>0.13858200204611615</v>
      </c>
      <c r="AG152" s="799">
        <f t="shared" si="74"/>
        <v>2</v>
      </c>
      <c r="AH152" s="176">
        <f t="shared" si="67"/>
        <v>8</v>
      </c>
      <c r="AI152" s="224">
        <f t="shared" si="68"/>
        <v>2.1385820020461161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46161</v>
      </c>
      <c r="B153" s="409">
        <f>IF(t&gt;Tmaj,'2025'!Wh/'2025'!Env_an*'2026'!Env_an,0.001*[7]mois!$B$260)</f>
        <v>56.176529768210685</v>
      </c>
      <c r="C153" s="829"/>
      <c r="D153" s="391">
        <f t="shared" si="50"/>
        <v>59.120258927455104</v>
      </c>
      <c r="E153" s="383">
        <f t="shared" si="72"/>
        <v>59.81223470918551</v>
      </c>
      <c r="F153" s="383">
        <f t="shared" si="51"/>
        <v>59.81223470918551</v>
      </c>
      <c r="G153" s="110">
        <f t="shared" si="73"/>
        <v>0.94731068427701792</v>
      </c>
      <c r="H153" s="412" t="b">
        <f>Wh_hp&gt;='2025'!Maxi_hp</f>
        <v>0</v>
      </c>
      <c r="I153" s="388">
        <f>IF(H153,Wh_hp,'2025'!Maxi_hp)</f>
        <v>63.301181056084516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4.9792223725822815E-2</v>
      </c>
      <c r="M153" s="832"/>
      <c r="N153" s="832"/>
      <c r="O153" s="48">
        <f>IF(t&lt;Tnet,'2025'!Resal+('2025'!Salim-'2025'!Resal)*(1-EXP(('2025'!Tnet-t)/('2025'!Tau_j))),Resal+(Salim-Resal)*(1-EXP((Tnet-t)/(Tau_j))))*Salcycl</f>
        <v>1.1569134393571481E-2</v>
      </c>
      <c r="P153" s="169">
        <f>(INDEX(Models!$BJ153:$BT153,,T153)*(1-R153)+INDEX(Models!$BJ153:$BT153,,T153+1)*R153-ERP_i)*Q153*Ramure*Pc/MaxiM</f>
        <v>0</v>
      </c>
      <c r="Q153" s="304">
        <f t="shared" si="53"/>
        <v>0.6</v>
      </c>
      <c r="R153" s="177">
        <f t="shared" si="54"/>
        <v>0.6177799614394337</v>
      </c>
      <c r="S153" s="799">
        <f t="shared" si="55"/>
        <v>-2</v>
      </c>
      <c r="T153" s="176">
        <f t="shared" si="56"/>
        <v>4</v>
      </c>
      <c r="U153" s="250">
        <f t="shared" si="57"/>
        <v>-1.3822200385605663</v>
      </c>
      <c r="V153" s="382">
        <f t="shared" si="58"/>
        <v>59.301062154792753</v>
      </c>
      <c r="W153" s="400">
        <f t="shared" si="59"/>
        <v>56.176529768210685</v>
      </c>
      <c r="X153" s="157">
        <f t="shared" si="60"/>
        <v>46161</v>
      </c>
      <c r="Y153" s="383">
        <f t="shared" si="61"/>
        <v>54.089384177368181</v>
      </c>
      <c r="Z153" s="383">
        <f t="shared" si="62"/>
        <v>56.923743972561418</v>
      </c>
      <c r="AA153" s="384">
        <f t="shared" si="63"/>
        <v>59.81223470918551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4.8292640304584744E-2</v>
      </c>
      <c r="AD153" s="230">
        <f>(INDEX(Models!$BJ153:$BT153,,AH153)*(1-AF153)+INDEX(Models!$BJ153:$BT153,,AH153+1)*AF153-ERP_i)*AE153*Ramure*Pc/MaxiM</f>
        <v>0</v>
      </c>
      <c r="AE153" s="304">
        <f t="shared" si="65"/>
        <v>0.6</v>
      </c>
      <c r="AF153" s="177">
        <f t="shared" si="66"/>
        <v>0.14276752781341262</v>
      </c>
      <c r="AG153" s="799">
        <f t="shared" si="74"/>
        <v>2</v>
      </c>
      <c r="AH153" s="176">
        <f t="shared" si="67"/>
        <v>8</v>
      </c>
      <c r="AI153" s="224">
        <f t="shared" si="68"/>
        <v>2.1427675278134126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46162</v>
      </c>
      <c r="B154" s="409">
        <f>IF(t&gt;Tmaj,'2025'!Wh/'2025'!Env_an*'2026'!Env_an,0.001*[7]mois!$B$261)</f>
        <v>51.106272228735563</v>
      </c>
      <c r="C154" s="829"/>
      <c r="D154" s="391">
        <f t="shared" si="50"/>
        <v>53.785343546597119</v>
      </c>
      <c r="E154" s="383">
        <f t="shared" si="72"/>
        <v>54.422091483183401</v>
      </c>
      <c r="F154" s="383">
        <f t="shared" si="51"/>
        <v>54.422091483183401</v>
      </c>
      <c r="G154" s="110">
        <f t="shared" si="73"/>
        <v>0.86179885603103057</v>
      </c>
      <c r="H154" s="412" t="b">
        <f>Wh_hp&gt;='2025'!Maxi_hp</f>
        <v>0</v>
      </c>
      <c r="I154" s="388">
        <f>IF(H154,Wh_hp,'2025'!Maxi_hp)</f>
        <v>62.450618114879568</v>
      </c>
      <c r="J154" s="85">
        <f>IF(H154,An,'2025'!An_max)</f>
        <v>2020</v>
      </c>
      <c r="K154" s="197">
        <f t="shared" si="52"/>
        <v>46162</v>
      </c>
      <c r="L154" s="147">
        <f>IF(t&lt;Tvie,1-EXP((T0-t)*PertePVj)+'2025'!Pspv,1-EXP((T0-t)*PertePVj)+Pspv)</f>
        <v>4.9810434241077894E-2</v>
      </c>
      <c r="M154" s="832"/>
      <c r="N154" s="832"/>
      <c r="O154" s="48">
        <f>IF(t&lt;Tnet,'2025'!Resal+('2025'!Salim-'2025'!Resal)*(1-EXP(('2025'!Tnet-t)/('2025'!Tau_j))),Resal+(Salim-Resal)*(1-EXP((Tnet-t)/(Tau_j))))*Salcycl</f>
        <v>1.1700173941000471E-2</v>
      </c>
      <c r="P154" s="169">
        <f>(INDEX(Models!$BJ154:$BT154,,T154)*(1-R154)+INDEX(Models!$BJ154:$BT154,,T154+1)*R154-ERP_i)*Q154*Ramure*Pc/MaxiM</f>
        <v>0</v>
      </c>
      <c r="Q154" s="304">
        <f t="shared" si="53"/>
        <v>0.6</v>
      </c>
      <c r="R154" s="177">
        <f t="shared" si="54"/>
        <v>0.62203897674709441</v>
      </c>
      <c r="S154" s="799">
        <f t="shared" si="55"/>
        <v>-2</v>
      </c>
      <c r="T154" s="176">
        <f t="shared" si="56"/>
        <v>4</v>
      </c>
      <c r="U154" s="250">
        <f t="shared" si="57"/>
        <v>-1.3779610232529056</v>
      </c>
      <c r="V154" s="382">
        <f t="shared" si="58"/>
        <v>59.301856658411936</v>
      </c>
      <c r="W154" s="400">
        <f t="shared" si="59"/>
        <v>51.106272228735563</v>
      </c>
      <c r="X154" s="157">
        <f t="shared" si="60"/>
        <v>46162</v>
      </c>
      <c r="Y154" s="383">
        <f t="shared" si="61"/>
        <v>49.20810679229082</v>
      </c>
      <c r="Z154" s="383">
        <f t="shared" si="62"/>
        <v>51.787673287054055</v>
      </c>
      <c r="AA154" s="384">
        <f t="shared" si="63"/>
        <v>54.422091483183401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4.8407147250917222E-2</v>
      </c>
      <c r="AD154" s="230">
        <f>(INDEX(Models!$BJ154:$BT154,,AH154)*(1-AF154)+INDEX(Models!$BJ154:$BT154,,AH154+1)*AF154-ERP_i)*AE154*Ramure*Pc/MaxiM</f>
        <v>0</v>
      </c>
      <c r="AE154" s="304">
        <f t="shared" si="65"/>
        <v>0.6</v>
      </c>
      <c r="AF154" s="177">
        <f t="shared" si="66"/>
        <v>0.14702654312107288</v>
      </c>
      <c r="AG154" s="799">
        <f t="shared" si="74"/>
        <v>2</v>
      </c>
      <c r="AH154" s="176">
        <f t="shared" si="67"/>
        <v>8</v>
      </c>
      <c r="AI154" s="224">
        <f t="shared" si="68"/>
        <v>2.1470265431210729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46163</v>
      </c>
      <c r="B155" s="409">
        <f>IF(t&gt;Tmaj,'2025'!Wh/'2025'!Env_an*'2026'!Env_an,0.001*[7]mois!$B$262)</f>
        <v>52.125138936379692</v>
      </c>
      <c r="C155" s="829"/>
      <c r="D155" s="391">
        <f t="shared" si="50"/>
        <v>54.858672206411384</v>
      </c>
      <c r="E155" s="383">
        <f t="shared" si="72"/>
        <v>55.515491980650324</v>
      </c>
      <c r="F155" s="383">
        <f t="shared" si="51"/>
        <v>55.515491980650324</v>
      </c>
      <c r="G155" s="110">
        <f t="shared" si="73"/>
        <v>0.87900817723197344</v>
      </c>
      <c r="H155" s="412" t="b">
        <f>Wh_hp&gt;='2025'!Maxi_hp</f>
        <v>0</v>
      </c>
      <c r="I155" s="388">
        <f>IF(H155,Wh_hp,'2025'!Maxi_hp)</f>
        <v>60.873954388671315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4.982864440733259E-2</v>
      </c>
      <c r="M155" s="832"/>
      <c r="N155" s="832"/>
      <c r="O155" s="48">
        <f>IF(t&lt;Tnet,'2025'!Resal+('2025'!Salim-'2025'!Resal)*(1-EXP(('2025'!Tnet-t)/('2025'!Tau_j))),Resal+(Salim-Resal)*(1-EXP((Tnet-t)/(Tau_j))))*Salcycl</f>
        <v>1.1831288002777272E-2</v>
      </c>
      <c r="P155" s="169">
        <f>(INDEX(Models!$BJ155:$BT155,,T155)*(1-R155)+INDEX(Models!$BJ155:$BT155,,T155+1)*R155-ERP_i)*Q155*Ramure*Pc/MaxiM</f>
        <v>0</v>
      </c>
      <c r="Q155" s="304">
        <f t="shared" si="53"/>
        <v>0.6</v>
      </c>
      <c r="R155" s="177">
        <f t="shared" si="54"/>
        <v>0.62636974426803738</v>
      </c>
      <c r="S155" s="799">
        <f t="shared" si="55"/>
        <v>-2</v>
      </c>
      <c r="T155" s="176">
        <f t="shared" si="56"/>
        <v>4</v>
      </c>
      <c r="U155" s="250">
        <f t="shared" si="57"/>
        <v>-1.3736302557319626</v>
      </c>
      <c r="V155" s="382">
        <f t="shared" si="58"/>
        <v>59.299947698465694</v>
      </c>
      <c r="W155" s="400">
        <f t="shared" si="59"/>
        <v>52.125138936379692</v>
      </c>
      <c r="X155" s="157">
        <f t="shared" si="60"/>
        <v>46163</v>
      </c>
      <c r="Y155" s="383">
        <f t="shared" si="61"/>
        <v>50.189739610556131</v>
      </c>
      <c r="Z155" s="383">
        <f t="shared" si="62"/>
        <v>52.821777161710358</v>
      </c>
      <c r="AA155" s="384">
        <f t="shared" si="63"/>
        <v>55.515491980650324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4.8521858004588025E-2</v>
      </c>
      <c r="AD155" s="230">
        <f>(INDEX(Models!$BJ155:$BT155,,AH155)*(1-AF155)+INDEX(Models!$BJ155:$BT155,,AH155+1)*AF155-ERP_i)*AE155*Ramure*Pc/MaxiM</f>
        <v>0</v>
      </c>
      <c r="AE155" s="304">
        <f t="shared" si="65"/>
        <v>0.6</v>
      </c>
      <c r="AF155" s="177">
        <f t="shared" si="66"/>
        <v>0.15135731064201607</v>
      </c>
      <c r="AG155" s="799">
        <f t="shared" si="74"/>
        <v>2</v>
      </c>
      <c r="AH155" s="176">
        <f t="shared" si="67"/>
        <v>8</v>
      </c>
      <c r="AI155" s="224">
        <f t="shared" si="68"/>
        <v>2.1513573106420161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46164</v>
      </c>
      <c r="B156" s="409">
        <f>IF(t&gt;Tmaj,'2025'!Wh/'2025'!Env_an*'2026'!Env_an,0.001*[7]mois!$B$263)</f>
        <v>41.453639133332231</v>
      </c>
      <c r="C156" s="829"/>
      <c r="D156" s="391">
        <f t="shared" si="50"/>
        <v>43.628376454516193</v>
      </c>
      <c r="E156" s="383">
        <f t="shared" si="72"/>
        <v>44.156598374130517</v>
      </c>
      <c r="F156" s="383">
        <f t="shared" si="51"/>
        <v>44.156598374130517</v>
      </c>
      <c r="G156" s="110">
        <f t="shared" si="73"/>
        <v>0.69910334547496089</v>
      </c>
      <c r="H156" s="412" t="b">
        <f>Wh_hp&gt;='2025'!Maxi_hp</f>
        <v>0</v>
      </c>
      <c r="I156" s="388">
        <f>IF(H156,Wh_hp,'2025'!Maxi_hp)</f>
        <v>60.177941095555454</v>
      </c>
      <c r="J156" s="85">
        <f>IF(H156,An,'2025'!An_max)</f>
        <v>2018</v>
      </c>
      <c r="K156" s="197">
        <f t="shared" si="52"/>
        <v>46164</v>
      </c>
      <c r="L156" s="147">
        <f>IF(t&lt;Tvie,1-EXP((T0-t)*PertePVj)+'2025'!Pspv,1-EXP((T0-t)*PertePVj)+Pspv)</f>
        <v>4.9846854224593562E-2</v>
      </c>
      <c r="M156" s="832"/>
      <c r="N156" s="832"/>
      <c r="O156" s="48">
        <f>IF(t&lt;Tnet,'2025'!Resal+('2025'!Salim-'2025'!Resal)*(1-EXP(('2025'!Tnet-t)/('2025'!Tau_j))),Resal+(Salim-Resal)*(1-EXP((Tnet-t)/(Tau_j))))*Salcycl</f>
        <v>1.1962468556540496E-2</v>
      </c>
      <c r="P156" s="169">
        <f>(INDEX(Models!$BJ156:$BT156,,T156)*(1-R156)+INDEX(Models!$BJ156:$BT156,,T156+1)*R156-ERP_i)*Q156*Ramure*Pc/MaxiM</f>
        <v>-1.3910798768833795E-20</v>
      </c>
      <c r="Q156" s="304">
        <f t="shared" si="53"/>
        <v>0.6</v>
      </c>
      <c r="R156" s="177">
        <f t="shared" si="54"/>
        <v>0.63077034451359282</v>
      </c>
      <c r="S156" s="799">
        <f t="shared" si="55"/>
        <v>-2</v>
      </c>
      <c r="T156" s="176">
        <f t="shared" si="56"/>
        <v>4</v>
      </c>
      <c r="U156" s="250">
        <f t="shared" si="57"/>
        <v>-1.3692296554864072</v>
      </c>
      <c r="V156" s="382">
        <f t="shared" si="58"/>
        <v>59.29543808028729</v>
      </c>
      <c r="W156" s="400">
        <f t="shared" si="59"/>
        <v>41.453639133332231</v>
      </c>
      <c r="X156" s="157">
        <f t="shared" si="60"/>
        <v>46164</v>
      </c>
      <c r="Y156" s="383">
        <f t="shared" si="61"/>
        <v>39.914950789881942</v>
      </c>
      <c r="Z156" s="383">
        <f t="shared" si="62"/>
        <v>42.008965572921319</v>
      </c>
      <c r="AA156" s="384">
        <f t="shared" si="63"/>
        <v>44.156598374130517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4.8636735624712657E-2</v>
      </c>
      <c r="AD156" s="230">
        <f>(INDEX(Models!$BJ156:$BT156,,AH156)*(1-AF156)+INDEX(Models!$BJ156:$BT156,,AH156+1)*AF156-ERP_i)*AE156*Ramure*Pc/MaxiM</f>
        <v>1.3910798768833795E-20</v>
      </c>
      <c r="AE156" s="304">
        <f t="shared" si="65"/>
        <v>0.6</v>
      </c>
      <c r="AF156" s="177">
        <f t="shared" si="66"/>
        <v>0.15575791088757152</v>
      </c>
      <c r="AG156" s="799">
        <f t="shared" si="74"/>
        <v>2</v>
      </c>
      <c r="AH156" s="176">
        <f t="shared" si="67"/>
        <v>8</v>
      </c>
      <c r="AI156" s="224">
        <f t="shared" si="68"/>
        <v>2.1557579108875715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46165</v>
      </c>
      <c r="B157" s="409">
        <f>IF(t&gt;Tmaj,'2025'!Wh/'2025'!Env_an*'2026'!Env_an,0.001*[7]mois!$B$264)</f>
        <v>19.429270228784226</v>
      </c>
      <c r="C157" s="829"/>
      <c r="D157" s="391">
        <f t="shared" si="50"/>
        <v>20.448958865042393</v>
      </c>
      <c r="E157" s="383">
        <f t="shared" si="72"/>
        <v>20.699290012768348</v>
      </c>
      <c r="F157" s="383">
        <f t="shared" si="51"/>
        <v>20.699290012768348</v>
      </c>
      <c r="G157" s="110">
        <f t="shared" si="73"/>
        <v>0.32770761573836865</v>
      </c>
      <c r="H157" s="412" t="b">
        <f>Wh_hp&gt;='2025'!Maxi_hp</f>
        <v>0</v>
      </c>
      <c r="I157" s="388">
        <f>IF(H157,Wh_hp,'2025'!Maxi_hp)</f>
        <v>58.544637750972903</v>
      </c>
      <c r="J157" s="85">
        <f>IF(H157,An,'2025'!An_max)</f>
        <v>2020</v>
      </c>
      <c r="K157" s="197">
        <f t="shared" si="52"/>
        <v>46165</v>
      </c>
      <c r="L157" s="147">
        <f>IF(t&lt;Tvie,1-EXP((T0-t)*PertePVj)+'2025'!Pspv,1-EXP((T0-t)*PertePVj)+Pspv)</f>
        <v>4.9865063692867584E-2</v>
      </c>
      <c r="M157" s="832"/>
      <c r="N157" s="832"/>
      <c r="O157" s="48">
        <f>IF(t&lt;Tnet,'2025'!Resal+('2025'!Salim-'2025'!Resal)*(1-EXP(('2025'!Tnet-t)/('2025'!Tau_j))),Resal+(Salim-Resal)*(1-EXP((Tnet-t)/(Tau_j))))*Salcycl</f>
        <v>1.2093706961520841E-2</v>
      </c>
      <c r="P157" s="169">
        <f>(INDEX(Models!$BJ157:$BT157,,T157)*(1-R157)+INDEX(Models!$BJ157:$BT157,,T157+1)*R157-ERP_i)*Q157*Ramure*Pc/MaxiM</f>
        <v>0</v>
      </c>
      <c r="Q157" s="304">
        <f t="shared" si="53"/>
        <v>0.6</v>
      </c>
      <c r="R157" s="177">
        <f t="shared" si="54"/>
        <v>0.6352386758453652</v>
      </c>
      <c r="S157" s="799">
        <f t="shared" si="55"/>
        <v>-2</v>
      </c>
      <c r="T157" s="176">
        <f t="shared" si="56"/>
        <v>4</v>
      </c>
      <c r="U157" s="250">
        <f t="shared" si="57"/>
        <v>-1.3647613241546348</v>
      </c>
      <c r="V157" s="382">
        <f t="shared" si="58"/>
        <v>59.288430587758867</v>
      </c>
      <c r="W157" s="400">
        <f t="shared" si="59"/>
        <v>19.429270228784226</v>
      </c>
      <c r="X157" s="157">
        <f t="shared" si="60"/>
        <v>46165</v>
      </c>
      <c r="Y157" s="383">
        <f t="shared" si="61"/>
        <v>18.708312306632745</v>
      </c>
      <c r="Z157" s="383">
        <f t="shared" si="62"/>
        <v>19.690163567025451</v>
      </c>
      <c r="AA157" s="384">
        <f t="shared" si="63"/>
        <v>20.699290012768348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4.8751741973778642E-2</v>
      </c>
      <c r="AD157" s="230">
        <f>(INDEX(Models!$BJ157:$BT157,,AH157)*(1-AF157)+INDEX(Models!$BJ157:$BT157,,AH157+1)*AF157-ERP_i)*AE157*Ramure*Pc/MaxiM</f>
        <v>1.4043172568555057E-20</v>
      </c>
      <c r="AE157" s="304">
        <f t="shared" si="65"/>
        <v>0.6</v>
      </c>
      <c r="AF157" s="177">
        <f t="shared" si="66"/>
        <v>0.1602262422193439</v>
      </c>
      <c r="AG157" s="799">
        <f t="shared" si="74"/>
        <v>2</v>
      </c>
      <c r="AH157" s="176">
        <f t="shared" si="67"/>
        <v>8</v>
      </c>
      <c r="AI157" s="224">
        <f t="shared" si="68"/>
        <v>2.1602262422193439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46166</v>
      </c>
      <c r="B158" s="409">
        <f>IF(t&gt;Tmaj,'2025'!Wh/'2025'!Env_an*'2026'!Env_an,0.001*[7]mois!$B$265)</f>
        <v>16.971148265295536</v>
      </c>
      <c r="C158" s="829"/>
      <c r="D158" s="391">
        <f t="shared" si="50"/>
        <v>17.862171857058915</v>
      </c>
      <c r="E158" s="383">
        <f t="shared" si="72"/>
        <v>18.083239349153256</v>
      </c>
      <c r="F158" s="383">
        <f t="shared" si="51"/>
        <v>18.083239349153256</v>
      </c>
      <c r="G158" s="110">
        <f t="shared" si="73"/>
        <v>0.28629262057704186</v>
      </c>
      <c r="H158" s="412" t="b">
        <f>Wh_hp&gt;='2025'!Maxi_hp</f>
        <v>0</v>
      </c>
      <c r="I158" s="388">
        <f>IF(H158,Wh_hp,'2025'!Maxi_hp)</f>
        <v>26.742649720256367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4.9883272812161317E-2</v>
      </c>
      <c r="M158" s="832"/>
      <c r="N158" s="832"/>
      <c r="O158" s="48">
        <f>IF(t&lt;Tnet,'2025'!Resal+('2025'!Salim-'2025'!Resal)*(1-EXP(('2025'!Tnet-t)/('2025'!Tau_j))),Resal+(Salim-Resal)*(1-EXP((Tnet-t)/(Tau_j))))*Salcycl</f>
        <v>1.2224993975135965E-2</v>
      </c>
      <c r="P158" s="169">
        <f>(INDEX(Models!$BJ158:$BT158,,T158)*(1-R158)+INDEX(Models!$BJ158:$BT158,,T158+1)*R158-ERP_i)*Q158*Ramure*Pc/MaxiM</f>
        <v>0</v>
      </c>
      <c r="Q158" s="304">
        <f t="shared" si="53"/>
        <v>0.6</v>
      </c>
      <c r="R158" s="177">
        <f t="shared" si="54"/>
        <v>0.63977245537619476</v>
      </c>
      <c r="S158" s="799">
        <f t="shared" si="55"/>
        <v>-2</v>
      </c>
      <c r="T158" s="176">
        <f t="shared" si="56"/>
        <v>4</v>
      </c>
      <c r="U158" s="250">
        <f t="shared" si="57"/>
        <v>-1.3602275446238052</v>
      </c>
      <c r="V158" s="382">
        <f t="shared" si="58"/>
        <v>59.279027978747948</v>
      </c>
      <c r="W158" s="400">
        <f t="shared" si="59"/>
        <v>16.971148265295536</v>
      </c>
      <c r="X158" s="157">
        <f t="shared" si="60"/>
        <v>46166</v>
      </c>
      <c r="Y158" s="383">
        <f t="shared" si="61"/>
        <v>16.341597850665305</v>
      </c>
      <c r="Z158" s="383">
        <f t="shared" si="62"/>
        <v>17.199568624618649</v>
      </c>
      <c r="AA158" s="384">
        <f t="shared" si="63"/>
        <v>18.083239349153256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4.8866837819960936E-2</v>
      </c>
      <c r="AD158" s="230">
        <f>(INDEX(Models!$BJ158:$BT158,,AH158)*(1-AF158)+INDEX(Models!$BJ158:$BT158,,AH158+1)*AF158-ERP_i)*AE158*Ramure*Pc/MaxiM</f>
        <v>0</v>
      </c>
      <c r="AE158" s="304">
        <f t="shared" si="65"/>
        <v>0.6</v>
      </c>
      <c r="AF158" s="177">
        <f t="shared" si="66"/>
        <v>0.16476002175017346</v>
      </c>
      <c r="AG158" s="799">
        <f t="shared" si="74"/>
        <v>2</v>
      </c>
      <c r="AH158" s="176">
        <f t="shared" si="67"/>
        <v>8</v>
      </c>
      <c r="AI158" s="224">
        <f t="shared" si="68"/>
        <v>2.1647600217501735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46167</v>
      </c>
      <c r="B159" s="409">
        <f>IF(t&gt;Tmaj,'2025'!Wh/'2025'!Env_an*'2026'!Env_an,0.001*[7]mois!$B$266)</f>
        <v>43.163807042990634</v>
      </c>
      <c r="C159" s="829"/>
      <c r="D159" s="391">
        <f t="shared" si="50"/>
        <v>45.430875015871145</v>
      </c>
      <c r="E159" s="383">
        <f t="shared" si="72"/>
        <v>45.999256538996704</v>
      </c>
      <c r="F159" s="383">
        <f t="shared" si="51"/>
        <v>45.999256538996704</v>
      </c>
      <c r="G159" s="110">
        <f t="shared" si="73"/>
        <v>0.72829001861801546</v>
      </c>
      <c r="H159" s="412" t="b">
        <f>Wh_hp&gt;='2025'!Maxi_hp</f>
        <v>0</v>
      </c>
      <c r="I159" s="388">
        <f>IF(H159,Wh_hp,'2025'!Maxi_hp)</f>
        <v>59.02247557748224</v>
      </c>
      <c r="J159" s="85">
        <f>IF(H159,An,'2025'!An_max)</f>
        <v>2020</v>
      </c>
      <c r="K159" s="197">
        <f t="shared" si="52"/>
        <v>46167</v>
      </c>
      <c r="L159" s="147">
        <f>IF(t&lt;Tvie,1-EXP((T0-t)*PertePVj)+'2025'!Pspv,1-EXP((T0-t)*PertePVj)+Pspv)</f>
        <v>4.9901481582481422E-2</v>
      </c>
      <c r="M159" s="832"/>
      <c r="N159" s="832"/>
      <c r="O159" s="48">
        <f>IF(t&lt;Tnet,'2025'!Resal+('2025'!Salim-'2025'!Resal)*(1-EXP(('2025'!Tnet-t)/('2025'!Tau_j))),Resal+(Salim-Resal)*(1-EXP((Tnet-t)/(Tau_j))))*Salcycl</f>
        <v>1.2356319773205482E-2</v>
      </c>
      <c r="P159" s="169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0.64436922079391179</v>
      </c>
      <c r="S159" s="799">
        <f t="shared" si="55"/>
        <v>-2</v>
      </c>
      <c r="T159" s="176">
        <f t="shared" si="56"/>
        <v>4</v>
      </c>
      <c r="U159" s="250">
        <f t="shared" si="57"/>
        <v>-1.3556307792060882</v>
      </c>
      <c r="V159" s="382">
        <f t="shared" si="58"/>
        <v>59.267332984869377</v>
      </c>
      <c r="W159" s="400">
        <f t="shared" si="59"/>
        <v>43.163807042990634</v>
      </c>
      <c r="X159" s="157">
        <f t="shared" si="60"/>
        <v>46167</v>
      </c>
      <c r="Y159" s="383">
        <f t="shared" si="61"/>
        <v>41.563125451280726</v>
      </c>
      <c r="Z159" s="383">
        <f t="shared" si="62"/>
        <v>43.74612173957302</v>
      </c>
      <c r="AA159" s="384">
        <f t="shared" si="63"/>
        <v>45.999256538996704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4.8981982948214507E-2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0.16935678716789049</v>
      </c>
      <c r="AG159" s="799">
        <f t="shared" si="74"/>
        <v>2</v>
      </c>
      <c r="AH159" s="176">
        <f t="shared" si="67"/>
        <v>8</v>
      </c>
      <c r="AI159" s="224">
        <f t="shared" si="68"/>
        <v>2.1693567871678905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46168</v>
      </c>
      <c r="B160" s="409">
        <f>IF(t&gt;Tmaj,'2025'!Wh/'2025'!Env_an*'2026'!Env_an,0.001*[7]mois!$B$267)</f>
        <v>28.159935600540841</v>
      </c>
      <c r="C160" s="829"/>
      <c r="D160" s="391">
        <f t="shared" si="50"/>
        <v>29.639531841949758</v>
      </c>
      <c r="E160" s="383">
        <f t="shared" si="72"/>
        <v>30.014341148753513</v>
      </c>
      <c r="F160" s="383">
        <f t="shared" si="51"/>
        <v>30.014341148753513</v>
      </c>
      <c r="G160" s="110">
        <f t="shared" si="73"/>
        <v>0.47524551570704998</v>
      </c>
      <c r="H160" s="412" t="b">
        <f>Wh_hp&gt;='2025'!Maxi_hp</f>
        <v>0</v>
      </c>
      <c r="I160" s="388">
        <f>IF(H160,Wh_hp,'2025'!Maxi_hp)</f>
        <v>61.793070992258549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4.991969000383456E-2</v>
      </c>
      <c r="M160" s="832"/>
      <c r="N160" s="832"/>
      <c r="O160" s="48">
        <f>IF(t&lt;Tnet,'2025'!Resal+('2025'!Salim-'2025'!Resal)*(1-EXP(('2025'!Tnet-t)/('2025'!Tau_j))),Resal+(Salim-Resal)*(1-EXP((Tnet-t)/(Tau_j))))*Salcycl</f>
        <v>1.2487673973790372E-2</v>
      </c>
      <c r="P160" s="169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0.64902633313474412</v>
      </c>
      <c r="S160" s="799">
        <f t="shared" si="55"/>
        <v>-2</v>
      </c>
      <c r="T160" s="176">
        <f t="shared" si="56"/>
        <v>4</v>
      </c>
      <c r="U160" s="250">
        <f t="shared" si="57"/>
        <v>-1.3509736668652559</v>
      </c>
      <c r="V160" s="382">
        <f t="shared" si="58"/>
        <v>59.253448312175429</v>
      </c>
      <c r="W160" s="400">
        <f t="shared" si="59"/>
        <v>28.159935600540841</v>
      </c>
      <c r="X160" s="157">
        <f t="shared" si="60"/>
        <v>46168</v>
      </c>
      <c r="Y160" s="383">
        <f t="shared" si="61"/>
        <v>27.115978908825888</v>
      </c>
      <c r="Z160" s="383">
        <f t="shared" si="62"/>
        <v>28.540722951026453</v>
      </c>
      <c r="AA160" s="384">
        <f t="shared" si="63"/>
        <v>30.014341148753513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4.9097136279743277E-2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0.17401389950872304</v>
      </c>
      <c r="AG160" s="799">
        <f t="shared" si="74"/>
        <v>2</v>
      </c>
      <c r="AH160" s="176">
        <f t="shared" si="67"/>
        <v>8</v>
      </c>
      <c r="AI160" s="224">
        <f t="shared" si="68"/>
        <v>2.174013899508723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46169</v>
      </c>
      <c r="B161" s="409">
        <f>IF(t&gt;Tmaj,'2025'!Wh/'2025'!Env_an*'2026'!Env_an,0.001*[7]mois!$B$268)</f>
        <v>44.669491319305699</v>
      </c>
      <c r="C161" s="829"/>
      <c r="D161" s="391">
        <f t="shared" si="50"/>
        <v>47.017443626953266</v>
      </c>
      <c r="E161" s="383">
        <f t="shared" si="72"/>
        <v>47.618341654768798</v>
      </c>
      <c r="F161" s="383">
        <f t="shared" si="51"/>
        <v>47.618341654768798</v>
      </c>
      <c r="G161" s="110">
        <f t="shared" si="73"/>
        <v>0.75407485018699727</v>
      </c>
      <c r="H161" s="412" t="b">
        <f>Wh_hp&gt;='2025'!Maxi_hp</f>
        <v>0</v>
      </c>
      <c r="I161" s="388">
        <f>IF(H161,Wh_hp,'2025'!Maxi_hp)</f>
        <v>61.558653979625923</v>
      </c>
      <c r="J161" s="85">
        <f>IF(H161,An,'2025'!An_max)</f>
        <v>2020</v>
      </c>
      <c r="K161" s="197">
        <f t="shared" si="52"/>
        <v>46169</v>
      </c>
      <c r="L161" s="147">
        <f>IF(t&lt;Tvie,1-EXP((T0-t)*PertePVj)+'2025'!Pspv,1-EXP((T0-t)*PertePVj)+Pspv)</f>
        <v>4.9937898076227505E-2</v>
      </c>
      <c r="M161" s="832"/>
      <c r="N161" s="832"/>
      <c r="O161" s="48">
        <f>IF(t&lt;Tnet,'2025'!Resal+('2025'!Salim-'2025'!Resal)*(1-EXP(('2025'!Tnet-t)/('2025'!Tau_j))),Resal+(Salim-Resal)*(1-EXP((Tnet-t)/(Tau_j))))*Salcycl</f>
        <v>1.2619045664631099E-2</v>
      </c>
      <c r="P161" s="169">
        <f>(INDEX(Models!$BJ161:$BT161,,T161)*(1-R161)+INDEX(Models!$BJ161:$BT161,,T161+1)*R161-ERP_i)*Q161*Ramure*Pc/MaxiM</f>
        <v>1.4579306235209561E-20</v>
      </c>
      <c r="Q161" s="304">
        <f t="shared" si="53"/>
        <v>0.6</v>
      </c>
      <c r="R161" s="177">
        <f t="shared" si="54"/>
        <v>0.65374098052571994</v>
      </c>
      <c r="S161" s="799">
        <f t="shared" si="55"/>
        <v>-2</v>
      </c>
      <c r="T161" s="176">
        <f t="shared" si="56"/>
        <v>4</v>
      </c>
      <c r="U161" s="250">
        <f t="shared" si="57"/>
        <v>-1.3462590194742801</v>
      </c>
      <c r="V161" s="382">
        <f t="shared" si="58"/>
        <v>59.237476635414183</v>
      </c>
      <c r="W161" s="400">
        <f t="shared" si="59"/>
        <v>44.669491319305699</v>
      </c>
      <c r="X161" s="157">
        <f t="shared" si="60"/>
        <v>46169</v>
      </c>
      <c r="Y161" s="383">
        <f t="shared" si="61"/>
        <v>43.014000513841424</v>
      </c>
      <c r="Z161" s="383">
        <f t="shared" si="62"/>
        <v>45.274935634989276</v>
      </c>
      <c r="AA161" s="384">
        <f t="shared" si="63"/>
        <v>47.618341654768798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4.9212255999361028E-2</v>
      </c>
      <c r="AD161" s="230">
        <f>(INDEX(Models!$BJ161:$BT161,,AH161)*(1-AF161)+INDEX(Models!$BJ161:$BT161,,AH161+1)*AF161-ERP_i)*AE161*Ramure*Pc/MaxiM</f>
        <v>0</v>
      </c>
      <c r="AE161" s="304">
        <f t="shared" si="65"/>
        <v>0.6</v>
      </c>
      <c r="AF161" s="177">
        <f t="shared" si="66"/>
        <v>0.17872854689969886</v>
      </c>
      <c r="AG161" s="799">
        <f t="shared" si="74"/>
        <v>2</v>
      </c>
      <c r="AH161" s="176">
        <f t="shared" si="67"/>
        <v>8</v>
      </c>
      <c r="AI161" s="224">
        <f t="shared" si="68"/>
        <v>2.1787285468996989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46170</v>
      </c>
      <c r="B162" s="409">
        <f>IF(t&gt;Tmaj,'2025'!Wh/'2025'!Env_an*'2026'!Env_an,0.001*[7]mois!$B$269)</f>
        <v>55.585023102647561</v>
      </c>
      <c r="C162" s="829"/>
      <c r="D162" s="391">
        <f t="shared" si="50"/>
        <v>58.507847313133205</v>
      </c>
      <c r="E162" s="383">
        <f t="shared" si="72"/>
        <v>59.263481800267343</v>
      </c>
      <c r="F162" s="383">
        <f t="shared" si="51"/>
        <v>59.263481800267343</v>
      </c>
      <c r="G162" s="110">
        <f t="shared" si="73"/>
        <v>0.93862669846152225</v>
      </c>
      <c r="H162" s="412" t="b">
        <f>Wh_hp&gt;='2025'!Maxi_hp</f>
        <v>0</v>
      </c>
      <c r="I162" s="388">
        <f>IF(H162,Wh_hp,'2025'!Maxi_hp)</f>
        <v>60.976736931549574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4.9956105799666917E-2</v>
      </c>
      <c r="M162" s="832"/>
      <c r="N162" s="832"/>
      <c r="O162" s="48">
        <f>IF(t&lt;Tnet,'2025'!Resal+('2025'!Salim-'2025'!Resal)*(1-EXP(('2025'!Tnet-t)/('2025'!Tau_j))),Resal+(Salim-Resal)*(1-EXP((Tnet-t)/(Tau_j))))*Salcycl</f>
        <v>1.2750423434127835E-2</v>
      </c>
      <c r="P162" s="169">
        <f>(INDEX(Models!$BJ162:$BT162,,T162)*(1-R162)+INDEX(Models!$BJ162:$BT162,,T162+1)*R162-ERP_i)*Q162*Ramure*Pc/MaxiM</f>
        <v>-1.4714150153140091E-20</v>
      </c>
      <c r="Q162" s="304">
        <f t="shared" si="53"/>
        <v>0.6</v>
      </c>
      <c r="R162" s="177">
        <f t="shared" si="54"/>
        <v>0.65851018290726238</v>
      </c>
      <c r="S162" s="799">
        <f t="shared" si="55"/>
        <v>-2</v>
      </c>
      <c r="T162" s="176">
        <f t="shared" si="56"/>
        <v>4</v>
      </c>
      <c r="U162" s="250">
        <f t="shared" si="57"/>
        <v>-1.3414898170927376</v>
      </c>
      <c r="V162" s="382">
        <f t="shared" si="58"/>
        <v>59.219520597225163</v>
      </c>
      <c r="W162" s="400">
        <f t="shared" si="59"/>
        <v>55.585023102647561</v>
      </c>
      <c r="X162" s="157">
        <f t="shared" si="60"/>
        <v>46170</v>
      </c>
      <c r="Y162" s="383">
        <f t="shared" si="61"/>
        <v>53.525638566077347</v>
      </c>
      <c r="Z162" s="383">
        <f t="shared" si="62"/>
        <v>56.340174272822118</v>
      </c>
      <c r="AA162" s="384">
        <f t="shared" si="63"/>
        <v>59.263481800267343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4.9327299690178433E-2</v>
      </c>
      <c r="AD162" s="230">
        <f>(INDEX(Models!$BJ162:$BT162,,AH162)*(1-AF162)+INDEX(Models!$BJ162:$BT162,,AH162+1)*AF162-ERP_i)*AE162*Ramure*Pc/MaxiM</f>
        <v>0</v>
      </c>
      <c r="AE162" s="304">
        <f t="shared" si="65"/>
        <v>0.6</v>
      </c>
      <c r="AF162" s="177">
        <f t="shared" si="66"/>
        <v>0.18349774928124107</v>
      </c>
      <c r="AG162" s="799">
        <f t="shared" si="74"/>
        <v>2</v>
      </c>
      <c r="AH162" s="176">
        <f t="shared" si="67"/>
        <v>8</v>
      </c>
      <c r="AI162" s="224">
        <f t="shared" si="68"/>
        <v>2.1834977492812411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46171</v>
      </c>
      <c r="B163" s="409">
        <f>IF(t&gt;Tmaj,'2025'!Wh/'2025'!Env_an*'2026'!Env_an,0.001*[7]mois!$B$270)</f>
        <v>60.13228804397194</v>
      </c>
      <c r="C163" s="829"/>
      <c r="D163" s="391">
        <f t="shared" si="50"/>
        <v>63.295433879142507</v>
      </c>
      <c r="E163" s="383">
        <f t="shared" si="72"/>
        <v>64.121433060958893</v>
      </c>
      <c r="F163" s="383">
        <f t="shared" si="51"/>
        <v>64.121433060958893</v>
      </c>
      <c r="G163" s="110">
        <f t="shared" si="73"/>
        <v>1.0157616376594198</v>
      </c>
      <c r="H163" s="412" t="b">
        <f>Wh_hp&gt;='2025'!Maxi_hp</f>
        <v>1</v>
      </c>
      <c r="I163" s="388">
        <f>IF(H163,Wh_hp,'2025'!Maxi_hp)</f>
        <v>64.121433060958893</v>
      </c>
      <c r="J163" s="85">
        <f>IF(H163,An,'2025'!An_max)</f>
        <v>2026</v>
      </c>
      <c r="K163" s="197">
        <f t="shared" si="52"/>
        <v>46171</v>
      </c>
      <c r="L163" s="147">
        <f>IF(t&lt;Tvie,1-EXP((T0-t)*PertePVj)+'2025'!Pspv,1-EXP((T0-t)*PertePVj)+Pspv)</f>
        <v>4.9974313174159457E-2</v>
      </c>
      <c r="M163" s="832"/>
      <c r="N163" s="832"/>
      <c r="O163" s="48">
        <f>IF(t&lt;Tnet,'2025'!Resal+('2025'!Salim-'2025'!Resal)*(1-EXP(('2025'!Tnet-t)/('2025'!Tau_j))),Resal+(Salim-Resal)*(1-EXP((Tnet-t)/(Tau_j))))*Salcycl</f>
        <v>1.2881795405775201E-2</v>
      </c>
      <c r="P163" s="169">
        <f>(INDEX(Models!$BJ163:$BT163,,T163)*(1-R163)+INDEX(Models!$BJ163:$BT163,,T163+1)*R163-ERP_i)*Q163*Ramure*Pc/MaxiM</f>
        <v>0</v>
      </c>
      <c r="Q163" s="304">
        <f t="shared" si="53"/>
        <v>0.6</v>
      </c>
      <c r="R163" s="177">
        <f t="shared" si="54"/>
        <v>0.66333079773848436</v>
      </c>
      <c r="S163" s="799">
        <f t="shared" si="55"/>
        <v>-2</v>
      </c>
      <c r="T163" s="176">
        <f t="shared" si="56"/>
        <v>4</v>
      </c>
      <c r="U163" s="250">
        <f t="shared" si="57"/>
        <v>-1.3366692022615156</v>
      </c>
      <c r="V163" s="382">
        <f t="shared" si="58"/>
        <v>59.199211522235117</v>
      </c>
      <c r="W163" s="400">
        <f t="shared" si="59"/>
        <v>60.13228804397194</v>
      </c>
      <c r="X163" s="157">
        <f t="shared" si="60"/>
        <v>46171</v>
      </c>
      <c r="Y163" s="383">
        <f t="shared" si="61"/>
        <v>57.905136076185215</v>
      </c>
      <c r="Z163" s="383">
        <f t="shared" si="62"/>
        <v>60.951126773902097</v>
      </c>
      <c r="AA163" s="384">
        <f t="shared" si="63"/>
        <v>64.121433060958893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4.9442224474971617E-2</v>
      </c>
      <c r="AD163" s="230">
        <f>(INDEX(Models!$BJ163:$BT163,,AH163)*(1-AF163)+INDEX(Models!$BJ163:$BT163,,AH163+1)*AF163-ERP_i)*AE163*Ramure*Pc/MaxiM</f>
        <v>0</v>
      </c>
      <c r="AE163" s="304">
        <f t="shared" si="65"/>
        <v>0.6</v>
      </c>
      <c r="AF163" s="177">
        <f t="shared" si="66"/>
        <v>0.18831836411246305</v>
      </c>
      <c r="AG163" s="799">
        <f t="shared" si="74"/>
        <v>2</v>
      </c>
      <c r="AH163" s="176">
        <f t="shared" si="67"/>
        <v>8</v>
      </c>
      <c r="AI163" s="224">
        <f t="shared" si="68"/>
        <v>2.1883183641124631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46172</v>
      </c>
      <c r="B164" s="409">
        <f>IF(t&gt;Tmaj,'2025'!Wh/'2025'!Env_an*'2026'!Env_an,0.001*[7]mois!$B$271)</f>
        <v>48.527838343046547</v>
      </c>
      <c r="C164" s="829"/>
      <c r="D164" s="391">
        <f t="shared" si="50"/>
        <v>51.081532908823128</v>
      </c>
      <c r="E164" s="383">
        <f t="shared" si="72"/>
        <v>51.755028824699082</v>
      </c>
      <c r="F164" s="383">
        <f t="shared" si="51"/>
        <v>51.755028824699082</v>
      </c>
      <c r="G164" s="110">
        <f t="shared" si="73"/>
        <v>0.82005694752332359</v>
      </c>
      <c r="H164" s="412" t="b">
        <f>Wh_hp&gt;='2025'!Maxi_hp</f>
        <v>0</v>
      </c>
      <c r="I164" s="388">
        <f>IF(H164,Wh_hp,'2025'!Maxi_hp)</f>
        <v>59.216456207612119</v>
      </c>
      <c r="J164" s="85">
        <f>IF(H164,An,'2025'!An_max)</f>
        <v>2020</v>
      </c>
      <c r="K164" s="197">
        <f t="shared" si="52"/>
        <v>46172</v>
      </c>
      <c r="L164" s="147">
        <f>IF(t&lt;Tvie,1-EXP((T0-t)*PertePVj)+'2025'!Pspv,1-EXP((T0-t)*PertePVj)+Pspv)</f>
        <v>4.9992520199711787E-2</v>
      </c>
      <c r="M164" s="832"/>
      <c r="N164" s="832"/>
      <c r="O164" s="48">
        <f>IF(t&lt;Tnet,'2025'!Resal+('2025'!Salim-'2025'!Resal)*(1-EXP(('2025'!Tnet-t)/('2025'!Tau_j))),Resal+(Salim-Resal)*(1-EXP((Tnet-t)/(Tau_j))))*Salcycl</f>
        <v>1.3013149275931618E-2</v>
      </c>
      <c r="P164" s="169">
        <f>(INDEX(Models!$BJ164:$BT164,,T164)*(1-R164)+INDEX(Models!$BJ164:$BT164,,T164+1)*R164-ERP_i)*Q164*Ramure*Pc/MaxiM</f>
        <v>0</v>
      </c>
      <c r="Q164" s="304">
        <f t="shared" si="53"/>
        <v>0.6</v>
      </c>
      <c r="R164" s="177">
        <f t="shared" si="54"/>
        <v>0.66819952667857185</v>
      </c>
      <c r="S164" s="799">
        <f t="shared" si="55"/>
        <v>-2</v>
      </c>
      <c r="T164" s="176">
        <f t="shared" si="56"/>
        <v>4</v>
      </c>
      <c r="U164" s="250">
        <f t="shared" si="57"/>
        <v>-1.3318004733214281</v>
      </c>
      <c r="V164" s="382">
        <f t="shared" si="58"/>
        <v>59.176180983048546</v>
      </c>
      <c r="W164" s="400">
        <f t="shared" si="59"/>
        <v>48.527838343046547</v>
      </c>
      <c r="X164" s="157">
        <f t="shared" si="60"/>
        <v>46172</v>
      </c>
      <c r="Y164" s="383">
        <f t="shared" si="61"/>
        <v>46.731063182220389</v>
      </c>
      <c r="Z164" s="383">
        <f t="shared" si="62"/>
        <v>49.190205525586229</v>
      </c>
      <c r="AA164" s="384">
        <f t="shared" si="63"/>
        <v>51.755028824699082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4.9556987163512922E-2</v>
      </c>
      <c r="AD164" s="230">
        <f>(INDEX(Models!$BJ164:$BT164,,AH164)*(1-AF164)+INDEX(Models!$BJ164:$BT164,,AH164+1)*AF164-ERP_i)*AE164*Ramure*Pc/MaxiM</f>
        <v>0</v>
      </c>
      <c r="AE164" s="304">
        <f t="shared" si="65"/>
        <v>0.6</v>
      </c>
      <c r="AF164" s="177">
        <f t="shared" si="66"/>
        <v>0.19318709305255055</v>
      </c>
      <c r="AG164" s="799">
        <f t="shared" si="74"/>
        <v>2</v>
      </c>
      <c r="AH164" s="176">
        <f t="shared" si="67"/>
        <v>8</v>
      </c>
      <c r="AI164" s="224">
        <f t="shared" si="68"/>
        <v>2.1931870930525506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46173</v>
      </c>
      <c r="B165" s="409">
        <f>IF(t&gt;Tmaj,'2025'!Wh/'2025'!Env_an*'2026'!Env_an,0.001*[7]mois!$B$272)</f>
        <v>54.363542188096147</v>
      </c>
      <c r="C165" s="829"/>
      <c r="D165" s="391">
        <f t="shared" si="50"/>
        <v>57.225427408609391</v>
      </c>
      <c r="E165" s="383">
        <f t="shared" si="72"/>
        <v>57.987644397308195</v>
      </c>
      <c r="F165" s="383">
        <f t="shared" si="51"/>
        <v>57.987644397308195</v>
      </c>
      <c r="G165" s="110">
        <f t="shared" si="73"/>
        <v>0.91907106159188356</v>
      </c>
      <c r="H165" s="412" t="b">
        <f>Wh_hp&gt;='2025'!Maxi_hp</f>
        <v>0</v>
      </c>
      <c r="I165" s="388">
        <f>IF(H165,Wh_hp,'2025'!Maxi_hp)</f>
        <v>62.494074168087401</v>
      </c>
      <c r="J165" s="85">
        <f>IF(H165,An,'2025'!An_max)</f>
        <v>2020</v>
      </c>
      <c r="K165" s="197">
        <f t="shared" si="52"/>
        <v>46173</v>
      </c>
      <c r="L165" s="147">
        <f>IF(t&lt;Tvie,1-EXP((T0-t)*PertePVj)+'2025'!Pspv,1-EXP((T0-t)*PertePVj)+Pspv)</f>
        <v>5.0010726876330569E-2</v>
      </c>
      <c r="M165" s="832"/>
      <c r="N165" s="832"/>
      <c r="O165" s="48">
        <f>IF(t&lt;Tnet,'2025'!Resal+('2025'!Salim-'2025'!Resal)*(1-EXP(('2025'!Tnet-t)/('2025'!Tau_j))),Resal+(Salim-Resal)*(1-EXP((Tnet-t)/(Tau_j))))*Salcycl</f>
        <v>1.3144472354772655E-2</v>
      </c>
      <c r="P165" s="169">
        <f>(INDEX(Models!$BJ165:$BT165,,T165)*(1-R165)+INDEX(Models!$BJ165:$BT165,,T165+1)*R165-ERP_i)*Q165*Ramure*Pc/MaxiM</f>
        <v>0</v>
      </c>
      <c r="Q165" s="304">
        <f t="shared" si="53"/>
        <v>0.6</v>
      </c>
      <c r="R165" s="177">
        <f t="shared" si="54"/>
        <v>0.67311292322819849</v>
      </c>
      <c r="S165" s="799">
        <f t="shared" si="55"/>
        <v>-2</v>
      </c>
      <c r="T165" s="176">
        <f t="shared" si="56"/>
        <v>4</v>
      </c>
      <c r="U165" s="250">
        <f t="shared" si="57"/>
        <v>-1.3268870767718015</v>
      </c>
      <c r="V165" s="382">
        <f t="shared" si="58"/>
        <v>59.150531944652222</v>
      </c>
      <c r="W165" s="400">
        <f t="shared" si="59"/>
        <v>54.363542188096147</v>
      </c>
      <c r="X165" s="157">
        <f t="shared" si="60"/>
        <v>46173</v>
      </c>
      <c r="Y165" s="383">
        <f t="shared" si="61"/>
        <v>52.351351987213903</v>
      </c>
      <c r="Z165" s="383">
        <f t="shared" si="62"/>
        <v>55.10730854368164</v>
      </c>
      <c r="AA165" s="384">
        <f t="shared" si="63"/>
        <v>57.987644397308195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4.9671544405074368E-2</v>
      </c>
      <c r="AD165" s="230">
        <f>(INDEX(Models!$BJ165:$BT165,,AH165)*(1-AF165)+INDEX(Models!$BJ165:$BT165,,AH165+1)*AF165-ERP_i)*AE165*Ramure*Pc/MaxiM</f>
        <v>0</v>
      </c>
      <c r="AE165" s="304">
        <f t="shared" si="65"/>
        <v>0.6</v>
      </c>
      <c r="AF165" s="177">
        <f t="shared" si="66"/>
        <v>0.19810048960217719</v>
      </c>
      <c r="AG165" s="799">
        <f t="shared" si="74"/>
        <v>2</v>
      </c>
      <c r="AH165" s="176">
        <f t="shared" si="67"/>
        <v>8</v>
      </c>
      <c r="AI165" s="224">
        <f t="shared" si="68"/>
        <v>2.1981004896021772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46174</v>
      </c>
      <c r="B166" s="409">
        <f>IF(t&gt;Tmaj,'2025'!Wh/'2025'!Env_an*'2026'!Env_an,0.001*'[8]mon-tableau'!$B$235)</f>
        <v>56.374147982720892</v>
      </c>
      <c r="C166" s="829"/>
      <c r="D166" s="391">
        <f t="shared" si="50"/>
        <v>59.343015754003176</v>
      </c>
      <c r="E166" s="383">
        <f t="shared" si="72"/>
        <v>60.141438553725294</v>
      </c>
      <c r="F166" s="383">
        <f t="shared" si="51"/>
        <v>60.141438553725294</v>
      </c>
      <c r="G166" s="110">
        <f t="shared" si="73"/>
        <v>0.95351641909032647</v>
      </c>
      <c r="H166" s="412" t="b">
        <f>Wh_hp&gt;='2025'!Maxi_hp</f>
        <v>0</v>
      </c>
      <c r="I166" s="388">
        <f>IF(H166,Wh_hp,'2025'!Maxi_hp)</f>
        <v>63.527407036379969</v>
      </c>
      <c r="J166" s="85">
        <f>IF(H166,An,'2025'!An_max)</f>
        <v>2018</v>
      </c>
      <c r="K166" s="197">
        <f t="shared" si="52"/>
        <v>46174</v>
      </c>
      <c r="L166" s="147">
        <f>IF(t&lt;Tvie,1-EXP((T0-t)*PertePVj)+'2025'!Pspv,1-EXP((T0-t)*PertePVj)+Pspv)</f>
        <v>5.0028933204022574E-2</v>
      </c>
      <c r="M166" s="832"/>
      <c r="N166" s="832"/>
      <c r="O166" s="48">
        <f>IF(t&lt;Tnet,'2025'!Resal+('2025'!Salim-'2025'!Resal)*(1-EXP(('2025'!Tnet-t)/('2025'!Tau_j))),Resal+(Salim-Resal)*(1-EXP((Tnet-t)/(Tau_j))))*Salcycl</f>
        <v>1.3275751610245854E-2</v>
      </c>
      <c r="P166" s="169">
        <f>(INDEX(Models!$BJ166:$BT166,,T166)*(1-R166)+INDEX(Models!$BJ166:$BT166,,T166+1)*R166-ERP_i)*Q166*Ramure*Pc/MaxiM</f>
        <v>0</v>
      </c>
      <c r="Q166" s="304">
        <f t="shared" si="53"/>
        <v>0.6</v>
      </c>
      <c r="R166" s="177">
        <f t="shared" si="54"/>
        <v>0.67806740130528098</v>
      </c>
      <c r="S166" s="799">
        <f t="shared" si="55"/>
        <v>-2</v>
      </c>
      <c r="T166" s="176">
        <f t="shared" si="56"/>
        <v>4</v>
      </c>
      <c r="U166" s="250">
        <f t="shared" si="57"/>
        <v>-1.321932598694719</v>
      </c>
      <c r="V166" s="382">
        <f t="shared" si="58"/>
        <v>59.122367327982602</v>
      </c>
      <c r="W166" s="400">
        <f t="shared" si="59"/>
        <v>56.374147982720892</v>
      </c>
      <c r="X166" s="157">
        <f t="shared" si="60"/>
        <v>46174</v>
      </c>
      <c r="Y166" s="383">
        <f t="shared" si="61"/>
        <v>54.288230003868087</v>
      </c>
      <c r="Z166" s="383">
        <f t="shared" si="62"/>
        <v>57.147245743987924</v>
      </c>
      <c r="AA166" s="384">
        <f t="shared" si="63"/>
        <v>60.141438553725294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4.9785852845249251E-2</v>
      </c>
      <c r="AD166" s="230">
        <f>(INDEX(Models!$BJ166:$BT166,,AH166)*(1-AF166)+INDEX(Models!$BJ166:$BT166,,AH166+1)*AF166-ERP_i)*AE166*Ramure*Pc/MaxiM</f>
        <v>0</v>
      </c>
      <c r="AE166" s="304">
        <f t="shared" si="65"/>
        <v>0.6</v>
      </c>
      <c r="AF166" s="177">
        <f t="shared" si="66"/>
        <v>0.20305496767925968</v>
      </c>
      <c r="AG166" s="799">
        <f t="shared" si="74"/>
        <v>2</v>
      </c>
      <c r="AH166" s="176">
        <f t="shared" si="67"/>
        <v>8</v>
      </c>
      <c r="AI166" s="224">
        <f t="shared" si="68"/>
        <v>2.2030549676792597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46175</v>
      </c>
      <c r="B167" s="409">
        <f>IF(t&gt;Tmaj,'2025'!Wh/'2025'!Env_an*'2026'!Env_an,0.001*'[8]mon-tableau'!$B$236)</f>
        <v>42.63522826166929</v>
      </c>
      <c r="C167" s="829"/>
      <c r="D167" s="391">
        <f t="shared" si="50"/>
        <v>44.881414668294127</v>
      </c>
      <c r="E167" s="383">
        <f t="shared" si="72"/>
        <v>45.491315539991128</v>
      </c>
      <c r="F167" s="383">
        <f t="shared" si="51"/>
        <v>45.491315539991128</v>
      </c>
      <c r="G167" s="110">
        <f t="shared" si="73"/>
        <v>0.72150849137454043</v>
      </c>
      <c r="H167" s="412" t="b">
        <f>Wh_hp&gt;='2025'!Maxi_hp</f>
        <v>0</v>
      </c>
      <c r="I167" s="388">
        <f>IF(H167,Wh_hp,'2025'!Maxi_hp)</f>
        <v>63.013679668505368</v>
      </c>
      <c r="J167" s="85">
        <f>IF(H167,An,'2025'!An_max)</f>
        <v>2018</v>
      </c>
      <c r="K167" s="197">
        <f t="shared" si="52"/>
        <v>46175</v>
      </c>
      <c r="L167" s="147">
        <f>IF(t&lt;Tvie,1-EXP((T0-t)*PertePVj)+'2025'!Pspv,1-EXP((T0-t)*PertePVj)+Pspv)</f>
        <v>5.0047139182794576E-2</v>
      </c>
      <c r="M167" s="832"/>
      <c r="N167" s="832"/>
      <c r="O167" s="48">
        <f>IF(t&lt;Tnet,'2025'!Resal+('2025'!Salim-'2025'!Resal)*(1-EXP(('2025'!Tnet-t)/('2025'!Tau_j))),Resal+(Salim-Resal)*(1-EXP((Tnet-t)/(Tau_j))))*Salcycl</f>
        <v>1.3406973714814708E-2</v>
      </c>
      <c r="P167" s="169">
        <f>(INDEX(Models!$BJ167:$BT167,,T167)*(1-R167)+INDEX(Models!$BJ167:$BT167,,T167+1)*R167-ERP_i)*Q167*Ramure*Pc/MaxiM</f>
        <v>0</v>
      </c>
      <c r="Q167" s="304">
        <f t="shared" si="53"/>
        <v>0.6</v>
      </c>
      <c r="R167" s="177">
        <f t="shared" si="54"/>
        <v>0.68305924471969348</v>
      </c>
      <c r="S167" s="799">
        <f t="shared" si="55"/>
        <v>-2</v>
      </c>
      <c r="T167" s="176">
        <f t="shared" si="56"/>
        <v>4</v>
      </c>
      <c r="U167" s="250">
        <f t="shared" si="57"/>
        <v>-1.3169407552803065</v>
      </c>
      <c r="V167" s="382">
        <f t="shared" si="58"/>
        <v>59.09179000852123</v>
      </c>
      <c r="W167" s="400">
        <f t="shared" si="59"/>
        <v>42.63522826166929</v>
      </c>
      <c r="X167" s="157">
        <f t="shared" si="60"/>
        <v>46175</v>
      </c>
      <c r="Y167" s="383">
        <f t="shared" si="61"/>
        <v>41.058202181855258</v>
      </c>
      <c r="Z167" s="383">
        <f t="shared" si="62"/>
        <v>43.221304840889232</v>
      </c>
      <c r="AA167" s="384">
        <f t="shared" si="63"/>
        <v>45.491315539991128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4.9899869286179267E-2</v>
      </c>
      <c r="AD167" s="230">
        <f>(INDEX(Models!$BJ167:$BT167,,AH167)*(1-AF167)+INDEX(Models!$BJ167:$BT167,,AH167+1)*AF167-ERP_i)*AE167*Ramure*Pc/MaxiM</f>
        <v>0</v>
      </c>
      <c r="AE167" s="304">
        <f t="shared" si="65"/>
        <v>0.6</v>
      </c>
      <c r="AF167" s="177">
        <f t="shared" si="66"/>
        <v>0.20804681109367218</v>
      </c>
      <c r="AG167" s="799">
        <f t="shared" si="74"/>
        <v>2</v>
      </c>
      <c r="AH167" s="176">
        <f t="shared" si="67"/>
        <v>8</v>
      </c>
      <c r="AI167" s="224">
        <f t="shared" si="68"/>
        <v>2.2080468110936722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46176</v>
      </c>
      <c r="B168" s="409">
        <f>IF(t&gt;Tmaj,'2025'!Wh/'2025'!Env_an*'2026'!Env_an,0.001*'[8]mon-tableau'!$B$237)</f>
        <v>55.964724585284209</v>
      </c>
      <c r="C168" s="829"/>
      <c r="D168" s="391">
        <f t="shared" si="50"/>
        <v>58.914288766785539</v>
      </c>
      <c r="E168" s="383">
        <f t="shared" si="72"/>
        <v>59.722823826763985</v>
      </c>
      <c r="F168" s="383">
        <f t="shared" si="51"/>
        <v>59.722823826763985</v>
      </c>
      <c r="G168" s="110">
        <f t="shared" si="73"/>
        <v>0.94760860629198485</v>
      </c>
      <c r="H168" s="412" t="b">
        <f>Wh_hp&gt;='2025'!Maxi_hp</f>
        <v>1</v>
      </c>
      <c r="I168" s="388">
        <f>IF(H168,Wh_hp,'2025'!Maxi_hp)</f>
        <v>59.722823826763985</v>
      </c>
      <c r="J168" s="85">
        <f>IF(H168,An,'2025'!An_max)</f>
        <v>2026</v>
      </c>
      <c r="K168" s="197">
        <f t="shared" si="52"/>
        <v>46176</v>
      </c>
      <c r="L168" s="147">
        <f>IF(t&lt;Tvie,1-EXP((T0-t)*PertePVj)+'2025'!Pspv,1-EXP((T0-t)*PertePVj)+Pspv)</f>
        <v>5.0065344812653012E-2</v>
      </c>
      <c r="M168" s="832"/>
      <c r="N168" s="832"/>
      <c r="O168" s="48">
        <f>IF(t&lt;Tnet,'2025'!Resal+('2025'!Salim-'2025'!Resal)*(1-EXP(('2025'!Tnet-t)/('2025'!Tau_j))),Resal+(Salim-Resal)*(1-EXP((Tnet-t)/(Tau_j))))*Salcycl</f>
        <v>1.3538125094749982E-2</v>
      </c>
      <c r="P168" s="169">
        <f>(INDEX(Models!$BJ168:$BT168,,T168)*(1-R168)+INDEX(Models!$BJ168:$BT168,,T168+1)*R168-ERP_i)*Q168*Ramure*Pc/MaxiM</f>
        <v>0</v>
      </c>
      <c r="Q168" s="304">
        <f t="shared" si="53"/>
        <v>0.6</v>
      </c>
      <c r="R168" s="177">
        <f t="shared" si="54"/>
        <v>0.68808461750196548</v>
      </c>
      <c r="S168" s="799">
        <f t="shared" si="55"/>
        <v>-2</v>
      </c>
      <c r="T168" s="176">
        <f t="shared" si="56"/>
        <v>4</v>
      </c>
      <c r="U168" s="250">
        <f t="shared" si="57"/>
        <v>-1.3119153824980345</v>
      </c>
      <c r="V168" s="382">
        <f t="shared" si="58"/>
        <v>59.058902814607727</v>
      </c>
      <c r="W168" s="400">
        <f t="shared" si="59"/>
        <v>55.964724585284209</v>
      </c>
      <c r="X168" s="157">
        <f t="shared" si="60"/>
        <v>46176</v>
      </c>
      <c r="Y168" s="383">
        <f t="shared" si="61"/>
        <v>53.895372278408594</v>
      </c>
      <c r="Z168" s="383">
        <f t="shared" si="62"/>
        <v>56.735873340444982</v>
      </c>
      <c r="AA168" s="384">
        <f t="shared" si="63"/>
        <v>59.722823826763985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5.0013550849222238E-2</v>
      </c>
      <c r="AD168" s="230">
        <f>(INDEX(Models!$BJ168:$BT168,,AH168)*(1-AF168)+INDEX(Models!$BJ168:$BT168,,AH168+1)*AF168-ERP_i)*AE168*Ramure*Pc/MaxiM</f>
        <v>0</v>
      </c>
      <c r="AE168" s="304">
        <f t="shared" si="65"/>
        <v>0.6</v>
      </c>
      <c r="AF168" s="177">
        <f t="shared" si="66"/>
        <v>0.21307218387594418</v>
      </c>
      <c r="AG168" s="799">
        <f t="shared" si="74"/>
        <v>2</v>
      </c>
      <c r="AH168" s="176">
        <f t="shared" si="67"/>
        <v>8</v>
      </c>
      <c r="AI168" s="224">
        <f t="shared" si="68"/>
        <v>2.2130721838759442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46177</v>
      </c>
      <c r="B169" s="409">
        <f>IF(t&gt;Tmaj,'2025'!Wh/'2025'!Env_an*'2026'!Env_an,0.001*'[8]mon-tableau'!$B$238)</f>
        <v>25.322569069268926</v>
      </c>
      <c r="C169" s="829"/>
      <c r="D169" s="391">
        <f t="shared" si="50"/>
        <v>26.657680337848884</v>
      </c>
      <c r="E169" s="383">
        <f t="shared" si="72"/>
        <v>27.02711921916795</v>
      </c>
      <c r="F169" s="383">
        <f t="shared" si="51"/>
        <v>27.02711921916795</v>
      </c>
      <c r="G169" s="110">
        <f t="shared" si="73"/>
        <v>0.42902296046229349</v>
      </c>
      <c r="H169" s="412" t="b">
        <f>Wh_hp&gt;='2025'!Maxi_hp</f>
        <v>0</v>
      </c>
      <c r="I169" s="388">
        <f>IF(H169,Wh_hp,'2025'!Maxi_hp)</f>
        <v>59.234814387524935</v>
      </c>
      <c r="J169" s="85">
        <f>IF(H169,An,'2025'!An_max)</f>
        <v>2018</v>
      </c>
      <c r="K169" s="197">
        <f t="shared" si="52"/>
        <v>46177</v>
      </c>
      <c r="L169" s="147">
        <f>IF(t&lt;Tvie,1-EXP((T0-t)*PertePVj)+'2025'!Pspv,1-EXP((T0-t)*PertePVj)+Pspv)</f>
        <v>5.0083550093604767E-2</v>
      </c>
      <c r="M169" s="832"/>
      <c r="N169" s="832"/>
      <c r="O169" s="48">
        <f>IF(t&lt;Tnet,'2025'!Resal+('2025'!Salim-'2025'!Resal)*(1-EXP(('2025'!Tnet-t)/('2025'!Tau_j))),Resal+(Salim-Resal)*(1-EXP((Tnet-t)/(Tau_j))))*Salcycl</f>
        <v>1.366919198169872E-2</v>
      </c>
      <c r="P169" s="169">
        <f>(INDEX(Models!$BJ169:$BT169,,T169)*(1-R169)+INDEX(Models!$BJ169:$BT169,,T169+1)*R169-ERP_i)*Q169*Ramure*Pc/MaxiM</f>
        <v>0</v>
      </c>
      <c r="Q169" s="304">
        <f t="shared" si="53"/>
        <v>0.6</v>
      </c>
      <c r="R169" s="177">
        <f t="shared" si="54"/>
        <v>0.69313957503162515</v>
      </c>
      <c r="S169" s="799">
        <f t="shared" si="55"/>
        <v>-2</v>
      </c>
      <c r="T169" s="176">
        <f t="shared" si="56"/>
        <v>4</v>
      </c>
      <c r="U169" s="250">
        <f t="shared" si="57"/>
        <v>-1.3068604249683748</v>
      </c>
      <c r="V169" s="382">
        <f t="shared" si="58"/>
        <v>59.023808520603673</v>
      </c>
      <c r="W169" s="400">
        <f t="shared" si="59"/>
        <v>25.322569069268926</v>
      </c>
      <c r="X169" s="157">
        <f t="shared" si="60"/>
        <v>46177</v>
      </c>
      <c r="Y169" s="383">
        <f t="shared" si="61"/>
        <v>24.38657306681101</v>
      </c>
      <c r="Z169" s="383">
        <f t="shared" si="62"/>
        <v>25.672334729242834</v>
      </c>
      <c r="AA169" s="384">
        <f t="shared" si="63"/>
        <v>27.02711921916795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5.0126855139051942E-2</v>
      </c>
      <c r="AD169" s="230">
        <f>(INDEX(Models!$BJ169:$BT169,,AH169)*(1-AF169)+INDEX(Models!$BJ169:$BT169,,AH169+1)*AF169-ERP_i)*AE169*Ramure*Pc/MaxiM</f>
        <v>0</v>
      </c>
      <c r="AE169" s="304">
        <f t="shared" si="65"/>
        <v>0.6</v>
      </c>
      <c r="AF169" s="177">
        <f t="shared" si="66"/>
        <v>0.21812714140560363</v>
      </c>
      <c r="AG169" s="799">
        <f t="shared" si="74"/>
        <v>2</v>
      </c>
      <c r="AH169" s="176">
        <f t="shared" si="67"/>
        <v>8</v>
      </c>
      <c r="AI169" s="224">
        <f t="shared" si="68"/>
        <v>2.2181271414056036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46178</v>
      </c>
      <c r="B170" s="409">
        <f>IF(t&gt;Tmaj,'2025'!Wh/'2025'!Env_an*'2026'!Env_an,0.001*'[8]mon-tableau'!$B$239)</f>
        <v>35.046113260014089</v>
      </c>
      <c r="C170" s="829"/>
      <c r="D170" s="391">
        <f t="shared" si="50"/>
        <v>36.894597337592373</v>
      </c>
      <c r="E170" s="383">
        <f t="shared" ref="E170:E232" si="75">Wh_pvt/(1-Psa)</f>
        <v>37.410873393606145</v>
      </c>
      <c r="F170" s="383">
        <f t="shared" si="51"/>
        <v>37.410873393606145</v>
      </c>
      <c r="G170" s="110">
        <f t="shared" ref="G170:G232" si="76">+Wh_hp/MaxiM</f>
        <v>0.59413676004119731</v>
      </c>
      <c r="H170" s="412" t="b">
        <f>Wh_hp&gt;='2025'!Maxi_hp</f>
        <v>0</v>
      </c>
      <c r="I170" s="388">
        <f>IF(H170,Wh_hp,'2025'!Maxi_hp)</f>
        <v>42.628678562631272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5.0101755025656391E-2</v>
      </c>
      <c r="M170" s="832"/>
      <c r="N170" s="832"/>
      <c r="O170" s="48">
        <f>IF(t&lt;Tnet,'2025'!Resal+('2025'!Salim-'2025'!Resal)*(1-EXP(('2025'!Tnet-t)/('2025'!Tau_j))),Resal+(Salim-Resal)*(1-EXP((Tnet-t)/(Tau_j))))*Salcycl</f>
        <v>1.3800160466235228E-2</v>
      </c>
      <c r="P170" s="169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0.69822007590189705</v>
      </c>
      <c r="S170" s="799">
        <f t="shared" si="55"/>
        <v>-2</v>
      </c>
      <c r="T170" s="176">
        <f t="shared" si="56"/>
        <v>4</v>
      </c>
      <c r="U170" s="250">
        <f t="shared" si="57"/>
        <v>-1.3017799240981029</v>
      </c>
      <c r="V170" s="382">
        <f t="shared" si="58"/>
        <v>58.986609846500656</v>
      </c>
      <c r="W170" s="400">
        <f t="shared" si="59"/>
        <v>35.046113260014089</v>
      </c>
      <c r="X170" s="157">
        <f t="shared" si="60"/>
        <v>46178</v>
      </c>
      <c r="Y170" s="383">
        <f t="shared" si="61"/>
        <v>33.751177290043479</v>
      </c>
      <c r="Z170" s="383">
        <f t="shared" si="62"/>
        <v>35.531360825869392</v>
      </c>
      <c r="AA170" s="384">
        <f t="shared" si="63"/>
        <v>37.410873393606145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5.0239740408145099E-2</v>
      </c>
      <c r="AD170" s="230">
        <f>(INDEX(Models!$BJ170:$BT170,,AH170)*(1-AF170)+INDEX(Models!$BJ170:$BT170,,AH170+1)*AF170-ERP_i)*AE170*Ramure*Pc/MaxiM</f>
        <v>0</v>
      </c>
      <c r="AE170" s="304">
        <f t="shared" si="65"/>
        <v>0.6</v>
      </c>
      <c r="AF170" s="177">
        <f t="shared" si="66"/>
        <v>0.22320764227587597</v>
      </c>
      <c r="AG170" s="799">
        <f t="shared" si="74"/>
        <v>2</v>
      </c>
      <c r="AH170" s="176">
        <f t="shared" si="67"/>
        <v>8</v>
      </c>
      <c r="AI170" s="224">
        <f t="shared" si="68"/>
        <v>2.223207642275876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46179</v>
      </c>
      <c r="B171" s="409">
        <f>IF(t&gt;Tmaj,'2025'!Wh/'2025'!Env_an*'2026'!Env_an,0.001*'[8]mon-tableau'!$B$240)</f>
        <v>50.222642034385679</v>
      </c>
      <c r="C171" s="829"/>
      <c r="D171" s="391">
        <f t="shared" si="50"/>
        <v>52.872615381730405</v>
      </c>
      <c r="E171" s="383">
        <f t="shared" si="75"/>
        <v>53.619590788575117</v>
      </c>
      <c r="F171" s="383">
        <f t="shared" si="51"/>
        <v>53.619590788575117</v>
      </c>
      <c r="G171" s="110">
        <f t="shared" si="76"/>
        <v>0.85199065576218935</v>
      </c>
      <c r="H171" s="412" t="b">
        <f>Wh_hp&gt;='2025'!Maxi_hp</f>
        <v>0</v>
      </c>
      <c r="I171" s="388">
        <f>IF(H171,Wh_hp,'2025'!Maxi_hp)</f>
        <v>54.411394736000254</v>
      </c>
      <c r="J171" s="85">
        <f>IF(H171,An,'2025'!An_max)</f>
        <v>2018</v>
      </c>
      <c r="K171" s="197">
        <f t="shared" si="52"/>
        <v>46179</v>
      </c>
      <c r="L171" s="147">
        <f>IF(t&lt;Tvie,1-EXP((T0-t)*PertePVj)+'2025'!Pspv,1-EXP((T0-t)*PertePVj)+Pspv)</f>
        <v>5.0119959608814768E-2</v>
      </c>
      <c r="M171" s="832"/>
      <c r="N171" s="832"/>
      <c r="O171" s="48">
        <f>IF(t&lt;Tnet,'2025'!Resal+('2025'!Salim-'2025'!Resal)*(1-EXP(('2025'!Tnet-t)/('2025'!Tau_j))),Resal+(Salim-Resal)*(1-EXP((Tnet-t)/(Tau_j))))*Salcycl</f>
        <v>1.3931016553074431E-2</v>
      </c>
      <c r="P171" s="169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0.70332199444903698</v>
      </c>
      <c r="S171" s="799">
        <f t="shared" si="55"/>
        <v>-2</v>
      </c>
      <c r="T171" s="176">
        <f t="shared" si="56"/>
        <v>4</v>
      </c>
      <c r="U171" s="250">
        <f t="shared" si="57"/>
        <v>-1.296678005550963</v>
      </c>
      <c r="V171" s="382">
        <f t="shared" si="58"/>
        <v>58.947409451875487</v>
      </c>
      <c r="W171" s="400">
        <f t="shared" si="59"/>
        <v>50.222642034385679</v>
      </c>
      <c r="X171" s="157">
        <f t="shared" si="60"/>
        <v>46179</v>
      </c>
      <c r="Y171" s="383">
        <f t="shared" si="61"/>
        <v>48.367633543269051</v>
      </c>
      <c r="Z171" s="383">
        <f t="shared" si="62"/>
        <v>50.919728267318895</v>
      </c>
      <c r="AA171" s="384">
        <f t="shared" si="63"/>
        <v>53.619590788575117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5.0352165720583777E-2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0.2283095608230159</v>
      </c>
      <c r="AG171" s="799">
        <f t="shared" si="74"/>
        <v>2</v>
      </c>
      <c r="AH171" s="176">
        <f t="shared" si="67"/>
        <v>8</v>
      </c>
      <c r="AI171" s="224">
        <f t="shared" si="68"/>
        <v>2.2283095608230159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46180</v>
      </c>
      <c r="B172" s="409">
        <f>IF(t&gt;Tmaj,'2025'!Wh/'2025'!Env_an*'2026'!Env_an,0.001*'[8]mon-tableau'!$B$241)</f>
        <v>25.834954950936588</v>
      </c>
      <c r="C172" s="829"/>
      <c r="D172" s="391">
        <f t="shared" si="50"/>
        <v>27.198645073965</v>
      </c>
      <c r="E172" s="383">
        <f t="shared" si="75"/>
        <v>27.586560283690954</v>
      </c>
      <c r="F172" s="383">
        <f t="shared" si="51"/>
        <v>27.586560283690954</v>
      </c>
      <c r="G172" s="110">
        <f t="shared" si="76"/>
        <v>0.43857703834635142</v>
      </c>
      <c r="H172" s="412" t="b">
        <f>Wh_hp&gt;='2025'!Maxi_hp</f>
        <v>0</v>
      </c>
      <c r="I172" s="388">
        <f>IF(H172,Wh_hp,'2025'!Maxi_hp)</f>
        <v>54.292344061536546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5.0138163843086447E-2</v>
      </c>
      <c r="M172" s="832"/>
      <c r="N172" s="832"/>
      <c r="O172" s="48">
        <f>IF(t&lt;Tnet,'2025'!Resal+('2025'!Salim-'2025'!Resal)*(1-EXP(('2025'!Tnet-t)/('2025'!Tau_j))),Resal+(Salim-Resal)*(1-EXP((Tnet-t)/(Tau_j))))*Salcycl</f>
        <v>1.4061746217606011E-2</v>
      </c>
      <c r="P172" s="169">
        <f>(INDEX(Models!$BJ172:$BT172,,T172)*(1-R172)+INDEX(Models!$BJ172:$BT172,,T172+1)*R172-ERP_i)*Q172*Ramure*Pc/MaxiM</f>
        <v>0</v>
      </c>
      <c r="Q172" s="304">
        <f t="shared" si="53"/>
        <v>0.6</v>
      </c>
      <c r="R172" s="177">
        <f t="shared" si="54"/>
        <v>0.70844113386686303</v>
      </c>
      <c r="S172" s="799">
        <f t="shared" si="55"/>
        <v>-2</v>
      </c>
      <c r="T172" s="176">
        <f t="shared" si="56"/>
        <v>4</v>
      </c>
      <c r="U172" s="250">
        <f t="shared" si="57"/>
        <v>-1.291558866133137</v>
      </c>
      <c r="V172" s="382">
        <f t="shared" si="58"/>
        <v>58.906309934389007</v>
      </c>
      <c r="W172" s="400">
        <f t="shared" si="59"/>
        <v>25.834954950936588</v>
      </c>
      <c r="X172" s="157">
        <f t="shared" si="60"/>
        <v>46180</v>
      </c>
      <c r="Y172" s="383">
        <f t="shared" si="61"/>
        <v>24.881088989350221</v>
      </c>
      <c r="Z172" s="383">
        <f t="shared" si="62"/>
        <v>26.194429592010643</v>
      </c>
      <c r="AA172" s="384">
        <f t="shared" si="63"/>
        <v>27.586560283690954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5.0464091114082531E-2</v>
      </c>
      <c r="AD172" s="230">
        <f>(INDEX(Models!$BJ172:$BT172,,AH172)*(1-AF172)+INDEX(Models!$BJ172:$BT172,,AH172+1)*AF172-ERP_i)*AE172*Ramure*Pc/MaxiM</f>
        <v>0</v>
      </c>
      <c r="AE172" s="304">
        <f t="shared" si="65"/>
        <v>0.6</v>
      </c>
      <c r="AF172" s="177">
        <f t="shared" si="66"/>
        <v>0.23342870024084172</v>
      </c>
      <c r="AG172" s="799">
        <f t="shared" si="74"/>
        <v>2</v>
      </c>
      <c r="AH172" s="176">
        <f t="shared" si="67"/>
        <v>8</v>
      </c>
      <c r="AI172" s="224">
        <f t="shared" si="68"/>
        <v>2.2334287002408417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46181</v>
      </c>
      <c r="B173" s="409">
        <f>IF(t&gt;Tmaj,'2025'!Wh/'2025'!Env_an*'2026'!Env_an,0.001*'[8]mon-tableau'!$B$242)</f>
        <v>21.331857171253272</v>
      </c>
      <c r="C173" s="829"/>
      <c r="D173" s="391">
        <f t="shared" si="50"/>
        <v>22.458283075750892</v>
      </c>
      <c r="E173" s="383">
        <f t="shared" si="75"/>
        <v>22.781607288788575</v>
      </c>
      <c r="F173" s="383">
        <f t="shared" si="51"/>
        <v>22.781607288788575</v>
      </c>
      <c r="G173" s="110">
        <f t="shared" si="76"/>
        <v>0.36239585482329351</v>
      </c>
      <c r="H173" s="412" t="b">
        <f>Wh_hp&gt;='2025'!Maxi_hp</f>
        <v>0</v>
      </c>
      <c r="I173" s="388">
        <f>IF(H173,Wh_hp,'2025'!Maxi_hp)</f>
        <v>63.783632046651569</v>
      </c>
      <c r="J173" s="85">
        <f>IF(H173,An,'2025'!An_max)</f>
        <v>2018</v>
      </c>
      <c r="K173" s="197">
        <f t="shared" si="52"/>
        <v>46181</v>
      </c>
      <c r="L173" s="147">
        <f>IF(t&lt;Tvie,1-EXP((T0-t)*PertePVj)+'2025'!Pspv,1-EXP((T0-t)*PertePVj)+Pspv)</f>
        <v>5.0156367728478091E-2</v>
      </c>
      <c r="M173" s="832"/>
      <c r="N173" s="832"/>
      <c r="O173" s="48">
        <f>IF(t&lt;Tnet,'2025'!Resal+('2025'!Salim-'2025'!Resal)*(1-EXP(('2025'!Tnet-t)/('2025'!Tau_j))),Resal+(Salim-Resal)*(1-EXP((Tnet-t)/(Tau_j))))*Salcycl</f>
        <v>1.4192335463389216E-2</v>
      </c>
      <c r="P173" s="169">
        <f>(INDEX(Models!$BJ173:$BT173,,T173)*(1-R173)+INDEX(Models!$BJ173:$BT173,,T173+1)*R173-ERP_i)*Q173*Ramure*Pc/MaxiM</f>
        <v>0</v>
      </c>
      <c r="Q173" s="304">
        <f t="shared" si="53"/>
        <v>0.6</v>
      </c>
      <c r="R173" s="177">
        <f t="shared" si="54"/>
        <v>0.71357323982012955</v>
      </c>
      <c r="S173" s="799">
        <f t="shared" si="55"/>
        <v>-2</v>
      </c>
      <c r="T173" s="176">
        <f t="shared" si="56"/>
        <v>4</v>
      </c>
      <c r="U173" s="250">
        <f t="shared" si="57"/>
        <v>-1.2864267601798705</v>
      </c>
      <c r="V173" s="382">
        <f t="shared" si="58"/>
        <v>58.863413825897162</v>
      </c>
      <c r="W173" s="400">
        <f t="shared" si="59"/>
        <v>21.331857171253272</v>
      </c>
      <c r="X173" s="157">
        <f t="shared" si="60"/>
        <v>46181</v>
      </c>
      <c r="Y173" s="383">
        <f t="shared" si="61"/>
        <v>20.544563642490552</v>
      </c>
      <c r="Z173" s="383">
        <f t="shared" si="62"/>
        <v>21.629416616036956</v>
      </c>
      <c r="AA173" s="384">
        <f t="shared" si="63"/>
        <v>22.781607288788575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5.0575477759141375E-2</v>
      </c>
      <c r="AD173" s="230">
        <f>(INDEX(Models!$BJ173:$BT173,,AH173)*(1-AF173)+INDEX(Models!$BJ173:$BT173,,AH173+1)*AF173-ERP_i)*AE173*Ramure*Pc/MaxiM</f>
        <v>0</v>
      </c>
      <c r="AE173" s="304">
        <f t="shared" si="65"/>
        <v>0.6</v>
      </c>
      <c r="AF173" s="177">
        <f t="shared" si="66"/>
        <v>0.23856080619410847</v>
      </c>
      <c r="AG173" s="799">
        <f t="shared" si="74"/>
        <v>2</v>
      </c>
      <c r="AH173" s="176">
        <f t="shared" si="67"/>
        <v>8</v>
      </c>
      <c r="AI173" s="224">
        <f t="shared" si="68"/>
        <v>2.2385608061941085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46182</v>
      </c>
      <c r="B174" s="409">
        <f>IF(t&gt;Tmaj,'2025'!Wh/'2025'!Env_an*'2026'!Env_an,0.001*'[8]mon-tableau'!$B$243)</f>
        <v>50.319447952392736</v>
      </c>
      <c r="C174" s="829"/>
      <c r="D174" s="391">
        <f t="shared" si="50"/>
        <v>52.977575068093486</v>
      </c>
      <c r="E174" s="383">
        <f t="shared" si="75"/>
        <v>53.747386544102206</v>
      </c>
      <c r="F174" s="383">
        <f t="shared" si="51"/>
        <v>53.747386544102206</v>
      </c>
      <c r="G174" s="110">
        <f t="shared" si="76"/>
        <v>0.85549905425975237</v>
      </c>
      <c r="H174" s="412" t="b">
        <f>Wh_hp&gt;='2025'!Maxi_hp</f>
        <v>0</v>
      </c>
      <c r="I174" s="388">
        <f>IF(H174,Wh_hp,'2025'!Maxi_hp)</f>
        <v>60.032633975701692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5.0174571264996359E-2</v>
      </c>
      <c r="M174" s="832"/>
      <c r="N174" s="832"/>
      <c r="O174" s="48">
        <f>IF(t&lt;Tnet,'2025'!Resal+('2025'!Salim-'2025'!Resal)*(1-EXP(('2025'!Tnet-t)/('2025'!Tau_j))),Resal+(Salim-Resal)*(1-EXP((Tnet-t)/(Tau_j))))*Salcycl</f>
        <v>1.4322770380231492E-2</v>
      </c>
      <c r="P174" s="169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0.7187140144644355</v>
      </c>
      <c r="S174" s="799">
        <f t="shared" si="55"/>
        <v>-2</v>
      </c>
      <c r="T174" s="176">
        <f t="shared" si="56"/>
        <v>4</v>
      </c>
      <c r="U174" s="250">
        <f t="shared" si="57"/>
        <v>-1.2812859855355645</v>
      </c>
      <c r="V174" s="382">
        <f t="shared" si="58"/>
        <v>58.818823588219203</v>
      </c>
      <c r="W174" s="400">
        <f t="shared" si="59"/>
        <v>50.319447952392736</v>
      </c>
      <c r="X174" s="157">
        <f t="shared" si="60"/>
        <v>46182</v>
      </c>
      <c r="Y174" s="383">
        <f t="shared" si="61"/>
        <v>48.463067300597118</v>
      </c>
      <c r="Z174" s="383">
        <f t="shared" si="62"/>
        <v>51.023131024341168</v>
      </c>
      <c r="AA174" s="384">
        <f t="shared" si="63"/>
        <v>53.747386544102206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5.0686288114226E-2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0.24370158083841398</v>
      </c>
      <c r="AG174" s="799">
        <f t="shared" si="74"/>
        <v>2</v>
      </c>
      <c r="AH174" s="176">
        <f t="shared" si="67"/>
        <v>8</v>
      </c>
      <c r="AI174" s="224">
        <f t="shared" si="68"/>
        <v>2.243701580838414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46183</v>
      </c>
      <c r="B175" s="409">
        <f>IF(t&gt;Tmaj,'2025'!Wh/'2025'!Env_an*'2026'!Env_an,0.001*'[8]mon-tableau'!$B$244)</f>
        <v>58.113362765644716</v>
      </c>
      <c r="C175" s="829"/>
      <c r="D175" s="391">
        <f t="shared" si="50"/>
        <v>61.184376368747174</v>
      </c>
      <c r="E175" s="383">
        <f t="shared" si="75"/>
        <v>62.081644689027698</v>
      </c>
      <c r="F175" s="383">
        <f t="shared" si="51"/>
        <v>62.081644689027698</v>
      </c>
      <c r="G175" s="110">
        <f t="shared" si="76"/>
        <v>0.98878255555832673</v>
      </c>
      <c r="H175" s="412" t="b">
        <f>Wh_hp&gt;='2025'!Maxi_hp</f>
        <v>1</v>
      </c>
      <c r="I175" s="388">
        <f>IF(H175,Wh_hp,'2025'!Maxi_hp)</f>
        <v>62.081644689027698</v>
      </c>
      <c r="J175" s="85">
        <f>IF(H175,An,'2025'!An_max)</f>
        <v>2026</v>
      </c>
      <c r="K175" s="197">
        <f t="shared" si="52"/>
        <v>46183</v>
      </c>
      <c r="L175" s="147">
        <f>IF(t&lt;Tvie,1-EXP((T0-t)*PertePVj)+'2025'!Pspv,1-EXP((T0-t)*PertePVj)+Pspv)</f>
        <v>5.0192774452648026E-2</v>
      </c>
      <c r="M175" s="832"/>
      <c r="N175" s="832"/>
      <c r="O175" s="48">
        <f>IF(t&lt;Tnet,'2025'!Resal+('2025'!Salim-'2025'!Resal)*(1-EXP(('2025'!Tnet-t)/('2025'!Tau_j))),Resal+(Salim-Resal)*(1-EXP((Tnet-t)/(Tau_j))))*Salcycl</f>
        <v>1.4453037202461766E-2</v>
      </c>
      <c r="P175" s="169">
        <f>(INDEX(Models!$BJ175:$BT175,,T175)*(1-R175)+INDEX(Models!$BJ175:$BT175,,T175+1)*R175-ERP_i)*Q175*Ramure*Pc/MaxiM</f>
        <v>0</v>
      </c>
      <c r="Q175" s="304">
        <f t="shared" si="53"/>
        <v>0.6</v>
      </c>
      <c r="R175" s="177">
        <f t="shared" si="54"/>
        <v>0.72385913077544695</v>
      </c>
      <c r="S175" s="799">
        <f t="shared" si="55"/>
        <v>-2</v>
      </c>
      <c r="T175" s="176">
        <f t="shared" si="56"/>
        <v>4</v>
      </c>
      <c r="U175" s="250">
        <f t="shared" si="57"/>
        <v>-1.2761408692245531</v>
      </c>
      <c r="V175" s="382">
        <f t="shared" si="58"/>
        <v>58.772641607567977</v>
      </c>
      <c r="W175" s="400">
        <f t="shared" si="59"/>
        <v>58.113362765644716</v>
      </c>
      <c r="X175" s="157">
        <f t="shared" si="60"/>
        <v>46183</v>
      </c>
      <c r="Y175" s="383">
        <f t="shared" si="61"/>
        <v>55.970349689392215</v>
      </c>
      <c r="Z175" s="383">
        <f t="shared" si="62"/>
        <v>58.928115289013299</v>
      </c>
      <c r="AA175" s="384">
        <f t="shared" si="63"/>
        <v>62.081644689027698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5.0796486075887624E-2</v>
      </c>
      <c r="AD175" s="230">
        <f>(INDEX(Models!$BJ175:$BT175,,AH175)*(1-AF175)+INDEX(Models!$BJ175:$BT175,,AH175+1)*AF175-ERP_i)*AE175*Ramure*Pc/MaxiM</f>
        <v>0</v>
      </c>
      <c r="AE175" s="304">
        <f t="shared" si="65"/>
        <v>0.6</v>
      </c>
      <c r="AF175" s="177">
        <f t="shared" si="66"/>
        <v>0.24884669714942564</v>
      </c>
      <c r="AG175" s="799">
        <f t="shared" si="74"/>
        <v>2</v>
      </c>
      <c r="AH175" s="176">
        <f t="shared" si="67"/>
        <v>8</v>
      </c>
      <c r="AI175" s="224">
        <f t="shared" si="68"/>
        <v>2.2488466971494256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46184</v>
      </c>
      <c r="B176" s="409">
        <f>IF(t&gt;Tmaj,'2025'!Wh/'2025'!Env_an*'2026'!Env_an,0.001*'[8]mon-tableau'!$B$245)</f>
        <v>56.451344584985591</v>
      </c>
      <c r="C176" s="829"/>
      <c r="D176" s="391">
        <f t="shared" si="50"/>
        <v>59.435667538039674</v>
      </c>
      <c r="E176" s="383">
        <f t="shared" si="75"/>
        <v>60.315252242082359</v>
      </c>
      <c r="F176" s="383">
        <f t="shared" si="51"/>
        <v>60.315252242082359</v>
      </c>
      <c r="G176" s="110">
        <f t="shared" si="76"/>
        <v>0.96128349484104125</v>
      </c>
      <c r="H176" s="412" t="b">
        <f>Wh_hp&gt;='2025'!Maxi_hp</f>
        <v>1</v>
      </c>
      <c r="I176" s="388">
        <f>IF(H176,Wh_hp,'2025'!Maxi_hp)</f>
        <v>60.315252242082359</v>
      </c>
      <c r="J176" s="85">
        <f>IF(H176,An,'2025'!An_max)</f>
        <v>2026</v>
      </c>
      <c r="K176" s="197">
        <f t="shared" si="52"/>
        <v>46184</v>
      </c>
      <c r="L176" s="147">
        <f>IF(t&lt;Tvie,1-EXP((T0-t)*PertePVj)+'2025'!Pspv,1-EXP((T0-t)*PertePVj)+Pspv)</f>
        <v>5.0210977291439862E-2</v>
      </c>
      <c r="M176" s="832"/>
      <c r="N176" s="832"/>
      <c r="O176" s="48">
        <f>IF(t&lt;Tnet,'2025'!Resal+('2025'!Salim-'2025'!Resal)*(1-EXP(('2025'!Tnet-t)/('2025'!Tau_j))),Resal+(Salim-Resal)*(1-EXP((Tnet-t)/(Tau_j))))*Salcycl</f>
        <v>1.4583122366998809E-2</v>
      </c>
      <c r="P176" s="169">
        <f>(INDEX(Models!$BJ176:$BT176,,T176)*(1-R176)+INDEX(Models!$BJ176:$BT176,,T176+1)*R176-ERP_i)*Q176*Ramure*Pc/MaxiM</f>
        <v>0</v>
      </c>
      <c r="Q176" s="304">
        <f t="shared" si="53"/>
        <v>0.6</v>
      </c>
      <c r="R176" s="177">
        <f t="shared" si="54"/>
        <v>0.72900424708645839</v>
      </c>
      <c r="S176" s="799">
        <f t="shared" si="55"/>
        <v>-2</v>
      </c>
      <c r="T176" s="176">
        <f t="shared" si="56"/>
        <v>4</v>
      </c>
      <c r="U176" s="250">
        <f t="shared" si="57"/>
        <v>-1.2709957529135416</v>
      </c>
      <c r="V176" s="382">
        <f t="shared" si="58"/>
        <v>58.724970196560427</v>
      </c>
      <c r="W176" s="400">
        <f t="shared" si="59"/>
        <v>56.451344584985591</v>
      </c>
      <c r="X176" s="157">
        <f t="shared" si="60"/>
        <v>46184</v>
      </c>
      <c r="Y176" s="383">
        <f t="shared" si="61"/>
        <v>54.37052232209362</v>
      </c>
      <c r="Z176" s="383">
        <f t="shared" si="62"/>
        <v>57.244841772378592</v>
      </c>
      <c r="AA176" s="384">
        <f t="shared" si="63"/>
        <v>60.315252242082359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5.0906037122754912E-2</v>
      </c>
      <c r="AD176" s="230">
        <f>(INDEX(Models!$BJ176:$BT176,,AH176)*(1-AF176)+INDEX(Models!$BJ176:$BT176,,AH176+1)*AF176-ERP_i)*AE176*Ramure*Pc/MaxiM</f>
        <v>0</v>
      </c>
      <c r="AE176" s="304">
        <f t="shared" si="65"/>
        <v>0.6</v>
      </c>
      <c r="AF176" s="177">
        <f t="shared" si="66"/>
        <v>0.25399181346043731</v>
      </c>
      <c r="AG176" s="799">
        <f t="shared" si="74"/>
        <v>2</v>
      </c>
      <c r="AH176" s="176">
        <f t="shared" si="67"/>
        <v>8</v>
      </c>
      <c r="AI176" s="224">
        <f t="shared" si="68"/>
        <v>2.2539918134604373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46185</v>
      </c>
      <c r="B177" s="409">
        <f>IF(t&gt;Tmaj,'2025'!Wh/'2025'!Env_an*'2026'!Env_an,0.001*'[8]mon-tableau'!$B$246)</f>
        <v>44.462998077074694</v>
      </c>
      <c r="C177" s="829"/>
      <c r="D177" s="391">
        <f t="shared" si="50"/>
        <v>46.814449476179988</v>
      </c>
      <c r="E177" s="383">
        <f t="shared" si="75"/>
        <v>47.513516440857693</v>
      </c>
      <c r="F177" s="383">
        <f t="shared" si="51"/>
        <v>47.513516440857693</v>
      </c>
      <c r="G177" s="110">
        <f t="shared" si="76"/>
        <v>0.7577758536505671</v>
      </c>
      <c r="H177" s="412" t="b">
        <f>Wh_hp&gt;='2025'!Maxi_hp</f>
        <v>0</v>
      </c>
      <c r="I177" s="388">
        <f>IF(H177,Wh_hp,'2025'!Maxi_hp)</f>
        <v>58.629383345992608</v>
      </c>
      <c r="J177" s="85">
        <f>IF(H177,An,'2025'!An_max)</f>
        <v>2018</v>
      </c>
      <c r="K177" s="197">
        <f t="shared" si="52"/>
        <v>46185</v>
      </c>
      <c r="L177" s="147">
        <f>IF(t&lt;Tvie,1-EXP((T0-t)*PertePVj)+'2025'!Pspv,1-EXP((T0-t)*PertePVj)+Pspv)</f>
        <v>5.0229179781378308E-2</v>
      </c>
      <c r="M177" s="832"/>
      <c r="N177" s="832"/>
      <c r="O177" s="48">
        <f>IF(t&lt;Tnet,'2025'!Resal+('2025'!Salim-'2025'!Resal)*(1-EXP(('2025'!Tnet-t)/('2025'!Tau_j))),Resal+(Salim-Resal)*(1-EXP((Tnet-t)/(Tau_j))))*Salcycl</f>
        <v>1.4713012570809581E-2</v>
      </c>
      <c r="P177" s="169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0.73414502173076435</v>
      </c>
      <c r="S177" s="799">
        <f t="shared" si="55"/>
        <v>-2</v>
      </c>
      <c r="T177" s="176">
        <f t="shared" si="56"/>
        <v>4</v>
      </c>
      <c r="U177" s="250">
        <f t="shared" si="57"/>
        <v>-1.2658549782692357</v>
      </c>
      <c r="V177" s="382">
        <f t="shared" si="58"/>
        <v>58.675659646418211</v>
      </c>
      <c r="W177" s="400">
        <f t="shared" si="59"/>
        <v>44.462998077074694</v>
      </c>
      <c r="X177" s="157">
        <f t="shared" si="60"/>
        <v>46185</v>
      </c>
      <c r="Y177" s="383">
        <f t="shared" si="61"/>
        <v>42.824804182941293</v>
      </c>
      <c r="Z177" s="383">
        <f t="shared" si="62"/>
        <v>45.089618749377586</v>
      </c>
      <c r="AA177" s="384">
        <f t="shared" si="63"/>
        <v>47.513516440857693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5.1014908452360987E-2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0.25913258810474327</v>
      </c>
      <c r="AG177" s="799">
        <f t="shared" si="74"/>
        <v>2</v>
      </c>
      <c r="AH177" s="176">
        <f t="shared" si="67"/>
        <v>8</v>
      </c>
      <c r="AI177" s="224">
        <f t="shared" si="68"/>
        <v>2.2591325881047433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46186</v>
      </c>
      <c r="B178" s="409">
        <f>IF(t&gt;Tmaj,'2025'!Wh/'2025'!Env_an*'2026'!Env_an,0.001*'[8]mon-tableau'!$B$247)</f>
        <v>53.49747343375207</v>
      </c>
      <c r="C178" s="829"/>
      <c r="D178" s="391">
        <f t="shared" si="50"/>
        <v>56.327797802801101</v>
      </c>
      <c r="E178" s="383">
        <f t="shared" si="75"/>
        <v>57.176450407510856</v>
      </c>
      <c r="F178" s="383">
        <f t="shared" si="51"/>
        <v>57.176450407510856</v>
      </c>
      <c r="G178" s="110">
        <f t="shared" si="76"/>
        <v>0.91254474988575529</v>
      </c>
      <c r="H178" s="412" t="b">
        <f>Wh_hp&gt;='2025'!Maxi_hp</f>
        <v>0</v>
      </c>
      <c r="I178" s="388">
        <f>IF(H178,Wh_hp,'2025'!Maxi_hp)</f>
        <v>65.55404847482302</v>
      </c>
      <c r="J178" s="85">
        <f>IF(H178,An,'2025'!An_max)</f>
        <v>2018</v>
      </c>
      <c r="K178" s="197">
        <f t="shared" si="52"/>
        <v>46186</v>
      </c>
      <c r="L178" s="147">
        <f>IF(t&lt;Tvie,1-EXP((T0-t)*PertePVj)+'2025'!Pspv,1-EXP((T0-t)*PertePVj)+Pspv)</f>
        <v>5.0247381922470247E-2</v>
      </c>
      <c r="M178" s="832"/>
      <c r="N178" s="832"/>
      <c r="O178" s="48">
        <f>IF(t&lt;Tnet,'2025'!Resal+('2025'!Salim-'2025'!Resal)*(1-EXP(('2025'!Tnet-t)/('2025'!Tau_j))),Resal+(Salim-Resal)*(1-EXP((Tnet-t)/(Tau_j))))*Salcycl</f>
        <v>1.4842694827349318E-2</v>
      </c>
      <c r="P178" s="169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0.73927712768403087</v>
      </c>
      <c r="S178" s="799">
        <f t="shared" si="55"/>
        <v>-2</v>
      </c>
      <c r="T178" s="176">
        <f t="shared" si="56"/>
        <v>4</v>
      </c>
      <c r="U178" s="250">
        <f t="shared" si="57"/>
        <v>-1.2607228723159691</v>
      </c>
      <c r="V178" s="382">
        <f t="shared" si="58"/>
        <v>58.624493144527555</v>
      </c>
      <c r="W178" s="400">
        <f t="shared" si="59"/>
        <v>53.49747343375207</v>
      </c>
      <c r="X178" s="157">
        <f t="shared" si="60"/>
        <v>46186</v>
      </c>
      <c r="Y178" s="383">
        <f t="shared" si="61"/>
        <v>51.527322728731129</v>
      </c>
      <c r="Z178" s="383">
        <f t="shared" si="62"/>
        <v>54.253414781874149</v>
      </c>
      <c r="AA178" s="384">
        <f t="shared" si="63"/>
        <v>57.176450407510856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5.1123069109808406E-2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0.26426469405800956</v>
      </c>
      <c r="AG178" s="799">
        <f t="shared" si="74"/>
        <v>2</v>
      </c>
      <c r="AH178" s="176">
        <f t="shared" si="67"/>
        <v>8</v>
      </c>
      <c r="AI178" s="224">
        <f t="shared" si="68"/>
        <v>2.2642646940580096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46187</v>
      </c>
      <c r="B179" s="409">
        <f>IF(t&gt;Tmaj,'2025'!Wh/'2025'!Env_an*'2026'!Env_an,0.001*'[8]mon-tableau'!$B$248)</f>
        <v>51.445724913452949</v>
      </c>
      <c r="C179" s="829"/>
      <c r="D179" s="391">
        <f t="shared" si="50"/>
        <v>54.168538100023824</v>
      </c>
      <c r="E179" s="383">
        <f t="shared" si="75"/>
        <v>54.991885212847144</v>
      </c>
      <c r="F179" s="383">
        <f t="shared" si="51"/>
        <v>54.991885212847144</v>
      </c>
      <c r="G179" s="110">
        <f t="shared" si="76"/>
        <v>0.87834098966709884</v>
      </c>
      <c r="H179" s="412" t="b">
        <f>Wh_hp&gt;='2025'!Maxi_hp</f>
        <v>0</v>
      </c>
      <c r="I179" s="388">
        <f>IF(H179,Wh_hp,'2025'!Maxi_hp)</f>
        <v>57.93177367847553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5.0265583714722339E-2</v>
      </c>
      <c r="M179" s="832"/>
      <c r="N179" s="832"/>
      <c r="O179" s="48">
        <f>IF(t&lt;Tnet,'2025'!Resal+('2025'!Salim-'2025'!Resal)*(1-EXP(('2025'!Tnet-t)/('2025'!Tau_j))),Resal+(Salim-Resal)*(1-EXP((Tnet-t)/(Tau_j))))*Salcycl</f>
        <v>1.4972156521576553E-2</v>
      </c>
      <c r="P179" s="169">
        <f>(INDEX(Models!$BJ179:$BT179,,T179)*(1-R179)+INDEX(Models!$BJ179:$BT179,,T179+1)*R179-ERP_i)*Q179*Ramure*Pc/MaxiM</f>
        <v>0</v>
      </c>
      <c r="Q179" s="304">
        <f t="shared" si="53"/>
        <v>0.6</v>
      </c>
      <c r="R179" s="177">
        <f t="shared" si="54"/>
        <v>0.74439626710185691</v>
      </c>
      <c r="S179" s="799">
        <f t="shared" si="55"/>
        <v>-2</v>
      </c>
      <c r="T179" s="176">
        <f t="shared" si="56"/>
        <v>4</v>
      </c>
      <c r="U179" s="250">
        <f t="shared" si="57"/>
        <v>-1.2556037328981431</v>
      </c>
      <c r="V179" s="382">
        <f t="shared" si="58"/>
        <v>58.571472262670405</v>
      </c>
      <c r="W179" s="400">
        <f t="shared" si="59"/>
        <v>51.445724913452949</v>
      </c>
      <c r="X179" s="157">
        <f t="shared" si="60"/>
        <v>46187</v>
      </c>
      <c r="Y179" s="383">
        <f t="shared" si="61"/>
        <v>49.552036051942679</v>
      </c>
      <c r="Z179" s="383">
        <f t="shared" si="62"/>
        <v>52.174623981467285</v>
      </c>
      <c r="AA179" s="384">
        <f t="shared" si="63"/>
        <v>54.991885212847144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5.1230490107323973E-2</v>
      </c>
      <c r="AD179" s="230">
        <f>(INDEX(Models!$BJ179:$BT179,,AH179)*(1-AF179)+INDEX(Models!$BJ179:$BT179,,AH179+1)*AF179-ERP_i)*AE179*Ramure*Pc/MaxiM</f>
        <v>1.6901672804168074E-20</v>
      </c>
      <c r="AE179" s="304">
        <f t="shared" si="65"/>
        <v>0.6</v>
      </c>
      <c r="AF179" s="177">
        <f t="shared" si="66"/>
        <v>0.26938383347583539</v>
      </c>
      <c r="AG179" s="799">
        <f t="shared" si="74"/>
        <v>2</v>
      </c>
      <c r="AH179" s="176">
        <f t="shared" si="67"/>
        <v>8</v>
      </c>
      <c r="AI179" s="224">
        <f t="shared" si="68"/>
        <v>2.2693838334758354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46188</v>
      </c>
      <c r="B180" s="409">
        <f>IF(t&gt;Tmaj,'2025'!Wh/'2025'!Env_an*'2026'!Env_an,0.001*'[8]mon-tableau'!$B$249)</f>
        <v>54.692611325976841</v>
      </c>
      <c r="C180" s="829"/>
      <c r="D180" s="391">
        <f t="shared" si="50"/>
        <v>57.588372685712159</v>
      </c>
      <c r="E180" s="383">
        <f t="shared" si="75"/>
        <v>58.471371403840038</v>
      </c>
      <c r="F180" s="383">
        <f t="shared" si="51"/>
        <v>58.471371403840038</v>
      </c>
      <c r="G180" s="110">
        <f t="shared" si="76"/>
        <v>0.93465123890441115</v>
      </c>
      <c r="H180" s="412" t="b">
        <f>Wh_hp&gt;='2025'!Maxi_hp</f>
        <v>1</v>
      </c>
      <c r="I180" s="388">
        <f>IF(H180,Wh_hp,'2025'!Maxi_hp)</f>
        <v>58.471371403840038</v>
      </c>
      <c r="J180" s="85">
        <f>IF(H180,An,'2025'!An_max)</f>
        <v>2026</v>
      </c>
      <c r="K180" s="197">
        <f t="shared" si="52"/>
        <v>46188</v>
      </c>
      <c r="L180" s="147">
        <f>IF(t&lt;Tvie,1-EXP((T0-t)*PertePVj)+'2025'!Pspv,1-EXP((T0-t)*PertePVj)+Pspv)</f>
        <v>5.0283785158141248E-2</v>
      </c>
      <c r="M180" s="832"/>
      <c r="N180" s="832"/>
      <c r="O180" s="48">
        <f>IF(t&lt;Tnet,'2025'!Resal+('2025'!Salim-'2025'!Resal)*(1-EXP(('2025'!Tnet-t)/('2025'!Tau_j))),Resal+(Salim-Resal)*(1-EXP((Tnet-t)/(Tau_j))))*Salcycl</f>
        <v>1.5101385463141168E-2</v>
      </c>
      <c r="P180" s="169">
        <f>(INDEX(Models!$BJ180:$BT180,,T180)*(1-R180)+INDEX(Models!$BJ180:$BT180,,T180+1)*R180-ERP_i)*Q180*Ramure*Pc/MaxiM</f>
        <v>0</v>
      </c>
      <c r="Q180" s="304">
        <f t="shared" si="53"/>
        <v>0.6</v>
      </c>
      <c r="R180" s="177">
        <f t="shared" si="54"/>
        <v>0.74949818564899684</v>
      </c>
      <c r="S180" s="799">
        <f t="shared" si="55"/>
        <v>-2</v>
      </c>
      <c r="T180" s="176">
        <f t="shared" si="56"/>
        <v>4</v>
      </c>
      <c r="U180" s="250">
        <f t="shared" si="57"/>
        <v>-1.2505018143510032</v>
      </c>
      <c r="V180" s="382">
        <f t="shared" si="58"/>
        <v>58.51659854438001</v>
      </c>
      <c r="W180" s="400">
        <f t="shared" si="59"/>
        <v>54.692611325976841</v>
      </c>
      <c r="X180" s="157">
        <f t="shared" si="60"/>
        <v>46188</v>
      </c>
      <c r="Y180" s="383">
        <f t="shared" si="61"/>
        <v>52.680395796679953</v>
      </c>
      <c r="Z180" s="383">
        <f t="shared" si="62"/>
        <v>55.469618158990777</v>
      </c>
      <c r="AA180" s="384">
        <f t="shared" si="63"/>
        <v>58.471371403840038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5.1337144533814154E-2</v>
      </c>
      <c r="AD180" s="230">
        <f>(INDEX(Models!$BJ180:$BT180,,AH180)*(1-AF180)+INDEX(Models!$BJ180:$BT180,,AH180+1)*AF180-ERP_i)*AE180*Ramure*Pc/MaxiM</f>
        <v>0</v>
      </c>
      <c r="AE180" s="304">
        <f t="shared" si="65"/>
        <v>0.6</v>
      </c>
      <c r="AF180" s="177">
        <f t="shared" si="66"/>
        <v>0.27448575202297576</v>
      </c>
      <c r="AG180" s="799">
        <f t="shared" si="74"/>
        <v>2</v>
      </c>
      <c r="AH180" s="176">
        <f t="shared" si="67"/>
        <v>8</v>
      </c>
      <c r="AI180" s="224">
        <f t="shared" si="68"/>
        <v>2.2744857520229758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46189</v>
      </c>
      <c r="B181" s="409">
        <f>IF(t&gt;Tmaj,'2025'!Wh/'2025'!Env_an*'2026'!Env_an,0.001*'[8]mon-tableau'!$B$250)</f>
        <v>52.743844017493139</v>
      </c>
      <c r="C181" s="829"/>
      <c r="D181" s="391">
        <f t="shared" si="50"/>
        <v>55.537490080009086</v>
      </c>
      <c r="E181" s="383">
        <f t="shared" si="75"/>
        <v>56.396428549970572</v>
      </c>
      <c r="F181" s="383">
        <f t="shared" si="51"/>
        <v>56.396428549970572</v>
      </c>
      <c r="G181" s="110">
        <f t="shared" si="76"/>
        <v>0.90222302685284872</v>
      </c>
      <c r="H181" s="412" t="b">
        <f>Wh_hp&gt;='2025'!Maxi_hp</f>
        <v>0</v>
      </c>
      <c r="I181" s="388">
        <f>IF(H181,Wh_hp,'2025'!Maxi_hp)</f>
        <v>62.896396798110899</v>
      </c>
      <c r="J181" s="85">
        <f>IF(H181,An,'2025'!An_max)</f>
        <v>2018</v>
      </c>
      <c r="K181" s="197">
        <f t="shared" si="52"/>
        <v>46189</v>
      </c>
      <c r="L181" s="147">
        <f>IF(t&lt;Tvie,1-EXP((T0-t)*PertePVj)+'2025'!Pspv,1-EXP((T0-t)*PertePVj)+Pspv)</f>
        <v>5.0301986252733633E-2</v>
      </c>
      <c r="M181" s="832"/>
      <c r="N181" s="832"/>
      <c r="O181" s="48">
        <f>IF(t&lt;Tnet,'2025'!Resal+('2025'!Salim-'2025'!Resal)*(1-EXP(('2025'!Tnet-t)/('2025'!Tau_j))),Resal+(Salim-Resal)*(1-EXP((Tnet-t)/(Tau_j))))*Salcycl</f>
        <v>1.5230369937351895E-2</v>
      </c>
      <c r="P181" s="169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0.75457868651926874</v>
      </c>
      <c r="S181" s="799">
        <f t="shared" si="55"/>
        <v>-2</v>
      </c>
      <c r="T181" s="176">
        <f t="shared" si="56"/>
        <v>4</v>
      </c>
      <c r="U181" s="250">
        <f t="shared" si="57"/>
        <v>-1.2454213134807313</v>
      </c>
      <c r="V181" s="382">
        <f t="shared" si="58"/>
        <v>58.45987349876804</v>
      </c>
      <c r="W181" s="400">
        <f t="shared" si="59"/>
        <v>52.743844017493139</v>
      </c>
      <c r="X181" s="157">
        <f t="shared" si="60"/>
        <v>46189</v>
      </c>
      <c r="Y181" s="383">
        <f t="shared" si="61"/>
        <v>50.804310489183393</v>
      </c>
      <c r="Z181" s="383">
        <f t="shared" si="62"/>
        <v>53.495226644438823</v>
      </c>
      <c r="AA181" s="384">
        <f t="shared" si="63"/>
        <v>56.396428549970572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5.1443007653598327E-2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0.27956625289324766</v>
      </c>
      <c r="AG181" s="799">
        <f t="shared" si="74"/>
        <v>2</v>
      </c>
      <c r="AH181" s="176">
        <f t="shared" si="67"/>
        <v>8</v>
      </c>
      <c r="AI181" s="224">
        <f t="shared" si="68"/>
        <v>2.2795662528932477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46190</v>
      </c>
      <c r="B182" s="409">
        <f>IF(t&gt;Tmaj,'2025'!Wh/'2025'!Env_an*'2026'!Env_an,0.001*'[8]mon-tableau'!$B$251)</f>
        <v>52.657313271217646</v>
      </c>
      <c r="C182" s="829"/>
      <c r="D182" s="391">
        <f t="shared" si="50"/>
        <v>55.447438758114167</v>
      </c>
      <c r="E182" s="383">
        <f t="shared" si="75"/>
        <v>56.312345635777703</v>
      </c>
      <c r="F182" s="383">
        <f t="shared" si="51"/>
        <v>56.312345635777703</v>
      </c>
      <c r="G182" s="110">
        <f t="shared" si="76"/>
        <v>0.90164627386345497</v>
      </c>
      <c r="H182" s="412" t="b">
        <f>Wh_hp&gt;='2025'!Maxi_hp</f>
        <v>0</v>
      </c>
      <c r="I182" s="388">
        <f>IF(H182,Wh_hp,'2025'!Maxi_hp)</f>
        <v>61.724084548861946</v>
      </c>
      <c r="J182" s="85">
        <f>IF(H182,An,'2025'!An_max)</f>
        <v>2018</v>
      </c>
      <c r="K182" s="197">
        <f t="shared" si="52"/>
        <v>46190</v>
      </c>
      <c r="L182" s="147">
        <f>IF(t&lt;Tvie,1-EXP((T0-t)*PertePVj)+'2025'!Pspv,1-EXP((T0-t)*PertePVj)+Pspv)</f>
        <v>5.0320186998506156E-2</v>
      </c>
      <c r="M182" s="832"/>
      <c r="N182" s="832"/>
      <c r="O182" s="48">
        <f>IF(t&lt;Tnet,'2025'!Resal+('2025'!Salim-'2025'!Resal)*(1-EXP(('2025'!Tnet-t)/('2025'!Tau_j))),Resal+(Salim-Resal)*(1-EXP((Tnet-t)/(Tau_j))))*Salcycl</f>
        <v>1.5359098753542735E-2</v>
      </c>
      <c r="P182" s="169">
        <f>(INDEX(Models!$BJ182:$BT182,,T182)*(1-R182)+INDEX(Models!$BJ182:$BT182,,T182+1)*R182-ERP_i)*Q182*Ramure*Pc/MaxiM</f>
        <v>0</v>
      </c>
      <c r="Q182" s="304">
        <f t="shared" si="53"/>
        <v>0.6</v>
      </c>
      <c r="R182" s="177">
        <f t="shared" si="54"/>
        <v>0.75963364404892841</v>
      </c>
      <c r="S182" s="799">
        <f t="shared" si="55"/>
        <v>-2</v>
      </c>
      <c r="T182" s="176">
        <f t="shared" si="56"/>
        <v>4</v>
      </c>
      <c r="U182" s="250">
        <f t="shared" si="57"/>
        <v>-1.2403663559510716</v>
      </c>
      <c r="V182" s="382">
        <f t="shared" si="58"/>
        <v>58.401298599712341</v>
      </c>
      <c r="W182" s="400">
        <f t="shared" si="59"/>
        <v>52.657313271217646</v>
      </c>
      <c r="X182" s="157">
        <f t="shared" si="60"/>
        <v>46190</v>
      </c>
      <c r="Y182" s="383">
        <f t="shared" si="61"/>
        <v>50.721974907158263</v>
      </c>
      <c r="Z182" s="383">
        <f t="shared" si="62"/>
        <v>53.409553633502874</v>
      </c>
      <c r="AA182" s="384">
        <f t="shared" si="63"/>
        <v>56.312345635777703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5.1548056993572525E-2</v>
      </c>
      <c r="AD182" s="230">
        <f>(INDEX(Models!$BJ182:$BT182,,AH182)*(1-AF182)+INDEX(Models!$BJ182:$BT182,,AH182+1)*AF182-ERP_i)*AE182*Ramure*Pc/MaxiM</f>
        <v>0</v>
      </c>
      <c r="AE182" s="304">
        <f t="shared" si="65"/>
        <v>0.6</v>
      </c>
      <c r="AF182" s="177">
        <f t="shared" si="66"/>
        <v>0.28462121042290711</v>
      </c>
      <c r="AG182" s="799">
        <f t="shared" si="74"/>
        <v>2</v>
      </c>
      <c r="AH182" s="176">
        <f t="shared" si="67"/>
        <v>8</v>
      </c>
      <c r="AI182" s="224">
        <f t="shared" si="68"/>
        <v>2.2846212104229071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46191</v>
      </c>
      <c r="B183" s="409">
        <f>IF(t&gt;Tmaj,'2025'!Wh/'2025'!Env_an*'2026'!Env_an,0.001*'[8]mon-tableau'!$B$252)</f>
        <v>56.150224560964062</v>
      </c>
      <c r="C183" s="829"/>
      <c r="D183" s="391">
        <f t="shared" si="50"/>
        <v>59.126560256517998</v>
      </c>
      <c r="E183" s="383">
        <f t="shared" si="75"/>
        <v>60.056691954059566</v>
      </c>
      <c r="F183" s="383">
        <f t="shared" si="51"/>
        <v>60.056691954059566</v>
      </c>
      <c r="G183" s="110">
        <f t="shared" si="76"/>
        <v>0.96245084241538426</v>
      </c>
      <c r="H183" s="412" t="b">
        <f>Wh_hp&gt;='2025'!Maxi_hp</f>
        <v>1</v>
      </c>
      <c r="I183" s="388">
        <f>IF(H183,Wh_hp,'2025'!Maxi_hp)</f>
        <v>60.056691954059566</v>
      </c>
      <c r="J183" s="85">
        <f>IF(H183,An,'2025'!An_max)</f>
        <v>2026</v>
      </c>
      <c r="K183" s="197">
        <f t="shared" si="52"/>
        <v>46191</v>
      </c>
      <c r="L183" s="147">
        <f>IF(t&lt;Tvie,1-EXP((T0-t)*PertePVj)+'2025'!Pspv,1-EXP((T0-t)*PertePVj)+Pspv)</f>
        <v>5.0338387395465478E-2</v>
      </c>
      <c r="M183" s="832"/>
      <c r="N183" s="832"/>
      <c r="O183" s="48">
        <f>IF(t&lt;Tnet,'2025'!Resal+('2025'!Salim-'2025'!Resal)*(1-EXP(('2025'!Tnet-t)/('2025'!Tau_j))),Resal+(Salim-Resal)*(1-EXP((Tnet-t)/(Tau_j))))*Salcycl</f>
        <v>1.5487561290473191E-2</v>
      </c>
      <c r="P183" s="169">
        <f>(INDEX(Models!$BJ183:$BT183,,T183)*(1-R183)+INDEX(Models!$BJ183:$BT183,,T183+1)*R183-ERP_i)*Q183*Ramure*Pc/MaxiM</f>
        <v>0</v>
      </c>
      <c r="Q183" s="304">
        <f t="shared" si="53"/>
        <v>0.6</v>
      </c>
      <c r="R183" s="177">
        <f t="shared" si="54"/>
        <v>0.76465901683120041</v>
      </c>
      <c r="S183" s="799">
        <f t="shared" si="55"/>
        <v>-2</v>
      </c>
      <c r="T183" s="176">
        <f t="shared" si="56"/>
        <v>4</v>
      </c>
      <c r="U183" s="250">
        <f t="shared" si="57"/>
        <v>-1.2353409831687996</v>
      </c>
      <c r="V183" s="382">
        <f t="shared" si="58"/>
        <v>58.340875280495816</v>
      </c>
      <c r="W183" s="400">
        <f t="shared" si="59"/>
        <v>56.150224560964062</v>
      </c>
      <c r="X183" s="157">
        <f t="shared" si="60"/>
        <v>46191</v>
      </c>
      <c r="Y183" s="383">
        <f t="shared" si="61"/>
        <v>54.087623245674905</v>
      </c>
      <c r="Z183" s="383">
        <f t="shared" si="62"/>
        <v>56.95462734071625</v>
      </c>
      <c r="AA183" s="384">
        <f t="shared" si="63"/>
        <v>60.056691954059566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5.1652272418138544E-2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0.28964658320517911</v>
      </c>
      <c r="AG183" s="799">
        <f t="shared" si="74"/>
        <v>2</v>
      </c>
      <c r="AH183" s="176">
        <f t="shared" si="67"/>
        <v>8</v>
      </c>
      <c r="AI183" s="224">
        <f t="shared" si="68"/>
        <v>2.2896465832051791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46192</v>
      </c>
      <c r="B184" s="409">
        <f>IF(t&gt;Tmaj,'2025'!Wh/'2025'!Env_an*'2026'!Env_an,0.001*'[8]mon-tableau'!$B$253)</f>
        <v>57.243406430649344</v>
      </c>
      <c r="C184" s="829"/>
      <c r="D184" s="391">
        <f t="shared" si="50"/>
        <v>60.278843272922437</v>
      </c>
      <c r="E184" s="383">
        <f t="shared" si="75"/>
        <v>61.235074740567264</v>
      </c>
      <c r="F184" s="383">
        <f t="shared" si="51"/>
        <v>61.235074740567264</v>
      </c>
      <c r="G184" s="110">
        <f t="shared" si="76"/>
        <v>0.98223707474016997</v>
      </c>
      <c r="H184" s="412" t="b">
        <f>Wh_hp&gt;='2025'!Maxi_hp</f>
        <v>1</v>
      </c>
      <c r="I184" s="388">
        <f>IF(H184,Wh_hp,'2025'!Maxi_hp)</f>
        <v>61.235074740567264</v>
      </c>
      <c r="J184" s="85">
        <f>IF(H184,An,'2025'!An_max)</f>
        <v>2026</v>
      </c>
      <c r="K184" s="197">
        <f t="shared" si="52"/>
        <v>46192</v>
      </c>
      <c r="L184" s="147">
        <f>IF(t&lt;Tvie,1-EXP((T0-t)*PertePVj)+'2025'!Pspv,1-EXP((T0-t)*PertePVj)+Pspv)</f>
        <v>5.0356587443618483E-2</v>
      </c>
      <c r="M184" s="832"/>
      <c r="N184" s="832"/>
      <c r="O184" s="48">
        <f>IF(t&lt;Tnet,'2025'!Resal+('2025'!Salim-'2025'!Resal)*(1-EXP(('2025'!Tnet-t)/('2025'!Tau_j))),Resal+(Salim-Resal)*(1-EXP((Tnet-t)/(Tau_j))))*Salcycl</f>
        <v>1.5615747538417555E-2</v>
      </c>
      <c r="P184" s="169">
        <f>(INDEX(Models!$BJ184:$BT184,,T184)*(1-R184)+INDEX(Models!$BJ184:$BT184,,T184+1)*R184-ERP_i)*Q184*Ramure*Pc/MaxiM</f>
        <v>0</v>
      </c>
      <c r="Q184" s="304">
        <f t="shared" si="53"/>
        <v>0.6</v>
      </c>
      <c r="R184" s="177">
        <f t="shared" si="54"/>
        <v>0.76965086024561291</v>
      </c>
      <c r="S184" s="799">
        <f t="shared" si="55"/>
        <v>-2</v>
      </c>
      <c r="T184" s="176">
        <f t="shared" si="56"/>
        <v>4</v>
      </c>
      <c r="U184" s="250">
        <f t="shared" si="57"/>
        <v>-1.2303491397543871</v>
      </c>
      <c r="V184" s="382">
        <f t="shared" si="58"/>
        <v>58.278604934345282</v>
      </c>
      <c r="W184" s="400">
        <f t="shared" si="59"/>
        <v>57.243406430649344</v>
      </c>
      <c r="X184" s="157">
        <f t="shared" si="60"/>
        <v>46192</v>
      </c>
      <c r="Y184" s="383">
        <f t="shared" si="61"/>
        <v>55.141818225288027</v>
      </c>
      <c r="Z184" s="383">
        <f t="shared" si="62"/>
        <v>58.065814490145996</v>
      </c>
      <c r="AA184" s="384">
        <f t="shared" si="63"/>
        <v>61.235074740567264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5.1755636191322958E-2</v>
      </c>
      <c r="AD184" s="230">
        <f>(INDEX(Models!$BJ184:$BT184,,AH184)*(1-AF184)+INDEX(Models!$BJ184:$BT184,,AH184+1)*AF184-ERP_i)*AE184*Ramure*Pc/MaxiM</f>
        <v>0</v>
      </c>
      <c r="AE184" s="304">
        <f t="shared" si="65"/>
        <v>0.6</v>
      </c>
      <c r="AF184" s="177">
        <f t="shared" si="66"/>
        <v>0.29463842661959161</v>
      </c>
      <c r="AG184" s="799">
        <f t="shared" si="74"/>
        <v>2</v>
      </c>
      <c r="AH184" s="176">
        <f t="shared" si="67"/>
        <v>8</v>
      </c>
      <c r="AI184" s="224">
        <f t="shared" si="68"/>
        <v>2.2946384266195916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46193</v>
      </c>
      <c r="B185" s="409">
        <f>IF(t&gt;Tmaj,'2025'!Wh/'2025'!Env_an*'2026'!Env_an,0.001*'[8]mon-tableau'!$B$254)</f>
        <v>30.257325667470738</v>
      </c>
      <c r="C185" s="829"/>
      <c r="D185" s="391">
        <f t="shared" si="50"/>
        <v>31.862386610859872</v>
      </c>
      <c r="E185" s="383">
        <f t="shared" si="75"/>
        <v>32.372040628003937</v>
      </c>
      <c r="F185" s="383">
        <f t="shared" si="51"/>
        <v>32.372040628003937</v>
      </c>
      <c r="G185" s="110">
        <f t="shared" si="76"/>
        <v>0.51975592732939868</v>
      </c>
      <c r="H185" s="412" t="b">
        <f>Wh_hp&gt;='2025'!Maxi_hp</f>
        <v>0</v>
      </c>
      <c r="I185" s="388">
        <f>IF(H185,Wh_hp,'2025'!Maxi_hp)</f>
        <v>58.11759070939933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5.0374787142971611E-2</v>
      </c>
      <c r="M185" s="832"/>
      <c r="N185" s="832"/>
      <c r="O185" s="48">
        <f>IF(t&lt;Tnet,'2025'!Resal+('2025'!Salim-'2025'!Resal)*(1-EXP(('2025'!Tnet-t)/('2025'!Tau_j))),Resal+(Salim-Resal)*(1-EXP((Tnet-t)/(Tau_j))))*Salcycl</f>
        <v>1.5743648137621132E-2</v>
      </c>
      <c r="P185" s="169">
        <f>(INDEX(Models!$BJ185:$BT185,,T185)*(1-R185)+INDEX(Models!$BJ185:$BT185,,T185+1)*R185-ERP_i)*Q185*Ramure*Pc/MaxiM</f>
        <v>1.7553004544543876E-20</v>
      </c>
      <c r="Q185" s="304">
        <f t="shared" si="53"/>
        <v>0.6</v>
      </c>
      <c r="R185" s="177">
        <f t="shared" si="54"/>
        <v>0.7746053383226954</v>
      </c>
      <c r="S185" s="799">
        <f t="shared" si="55"/>
        <v>-2</v>
      </c>
      <c r="T185" s="176">
        <f t="shared" si="56"/>
        <v>4</v>
      </c>
      <c r="U185" s="250">
        <f t="shared" si="57"/>
        <v>-1.2253946616773046</v>
      </c>
      <c r="V185" s="382">
        <f t="shared" si="58"/>
        <v>58.214488910089834</v>
      </c>
      <c r="W185" s="400">
        <f t="shared" si="59"/>
        <v>30.257325667470738</v>
      </c>
      <c r="X185" s="157">
        <f t="shared" si="60"/>
        <v>46193</v>
      </c>
      <c r="Y185" s="383">
        <f t="shared" si="61"/>
        <v>29.147119237508605</v>
      </c>
      <c r="Z185" s="383">
        <f t="shared" si="62"/>
        <v>30.693287038806616</v>
      </c>
      <c r="AA185" s="384">
        <f t="shared" si="63"/>
        <v>32.372040628003937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5.185813302560506E-2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0.2995929046966741</v>
      </c>
      <c r="AG185" s="799">
        <f t="shared" si="74"/>
        <v>2</v>
      </c>
      <c r="AH185" s="176">
        <f t="shared" si="67"/>
        <v>8</v>
      </c>
      <c r="AI185" s="224">
        <f t="shared" si="68"/>
        <v>2.2995929046966741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46194</v>
      </c>
      <c r="B186" s="409">
        <f>IF(t&gt;Tmaj,'2025'!Wh/'2025'!Env_an*'2026'!Env_an,0.001*'[8]mon-tableau'!$B$255)</f>
        <v>22.55675034407869</v>
      </c>
      <c r="C186" s="829"/>
      <c r="D186" s="391">
        <f t="shared" si="50"/>
        <v>23.753773954119012</v>
      </c>
      <c r="E186" s="383">
        <f t="shared" si="75"/>
        <v>24.136856138620903</v>
      </c>
      <c r="F186" s="383">
        <f t="shared" si="51"/>
        <v>24.136856138620903</v>
      </c>
      <c r="G186" s="110">
        <f t="shared" si="76"/>
        <v>0.38791609902370316</v>
      </c>
      <c r="H186" s="412" t="b">
        <f>Wh_hp&gt;='2025'!Maxi_hp</f>
        <v>0</v>
      </c>
      <c r="I186" s="388">
        <f>IF(H186,Wh_hp,'2025'!Maxi_hp)</f>
        <v>54.852267304881771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5.0392986493531633E-2</v>
      </c>
      <c r="M186" s="832"/>
      <c r="N186" s="832"/>
      <c r="O186" s="48">
        <f>IF(t&lt;Tnet,'2025'!Resal+('2025'!Salim-'2025'!Resal)*(1-EXP(('2025'!Tnet-t)/('2025'!Tau_j))),Resal+(Salim-Resal)*(1-EXP((Tnet-t)/(Tau_j))))*Salcycl</f>
        <v>1.5871254412828332E-2</v>
      </c>
      <c r="P186" s="169">
        <f>(INDEX(Models!$BJ186:$BT186,,T186)*(1-R186)+INDEX(Models!$BJ186:$BT186,,T186+1)*R186-ERP_i)*Q186*Ramure*Pc/MaxiM</f>
        <v>1.7653110497562951E-20</v>
      </c>
      <c r="Q186" s="304">
        <f t="shared" si="53"/>
        <v>0.6</v>
      </c>
      <c r="R186" s="177">
        <f t="shared" si="54"/>
        <v>0.77951873487232204</v>
      </c>
      <c r="S186" s="799">
        <f t="shared" si="55"/>
        <v>-2</v>
      </c>
      <c r="T186" s="176">
        <f t="shared" si="56"/>
        <v>4</v>
      </c>
      <c r="U186" s="250">
        <f t="shared" si="57"/>
        <v>-1.220481265127678</v>
      </c>
      <c r="V186" s="382">
        <f t="shared" si="58"/>
        <v>58.148528511317046</v>
      </c>
      <c r="W186" s="400">
        <f t="shared" si="59"/>
        <v>22.55675034407869</v>
      </c>
      <c r="X186" s="157">
        <f t="shared" si="60"/>
        <v>46194</v>
      </c>
      <c r="Y186" s="383">
        <f t="shared" si="61"/>
        <v>21.729582972386549</v>
      </c>
      <c r="Z186" s="383">
        <f t="shared" si="62"/>
        <v>22.882711125046399</v>
      </c>
      <c r="AA186" s="384">
        <f t="shared" si="63"/>
        <v>24.136856138620903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5.1959750117073995E-2</v>
      </c>
      <c r="AD186" s="230">
        <f>(INDEX(Models!$BJ186:$BT186,,AH186)*(1-AF186)+INDEX(Models!$BJ186:$BT186,,AH186+1)*AF186-ERP_i)*AE186*Ramure*Pc/MaxiM</f>
        <v>0</v>
      </c>
      <c r="AE186" s="304">
        <f t="shared" si="65"/>
        <v>0.6</v>
      </c>
      <c r="AF186" s="177">
        <f t="shared" si="66"/>
        <v>0.30450630124630074</v>
      </c>
      <c r="AG186" s="799">
        <f t="shared" si="74"/>
        <v>2</v>
      </c>
      <c r="AH186" s="176">
        <f t="shared" si="67"/>
        <v>8</v>
      </c>
      <c r="AI186" s="224">
        <f t="shared" si="68"/>
        <v>2.3045063012463007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46195</v>
      </c>
      <c r="B187" s="409">
        <f>IF(t&gt;Tmaj,'2025'!Wh/'2025'!Env_an*'2026'!Env_an,0.001*'[8]mon-tableau'!$B$256)</f>
        <v>42.647541094254443</v>
      </c>
      <c r="C187" s="829"/>
      <c r="D187" s="391">
        <f t="shared" si="50"/>
        <v>44.91158746062041</v>
      </c>
      <c r="E187" s="383">
        <f t="shared" si="75"/>
        <v>45.641790308516825</v>
      </c>
      <c r="F187" s="383">
        <f t="shared" si="51"/>
        <v>45.641790308516825</v>
      </c>
      <c r="G187" s="110">
        <f t="shared" si="76"/>
        <v>0.73428045362943595</v>
      </c>
      <c r="H187" s="412" t="b">
        <f>Wh_hp&gt;='2025'!Maxi_hp</f>
        <v>0</v>
      </c>
      <c r="I187" s="388">
        <f>IF(H187,Wh_hp,'2025'!Maxi_hp)</f>
        <v>62.350039866865146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5.0411185495305322E-2</v>
      </c>
      <c r="M187" s="832"/>
      <c r="N187" s="832"/>
      <c r="O187" s="48">
        <f>IF(t&lt;Tnet,'2025'!Resal+('2025'!Salim-'2025'!Resal)*(1-EXP(('2025'!Tnet-t)/('2025'!Tau_j))),Resal+(Salim-Resal)*(1-EXP((Tnet-t)/(Tau_j))))*Salcycl</f>
        <v>1.5998558403616307E-2</v>
      </c>
      <c r="P187" s="169">
        <f>(INDEX(Models!$BJ187:$BT187,,T187)*(1-R187)+INDEX(Models!$BJ187:$BT187,,T187+1)*R187-ERP_i)*Q187*Ramure*Pc/MaxiM</f>
        <v>0</v>
      </c>
      <c r="Q187" s="304">
        <f t="shared" si="53"/>
        <v>0.6</v>
      </c>
      <c r="R187" s="177">
        <f t="shared" si="54"/>
        <v>0.78438746381240954</v>
      </c>
      <c r="S187" s="799">
        <f t="shared" si="55"/>
        <v>-2</v>
      </c>
      <c r="T187" s="176">
        <f t="shared" si="56"/>
        <v>4</v>
      </c>
      <c r="U187" s="250">
        <f t="shared" si="57"/>
        <v>-1.2156125361875905</v>
      </c>
      <c r="V187" s="382">
        <f t="shared" si="58"/>
        <v>58.080724992002949</v>
      </c>
      <c r="W187" s="400">
        <f t="shared" si="59"/>
        <v>42.647541094254443</v>
      </c>
      <c r="X187" s="157">
        <f t="shared" si="60"/>
        <v>46195</v>
      </c>
      <c r="Y187" s="383">
        <f t="shared" si="61"/>
        <v>41.084583869427021</v>
      </c>
      <c r="Z187" s="383">
        <f t="shared" si="62"/>
        <v>43.265656926315764</v>
      </c>
      <c r="AA187" s="384">
        <f t="shared" si="63"/>
        <v>45.641790308516825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5.2060477166638947E-2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0.30937503018638823</v>
      </c>
      <c r="AG187" s="799">
        <f t="shared" si="74"/>
        <v>2</v>
      </c>
      <c r="AH187" s="176">
        <f t="shared" si="67"/>
        <v>8</v>
      </c>
      <c r="AI187" s="224">
        <f t="shared" si="68"/>
        <v>2.3093750301863882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46196</v>
      </c>
      <c r="B188" s="409">
        <f>IF(t&gt;Tmaj,'2025'!Wh/'2025'!Env_an*'2026'!Env_an,0.001*'[8]mon-tableau'!$B$257)</f>
        <v>43.313281355453697</v>
      </c>
      <c r="C188" s="829"/>
      <c r="D188" s="391">
        <f t="shared" si="50"/>
        <v>45.61354430350039</v>
      </c>
      <c r="E188" s="383">
        <f t="shared" si="75"/>
        <v>46.361143373016795</v>
      </c>
      <c r="F188" s="383">
        <f t="shared" si="51"/>
        <v>46.361143373016795</v>
      </c>
      <c r="G188" s="110">
        <f t="shared" si="76"/>
        <v>0.74663808507722507</v>
      </c>
      <c r="H188" s="412" t="b">
        <f>Wh_hp&gt;='2025'!Maxi_hp</f>
        <v>0</v>
      </c>
      <c r="I188" s="388">
        <f>IF(H188,Wh_hp,'2025'!Maxi_hp)</f>
        <v>54.242625495320887</v>
      </c>
      <c r="J188" s="85">
        <f>IF(H188,An,'2025'!An_max)</f>
        <v>2018</v>
      </c>
      <c r="K188" s="197">
        <f t="shared" si="52"/>
        <v>46196</v>
      </c>
      <c r="L188" s="147">
        <f>IF(t&lt;Tvie,1-EXP((T0-t)*PertePVj)+'2025'!Pspv,1-EXP((T0-t)*PertePVj)+Pspv)</f>
        <v>5.0429384148299339E-2</v>
      </c>
      <c r="M188" s="832"/>
      <c r="N188" s="832"/>
      <c r="O188" s="48">
        <f>IF(t&lt;Tnet,'2025'!Resal+('2025'!Salim-'2025'!Resal)*(1-EXP(('2025'!Tnet-t)/('2025'!Tau_j))),Resal+(Salim-Resal)*(1-EXP((Tnet-t)/(Tau_j))))*Salcycl</f>
        <v>1.6125552890300775E-2</v>
      </c>
      <c r="P188" s="169">
        <f>(INDEX(Models!$BJ188:$BT188,,T188)*(1-R188)+INDEX(Models!$BJ188:$BT188,,T188+1)*R188-ERP_i)*Q188*Ramure*Pc/MaxiM</f>
        <v>-1.7845805228770732E-20</v>
      </c>
      <c r="Q188" s="304">
        <f t="shared" si="53"/>
        <v>0.6</v>
      </c>
      <c r="R188" s="177">
        <f t="shared" si="54"/>
        <v>0.78920807864363152</v>
      </c>
      <c r="S188" s="799">
        <f t="shared" si="55"/>
        <v>-2</v>
      </c>
      <c r="T188" s="176">
        <f t="shared" si="56"/>
        <v>4</v>
      </c>
      <c r="U188" s="250">
        <f t="shared" si="57"/>
        <v>-1.2107919213563685</v>
      </c>
      <c r="V188" s="382">
        <f t="shared" si="58"/>
        <v>58.011079559347408</v>
      </c>
      <c r="W188" s="400">
        <f t="shared" si="59"/>
        <v>43.313281355453697</v>
      </c>
      <c r="X188" s="157">
        <f t="shared" si="60"/>
        <v>46196</v>
      </c>
      <c r="Y188" s="383">
        <f t="shared" si="61"/>
        <v>41.726916935311046</v>
      </c>
      <c r="Z188" s="383">
        <f t="shared" si="62"/>
        <v>43.942931930222819</v>
      </c>
      <c r="AA188" s="384">
        <f t="shared" si="63"/>
        <v>46.361143373016795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5.2160306387124752E-2</v>
      </c>
      <c r="AD188" s="230">
        <f>(INDEX(Models!$BJ188:$BT188,,AH188)*(1-AF188)+INDEX(Models!$BJ188:$BT188,,AH188+1)*AF188-ERP_i)*AE188*Ramure*Pc/MaxiM</f>
        <v>0</v>
      </c>
      <c r="AE188" s="304">
        <f t="shared" si="65"/>
        <v>0.6</v>
      </c>
      <c r="AF188" s="177">
        <f t="shared" si="66"/>
        <v>0.31419564501761021</v>
      </c>
      <c r="AG188" s="799">
        <f t="shared" si="74"/>
        <v>2</v>
      </c>
      <c r="AH188" s="176">
        <f t="shared" si="67"/>
        <v>8</v>
      </c>
      <c r="AI188" s="224">
        <f t="shared" si="68"/>
        <v>2.3141956450176102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46197</v>
      </c>
      <c r="B189" s="409">
        <f>IF(t&gt;Tmaj,'2025'!Wh/'2025'!Env_an*'2026'!Env_an,0.001*'[8]mon-tableau'!$B$258)</f>
        <v>39.801861740607265</v>
      </c>
      <c r="C189" s="829"/>
      <c r="D189" s="391">
        <f t="shared" si="50"/>
        <v>41.916445058829076</v>
      </c>
      <c r="E189" s="383">
        <f t="shared" si="75"/>
        <v>42.608935336270072</v>
      </c>
      <c r="F189" s="383">
        <f t="shared" si="51"/>
        <v>42.608935336270072</v>
      </c>
      <c r="G189" s="110">
        <f t="shared" si="76"/>
        <v>0.68695445422333923</v>
      </c>
      <c r="H189" s="412" t="b">
        <f>Wh_hp&gt;='2025'!Maxi_hp</f>
        <v>0</v>
      </c>
      <c r="I189" s="388">
        <f>IF(H189,Wh_hp,'2025'!Maxi_hp)</f>
        <v>61.322953896057307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5.0447582452520234E-2</v>
      </c>
      <c r="M189" s="832"/>
      <c r="N189" s="832"/>
      <c r="O189" s="48">
        <f>IF(t&lt;Tnet,'2025'!Resal+('2025'!Salim-'2025'!Resal)*(1-EXP(('2025'!Tnet-t)/('2025'!Tau_j))),Resal+(Salim-Resal)*(1-EXP((Tnet-t)/(Tau_j))))*Salcycl</f>
        <v>1.6252231415215115E-2</v>
      </c>
      <c r="P189" s="169">
        <f>(INDEX(Models!$BJ189:$BT189,,T189)*(1-R189)+INDEX(Models!$BJ189:$BT189,,T189+1)*R189-ERP_i)*Q189*Ramure*Pc/MaxiM</f>
        <v>1.7938377904598949E-20</v>
      </c>
      <c r="Q189" s="304">
        <f t="shared" si="53"/>
        <v>0.6</v>
      </c>
      <c r="R189" s="177">
        <f t="shared" si="54"/>
        <v>0.79397728102517395</v>
      </c>
      <c r="S189" s="799">
        <f t="shared" si="55"/>
        <v>-2</v>
      </c>
      <c r="T189" s="176">
        <f t="shared" si="56"/>
        <v>4</v>
      </c>
      <c r="U189" s="250">
        <f t="shared" si="57"/>
        <v>-1.206022718974826</v>
      </c>
      <c r="V189" s="382">
        <f t="shared" si="58"/>
        <v>57.939593368830636</v>
      </c>
      <c r="W189" s="400">
        <f t="shared" si="59"/>
        <v>39.801861740607265</v>
      </c>
      <c r="X189" s="157">
        <f t="shared" si="60"/>
        <v>46197</v>
      </c>
      <c r="Y189" s="383">
        <f t="shared" si="61"/>
        <v>38.345039448872086</v>
      </c>
      <c r="Z189" s="383">
        <f t="shared" si="62"/>
        <v>40.382225078116605</v>
      </c>
      <c r="AA189" s="384">
        <f t="shared" si="63"/>
        <v>42.608935336270072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5.2259232496194845E-2</v>
      </c>
      <c r="AD189" s="230">
        <f>(INDEX(Models!$BJ189:$BT189,,AH189)*(1-AF189)+INDEX(Models!$BJ189:$BT189,,AH189+1)*AF189-ERP_i)*AE189*Ramure*Pc/MaxiM</f>
        <v>0</v>
      </c>
      <c r="AE189" s="304">
        <f t="shared" si="65"/>
        <v>0.6</v>
      </c>
      <c r="AF189" s="177">
        <f t="shared" si="66"/>
        <v>0.31896484739915243</v>
      </c>
      <c r="AG189" s="799">
        <f t="shared" si="74"/>
        <v>2</v>
      </c>
      <c r="AH189" s="176">
        <f t="shared" si="67"/>
        <v>8</v>
      </c>
      <c r="AI189" s="224">
        <f t="shared" si="68"/>
        <v>2.3189648473991524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46198</v>
      </c>
      <c r="B190" s="409">
        <f>IF(t&gt;Tmaj,'2025'!Wh/'2025'!Env_an*'2026'!Env_an,0.001*'[8]mon-tableau'!$B$259)</f>
        <v>37.661373636528879</v>
      </c>
      <c r="C190" s="829"/>
      <c r="D190" s="391">
        <f t="shared" si="50"/>
        <v>39.662997772434551</v>
      </c>
      <c r="E190" s="383">
        <f t="shared" si="75"/>
        <v>40.323438774937273</v>
      </c>
      <c r="F190" s="383">
        <f t="shared" si="51"/>
        <v>40.323438774937273</v>
      </c>
      <c r="G190" s="110">
        <f t="shared" si="76"/>
        <v>0.6508346787641327</v>
      </c>
      <c r="H190" s="412" t="b">
        <f>Wh_hp&gt;='2025'!Maxi_hp</f>
        <v>0</v>
      </c>
      <c r="I190" s="388">
        <f>IF(H190,Wh_hp,'2025'!Maxi_hp)</f>
        <v>60.963352971258608</v>
      </c>
      <c r="J190" s="85">
        <f>IF(H190,An,'2025'!An_max)</f>
        <v>2020</v>
      </c>
      <c r="K190" s="197">
        <f t="shared" si="52"/>
        <v>46198</v>
      </c>
      <c r="L190" s="147">
        <f>IF(t&lt;Tvie,1-EXP((T0-t)*PertePVj)+'2025'!Pspv,1-EXP((T0-t)*PertePVj)+Pspv)</f>
        <v>5.0465780407974781E-2</v>
      </c>
      <c r="M190" s="832"/>
      <c r="N190" s="832"/>
      <c r="O190" s="48">
        <f>IF(t&lt;Tnet,'2025'!Resal+('2025'!Salim-'2025'!Resal)*(1-EXP(('2025'!Tnet-t)/('2025'!Tau_j))),Resal+(Salim-Resal)*(1-EXP((Tnet-t)/(Tau_j))))*Salcycl</f>
        <v>1.6378588299200629E-2</v>
      </c>
      <c r="P190" s="169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0.79869192841614978</v>
      </c>
      <c r="S190" s="799">
        <f t="shared" si="55"/>
        <v>-2</v>
      </c>
      <c r="T190" s="176">
        <f t="shared" si="56"/>
        <v>4</v>
      </c>
      <c r="U190" s="250">
        <f t="shared" si="57"/>
        <v>-1.2013080715838502</v>
      </c>
      <c r="V190" s="382">
        <f t="shared" si="58"/>
        <v>57.866267525946689</v>
      </c>
      <c r="W190" s="400">
        <f t="shared" si="59"/>
        <v>37.661373636528879</v>
      </c>
      <c r="X190" s="157">
        <f t="shared" si="60"/>
        <v>46198</v>
      </c>
      <c r="Y190" s="383">
        <f t="shared" si="61"/>
        <v>36.283805085620315</v>
      </c>
      <c r="Z190" s="383">
        <f t="shared" si="62"/>
        <v>38.212214301460286</v>
      </c>
      <c r="AA190" s="384">
        <f t="shared" si="63"/>
        <v>40.323438774937273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5.2357252695154656E-2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0.32367949479012825</v>
      </c>
      <c r="AG190" s="799">
        <f t="shared" si="74"/>
        <v>2</v>
      </c>
      <c r="AH190" s="176">
        <f t="shared" si="67"/>
        <v>8</v>
      </c>
      <c r="AI190" s="224">
        <f t="shared" si="68"/>
        <v>2.3236794947901283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46199</v>
      </c>
      <c r="B191" s="409">
        <f>IF(t&gt;Tmaj,'2025'!Wh/'2025'!Env_an*'2026'!Env_an,0.001*'[8]mon-tableau'!$B$260)</f>
        <v>12.203452245124907</v>
      </c>
      <c r="C191" s="829"/>
      <c r="D191" s="391">
        <f t="shared" si="50"/>
        <v>12.852286809872753</v>
      </c>
      <c r="E191" s="383">
        <f t="shared" si="75"/>
        <v>13.067968648996214</v>
      </c>
      <c r="F191" s="383">
        <f t="shared" si="51"/>
        <v>13.067968648996214</v>
      </c>
      <c r="G191" s="110">
        <f t="shared" si="76"/>
        <v>0.21116648786525158</v>
      </c>
      <c r="H191" s="412" t="b">
        <f>Wh_hp&gt;='2025'!Maxi_hp</f>
        <v>0</v>
      </c>
      <c r="I191" s="388">
        <f>IF(H191,Wh_hp,'2025'!Maxi_hp)</f>
        <v>60.568355603676984</v>
      </c>
      <c r="J191" s="85">
        <f>IF(H191,An,'2025'!An_max)</f>
        <v>2018</v>
      </c>
      <c r="K191" s="197">
        <f t="shared" si="52"/>
        <v>46199</v>
      </c>
      <c r="L191" s="147">
        <f>IF(t&lt;Tvie,1-EXP((T0-t)*PertePVj)+'2025'!Pspv,1-EXP((T0-t)*PertePVj)+Pspv)</f>
        <v>5.048397801466975E-2</v>
      </c>
      <c r="M191" s="832"/>
      <c r="N191" s="832"/>
      <c r="O191" s="48">
        <f>IF(t&lt;Tnet,'2025'!Resal+('2025'!Salim-'2025'!Resal)*(1-EXP(('2025'!Tnet-t)/('2025'!Tau_j))),Resal+(Salim-Resal)*(1-EXP((Tnet-t)/(Tau_j))))*Salcycl</f>
        <v>1.6504618653185081E-2</v>
      </c>
      <c r="P191" s="169">
        <f>(INDEX(Models!$BJ191:$BT191,,T191)*(1-R191)+INDEX(Models!$BJ191:$BT191,,T191+1)*R191-ERP_i)*Q191*Ramure*Pc/MaxiM</f>
        <v>0</v>
      </c>
      <c r="Q191" s="304">
        <f t="shared" si="53"/>
        <v>0.6</v>
      </c>
      <c r="R191" s="177">
        <f t="shared" si="54"/>
        <v>0.8033490407569821</v>
      </c>
      <c r="S191" s="799">
        <f t="shared" si="55"/>
        <v>-2</v>
      </c>
      <c r="T191" s="176">
        <f t="shared" si="56"/>
        <v>4</v>
      </c>
      <c r="U191" s="250">
        <f t="shared" si="57"/>
        <v>-1.1966509592430179</v>
      </c>
      <c r="V191" s="382">
        <f t="shared" si="58"/>
        <v>57.790667299974743</v>
      </c>
      <c r="W191" s="400">
        <f t="shared" si="59"/>
        <v>12.203452245124907</v>
      </c>
      <c r="X191" s="157">
        <f t="shared" si="60"/>
        <v>46199</v>
      </c>
      <c r="Y191" s="383">
        <f t="shared" si="61"/>
        <v>11.757378942670822</v>
      </c>
      <c r="Z191" s="383">
        <f t="shared" si="62"/>
        <v>12.382496630322759</v>
      </c>
      <c r="AA191" s="384">
        <f t="shared" si="63"/>
        <v>13.067968648996214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5.2454366633800258E-2</v>
      </c>
      <c r="AD191" s="230">
        <f>(INDEX(Models!$BJ191:$BT191,,AH191)*(1-AF191)+INDEX(Models!$BJ191:$BT191,,AH191+1)*AF191-ERP_i)*AE191*Ramure*Pc/MaxiM</f>
        <v>0</v>
      </c>
      <c r="AE191" s="304">
        <f t="shared" si="65"/>
        <v>0.6</v>
      </c>
      <c r="AF191" s="177">
        <f t="shared" si="66"/>
        <v>0.3283366071309608</v>
      </c>
      <c r="AG191" s="799">
        <f t="shared" si="74"/>
        <v>2</v>
      </c>
      <c r="AH191" s="176">
        <f t="shared" si="67"/>
        <v>8</v>
      </c>
      <c r="AI191" s="224">
        <f t="shared" si="68"/>
        <v>2.3283366071309608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46200</v>
      </c>
      <c r="B192" s="409">
        <f>IF(t&gt;Tmaj,'2025'!Wh/'2025'!Env_an*'2026'!Env_an,0.001*'[8]mon-tableau'!$B$261)</f>
        <v>15.027472680369298</v>
      </c>
      <c r="C192" s="829"/>
      <c r="D192" s="391">
        <f t="shared" si="50"/>
        <v>15.82675840746013</v>
      </c>
      <c r="E192" s="383">
        <f t="shared" si="75"/>
        <v>16.094413630348956</v>
      </c>
      <c r="F192" s="383">
        <f t="shared" si="51"/>
        <v>16.094413630348956</v>
      </c>
      <c r="G192" s="110">
        <f t="shared" si="76"/>
        <v>0.2603850933963755</v>
      </c>
      <c r="H192" s="412" t="b">
        <f>Wh_hp&gt;='2025'!Maxi_hp</f>
        <v>0</v>
      </c>
      <c r="I192" s="388">
        <f>IF(H192,Wh_hp,'2025'!Maxi_hp)</f>
        <v>60.063496146867578</v>
      </c>
      <c r="J192" s="85">
        <f>IF(H192,An,'2025'!An_max)</f>
        <v>2018</v>
      </c>
      <c r="K192" s="197">
        <f t="shared" si="52"/>
        <v>46200</v>
      </c>
      <c r="L192" s="147">
        <f>IF(t&lt;Tvie,1-EXP((T0-t)*PertePVj)+'2025'!Pspv,1-EXP((T0-t)*PertePVj)+Pspv)</f>
        <v>5.0502175272611693E-2</v>
      </c>
      <c r="M192" s="832"/>
      <c r="N192" s="832"/>
      <c r="O192" s="48">
        <f>IF(t&lt;Tnet,'2025'!Resal+('2025'!Salim-'2025'!Resal)*(1-EXP(('2025'!Tnet-t)/('2025'!Tau_j))),Resal+(Salim-Resal)*(1-EXP((Tnet-t)/(Tau_j))))*Salcycl</f>
        <v>1.6630318384766505E-2</v>
      </c>
      <c r="P192" s="169">
        <f>(INDEX(Models!$BJ192:$BT192,,T192)*(1-R192)+INDEX(Models!$BJ192:$BT192,,T192+1)*R192-ERP_i)*Q192*Ramure*Pc/MaxiM</f>
        <v>0</v>
      </c>
      <c r="Q192" s="304">
        <f t="shared" si="53"/>
        <v>0.6</v>
      </c>
      <c r="R192" s="177">
        <f t="shared" si="54"/>
        <v>0.80794580617469913</v>
      </c>
      <c r="S192" s="799">
        <f t="shared" si="55"/>
        <v>-2</v>
      </c>
      <c r="T192" s="176">
        <f t="shared" si="56"/>
        <v>4</v>
      </c>
      <c r="U192" s="250">
        <f t="shared" si="57"/>
        <v>-1.1920541938253009</v>
      </c>
      <c r="V192" s="382">
        <f t="shared" si="58"/>
        <v>57.712492233545326</v>
      </c>
      <c r="W192" s="400">
        <f t="shared" si="59"/>
        <v>15.027472680369298</v>
      </c>
      <c r="X192" s="157">
        <f t="shared" si="60"/>
        <v>46200</v>
      </c>
      <c r="Y192" s="383">
        <f t="shared" si="61"/>
        <v>14.478553280564476</v>
      </c>
      <c r="Z192" s="383">
        <f t="shared" si="62"/>
        <v>15.248642917872335</v>
      </c>
      <c r="AA192" s="384">
        <f t="shared" si="63"/>
        <v>16.094413630348956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5.2550576361587067E-2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0.33293337254867783</v>
      </c>
      <c r="AG192" s="799">
        <f t="shared" si="74"/>
        <v>2</v>
      </c>
      <c r="AH192" s="176">
        <f t="shared" si="67"/>
        <v>8</v>
      </c>
      <c r="AI192" s="224">
        <f t="shared" si="68"/>
        <v>2.3329333725486778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46201</v>
      </c>
      <c r="B193" s="409">
        <f>IF(t&gt;Tmaj,'2025'!Wh/'2025'!Env_an*'2026'!Env_an,0.001*'[8]mon-tableau'!$B$262)</f>
        <v>57.670131405589537</v>
      </c>
      <c r="C193" s="829"/>
      <c r="D193" s="391">
        <f t="shared" si="50"/>
        <v>60.73867170600554</v>
      </c>
      <c r="E193" s="383">
        <f t="shared" si="75"/>
        <v>61.773732865744329</v>
      </c>
      <c r="F193" s="383">
        <f t="shared" si="51"/>
        <v>61.773732865744329</v>
      </c>
      <c r="G193" s="110">
        <f t="shared" si="76"/>
        <v>1.0006625966645872</v>
      </c>
      <c r="H193" s="412" t="b">
        <f>Wh_hp&gt;='2025'!Maxi_hp</f>
        <v>1</v>
      </c>
      <c r="I193" s="388">
        <f>IF(H193,Wh_hp,'2025'!Maxi_hp)</f>
        <v>61.773732865744329</v>
      </c>
      <c r="J193" s="85">
        <f>IF(H193,An,'2025'!An_max)</f>
        <v>2026</v>
      </c>
      <c r="K193" s="197">
        <f t="shared" si="52"/>
        <v>46201</v>
      </c>
      <c r="L193" s="147">
        <f>IF(t&lt;Tvie,1-EXP((T0-t)*PertePVj)+'2025'!Pspv,1-EXP((T0-t)*PertePVj)+Pspv)</f>
        <v>5.0520372181807272E-2</v>
      </c>
      <c r="M193" s="832"/>
      <c r="N193" s="832"/>
      <c r="O193" s="48">
        <f>IF(t&lt;Tnet,'2025'!Resal+('2025'!Salim-'2025'!Resal)*(1-EXP(('2025'!Tnet-t)/('2025'!Tau_j))),Resal+(Salim-Resal)*(1-EXP((Tnet-t)/(Tau_j))))*Salcycl</f>
        <v>1.6755684199760701E-2</v>
      </c>
      <c r="P193" s="169">
        <f>(INDEX(Models!$BJ193:$BT193,,T193)*(1-R193)+INDEX(Models!$BJ193:$BT193,,T193+1)*R193-ERP_i)*Q193*Ramure*Pc/MaxiM</f>
        <v>0</v>
      </c>
      <c r="Q193" s="304">
        <f t="shared" si="53"/>
        <v>0.6</v>
      </c>
      <c r="R193" s="177">
        <f t="shared" si="54"/>
        <v>0.8124795857055287</v>
      </c>
      <c r="S193" s="799">
        <f t="shared" si="55"/>
        <v>-2</v>
      </c>
      <c r="T193" s="176">
        <f t="shared" si="56"/>
        <v>4</v>
      </c>
      <c r="U193" s="250">
        <f t="shared" si="57"/>
        <v>-1.1875204142944713</v>
      </c>
      <c r="V193" s="382">
        <f t="shared" si="58"/>
        <v>57.631944671276663</v>
      </c>
      <c r="W193" s="400">
        <f t="shared" si="59"/>
        <v>57.670131405589537</v>
      </c>
      <c r="X193" s="157">
        <f t="shared" si="60"/>
        <v>46201</v>
      </c>
      <c r="Y193" s="383">
        <f t="shared" si="61"/>
        <v>55.565066940894496</v>
      </c>
      <c r="Z193" s="383">
        <f t="shared" si="62"/>
        <v>58.521599951098842</v>
      </c>
      <c r="AA193" s="384">
        <f t="shared" si="63"/>
        <v>61.773732865744329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5.2645886265502186E-2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0.33746715207950739</v>
      </c>
      <c r="AG193" s="799">
        <f t="shared" si="74"/>
        <v>2</v>
      </c>
      <c r="AH193" s="176">
        <f t="shared" si="67"/>
        <v>8</v>
      </c>
      <c r="AI193" s="224">
        <f t="shared" si="68"/>
        <v>2.3374671520795074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46202</v>
      </c>
      <c r="B194" s="409">
        <f>IF(t&gt;Tmaj,'2025'!Wh/'2025'!Env_an*'2026'!Env_an,0.001*'[8]mon-tableau'!$B$263)</f>
        <v>57.206205772719976</v>
      </c>
      <c r="C194" s="829"/>
      <c r="D194" s="391">
        <f t="shared" si="50"/>
        <v>60.251215994039711</v>
      </c>
      <c r="E194" s="383">
        <f t="shared" si="75"/>
        <v>61.285763413908384</v>
      </c>
      <c r="F194" s="383">
        <f t="shared" si="51"/>
        <v>61.285763413908384</v>
      </c>
      <c r="G194" s="110">
        <f t="shared" si="76"/>
        <v>0.99403951999911433</v>
      </c>
      <c r="H194" s="412" t="b">
        <f>Wh_hp&gt;='2025'!Maxi_hp</f>
        <v>1</v>
      </c>
      <c r="I194" s="388">
        <f>IF(H194,Wh_hp,'2025'!Maxi_hp)</f>
        <v>61.285763413908384</v>
      </c>
      <c r="J194" s="85">
        <f>IF(H194,An,'2025'!An_max)</f>
        <v>2026</v>
      </c>
      <c r="K194" s="197">
        <f t="shared" si="52"/>
        <v>46202</v>
      </c>
      <c r="L194" s="147">
        <f>IF(t&lt;Tvie,1-EXP((T0-t)*PertePVj)+'2025'!Pspv,1-EXP((T0-t)*PertePVj)+Pspv)</f>
        <v>5.0538568742263368E-2</v>
      </c>
      <c r="M194" s="832"/>
      <c r="N194" s="832"/>
      <c r="O194" s="48">
        <f>IF(t&lt;Tnet,'2025'!Resal+('2025'!Salim-'2025'!Resal)*(1-EXP(('2025'!Tnet-t)/('2025'!Tau_j))),Resal+(Salim-Resal)*(1-EXP((Tnet-t)/(Tau_j))))*Salcycl</f>
        <v>1.6880713598713029E-2</v>
      </c>
      <c r="P194" s="169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0.81694791703730107</v>
      </c>
      <c r="S194" s="799">
        <f t="shared" si="55"/>
        <v>-2</v>
      </c>
      <c r="T194" s="176">
        <f t="shared" si="56"/>
        <v>4</v>
      </c>
      <c r="U194" s="250">
        <f t="shared" si="57"/>
        <v>-1.1830520829626989</v>
      </c>
      <c r="V194" s="382">
        <f t="shared" si="58"/>
        <v>57.549226788056629</v>
      </c>
      <c r="W194" s="400">
        <f t="shared" si="59"/>
        <v>57.206205772719976</v>
      </c>
      <c r="X194" s="157">
        <f t="shared" si="60"/>
        <v>46202</v>
      </c>
      <c r="Y194" s="383">
        <f t="shared" si="61"/>
        <v>55.119591179443347</v>
      </c>
      <c r="Z194" s="383">
        <f t="shared" si="62"/>
        <v>58.05353368217105</v>
      </c>
      <c r="AA194" s="384">
        <f t="shared" si="63"/>
        <v>61.285763413908384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5.2740302995129211E-2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0.34193548341127977</v>
      </c>
      <c r="AG194" s="799">
        <f t="shared" si="74"/>
        <v>2</v>
      </c>
      <c r="AH194" s="176">
        <f t="shared" si="67"/>
        <v>8</v>
      </c>
      <c r="AI194" s="224">
        <f t="shared" si="68"/>
        <v>2.3419354834112798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46203</v>
      </c>
      <c r="B195" s="409">
        <f>IF(t&gt;Tmaj,'2025'!Wh/'2025'!Env_an*'2026'!Env_an,0.001*'[8]mon-tableau'!$B$264)</f>
        <v>14.074291254911303</v>
      </c>
      <c r="C195" s="829"/>
      <c r="D195" s="391">
        <f t="shared" si="50"/>
        <v>14.823731146211401</v>
      </c>
      <c r="E195" s="383">
        <f t="shared" si="75"/>
        <v>15.080175638429733</v>
      </c>
      <c r="F195" s="383">
        <f t="shared" si="51"/>
        <v>15.080175638429733</v>
      </c>
      <c r="G195" s="110">
        <f t="shared" si="76"/>
        <v>0.24492132210197964</v>
      </c>
      <c r="H195" s="412" t="b">
        <f>Wh_hp&gt;='2025'!Maxi_hp</f>
        <v>0</v>
      </c>
      <c r="I195" s="388">
        <f>IF(H195,Wh_hp,'2025'!Maxi_hp)</f>
        <v>48.567329624942467</v>
      </c>
      <c r="J195" s="85">
        <f>IF(H195,An,'2025'!An_max)</f>
        <v>2018</v>
      </c>
      <c r="K195" s="197">
        <f t="shared" si="52"/>
        <v>46203</v>
      </c>
      <c r="L195" s="147">
        <f>IF(t&lt;Tvie,1-EXP((T0-t)*PertePVj)+'2025'!Pspv,1-EXP((T0-t)*PertePVj)+Pspv)</f>
        <v>5.0556764953986422E-2</v>
      </c>
      <c r="M195" s="832"/>
      <c r="N195" s="832"/>
      <c r="O195" s="48">
        <f>IF(t&lt;Tnet,'2025'!Resal+('2025'!Salim-'2025'!Resal)*(1-EXP(('2025'!Tnet-t)/('2025'!Tau_j))),Resal+(Salim-Resal)*(1-EXP((Tnet-t)/(Tau_j))))*Salcycl</f>
        <v>1.7005404868416785E-2</v>
      </c>
      <c r="P195" s="169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0.82134851728285652</v>
      </c>
      <c r="S195" s="799">
        <f t="shared" si="55"/>
        <v>-2</v>
      </c>
      <c r="T195" s="176">
        <f t="shared" si="56"/>
        <v>4</v>
      </c>
      <c r="U195" s="250">
        <f t="shared" si="57"/>
        <v>-1.1786514827171435</v>
      </c>
      <c r="V195" s="382">
        <f t="shared" si="58"/>
        <v>57.464540588471465</v>
      </c>
      <c r="W195" s="400">
        <f t="shared" si="59"/>
        <v>14.074291254911303</v>
      </c>
      <c r="X195" s="157">
        <f t="shared" si="60"/>
        <v>46203</v>
      </c>
      <c r="Y195" s="383">
        <f t="shared" si="61"/>
        <v>13.561308000821814</v>
      </c>
      <c r="Z195" s="383">
        <f t="shared" si="62"/>
        <v>14.283432121315375</v>
      </c>
      <c r="AA195" s="384">
        <f t="shared" si="63"/>
        <v>15.080175638429733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5.2833835375495679E-2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0.34633608365683521</v>
      </c>
      <c r="AG195" s="799">
        <f t="shared" si="74"/>
        <v>2</v>
      </c>
      <c r="AH195" s="176">
        <f t="shared" si="67"/>
        <v>8</v>
      </c>
      <c r="AI195" s="224">
        <f t="shared" si="68"/>
        <v>2.3463360836568352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46204</v>
      </c>
      <c r="B196" s="409">
        <f>IF(t&gt;Tmaj,'2025'!Wh/'2025'!Env_an*'2026'!Env_an,0.001*[9]mois!$B$242)</f>
        <v>47.81018076564667</v>
      </c>
      <c r="C196" s="829"/>
      <c r="D196" s="391">
        <f t="shared" si="50"/>
        <v>50.356983218798909</v>
      </c>
      <c r="E196" s="383">
        <f t="shared" si="75"/>
        <v>51.234619809636129</v>
      </c>
      <c r="F196" s="383">
        <f t="shared" si="51"/>
        <v>51.234619809636129</v>
      </c>
      <c r="G196" s="110">
        <f t="shared" si="76"/>
        <v>0.83324806571576482</v>
      </c>
      <c r="H196" s="412" t="b">
        <f>Wh_hp&gt;='2025'!Maxi_hp</f>
        <v>0</v>
      </c>
      <c r="I196" s="388">
        <f>IF(H196,Wh_hp,'2025'!Maxi_hp)</f>
        <v>60.829668831248355</v>
      </c>
      <c r="J196" s="85">
        <f>IF(H196,An,'2025'!An_max)</f>
        <v>2020</v>
      </c>
      <c r="K196" s="197">
        <f t="shared" si="52"/>
        <v>46204</v>
      </c>
      <c r="L196" s="147">
        <f>IF(t&lt;Tvie,1-EXP((T0-t)*PertePVj)+'2025'!Pspv,1-EXP((T0-t)*PertePVj)+Pspv)</f>
        <v>5.0574960816983316E-2</v>
      </c>
      <c r="M196" s="832"/>
      <c r="N196" s="832"/>
      <c r="O196" s="48">
        <f>IF(t&lt;Tnet,'2025'!Resal+('2025'!Salim-'2025'!Resal)*(1-EXP(('2025'!Tnet-t)/('2025'!Tau_j))),Resal+(Salim-Resal)*(1-EXP((Tnet-t)/(Tau_j))))*Salcycl</f>
        <v>1.7129757068523419E-2</v>
      </c>
      <c r="P196" s="169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0.82567928480379948</v>
      </c>
      <c r="S196" s="799">
        <f t="shared" si="55"/>
        <v>-2</v>
      </c>
      <c r="T196" s="176">
        <f t="shared" si="56"/>
        <v>4</v>
      </c>
      <c r="U196" s="250">
        <f t="shared" si="57"/>
        <v>-1.1743207151962005</v>
      </c>
      <c r="V196" s="382">
        <f t="shared" si="58"/>
        <v>57.378087910204087</v>
      </c>
      <c r="W196" s="400">
        <f t="shared" si="59"/>
        <v>47.81018076564667</v>
      </c>
      <c r="X196" s="157">
        <f t="shared" si="60"/>
        <v>46204</v>
      </c>
      <c r="Y196" s="383">
        <f t="shared" si="61"/>
        <v>46.068904650547417</v>
      </c>
      <c r="Z196" s="383">
        <f t="shared" si="62"/>
        <v>48.522950995888898</v>
      </c>
      <c r="AA196" s="384">
        <f t="shared" si="63"/>
        <v>51.234619809636129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5.2926494308390019E-2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0.3506668511777784</v>
      </c>
      <c r="AG196" s="799">
        <f t="shared" si="74"/>
        <v>2</v>
      </c>
      <c r="AH196" s="176">
        <f t="shared" si="67"/>
        <v>8</v>
      </c>
      <c r="AI196" s="224">
        <f t="shared" si="68"/>
        <v>2.3506668511777784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46205</v>
      </c>
      <c r="B197" s="409">
        <f>IF(t&gt;Tmaj,'2025'!Wh/'2025'!Env_an*'2026'!Env_an,0.001*[9]mois!$B$243)</f>
        <v>34.965751405624729</v>
      </c>
      <c r="C197" s="829"/>
      <c r="D197" s="391">
        <f t="shared" si="50"/>
        <v>36.829049251960882</v>
      </c>
      <c r="E197" s="383">
        <f t="shared" si="75"/>
        <v>37.475645419125073</v>
      </c>
      <c r="F197" s="383">
        <f t="shared" si="51"/>
        <v>37.475645419125073</v>
      </c>
      <c r="G197" s="110">
        <f t="shared" si="76"/>
        <v>0.61032830202047472</v>
      </c>
      <c r="H197" s="412" t="b">
        <f>Wh_hp&gt;='2025'!Maxi_hp</f>
        <v>0</v>
      </c>
      <c r="I197" s="388">
        <f>IF(H197,Wh_hp,'2025'!Maxi_hp)</f>
        <v>55.982473400012779</v>
      </c>
      <c r="J197" s="85">
        <f>IF(H197,An,'2025'!An_max)</f>
        <v>2021</v>
      </c>
      <c r="K197" s="197">
        <f t="shared" si="52"/>
        <v>46205</v>
      </c>
      <c r="L197" s="147">
        <f>IF(t&lt;Tvie,1-EXP((T0-t)*PertePVj)+'2025'!Pspv,1-EXP((T0-t)*PertePVj)+Pspv)</f>
        <v>5.0593156331260603E-2</v>
      </c>
      <c r="M197" s="832"/>
      <c r="N197" s="832"/>
      <c r="O197" s="48">
        <f>IF(t&lt;Tnet,'2025'!Resal+('2025'!Salim-'2025'!Resal)*(1-EXP(('2025'!Tnet-t)/('2025'!Tau_j))),Resal+(Salim-Resal)*(1-EXP((Tnet-t)/(Tau_j))))*Salcycl</f>
        <v>1.7253770013370136E-2</v>
      </c>
      <c r="P197" s="169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0.82993830011146019</v>
      </c>
      <c r="S197" s="799">
        <f t="shared" si="55"/>
        <v>-2</v>
      </c>
      <c r="T197" s="176">
        <f t="shared" si="56"/>
        <v>4</v>
      </c>
      <c r="U197" s="250">
        <f t="shared" si="57"/>
        <v>-1.1700616998885398</v>
      </c>
      <c r="V197" s="382">
        <f t="shared" si="58"/>
        <v>57.290070425820964</v>
      </c>
      <c r="W197" s="400">
        <f t="shared" si="59"/>
        <v>34.965751405624729</v>
      </c>
      <c r="X197" s="157">
        <f t="shared" si="60"/>
        <v>46205</v>
      </c>
      <c r="Y197" s="383">
        <f t="shared" si="61"/>
        <v>33.693262771277929</v>
      </c>
      <c r="Z197" s="383">
        <f t="shared" si="62"/>
        <v>35.488750682561914</v>
      </c>
      <c r="AA197" s="384">
        <f t="shared" si="63"/>
        <v>37.475645419125073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5.3018292662924536E-2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0.35492586648543867</v>
      </c>
      <c r="AG197" s="799">
        <f t="shared" si="74"/>
        <v>2</v>
      </c>
      <c r="AH197" s="176">
        <f t="shared" si="67"/>
        <v>8</v>
      </c>
      <c r="AI197" s="224">
        <f t="shared" si="68"/>
        <v>2.3549258664854387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46206</v>
      </c>
      <c r="B198" s="409">
        <f>IF(t&gt;Tmaj,'2025'!Wh/'2025'!Env_an*'2026'!Env_an,0.001*[9]mois!$B$244)</f>
        <v>49.68577773374345</v>
      </c>
      <c r="C198" s="829"/>
      <c r="D198" s="391">
        <f t="shared" si="50"/>
        <v>52.334497375841842</v>
      </c>
      <c r="E198" s="383">
        <f t="shared" si="75"/>
        <v>53.260020411249151</v>
      </c>
      <c r="F198" s="383">
        <f t="shared" si="51"/>
        <v>53.260020411249151</v>
      </c>
      <c r="G198" s="110">
        <f t="shared" si="76"/>
        <v>0.86862200511697973</v>
      </c>
      <c r="H198" s="412" t="b">
        <f>Wh_hp&gt;='2025'!Maxi_hp</f>
        <v>1</v>
      </c>
      <c r="I198" s="388">
        <f>IF(H198,Wh_hp,'2025'!Maxi_hp)</f>
        <v>53.260020411249151</v>
      </c>
      <c r="J198" s="85">
        <f>IF(H198,An,'2025'!An_max)</f>
        <v>2026</v>
      </c>
      <c r="K198" s="197">
        <f t="shared" si="52"/>
        <v>46206</v>
      </c>
      <c r="L198" s="147">
        <f>IF(t&lt;Tvie,1-EXP((T0-t)*PertePVj)+'2025'!Pspv,1-EXP((T0-t)*PertePVj)+Pspv)</f>
        <v>5.0611351496824941E-2</v>
      </c>
      <c r="M198" s="832"/>
      <c r="N198" s="832"/>
      <c r="O198" s="48">
        <f>IF(t&lt;Tnet,'2025'!Resal+('2025'!Salim-'2025'!Resal)*(1-EXP(('2025'!Tnet-t)/('2025'!Tau_j))),Resal+(Salim-Resal)*(1-EXP((Tnet-t)/(Tau_j))))*Salcycl</f>
        <v>1.7377444249191958E-2</v>
      </c>
      <c r="P198" s="169">
        <f>(INDEX(Models!$BJ198:$BT198,,T198)*(1-R198)+INDEX(Models!$BJ198:$BT198,,T198+1)*R198-ERP_i)*Q198*Ramure*Pc/MaxiM</f>
        <v>0</v>
      </c>
      <c r="Q198" s="304">
        <f t="shared" si="53"/>
        <v>0.6</v>
      </c>
      <c r="R198" s="177">
        <f t="shared" si="54"/>
        <v>0.83412382587875666</v>
      </c>
      <c r="S198" s="799">
        <f t="shared" si="55"/>
        <v>-2</v>
      </c>
      <c r="T198" s="176">
        <f t="shared" si="56"/>
        <v>4</v>
      </c>
      <c r="U198" s="250">
        <f t="shared" si="57"/>
        <v>-1.1658761741212433</v>
      </c>
      <c r="V198" s="382">
        <f t="shared" si="58"/>
        <v>57.200689645264198</v>
      </c>
      <c r="W198" s="400">
        <f t="shared" si="59"/>
        <v>49.68577773374345</v>
      </c>
      <c r="X198" s="157">
        <f t="shared" si="60"/>
        <v>46206</v>
      </c>
      <c r="Y198" s="383">
        <f t="shared" si="61"/>
        <v>47.879018559020757</v>
      </c>
      <c r="Z198" s="383">
        <f t="shared" si="62"/>
        <v>50.431420930203629</v>
      </c>
      <c r="AA198" s="384">
        <f t="shared" si="63"/>
        <v>53.260020411249151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5.3109245156205236E-2</v>
      </c>
      <c r="AD198" s="230">
        <f>(INDEX(Models!$BJ198:$BT198,,AH198)*(1-AF198)+INDEX(Models!$BJ198:$BT198,,AH198+1)*AF198-ERP_i)*AE198*Ramure*Pc/MaxiM</f>
        <v>0</v>
      </c>
      <c r="AE198" s="304">
        <f t="shared" si="65"/>
        <v>0.6</v>
      </c>
      <c r="AF198" s="177">
        <f t="shared" si="66"/>
        <v>0.35911139225273514</v>
      </c>
      <c r="AG198" s="799">
        <f t="shared" si="74"/>
        <v>2</v>
      </c>
      <c r="AH198" s="176">
        <f t="shared" si="67"/>
        <v>8</v>
      </c>
      <c r="AI198" s="224">
        <f t="shared" si="68"/>
        <v>2.3591113922527351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46207</v>
      </c>
      <c r="B199" s="409">
        <f>IF(t&gt;Tmaj,'2025'!Wh/'2025'!Env_an*'2026'!Env_an,0.001*[9]mois!$B$245)</f>
        <v>44.992500709933203</v>
      </c>
      <c r="C199" s="829"/>
      <c r="D199" s="391">
        <f t="shared" si="50"/>
        <v>47.391932764740602</v>
      </c>
      <c r="E199" s="383">
        <f t="shared" si="75"/>
        <v>48.236102227414882</v>
      </c>
      <c r="F199" s="383">
        <f t="shared" si="51"/>
        <v>48.236102227414882</v>
      </c>
      <c r="G199" s="110">
        <f t="shared" si="76"/>
        <v>0.78781973324448795</v>
      </c>
      <c r="H199" s="412" t="b">
        <f>Wh_hp&gt;='2025'!Maxi_hp</f>
        <v>0</v>
      </c>
      <c r="I199" s="388">
        <f>IF(H199,Wh_hp,'2025'!Maxi_hp)</f>
        <v>58.038793817867159</v>
      </c>
      <c r="J199" s="85">
        <f>IF(H199,An,'2025'!An_max)</f>
        <v>2018</v>
      </c>
      <c r="K199" s="197">
        <f t="shared" si="52"/>
        <v>46207</v>
      </c>
      <c r="L199" s="147">
        <f>IF(t&lt;Tvie,1-EXP((T0-t)*PertePVj)+'2025'!Pspv,1-EXP((T0-t)*PertePVj)+Pspv)</f>
        <v>5.0629546313683216E-2</v>
      </c>
      <c r="M199" s="832"/>
      <c r="N199" s="832"/>
      <c r="O199" s="48">
        <f>IF(t&lt;Tnet,'2025'!Resal+('2025'!Salim-'2025'!Resal)*(1-EXP(('2025'!Tnet-t)/('2025'!Tau_j))),Resal+(Salim-Resal)*(1-EXP((Tnet-t)/(Tau_j))))*Salcycl</f>
        <v>1.7500781026923439E-2</v>
      </c>
      <c r="P199" s="169">
        <f>(INDEX(Models!$BJ199:$BT199,,T199)*(1-R199)+INDEX(Models!$BJ199:$BT199,,T199+1)*R199-ERP_i)*Q199*Ramure*Pc/MaxiM</f>
        <v>0</v>
      </c>
      <c r="Q199" s="304">
        <f t="shared" si="53"/>
        <v>0.6</v>
      </c>
      <c r="R199" s="177">
        <f t="shared" si="54"/>
        <v>0.83823430610271377</v>
      </c>
      <c r="S199" s="799">
        <f t="shared" si="55"/>
        <v>-2</v>
      </c>
      <c r="T199" s="176">
        <f t="shared" si="56"/>
        <v>4</v>
      </c>
      <c r="U199" s="250">
        <f t="shared" si="57"/>
        <v>-1.1617656938972862</v>
      </c>
      <c r="V199" s="382">
        <f t="shared" si="58"/>
        <v>57.110146917290358</v>
      </c>
      <c r="W199" s="400">
        <f t="shared" si="59"/>
        <v>44.992500709933203</v>
      </c>
      <c r="X199" s="157">
        <f t="shared" si="60"/>
        <v>46207</v>
      </c>
      <c r="Y199" s="383">
        <f t="shared" si="61"/>
        <v>43.357722097555424</v>
      </c>
      <c r="Z199" s="383">
        <f t="shared" si="62"/>
        <v>45.669972063277761</v>
      </c>
      <c r="AA199" s="384">
        <f t="shared" si="63"/>
        <v>48.236102227414882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5.3199368225044272E-2</v>
      </c>
      <c r="AD199" s="230">
        <f>(INDEX(Models!$BJ199:$BT199,,AH199)*(1-AF199)+INDEX(Models!$BJ199:$BT199,,AH199+1)*AF199-ERP_i)*AE199*Ramure*Pc/MaxiM</f>
        <v>0</v>
      </c>
      <c r="AE199" s="304">
        <f t="shared" si="65"/>
        <v>0.6</v>
      </c>
      <c r="AF199" s="177">
        <f t="shared" si="66"/>
        <v>0.36322187247669246</v>
      </c>
      <c r="AG199" s="799">
        <f t="shared" si="74"/>
        <v>2</v>
      </c>
      <c r="AH199" s="176">
        <f t="shared" si="67"/>
        <v>8</v>
      </c>
      <c r="AI199" s="224">
        <f t="shared" si="68"/>
        <v>2.3632218724766925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46208</v>
      </c>
      <c r="B200" s="409">
        <f>IF(t&gt;Tmaj,'2025'!Wh/'2025'!Env_an*'2026'!Env_an,0.001*[9]mois!$B$246)</f>
        <v>56.086450943520049</v>
      </c>
      <c r="C200" s="829"/>
      <c r="D200" s="391">
        <f t="shared" si="50"/>
        <v>59.078651152850483</v>
      </c>
      <c r="E200" s="383">
        <f t="shared" si="75"/>
        <v>60.13851932349808</v>
      </c>
      <c r="F200" s="383">
        <f t="shared" si="51"/>
        <v>60.13851932349808</v>
      </c>
      <c r="G200" s="110">
        <f t="shared" si="76"/>
        <v>0.98365109316285027</v>
      </c>
      <c r="H200" s="412" t="b">
        <f>Wh_hp&gt;='2025'!Maxi_hp</f>
        <v>1</v>
      </c>
      <c r="I200" s="388">
        <f>IF(H200,Wh_hp,'2025'!Maxi_hp)</f>
        <v>60.13851932349808</v>
      </c>
      <c r="J200" s="85">
        <f>IF(H200,An,'2025'!An_max)</f>
        <v>2026</v>
      </c>
      <c r="K200" s="197">
        <f t="shared" si="52"/>
        <v>46208</v>
      </c>
      <c r="L200" s="147">
        <f>IF(t&lt;Tvie,1-EXP((T0-t)*PertePVj)+'2025'!Pspv,1-EXP((T0-t)*PertePVj)+Pspv)</f>
        <v>5.0647740781841866E-2</v>
      </c>
      <c r="M200" s="832"/>
      <c r="N200" s="832"/>
      <c r="O200" s="48">
        <f>IF(t&lt;Tnet,'2025'!Resal+('2025'!Salim-'2025'!Resal)*(1-EXP(('2025'!Tnet-t)/('2025'!Tau_j))),Resal+(Salim-Resal)*(1-EXP((Tnet-t)/(Tau_j))))*Salcycl</f>
        <v>1.7623782270832701E-2</v>
      </c>
      <c r="P200" s="169">
        <f>(INDEX(Models!$BJ200:$BT200,,T200)*(1-R200)+INDEX(Models!$BJ200:$BT200,,T200+1)*R200-ERP_i)*Q200*Ramure*Pc/MaxiM</f>
        <v>0</v>
      </c>
      <c r="Q200" s="304">
        <f t="shared" si="53"/>
        <v>0.6</v>
      </c>
      <c r="R200" s="177">
        <f t="shared" si="54"/>
        <v>0.8422683644626876</v>
      </c>
      <c r="S200" s="799">
        <f t="shared" si="55"/>
        <v>-2</v>
      </c>
      <c r="T200" s="176">
        <f t="shared" si="56"/>
        <v>4</v>
      </c>
      <c r="U200" s="250">
        <f t="shared" si="57"/>
        <v>-1.1577316355373124</v>
      </c>
      <c r="V200" s="382">
        <f t="shared" si="58"/>
        <v>57.0186434329866</v>
      </c>
      <c r="W200" s="400">
        <f t="shared" si="59"/>
        <v>56.086450943520049</v>
      </c>
      <c r="X200" s="157">
        <f t="shared" si="60"/>
        <v>46208</v>
      </c>
      <c r="Y200" s="383">
        <f t="shared" si="61"/>
        <v>54.050247812166582</v>
      </c>
      <c r="Z200" s="383">
        <f t="shared" si="62"/>
        <v>56.933817018226534</v>
      </c>
      <c r="AA200" s="384">
        <f t="shared" si="63"/>
        <v>60.13851932349808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5.3288679889718645E-2</v>
      </c>
      <c r="AD200" s="230">
        <f>(INDEX(Models!$BJ200:$BT200,,AH200)*(1-AF200)+INDEX(Models!$BJ200:$BT200,,AH200+1)*AF200-ERP_i)*AE200*Ramure*Pc/MaxiM</f>
        <v>0</v>
      </c>
      <c r="AE200" s="304">
        <f t="shared" si="65"/>
        <v>0.6</v>
      </c>
      <c r="AF200" s="177">
        <f t="shared" si="66"/>
        <v>0.36725593083666608</v>
      </c>
      <c r="AG200" s="799">
        <f t="shared" si="74"/>
        <v>2</v>
      </c>
      <c r="AH200" s="176">
        <f t="shared" si="67"/>
        <v>8</v>
      </c>
      <c r="AI200" s="224">
        <f t="shared" si="68"/>
        <v>2.3672559308366661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46209</v>
      </c>
      <c r="B201" s="409">
        <f>IF(t&gt;Tmaj,'2025'!Wh/'2025'!Env_an*'2026'!Env_an,0.001*[9]mois!$B$247)</f>
        <v>45.735613458791036</v>
      </c>
      <c r="C201" s="829"/>
      <c r="D201" s="391">
        <f t="shared" si="50"/>
        <v>48.176521985478722</v>
      </c>
      <c r="E201" s="383">
        <f t="shared" si="75"/>
        <v>49.046930919337704</v>
      </c>
      <c r="F201" s="383">
        <f t="shared" si="51"/>
        <v>49.046930919337704</v>
      </c>
      <c r="G201" s="110">
        <f t="shared" si="76"/>
        <v>0.80341685655393913</v>
      </c>
      <c r="H201" s="412" t="b">
        <f>Wh_hp&gt;='2025'!Maxi_hp</f>
        <v>0</v>
      </c>
      <c r="I201" s="388">
        <f>IF(H201,Wh_hp,'2025'!Maxi_hp)</f>
        <v>59.81714469792518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5.0665934901307774E-2</v>
      </c>
      <c r="M201" s="832"/>
      <c r="N201" s="832"/>
      <c r="O201" s="48">
        <f>IF(t&lt;Tnet,'2025'!Resal+('2025'!Salim-'2025'!Resal)*(1-EXP(('2025'!Tnet-t)/('2025'!Tau_j))),Resal+(Salim-Resal)*(1-EXP((Tnet-t)/(Tau_j))))*Salcycl</f>
        <v>1.7746450543265412E-2</v>
      </c>
      <c r="P201" s="169">
        <f>(INDEX(Models!$BJ201:$BT201,,T201)*(1-R201)+INDEX(Models!$BJ201:$BT201,,T201+1)*R201-ERP_i)*Q201*Ramure*Pc/MaxiM</f>
        <v>0</v>
      </c>
      <c r="Q201" s="304">
        <f t="shared" si="53"/>
        <v>0.6</v>
      </c>
      <c r="R201" s="177">
        <f t="shared" si="54"/>
        <v>0.84622480192381366</v>
      </c>
      <c r="S201" s="799">
        <f t="shared" si="55"/>
        <v>-2</v>
      </c>
      <c r="T201" s="176">
        <f t="shared" si="56"/>
        <v>4</v>
      </c>
      <c r="U201" s="250">
        <f t="shared" si="57"/>
        <v>-1.1537751980761863</v>
      </c>
      <c r="V201" s="382">
        <f t="shared" si="58"/>
        <v>56.926380229265803</v>
      </c>
      <c r="W201" s="400">
        <f t="shared" si="59"/>
        <v>45.735613458791036</v>
      </c>
      <c r="X201" s="157">
        <f t="shared" si="60"/>
        <v>46209</v>
      </c>
      <c r="Y201" s="383">
        <f t="shared" si="61"/>
        <v>44.076577288850075</v>
      </c>
      <c r="Z201" s="383">
        <f t="shared" si="62"/>
        <v>46.428943097357305</v>
      </c>
      <c r="AA201" s="384">
        <f t="shared" si="63"/>
        <v>49.046930919337704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5.3377199610836555E-2</v>
      </c>
      <c r="AD201" s="230">
        <f>(INDEX(Models!$BJ201:$BT201,,AH201)*(1-AF201)+INDEX(Models!$BJ201:$BT201,,AH201+1)*AF201-ERP_i)*AE201*Ramure*Pc/MaxiM</f>
        <v>0</v>
      </c>
      <c r="AE201" s="304">
        <f t="shared" si="65"/>
        <v>0.6</v>
      </c>
      <c r="AF201" s="177">
        <f t="shared" si="66"/>
        <v>0.37121236829779214</v>
      </c>
      <c r="AG201" s="799">
        <f t="shared" si="74"/>
        <v>2</v>
      </c>
      <c r="AH201" s="176">
        <f t="shared" si="67"/>
        <v>8</v>
      </c>
      <c r="AI201" s="224">
        <f t="shared" si="68"/>
        <v>2.3712123682977921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46210</v>
      </c>
      <c r="B202" s="409">
        <f>IF(t&gt;Tmaj,'2025'!Wh/'2025'!Env_an*'2026'!Env_an,0.001*[9]mois!$B$248)</f>
        <v>55.771847750907341</v>
      </c>
      <c r="C202" s="829"/>
      <c r="D202" s="391">
        <f t="shared" si="50"/>
        <v>58.749515767489612</v>
      </c>
      <c r="E202" s="383">
        <f t="shared" si="75"/>
        <v>59.818398101836763</v>
      </c>
      <c r="F202" s="383">
        <f t="shared" si="51"/>
        <v>59.818398101836763</v>
      </c>
      <c r="G202" s="110">
        <f t="shared" si="76"/>
        <v>0.98131895178301876</v>
      </c>
      <c r="H202" s="412" t="b">
        <f>Wh_hp&gt;='2025'!Maxi_hp</f>
        <v>1</v>
      </c>
      <c r="I202" s="388">
        <f>IF(H202,Wh_hp,'2025'!Maxi_hp)</f>
        <v>59.818398101836763</v>
      </c>
      <c r="J202" s="85">
        <f>IF(H202,An,'2025'!An_max)</f>
        <v>2026</v>
      </c>
      <c r="K202" s="197">
        <f t="shared" si="52"/>
        <v>46210</v>
      </c>
      <c r="L202" s="147">
        <f>IF(t&lt;Tvie,1-EXP((T0-t)*PertePVj)+'2025'!Pspv,1-EXP((T0-t)*PertePVj)+Pspv)</f>
        <v>5.0684128672087381E-2</v>
      </c>
      <c r="M202" s="832"/>
      <c r="N202" s="832"/>
      <c r="O202" s="48">
        <f>IF(t&lt;Tnet,'2025'!Resal+('2025'!Salim-'2025'!Resal)*(1-EXP(('2025'!Tnet-t)/('2025'!Tau_j))),Resal+(Salim-Resal)*(1-EXP((Tnet-t)/(Tau_j))))*Salcycl</f>
        <v>1.78687890058081E-2</v>
      </c>
      <c r="P202" s="169">
        <f>(INDEX(Models!$BJ202:$BT202,,T202)*(1-R202)+INDEX(Models!$BJ202:$BT202,,T202+1)*R202-ERP_i)*Q202*Ramure*Pc/MaxiM</f>
        <v>0</v>
      </c>
      <c r="Q202" s="304">
        <f t="shared" si="53"/>
        <v>0.6</v>
      </c>
      <c r="R202" s="177">
        <f t="shared" si="54"/>
        <v>0.85010259363885332</v>
      </c>
      <c r="S202" s="799">
        <f t="shared" si="55"/>
        <v>-2</v>
      </c>
      <c r="T202" s="176">
        <f t="shared" si="56"/>
        <v>4</v>
      </c>
      <c r="U202" s="250">
        <f t="shared" si="57"/>
        <v>-1.1498974063611467</v>
      </c>
      <c r="V202" s="382">
        <f t="shared" si="58"/>
        <v>56.83355819183155</v>
      </c>
      <c r="W202" s="400">
        <f t="shared" si="59"/>
        <v>55.771847750907341</v>
      </c>
      <c r="X202" s="157">
        <f t="shared" si="60"/>
        <v>46210</v>
      </c>
      <c r="Y202" s="383">
        <f t="shared" si="61"/>
        <v>53.750464512548497</v>
      </c>
      <c r="Z202" s="383">
        <f t="shared" si="62"/>
        <v>56.620210549478969</v>
      </c>
      <c r="AA202" s="384">
        <f t="shared" si="63"/>
        <v>59.818398101836763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5.3464948140421527E-2</v>
      </c>
      <c r="AD202" s="230">
        <f>(INDEX(Models!$BJ202:$BT202,,AH202)*(1-AF202)+INDEX(Models!$BJ202:$BT202,,AH202+1)*AF202-ERP_i)*AE202*Ramure*Pc/MaxiM</f>
        <v>0</v>
      </c>
      <c r="AE202" s="304">
        <f t="shared" si="65"/>
        <v>0.6</v>
      </c>
      <c r="AF202" s="177">
        <f t="shared" si="66"/>
        <v>0.37509016001283202</v>
      </c>
      <c r="AG202" s="799">
        <f t="shared" si="74"/>
        <v>2</v>
      </c>
      <c r="AH202" s="176">
        <f t="shared" si="67"/>
        <v>8</v>
      </c>
      <c r="AI202" s="224">
        <f t="shared" si="68"/>
        <v>2.375090160012832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46211</v>
      </c>
      <c r="B203" s="409">
        <f>IF(t&gt;Tmaj,'2025'!Wh/'2025'!Env_an*'2026'!Env_an,0.001*[9]mois!$B$249)</f>
        <v>57.603090942733715</v>
      </c>
      <c r="C203" s="829"/>
      <c r="D203" s="391">
        <f t="shared" si="50"/>
        <v>60.679692243436619</v>
      </c>
      <c r="E203" s="383">
        <f t="shared" si="75"/>
        <v>61.791368480597036</v>
      </c>
      <c r="F203" s="383">
        <f t="shared" si="51"/>
        <v>61.791368480597036</v>
      </c>
      <c r="G203" s="110">
        <f t="shared" si="76"/>
        <v>1.0152045670878949</v>
      </c>
      <c r="H203" s="412" t="b">
        <f>Wh_hp&gt;='2025'!Maxi_hp</f>
        <v>0</v>
      </c>
      <c r="I203" s="388">
        <f>IF(H203,Wh_hp,'2025'!Maxi_hp)</f>
        <v>63.269155638139843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5.070232209418768E-2</v>
      </c>
      <c r="M203" s="832"/>
      <c r="N203" s="832"/>
      <c r="O203" s="48">
        <f>IF(t&lt;Tnet,'2025'!Resal+('2025'!Salim-'2025'!Resal)*(1-EXP(('2025'!Tnet-t)/('2025'!Tau_j))),Resal+(Salim-Resal)*(1-EXP((Tnet-t)/(Tau_j))))*Salcycl</f>
        <v>1.7990801377209993E-2</v>
      </c>
      <c r="P203" s="169">
        <f>(INDEX(Models!$BJ203:$BT203,,T203)*(1-R203)+INDEX(Models!$BJ203:$BT203,,T203+1)*R203-ERP_i)*Q203*Ramure*Pc/MaxiM</f>
        <v>0</v>
      </c>
      <c r="Q203" s="304">
        <f t="shared" si="53"/>
        <v>0.6</v>
      </c>
      <c r="R203" s="177">
        <f t="shared" si="54"/>
        <v>0.85390088520445562</v>
      </c>
      <c r="S203" s="799">
        <f t="shared" si="55"/>
        <v>-2</v>
      </c>
      <c r="T203" s="176">
        <f t="shared" si="56"/>
        <v>4</v>
      </c>
      <c r="U203" s="250">
        <f t="shared" si="57"/>
        <v>-1.1460991147955444</v>
      </c>
      <c r="V203" s="382">
        <f t="shared" si="58"/>
        <v>56.740378057958964</v>
      </c>
      <c r="W203" s="400">
        <f t="shared" si="59"/>
        <v>57.603090942733715</v>
      </c>
      <c r="X203" s="157">
        <f t="shared" si="60"/>
        <v>46211</v>
      </c>
      <c r="Y203" s="383">
        <f t="shared" si="61"/>
        <v>55.517130923796032</v>
      </c>
      <c r="Z203" s="383">
        <f t="shared" si="62"/>
        <v>58.482320367905025</v>
      </c>
      <c r="AA203" s="384">
        <f t="shared" si="63"/>
        <v>61.791368480597036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5.3551947368362225E-2</v>
      </c>
      <c r="AD203" s="230">
        <f>(INDEX(Models!$BJ203:$BT203,,AH203)*(1-AF203)+INDEX(Models!$BJ203:$BT203,,AH203+1)*AF203-ERP_i)*AE203*Ramure*Pc/MaxiM</f>
        <v>0</v>
      </c>
      <c r="AE203" s="304">
        <f t="shared" si="65"/>
        <v>0.6</v>
      </c>
      <c r="AF203" s="177">
        <f t="shared" si="66"/>
        <v>0.37888845157843454</v>
      </c>
      <c r="AG203" s="799">
        <f t="shared" si="74"/>
        <v>2</v>
      </c>
      <c r="AH203" s="176">
        <f t="shared" si="67"/>
        <v>8</v>
      </c>
      <c r="AI203" s="224">
        <f t="shared" si="68"/>
        <v>2.3788884515784345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46212</v>
      </c>
      <c r="B204" s="409">
        <f>IF(t&gt;Tmaj,'2025'!Wh/'2025'!Env_an*'2026'!Env_an,0.001*[9]mois!$B$250)</f>
        <v>56.920285327712605</v>
      </c>
      <c r="C204" s="829"/>
      <c r="D204" s="391">
        <f t="shared" si="50"/>
        <v>59.961566890664521</v>
      </c>
      <c r="E204" s="383">
        <f t="shared" si="75"/>
        <v>61.067654283520106</v>
      </c>
      <c r="F204" s="383">
        <f t="shared" si="51"/>
        <v>61.067654283520106</v>
      </c>
      <c r="G204" s="110">
        <f t="shared" si="76"/>
        <v>1.0048236395791403</v>
      </c>
      <c r="H204" s="412" t="b">
        <f>Wh_hp&gt;='2025'!Maxi_hp</f>
        <v>1</v>
      </c>
      <c r="I204" s="388">
        <f>IF(H204,Wh_hp,'2025'!Maxi_hp)</f>
        <v>61.067654283520106</v>
      </c>
      <c r="J204" s="85">
        <f>IF(H204,An,'2025'!An_max)</f>
        <v>2026</v>
      </c>
      <c r="K204" s="197">
        <f t="shared" si="52"/>
        <v>46212</v>
      </c>
      <c r="L204" s="147">
        <f>IF(t&lt;Tvie,1-EXP((T0-t)*PertePVj)+'2025'!Pspv,1-EXP((T0-t)*PertePVj)+Pspv)</f>
        <v>5.072051516761511E-2</v>
      </c>
      <c r="M204" s="832"/>
      <c r="N204" s="832"/>
      <c r="O204" s="48">
        <f>IF(t&lt;Tnet,'2025'!Resal+('2025'!Salim-'2025'!Resal)*(1-EXP(('2025'!Tnet-t)/('2025'!Tau_j))),Resal+(Salim-Resal)*(1-EXP((Tnet-t)/(Tau_j))))*Salcycl</f>
        <v>1.8112491888427982E-2</v>
      </c>
      <c r="P204" s="169">
        <f>(INDEX(Models!$BJ204:$BT204,,T204)*(1-R204)+INDEX(Models!$BJ204:$BT204,,T204+1)*R204-ERP_i)*Q204*Ramure*Pc/MaxiM</f>
        <v>0</v>
      </c>
      <c r="Q204" s="304">
        <f t="shared" si="53"/>
        <v>0.6</v>
      </c>
      <c r="R204" s="177">
        <f t="shared" si="54"/>
        <v>0.85761898832990768</v>
      </c>
      <c r="S204" s="799">
        <f t="shared" si="55"/>
        <v>-2</v>
      </c>
      <c r="T204" s="176">
        <f t="shared" si="56"/>
        <v>4</v>
      </c>
      <c r="U204" s="250">
        <f t="shared" si="57"/>
        <v>-1.1423810116700923</v>
      </c>
      <c r="V204" s="382">
        <f t="shared" si="58"/>
        <v>56.647040421494324</v>
      </c>
      <c r="W204" s="400">
        <f t="shared" si="59"/>
        <v>56.920285327712605</v>
      </c>
      <c r="X204" s="157">
        <f t="shared" si="60"/>
        <v>46212</v>
      </c>
      <c r="Y204" s="383">
        <f t="shared" si="61"/>
        <v>54.86084921787824</v>
      </c>
      <c r="Z204" s="383">
        <f t="shared" si="62"/>
        <v>57.792093998075885</v>
      </c>
      <c r="AA204" s="384">
        <f t="shared" si="63"/>
        <v>61.067654283520106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5.3638220165403892E-2</v>
      </c>
      <c r="AD204" s="230">
        <f>(INDEX(Models!$BJ204:$BT204,,AH204)*(1-AF204)+INDEX(Models!$BJ204:$BT204,,AH204+1)*AF204-ERP_i)*AE204*Ramure*Pc/MaxiM</f>
        <v>0</v>
      </c>
      <c r="AE204" s="304">
        <f t="shared" si="65"/>
        <v>0.6</v>
      </c>
      <c r="AF204" s="177">
        <f t="shared" si="66"/>
        <v>0.38260655470388638</v>
      </c>
      <c r="AG204" s="799">
        <f t="shared" si="74"/>
        <v>2</v>
      </c>
      <c r="AH204" s="176">
        <f t="shared" si="67"/>
        <v>8</v>
      </c>
      <c r="AI204" s="224">
        <f t="shared" si="68"/>
        <v>2.3826065547038864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46213</v>
      </c>
      <c r="B205" s="409">
        <f>IF(t&gt;Tmaj,'2025'!Wh/'2025'!Env_an*'2026'!Env_an,0.001*[9]mois!$B$251)</f>
        <v>56.213300105207665</v>
      </c>
      <c r="C205" s="829"/>
      <c r="D205" s="391">
        <f t="shared" si="50"/>
        <v>59.21794196453385</v>
      </c>
      <c r="E205" s="383">
        <f t="shared" si="75"/>
        <v>60.317768017858469</v>
      </c>
      <c r="F205" s="383">
        <f t="shared" si="51"/>
        <v>60.317768017858469</v>
      </c>
      <c r="G205" s="110">
        <f t="shared" si="76"/>
        <v>0.99398895981519908</v>
      </c>
      <c r="H205" s="412" t="b">
        <f>Wh_hp&gt;='2025'!Maxi_hp</f>
        <v>1</v>
      </c>
      <c r="I205" s="388">
        <f>IF(H205,Wh_hp,'2025'!Maxi_hp)</f>
        <v>60.317768017858469</v>
      </c>
      <c r="J205" s="85">
        <f>IF(H205,An,'2025'!An_max)</f>
        <v>2026</v>
      </c>
      <c r="K205" s="197">
        <f t="shared" si="52"/>
        <v>46213</v>
      </c>
      <c r="L205" s="147">
        <f>IF(t&lt;Tvie,1-EXP((T0-t)*PertePVj)+'2025'!Pspv,1-EXP((T0-t)*PertePVj)+Pspv)</f>
        <v>5.0738707892376445E-2</v>
      </c>
      <c r="M205" s="832"/>
      <c r="N205" s="832"/>
      <c r="O205" s="48">
        <f>IF(t&lt;Tnet,'2025'!Resal+('2025'!Salim-'2025'!Resal)*(1-EXP(('2025'!Tnet-t)/('2025'!Tau_j))),Resal+(Salim-Resal)*(1-EXP((Tnet-t)/(Tau_j))))*Salcycl</f>
        <v>1.8233865235182334E-2</v>
      </c>
      <c r="P205" s="169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0.86125637597773652</v>
      </c>
      <c r="S205" s="799">
        <f t="shared" si="55"/>
        <v>-2</v>
      </c>
      <c r="T205" s="176">
        <f t="shared" si="56"/>
        <v>4</v>
      </c>
      <c r="U205" s="250">
        <f t="shared" si="57"/>
        <v>-1.1387436240222635</v>
      </c>
      <c r="V205" s="382">
        <f t="shared" si="58"/>
        <v>56.553243927033918</v>
      </c>
      <c r="W205" s="400">
        <f t="shared" si="59"/>
        <v>56.213300105207665</v>
      </c>
      <c r="X205" s="157">
        <f t="shared" si="60"/>
        <v>46213</v>
      </c>
      <c r="Y205" s="383">
        <f t="shared" si="61"/>
        <v>54.181242027976744</v>
      </c>
      <c r="Z205" s="383">
        <f t="shared" si="62"/>
        <v>57.077268902094751</v>
      </c>
      <c r="AA205" s="384">
        <f t="shared" si="63"/>
        <v>60.317768017858469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5.3723790223873878E-2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0.38624394235171522</v>
      </c>
      <c r="AG205" s="799">
        <f t="shared" si="74"/>
        <v>2</v>
      </c>
      <c r="AH205" s="176">
        <f t="shared" si="67"/>
        <v>8</v>
      </c>
      <c r="AI205" s="224">
        <f t="shared" si="68"/>
        <v>2.3862439423517152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46214</v>
      </c>
      <c r="B206" s="409">
        <f>IF(t&gt;Tmaj,'2025'!Wh/'2025'!Env_an*'2026'!Env_an,0.001*[9]mois!$B$252)</f>
        <v>55.242689881726939</v>
      </c>
      <c r="C206" s="829"/>
      <c r="D206" s="391">
        <f t="shared" si="50"/>
        <v>58.196567241153993</v>
      </c>
      <c r="E206" s="383">
        <f t="shared" si="75"/>
        <v>59.284734181309361</v>
      </c>
      <c r="F206" s="383">
        <f t="shared" si="51"/>
        <v>59.284734181309361</v>
      </c>
      <c r="G206" s="110">
        <f t="shared" si="76"/>
        <v>0.97846449096408605</v>
      </c>
      <c r="H206" s="412" t="b">
        <f>Wh_hp&gt;='2025'!Maxi_hp</f>
        <v>0</v>
      </c>
      <c r="I206" s="388">
        <f>IF(H206,Wh_hp,'2025'!Maxi_hp)</f>
        <v>60.058702365360794</v>
      </c>
      <c r="J206" s="85">
        <f>IF(H206,An,'2025'!An_max)</f>
        <v>2018</v>
      </c>
      <c r="K206" s="197">
        <f t="shared" si="52"/>
        <v>46214</v>
      </c>
      <c r="L206" s="147">
        <f>IF(t&lt;Tvie,1-EXP((T0-t)*PertePVj)+'2025'!Pspv,1-EXP((T0-t)*PertePVj)+Pspv)</f>
        <v>5.0756900268478455E-2</v>
      </c>
      <c r="M206" s="832"/>
      <c r="N206" s="832"/>
      <c r="O206" s="48">
        <f>IF(t&lt;Tnet,'2025'!Resal+('2025'!Salim-'2025'!Resal)*(1-EXP(('2025'!Tnet-t)/('2025'!Tau_j))),Resal+(Salim-Resal)*(1-EXP((Tnet-t)/(Tau_j))))*Salcycl</f>
        <v>1.8354926528428822E-2</v>
      </c>
      <c r="P206" s="169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0.86481267703610065</v>
      </c>
      <c r="S206" s="799">
        <f t="shared" si="55"/>
        <v>-2</v>
      </c>
      <c r="T206" s="176">
        <f t="shared" si="56"/>
        <v>4</v>
      </c>
      <c r="U206" s="250">
        <f t="shared" si="57"/>
        <v>-1.1351873229638993</v>
      </c>
      <c r="V206" s="382">
        <f t="shared" si="58"/>
        <v>56.458553572338666</v>
      </c>
      <c r="W206" s="400">
        <f t="shared" si="59"/>
        <v>55.242689881726939</v>
      </c>
      <c r="X206" s="157">
        <f t="shared" si="60"/>
        <v>46214</v>
      </c>
      <c r="Y206" s="383">
        <f t="shared" si="61"/>
        <v>53.247507645380637</v>
      </c>
      <c r="Z206" s="383">
        <f t="shared" si="62"/>
        <v>56.094700778378957</v>
      </c>
      <c r="AA206" s="384">
        <f t="shared" si="63"/>
        <v>59.284734181309361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5.3808681897339485E-2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0.38980024341007935</v>
      </c>
      <c r="AG206" s="799">
        <f t="shared" si="74"/>
        <v>2</v>
      </c>
      <c r="AH206" s="176">
        <f t="shared" si="67"/>
        <v>8</v>
      </c>
      <c r="AI206" s="224">
        <f t="shared" si="68"/>
        <v>2.3898002434100794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46215</v>
      </c>
      <c r="B207" s="409">
        <f>IF(t&gt;Tmaj,'2025'!Wh/'2025'!Env_an*'2026'!Env_an,0.001*[9]mois!$B$253)</f>
        <v>54.839250267136002</v>
      </c>
      <c r="C207" s="829"/>
      <c r="D207" s="391">
        <f t="shared" ref="D207:D270" si="77">Wh/(1-Ppv)</f>
        <v>57.772662539774537</v>
      </c>
      <c r="E207" s="383">
        <f t="shared" si="75"/>
        <v>58.860143794447765</v>
      </c>
      <c r="F207" s="383">
        <f t="shared" ref="F207:F270" si="78">Wh_sa/(1-Pvg*MEDIAN((-Sdif+Wh/Env_an)/Csdif,0,1))</f>
        <v>58.860143794447765</v>
      </c>
      <c r="G207" s="110">
        <f t="shared" si="76"/>
        <v>0.97296595427046195</v>
      </c>
      <c r="H207" s="412" t="b">
        <f>Wh_hp&gt;='2025'!Maxi_hp</f>
        <v>0</v>
      </c>
      <c r="I207" s="388">
        <f>IF(H207,Wh_hp,'2025'!Maxi_hp)</f>
        <v>60.040514635762435</v>
      </c>
      <c r="J207" s="85">
        <f>IF(H207,An,'2025'!An_max)</f>
        <v>2018</v>
      </c>
      <c r="K207" s="197">
        <f t="shared" ref="K207:K270" si="79">t</f>
        <v>46215</v>
      </c>
      <c r="L207" s="147">
        <f>IF(t&lt;Tvie,1-EXP((T0-t)*PertePVj)+'2025'!Pspv,1-EXP((T0-t)*PertePVj)+Pspv)</f>
        <v>5.0775092295927693E-2</v>
      </c>
      <c r="M207" s="832"/>
      <c r="N207" s="832"/>
      <c r="O207" s="48">
        <f>IF(t&lt;Tnet,'2025'!Resal+('2025'!Salim-'2025'!Resal)*(1-EXP(('2025'!Tnet-t)/('2025'!Tau_j))),Resal+(Salim-Resal)*(1-EXP((Tnet-t)/(Tau_j))))*Salcycl</f>
        <v>1.8475681243167643E-2</v>
      </c>
      <c r="P207" s="169">
        <f>(INDEX(Models!$BJ207:$BT207,,T207)*(1-R207)+INDEX(Models!$BJ207:$BT207,,T207+1)*R207-ERP_i)*Q207*Ramure*Pc/MaxiM</f>
        <v>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0.86828767058281908</v>
      </c>
      <c r="S207" s="799">
        <f t="shared" ref="S207:S270" si="82">INDEX(Echel_vg,T207)</f>
        <v>-2</v>
      </c>
      <c r="T207" s="176">
        <f t="shared" ref="T207:T270" si="83">MIN(MATCH(Hp_vg,Echel_vg),10)</f>
        <v>4</v>
      </c>
      <c r="U207" s="250">
        <f t="shared" ref="U207:U270" si="84">IF(OR(t&lt;Ttai,Notai),Hdd+PousH*Croivg,Hdtf+PousH*(Croivg-Croi_tai))</f>
        <v>-1.1317123294171809</v>
      </c>
      <c r="V207" s="382">
        <f t="shared" ref="V207:V270" si="85">MaxiM*(1-Ppv)*(1-Pvg)*(1-Psa)</f>
        <v>56.362969358218635</v>
      </c>
      <c r="W207" s="400">
        <f t="shared" ref="W207:W270" si="86">Wh*(A207&gt;Tmaj)</f>
        <v>54.839250267136002</v>
      </c>
      <c r="X207" s="157">
        <f t="shared" ref="X207:X270" si="87">t</f>
        <v>46215</v>
      </c>
      <c r="Y207" s="383">
        <f t="shared" ref="Y207:Y270" si="88">Wh_pvt_s*(1-Ppv)</f>
        <v>52.860435493975999</v>
      </c>
      <c r="Z207" s="383">
        <f t="shared" ref="Z207:Z270" si="89">Wh_sa_s*(1-Psa_s)</f>
        <v>55.687998771367702</v>
      </c>
      <c r="AA207" s="384">
        <f t="shared" ref="AA207:AA270" si="90">Wh_hp*(1-Pvg_s*MEDIAN((-Sdif+Wh/Env_an)/Csdif,0,1))</f>
        <v>58.860143794447765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5.3892920040390632E-2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0.39327523695679778</v>
      </c>
      <c r="AG207" s="799">
        <f t="shared" si="74"/>
        <v>2</v>
      </c>
      <c r="AH207" s="176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2.3932752369567978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46216</v>
      </c>
      <c r="B208" s="409">
        <f>IF(t&gt;Tmaj,'2025'!Wh/'2025'!Env_an*'2026'!Env_an,0.001*[9]mois!$B$254)</f>
        <v>54.32727839997095</v>
      </c>
      <c r="C208" s="829"/>
      <c r="D208" s="391">
        <f t="shared" si="77"/>
        <v>57.234401614289339</v>
      </c>
      <c r="E208" s="383">
        <f t="shared" si="75"/>
        <v>58.31890790849031</v>
      </c>
      <c r="F208" s="383">
        <f t="shared" si="78"/>
        <v>58.31890790849031</v>
      </c>
      <c r="G208" s="110">
        <f t="shared" si="76"/>
        <v>0.96553520888761091</v>
      </c>
      <c r="H208" s="412" t="b">
        <f>Wh_hp&gt;='2025'!Maxi_hp</f>
        <v>1</v>
      </c>
      <c r="I208" s="388">
        <f>IF(H208,Wh_hp,'2025'!Maxi_hp)</f>
        <v>58.31890790849031</v>
      </c>
      <c r="J208" s="85">
        <f>IF(H208,An,'2025'!An_max)</f>
        <v>2026</v>
      </c>
      <c r="K208" s="197">
        <f t="shared" si="79"/>
        <v>46216</v>
      </c>
      <c r="L208" s="147">
        <f>IF(t&lt;Tvie,1-EXP((T0-t)*PertePVj)+'2025'!Pspv,1-EXP((T0-t)*PertePVj)+Pspv)</f>
        <v>5.0793283974730818E-2</v>
      </c>
      <c r="M208" s="832"/>
      <c r="N208" s="832"/>
      <c r="O208" s="48">
        <f>IF(t&lt;Tnet,'2025'!Resal+('2025'!Salim-'2025'!Resal)*(1-EXP(('2025'!Tnet-t)/('2025'!Tau_j))),Resal+(Salim-Resal)*(1-EXP((Tnet-t)/(Tau_j))))*Salcycl</f>
        <v>1.8596135166020232E-2</v>
      </c>
      <c r="P208" s="169">
        <f>(INDEX(Models!$BJ208:$BT208,,T208)*(1-R208)+INDEX(Models!$BJ208:$BT208,,T208+1)*R208-ERP_i)*Q208*Ramure*Pc/MaxiM</f>
        <v>0</v>
      </c>
      <c r="Q208" s="304">
        <f t="shared" si="80"/>
        <v>0.6</v>
      </c>
      <c r="R208" s="177">
        <f t="shared" si="81"/>
        <v>0.87168127980016452</v>
      </c>
      <c r="S208" s="799">
        <f t="shared" si="82"/>
        <v>-2</v>
      </c>
      <c r="T208" s="176">
        <f t="shared" si="83"/>
        <v>4</v>
      </c>
      <c r="U208" s="250">
        <f t="shared" si="84"/>
        <v>-1.1283187201998355</v>
      </c>
      <c r="V208" s="382">
        <f t="shared" si="85"/>
        <v>56.266491268154979</v>
      </c>
      <c r="W208" s="400">
        <f t="shared" si="86"/>
        <v>54.32727839997095</v>
      </c>
      <c r="X208" s="157">
        <f t="shared" si="87"/>
        <v>46216</v>
      </c>
      <c r="Y208" s="383">
        <f t="shared" si="88"/>
        <v>52.368736538911953</v>
      </c>
      <c r="Z208" s="383">
        <f t="shared" si="89"/>
        <v>55.171055634964368</v>
      </c>
      <c r="AA208" s="384">
        <f t="shared" si="90"/>
        <v>58.31890790849031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5.3976529849724071E-2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0.39666884617414322</v>
      </c>
      <c r="AG208" s="799">
        <f t="shared" ref="AG208:AG271" si="99">INDEX(Echel_vg,AH208)</f>
        <v>2</v>
      </c>
      <c r="AH208" s="176">
        <f t="shared" si="94"/>
        <v>8</v>
      </c>
      <c r="AI208" s="224">
        <f t="shared" si="95"/>
        <v>2.3966688461741432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46217</v>
      </c>
      <c r="B209" s="409">
        <f>IF(t&gt;Tmaj,'2025'!Wh/'2025'!Env_an*'2026'!Env_an,0.001*[9]mois!$B$255)</f>
        <v>54.011151191812409</v>
      </c>
      <c r="C209" s="829"/>
      <c r="D209" s="391">
        <f t="shared" si="77"/>
        <v>56.90244855115759</v>
      </c>
      <c r="E209" s="383">
        <f t="shared" si="75"/>
        <v>57.987764622059281</v>
      </c>
      <c r="F209" s="383">
        <f t="shared" si="78"/>
        <v>57.987764622059281</v>
      </c>
      <c r="G209" s="110">
        <f t="shared" si="76"/>
        <v>0.96158088096967798</v>
      </c>
      <c r="H209" s="412" t="b">
        <f>Wh_hp&gt;='2025'!Maxi_hp</f>
        <v>0</v>
      </c>
      <c r="I209" s="388">
        <f>IF(H209,Wh_hp,'2025'!Maxi_hp)</f>
        <v>60.412493272450547</v>
      </c>
      <c r="J209" s="85">
        <f>IF(H209,An,'2025'!An_max)</f>
        <v>2018</v>
      </c>
      <c r="K209" s="197">
        <f t="shared" si="79"/>
        <v>46217</v>
      </c>
      <c r="L209" s="147">
        <f>IF(t&lt;Tvie,1-EXP((T0-t)*PertePVj)+'2025'!Pspv,1-EXP((T0-t)*PertePVj)+Pspv)</f>
        <v>5.0811475304894604E-2</v>
      </c>
      <c r="M209" s="832"/>
      <c r="N209" s="832"/>
      <c r="O209" s="48">
        <f>IF(t&lt;Tnet,'2025'!Resal+('2025'!Salim-'2025'!Resal)*(1-EXP(('2025'!Tnet-t)/('2025'!Tau_j))),Resal+(Salim-Resal)*(1-EXP((Tnet-t)/(Tau_j))))*Salcycl</f>
        <v>1.871629434201063E-2</v>
      </c>
      <c r="P209" s="169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0.87499356559829744</v>
      </c>
      <c r="S209" s="799">
        <f t="shared" si="82"/>
        <v>-2</v>
      </c>
      <c r="T209" s="176">
        <f t="shared" si="83"/>
        <v>4</v>
      </c>
      <c r="U209" s="250">
        <f t="shared" si="84"/>
        <v>-1.1250064344017026</v>
      </c>
      <c r="V209" s="382">
        <f t="shared" si="85"/>
        <v>56.169119270909846</v>
      </c>
      <c r="W209" s="400">
        <f t="shared" si="86"/>
        <v>54.011151191812409</v>
      </c>
      <c r="X209" s="157">
        <f t="shared" si="87"/>
        <v>46217</v>
      </c>
      <c r="Y209" s="383">
        <f t="shared" si="88"/>
        <v>52.06581245234878</v>
      </c>
      <c r="Z209" s="383">
        <f t="shared" si="89"/>
        <v>54.852972931876891</v>
      </c>
      <c r="AA209" s="384">
        <f t="shared" si="90"/>
        <v>57.987764622059281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5.4059536707677755E-2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0.39998113197227614</v>
      </c>
      <c r="AG209" s="799">
        <f t="shared" si="99"/>
        <v>2</v>
      </c>
      <c r="AH209" s="176">
        <f t="shared" si="94"/>
        <v>8</v>
      </c>
      <c r="AI209" s="224">
        <f t="shared" si="95"/>
        <v>2.3999811319722761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46218</v>
      </c>
      <c r="B210" s="409">
        <f>IF(t&gt;Tmaj,'2025'!Wh/'2025'!Env_an*'2026'!Env_an,0.001*[9]mois!$B$256)</f>
        <v>51.807869336825959</v>
      </c>
      <c r="C210" s="829"/>
      <c r="D210" s="391">
        <f t="shared" si="77"/>
        <v>54.582267793948688</v>
      </c>
      <c r="E210" s="383">
        <f t="shared" si="75"/>
        <v>55.630126027949629</v>
      </c>
      <c r="F210" s="383">
        <f t="shared" si="78"/>
        <v>55.630126027949629</v>
      </c>
      <c r="G210" s="110">
        <f t="shared" si="76"/>
        <v>0.92397148011035013</v>
      </c>
      <c r="H210" s="412" t="b">
        <f>Wh_hp&gt;='2025'!Maxi_hp</f>
        <v>0</v>
      </c>
      <c r="I210" s="388">
        <f>IF(H210,Wh_hp,'2025'!Maxi_hp)</f>
        <v>62.029169256698459</v>
      </c>
      <c r="J210" s="85">
        <f>IF(H210,An,'2025'!An_max)</f>
        <v>2018</v>
      </c>
      <c r="K210" s="197">
        <f t="shared" si="79"/>
        <v>46218</v>
      </c>
      <c r="L210" s="147">
        <f>IF(t&lt;Tvie,1-EXP((T0-t)*PertePVj)+'2025'!Pspv,1-EXP((T0-t)*PertePVj)+Pspv)</f>
        <v>5.0829666286425601E-2</v>
      </c>
      <c r="M210" s="832"/>
      <c r="N210" s="832"/>
      <c r="O210" s="48">
        <f>IF(t&lt;Tnet,'2025'!Resal+('2025'!Salim-'2025'!Resal)*(1-EXP(('2025'!Tnet-t)/('2025'!Tau_j))),Resal+(Salim-Resal)*(1-EXP((Tnet-t)/(Tau_j))))*Salcycl</f>
        <v>1.8836165020990135E-2</v>
      </c>
      <c r="P210" s="169">
        <f>(INDEX(Models!$BJ210:$BT210,,T210)*(1-R210)+INDEX(Models!$BJ210:$BT210,,T210+1)*R210-ERP_i)*Q210*Ramure*Pc/MaxiM</f>
        <v>0</v>
      </c>
      <c r="Q210" s="304">
        <f t="shared" si="80"/>
        <v>0.6</v>
      </c>
      <c r="R210" s="177">
        <f t="shared" si="81"/>
        <v>0.87822472000344964</v>
      </c>
      <c r="S210" s="799">
        <f t="shared" si="82"/>
        <v>-2</v>
      </c>
      <c r="T210" s="176">
        <f t="shared" si="83"/>
        <v>4</v>
      </c>
      <c r="U210" s="250">
        <f t="shared" si="84"/>
        <v>-1.1217752799965504</v>
      </c>
      <c r="V210" s="382">
        <f t="shared" si="85"/>
        <v>56.070853323999287</v>
      </c>
      <c r="W210" s="400">
        <f t="shared" si="86"/>
        <v>51.807869336825959</v>
      </c>
      <c r="X210" s="157">
        <f t="shared" si="87"/>
        <v>46218</v>
      </c>
      <c r="Y210" s="383">
        <f t="shared" si="88"/>
        <v>49.943636004672001</v>
      </c>
      <c r="Z210" s="383">
        <f t="shared" si="89"/>
        <v>52.618201634337218</v>
      </c>
      <c r="AA210" s="384">
        <f t="shared" si="90"/>
        <v>55.630126027949629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5.4141966029326666E-2</v>
      </c>
      <c r="AD210" s="230">
        <f>(INDEX(Models!$BJ210:$BT210,,AH210)*(1-AF210)+INDEX(Models!$BJ210:$BT210,,AH210+1)*AF210-ERP_i)*AE210*Ramure*Pc/MaxiM</f>
        <v>0</v>
      </c>
      <c r="AE210" s="304">
        <f t="shared" si="92"/>
        <v>0.6</v>
      </c>
      <c r="AF210" s="177">
        <f t="shared" si="93"/>
        <v>0.40321228637742834</v>
      </c>
      <c r="AG210" s="799">
        <f t="shared" si="99"/>
        <v>2</v>
      </c>
      <c r="AH210" s="176">
        <f t="shared" si="94"/>
        <v>8</v>
      </c>
      <c r="AI210" s="224">
        <f t="shared" si="95"/>
        <v>2.4032122863774283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46219</v>
      </c>
      <c r="B211" s="409">
        <f>IF(t&gt;Tmaj,'2025'!Wh/'2025'!Env_an*'2026'!Env_an,0.001*[9]mois!$B$257)</f>
        <v>53.228748903818357</v>
      </c>
      <c r="C211" s="829"/>
      <c r="D211" s="391">
        <f t="shared" si="77"/>
        <v>56.080312615692421</v>
      </c>
      <c r="E211" s="383">
        <f t="shared" si="75"/>
        <v>57.163897369276832</v>
      </c>
      <c r="F211" s="383">
        <f t="shared" si="78"/>
        <v>57.163897369276832</v>
      </c>
      <c r="G211" s="110">
        <f t="shared" si="76"/>
        <v>0.9509940773932033</v>
      </c>
      <c r="H211" s="412" t="b">
        <f>Wh_hp&gt;='2025'!Maxi_hp</f>
        <v>0</v>
      </c>
      <c r="I211" s="388">
        <f>IF(H211,Wh_hp,'2025'!Maxi_hp)</f>
        <v>60.446549664611396</v>
      </c>
      <c r="J211" s="85">
        <f>IF(H211,An,'2025'!An_max)</f>
        <v>2018</v>
      </c>
      <c r="K211" s="197">
        <f t="shared" si="79"/>
        <v>46219</v>
      </c>
      <c r="L211" s="147">
        <f>IF(t&lt;Tvie,1-EXP((T0-t)*PertePVj)+'2025'!Pspv,1-EXP((T0-t)*PertePVj)+Pspv)</f>
        <v>5.0847856919330692E-2</v>
      </c>
      <c r="M211" s="832"/>
      <c r="N211" s="832"/>
      <c r="O211" s="48">
        <f>IF(t&lt;Tnet,'2025'!Resal+('2025'!Salim-'2025'!Resal)*(1-EXP(('2025'!Tnet-t)/('2025'!Tau_j))),Resal+(Salim-Resal)*(1-EXP((Tnet-t)/(Tau_j))))*Salcycl</f>
        <v>1.8955753604140965E-2</v>
      </c>
      <c r="P211" s="169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0.8813750593647911</v>
      </c>
      <c r="S211" s="799">
        <f t="shared" si="82"/>
        <v>-2</v>
      </c>
      <c r="T211" s="176">
        <f t="shared" si="83"/>
        <v>4</v>
      </c>
      <c r="U211" s="250">
        <f t="shared" si="84"/>
        <v>-1.1186249406352089</v>
      </c>
      <c r="V211" s="382">
        <f t="shared" si="85"/>
        <v>55.971693377655072</v>
      </c>
      <c r="W211" s="400">
        <f t="shared" si="86"/>
        <v>53.228748903818357</v>
      </c>
      <c r="X211" s="157">
        <f t="shared" si="87"/>
        <v>46219</v>
      </c>
      <c r="Y211" s="383">
        <f t="shared" si="88"/>
        <v>51.315199858762362</v>
      </c>
      <c r="Z211" s="383">
        <f t="shared" si="89"/>
        <v>54.064251166528777</v>
      </c>
      <c r="AA211" s="384">
        <f t="shared" si="90"/>
        <v>57.163897369276832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5.4223843114202738E-2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0.4063626257387698</v>
      </c>
      <c r="AG211" s="799">
        <f t="shared" si="99"/>
        <v>2</v>
      </c>
      <c r="AH211" s="176">
        <f t="shared" si="94"/>
        <v>8</v>
      </c>
      <c r="AI211" s="224">
        <f t="shared" si="95"/>
        <v>2.4063626257387698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46220</v>
      </c>
      <c r="B212" s="409">
        <f>IF(t&gt;Tmaj,'2025'!Wh/'2025'!Env_an*'2026'!Env_an,0.001*[9]mois!$B$258)</f>
        <v>53.371144958613876</v>
      </c>
      <c r="C212" s="829"/>
      <c r="D212" s="391">
        <f t="shared" si="77"/>
        <v>56.231414755914351</v>
      </c>
      <c r="E212" s="383">
        <f t="shared" si="75"/>
        <v>57.324890866514224</v>
      </c>
      <c r="F212" s="383">
        <f t="shared" si="78"/>
        <v>57.324890866514224</v>
      </c>
      <c r="G212" s="110">
        <f t="shared" si="76"/>
        <v>0.95524573029177506</v>
      </c>
      <c r="H212" s="412" t="b">
        <f>Wh_hp&gt;='2025'!Maxi_hp</f>
        <v>0</v>
      </c>
      <c r="I212" s="388">
        <f>IF(H212,Wh_hp,'2025'!Maxi_hp)</f>
        <v>60.566791048252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5.0866047203616427E-2</v>
      </c>
      <c r="M212" s="832"/>
      <c r="N212" s="832"/>
      <c r="O212" s="48">
        <f>IF(t&lt;Tnet,'2025'!Resal+('2025'!Salim-'2025'!Resal)*(1-EXP(('2025'!Tnet-t)/('2025'!Tau_j))),Resal+(Salim-Resal)*(1-EXP((Tnet-t)/(Tau_j))))*Salcycl</f>
        <v>1.9075066590987937E-2</v>
      </c>
      <c r="P212" s="169">
        <f>(INDEX(Models!$BJ212:$BT212,,T212)*(1-R212)+INDEX(Models!$BJ212:$BT212,,T212+1)*R212-ERP_i)*Q212*Ramure*Pc/MaxiM</f>
        <v>0</v>
      </c>
      <c r="Q212" s="304">
        <f t="shared" si="80"/>
        <v>0.6</v>
      </c>
      <c r="R212" s="177">
        <f t="shared" si="81"/>
        <v>0.88444501743136739</v>
      </c>
      <c r="S212" s="799">
        <f t="shared" si="82"/>
        <v>-2</v>
      </c>
      <c r="T212" s="176">
        <f t="shared" si="83"/>
        <v>4</v>
      </c>
      <c r="U212" s="250">
        <f t="shared" si="84"/>
        <v>-1.1155549825686326</v>
      </c>
      <c r="V212" s="382">
        <f t="shared" si="85"/>
        <v>55.871639376301559</v>
      </c>
      <c r="W212" s="400">
        <f t="shared" si="86"/>
        <v>53.371144958613876</v>
      </c>
      <c r="X212" s="157">
        <f t="shared" si="87"/>
        <v>46220</v>
      </c>
      <c r="Y212" s="383">
        <f t="shared" si="88"/>
        <v>51.45430900140596</v>
      </c>
      <c r="Z212" s="383">
        <f t="shared" si="89"/>
        <v>54.211851604095322</v>
      </c>
      <c r="AA212" s="384">
        <f t="shared" si="90"/>
        <v>57.324890866514224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5.4305193003644357E-2</v>
      </c>
      <c r="AD212" s="230">
        <f>(INDEX(Models!$BJ212:$BT212,,AH212)*(1-AF212)+INDEX(Models!$BJ212:$BT212,,AH212+1)*AF212-ERP_i)*AE212*Ramure*Pc/MaxiM</f>
        <v>1.9448925844073106E-20</v>
      </c>
      <c r="AE212" s="304">
        <f t="shared" si="92"/>
        <v>0.6</v>
      </c>
      <c r="AF212" s="177">
        <f t="shared" si="93"/>
        <v>0.40943258380534608</v>
      </c>
      <c r="AG212" s="799">
        <f t="shared" si="99"/>
        <v>2</v>
      </c>
      <c r="AH212" s="176">
        <f t="shared" si="94"/>
        <v>8</v>
      </c>
      <c r="AI212" s="224">
        <f t="shared" si="95"/>
        <v>2.4094325838053461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46221</v>
      </c>
      <c r="B213" s="409">
        <f>IF(t&gt;Tmaj,'2025'!Wh/'2025'!Env_an*'2026'!Env_an,0.001*[9]mois!$B$259)</f>
        <v>55.583675260757921</v>
      </c>
      <c r="C213" s="829"/>
      <c r="D213" s="391">
        <f t="shared" si="77"/>
        <v>58.563641481650563</v>
      </c>
      <c r="E213" s="383">
        <f t="shared" si="75"/>
        <v>59.709716377353324</v>
      </c>
      <c r="F213" s="383">
        <f t="shared" si="78"/>
        <v>59.709716377353324</v>
      </c>
      <c r="G213" s="110">
        <f t="shared" si="76"/>
        <v>0.99664669742893397</v>
      </c>
      <c r="H213" s="412" t="b">
        <f>Wh_hp&gt;='2025'!Maxi_hp</f>
        <v>1</v>
      </c>
      <c r="I213" s="388">
        <f>IF(H213,Wh_hp,'2025'!Maxi_hp)</f>
        <v>59.709716377353324</v>
      </c>
      <c r="J213" s="85">
        <f>IF(H213,An,'2025'!An_max)</f>
        <v>2026</v>
      </c>
      <c r="K213" s="197">
        <f t="shared" si="79"/>
        <v>46221</v>
      </c>
      <c r="L213" s="147">
        <f>IF(t&lt;Tvie,1-EXP((T0-t)*PertePVj)+'2025'!Pspv,1-EXP((T0-t)*PertePVj)+Pspv)</f>
        <v>5.0884237139289579E-2</v>
      </c>
      <c r="M213" s="832"/>
      <c r="N213" s="832"/>
      <c r="O213" s="48">
        <f>IF(t&lt;Tnet,'2025'!Resal+('2025'!Salim-'2025'!Resal)*(1-EXP(('2025'!Tnet-t)/('2025'!Tau_j))),Resal+(Salim-Resal)*(1-EXP((Tnet-t)/(Tau_j))))*Salcycl</f>
        <v>1.9194110527335256E-2</v>
      </c>
      <c r="P213" s="169">
        <f>(INDEX(Models!$BJ213:$BT213,,T213)*(1-R213)+INDEX(Models!$BJ213:$BT213,,T213+1)*R213-ERP_i)*Q213*Ramure*Pc/MaxiM</f>
        <v>0</v>
      </c>
      <c r="Q213" s="304">
        <f t="shared" si="80"/>
        <v>0.6</v>
      </c>
      <c r="R213" s="177">
        <f t="shared" si="81"/>
        <v>0.88743513834765775</v>
      </c>
      <c r="S213" s="799">
        <f t="shared" si="82"/>
        <v>-2</v>
      </c>
      <c r="T213" s="176">
        <f t="shared" si="83"/>
        <v>4</v>
      </c>
      <c r="U213" s="250">
        <f t="shared" si="84"/>
        <v>-1.1125648616523423</v>
      </c>
      <c r="V213" s="382">
        <f t="shared" si="85"/>
        <v>55.770691263160813</v>
      </c>
      <c r="W213" s="400">
        <f t="shared" si="86"/>
        <v>55.583675260757921</v>
      </c>
      <c r="X213" s="157">
        <f t="shared" si="87"/>
        <v>46221</v>
      </c>
      <c r="Y213" s="383">
        <f t="shared" si="88"/>
        <v>53.58929816763073</v>
      </c>
      <c r="Z213" s="383">
        <f t="shared" si="89"/>
        <v>56.462341333483202</v>
      </c>
      <c r="AA213" s="384">
        <f t="shared" si="90"/>
        <v>59.709716377353324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5.4386040344713137E-2</v>
      </c>
      <c r="AD213" s="230">
        <f>(INDEX(Models!$BJ213:$BT213,,AH213)*(1-AF213)+INDEX(Models!$BJ213:$BT213,,AH213+1)*AF213-ERP_i)*AE213*Ramure*Pc/MaxiM</f>
        <v>1.9493036937755797E-20</v>
      </c>
      <c r="AE213" s="304">
        <f t="shared" si="92"/>
        <v>0.6</v>
      </c>
      <c r="AF213" s="177">
        <f t="shared" si="93"/>
        <v>0.41242270472163645</v>
      </c>
      <c r="AG213" s="799">
        <f t="shared" si="99"/>
        <v>2</v>
      </c>
      <c r="AH213" s="176">
        <f t="shared" si="94"/>
        <v>8</v>
      </c>
      <c r="AI213" s="224">
        <f t="shared" si="95"/>
        <v>2.4124227047216364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46222</v>
      </c>
      <c r="B214" s="409">
        <f>IF(t&gt;Tmaj,'2025'!Wh/'2025'!Env_an*'2026'!Env_an,0.001*[9]mois!$B$260)</f>
        <v>43.57308166829133</v>
      </c>
      <c r="C214" s="829"/>
      <c r="D214" s="391">
        <f t="shared" si="77"/>
        <v>45.91001272714071</v>
      </c>
      <c r="E214" s="383">
        <f t="shared" si="75"/>
        <v>46.814128941330061</v>
      </c>
      <c r="F214" s="383">
        <f t="shared" si="78"/>
        <v>46.814128941330061</v>
      </c>
      <c r="G214" s="110">
        <f t="shared" si="76"/>
        <v>0.78271928492841258</v>
      </c>
      <c r="H214" s="412" t="b">
        <f>Wh_hp&gt;='2025'!Maxi_hp</f>
        <v>0</v>
      </c>
      <c r="I214" s="388">
        <f>IF(H214,Wh_hp,'2025'!Maxi_hp)</f>
        <v>60.093272883435894</v>
      </c>
      <c r="J214" s="85">
        <f>IF(H214,An,'2025'!An_max)</f>
        <v>2020</v>
      </c>
      <c r="K214" s="197">
        <f t="shared" si="79"/>
        <v>46222</v>
      </c>
      <c r="L214" s="147">
        <f>IF(t&lt;Tvie,1-EXP((T0-t)*PertePVj)+'2025'!Pspv,1-EXP((T0-t)*PertePVj)+Pspv)</f>
        <v>5.0902426726356698E-2</v>
      </c>
      <c r="M214" s="832"/>
      <c r="N214" s="832"/>
      <c r="O214" s="48">
        <f>IF(t&lt;Tnet,'2025'!Resal+('2025'!Salim-'2025'!Resal)*(1-EXP(('2025'!Tnet-t)/('2025'!Tau_j))),Resal+(Salim-Resal)*(1-EXP((Tnet-t)/(Tau_j))))*Salcycl</f>
        <v>1.9312891954530214E-2</v>
      </c>
      <c r="P214" s="169">
        <f>(INDEX(Models!$BJ214:$BT214,,T214)*(1-R214)+INDEX(Models!$BJ214:$BT214,,T214+1)*R214-ERP_i)*Q214*Ramure*Pc/MaxiM</f>
        <v>1.953612006557277E-20</v>
      </c>
      <c r="Q214" s="304">
        <f t="shared" si="80"/>
        <v>0.6</v>
      </c>
      <c r="R214" s="177">
        <f t="shared" si="81"/>
        <v>0.89034606961322149</v>
      </c>
      <c r="S214" s="799">
        <f t="shared" si="82"/>
        <v>-2</v>
      </c>
      <c r="T214" s="176">
        <f t="shared" si="83"/>
        <v>4</v>
      </c>
      <c r="U214" s="250">
        <f t="shared" si="84"/>
        <v>-1.1096539303867785</v>
      </c>
      <c r="V214" s="382">
        <f t="shared" si="85"/>
        <v>55.668848982399247</v>
      </c>
      <c r="W214" s="400">
        <f t="shared" si="86"/>
        <v>43.57308166829133</v>
      </c>
      <c r="X214" s="157">
        <f t="shared" si="87"/>
        <v>46222</v>
      </c>
      <c r="Y214" s="383">
        <f t="shared" si="88"/>
        <v>42.011169547718161</v>
      </c>
      <c r="Z214" s="383">
        <f t="shared" si="89"/>
        <v>44.264331435189035</v>
      </c>
      <c r="AA214" s="384">
        <f t="shared" si="90"/>
        <v>46.814128941330061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5.4466409261540928E-2</v>
      </c>
      <c r="AD214" s="230">
        <f>(INDEX(Models!$BJ214:$BT214,,AH214)*(1-AF214)+INDEX(Models!$BJ214:$BT214,,AH214+1)*AF214-ERP_i)*AE214*Ramure*Pc/MaxiM</f>
        <v>0</v>
      </c>
      <c r="AE214" s="304">
        <f t="shared" si="92"/>
        <v>0.6</v>
      </c>
      <c r="AF214" s="177">
        <f t="shared" si="93"/>
        <v>0.41533363598720019</v>
      </c>
      <c r="AG214" s="799">
        <f t="shared" si="99"/>
        <v>2</v>
      </c>
      <c r="AH214" s="176">
        <f t="shared" si="94"/>
        <v>8</v>
      </c>
      <c r="AI214" s="224">
        <f t="shared" si="95"/>
        <v>2.4153336359872002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46223</v>
      </c>
      <c r="B215" s="409">
        <f>IF(t&gt;Tmaj,'2025'!Wh/'2025'!Env_an*'2026'!Env_an,0.001*[9]mois!$B$261)</f>
        <v>43.671258401124518</v>
      </c>
      <c r="C215" s="829"/>
      <c r="D215" s="391">
        <f t="shared" si="77"/>
        <v>46.014336772808818</v>
      </c>
      <c r="E215" s="383">
        <f t="shared" si="75"/>
        <v>46.926178940940737</v>
      </c>
      <c r="F215" s="383">
        <f t="shared" si="78"/>
        <v>46.926178940940737</v>
      </c>
      <c r="G215" s="110">
        <f t="shared" si="76"/>
        <v>0.78593330449409482</v>
      </c>
      <c r="H215" s="412" t="b">
        <f>Wh_hp&gt;='2025'!Maxi_hp</f>
        <v>0</v>
      </c>
      <c r="I215" s="388">
        <f>IF(H215,Wh_hp,'2025'!Maxi_hp)</f>
        <v>59.221861562396249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5.0920615964824556E-2</v>
      </c>
      <c r="M215" s="832"/>
      <c r="N215" s="832"/>
      <c r="O215" s="48">
        <f>IF(t&lt;Tnet,'2025'!Resal+('2025'!Salim-'2025'!Resal)*(1-EXP(('2025'!Tnet-t)/('2025'!Tau_j))),Resal+(Salim-Resal)*(1-EXP((Tnet-t)/(Tau_j))))*Salcycl</f>
        <v>1.9431417360435976E-2</v>
      </c>
      <c r="P215" s="169">
        <f>(INDEX(Models!$BJ215:$BT215,,T215)*(1-R215)+INDEX(Models!$BJ215:$BT215,,T215+1)*R215-ERP_i)*Q215*Ramure*Pc/MaxiM</f>
        <v>0</v>
      </c>
      <c r="Q215" s="304">
        <f t="shared" si="80"/>
        <v>0.6</v>
      </c>
      <c r="R215" s="177">
        <f t="shared" si="81"/>
        <v>0.89317855504865662</v>
      </c>
      <c r="S215" s="799">
        <f t="shared" si="82"/>
        <v>-2</v>
      </c>
      <c r="T215" s="176">
        <f t="shared" si="83"/>
        <v>4</v>
      </c>
      <c r="U215" s="250">
        <f t="shared" si="84"/>
        <v>-1.1068214449513434</v>
      </c>
      <c r="V215" s="382">
        <f t="shared" si="85"/>
        <v>55.56611248232533</v>
      </c>
      <c r="W215" s="400">
        <f t="shared" si="86"/>
        <v>43.671258401124518</v>
      </c>
      <c r="X215" s="157">
        <f t="shared" si="87"/>
        <v>46223</v>
      </c>
      <c r="Y215" s="383">
        <f t="shared" si="88"/>
        <v>42.107357461073697</v>
      </c>
      <c r="Z215" s="383">
        <f t="shared" si="89"/>
        <v>44.366528416250041</v>
      </c>
      <c r="AA215" s="384">
        <f t="shared" si="90"/>
        <v>46.926178940940737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5.4546323234886986E-2</v>
      </c>
      <c r="AD215" s="230">
        <f>(INDEX(Models!$BJ215:$BT215,,AH215)*(1-AF215)+INDEX(Models!$BJ215:$BT215,,AH215+1)*AF215-ERP_i)*AE215*Ramure*Pc/MaxiM</f>
        <v>0</v>
      </c>
      <c r="AE215" s="304">
        <f t="shared" si="92"/>
        <v>0.6</v>
      </c>
      <c r="AF215" s="177">
        <f t="shared" si="93"/>
        <v>0.41816612142263532</v>
      </c>
      <c r="AG215" s="799">
        <f t="shared" si="99"/>
        <v>2</v>
      </c>
      <c r="AH215" s="176">
        <f t="shared" si="94"/>
        <v>8</v>
      </c>
      <c r="AI215" s="224">
        <f t="shared" si="95"/>
        <v>2.4181661214226353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46224</v>
      </c>
      <c r="B216" s="409">
        <f>IF(t&gt;Tmaj,'2025'!Wh/'2025'!Env_an*'2026'!Env_an,0.001*[9]mois!$B$262)</f>
        <v>52.828182624786528</v>
      </c>
      <c r="C216" s="829"/>
      <c r="D216" s="391">
        <f t="shared" si="77"/>
        <v>55.663620949857282</v>
      </c>
      <c r="E216" s="383">
        <f t="shared" si="75"/>
        <v>56.773525960432146</v>
      </c>
      <c r="F216" s="383">
        <f t="shared" si="78"/>
        <v>56.773525960432146</v>
      </c>
      <c r="G216" s="110">
        <f t="shared" si="76"/>
        <v>0.95250304329432034</v>
      </c>
      <c r="H216" s="412" t="b">
        <f>Wh_hp&gt;='2025'!Maxi_hp</f>
        <v>1</v>
      </c>
      <c r="I216" s="388">
        <f>IF(H216,Wh_hp,'2025'!Maxi_hp)</f>
        <v>56.773525960432146</v>
      </c>
      <c r="J216" s="85">
        <f>IF(H216,An,'2025'!An_max)</f>
        <v>2026</v>
      </c>
      <c r="K216" s="197">
        <f t="shared" si="79"/>
        <v>46224</v>
      </c>
      <c r="L216" s="147">
        <f>IF(t&lt;Tvie,1-EXP((T0-t)*PertePVj)+'2025'!Pspv,1-EXP((T0-t)*PertePVj)+Pspv)</f>
        <v>5.0938804854699704E-2</v>
      </c>
      <c r="M216" s="832"/>
      <c r="N216" s="832"/>
      <c r="O216" s="48">
        <f>IF(t&lt;Tnet,'2025'!Resal+('2025'!Salim-'2025'!Resal)*(1-EXP(('2025'!Tnet-t)/('2025'!Tau_j))),Resal+(Salim-Resal)*(1-EXP((Tnet-t)/(Tau_j))))*Salcycl</f>
        <v>1.9549693132471697E-2</v>
      </c>
      <c r="P216" s="169">
        <f>(INDEX(Models!$BJ216:$BT216,,T216)*(1-R216)+INDEX(Models!$BJ216:$BT216,,T216+1)*R216-ERP_i)*Q216*Ramure*Pc/MaxiM</f>
        <v>0</v>
      </c>
      <c r="Q216" s="304">
        <f t="shared" si="80"/>
        <v>0.6</v>
      </c>
      <c r="R216" s="177">
        <f t="shared" si="81"/>
        <v>0.89593342780671659</v>
      </c>
      <c r="S216" s="799">
        <f t="shared" si="82"/>
        <v>-2</v>
      </c>
      <c r="T216" s="176">
        <f t="shared" si="83"/>
        <v>4</v>
      </c>
      <c r="U216" s="250">
        <f t="shared" si="84"/>
        <v>-1.1040665721932834</v>
      </c>
      <c r="V216" s="382">
        <f t="shared" si="85"/>
        <v>55.46248171772276</v>
      </c>
      <c r="W216" s="400">
        <f t="shared" si="86"/>
        <v>52.828182624786528</v>
      </c>
      <c r="X216" s="157">
        <f t="shared" si="87"/>
        <v>46224</v>
      </c>
      <c r="Y216" s="383">
        <f t="shared" si="88"/>
        <v>50.938227335845262</v>
      </c>
      <c r="Z216" s="383">
        <f t="shared" si="89"/>
        <v>53.672226402689105</v>
      </c>
      <c r="AA216" s="384">
        <f t="shared" si="90"/>
        <v>56.773525960432146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5.4625804990594926E-2</v>
      </c>
      <c r="AD216" s="230">
        <f>(INDEX(Models!$BJ216:$BT216,,AH216)*(1-AF216)+INDEX(Models!$BJ216:$BT216,,AH216+1)*AF216-ERP_i)*AE216*Ramure*Pc/MaxiM</f>
        <v>0</v>
      </c>
      <c r="AE216" s="304">
        <f t="shared" si="92"/>
        <v>0.6</v>
      </c>
      <c r="AF216" s="177">
        <f t="shared" si="93"/>
        <v>0.42092099418069528</v>
      </c>
      <c r="AG216" s="799">
        <f t="shared" si="99"/>
        <v>2</v>
      </c>
      <c r="AH216" s="176">
        <f t="shared" si="94"/>
        <v>8</v>
      </c>
      <c r="AI216" s="224">
        <f t="shared" si="95"/>
        <v>2.4209209941806953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46225</v>
      </c>
      <c r="B217" s="409">
        <f>IF(t&gt;Tmaj,'2025'!Wh/'2025'!Env_an*'2026'!Env_an,0.001*[9]mois!$B$263)</f>
        <v>44.402498918305213</v>
      </c>
      <c r="C217" s="829"/>
      <c r="D217" s="391">
        <f t="shared" si="77"/>
        <v>46.786603567305136</v>
      </c>
      <c r="E217" s="383">
        <f t="shared" si="75"/>
        <v>47.725250698076486</v>
      </c>
      <c r="F217" s="383">
        <f t="shared" si="78"/>
        <v>47.725250698076486</v>
      </c>
      <c r="G217" s="110">
        <f t="shared" si="76"/>
        <v>0.80209786637045499</v>
      </c>
      <c r="H217" s="412" t="b">
        <f>Wh_hp&gt;='2025'!Maxi_hp</f>
        <v>0</v>
      </c>
      <c r="I217" s="388">
        <f>IF(H217,Wh_hp,'2025'!Maxi_hp)</f>
        <v>55.683659624670192</v>
      </c>
      <c r="J217" s="85">
        <f>IF(H217,An,'2025'!An_max)</f>
        <v>2021</v>
      </c>
      <c r="K217" s="197">
        <f t="shared" si="79"/>
        <v>46225</v>
      </c>
      <c r="L217" s="147">
        <f>IF(t&lt;Tvie,1-EXP((T0-t)*PertePVj)+'2025'!Pspv,1-EXP((T0-t)*PertePVj)+Pspv)</f>
        <v>5.0956993395989025E-2</v>
      </c>
      <c r="M217" s="832"/>
      <c r="N217" s="832"/>
      <c r="O217" s="48">
        <f>IF(t&lt;Tnet,'2025'!Resal+('2025'!Salim-'2025'!Resal)*(1-EXP(('2025'!Tnet-t)/('2025'!Tau_j))),Resal+(Salim-Resal)*(1-EXP((Tnet-t)/(Tau_j))))*Salcycl</f>
        <v>1.9667725513051706E-2</v>
      </c>
      <c r="P217" s="169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0.89861160346399593</v>
      </c>
      <c r="S217" s="799">
        <f t="shared" si="82"/>
        <v>-2</v>
      </c>
      <c r="T217" s="176">
        <f t="shared" si="83"/>
        <v>4</v>
      </c>
      <c r="U217" s="250">
        <f t="shared" si="84"/>
        <v>-1.1013883965360041</v>
      </c>
      <c r="V217" s="382">
        <f t="shared" si="85"/>
        <v>55.35795665338123</v>
      </c>
      <c r="W217" s="400">
        <f t="shared" si="86"/>
        <v>44.402498918305213</v>
      </c>
      <c r="X217" s="157">
        <f t="shared" si="87"/>
        <v>46225</v>
      </c>
      <c r="Y217" s="383">
        <f t="shared" si="88"/>
        <v>42.81555019210586</v>
      </c>
      <c r="Z217" s="383">
        <f t="shared" si="89"/>
        <v>45.114446757596397</v>
      </c>
      <c r="AA217" s="384">
        <f t="shared" si="90"/>
        <v>47.725250698076486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5.4704876397544296E-2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0.42359916983797463</v>
      </c>
      <c r="AG217" s="799">
        <f t="shared" si="99"/>
        <v>2</v>
      </c>
      <c r="AH217" s="176">
        <f t="shared" si="94"/>
        <v>8</v>
      </c>
      <c r="AI217" s="224">
        <f t="shared" si="95"/>
        <v>2.4235991698379746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46226</v>
      </c>
      <c r="B218" s="409">
        <f>IF(t&gt;Tmaj,'2025'!Wh/'2025'!Env_an*'2026'!Env_an,0.001*[9]mois!$B$264)</f>
        <v>44.355295070105491</v>
      </c>
      <c r="C218" s="829"/>
      <c r="D218" s="391">
        <f t="shared" si="77"/>
        <v>46.73776092005447</v>
      </c>
      <c r="E218" s="383">
        <f t="shared" si="75"/>
        <v>47.681157440815838</v>
      </c>
      <c r="F218" s="383">
        <f t="shared" si="78"/>
        <v>47.681157440815838</v>
      </c>
      <c r="G218" s="110">
        <f t="shared" si="76"/>
        <v>0.80277390443400354</v>
      </c>
      <c r="H218" s="412" t="b">
        <f>Wh_hp&gt;='2025'!Maxi_hp</f>
        <v>0</v>
      </c>
      <c r="I218" s="388">
        <f>IF(H218,Wh_hp,'2025'!Maxi_hp)</f>
        <v>57.020157721480658</v>
      </c>
      <c r="J218" s="85">
        <f>IF(H218,An,'2025'!An_max)</f>
        <v>2018</v>
      </c>
      <c r="K218" s="197">
        <f t="shared" si="79"/>
        <v>46226</v>
      </c>
      <c r="L218" s="147">
        <f>IF(t&lt;Tvie,1-EXP((T0-t)*PertePVj)+'2025'!Pspv,1-EXP((T0-t)*PertePVj)+Pspv)</f>
        <v>5.097518158869907E-2</v>
      </c>
      <c r="M218" s="832"/>
      <c r="N218" s="832"/>
      <c r="O218" s="48">
        <f>IF(t&lt;Tnet,'2025'!Resal+('2025'!Salim-'2025'!Resal)*(1-EXP(('2025'!Tnet-t)/('2025'!Tau_j))),Resal+(Salim-Resal)*(1-EXP((Tnet-t)/(Tau_j))))*Salcycl</f>
        <v>1.9785520557724662E-2</v>
      </c>
      <c r="P218" s="169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0.90121407322512792</v>
      </c>
      <c r="S218" s="799">
        <f t="shared" si="82"/>
        <v>-2</v>
      </c>
      <c r="T218" s="176">
        <f t="shared" si="83"/>
        <v>4</v>
      </c>
      <c r="U218" s="250">
        <f t="shared" si="84"/>
        <v>-1.0987859267748721</v>
      </c>
      <c r="V218" s="382">
        <f t="shared" si="85"/>
        <v>55.252537264995219</v>
      </c>
      <c r="W218" s="400">
        <f t="shared" si="86"/>
        <v>44.355295070105491</v>
      </c>
      <c r="X218" s="157">
        <f t="shared" si="87"/>
        <v>46226</v>
      </c>
      <c r="Y218" s="383">
        <f t="shared" si="88"/>
        <v>42.771612797660985</v>
      </c>
      <c r="Z218" s="383">
        <f t="shared" si="89"/>
        <v>45.069013968741181</v>
      </c>
      <c r="AA218" s="384">
        <f t="shared" si="90"/>
        <v>47.681157440815838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5.4783558375590451E-2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0.42620163959910684</v>
      </c>
      <c r="AG218" s="799">
        <f t="shared" si="99"/>
        <v>2</v>
      </c>
      <c r="AH218" s="176">
        <f t="shared" si="94"/>
        <v>8</v>
      </c>
      <c r="AI218" s="224">
        <f t="shared" si="95"/>
        <v>2.4262016395991068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46227</v>
      </c>
      <c r="B219" s="409">
        <f>IF(t&gt;Tmaj,'2025'!Wh/'2025'!Env_an*'2026'!Env_an,0.001*[9]mois!$B$265)</f>
        <v>53.077085870691086</v>
      </c>
      <c r="C219" s="829"/>
      <c r="D219" s="391">
        <f t="shared" si="77"/>
        <v>55.929099082237336</v>
      </c>
      <c r="E219" s="383">
        <f t="shared" si="75"/>
        <v>57.064865907333981</v>
      </c>
      <c r="F219" s="383">
        <f t="shared" si="78"/>
        <v>57.064865907333981</v>
      </c>
      <c r="G219" s="110">
        <f t="shared" si="76"/>
        <v>0.96247528086777856</v>
      </c>
      <c r="H219" s="412" t="b">
        <f>Wh_hp&gt;='2025'!Maxi_hp</f>
        <v>0</v>
      </c>
      <c r="I219" s="388">
        <f>IF(H219,Wh_hp,'2025'!Maxi_hp)</f>
        <v>57.130225133334037</v>
      </c>
      <c r="J219" s="85">
        <f>IF(H219,An,'2025'!An_max)</f>
        <v>2018</v>
      </c>
      <c r="K219" s="197">
        <f t="shared" si="79"/>
        <v>46227</v>
      </c>
      <c r="L219" s="147">
        <f>IF(t&lt;Tvie,1-EXP((T0-t)*PertePVj)+'2025'!Pspv,1-EXP((T0-t)*PertePVj)+Pspv)</f>
        <v>5.099336943283661E-2</v>
      </c>
      <c r="M219" s="832"/>
      <c r="N219" s="832"/>
      <c r="O219" s="48">
        <f>IF(t&lt;Tnet,'2025'!Resal+('2025'!Salim-'2025'!Resal)*(1-EXP(('2025'!Tnet-t)/('2025'!Tau_j))),Resal+(Salim-Resal)*(1-EXP((Tnet-t)/(Tau_j))))*Salcycl</f>
        <v>1.99030840962806E-2</v>
      </c>
      <c r="P219" s="169">
        <f>(INDEX(Models!$BJ219:$BT219,,T219)*(1-R219)+INDEX(Models!$BJ219:$BT219,,T219+1)*R219-ERP_i)*Q219*Ramure*Pc/MaxiM</f>
        <v>0</v>
      </c>
      <c r="Q219" s="304">
        <f t="shared" si="80"/>
        <v>0.6</v>
      </c>
      <c r="R219" s="177">
        <f t="shared" si="81"/>
        <v>0.90374189726800513</v>
      </c>
      <c r="S219" s="799">
        <f t="shared" si="82"/>
        <v>-2</v>
      </c>
      <c r="T219" s="176">
        <f t="shared" si="83"/>
        <v>4</v>
      </c>
      <c r="U219" s="250">
        <f t="shared" si="84"/>
        <v>-1.0962581027319949</v>
      </c>
      <c r="V219" s="382">
        <f t="shared" si="85"/>
        <v>55.146440563996812</v>
      </c>
      <c r="W219" s="400">
        <f t="shared" si="86"/>
        <v>53.077085870691086</v>
      </c>
      <c r="X219" s="157">
        <f t="shared" si="87"/>
        <v>46227</v>
      </c>
      <c r="Y219" s="383">
        <f t="shared" si="88"/>
        <v>51.183895009219583</v>
      </c>
      <c r="Z219" s="383">
        <f t="shared" si="89"/>
        <v>53.9341806059143</v>
      </c>
      <c r="AA219" s="384">
        <f t="shared" si="90"/>
        <v>57.064865907333981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5.4861870813882545E-2</v>
      </c>
      <c r="AD219" s="230">
        <f>(INDEX(Models!$BJ219:$BT219,,AH219)*(1-AF219)+INDEX(Models!$BJ219:$BT219,,AH219+1)*AF219-ERP_i)*AE219*Ramure*Pc/MaxiM</f>
        <v>0</v>
      </c>
      <c r="AE219" s="304">
        <f t="shared" si="92"/>
        <v>0.6</v>
      </c>
      <c r="AF219" s="177">
        <f t="shared" si="93"/>
        <v>0.42872946364198405</v>
      </c>
      <c r="AG219" s="799">
        <f t="shared" si="99"/>
        <v>2</v>
      </c>
      <c r="AH219" s="176">
        <f t="shared" si="94"/>
        <v>8</v>
      </c>
      <c r="AI219" s="224">
        <f t="shared" si="95"/>
        <v>2.4287294636419841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46228</v>
      </c>
      <c r="B220" s="409">
        <f>IF(t&gt;Tmaj,'2025'!Wh/'2025'!Env_an*'2026'!Env_an,0.001*[9]mois!$B$266)</f>
        <v>26.066661955645952</v>
      </c>
      <c r="C220" s="829"/>
      <c r="D220" s="391">
        <f t="shared" si="77"/>
        <v>27.467839198627079</v>
      </c>
      <c r="E220" s="383">
        <f t="shared" si="75"/>
        <v>28.028991426733494</v>
      </c>
      <c r="F220" s="383">
        <f t="shared" si="78"/>
        <v>28.028991426733494</v>
      </c>
      <c r="G220" s="110">
        <f t="shared" si="76"/>
        <v>0.47359645295049035</v>
      </c>
      <c r="H220" s="412" t="b">
        <f>Wh_hp&gt;='2025'!Maxi_hp</f>
        <v>0</v>
      </c>
      <c r="I220" s="388">
        <f>IF(H220,Wh_hp,'2025'!Maxi_hp)</f>
        <v>58.039813998105629</v>
      </c>
      <c r="J220" s="85">
        <f>IF(H220,An,'2025'!An_max)</f>
        <v>2018</v>
      </c>
      <c r="K220" s="197">
        <f t="shared" si="79"/>
        <v>46228</v>
      </c>
      <c r="L220" s="147">
        <f>IF(t&lt;Tvie,1-EXP((T0-t)*PertePVj)+'2025'!Pspv,1-EXP((T0-t)*PertePVj)+Pspv)</f>
        <v>5.1011556928408197E-2</v>
      </c>
      <c r="M220" s="832"/>
      <c r="N220" s="832"/>
      <c r="O220" s="48">
        <f>IF(t&lt;Tnet,'2025'!Resal+('2025'!Salim-'2025'!Resal)*(1-EXP(('2025'!Tnet-t)/('2025'!Tau_j))),Resal+(Salim-Resal)*(1-EXP((Tnet-t)/(Tau_j))))*Salcycl</f>
        <v>2.002042169705754E-2</v>
      </c>
      <c r="P220" s="169">
        <f>(INDEX(Models!$BJ220:$BT220,,T220)*(1-R220)+INDEX(Models!$BJ220:$BT220,,T220+1)*R220-ERP_i)*Q220*Ramure*Pc/MaxiM</f>
        <v>0</v>
      </c>
      <c r="Q220" s="304">
        <f t="shared" si="80"/>
        <v>0.6</v>
      </c>
      <c r="R220" s="177">
        <f t="shared" si="81"/>
        <v>0.90619619825514031</v>
      </c>
      <c r="S220" s="799">
        <f t="shared" si="82"/>
        <v>-2</v>
      </c>
      <c r="T220" s="176">
        <f t="shared" si="83"/>
        <v>4</v>
      </c>
      <c r="U220" s="250">
        <f t="shared" si="84"/>
        <v>-1.0938038017448597</v>
      </c>
      <c r="V220" s="382">
        <f t="shared" si="85"/>
        <v>55.039816690457677</v>
      </c>
      <c r="W220" s="400">
        <f t="shared" si="86"/>
        <v>26.066661955645952</v>
      </c>
      <c r="X220" s="157">
        <f t="shared" si="87"/>
        <v>46228</v>
      </c>
      <c r="Y220" s="383">
        <f t="shared" si="88"/>
        <v>25.137833950206488</v>
      </c>
      <c r="Z220" s="383">
        <f t="shared" si="89"/>
        <v>26.489083332609233</v>
      </c>
      <c r="AA220" s="384">
        <f t="shared" si="90"/>
        <v>28.028991426733494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5.4939832499842564E-2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0.431183764629119</v>
      </c>
      <c r="AG220" s="799">
        <f t="shared" si="99"/>
        <v>2</v>
      </c>
      <c r="AH220" s="176">
        <f t="shared" si="94"/>
        <v>8</v>
      </c>
      <c r="AI220" s="224">
        <f t="shared" si="95"/>
        <v>2.431183764629119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46229</v>
      </c>
      <c r="B221" s="409">
        <f>IF(t&gt;Tmaj,'2025'!Wh/'2025'!Env_an*'2026'!Env_an,0.001*[9]mois!$B$267)</f>
        <v>55.347086047739793</v>
      </c>
      <c r="C221" s="829"/>
      <c r="D221" s="391">
        <f t="shared" si="77"/>
        <v>58.323309610810995</v>
      </c>
      <c r="E221" s="383">
        <f t="shared" si="75"/>
        <v>59.521934873943664</v>
      </c>
      <c r="F221" s="383">
        <f t="shared" si="78"/>
        <v>59.521934873943664</v>
      </c>
      <c r="G221" s="110">
        <f t="shared" si="76"/>
        <v>1.0075459914600897</v>
      </c>
      <c r="H221" s="412" t="b">
        <f>Wh_hp&gt;='2025'!Maxi_hp</f>
        <v>1</v>
      </c>
      <c r="I221" s="388">
        <f>IF(H221,Wh_hp,'2025'!Maxi_hp)</f>
        <v>59.521934873943664</v>
      </c>
      <c r="J221" s="85">
        <f>IF(H221,An,'2025'!An_max)</f>
        <v>2026</v>
      </c>
      <c r="K221" s="197">
        <f t="shared" si="79"/>
        <v>46229</v>
      </c>
      <c r="L221" s="147">
        <f>IF(t&lt;Tvie,1-EXP((T0-t)*PertePVj)+'2025'!Pspv,1-EXP((T0-t)*PertePVj)+Pspv)</f>
        <v>5.1029744075420602E-2</v>
      </c>
      <c r="M221" s="832"/>
      <c r="N221" s="832"/>
      <c r="O221" s="48">
        <f>IF(t&lt;Tnet,'2025'!Resal+('2025'!Salim-'2025'!Resal)*(1-EXP(('2025'!Tnet-t)/('2025'!Tau_j))),Resal+(Salim-Resal)*(1-EXP((Tnet-t)/(Tau_j))))*Salcycl</f>
        <v>2.0137538634641784E-2</v>
      </c>
      <c r="P221" s="169">
        <f>(INDEX(Models!$BJ221:$BT221,,T221)*(1-R221)+INDEX(Models!$BJ221:$BT221,,T221+1)*R221-ERP_i)*Q221*Ramure*Pc/MaxiM</f>
        <v>0</v>
      </c>
      <c r="Q221" s="304">
        <f t="shared" si="80"/>
        <v>0.6</v>
      </c>
      <c r="R221" s="177">
        <f t="shared" si="81"/>
        <v>0.90857815503299921</v>
      </c>
      <c r="S221" s="799">
        <f t="shared" si="82"/>
        <v>-2</v>
      </c>
      <c r="T221" s="176">
        <f t="shared" si="83"/>
        <v>4</v>
      </c>
      <c r="U221" s="250">
        <f t="shared" si="84"/>
        <v>-1.0914218449670008</v>
      </c>
      <c r="V221" s="382">
        <f t="shared" si="85"/>
        <v>54.932565378512713</v>
      </c>
      <c r="W221" s="400">
        <f t="shared" si="86"/>
        <v>55.347086047739793</v>
      </c>
      <c r="X221" s="157">
        <f t="shared" si="87"/>
        <v>46229</v>
      </c>
      <c r="Y221" s="383">
        <f t="shared" si="88"/>
        <v>53.376909473092439</v>
      </c>
      <c r="Z221" s="383">
        <f t="shared" si="89"/>
        <v>56.247189139861341</v>
      </c>
      <c r="AA221" s="384">
        <f t="shared" si="90"/>
        <v>59.521934873943664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5.5017461058979707E-2</v>
      </c>
      <c r="AD221" s="230">
        <f>(INDEX(Models!$BJ221:$BT221,,AH221)*(1-AF221)+INDEX(Models!$BJ221:$BT221,,AH221+1)*AF221-ERP_i)*AE221*Ramure*Pc/MaxiM</f>
        <v>1.9815619349392699E-20</v>
      </c>
      <c r="AE221" s="304">
        <f t="shared" si="92"/>
        <v>0.6</v>
      </c>
      <c r="AF221" s="177">
        <f t="shared" si="93"/>
        <v>0.43356572140697791</v>
      </c>
      <c r="AG221" s="799">
        <f t="shared" si="99"/>
        <v>2</v>
      </c>
      <c r="AH221" s="176">
        <f t="shared" si="94"/>
        <v>8</v>
      </c>
      <c r="AI221" s="224">
        <f t="shared" si="95"/>
        <v>2.4335657214069779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46230</v>
      </c>
      <c r="B222" s="409">
        <f>IF(t&gt;Tmaj,'2025'!Wh/'2025'!Env_an*'2026'!Env_an,0.001*[9]mois!$B$268)</f>
        <v>56.751787189197366</v>
      </c>
      <c r="C222" s="829"/>
      <c r="D222" s="391">
        <f t="shared" si="77"/>
        <v>59.804693024653524</v>
      </c>
      <c r="E222" s="383">
        <f t="shared" si="75"/>
        <v>61.041045203793388</v>
      </c>
      <c r="F222" s="383">
        <f t="shared" si="78"/>
        <v>61.041045203793388</v>
      </c>
      <c r="G222" s="110">
        <f t="shared" si="76"/>
        <v>1.035152125673189</v>
      </c>
      <c r="H222" s="412" t="b">
        <f>Wh_hp&gt;='2025'!Maxi_hp</f>
        <v>1</v>
      </c>
      <c r="I222" s="388">
        <f>IF(H222,Wh_hp,'2025'!Maxi_hp)</f>
        <v>61.041045203793388</v>
      </c>
      <c r="J222" s="85">
        <f>IF(H222,An,'2025'!An_max)</f>
        <v>2026</v>
      </c>
      <c r="K222" s="197">
        <f t="shared" si="79"/>
        <v>46230</v>
      </c>
      <c r="L222" s="147">
        <f>IF(t&lt;Tvie,1-EXP((T0-t)*PertePVj)+'2025'!Pspv,1-EXP((T0-t)*PertePVj)+Pspv)</f>
        <v>5.1047930873880487E-2</v>
      </c>
      <c r="M222" s="832"/>
      <c r="N222" s="832"/>
      <c r="O222" s="48">
        <f>IF(t&lt;Tnet,'2025'!Resal+('2025'!Salim-'2025'!Resal)*(1-EXP(('2025'!Tnet-t)/('2025'!Tau_j))),Resal+(Salim-Resal)*(1-EXP((Tnet-t)/(Tau_j))))*Salcycl</f>
        <v>2.0254439861115466E-2</v>
      </c>
      <c r="P222" s="169">
        <f>(INDEX(Models!$BJ222:$BT222,,T222)*(1-R222)+INDEX(Models!$BJ222:$BT222,,T222+1)*R222-ERP_i)*Q222*Ramure*Pc/MaxiM</f>
        <v>0</v>
      </c>
      <c r="Q222" s="304">
        <f t="shared" si="80"/>
        <v>0.6</v>
      </c>
      <c r="R222" s="177">
        <f t="shared" si="81"/>
        <v>0.91088899653796496</v>
      </c>
      <c r="S222" s="799">
        <f t="shared" si="82"/>
        <v>-2</v>
      </c>
      <c r="T222" s="176">
        <f t="shared" si="83"/>
        <v>4</v>
      </c>
      <c r="U222" s="250">
        <f t="shared" si="84"/>
        <v>-1.089111003462035</v>
      </c>
      <c r="V222" s="382">
        <f t="shared" si="85"/>
        <v>54.824586436790696</v>
      </c>
      <c r="W222" s="400">
        <f t="shared" si="86"/>
        <v>56.751787189197366</v>
      </c>
      <c r="X222" s="157">
        <f t="shared" si="87"/>
        <v>46230</v>
      </c>
      <c r="Y222" s="383">
        <f t="shared" si="88"/>
        <v>54.733659986598596</v>
      </c>
      <c r="Z222" s="383">
        <f t="shared" si="89"/>
        <v>57.678002680369595</v>
      </c>
      <c r="AA222" s="384">
        <f t="shared" si="90"/>
        <v>61.041045203793388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5.5094772905605452E-2</v>
      </c>
      <c r="AD222" s="230">
        <f>(INDEX(Models!$BJ222:$BT222,,AH222)*(1-AF222)+INDEX(Models!$BJ222:$BT222,,AH222+1)*AF222-ERP_i)*AE222*Ramure*Pc/MaxiM</f>
        <v>-1.9853125481685476E-20</v>
      </c>
      <c r="AE222" s="304">
        <f t="shared" si="92"/>
        <v>0.6</v>
      </c>
      <c r="AF222" s="177">
        <f t="shared" si="93"/>
        <v>0.43587656291194365</v>
      </c>
      <c r="AG222" s="799">
        <f t="shared" si="99"/>
        <v>2</v>
      </c>
      <c r="AH222" s="176">
        <f t="shared" si="94"/>
        <v>8</v>
      </c>
      <c r="AI222" s="224">
        <f t="shared" si="95"/>
        <v>2.4358765629119437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46231</v>
      </c>
      <c r="B223" s="409">
        <f>IF(t&gt;Tmaj,'2025'!Wh/'2025'!Env_an*'2026'!Env_an,0.001*[9]mois!$B$269)</f>
        <v>42.976184261956995</v>
      </c>
      <c r="C223" s="829"/>
      <c r="D223" s="391">
        <f t="shared" si="77"/>
        <v>45.288913217804549</v>
      </c>
      <c r="E223" s="383">
        <f t="shared" si="75"/>
        <v>46.230684500880955</v>
      </c>
      <c r="F223" s="383">
        <f t="shared" si="78"/>
        <v>46.230684500880955</v>
      </c>
      <c r="G223" s="110">
        <f t="shared" si="76"/>
        <v>0.78544406126196087</v>
      </c>
      <c r="H223" s="412" t="b">
        <f>Wh_hp&gt;='2025'!Maxi_hp</f>
        <v>0</v>
      </c>
      <c r="I223" s="388">
        <f>IF(H223,Wh_hp,'2025'!Maxi_hp)</f>
        <v>56.607198272356136</v>
      </c>
      <c r="J223" s="85">
        <f>IF(H223,An,'2025'!An_max)</f>
        <v>2020</v>
      </c>
      <c r="K223" s="197">
        <f t="shared" si="79"/>
        <v>46231</v>
      </c>
      <c r="L223" s="147">
        <f>IF(t&lt;Tvie,1-EXP((T0-t)*PertePVj)+'2025'!Pspv,1-EXP((T0-t)*PertePVj)+Pspv)</f>
        <v>5.1066117323794513E-2</v>
      </c>
      <c r="M223" s="832"/>
      <c r="N223" s="832"/>
      <c r="O223" s="48">
        <f>IF(t&lt;Tnet,'2025'!Resal+('2025'!Salim-'2025'!Resal)*(1-EXP(('2025'!Tnet-t)/('2025'!Tau_j))),Resal+(Salim-Resal)*(1-EXP((Tnet-t)/(Tau_j))))*Salcycl</f>
        <v>2.0371129980964443E-2</v>
      </c>
      <c r="P223" s="169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0.91312999592454647</v>
      </c>
      <c r="S223" s="799">
        <f t="shared" si="82"/>
        <v>-2</v>
      </c>
      <c r="T223" s="176">
        <f t="shared" si="83"/>
        <v>4</v>
      </c>
      <c r="U223" s="250">
        <f t="shared" si="84"/>
        <v>-1.0868700040754535</v>
      </c>
      <c r="V223" s="382">
        <f t="shared" si="85"/>
        <v>54.715779750002589</v>
      </c>
      <c r="W223" s="400">
        <f t="shared" si="86"/>
        <v>42.976184261956995</v>
      </c>
      <c r="X223" s="157">
        <f t="shared" si="87"/>
        <v>46231</v>
      </c>
      <c r="Y223" s="383">
        <f t="shared" si="88"/>
        <v>41.449484374745573</v>
      </c>
      <c r="Z223" s="383">
        <f t="shared" si="89"/>
        <v>43.680055198207036</v>
      </c>
      <c r="AA223" s="384">
        <f t="shared" si="90"/>
        <v>46.230684500880955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5.5171783204406466E-2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0.43811756229852516</v>
      </c>
      <c r="AG223" s="799">
        <f t="shared" si="99"/>
        <v>2</v>
      </c>
      <c r="AH223" s="176">
        <f t="shared" si="94"/>
        <v>8</v>
      </c>
      <c r="AI223" s="224">
        <f t="shared" si="95"/>
        <v>2.4381175622985252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46232</v>
      </c>
      <c r="B224" s="409">
        <f>IF(t&gt;Tmaj,'2025'!Wh/'2025'!Env_an*'2026'!Env_an,0.001*[9]mois!$B$270)</f>
        <v>29.749927919211771</v>
      </c>
      <c r="C224" s="829"/>
      <c r="D224" s="391">
        <f t="shared" si="77"/>
        <v>31.351497321201411</v>
      </c>
      <c r="E224" s="383">
        <f t="shared" si="75"/>
        <v>32.007249468866618</v>
      </c>
      <c r="F224" s="383">
        <f t="shared" si="78"/>
        <v>32.007249468866618</v>
      </c>
      <c r="G224" s="110">
        <f t="shared" si="76"/>
        <v>0.54481015365298768</v>
      </c>
      <c r="H224" s="412" t="b">
        <f>Wh_hp&gt;='2025'!Maxi_hp</f>
        <v>0</v>
      </c>
      <c r="I224" s="388">
        <f>IF(H224,Wh_hp,'2025'!Maxi_hp)</f>
        <v>59.144534762584179</v>
      </c>
      <c r="J224" s="85">
        <f>IF(H224,An,'2025'!An_max)</f>
        <v>2018</v>
      </c>
      <c r="K224" s="197">
        <f t="shared" si="79"/>
        <v>46232</v>
      </c>
      <c r="L224" s="147">
        <f>IF(t&lt;Tvie,1-EXP((T0-t)*PertePVj)+'2025'!Pspv,1-EXP((T0-t)*PertePVj)+Pspv)</f>
        <v>5.1084303425169453E-2</v>
      </c>
      <c r="M224" s="832"/>
      <c r="N224" s="832"/>
      <c r="O224" s="48">
        <f>IF(t&lt;Tnet,'2025'!Resal+('2025'!Salim-'2025'!Resal)*(1-EXP(('2025'!Tnet-t)/('2025'!Tau_j))),Resal+(Salim-Resal)*(1-EXP((Tnet-t)/(Tau_j))))*Salcycl</f>
        <v>2.0487613229717198E-2</v>
      </c>
      <c r="P224" s="169">
        <f>(INDEX(Models!$BJ224:$BT224,,T224)*(1-R224)+INDEX(Models!$BJ224:$BT224,,T224+1)*R224-ERP_i)*Q224*Ramure*Pc/MaxiM</f>
        <v>0</v>
      </c>
      <c r="Q224" s="304">
        <f t="shared" si="80"/>
        <v>0.6</v>
      </c>
      <c r="R224" s="177">
        <f t="shared" si="81"/>
        <v>0.91530246492857992</v>
      </c>
      <c r="S224" s="799">
        <f t="shared" si="82"/>
        <v>-2</v>
      </c>
      <c r="T224" s="176">
        <f t="shared" si="83"/>
        <v>4</v>
      </c>
      <c r="U224" s="250">
        <f t="shared" si="84"/>
        <v>-1.0846975350714201</v>
      </c>
      <c r="V224" s="382">
        <f t="shared" si="85"/>
        <v>54.606045279693411</v>
      </c>
      <c r="W224" s="400">
        <f t="shared" si="86"/>
        <v>29.749927919211771</v>
      </c>
      <c r="X224" s="157">
        <f t="shared" si="87"/>
        <v>46232</v>
      </c>
      <c r="Y224" s="383">
        <f t="shared" si="88"/>
        <v>28.694163782267772</v>
      </c>
      <c r="Z224" s="383">
        <f t="shared" si="89"/>
        <v>30.238896759576342</v>
      </c>
      <c r="AA224" s="384">
        <f t="shared" si="90"/>
        <v>32.007249468866618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5.5248505842726385E-2</v>
      </c>
      <c r="AD224" s="230">
        <f>(INDEX(Models!$BJ224:$BT224,,AH224)*(1-AF224)+INDEX(Models!$BJ224:$BT224,,AH224+1)*AF224-ERP_i)*AE224*Ramure*Pc/MaxiM</f>
        <v>-1.9927150967186139E-20</v>
      </c>
      <c r="AE224" s="304">
        <f t="shared" si="92"/>
        <v>0.6</v>
      </c>
      <c r="AF224" s="177">
        <f t="shared" si="93"/>
        <v>0.44029003130255839</v>
      </c>
      <c r="AG224" s="799">
        <f t="shared" si="99"/>
        <v>2</v>
      </c>
      <c r="AH224" s="176">
        <f t="shared" si="94"/>
        <v>8</v>
      </c>
      <c r="AI224" s="224">
        <f t="shared" si="95"/>
        <v>2.4402900313025584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46233</v>
      </c>
      <c r="B225" s="409">
        <f>IF(t&gt;Tmaj,'2025'!Wh/'2025'!Env_an*'2026'!Env_an,0.001*[9]mois!$B$271)</f>
        <v>47.847672000597107</v>
      </c>
      <c r="C225" s="829"/>
      <c r="D225" s="391">
        <f t="shared" si="77"/>
        <v>50.424488898857767</v>
      </c>
      <c r="E225" s="383">
        <f t="shared" si="75"/>
        <v>51.485286251349905</v>
      </c>
      <c r="F225" s="383">
        <f t="shared" si="78"/>
        <v>51.485286251349905</v>
      </c>
      <c r="G225" s="110">
        <f t="shared" si="76"/>
        <v>0.87801492734352848</v>
      </c>
      <c r="H225" s="412" t="b">
        <f>Wh_hp&gt;='2025'!Maxi_hp</f>
        <v>1</v>
      </c>
      <c r="I225" s="388">
        <f>IF(H225,Wh_hp,'2025'!Maxi_hp)</f>
        <v>51.485286251349905</v>
      </c>
      <c r="J225" s="85">
        <f>IF(H225,An,'2025'!An_max)</f>
        <v>2026</v>
      </c>
      <c r="K225" s="197">
        <f t="shared" si="79"/>
        <v>46233</v>
      </c>
      <c r="L225" s="147">
        <f>IF(t&lt;Tvie,1-EXP((T0-t)*PertePVj)+'2025'!Pspv,1-EXP((T0-t)*PertePVj)+Pspv)</f>
        <v>5.1102489178011856E-2</v>
      </c>
      <c r="M225" s="832"/>
      <c r="N225" s="832"/>
      <c r="O225" s="48">
        <f>IF(t&lt;Tnet,'2025'!Resal+('2025'!Salim-'2025'!Resal)*(1-EXP(('2025'!Tnet-t)/('2025'!Tau_j))),Resal+(Salim-Resal)*(1-EXP((Tnet-t)/(Tau_j))))*Salcycl</f>
        <v>2.0603893456343052E-2</v>
      </c>
      <c r="P225" s="169">
        <f>(INDEX(Models!$BJ225:$BT225,,T225)*(1-R225)+INDEX(Models!$BJ225:$BT225,,T225+1)*R225-ERP_i)*Q225*Ramure*Pc/MaxiM</f>
        <v>0</v>
      </c>
      <c r="Q225" s="304">
        <f t="shared" si="80"/>
        <v>0.6</v>
      </c>
      <c r="R225" s="177">
        <f t="shared" si="81"/>
        <v>0.91740774847546236</v>
      </c>
      <c r="S225" s="799">
        <f t="shared" si="82"/>
        <v>-2</v>
      </c>
      <c r="T225" s="176">
        <f t="shared" si="83"/>
        <v>4</v>
      </c>
      <c r="U225" s="250">
        <f t="shared" si="84"/>
        <v>-1.0825922515245376</v>
      </c>
      <c r="V225" s="382">
        <f t="shared" si="85"/>
        <v>54.495283064676684</v>
      </c>
      <c r="W225" s="400">
        <f t="shared" si="86"/>
        <v>47.847672000597107</v>
      </c>
      <c r="X225" s="157">
        <f t="shared" si="87"/>
        <v>46233</v>
      </c>
      <c r="Y225" s="383">
        <f t="shared" si="88"/>
        <v>46.151400311099991</v>
      </c>
      <c r="Z225" s="383">
        <f t="shared" si="89"/>
        <v>48.636865188023378</v>
      </c>
      <c r="AA225" s="384">
        <f t="shared" si="90"/>
        <v>51.485286251349905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5.5324953413303499E-2</v>
      </c>
      <c r="AD225" s="230">
        <f>(INDEX(Models!$BJ225:$BT225,,AH225)*(1-AF225)+INDEX(Models!$BJ225:$BT225,,AH225+1)*AF225-ERP_i)*AE225*Ramure*Pc/MaxiM</f>
        <v>-1.9963849872836837E-20</v>
      </c>
      <c r="AE225" s="304">
        <f t="shared" si="92"/>
        <v>0.6</v>
      </c>
      <c r="AF225" s="177">
        <f t="shared" si="93"/>
        <v>0.44239531484944106</v>
      </c>
      <c r="AG225" s="799">
        <f t="shared" si="99"/>
        <v>2</v>
      </c>
      <c r="AH225" s="176">
        <f t="shared" si="94"/>
        <v>8</v>
      </c>
      <c r="AI225" s="224">
        <f t="shared" si="95"/>
        <v>2.4423953148494411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46234</v>
      </c>
      <c r="B226" s="409">
        <f>IF(t&gt;Tmaj,'2025'!Wh/'2025'!Env_an*'2026'!Env_an,0.001*[9]mois!$B$272)</f>
        <v>54.403989833882143</v>
      </c>
      <c r="C226" s="829"/>
      <c r="D226" s="391">
        <f t="shared" si="77"/>
        <v>57.334993372244618</v>
      </c>
      <c r="E226" s="383">
        <f t="shared" si="75"/>
        <v>58.548108667999671</v>
      </c>
      <c r="F226" s="383">
        <f t="shared" si="78"/>
        <v>58.548108667999671</v>
      </c>
      <c r="G226" s="110">
        <f t="shared" si="76"/>
        <v>1.00037872980777</v>
      </c>
      <c r="H226" s="412" t="b">
        <f>Wh_hp&gt;='2025'!Maxi_hp</f>
        <v>1</v>
      </c>
      <c r="I226" s="388">
        <f>IF(H226,Wh_hp,'2025'!Maxi_hp)</f>
        <v>58.548108667999671</v>
      </c>
      <c r="J226" s="85">
        <f>IF(H226,An,'2025'!An_max)</f>
        <v>2026</v>
      </c>
      <c r="K226" s="197">
        <f t="shared" si="79"/>
        <v>46234</v>
      </c>
      <c r="L226" s="147">
        <f>IF(t&lt;Tvie,1-EXP((T0-t)*PertePVj)+'2025'!Pspv,1-EXP((T0-t)*PertePVj)+Pspv)</f>
        <v>5.1120674582328385E-2</v>
      </c>
      <c r="M226" s="832"/>
      <c r="N226" s="832"/>
      <c r="O226" s="48">
        <f>IF(t&lt;Tnet,'2025'!Resal+('2025'!Salim-'2025'!Resal)*(1-EXP(('2025'!Tnet-t)/('2025'!Tau_j))),Resal+(Salim-Resal)*(1-EXP((Tnet-t)/(Tau_j))))*Salcycl</f>
        <v>2.0719974109396001E-2</v>
      </c>
      <c r="P226" s="169">
        <f>(INDEX(Models!$BJ226:$BT226,,T226)*(1-R226)+INDEX(Models!$BJ226:$BT226,,T226+1)*R226-ERP_i)*Q226*Ramure*Pc/MaxiM</f>
        <v>0</v>
      </c>
      <c r="Q226" s="304">
        <f t="shared" si="80"/>
        <v>0.6</v>
      </c>
      <c r="R226" s="177">
        <f t="shared" si="81"/>
        <v>0.91944721954093533</v>
      </c>
      <c r="S226" s="799">
        <f t="shared" si="82"/>
        <v>-2</v>
      </c>
      <c r="T226" s="176">
        <f t="shared" si="83"/>
        <v>4</v>
      </c>
      <c r="U226" s="250">
        <f t="shared" si="84"/>
        <v>-1.0805527804590647</v>
      </c>
      <c r="V226" s="382">
        <f t="shared" si="85"/>
        <v>54.383393221821365</v>
      </c>
      <c r="W226" s="400">
        <f t="shared" si="86"/>
        <v>54.403989833882143</v>
      </c>
      <c r="X226" s="157">
        <f t="shared" si="87"/>
        <v>46234</v>
      </c>
      <c r="Y226" s="383">
        <f t="shared" si="88"/>
        <v>52.477274701630328</v>
      </c>
      <c r="Z226" s="383">
        <f t="shared" si="89"/>
        <v>55.304476866466892</v>
      </c>
      <c r="AA226" s="384">
        <f t="shared" si="90"/>
        <v>58.548108667999671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5.5401137207112532E-2</v>
      </c>
      <c r="AD226" s="230">
        <f>(INDEX(Models!$BJ226:$BT226,,AH226)*(1-AF226)+INDEX(Models!$BJ226:$BT226,,AH226+1)*AF226-ERP_i)*AE226*Ramure*Pc/MaxiM</f>
        <v>0</v>
      </c>
      <c r="AE226" s="304">
        <f t="shared" si="92"/>
        <v>0.6</v>
      </c>
      <c r="AF226" s="177">
        <f t="shared" si="93"/>
        <v>0.44443478591491425</v>
      </c>
      <c r="AG226" s="799">
        <f t="shared" si="99"/>
        <v>2</v>
      </c>
      <c r="AH226" s="176">
        <f t="shared" si="94"/>
        <v>8</v>
      </c>
      <c r="AI226" s="224">
        <f t="shared" si="95"/>
        <v>2.4444347859149143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46235</v>
      </c>
      <c r="B227" s="409">
        <f>IF(t&gt;Tmaj,'2025'!Wh/'2025'!Env_an*'2026'!Env_an,0.001*'[10]mon-tableau (1)'!$B$242)</f>
        <v>54.052300372560701</v>
      </c>
      <c r="C227" s="829"/>
      <c r="D227" s="391">
        <f t="shared" si="77"/>
        <v>56.965448444802348</v>
      </c>
      <c r="E227" s="383">
        <f t="shared" si="75"/>
        <v>58.177629280464252</v>
      </c>
      <c r="F227" s="383">
        <f t="shared" si="78"/>
        <v>58.177629280464252</v>
      </c>
      <c r="G227" s="110">
        <f t="shared" si="76"/>
        <v>0.99598351824544618</v>
      </c>
      <c r="H227" s="412" t="b">
        <f>Wh_hp&gt;='2025'!Maxi_hp</f>
        <v>1</v>
      </c>
      <c r="I227" s="388">
        <f>IF(H227,Wh_hp,'2025'!Maxi_hp)</f>
        <v>58.177629280464252</v>
      </c>
      <c r="J227" s="85">
        <f>IF(H227,An,'2025'!An_max)</f>
        <v>2026</v>
      </c>
      <c r="K227" s="197">
        <f t="shared" si="79"/>
        <v>46235</v>
      </c>
      <c r="L227" s="147">
        <f>IF(t&lt;Tvie,1-EXP((T0-t)*PertePVj)+'2025'!Pspv,1-EXP((T0-t)*PertePVj)+Pspv)</f>
        <v>5.1138859638125922E-2</v>
      </c>
      <c r="M227" s="832"/>
      <c r="N227" s="832"/>
      <c r="O227" s="48">
        <f>IF(t&lt;Tnet,'2025'!Resal+('2025'!Salim-'2025'!Resal)*(1-EXP(('2025'!Tnet-t)/('2025'!Tau_j))),Resal+(Salim-Resal)*(1-EXP((Tnet-t)/(Tau_j))))*Salcycl</f>
        <v>2.0835858226848476E-2</v>
      </c>
      <c r="P227" s="169">
        <f>(INDEX(Models!$BJ227:$BT227,,T227)*(1-R227)+INDEX(Models!$BJ227:$BT227,,T227+1)*R227-ERP_i)*Q227*Ramure*Pc/MaxiM</f>
        <v>-2.0037036623249356E-20</v>
      </c>
      <c r="Q227" s="304">
        <f t="shared" si="80"/>
        <v>0.6</v>
      </c>
      <c r="R227" s="177">
        <f t="shared" si="81"/>
        <v>0.92142227426960455</v>
      </c>
      <c r="S227" s="799">
        <f t="shared" si="82"/>
        <v>-2</v>
      </c>
      <c r="T227" s="176">
        <f t="shared" si="83"/>
        <v>4</v>
      </c>
      <c r="U227" s="250">
        <f t="shared" si="84"/>
        <v>-1.0785777257303955</v>
      </c>
      <c r="V227" s="382">
        <f t="shared" si="85"/>
        <v>54.270275945711255</v>
      </c>
      <c r="W227" s="400">
        <f t="shared" si="86"/>
        <v>54.052300372560701</v>
      </c>
      <c r="X227" s="157">
        <f t="shared" si="87"/>
        <v>46235</v>
      </c>
      <c r="Y227" s="383">
        <f t="shared" si="88"/>
        <v>52.14001932216177</v>
      </c>
      <c r="Z227" s="383">
        <f t="shared" si="89"/>
        <v>54.950105030412303</v>
      </c>
      <c r="AA227" s="384">
        <f t="shared" si="90"/>
        <v>58.177629280464252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5.5477067215864311E-2</v>
      </c>
      <c r="AD227" s="230">
        <f>(INDEX(Models!$BJ227:$BT227,,AH227)*(1-AF227)+INDEX(Models!$BJ227:$BT227,,AH227+1)*AF227-ERP_i)*AE227*Ramure*Pc/MaxiM</f>
        <v>0</v>
      </c>
      <c r="AE227" s="304">
        <f t="shared" si="92"/>
        <v>0.6</v>
      </c>
      <c r="AF227" s="177">
        <f t="shared" si="93"/>
        <v>0.44640984064358324</v>
      </c>
      <c r="AG227" s="799">
        <f t="shared" si="99"/>
        <v>2</v>
      </c>
      <c r="AH227" s="176">
        <f t="shared" si="94"/>
        <v>8</v>
      </c>
      <c r="AI227" s="224">
        <f t="shared" si="95"/>
        <v>2.4464098406435832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46236</v>
      </c>
      <c r="B228" s="409">
        <f>IF(t&gt;Tmaj,'2025'!Wh/'2025'!Env_an*'2026'!Env_an,0.001*'[10]mon-tableau (1)'!$B$243)</f>
        <v>54.121992658586549</v>
      </c>
      <c r="C228" s="829"/>
      <c r="D228" s="391">
        <f t="shared" si="77"/>
        <v>57.039989954131869</v>
      </c>
      <c r="E228" s="383">
        <f t="shared" si="75"/>
        <v>58.260640586923586</v>
      </c>
      <c r="F228" s="383">
        <f t="shared" si="78"/>
        <v>58.260640586923586</v>
      </c>
      <c r="G228" s="110">
        <f t="shared" si="76"/>
        <v>0.99937515778508623</v>
      </c>
      <c r="H228" s="412" t="b">
        <f>Wh_hp&gt;='2025'!Maxi_hp</f>
        <v>1</v>
      </c>
      <c r="I228" s="388">
        <f>IF(H228,Wh_hp,'2025'!Maxi_hp)</f>
        <v>58.260640586923586</v>
      </c>
      <c r="J228" s="85">
        <f>IF(H228,An,'2025'!An_max)</f>
        <v>2026</v>
      </c>
      <c r="K228" s="197">
        <f t="shared" si="79"/>
        <v>46236</v>
      </c>
      <c r="L228" s="147">
        <f>IF(t&lt;Tvie,1-EXP((T0-t)*PertePVj)+'2025'!Pspv,1-EXP((T0-t)*PertePVj)+Pspv)</f>
        <v>5.1157044345410907E-2</v>
      </c>
      <c r="M228" s="832"/>
      <c r="N228" s="832"/>
      <c r="O228" s="48">
        <f>IF(t&lt;Tnet,'2025'!Resal+('2025'!Salim-'2025'!Resal)*(1-EXP(('2025'!Tnet-t)/('2025'!Tau_j))),Resal+(Salim-Resal)*(1-EXP((Tnet-t)/(Tau_j))))*Salcycl</f>
        <v>2.0951548429518792E-2</v>
      </c>
      <c r="P228" s="169">
        <f>(INDEX(Models!$BJ228:$BT228,,T228)*(1-R228)+INDEX(Models!$BJ228:$BT228,,T228+1)*R228-ERP_i)*Q228*Ramure*Pc/MaxiM</f>
        <v>0</v>
      </c>
      <c r="Q228" s="304">
        <f t="shared" si="80"/>
        <v>0.6</v>
      </c>
      <c r="R228" s="177">
        <f t="shared" si="81"/>
        <v>0.92333432735424137</v>
      </c>
      <c r="S228" s="799">
        <f t="shared" si="82"/>
        <v>-2</v>
      </c>
      <c r="T228" s="176">
        <f t="shared" si="83"/>
        <v>4</v>
      </c>
      <c r="U228" s="250">
        <f t="shared" si="84"/>
        <v>-1.0766656726457586</v>
      </c>
      <c r="V228" s="382">
        <f t="shared" si="85"/>
        <v>54.1558315082967</v>
      </c>
      <c r="W228" s="400">
        <f t="shared" si="86"/>
        <v>54.121992658586549</v>
      </c>
      <c r="X228" s="157">
        <f t="shared" si="87"/>
        <v>46236</v>
      </c>
      <c r="Y228" s="383">
        <f t="shared" si="88"/>
        <v>52.209231251947934</v>
      </c>
      <c r="Z228" s="383">
        <f t="shared" si="89"/>
        <v>55.024101660669189</v>
      </c>
      <c r="AA228" s="384">
        <f t="shared" si="90"/>
        <v>58.260640586923586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5.5552752143628613E-2</v>
      </c>
      <c r="AD228" s="230">
        <f>(INDEX(Models!$BJ228:$BT228,,AH228)*(1-AF228)+INDEX(Models!$BJ228:$BT228,,AH228+1)*AF228-ERP_i)*AE228*Ramure*Pc/MaxiM</f>
        <v>0</v>
      </c>
      <c r="AE228" s="304">
        <f t="shared" si="92"/>
        <v>0.6</v>
      </c>
      <c r="AF228" s="177">
        <f t="shared" si="93"/>
        <v>0.44832189372822029</v>
      </c>
      <c r="AG228" s="799">
        <f t="shared" si="99"/>
        <v>2</v>
      </c>
      <c r="AH228" s="176">
        <f t="shared" si="94"/>
        <v>8</v>
      </c>
      <c r="AI228" s="224">
        <f t="shared" si="95"/>
        <v>2.4483218937282203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46237</v>
      </c>
      <c r="B229" s="409">
        <f>IF(t&gt;Tmaj,'2025'!Wh/'2025'!Env_an*'2026'!Env_an,0.001*'[10]mon-tableau (1)'!$B$244)</f>
        <v>53.484612030262348</v>
      </c>
      <c r="C229" s="829"/>
      <c r="D229" s="391">
        <f t="shared" si="77"/>
        <v>56.369325135997897</v>
      </c>
      <c r="E229" s="383">
        <f t="shared" si="75"/>
        <v>57.582416608335059</v>
      </c>
      <c r="F229" s="383">
        <f t="shared" si="78"/>
        <v>57.582416608335059</v>
      </c>
      <c r="G229" s="110">
        <f t="shared" si="76"/>
        <v>0.98972337826311496</v>
      </c>
      <c r="H229" s="412" t="b">
        <f>Wh_hp&gt;='2025'!Maxi_hp</f>
        <v>1</v>
      </c>
      <c r="I229" s="388">
        <f>IF(H229,Wh_hp,'2025'!Maxi_hp)</f>
        <v>57.582416608335059</v>
      </c>
      <c r="J229" s="85">
        <f>IF(H229,An,'2025'!An_max)</f>
        <v>2026</v>
      </c>
      <c r="K229" s="197">
        <f t="shared" si="79"/>
        <v>46237</v>
      </c>
      <c r="L229" s="147">
        <f>IF(t&lt;Tvie,1-EXP((T0-t)*PertePVj)+'2025'!Pspv,1-EXP((T0-t)*PertePVj)+Pspv)</f>
        <v>5.1175228704190223E-2</v>
      </c>
      <c r="M229" s="832"/>
      <c r="N229" s="832"/>
      <c r="O229" s="48">
        <f>IF(t&lt;Tnet,'2025'!Resal+('2025'!Salim-'2025'!Resal)*(1-EXP(('2025'!Tnet-t)/('2025'!Tau_j))),Resal+(Salim-Resal)*(1-EXP((Tnet-t)/(Tau_j))))*Salcycl</f>
        <v>2.1067046917957341E-2</v>
      </c>
      <c r="P229" s="169">
        <f>(INDEX(Models!$BJ229:$BT229,,T229)*(1-R229)+INDEX(Models!$BJ229:$BT229,,T229+1)*R229-ERP_i)*Q229*Ramure*Pc/MaxiM</f>
        <v>2.0110447724120251E-20</v>
      </c>
      <c r="Q229" s="304">
        <f t="shared" si="80"/>
        <v>0.6</v>
      </c>
      <c r="R229" s="177">
        <f t="shared" si="81"/>
        <v>0.92518480767696443</v>
      </c>
      <c r="S229" s="799">
        <f t="shared" si="82"/>
        <v>-2</v>
      </c>
      <c r="T229" s="176">
        <f t="shared" si="83"/>
        <v>4</v>
      </c>
      <c r="U229" s="250">
        <f t="shared" si="84"/>
        <v>-1.0748151923230356</v>
      </c>
      <c r="V229" s="382">
        <f t="shared" si="85"/>
        <v>54.039960260536176</v>
      </c>
      <c r="W229" s="400">
        <f t="shared" si="86"/>
        <v>53.484612030262348</v>
      </c>
      <c r="X229" s="157">
        <f t="shared" si="87"/>
        <v>46237</v>
      </c>
      <c r="Y229" s="383">
        <f t="shared" si="88"/>
        <v>51.596341922035556</v>
      </c>
      <c r="Z229" s="383">
        <f t="shared" si="89"/>
        <v>54.379210453760017</v>
      </c>
      <c r="AA229" s="384">
        <f t="shared" si="90"/>
        <v>57.582416608335059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5.5628199426964925E-2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0.4501723740509429</v>
      </c>
      <c r="AG229" s="799">
        <f t="shared" si="99"/>
        <v>2</v>
      </c>
      <c r="AH229" s="176">
        <f t="shared" si="94"/>
        <v>8</v>
      </c>
      <c r="AI229" s="224">
        <f t="shared" si="95"/>
        <v>2.4501723740509429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46238</v>
      </c>
      <c r="B230" s="409">
        <f>IF(t&gt;Tmaj,'2025'!Wh/'2025'!Env_an*'2026'!Env_an,0.001*'[10]mon-tableau (1)'!$B$245)</f>
        <v>51.979455977802097</v>
      </c>
      <c r="C230" s="829"/>
      <c r="D230" s="391">
        <f t="shared" si="77"/>
        <v>54.784037836954461</v>
      </c>
      <c r="E230" s="383">
        <f t="shared" si="75"/>
        <v>55.96960592532713</v>
      </c>
      <c r="F230" s="383">
        <f t="shared" si="78"/>
        <v>55.96960592532713</v>
      </c>
      <c r="G230" s="110">
        <f t="shared" si="76"/>
        <v>0.9639648681948243</v>
      </c>
      <c r="H230" s="412" t="b">
        <f>Wh_hp&gt;='2025'!Maxi_hp</f>
        <v>1</v>
      </c>
      <c r="I230" s="388">
        <f>IF(H230,Wh_hp,'2025'!Maxi_hp)</f>
        <v>55.96960592532713</v>
      </c>
      <c r="J230" s="85">
        <f>IF(H230,An,'2025'!An_max)</f>
        <v>2026</v>
      </c>
      <c r="K230" s="197">
        <f t="shared" si="79"/>
        <v>46238</v>
      </c>
      <c r="L230" s="147">
        <f>IF(t&lt;Tvie,1-EXP((T0-t)*PertePVj)+'2025'!Pspv,1-EXP((T0-t)*PertePVj)+Pspv)</f>
        <v>5.119341271447031E-2</v>
      </c>
      <c r="M230" s="832"/>
      <c r="N230" s="832"/>
      <c r="O230" s="48">
        <f>IF(t&lt;Tnet,'2025'!Resal+('2025'!Salim-'2025'!Resal)*(1-EXP(('2025'!Tnet-t)/('2025'!Tau_j))),Resal+(Salim-Resal)*(1-EXP((Tnet-t)/(Tau_j))))*Salcycl</f>
        <v>2.1182355472618805E-2</v>
      </c>
      <c r="P230" s="169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0.92697515421164112</v>
      </c>
      <c r="S230" s="799">
        <f t="shared" si="82"/>
        <v>-2</v>
      </c>
      <c r="T230" s="176">
        <f t="shared" si="83"/>
        <v>4</v>
      </c>
      <c r="U230" s="250">
        <f t="shared" si="84"/>
        <v>-1.0730248457883589</v>
      </c>
      <c r="V230" s="382">
        <f t="shared" si="85"/>
        <v>53.922562629426309</v>
      </c>
      <c r="W230" s="400">
        <f t="shared" si="86"/>
        <v>51.979455977802097</v>
      </c>
      <c r="X230" s="157">
        <f t="shared" si="87"/>
        <v>46238</v>
      </c>
      <c r="Y230" s="383">
        <f t="shared" si="88"/>
        <v>50.146238199488593</v>
      </c>
      <c r="Z230" s="383">
        <f t="shared" si="89"/>
        <v>52.851907724369333</v>
      </c>
      <c r="AA230" s="384">
        <f t="shared" si="90"/>
        <v>55.96960592532713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5.5703415262871897E-2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0.45196272058562004</v>
      </c>
      <c r="AG230" s="799">
        <f t="shared" si="99"/>
        <v>2</v>
      </c>
      <c r="AH230" s="176">
        <f t="shared" si="94"/>
        <v>8</v>
      </c>
      <c r="AI230" s="224">
        <f t="shared" si="95"/>
        <v>2.45196272058562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46239</v>
      </c>
      <c r="B231" s="409">
        <f>IF(t&gt;Tmaj,'2025'!Wh/'2025'!Env_an*'2026'!Env_an,0.001*'[10]mon-tableau (1)'!$B$246)</f>
        <v>42.825043350016834</v>
      </c>
      <c r="C231" s="829"/>
      <c r="D231" s="391">
        <f t="shared" si="77"/>
        <v>45.13655856928014</v>
      </c>
      <c r="E231" s="383">
        <f t="shared" si="75"/>
        <v>46.118771983715554</v>
      </c>
      <c r="F231" s="383">
        <f t="shared" si="78"/>
        <v>46.118771983715554</v>
      </c>
      <c r="G231" s="110">
        <f t="shared" si="76"/>
        <v>0.79595216320881057</v>
      </c>
      <c r="H231" s="412" t="b">
        <f>Wh_hp&gt;='2025'!Maxi_hp</f>
        <v>0</v>
      </c>
      <c r="I231" s="388">
        <f>IF(H231,Wh_hp,'2025'!Maxi_hp)</f>
        <v>54.752335956396053</v>
      </c>
      <c r="J231" s="85">
        <f>IF(H231,An,'2025'!An_max)</f>
        <v>2020</v>
      </c>
      <c r="K231" s="197">
        <f t="shared" si="79"/>
        <v>46239</v>
      </c>
      <c r="L231" s="147">
        <f>IF(t&lt;Tvie,1-EXP((T0-t)*PertePVj)+'2025'!Pspv,1-EXP((T0-t)*PertePVj)+Pspv)</f>
        <v>5.1211596376258051E-2</v>
      </c>
      <c r="M231" s="832"/>
      <c r="N231" s="832"/>
      <c r="O231" s="48">
        <f>IF(t&lt;Tnet,'2025'!Resal+('2025'!Salim-'2025'!Resal)*(1-EXP(('2025'!Tnet-t)/('2025'!Tau_j))),Resal+(Salim-Resal)*(1-EXP((Tnet-t)/(Tau_j))))*Salcycl</f>
        <v>2.1297475457113867E-2</v>
      </c>
      <c r="P231" s="169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0.9287068121852835</v>
      </c>
      <c r="S231" s="799">
        <f t="shared" si="82"/>
        <v>-2</v>
      </c>
      <c r="T231" s="176">
        <f t="shared" si="83"/>
        <v>4</v>
      </c>
      <c r="U231" s="250">
        <f t="shared" si="84"/>
        <v>-1.0712931878147165</v>
      </c>
      <c r="V231" s="382">
        <f t="shared" si="85"/>
        <v>53.803539118948393</v>
      </c>
      <c r="W231" s="400">
        <f t="shared" si="86"/>
        <v>42.825043350016834</v>
      </c>
      <c r="X231" s="157">
        <f t="shared" si="87"/>
        <v>46239</v>
      </c>
      <c r="Y231" s="383">
        <f t="shared" si="88"/>
        <v>41.316262847117372</v>
      </c>
      <c r="Z231" s="383">
        <f t="shared" si="89"/>
        <v>43.546340458332615</v>
      </c>
      <c r="AA231" s="384">
        <f t="shared" si="90"/>
        <v>46.118771983715554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5.5778404643802251E-2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0.4536943785592622</v>
      </c>
      <c r="AG231" s="799">
        <f t="shared" si="99"/>
        <v>2</v>
      </c>
      <c r="AH231" s="176">
        <f t="shared" si="94"/>
        <v>8</v>
      </c>
      <c r="AI231" s="224">
        <f t="shared" si="95"/>
        <v>2.4536943785592622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46240</v>
      </c>
      <c r="B232" s="409">
        <f>IF(t&gt;Tmaj,'2025'!Wh/'2025'!Env_an*'2026'!Env_an,0.001*'[10]mon-tableau (1)'!$B$247)</f>
        <v>50.4183366542456</v>
      </c>
      <c r="C232" s="829"/>
      <c r="D232" s="391">
        <f t="shared" si="77"/>
        <v>53.140724250123071</v>
      </c>
      <c r="E232" s="383">
        <f t="shared" si="75"/>
        <v>54.303492783895862</v>
      </c>
      <c r="F232" s="383">
        <f t="shared" si="78"/>
        <v>54.303492783895862</v>
      </c>
      <c r="G232" s="110">
        <f t="shared" si="76"/>
        <v>0.93918994082779916</v>
      </c>
      <c r="H232" s="412" t="b">
        <f>Wh_hp&gt;='2025'!Maxi_hp</f>
        <v>0</v>
      </c>
      <c r="I232" s="388">
        <f>IF(H232,Wh_hp,'2025'!Maxi_hp)</f>
        <v>57.804553829679008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5.1229779689560107E-2</v>
      </c>
      <c r="M232" s="832"/>
      <c r="N232" s="832"/>
      <c r="O232" s="48">
        <f>IF(t&lt;Tnet,'2025'!Resal+('2025'!Salim-'2025'!Resal)*(1-EXP(('2025'!Tnet-t)/('2025'!Tau_j))),Resal+(Salim-Resal)*(1-EXP((Tnet-t)/(Tau_j))))*Salcycl</f>
        <v>2.1412407824301507E-2</v>
      </c>
      <c r="P232" s="169">
        <f>(INDEX(Models!$BJ232:$BT232,,T232)*(1-R232)+INDEX(Models!$BJ232:$BT232,,T232+1)*R232-ERP_i)*Q232*Ramure*Pc/MaxiM</f>
        <v>2.0222169659332926E-20</v>
      </c>
      <c r="Q232" s="304">
        <f t="shared" si="80"/>
        <v>0.6</v>
      </c>
      <c r="R232" s="177">
        <f t="shared" si="81"/>
        <v>0.93038122949481505</v>
      </c>
      <c r="S232" s="799">
        <f t="shared" si="82"/>
        <v>-2</v>
      </c>
      <c r="T232" s="176">
        <f t="shared" si="83"/>
        <v>4</v>
      </c>
      <c r="U232" s="250">
        <f t="shared" si="84"/>
        <v>-1.0696187705051849</v>
      </c>
      <c r="V232" s="382">
        <f t="shared" si="85"/>
        <v>53.682790309494827</v>
      </c>
      <c r="W232" s="400">
        <f t="shared" si="86"/>
        <v>50.4183366542456</v>
      </c>
      <c r="X232" s="157">
        <f t="shared" si="87"/>
        <v>46240</v>
      </c>
      <c r="Y232" s="383">
        <f t="shared" si="88"/>
        <v>48.643895585894768</v>
      </c>
      <c r="Z232" s="383">
        <f t="shared" si="89"/>
        <v>51.270470493876132</v>
      </c>
      <c r="AA232" s="384">
        <f t="shared" si="90"/>
        <v>54.303492783895862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5.5853171398934254E-2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0.45536879586879397</v>
      </c>
      <c r="AG232" s="799">
        <f t="shared" si="99"/>
        <v>2</v>
      </c>
      <c r="AH232" s="176">
        <f t="shared" si="94"/>
        <v>8</v>
      </c>
      <c r="AI232" s="224">
        <f t="shared" si="95"/>
        <v>2.455368795868794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46241</v>
      </c>
      <c r="B233" s="409">
        <f>IF(t&gt;Tmaj,'2025'!Wh/'2025'!Env_an*'2026'!Env_an,0.001*'[10]mon-tableau (1)'!$B$248)</f>
        <v>52.850213415269778</v>
      </c>
      <c r="C233" s="829"/>
      <c r="D233" s="391">
        <f t="shared" si="77"/>
        <v>55.704980158073901</v>
      </c>
      <c r="E233" s="383">
        <f t="shared" ref="E233:E296" si="100">Wh_pvt/(1-Psa)</f>
        <v>56.930532447557674</v>
      </c>
      <c r="F233" s="383">
        <f t="shared" si="78"/>
        <v>56.930532447557674</v>
      </c>
      <c r="G233" s="110">
        <f t="shared" ref="G233:G296" si="101">+Wh_hp/MaxiM</f>
        <v>0.98674321419123134</v>
      </c>
      <c r="H233" s="412" t="b">
        <f>Wh_hp&gt;='2025'!Maxi_hp</f>
        <v>1</v>
      </c>
      <c r="I233" s="388">
        <f>IF(H233,Wh_hp,'2025'!Maxi_hp)</f>
        <v>56.930532447557674</v>
      </c>
      <c r="J233" s="85">
        <f>IF(H233,An,'2025'!An_max)</f>
        <v>2026</v>
      </c>
      <c r="K233" s="197">
        <f t="shared" si="79"/>
        <v>46241</v>
      </c>
      <c r="L233" s="147">
        <f>IF(t&lt;Tvie,1-EXP((T0-t)*PertePVj)+'2025'!Pspv,1-EXP((T0-t)*PertePVj)+Pspv)</f>
        <v>5.1247962654383139E-2</v>
      </c>
      <c r="M233" s="832"/>
      <c r="N233" s="832"/>
      <c r="O233" s="48">
        <f>IF(t&lt;Tnet,'2025'!Resal+('2025'!Salim-'2025'!Resal)*(1-EXP(('2025'!Tnet-t)/('2025'!Tau_j))),Resal+(Salim-Resal)*(1-EXP((Tnet-t)/(Tau_j))))*Salcycl</f>
        <v>2.1527153124954665E-2</v>
      </c>
      <c r="P233" s="169">
        <f>(INDEX(Models!$BJ233:$BT233,,T233)*(1-R233)+INDEX(Models!$BJ233:$BT233,,T233+1)*R233-ERP_i)*Q233*Ramure*Pc/MaxiM</f>
        <v>-2.0260065904759956E-20</v>
      </c>
      <c r="Q233" s="304">
        <f t="shared" si="80"/>
        <v>0.6</v>
      </c>
      <c r="R233" s="177">
        <f t="shared" si="81"/>
        <v>0.93199985337437852</v>
      </c>
      <c r="S233" s="799">
        <f t="shared" si="82"/>
        <v>-2</v>
      </c>
      <c r="T233" s="176">
        <f t="shared" si="83"/>
        <v>4</v>
      </c>
      <c r="U233" s="250">
        <f t="shared" si="84"/>
        <v>-1.0680001466256215</v>
      </c>
      <c r="V233" s="382">
        <f t="shared" si="85"/>
        <v>53.56025017976701</v>
      </c>
      <c r="W233" s="400">
        <f t="shared" si="86"/>
        <v>52.850213415269778</v>
      </c>
      <c r="X233" s="157">
        <f t="shared" si="87"/>
        <v>46241</v>
      </c>
      <c r="Y233" s="383">
        <f t="shared" si="88"/>
        <v>50.992137114238915</v>
      </c>
      <c r="Z233" s="383">
        <f t="shared" si="89"/>
        <v>53.746537669529353</v>
      </c>
      <c r="AA233" s="384">
        <f t="shared" si="90"/>
        <v>56.930532447557674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5.592771824084547E-2</v>
      </c>
      <c r="AD233" s="230">
        <f>(INDEX(Models!$BJ233:$BT233,,AH233)*(1-AF233)+INDEX(Models!$BJ233:$BT233,,AH233+1)*AF233-ERP_i)*AE233*Ramure*Pc/MaxiM</f>
        <v>0</v>
      </c>
      <c r="AE233" s="304">
        <f t="shared" si="92"/>
        <v>0.6</v>
      </c>
      <c r="AF233" s="177">
        <f t="shared" si="93"/>
        <v>0.45698741974835722</v>
      </c>
      <c r="AG233" s="799">
        <f t="shared" si="99"/>
        <v>2</v>
      </c>
      <c r="AH233" s="176">
        <f t="shared" si="94"/>
        <v>8</v>
      </c>
      <c r="AI233" s="224">
        <f t="shared" si="95"/>
        <v>2.4569874197483572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46242</v>
      </c>
      <c r="B234" s="409">
        <f>IF(t&gt;Tmaj,'2025'!Wh/'2025'!Env_an*'2026'!Env_an,0.001*'[10]mon-tableau (1)'!$B$249)</f>
        <v>53.597844485657397</v>
      </c>
      <c r="C234" s="829"/>
      <c r="D234" s="391">
        <f t="shared" si="77"/>
        <v>56.494078100493468</v>
      </c>
      <c r="E234" s="383">
        <f t="shared" si="100"/>
        <v>57.743751717164187</v>
      </c>
      <c r="F234" s="383">
        <f t="shared" si="78"/>
        <v>57.743751717164187</v>
      </c>
      <c r="G234" s="110">
        <f t="shared" si="101"/>
        <v>1.0030290157698138</v>
      </c>
      <c r="H234" s="412" t="b">
        <f>Wh_hp&gt;='2025'!Maxi_hp</f>
        <v>1</v>
      </c>
      <c r="I234" s="388">
        <f>IF(H234,Wh_hp,'2025'!Maxi_hp)</f>
        <v>57.743751717164187</v>
      </c>
      <c r="J234" s="85">
        <f>IF(H234,An,'2025'!An_max)</f>
        <v>2026</v>
      </c>
      <c r="K234" s="197">
        <f t="shared" si="79"/>
        <v>46242</v>
      </c>
      <c r="L234" s="147">
        <f>IF(t&lt;Tvie,1-EXP((T0-t)*PertePVj)+'2025'!Pspv,1-EXP((T0-t)*PertePVj)+Pspv)</f>
        <v>5.1266145270733698E-2</v>
      </c>
      <c r="M234" s="832"/>
      <c r="N234" s="832"/>
      <c r="O234" s="48">
        <f>IF(t&lt;Tnet,'2025'!Resal+('2025'!Salim-'2025'!Resal)*(1-EXP(('2025'!Tnet-t)/('2025'!Tau_j))),Resal+(Salim-Resal)*(1-EXP((Tnet-t)/(Tau_j))))*Salcycl</f>
        <v>2.1641711518707182E-2</v>
      </c>
      <c r="P234" s="169">
        <f>(INDEX(Models!$BJ234:$BT234,,T234)*(1-R234)+INDEX(Models!$BJ234:$BT234,,T234+1)*R234-ERP_i)*Q234*Ramure*Pc/MaxiM</f>
        <v>0</v>
      </c>
      <c r="Q234" s="304">
        <f t="shared" si="80"/>
        <v>0.6</v>
      </c>
      <c r="R234" s="177">
        <f t="shared" si="81"/>
        <v>0.9335641273073001</v>
      </c>
      <c r="S234" s="799">
        <f t="shared" si="82"/>
        <v>-2</v>
      </c>
      <c r="T234" s="176">
        <f t="shared" si="83"/>
        <v>4</v>
      </c>
      <c r="U234" s="250">
        <f t="shared" si="84"/>
        <v>-1.0664358726926999</v>
      </c>
      <c r="V234" s="382">
        <f t="shared" si="85"/>
        <v>53.435986041262858</v>
      </c>
      <c r="W234" s="400">
        <f t="shared" si="86"/>
        <v>53.597844485657397</v>
      </c>
      <c r="X234" s="157">
        <f t="shared" si="87"/>
        <v>46242</v>
      </c>
      <c r="Y234" s="383">
        <f t="shared" si="88"/>
        <v>51.715466700893465</v>
      </c>
      <c r="Z234" s="383">
        <f t="shared" si="89"/>
        <v>54.509983430127676</v>
      </c>
      <c r="AA234" s="384">
        <f t="shared" si="90"/>
        <v>57.743751717164187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5.600204681669977E-2</v>
      </c>
      <c r="AD234" s="230">
        <f>(INDEX(Models!$BJ234:$BT234,,AH234)*(1-AF234)+INDEX(Models!$BJ234:$BT234,,AH234+1)*AF234-ERP_i)*AE234*Ramure*Pc/MaxiM</f>
        <v>0</v>
      </c>
      <c r="AE234" s="304">
        <f t="shared" si="92"/>
        <v>0.6</v>
      </c>
      <c r="AF234" s="177">
        <f t="shared" si="93"/>
        <v>0.45855169368127902</v>
      </c>
      <c r="AG234" s="799">
        <f t="shared" si="99"/>
        <v>2</v>
      </c>
      <c r="AH234" s="176">
        <f t="shared" si="94"/>
        <v>8</v>
      </c>
      <c r="AI234" s="224">
        <f t="shared" si="95"/>
        <v>2.458551693681279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46243</v>
      </c>
      <c r="B235" s="409">
        <f>IF(t&gt;Tmaj,'2025'!Wh/'2025'!Env_an*'2026'!Env_an,0.001*'[10]mon-tableau (1)'!$B$250)</f>
        <v>51.470307639215989</v>
      </c>
      <c r="C235" s="829"/>
      <c r="D235" s="391">
        <f t="shared" si="77"/>
        <v>54.252616598690324</v>
      </c>
      <c r="E235" s="383">
        <f t="shared" si="100"/>
        <v>55.459191357154914</v>
      </c>
      <c r="F235" s="383">
        <f t="shared" si="78"/>
        <v>55.459191357154914</v>
      </c>
      <c r="G235" s="110">
        <f t="shared" si="101"/>
        <v>0.96548888644004505</v>
      </c>
      <c r="H235" s="412" t="b">
        <f>Wh_hp&gt;='2025'!Maxi_hp</f>
        <v>0</v>
      </c>
      <c r="I235" s="388">
        <f>IF(H235,Wh_hp,'2025'!Maxi_hp)</f>
        <v>56.250511188466319</v>
      </c>
      <c r="J235" s="85">
        <f>IF(H235,An,'2025'!An_max)</f>
        <v>2021</v>
      </c>
      <c r="K235" s="197">
        <f t="shared" si="79"/>
        <v>46243</v>
      </c>
      <c r="L235" s="147">
        <f>IF(t&lt;Tvie,1-EXP((T0-t)*PertePVj)+'2025'!Pspv,1-EXP((T0-t)*PertePVj)+Pspv)</f>
        <v>5.1284327538618668E-2</v>
      </c>
      <c r="M235" s="832"/>
      <c r="N235" s="832"/>
      <c r="O235" s="48">
        <f>IF(t&lt;Tnet,'2025'!Resal+('2025'!Salim-'2025'!Resal)*(1-EXP(('2025'!Tnet-t)/('2025'!Tau_j))),Resal+(Salim-Resal)*(1-EXP((Tnet-t)/(Tau_j))))*Salcycl</f>
        <v>2.1756082786968525E-2</v>
      </c>
      <c r="P235" s="169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0.93507548817592845</v>
      </c>
      <c r="S235" s="799">
        <f t="shared" si="82"/>
        <v>-2</v>
      </c>
      <c r="T235" s="176">
        <f t="shared" si="83"/>
        <v>4</v>
      </c>
      <c r="U235" s="250">
        <f t="shared" si="84"/>
        <v>-1.0649245118240716</v>
      </c>
      <c r="V235" s="382">
        <f t="shared" si="85"/>
        <v>53.310098502529151</v>
      </c>
      <c r="W235" s="400">
        <f t="shared" si="86"/>
        <v>51.470307639215989</v>
      </c>
      <c r="X235" s="157">
        <f t="shared" si="87"/>
        <v>46243</v>
      </c>
      <c r="Y235" s="383">
        <f t="shared" si="88"/>
        <v>49.664556756295489</v>
      </c>
      <c r="Z235" s="383">
        <f t="shared" si="89"/>
        <v>52.349252993200814</v>
      </c>
      <c r="AA235" s="384">
        <f t="shared" si="90"/>
        <v>55.459191357154914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5.607615776303379E-2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0.46006305454990715</v>
      </c>
      <c r="AG235" s="799">
        <f t="shared" si="99"/>
        <v>2</v>
      </c>
      <c r="AH235" s="176">
        <f t="shared" si="94"/>
        <v>8</v>
      </c>
      <c r="AI235" s="224">
        <f t="shared" si="95"/>
        <v>2.4600630545499071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46244</v>
      </c>
      <c r="B236" s="409">
        <f>IF(t&gt;Tmaj,'2025'!Wh/'2025'!Env_an*'2026'!Env_an,0.001*'[10]mon-tableau (1)'!$B$251)</f>
        <v>49.573394171352199</v>
      </c>
      <c r="C236" s="829"/>
      <c r="D236" s="391">
        <f t="shared" si="77"/>
        <v>52.254163909543777</v>
      </c>
      <c r="E236" s="383">
        <f t="shared" si="100"/>
        <v>53.422528844324901</v>
      </c>
      <c r="F236" s="383">
        <f t="shared" si="78"/>
        <v>53.422528844324901</v>
      </c>
      <c r="G236" s="110">
        <f t="shared" si="101"/>
        <v>0.93213404417001011</v>
      </c>
      <c r="H236" s="412" t="b">
        <f>Wh_hp&gt;='2025'!Maxi_hp</f>
        <v>0</v>
      </c>
      <c r="I236" s="388">
        <f>IF(H236,Wh_hp,'2025'!Maxi_hp)</f>
        <v>54.321267794225101</v>
      </c>
      <c r="J236" s="85">
        <f>IF(H236,An,'2025'!An_max)</f>
        <v>2021</v>
      </c>
      <c r="K236" s="197">
        <f t="shared" si="79"/>
        <v>46244</v>
      </c>
      <c r="L236" s="147">
        <f>IF(t&lt;Tvie,1-EXP((T0-t)*PertePVj)+'2025'!Pspv,1-EXP((T0-t)*PertePVj)+Pspv)</f>
        <v>5.1302509458044487E-2</v>
      </c>
      <c r="M236" s="832"/>
      <c r="N236" s="832"/>
      <c r="O236" s="48">
        <f>IF(t&lt;Tnet,'2025'!Resal+('2025'!Salim-'2025'!Resal)*(1-EXP(('2025'!Tnet-t)/('2025'!Tau_j))),Resal+(Salim-Resal)*(1-EXP((Tnet-t)/(Tau_j))))*Salcycl</f>
        <v>2.1870266347476328E-2</v>
      </c>
      <c r="P236" s="169">
        <f>(INDEX(Models!$BJ236:$BT236,,T236)*(1-R236)+INDEX(Models!$BJ236:$BT236,,T236+1)*R236-ERP_i)*Q236*Ramure*Pc/MaxiM</f>
        <v>0</v>
      </c>
      <c r="Q236" s="304">
        <f t="shared" si="80"/>
        <v>0.6</v>
      </c>
      <c r="R236" s="177">
        <f t="shared" si="81"/>
        <v>0.93653536364182566</v>
      </c>
      <c r="S236" s="799">
        <f t="shared" si="82"/>
        <v>-2</v>
      </c>
      <c r="T236" s="176">
        <f t="shared" si="83"/>
        <v>4</v>
      </c>
      <c r="U236" s="250">
        <f t="shared" si="84"/>
        <v>-1.0634646363581743</v>
      </c>
      <c r="V236" s="382">
        <f t="shared" si="85"/>
        <v>53.18268813525988</v>
      </c>
      <c r="W236" s="400">
        <f t="shared" si="86"/>
        <v>49.573394171352199</v>
      </c>
      <c r="X236" s="157">
        <f t="shared" si="87"/>
        <v>46244</v>
      </c>
      <c r="Y236" s="383">
        <f t="shared" si="88"/>
        <v>47.836032340417248</v>
      </c>
      <c r="Z236" s="383">
        <f t="shared" si="89"/>
        <v>50.422851137816657</v>
      </c>
      <c r="AA236" s="384">
        <f t="shared" si="90"/>
        <v>53.422528844324901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5.6150050763216552E-2</v>
      </c>
      <c r="AD236" s="230">
        <f>(INDEX(Models!$BJ236:$BT236,,AH236)*(1-AF236)+INDEX(Models!$BJ236:$BT236,,AH236+1)*AF236-ERP_i)*AE236*Ramure*Pc/MaxiM</f>
        <v>0</v>
      </c>
      <c r="AE236" s="304">
        <f t="shared" si="92"/>
        <v>0.6</v>
      </c>
      <c r="AF236" s="177">
        <f t="shared" si="93"/>
        <v>0.46152293001580436</v>
      </c>
      <c r="AG236" s="799">
        <f t="shared" si="99"/>
        <v>2</v>
      </c>
      <c r="AH236" s="176">
        <f t="shared" si="94"/>
        <v>8</v>
      </c>
      <c r="AI236" s="224">
        <f t="shared" si="95"/>
        <v>2.4615229300158044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46245</v>
      </c>
      <c r="B237" s="409">
        <f>IF(t&gt;Tmaj,'2025'!Wh/'2025'!Env_an*'2026'!Env_an,0.001*'[10]mon-tableau (1)'!$B$252)</f>
        <v>48.056198228057582</v>
      </c>
      <c r="C237" s="829"/>
      <c r="D237" s="391">
        <f t="shared" si="77"/>
        <v>50.655893697295255</v>
      </c>
      <c r="E237" s="383">
        <f t="shared" si="100"/>
        <v>51.794558810558392</v>
      </c>
      <c r="F237" s="383">
        <f t="shared" si="78"/>
        <v>51.794558810558392</v>
      </c>
      <c r="G237" s="110">
        <f t="shared" si="101"/>
        <v>0.90580030045709481</v>
      </c>
      <c r="H237" s="412" t="b">
        <f>Wh_hp&gt;='2025'!Maxi_hp</f>
        <v>0</v>
      </c>
      <c r="I237" s="388">
        <f>IF(H237,Wh_hp,'2025'!Maxi_hp)</f>
        <v>52.572729783905686</v>
      </c>
      <c r="J237" s="85">
        <f>IF(H237,An,'2025'!An_max)</f>
        <v>2021</v>
      </c>
      <c r="K237" s="197">
        <f t="shared" si="79"/>
        <v>46245</v>
      </c>
      <c r="L237" s="147">
        <f>IF(t&lt;Tvie,1-EXP((T0-t)*PertePVj)+'2025'!Pspv,1-EXP((T0-t)*PertePVj)+Pspv)</f>
        <v>5.132069102901804E-2</v>
      </c>
      <c r="M237" s="832"/>
      <c r="N237" s="832"/>
      <c r="O237" s="48">
        <f>IF(t&lt;Tnet,'2025'!Resal+('2025'!Salim-'2025'!Resal)*(1-EXP(('2025'!Tnet-t)/('2025'!Tau_j))),Resal+(Salim-Resal)*(1-EXP((Tnet-t)/(Tau_j))))*Salcycl</f>
        <v>2.198426127014361E-2</v>
      </c>
      <c r="P237" s="169">
        <f>(INDEX(Models!$BJ237:$BT237,,T237)*(1-R237)+INDEX(Models!$BJ237:$BT237,,T237+1)*R237-ERP_i)*Q237*Ramure*Pc/MaxiM</f>
        <v>-2.0414829016633972E-20</v>
      </c>
      <c r="Q237" s="304">
        <f t="shared" si="80"/>
        <v>0.6</v>
      </c>
      <c r="R237" s="177">
        <f t="shared" si="81"/>
        <v>0.937945169748168</v>
      </c>
      <c r="S237" s="799">
        <f t="shared" si="82"/>
        <v>-2</v>
      </c>
      <c r="T237" s="176">
        <f t="shared" si="83"/>
        <v>4</v>
      </c>
      <c r="U237" s="250">
        <f t="shared" si="84"/>
        <v>-1.062054830251832</v>
      </c>
      <c r="V237" s="382">
        <f t="shared" si="85"/>
        <v>53.053855473228417</v>
      </c>
      <c r="W237" s="400">
        <f t="shared" si="86"/>
        <v>48.056198228057582</v>
      </c>
      <c r="X237" s="157">
        <f t="shared" si="87"/>
        <v>46245</v>
      </c>
      <c r="Y237" s="383">
        <f t="shared" si="88"/>
        <v>46.37379336261187</v>
      </c>
      <c r="Z237" s="383">
        <f t="shared" si="89"/>
        <v>48.882475799870477</v>
      </c>
      <c r="AA237" s="384">
        <f t="shared" si="90"/>
        <v>51.794558810558392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5.6223724606652654E-2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0.46293273612214669</v>
      </c>
      <c r="AG237" s="799">
        <f t="shared" si="99"/>
        <v>2</v>
      </c>
      <c r="AH237" s="176">
        <f t="shared" si="94"/>
        <v>8</v>
      </c>
      <c r="AI237" s="224">
        <f t="shared" si="95"/>
        <v>2.4629327361221467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46246</v>
      </c>
      <c r="B238" s="409">
        <f>IF(t&gt;Tmaj,'2025'!Wh/'2025'!Env_an*'2026'!Env_an,0.001*'[10]mon-tableau (1)'!$B$253)</f>
        <v>48.315897528154856</v>
      </c>
      <c r="C238" s="829"/>
      <c r="D238" s="391">
        <f t="shared" si="77"/>
        <v>50.930618020396267</v>
      </c>
      <c r="E238" s="383">
        <f t="shared" si="100"/>
        <v>52.081518877229691</v>
      </c>
      <c r="F238" s="383">
        <f t="shared" si="78"/>
        <v>52.081518877229691</v>
      </c>
      <c r="G238" s="110">
        <f t="shared" si="101"/>
        <v>0.91293497250078726</v>
      </c>
      <c r="H238" s="412" t="b">
        <f>Wh_hp&gt;='2025'!Maxi_hp</f>
        <v>1</v>
      </c>
      <c r="I238" s="388">
        <f>IF(H238,Wh_hp,'2025'!Maxi_hp)</f>
        <v>52.081518877229691</v>
      </c>
      <c r="J238" s="85">
        <f>IF(H238,An,'2025'!An_max)</f>
        <v>2026</v>
      </c>
      <c r="K238" s="197">
        <f t="shared" si="79"/>
        <v>46246</v>
      </c>
      <c r="L238" s="147">
        <f>IF(t&lt;Tvie,1-EXP((T0-t)*PertePVj)+'2025'!Pspv,1-EXP((T0-t)*PertePVj)+Pspv)</f>
        <v>5.1338872251545986E-2</v>
      </c>
      <c r="M238" s="832"/>
      <c r="N238" s="832"/>
      <c r="O238" s="48">
        <f>IF(t&lt;Tnet,'2025'!Resal+('2025'!Salim-'2025'!Resal)*(1-EXP(('2025'!Tnet-t)/('2025'!Tau_j))),Resal+(Salim-Resal)*(1-EXP((Tnet-t)/(Tau_j))))*Salcycl</f>
        <v>2.2098066293850038E-2</v>
      </c>
      <c r="P238" s="169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0.93930630873573406</v>
      </c>
      <c r="S238" s="799">
        <f t="shared" si="82"/>
        <v>-2</v>
      </c>
      <c r="T238" s="176">
        <f t="shared" si="83"/>
        <v>4</v>
      </c>
      <c r="U238" s="250">
        <f t="shared" si="84"/>
        <v>-1.0606936912642659</v>
      </c>
      <c r="V238" s="382">
        <f t="shared" si="85"/>
        <v>52.923701012136647</v>
      </c>
      <c r="W238" s="400">
        <f t="shared" si="86"/>
        <v>48.315897528154856</v>
      </c>
      <c r="X238" s="157">
        <f t="shared" si="87"/>
        <v>46246</v>
      </c>
      <c r="Y238" s="383">
        <f t="shared" si="88"/>
        <v>46.626197688630519</v>
      </c>
      <c r="Z238" s="383">
        <f t="shared" si="89"/>
        <v>49.149476377611073</v>
      </c>
      <c r="AA238" s="384">
        <f t="shared" si="90"/>
        <v>52.081518877229691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5.6297177248809449E-2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0.46429387510971276</v>
      </c>
      <c r="AG238" s="799">
        <f t="shared" si="99"/>
        <v>2</v>
      </c>
      <c r="AH238" s="176">
        <f t="shared" si="94"/>
        <v>8</v>
      </c>
      <c r="AI238" s="224">
        <f t="shared" si="95"/>
        <v>2.4642938751097128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46247</v>
      </c>
      <c r="B239" s="409">
        <f>IF(t&gt;Tmaj,'2025'!Wh/'2025'!Env_an*'2026'!Env_an,0.001*'[10]mon-tableau (1)'!$B$254)</f>
        <v>37.740018823704126</v>
      </c>
      <c r="C239" s="829"/>
      <c r="D239" s="391">
        <f t="shared" si="77"/>
        <v>39.78316493898128</v>
      </c>
      <c r="E239" s="383">
        <f t="shared" si="100"/>
        <v>40.686889093364215</v>
      </c>
      <c r="F239" s="383">
        <f t="shared" si="78"/>
        <v>40.686889093364215</v>
      </c>
      <c r="G239" s="110">
        <f t="shared" si="101"/>
        <v>0.71487699537572391</v>
      </c>
      <c r="H239" s="412" t="b">
        <f>Wh_hp&gt;='2025'!Maxi_hp</f>
        <v>0</v>
      </c>
      <c r="I239" s="388">
        <f>IF(H239,Wh_hp,'2025'!Maxi_hp)</f>
        <v>50.157042918193603</v>
      </c>
      <c r="J239" s="85">
        <f>IF(H239,An,'2025'!An_max)</f>
        <v>2018</v>
      </c>
      <c r="K239" s="197">
        <f t="shared" si="79"/>
        <v>46247</v>
      </c>
      <c r="L239" s="147">
        <f>IF(t&lt;Tvie,1-EXP((T0-t)*PertePVj)+'2025'!Pspv,1-EXP((T0-t)*PertePVj)+Pspv)</f>
        <v>5.1357053125634877E-2</v>
      </c>
      <c r="M239" s="832"/>
      <c r="N239" s="832"/>
      <c r="O239" s="48">
        <f>IF(t&lt;Tnet,'2025'!Resal+('2025'!Salim-'2025'!Resal)*(1-EXP(('2025'!Tnet-t)/('2025'!Tau_j))),Resal+(Salim-Resal)*(1-EXP((Tnet-t)/(Tau_j))))*Salcycl</f>
        <v>2.2211679843822881E-2</v>
      </c>
      <c r="P239" s="169">
        <f>(INDEX(Models!$BJ239:$BT239,,T239)*(1-R239)+INDEX(Models!$BJ239:$BT239,,T239+1)*R239-ERP_i)*Q239*Ramure*Pc/MaxiM</f>
        <v>0</v>
      </c>
      <c r="Q239" s="304">
        <f t="shared" si="80"/>
        <v>0.6</v>
      </c>
      <c r="R239" s="177">
        <f t="shared" si="81"/>
        <v>0.94062016706347773</v>
      </c>
      <c r="S239" s="799">
        <f t="shared" si="82"/>
        <v>-2</v>
      </c>
      <c r="T239" s="176">
        <f t="shared" si="83"/>
        <v>4</v>
      </c>
      <c r="U239" s="250">
        <f t="shared" si="84"/>
        <v>-1.0593798329365223</v>
      </c>
      <c r="V239" s="382">
        <f t="shared" si="85"/>
        <v>52.792325208155262</v>
      </c>
      <c r="W239" s="400">
        <f t="shared" si="86"/>
        <v>37.740018823704126</v>
      </c>
      <c r="X239" s="157">
        <f t="shared" si="87"/>
        <v>46247</v>
      </c>
      <c r="Y239" s="383">
        <f t="shared" si="88"/>
        <v>36.421583190253486</v>
      </c>
      <c r="Z239" s="383">
        <f t="shared" si="89"/>
        <v>38.39335264153609</v>
      </c>
      <c r="AA239" s="384">
        <f t="shared" si="90"/>
        <v>40.686889093364215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5.6370405871167671E-2</v>
      </c>
      <c r="AD239" s="230">
        <f>(INDEX(Models!$BJ239:$BT239,,AH239)*(1-AF239)+INDEX(Models!$BJ239:$BT239,,AH239+1)*AF239-ERP_i)*AE239*Ramure*Pc/MaxiM</f>
        <v>0</v>
      </c>
      <c r="AE239" s="304">
        <f t="shared" si="92"/>
        <v>0.6</v>
      </c>
      <c r="AF239" s="177">
        <f t="shared" si="93"/>
        <v>0.46560773343745643</v>
      </c>
      <c r="AG239" s="799">
        <f t="shared" si="99"/>
        <v>2</v>
      </c>
      <c r="AH239" s="176">
        <f t="shared" si="94"/>
        <v>8</v>
      </c>
      <c r="AI239" s="224">
        <f t="shared" si="95"/>
        <v>2.4656077334374564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46248</v>
      </c>
      <c r="B240" s="409">
        <f>IF(t&gt;Tmaj,'2025'!Wh/'2025'!Env_an*'2026'!Env_an,0.001*'[10]mon-tableau (1)'!$B$255)</f>
        <v>34.015916880577969</v>
      </c>
      <c r="C240" s="829"/>
      <c r="D240" s="391">
        <f t="shared" si="77"/>
        <v>35.8581370498121</v>
      </c>
      <c r="E240" s="383">
        <f t="shared" si="100"/>
        <v>36.676953710910048</v>
      </c>
      <c r="F240" s="383">
        <f t="shared" si="78"/>
        <v>36.676953749274389</v>
      </c>
      <c r="G240" s="110">
        <f t="shared" si="101"/>
        <v>0.64595571045955258</v>
      </c>
      <c r="H240" s="412" t="b">
        <f>Wh_hp&gt;='2025'!Maxi_hp</f>
        <v>0</v>
      </c>
      <c r="I240" s="388">
        <f>IF(H240,Wh_hp,'2025'!Maxi_hp)</f>
        <v>57.247327740538942</v>
      </c>
      <c r="J240" s="85">
        <f>IF(H240,An,'2025'!An_max)</f>
        <v>2018</v>
      </c>
      <c r="K240" s="197">
        <f t="shared" si="79"/>
        <v>46248</v>
      </c>
      <c r="L240" s="147">
        <f>IF(t&lt;Tvie,1-EXP((T0-t)*PertePVj)+'2025'!Pspv,1-EXP((T0-t)*PertePVj)+Pspv)</f>
        <v>5.1375233651291485E-2</v>
      </c>
      <c r="M240" s="832"/>
      <c r="N240" s="832"/>
      <c r="O240" s="48">
        <f>IF(t&lt;Tnet,'2025'!Resal+('2025'!Salim-'2025'!Resal)*(1-EXP(('2025'!Tnet-t)/('2025'!Tau_j))),Resal+(Salim-Resal)*(1-EXP((Tnet-t)/(Tau_j))))*Salcycl</f>
        <v>2.2325100049254535E-2</v>
      </c>
      <c r="P240" s="169">
        <f>(INDEX(Models!$BJ240:$BT240,,T240)*(1-R240)+INDEX(Models!$BJ240:$BT240,,T240+1)*R240-ERP_i)*Q240*Ramure*Pc/MaxiM</f>
        <v>2.1164697781615866E-9</v>
      </c>
      <c r="Q240" s="304">
        <f t="shared" si="80"/>
        <v>0.6</v>
      </c>
      <c r="R240" s="177">
        <f t="shared" si="81"/>
        <v>0.94188811362442681</v>
      </c>
      <c r="S240" s="799">
        <f t="shared" si="82"/>
        <v>-2</v>
      </c>
      <c r="T240" s="176">
        <f t="shared" si="83"/>
        <v>4</v>
      </c>
      <c r="U240" s="250">
        <f t="shared" si="84"/>
        <v>-1.0581118863755732</v>
      </c>
      <c r="V240" s="382">
        <f t="shared" si="85"/>
        <v>52.659828364959012</v>
      </c>
      <c r="W240" s="400">
        <f t="shared" si="86"/>
        <v>34.015916880577969</v>
      </c>
      <c r="X240" s="157">
        <f t="shared" si="87"/>
        <v>46248</v>
      </c>
      <c r="Y240" s="383">
        <f t="shared" si="88"/>
        <v>32.828849631175203</v>
      </c>
      <c r="Z240" s="383">
        <f t="shared" si="89"/>
        <v>34.606781095895954</v>
      </c>
      <c r="AA240" s="384">
        <f t="shared" si="90"/>
        <v>36.676953296116316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5.6443406940226135E-2</v>
      </c>
      <c r="AD240" s="230">
        <f>(INDEX(Models!$BJ240:$BT240,,AH240)*(1-AF240)+INDEX(Models!$BJ240:$BT240,,AH240+1)*AF240-ERP_i)*AE240*Ramure*Pc/MaxiM</f>
        <v>2.4999653986340394E-8</v>
      </c>
      <c r="AE240" s="304">
        <f t="shared" si="92"/>
        <v>0.6</v>
      </c>
      <c r="AF240" s="177">
        <f t="shared" si="93"/>
        <v>0.46687567999840551</v>
      </c>
      <c r="AG240" s="799">
        <f t="shared" si="99"/>
        <v>2</v>
      </c>
      <c r="AH240" s="176">
        <f t="shared" si="94"/>
        <v>8</v>
      </c>
      <c r="AI240" s="224">
        <f t="shared" si="95"/>
        <v>2.4668756799984055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46249</v>
      </c>
      <c r="B241" s="409">
        <f>IF(t&gt;Tmaj,'2025'!Wh/'2025'!Env_an*'2026'!Env_an,0.001*'[10]mon-tableau (1)'!$B$256)</f>
        <v>36.367348143233897</v>
      </c>
      <c r="C241" s="829"/>
      <c r="D241" s="391">
        <f t="shared" si="77"/>
        <v>38.337650901213387</v>
      </c>
      <c r="E241" s="383">
        <f t="shared" si="100"/>
        <v>39.217628792406288</v>
      </c>
      <c r="F241" s="383">
        <f t="shared" si="78"/>
        <v>39.217628932636565</v>
      </c>
      <c r="G241" s="110">
        <f t="shared" si="101"/>
        <v>0.69236440649787467</v>
      </c>
      <c r="H241" s="412" t="b">
        <f>Wh_hp&gt;='2025'!Maxi_hp</f>
        <v>0</v>
      </c>
      <c r="I241" s="388">
        <f>IF(H241,Wh_hp,'2025'!Maxi_hp)</f>
        <v>50.015473109752712</v>
      </c>
      <c r="J241" s="85">
        <f>IF(H241,An,'2025'!An_max)</f>
        <v>2020</v>
      </c>
      <c r="K241" s="197">
        <f t="shared" si="79"/>
        <v>46249</v>
      </c>
      <c r="L241" s="147">
        <f>IF(t&lt;Tvie,1-EXP((T0-t)*PertePVj)+'2025'!Pspv,1-EXP((T0-t)*PertePVj)+Pspv)</f>
        <v>5.1393413828522472E-2</v>
      </c>
      <c r="M241" s="832"/>
      <c r="N241" s="832"/>
      <c r="O241" s="48">
        <f>IF(t&lt;Tnet,'2025'!Resal+('2025'!Salim-'2025'!Resal)*(1-EXP(('2025'!Tnet-t)/('2025'!Tau_j))),Resal+(Salim-Resal)*(1-EXP((Tnet-t)/(Tau_j))))*Salcycl</f>
        <v>2.2438324760809945E-2</v>
      </c>
      <c r="P241" s="169">
        <f>(INDEX(Models!$BJ241:$BT241,,T241)*(1-R241)+INDEX(Models!$BJ241:$BT241,,T241+1)*R241-ERP_i)*Q241*Ramure*Pc/MaxiM</f>
        <v>6.3792391029167047E-9</v>
      </c>
      <c r="Q241" s="304">
        <f t="shared" si="80"/>
        <v>0.6</v>
      </c>
      <c r="R241" s="177">
        <f t="shared" si="81"/>
        <v>0.94311149814746686</v>
      </c>
      <c r="S241" s="799">
        <f t="shared" si="82"/>
        <v>-2</v>
      </c>
      <c r="T241" s="176">
        <f t="shared" si="83"/>
        <v>4</v>
      </c>
      <c r="U241" s="250">
        <f t="shared" si="84"/>
        <v>-1.0568885018525331</v>
      </c>
      <c r="V241" s="382">
        <f t="shared" si="85"/>
        <v>52.526310855912065</v>
      </c>
      <c r="W241" s="400">
        <f t="shared" si="86"/>
        <v>36.367348143233897</v>
      </c>
      <c r="X241" s="157">
        <f t="shared" si="87"/>
        <v>46249</v>
      </c>
      <c r="Y241" s="383">
        <f t="shared" si="88"/>
        <v>35.099579117486904</v>
      </c>
      <c r="Z241" s="383">
        <f t="shared" si="89"/>
        <v>37.00119694419034</v>
      </c>
      <c r="AA241" s="384">
        <f t="shared" si="90"/>
        <v>39.217627280245232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5.65161762647318E-2</v>
      </c>
      <c r="AD241" s="230">
        <f>(INDEX(Models!$BJ241:$BT241,,AH241)*(1-AF241)+INDEX(Models!$BJ241:$BT241,,AH241+1)*AF241-ERP_i)*AE241*Ramure*Pc/MaxiM</f>
        <v>7.5169214026616487E-8</v>
      </c>
      <c r="AE241" s="304">
        <f t="shared" si="92"/>
        <v>0.6</v>
      </c>
      <c r="AF241" s="177">
        <f t="shared" si="93"/>
        <v>0.46809906452144556</v>
      </c>
      <c r="AG241" s="799">
        <f t="shared" si="99"/>
        <v>2</v>
      </c>
      <c r="AH241" s="176">
        <f t="shared" si="94"/>
        <v>8</v>
      </c>
      <c r="AI241" s="224">
        <f t="shared" si="95"/>
        <v>2.4680990645214456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46250</v>
      </c>
      <c r="B242" s="409">
        <f>IF(t&gt;Tmaj,'2025'!Wh/'2025'!Env_an*'2026'!Env_an,0.001*'[10]mon-tableau (1)'!$B$257)</f>
        <v>37.648824691224554</v>
      </c>
      <c r="C242" s="829"/>
      <c r="D242" s="391">
        <f t="shared" si="77"/>
        <v>39.689315660499858</v>
      </c>
      <c r="E242" s="383">
        <f t="shared" si="100"/>
        <v>40.605013597548904</v>
      </c>
      <c r="F242" s="383">
        <f t="shared" si="78"/>
        <v>40.605013908772357</v>
      </c>
      <c r="G242" s="110">
        <f t="shared" si="101"/>
        <v>0.71860046859777349</v>
      </c>
      <c r="H242" s="412" t="b">
        <f>Wh_hp&gt;='2025'!Maxi_hp</f>
        <v>0</v>
      </c>
      <c r="I242" s="388">
        <f>IF(H242,Wh_hp,'2025'!Maxi_hp)</f>
        <v>56.868065915870055</v>
      </c>
      <c r="J242" s="85">
        <f>IF(H242,An,'2025'!An_max)</f>
        <v>2018</v>
      </c>
      <c r="K242" s="197">
        <f t="shared" si="79"/>
        <v>46250</v>
      </c>
      <c r="L242" s="147">
        <f>IF(t&lt;Tvie,1-EXP((T0-t)*PertePVj)+'2025'!Pspv,1-EXP((T0-t)*PertePVj)+Pspv)</f>
        <v>5.1411593657334498E-2</v>
      </c>
      <c r="M242" s="832"/>
      <c r="N242" s="832"/>
      <c r="O242" s="48">
        <f>IF(t&lt;Tnet,'2025'!Resal+('2025'!Salim-'2025'!Resal)*(1-EXP(('2025'!Tnet-t)/('2025'!Tau_j))),Resal+(Salim-Resal)*(1-EXP((Tnet-t)/(Tau_j))))*Salcycl</f>
        <v>2.2551351567687283E-2</v>
      </c>
      <c r="P242" s="169">
        <f>(INDEX(Models!$BJ242:$BT242,,T242)*(1-R242)+INDEX(Models!$BJ242:$BT242,,T242+1)*R242-ERP_i)*Q242*Ramure*Pc/MaxiM</f>
        <v>1.2817135676302424E-8</v>
      </c>
      <c r="Q242" s="304">
        <f t="shared" si="80"/>
        <v>0.6</v>
      </c>
      <c r="R242" s="177">
        <f t="shared" si="81"/>
        <v>0.94429164977548563</v>
      </c>
      <c r="S242" s="799">
        <f t="shared" si="82"/>
        <v>-2</v>
      </c>
      <c r="T242" s="176">
        <f t="shared" si="83"/>
        <v>4</v>
      </c>
      <c r="U242" s="250">
        <f t="shared" si="84"/>
        <v>-1.0557083502245144</v>
      </c>
      <c r="V242" s="382">
        <f t="shared" si="85"/>
        <v>52.391873012141239</v>
      </c>
      <c r="W242" s="400">
        <f t="shared" si="86"/>
        <v>37.648824691224554</v>
      </c>
      <c r="X242" s="157">
        <f t="shared" si="87"/>
        <v>46250</v>
      </c>
      <c r="Y242" s="383">
        <f t="shared" si="88"/>
        <v>36.337789646009959</v>
      </c>
      <c r="Z242" s="383">
        <f t="shared" si="89"/>
        <v>38.307225138996053</v>
      </c>
      <c r="AA242" s="384">
        <f t="shared" si="90"/>
        <v>40.605010250021294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5.6588709050357566E-2</v>
      </c>
      <c r="AD242" s="230">
        <f>(INDEX(Models!$BJ242:$BT242,,AH242)*(1-AF242)+INDEX(Models!$BJ242:$BT242,,AH242+1)*AF242-ERP_i)*AE242*Ramure*Pc/MaxiM</f>
        <v>1.5067858183644573E-7</v>
      </c>
      <c r="AE242" s="304">
        <f t="shared" si="92"/>
        <v>0.6</v>
      </c>
      <c r="AF242" s="177">
        <f t="shared" si="93"/>
        <v>0.46927921614946433</v>
      </c>
      <c r="AG242" s="799">
        <f t="shared" si="99"/>
        <v>2</v>
      </c>
      <c r="AH242" s="176">
        <f t="shared" si="94"/>
        <v>8</v>
      </c>
      <c r="AI242" s="224">
        <f t="shared" si="95"/>
        <v>2.4692792161494643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46251</v>
      </c>
      <c r="B243" s="409">
        <f>IF(t&gt;Tmaj,'2025'!Wh/'2025'!Env_an*'2026'!Env_an,0.001*'[10]mon-tableau (1)'!$B$258)</f>
        <v>29.114644748540556</v>
      </c>
      <c r="C243" s="829"/>
      <c r="D243" s="391">
        <f t="shared" si="77"/>
        <v>30.693188468341059</v>
      </c>
      <c r="E243" s="383">
        <f t="shared" si="100"/>
        <v>31.404955974791793</v>
      </c>
      <c r="F243" s="383">
        <f t="shared" si="78"/>
        <v>31.404956222346527</v>
      </c>
      <c r="G243" s="110">
        <f t="shared" si="101"/>
        <v>0.55714753597453925</v>
      </c>
      <c r="H243" s="412" t="b">
        <f>Wh_hp&gt;='2025'!Maxi_hp</f>
        <v>0</v>
      </c>
      <c r="I243" s="388">
        <f>IF(H243,Wh_hp,'2025'!Maxi_hp)</f>
        <v>54.878692753943</v>
      </c>
      <c r="J243" s="85">
        <f>IF(H243,An,'2025'!An_max)</f>
        <v>2018</v>
      </c>
      <c r="K243" s="197">
        <f t="shared" si="79"/>
        <v>46251</v>
      </c>
      <c r="L243" s="147">
        <f>IF(t&lt;Tvie,1-EXP((T0-t)*PertePVj)+'2025'!Pspv,1-EXP((T0-t)*PertePVj)+Pspv)</f>
        <v>5.1429773137734336E-2</v>
      </c>
      <c r="M243" s="832"/>
      <c r="N243" s="832"/>
      <c r="O243" s="48">
        <f>IF(t&lt;Tnet,'2025'!Resal+('2025'!Salim-'2025'!Resal)*(1-EXP(('2025'!Tnet-t)/('2025'!Tau_j))),Resal+(Salim-Resal)*(1-EXP((Tnet-t)/(Tau_j))))*Salcycl</f>
        <v>2.2664177813911154E-2</v>
      </c>
      <c r="P243" s="169">
        <f>(INDEX(Models!$BJ243:$BT243,,T243)*(1-R243)+INDEX(Models!$BJ243:$BT243,,T243+1)*R243-ERP_i)*Q243*Ramure*Pc/MaxiM</f>
        <v>2.1457973560084149E-8</v>
      </c>
      <c r="Q243" s="304">
        <f t="shared" si="80"/>
        <v>0.6</v>
      </c>
      <c r="R243" s="177">
        <f t="shared" si="81"/>
        <v>0.94542987581033833</v>
      </c>
      <c r="S243" s="799">
        <f t="shared" si="82"/>
        <v>-2</v>
      </c>
      <c r="T243" s="176">
        <f t="shared" si="83"/>
        <v>4</v>
      </c>
      <c r="U243" s="250">
        <f t="shared" si="84"/>
        <v>-1.0545701241896617</v>
      </c>
      <c r="V243" s="382">
        <f t="shared" si="85"/>
        <v>52.256615121476088</v>
      </c>
      <c r="W243" s="400">
        <f t="shared" si="86"/>
        <v>29.114644748540556</v>
      </c>
      <c r="X243" s="157">
        <f t="shared" si="87"/>
        <v>46251</v>
      </c>
      <c r="Y243" s="383">
        <f t="shared" si="88"/>
        <v>28.101883628365211</v>
      </c>
      <c r="Z243" s="383">
        <f t="shared" si="89"/>
        <v>29.625517260142367</v>
      </c>
      <c r="AA243" s="384">
        <f t="shared" si="90"/>
        <v>31.404953318591712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5.6660999951110257E-2</v>
      </c>
      <c r="AD243" s="230">
        <f>(INDEX(Models!$BJ243:$BT243,,AH243)*(1-AF243)+INDEX(Models!$BJ243:$BT243,,AH243+1)*AF243-ERP_i)*AE243*Ramure*Pc/MaxiM</f>
        <v>2.5169663593041924E-7</v>
      </c>
      <c r="AE243" s="304">
        <f t="shared" si="92"/>
        <v>0.6</v>
      </c>
      <c r="AF243" s="177">
        <f t="shared" si="93"/>
        <v>0.47041744218431703</v>
      </c>
      <c r="AG243" s="799">
        <f t="shared" si="99"/>
        <v>2</v>
      </c>
      <c r="AH243" s="176">
        <f t="shared" si="94"/>
        <v>8</v>
      </c>
      <c r="AI243" s="224">
        <f t="shared" si="95"/>
        <v>2.470417442184317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46252</v>
      </c>
      <c r="B244" s="409">
        <f>IF(t&gt;Tmaj,'2025'!Wh/'2025'!Env_an*'2026'!Env_an,0.001*'[10]mon-tableau (1)'!$B$259)</f>
        <v>36.957843043180922</v>
      </c>
      <c r="C244" s="829"/>
      <c r="D244" s="391">
        <f t="shared" si="77"/>
        <v>38.962377585515668</v>
      </c>
      <c r="E244" s="383">
        <f t="shared" si="100"/>
        <v>39.870500014713613</v>
      </c>
      <c r="F244" s="383">
        <f t="shared" si="78"/>
        <v>39.870500767983849</v>
      </c>
      <c r="G244" s="110">
        <f t="shared" si="101"/>
        <v>0.70908270447720712</v>
      </c>
      <c r="H244" s="412" t="b">
        <f>Wh_hp&gt;='2025'!Maxi_hp</f>
        <v>0</v>
      </c>
      <c r="I244" s="388">
        <f>IF(H244,Wh_hp,'2025'!Maxi_hp)</f>
        <v>51.155268788996608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5.1447952269728425E-2</v>
      </c>
      <c r="M244" s="832"/>
      <c r="N244" s="832"/>
      <c r="O244" s="48">
        <f>IF(t&lt;Tnet,'2025'!Resal+('2025'!Salim-'2025'!Resal)*(1-EXP(('2025'!Tnet-t)/('2025'!Tau_j))),Resal+(Salim-Resal)*(1-EXP((Tnet-t)/(Tau_j))))*Salcycl</f>
        <v>2.2776800613556785E-2</v>
      </c>
      <c r="P244" s="169">
        <f>(INDEX(Models!$BJ244:$BT244,,T244)*(1-R244)+INDEX(Models!$BJ244:$BT244,,T244+1)*R244-ERP_i)*Q244*Ramure*Pc/MaxiM</f>
        <v>3.2328535273374893E-8</v>
      </c>
      <c r="Q244" s="304">
        <f t="shared" si="80"/>
        <v>0.6</v>
      </c>
      <c r="R244" s="177">
        <f t="shared" si="81"/>
        <v>0.94652746061515192</v>
      </c>
      <c r="S244" s="799">
        <f t="shared" si="82"/>
        <v>-2</v>
      </c>
      <c r="T244" s="176">
        <f t="shared" si="83"/>
        <v>4</v>
      </c>
      <c r="U244" s="250">
        <f t="shared" si="84"/>
        <v>-1.0534725393848481</v>
      </c>
      <c r="V244" s="382">
        <f t="shared" si="85"/>
        <v>52.12063742815149</v>
      </c>
      <c r="W244" s="400">
        <f t="shared" si="86"/>
        <v>36.957843043180922</v>
      </c>
      <c r="X244" s="157">
        <f t="shared" si="87"/>
        <v>46252</v>
      </c>
      <c r="Y244" s="383">
        <f t="shared" si="88"/>
        <v>35.67363639328795</v>
      </c>
      <c r="Z244" s="383">
        <f t="shared" si="89"/>
        <v>37.608517612343014</v>
      </c>
      <c r="AA244" s="384">
        <f t="shared" si="90"/>
        <v>39.870491951305247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5.6733043116820252E-2</v>
      </c>
      <c r="AD244" s="230">
        <f>(INDEX(Models!$BJ244:$BT244,,AH244)*(1-AF244)+INDEX(Models!$BJ244:$BT244,,AH244+1)*AF244-ERP_i)*AE244*Ramure*Pc/MaxiM</f>
        <v>3.7839050544405567E-7</v>
      </c>
      <c r="AE244" s="304">
        <f t="shared" si="92"/>
        <v>0.6</v>
      </c>
      <c r="AF244" s="177">
        <f t="shared" si="93"/>
        <v>0.47151502698913061</v>
      </c>
      <c r="AG244" s="799">
        <f t="shared" si="99"/>
        <v>2</v>
      </c>
      <c r="AH244" s="176">
        <f t="shared" si="94"/>
        <v>8</v>
      </c>
      <c r="AI244" s="224">
        <f t="shared" si="95"/>
        <v>2.4715150269891306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46253</v>
      </c>
      <c r="B245" s="409">
        <f>IF(t&gt;Tmaj,'2025'!Wh/'2025'!Env_an*'2026'!Env_an,0.001*'[10]mon-tableau (1)'!$B$260)</f>
        <v>38.585725136019605</v>
      </c>
      <c r="C245" s="829"/>
      <c r="D245" s="391">
        <f t="shared" si="77"/>
        <v>40.679333020409814</v>
      </c>
      <c r="E245" s="383">
        <f t="shared" si="100"/>
        <v>41.632262914832616</v>
      </c>
      <c r="F245" s="383">
        <f t="shared" si="78"/>
        <v>41.632264110438285</v>
      </c>
      <c r="G245" s="110">
        <f t="shared" si="101"/>
        <v>0.74226097843121674</v>
      </c>
      <c r="H245" s="412" t="b">
        <f>Wh_hp&gt;='2025'!Maxi_hp</f>
        <v>0</v>
      </c>
      <c r="I245" s="388">
        <f>IF(H245,Wh_hp,'2025'!Maxi_hp)</f>
        <v>45.575246648150426</v>
      </c>
      <c r="J245" s="85">
        <f>IF(H245,An,'2025'!An_max)</f>
        <v>2021</v>
      </c>
      <c r="K245" s="197">
        <f t="shared" si="79"/>
        <v>46253</v>
      </c>
      <c r="L245" s="147">
        <f>IF(t&lt;Tvie,1-EXP((T0-t)*PertePVj)+'2025'!Pspv,1-EXP((T0-t)*PertePVj)+Pspv)</f>
        <v>5.146613105332376E-2</v>
      </c>
      <c r="M245" s="832"/>
      <c r="N245" s="832"/>
      <c r="O245" s="48">
        <f>IF(t&lt;Tnet,'2025'!Resal+('2025'!Salim-'2025'!Resal)*(1-EXP(('2025'!Tnet-t)/('2025'!Tau_j))),Resal+(Salim-Resal)*(1-EXP((Tnet-t)/(Tau_j))))*Salcycl</f>
        <v>2.2889216864627762E-2</v>
      </c>
      <c r="P245" s="169">
        <f>(INDEX(Models!$BJ245:$BT245,,T245)*(1-R245)+INDEX(Models!$BJ245:$BT245,,T245+1)*R245-ERP_i)*Q245*Ramure*Pc/MaxiM</f>
        <v>4.5454547793710017E-8</v>
      </c>
      <c r="Q245" s="304">
        <f t="shared" si="80"/>
        <v>0.6</v>
      </c>
      <c r="R245" s="177">
        <f t="shared" si="81"/>
        <v>0.94758566466459127</v>
      </c>
      <c r="S245" s="799">
        <f t="shared" si="82"/>
        <v>-2</v>
      </c>
      <c r="T245" s="176">
        <f t="shared" si="83"/>
        <v>4</v>
      </c>
      <c r="U245" s="250">
        <f t="shared" si="84"/>
        <v>-1.0524143353354087</v>
      </c>
      <c r="V245" s="382">
        <f t="shared" si="85"/>
        <v>51.984040130721937</v>
      </c>
      <c r="W245" s="400">
        <f t="shared" si="86"/>
        <v>38.585725136019605</v>
      </c>
      <c r="X245" s="157">
        <f t="shared" si="87"/>
        <v>46253</v>
      </c>
      <c r="Y245" s="383">
        <f t="shared" si="88"/>
        <v>37.246399239828442</v>
      </c>
      <c r="Z245" s="383">
        <f t="shared" si="89"/>
        <v>39.267337160231989</v>
      </c>
      <c r="AA245" s="384">
        <f t="shared" si="90"/>
        <v>41.632250145351733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5.6804832236140544E-2</v>
      </c>
      <c r="AD245" s="230">
        <f>(INDEX(Models!$BJ245:$BT245,,AH245)*(1-AF245)+INDEX(Models!$BJ245:$BT245,,AH245+1)*AF245-ERP_i)*AE245*Ramure*Pc/MaxiM</f>
        <v>5.3092479394706935E-7</v>
      </c>
      <c r="AE245" s="304">
        <f t="shared" si="92"/>
        <v>0.6</v>
      </c>
      <c r="AF245" s="177">
        <f t="shared" si="93"/>
        <v>0.47257323103857019</v>
      </c>
      <c r="AG245" s="799">
        <f t="shared" si="99"/>
        <v>2</v>
      </c>
      <c r="AH245" s="176">
        <f t="shared" si="94"/>
        <v>8</v>
      </c>
      <c r="AI245" s="224">
        <f t="shared" si="95"/>
        <v>2.4725732310385702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46254</v>
      </c>
      <c r="B246" s="409">
        <f>IF(t&gt;Tmaj,'2025'!Wh/'2025'!Env_an*'2026'!Env_an,0.001*'[10]mon-tableau (1)'!$B$261)</f>
        <v>50.460709618009368</v>
      </c>
      <c r="C246" s="829"/>
      <c r="D246" s="391">
        <f t="shared" si="77"/>
        <v>53.199657235821967</v>
      </c>
      <c r="E246" s="383">
        <f t="shared" si="100"/>
        <v>54.452133813141018</v>
      </c>
      <c r="F246" s="383">
        <f t="shared" si="78"/>
        <v>54.452137000554892</v>
      </c>
      <c r="G246" s="110">
        <f t="shared" si="101"/>
        <v>0.97326333381910679</v>
      </c>
      <c r="H246" s="412" t="b">
        <f>Wh_hp&gt;='2025'!Maxi_hp</f>
        <v>1</v>
      </c>
      <c r="I246" s="388">
        <f>IF(H246,Wh_hp,'2025'!Maxi_hp)</f>
        <v>54.452137000554892</v>
      </c>
      <c r="J246" s="85">
        <f>IF(H246,An,'2025'!An_max)</f>
        <v>2026</v>
      </c>
      <c r="K246" s="197">
        <f t="shared" si="79"/>
        <v>46254</v>
      </c>
      <c r="L246" s="147">
        <f>IF(t&lt;Tvie,1-EXP((T0-t)*PertePVj)+'2025'!Pspv,1-EXP((T0-t)*PertePVj)+Pspv)</f>
        <v>5.148430948852678E-2</v>
      </c>
      <c r="M246" s="832"/>
      <c r="N246" s="832"/>
      <c r="O246" s="48">
        <f>IF(t&lt;Tnet,'2025'!Resal+('2025'!Salim-'2025'!Resal)*(1-EXP(('2025'!Tnet-t)/('2025'!Tau_j))),Resal+(Salim-Resal)*(1-EXP((Tnet-t)/(Tau_j))))*Salcycl</f>
        <v>2.3001423261337531E-2</v>
      </c>
      <c r="P246" s="169">
        <f>(INDEX(Models!$BJ246:$BT246,,T246)*(1-R246)+INDEX(Models!$BJ246:$BT246,,T246+1)*R246-ERP_i)*Q246*Ramure*Pc/MaxiM</f>
        <v>6.086065266156697E-8</v>
      </c>
      <c r="Q246" s="304">
        <f t="shared" si="80"/>
        <v>0.6</v>
      </c>
      <c r="R246" s="177">
        <f t="shared" si="81"/>
        <v>0.94860572373387653</v>
      </c>
      <c r="S246" s="799">
        <f t="shared" si="82"/>
        <v>-2</v>
      </c>
      <c r="T246" s="176">
        <f t="shared" si="83"/>
        <v>4</v>
      </c>
      <c r="U246" s="250">
        <f t="shared" si="84"/>
        <v>-1.0513942762661235</v>
      </c>
      <c r="V246" s="382">
        <f t="shared" si="85"/>
        <v>51.846923383726093</v>
      </c>
      <c r="W246" s="400">
        <f t="shared" si="86"/>
        <v>50.460709618009368</v>
      </c>
      <c r="X246" s="157">
        <f t="shared" si="87"/>
        <v>46254</v>
      </c>
      <c r="Y246" s="383">
        <f t="shared" si="88"/>
        <v>48.71108264399728</v>
      </c>
      <c r="Z246" s="383">
        <f t="shared" si="89"/>
        <v>51.355062579650678</v>
      </c>
      <c r="AA246" s="384">
        <f t="shared" si="90"/>
        <v>54.452099844445691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5.6876360574566895E-2</v>
      </c>
      <c r="AD246" s="230">
        <f>(INDEX(Models!$BJ246:$BT246,,AH246)*(1-AF246)+INDEX(Models!$BJ246:$BT246,,AH246+1)*AF246-ERP_i)*AE246*Ramure*Pc/MaxiM</f>
        <v>7.094607559821889E-7</v>
      </c>
      <c r="AE246" s="304">
        <f t="shared" si="92"/>
        <v>0.6</v>
      </c>
      <c r="AF246" s="177">
        <f t="shared" si="93"/>
        <v>0.47359329010785522</v>
      </c>
      <c r="AG246" s="799">
        <f t="shared" si="99"/>
        <v>2</v>
      </c>
      <c r="AH246" s="176">
        <f t="shared" si="94"/>
        <v>8</v>
      </c>
      <c r="AI246" s="224">
        <f t="shared" si="95"/>
        <v>2.4735932901078552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46255</v>
      </c>
      <c r="B247" s="409">
        <f>IF(t&gt;Tmaj,'2025'!Wh/'2025'!Env_an*'2026'!Env_an,0.001*'[10]mon-tableau (1)'!$B$262)</f>
        <v>37.688592243339876</v>
      </c>
      <c r="C247" s="829"/>
      <c r="D247" s="391">
        <f t="shared" si="77"/>
        <v>39.735045953885596</v>
      </c>
      <c r="E247" s="383">
        <f t="shared" si="100"/>
        <v>40.675188519401658</v>
      </c>
      <c r="F247" s="383">
        <f t="shared" si="78"/>
        <v>40.675190477280623</v>
      </c>
      <c r="G247" s="110">
        <f t="shared" si="101"/>
        <v>0.72884527531978549</v>
      </c>
      <c r="H247" s="412" t="b">
        <f>Wh_hp&gt;='2025'!Maxi_hp</f>
        <v>0</v>
      </c>
      <c r="I247" s="388">
        <f>IF(H247,Wh_hp,'2025'!Maxi_hp)</f>
        <v>55.472998221971906</v>
      </c>
      <c r="J247" s="85">
        <f>IF(H247,An,'2025'!An_max)</f>
        <v>2020</v>
      </c>
      <c r="K247" s="197">
        <f t="shared" si="79"/>
        <v>46255</v>
      </c>
      <c r="L247" s="147">
        <f>IF(t&lt;Tvie,1-EXP((T0-t)*PertePVj)+'2025'!Pspv,1-EXP((T0-t)*PertePVj)+Pspv)</f>
        <v>5.1502487575344147E-2</v>
      </c>
      <c r="M247" s="832"/>
      <c r="N247" s="832"/>
      <c r="O247" s="48">
        <f>IF(t&lt;Tnet,'2025'!Resal+('2025'!Salim-'2025'!Resal)*(1-EXP(('2025'!Tnet-t)/('2025'!Tau_j))),Resal+(Salim-Resal)*(1-EXP((Tnet-t)/(Tau_j))))*Salcycl</f>
        <v>2.3113416304576511E-2</v>
      </c>
      <c r="P247" s="169">
        <f>(INDEX(Models!$BJ247:$BT247,,T247)*(1-R247)+INDEX(Models!$BJ247:$BT247,,T247+1)*R247-ERP_i)*Q247*Ramure*Pc/MaxiM</f>
        <v>7.8569435408778971E-8</v>
      </c>
      <c r="Q247" s="304">
        <f t="shared" si="80"/>
        <v>0.6</v>
      </c>
      <c r="R247" s="177">
        <f t="shared" si="81"/>
        <v>0.94958884821754075</v>
      </c>
      <c r="S247" s="799">
        <f t="shared" si="82"/>
        <v>-2</v>
      </c>
      <c r="T247" s="176">
        <f t="shared" si="83"/>
        <v>4</v>
      </c>
      <c r="U247" s="250">
        <f t="shared" si="84"/>
        <v>-1.0504111517824593</v>
      </c>
      <c r="V247" s="382">
        <f t="shared" si="85"/>
        <v>51.710002619901623</v>
      </c>
      <c r="W247" s="400">
        <f t="shared" si="86"/>
        <v>37.688592243339876</v>
      </c>
      <c r="X247" s="157">
        <f t="shared" si="87"/>
        <v>46255</v>
      </c>
      <c r="Y247" s="383">
        <f t="shared" si="88"/>
        <v>36.383239339091666</v>
      </c>
      <c r="Z247" s="383">
        <f t="shared" si="89"/>
        <v>38.358813663184783</v>
      </c>
      <c r="AA247" s="384">
        <f t="shared" si="90"/>
        <v>40.67516769762878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5.6947621007080264E-2</v>
      </c>
      <c r="AD247" s="230">
        <f>(INDEX(Models!$BJ247:$BT247,,AH247)*(1-AF247)+INDEX(Models!$BJ247:$BT247,,AH247+1)*AF247-ERP_i)*AE247*Ramure*Pc/MaxiM</f>
        <v>9.1414455050568491E-7</v>
      </c>
      <c r="AE247" s="304">
        <f t="shared" si="92"/>
        <v>0.6</v>
      </c>
      <c r="AF247" s="177">
        <f t="shared" si="93"/>
        <v>0.47457641459151922</v>
      </c>
      <c r="AG247" s="799">
        <f t="shared" si="99"/>
        <v>2</v>
      </c>
      <c r="AH247" s="176">
        <f t="shared" si="94"/>
        <v>8</v>
      </c>
      <c r="AI247" s="224">
        <f t="shared" si="95"/>
        <v>2.4745764145915192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46256</v>
      </c>
      <c r="B248" s="409">
        <f>IF(t&gt;Tmaj,'2025'!Wh/'2025'!Env_an*'2026'!Env_an,0.001*'[10]mon-tableau (1)'!$B$263)</f>
        <v>27.222019393331195</v>
      </c>
      <c r="C248" s="829"/>
      <c r="D248" s="391">
        <f t="shared" si="77"/>
        <v>28.700698473664666</v>
      </c>
      <c r="E248" s="383">
        <f t="shared" si="100"/>
        <v>29.383127254838691</v>
      </c>
      <c r="F248" s="383">
        <f t="shared" si="78"/>
        <v>29.383128241464799</v>
      </c>
      <c r="G248" s="110">
        <f t="shared" si="101"/>
        <v>0.52782791539776175</v>
      </c>
      <c r="H248" s="412" t="b">
        <f>Wh_hp&gt;='2025'!Maxi_hp</f>
        <v>0</v>
      </c>
      <c r="I248" s="388">
        <f>IF(H248,Wh_hp,'2025'!Maxi_hp)</f>
        <v>56.932210607769058</v>
      </c>
      <c r="J248" s="85">
        <f>IF(H248,An,'2025'!An_max)</f>
        <v>2018</v>
      </c>
      <c r="K248" s="197">
        <f t="shared" si="79"/>
        <v>46256</v>
      </c>
      <c r="L248" s="147">
        <f>IF(t&lt;Tvie,1-EXP((T0-t)*PertePVj)+'2025'!Pspv,1-EXP((T0-t)*PertePVj)+Pspv)</f>
        <v>5.1520665313782743E-2</v>
      </c>
      <c r="M248" s="832"/>
      <c r="N248" s="832"/>
      <c r="O248" s="48">
        <f>IF(t&lt;Tnet,'2025'!Resal+('2025'!Salim-'2025'!Resal)*(1-EXP(('2025'!Tnet-t)/('2025'!Tau_j))),Resal+(Salim-Resal)*(1-EXP((Tnet-t)/(Tau_j))))*Salcycl</f>
        <v>2.3225192310381025E-2</v>
      </c>
      <c r="P248" s="169">
        <f>(INDEX(Models!$BJ248:$BT248,,T248)*(1-R248)+INDEX(Models!$BJ248:$BT248,,T248+1)*R248-ERP_i)*Q248*Ramure*Pc/MaxiM</f>
        <v>1.0316814145551186E-7</v>
      </c>
      <c r="Q248" s="304">
        <f t="shared" si="80"/>
        <v>0.6</v>
      </c>
      <c r="R248" s="177">
        <f t="shared" si="81"/>
        <v>0.95053622256915915</v>
      </c>
      <c r="S248" s="799">
        <f t="shared" si="82"/>
        <v>-2</v>
      </c>
      <c r="T248" s="176">
        <f t="shared" si="83"/>
        <v>4</v>
      </c>
      <c r="U248" s="250">
        <f t="shared" si="84"/>
        <v>-1.0494637774308408</v>
      </c>
      <c r="V248" s="382">
        <f t="shared" si="85"/>
        <v>51.573660097974155</v>
      </c>
      <c r="W248" s="400">
        <f t="shared" si="86"/>
        <v>27.222019393331195</v>
      </c>
      <c r="X248" s="157">
        <f t="shared" si="87"/>
        <v>46256</v>
      </c>
      <c r="Y248" s="383">
        <f t="shared" si="88"/>
        <v>26.280211599492162</v>
      </c>
      <c r="Z248" s="383">
        <f t="shared" si="89"/>
        <v>27.707732407460803</v>
      </c>
      <c r="AA248" s="384">
        <f t="shared" si="90"/>
        <v>29.383116766762189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5.7018606045106827E-2</v>
      </c>
      <c r="AD248" s="230">
        <f>(INDEX(Models!$BJ248:$BT248,,AH248)*(1-AF248)+INDEX(Models!$BJ248:$BT248,,AH248+1)*AF248-ERP_i)*AE248*Ramure*Pc/MaxiM</f>
        <v>1.1998706820206971E-6</v>
      </c>
      <c r="AE248" s="304">
        <f t="shared" si="92"/>
        <v>0.6</v>
      </c>
      <c r="AF248" s="177">
        <f t="shared" si="93"/>
        <v>0.47552378894313785</v>
      </c>
      <c r="AG248" s="799">
        <f t="shared" si="99"/>
        <v>2</v>
      </c>
      <c r="AH248" s="176">
        <f t="shared" si="94"/>
        <v>8</v>
      </c>
      <c r="AI248" s="224">
        <f t="shared" si="95"/>
        <v>2.4755237889431378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46257</v>
      </c>
      <c r="B249" s="409">
        <f>IF(t&gt;Tmaj,'2025'!Wh/'2025'!Env_an*'2026'!Env_an,0.001*'[10]mon-tableau (1)'!$B$264)</f>
        <v>48.771229192431321</v>
      </c>
      <c r="C249" s="829"/>
      <c r="D249" s="391">
        <f t="shared" si="77"/>
        <v>51.421430194850686</v>
      </c>
      <c r="E249" s="383">
        <f t="shared" si="100"/>
        <v>52.650112573414006</v>
      </c>
      <c r="F249" s="383">
        <f t="shared" si="78"/>
        <v>52.650119141723678</v>
      </c>
      <c r="G249" s="110">
        <f t="shared" si="101"/>
        <v>0.9481648960105119</v>
      </c>
      <c r="H249" s="412" t="b">
        <f>Wh_hp&gt;='2025'!Maxi_hp</f>
        <v>0</v>
      </c>
      <c r="I249" s="388">
        <f>IF(H249,Wh_hp,'2025'!Maxi_hp)</f>
        <v>54.337170768740876</v>
      </c>
      <c r="J249" s="85">
        <f>IF(H249,An,'2025'!An_max)</f>
        <v>2018</v>
      </c>
      <c r="K249" s="197">
        <f t="shared" si="79"/>
        <v>46257</v>
      </c>
      <c r="L249" s="147">
        <f>IF(t&lt;Tvie,1-EXP((T0-t)*PertePVj)+'2025'!Pspv,1-EXP((T0-t)*PertePVj)+Pspv)</f>
        <v>5.1538842703849119E-2</v>
      </c>
      <c r="M249" s="832"/>
      <c r="N249" s="832"/>
      <c r="O249" s="48">
        <f>IF(t&lt;Tnet,'2025'!Resal+('2025'!Salim-'2025'!Resal)*(1-EXP(('2025'!Tnet-t)/('2025'!Tau_j))),Resal+(Salim-Resal)*(1-EXP((Tnet-t)/(Tau_j))))*Salcycl</f>
        <v>2.3336747416258168E-2</v>
      </c>
      <c r="P249" s="169">
        <f>(INDEX(Models!$BJ249:$BT249,,T249)*(1-R249)+INDEX(Models!$BJ249:$BT249,,T249+1)*R249-ERP_i)*Q249*Ramure*Pc/MaxiM</f>
        <v>1.3473076912520637E-7</v>
      </c>
      <c r="Q249" s="304">
        <f t="shared" si="80"/>
        <v>0.6</v>
      </c>
      <c r="R249" s="177">
        <f t="shared" si="81"/>
        <v>0.95144900485354533</v>
      </c>
      <c r="S249" s="799">
        <f t="shared" si="82"/>
        <v>-2</v>
      </c>
      <c r="T249" s="176">
        <f t="shared" si="83"/>
        <v>4</v>
      </c>
      <c r="U249" s="250">
        <f t="shared" si="84"/>
        <v>-1.0485509951464547</v>
      </c>
      <c r="V249" s="382">
        <f t="shared" si="85"/>
        <v>51.437496696047489</v>
      </c>
      <c r="W249" s="400">
        <f t="shared" si="86"/>
        <v>48.771229192431321</v>
      </c>
      <c r="X249" s="157">
        <f t="shared" si="87"/>
        <v>46257</v>
      </c>
      <c r="Y249" s="383">
        <f t="shared" si="88"/>
        <v>47.085679080304047</v>
      </c>
      <c r="Z249" s="383">
        <f t="shared" si="89"/>
        <v>49.644288243215684</v>
      </c>
      <c r="AA249" s="384">
        <f t="shared" si="90"/>
        <v>52.650042742030735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5.7089307857589706E-2</v>
      </c>
      <c r="AD249" s="230">
        <f>(INDEX(Models!$BJ249:$BT249,,AH249)*(1-AF249)+INDEX(Models!$BJ249:$BT249,,AH249+1)*AF249-ERP_i)*AE249*Ramure*Pc/MaxiM</f>
        <v>1.5671291255184704E-6</v>
      </c>
      <c r="AE249" s="304">
        <f t="shared" si="92"/>
        <v>0.6</v>
      </c>
      <c r="AF249" s="177">
        <f t="shared" si="93"/>
        <v>0.47643657122752403</v>
      </c>
      <c r="AG249" s="799">
        <f t="shared" si="99"/>
        <v>2</v>
      </c>
      <c r="AH249" s="176">
        <f t="shared" si="94"/>
        <v>8</v>
      </c>
      <c r="AI249" s="224">
        <f t="shared" si="95"/>
        <v>2.476436571227524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46258</v>
      </c>
      <c r="B250" s="409">
        <f>IF(t&gt;Tmaj,'2025'!Wh/'2025'!Env_an*'2026'!Env_an,0.001*'[10]mon-tableau (1)'!$B$265)</f>
        <v>49.315390723523208</v>
      </c>
      <c r="C250" s="829"/>
      <c r="D250" s="391">
        <f t="shared" si="77"/>
        <v>51.996157650186603</v>
      </c>
      <c r="E250" s="383">
        <f t="shared" si="100"/>
        <v>53.244642150326897</v>
      </c>
      <c r="F250" s="383">
        <f t="shared" si="78"/>
        <v>53.244650868830881</v>
      </c>
      <c r="G250" s="110">
        <f t="shared" si="101"/>
        <v>0.96129278440733079</v>
      </c>
      <c r="H250" s="412" t="b">
        <f>Wh_hp&gt;='2025'!Maxi_hp</f>
        <v>0</v>
      </c>
      <c r="I250" s="388">
        <f>IF(H250,Wh_hp,'2025'!Maxi_hp)</f>
        <v>54.747664261265655</v>
      </c>
      <c r="J250" s="85">
        <f>IF(H250,An,'2025'!An_max)</f>
        <v>2018</v>
      </c>
      <c r="K250" s="197">
        <f t="shared" si="79"/>
        <v>46258</v>
      </c>
      <c r="L250" s="147">
        <f>IF(t&lt;Tvie,1-EXP((T0-t)*PertePVj)+'2025'!Pspv,1-EXP((T0-t)*PertePVj)+Pspv)</f>
        <v>5.1557019745549937E-2</v>
      </c>
      <c r="M250" s="832"/>
      <c r="N250" s="832"/>
      <c r="O250" s="48">
        <f>IF(t&lt;Tnet,'2025'!Resal+('2025'!Salim-'2025'!Resal)*(1-EXP(('2025'!Tnet-t)/('2025'!Tau_j))),Resal+(Salim-Resal)*(1-EXP((Tnet-t)/(Tau_j))))*Salcycl</f>
        <v>2.3448077585260411E-2</v>
      </c>
      <c r="P250" s="169">
        <f>(INDEX(Models!$BJ250:$BT250,,T250)*(1-R250)+INDEX(Models!$BJ250:$BT250,,T250+1)*R250-ERP_i)*Q250*Ramure*Pc/MaxiM</f>
        <v>1.7332860294731648E-7</v>
      </c>
      <c r="Q250" s="304">
        <f t="shared" si="80"/>
        <v>0.6</v>
      </c>
      <c r="R250" s="177">
        <f t="shared" si="81"/>
        <v>0.95232832640320964</v>
      </c>
      <c r="S250" s="799">
        <f t="shared" si="82"/>
        <v>-2</v>
      </c>
      <c r="T250" s="176">
        <f t="shared" si="83"/>
        <v>4</v>
      </c>
      <c r="U250" s="250">
        <f t="shared" si="84"/>
        <v>-1.0476716735967904</v>
      </c>
      <c r="V250" s="382">
        <f t="shared" si="85"/>
        <v>51.301113511707335</v>
      </c>
      <c r="W250" s="400">
        <f t="shared" si="86"/>
        <v>49.315390723523208</v>
      </c>
      <c r="X250" s="157">
        <f t="shared" si="87"/>
        <v>46258</v>
      </c>
      <c r="Y250" s="383">
        <f t="shared" si="88"/>
        <v>47.61288658329962</v>
      </c>
      <c r="Z250" s="383">
        <f t="shared" si="89"/>
        <v>50.201105996404699</v>
      </c>
      <c r="AA250" s="384">
        <f t="shared" si="90"/>
        <v>53.244549442825168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5.7159718286067231E-2</v>
      </c>
      <c r="AD250" s="230">
        <f>(INDEX(Models!$BJ250:$BT250,,AH250)*(1-AF250)+INDEX(Models!$BJ250:$BT250,,AH250+1)*AF250-ERP_i)*AE250*Ramure*Pc/MaxiM</f>
        <v>2.016404180038472E-6</v>
      </c>
      <c r="AE250" s="304">
        <f t="shared" si="92"/>
        <v>0.6</v>
      </c>
      <c r="AF250" s="177">
        <f t="shared" si="93"/>
        <v>0.47731589277718856</v>
      </c>
      <c r="AG250" s="799">
        <f t="shared" si="99"/>
        <v>2</v>
      </c>
      <c r="AH250" s="176">
        <f t="shared" si="94"/>
        <v>8</v>
      </c>
      <c r="AI250" s="224">
        <f t="shared" si="95"/>
        <v>2.4773158927771886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46259</v>
      </c>
      <c r="B251" s="409">
        <f>IF(t&gt;Tmaj,'2025'!Wh/'2025'!Env_an*'2026'!Env_an,0.001*'[10]mon-tableau (1)'!$B$266)</f>
        <v>29.662915261566543</v>
      </c>
      <c r="C251" s="829"/>
      <c r="D251" s="391">
        <f t="shared" si="77"/>
        <v>31.275980077903274</v>
      </c>
      <c r="E251" s="383">
        <f t="shared" si="100"/>
        <v>32.03059457644197</v>
      </c>
      <c r="F251" s="383">
        <f t="shared" si="78"/>
        <v>32.030597380313907</v>
      </c>
      <c r="G251" s="110">
        <f t="shared" si="101"/>
        <v>0.57976011468575706</v>
      </c>
      <c r="H251" s="412" t="b">
        <f>Wh_hp&gt;='2025'!Maxi_hp</f>
        <v>0</v>
      </c>
      <c r="I251" s="388">
        <f>IF(H251,Wh_hp,'2025'!Maxi_hp)</f>
        <v>52.804588122486173</v>
      </c>
      <c r="J251" s="85">
        <f>IF(H251,An,'2025'!An_max)</f>
        <v>2021</v>
      </c>
      <c r="K251" s="197">
        <f t="shared" si="79"/>
        <v>46259</v>
      </c>
      <c r="L251" s="147">
        <f>IF(t&lt;Tvie,1-EXP((T0-t)*PertePVj)+'2025'!Pspv,1-EXP((T0-t)*PertePVj)+Pspv)</f>
        <v>5.1575196438891857E-2</v>
      </c>
      <c r="M251" s="832"/>
      <c r="N251" s="832"/>
      <c r="O251" s="48">
        <f>IF(t&lt;Tnet,'2025'!Resal+('2025'!Salim-'2025'!Resal)*(1-EXP(('2025'!Tnet-t)/('2025'!Tau_j))),Resal+(Salim-Resal)*(1-EXP((Tnet-t)/(Tau_j))))*Salcycl</f>
        <v>2.3559178607745895E-2</v>
      </c>
      <c r="P251" s="169">
        <f>(INDEX(Models!$BJ251:$BT251,,T251)*(1-R251)+INDEX(Models!$BJ251:$BT251,,T251+1)*R251-ERP_i)*Q251*Ramure*Pc/MaxiM</f>
        <v>2.1903083535755075E-7</v>
      </c>
      <c r="Q251" s="304">
        <f t="shared" si="80"/>
        <v>0.6</v>
      </c>
      <c r="R251" s="177">
        <f t="shared" si="81"/>
        <v>0.9531752915711742</v>
      </c>
      <c r="S251" s="799">
        <f t="shared" si="82"/>
        <v>-2</v>
      </c>
      <c r="T251" s="176">
        <f t="shared" si="83"/>
        <v>4</v>
      </c>
      <c r="U251" s="250">
        <f t="shared" si="84"/>
        <v>-1.0468247084288258</v>
      </c>
      <c r="V251" s="382">
        <f t="shared" si="85"/>
        <v>51.164111862304459</v>
      </c>
      <c r="W251" s="400">
        <f t="shared" si="86"/>
        <v>29.662915261566543</v>
      </c>
      <c r="X251" s="157">
        <f t="shared" si="87"/>
        <v>46259</v>
      </c>
      <c r="Y251" s="383">
        <f t="shared" si="88"/>
        <v>28.64002103693679</v>
      </c>
      <c r="Z251" s="383">
        <f t="shared" si="89"/>
        <v>30.1974610210534</v>
      </c>
      <c r="AA251" s="384">
        <f t="shared" si="90"/>
        <v>32.030564760379015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5.7229828853755237E-2</v>
      </c>
      <c r="AD251" s="230">
        <f>(INDEX(Models!$BJ251:$BT251,,AH251)*(1-AF251)+INDEX(Models!$BJ251:$BT251,,AH251+1)*AF251-ERP_i)*AE251*Ramure*Pc/MaxiM</f>
        <v>2.5481804281106282E-6</v>
      </c>
      <c r="AE251" s="304">
        <f t="shared" si="92"/>
        <v>0.6</v>
      </c>
      <c r="AF251" s="177">
        <f t="shared" si="93"/>
        <v>0.4781628579451529</v>
      </c>
      <c r="AG251" s="799">
        <f t="shared" si="99"/>
        <v>2</v>
      </c>
      <c r="AH251" s="176">
        <f t="shared" si="94"/>
        <v>8</v>
      </c>
      <c r="AI251" s="224">
        <f t="shared" si="95"/>
        <v>2.4781628579451529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46260</v>
      </c>
      <c r="B252" s="409">
        <f>IF(t&gt;Tmaj,'2025'!Wh/'2025'!Env_an*'2026'!Env_an,0.001*'[10]mon-tableau (1)'!$B$267)</f>
        <v>39.636920495485761</v>
      </c>
      <c r="C252" s="829"/>
      <c r="D252" s="391">
        <f t="shared" si="77"/>
        <v>41.793171154690263</v>
      </c>
      <c r="E252" s="383">
        <f t="shared" si="100"/>
        <v>42.806400631036361</v>
      </c>
      <c r="F252" s="383">
        <f t="shared" si="78"/>
        <v>42.806408558997852</v>
      </c>
      <c r="G252" s="110">
        <f t="shared" si="101"/>
        <v>0.77679701712434801</v>
      </c>
      <c r="H252" s="412" t="b">
        <f>Wh_hp&gt;='2025'!Maxi_hp</f>
        <v>0</v>
      </c>
      <c r="I252" s="388">
        <f>IF(H252,Wh_hp,'2025'!Maxi_hp)</f>
        <v>54.205725811203237</v>
      </c>
      <c r="J252" s="85">
        <f>IF(H252,An,'2025'!An_max)</f>
        <v>2020</v>
      </c>
      <c r="K252" s="197">
        <f t="shared" si="79"/>
        <v>46260</v>
      </c>
      <c r="L252" s="147">
        <f>IF(t&lt;Tvie,1-EXP((T0-t)*PertePVj)+'2025'!Pspv,1-EXP((T0-t)*PertePVj)+Pspv)</f>
        <v>5.1593372783881652E-2</v>
      </c>
      <c r="M252" s="832"/>
      <c r="N252" s="832"/>
      <c r="O252" s="48">
        <f>IF(t&lt;Tnet,'2025'!Resal+('2025'!Salim-'2025'!Resal)*(1-EXP(('2025'!Tnet-t)/('2025'!Tau_j))),Resal+(Salim-Resal)*(1-EXP((Tnet-t)/(Tau_j))))*Salcycl</f>
        <v>2.3670046100803626E-2</v>
      </c>
      <c r="P252" s="169">
        <f>(INDEX(Models!$BJ252:$BT252,,T252)*(1-R252)+INDEX(Models!$BJ252:$BT252,,T252+1)*R252-ERP_i)*Q252*Ramure*Pc/MaxiM</f>
        <v>2.7190499673796296E-7</v>
      </c>
      <c r="Q252" s="304">
        <f t="shared" si="80"/>
        <v>0.6</v>
      </c>
      <c r="R252" s="177">
        <f t="shared" si="81"/>
        <v>0.95399097757257789</v>
      </c>
      <c r="S252" s="799">
        <f t="shared" si="82"/>
        <v>-2</v>
      </c>
      <c r="T252" s="176">
        <f t="shared" si="83"/>
        <v>4</v>
      </c>
      <c r="U252" s="250">
        <f t="shared" si="84"/>
        <v>-1.0460090224274221</v>
      </c>
      <c r="V252" s="382">
        <f t="shared" si="85"/>
        <v>51.026093284572696</v>
      </c>
      <c r="W252" s="400">
        <f t="shared" si="86"/>
        <v>39.636920495485761</v>
      </c>
      <c r="X252" s="157">
        <f t="shared" si="87"/>
        <v>46260</v>
      </c>
      <c r="Y252" s="383">
        <f t="shared" si="88"/>
        <v>38.271555488409362</v>
      </c>
      <c r="Z252" s="383">
        <f t="shared" si="89"/>
        <v>40.353530215988492</v>
      </c>
      <c r="AA252" s="384">
        <f t="shared" si="90"/>
        <v>42.806316336648031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5.7299630768733595E-2</v>
      </c>
      <c r="AD252" s="230">
        <f>(INDEX(Models!$BJ252:$BT252,,AH252)*(1-AF252)+INDEX(Models!$BJ252:$BT252,,AH252+1)*AF252-ERP_i)*AE252*Ramure*Pc/MaxiM</f>
        <v>3.1629464595796584E-6</v>
      </c>
      <c r="AE252" s="304">
        <f t="shared" si="92"/>
        <v>0.6</v>
      </c>
      <c r="AF252" s="177">
        <f t="shared" si="93"/>
        <v>0.47897854394655681</v>
      </c>
      <c r="AG252" s="799">
        <f t="shared" si="99"/>
        <v>2</v>
      </c>
      <c r="AH252" s="176">
        <f t="shared" si="94"/>
        <v>8</v>
      </c>
      <c r="AI252" s="224">
        <f t="shared" si="95"/>
        <v>2.4789785439465568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46261</v>
      </c>
      <c r="B253" s="409">
        <f>IF(t&gt;Tmaj,'2025'!Wh/'2025'!Env_an*'2026'!Env_an,0.001*'[10]mon-tableau (1)'!$B$268)</f>
        <v>47.991174162348109</v>
      </c>
      <c r="C253" s="829"/>
      <c r="D253" s="391">
        <f t="shared" si="77"/>
        <v>50.602866473794812</v>
      </c>
      <c r="E253" s="383">
        <f t="shared" si="100"/>
        <v>51.835550889131191</v>
      </c>
      <c r="F253" s="383">
        <f t="shared" si="78"/>
        <v>51.835566700482502</v>
      </c>
      <c r="G253" s="110">
        <f t="shared" si="101"/>
        <v>0.94309929771993661</v>
      </c>
      <c r="H253" s="412" t="b">
        <f>Wh_hp&gt;='2025'!Maxi_hp</f>
        <v>1</v>
      </c>
      <c r="I253" s="388">
        <f>IF(H253,Wh_hp,'2025'!Maxi_hp)</f>
        <v>51.835566700482502</v>
      </c>
      <c r="J253" s="85">
        <f>IF(H253,An,'2025'!An_max)</f>
        <v>2026</v>
      </c>
      <c r="K253" s="197">
        <f t="shared" si="79"/>
        <v>46261</v>
      </c>
      <c r="L253" s="147">
        <f>IF(t&lt;Tvie,1-EXP((T0-t)*PertePVj)+'2025'!Pspv,1-EXP((T0-t)*PertePVj)+Pspv)</f>
        <v>5.1611548780525984E-2</v>
      </c>
      <c r="M253" s="832"/>
      <c r="N253" s="832"/>
      <c r="O253" s="48">
        <f>IF(t&lt;Tnet,'2025'!Resal+('2025'!Salim-'2025'!Resal)*(1-EXP(('2025'!Tnet-t)/('2025'!Tau_j))),Resal+(Salim-Resal)*(1-EXP((Tnet-t)/(Tau_j))))*Salcycl</f>
        <v>2.3780675505367242E-2</v>
      </c>
      <c r="P253" s="169">
        <f>(INDEX(Models!$BJ253:$BT253,,T253)*(1-R253)+INDEX(Models!$BJ253:$BT253,,T253+1)*R253-ERP_i)*Q253*Ramure*Pc/MaxiM</f>
        <v>3.3201761456243661E-7</v>
      </c>
      <c r="Q253" s="304">
        <f t="shared" si="80"/>
        <v>0.6</v>
      </c>
      <c r="R253" s="177">
        <f t="shared" si="81"/>
        <v>0.95477643440782511</v>
      </c>
      <c r="S253" s="799">
        <f t="shared" si="82"/>
        <v>-2</v>
      </c>
      <c r="T253" s="176">
        <f t="shared" si="83"/>
        <v>4</v>
      </c>
      <c r="U253" s="250">
        <f t="shared" si="84"/>
        <v>-1.0452235655921749</v>
      </c>
      <c r="V253" s="382">
        <f t="shared" si="85"/>
        <v>50.886659531141042</v>
      </c>
      <c r="W253" s="400">
        <f t="shared" si="86"/>
        <v>47.991174162348109</v>
      </c>
      <c r="X253" s="157">
        <f t="shared" si="87"/>
        <v>46261</v>
      </c>
      <c r="Y253" s="383">
        <f t="shared" si="88"/>
        <v>46.339808243989879</v>
      </c>
      <c r="Z253" s="383">
        <f t="shared" si="89"/>
        <v>48.861632788130628</v>
      </c>
      <c r="AA253" s="384">
        <f t="shared" si="90"/>
        <v>51.835382822257515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5.7369114921439264E-2</v>
      </c>
      <c r="AD253" s="230">
        <f>(INDEX(Models!$BJ253:$BT253,,AH253)*(1-AF253)+INDEX(Models!$BJ253:$BT253,,AH253+1)*AF253-ERP_i)*AE253*Ramure*Pc/MaxiM</f>
        <v>3.8612012611987324E-6</v>
      </c>
      <c r="AE253" s="304">
        <f t="shared" si="92"/>
        <v>0.6</v>
      </c>
      <c r="AF253" s="177">
        <f t="shared" si="93"/>
        <v>0.47976400078180381</v>
      </c>
      <c r="AG253" s="799">
        <f t="shared" si="99"/>
        <v>2</v>
      </c>
      <c r="AH253" s="176">
        <f t="shared" si="94"/>
        <v>8</v>
      </c>
      <c r="AI253" s="224">
        <f t="shared" si="95"/>
        <v>2.4797640007818038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46262</v>
      </c>
      <c r="B254" s="409">
        <f>IF(t&gt;Tmaj,'2025'!Wh/'2025'!Env_an*'2026'!Env_an,0.001*'[10]mon-tableau (1)'!$B$269)</f>
        <v>49.06658948117046</v>
      </c>
      <c r="C254" s="829"/>
      <c r="D254" s="391">
        <f t="shared" si="77"/>
        <v>51.737797720009155</v>
      </c>
      <c r="E254" s="383">
        <f t="shared" si="100"/>
        <v>53.004122501239735</v>
      </c>
      <c r="F254" s="383">
        <f t="shared" si="78"/>
        <v>53.004142788610949</v>
      </c>
      <c r="G254" s="110">
        <f t="shared" si="101"/>
        <v>0.96691673541842993</v>
      </c>
      <c r="H254" s="412" t="b">
        <f>Wh_hp&gt;='2025'!Maxi_hp</f>
        <v>0</v>
      </c>
      <c r="I254" s="388">
        <f>IF(H254,Wh_hp,'2025'!Maxi_hp)</f>
        <v>55.753732502644198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5.1629724428831403E-2</v>
      </c>
      <c r="M254" s="832"/>
      <c r="N254" s="832"/>
      <c r="O254" s="48">
        <f>IF(t&lt;Tnet,'2025'!Resal+('2025'!Salim-'2025'!Resal)*(1-EXP(('2025'!Tnet-t)/('2025'!Tau_j))),Resal+(Salim-Resal)*(1-EXP((Tnet-t)/(Tau_j))))*Salcycl</f>
        <v>2.3891062081085483E-2</v>
      </c>
      <c r="P254" s="169">
        <f>(INDEX(Models!$BJ254:$BT254,,T254)*(1-R254)+INDEX(Models!$BJ254:$BT254,,T254+1)*R254-ERP_i)*Q254*Ramure*Pc/MaxiM</f>
        <v>4.0173750040241385E-7</v>
      </c>
      <c r="Q254" s="304">
        <f t="shared" si="80"/>
        <v>0.6</v>
      </c>
      <c r="R254" s="177">
        <f t="shared" si="81"/>
        <v>0.95553268486038512</v>
      </c>
      <c r="S254" s="799">
        <f t="shared" si="82"/>
        <v>-2</v>
      </c>
      <c r="T254" s="176">
        <f t="shared" si="83"/>
        <v>4</v>
      </c>
      <c r="U254" s="250">
        <f t="shared" si="84"/>
        <v>-1.0444673151396149</v>
      </c>
      <c r="V254" s="382">
        <f t="shared" si="85"/>
        <v>50.745412456138467</v>
      </c>
      <c r="W254" s="400">
        <f t="shared" si="86"/>
        <v>49.06658948117046</v>
      </c>
      <c r="X254" s="157">
        <f t="shared" si="87"/>
        <v>46262</v>
      </c>
      <c r="Y254" s="383">
        <f t="shared" si="88"/>
        <v>47.380061044648663</v>
      </c>
      <c r="Z254" s="383">
        <f t="shared" si="89"/>
        <v>49.959453881147205</v>
      </c>
      <c r="AA254" s="384">
        <f t="shared" si="90"/>
        <v>53.003906683781054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5.7438271876767824E-2</v>
      </c>
      <c r="AD254" s="230">
        <f>(INDEX(Models!$BJ254:$BT254,,AH254)*(1-AF254)+INDEX(Models!$BJ254:$BT254,,AH254+1)*AF254-ERP_i)*AE254*Ramure*Pc/MaxiM</f>
        <v>4.6754290241745892E-6</v>
      </c>
      <c r="AE254" s="304">
        <f t="shared" si="92"/>
        <v>0.6</v>
      </c>
      <c r="AF254" s="177">
        <f t="shared" si="93"/>
        <v>0.48052025123436382</v>
      </c>
      <c r="AG254" s="799">
        <f t="shared" si="99"/>
        <v>2</v>
      </c>
      <c r="AH254" s="176">
        <f t="shared" si="94"/>
        <v>8</v>
      </c>
      <c r="AI254" s="224">
        <f t="shared" si="95"/>
        <v>2.4805202512343638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46263</v>
      </c>
      <c r="B255" s="409">
        <f>IF(t&gt;Tmaj,'2025'!Wh/'2025'!Env_an*'2026'!Env_an,0.001*'[10]mon-tableau (1)'!$B$270)</f>
        <v>33.737618691236641</v>
      </c>
      <c r="C255" s="829"/>
      <c r="D255" s="391">
        <f t="shared" si="77"/>
        <v>35.574992327837805</v>
      </c>
      <c r="E255" s="383">
        <f t="shared" si="100"/>
        <v>36.449832070089101</v>
      </c>
      <c r="F255" s="383">
        <f t="shared" si="78"/>
        <v>36.449841215228325</v>
      </c>
      <c r="G255" s="110">
        <f t="shared" si="101"/>
        <v>0.66672545413090423</v>
      </c>
      <c r="H255" s="412" t="b">
        <f>Wh_hp&gt;='2025'!Maxi_hp</f>
        <v>0</v>
      </c>
      <c r="I255" s="388">
        <f>IF(H255,Wh_hp,'2025'!Maxi_hp)</f>
        <v>55.057615254458725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5.164789972880468E-2</v>
      </c>
      <c r="M255" s="832"/>
      <c r="N255" s="832"/>
      <c r="O255" s="48">
        <f>IF(t&lt;Tnet,'2025'!Resal+('2025'!Salim-'2025'!Resal)*(1-EXP(('2025'!Tnet-t)/('2025'!Tau_j))),Resal+(Salim-Resal)*(1-EXP((Tnet-t)/(Tau_j))))*Salcycl</f>
        <v>2.4001200899062426E-2</v>
      </c>
      <c r="P255" s="169">
        <f>(INDEX(Models!$BJ255:$BT255,,T255)*(1-R255)+INDEX(Models!$BJ255:$BT255,,T255+1)*R255-ERP_i)*Q255*Ramure*Pc/MaxiM</f>
        <v>4.7890733147824242E-7</v>
      </c>
      <c r="Q255" s="304">
        <f t="shared" si="80"/>
        <v>0.6</v>
      </c>
      <c r="R255" s="177">
        <f t="shared" si="81"/>
        <v>0.95626072456267952</v>
      </c>
      <c r="S255" s="799">
        <f t="shared" si="82"/>
        <v>-2</v>
      </c>
      <c r="T255" s="176">
        <f t="shared" si="83"/>
        <v>4</v>
      </c>
      <c r="U255" s="250">
        <f t="shared" si="84"/>
        <v>-1.0437392754373205</v>
      </c>
      <c r="V255" s="382">
        <f t="shared" si="85"/>
        <v>50.601954357167422</v>
      </c>
      <c r="W255" s="400">
        <f t="shared" si="86"/>
        <v>33.737618691236641</v>
      </c>
      <c r="X255" s="157">
        <f t="shared" si="87"/>
        <v>46263</v>
      </c>
      <c r="Y255" s="383">
        <f t="shared" si="88"/>
        <v>32.579324275343566</v>
      </c>
      <c r="Z255" s="383">
        <f t="shared" si="89"/>
        <v>34.353616411064017</v>
      </c>
      <c r="AA255" s="384">
        <f t="shared" si="90"/>
        <v>36.449734649891013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5.7507091861182205E-2</v>
      </c>
      <c r="AD255" s="230">
        <f>(INDEX(Models!$BJ255:$BT255,,AH255)*(1-AF255)+INDEX(Models!$BJ255:$BT255,,AH255+1)*AF255-ERP_i)*AE255*Ramure*Pc/MaxiM</f>
        <v>5.5805515997498324E-6</v>
      </c>
      <c r="AE255" s="304">
        <f t="shared" si="92"/>
        <v>0.6</v>
      </c>
      <c r="AF255" s="177">
        <f t="shared" si="93"/>
        <v>0.48124829093665822</v>
      </c>
      <c r="AG255" s="799">
        <f t="shared" si="99"/>
        <v>2</v>
      </c>
      <c r="AH255" s="176">
        <f t="shared" si="94"/>
        <v>8</v>
      </c>
      <c r="AI255" s="224">
        <f t="shared" si="95"/>
        <v>2.4812482909366582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46264</v>
      </c>
      <c r="B256" s="409">
        <f>IF(t&gt;Tmaj,'2025'!Wh/'2025'!Env_an*'2026'!Env_an,0.001*'[10]mon-tableau (1)'!$B$271)</f>
        <v>48.413905991918085</v>
      </c>
      <c r="C256" s="829"/>
      <c r="D256" s="391">
        <f t="shared" si="77"/>
        <v>51.051538597656617</v>
      </c>
      <c r="E256" s="383">
        <f t="shared" si="100"/>
        <v>52.312858470706594</v>
      </c>
      <c r="F256" s="383">
        <f t="shared" si="78"/>
        <v>52.312886249390615</v>
      </c>
      <c r="G256" s="110">
        <f t="shared" si="101"/>
        <v>0.95952933705857901</v>
      </c>
      <c r="H256" s="412" t="b">
        <f>Wh_hp&gt;='2025'!Maxi_hp</f>
        <v>0</v>
      </c>
      <c r="I256" s="388">
        <f>IF(H256,Wh_hp,'2025'!Maxi_hp)</f>
        <v>53.730779388968067</v>
      </c>
      <c r="J256" s="85">
        <f>IF(H256,An,'2025'!An_max)</f>
        <v>2021</v>
      </c>
      <c r="K256" s="197">
        <f t="shared" si="79"/>
        <v>46264</v>
      </c>
      <c r="L256" s="147">
        <f>IF(t&lt;Tvie,1-EXP((T0-t)*PertePVj)+'2025'!Pspv,1-EXP((T0-t)*PertePVj)+Pspv)</f>
        <v>5.1666074680452478E-2</v>
      </c>
      <c r="M256" s="832"/>
      <c r="N256" s="832"/>
      <c r="O256" s="48">
        <f>IF(t&lt;Tnet,'2025'!Resal+('2025'!Salim-'2025'!Resal)*(1-EXP(('2025'!Tnet-t)/('2025'!Tau_j))),Resal+(Salim-Resal)*(1-EXP((Tnet-t)/(Tau_j))))*Salcycl</f>
        <v>2.4111086832623974E-2</v>
      </c>
      <c r="P256" s="169">
        <f>(INDEX(Models!$BJ256:$BT256,,T256)*(1-R256)+INDEX(Models!$BJ256:$BT256,,T256+1)*R256-ERP_i)*Q256*Ramure*Pc/MaxiM</f>
        <v>5.6359468221104278E-7</v>
      </c>
      <c r="Q256" s="304">
        <f t="shared" si="80"/>
        <v>0.6</v>
      </c>
      <c r="R256" s="177">
        <f t="shared" si="81"/>
        <v>0.95696152212385432</v>
      </c>
      <c r="S256" s="799">
        <f t="shared" si="82"/>
        <v>-2</v>
      </c>
      <c r="T256" s="176">
        <f t="shared" si="83"/>
        <v>4</v>
      </c>
      <c r="U256" s="250">
        <f t="shared" si="84"/>
        <v>-1.0430384778761457</v>
      </c>
      <c r="V256" s="382">
        <f t="shared" si="85"/>
        <v>50.455887636322252</v>
      </c>
      <c r="W256" s="400">
        <f t="shared" si="86"/>
        <v>48.413905991918085</v>
      </c>
      <c r="X256" s="157">
        <f t="shared" si="87"/>
        <v>46264</v>
      </c>
      <c r="Y256" s="383">
        <f t="shared" si="88"/>
        <v>46.753466385364284</v>
      </c>
      <c r="Z256" s="383">
        <f t="shared" si="89"/>
        <v>49.300636766327209</v>
      </c>
      <c r="AA256" s="384">
        <f t="shared" si="90"/>
        <v>52.312562070829777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5.7575564745318775E-2</v>
      </c>
      <c r="AD256" s="230">
        <f>(INDEX(Models!$BJ256:$BT256,,AH256)*(1-AF256)+INDEX(Models!$BJ256:$BT256,,AH256+1)*AF256-ERP_i)*AE256*Ramure*Pc/MaxiM</f>
        <v>6.5771766890963169E-6</v>
      </c>
      <c r="AE256" s="304">
        <f t="shared" si="92"/>
        <v>0.6</v>
      </c>
      <c r="AF256" s="177">
        <f t="shared" si="93"/>
        <v>0.48194908849783324</v>
      </c>
      <c r="AG256" s="799">
        <f t="shared" si="99"/>
        <v>2</v>
      </c>
      <c r="AH256" s="176">
        <f t="shared" si="94"/>
        <v>8</v>
      </c>
      <c r="AI256" s="224">
        <f t="shared" si="95"/>
        <v>2.4819490884978332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46265</v>
      </c>
      <c r="B257" s="409">
        <f>IF(t&gt;Tmaj,'2025'!Wh/'2025'!Env_an*'2026'!Env_an,0.001*'[10]mon-tableau (1)'!$B$272)</f>
        <v>25.086661586303091</v>
      </c>
      <c r="C257" s="829"/>
      <c r="D257" s="391">
        <f t="shared" si="77"/>
        <v>26.453912177833498</v>
      </c>
      <c r="E257" s="383">
        <f t="shared" si="100"/>
        <v>27.110549047506897</v>
      </c>
      <c r="F257" s="383">
        <f t="shared" si="78"/>
        <v>27.110554094079838</v>
      </c>
      <c r="G257" s="110">
        <f t="shared" si="101"/>
        <v>0.49867298991075171</v>
      </c>
      <c r="H257" s="412" t="b">
        <f>Wh_hp&gt;='2025'!Maxi_hp</f>
        <v>0</v>
      </c>
      <c r="I257" s="388">
        <f>IF(H257,Wh_hp,'2025'!Maxi_hp)</f>
        <v>53.216072891494655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5.1684249283781458E-2</v>
      </c>
      <c r="M257" s="832"/>
      <c r="N257" s="832"/>
      <c r="O257" s="48">
        <f>IF(t&lt;Tnet,'2025'!Resal+('2025'!Salim-'2025'!Resal)*(1-EXP(('2025'!Tnet-t)/('2025'!Tau_j))),Resal+(Salim-Resal)*(1-EXP((Tnet-t)/(Tau_j))))*Salcycl</f>
        <v>2.4220714546309936E-2</v>
      </c>
      <c r="P257" s="169">
        <f>(INDEX(Models!$BJ257:$BT257,,T257)*(1-R257)+INDEX(Models!$BJ257:$BT257,,T257+1)*R257-ERP_i)*Q257*Ramure*Pc/MaxiM</f>
        <v>6.5586863268390316E-7</v>
      </c>
      <c r="Q257" s="304">
        <f t="shared" si="80"/>
        <v>0.6</v>
      </c>
      <c r="R257" s="177">
        <f t="shared" si="81"/>
        <v>0.95763601931355447</v>
      </c>
      <c r="S257" s="799">
        <f t="shared" si="82"/>
        <v>-2</v>
      </c>
      <c r="T257" s="176">
        <f t="shared" si="83"/>
        <v>4</v>
      </c>
      <c r="U257" s="250">
        <f t="shared" si="84"/>
        <v>-1.0423639806864455</v>
      </c>
      <c r="V257" s="382">
        <f t="shared" si="85"/>
        <v>50.306814907031246</v>
      </c>
      <c r="W257" s="400">
        <f t="shared" si="86"/>
        <v>25.086661586303091</v>
      </c>
      <c r="X257" s="157">
        <f t="shared" si="87"/>
        <v>46265</v>
      </c>
      <c r="Y257" s="383">
        <f t="shared" si="88"/>
        <v>24.227330309507128</v>
      </c>
      <c r="Z257" s="383">
        <f t="shared" si="89"/>
        <v>25.547746403251615</v>
      </c>
      <c r="AA257" s="384">
        <f t="shared" si="90"/>
        <v>27.110495108544672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5.7643680022668072E-2</v>
      </c>
      <c r="AD257" s="230">
        <f>(INDEX(Models!$BJ257:$BT257,,AH257)*(1-AF257)+INDEX(Models!$BJ257:$BT257,,AH257+1)*AF257-ERP_i)*AE257*Ramure*Pc/MaxiM</f>
        <v>7.6659473187088934E-6</v>
      </c>
      <c r="AE257" s="304">
        <f t="shared" si="92"/>
        <v>0.6</v>
      </c>
      <c r="AF257" s="177">
        <f t="shared" si="93"/>
        <v>0.48262358568753339</v>
      </c>
      <c r="AG257" s="799">
        <f t="shared" si="99"/>
        <v>2</v>
      </c>
      <c r="AH257" s="176">
        <f t="shared" si="94"/>
        <v>8</v>
      </c>
      <c r="AI257" s="224">
        <f t="shared" si="95"/>
        <v>2.4826235856875334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46266</v>
      </c>
      <c r="B258" s="409">
        <f>IF(t&gt;Tmaj,'2025'!Wh/'2025'!Env_an*'2026'!Env_an,0.001*'[11]mon-tableau (3)'!$B$235)</f>
        <v>39.348117302625226</v>
      </c>
      <c r="C258" s="829"/>
      <c r="D258" s="391">
        <f t="shared" si="77"/>
        <v>41.493428096127907</v>
      </c>
      <c r="E258" s="383">
        <f t="shared" si="100"/>
        <v>42.528141107011699</v>
      </c>
      <c r="F258" s="383">
        <f t="shared" si="78"/>
        <v>42.528163356289333</v>
      </c>
      <c r="G258" s="110">
        <f t="shared" si="101"/>
        <v>0.78454045919611426</v>
      </c>
      <c r="H258" s="412" t="b">
        <f>Wh_hp&gt;='2025'!Maxi_hp</f>
        <v>0</v>
      </c>
      <c r="I258" s="388">
        <f>IF(H258,Wh_hp,'2025'!Maxi_hp)</f>
        <v>44.616826041056136</v>
      </c>
      <c r="J258" s="85">
        <f>IF(H258,An,'2025'!An_max)</f>
        <v>2020</v>
      </c>
      <c r="K258" s="197">
        <f t="shared" si="79"/>
        <v>46266</v>
      </c>
      <c r="L258" s="147">
        <f>IF(t&lt;Tvie,1-EXP((T0-t)*PertePVj)+'2025'!Pspv,1-EXP((T0-t)*PertePVj)+Pspv)</f>
        <v>5.1702423538798392E-2</v>
      </c>
      <c r="M258" s="832"/>
      <c r="N258" s="832"/>
      <c r="O258" s="48">
        <f>IF(t&lt;Tnet,'2025'!Resal+('2025'!Salim-'2025'!Resal)*(1-EXP(('2025'!Tnet-t)/('2025'!Tau_j))),Resal+(Salim-Resal)*(1-EXP((Tnet-t)/(Tau_j))))*Salcycl</f>
        <v>2.4330078483331592E-2</v>
      </c>
      <c r="P258" s="169">
        <f>(INDEX(Models!$BJ258:$BT258,,T258)*(1-R258)+INDEX(Models!$BJ258:$BT258,,T258+1)*R258-ERP_i)*Q258*Ramure*Pc/MaxiM</f>
        <v>7.5580040064927002E-7</v>
      </c>
      <c r="Q258" s="304">
        <f t="shared" si="80"/>
        <v>0.6</v>
      </c>
      <c r="R258" s="177">
        <f t="shared" si="81"/>
        <v>0.95828513129617598</v>
      </c>
      <c r="S258" s="799">
        <f t="shared" si="82"/>
        <v>-2</v>
      </c>
      <c r="T258" s="176">
        <f t="shared" si="83"/>
        <v>4</v>
      </c>
      <c r="U258" s="250">
        <f t="shared" si="84"/>
        <v>-1.041714868703824</v>
      </c>
      <c r="V258" s="382">
        <f t="shared" si="85"/>
        <v>50.154338998912166</v>
      </c>
      <c r="W258" s="400">
        <f t="shared" si="86"/>
        <v>39.348117302625226</v>
      </c>
      <c r="X258" s="157">
        <f t="shared" si="87"/>
        <v>46266</v>
      </c>
      <c r="Y258" s="383">
        <f t="shared" si="88"/>
        <v>38.001656933230734</v>
      </c>
      <c r="Z258" s="383">
        <f t="shared" si="89"/>
        <v>40.073556947222173</v>
      </c>
      <c r="AA258" s="384">
        <f t="shared" si="90"/>
        <v>42.527902901861999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5.7711426784986627E-2</v>
      </c>
      <c r="AD258" s="230">
        <f>(INDEX(Models!$BJ258:$BT258,,AH258)*(1-AF258)+INDEX(Models!$BJ258:$BT258,,AH258+1)*AF258-ERP_i)*AE258*Ramure*Pc/MaxiM</f>
        <v>8.847548390117984E-6</v>
      </c>
      <c r="AE258" s="304">
        <f t="shared" si="92"/>
        <v>0.6</v>
      </c>
      <c r="AF258" s="177">
        <f t="shared" si="93"/>
        <v>0.4832726976701549</v>
      </c>
      <c r="AG258" s="799">
        <f t="shared" si="99"/>
        <v>2</v>
      </c>
      <c r="AH258" s="176">
        <f t="shared" si="94"/>
        <v>8</v>
      </c>
      <c r="AI258" s="224">
        <f t="shared" si="95"/>
        <v>2.4832726976701549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46267</v>
      </c>
      <c r="B259" s="409">
        <f>IF(t&gt;Tmaj,'2025'!Wh/'2025'!Env_an*'2026'!Env_an,0.001*'[11]mon-tableau (3)'!$B$236)</f>
        <v>37.485191649819811</v>
      </c>
      <c r="C259" s="829"/>
      <c r="D259" s="391">
        <f t="shared" si="77"/>
        <v>39.529690878913541</v>
      </c>
      <c r="E259" s="383">
        <f t="shared" si="100"/>
        <v>40.519965315199542</v>
      </c>
      <c r="F259" s="383">
        <f t="shared" si="78"/>
        <v>40.519987793844628</v>
      </c>
      <c r="G259" s="110">
        <f t="shared" si="101"/>
        <v>0.74973264693078412</v>
      </c>
      <c r="H259" s="412" t="b">
        <f>Wh_hp&gt;='2025'!Maxi_hp</f>
        <v>0</v>
      </c>
      <c r="I259" s="388">
        <f>IF(H259,Wh_hp,'2025'!Maxi_hp)</f>
        <v>52.82794412076764</v>
      </c>
      <c r="J259" s="85">
        <f>IF(H259,An,'2025'!An_max)</f>
        <v>2018</v>
      </c>
      <c r="K259" s="197">
        <f t="shared" si="79"/>
        <v>46267</v>
      </c>
      <c r="L259" s="147">
        <f>IF(t&lt;Tvie,1-EXP((T0-t)*PertePVj)+'2025'!Pspv,1-EXP((T0-t)*PertePVj)+Pspv)</f>
        <v>5.1720597445509831E-2</v>
      </c>
      <c r="M259" s="832"/>
      <c r="N259" s="832"/>
      <c r="O259" s="48">
        <f>IF(t&lt;Tnet,'2025'!Resal+('2025'!Salim-'2025'!Resal)*(1-EXP(('2025'!Tnet-t)/('2025'!Tau_j))),Resal+(Salim-Resal)*(1-EXP((Tnet-t)/(Tau_j))))*Salcycl</f>
        <v>2.4439172851772932E-2</v>
      </c>
      <c r="P259" s="169">
        <f>(INDEX(Models!$BJ259:$BT259,,T259)*(1-R259)+INDEX(Models!$BJ259:$BT259,,T259+1)*R259-ERP_i)*Q259*Ramure*Pc/MaxiM</f>
        <v>8.6346398121394958E-7</v>
      </c>
      <c r="Q259" s="304">
        <f t="shared" si="80"/>
        <v>0.6</v>
      </c>
      <c r="R259" s="177">
        <f t="shared" si="81"/>
        <v>0.95890974691038267</v>
      </c>
      <c r="S259" s="799">
        <f t="shared" si="82"/>
        <v>-2</v>
      </c>
      <c r="T259" s="176">
        <f t="shared" si="83"/>
        <v>4</v>
      </c>
      <c r="U259" s="250">
        <f t="shared" si="84"/>
        <v>-1.0410902530896173</v>
      </c>
      <c r="V259" s="382">
        <f t="shared" si="85"/>
        <v>49.998062951151624</v>
      </c>
      <c r="W259" s="400">
        <f t="shared" si="86"/>
        <v>37.485191649819811</v>
      </c>
      <c r="X259" s="157">
        <f t="shared" si="87"/>
        <v>46267</v>
      </c>
      <c r="Y259" s="383">
        <f t="shared" si="88"/>
        <v>36.203926400805251</v>
      </c>
      <c r="Z259" s="383">
        <f t="shared" si="89"/>
        <v>38.178543479146057</v>
      </c>
      <c r="AA259" s="384">
        <f t="shared" si="90"/>
        <v>40.519724268224934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5.7778793695168459E-2</v>
      </c>
      <c r="AD259" s="230">
        <f>(INDEX(Models!$BJ259:$BT259,,AH259)*(1-AF259)+INDEX(Models!$BJ259:$BT259,,AH259+1)*AF259-ERP_i)*AE259*Ramure*Pc/MaxiM</f>
        <v>1.0122713351812491E-5</v>
      </c>
      <c r="AE259" s="304">
        <f t="shared" si="92"/>
        <v>0.6</v>
      </c>
      <c r="AF259" s="177">
        <f t="shared" si="93"/>
        <v>0.48389731328436136</v>
      </c>
      <c r="AG259" s="799">
        <f t="shared" si="99"/>
        <v>2</v>
      </c>
      <c r="AH259" s="176">
        <f t="shared" si="94"/>
        <v>8</v>
      </c>
      <c r="AI259" s="224">
        <f t="shared" si="95"/>
        <v>2.4838973132843614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46268</v>
      </c>
      <c r="B260" s="409">
        <f>IF(t&gt;Tmaj,'2025'!Wh/'2025'!Env_an*'2026'!Env_an,0.001*'[11]mon-tableau (3)'!$B$237)</f>
        <v>38.992292618557144</v>
      </c>
      <c r="C260" s="829"/>
      <c r="D260" s="391">
        <f t="shared" si="77"/>
        <v>41.119779472412063</v>
      </c>
      <c r="E260" s="383">
        <f t="shared" si="100"/>
        <v>42.154589993898938</v>
      </c>
      <c r="F260" s="383">
        <f t="shared" si="78"/>
        <v>42.154618431800877</v>
      </c>
      <c r="G260" s="110">
        <f t="shared" si="101"/>
        <v>0.78238696408410457</v>
      </c>
      <c r="H260" s="412" t="b">
        <f>Wh_hp&gt;='2025'!Maxi_hp</f>
        <v>0</v>
      </c>
      <c r="I260" s="388">
        <f>IF(H260,Wh_hp,'2025'!Maxi_hp)</f>
        <v>55.63834028982383</v>
      </c>
      <c r="J260" s="85">
        <f>IF(H260,An,'2025'!An_max)</f>
        <v>2020</v>
      </c>
      <c r="K260" s="197">
        <f t="shared" si="79"/>
        <v>46268</v>
      </c>
      <c r="L260" s="147">
        <f>IF(t&lt;Tvie,1-EXP((T0-t)*PertePVj)+'2025'!Pspv,1-EXP((T0-t)*PertePVj)+Pspv)</f>
        <v>5.1738771003922435E-2</v>
      </c>
      <c r="M260" s="832"/>
      <c r="N260" s="832"/>
      <c r="O260" s="48">
        <f>IF(t&lt;Tnet,'2025'!Resal+('2025'!Salim-'2025'!Resal)*(1-EXP(('2025'!Tnet-t)/('2025'!Tau_j))),Resal+(Salim-Resal)*(1-EXP((Tnet-t)/(Tau_j))))*Salcycl</f>
        <v>2.4547991609849409E-2</v>
      </c>
      <c r="P260" s="169">
        <f>(INDEX(Models!$BJ260:$BT260,,T260)*(1-R260)+INDEX(Models!$BJ260:$BT260,,T260+1)*R260-ERP_i)*Q260*Ramure*Pc/MaxiM</f>
        <v>9.7893679484425544E-7</v>
      </c>
      <c r="Q260" s="304">
        <f t="shared" si="80"/>
        <v>0.6</v>
      </c>
      <c r="R260" s="177">
        <f t="shared" si="81"/>
        <v>0.95951072898900813</v>
      </c>
      <c r="S260" s="799">
        <f t="shared" si="82"/>
        <v>-2</v>
      </c>
      <c r="T260" s="176">
        <f t="shared" si="83"/>
        <v>4</v>
      </c>
      <c r="U260" s="250">
        <f t="shared" si="84"/>
        <v>-1.0404892710109919</v>
      </c>
      <c r="V260" s="382">
        <f t="shared" si="85"/>
        <v>49.837590018862869</v>
      </c>
      <c r="W260" s="400">
        <f t="shared" si="86"/>
        <v>38.992292618557144</v>
      </c>
      <c r="X260" s="157">
        <f t="shared" si="87"/>
        <v>46268</v>
      </c>
      <c r="Y260" s="383">
        <f t="shared" si="88"/>
        <v>37.660988952579316</v>
      </c>
      <c r="Z260" s="383">
        <f t="shared" si="89"/>
        <v>39.715837578270424</v>
      </c>
      <c r="AA260" s="384">
        <f t="shared" si="90"/>
        <v>42.154284584978392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5.7845768958368349E-2</v>
      </c>
      <c r="AD260" s="230">
        <f>(INDEX(Models!$BJ260:$BT260,,AH260)*(1-AF260)+INDEX(Models!$BJ260:$BT260,,AH260+1)*AF260-ERP_i)*AE260*Ramure*Pc/MaxiM</f>
        <v>1.1492231003240971E-5</v>
      </c>
      <c r="AE260" s="304">
        <f t="shared" si="92"/>
        <v>0.6</v>
      </c>
      <c r="AF260" s="177">
        <f t="shared" si="93"/>
        <v>0.48449829536298683</v>
      </c>
      <c r="AG260" s="799">
        <f t="shared" si="99"/>
        <v>2</v>
      </c>
      <c r="AH260" s="176">
        <f t="shared" si="94"/>
        <v>8</v>
      </c>
      <c r="AI260" s="224">
        <f t="shared" si="95"/>
        <v>2.4844982953629868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46269</v>
      </c>
      <c r="B261" s="409">
        <f>IF(t&gt;Tmaj,'2025'!Wh/'2025'!Env_an*'2026'!Env_an,0.001*'[11]mon-tableau (3)'!$B$238)</f>
        <v>48.48499101653757</v>
      </c>
      <c r="C261" s="829"/>
      <c r="D261" s="391">
        <f t="shared" si="77"/>
        <v>51.131395817447341</v>
      </c>
      <c r="E261" s="383">
        <f t="shared" si="100"/>
        <v>52.423989403671335</v>
      </c>
      <c r="F261" s="383">
        <f t="shared" si="78"/>
        <v>52.424045212590357</v>
      </c>
      <c r="G261" s="110">
        <f t="shared" si="101"/>
        <v>0.97606043718793412</v>
      </c>
      <c r="H261" s="412" t="b">
        <f>Wh_hp&gt;='2025'!Maxi_hp</f>
        <v>0</v>
      </c>
      <c r="I261" s="388">
        <f>IF(H261,Wh_hp,'2025'!Maxi_hp)</f>
        <v>54.520522140500951</v>
      </c>
      <c r="J261" s="85">
        <f>IF(H261,An,'2025'!An_max)</f>
        <v>2018</v>
      </c>
      <c r="K261" s="197">
        <f t="shared" si="79"/>
        <v>46269</v>
      </c>
      <c r="L261" s="147">
        <f>IF(t&lt;Tvie,1-EXP((T0-t)*PertePVj)+'2025'!Pspv,1-EXP((T0-t)*PertePVj)+Pspv)</f>
        <v>5.1756944214042977E-2</v>
      </c>
      <c r="M261" s="832"/>
      <c r="N261" s="832"/>
      <c r="O261" s="48">
        <f>IF(t&lt;Tnet,'2025'!Resal+('2025'!Salim-'2025'!Resal)*(1-EXP(('2025'!Tnet-t)/('2025'!Tau_j))),Resal+(Salim-Resal)*(1-EXP((Tnet-t)/(Tau_j))))*Salcycl</f>
        <v>2.4656528450569891E-2</v>
      </c>
      <c r="P261" s="169">
        <f>(INDEX(Models!$BJ261:$BT261,,T261)*(1-R261)+INDEX(Models!$BJ261:$BT261,,T261+1)*R261-ERP_i)*Q261*Ramure*Pc/MaxiM</f>
        <v>1.1022638781918909E-6</v>
      </c>
      <c r="Q261" s="304">
        <f t="shared" si="80"/>
        <v>0.6</v>
      </c>
      <c r="R261" s="177">
        <f t="shared" si="81"/>
        <v>0.9600889147147722</v>
      </c>
      <c r="S261" s="799">
        <f t="shared" si="82"/>
        <v>-2</v>
      </c>
      <c r="T261" s="176">
        <f t="shared" si="83"/>
        <v>4</v>
      </c>
      <c r="U261" s="250">
        <f t="shared" si="84"/>
        <v>-1.0399110852852278</v>
      </c>
      <c r="V261" s="382">
        <f t="shared" si="85"/>
        <v>49.67416703057809</v>
      </c>
      <c r="W261" s="400">
        <f t="shared" si="86"/>
        <v>48.48499101653757</v>
      </c>
      <c r="X261" s="157">
        <f t="shared" si="87"/>
        <v>46269</v>
      </c>
      <c r="Y261" s="383">
        <f t="shared" si="88"/>
        <v>46.831285694771978</v>
      </c>
      <c r="Z261" s="383">
        <f t="shared" si="89"/>
        <v>49.387428053407241</v>
      </c>
      <c r="AA261" s="384">
        <f t="shared" si="90"/>
        <v>52.423389208522856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5.791234029222276E-2</v>
      </c>
      <c r="AD261" s="230">
        <f>(INDEX(Models!$BJ261:$BT261,,AH261)*(1-AF261)+INDEX(Models!$BJ261:$BT261,,AH261+1)*AF261-ERP_i)*AE261*Ramure*Pc/MaxiM</f>
        <v>1.2956523800341662E-5</v>
      </c>
      <c r="AE261" s="304">
        <f t="shared" si="92"/>
        <v>0.6</v>
      </c>
      <c r="AF261" s="177">
        <f t="shared" si="93"/>
        <v>0.4850764810887509</v>
      </c>
      <c r="AG261" s="799">
        <f t="shared" si="99"/>
        <v>2</v>
      </c>
      <c r="AH261" s="176">
        <f t="shared" si="94"/>
        <v>8</v>
      </c>
      <c r="AI261" s="224">
        <f t="shared" si="95"/>
        <v>2.4850764810887509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46270</v>
      </c>
      <c r="B262" s="409">
        <f>IF(t&gt;Tmaj,'2025'!Wh/'2025'!Env_an*'2026'!Env_an,0.001*'[11]mon-tableau (3)'!$B$239)</f>
        <v>42.83628403139263</v>
      </c>
      <c r="C262" s="829"/>
      <c r="D262" s="391">
        <f t="shared" si="77"/>
        <v>45.175237227792138</v>
      </c>
      <c r="E262" s="383">
        <f t="shared" si="100"/>
        <v>46.322401152534354</v>
      </c>
      <c r="F262" s="383">
        <f t="shared" si="78"/>
        <v>46.322447190735318</v>
      </c>
      <c r="G262" s="110">
        <f t="shared" si="101"/>
        <v>0.86522009261745514</v>
      </c>
      <c r="H262" s="412" t="b">
        <f>Wh_hp&gt;='2025'!Maxi_hp</f>
        <v>0</v>
      </c>
      <c r="I262" s="388">
        <f>IF(H262,Wh_hp,'2025'!Maxi_hp)</f>
        <v>54.53002186266891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5.1775117075878119E-2</v>
      </c>
      <c r="M262" s="832"/>
      <c r="N262" s="832"/>
      <c r="O262" s="48">
        <f>IF(t&lt;Tnet,'2025'!Resal+('2025'!Salim-'2025'!Resal)*(1-EXP(('2025'!Tnet-t)/('2025'!Tau_j))),Resal+(Salim-Resal)*(1-EXP((Tnet-t)/(Tau_j))))*Salcycl</f>
        <v>2.4764776786175946E-2</v>
      </c>
      <c r="P262" s="169">
        <f>(INDEX(Models!$BJ262:$BT262,,T262)*(1-R262)+INDEX(Models!$BJ262:$BT262,,T262+1)*R262-ERP_i)*Q262*Ramure*Pc/MaxiM</f>
        <v>1.2308556967544689E-6</v>
      </c>
      <c r="Q262" s="304">
        <f t="shared" si="80"/>
        <v>0.6</v>
      </c>
      <c r="R262" s="177">
        <f t="shared" si="81"/>
        <v>0.96064511600754421</v>
      </c>
      <c r="S262" s="799">
        <f t="shared" si="82"/>
        <v>-2</v>
      </c>
      <c r="T262" s="176">
        <f t="shared" si="83"/>
        <v>4</v>
      </c>
      <c r="U262" s="250">
        <f t="shared" si="84"/>
        <v>-1.0393548839924558</v>
      </c>
      <c r="V262" s="382">
        <f t="shared" si="85"/>
        <v>49.509106694390589</v>
      </c>
      <c r="W262" s="400">
        <f t="shared" si="86"/>
        <v>42.83628403139263</v>
      </c>
      <c r="X262" s="157">
        <f t="shared" si="87"/>
        <v>46270</v>
      </c>
      <c r="Y262" s="383">
        <f t="shared" si="88"/>
        <v>41.376959873562164</v>
      </c>
      <c r="Z262" s="383">
        <f t="shared" si="89"/>
        <v>43.636230833728497</v>
      </c>
      <c r="AA262" s="384">
        <f t="shared" si="90"/>
        <v>46.321905176633983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5.7978494897058148E-2</v>
      </c>
      <c r="AD262" s="230">
        <f>(INDEX(Models!$BJ262:$BT262,,AH262)*(1-AF262)+INDEX(Models!$BJ262:$BT262,,AH262+1)*AF262-ERP_i)*AE262*Ramure*Pc/MaxiM</f>
        <v>1.4491034193556771E-5</v>
      </c>
      <c r="AE262" s="304">
        <f t="shared" si="92"/>
        <v>0.6</v>
      </c>
      <c r="AF262" s="177">
        <f t="shared" si="93"/>
        <v>0.48563268238152268</v>
      </c>
      <c r="AG262" s="799">
        <f t="shared" si="99"/>
        <v>2</v>
      </c>
      <c r="AH262" s="176">
        <f t="shared" si="94"/>
        <v>8</v>
      </c>
      <c r="AI262" s="224">
        <f t="shared" si="95"/>
        <v>2.4856326823815227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46271</v>
      </c>
      <c r="B263" s="409">
        <f>IF(t&gt;Tmaj,'2025'!Wh/'2025'!Env_an*'2026'!Env_an,0.001*'[11]mon-tableau (3)'!$B$240)</f>
        <v>44.078956567399686</v>
      </c>
      <c r="C263" s="829"/>
      <c r="D263" s="391">
        <f t="shared" si="77"/>
        <v>46.48665326183346</v>
      </c>
      <c r="E263" s="383">
        <f t="shared" si="100"/>
        <v>47.67239588027654</v>
      </c>
      <c r="F263" s="383">
        <f t="shared" si="78"/>
        <v>47.672450832779887</v>
      </c>
      <c r="G263" s="110">
        <f t="shared" si="101"/>
        <v>0.89333322358238221</v>
      </c>
      <c r="H263" s="412" t="b">
        <f>Wh_hp&gt;='2025'!Maxi_hp</f>
        <v>0</v>
      </c>
      <c r="I263" s="388">
        <f>IF(H263,Wh_hp,'2025'!Maxi_hp)</f>
        <v>55.510997901314788</v>
      </c>
      <c r="J263" s="85">
        <f>IF(H263,An,'2025'!An_max)</f>
        <v>2018</v>
      </c>
      <c r="K263" s="197">
        <f t="shared" si="79"/>
        <v>46271</v>
      </c>
      <c r="L263" s="147">
        <f>IF(t&lt;Tvie,1-EXP((T0-t)*PertePVj)+'2025'!Pspv,1-EXP((T0-t)*PertePVj)+Pspv)</f>
        <v>5.1793289589434521E-2</v>
      </c>
      <c r="M263" s="832"/>
      <c r="N263" s="832"/>
      <c r="O263" s="48">
        <f>IF(t&lt;Tnet,'2025'!Resal+('2025'!Salim-'2025'!Resal)*(1-EXP(('2025'!Tnet-t)/('2025'!Tau_j))),Resal+(Salim-Resal)*(1-EXP((Tnet-t)/(Tau_j))))*Salcycl</f>
        <v>2.4872729732756206E-2</v>
      </c>
      <c r="P263" s="169">
        <f>(INDEX(Models!$BJ263:$BT263,,T263)*(1-R263)+INDEX(Models!$BJ263:$BT263,,T263+1)*R263-ERP_i)*Q263*Ramure*Pc/MaxiM</f>
        <v>1.3599384069129987E-6</v>
      </c>
      <c r="Q263" s="304">
        <f t="shared" si="80"/>
        <v>0.6</v>
      </c>
      <c r="R263" s="177">
        <f t="shared" si="81"/>
        <v>0.96118011993917585</v>
      </c>
      <c r="S263" s="799">
        <f t="shared" si="82"/>
        <v>-2</v>
      </c>
      <c r="T263" s="176">
        <f t="shared" si="83"/>
        <v>4</v>
      </c>
      <c r="U263" s="250">
        <f t="shared" si="84"/>
        <v>-1.0388198800608242</v>
      </c>
      <c r="V263" s="382">
        <f t="shared" si="85"/>
        <v>49.342111397366395</v>
      </c>
      <c r="W263" s="400">
        <f t="shared" si="86"/>
        <v>44.078956567399686</v>
      </c>
      <c r="X263" s="157">
        <f t="shared" si="87"/>
        <v>46271</v>
      </c>
      <c r="Y263" s="383">
        <f t="shared" si="88"/>
        <v>42.578966431250748</v>
      </c>
      <c r="Z263" s="383">
        <f t="shared" si="89"/>
        <v>44.904730122416467</v>
      </c>
      <c r="AA263" s="384">
        <f t="shared" si="90"/>
        <v>47.671802698743406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5.8044219427008922E-2</v>
      </c>
      <c r="AD263" s="230">
        <f>(INDEX(Models!$BJ263:$BT263,,AH263)*(1-AF263)+INDEX(Models!$BJ263:$BT263,,AH263+1)*AF263-ERP_i)*AE263*Ramure*Pc/MaxiM</f>
        <v>1.6039712757680591E-5</v>
      </c>
      <c r="AE263" s="304">
        <f t="shared" si="92"/>
        <v>0.6</v>
      </c>
      <c r="AF263" s="177">
        <f t="shared" si="93"/>
        <v>0.48616768631315477</v>
      </c>
      <c r="AG263" s="799">
        <f t="shared" si="99"/>
        <v>2</v>
      </c>
      <c r="AH263" s="176">
        <f t="shared" si="94"/>
        <v>8</v>
      </c>
      <c r="AI263" s="224">
        <f t="shared" si="95"/>
        <v>2.4861676863131548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46272</v>
      </c>
      <c r="B264" s="409">
        <f>IF(t&gt;Tmaj,'2025'!Wh/'2025'!Env_an*'2026'!Env_an,0.001*'[11]mon-tableau (3)'!$B$241)</f>
        <v>36.875212572783951</v>
      </c>
      <c r="C264" s="829"/>
      <c r="D264" s="391">
        <f t="shared" si="77"/>
        <v>38.890169080745551</v>
      </c>
      <c r="E264" s="383">
        <f t="shared" si="100"/>
        <v>39.88655026711448</v>
      </c>
      <c r="F264" s="383">
        <f t="shared" si="78"/>
        <v>39.886588452333513</v>
      </c>
      <c r="G264" s="110">
        <f t="shared" si="101"/>
        <v>0.74990910353366835</v>
      </c>
      <c r="H264" s="412" t="b">
        <f>Wh_hp&gt;='2025'!Maxi_hp</f>
        <v>0</v>
      </c>
      <c r="I264" s="388">
        <f>IF(H264,Wh_hp,'2025'!Maxi_hp)</f>
        <v>52.173352901498127</v>
      </c>
      <c r="J264" s="85">
        <f>IF(H264,An,'2025'!An_max)</f>
        <v>2018</v>
      </c>
      <c r="K264" s="197">
        <f t="shared" si="79"/>
        <v>46272</v>
      </c>
      <c r="L264" s="147">
        <f>IF(t&lt;Tvie,1-EXP((T0-t)*PertePVj)+'2025'!Pspv,1-EXP((T0-t)*PertePVj)+Pspv)</f>
        <v>5.1811461754718846E-2</v>
      </c>
      <c r="M264" s="832"/>
      <c r="N264" s="832"/>
      <c r="O264" s="48">
        <f>IF(t&lt;Tnet,'2025'!Resal+('2025'!Salim-'2025'!Resal)*(1-EXP(('2025'!Tnet-t)/('2025'!Tau_j))),Resal+(Salim-Resal)*(1-EXP((Tnet-t)/(Tau_j))))*Salcycl</f>
        <v>2.4980380095453454E-2</v>
      </c>
      <c r="P264" s="169">
        <f>(INDEX(Models!$BJ264:$BT264,,T264)*(1-R264)+INDEX(Models!$BJ264:$BT264,,T264+1)*R264-ERP_i)*Q264*Ramure*Pc/MaxiM</f>
        <v>1.489502607580327E-6</v>
      </c>
      <c r="Q264" s="304">
        <f t="shared" si="80"/>
        <v>0.6</v>
      </c>
      <c r="R264" s="177">
        <f t="shared" si="81"/>
        <v>0.96169468917221357</v>
      </c>
      <c r="S264" s="799">
        <f t="shared" si="82"/>
        <v>-2</v>
      </c>
      <c r="T264" s="176">
        <f t="shared" si="83"/>
        <v>4</v>
      </c>
      <c r="U264" s="250">
        <f t="shared" si="84"/>
        <v>-1.0383053108277864</v>
      </c>
      <c r="V264" s="382">
        <f t="shared" si="85"/>
        <v>49.172883454238843</v>
      </c>
      <c r="W264" s="400">
        <f t="shared" si="86"/>
        <v>36.875212572783951</v>
      </c>
      <c r="X264" s="157">
        <f t="shared" si="87"/>
        <v>46272</v>
      </c>
      <c r="Y264" s="383">
        <f t="shared" si="88"/>
        <v>35.62190134198439</v>
      </c>
      <c r="Z264" s="383">
        <f t="shared" si="89"/>
        <v>37.568373699081327</v>
      </c>
      <c r="AA264" s="384">
        <f t="shared" si="90"/>
        <v>39.886137186440585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5.8109499962989329E-2</v>
      </c>
      <c r="AD264" s="230">
        <f>(INDEX(Models!$BJ264:$BT264,,AH264)*(1-AF264)+INDEX(Models!$BJ264:$BT264,,AH264+1)*AF264-ERP_i)*AE264*Ramure*Pc/MaxiM</f>
        <v>1.7602667767513121E-5</v>
      </c>
      <c r="AE264" s="304">
        <f t="shared" si="92"/>
        <v>0.6</v>
      </c>
      <c r="AF264" s="177">
        <f t="shared" si="93"/>
        <v>0.48668225554619227</v>
      </c>
      <c r="AG264" s="799">
        <f t="shared" si="99"/>
        <v>2</v>
      </c>
      <c r="AH264" s="176">
        <f t="shared" si="94"/>
        <v>8</v>
      </c>
      <c r="AI264" s="224">
        <f t="shared" si="95"/>
        <v>2.4866822555461923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46273</v>
      </c>
      <c r="B265" s="409">
        <f>IF(t&gt;Tmaj,'2025'!Wh/'2025'!Env_an*'2026'!Env_an,0.001*'[11]mon-tableau (3)'!$B$242)</f>
        <v>36.677604419854418</v>
      </c>
      <c r="C265" s="829"/>
      <c r="D265" s="391">
        <f t="shared" si="77"/>
        <v>38.682504451197076</v>
      </c>
      <c r="E265" s="383">
        <f t="shared" si="100"/>
        <v>39.67793334726553</v>
      </c>
      <c r="F265" s="383">
        <f t="shared" si="78"/>
        <v>39.677974520141248</v>
      </c>
      <c r="G265" s="110">
        <f t="shared" si="101"/>
        <v>0.74850491337251912</v>
      </c>
      <c r="H265" s="412" t="b">
        <f>Wh_hp&gt;='2025'!Maxi_hp</f>
        <v>0</v>
      </c>
      <c r="I265" s="388">
        <f>IF(H265,Wh_hp,'2025'!Maxi_hp)</f>
        <v>51.203240442877672</v>
      </c>
      <c r="J265" s="85">
        <f>IF(H265,An,'2025'!An_max)</f>
        <v>2020</v>
      </c>
      <c r="K265" s="197">
        <f t="shared" si="79"/>
        <v>46273</v>
      </c>
      <c r="L265" s="147">
        <f>IF(t&lt;Tvie,1-EXP((T0-t)*PertePVj)+'2025'!Pspv,1-EXP((T0-t)*PertePVj)+Pspv)</f>
        <v>5.1829633571737754E-2</v>
      </c>
      <c r="M265" s="832"/>
      <c r="N265" s="832"/>
      <c r="O265" s="48">
        <f>IF(t&lt;Tnet,'2025'!Resal+('2025'!Salim-'2025'!Resal)*(1-EXP(('2025'!Tnet-t)/('2025'!Tau_j))),Resal+(Salim-Resal)*(1-EXP((Tnet-t)/(Tau_j))))*Salcycl</f>
        <v>2.5087720354695777E-2</v>
      </c>
      <c r="P265" s="169">
        <f>(INDEX(Models!$BJ265:$BT265,,T265)*(1-R265)+INDEX(Models!$BJ265:$BT265,,T265+1)*R265-ERP_i)*Q265*Ramure*Pc/MaxiM</f>
        <v>1.6195416463506566E-6</v>
      </c>
      <c r="Q265" s="304">
        <f t="shared" si="80"/>
        <v>0.6</v>
      </c>
      <c r="R265" s="177">
        <f t="shared" si="81"/>
        <v>0.96218956241905929</v>
      </c>
      <c r="S265" s="799">
        <f t="shared" si="82"/>
        <v>-2</v>
      </c>
      <c r="T265" s="176">
        <f t="shared" si="83"/>
        <v>4</v>
      </c>
      <c r="U265" s="250">
        <f t="shared" si="84"/>
        <v>-1.0378104375809407</v>
      </c>
      <c r="V265" s="382">
        <f t="shared" si="85"/>
        <v>49.00112534082286</v>
      </c>
      <c r="W265" s="400">
        <f t="shared" si="86"/>
        <v>36.677604419854418</v>
      </c>
      <c r="X265" s="157">
        <f t="shared" si="87"/>
        <v>46273</v>
      </c>
      <c r="Y265" s="383">
        <f t="shared" si="88"/>
        <v>35.4324401326325</v>
      </c>
      <c r="Z265" s="383">
        <f t="shared" si="89"/>
        <v>37.369276015349179</v>
      </c>
      <c r="AA265" s="384">
        <f t="shared" si="90"/>
        <v>39.677486914825671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5.8174321988472895E-2</v>
      </c>
      <c r="AD265" s="230">
        <f>(INDEX(Models!$BJ265:$BT265,,AH265)*(1-AF265)+INDEX(Models!$BJ265:$BT265,,AH265+1)*AF265-ERP_i)*AE265*Ramure*Pc/MaxiM</f>
        <v>1.9180033013880271E-5</v>
      </c>
      <c r="AE265" s="304">
        <f t="shared" si="92"/>
        <v>0.6</v>
      </c>
      <c r="AF265" s="177">
        <f t="shared" si="93"/>
        <v>0.48717712879303798</v>
      </c>
      <c r="AG265" s="799">
        <f t="shared" si="99"/>
        <v>2</v>
      </c>
      <c r="AH265" s="176">
        <f t="shared" si="94"/>
        <v>8</v>
      </c>
      <c r="AI265" s="224">
        <f t="shared" si="95"/>
        <v>2.487177128793038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46274</v>
      </c>
      <c r="B266" s="409">
        <f>IF(t&gt;Tmaj,'2025'!Wh/'2025'!Env_an*'2026'!Env_an,0.001*'[11]mon-tableau (3)'!$B$243)</f>
        <v>20.253023788396437</v>
      </c>
      <c r="C266" s="829"/>
      <c r="D266" s="391">
        <f t="shared" si="77"/>
        <v>21.360519857533518</v>
      </c>
      <c r="E266" s="383">
        <f t="shared" si="100"/>
        <v>21.912602231636722</v>
      </c>
      <c r="F266" s="383">
        <f t="shared" si="78"/>
        <v>21.912608520488444</v>
      </c>
      <c r="G266" s="110">
        <f t="shared" si="101"/>
        <v>0.41479478749712612</v>
      </c>
      <c r="H266" s="412" t="b">
        <f>Wh_hp&gt;='2025'!Maxi_hp</f>
        <v>0</v>
      </c>
      <c r="I266" s="388">
        <f>IF(H266,Wh_hp,'2025'!Maxi_hp)</f>
        <v>51.228956112547721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5.1847805040497907E-2</v>
      </c>
      <c r="M266" s="832"/>
      <c r="N266" s="832"/>
      <c r="O266" s="48">
        <f>IF(t&lt;Tnet,'2025'!Resal+('2025'!Salim-'2025'!Resal)*(1-EXP(('2025'!Tnet-t)/('2025'!Tau_j))),Resal+(Salim-Resal)*(1-EXP((Tnet-t)/(Tau_j))))*Salcycl</f>
        <v>2.51947426538928E-2</v>
      </c>
      <c r="P266" s="169">
        <f>(INDEX(Models!$BJ266:$BT266,,T266)*(1-R266)+INDEX(Models!$BJ266:$BT266,,T266+1)*R266-ERP_i)*Q266*Ramure*Pc/MaxiM</f>
        <v>1.7500515870964108E-6</v>
      </c>
      <c r="Q266" s="304">
        <f t="shared" si="80"/>
        <v>0.6</v>
      </c>
      <c r="R266" s="177">
        <f t="shared" si="81"/>
        <v>0.96266545491841438</v>
      </c>
      <c r="S266" s="799">
        <f t="shared" si="82"/>
        <v>-2</v>
      </c>
      <c r="T266" s="176">
        <f t="shared" si="83"/>
        <v>4</v>
      </c>
      <c r="U266" s="250">
        <f t="shared" si="84"/>
        <v>-1.0373345450815856</v>
      </c>
      <c r="V266" s="382">
        <f t="shared" si="85"/>
        <v>48.826539695240989</v>
      </c>
      <c r="W266" s="400">
        <f t="shared" si="86"/>
        <v>20.253023788396437</v>
      </c>
      <c r="X266" s="157">
        <f t="shared" si="87"/>
        <v>46274</v>
      </c>
      <c r="Y266" s="383">
        <f t="shared" si="88"/>
        <v>19.566426185141371</v>
      </c>
      <c r="Z266" s="383">
        <f t="shared" si="89"/>
        <v>20.636377038579866</v>
      </c>
      <c r="AA266" s="384">
        <f t="shared" si="90"/>
        <v>21.9125338759304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5.8238670369030944E-2</v>
      </c>
      <c r="AD266" s="230">
        <f>(INDEX(Models!$BJ266:$BT266,,AH266)*(1-AF266)+INDEX(Models!$BJ266:$BT266,,AH266+1)*AF266-ERP_i)*AE266*Ramure*Pc/MaxiM</f>
        <v>2.0771968090260579E-5</v>
      </c>
      <c r="AE266" s="304">
        <f t="shared" si="92"/>
        <v>0.6</v>
      </c>
      <c r="AF266" s="177">
        <f t="shared" si="93"/>
        <v>0.48765302129239307</v>
      </c>
      <c r="AG266" s="799">
        <f t="shared" si="99"/>
        <v>2</v>
      </c>
      <c r="AH266" s="176">
        <f t="shared" si="94"/>
        <v>8</v>
      </c>
      <c r="AI266" s="224">
        <f t="shared" si="95"/>
        <v>2.4876530212923931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46275</v>
      </c>
      <c r="B267" s="409">
        <f>IF(t&gt;Tmaj,'2025'!Wh/'2025'!Env_an*'2026'!Env_an,0.001*'[11]mon-tableau (3)'!$B$244)</f>
        <v>47.041711247173609</v>
      </c>
      <c r="C267" s="829"/>
      <c r="D267" s="391">
        <f t="shared" si="77"/>
        <v>49.615043933031487</v>
      </c>
      <c r="E267" s="383">
        <f t="shared" si="100"/>
        <v>50.902962113117411</v>
      </c>
      <c r="F267" s="383">
        <f t="shared" si="78"/>
        <v>50.903053344609674</v>
      </c>
      <c r="G267" s="110">
        <f t="shared" si="101"/>
        <v>0.96696483210992046</v>
      </c>
      <c r="H267" s="412" t="b">
        <f>Wh_hp&gt;='2025'!Maxi_hp</f>
        <v>1</v>
      </c>
      <c r="I267" s="388">
        <f>IF(H267,Wh_hp,'2025'!Maxi_hp)</f>
        <v>50.903053344609674</v>
      </c>
      <c r="J267" s="85">
        <f>IF(H267,An,'2025'!An_max)</f>
        <v>2026</v>
      </c>
      <c r="K267" s="197">
        <f t="shared" si="79"/>
        <v>46275</v>
      </c>
      <c r="L267" s="147">
        <f>IF(t&lt;Tvie,1-EXP((T0-t)*PertePVj)+'2025'!Pspv,1-EXP((T0-t)*PertePVj)+Pspv)</f>
        <v>5.1865976161006078E-2</v>
      </c>
      <c r="M267" s="832"/>
      <c r="N267" s="832"/>
      <c r="O267" s="48">
        <f>IF(t&lt;Tnet,'2025'!Resal+('2025'!Salim-'2025'!Resal)*(1-EXP(('2025'!Tnet-t)/('2025'!Tau_j))),Resal+(Salim-Resal)*(1-EXP((Tnet-t)/(Tau_j))))*Salcycl</f>
        <v>2.5301438789041241E-2</v>
      </c>
      <c r="P267" s="169">
        <f>(INDEX(Models!$BJ267:$BT267,,T267)*(1-R267)+INDEX(Models!$BJ267:$BT267,,T267+1)*R267-ERP_i)*Q267*Ramure*Pc/MaxiM</f>
        <v>1.8810311787594185E-6</v>
      </c>
      <c r="Q267" s="304">
        <f t="shared" si="80"/>
        <v>0.6</v>
      </c>
      <c r="R267" s="177">
        <f t="shared" si="81"/>
        <v>0.9631230589260793</v>
      </c>
      <c r="S267" s="799">
        <f t="shared" si="82"/>
        <v>-2</v>
      </c>
      <c r="T267" s="176">
        <f t="shared" si="83"/>
        <v>4</v>
      </c>
      <c r="U267" s="250">
        <f t="shared" si="84"/>
        <v>-1.0368769410739207</v>
      </c>
      <c r="V267" s="382">
        <f t="shared" si="85"/>
        <v>48.648829315291387</v>
      </c>
      <c r="W267" s="400">
        <f t="shared" si="86"/>
        <v>47.041711247173609</v>
      </c>
      <c r="X267" s="157">
        <f t="shared" si="87"/>
        <v>46275</v>
      </c>
      <c r="Y267" s="383">
        <f t="shared" si="88"/>
        <v>45.448097581416249</v>
      </c>
      <c r="Z267" s="383">
        <f t="shared" si="89"/>
        <v>47.934254481657497</v>
      </c>
      <c r="AA267" s="384">
        <f t="shared" si="90"/>
        <v>50.901967962054158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5.8302529336567106E-2</v>
      </c>
      <c r="AD267" s="230">
        <f>(INDEX(Models!$BJ267:$BT267,,AH267)*(1-AF267)+INDEX(Models!$BJ267:$BT267,,AH267+1)*AF267-ERP_i)*AE267*Ramure*Pc/MaxiM</f>
        <v>2.2378658696769785E-5</v>
      </c>
      <c r="AE267" s="304">
        <f t="shared" si="92"/>
        <v>0.6</v>
      </c>
      <c r="AF267" s="177">
        <f t="shared" si="93"/>
        <v>0.48811062530005822</v>
      </c>
      <c r="AG267" s="799">
        <f t="shared" si="99"/>
        <v>2</v>
      </c>
      <c r="AH267" s="176">
        <f t="shared" si="94"/>
        <v>8</v>
      </c>
      <c r="AI267" s="224">
        <f t="shared" si="95"/>
        <v>2.4881106253000582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46276</v>
      </c>
      <c r="B268" s="409">
        <f>IF(t&gt;Tmaj,'2025'!Wh/'2025'!Env_an*'2026'!Env_an,0.001*'[11]mon-tableau (3)'!$B$245)</f>
        <v>47.44737272785428</v>
      </c>
      <c r="C268" s="829"/>
      <c r="D268" s="391">
        <f t="shared" si="77"/>
        <v>50.043855478613956</v>
      </c>
      <c r="E268" s="383">
        <f t="shared" si="100"/>
        <v>51.348508113361348</v>
      </c>
      <c r="F268" s="383">
        <f t="shared" si="78"/>
        <v>51.348608556862466</v>
      </c>
      <c r="G268" s="110">
        <f t="shared" si="101"/>
        <v>0.97894830649761999</v>
      </c>
      <c r="H268" s="412" t="b">
        <f>Wh_hp&gt;='2025'!Maxi_hp</f>
        <v>1</v>
      </c>
      <c r="I268" s="388">
        <f>IF(H268,Wh_hp,'2025'!Maxi_hp)</f>
        <v>51.348608556862466</v>
      </c>
      <c r="J268" s="85">
        <f>IF(H268,An,'2025'!An_max)</f>
        <v>2026</v>
      </c>
      <c r="K268" s="197">
        <f t="shared" si="79"/>
        <v>46276</v>
      </c>
      <c r="L268" s="147">
        <f>IF(t&lt;Tvie,1-EXP((T0-t)*PertePVj)+'2025'!Pspv,1-EXP((T0-t)*PertePVj)+Pspv)</f>
        <v>5.1884146933268815E-2</v>
      </c>
      <c r="M268" s="832"/>
      <c r="N268" s="832"/>
      <c r="O268" s="48">
        <f>IF(t&lt;Tnet,'2025'!Resal+('2025'!Salim-'2025'!Resal)*(1-EXP(('2025'!Tnet-t)/('2025'!Tau_j))),Resal+(Salim-Resal)*(1-EXP((Tnet-t)/(Tau_j))))*Salcycl</f>
        <v>2.5407800200682146E-2</v>
      </c>
      <c r="P268" s="169">
        <f>(INDEX(Models!$BJ268:$BT268,,T268)*(1-R268)+INDEX(Models!$BJ268:$BT268,,T268+1)*R268-ERP_i)*Q268*Ramure*Pc/MaxiM</f>
        <v>2.0167610974754393E-6</v>
      </c>
      <c r="Q268" s="304">
        <f t="shared" si="80"/>
        <v>0.6</v>
      </c>
      <c r="R268" s="177">
        <f t="shared" si="81"/>
        <v>0.96356304421741612</v>
      </c>
      <c r="S268" s="799">
        <f t="shared" si="82"/>
        <v>-2</v>
      </c>
      <c r="T268" s="176">
        <f t="shared" si="83"/>
        <v>4</v>
      </c>
      <c r="U268" s="250">
        <f t="shared" si="84"/>
        <v>-1.0364369557825839</v>
      </c>
      <c r="V268" s="382">
        <f t="shared" si="85"/>
        <v>48.467696951069961</v>
      </c>
      <c r="W268" s="400">
        <f t="shared" si="86"/>
        <v>47.44737272785428</v>
      </c>
      <c r="X268" s="157">
        <f t="shared" si="87"/>
        <v>46276</v>
      </c>
      <c r="Y268" s="383">
        <f t="shared" si="88"/>
        <v>45.841851502571551</v>
      </c>
      <c r="Z268" s="383">
        <f t="shared" si="89"/>
        <v>48.350474632708277</v>
      </c>
      <c r="AA268" s="384">
        <f t="shared" si="90"/>
        <v>51.34741162523575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5.8365882479158276E-2</v>
      </c>
      <c r="AD268" s="230">
        <f>(INDEX(Models!$BJ268:$BT268,,AH268)*(1-AF268)+INDEX(Models!$BJ268:$BT268,,AH268+1)*AF268-ERP_i)*AE268*Ramure*Pc/MaxiM</f>
        <v>2.403266626723129E-5</v>
      </c>
      <c r="AE268" s="304">
        <f t="shared" si="92"/>
        <v>0.6</v>
      </c>
      <c r="AF268" s="177">
        <f t="shared" si="93"/>
        <v>0.48855061059139482</v>
      </c>
      <c r="AG268" s="799">
        <f t="shared" si="99"/>
        <v>2</v>
      </c>
      <c r="AH268" s="176">
        <f t="shared" si="94"/>
        <v>8</v>
      </c>
      <c r="AI268" s="224">
        <f t="shared" si="95"/>
        <v>2.4885506105913948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46277</v>
      </c>
      <c r="B269" s="409">
        <f>IF(t&gt;Tmaj,'2025'!Wh/'2025'!Env_an*'2026'!Env_an,0.001*'[11]mon-tableau (3)'!$B$246)</f>
        <v>37.197945641193726</v>
      </c>
      <c r="C269" s="829"/>
      <c r="D269" s="391">
        <f t="shared" si="77"/>
        <v>39.234296552132655</v>
      </c>
      <c r="E269" s="383">
        <f t="shared" si="100"/>
        <v>40.261521687610994</v>
      </c>
      <c r="F269" s="383">
        <f t="shared" si="78"/>
        <v>40.261579991408013</v>
      </c>
      <c r="G269" s="110">
        <f t="shared" si="101"/>
        <v>0.77041687804050918</v>
      </c>
      <c r="H269" s="412" t="b">
        <f>Wh_hp&gt;='2025'!Maxi_hp</f>
        <v>0</v>
      </c>
      <c r="I269" s="388">
        <f>IF(H269,Wh_hp,'2025'!Maxi_hp)</f>
        <v>51.806611892360216</v>
      </c>
      <c r="J269" s="85">
        <f>IF(H269,An,'2025'!An_max)</f>
        <v>2018</v>
      </c>
      <c r="K269" s="197">
        <f t="shared" si="79"/>
        <v>46277</v>
      </c>
      <c r="L269" s="147">
        <f>IF(t&lt;Tvie,1-EXP((T0-t)*PertePVj)+'2025'!Pspv,1-EXP((T0-t)*PertePVj)+Pspv)</f>
        <v>5.1902317357292782E-2</v>
      </c>
      <c r="M269" s="832"/>
      <c r="N269" s="832"/>
      <c r="O269" s="48">
        <f>IF(t&lt;Tnet,'2025'!Resal+('2025'!Salim-'2025'!Resal)*(1-EXP(('2025'!Tnet-t)/('2025'!Tau_j))),Resal+(Salim-Resal)*(1-EXP((Tnet-t)/(Tau_j))))*Salcycl</f>
        <v>2.5513817968644537E-2</v>
      </c>
      <c r="P269" s="169">
        <f>(INDEX(Models!$BJ269:$BT269,,T269)*(1-R269)+INDEX(Models!$BJ269:$BT269,,T269+1)*R269-ERP_i)*Q269*Ramure*Pc/MaxiM</f>
        <v>2.1548679756754532E-6</v>
      </c>
      <c r="Q269" s="304">
        <f t="shared" si="80"/>
        <v>0.6</v>
      </c>
      <c r="R269" s="177">
        <f t="shared" si="81"/>
        <v>0.96398605859900299</v>
      </c>
      <c r="S269" s="799">
        <f t="shared" si="82"/>
        <v>-2</v>
      </c>
      <c r="T269" s="176">
        <f t="shared" si="83"/>
        <v>4</v>
      </c>
      <c r="U269" s="250">
        <f t="shared" si="84"/>
        <v>-1.036013941400997</v>
      </c>
      <c r="V269" s="382">
        <f t="shared" si="85"/>
        <v>48.282845835848534</v>
      </c>
      <c r="W269" s="400">
        <f t="shared" si="86"/>
        <v>37.197945641193726</v>
      </c>
      <c r="X269" s="157">
        <f t="shared" si="87"/>
        <v>46277</v>
      </c>
      <c r="Y269" s="383">
        <f t="shared" si="88"/>
        <v>35.940954302773925</v>
      </c>
      <c r="Z269" s="383">
        <f t="shared" si="89"/>
        <v>37.908492933547606</v>
      </c>
      <c r="AA269" s="384">
        <f t="shared" si="90"/>
        <v>40.260884594045649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5.8428712737373621E-2</v>
      </c>
      <c r="AD269" s="230">
        <f>(INDEX(Models!$BJ269:$BT269,,AH269)*(1-AF269)+INDEX(Models!$BJ269:$BT269,,AH269+1)*AF269-ERP_i)*AE269*Ramure*Pc/MaxiM</f>
        <v>2.5701405109078624E-5</v>
      </c>
      <c r="AE269" s="304">
        <f t="shared" si="92"/>
        <v>0.6</v>
      </c>
      <c r="AF269" s="177">
        <f t="shared" si="93"/>
        <v>0.48897362497298191</v>
      </c>
      <c r="AG269" s="799">
        <f t="shared" si="99"/>
        <v>2</v>
      </c>
      <c r="AH269" s="176">
        <f t="shared" si="94"/>
        <v>8</v>
      </c>
      <c r="AI269" s="224">
        <f t="shared" si="95"/>
        <v>2.4889736249729819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46278</v>
      </c>
      <c r="B270" s="409">
        <f>IF(t&gt;Tmaj,'2025'!Wh/'2025'!Env_an*'2026'!Env_an,0.001*'[11]mon-tableau (3)'!$B$247)</f>
        <v>14.787578234432761</v>
      </c>
      <c r="C270" s="829"/>
      <c r="D270" s="391">
        <f t="shared" si="77"/>
        <v>15.597403000931379</v>
      </c>
      <c r="E270" s="383">
        <f t="shared" si="100"/>
        <v>16.007507052698895</v>
      </c>
      <c r="F270" s="383">
        <f t="shared" si="78"/>
        <v>16.007507444935332</v>
      </c>
      <c r="G270" s="110">
        <f t="shared" si="101"/>
        <v>0.30747184756472451</v>
      </c>
      <c r="H270" s="412" t="b">
        <f>Wh_hp&gt;='2025'!Maxi_hp</f>
        <v>0</v>
      </c>
      <c r="I270" s="388">
        <f>IF(H270,Wh_hp,'2025'!Maxi_hp)</f>
        <v>49.476808548086147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5.1920487433084861E-2</v>
      </c>
      <c r="M270" s="832"/>
      <c r="N270" s="832"/>
      <c r="O270" s="48">
        <f>IF(t&lt;Tnet,'2025'!Resal+('2025'!Salim-'2025'!Resal)*(1-EXP(('2025'!Tnet-t)/('2025'!Tau_j))),Resal+(Salim-Resal)*(1-EXP((Tnet-t)/(Tau_j))))*Salcycl</f>
        <v>2.5619482809996361E-2</v>
      </c>
      <c r="P270" s="169">
        <f>(INDEX(Models!$BJ270:$BT270,,T270)*(1-R270)+INDEX(Models!$BJ270:$BT270,,T270+1)*R270-ERP_i)*Q270*Ramure*Pc/MaxiM</f>
        <v>2.2953751572868008E-6</v>
      </c>
      <c r="Q270" s="304">
        <f t="shared" si="80"/>
        <v>0.6</v>
      </c>
      <c r="R270" s="177">
        <f t="shared" si="81"/>
        <v>0.96439272842721313</v>
      </c>
      <c r="S270" s="799">
        <f t="shared" si="82"/>
        <v>-2</v>
      </c>
      <c r="T270" s="176">
        <f t="shared" si="83"/>
        <v>4</v>
      </c>
      <c r="U270" s="250">
        <f t="shared" si="84"/>
        <v>-1.0356072715727869</v>
      </c>
      <c r="V270" s="382">
        <f t="shared" si="85"/>
        <v>48.093979240240955</v>
      </c>
      <c r="W270" s="400">
        <f t="shared" si="86"/>
        <v>14.787578234432761</v>
      </c>
      <c r="X270" s="157">
        <f t="shared" si="87"/>
        <v>46278</v>
      </c>
      <c r="Y270" s="383">
        <f t="shared" si="88"/>
        <v>14.288703423074844</v>
      </c>
      <c r="Z270" s="383">
        <f t="shared" si="89"/>
        <v>15.071207882541763</v>
      </c>
      <c r="AA270" s="384">
        <f t="shared" si="90"/>
        <v>16.007502765333218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5.8491002407892741E-2</v>
      </c>
      <c r="AD270" s="230">
        <f>(INDEX(Models!$BJ270:$BT270,,AH270)*(1-AF270)+INDEX(Models!$BJ270:$BT270,,AH270+1)*AF270-ERP_i)*AE270*Ramure*Pc/MaxiM</f>
        <v>2.7385121409576141E-5</v>
      </c>
      <c r="AE270" s="304">
        <f t="shared" si="92"/>
        <v>0.6</v>
      </c>
      <c r="AF270" s="177">
        <f t="shared" si="93"/>
        <v>0.48938029480119205</v>
      </c>
      <c r="AG270" s="799">
        <f t="shared" si="99"/>
        <v>2</v>
      </c>
      <c r="AH270" s="176">
        <f t="shared" si="94"/>
        <v>8</v>
      </c>
      <c r="AI270" s="224">
        <f t="shared" si="95"/>
        <v>2.4893802948011921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46279</v>
      </c>
      <c r="B271" s="409">
        <f>IF(t&gt;Tmaj,'2025'!Wh/'2025'!Env_an*'2026'!Env_an,0.001*'[11]mon-tableau (3)'!$B$248)</f>
        <v>37.241927192777922</v>
      </c>
      <c r="C271" s="829"/>
      <c r="D271" s="391">
        <f t="shared" ref="D271:D334" si="102">Wh/(1-Ppv)</f>
        <v>39.282191467950895</v>
      </c>
      <c r="E271" s="383">
        <f t="shared" si="100"/>
        <v>40.319399350830068</v>
      </c>
      <c r="F271" s="383">
        <f t="shared" ref="F271:F334" si="103">Wh_sa/(1-Pvg*MEDIAN((-Sdif+Wh/Env_an)/Csdif,0,1))</f>
        <v>40.319466410413959</v>
      </c>
      <c r="G271" s="110">
        <f t="shared" si="101"/>
        <v>0.77747966351587949</v>
      </c>
      <c r="H271" s="412" t="b">
        <f>Wh_hp&gt;='2025'!Maxi_hp</f>
        <v>0</v>
      </c>
      <c r="I271" s="388">
        <f>IF(H271,Wh_hp,'2025'!Maxi_hp)</f>
        <v>49.421570563132221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5.1938657160651491E-2</v>
      </c>
      <c r="M271" s="832"/>
      <c r="N271" s="832"/>
      <c r="O271" s="48">
        <f>IF(t&lt;Tnet,'2025'!Resal+('2025'!Salim-'2025'!Resal)*(1-EXP(('2025'!Tnet-t)/('2025'!Tau_j))),Resal+(Salim-Resal)*(1-EXP((Tnet-t)/(Tau_j))))*Salcycl</f>
        <v>2.5724785080604658E-2</v>
      </c>
      <c r="P271" s="169">
        <f>(INDEX(Models!$BJ271:$BT271,,T271)*(1-R271)+INDEX(Models!$BJ271:$BT271,,T271+1)*R271-ERP_i)*Q271*Ramure*Pc/MaxiM</f>
        <v>2.4383087156185716E-6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0.96478365913164876</v>
      </c>
      <c r="S271" s="799">
        <f t="shared" ref="S271:S334" si="107">INDEX(Echel_vg,T271)</f>
        <v>-2</v>
      </c>
      <c r="T271" s="176">
        <f t="shared" ref="T271:T334" si="108">MIN(MATCH(Hp_vg,Echel_vg),10)</f>
        <v>4</v>
      </c>
      <c r="U271" s="250">
        <f t="shared" ref="U271:U334" si="109">IF(OR(t&lt;Ttai,Notai),Hdd+PousH*Croivg,Hdtf+PousH*(Croivg-Croi_tai))</f>
        <v>-1.0352163408683512</v>
      </c>
      <c r="V271" s="382">
        <f t="shared" ref="V271:V334" si="110">MaxiM*(1-Ppv)*(1-Pvg)*(1-Psa)</f>
        <v>47.900800592008537</v>
      </c>
      <c r="W271" s="400">
        <f t="shared" ref="W271:W334" si="111">Wh*(A271&gt;Tmaj)</f>
        <v>37.241927192777922</v>
      </c>
      <c r="X271" s="157">
        <f t="shared" ref="X271:X334" si="112">t</f>
        <v>46279</v>
      </c>
      <c r="Y271" s="383">
        <f t="shared" ref="Y271:Y334" si="113">Wh_pvt_s*(1-Ppv)</f>
        <v>35.986416131303763</v>
      </c>
      <c r="Z271" s="383">
        <f t="shared" ref="Z271:Z334" si="114">Wh_sa_s*(1-Psa_s)</f>
        <v>37.957898402995802</v>
      </c>
      <c r="AA271" s="384">
        <f t="shared" ref="AA271:AA334" si="115">Wh_hp*(1-Pvg_s*MEDIAN((-Sdif+Wh/Env_an)/Csdif,0,1))</f>
        <v>40.318666525219783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5.8552733155182377E-2</v>
      </c>
      <c r="AD271" s="230">
        <f>(INDEX(Models!$BJ271:$BT271,,AH271)*(1-AF271)+INDEX(Models!$BJ271:$BT271,,AH271+1)*AF271-ERP_i)*AE271*Ramure*Pc/MaxiM</f>
        <v>2.9084091001518303E-5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0.48977122550562724</v>
      </c>
      <c r="AG271" s="799">
        <f t="shared" si="99"/>
        <v>2</v>
      </c>
      <c r="AH271" s="176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2.4897712255056272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46280</v>
      </c>
      <c r="B272" s="409">
        <f>IF(t&gt;Tmaj,'2025'!Wh/'2025'!Env_an*'2026'!Env_an,0.001*'[11]mon-tableau (3)'!$B$249)</f>
        <v>40.945826222157137</v>
      </c>
      <c r="C272" s="829"/>
      <c r="D272" s="391">
        <f t="shared" si="102"/>
        <v>43.189832877252087</v>
      </c>
      <c r="E272" s="383">
        <f t="shared" si="100"/>
        <v>44.334993103930081</v>
      </c>
      <c r="F272" s="383">
        <f t="shared" si="103"/>
        <v>44.335084472492497</v>
      </c>
      <c r="G272" s="110">
        <f t="shared" si="101"/>
        <v>0.85834839009538144</v>
      </c>
      <c r="H272" s="412" t="b">
        <f>Wh_hp&gt;='2025'!Maxi_hp</f>
        <v>0</v>
      </c>
      <c r="I272" s="388">
        <f>IF(H272,Wh_hp,'2025'!Maxi_hp)</f>
        <v>51.00676090295368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5.1956826539999446E-2</v>
      </c>
      <c r="M272" s="832"/>
      <c r="N272" s="832"/>
      <c r="O272" s="48">
        <f>IF(t&lt;Tnet,'2025'!Resal+('2025'!Salim-'2025'!Resal)*(1-EXP(('2025'!Tnet-t)/('2025'!Tau_j))),Resal+(Salim-Resal)*(1-EXP((Tnet-t)/(Tau_j))))*Salcycl</f>
        <v>2.5829714780681468E-2</v>
      </c>
      <c r="P272" s="169">
        <f>(INDEX(Models!$BJ272:$BT272,,T272)*(1-R272)+INDEX(Models!$BJ272:$BT272,,T272+1)*R272-ERP_i)*Q272*Ramure*Pc/MaxiM</f>
        <v>2.58369755498436E-6</v>
      </c>
      <c r="Q272" s="304">
        <f t="shared" si="105"/>
        <v>0.6</v>
      </c>
      <c r="R272" s="177">
        <f t="shared" si="106"/>
        <v>0.96515943574154672</v>
      </c>
      <c r="S272" s="799">
        <f t="shared" si="107"/>
        <v>-2</v>
      </c>
      <c r="T272" s="176">
        <f t="shared" si="108"/>
        <v>4</v>
      </c>
      <c r="U272" s="250">
        <f t="shared" si="109"/>
        <v>-1.0348405642584533</v>
      </c>
      <c r="V272" s="382">
        <f t="shared" si="110"/>
        <v>47.70301346950199</v>
      </c>
      <c r="W272" s="400">
        <f t="shared" si="111"/>
        <v>40.945826222157137</v>
      </c>
      <c r="X272" s="157">
        <f t="shared" si="112"/>
        <v>46280</v>
      </c>
      <c r="Y272" s="383">
        <f t="shared" si="113"/>
        <v>39.566968244413651</v>
      </c>
      <c r="Z272" s="383">
        <f t="shared" si="114"/>
        <v>41.735407576438867</v>
      </c>
      <c r="AA272" s="384">
        <f t="shared" si="115"/>
        <v>44.333995325805184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5.8613886031917785E-2</v>
      </c>
      <c r="AD272" s="230">
        <f>(INDEX(Models!$BJ272:$BT272,,AH272)*(1-AF272)+INDEX(Models!$BJ272:$BT272,,AH272+1)*AF272-ERP_i)*AE272*Ramure*Pc/MaxiM</f>
        <v>3.0798619992342471E-5</v>
      </c>
      <c r="AE272" s="304">
        <f t="shared" si="117"/>
        <v>0.6</v>
      </c>
      <c r="AF272" s="177">
        <f t="shared" si="118"/>
        <v>0.49014700211552542</v>
      </c>
      <c r="AG272" s="799">
        <f t="shared" ref="AG272:AG335" si="124">INDEX(Echel_vg,AH272)</f>
        <v>2</v>
      </c>
      <c r="AH272" s="176">
        <f t="shared" si="119"/>
        <v>8</v>
      </c>
      <c r="AI272" s="224">
        <f t="shared" si="120"/>
        <v>2.4901470021155254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46281</v>
      </c>
      <c r="B273" s="409">
        <f>IF(t&gt;Tmaj,'2025'!Wh/'2025'!Env_an*'2026'!Env_an,0.001*'[11]mon-tableau (3)'!$B$250)</f>
        <v>29.616746352418502</v>
      </c>
      <c r="C273" s="829"/>
      <c r="D273" s="391">
        <f t="shared" si="102"/>
        <v>31.240469622698445</v>
      </c>
      <c r="E273" s="383">
        <f t="shared" si="100"/>
        <v>32.072239470079978</v>
      </c>
      <c r="F273" s="383">
        <f t="shared" si="103"/>
        <v>32.072279958174221</v>
      </c>
      <c r="G273" s="110">
        <f t="shared" si="101"/>
        <v>0.62350531199082337</v>
      </c>
      <c r="H273" s="412" t="b">
        <f>Wh_hp&gt;='2025'!Maxi_hp</f>
        <v>0</v>
      </c>
      <c r="I273" s="388">
        <f>IF(H273,Wh_hp,'2025'!Maxi_hp)</f>
        <v>45.030086079266795</v>
      </c>
      <c r="J273" s="85">
        <f>IF(H273,An,'2025'!An_max)</f>
        <v>2018</v>
      </c>
      <c r="K273" s="197">
        <f t="shared" si="104"/>
        <v>46281</v>
      </c>
      <c r="L273" s="147">
        <f>IF(t&lt;Tvie,1-EXP((T0-t)*PertePVj)+'2025'!Pspv,1-EXP((T0-t)*PertePVj)+Pspv)</f>
        <v>5.1974995571135385E-2</v>
      </c>
      <c r="M273" s="832"/>
      <c r="N273" s="832"/>
      <c r="O273" s="48">
        <f>IF(t&lt;Tnet,'2025'!Resal+('2025'!Salim-'2025'!Resal)*(1-EXP(('2025'!Tnet-t)/('2025'!Tau_j))),Resal+(Salim-Resal)*(1-EXP((Tnet-t)/(Tau_j))))*Salcycl</f>
        <v>2.5934261564662092E-2</v>
      </c>
      <c r="P273" s="169">
        <f>(INDEX(Models!$BJ273:$BT273,,T273)*(1-R273)+INDEX(Models!$BJ273:$BT273,,T273+1)*R273-ERP_i)*Q273*Ramure*Pc/MaxiM</f>
        <v>2.7315735266423323E-6</v>
      </c>
      <c r="Q273" s="304">
        <f t="shared" si="105"/>
        <v>0.6</v>
      </c>
      <c r="R273" s="177">
        <f t="shared" si="106"/>
        <v>0.96552062341344236</v>
      </c>
      <c r="S273" s="799">
        <f t="shared" si="107"/>
        <v>-2</v>
      </c>
      <c r="T273" s="176">
        <f t="shared" si="108"/>
        <v>4</v>
      </c>
      <c r="U273" s="250">
        <f t="shared" si="109"/>
        <v>-1.0344793765865576</v>
      </c>
      <c r="V273" s="382">
        <f t="shared" si="110"/>
        <v>47.500321602238621</v>
      </c>
      <c r="W273" s="400">
        <f t="shared" si="111"/>
        <v>29.616746352418502</v>
      </c>
      <c r="X273" s="157">
        <f t="shared" si="112"/>
        <v>46281</v>
      </c>
      <c r="Y273" s="383">
        <f t="shared" si="113"/>
        <v>28.620877708676204</v>
      </c>
      <c r="Z273" s="383">
        <f t="shared" si="114"/>
        <v>30.19000297984628</v>
      </c>
      <c r="AA273" s="384">
        <f t="shared" si="115"/>
        <v>32.071797804188684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5.8674441508752492E-2</v>
      </c>
      <c r="AD273" s="230">
        <f>(INDEX(Models!$BJ273:$BT273,,AH273)*(1-AF273)+INDEX(Models!$BJ273:$BT273,,AH273+1)*AF273-ERP_i)*AE273*Ramure*Pc/MaxiM</f>
        <v>3.2529045568214959E-5</v>
      </c>
      <c r="AE273" s="304">
        <f t="shared" si="117"/>
        <v>0.6</v>
      </c>
      <c r="AF273" s="177">
        <f t="shared" si="118"/>
        <v>0.49050818978742106</v>
      </c>
      <c r="AG273" s="799">
        <f t="shared" si="124"/>
        <v>2</v>
      </c>
      <c r="AH273" s="176">
        <f t="shared" si="119"/>
        <v>8</v>
      </c>
      <c r="AI273" s="224">
        <f t="shared" si="120"/>
        <v>2.4905081897874211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46282</v>
      </c>
      <c r="B274" s="409">
        <f>IF(t&gt;Tmaj,'2025'!Wh/'2025'!Env_an*'2026'!Env_an,0.001*'[11]mon-tableau (3)'!$B$251)</f>
        <v>47.787176061390419</v>
      </c>
      <c r="C274" s="829"/>
      <c r="D274" s="391">
        <f t="shared" si="102"/>
        <v>50.408050089416648</v>
      </c>
      <c r="E274" s="383">
        <f t="shared" si="100"/>
        <v>51.755686110324433</v>
      </c>
      <c r="F274" s="383">
        <f t="shared" si="103"/>
        <v>51.7558352691699</v>
      </c>
      <c r="G274" s="110">
        <f t="shared" si="101"/>
        <v>1.010461446092713</v>
      </c>
      <c r="H274" s="412" t="b">
        <f>Wh_hp&gt;='2025'!Maxi_hp</f>
        <v>1</v>
      </c>
      <c r="I274" s="388">
        <f>IF(H274,Wh_hp,'2025'!Maxi_hp)</f>
        <v>51.7558352691699</v>
      </c>
      <c r="J274" s="85">
        <f>IF(H274,An,'2025'!An_max)</f>
        <v>2026</v>
      </c>
      <c r="K274" s="197">
        <f t="shared" si="104"/>
        <v>46282</v>
      </c>
      <c r="L274" s="147">
        <f>IF(t&lt;Tvie,1-EXP((T0-t)*PertePVj)+'2025'!Pspv,1-EXP((T0-t)*PertePVj)+Pspv)</f>
        <v>5.1993164254066082E-2</v>
      </c>
      <c r="M274" s="832"/>
      <c r="N274" s="832"/>
      <c r="O274" s="48">
        <f>IF(t&lt;Tnet,'2025'!Resal+('2025'!Salim-'2025'!Resal)*(1-EXP(('2025'!Tnet-t)/('2025'!Tau_j))),Resal+(Salim-Resal)*(1-EXP((Tnet-t)/(Tau_j))))*Salcycl</f>
        <v>2.6038414755725867E-2</v>
      </c>
      <c r="P274" s="169">
        <f>(INDEX(Models!$BJ274:$BT274,,T274)*(1-R274)+INDEX(Models!$BJ274:$BT274,,T274+1)*R274-ERP_i)*Q274*Ramure*Pc/MaxiM</f>
        <v>2.8819715630662824E-6</v>
      </c>
      <c r="Q274" s="304">
        <f t="shared" si="105"/>
        <v>0.6</v>
      </c>
      <c r="R274" s="177">
        <f t="shared" si="106"/>
        <v>0.96586776795854079</v>
      </c>
      <c r="S274" s="799">
        <f t="shared" si="107"/>
        <v>-2</v>
      </c>
      <c r="T274" s="176">
        <f t="shared" si="108"/>
        <v>4</v>
      </c>
      <c r="U274" s="250">
        <f t="shared" si="109"/>
        <v>-1.0341322320414592</v>
      </c>
      <c r="V274" s="382">
        <f t="shared" si="110"/>
        <v>47.292428866213065</v>
      </c>
      <c r="W274" s="400">
        <f t="shared" si="111"/>
        <v>47.787176061390419</v>
      </c>
      <c r="X274" s="157">
        <f t="shared" si="112"/>
        <v>46282</v>
      </c>
      <c r="Y274" s="383">
        <f t="shared" si="113"/>
        <v>46.181507052363614</v>
      </c>
      <c r="Z274" s="383">
        <f t="shared" si="114"/>
        <v>48.714318622002288</v>
      </c>
      <c r="AA274" s="384">
        <f t="shared" si="115"/>
        <v>51.754061299771131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5.8734379513947145E-2</v>
      </c>
      <c r="AD274" s="230">
        <f>(INDEX(Models!$BJ274:$BT274,,AH274)*(1-AF274)+INDEX(Models!$BJ274:$BT274,,AH274+1)*AF274-ERP_i)*AE274*Ramure*Pc/MaxiM</f>
        <v>3.4275737016805651E-5</v>
      </c>
      <c r="AE274" s="304">
        <f t="shared" si="117"/>
        <v>0.6</v>
      </c>
      <c r="AF274" s="177">
        <f t="shared" si="118"/>
        <v>0.49085533433251927</v>
      </c>
      <c r="AG274" s="799">
        <f t="shared" si="124"/>
        <v>2</v>
      </c>
      <c r="AH274" s="176">
        <f t="shared" si="119"/>
        <v>8</v>
      </c>
      <c r="AI274" s="224">
        <f t="shared" si="120"/>
        <v>2.4908553343325193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46283</v>
      </c>
      <c r="B275" s="409">
        <f>IF(t&gt;Tmaj,'2025'!Wh/'2025'!Env_an*'2026'!Env_an,0.001*'[11]mon-tableau (3)'!$B$252)</f>
        <v>46.190007003321405</v>
      </c>
      <c r="C275" s="829"/>
      <c r="D275" s="391">
        <f t="shared" si="102"/>
        <v>48.724218538876173</v>
      </c>
      <c r="E275" s="383">
        <f t="shared" si="100"/>
        <v>50.032167638806399</v>
      </c>
      <c r="F275" s="383">
        <f t="shared" si="103"/>
        <v>50.032315383017725</v>
      </c>
      <c r="G275" s="110">
        <f t="shared" si="101"/>
        <v>0.98110504599666959</v>
      </c>
      <c r="H275" s="412" t="b">
        <f>Wh_hp&gt;='2025'!Maxi_hp</f>
        <v>1</v>
      </c>
      <c r="I275" s="388">
        <f>IF(H275,Wh_hp,'2025'!Maxi_hp)</f>
        <v>50.032315383017725</v>
      </c>
      <c r="J275" s="85">
        <f>IF(H275,An,'2025'!An_max)</f>
        <v>2026</v>
      </c>
      <c r="K275" s="197">
        <f t="shared" si="104"/>
        <v>46283</v>
      </c>
      <c r="L275" s="147">
        <f>IF(t&lt;Tvie,1-EXP((T0-t)*PertePVj)+'2025'!Pspv,1-EXP((T0-t)*PertePVj)+Pspv)</f>
        <v>5.2011332588797976E-2</v>
      </c>
      <c r="M275" s="832"/>
      <c r="N275" s="832"/>
      <c r="O275" s="48">
        <f>IF(t&lt;Tnet,'2025'!Resal+('2025'!Salim-'2025'!Resal)*(1-EXP(('2025'!Tnet-t)/('2025'!Tau_j))),Resal+(Salim-Resal)*(1-EXP((Tnet-t)/(Tau_j))))*Salcycl</f>
        <v>2.6142163365229416E-2</v>
      </c>
      <c r="P275" s="169">
        <f>(INDEX(Models!$BJ275:$BT275,,T275)*(1-R275)+INDEX(Models!$BJ275:$BT275,,T275+1)*R275-ERP_i)*Q275*Ramure*Pc/MaxiM</f>
        <v>3.0348956526816784E-6</v>
      </c>
      <c r="Q275" s="304">
        <f t="shared" si="105"/>
        <v>0.6</v>
      </c>
      <c r="R275" s="177">
        <f t="shared" si="106"/>
        <v>0.96620139636839864</v>
      </c>
      <c r="S275" s="799">
        <f t="shared" si="107"/>
        <v>-2</v>
      </c>
      <c r="T275" s="176">
        <f t="shared" si="108"/>
        <v>4</v>
      </c>
      <c r="U275" s="250">
        <f t="shared" si="109"/>
        <v>-1.0337986036316014</v>
      </c>
      <c r="V275" s="382">
        <f t="shared" si="110"/>
        <v>47.079569520003915</v>
      </c>
      <c r="W275" s="400">
        <f t="shared" si="111"/>
        <v>46.190007003321405</v>
      </c>
      <c r="X275" s="157">
        <f t="shared" si="112"/>
        <v>46283</v>
      </c>
      <c r="Y275" s="383">
        <f t="shared" si="113"/>
        <v>44.639914378191911</v>
      </c>
      <c r="Z275" s="383">
        <f t="shared" si="114"/>
        <v>47.089080189213682</v>
      </c>
      <c r="AA275" s="384">
        <f t="shared" si="115"/>
        <v>50.030560954330667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5.8793679483267254E-2</v>
      </c>
      <c r="AD275" s="230">
        <f>(INDEX(Models!$BJ275:$BT275,,AH275)*(1-AF275)+INDEX(Models!$BJ275:$BT275,,AH275+1)*AF275-ERP_i)*AE275*Ramure*Pc/MaxiM</f>
        <v>3.6038691109469284E-5</v>
      </c>
      <c r="AE275" s="304">
        <f t="shared" si="117"/>
        <v>0.6</v>
      </c>
      <c r="AF275" s="177">
        <f t="shared" si="118"/>
        <v>0.49118896274237711</v>
      </c>
      <c r="AG275" s="799">
        <f t="shared" si="124"/>
        <v>2</v>
      </c>
      <c r="AH275" s="176">
        <f t="shared" si="119"/>
        <v>8</v>
      </c>
      <c r="AI275" s="224">
        <f t="shared" si="120"/>
        <v>2.4911889627423771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46284</v>
      </c>
      <c r="B276" s="409">
        <f>IF(t&gt;Tmaj,'2025'!Wh/'2025'!Env_an*'2026'!Env_an,0.001*'[11]mon-tableau (3)'!$B$253)</f>
        <v>46.745524469965467</v>
      </c>
      <c r="C276" s="829"/>
      <c r="D276" s="391">
        <f t="shared" si="102"/>
        <v>49.311159469979337</v>
      </c>
      <c r="E276" s="383">
        <f t="shared" si="100"/>
        <v>50.640237630077507</v>
      </c>
      <c r="F276" s="383">
        <f t="shared" si="103"/>
        <v>50.640399100158128</v>
      </c>
      <c r="G276" s="110">
        <f t="shared" si="101"/>
        <v>0.99750932972070361</v>
      </c>
      <c r="H276" s="412" t="b">
        <f>Wh_hp&gt;='2025'!Maxi_hp</f>
        <v>1</v>
      </c>
      <c r="I276" s="388">
        <f>IF(H276,Wh_hp,'2025'!Maxi_hp)</f>
        <v>50.640399100158128</v>
      </c>
      <c r="J276" s="85">
        <f>IF(H276,An,'2025'!An_max)</f>
        <v>2026</v>
      </c>
      <c r="K276" s="197">
        <f t="shared" si="104"/>
        <v>46284</v>
      </c>
      <c r="L276" s="147">
        <f>IF(t&lt;Tvie,1-EXP((T0-t)*PertePVj)+'2025'!Pspv,1-EXP((T0-t)*PertePVj)+Pspv)</f>
        <v>5.202950057533795E-2</v>
      </c>
      <c r="M276" s="832"/>
      <c r="N276" s="832"/>
      <c r="O276" s="48">
        <f>IF(t&lt;Tnet,'2025'!Resal+('2025'!Salim-'2025'!Resal)*(1-EXP(('2025'!Tnet-t)/('2025'!Tau_j))),Resal+(Salim-Resal)*(1-EXP((Tnet-t)/(Tau_j))))*Salcycl</f>
        <v>2.6245496117276657E-2</v>
      </c>
      <c r="P276" s="169">
        <f>(INDEX(Models!$BJ276:$BT276,,T276)*(1-R276)+INDEX(Models!$BJ276:$BT276,,T276+1)*R276-ERP_i)*Q276*Ramure*Pc/MaxiM</f>
        <v>3.1999482457529111E-6</v>
      </c>
      <c r="Q276" s="304">
        <f t="shared" si="105"/>
        <v>0.6</v>
      </c>
      <c r="R276" s="177">
        <f t="shared" si="106"/>
        <v>0.96652201733766008</v>
      </c>
      <c r="S276" s="799">
        <f t="shared" si="107"/>
        <v>-2</v>
      </c>
      <c r="T276" s="176">
        <f t="shared" si="108"/>
        <v>4</v>
      </c>
      <c r="U276" s="250">
        <f t="shared" si="109"/>
        <v>-1.0334779826623399</v>
      </c>
      <c r="V276" s="382">
        <f t="shared" si="110"/>
        <v>46.86224233193127</v>
      </c>
      <c r="W276" s="400">
        <f t="shared" si="111"/>
        <v>46.745524469965467</v>
      </c>
      <c r="X276" s="157">
        <f t="shared" si="112"/>
        <v>46284</v>
      </c>
      <c r="Y276" s="383">
        <f t="shared" si="113"/>
        <v>45.178658427027329</v>
      </c>
      <c r="Z276" s="383">
        <f t="shared" si="114"/>
        <v>47.658295753345655</v>
      </c>
      <c r="AA276" s="384">
        <f t="shared" si="115"/>
        <v>50.638488291908303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5.8852320420451028E-2</v>
      </c>
      <c r="AD276" s="230">
        <f>(INDEX(Models!$BJ276:$BT276,,AH276)*(1-AF276)+INDEX(Models!$BJ276:$BT276,,AH276+1)*AF276-ERP_i)*AE276*Ramure*Pc/MaxiM</f>
        <v>3.7867619087483049E-5</v>
      </c>
      <c r="AE276" s="304">
        <f t="shared" si="117"/>
        <v>0.6</v>
      </c>
      <c r="AF276" s="177">
        <f t="shared" si="118"/>
        <v>0.49150958371163878</v>
      </c>
      <c r="AG276" s="799">
        <f t="shared" si="124"/>
        <v>2</v>
      </c>
      <c r="AH276" s="176">
        <f t="shared" si="119"/>
        <v>8</v>
      </c>
      <c r="AI276" s="224">
        <f t="shared" si="120"/>
        <v>2.4915095837116388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46285</v>
      </c>
      <c r="B277" s="409">
        <f>IF(t&gt;Tmaj,'2025'!Wh/'2025'!Env_an*'2026'!Env_an,0.001*'[11]mon-tableau (3)'!$B$254)</f>
        <v>48.22255072439259</v>
      </c>
      <c r="C277" s="829"/>
      <c r="D277" s="391">
        <f t="shared" si="102"/>
        <v>50.870227444372361</v>
      </c>
      <c r="E277" s="383">
        <f t="shared" si="100"/>
        <v>52.246848381520202</v>
      </c>
      <c r="F277" s="383">
        <f t="shared" si="103"/>
        <v>52.247024974226626</v>
      </c>
      <c r="G277" s="110">
        <f t="shared" si="101"/>
        <v>1.0339190299948386</v>
      </c>
      <c r="H277" s="412" t="b">
        <f>Wh_hp&gt;='2025'!Maxi_hp</f>
        <v>1</v>
      </c>
      <c r="I277" s="388">
        <f>IF(H277,Wh_hp,'2025'!Maxi_hp)</f>
        <v>52.247024974226626</v>
      </c>
      <c r="J277" s="85">
        <f>IF(H277,An,'2025'!An_max)</f>
        <v>2026</v>
      </c>
      <c r="K277" s="197">
        <f t="shared" si="104"/>
        <v>46285</v>
      </c>
      <c r="L277" s="147">
        <f>IF(t&lt;Tvie,1-EXP((T0-t)*PertePVj)+'2025'!Pspv,1-EXP((T0-t)*PertePVj)+Pspv)</f>
        <v>5.2047668213692555E-2</v>
      </c>
      <c r="M277" s="832"/>
      <c r="N277" s="832"/>
      <c r="O277" s="48">
        <f>IF(t&lt;Tnet,'2025'!Resal+('2025'!Salim-'2025'!Resal)*(1-EXP(('2025'!Tnet-t)/('2025'!Tau_j))),Resal+(Salim-Resal)*(1-EXP((Tnet-t)/(Tau_j))))*Salcycl</f>
        <v>2.6348401478600063E-2</v>
      </c>
      <c r="P277" s="169">
        <f>(INDEX(Models!$BJ277:$BT277,,T277)*(1-R277)+INDEX(Models!$BJ277:$BT277,,T277+1)*R277-ERP_i)*Q277*Ramure*Pc/MaxiM</f>
        <v>3.3799571652175199E-6</v>
      </c>
      <c r="Q277" s="304">
        <f t="shared" si="105"/>
        <v>0.6</v>
      </c>
      <c r="R277" s="177">
        <f t="shared" si="106"/>
        <v>0.96683012178271888</v>
      </c>
      <c r="S277" s="799">
        <f t="shared" si="107"/>
        <v>-2</v>
      </c>
      <c r="T277" s="176">
        <f t="shared" si="108"/>
        <v>4</v>
      </c>
      <c r="U277" s="250">
        <f t="shared" si="109"/>
        <v>-1.0331698782172811</v>
      </c>
      <c r="V277" s="382">
        <f t="shared" si="110"/>
        <v>46.640548558849254</v>
      </c>
      <c r="W277" s="400">
        <f t="shared" si="111"/>
        <v>48.22255072439259</v>
      </c>
      <c r="X277" s="157">
        <f t="shared" si="112"/>
        <v>46285</v>
      </c>
      <c r="Y277" s="383">
        <f t="shared" si="113"/>
        <v>46.608144528228188</v>
      </c>
      <c r="Z277" s="383">
        <f t="shared" si="114"/>
        <v>49.167181687712592</v>
      </c>
      <c r="AA277" s="384">
        <f t="shared" si="115"/>
        <v>52.244946144251081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5.8910280968433086E-2</v>
      </c>
      <c r="AD277" s="230">
        <f>(INDEX(Models!$BJ277:$BT277,,AH277)*(1-AF277)+INDEX(Models!$BJ277:$BT277,,AH277+1)*AF277-ERP_i)*AE277*Ramure*Pc/MaxiM</f>
        <v>3.9788485116104899E-5</v>
      </c>
      <c r="AE277" s="304">
        <f t="shared" si="117"/>
        <v>0.6</v>
      </c>
      <c r="AF277" s="177">
        <f t="shared" si="118"/>
        <v>0.49181768815669757</v>
      </c>
      <c r="AG277" s="799">
        <f t="shared" si="124"/>
        <v>2</v>
      </c>
      <c r="AH277" s="176">
        <f t="shared" si="119"/>
        <v>8</v>
      </c>
      <c r="AI277" s="224">
        <f t="shared" si="120"/>
        <v>2.4918176881566976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46286</v>
      </c>
      <c r="B278" s="409">
        <f>IF(t&gt;Tmaj,'2025'!Wh/'2025'!Env_an*'2026'!Env_an,0.001*'[11]mon-tableau (3)'!$B$255)</f>
        <v>46.992987742049323</v>
      </c>
      <c r="C278" s="829"/>
      <c r="D278" s="391">
        <f t="shared" si="102"/>
        <v>49.574104934838125</v>
      </c>
      <c r="E278" s="383">
        <f t="shared" si="100"/>
        <v>50.921009828654341</v>
      </c>
      <c r="F278" s="383">
        <f t="shared" si="103"/>
        <v>50.921191873462107</v>
      </c>
      <c r="G278" s="110">
        <f t="shared" si="101"/>
        <v>1.0124615605457439</v>
      </c>
      <c r="H278" s="412" t="b">
        <f>Wh_hp&gt;='2025'!Maxi_hp</f>
        <v>1</v>
      </c>
      <c r="I278" s="388">
        <f>IF(H278,Wh_hp,'2025'!Maxi_hp)</f>
        <v>50.921191873462107</v>
      </c>
      <c r="J278" s="85">
        <f>IF(H278,An,'2025'!An_max)</f>
        <v>2026</v>
      </c>
      <c r="K278" s="197">
        <f t="shared" si="104"/>
        <v>46286</v>
      </c>
      <c r="L278" s="147">
        <f>IF(t&lt;Tvie,1-EXP((T0-t)*PertePVj)+'2025'!Pspv,1-EXP((T0-t)*PertePVj)+Pspv)</f>
        <v>5.2065835503868563E-2</v>
      </c>
      <c r="M278" s="832"/>
      <c r="N278" s="832"/>
      <c r="O278" s="48">
        <f>IF(t&lt;Tnet,'2025'!Resal+('2025'!Salim-'2025'!Resal)*(1-EXP(('2025'!Tnet-t)/('2025'!Tau_j))),Resal+(Salim-Resal)*(1-EXP((Tnet-t)/(Tau_j))))*Salcycl</f>
        <v>2.6450867693874412E-2</v>
      </c>
      <c r="P278" s="169">
        <f>(INDEX(Models!$BJ278:$BT278,,T278)*(1-R278)+INDEX(Models!$BJ278:$BT278,,T278+1)*R278-ERP_i)*Q278*Ramure*Pc/MaxiM</f>
        <v>3.5750303767663693E-6</v>
      </c>
      <c r="Q278" s="304">
        <f t="shared" si="105"/>
        <v>0.6</v>
      </c>
      <c r="R278" s="177">
        <f t="shared" si="106"/>
        <v>0.96712618335530665</v>
      </c>
      <c r="S278" s="799">
        <f t="shared" si="107"/>
        <v>-2</v>
      </c>
      <c r="T278" s="176">
        <f t="shared" si="108"/>
        <v>4</v>
      </c>
      <c r="U278" s="250">
        <f t="shared" si="109"/>
        <v>-1.0328738166446934</v>
      </c>
      <c r="V278" s="382">
        <f t="shared" si="110"/>
        <v>46.414589524484121</v>
      </c>
      <c r="W278" s="400">
        <f t="shared" si="111"/>
        <v>46.992987742049323</v>
      </c>
      <c r="X278" s="157">
        <f t="shared" si="112"/>
        <v>46286</v>
      </c>
      <c r="Y278" s="383">
        <f t="shared" si="113"/>
        <v>45.421679244379604</v>
      </c>
      <c r="Z278" s="383">
        <f t="shared" si="114"/>
        <v>47.916491403728671</v>
      </c>
      <c r="AA278" s="384">
        <f t="shared" si="115"/>
        <v>50.919063278466169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5.8967539491389186E-2</v>
      </c>
      <c r="AD278" s="230">
        <f>(INDEX(Models!$BJ278:$BT278,,AH278)*(1-AF278)+INDEX(Models!$BJ278:$BT278,,AH278+1)*AF278-ERP_i)*AE278*Ramure*Pc/MaxiM</f>
        <v>4.1801751247935498E-5</v>
      </c>
      <c r="AE278" s="304">
        <f t="shared" si="117"/>
        <v>0.6</v>
      </c>
      <c r="AF278" s="177">
        <f t="shared" si="118"/>
        <v>0.49211374972928512</v>
      </c>
      <c r="AG278" s="799">
        <f t="shared" si="124"/>
        <v>2</v>
      </c>
      <c r="AH278" s="176">
        <f t="shared" si="119"/>
        <v>8</v>
      </c>
      <c r="AI278" s="224">
        <f t="shared" si="120"/>
        <v>2.4921137497292851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46287</v>
      </c>
      <c r="B279" s="409">
        <f>IF(t&gt;Tmaj,'2025'!Wh/'2025'!Env_an*'2026'!Env_an,0.001*'[11]mon-tableau (3)'!$B$256)</f>
        <v>45.708396489322233</v>
      </c>
      <c r="C279" s="829"/>
      <c r="D279" s="391">
        <f t="shared" si="102"/>
        <v>48.219880883181546</v>
      </c>
      <c r="E279" s="383">
        <f t="shared" si="100"/>
        <v>49.535182787529436</v>
      </c>
      <c r="F279" s="383">
        <f t="shared" si="103"/>
        <v>49.535367531214938</v>
      </c>
      <c r="G279" s="110">
        <f t="shared" si="101"/>
        <v>0.98969193354597729</v>
      </c>
      <c r="H279" s="412" t="b">
        <f>Wh_hp&gt;='2025'!Maxi_hp</f>
        <v>1</v>
      </c>
      <c r="I279" s="388">
        <f>IF(H279,Wh_hp,'2025'!Maxi_hp)</f>
        <v>49.535367531214938</v>
      </c>
      <c r="J279" s="85">
        <f>IF(H279,An,'2025'!An_max)</f>
        <v>2026</v>
      </c>
      <c r="K279" s="197">
        <f t="shared" si="104"/>
        <v>46287</v>
      </c>
      <c r="L279" s="147">
        <f>IF(t&lt;Tvie,1-EXP((T0-t)*PertePVj)+'2025'!Pspv,1-EXP((T0-t)*PertePVj)+Pspv)</f>
        <v>5.2084002445872635E-2</v>
      </c>
      <c r="M279" s="832"/>
      <c r="N279" s="832"/>
      <c r="O279" s="48">
        <f>IF(t&lt;Tnet,'2025'!Resal+('2025'!Salim-'2025'!Resal)*(1-EXP(('2025'!Tnet-t)/('2025'!Tau_j))),Resal+(Salim-Resal)*(1-EXP((Tnet-t)/(Tau_j))))*Salcycl</f>
        <v>2.6552882826527471E-2</v>
      </c>
      <c r="P279" s="169">
        <f>(INDEX(Models!$BJ279:$BT279,,T279)*(1-R279)+INDEX(Models!$BJ279:$BT279,,T279+1)*R279-ERP_i)*Q279*Ramure*Pc/MaxiM</f>
        <v>3.7852718257780122E-6</v>
      </c>
      <c r="Q279" s="304">
        <f t="shared" si="105"/>
        <v>0.6</v>
      </c>
      <c r="R279" s="177">
        <f t="shared" si="106"/>
        <v>0.9674106589501168</v>
      </c>
      <c r="S279" s="799">
        <f t="shared" si="107"/>
        <v>-2</v>
      </c>
      <c r="T279" s="176">
        <f t="shared" si="108"/>
        <v>4</v>
      </c>
      <c r="U279" s="250">
        <f t="shared" si="109"/>
        <v>-1.0325893410498832</v>
      </c>
      <c r="V279" s="382">
        <f t="shared" si="110"/>
        <v>46.184466491221009</v>
      </c>
      <c r="W279" s="400">
        <f t="shared" si="111"/>
        <v>45.708396489322233</v>
      </c>
      <c r="X279" s="157">
        <f t="shared" si="112"/>
        <v>46287</v>
      </c>
      <c r="Y279" s="383">
        <f t="shared" si="113"/>
        <v>44.181958793426645</v>
      </c>
      <c r="Z279" s="383">
        <f t="shared" si="114"/>
        <v>46.609571847534717</v>
      </c>
      <c r="AA279" s="384">
        <f t="shared" si="115"/>
        <v>49.533224568206059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5.902407416754276E-2</v>
      </c>
      <c r="AD279" s="230">
        <f>(INDEX(Models!$BJ279:$BT279,,AH279)*(1-AF279)+INDEX(Models!$BJ279:$BT279,,AH279+1)*AF279-ERP_i)*AE279*Ramure*Pc/MaxiM</f>
        <v>4.3907847129711842E-5</v>
      </c>
      <c r="AE279" s="304">
        <f t="shared" si="117"/>
        <v>0.6</v>
      </c>
      <c r="AF279" s="177">
        <f t="shared" si="118"/>
        <v>0.4923982253240955</v>
      </c>
      <c r="AG279" s="799">
        <f t="shared" si="124"/>
        <v>2</v>
      </c>
      <c r="AH279" s="176">
        <f t="shared" si="119"/>
        <v>8</v>
      </c>
      <c r="AI279" s="224">
        <f t="shared" si="120"/>
        <v>2.4923982253240955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46288</v>
      </c>
      <c r="B280" s="409">
        <f>IF(t&gt;Tmaj,'2025'!Wh/'2025'!Env_an*'2026'!Env_an,0.001*'[11]mon-tableau (3)'!$B$257)</f>
        <v>32.352236607434314</v>
      </c>
      <c r="C280" s="829"/>
      <c r="D280" s="391">
        <f t="shared" si="102"/>
        <v>34.130510220346395</v>
      </c>
      <c r="E280" s="383">
        <f t="shared" si="100"/>
        <v>35.06515202903352</v>
      </c>
      <c r="F280" s="383">
        <f t="shared" si="103"/>
        <v>35.065233212400187</v>
      </c>
      <c r="G280" s="110">
        <f t="shared" si="101"/>
        <v>0.7040692959965511</v>
      </c>
      <c r="H280" s="412" t="b">
        <f>Wh_hp&gt;='2025'!Maxi_hp</f>
        <v>0</v>
      </c>
      <c r="I280" s="388">
        <f>IF(H280,Wh_hp,'2025'!Maxi_hp)</f>
        <v>43.314137814675796</v>
      </c>
      <c r="J280" s="85">
        <f>IF(H280,An,'2025'!An_max)</f>
        <v>2021</v>
      </c>
      <c r="K280" s="197">
        <f t="shared" si="104"/>
        <v>46288</v>
      </c>
      <c r="L280" s="147">
        <f>IF(t&lt;Tvie,1-EXP((T0-t)*PertePVj)+'2025'!Pspv,1-EXP((T0-t)*PertePVj)+Pspv)</f>
        <v>5.2102169039711321E-2</v>
      </c>
      <c r="M280" s="832"/>
      <c r="N280" s="832"/>
      <c r="O280" s="48">
        <f>IF(t&lt;Tnet,'2025'!Resal+('2025'!Salim-'2025'!Resal)*(1-EXP(('2025'!Tnet-t)/('2025'!Tau_j))),Resal+(Salim-Resal)*(1-EXP((Tnet-t)/(Tau_j))))*Salcycl</f>
        <v>2.6654434805052314E-2</v>
      </c>
      <c r="P280" s="169">
        <f>(INDEX(Models!$BJ280:$BT280,,T280)*(1-R280)+INDEX(Models!$BJ280:$BT280,,T280+1)*R280-ERP_i)*Q280*Ramure*Pc/MaxiM</f>
        <v>4.0108020826308688E-6</v>
      </c>
      <c r="Q280" s="304">
        <f t="shared" si="105"/>
        <v>0.6</v>
      </c>
      <c r="R280" s="177">
        <f t="shared" si="106"/>
        <v>0.96768398920568188</v>
      </c>
      <c r="S280" s="799">
        <f t="shared" si="107"/>
        <v>-2</v>
      </c>
      <c r="T280" s="176">
        <f t="shared" si="108"/>
        <v>4</v>
      </c>
      <c r="U280" s="250">
        <f t="shared" si="109"/>
        <v>-1.0323160107943181</v>
      </c>
      <c r="V280" s="382">
        <f t="shared" si="110"/>
        <v>45.950280654276028</v>
      </c>
      <c r="W280" s="400">
        <f t="shared" si="111"/>
        <v>32.352236607434314</v>
      </c>
      <c r="X280" s="157">
        <f t="shared" si="112"/>
        <v>46288</v>
      </c>
      <c r="Y280" s="383">
        <f t="shared" si="113"/>
        <v>31.273714363801311</v>
      </c>
      <c r="Z280" s="383">
        <f t="shared" si="114"/>
        <v>32.9927059038829</v>
      </c>
      <c r="AA280" s="384">
        <f t="shared" si="115"/>
        <v>35.064299944011033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5.9079863092545863E-2</v>
      </c>
      <c r="AD280" s="230">
        <f>(INDEX(Models!$BJ280:$BT280,,AH280)*(1-AF280)+INDEX(Models!$BJ280:$BT280,,AH280+1)*AF280-ERP_i)*AE280*Ramure*Pc/MaxiM</f>
        <v>4.6107410329526607E-5</v>
      </c>
      <c r="AE280" s="304">
        <f t="shared" si="117"/>
        <v>0.6</v>
      </c>
      <c r="AF280" s="177">
        <f t="shared" si="118"/>
        <v>0.49267155557966058</v>
      </c>
      <c r="AG280" s="799">
        <f t="shared" si="124"/>
        <v>2</v>
      </c>
      <c r="AH280" s="176">
        <f t="shared" si="119"/>
        <v>8</v>
      </c>
      <c r="AI280" s="224">
        <f t="shared" si="120"/>
        <v>2.4926715555796606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46289</v>
      </c>
      <c r="B281" s="409">
        <f>IF(t&gt;Tmaj,'2025'!Wh/'2025'!Env_an*'2026'!Env_an,0.001*'[11]mon-tableau (3)'!$B$258)</f>
        <v>18.390695987519535</v>
      </c>
      <c r="C281" s="829"/>
      <c r="D281" s="391">
        <f t="shared" si="102"/>
        <v>19.401931143924987</v>
      </c>
      <c r="E281" s="383">
        <f t="shared" si="100"/>
        <v>19.935310574761008</v>
      </c>
      <c r="F281" s="383">
        <f t="shared" si="103"/>
        <v>19.935322963640012</v>
      </c>
      <c r="G281" s="110">
        <f t="shared" si="101"/>
        <v>0.40231395825090821</v>
      </c>
      <c r="H281" s="412" t="b">
        <f>Wh_hp&gt;='2025'!Maxi_hp</f>
        <v>0</v>
      </c>
      <c r="I281" s="388">
        <f>IF(H281,Wh_hp,'2025'!Maxi_hp)</f>
        <v>43.384541721518524</v>
      </c>
      <c r="J281" s="85">
        <f>IF(H281,An,'2025'!An_max)</f>
        <v>2021</v>
      </c>
      <c r="K281" s="197">
        <f t="shared" si="104"/>
        <v>46289</v>
      </c>
      <c r="L281" s="147">
        <f>IF(t&lt;Tvie,1-EXP((T0-t)*PertePVj)+'2025'!Pspv,1-EXP((T0-t)*PertePVj)+Pspv)</f>
        <v>5.2120335285391506E-2</v>
      </c>
      <c r="M281" s="832"/>
      <c r="N281" s="832"/>
      <c r="O281" s="48">
        <f>IF(t&lt;Tnet,'2025'!Resal+('2025'!Salim-'2025'!Resal)*(1-EXP(('2025'!Tnet-t)/('2025'!Tau_j))),Resal+(Salim-Resal)*(1-EXP((Tnet-t)/(Tau_j))))*Salcycl</f>
        <v>2.6755511474764931E-2</v>
      </c>
      <c r="P281" s="169">
        <f>(INDEX(Models!$BJ281:$BT281,,T281)*(1-R281)+INDEX(Models!$BJ281:$BT281,,T281+1)*R281-ERP_i)*Q281*Ramure*Pc/MaxiM</f>
        <v>4.2517301177773731E-6</v>
      </c>
      <c r="Q281" s="304">
        <f t="shared" si="105"/>
        <v>0.6</v>
      </c>
      <c r="R281" s="177">
        <f t="shared" si="106"/>
        <v>0.96794659899781799</v>
      </c>
      <c r="S281" s="799">
        <f t="shared" si="107"/>
        <v>-2</v>
      </c>
      <c r="T281" s="176">
        <f t="shared" si="108"/>
        <v>4</v>
      </c>
      <c r="U281" s="250">
        <f t="shared" si="109"/>
        <v>-1.032053401002182</v>
      </c>
      <c r="V281" s="382">
        <f t="shared" si="110"/>
        <v>45.712133141295155</v>
      </c>
      <c r="W281" s="400">
        <f t="shared" si="111"/>
        <v>18.390695987519535</v>
      </c>
      <c r="X281" s="157">
        <f t="shared" si="112"/>
        <v>46289</v>
      </c>
      <c r="Y281" s="383">
        <f t="shared" si="113"/>
        <v>17.77873170807127</v>
      </c>
      <c r="Z281" s="383">
        <f t="shared" si="114"/>
        <v>18.756317251962741</v>
      </c>
      <c r="AA281" s="384">
        <f t="shared" si="115"/>
        <v>19.935181930796162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5.9134884393118654E-2</v>
      </c>
      <c r="AD281" s="230">
        <f>(INDEX(Models!$BJ281:$BT281,,AH281)*(1-AF281)+INDEX(Models!$BJ281:$BT281,,AH281+1)*AF281-ERP_i)*AE281*Ramure*Pc/MaxiM</f>
        <v>4.8400956172821582E-5</v>
      </c>
      <c r="AE281" s="304">
        <f t="shared" si="117"/>
        <v>0.6</v>
      </c>
      <c r="AF281" s="177">
        <f t="shared" si="118"/>
        <v>0.49293416537179668</v>
      </c>
      <c r="AG281" s="799">
        <f t="shared" si="124"/>
        <v>2</v>
      </c>
      <c r="AH281" s="176">
        <f t="shared" si="119"/>
        <v>8</v>
      </c>
      <c r="AI281" s="224">
        <f t="shared" si="120"/>
        <v>2.4929341653717967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46290</v>
      </c>
      <c r="B282" s="409">
        <f>IF(t&gt;Tmaj,'2025'!Wh/'2025'!Env_an*'2026'!Env_an,0.001*'[11]mon-tableau (3)'!$B$259)</f>
        <v>35.94780615952002</v>
      </c>
      <c r="C282" s="829"/>
      <c r="D282" s="391">
        <f t="shared" si="102"/>
        <v>37.925167552835987</v>
      </c>
      <c r="E282" s="383">
        <f t="shared" si="100"/>
        <v>38.971798084906155</v>
      </c>
      <c r="F282" s="383">
        <f t="shared" si="103"/>
        <v>38.971920850327507</v>
      </c>
      <c r="G282" s="110">
        <f t="shared" si="101"/>
        <v>0.7905796900953016</v>
      </c>
      <c r="H282" s="412" t="b">
        <f>Wh_hp&gt;='2025'!Maxi_hp</f>
        <v>1</v>
      </c>
      <c r="I282" s="388">
        <f>IF(H282,Wh_hp,'2025'!Maxi_hp)</f>
        <v>38.971920850327507</v>
      </c>
      <c r="J282" s="85">
        <f>IF(H282,An,'2025'!An_max)</f>
        <v>2026</v>
      </c>
      <c r="K282" s="197">
        <f t="shared" si="104"/>
        <v>46290</v>
      </c>
      <c r="L282" s="147">
        <f>IF(t&lt;Tvie,1-EXP((T0-t)*PertePVj)+'2025'!Pspv,1-EXP((T0-t)*PertePVj)+Pspv)</f>
        <v>5.2138501182919628E-2</v>
      </c>
      <c r="M282" s="832"/>
      <c r="N282" s="832"/>
      <c r="O282" s="48">
        <f>IF(t&lt;Tnet,'2025'!Resal+('2025'!Salim-'2025'!Resal)*(1-EXP(('2025'!Tnet-t)/('2025'!Tau_j))),Resal+(Salim-Resal)*(1-EXP((Tnet-t)/(Tau_j))))*Salcycl</f>
        <v>2.6856100654886833E-2</v>
      </c>
      <c r="P282" s="169">
        <f>(INDEX(Models!$BJ282:$BT282,,T282)*(1-R282)+INDEX(Models!$BJ282:$BT282,,T282+1)*R282-ERP_i)*Q282*Ramure*Pc/MaxiM</f>
        <v>4.4948145830438193E-6</v>
      </c>
      <c r="Q282" s="304">
        <f t="shared" si="105"/>
        <v>0.6</v>
      </c>
      <c r="R282" s="177">
        <f t="shared" si="106"/>
        <v>0.96819889792503622</v>
      </c>
      <c r="S282" s="799">
        <f t="shared" si="107"/>
        <v>-2</v>
      </c>
      <c r="T282" s="176">
        <f t="shared" si="108"/>
        <v>4</v>
      </c>
      <c r="U282" s="250">
        <f t="shared" si="109"/>
        <v>-1.0318011020749638</v>
      </c>
      <c r="V282" s="382">
        <f t="shared" si="110"/>
        <v>45.470125618166009</v>
      </c>
      <c r="W282" s="400">
        <f t="shared" si="111"/>
        <v>35.94780615952002</v>
      </c>
      <c r="X282" s="157">
        <f t="shared" si="112"/>
        <v>46290</v>
      </c>
      <c r="Y282" s="383">
        <f t="shared" si="113"/>
        <v>34.752303350987191</v>
      </c>
      <c r="Z282" s="383">
        <f t="shared" si="114"/>
        <v>36.663904372482314</v>
      </c>
      <c r="AA282" s="384">
        <f t="shared" si="115"/>
        <v>38.970535959638788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5.918911635050169E-2</v>
      </c>
      <c r="AD282" s="230">
        <f>(INDEX(Models!$BJ282:$BT282,,AH282)*(1-AF282)+INDEX(Models!$BJ282:$BT282,,AH282+1)*AF282-ERP_i)*AE282*Ramure*Pc/MaxiM</f>
        <v>5.07050502909407E-5</v>
      </c>
      <c r="AE282" s="304">
        <f t="shared" si="117"/>
        <v>0.6</v>
      </c>
      <c r="AF282" s="177">
        <f t="shared" si="118"/>
        <v>0.49318646429901492</v>
      </c>
      <c r="AG282" s="799">
        <f t="shared" si="124"/>
        <v>2</v>
      </c>
      <c r="AH282" s="176">
        <f t="shared" si="119"/>
        <v>8</v>
      </c>
      <c r="AI282" s="224">
        <f t="shared" si="120"/>
        <v>2.4931864642990149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46291</v>
      </c>
      <c r="B283" s="409">
        <f>IF(t&gt;Tmaj,'2025'!Wh/'2025'!Env_an*'2026'!Env_an,0.001*'[11]mon-tableau (3)'!$B$260)</f>
        <v>35.810374270990579</v>
      </c>
      <c r="C283" s="829"/>
      <c r="D283" s="391">
        <f t="shared" si="102"/>
        <v>37.780900085601722</v>
      </c>
      <c r="E283" s="383">
        <f t="shared" si="100"/>
        <v>38.827542711974189</v>
      </c>
      <c r="F283" s="383">
        <f t="shared" si="103"/>
        <v>38.827671904100754</v>
      </c>
      <c r="G283" s="110">
        <f t="shared" si="101"/>
        <v>0.7918370635692723</v>
      </c>
      <c r="H283" s="412" t="b">
        <f>Wh_hp&gt;='2025'!Maxi_hp</f>
        <v>0</v>
      </c>
      <c r="I283" s="388">
        <f>IF(H283,Wh_hp,'2025'!Maxi_hp)</f>
        <v>41.572893006475333</v>
      </c>
      <c r="J283" s="85">
        <f>IF(H283,An,'2025'!An_max)</f>
        <v>2021</v>
      </c>
      <c r="K283" s="197">
        <f t="shared" si="104"/>
        <v>46291</v>
      </c>
      <c r="L283" s="147">
        <f>IF(t&lt;Tvie,1-EXP((T0-t)*PertePVj)+'2025'!Pspv,1-EXP((T0-t)*PertePVj)+Pspv)</f>
        <v>5.2156666732302459E-2</v>
      </c>
      <c r="M283" s="832"/>
      <c r="N283" s="832"/>
      <c r="O283" s="48">
        <f>IF(t&lt;Tnet,'2025'!Resal+('2025'!Salim-'2025'!Resal)*(1-EXP(('2025'!Tnet-t)/('2025'!Tau_j))),Resal+(Salim-Resal)*(1-EXP((Tnet-t)/(Tau_j))))*Salcycl</f>
        <v>2.6956190200769233E-2</v>
      </c>
      <c r="P283" s="169">
        <f>(INDEX(Models!$BJ283:$BT283,,T283)*(1-R283)+INDEX(Models!$BJ283:$BT283,,T283+1)*R283-ERP_i)*Q283*Ramure*Pc/MaxiM</f>
        <v>4.7355507832533873E-6</v>
      </c>
      <c r="Q283" s="304">
        <f t="shared" si="105"/>
        <v>0.6</v>
      </c>
      <c r="R283" s="177">
        <f t="shared" si="106"/>
        <v>0.96844128078541436</v>
      </c>
      <c r="S283" s="799">
        <f t="shared" si="107"/>
        <v>-2</v>
      </c>
      <c r="T283" s="176">
        <f t="shared" si="108"/>
        <v>4</v>
      </c>
      <c r="U283" s="250">
        <f t="shared" si="109"/>
        <v>-1.0315587192145856</v>
      </c>
      <c r="V283" s="382">
        <f t="shared" si="110"/>
        <v>45.224359264225029</v>
      </c>
      <c r="W283" s="400">
        <f t="shared" si="111"/>
        <v>35.810374270990579</v>
      </c>
      <c r="X283" s="157">
        <f t="shared" si="112"/>
        <v>46291</v>
      </c>
      <c r="Y283" s="383">
        <f t="shared" si="113"/>
        <v>34.620984550579948</v>
      </c>
      <c r="Z283" s="383">
        <f t="shared" si="114"/>
        <v>36.526062203997178</v>
      </c>
      <c r="AA283" s="384">
        <f t="shared" si="115"/>
        <v>38.826226377432732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5.9242537533147822E-2</v>
      </c>
      <c r="AD283" s="230">
        <f>(INDEX(Models!$BJ283:$BT283,,AH283)*(1-AF283)+INDEX(Models!$BJ283:$BT283,,AH283+1)*AF283-ERP_i)*AE283*Ramure*Pc/MaxiM</f>
        <v>5.2985929769234953E-5</v>
      </c>
      <c r="AE283" s="304">
        <f t="shared" si="117"/>
        <v>0.6</v>
      </c>
      <c r="AF283" s="177">
        <f t="shared" si="118"/>
        <v>0.49342884715939306</v>
      </c>
      <c r="AG283" s="799">
        <f t="shared" si="124"/>
        <v>2</v>
      </c>
      <c r="AH283" s="176">
        <f t="shared" si="119"/>
        <v>8</v>
      </c>
      <c r="AI283" s="224">
        <f t="shared" si="120"/>
        <v>2.4934288471593931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46292</v>
      </c>
      <c r="B284" s="409">
        <f>IF(t&gt;Tmaj,'2025'!Wh/'2025'!Env_an*'2026'!Env_an,0.001*'[11]mon-tableau (3)'!$B$261)</f>
        <v>17.088678715566026</v>
      </c>
      <c r="C284" s="829"/>
      <c r="D284" s="391">
        <f t="shared" si="102"/>
        <v>18.029357408209187</v>
      </c>
      <c r="E284" s="383">
        <f t="shared" si="100"/>
        <v>18.530720278246193</v>
      </c>
      <c r="F284" s="383">
        <f t="shared" si="103"/>
        <v>18.53073080662103</v>
      </c>
      <c r="G284" s="110">
        <f t="shared" si="101"/>
        <v>0.37995837980046104</v>
      </c>
      <c r="H284" s="412" t="b">
        <f>Wh_hp&gt;='2025'!Maxi_hp</f>
        <v>0</v>
      </c>
      <c r="I284" s="388">
        <f>IF(H284,Wh_hp,'2025'!Maxi_hp)</f>
        <v>41.366659117573256</v>
      </c>
      <c r="J284" s="85">
        <f>IF(H284,An,'2025'!An_max)</f>
        <v>2018</v>
      </c>
      <c r="K284" s="197">
        <f t="shared" si="104"/>
        <v>46292</v>
      </c>
      <c r="L284" s="147">
        <f>IF(t&lt;Tvie,1-EXP((T0-t)*PertePVj)+'2025'!Pspv,1-EXP((T0-t)*PertePVj)+Pspv)</f>
        <v>5.2174831933546773E-2</v>
      </c>
      <c r="M284" s="832"/>
      <c r="N284" s="832"/>
      <c r="O284" s="48">
        <f>IF(t&lt;Tnet,'2025'!Resal+('2025'!Salim-'2025'!Resal)*(1-EXP(('2025'!Tnet-t)/('2025'!Tau_j))),Resal+(Salim-Resal)*(1-EXP((Tnet-t)/(Tau_j))))*Salcycl</f>
        <v>2.7055768071010854E-2</v>
      </c>
      <c r="P284" s="169">
        <f>(INDEX(Models!$BJ284:$BT284,,T284)*(1-R284)+INDEX(Models!$BJ284:$BT284,,T284+1)*R284-ERP_i)*Q284*Ramure*Pc/MaxiM</f>
        <v>4.973862254009992E-6</v>
      </c>
      <c r="Q284" s="304">
        <f t="shared" si="105"/>
        <v>0.6</v>
      </c>
      <c r="R284" s="177">
        <f t="shared" si="106"/>
        <v>0.9686741280444835</v>
      </c>
      <c r="S284" s="799">
        <f t="shared" si="107"/>
        <v>-2</v>
      </c>
      <c r="T284" s="176">
        <f t="shared" si="108"/>
        <v>4</v>
      </c>
      <c r="U284" s="250">
        <f t="shared" si="109"/>
        <v>-1.0313258719555165</v>
      </c>
      <c r="V284" s="382">
        <f t="shared" si="110"/>
        <v>44.974934983209216</v>
      </c>
      <c r="W284" s="400">
        <f t="shared" si="111"/>
        <v>17.088678715566026</v>
      </c>
      <c r="X284" s="157">
        <f t="shared" si="112"/>
        <v>46292</v>
      </c>
      <c r="Y284" s="383">
        <f t="shared" si="113"/>
        <v>16.522335511732951</v>
      </c>
      <c r="Z284" s="383">
        <f t="shared" si="114"/>
        <v>17.431838769842148</v>
      </c>
      <c r="AA284" s="384">
        <f t="shared" si="115"/>
        <v>18.53061387159671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5.9295126937955252E-2</v>
      </c>
      <c r="AD284" s="230">
        <f>(INDEX(Models!$BJ284:$BT284,,AH284)*(1-AF284)+INDEX(Models!$BJ284:$BT284,,AH284+1)*AF284-ERP_i)*AE284*Ramure*Pc/MaxiM</f>
        <v>5.5242970794303897E-5</v>
      </c>
      <c r="AE284" s="304">
        <f t="shared" si="117"/>
        <v>0.6</v>
      </c>
      <c r="AF284" s="177">
        <f t="shared" si="118"/>
        <v>0.49366169441846219</v>
      </c>
      <c r="AG284" s="799">
        <f t="shared" si="124"/>
        <v>2</v>
      </c>
      <c r="AH284" s="176">
        <f t="shared" si="119"/>
        <v>8</v>
      </c>
      <c r="AI284" s="224">
        <f t="shared" si="120"/>
        <v>2.4936616944184622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46293</v>
      </c>
      <c r="B285" s="409">
        <f>IF(t&gt;Tmaj,'2025'!Wh/'2025'!Env_an*'2026'!Env_an,0.001*'[11]mon-tableau (3)'!$B$262)</f>
        <v>19.49534469390986</v>
      </c>
      <c r="C285" s="829"/>
      <c r="D285" s="391">
        <f t="shared" si="102"/>
        <v>20.568897072732089</v>
      </c>
      <c r="E285" s="383">
        <f t="shared" si="100"/>
        <v>21.143032361487933</v>
      </c>
      <c r="F285" s="383">
        <f t="shared" si="103"/>
        <v>21.143053749666048</v>
      </c>
      <c r="G285" s="110">
        <f t="shared" si="101"/>
        <v>0.43592153928172894</v>
      </c>
      <c r="H285" s="412" t="b">
        <f>Wh_hp&gt;='2025'!Maxi_hp</f>
        <v>0</v>
      </c>
      <c r="I285" s="388">
        <f>IF(H285,Wh_hp,'2025'!Maxi_hp)</f>
        <v>36.836006686533622</v>
      </c>
      <c r="J285" s="85">
        <f>IF(H285,An,'2025'!An_max)</f>
        <v>2018</v>
      </c>
      <c r="K285" s="197">
        <f t="shared" si="104"/>
        <v>46293</v>
      </c>
      <c r="L285" s="147">
        <f>IF(t&lt;Tvie,1-EXP((T0-t)*PertePVj)+'2025'!Pspv,1-EXP((T0-t)*PertePVj)+Pspv)</f>
        <v>5.2192996786659118E-2</v>
      </c>
      <c r="M285" s="832"/>
      <c r="N285" s="832"/>
      <c r="O285" s="48">
        <f>IF(t&lt;Tnet,'2025'!Resal+('2025'!Salim-'2025'!Resal)*(1-EXP(('2025'!Tnet-t)/('2025'!Tau_j))),Resal+(Salim-Resal)*(1-EXP((Tnet-t)/(Tau_j))))*Salcycl</f>
        <v>2.7154822399157546E-2</v>
      </c>
      <c r="P285" s="169">
        <f>(INDEX(Models!$BJ285:$BT285,,T285)*(1-R285)+INDEX(Models!$BJ285:$BT285,,T285+1)*R285-ERP_i)*Q285*Ramure*Pc/MaxiM</f>
        <v>5.2096672712849036E-6</v>
      </c>
      <c r="Q285" s="304">
        <f t="shared" si="105"/>
        <v>0.6</v>
      </c>
      <c r="R285" s="177">
        <f t="shared" si="106"/>
        <v>0.96889780629377009</v>
      </c>
      <c r="S285" s="799">
        <f t="shared" si="107"/>
        <v>-2</v>
      </c>
      <c r="T285" s="176">
        <f t="shared" si="108"/>
        <v>4</v>
      </c>
      <c r="U285" s="250">
        <f t="shared" si="109"/>
        <v>-1.0311021937062299</v>
      </c>
      <c r="V285" s="382">
        <f t="shared" si="110"/>
        <v>44.721953595265148</v>
      </c>
      <c r="W285" s="400">
        <f t="shared" si="111"/>
        <v>19.49534469390986</v>
      </c>
      <c r="X285" s="157">
        <f t="shared" si="112"/>
        <v>46293</v>
      </c>
      <c r="Y285" s="383">
        <f t="shared" si="113"/>
        <v>18.850040511147835</v>
      </c>
      <c r="Z285" s="383">
        <f t="shared" si="114"/>
        <v>19.888057850639132</v>
      </c>
      <c r="AA285" s="384">
        <f t="shared" si="115"/>
        <v>21.142817785261343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5.9346864139221092E-2</v>
      </c>
      <c r="AD285" s="230">
        <f>(INDEX(Models!$BJ285:$BT285,,AH285)*(1-AF285)+INDEX(Models!$BJ285:$BT285,,AH285+1)*AF285-ERP_i)*AE285*Ramure*Pc/MaxiM</f>
        <v>5.7475490886290886E-5</v>
      </c>
      <c r="AE285" s="304">
        <f t="shared" si="117"/>
        <v>0.6</v>
      </c>
      <c r="AF285" s="177">
        <f t="shared" si="118"/>
        <v>0.49388537266774879</v>
      </c>
      <c r="AG285" s="799">
        <f t="shared" si="124"/>
        <v>2</v>
      </c>
      <c r="AH285" s="176">
        <f t="shared" si="119"/>
        <v>8</v>
      </c>
      <c r="AI285" s="224">
        <f t="shared" si="120"/>
        <v>2.4938853726677488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46294</v>
      </c>
      <c r="B286" s="409">
        <f>IF(t&gt;Tmaj,'2025'!Wh/'2025'!Env_an*'2026'!Env_an,0.001*'[11]mon-tableau (3)'!$B$263)</f>
        <v>23.445707404868564</v>
      </c>
      <c r="C286" s="829"/>
      <c r="D286" s="391">
        <f t="shared" si="102"/>
        <v>24.737268943597567</v>
      </c>
      <c r="E286" s="383">
        <f t="shared" si="100"/>
        <v>25.430330424895285</v>
      </c>
      <c r="F286" s="383">
        <f t="shared" si="103"/>
        <v>25.430375365782403</v>
      </c>
      <c r="G286" s="110">
        <f t="shared" si="101"/>
        <v>0.52727649246186792</v>
      </c>
      <c r="H286" s="412" t="b">
        <f>Wh_hp&gt;='2025'!Maxi_hp</f>
        <v>0</v>
      </c>
      <c r="I286" s="388">
        <f>IF(H286,Wh_hp,'2025'!Maxi_hp)</f>
        <v>46.051965901147405</v>
      </c>
      <c r="J286" s="85">
        <f>IF(H286,An,'2025'!An_max)</f>
        <v>2018</v>
      </c>
      <c r="K286" s="197">
        <f t="shared" si="104"/>
        <v>46294</v>
      </c>
      <c r="L286" s="147">
        <f>IF(t&lt;Tvie,1-EXP((T0-t)*PertePVj)+'2025'!Pspv,1-EXP((T0-t)*PertePVj)+Pspv)</f>
        <v>5.2211161291646158E-2</v>
      </c>
      <c r="M286" s="832"/>
      <c r="N286" s="832"/>
      <c r="O286" s="48">
        <f>IF(t&lt;Tnet,'2025'!Resal+('2025'!Salim-'2025'!Resal)*(1-EXP(('2025'!Tnet-t)/('2025'!Tau_j))),Resal+(Salim-Resal)*(1-EXP((Tnet-t)/(Tau_j))))*Salcycl</f>
        <v>2.725334156961012E-2</v>
      </c>
      <c r="P286" s="169">
        <f>(INDEX(Models!$BJ286:$BT286,,T286)*(1-R286)+INDEX(Models!$BJ286:$BT286,,T286+1)*R286-ERP_i)*Q286*Ramure*Pc/MaxiM</f>
        <v>5.4428791119417729E-6</v>
      </c>
      <c r="Q286" s="304">
        <f t="shared" si="105"/>
        <v>0.6</v>
      </c>
      <c r="R286" s="177">
        <f t="shared" si="106"/>
        <v>0.96911266869968049</v>
      </c>
      <c r="S286" s="799">
        <f t="shared" si="107"/>
        <v>-2</v>
      </c>
      <c r="T286" s="176">
        <f t="shared" si="108"/>
        <v>4</v>
      </c>
      <c r="U286" s="250">
        <f t="shared" si="109"/>
        <v>-1.0308873313003195</v>
      </c>
      <c r="V286" s="382">
        <f t="shared" si="110"/>
        <v>44.465515837152651</v>
      </c>
      <c r="W286" s="400">
        <f t="shared" si="111"/>
        <v>23.445707404868564</v>
      </c>
      <c r="X286" s="157">
        <f t="shared" si="112"/>
        <v>46294</v>
      </c>
      <c r="Y286" s="383">
        <f t="shared" si="113"/>
        <v>22.670545363202582</v>
      </c>
      <c r="Z286" s="383">
        <f t="shared" si="114"/>
        <v>23.919405290843041</v>
      </c>
      <c r="AA286" s="384">
        <f t="shared" si="115"/>
        <v>25.429882575887998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5.9397729444380293E-2</v>
      </c>
      <c r="AD286" s="230">
        <f>(INDEX(Models!$BJ286:$BT286,,AH286)*(1-AF286)+INDEX(Models!$BJ286:$BT286,,AH286+1)*AF286-ERP_i)*AE286*Ramure*Pc/MaxiM</f>
        <v>5.9682752049971338E-5</v>
      </c>
      <c r="AE286" s="304">
        <f t="shared" si="117"/>
        <v>0.6</v>
      </c>
      <c r="AF286" s="177">
        <f t="shared" si="118"/>
        <v>0.49410023507365919</v>
      </c>
      <c r="AG286" s="799">
        <f t="shared" si="124"/>
        <v>2</v>
      </c>
      <c r="AH286" s="176">
        <f t="shared" si="119"/>
        <v>8</v>
      </c>
      <c r="AI286" s="224">
        <f t="shared" si="120"/>
        <v>2.4941002350736592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46295</v>
      </c>
      <c r="B287" s="409">
        <f>IF(t&gt;Tmaj,'2025'!Wh/'2025'!Env_an*'2026'!Env_an,0.001*'[11]mon-tableau (3)'!$B$264)</f>
        <v>25.908104940609622</v>
      </c>
      <c r="C287" s="829"/>
      <c r="D287" s="391">
        <f t="shared" si="102"/>
        <v>27.335837282441922</v>
      </c>
      <c r="E287" s="383">
        <f t="shared" si="100"/>
        <v>28.104533203263451</v>
      </c>
      <c r="F287" s="383">
        <f t="shared" si="103"/>
        <v>28.104598367791347</v>
      </c>
      <c r="G287" s="110">
        <f t="shared" si="101"/>
        <v>0.58607837723724732</v>
      </c>
      <c r="H287" s="412" t="b">
        <f>Wh_hp&gt;='2025'!Maxi_hp</f>
        <v>0</v>
      </c>
      <c r="I287" s="388">
        <f>IF(H287,Wh_hp,'2025'!Maxi_hp)</f>
        <v>37.058781916389229</v>
      </c>
      <c r="J287" s="85">
        <f>IF(H287,An,'2025'!An_max)</f>
        <v>2020</v>
      </c>
      <c r="K287" s="197">
        <f t="shared" si="104"/>
        <v>46295</v>
      </c>
      <c r="L287" s="147">
        <f>IF(t&lt;Tvie,1-EXP((T0-t)*PertePVj)+'2025'!Pspv,1-EXP((T0-t)*PertePVj)+Pspv)</f>
        <v>5.2229325448514663E-2</v>
      </c>
      <c r="M287" s="832"/>
      <c r="N287" s="832"/>
      <c r="O287" s="48">
        <f>IF(t&lt;Tnet,'2025'!Resal+('2025'!Salim-'2025'!Resal)*(1-EXP(('2025'!Tnet-t)/('2025'!Tau_j))),Resal+(Salim-Resal)*(1-EXP((Tnet-t)/(Tau_j))))*Salcycl</f>
        <v>2.7351314297305973E-2</v>
      </c>
      <c r="P287" s="169">
        <f>(INDEX(Models!$BJ287:$BT287,,T287)*(1-R287)+INDEX(Models!$BJ287:$BT287,,T287+1)*R287-ERP_i)*Q287*Ramure*Pc/MaxiM</f>
        <v>5.6734063636540459E-6</v>
      </c>
      <c r="Q287" s="304">
        <f t="shared" si="105"/>
        <v>0.6</v>
      </c>
      <c r="R287" s="177">
        <f t="shared" si="106"/>
        <v>0.96931905544248931</v>
      </c>
      <c r="S287" s="799">
        <f t="shared" si="107"/>
        <v>-2</v>
      </c>
      <c r="T287" s="176">
        <f t="shared" si="108"/>
        <v>4</v>
      </c>
      <c r="U287" s="250">
        <f t="shared" si="109"/>
        <v>-1.0306809445575107</v>
      </c>
      <c r="V287" s="382">
        <f t="shared" si="110"/>
        <v>44.205722359139237</v>
      </c>
      <c r="W287" s="400">
        <f t="shared" si="111"/>
        <v>25.908104940609622</v>
      </c>
      <c r="X287" s="157">
        <f t="shared" si="112"/>
        <v>46295</v>
      </c>
      <c r="Y287" s="383">
        <f t="shared" si="113"/>
        <v>25.052589233713679</v>
      </c>
      <c r="Z287" s="383">
        <f t="shared" si="114"/>
        <v>26.433176195886571</v>
      </c>
      <c r="AA287" s="384">
        <f t="shared" si="115"/>
        <v>28.103887800669302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5.9447704055484461E-2</v>
      </c>
      <c r="AD287" s="230">
        <f>(INDEX(Models!$BJ287:$BT287,,AH287)*(1-AF287)+INDEX(Models!$BJ287:$BT287,,AH287+1)*AF287-ERP_i)*AE287*Ramure*Pc/MaxiM</f>
        <v>6.1863964371431019E-5</v>
      </c>
      <c r="AE287" s="304">
        <f t="shared" si="117"/>
        <v>0.6</v>
      </c>
      <c r="AF287" s="177">
        <f t="shared" si="118"/>
        <v>0.49430662181646801</v>
      </c>
      <c r="AG287" s="799">
        <f t="shared" si="124"/>
        <v>2</v>
      </c>
      <c r="AH287" s="176">
        <f t="shared" si="119"/>
        <v>8</v>
      </c>
      <c r="AI287" s="224">
        <f t="shared" si="120"/>
        <v>2.494306621816468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46296</v>
      </c>
      <c r="B288" s="409">
        <f>IF(t&gt;Tmaj,'2025'!Wh/'2025'!Env_an*'2026'!Env_an,0.001*'[12]mon-tableau (1)'!$B$242)</f>
        <v>37.426946468622504</v>
      </c>
      <c r="C288" s="829"/>
      <c r="D288" s="391">
        <f t="shared" si="102"/>
        <v>39.490210834991075</v>
      </c>
      <c r="E288" s="383">
        <f t="shared" si="100"/>
        <v>40.604759914861233</v>
      </c>
      <c r="F288" s="383">
        <f t="shared" si="103"/>
        <v>40.604948774087212</v>
      </c>
      <c r="G288" s="110">
        <f t="shared" si="101"/>
        <v>0.85172103817404732</v>
      </c>
      <c r="H288" s="412" t="b">
        <f>Wh_hp&gt;='2025'!Maxi_hp</f>
        <v>0</v>
      </c>
      <c r="I288" s="388">
        <f>IF(H288,Wh_hp,'2025'!Maxi_hp)</f>
        <v>45.618686630492995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5.2247489257271185E-2</v>
      </c>
      <c r="M288" s="832"/>
      <c r="N288" s="832"/>
      <c r="O288" s="48">
        <f>IF(t&lt;Tnet,'2025'!Resal+('2025'!Salim-'2025'!Resal)*(1-EXP(('2025'!Tnet-t)/('2025'!Tau_j))),Resal+(Salim-Resal)*(1-EXP((Tnet-t)/(Tau_j))))*Salcycl</f>
        <v>2.7448729710681973E-2</v>
      </c>
      <c r="P288" s="169">
        <f>(INDEX(Models!$BJ288:$BT288,,T288)*(1-R288)+INDEX(Models!$BJ288:$BT288,,T288+1)*R288-ERP_i)*Q288*Ramure*Pc/MaxiM</f>
        <v>5.9011532841593403E-6</v>
      </c>
      <c r="Q288" s="304">
        <f t="shared" si="105"/>
        <v>0.6</v>
      </c>
      <c r="R288" s="177">
        <f t="shared" si="106"/>
        <v>0.96951729414523768</v>
      </c>
      <c r="S288" s="799">
        <f t="shared" si="107"/>
        <v>-2</v>
      </c>
      <c r="T288" s="176">
        <f t="shared" si="108"/>
        <v>4</v>
      </c>
      <c r="U288" s="250">
        <f t="shared" si="109"/>
        <v>-1.0304827058547623</v>
      </c>
      <c r="V288" s="382">
        <f t="shared" si="110"/>
        <v>43.942673723772657</v>
      </c>
      <c r="W288" s="400">
        <f t="shared" si="111"/>
        <v>37.426946468622504</v>
      </c>
      <c r="X288" s="157">
        <f t="shared" si="112"/>
        <v>46296</v>
      </c>
      <c r="Y288" s="383">
        <f t="shared" si="113"/>
        <v>36.191975382184957</v>
      </c>
      <c r="Z288" s="383">
        <f t="shared" si="114"/>
        <v>38.187158537646347</v>
      </c>
      <c r="AA288" s="384">
        <f t="shared" si="115"/>
        <v>40.602899946658532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5.9496770235274589E-2</v>
      </c>
      <c r="AD288" s="230">
        <f>(INDEX(Models!$BJ288:$BT288,,AH288)*(1-AF288)+INDEX(Models!$BJ288:$BT288,,AH288+1)*AF288-ERP_i)*AE288*Ramure*Pc/MaxiM</f>
        <v>6.4018290059921431E-5</v>
      </c>
      <c r="AE288" s="304">
        <f t="shared" si="117"/>
        <v>0.6</v>
      </c>
      <c r="AF288" s="177">
        <f t="shared" si="118"/>
        <v>0.49450486051921638</v>
      </c>
      <c r="AG288" s="799">
        <f t="shared" si="124"/>
        <v>2</v>
      </c>
      <c r="AH288" s="176">
        <f t="shared" si="119"/>
        <v>8</v>
      </c>
      <c r="AI288" s="224">
        <f t="shared" si="120"/>
        <v>2.4945048605192164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46297</v>
      </c>
      <c r="B289" s="409">
        <f>IF(t&gt;Tmaj,'2025'!Wh/'2025'!Env_an*'2026'!Env_an,0.001*'[12]mon-tableau (1)'!$B$243)</f>
        <v>40.521919035685549</v>
      </c>
      <c r="C289" s="829"/>
      <c r="D289" s="391">
        <f t="shared" si="102"/>
        <v>42.756621781087418</v>
      </c>
      <c r="E289" s="383">
        <f t="shared" si="100"/>
        <v>43.967738527441185</v>
      </c>
      <c r="F289" s="383">
        <f t="shared" si="103"/>
        <v>43.967980094291583</v>
      </c>
      <c r="G289" s="110">
        <f t="shared" si="101"/>
        <v>0.92778840161815823</v>
      </c>
      <c r="H289" s="412" t="b">
        <f>Wh_hp&gt;='2025'!Maxi_hp</f>
        <v>1</v>
      </c>
      <c r="I289" s="388">
        <f>IF(H289,Wh_hp,'2025'!Maxi_hp)</f>
        <v>43.967980094291583</v>
      </c>
      <c r="J289" s="85">
        <f>IF(H289,An,'2025'!An_max)</f>
        <v>2026</v>
      </c>
      <c r="K289" s="197">
        <f t="shared" si="104"/>
        <v>46297</v>
      </c>
      <c r="L289" s="147">
        <f>IF(t&lt;Tvie,1-EXP((T0-t)*PertePVj)+'2025'!Pspv,1-EXP((T0-t)*PertePVj)+Pspv)</f>
        <v>5.2265652717922384E-2</v>
      </c>
      <c r="M289" s="832"/>
      <c r="N289" s="832"/>
      <c r="O289" s="48">
        <f>IF(t&lt;Tnet,'2025'!Resal+('2025'!Salim-'2025'!Resal)*(1-EXP(('2025'!Tnet-t)/('2025'!Tau_j))),Resal+(Salim-Resal)*(1-EXP((Tnet-t)/(Tau_j))))*Salcycl</f>
        <v>2.7545577437372244E-2</v>
      </c>
      <c r="P289" s="169">
        <f>(INDEX(Models!$BJ289:$BT289,,T289)*(1-R289)+INDEX(Models!$BJ289:$BT289,,T289+1)*R289-ERP_i)*Q289*Ramure*Pc/MaxiM</f>
        <v>6.1261153367315741E-6</v>
      </c>
      <c r="Q289" s="304">
        <f t="shared" si="105"/>
        <v>0.6</v>
      </c>
      <c r="R289" s="177">
        <f t="shared" si="106"/>
        <v>0.96970770029239395</v>
      </c>
      <c r="S289" s="799">
        <f t="shared" si="107"/>
        <v>-2</v>
      </c>
      <c r="T289" s="176">
        <f t="shared" si="108"/>
        <v>4</v>
      </c>
      <c r="U289" s="250">
        <f t="shared" si="109"/>
        <v>-1.0302922997076061</v>
      </c>
      <c r="V289" s="382">
        <f t="shared" si="110"/>
        <v>43.67579219203575</v>
      </c>
      <c r="W289" s="400">
        <f t="shared" si="111"/>
        <v>40.521919035685549</v>
      </c>
      <c r="X289" s="157">
        <f t="shared" si="112"/>
        <v>46297</v>
      </c>
      <c r="Y289" s="383">
        <f t="shared" si="113"/>
        <v>39.186405775840768</v>
      </c>
      <c r="Z289" s="383">
        <f t="shared" si="114"/>
        <v>41.347457637490876</v>
      </c>
      <c r="AA289" s="384">
        <f t="shared" si="115"/>
        <v>43.965371809950604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5.954491147660932E-2</v>
      </c>
      <c r="AD289" s="230">
        <f>(INDEX(Models!$BJ289:$BT289,,AH289)*(1-AF289)+INDEX(Models!$BJ289:$BT289,,AH289+1)*AF289-ERP_i)*AE289*Ramure*Pc/MaxiM</f>
        <v>6.6145875055148633E-5</v>
      </c>
      <c r="AE289" s="304">
        <f t="shared" si="117"/>
        <v>0.6</v>
      </c>
      <c r="AF289" s="177">
        <f t="shared" si="118"/>
        <v>0.49469526666637265</v>
      </c>
      <c r="AG289" s="799">
        <f t="shared" si="124"/>
        <v>2</v>
      </c>
      <c r="AH289" s="176">
        <f t="shared" si="119"/>
        <v>8</v>
      </c>
      <c r="AI289" s="224">
        <f t="shared" si="120"/>
        <v>2.4946952666663726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46298</v>
      </c>
      <c r="B290" s="409">
        <f>IF(t&gt;Tmaj,'2025'!Wh/'2025'!Env_an*'2026'!Env_an,0.001*'[12]mon-tableau (1)'!$B$244)</f>
        <v>36.723909216327684</v>
      </c>
      <c r="C290" s="829"/>
      <c r="D290" s="391">
        <f t="shared" si="102"/>
        <v>38.74990195351419</v>
      </c>
      <c r="E290" s="383">
        <f t="shared" si="100"/>
        <v>39.851470223742886</v>
      </c>
      <c r="F290" s="383">
        <f t="shared" si="103"/>
        <v>39.851667186484065</v>
      </c>
      <c r="G290" s="110">
        <f t="shared" si="101"/>
        <v>0.84608281167977428</v>
      </c>
      <c r="H290" s="412" t="b">
        <f>Wh_hp&gt;='2025'!Maxi_hp</f>
        <v>1</v>
      </c>
      <c r="I290" s="388">
        <f>IF(H290,Wh_hp,'2025'!Maxi_hp)</f>
        <v>39.851667186484065</v>
      </c>
      <c r="J290" s="85">
        <f>IF(H290,An,'2025'!An_max)</f>
        <v>2026</v>
      </c>
      <c r="K290" s="197">
        <f t="shared" si="104"/>
        <v>46298</v>
      </c>
      <c r="L290" s="147">
        <f>IF(t&lt;Tvie,1-EXP((T0-t)*PertePVj)+'2025'!Pspv,1-EXP((T0-t)*PertePVj)+Pspv)</f>
        <v>5.2283815830475144E-2</v>
      </c>
      <c r="M290" s="832"/>
      <c r="N290" s="832"/>
      <c r="O290" s="48">
        <f>IF(t&lt;Tnet,'2025'!Resal+('2025'!Salim-'2025'!Resal)*(1-EXP(('2025'!Tnet-t)/('2025'!Tau_j))),Resal+(Salim-Resal)*(1-EXP((Tnet-t)/(Tau_j))))*Salcycl</f>
        <v>2.7641847692043156E-2</v>
      </c>
      <c r="P290" s="169">
        <f>(INDEX(Models!$BJ290:$BT290,,T290)*(1-R290)+INDEX(Models!$BJ290:$BT290,,T290+1)*R290-ERP_i)*Q290*Ramure*Pc/MaxiM</f>
        <v>6.3354312244056442E-6</v>
      </c>
      <c r="Q290" s="304">
        <f t="shared" si="105"/>
        <v>0.6</v>
      </c>
      <c r="R290" s="177">
        <f t="shared" si="106"/>
        <v>0.96989057763818209</v>
      </c>
      <c r="S290" s="799">
        <f t="shared" si="107"/>
        <v>-2</v>
      </c>
      <c r="T290" s="176">
        <f t="shared" si="108"/>
        <v>4</v>
      </c>
      <c r="U290" s="250">
        <f t="shared" si="109"/>
        <v>-1.0301094223618179</v>
      </c>
      <c r="V290" s="382">
        <f t="shared" si="110"/>
        <v>43.404566966069098</v>
      </c>
      <c r="W290" s="400">
        <f t="shared" si="111"/>
        <v>36.723909216327684</v>
      </c>
      <c r="X290" s="157">
        <f t="shared" si="112"/>
        <v>46298</v>
      </c>
      <c r="Y290" s="383">
        <f t="shared" si="113"/>
        <v>35.515496143495923</v>
      </c>
      <c r="Z290" s="383">
        <f t="shared" si="114"/>
        <v>37.47482288130157</v>
      </c>
      <c r="AA290" s="384">
        <f t="shared" si="115"/>
        <v>39.849541232428855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5.9592112673929144E-2</v>
      </c>
      <c r="AD290" s="230">
        <f>(INDEX(Models!$BJ290:$BT290,,AH290)*(1-AF290)+INDEX(Models!$BJ290:$BT290,,AH290+1)*AF290-ERP_i)*AE290*Ramure*Pc/MaxiM</f>
        <v>6.838265766499028E-5</v>
      </c>
      <c r="AE290" s="304">
        <f t="shared" si="117"/>
        <v>0.6</v>
      </c>
      <c r="AF290" s="177">
        <f t="shared" si="118"/>
        <v>0.49487814401216079</v>
      </c>
      <c r="AG290" s="799">
        <f t="shared" si="124"/>
        <v>2</v>
      </c>
      <c r="AH290" s="176">
        <f t="shared" si="119"/>
        <v>8</v>
      </c>
      <c r="AI290" s="224">
        <f t="shared" si="120"/>
        <v>2.4948781440121608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46299</v>
      </c>
      <c r="B291" s="409">
        <f>IF(t&gt;Tmaj,'2025'!Wh/'2025'!Env_an*'2026'!Env_an,0.001*'[12]mon-tableau (1)'!$B$245)</f>
        <v>43.132120094235653</v>
      </c>
      <c r="C291" s="829"/>
      <c r="D291" s="391">
        <f t="shared" si="102"/>
        <v>45.512514661883174</v>
      </c>
      <c r="E291" s="383">
        <f t="shared" si="100"/>
        <v>46.810934423719857</v>
      </c>
      <c r="F291" s="383">
        <f t="shared" si="103"/>
        <v>46.811239580800567</v>
      </c>
      <c r="G291" s="110">
        <f t="shared" si="101"/>
        <v>1.0000677422919386</v>
      </c>
      <c r="H291" s="412" t="b">
        <f>Wh_hp&gt;='2025'!Maxi_hp</f>
        <v>1</v>
      </c>
      <c r="I291" s="388">
        <f>IF(H291,Wh_hp,'2025'!Maxi_hp)</f>
        <v>46.811239580800567</v>
      </c>
      <c r="J291" s="85">
        <f>IF(H291,An,'2025'!An_max)</f>
        <v>2026</v>
      </c>
      <c r="K291" s="197">
        <f t="shared" si="104"/>
        <v>46299</v>
      </c>
      <c r="L291" s="147">
        <f>IF(t&lt;Tvie,1-EXP((T0-t)*PertePVj)+'2025'!Pspv,1-EXP((T0-t)*PertePVj)+Pspv)</f>
        <v>5.2301978594935905E-2</v>
      </c>
      <c r="M291" s="832"/>
      <c r="N291" s="832"/>
      <c r="O291" s="48">
        <f>IF(t&lt;Tnet,'2025'!Resal+('2025'!Salim-'2025'!Resal)*(1-EXP(('2025'!Tnet-t)/('2025'!Tau_j))),Resal+(Salim-Resal)*(1-EXP((Tnet-t)/(Tau_j))))*Salcycl</f>
        <v>2.773753136572198E-2</v>
      </c>
      <c r="P291" s="169">
        <f>(INDEX(Models!$BJ291:$BT291,,T291)*(1-R291)+INDEX(Models!$BJ291:$BT291,,T291+1)*R291-ERP_i)*Q291*Ramure*Pc/MaxiM</f>
        <v>6.5188848541259571E-6</v>
      </c>
      <c r="Q291" s="304">
        <f t="shared" si="105"/>
        <v>0.6</v>
      </c>
      <c r="R291" s="177">
        <f t="shared" si="106"/>
        <v>0.97006621860451259</v>
      </c>
      <c r="S291" s="799">
        <f t="shared" si="107"/>
        <v>-2</v>
      </c>
      <c r="T291" s="176">
        <f t="shared" si="108"/>
        <v>4</v>
      </c>
      <c r="U291" s="250">
        <f t="shared" si="109"/>
        <v>-1.0299337813954874</v>
      </c>
      <c r="V291" s="382">
        <f t="shared" si="110"/>
        <v>43.129198423484972</v>
      </c>
      <c r="W291" s="400">
        <f t="shared" si="111"/>
        <v>43.132120094235653</v>
      </c>
      <c r="X291" s="157">
        <f t="shared" si="112"/>
        <v>46299</v>
      </c>
      <c r="Y291" s="383">
        <f t="shared" si="113"/>
        <v>41.714238931127319</v>
      </c>
      <c r="Z291" s="383">
        <f t="shared" si="114"/>
        <v>44.016382844486138</v>
      </c>
      <c r="AA291" s="384">
        <f t="shared" si="115"/>
        <v>46.807931104369175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5.9638360295366004E-2</v>
      </c>
      <c r="AD291" s="230">
        <f>(INDEX(Models!$BJ291:$BT291,,AH291)*(1-AF291)+INDEX(Models!$BJ291:$BT291,,AH291+1)*AF291-ERP_i)*AE291*Ramure*Pc/MaxiM</f>
        <v>7.0676966921157547E-5</v>
      </c>
      <c r="AE291" s="304">
        <f t="shared" si="117"/>
        <v>0.6</v>
      </c>
      <c r="AF291" s="177">
        <f t="shared" si="118"/>
        <v>0.49505378497849106</v>
      </c>
      <c r="AG291" s="799">
        <f t="shared" si="124"/>
        <v>2</v>
      </c>
      <c r="AH291" s="176">
        <f t="shared" si="119"/>
        <v>8</v>
      </c>
      <c r="AI291" s="224">
        <f t="shared" si="120"/>
        <v>2.4950537849784911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46300</v>
      </c>
      <c r="B292" s="409">
        <f>IF(t&gt;Tmaj,'2025'!Wh/'2025'!Env_an*'2026'!Env_an,0.001*'[12]mon-tableau (1)'!$B$246)</f>
        <v>44.901531930919219</v>
      </c>
      <c r="C292" s="829"/>
      <c r="D292" s="391">
        <f t="shared" si="102"/>
        <v>47.3804856197278</v>
      </c>
      <c r="E292" s="383">
        <f t="shared" si="100"/>
        <v>48.7369629964113</v>
      </c>
      <c r="F292" s="383">
        <f t="shared" si="103"/>
        <v>48.737288376896338</v>
      </c>
      <c r="G292" s="110">
        <f t="shared" si="101"/>
        <v>1.0478798370423084</v>
      </c>
      <c r="H292" s="412" t="b">
        <f>Wh_hp&gt;='2025'!Maxi_hp</f>
        <v>1</v>
      </c>
      <c r="I292" s="388">
        <f>IF(H292,Wh_hp,'2025'!Maxi_hp)</f>
        <v>48.737288376896338</v>
      </c>
      <c r="J292" s="85">
        <f>IF(H292,An,'2025'!An_max)</f>
        <v>2026</v>
      </c>
      <c r="K292" s="197">
        <f t="shared" si="104"/>
        <v>46300</v>
      </c>
      <c r="L292" s="147">
        <f>IF(t&lt;Tvie,1-EXP((T0-t)*PertePVj)+'2025'!Pspv,1-EXP((T0-t)*PertePVj)+Pspv)</f>
        <v>5.2320141011311549E-2</v>
      </c>
      <c r="M292" s="832"/>
      <c r="N292" s="832"/>
      <c r="O292" s="48">
        <f>IF(t&lt;Tnet,'2025'!Resal+('2025'!Salim-'2025'!Resal)*(1-EXP(('2025'!Tnet-t)/('2025'!Tau_j))),Resal+(Salim-Resal)*(1-EXP((Tnet-t)/(Tau_j))))*Salcycl</f>
        <v>2.7832620115934965E-2</v>
      </c>
      <c r="P292" s="169">
        <f>(INDEX(Models!$BJ292:$BT292,,T292)*(1-R292)+INDEX(Models!$BJ292:$BT292,,T292+1)*R292-ERP_i)*Q292*Ramure*Pc/MaxiM</f>
        <v>6.6762123186957399E-6</v>
      </c>
      <c r="Q292" s="304">
        <f t="shared" si="105"/>
        <v>0.6</v>
      </c>
      <c r="R292" s="177">
        <f t="shared" si="106"/>
        <v>0.97023490466849416</v>
      </c>
      <c r="S292" s="799">
        <f t="shared" si="107"/>
        <v>-2</v>
      </c>
      <c r="T292" s="176">
        <f t="shared" si="108"/>
        <v>4</v>
      </c>
      <c r="U292" s="250">
        <f t="shared" si="109"/>
        <v>-1.0297650953315058</v>
      </c>
      <c r="V292" s="382">
        <f t="shared" si="110"/>
        <v>42.849886354962209</v>
      </c>
      <c r="W292" s="400">
        <f t="shared" si="111"/>
        <v>44.901531930919219</v>
      </c>
      <c r="X292" s="157">
        <f t="shared" si="112"/>
        <v>46300</v>
      </c>
      <c r="Y292" s="383">
        <f t="shared" si="113"/>
        <v>43.427545816268186</v>
      </c>
      <c r="Z292" s="383">
        <f t="shared" si="114"/>
        <v>45.825122697670984</v>
      </c>
      <c r="AA292" s="384">
        <f t="shared" si="115"/>
        <v>48.733729169765141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5.9683642554050363E-2</v>
      </c>
      <c r="AD292" s="230">
        <f>(INDEX(Models!$BJ292:$BT292,,AH292)*(1-AF292)+INDEX(Models!$BJ292:$BT292,,AH292+1)*AF292-ERP_i)*AE292*Ramure*Pc/MaxiM</f>
        <v>7.3028419301353098E-5</v>
      </c>
      <c r="AE292" s="304">
        <f t="shared" si="117"/>
        <v>0.6</v>
      </c>
      <c r="AF292" s="177">
        <f t="shared" si="118"/>
        <v>0.49522247104247308</v>
      </c>
      <c r="AG292" s="799">
        <f t="shared" si="124"/>
        <v>2</v>
      </c>
      <c r="AH292" s="176">
        <f t="shared" si="119"/>
        <v>8</v>
      </c>
      <c r="AI292" s="224">
        <f t="shared" si="120"/>
        <v>2.4952224710424731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46301</v>
      </c>
      <c r="B293" s="409">
        <f>IF(t&gt;Tmaj,'2025'!Wh/'2025'!Env_an*'2026'!Env_an,0.001*'[12]mon-tableau (1)'!$B$247)</f>
        <v>12.027252535699716</v>
      </c>
      <c r="C293" s="829"/>
      <c r="D293" s="391">
        <f t="shared" si="102"/>
        <v>12.69150433618303</v>
      </c>
      <c r="E293" s="383">
        <f t="shared" si="100"/>
        <v>13.056124103948969</v>
      </c>
      <c r="F293" s="383">
        <f t="shared" si="103"/>
        <v>13.056124103948969</v>
      </c>
      <c r="G293" s="110">
        <f t="shared" si="101"/>
        <v>0.28254794999580624</v>
      </c>
      <c r="H293" s="412" t="b">
        <f>Wh_hp&gt;='2025'!Maxi_hp</f>
        <v>0</v>
      </c>
      <c r="I293" s="388">
        <f>IF(H293,Wh_hp,'2025'!Maxi_hp)</f>
        <v>32.037742700397558</v>
      </c>
      <c r="J293" s="85">
        <f>IF(H293,An,'2025'!An_max)</f>
        <v>2020</v>
      </c>
      <c r="K293" s="197">
        <f t="shared" si="104"/>
        <v>46301</v>
      </c>
      <c r="L293" s="147">
        <f>IF(t&lt;Tvie,1-EXP((T0-t)*PertePVj)+'2025'!Pspv,1-EXP((T0-t)*PertePVj)+Pspv)</f>
        <v>5.2338303079608517E-2</v>
      </c>
      <c r="M293" s="832"/>
      <c r="N293" s="832"/>
      <c r="O293" s="48">
        <f>IF(t&lt;Tnet,'2025'!Resal+('2025'!Salim-'2025'!Resal)*(1-EXP(('2025'!Tnet-t)/('2025'!Tau_j))),Resal+(Salim-Resal)*(1-EXP((Tnet-t)/(Tau_j))))*Salcycl</f>
        <v>2.7927106456935049E-2</v>
      </c>
      <c r="P293" s="169">
        <f>(INDEX(Models!$BJ293:$BT293,,T293)*(1-R293)+INDEX(Models!$BJ293:$BT293,,T293+1)*R293-ERP_i)*Q293*Ramure*Pc/MaxiM</f>
        <v>6.807153959001369E-6</v>
      </c>
      <c r="Q293" s="304">
        <f t="shared" si="105"/>
        <v>0.6</v>
      </c>
      <c r="R293" s="177">
        <f t="shared" si="106"/>
        <v>0.97039690673953327</v>
      </c>
      <c r="S293" s="799">
        <f t="shared" si="107"/>
        <v>-2</v>
      </c>
      <c r="T293" s="176">
        <f t="shared" si="108"/>
        <v>4</v>
      </c>
      <c r="U293" s="250">
        <f t="shared" si="109"/>
        <v>-1.0296030932604667</v>
      </c>
      <c r="V293" s="382">
        <f t="shared" si="110"/>
        <v>42.566830389385302</v>
      </c>
      <c r="W293" s="400">
        <f t="shared" si="111"/>
        <v>12.027252535699716</v>
      </c>
      <c r="X293" s="157">
        <f t="shared" si="112"/>
        <v>46301</v>
      </c>
      <c r="Y293" s="383">
        <f t="shared" si="113"/>
        <v>11.633787422542838</v>
      </c>
      <c r="Z293" s="383">
        <f t="shared" si="114"/>
        <v>12.276308581795657</v>
      </c>
      <c r="AA293" s="384">
        <f t="shared" si="115"/>
        <v>13.056124103948969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5.9727949577122047E-2</v>
      </c>
      <c r="AD293" s="230">
        <f>(INDEX(Models!$BJ293:$BT293,,AH293)*(1-AF293)+INDEX(Models!$BJ293:$BT293,,AH293+1)*AF293-ERP_i)*AE293*Ramure*Pc/MaxiM</f>
        <v>7.5436556848338776E-5</v>
      </c>
      <c r="AE293" s="304">
        <f t="shared" si="117"/>
        <v>0.6</v>
      </c>
      <c r="AF293" s="177">
        <f t="shared" si="118"/>
        <v>0.49538447311351197</v>
      </c>
      <c r="AG293" s="799">
        <f t="shared" si="124"/>
        <v>2</v>
      </c>
      <c r="AH293" s="176">
        <f t="shared" si="119"/>
        <v>8</v>
      </c>
      <c r="AI293" s="224">
        <f t="shared" si="120"/>
        <v>2.495384473113512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46302</v>
      </c>
      <c r="B294" s="409">
        <f>IF(t&gt;Tmaj,'2025'!Wh/'2025'!Env_an*'2026'!Env_an,0.001*'[12]mon-tableau (1)'!$B$248)</f>
        <v>32.832343836506979</v>
      </c>
      <c r="C294" s="829"/>
      <c r="D294" s="391">
        <f t="shared" si="102"/>
        <v>34.646301712565318</v>
      </c>
      <c r="E294" s="383">
        <f t="shared" si="100"/>
        <v>35.64511284386878</v>
      </c>
      <c r="F294" s="383">
        <f t="shared" si="103"/>
        <v>35.645280559718636</v>
      </c>
      <c r="G294" s="110">
        <f t="shared" si="101"/>
        <v>0.77653956464045593</v>
      </c>
      <c r="H294" s="412" t="b">
        <f>Wh_hp&gt;='2025'!Maxi_hp</f>
        <v>0</v>
      </c>
      <c r="I294" s="388">
        <f>IF(H294,Wh_hp,'2025'!Maxi_hp)</f>
        <v>45.95674728395548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5.235646479983358E-2</v>
      </c>
      <c r="M294" s="832"/>
      <c r="N294" s="832"/>
      <c r="O294" s="48">
        <f>IF(t&lt;Tnet,'2025'!Resal+('2025'!Salim-'2025'!Resal)*(1-EXP(('2025'!Tnet-t)/('2025'!Tau_j))),Resal+(Salim-Resal)*(1-EXP((Tnet-t)/(Tau_j))))*Salcycl</f>
        <v>2.8020983849270344E-2</v>
      </c>
      <c r="P294" s="169">
        <f>(INDEX(Models!$BJ294:$BT294,,T294)*(1-R294)+INDEX(Models!$BJ294:$BT294,,T294+1)*R294-ERP_i)*Q294*Ramure*Pc/MaxiM</f>
        <v>6.9114565919511117E-6</v>
      </c>
      <c r="Q294" s="304">
        <f t="shared" si="105"/>
        <v>0.6</v>
      </c>
      <c r="R294" s="177">
        <f t="shared" si="106"/>
        <v>0.97055248552605633</v>
      </c>
      <c r="S294" s="799">
        <f t="shared" si="107"/>
        <v>-2</v>
      </c>
      <c r="T294" s="176">
        <f t="shared" si="108"/>
        <v>4</v>
      </c>
      <c r="U294" s="250">
        <f t="shared" si="109"/>
        <v>-1.0294475144739437</v>
      </c>
      <c r="V294" s="382">
        <f t="shared" si="110"/>
        <v>42.280230000453244</v>
      </c>
      <c r="W294" s="400">
        <f t="shared" si="111"/>
        <v>32.832343836506979</v>
      </c>
      <c r="X294" s="157">
        <f t="shared" si="112"/>
        <v>46302</v>
      </c>
      <c r="Y294" s="383">
        <f t="shared" si="113"/>
        <v>31.758320333993236</v>
      </c>
      <c r="Z294" s="383">
        <f t="shared" si="114"/>
        <v>33.512939364151386</v>
      </c>
      <c r="AA294" s="384">
        <f t="shared" si="115"/>
        <v>35.64339019020521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5.9771273570920713E-2</v>
      </c>
      <c r="AD294" s="230">
        <f>(INDEX(Models!$BJ294:$BT294,,AH294)*(1-AF294)+INDEX(Models!$BJ294:$BT294,,AH294+1)*AF294-ERP_i)*AE294*Ramure*Pc/MaxiM</f>
        <v>7.7900847451730057E-5</v>
      </c>
      <c r="AE294" s="304">
        <f t="shared" si="117"/>
        <v>0.6</v>
      </c>
      <c r="AF294" s="177">
        <f t="shared" si="118"/>
        <v>0.49554005190003503</v>
      </c>
      <c r="AG294" s="799">
        <f t="shared" si="124"/>
        <v>2</v>
      </c>
      <c r="AH294" s="176">
        <f t="shared" si="119"/>
        <v>8</v>
      </c>
      <c r="AI294" s="224">
        <f t="shared" si="120"/>
        <v>2.495540051900035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46303</v>
      </c>
      <c r="B295" s="409">
        <f>IF(t&gt;Tmaj,'2025'!Wh/'2025'!Env_an*'2026'!Env_an,0.001*'[12]mon-tableau (1)'!$B$249)</f>
        <v>15.384965043092373</v>
      </c>
      <c r="C295" s="829"/>
      <c r="D295" s="391">
        <f t="shared" si="102"/>
        <v>16.235281861379047</v>
      </c>
      <c r="E295" s="383">
        <f t="shared" si="100"/>
        <v>16.704928339284244</v>
      </c>
      <c r="F295" s="383">
        <f t="shared" si="103"/>
        <v>16.70493941264359</v>
      </c>
      <c r="G295" s="110">
        <f t="shared" si="101"/>
        <v>0.36639112833652032</v>
      </c>
      <c r="H295" s="412" t="b">
        <f>Wh_hp&gt;='2025'!Maxi_hp</f>
        <v>0</v>
      </c>
      <c r="I295" s="388">
        <f>IF(H295,Wh_hp,'2025'!Maxi_hp)</f>
        <v>44.08585911576052</v>
      </c>
      <c r="J295" s="85">
        <f>IF(H295,An,'2025'!An_max)</f>
        <v>2021</v>
      </c>
      <c r="K295" s="197">
        <f t="shared" si="104"/>
        <v>46303</v>
      </c>
      <c r="L295" s="147">
        <f>IF(t&lt;Tvie,1-EXP((T0-t)*PertePVj)+'2025'!Pspv,1-EXP((T0-t)*PertePVj)+Pspv)</f>
        <v>5.237462617199351E-2</v>
      </c>
      <c r="M295" s="832"/>
      <c r="N295" s="832"/>
      <c r="O295" s="48">
        <f>IF(t&lt;Tnet,'2025'!Resal+('2025'!Salim-'2025'!Resal)*(1-EXP(('2025'!Tnet-t)/('2025'!Tau_j))),Resal+(Salim-Resal)*(1-EXP((Tnet-t)/(Tau_j))))*Salcycl</f>
        <v>2.811424678792239E-2</v>
      </c>
      <c r="P295" s="169">
        <f>(INDEX(Models!$BJ295:$BT295,,T295)*(1-R295)+INDEX(Models!$BJ295:$BT295,,T295+1)*R295-ERP_i)*Q295*Ramure*Pc/MaxiM</f>
        <v>6.9888757174902915E-6</v>
      </c>
      <c r="Q295" s="304">
        <f t="shared" si="105"/>
        <v>0.6</v>
      </c>
      <c r="R295" s="177">
        <f t="shared" si="106"/>
        <v>0.97070189189191747</v>
      </c>
      <c r="S295" s="799">
        <f t="shared" si="107"/>
        <v>-2</v>
      </c>
      <c r="T295" s="176">
        <f t="shared" si="108"/>
        <v>4</v>
      </c>
      <c r="U295" s="250">
        <f t="shared" si="109"/>
        <v>-1.0292981081080825</v>
      </c>
      <c r="V295" s="382">
        <f t="shared" si="110"/>
        <v>41.990284501824149</v>
      </c>
      <c r="W295" s="400">
        <f t="shared" si="111"/>
        <v>15.384965043092373</v>
      </c>
      <c r="X295" s="157">
        <f t="shared" si="112"/>
        <v>46303</v>
      </c>
      <c r="Y295" s="383">
        <f t="shared" si="113"/>
        <v>14.883060037998627</v>
      </c>
      <c r="Z295" s="383">
        <f t="shared" si="114"/>
        <v>15.705636899397646</v>
      </c>
      <c r="AA295" s="384">
        <f t="shared" si="115"/>
        <v>16.704811991984204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5.9813608980814073E-2</v>
      </c>
      <c r="AD295" s="230">
        <f>(INDEX(Models!$BJ295:$BT295,,AH295)*(1-AF295)+INDEX(Models!$BJ295:$BT295,,AH295+1)*AF295-ERP_i)*AE295*Ramure*Pc/MaxiM</f>
        <v>8.0420685768855431E-5</v>
      </c>
      <c r="AE295" s="304">
        <f t="shared" si="117"/>
        <v>0.6</v>
      </c>
      <c r="AF295" s="177">
        <f t="shared" si="118"/>
        <v>0.49568945826589594</v>
      </c>
      <c r="AG295" s="799">
        <f t="shared" si="124"/>
        <v>2</v>
      </c>
      <c r="AH295" s="176">
        <f t="shared" si="119"/>
        <v>8</v>
      </c>
      <c r="AI295" s="224">
        <f t="shared" si="120"/>
        <v>2.4956894582658959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46304</v>
      </c>
      <c r="B296" s="409">
        <f>IF(t&gt;Tmaj,'2025'!Wh/'2025'!Env_an*'2026'!Env_an,0.001*'[12]mon-tableau (1)'!$B$250)</f>
        <v>40.987034019644931</v>
      </c>
      <c r="C296" s="829"/>
      <c r="D296" s="391">
        <f t="shared" si="102"/>
        <v>43.253189154572908</v>
      </c>
      <c r="E296" s="383">
        <f t="shared" si="100"/>
        <v>44.508639492316114</v>
      </c>
      <c r="F296" s="383">
        <f t="shared" si="103"/>
        <v>44.508945867347734</v>
      </c>
      <c r="G296" s="110">
        <f t="shared" si="101"/>
        <v>0.98296850794900381</v>
      </c>
      <c r="H296" s="412" t="b">
        <f>Wh_hp&gt;='2025'!Maxi_hp</f>
        <v>1</v>
      </c>
      <c r="I296" s="388">
        <f>IF(H296,Wh_hp,'2025'!Maxi_hp)</f>
        <v>44.508945867347734</v>
      </c>
      <c r="J296" s="85">
        <f>IF(H296,An,'2025'!An_max)</f>
        <v>2026</v>
      </c>
      <c r="K296" s="197">
        <f t="shared" si="104"/>
        <v>46304</v>
      </c>
      <c r="L296" s="147">
        <f>IF(t&lt;Tvie,1-EXP((T0-t)*PertePVj)+'2025'!Pspv,1-EXP((T0-t)*PertePVj)+Pspv)</f>
        <v>5.2392787196094859E-2</v>
      </c>
      <c r="M296" s="832"/>
      <c r="N296" s="832"/>
      <c r="O296" s="48">
        <f>IF(t&lt;Tnet,'2025'!Resal+('2025'!Salim-'2025'!Resal)*(1-EXP(('2025'!Tnet-t)/('2025'!Tau_j))),Resal+(Salim-Resal)*(1-EXP((Tnet-t)/(Tau_j))))*Salcycl</f>
        <v>2.820689088822724E-2</v>
      </c>
      <c r="P296" s="169">
        <f>(INDEX(Models!$BJ296:$BT296,,T296)*(1-R296)+INDEX(Models!$BJ296:$BT296,,T296+1)*R296-ERP_i)*Q296*Ramure*Pc/MaxiM</f>
        <v>7.0551022837768134E-6</v>
      </c>
      <c r="Q296" s="304">
        <f t="shared" si="105"/>
        <v>0.6</v>
      </c>
      <c r="R296" s="177">
        <f t="shared" si="106"/>
        <v>0.97084536720258008</v>
      </c>
      <c r="S296" s="799">
        <f t="shared" si="107"/>
        <v>-2</v>
      </c>
      <c r="T296" s="176">
        <f t="shared" si="108"/>
        <v>4</v>
      </c>
      <c r="U296" s="250">
        <f t="shared" si="109"/>
        <v>-1.0291546327974199</v>
      </c>
      <c r="V296" s="382">
        <f t="shared" si="110"/>
        <v>41.697192384660582</v>
      </c>
      <c r="W296" s="400">
        <f t="shared" si="111"/>
        <v>40.987034019644931</v>
      </c>
      <c r="X296" s="157">
        <f t="shared" si="112"/>
        <v>46304</v>
      </c>
      <c r="Y296" s="383">
        <f t="shared" si="113"/>
        <v>39.649279086566786</v>
      </c>
      <c r="Z296" s="383">
        <f t="shared" si="114"/>
        <v>41.841470337954974</v>
      </c>
      <c r="AA296" s="384">
        <f t="shared" si="115"/>
        <v>44.505335060406303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5.9854952644120329E-2</v>
      </c>
      <c r="AD296" s="230">
        <f>(INDEX(Models!$BJ296:$BT296,,AH296)*(1-AF296)+INDEX(Models!$BJ296:$BT296,,AH296+1)*AF296-ERP_i)*AE296*Ramure*Pc/MaxiM</f>
        <v>8.3148460774316906E-5</v>
      </c>
      <c r="AE296" s="304">
        <f t="shared" si="117"/>
        <v>0.6</v>
      </c>
      <c r="AF296" s="177">
        <f t="shared" si="118"/>
        <v>0.49583293357655878</v>
      </c>
      <c r="AG296" s="799">
        <f t="shared" si="124"/>
        <v>2</v>
      </c>
      <c r="AH296" s="176">
        <f t="shared" si="119"/>
        <v>8</v>
      </c>
      <c r="AI296" s="224">
        <f t="shared" si="120"/>
        <v>2.4958329335765588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46305</v>
      </c>
      <c r="B297" s="409">
        <f>IF(t&gt;Tmaj,'2025'!Wh/'2025'!Env_an*'2026'!Env_an,0.001*'[12]mon-tableau (1)'!$B$251)</f>
        <v>34.760313928866111</v>
      </c>
      <c r="C297" s="829"/>
      <c r="D297" s="391">
        <f t="shared" si="102"/>
        <v>36.682899460277845</v>
      </c>
      <c r="E297" s="383">
        <f t="shared" ref="E297:E360" si="125">Wh_pvt/(1-Psa)</f>
        <v>37.751217889807123</v>
      </c>
      <c r="F297" s="383">
        <f t="shared" si="103"/>
        <v>37.751425199479691</v>
      </c>
      <c r="G297" s="110">
        <f t="shared" ref="G297:G360" si="126">+Wh_hp/MaxiM</f>
        <v>0.83959637454017377</v>
      </c>
      <c r="H297" s="412" t="b">
        <f>Wh_hp&gt;='2025'!Maxi_hp</f>
        <v>1</v>
      </c>
      <c r="I297" s="388">
        <f>IF(H297,Wh_hp,'2025'!Maxi_hp)</f>
        <v>37.751425199479691</v>
      </c>
      <c r="J297" s="85">
        <f>IF(H297,An,'2025'!An_max)</f>
        <v>2026</v>
      </c>
      <c r="K297" s="197">
        <f t="shared" si="104"/>
        <v>46305</v>
      </c>
      <c r="L297" s="147">
        <f>IF(t&lt;Tvie,1-EXP((T0-t)*PertePVj)+'2025'!Pspv,1-EXP((T0-t)*PertePVj)+Pspv)</f>
        <v>5.2410947872144287E-2</v>
      </c>
      <c r="M297" s="832"/>
      <c r="N297" s="832"/>
      <c r="O297" s="48">
        <f>IF(t&lt;Tnet,'2025'!Resal+('2025'!Salim-'2025'!Resal)*(1-EXP(('2025'!Tnet-t)/('2025'!Tau_j))),Resal+(Salim-Resal)*(1-EXP((Tnet-t)/(Tau_j))))*Salcycl</f>
        <v>2.8298912968784614E-2</v>
      </c>
      <c r="P297" s="169">
        <f>(INDEX(Models!$BJ297:$BT297,,T297)*(1-R297)+INDEX(Models!$BJ297:$BT297,,T297+1)*R297-ERP_i)*Q297*Ramure*Pc/MaxiM</f>
        <v>7.1238395238411814E-6</v>
      </c>
      <c r="Q297" s="304">
        <f t="shared" si="105"/>
        <v>0.6</v>
      </c>
      <c r="R297" s="177">
        <f t="shared" si="106"/>
        <v>0.97098314366117111</v>
      </c>
      <c r="S297" s="799">
        <f t="shared" si="107"/>
        <v>-2</v>
      </c>
      <c r="T297" s="176">
        <f t="shared" si="108"/>
        <v>4</v>
      </c>
      <c r="U297" s="250">
        <f t="shared" si="109"/>
        <v>-1.0290168563388289</v>
      </c>
      <c r="V297" s="382">
        <f t="shared" si="110"/>
        <v>41.40115207722188</v>
      </c>
      <c r="W297" s="400">
        <f t="shared" si="111"/>
        <v>34.760313928866111</v>
      </c>
      <c r="X297" s="157">
        <f t="shared" si="112"/>
        <v>46305</v>
      </c>
      <c r="Y297" s="383">
        <f t="shared" si="113"/>
        <v>33.62797838057341</v>
      </c>
      <c r="Z297" s="383">
        <f t="shared" si="114"/>
        <v>35.487934674910193</v>
      </c>
      <c r="AA297" s="384">
        <f t="shared" si="115"/>
        <v>37.748917565710336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5.989530393459374E-2</v>
      </c>
      <c r="AD297" s="230">
        <f>(INDEX(Models!$BJ297:$BT297,,AH297)*(1-AF297)+INDEX(Models!$BJ297:$BT297,,AH297+1)*AF297-ERP_i)*AE297*Ramure*Pc/MaxiM</f>
        <v>8.617051166104514E-5</v>
      </c>
      <c r="AE297" s="304">
        <f t="shared" si="117"/>
        <v>0.6</v>
      </c>
      <c r="AF297" s="177">
        <f t="shared" si="118"/>
        <v>0.49597071003514959</v>
      </c>
      <c r="AG297" s="799">
        <f t="shared" si="124"/>
        <v>2</v>
      </c>
      <c r="AH297" s="176">
        <f t="shared" si="119"/>
        <v>8</v>
      </c>
      <c r="AI297" s="224">
        <f t="shared" si="120"/>
        <v>2.4959707100351496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46306</v>
      </c>
      <c r="B298" s="409">
        <f>IF(t&gt;Tmaj,'2025'!Wh/'2025'!Env_an*'2026'!Env_an,0.001*'[12]mon-tableau (1)'!$B$252)</f>
        <v>23.748506228354863</v>
      </c>
      <c r="C298" s="829"/>
      <c r="D298" s="391">
        <f t="shared" si="102"/>
        <v>25.062511347563731</v>
      </c>
      <c r="E298" s="383">
        <f t="shared" si="125"/>
        <v>25.794834731142213</v>
      </c>
      <c r="F298" s="383">
        <f t="shared" si="103"/>
        <v>25.794908383243289</v>
      </c>
      <c r="G298" s="110">
        <f t="shared" si="126"/>
        <v>0.57778681714059277</v>
      </c>
      <c r="H298" s="412" t="b">
        <f>Wh_hp&gt;='2025'!Maxi_hp</f>
        <v>0</v>
      </c>
      <c r="I298" s="388">
        <f>IF(H298,Wh_hp,'2025'!Maxi_hp)</f>
        <v>44.857995782913029</v>
      </c>
      <c r="J298" s="85">
        <f>IF(H298,An,'2025'!An_max)</f>
        <v>2021</v>
      </c>
      <c r="K298" s="197">
        <f t="shared" si="104"/>
        <v>46306</v>
      </c>
      <c r="L298" s="147">
        <f>IF(t&lt;Tvie,1-EXP((T0-t)*PertePVj)+'2025'!Pspv,1-EXP((T0-t)*PertePVj)+Pspv)</f>
        <v>5.2429108200148455E-2</v>
      </c>
      <c r="M298" s="832"/>
      <c r="N298" s="832"/>
      <c r="O298" s="48">
        <f>IF(t&lt;Tnet,'2025'!Resal+('2025'!Salim-'2025'!Resal)*(1-EXP(('2025'!Tnet-t)/('2025'!Tau_j))),Resal+(Salim-Resal)*(1-EXP((Tnet-t)/(Tau_j))))*Salcycl</f>
        <v>2.8390311130559256E-2</v>
      </c>
      <c r="P298" s="169">
        <f>(INDEX(Models!$BJ298:$BT298,,T298)*(1-R298)+INDEX(Models!$BJ298:$BT298,,T298+1)*R298-ERP_i)*Q298*Ramure*Pc/MaxiM</f>
        <v>7.1950470613277934E-6</v>
      </c>
      <c r="Q298" s="304">
        <f t="shared" si="105"/>
        <v>0.6</v>
      </c>
      <c r="R298" s="177">
        <f t="shared" si="106"/>
        <v>0.97111544463453736</v>
      </c>
      <c r="S298" s="799">
        <f t="shared" si="107"/>
        <v>-2</v>
      </c>
      <c r="T298" s="176">
        <f t="shared" si="108"/>
        <v>4</v>
      </c>
      <c r="U298" s="250">
        <f t="shared" si="109"/>
        <v>-1.0288845553654626</v>
      </c>
      <c r="V298" s="382">
        <f t="shared" si="110"/>
        <v>41.102362430119179</v>
      </c>
      <c r="W298" s="400">
        <f t="shared" si="111"/>
        <v>23.748506228354863</v>
      </c>
      <c r="X298" s="157">
        <f t="shared" si="112"/>
        <v>46306</v>
      </c>
      <c r="Y298" s="383">
        <f t="shared" si="113"/>
        <v>22.976735049070449</v>
      </c>
      <c r="Z298" s="383">
        <f t="shared" si="114"/>
        <v>24.248038060168334</v>
      </c>
      <c r="AA298" s="384">
        <f t="shared" si="115"/>
        <v>25.793992347894399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5.9934664896970219E-2</v>
      </c>
      <c r="AD298" s="230">
        <f>(INDEX(Models!$BJ298:$BT298,,AH298)*(1-AF298)+INDEX(Models!$BJ298:$BT298,,AH298+1)*AF298-ERP_i)*AE298*Ramure*Pc/MaxiM</f>
        <v>8.9487161248120019E-5</v>
      </c>
      <c r="AE298" s="304">
        <f t="shared" si="117"/>
        <v>0.6</v>
      </c>
      <c r="AF298" s="177">
        <f t="shared" si="118"/>
        <v>0.49610301100851606</v>
      </c>
      <c r="AG298" s="799">
        <f t="shared" si="124"/>
        <v>2</v>
      </c>
      <c r="AH298" s="176">
        <f t="shared" si="119"/>
        <v>8</v>
      </c>
      <c r="AI298" s="224">
        <f t="shared" si="120"/>
        <v>2.4961030110085161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46307</v>
      </c>
      <c r="B299" s="409">
        <f>IF(t&gt;Tmaj,'2025'!Wh/'2025'!Env_an*'2026'!Env_an,0.001*'[12]mon-tableau (1)'!$B$253)</f>
        <v>28.002623636781895</v>
      </c>
      <c r="C299" s="829"/>
      <c r="D299" s="391">
        <f t="shared" si="102"/>
        <v>29.552575488859159</v>
      </c>
      <c r="E299" s="383">
        <f t="shared" si="125"/>
        <v>30.418939896533153</v>
      </c>
      <c r="F299" s="383">
        <f t="shared" si="103"/>
        <v>30.419061922588391</v>
      </c>
      <c r="G299" s="110">
        <f t="shared" si="126"/>
        <v>0.68631938519732205</v>
      </c>
      <c r="H299" s="412" t="b">
        <f>Wh_hp&gt;='2025'!Maxi_hp</f>
        <v>0</v>
      </c>
      <c r="I299" s="388">
        <f>IF(H299,Wh_hp,'2025'!Maxi_hp)</f>
        <v>43.06156480177809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5.2447268180114137E-2</v>
      </c>
      <c r="M299" s="832"/>
      <c r="N299" s="832"/>
      <c r="O299" s="48">
        <f>IF(t&lt;Tnet,'2025'!Resal+('2025'!Salim-'2025'!Resal)*(1-EXP(('2025'!Tnet-t)/('2025'!Tau_j))),Resal+(Salim-Resal)*(1-EXP((Tnet-t)/(Tau_j))))*Salcycl</f>
        <v>2.8481084831386169E-2</v>
      </c>
      <c r="P299" s="169">
        <f>(INDEX(Models!$BJ299:$BT299,,T299)*(1-R299)+INDEX(Models!$BJ299:$BT299,,T299+1)*R299-ERP_i)*Q299*Ramure*Pc/MaxiM</f>
        <v>7.268683866557607E-6</v>
      </c>
      <c r="Q299" s="304">
        <f t="shared" si="105"/>
        <v>0.6</v>
      </c>
      <c r="R299" s="177">
        <f t="shared" si="106"/>
        <v>0.97124248496943877</v>
      </c>
      <c r="S299" s="799">
        <f t="shared" si="107"/>
        <v>-2</v>
      </c>
      <c r="T299" s="176">
        <f t="shared" si="108"/>
        <v>4</v>
      </c>
      <c r="U299" s="250">
        <f t="shared" si="109"/>
        <v>-1.0287575150305612</v>
      </c>
      <c r="V299" s="382">
        <f t="shared" si="110"/>
        <v>40.80102213441107</v>
      </c>
      <c r="W299" s="400">
        <f t="shared" si="111"/>
        <v>28.002623636781895</v>
      </c>
      <c r="X299" s="157">
        <f t="shared" si="112"/>
        <v>46307</v>
      </c>
      <c r="Y299" s="383">
        <f t="shared" si="113"/>
        <v>27.093630244582194</v>
      </c>
      <c r="Z299" s="383">
        <f t="shared" si="114"/>
        <v>28.593269097061974</v>
      </c>
      <c r="AA299" s="384">
        <f t="shared" si="115"/>
        <v>30.41749899207133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5.9973040370112779E-2</v>
      </c>
      <c r="AD299" s="230">
        <f>(INDEX(Models!$BJ299:$BT299,,AH299)*(1-AF299)+INDEX(Models!$BJ299:$BT299,,AH299+1)*AF299-ERP_i)*AE299*Ramure*Pc/MaxiM</f>
        <v>9.3098542043734857E-5</v>
      </c>
      <c r="AE299" s="304">
        <f t="shared" si="117"/>
        <v>0.6</v>
      </c>
      <c r="AF299" s="177">
        <f t="shared" si="118"/>
        <v>0.49623005134341769</v>
      </c>
      <c r="AG299" s="799">
        <f t="shared" si="124"/>
        <v>2</v>
      </c>
      <c r="AH299" s="176">
        <f t="shared" si="119"/>
        <v>8</v>
      </c>
      <c r="AI299" s="224">
        <f t="shared" si="120"/>
        <v>2.4962300513434177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46308</v>
      </c>
      <c r="B300" s="409">
        <f>IF(t&gt;Tmaj,'2025'!Wh/'2025'!Env_an*'2026'!Env_an,0.001*'[12]mon-tableau (1)'!$B$254)</f>
        <v>24.635191325730649</v>
      </c>
      <c r="C300" s="829"/>
      <c r="D300" s="391">
        <f t="shared" si="102"/>
        <v>25.999253271408904</v>
      </c>
      <c r="E300" s="383">
        <f t="shared" si="125"/>
        <v>26.76393185681232</v>
      </c>
      <c r="F300" s="383">
        <f t="shared" si="103"/>
        <v>26.764018438195475</v>
      </c>
      <c r="G300" s="110">
        <f t="shared" si="126"/>
        <v>0.60831393704494763</v>
      </c>
      <c r="H300" s="412" t="b">
        <f>Wh_hp&gt;='2025'!Maxi_hp</f>
        <v>0</v>
      </c>
      <c r="I300" s="388">
        <f>IF(H300,Wh_hp,'2025'!Maxi_hp)</f>
        <v>42.186291422825811</v>
      </c>
      <c r="J300" s="85">
        <f>IF(H300,An,'2025'!An_max)</f>
        <v>2021</v>
      </c>
      <c r="K300" s="197">
        <f t="shared" si="104"/>
        <v>46308</v>
      </c>
      <c r="L300" s="147">
        <f>IF(t&lt;Tvie,1-EXP((T0-t)*PertePVj)+'2025'!Pspv,1-EXP((T0-t)*PertePVj)+Pspv)</f>
        <v>5.2465427812047993E-2</v>
      </c>
      <c r="M300" s="832"/>
      <c r="N300" s="832"/>
      <c r="O300" s="48">
        <f>IF(t&lt;Tnet,'2025'!Resal+('2025'!Salim-'2025'!Resal)*(1-EXP(('2025'!Tnet-t)/('2025'!Tau_j))),Resal+(Salim-Resal)*(1-EXP((Tnet-t)/(Tau_j))))*Salcycl</f>
        <v>2.8571234955105544E-2</v>
      </c>
      <c r="P300" s="169">
        <f>(INDEX(Models!$BJ300:$BT300,,T300)*(1-R300)+INDEX(Models!$BJ300:$BT300,,T300+1)*R300-ERP_i)*Q300*Ramure*Pc/MaxiM</f>
        <v>7.3447084406772573E-6</v>
      </c>
      <c r="Q300" s="304">
        <f t="shared" si="105"/>
        <v>0.6</v>
      </c>
      <c r="R300" s="177">
        <f t="shared" si="106"/>
        <v>0.97136447129903303</v>
      </c>
      <c r="S300" s="799">
        <f t="shared" si="107"/>
        <v>-2</v>
      </c>
      <c r="T300" s="176">
        <f t="shared" si="108"/>
        <v>4</v>
      </c>
      <c r="U300" s="250">
        <f t="shared" si="109"/>
        <v>-1.028635528700967</v>
      </c>
      <c r="V300" s="382">
        <f t="shared" si="110"/>
        <v>40.497329719949953</v>
      </c>
      <c r="W300" s="400">
        <f t="shared" si="111"/>
        <v>24.635191325730649</v>
      </c>
      <c r="X300" s="157">
        <f t="shared" si="112"/>
        <v>46308</v>
      </c>
      <c r="Y300" s="383">
        <f t="shared" si="113"/>
        <v>23.836959588467874</v>
      </c>
      <c r="Z300" s="383">
        <f t="shared" si="114"/>
        <v>25.156823073406127</v>
      </c>
      <c r="AA300" s="384">
        <f t="shared" si="115"/>
        <v>26.762874922234094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6.0010438097354381E-2</v>
      </c>
      <c r="AD300" s="230">
        <f>(INDEX(Models!$BJ300:$BT300,,AH300)*(1-AF300)+INDEX(Models!$BJ300:$BT300,,AH300+1)*AF300-ERP_i)*AE300*Ramure*Pc/MaxiM</f>
        <v>9.7004587219254255E-5</v>
      </c>
      <c r="AE300" s="304">
        <f t="shared" si="117"/>
        <v>0.6</v>
      </c>
      <c r="AF300" s="177">
        <f t="shared" si="118"/>
        <v>0.49635203767301173</v>
      </c>
      <c r="AG300" s="799">
        <f t="shared" si="124"/>
        <v>2</v>
      </c>
      <c r="AH300" s="176">
        <f t="shared" si="119"/>
        <v>8</v>
      </c>
      <c r="AI300" s="224">
        <f t="shared" si="120"/>
        <v>2.4963520376730117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46309</v>
      </c>
      <c r="B301" s="409">
        <f>IF(t&gt;Tmaj,'2025'!Wh/'2025'!Env_an*'2026'!Env_an,0.001*'[12]mon-tableau (1)'!$B$255)</f>
        <v>17.660809713457642</v>
      </c>
      <c r="C301" s="829"/>
      <c r="D301" s="391">
        <f t="shared" si="102"/>
        <v>18.639054134512584</v>
      </c>
      <c r="E301" s="383">
        <f t="shared" si="125"/>
        <v>19.189026285875087</v>
      </c>
      <c r="F301" s="383">
        <f t="shared" si="103"/>
        <v>19.189054655557371</v>
      </c>
      <c r="G301" s="110">
        <f t="shared" si="126"/>
        <v>0.43941410375189111</v>
      </c>
      <c r="H301" s="412" t="b">
        <f>Wh_hp&gt;='2025'!Maxi_hp</f>
        <v>0</v>
      </c>
      <c r="I301" s="388">
        <f>IF(H301,Wh_hp,'2025'!Maxi_hp)</f>
        <v>45.549482417186574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5.2483587095956574E-2</v>
      </c>
      <c r="M301" s="832"/>
      <c r="N301" s="832"/>
      <c r="O301" s="48">
        <f>IF(t&lt;Tnet,'2025'!Resal+('2025'!Salim-'2025'!Resal)*(1-EXP(('2025'!Tnet-t)/('2025'!Tau_j))),Resal+(Salim-Resal)*(1-EXP((Tnet-t)/(Tau_j))))*Salcycl</f>
        <v>2.8660763874576261E-2</v>
      </c>
      <c r="P301" s="169">
        <f>(INDEX(Models!$BJ301:$BT301,,T301)*(1-R301)+INDEX(Models!$BJ301:$BT301,,T301+1)*R301-ERP_i)*Q301*Ramure*Pc/MaxiM</f>
        <v>7.4230790229489086E-6</v>
      </c>
      <c r="Q301" s="304">
        <f t="shared" si="105"/>
        <v>0.6</v>
      </c>
      <c r="R301" s="177">
        <f t="shared" si="106"/>
        <v>0.97148160233981384</v>
      </c>
      <c r="S301" s="799">
        <f t="shared" si="107"/>
        <v>-2</v>
      </c>
      <c r="T301" s="176">
        <f t="shared" si="108"/>
        <v>4</v>
      </c>
      <c r="U301" s="250">
        <f t="shared" si="109"/>
        <v>-1.0285183976601862</v>
      </c>
      <c r="V301" s="382">
        <f t="shared" si="110"/>
        <v>40.191483557766368</v>
      </c>
      <c r="W301" s="400">
        <f t="shared" si="111"/>
        <v>17.660809713457642</v>
      </c>
      <c r="X301" s="157">
        <f t="shared" si="112"/>
        <v>46309</v>
      </c>
      <c r="Y301" s="383">
        <f t="shared" si="113"/>
        <v>17.089830932776731</v>
      </c>
      <c r="Z301" s="383">
        <f t="shared" si="114"/>
        <v>18.036448445677159</v>
      </c>
      <c r="AA301" s="384">
        <f t="shared" si="115"/>
        <v>19.188667868031359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6.0046868822708523E-2</v>
      </c>
      <c r="AD301" s="230">
        <f>(INDEX(Models!$BJ301:$BT301,,AH301)*(1-AF301)+INDEX(Models!$BJ301:$BT301,,AH301+1)*AF301-ERP_i)*AE301*Ramure*Pc/MaxiM</f>
        <v>1.0120502379555811E-4</v>
      </c>
      <c r="AE301" s="304">
        <f t="shared" si="117"/>
        <v>0.6</v>
      </c>
      <c r="AF301" s="177">
        <f t="shared" si="118"/>
        <v>0.49646916871379254</v>
      </c>
      <c r="AG301" s="799">
        <f t="shared" si="124"/>
        <v>2</v>
      </c>
      <c r="AH301" s="176">
        <f t="shared" si="119"/>
        <v>8</v>
      </c>
      <c r="AI301" s="224">
        <f t="shared" si="120"/>
        <v>2.4964691687137925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46310</v>
      </c>
      <c r="B302" s="409">
        <f>IF(t&gt;Tmaj,'2025'!Wh/'2025'!Env_an*'2026'!Env_an,0.001*'[12]mon-tableau (1)'!$B$256)</f>
        <v>40.303627946861482</v>
      </c>
      <c r="C302" s="829"/>
      <c r="D302" s="391">
        <f t="shared" si="102"/>
        <v>42.536888884036024</v>
      </c>
      <c r="E302" s="383">
        <f t="shared" si="125"/>
        <v>43.796009958892611</v>
      </c>
      <c r="F302" s="383">
        <f t="shared" si="103"/>
        <v>43.796338595835714</v>
      </c>
      <c r="G302" s="110">
        <f t="shared" si="126"/>
        <v>1.0105292707627351</v>
      </c>
      <c r="H302" s="412" t="b">
        <f>Wh_hp&gt;='2025'!Maxi_hp</f>
        <v>1</v>
      </c>
      <c r="I302" s="388">
        <f>IF(H302,Wh_hp,'2025'!Maxi_hp)</f>
        <v>43.796338595835714</v>
      </c>
      <c r="J302" s="85">
        <f>IF(H302,An,'2025'!An_max)</f>
        <v>2026</v>
      </c>
      <c r="K302" s="197">
        <f t="shared" si="104"/>
        <v>46310</v>
      </c>
      <c r="L302" s="147">
        <f>IF(t&lt;Tvie,1-EXP((T0-t)*PertePVj)+'2025'!Pspv,1-EXP((T0-t)*PertePVj)+Pspv)</f>
        <v>5.2501746031846652E-2</v>
      </c>
      <c r="M302" s="832"/>
      <c r="N302" s="832"/>
      <c r="O302" s="48">
        <f>IF(t&lt;Tnet,'2025'!Resal+('2025'!Salim-'2025'!Resal)*(1-EXP(('2025'!Tnet-t)/('2025'!Tau_j))),Resal+(Salim-Resal)*(1-EXP((Tnet-t)/(Tau_j))))*Salcycl</f>
        <v>2.8749675507846708E-2</v>
      </c>
      <c r="P302" s="169">
        <f>(INDEX(Models!$BJ302:$BT302,,T302)*(1-R302)+INDEX(Models!$BJ302:$BT302,,T302+1)*R302-ERP_i)*Q302*Ramure*Pc/MaxiM</f>
        <v>7.5037538214585075E-6</v>
      </c>
      <c r="Q302" s="304">
        <f t="shared" si="105"/>
        <v>0.6</v>
      </c>
      <c r="R302" s="177">
        <f t="shared" si="106"/>
        <v>0.97159406917917979</v>
      </c>
      <c r="S302" s="799">
        <f t="shared" si="107"/>
        <v>-2</v>
      </c>
      <c r="T302" s="176">
        <f t="shared" si="108"/>
        <v>4</v>
      </c>
      <c r="U302" s="250">
        <f t="shared" si="109"/>
        <v>-1.0284059308208202</v>
      </c>
      <c r="V302" s="382">
        <f t="shared" si="110"/>
        <v>39.883681861526682</v>
      </c>
      <c r="W302" s="400">
        <f t="shared" si="111"/>
        <v>40.303627946861482</v>
      </c>
      <c r="X302" s="157">
        <f t="shared" si="112"/>
        <v>46310</v>
      </c>
      <c r="Y302" s="383">
        <f t="shared" si="113"/>
        <v>38.999597296581484</v>
      </c>
      <c r="Z302" s="383">
        <f t="shared" si="114"/>
        <v>41.160600701109381</v>
      </c>
      <c r="AA302" s="384">
        <f t="shared" si="115"/>
        <v>43.791709350516065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6.0082346371703746E-2</v>
      </c>
      <c r="AD302" s="230">
        <f>(INDEX(Models!$BJ302:$BT302,,AH302)*(1-AF302)+INDEX(Models!$BJ302:$BT302,,AH302+1)*AF302-ERP_i)*AE302*Ramure*Pc/MaxiM</f>
        <v>1.0569936821353755E-4</v>
      </c>
      <c r="AE302" s="304">
        <f t="shared" si="117"/>
        <v>0.6</v>
      </c>
      <c r="AF302" s="177">
        <f t="shared" si="118"/>
        <v>0.49658163555315848</v>
      </c>
      <c r="AG302" s="799">
        <f t="shared" si="124"/>
        <v>2</v>
      </c>
      <c r="AH302" s="176">
        <f t="shared" si="119"/>
        <v>8</v>
      </c>
      <c r="AI302" s="224">
        <f t="shared" si="120"/>
        <v>2.4965816355531585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46311</v>
      </c>
      <c r="B303" s="409">
        <f>IF(t&gt;Tmaj,'2025'!Wh/'2025'!Env_an*'2026'!Env_an,0.001*'[12]mon-tableau (1)'!$B$257)</f>
        <v>34.68000384271388</v>
      </c>
      <c r="C303" s="829"/>
      <c r="D303" s="391">
        <f t="shared" si="102"/>
        <v>36.602356093607341</v>
      </c>
      <c r="E303" s="383">
        <f t="shared" si="125"/>
        <v>37.689237393144303</v>
      </c>
      <c r="F303" s="383">
        <f t="shared" si="103"/>
        <v>37.689472857373062</v>
      </c>
      <c r="G303" s="110">
        <f t="shared" si="126"/>
        <v>0.87639242492410929</v>
      </c>
      <c r="H303" s="412" t="b">
        <f>Wh_hp&gt;='2025'!Maxi_hp</f>
        <v>0</v>
      </c>
      <c r="I303" s="388">
        <f>IF(H303,Wh_hp,'2025'!Maxi_hp)</f>
        <v>41.812215939762069</v>
      </c>
      <c r="J303" s="85">
        <f>IF(H303,An,'2025'!An_max)</f>
        <v>2021</v>
      </c>
      <c r="K303" s="197">
        <f t="shared" si="104"/>
        <v>46311</v>
      </c>
      <c r="L303" s="147">
        <f>IF(t&lt;Tvie,1-EXP((T0-t)*PertePVj)+'2025'!Pspv,1-EXP((T0-t)*PertePVj)+Pspv)</f>
        <v>5.2519904619724889E-2</v>
      </c>
      <c r="M303" s="832"/>
      <c r="N303" s="832"/>
      <c r="O303" s="48">
        <f>IF(t&lt;Tnet,'2025'!Resal+('2025'!Salim-'2025'!Resal)*(1-EXP(('2025'!Tnet-t)/('2025'!Tau_j))),Resal+(Salim-Resal)*(1-EXP((Tnet-t)/(Tau_j))))*Salcycl</f>
        <v>2.8837975366799676E-2</v>
      </c>
      <c r="P303" s="169">
        <f>(INDEX(Models!$BJ303:$BT303,,T303)*(1-R303)+INDEX(Models!$BJ303:$BT303,,T303+1)*R303-ERP_i)*Q303*Ramure*Pc/MaxiM</f>
        <v>7.5872390378592446E-6</v>
      </c>
      <c r="Q303" s="304">
        <f t="shared" si="105"/>
        <v>0.6</v>
      </c>
      <c r="R303" s="177">
        <f t="shared" si="106"/>
        <v>0.97170205555381273</v>
      </c>
      <c r="S303" s="799">
        <f t="shared" si="107"/>
        <v>-2</v>
      </c>
      <c r="T303" s="176">
        <f t="shared" si="108"/>
        <v>4</v>
      </c>
      <c r="U303" s="250">
        <f t="shared" si="109"/>
        <v>-1.0282979444461873</v>
      </c>
      <c r="V303" s="382">
        <f t="shared" si="110"/>
        <v>39.571265557868003</v>
      </c>
      <c r="W303" s="400">
        <f t="shared" si="111"/>
        <v>34.68000384271388</v>
      </c>
      <c r="X303" s="157">
        <f t="shared" si="112"/>
        <v>46311</v>
      </c>
      <c r="Y303" s="383">
        <f t="shared" si="113"/>
        <v>33.56019604725676</v>
      </c>
      <c r="Z303" s="383">
        <f t="shared" si="114"/>
        <v>35.420476072151402</v>
      </c>
      <c r="AA303" s="384">
        <f t="shared" si="115"/>
        <v>37.686043731613736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6.0116887715698807E-2</v>
      </c>
      <c r="AD303" s="230">
        <f>(INDEX(Models!$BJ303:$BT303,,AH303)*(1-AF303)+INDEX(Models!$BJ303:$BT303,,AH303+1)*AF303-ERP_i)*AE303*Ramure*Pc/MaxiM</f>
        <v>1.1049490176983276E-4</v>
      </c>
      <c r="AE303" s="304">
        <f t="shared" si="117"/>
        <v>0.6</v>
      </c>
      <c r="AF303" s="177">
        <f t="shared" si="118"/>
        <v>0.49668962192779142</v>
      </c>
      <c r="AG303" s="799">
        <f t="shared" si="124"/>
        <v>2</v>
      </c>
      <c r="AH303" s="176">
        <f t="shared" si="119"/>
        <v>8</v>
      </c>
      <c r="AI303" s="224">
        <f t="shared" si="120"/>
        <v>2.4966896219277914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46312</v>
      </c>
      <c r="B304" s="409">
        <f>IF(t&gt;Tmaj,'2025'!Wh/'2025'!Env_an*'2026'!Env_an,0.001*'[12]mon-tableau (1)'!$B$258)</f>
        <v>19.385946564663364</v>
      </c>
      <c r="C304" s="829"/>
      <c r="D304" s="391">
        <f t="shared" si="102"/>
        <v>20.460923869061567</v>
      </c>
      <c r="E304" s="383">
        <f t="shared" si="125"/>
        <v>21.070399298531488</v>
      </c>
      <c r="F304" s="383">
        <f t="shared" si="103"/>
        <v>21.070444056529269</v>
      </c>
      <c r="G304" s="110">
        <f t="shared" si="126"/>
        <v>0.49387940608089437</v>
      </c>
      <c r="H304" s="412" t="b">
        <f>Wh_hp&gt;='2025'!Maxi_hp</f>
        <v>0</v>
      </c>
      <c r="I304" s="388">
        <f>IF(H304,Wh_hp,'2025'!Maxi_hp)</f>
        <v>39.356868501239063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5.2538062859597945E-2</v>
      </c>
      <c r="M304" s="832"/>
      <c r="N304" s="832"/>
      <c r="O304" s="48">
        <f>IF(t&lt;Tnet,'2025'!Resal+('2025'!Salim-'2025'!Resal)*(1-EXP(('2025'!Tnet-t)/('2025'!Tau_j))),Resal+(Salim-Resal)*(1-EXP((Tnet-t)/(Tau_j))))*Salcycl</f>
        <v>2.8925670597633058E-2</v>
      </c>
      <c r="P304" s="169">
        <f>(INDEX(Models!$BJ304:$BT304,,T304)*(1-R304)+INDEX(Models!$BJ304:$BT304,,T304+1)*R304-ERP_i)*Q304*Ramure*Pc/MaxiM</f>
        <v>7.6693257898294814E-6</v>
      </c>
      <c r="Q304" s="304">
        <f t="shared" si="105"/>
        <v>0.6</v>
      </c>
      <c r="R304" s="177">
        <f t="shared" si="106"/>
        <v>0.97180573811905768</v>
      </c>
      <c r="S304" s="799">
        <f t="shared" si="107"/>
        <v>-2</v>
      </c>
      <c r="T304" s="176">
        <f t="shared" si="108"/>
        <v>4</v>
      </c>
      <c r="U304" s="250">
        <f t="shared" si="109"/>
        <v>-1.0281942618809423</v>
      </c>
      <c r="V304" s="382">
        <f t="shared" si="110"/>
        <v>39.252171336528988</v>
      </c>
      <c r="W304" s="400">
        <f t="shared" si="111"/>
        <v>19.385946564663364</v>
      </c>
      <c r="X304" s="157">
        <f t="shared" si="112"/>
        <v>46312</v>
      </c>
      <c r="Y304" s="383">
        <f t="shared" si="113"/>
        <v>18.76203266460244</v>
      </c>
      <c r="Z304" s="383">
        <f t="shared" si="114"/>
        <v>19.80241308820213</v>
      </c>
      <c r="AA304" s="384">
        <f t="shared" si="115"/>
        <v>21.069770598911894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6.0150513018647503E-2</v>
      </c>
      <c r="AD304" s="230">
        <f>(INDEX(Models!$BJ304:$BT304,,AH304)*(1-AF304)+INDEX(Models!$BJ304:$BT304,,AH304+1)*AF304-ERP_i)*AE304*Ramure*Pc/MaxiM</f>
        <v>1.1539760778377582E-4</v>
      </c>
      <c r="AE304" s="304">
        <f t="shared" si="117"/>
        <v>0.6</v>
      </c>
      <c r="AF304" s="177">
        <f t="shared" si="118"/>
        <v>0.49679330449303638</v>
      </c>
      <c r="AG304" s="799">
        <f t="shared" si="124"/>
        <v>2</v>
      </c>
      <c r="AH304" s="176">
        <f t="shared" si="119"/>
        <v>8</v>
      </c>
      <c r="AI304" s="224">
        <f t="shared" si="120"/>
        <v>2.4967933044930364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46313</v>
      </c>
      <c r="B305" s="409">
        <f>IF(t&gt;Tmaj,'2025'!Wh/'2025'!Env_an*'2026'!Env_an,0.001*'[12]mon-tableau (1)'!$B$259)</f>
        <v>37.374701363502375</v>
      </c>
      <c r="C305" s="829"/>
      <c r="D305" s="391">
        <f t="shared" si="102"/>
        <v>39.447935784798133</v>
      </c>
      <c r="E305" s="383">
        <f t="shared" si="125"/>
        <v>40.626626763474157</v>
      </c>
      <c r="F305" s="383">
        <f t="shared" si="103"/>
        <v>40.626924180604306</v>
      </c>
      <c r="G305" s="110">
        <f t="shared" si="126"/>
        <v>0.96011032551811615</v>
      </c>
      <c r="H305" s="412" t="b">
        <f>Wh_hp&gt;='2025'!Maxi_hp</f>
        <v>1</v>
      </c>
      <c r="I305" s="388">
        <f>IF(H305,Wh_hp,'2025'!Maxi_hp)</f>
        <v>40.626924180604306</v>
      </c>
      <c r="J305" s="85">
        <f>IF(H305,An,'2025'!An_max)</f>
        <v>2026</v>
      </c>
      <c r="K305" s="197">
        <f t="shared" si="104"/>
        <v>46313</v>
      </c>
      <c r="L305" s="147">
        <f>IF(t&lt;Tvie,1-EXP((T0-t)*PertePVj)+'2025'!Pspv,1-EXP((T0-t)*PertePVj)+Pspv)</f>
        <v>5.2556220751472371E-2</v>
      </c>
      <c r="M305" s="832"/>
      <c r="N305" s="832"/>
      <c r="O305" s="48">
        <f>IF(t&lt;Tnet,'2025'!Resal+('2025'!Salim-'2025'!Resal)*(1-EXP(('2025'!Tnet-t)/('2025'!Tau_j))),Resal+(Salim-Resal)*(1-EXP((Tnet-t)/(Tau_j))))*Salcycl</f>
        <v>2.9012770012590412E-2</v>
      </c>
      <c r="P305" s="169">
        <f>(INDEX(Models!$BJ305:$BT305,,T305)*(1-R305)+INDEX(Models!$BJ305:$BT305,,T305+1)*R305-ERP_i)*Q305*Ramure*Pc/MaxiM</f>
        <v>7.7630658410184419E-6</v>
      </c>
      <c r="Q305" s="304">
        <f t="shared" si="105"/>
        <v>0.6</v>
      </c>
      <c r="R305" s="177">
        <f t="shared" si="106"/>
        <v>0.97190528670949816</v>
      </c>
      <c r="S305" s="799">
        <f t="shared" si="107"/>
        <v>-2</v>
      </c>
      <c r="T305" s="176">
        <f t="shared" si="108"/>
        <v>4</v>
      </c>
      <c r="U305" s="250">
        <f t="shared" si="109"/>
        <v>-1.0280947132905018</v>
      </c>
      <c r="V305" s="382">
        <f t="shared" si="110"/>
        <v>38.927489723182582</v>
      </c>
      <c r="W305" s="400">
        <f t="shared" si="111"/>
        <v>37.374701363502375</v>
      </c>
      <c r="X305" s="157">
        <f t="shared" si="112"/>
        <v>46313</v>
      </c>
      <c r="Y305" s="383">
        <f t="shared" si="113"/>
        <v>36.171066821544244</v>
      </c>
      <c r="Z305" s="383">
        <f t="shared" si="114"/>
        <v>38.177533711006689</v>
      </c>
      <c r="AA305" s="384">
        <f t="shared" si="115"/>
        <v>40.622316568549628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6.0183245665406573E-2</v>
      </c>
      <c r="AD305" s="230">
        <f>(INDEX(Models!$BJ305:$BT305,,AH305)*(1-AF305)+INDEX(Models!$BJ305:$BT305,,AH305+1)*AF305-ERP_i)*AE305*Ramure*Pc/MaxiM</f>
        <v>1.20266091372998E-4</v>
      </c>
      <c r="AE305" s="304">
        <f t="shared" si="117"/>
        <v>0.6</v>
      </c>
      <c r="AF305" s="177">
        <f t="shared" si="118"/>
        <v>0.49689285308347664</v>
      </c>
      <c r="AG305" s="799">
        <f t="shared" si="124"/>
        <v>2</v>
      </c>
      <c r="AH305" s="176">
        <f t="shared" si="119"/>
        <v>8</v>
      </c>
      <c r="AI305" s="224">
        <f t="shared" si="120"/>
        <v>2.4968928530834766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46314</v>
      </c>
      <c r="B306" s="409">
        <f>IF(t&gt;Tmaj,'2025'!Wh/'2025'!Env_an*'2026'!Env_an,0.001*'[12]mon-tableau (1)'!$B$260)</f>
        <v>17.554993688867732</v>
      </c>
      <c r="C306" s="829"/>
      <c r="D306" s="391">
        <f t="shared" si="102"/>
        <v>18.529152354231361</v>
      </c>
      <c r="E306" s="383">
        <f t="shared" si="125"/>
        <v>19.084497571198334</v>
      </c>
      <c r="F306" s="383">
        <f t="shared" si="103"/>
        <v>19.084530781432893</v>
      </c>
      <c r="G306" s="110">
        <f t="shared" si="126"/>
        <v>0.45480969386176284</v>
      </c>
      <c r="H306" s="412" t="b">
        <f>Wh_hp&gt;='2025'!Maxi_hp</f>
        <v>0</v>
      </c>
      <c r="I306" s="388">
        <f>IF(H306,Wh_hp,'2025'!Maxi_hp)</f>
        <v>40.405295591154072</v>
      </c>
      <c r="J306" s="85">
        <f>IF(H306,An,'2025'!An_max)</f>
        <v>2020</v>
      </c>
      <c r="K306" s="197">
        <f t="shared" si="104"/>
        <v>46314</v>
      </c>
      <c r="L306" s="147">
        <f>IF(t&lt;Tvie,1-EXP((T0-t)*PertePVj)+'2025'!Pspv,1-EXP((T0-t)*PertePVj)+Pspv)</f>
        <v>5.2574378295355051E-2</v>
      </c>
      <c r="M306" s="832"/>
      <c r="N306" s="832"/>
      <c r="O306" s="48">
        <f>IF(t&lt;Tnet,'2025'!Resal+('2025'!Salim-'2025'!Resal)*(1-EXP(('2025'!Tnet-t)/('2025'!Tau_j))),Resal+(Salim-Resal)*(1-EXP((Tnet-t)/(Tau_j))))*Salcycl</f>
        <v>2.9099284112413915E-2</v>
      </c>
      <c r="P306" s="169">
        <f>(INDEX(Models!$BJ306:$BT306,,T306)*(1-R306)+INDEX(Models!$BJ306:$BT306,,T306+1)*R306-ERP_i)*Q306*Ramure*Pc/MaxiM</f>
        <v>7.8683292659179706E-6</v>
      </c>
      <c r="Q306" s="304">
        <f t="shared" si="105"/>
        <v>0.6</v>
      </c>
      <c r="R306" s="177">
        <f t="shared" si="106"/>
        <v>0.97200086459092816</v>
      </c>
      <c r="S306" s="799">
        <f t="shared" si="107"/>
        <v>-2</v>
      </c>
      <c r="T306" s="176">
        <f t="shared" si="108"/>
        <v>4</v>
      </c>
      <c r="U306" s="250">
        <f t="shared" si="109"/>
        <v>-1.0279991354090718</v>
      </c>
      <c r="V306" s="382">
        <f t="shared" si="110"/>
        <v>38.5983112183469</v>
      </c>
      <c r="W306" s="400">
        <f t="shared" si="111"/>
        <v>17.554993688867732</v>
      </c>
      <c r="X306" s="157">
        <f t="shared" si="112"/>
        <v>46314</v>
      </c>
      <c r="Y306" s="383">
        <f t="shared" si="113"/>
        <v>16.991943429445062</v>
      </c>
      <c r="Z306" s="383">
        <f t="shared" si="114"/>
        <v>17.934857407458011</v>
      </c>
      <c r="AA306" s="384">
        <f t="shared" si="115"/>
        <v>19.084002777267742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6.0215112270815448E-2</v>
      </c>
      <c r="AD306" s="230">
        <f>(INDEX(Models!$BJ306:$BT306,,AH306)*(1-AF306)+INDEX(Models!$BJ306:$BT306,,AH306+1)*AF306-ERP_i)*AE306*Ramure*Pc/MaxiM</f>
        <v>1.2509729848094153E-4</v>
      </c>
      <c r="AE306" s="304">
        <f t="shared" si="117"/>
        <v>0.6</v>
      </c>
      <c r="AF306" s="177">
        <f t="shared" si="118"/>
        <v>0.49698843096490686</v>
      </c>
      <c r="AG306" s="799">
        <f t="shared" si="124"/>
        <v>2</v>
      </c>
      <c r="AH306" s="176">
        <f t="shared" si="119"/>
        <v>8</v>
      </c>
      <c r="AI306" s="224">
        <f t="shared" si="120"/>
        <v>2.4969884309649069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46315</v>
      </c>
      <c r="B307" s="409">
        <f>IF(t&gt;Tmaj,'2025'!Wh/'2025'!Env_an*'2026'!Env_an,0.001*'[12]mon-tableau (1)'!$B$261)</f>
        <v>7.0411298808055882</v>
      </c>
      <c r="C307" s="829"/>
      <c r="D307" s="391">
        <f t="shared" si="102"/>
        <v>7.431997471601699</v>
      </c>
      <c r="E307" s="383">
        <f t="shared" si="125"/>
        <v>7.6554227065199187</v>
      </c>
      <c r="F307" s="383">
        <f t="shared" si="103"/>
        <v>7.6554227065199187</v>
      </c>
      <c r="G307" s="110">
        <f t="shared" si="126"/>
        <v>0.18400470693342263</v>
      </c>
      <c r="H307" s="412" t="b">
        <f>Wh_hp&gt;='2025'!Maxi_hp</f>
        <v>0</v>
      </c>
      <c r="I307" s="388">
        <f>IF(H307,Wh_hp,'2025'!Maxi_hp)</f>
        <v>35.276334723455363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5.2592535491252423E-2</v>
      </c>
      <c r="M307" s="832"/>
      <c r="N307" s="832"/>
      <c r="O307" s="48">
        <f>IF(t&lt;Tnet,'2025'!Resal+('2025'!Salim-'2025'!Resal)*(1-EXP(('2025'!Tnet-t)/('2025'!Tau_j))),Resal+(Salim-Resal)*(1-EXP((Tnet-t)/(Tau_j))))*Salcycl</f>
        <v>2.9185225099057546E-2</v>
      </c>
      <c r="P307" s="169">
        <f>(INDEX(Models!$BJ307:$BT307,,T307)*(1-R307)+INDEX(Models!$BJ307:$BT307,,T307+1)*R307-ERP_i)*Q307*Ramure*Pc/MaxiM</f>
        <v>7.9849740160234912E-6</v>
      </c>
      <c r="Q307" s="304">
        <f t="shared" si="105"/>
        <v>0.6</v>
      </c>
      <c r="R307" s="177">
        <f t="shared" si="106"/>
        <v>0.97209262870392155</v>
      </c>
      <c r="S307" s="799">
        <f t="shared" si="107"/>
        <v>-2</v>
      </c>
      <c r="T307" s="176">
        <f t="shared" si="108"/>
        <v>4</v>
      </c>
      <c r="U307" s="250">
        <f t="shared" si="109"/>
        <v>-1.0279073712960785</v>
      </c>
      <c r="V307" s="382">
        <f t="shared" si="110"/>
        <v>38.265725779037155</v>
      </c>
      <c r="W307" s="400">
        <f t="shared" si="111"/>
        <v>7.0411298808055882</v>
      </c>
      <c r="X307" s="157">
        <f t="shared" si="112"/>
        <v>46315</v>
      </c>
      <c r="Y307" s="383">
        <f t="shared" si="113"/>
        <v>6.8158511144737517</v>
      </c>
      <c r="Z307" s="383">
        <f t="shared" si="114"/>
        <v>7.1942130179520234</v>
      </c>
      <c r="AA307" s="384">
        <f t="shared" si="115"/>
        <v>7.6554227065199187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6.0246142668920886E-2</v>
      </c>
      <c r="AD307" s="230">
        <f>(INDEX(Models!$BJ307:$BT307,,AH307)*(1-AF307)+INDEX(Models!$BJ307:$BT307,,AH307+1)*AF307-ERP_i)*AE307*Ramure*Pc/MaxiM</f>
        <v>1.2988772368670439E-4</v>
      </c>
      <c r="AE307" s="304">
        <f t="shared" si="117"/>
        <v>0.6</v>
      </c>
      <c r="AF307" s="177">
        <f t="shared" si="118"/>
        <v>0.49708019507790047</v>
      </c>
      <c r="AG307" s="799">
        <f t="shared" si="124"/>
        <v>2</v>
      </c>
      <c r="AH307" s="176">
        <f t="shared" si="119"/>
        <v>8</v>
      </c>
      <c r="AI307" s="224">
        <f t="shared" si="120"/>
        <v>2.4970801950779005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46316</v>
      </c>
      <c r="B308" s="409">
        <f>IF(t&gt;Tmaj,'2025'!Wh/'2025'!Env_an*'2026'!Env_an,0.001*'[12]mon-tableau (1)'!$B$262)</f>
        <v>18.18394352867897</v>
      </c>
      <c r="C308" s="829"/>
      <c r="D308" s="391">
        <f t="shared" si="102"/>
        <v>19.193739449705649</v>
      </c>
      <c r="E308" s="383">
        <f t="shared" si="125"/>
        <v>19.772492298787036</v>
      </c>
      <c r="F308" s="383">
        <f t="shared" si="103"/>
        <v>19.772533409390654</v>
      </c>
      <c r="G308" s="110">
        <f t="shared" si="126"/>
        <v>0.47939465735225656</v>
      </c>
      <c r="H308" s="412" t="b">
        <f>Wh_hp&gt;='2025'!Maxi_hp</f>
        <v>0</v>
      </c>
      <c r="I308" s="388">
        <f>IF(H308,Wh_hp,'2025'!Maxi_hp)</f>
        <v>23.212774519208907</v>
      </c>
      <c r="J308" s="85">
        <f>IF(H308,An,'2025'!An_max)</f>
        <v>2018</v>
      </c>
      <c r="K308" s="197">
        <f t="shared" si="104"/>
        <v>46316</v>
      </c>
      <c r="L308" s="147">
        <f>IF(t&lt;Tvie,1-EXP((T0-t)*PertePVj)+'2025'!Pspv,1-EXP((T0-t)*PertePVj)+Pspv)</f>
        <v>5.2610692339171372E-2</v>
      </c>
      <c r="M308" s="832"/>
      <c r="N308" s="832"/>
      <c r="O308" s="48">
        <f>IF(t&lt;Tnet,'2025'!Resal+('2025'!Salim-'2025'!Resal)*(1-EXP(('2025'!Tnet-t)/('2025'!Tau_j))),Resal+(Salim-Resal)*(1-EXP((Tnet-t)/(Tau_j))))*Salcycl</f>
        <v>2.9270606878268563E-2</v>
      </c>
      <c r="P308" s="169">
        <f>(INDEX(Models!$BJ308:$BT308,,T308)*(1-R308)+INDEX(Models!$BJ308:$BT308,,T308+1)*R308-ERP_i)*Q308*Ramure*Pc/MaxiM</f>
        <v>8.112842934439105E-6</v>
      </c>
      <c r="Q308" s="304">
        <f t="shared" si="105"/>
        <v>0.6</v>
      </c>
      <c r="R308" s="177">
        <f t="shared" si="106"/>
        <v>0.9721807298992069</v>
      </c>
      <c r="S308" s="799">
        <f t="shared" si="107"/>
        <v>-2</v>
      </c>
      <c r="T308" s="176">
        <f t="shared" si="108"/>
        <v>4</v>
      </c>
      <c r="U308" s="250">
        <f t="shared" si="109"/>
        <v>-1.0278192701007931</v>
      </c>
      <c r="V308" s="382">
        <f t="shared" si="110"/>
        <v>37.930822827788027</v>
      </c>
      <c r="W308" s="400">
        <f t="shared" si="111"/>
        <v>18.18394352867897</v>
      </c>
      <c r="X308" s="157">
        <f t="shared" si="112"/>
        <v>46316</v>
      </c>
      <c r="Y308" s="383">
        <f t="shared" si="113"/>
        <v>17.602565110823065</v>
      </c>
      <c r="Z308" s="383">
        <f t="shared" si="114"/>
        <v>18.580075760285965</v>
      </c>
      <c r="AA308" s="384">
        <f t="shared" si="115"/>
        <v>19.771851174957021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6.0276369881873175E-2</v>
      </c>
      <c r="AD308" s="230">
        <f>(INDEX(Models!$BJ308:$BT308,,AH308)*(1-AF308)+INDEX(Models!$BJ308:$BT308,,AH308+1)*AF308-ERP_i)*AE308*Ramure*Pc/MaxiM</f>
        <v>1.3463341127322931E-4</v>
      </c>
      <c r="AE308" s="304">
        <f t="shared" si="117"/>
        <v>0.6</v>
      </c>
      <c r="AF308" s="177">
        <f t="shared" si="118"/>
        <v>0.49716829627318582</v>
      </c>
      <c r="AG308" s="799">
        <f t="shared" si="124"/>
        <v>2</v>
      </c>
      <c r="AH308" s="176">
        <f t="shared" si="119"/>
        <v>8</v>
      </c>
      <c r="AI308" s="224">
        <f t="shared" si="120"/>
        <v>2.4971682962731858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46317</v>
      </c>
      <c r="B309" s="409">
        <f>IF(t&gt;Tmaj,'2025'!Wh/'2025'!Env_an*'2026'!Env_an,0.001*'[12]mon-tableau (1)'!$B$263)</f>
        <v>35.439482669881926</v>
      </c>
      <c r="C309" s="829"/>
      <c r="D309" s="391">
        <f t="shared" si="102"/>
        <v>37.408235015870389</v>
      </c>
      <c r="E309" s="383">
        <f t="shared" si="125"/>
        <v>38.539581585417451</v>
      </c>
      <c r="F309" s="383">
        <f t="shared" si="103"/>
        <v>38.53987356239567</v>
      </c>
      <c r="G309" s="110">
        <f t="shared" si="126"/>
        <v>0.94267189134045914</v>
      </c>
      <c r="H309" s="412" t="b">
        <f>Wh_hp&gt;='2025'!Maxi_hp</f>
        <v>1</v>
      </c>
      <c r="I309" s="388">
        <f>IF(H309,Wh_hp,'2025'!Maxi_hp)</f>
        <v>38.53987356239567</v>
      </c>
      <c r="J309" s="85">
        <f>IF(H309,An,'2025'!An_max)</f>
        <v>2026</v>
      </c>
      <c r="K309" s="197">
        <f t="shared" si="104"/>
        <v>46317</v>
      </c>
      <c r="L309" s="147">
        <f>IF(t&lt;Tvie,1-EXP((T0-t)*PertePVj)+'2025'!Pspv,1-EXP((T0-t)*PertePVj)+Pspv)</f>
        <v>5.2628848839118447E-2</v>
      </c>
      <c r="M309" s="832"/>
      <c r="N309" s="832"/>
      <c r="O309" s="48">
        <f>IF(t&lt;Tnet,'2025'!Resal+('2025'!Salim-'2025'!Resal)*(1-EXP(('2025'!Tnet-t)/('2025'!Tau_j))),Resal+(Salim-Resal)*(1-EXP((Tnet-t)/(Tau_j))))*Salcycl</f>
        <v>2.9355445051721517E-2</v>
      </c>
      <c r="P309" s="169">
        <f>(INDEX(Models!$BJ309:$BT309,,T309)*(1-R309)+INDEX(Models!$BJ309:$BT309,,T309+1)*R309-ERP_i)*Q309*Ramure*Pc/MaxiM</f>
        <v>8.2517607578994636E-6</v>
      </c>
      <c r="Q309" s="304">
        <f t="shared" si="105"/>
        <v>0.6</v>
      </c>
      <c r="R309" s="177">
        <f t="shared" si="106"/>
        <v>0.97226531316505271</v>
      </c>
      <c r="S309" s="799">
        <f t="shared" si="107"/>
        <v>-2</v>
      </c>
      <c r="T309" s="176">
        <f t="shared" si="108"/>
        <v>4</v>
      </c>
      <c r="U309" s="250">
        <f t="shared" si="109"/>
        <v>-1.0277346868349473</v>
      </c>
      <c r="V309" s="382">
        <f t="shared" si="110"/>
        <v>37.594691265992438</v>
      </c>
      <c r="W309" s="400">
        <f t="shared" si="111"/>
        <v>35.439482669881926</v>
      </c>
      <c r="X309" s="157">
        <f t="shared" si="112"/>
        <v>46317</v>
      </c>
      <c r="Y309" s="383">
        <f t="shared" si="113"/>
        <v>34.305315310643373</v>
      </c>
      <c r="Z309" s="383">
        <f t="shared" si="114"/>
        <v>36.21106180888728</v>
      </c>
      <c r="AA309" s="384">
        <f t="shared" si="115"/>
        <v>38.534943567346595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6.0305830068180098E-2</v>
      </c>
      <c r="AD309" s="230">
        <f>(INDEX(Models!$BJ309:$BT309,,AH309)*(1-AF309)+INDEX(Models!$BJ309:$BT309,,AH309+1)*AF309-ERP_i)*AE309*Ramure*Pc/MaxiM</f>
        <v>1.3932995653030721E-4</v>
      </c>
      <c r="AE309" s="304">
        <f t="shared" si="117"/>
        <v>0.6</v>
      </c>
      <c r="AF309" s="177">
        <f t="shared" si="118"/>
        <v>0.49725287953903141</v>
      </c>
      <c r="AG309" s="799">
        <f t="shared" si="124"/>
        <v>2</v>
      </c>
      <c r="AH309" s="176">
        <f t="shared" si="119"/>
        <v>8</v>
      </c>
      <c r="AI309" s="224">
        <f t="shared" si="120"/>
        <v>2.4972528795390314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46318</v>
      </c>
      <c r="B310" s="409">
        <f>IF(t&gt;Tmaj,'2025'!Wh/'2025'!Env_an*'2026'!Env_an,0.001*'[12]mon-tableau (1)'!$B$264)</f>
        <v>17.228517304546703</v>
      </c>
      <c r="C310" s="829"/>
      <c r="D310" s="391">
        <f t="shared" si="102"/>
        <v>18.185953277516006</v>
      </c>
      <c r="E310" s="383">
        <f t="shared" si="125"/>
        <v>18.73758317093311</v>
      </c>
      <c r="F310" s="383">
        <f t="shared" si="103"/>
        <v>18.737619616326135</v>
      </c>
      <c r="G310" s="110">
        <f t="shared" si="126"/>
        <v>0.46240303019858037</v>
      </c>
      <c r="H310" s="412" t="b">
        <f>Wh_hp&gt;='2025'!Maxi_hp</f>
        <v>0</v>
      </c>
      <c r="I310" s="388">
        <f>IF(H310,Wh_hp,'2025'!Maxi_hp)</f>
        <v>37.731513799556055</v>
      </c>
      <c r="J310" s="85">
        <f>IF(H310,An,'2025'!An_max)</f>
        <v>2021</v>
      </c>
      <c r="K310" s="197">
        <f t="shared" si="104"/>
        <v>46318</v>
      </c>
      <c r="L310" s="147">
        <f>IF(t&lt;Tvie,1-EXP((T0-t)*PertePVj)+'2025'!Pspv,1-EXP((T0-t)*PertePVj)+Pspv)</f>
        <v>5.2647004991100421E-2</v>
      </c>
      <c r="M310" s="832"/>
      <c r="N310" s="832"/>
      <c r="O310" s="48">
        <f>IF(t&lt;Tnet,'2025'!Resal+('2025'!Salim-'2025'!Resal)*(1-EXP(('2025'!Tnet-t)/('2025'!Tau_j))),Resal+(Salim-Resal)*(1-EXP((Tnet-t)/(Tau_j))))*Salcycl</f>
        <v>2.9439756898468429E-2</v>
      </c>
      <c r="P310" s="169">
        <f>(INDEX(Models!$BJ310:$BT310,,T310)*(1-R310)+INDEX(Models!$BJ310:$BT310,,T310+1)*R310-ERP_i)*Q310*Ramure*Pc/MaxiM</f>
        <v>8.3834768617554502E-6</v>
      </c>
      <c r="Q310" s="304">
        <f t="shared" si="105"/>
        <v>0.6</v>
      </c>
      <c r="R310" s="177">
        <f t="shared" si="106"/>
        <v>0.97234651784687465</v>
      </c>
      <c r="S310" s="799">
        <f t="shared" si="107"/>
        <v>-2</v>
      </c>
      <c r="T310" s="176">
        <f t="shared" si="108"/>
        <v>4</v>
      </c>
      <c r="U310" s="250">
        <f t="shared" si="109"/>
        <v>-1.0276534821531254</v>
      </c>
      <c r="V310" s="382">
        <f t="shared" si="110"/>
        <v>37.258420153922394</v>
      </c>
      <c r="W310" s="400">
        <f t="shared" si="111"/>
        <v>17.228517304546703</v>
      </c>
      <c r="X310" s="157">
        <f t="shared" si="112"/>
        <v>46318</v>
      </c>
      <c r="Y310" s="383">
        <f t="shared" si="113"/>
        <v>16.679574123849171</v>
      </c>
      <c r="Z310" s="383">
        <f t="shared" si="114"/>
        <v>17.606503818244096</v>
      </c>
      <c r="AA310" s="384">
        <f t="shared" si="115"/>
        <v>18.736992034263736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6.0334562450170874E-2</v>
      </c>
      <c r="AD310" s="230">
        <f>(INDEX(Models!$BJ310:$BT310,,AH310)*(1-AF310)+INDEX(Models!$BJ310:$BT310,,AH310+1)*AF310-ERP_i)*AE310*Ramure*Pc/MaxiM</f>
        <v>1.4436172207715314E-4</v>
      </c>
      <c r="AE310" s="304">
        <f t="shared" si="117"/>
        <v>0.6</v>
      </c>
      <c r="AF310" s="177">
        <f t="shared" si="118"/>
        <v>0.49733408422085335</v>
      </c>
      <c r="AG310" s="799">
        <f t="shared" si="124"/>
        <v>2</v>
      </c>
      <c r="AH310" s="176">
        <f t="shared" si="119"/>
        <v>8</v>
      </c>
      <c r="AI310" s="224">
        <f t="shared" si="120"/>
        <v>2.4973340842208533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46319</v>
      </c>
      <c r="B311" s="409">
        <f>IF(t&gt;Tmaj,'2025'!Wh/'2025'!Env_an*'2026'!Env_an,0.001*'[12]mon-tableau (1)'!$B$265)</f>
        <v>29.258915819426097</v>
      </c>
      <c r="C311" s="829"/>
      <c r="D311" s="391">
        <f t="shared" si="102"/>
        <v>30.885505956884156</v>
      </c>
      <c r="E311" s="383">
        <f t="shared" si="125"/>
        <v>31.82509613495257</v>
      </c>
      <c r="F311" s="383">
        <f t="shared" si="103"/>
        <v>31.825286244711112</v>
      </c>
      <c r="G311" s="110">
        <f t="shared" si="126"/>
        <v>0.79242652334437014</v>
      </c>
      <c r="H311" s="412" t="b">
        <f>Wh_hp&gt;='2025'!Maxi_hp</f>
        <v>0</v>
      </c>
      <c r="I311" s="388">
        <f>IF(H311,Wh_hp,'2025'!Maxi_hp)</f>
        <v>41.981963629803325</v>
      </c>
      <c r="J311" s="85">
        <f>IF(H311,An,'2025'!An_max)</f>
        <v>2021</v>
      </c>
      <c r="K311" s="197">
        <f t="shared" si="104"/>
        <v>46319</v>
      </c>
      <c r="L311" s="147">
        <f>IF(t&lt;Tvie,1-EXP((T0-t)*PertePVj)+'2025'!Pspv,1-EXP((T0-t)*PertePVj)+Pspv)</f>
        <v>5.2665160795123844E-2</v>
      </c>
      <c r="M311" s="832"/>
      <c r="N311" s="832"/>
      <c r="O311" s="48">
        <f>IF(t&lt;Tnet,'2025'!Resal+('2025'!Salim-'2025'!Resal)*(1-EXP(('2025'!Tnet-t)/('2025'!Tau_j))),Resal+(Salim-Resal)*(1-EXP((Tnet-t)/(Tau_j))))*Salcycl</f>
        <v>2.9523561345553666E-2</v>
      </c>
      <c r="P311" s="169">
        <f>(INDEX(Models!$BJ311:$BT311,,T311)*(1-R311)+INDEX(Models!$BJ311:$BT311,,T311+1)*R311-ERP_i)*Q311*Ramure*Pc/MaxiM</f>
        <v>8.4915492906530495E-6</v>
      </c>
      <c r="Q311" s="304">
        <f t="shared" si="105"/>
        <v>0.6</v>
      </c>
      <c r="R311" s="177">
        <f t="shared" si="106"/>
        <v>0.97242447785926722</v>
      </c>
      <c r="S311" s="799">
        <f t="shared" si="107"/>
        <v>-2</v>
      </c>
      <c r="T311" s="176">
        <f t="shared" si="108"/>
        <v>4</v>
      </c>
      <c r="U311" s="250">
        <f t="shared" si="109"/>
        <v>-1.0275755221407328</v>
      </c>
      <c r="V311" s="382">
        <f t="shared" si="110"/>
        <v>36.923097956649201</v>
      </c>
      <c r="W311" s="400">
        <f t="shared" si="111"/>
        <v>29.258915819426097</v>
      </c>
      <c r="X311" s="157">
        <f t="shared" si="112"/>
        <v>46319</v>
      </c>
      <c r="Y311" s="383">
        <f t="shared" si="113"/>
        <v>28.326337148043489</v>
      </c>
      <c r="Z311" s="383">
        <f t="shared" si="114"/>
        <v>29.901082463955991</v>
      </c>
      <c r="AA311" s="384">
        <f t="shared" si="115"/>
        <v>31.821937651030357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6.0362609220691768E-2</v>
      </c>
      <c r="AD311" s="230">
        <f>(INDEX(Models!$BJ311:$BT311,,AH311)*(1-AF311)+INDEX(Models!$BJ311:$BT311,,AH311+1)*AF311-ERP_i)*AE311*Ramure*Pc/MaxiM</f>
        <v>1.4957016679328556E-4</v>
      </c>
      <c r="AE311" s="304">
        <f t="shared" si="117"/>
        <v>0.6</v>
      </c>
      <c r="AF311" s="177">
        <f t="shared" si="118"/>
        <v>0.49741204423324614</v>
      </c>
      <c r="AG311" s="799">
        <f t="shared" si="124"/>
        <v>2</v>
      </c>
      <c r="AH311" s="176">
        <f t="shared" si="119"/>
        <v>8</v>
      </c>
      <c r="AI311" s="224">
        <f t="shared" si="120"/>
        <v>2.4974120442332461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46320</v>
      </c>
      <c r="B312" s="409">
        <f>IF(t&gt;Tmaj,'2025'!Wh/'2025'!Env_an*'2026'!Env_an,0.001*'[12]mon-tableau (1)'!$B$266)</f>
        <v>23.813779085267388</v>
      </c>
      <c r="C312" s="829"/>
      <c r="D312" s="391">
        <f t="shared" si="102"/>
        <v>25.138139646215681</v>
      </c>
      <c r="E312" s="383">
        <f t="shared" si="125"/>
        <v>25.90510907418464</v>
      </c>
      <c r="F312" s="383">
        <f t="shared" si="103"/>
        <v>25.905220416102527</v>
      </c>
      <c r="G312" s="110">
        <f t="shared" si="126"/>
        <v>0.65082808284311477</v>
      </c>
      <c r="H312" s="412" t="b">
        <f>Wh_hp&gt;='2025'!Maxi_hp</f>
        <v>0</v>
      </c>
      <c r="I312" s="388">
        <f>IF(H312,Wh_hp,'2025'!Maxi_hp)</f>
        <v>38.701357747255933</v>
      </c>
      <c r="J312" s="85">
        <f>IF(H312,An,'2025'!An_max)</f>
        <v>2021</v>
      </c>
      <c r="K312" s="197">
        <f t="shared" si="104"/>
        <v>46320</v>
      </c>
      <c r="L312" s="147">
        <f>IF(t&lt;Tvie,1-EXP((T0-t)*PertePVj)+'2025'!Pspv,1-EXP((T0-t)*PertePVj)+Pspv)</f>
        <v>5.2683316251195378E-2</v>
      </c>
      <c r="M312" s="832"/>
      <c r="N312" s="832"/>
      <c r="O312" s="48">
        <f>IF(t&lt;Tnet,'2025'!Resal+('2025'!Salim-'2025'!Resal)*(1-EXP(('2025'!Tnet-t)/('2025'!Tau_j))),Resal+(Salim-Resal)*(1-EXP((Tnet-t)/(Tau_j))))*Salcycl</f>
        <v>2.9606878927727526E-2</v>
      </c>
      <c r="P312" s="169">
        <f>(INDEX(Models!$BJ312:$BT312,,T312)*(1-R312)+INDEX(Models!$BJ312:$BT312,,T312+1)*R312-ERP_i)*Q312*Ramure*Pc/MaxiM</f>
        <v>8.5757408652982583E-6</v>
      </c>
      <c r="Q312" s="304">
        <f t="shared" si="105"/>
        <v>0.6</v>
      </c>
      <c r="R312" s="177">
        <f t="shared" si="106"/>
        <v>0.97249932189067545</v>
      </c>
      <c r="S312" s="799">
        <f t="shared" si="107"/>
        <v>-2</v>
      </c>
      <c r="T312" s="176">
        <f t="shared" si="108"/>
        <v>4</v>
      </c>
      <c r="U312" s="250">
        <f t="shared" si="109"/>
        <v>-1.0275006781093246</v>
      </c>
      <c r="V312" s="382">
        <f t="shared" si="110"/>
        <v>36.589812032697971</v>
      </c>
      <c r="W312" s="400">
        <f t="shared" si="111"/>
        <v>23.813779085267388</v>
      </c>
      <c r="X312" s="157">
        <f t="shared" si="112"/>
        <v>46320</v>
      </c>
      <c r="Y312" s="383">
        <f t="shared" si="113"/>
        <v>23.056658783791242</v>
      </c>
      <c r="Z312" s="383">
        <f t="shared" si="114"/>
        <v>24.338913458748991</v>
      </c>
      <c r="AA312" s="384">
        <f t="shared" si="115"/>
        <v>25.903208627425723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6.0390015429227277E-2</v>
      </c>
      <c r="AD312" s="230">
        <f>(INDEX(Models!$BJ312:$BT312,,AH312)*(1-AF312)+INDEX(Models!$BJ312:$BT312,,AH312+1)*AF312-ERP_i)*AE312*Ramure*Pc/MaxiM</f>
        <v>1.5495133095897666E-4</v>
      </c>
      <c r="AE312" s="304">
        <f t="shared" si="117"/>
        <v>0.6</v>
      </c>
      <c r="AF312" s="177">
        <f t="shared" si="118"/>
        <v>0.49748688826465415</v>
      </c>
      <c r="AG312" s="799">
        <f t="shared" si="124"/>
        <v>2</v>
      </c>
      <c r="AH312" s="176">
        <f t="shared" si="119"/>
        <v>8</v>
      </c>
      <c r="AI312" s="224">
        <f t="shared" si="120"/>
        <v>2.4974868882646541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46321</v>
      </c>
      <c r="B313" s="409">
        <f>IF(t&gt;Tmaj,'2025'!Wh/'2025'!Env_an*'2026'!Env_an,0.001*'[12]mon-tableau (1)'!$B$267)</f>
        <v>13.147850526194096</v>
      </c>
      <c r="C313" s="829"/>
      <c r="D313" s="391">
        <f t="shared" si="102"/>
        <v>13.879310617172122</v>
      </c>
      <c r="E313" s="383">
        <f t="shared" si="125"/>
        <v>14.303992311663258</v>
      </c>
      <c r="F313" s="383">
        <f t="shared" si="103"/>
        <v>14.304003358900445</v>
      </c>
      <c r="G313" s="110">
        <f t="shared" si="126"/>
        <v>0.3625999536263449</v>
      </c>
      <c r="H313" s="412" t="b">
        <f>Wh_hp&gt;='2025'!Maxi_hp</f>
        <v>0</v>
      </c>
      <c r="I313" s="388">
        <f>IF(H313,Wh_hp,'2025'!Maxi_hp)</f>
        <v>38.488384875395617</v>
      </c>
      <c r="J313" s="85">
        <f>IF(H313,An,'2025'!An_max)</f>
        <v>2018</v>
      </c>
      <c r="K313" s="197">
        <f t="shared" si="104"/>
        <v>46321</v>
      </c>
      <c r="L313" s="147">
        <f>IF(t&lt;Tvie,1-EXP((T0-t)*PertePVj)+'2025'!Pspv,1-EXP((T0-t)*PertePVj)+Pspv)</f>
        <v>5.2701471359321683E-2</v>
      </c>
      <c r="M313" s="832"/>
      <c r="N313" s="832"/>
      <c r="O313" s="48">
        <f>IF(t&lt;Tnet,'2025'!Resal+('2025'!Salim-'2025'!Resal)*(1-EXP(('2025'!Tnet-t)/('2025'!Tau_j))),Resal+(Salim-Resal)*(1-EXP((Tnet-t)/(Tau_j))))*Salcycl</f>
        <v>2.9689731736283011E-2</v>
      </c>
      <c r="P313" s="169">
        <f>(INDEX(Models!$BJ313:$BT313,,T313)*(1-R313)+INDEX(Models!$BJ313:$BT313,,T313+1)*R313-ERP_i)*Q313*Ramure*Pc/MaxiM</f>
        <v>8.6357552002991429E-6</v>
      </c>
      <c r="Q313" s="304">
        <f t="shared" si="105"/>
        <v>0.6</v>
      </c>
      <c r="R313" s="177">
        <f t="shared" si="106"/>
        <v>0.97257117360090506</v>
      </c>
      <c r="S313" s="799">
        <f t="shared" si="107"/>
        <v>-2</v>
      </c>
      <c r="T313" s="176">
        <f t="shared" si="108"/>
        <v>4</v>
      </c>
      <c r="U313" s="250">
        <f t="shared" si="109"/>
        <v>-1.0274288263990949</v>
      </c>
      <c r="V313" s="382">
        <f t="shared" si="110"/>
        <v>36.259649256226901</v>
      </c>
      <c r="W313" s="400">
        <f t="shared" si="111"/>
        <v>13.147850526194096</v>
      </c>
      <c r="X313" s="157">
        <f t="shared" si="112"/>
        <v>46321</v>
      </c>
      <c r="Y313" s="383">
        <f t="shared" si="113"/>
        <v>12.731320810895138</v>
      </c>
      <c r="Z313" s="383">
        <f t="shared" si="114"/>
        <v>13.43960792292572</v>
      </c>
      <c r="AA313" s="384">
        <f t="shared" si="115"/>
        <v>14.303798041045248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6.0416828847813984E-2</v>
      </c>
      <c r="AD313" s="230">
        <f>(INDEX(Models!$BJ313:$BT313,,AH313)*(1-AF313)+INDEX(Models!$BJ313:$BT313,,AH313+1)*AF313-ERP_i)*AE313*Ramure*Pc/MaxiM</f>
        <v>1.6049938149455137E-4</v>
      </c>
      <c r="AE313" s="304">
        <f t="shared" si="117"/>
        <v>0.6</v>
      </c>
      <c r="AF313" s="177">
        <f t="shared" si="118"/>
        <v>0.49755873997488376</v>
      </c>
      <c r="AG313" s="799">
        <f t="shared" si="124"/>
        <v>2</v>
      </c>
      <c r="AH313" s="176">
        <f t="shared" si="119"/>
        <v>8</v>
      </c>
      <c r="AI313" s="224">
        <f t="shared" si="120"/>
        <v>2.4975587399748838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46322</v>
      </c>
      <c r="B314" s="409">
        <f>IF(t&gt;Tmaj,'2025'!Wh/'2025'!Env_an*'2026'!Env_an,0.001*'[12]mon-tableau (1)'!$B$268)</f>
        <v>16.961064149119522</v>
      </c>
      <c r="C314" s="829"/>
      <c r="D314" s="391">
        <f t="shared" si="102"/>
        <v>17.90500955872157</v>
      </c>
      <c r="E314" s="383">
        <f t="shared" si="125"/>
        <v>18.454437724222338</v>
      </c>
      <c r="F314" s="383">
        <f t="shared" si="103"/>
        <v>18.454477046816283</v>
      </c>
      <c r="G314" s="110">
        <f t="shared" si="126"/>
        <v>0.47200692073658557</v>
      </c>
      <c r="H314" s="412" t="b">
        <f>Wh_hp&gt;='2025'!Maxi_hp</f>
        <v>0</v>
      </c>
      <c r="I314" s="388">
        <f>IF(H314,Wh_hp,'2025'!Maxi_hp)</f>
        <v>29.983519029323368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5.2719626119509644E-2</v>
      </c>
      <c r="M314" s="832"/>
      <c r="N314" s="832"/>
      <c r="O314" s="48">
        <f>IF(t&lt;Tnet,'2025'!Resal+('2025'!Salim-'2025'!Resal)*(1-EXP(('2025'!Tnet-t)/('2025'!Tau_j))),Resal+(Salim-Resal)*(1-EXP((Tnet-t)/(Tau_j))))*Salcycl</f>
        <v>2.9772143357129573E-2</v>
      </c>
      <c r="P314" s="169">
        <f>(INDEX(Models!$BJ314:$BT314,,T314)*(1-R314)+INDEX(Models!$BJ314:$BT314,,T314+1)*R314-ERP_i)*Q314*Ramure*Pc/MaxiM</f>
        <v>8.6713105457416154E-6</v>
      </c>
      <c r="Q314" s="304">
        <f t="shared" si="105"/>
        <v>0.6</v>
      </c>
      <c r="R314" s="177">
        <f t="shared" si="106"/>
        <v>0.97264015181168229</v>
      </c>
      <c r="S314" s="799">
        <f t="shared" si="107"/>
        <v>-2</v>
      </c>
      <c r="T314" s="176">
        <f t="shared" si="108"/>
        <v>4</v>
      </c>
      <c r="U314" s="250">
        <f t="shared" si="109"/>
        <v>-1.0273598481883177</v>
      </c>
      <c r="V314" s="382">
        <f t="shared" si="110"/>
        <v>35.933696031843922</v>
      </c>
      <c r="W314" s="400">
        <f t="shared" si="111"/>
        <v>16.961064149119522</v>
      </c>
      <c r="X314" s="157">
        <f t="shared" si="112"/>
        <v>46322</v>
      </c>
      <c r="Y314" s="383">
        <f t="shared" si="113"/>
        <v>16.424253177384731</v>
      </c>
      <c r="Z314" s="383">
        <f t="shared" si="114"/>
        <v>17.338323088130217</v>
      </c>
      <c r="AA314" s="384">
        <f t="shared" si="115"/>
        <v>18.453723329325211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6.0443099817286627E-2</v>
      </c>
      <c r="AD314" s="230">
        <f>(INDEX(Models!$BJ314:$BT314,,AH314)*(1-AF314)+INDEX(Models!$BJ314:$BT314,,AH314+1)*AF314-ERP_i)*AE314*Ramure*Pc/MaxiM</f>
        <v>1.6620771351133604E-4</v>
      </c>
      <c r="AE314" s="304">
        <f t="shared" si="117"/>
        <v>0.6</v>
      </c>
      <c r="AF314" s="177">
        <f t="shared" si="118"/>
        <v>0.49762771818566076</v>
      </c>
      <c r="AG314" s="799">
        <f t="shared" si="124"/>
        <v>2</v>
      </c>
      <c r="AH314" s="176">
        <f t="shared" si="119"/>
        <v>8</v>
      </c>
      <c r="AI314" s="224">
        <f t="shared" si="120"/>
        <v>2.4976277181856608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46323</v>
      </c>
      <c r="B315" s="409">
        <f>IF(t&gt;Tmaj,'2025'!Wh/'2025'!Env_an*'2026'!Env_an,0.001*'[12]mon-tableau (1)'!$B$269)</f>
        <v>17.680231478882803</v>
      </c>
      <c r="C315" s="829"/>
      <c r="D315" s="391">
        <f t="shared" si="102"/>
        <v>18.664558889309419</v>
      </c>
      <c r="E315" s="383">
        <f t="shared" si="125"/>
        <v>19.238920285852878</v>
      </c>
      <c r="F315" s="383">
        <f t="shared" si="103"/>
        <v>19.238967164105407</v>
      </c>
      <c r="G315" s="110">
        <f t="shared" si="126"/>
        <v>0.49645079168074358</v>
      </c>
      <c r="H315" s="412" t="b">
        <f>Wh_hp&gt;='2025'!Maxi_hp</f>
        <v>0</v>
      </c>
      <c r="I315" s="388">
        <f>IF(H315,Wh_hp,'2025'!Maxi_hp)</f>
        <v>39.257780539476109</v>
      </c>
      <c r="J315" s="85">
        <f>IF(H315,An,'2025'!An_max)</f>
        <v>2021</v>
      </c>
      <c r="K315" s="197">
        <f t="shared" si="104"/>
        <v>46323</v>
      </c>
      <c r="L315" s="147">
        <f>IF(t&lt;Tvie,1-EXP((T0-t)*PertePVj)+'2025'!Pspv,1-EXP((T0-t)*PertePVj)+Pspv)</f>
        <v>5.2737780531765588E-2</v>
      </c>
      <c r="M315" s="832"/>
      <c r="N315" s="832"/>
      <c r="O315" s="48">
        <f>IF(t&lt;Tnet,'2025'!Resal+('2025'!Salim-'2025'!Resal)*(1-EXP(('2025'!Tnet-t)/('2025'!Tau_j))),Resal+(Salim-Resal)*(1-EXP((Tnet-t)/(Tau_j))))*Salcycl</f>
        <v>2.9854138798309199E-2</v>
      </c>
      <c r="P315" s="169">
        <f>(INDEX(Models!$BJ315:$BT315,,T315)*(1-R315)+INDEX(Models!$BJ315:$BT315,,T315+1)*R315-ERP_i)*Q315*Ramure*Pc/MaxiM</f>
        <v>8.6821455660035285E-6</v>
      </c>
      <c r="Q315" s="304">
        <f t="shared" si="105"/>
        <v>0.6</v>
      </c>
      <c r="R315" s="177">
        <f t="shared" si="106"/>
        <v>0.97270637069046439</v>
      </c>
      <c r="S315" s="799">
        <f t="shared" si="107"/>
        <v>-2</v>
      </c>
      <c r="T315" s="176">
        <f t="shared" si="108"/>
        <v>4</v>
      </c>
      <c r="U315" s="250">
        <f t="shared" si="109"/>
        <v>-1.0272936293095356</v>
      </c>
      <c r="V315" s="382">
        <f t="shared" si="110"/>
        <v>35.613038296512265</v>
      </c>
      <c r="W315" s="400">
        <f t="shared" si="111"/>
        <v>17.680231478882803</v>
      </c>
      <c r="X315" s="157">
        <f t="shared" si="112"/>
        <v>46323</v>
      </c>
      <c r="Y315" s="383">
        <f t="shared" si="113"/>
        <v>17.121514028050811</v>
      </c>
      <c r="Z315" s="383">
        <f t="shared" si="114"/>
        <v>18.074735459905003</v>
      </c>
      <c r="AA315" s="384">
        <f t="shared" si="115"/>
        <v>19.238038097745548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6.0468881074565953E-2</v>
      </c>
      <c r="AD315" s="230">
        <f>(INDEX(Models!$BJ315:$BT315,,AH315)*(1-AF315)+INDEX(Models!$BJ315:$BT315,,AH315+1)*AF315-ERP_i)*AE315*Ramure*Pc/MaxiM</f>
        <v>1.7206890064016379E-4</v>
      </c>
      <c r="AE315" s="304">
        <f t="shared" si="117"/>
        <v>0.6</v>
      </c>
      <c r="AF315" s="177">
        <f t="shared" si="118"/>
        <v>0.49769393706444287</v>
      </c>
      <c r="AG315" s="799">
        <f t="shared" si="124"/>
        <v>2</v>
      </c>
      <c r="AH315" s="176">
        <f t="shared" si="119"/>
        <v>8</v>
      </c>
      <c r="AI315" s="224">
        <f t="shared" si="120"/>
        <v>2.4976939370644429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46324</v>
      </c>
      <c r="B316" s="409">
        <f>IF(t&gt;Tmaj,'2025'!Wh/'2025'!Env_an*'2026'!Env_an,0.001*'[12]mon-tableau (1)'!$B$270)</f>
        <v>28.97689457280865</v>
      </c>
      <c r="C316" s="829"/>
      <c r="D316" s="391">
        <f t="shared" si="102"/>
        <v>30.590737520696891</v>
      </c>
      <c r="E316" s="383">
        <f t="shared" si="125"/>
        <v>31.534753851954569</v>
      </c>
      <c r="F316" s="383">
        <f t="shared" si="103"/>
        <v>31.534957261847889</v>
      </c>
      <c r="G316" s="110">
        <f t="shared" si="126"/>
        <v>0.82090218044956942</v>
      </c>
      <c r="H316" s="412" t="b">
        <f>Wh_hp&gt;='2025'!Maxi_hp</f>
        <v>1</v>
      </c>
      <c r="I316" s="388">
        <f>IF(H316,Wh_hp,'2025'!Maxi_hp)</f>
        <v>31.534957261847889</v>
      </c>
      <c r="J316" s="85">
        <f>IF(H316,An,'2025'!An_max)</f>
        <v>2026</v>
      </c>
      <c r="K316" s="197">
        <f t="shared" si="104"/>
        <v>46324</v>
      </c>
      <c r="L316" s="147">
        <f>IF(t&lt;Tvie,1-EXP((T0-t)*PertePVj)+'2025'!Pspv,1-EXP((T0-t)*PertePVj)+Pspv)</f>
        <v>5.275593459609651E-2</v>
      </c>
      <c r="M316" s="832"/>
      <c r="N316" s="832"/>
      <c r="O316" s="48">
        <f>IF(t&lt;Tnet,'2025'!Resal+('2025'!Salim-'2025'!Resal)*(1-EXP(('2025'!Tnet-t)/('2025'!Tau_j))),Resal+(Salim-Resal)*(1-EXP((Tnet-t)/(Tau_j))))*Salcycl</f>
        <v>2.9935744407250754E-2</v>
      </c>
      <c r="P316" s="169">
        <f>(INDEX(Models!$BJ316:$BT316,,T316)*(1-R316)+INDEX(Models!$BJ316:$BT316,,T316+1)*R316-ERP_i)*Q316*Ramure*Pc/MaxiM</f>
        <v>8.6680253367342305E-6</v>
      </c>
      <c r="Q316" s="304">
        <f t="shared" si="105"/>
        <v>0.6</v>
      </c>
      <c r="R316" s="177">
        <f t="shared" si="106"/>
        <v>0.97276993992770056</v>
      </c>
      <c r="S316" s="799">
        <f t="shared" si="107"/>
        <v>-2</v>
      </c>
      <c r="T316" s="176">
        <f t="shared" si="108"/>
        <v>4</v>
      </c>
      <c r="U316" s="250">
        <f t="shared" si="109"/>
        <v>-1.0272300600722994</v>
      </c>
      <c r="V316" s="382">
        <f t="shared" si="110"/>
        <v>35.298761532943516</v>
      </c>
      <c r="W316" s="400">
        <f t="shared" si="111"/>
        <v>28.97689457280865</v>
      </c>
      <c r="X316" s="157">
        <f t="shared" si="112"/>
        <v>46324</v>
      </c>
      <c r="Y316" s="383">
        <f t="shared" si="113"/>
        <v>28.060540924398364</v>
      </c>
      <c r="Z316" s="383">
        <f t="shared" si="114"/>
        <v>29.62334835260582</v>
      </c>
      <c r="AA316" s="384">
        <f t="shared" si="115"/>
        <v>31.530778438677924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6.0494227561864129E-2</v>
      </c>
      <c r="AD316" s="230">
        <f>(INDEX(Models!$BJ316:$BT316,,AH316)*(1-AF316)+INDEX(Models!$BJ316:$BT316,,AH316+1)*AF316-ERP_i)*AE316*Ramure*Pc/MaxiM</f>
        <v>1.7807464781370696E-4</v>
      </c>
      <c r="AE316" s="304">
        <f t="shared" si="117"/>
        <v>0.6</v>
      </c>
      <c r="AF316" s="177">
        <f t="shared" si="118"/>
        <v>0.49775750630167925</v>
      </c>
      <c r="AG316" s="799">
        <f t="shared" si="124"/>
        <v>2</v>
      </c>
      <c r="AH316" s="176">
        <f t="shared" si="119"/>
        <v>8</v>
      </c>
      <c r="AI316" s="224">
        <f t="shared" si="120"/>
        <v>2.4977575063016793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46325</v>
      </c>
      <c r="B317" s="409">
        <f>IF(t&gt;Tmaj,'2025'!Wh/'2025'!Env_an*'2026'!Env_an,0.001*'[12]mon-tableau (1)'!$B$271)</f>
        <v>26.595265864309116</v>
      </c>
      <c r="C317" s="829"/>
      <c r="D317" s="391">
        <f t="shared" si="102"/>
        <v>28.077004161477614</v>
      </c>
      <c r="E317" s="383">
        <f t="shared" si="125"/>
        <v>28.94587204900029</v>
      </c>
      <c r="F317" s="383">
        <f t="shared" si="103"/>
        <v>28.946036235580227</v>
      </c>
      <c r="G317" s="110">
        <f t="shared" si="126"/>
        <v>0.76010570282114676</v>
      </c>
      <c r="H317" s="412" t="b">
        <f>Wh_hp&gt;='2025'!Maxi_hp</f>
        <v>0</v>
      </c>
      <c r="I317" s="388">
        <f>IF(H317,Wh_hp,'2025'!Maxi_hp)</f>
        <v>30.400555520503801</v>
      </c>
      <c r="J317" s="85">
        <f>IF(H317,An,'2025'!An_max)</f>
        <v>2020</v>
      </c>
      <c r="K317" s="197">
        <f t="shared" si="104"/>
        <v>46325</v>
      </c>
      <c r="L317" s="147">
        <f>IF(t&lt;Tvie,1-EXP((T0-t)*PertePVj)+'2025'!Pspv,1-EXP((T0-t)*PertePVj)+Pspv)</f>
        <v>5.2774088312508849E-2</v>
      </c>
      <c r="M317" s="832"/>
      <c r="N317" s="832"/>
      <c r="O317" s="48">
        <f>IF(t&lt;Tnet,'2025'!Resal+('2025'!Salim-'2025'!Resal)*(1-EXP(('2025'!Tnet-t)/('2025'!Tau_j))),Resal+(Salim-Resal)*(1-EXP((Tnet-t)/(Tau_j))))*Salcycl</f>
        <v>3.0016987778148034E-2</v>
      </c>
      <c r="P317" s="169">
        <f>(INDEX(Models!$BJ317:$BT317,,T317)*(1-R317)+INDEX(Models!$BJ317:$BT317,,T317+1)*R317-ERP_i)*Q317*Ramure*Pc/MaxiM</f>
        <v>8.6295243198633391E-6</v>
      </c>
      <c r="Q317" s="304">
        <f t="shared" si="105"/>
        <v>0.6</v>
      </c>
      <c r="R317" s="177">
        <f t="shared" si="106"/>
        <v>0.97283096490774312</v>
      </c>
      <c r="S317" s="799">
        <f t="shared" si="107"/>
        <v>-2</v>
      </c>
      <c r="T317" s="176">
        <f t="shared" si="108"/>
        <v>4</v>
      </c>
      <c r="U317" s="250">
        <f t="shared" si="109"/>
        <v>-1.0271690350922569</v>
      </c>
      <c r="V317" s="382">
        <f t="shared" si="110"/>
        <v>34.988801048712858</v>
      </c>
      <c r="W317" s="400">
        <f t="shared" si="111"/>
        <v>26.595265864309116</v>
      </c>
      <c r="X317" s="157">
        <f t="shared" si="112"/>
        <v>46325</v>
      </c>
      <c r="Y317" s="383">
        <f t="shared" si="113"/>
        <v>25.755974574091006</v>
      </c>
      <c r="Z317" s="383">
        <f t="shared" si="114"/>
        <v>27.19095229163074</v>
      </c>
      <c r="AA317" s="384">
        <f t="shared" si="115"/>
        <v>28.94253100456606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6.0519196218844391E-2</v>
      </c>
      <c r="AD317" s="230">
        <f>(INDEX(Models!$BJ317:$BT317,,AH317)*(1-AF317)+INDEX(Models!$BJ317:$BT317,,AH317+1)*AF317-ERP_i)*AE317*Ramure*Pc/MaxiM</f>
        <v>1.8423233064946006E-4</v>
      </c>
      <c r="AE317" s="304">
        <f t="shared" si="117"/>
        <v>0.6</v>
      </c>
      <c r="AF317" s="177">
        <f t="shared" si="118"/>
        <v>0.49781853128172182</v>
      </c>
      <c r="AG317" s="799">
        <f t="shared" si="124"/>
        <v>2</v>
      </c>
      <c r="AH317" s="176">
        <f t="shared" si="119"/>
        <v>8</v>
      </c>
      <c r="AI317" s="224">
        <f t="shared" si="120"/>
        <v>2.4978185312817218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46326</v>
      </c>
      <c r="B318" s="409">
        <f>IF(t&gt;Tmaj,'2025'!Wh/'2025'!Env_an*'2026'!Env_an,0.001*'[12]mon-tableau (1)'!$B$272)</f>
        <v>25.033772943924429</v>
      </c>
      <c r="C318" s="829"/>
      <c r="D318" s="391">
        <f t="shared" si="102"/>
        <v>26.429020163804253</v>
      </c>
      <c r="E318" s="383">
        <f t="shared" si="125"/>
        <v>27.249162672982077</v>
      </c>
      <c r="F318" s="383">
        <f t="shared" si="103"/>
        <v>27.249303744793863</v>
      </c>
      <c r="G318" s="110">
        <f t="shared" si="126"/>
        <v>0.72183758896447436</v>
      </c>
      <c r="H318" s="412" t="b">
        <f>Wh_hp&gt;='2025'!Maxi_hp</f>
        <v>0</v>
      </c>
      <c r="I318" s="388">
        <f>IF(H318,Wh_hp,'2025'!Maxi_hp)</f>
        <v>35.917509171902125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5.2792241681009378E-2</v>
      </c>
      <c r="M318" s="832"/>
      <c r="N318" s="832"/>
      <c r="O318" s="48">
        <f>IF(t&lt;Tnet,'2025'!Resal+('2025'!Salim-'2025'!Resal)*(1-EXP(('2025'!Tnet-t)/('2025'!Tau_j))),Resal+(Salim-Resal)*(1-EXP((Tnet-t)/(Tau_j))))*Salcycl</f>
        <v>3.0097897649934351E-2</v>
      </c>
      <c r="P318" s="169">
        <f>(INDEX(Models!$BJ318:$BT318,,T318)*(1-R318)+INDEX(Models!$BJ318:$BT318,,T318+1)*R318-ERP_i)*Q318*Ramure*Pc/MaxiM</f>
        <v>8.5908287330207124E-6</v>
      </c>
      <c r="Q318" s="304">
        <f t="shared" si="105"/>
        <v>0.6</v>
      </c>
      <c r="R318" s="177">
        <f t="shared" si="106"/>
        <v>0.97288954687360407</v>
      </c>
      <c r="S318" s="799">
        <f t="shared" si="107"/>
        <v>-2</v>
      </c>
      <c r="T318" s="176">
        <f t="shared" si="108"/>
        <v>4</v>
      </c>
      <c r="U318" s="250">
        <f t="shared" si="109"/>
        <v>-1.0271104531263959</v>
      </c>
      <c r="V318" s="382">
        <f t="shared" si="110"/>
        <v>34.680498587461116</v>
      </c>
      <c r="W318" s="400">
        <f t="shared" si="111"/>
        <v>25.033772943924429</v>
      </c>
      <c r="X318" s="157">
        <f t="shared" si="112"/>
        <v>46326</v>
      </c>
      <c r="Y318" s="383">
        <f t="shared" si="113"/>
        <v>24.245263113696709</v>
      </c>
      <c r="Z318" s="383">
        <f t="shared" si="114"/>
        <v>25.596563056794182</v>
      </c>
      <c r="AA318" s="384">
        <f t="shared" si="115"/>
        <v>27.246149744446519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6.0543845758924811E-2</v>
      </c>
      <c r="AD318" s="230">
        <f>(INDEX(Models!$BJ318:$BT318,,AH318)*(1-AF318)+INDEX(Models!$BJ318:$BT318,,AH318+1)*AF318-ERP_i)*AE318*Ramure*Pc/MaxiM</f>
        <v>1.9206868094617639E-4</v>
      </c>
      <c r="AE318" s="304">
        <f t="shared" si="117"/>
        <v>0.6</v>
      </c>
      <c r="AF318" s="177">
        <f t="shared" si="118"/>
        <v>0.49787711324758277</v>
      </c>
      <c r="AG318" s="799">
        <f t="shared" si="124"/>
        <v>2</v>
      </c>
      <c r="AH318" s="176">
        <f t="shared" si="119"/>
        <v>8</v>
      </c>
      <c r="AI318" s="224">
        <f t="shared" si="120"/>
        <v>2.4978771132475828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46327</v>
      </c>
      <c r="B319" s="409">
        <f>IF(t&gt;Tmaj,'2025'!Wh/'2025'!Env_an*'2026'!Env_an,0.001*'[13]mon-tableau (3)'!$B$235)</f>
        <v>19.811904336892528</v>
      </c>
      <c r="C319" s="829"/>
      <c r="D319" s="391">
        <f t="shared" si="102"/>
        <v>20.916513680121248</v>
      </c>
      <c r="E319" s="383">
        <f t="shared" si="125"/>
        <v>21.567385093007683</v>
      </c>
      <c r="F319" s="383">
        <f t="shared" si="103"/>
        <v>21.567457952252884</v>
      </c>
      <c r="G319" s="110">
        <f t="shared" si="126"/>
        <v>0.57635925233970897</v>
      </c>
      <c r="H319" s="412" t="b">
        <f>Wh_hp&gt;='2025'!Maxi_hp</f>
        <v>0</v>
      </c>
      <c r="I319" s="388">
        <f>IF(H319,Wh_hp,'2025'!Maxi_hp)</f>
        <v>33.217100495865481</v>
      </c>
      <c r="J319" s="85">
        <f>IF(H319,An,'2025'!An_max)</f>
        <v>2020</v>
      </c>
      <c r="K319" s="197">
        <f t="shared" si="104"/>
        <v>46327</v>
      </c>
      <c r="L319" s="147">
        <f>IF(t&lt;Tvie,1-EXP((T0-t)*PertePVj)+'2025'!Pspv,1-EXP((T0-t)*PertePVj)+Pspv)</f>
        <v>5.2810394701604757E-2</v>
      </c>
      <c r="M319" s="832"/>
      <c r="N319" s="832"/>
      <c r="O319" s="48">
        <f>IF(t&lt;Tnet,'2025'!Resal+('2025'!Salim-'2025'!Resal)*(1-EXP(('2025'!Tnet-t)/('2025'!Tau_j))),Resal+(Salim-Resal)*(1-EXP((Tnet-t)/(Tau_j))))*Salcycl</f>
        <v>3.0178503795411583E-2</v>
      </c>
      <c r="P319" s="169">
        <f>(INDEX(Models!$BJ319:$BT319,,T319)*(1-R319)+INDEX(Models!$BJ319:$BT319,,T319+1)*R319-ERP_i)*Q319*Ramure*Pc/MaxiM</f>
        <v>8.5566752248481304E-6</v>
      </c>
      <c r="Q319" s="304">
        <f t="shared" si="105"/>
        <v>0.6</v>
      </c>
      <c r="R319" s="177">
        <f t="shared" si="106"/>
        <v>0.97294578308574575</v>
      </c>
      <c r="S319" s="799">
        <f t="shared" si="107"/>
        <v>-2</v>
      </c>
      <c r="T319" s="176">
        <f t="shared" si="108"/>
        <v>4</v>
      </c>
      <c r="U319" s="250">
        <f t="shared" si="109"/>
        <v>-1.0270542169142542</v>
      </c>
      <c r="V319" s="382">
        <f t="shared" si="110"/>
        <v>34.374049970949315</v>
      </c>
      <c r="W319" s="400">
        <f t="shared" si="111"/>
        <v>19.811904336892528</v>
      </c>
      <c r="X319" s="157">
        <f t="shared" si="112"/>
        <v>46327</v>
      </c>
      <c r="Y319" s="383">
        <f t="shared" si="113"/>
        <v>19.1896266125392</v>
      </c>
      <c r="Z319" s="383">
        <f t="shared" si="114"/>
        <v>20.259540967506553</v>
      </c>
      <c r="AA319" s="384">
        <f t="shared" si="115"/>
        <v>21.565739794170639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6.0568236431061746E-2</v>
      </c>
      <c r="AD319" s="230">
        <f>(INDEX(Models!$BJ319:$BT319,,AH319)*(1-AF319)+INDEX(Models!$BJ319:$BT319,,AH319+1)*AF319-ERP_i)*AE319*Ramure*Pc/MaxiM</f>
        <v>2.0178250069043739E-4</v>
      </c>
      <c r="AE319" s="304">
        <f t="shared" si="117"/>
        <v>0.6</v>
      </c>
      <c r="AF319" s="177">
        <f t="shared" si="118"/>
        <v>0.49793334945972445</v>
      </c>
      <c r="AG319" s="799">
        <f t="shared" si="124"/>
        <v>2</v>
      </c>
      <c r="AH319" s="176">
        <f t="shared" si="119"/>
        <v>8</v>
      </c>
      <c r="AI319" s="224">
        <f t="shared" si="120"/>
        <v>2.4979333494597245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46328</v>
      </c>
      <c r="B320" s="409">
        <f>IF(t&gt;Tmaj,'2025'!Wh/'2025'!Env_an*'2026'!Env_an,0.001*'[13]mon-tableau (3)'!$B$236)</f>
        <v>30.586813899180392</v>
      </c>
      <c r="C320" s="829"/>
      <c r="D320" s="391">
        <f t="shared" si="102"/>
        <v>32.292795369190287</v>
      </c>
      <c r="E320" s="383">
        <f t="shared" si="125"/>
        <v>33.300427575984592</v>
      </c>
      <c r="F320" s="383">
        <f t="shared" si="103"/>
        <v>33.300670065619556</v>
      </c>
      <c r="G320" s="110">
        <f t="shared" si="126"/>
        <v>0.89777191157442771</v>
      </c>
      <c r="H320" s="412" t="b">
        <f>Wh_hp&gt;='2025'!Maxi_hp</f>
        <v>1</v>
      </c>
      <c r="I320" s="388">
        <f>IF(H320,Wh_hp,'2025'!Maxi_hp)</f>
        <v>33.300670065619556</v>
      </c>
      <c r="J320" s="85">
        <f>IF(H320,An,'2025'!An_max)</f>
        <v>2026</v>
      </c>
      <c r="K320" s="197">
        <f t="shared" si="104"/>
        <v>46328</v>
      </c>
      <c r="L320" s="147">
        <f>IF(t&lt;Tvie,1-EXP((T0-t)*PertePVj)+'2025'!Pspv,1-EXP((T0-t)*PertePVj)+Pspv)</f>
        <v>5.2828547374301649E-2</v>
      </c>
      <c r="M320" s="832"/>
      <c r="N320" s="832"/>
      <c r="O320" s="48">
        <f>IF(t&lt;Tnet,'2025'!Resal+('2025'!Salim-'2025'!Resal)*(1-EXP(('2025'!Tnet-t)/('2025'!Tau_j))),Resal+(Salim-Resal)*(1-EXP((Tnet-t)/(Tau_j))))*Salcycl</f>
        <v>3.02588369021719E-2</v>
      </c>
      <c r="P320" s="169">
        <f>(INDEX(Models!$BJ320:$BT320,,T320)*(1-R320)+INDEX(Models!$BJ320:$BT320,,T320+1)*R320-ERP_i)*Q320*Ramure*Pc/MaxiM</f>
        <v>8.5271112847037234E-6</v>
      </c>
      <c r="Q320" s="304">
        <f t="shared" si="105"/>
        <v>0.6</v>
      </c>
      <c r="R320" s="177">
        <f t="shared" si="106"/>
        <v>0.97299976697510004</v>
      </c>
      <c r="S320" s="799">
        <f t="shared" si="107"/>
        <v>-2</v>
      </c>
      <c r="T320" s="176">
        <f t="shared" si="108"/>
        <v>4</v>
      </c>
      <c r="U320" s="250">
        <f t="shared" si="109"/>
        <v>-1.0270002330249</v>
      </c>
      <c r="V320" s="382">
        <f t="shared" si="110"/>
        <v>34.069651116515239</v>
      </c>
      <c r="W320" s="400">
        <f t="shared" si="111"/>
        <v>30.586813899180392</v>
      </c>
      <c r="X320" s="157">
        <f t="shared" si="112"/>
        <v>46328</v>
      </c>
      <c r="Y320" s="383">
        <f t="shared" si="113"/>
        <v>29.624872406344661</v>
      </c>
      <c r="Z320" s="383">
        <f t="shared" si="114"/>
        <v>31.277201529058086</v>
      </c>
      <c r="AA320" s="384">
        <f t="shared" si="115"/>
        <v>33.294602385788544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6.0592429768483051E-2</v>
      </c>
      <c r="AD320" s="230">
        <f>(INDEX(Models!$BJ320:$BT320,,AH320)*(1-AF320)+INDEX(Models!$BJ320:$BT320,,AH320+1)*AF320-ERP_i)*AE320*Ramure*Pc/MaxiM</f>
        <v>2.133690422121656E-4</v>
      </c>
      <c r="AE320" s="304">
        <f t="shared" si="117"/>
        <v>0.6</v>
      </c>
      <c r="AF320" s="177">
        <f t="shared" si="118"/>
        <v>0.49798733334907874</v>
      </c>
      <c r="AG320" s="799">
        <f t="shared" si="124"/>
        <v>2</v>
      </c>
      <c r="AH320" s="176">
        <f t="shared" si="119"/>
        <v>8</v>
      </c>
      <c r="AI320" s="224">
        <f t="shared" si="120"/>
        <v>2.4979873333490787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46329</v>
      </c>
      <c r="B321" s="409">
        <f>IF(t&gt;Tmaj,'2025'!Wh/'2025'!Env_an*'2026'!Env_an,0.001*'[13]mon-tableau (3)'!$B$237)</f>
        <v>9.6712599340029524</v>
      </c>
      <c r="C321" s="829"/>
      <c r="D321" s="391">
        <f t="shared" si="102"/>
        <v>10.210870754428633</v>
      </c>
      <c r="E321" s="383">
        <f t="shared" si="125"/>
        <v>10.53035029865101</v>
      </c>
      <c r="F321" s="383">
        <f t="shared" si="103"/>
        <v>10.53035029865101</v>
      </c>
      <c r="G321" s="110">
        <f t="shared" si="126"/>
        <v>0.28640492534110806</v>
      </c>
      <c r="H321" s="412" t="b">
        <f>Wh_hp&gt;='2025'!Maxi_hp</f>
        <v>0</v>
      </c>
      <c r="I321" s="388">
        <f>IF(H321,Wh_hp,'2025'!Maxi_hp)</f>
        <v>31.680473871325951</v>
      </c>
      <c r="J321" s="85">
        <f>IF(H321,An,'2025'!An_max)</f>
        <v>2020</v>
      </c>
      <c r="K321" s="197">
        <f t="shared" si="104"/>
        <v>46329</v>
      </c>
      <c r="L321" s="147">
        <f>IF(t&lt;Tvie,1-EXP((T0-t)*PertePVj)+'2025'!Pspv,1-EXP((T0-t)*PertePVj)+Pspv)</f>
        <v>5.2846699699106714E-2</v>
      </c>
      <c r="M321" s="832"/>
      <c r="N321" s="832"/>
      <c r="O321" s="48">
        <f>IF(t&lt;Tnet,'2025'!Resal+('2025'!Salim-'2025'!Resal)*(1-EXP(('2025'!Tnet-t)/('2025'!Tau_j))),Resal+(Salim-Resal)*(1-EXP((Tnet-t)/(Tau_j))))*Salcycl</f>
        <v>3.0338928446027511E-2</v>
      </c>
      <c r="P321" s="169">
        <f>(INDEX(Models!$BJ321:$BT321,,T321)*(1-R321)+INDEX(Models!$BJ321:$BT321,,T321+1)*R321-ERP_i)*Q321*Ramure*Pc/MaxiM</f>
        <v>8.5021849451772921E-6</v>
      </c>
      <c r="Q321" s="304">
        <f t="shared" si="105"/>
        <v>0.6</v>
      </c>
      <c r="R321" s="177">
        <f t="shared" si="106"/>
        <v>0.9730515882904931</v>
      </c>
      <c r="S321" s="799">
        <f t="shared" si="107"/>
        <v>-2</v>
      </c>
      <c r="T321" s="176">
        <f t="shared" si="108"/>
        <v>4</v>
      </c>
      <c r="U321" s="250">
        <f t="shared" si="109"/>
        <v>-1.0269484117095069</v>
      </c>
      <c r="V321" s="382">
        <f t="shared" si="110"/>
        <v>33.767497872615053</v>
      </c>
      <c r="W321" s="400">
        <f t="shared" si="111"/>
        <v>9.6712599340029524</v>
      </c>
      <c r="X321" s="157">
        <f t="shared" si="112"/>
        <v>46329</v>
      </c>
      <c r="Y321" s="383">
        <f t="shared" si="113"/>
        <v>9.3692759105575814</v>
      </c>
      <c r="Z321" s="383">
        <f t="shared" si="114"/>
        <v>9.8920374427045061</v>
      </c>
      <c r="AA321" s="384">
        <f t="shared" si="115"/>
        <v>10.53035029865101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6.0616488325965286E-2</v>
      </c>
      <c r="AD321" s="230">
        <f>(INDEX(Models!$BJ321:$BT321,,AH321)*(1-AF321)+INDEX(Models!$BJ321:$BT321,,AH321+1)*AF321-ERP_i)*AE321*Ramure*Pc/MaxiM</f>
        <v>2.2682290943727292E-4</v>
      </c>
      <c r="AE321" s="304">
        <f t="shared" si="117"/>
        <v>0.6</v>
      </c>
      <c r="AF321" s="177">
        <f t="shared" si="118"/>
        <v>0.49803915466447179</v>
      </c>
      <c r="AG321" s="799">
        <f t="shared" si="124"/>
        <v>2</v>
      </c>
      <c r="AH321" s="176">
        <f t="shared" si="119"/>
        <v>8</v>
      </c>
      <c r="AI321" s="224">
        <f t="shared" si="120"/>
        <v>2.4980391546644718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46330</v>
      </c>
      <c r="B322" s="409">
        <f>IF(t&gt;Tmaj,'2025'!Wh/'2025'!Env_an*'2026'!Env_an,0.001*'[13]mon-tableau (3)'!$B$238)</f>
        <v>17.344877852086562</v>
      </c>
      <c r="C322" s="829"/>
      <c r="D322" s="391">
        <f t="shared" si="102"/>
        <v>18.312991427653827</v>
      </c>
      <c r="E322" s="383">
        <f t="shared" si="125"/>
        <v>18.887527550104448</v>
      </c>
      <c r="F322" s="383">
        <f t="shared" si="103"/>
        <v>18.887577500584257</v>
      </c>
      <c r="G322" s="110">
        <f t="shared" si="126"/>
        <v>0.5182528832037282</v>
      </c>
      <c r="H322" s="412" t="b">
        <f>Wh_hp&gt;='2025'!Maxi_hp</f>
        <v>1</v>
      </c>
      <c r="I322" s="388">
        <f>IF(H322,Wh_hp,'2025'!Maxi_hp)</f>
        <v>18.887577500584257</v>
      </c>
      <c r="J322" s="85">
        <f>IF(H322,An,'2025'!An_max)</f>
        <v>2026</v>
      </c>
      <c r="K322" s="197">
        <f t="shared" si="104"/>
        <v>46330</v>
      </c>
      <c r="L322" s="147">
        <f>IF(t&lt;Tvie,1-EXP((T0-t)*PertePVj)+'2025'!Pspv,1-EXP((T0-t)*PertePVj)+Pspv)</f>
        <v>5.2864851676026503E-2</v>
      </c>
      <c r="M322" s="832"/>
      <c r="N322" s="832"/>
      <c r="O322" s="48">
        <f>IF(t&lt;Tnet,'2025'!Resal+('2025'!Salim-'2025'!Resal)*(1-EXP(('2025'!Tnet-t)/('2025'!Tau_j))),Resal+(Salim-Resal)*(1-EXP((Tnet-t)/(Tau_j))))*Salcycl</f>
        <v>3.0418810557734575E-2</v>
      </c>
      <c r="P322" s="169">
        <f>(INDEX(Models!$BJ322:$BT322,,T322)*(1-R322)+INDEX(Models!$BJ322:$BT322,,T322+1)*R322-ERP_i)*Q322*Ramure*Pc/MaxiM</f>
        <v>8.4819446783255577E-6</v>
      </c>
      <c r="Q322" s="304">
        <f t="shared" si="105"/>
        <v>0.6</v>
      </c>
      <c r="R322" s="177">
        <f t="shared" si="106"/>
        <v>0.9731013332406655</v>
      </c>
      <c r="S322" s="799">
        <f t="shared" si="107"/>
        <v>-2</v>
      </c>
      <c r="T322" s="176">
        <f t="shared" si="108"/>
        <v>4</v>
      </c>
      <c r="U322" s="250">
        <f t="shared" si="109"/>
        <v>-1.0268986667593345</v>
      </c>
      <c r="V322" s="382">
        <f t="shared" si="110"/>
        <v>33.467786029335706</v>
      </c>
      <c r="W322" s="400">
        <f t="shared" si="111"/>
        <v>17.344877852086562</v>
      </c>
      <c r="X322" s="157">
        <f t="shared" si="112"/>
        <v>46330</v>
      </c>
      <c r="Y322" s="383">
        <f t="shared" si="113"/>
        <v>16.803017007480477</v>
      </c>
      <c r="Z322" s="383">
        <f t="shared" si="114"/>
        <v>17.740886332024182</v>
      </c>
      <c r="AA322" s="384">
        <f t="shared" si="115"/>
        <v>18.886151540026866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6.064047540736054E-2</v>
      </c>
      <c r="AD322" s="230">
        <f>(INDEX(Models!$BJ322:$BT322,,AH322)*(1-AF322)+INDEX(Models!$BJ322:$BT322,,AH322+1)*AF322-ERP_i)*AE322*Ramure*Pc/MaxiM</f>
        <v>2.4213818580611876E-4</v>
      </c>
      <c r="AE322" s="304">
        <f t="shared" si="117"/>
        <v>0.6</v>
      </c>
      <c r="AF322" s="177">
        <f t="shared" si="118"/>
        <v>0.4980888996146442</v>
      </c>
      <c r="AG322" s="799">
        <f t="shared" si="124"/>
        <v>2</v>
      </c>
      <c r="AH322" s="176">
        <f t="shared" si="119"/>
        <v>8</v>
      </c>
      <c r="AI322" s="224">
        <f t="shared" si="120"/>
        <v>2.4980888996146442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46331</v>
      </c>
      <c r="B323" s="409">
        <f>IF(t&gt;Tmaj,'2025'!Wh/'2025'!Env_an*'2026'!Env_an,0.001*'[13]mon-tableau (3)'!$B$239)</f>
        <v>32.438779907308671</v>
      </c>
      <c r="C323" s="829"/>
      <c r="D323" s="391">
        <f t="shared" si="102"/>
        <v>34.250024041915971</v>
      </c>
      <c r="E323" s="383">
        <f t="shared" si="125"/>
        <v>35.327459114867267</v>
      </c>
      <c r="F323" s="383">
        <f t="shared" si="103"/>
        <v>35.32774878678736</v>
      </c>
      <c r="G323" s="110">
        <f t="shared" si="126"/>
        <v>0.97793414611595975</v>
      </c>
      <c r="H323" s="412" t="b">
        <f>Wh_hp&gt;='2025'!Maxi_hp</f>
        <v>1</v>
      </c>
      <c r="I323" s="388">
        <f>IF(H323,Wh_hp,'2025'!Maxi_hp)</f>
        <v>35.32774878678736</v>
      </c>
      <c r="J323" s="85">
        <f>IF(H323,An,'2025'!An_max)</f>
        <v>2026</v>
      </c>
      <c r="K323" s="197">
        <f t="shared" si="104"/>
        <v>46331</v>
      </c>
      <c r="L323" s="147">
        <f>IF(t&lt;Tvie,1-EXP((T0-t)*PertePVj)+'2025'!Pspv,1-EXP((T0-t)*PertePVj)+Pspv)</f>
        <v>5.2883003305067899E-2</v>
      </c>
      <c r="M323" s="832"/>
      <c r="N323" s="832"/>
      <c r="O323" s="48">
        <f>IF(t&lt;Tnet,'2025'!Resal+('2025'!Salim-'2025'!Resal)*(1-EXP(('2025'!Tnet-t)/('2025'!Tau_j))),Resal+(Salim-Resal)*(1-EXP((Tnet-t)/(Tau_j))))*Salcycl</f>
        <v>3.0498515883862865E-2</v>
      </c>
      <c r="P323" s="169">
        <f>(INDEX(Models!$BJ323:$BT323,,T323)*(1-R323)+INDEX(Models!$BJ323:$BT323,,T323+1)*R323-ERP_i)*Q323*Ramure*Pc/MaxiM</f>
        <v>8.466439288186366E-6</v>
      </c>
      <c r="Q323" s="304">
        <f t="shared" si="105"/>
        <v>0.6</v>
      </c>
      <c r="R323" s="177">
        <f t="shared" si="106"/>
        <v>0.97314908463105487</v>
      </c>
      <c r="S323" s="799">
        <f t="shared" si="107"/>
        <v>-2</v>
      </c>
      <c r="T323" s="176">
        <f t="shared" si="108"/>
        <v>4</v>
      </c>
      <c r="U323" s="250">
        <f t="shared" si="109"/>
        <v>-1.0268509153689451</v>
      </c>
      <c r="V323" s="382">
        <f t="shared" si="110"/>
        <v>33.170711319127186</v>
      </c>
      <c r="W323" s="400">
        <f t="shared" si="111"/>
        <v>32.438779907308671</v>
      </c>
      <c r="X323" s="157">
        <f t="shared" si="112"/>
        <v>46331</v>
      </c>
      <c r="Y323" s="383">
        <f t="shared" si="113"/>
        <v>31.421815232264944</v>
      </c>
      <c r="Z323" s="383">
        <f t="shared" si="114"/>
        <v>33.176276364920902</v>
      </c>
      <c r="AA323" s="384">
        <f t="shared" si="115"/>
        <v>35.318876767655532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6.0664454785175702E-2</v>
      </c>
      <c r="AD323" s="230">
        <f>(INDEX(Models!$BJ323:$BT323,,AH323)*(1-AF323)+INDEX(Models!$BJ323:$BT323,,AH323+1)*AF323-ERP_i)*AE323*Ramure*Pc/MaxiM</f>
        <v>2.5930856990833106E-4</v>
      </c>
      <c r="AE323" s="304">
        <f t="shared" si="117"/>
        <v>0.6</v>
      </c>
      <c r="AF323" s="177">
        <f t="shared" si="118"/>
        <v>0.49813665100503357</v>
      </c>
      <c r="AG323" s="799">
        <f t="shared" si="124"/>
        <v>2</v>
      </c>
      <c r="AH323" s="176">
        <f t="shared" si="119"/>
        <v>8</v>
      </c>
      <c r="AI323" s="224">
        <f t="shared" si="120"/>
        <v>2.4981366510050336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46332</v>
      </c>
      <c r="B324" s="409">
        <f>IF(t&gt;Tmaj,'2025'!Wh/'2025'!Env_an*'2026'!Env_an,0.001*'[13]mon-tableau (3)'!$B$240)</f>
        <v>33.787130587006558</v>
      </c>
      <c r="C324" s="829"/>
      <c r="D324" s="391">
        <f t="shared" si="102"/>
        <v>35.674344605758492</v>
      </c>
      <c r="E324" s="383">
        <f t="shared" si="125"/>
        <v>36.799605801828413</v>
      </c>
      <c r="F324" s="383">
        <f t="shared" si="103"/>
        <v>36.799919621138891</v>
      </c>
      <c r="G324" s="110">
        <f t="shared" si="126"/>
        <v>1.0276995556652959</v>
      </c>
      <c r="H324" s="412" t="b">
        <f>Wh_hp&gt;='2025'!Maxi_hp</f>
        <v>1</v>
      </c>
      <c r="I324" s="388">
        <f>IF(H324,Wh_hp,'2025'!Maxi_hp)</f>
        <v>36.799919621138891</v>
      </c>
      <c r="J324" s="85">
        <f>IF(H324,An,'2025'!An_max)</f>
        <v>2026</v>
      </c>
      <c r="K324" s="197">
        <f t="shared" si="104"/>
        <v>46332</v>
      </c>
      <c r="L324" s="147">
        <f>IF(t&lt;Tvie,1-EXP((T0-t)*PertePVj)+'2025'!Pspv,1-EXP((T0-t)*PertePVj)+Pspv)</f>
        <v>5.2901154586237453E-2</v>
      </c>
      <c r="M324" s="832"/>
      <c r="N324" s="832"/>
      <c r="O324" s="48">
        <f>IF(t&lt;Tnet,'2025'!Resal+('2025'!Salim-'2025'!Resal)*(1-EXP(('2025'!Tnet-t)/('2025'!Tau_j))),Resal+(Salim-Resal)*(1-EXP((Tnet-t)/(Tau_j))))*Salcycl</f>
        <v>3.0578077442721216E-2</v>
      </c>
      <c r="P324" s="169">
        <f>(INDEX(Models!$BJ324:$BT324,,T324)*(1-R324)+INDEX(Models!$BJ324:$BT324,,T324+1)*R324-ERP_i)*Q324*Ramure*Pc/MaxiM</f>
        <v>8.5277172806632333E-6</v>
      </c>
      <c r="Q324" s="304">
        <f t="shared" si="105"/>
        <v>0.6</v>
      </c>
      <c r="R324" s="177">
        <f t="shared" si="106"/>
        <v>0.97319492199552404</v>
      </c>
      <c r="S324" s="799">
        <f t="shared" si="107"/>
        <v>-2</v>
      </c>
      <c r="T324" s="176">
        <f t="shared" si="108"/>
        <v>4</v>
      </c>
      <c r="U324" s="250">
        <f t="shared" si="109"/>
        <v>-1.026805078004476</v>
      </c>
      <c r="V324" s="382">
        <f t="shared" si="110"/>
        <v>32.876467057664506</v>
      </c>
      <c r="W324" s="400">
        <f t="shared" si="111"/>
        <v>33.787130587006558</v>
      </c>
      <c r="X324" s="157">
        <f t="shared" si="112"/>
        <v>46332</v>
      </c>
      <c r="Y324" s="383">
        <f t="shared" si="113"/>
        <v>32.728777172718132</v>
      </c>
      <c r="Z324" s="383">
        <f t="shared" si="114"/>
        <v>34.556875801511289</v>
      </c>
      <c r="AA324" s="384">
        <f t="shared" si="115"/>
        <v>36.789579866582812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6.0688490414090433E-2</v>
      </c>
      <c r="AD324" s="230">
        <f>(INDEX(Models!$BJ324:$BT324,,AH324)*(1-AF324)+INDEX(Models!$BJ324:$BT324,,AH324+1)*AF324-ERP_i)*AE324*Ramure*Pc/MaxiM</f>
        <v>2.8097220489955104E-4</v>
      </c>
      <c r="AE324" s="304">
        <f t="shared" si="117"/>
        <v>0.6</v>
      </c>
      <c r="AF324" s="177">
        <f t="shared" si="118"/>
        <v>0.49818248836950296</v>
      </c>
      <c r="AG324" s="799">
        <f t="shared" si="124"/>
        <v>2</v>
      </c>
      <c r="AH324" s="176">
        <f t="shared" si="119"/>
        <v>8</v>
      </c>
      <c r="AI324" s="224">
        <f t="shared" si="120"/>
        <v>2.498182488369503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46333</v>
      </c>
      <c r="B325" s="409">
        <f>IF(t&gt;Tmaj,'2025'!Wh/'2025'!Env_an*'2026'!Env_an,0.001*'[13]mon-tableau (3)'!$B$241)</f>
        <v>32.334975486380984</v>
      </c>
      <c r="C325" s="829"/>
      <c r="D325" s="391">
        <f t="shared" si="102"/>
        <v>34.141732246077552</v>
      </c>
      <c r="E325" s="383">
        <f t="shared" si="125"/>
        <v>35.221537536068652</v>
      </c>
      <c r="F325" s="383">
        <f t="shared" si="103"/>
        <v>35.221840033598205</v>
      </c>
      <c r="G325" s="110">
        <f t="shared" si="126"/>
        <v>0.99231934778769926</v>
      </c>
      <c r="H325" s="412" t="b">
        <f>Wh_hp&gt;='2025'!Maxi_hp</f>
        <v>1</v>
      </c>
      <c r="I325" s="388">
        <f>IF(H325,Wh_hp,'2025'!Maxi_hp)</f>
        <v>35.221840033598205</v>
      </c>
      <c r="J325" s="85">
        <f>IF(H325,An,'2025'!An_max)</f>
        <v>2026</v>
      </c>
      <c r="K325" s="197">
        <f t="shared" si="104"/>
        <v>46333</v>
      </c>
      <c r="L325" s="147">
        <f>IF(t&lt;Tvie,1-EXP((T0-t)*PertePVj)+'2025'!Pspv,1-EXP((T0-t)*PertePVj)+Pspv)</f>
        <v>5.2919305519541826E-2</v>
      </c>
      <c r="M325" s="832"/>
      <c r="N325" s="832"/>
      <c r="O325" s="48">
        <f>IF(t&lt;Tnet,'2025'!Resal+('2025'!Salim-'2025'!Resal)*(1-EXP(('2025'!Tnet-t)/('2025'!Tau_j))),Resal+(Salim-Resal)*(1-EXP((Tnet-t)/(Tau_j))))*Salcycl</f>
        <v>3.0657528476300117E-2</v>
      </c>
      <c r="P325" s="169">
        <f>(INDEX(Models!$BJ325:$BT325,,T325)*(1-R325)+INDEX(Models!$BJ325:$BT325,,T325+1)*R325-ERP_i)*Q325*Ramure*Pc/MaxiM</f>
        <v>8.6836298699816841E-6</v>
      </c>
      <c r="Q325" s="304">
        <f t="shared" si="105"/>
        <v>0.6</v>
      </c>
      <c r="R325" s="177">
        <f t="shared" si="106"/>
        <v>0.97323892172319515</v>
      </c>
      <c r="S325" s="799">
        <f t="shared" si="107"/>
        <v>-2</v>
      </c>
      <c r="T325" s="176">
        <f t="shared" si="108"/>
        <v>4</v>
      </c>
      <c r="U325" s="250">
        <f t="shared" si="109"/>
        <v>-1.0267610782768049</v>
      </c>
      <c r="V325" s="382">
        <f t="shared" si="110"/>
        <v>32.58524836546529</v>
      </c>
      <c r="W325" s="400">
        <f t="shared" si="111"/>
        <v>32.334975486380984</v>
      </c>
      <c r="X325" s="157">
        <f t="shared" si="112"/>
        <v>46333</v>
      </c>
      <c r="Y325" s="383">
        <f t="shared" si="113"/>
        <v>31.323171714996565</v>
      </c>
      <c r="Z325" s="383">
        <f t="shared" si="114"/>
        <v>33.073392687177069</v>
      </c>
      <c r="AA325" s="384">
        <f t="shared" si="115"/>
        <v>35.211155086113884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6.0712646140367012E-2</v>
      </c>
      <c r="AD325" s="230">
        <f>(INDEX(Models!$BJ325:$BT325,,AH325)*(1-AF325)+INDEX(Models!$BJ325:$BT325,,AH325+1)*AF325-ERP_i)*AE325*Ramure*Pc/MaxiM</f>
        <v>3.0672689879729359E-4</v>
      </c>
      <c r="AE325" s="304">
        <f t="shared" si="117"/>
        <v>0.6</v>
      </c>
      <c r="AF325" s="177">
        <f t="shared" si="118"/>
        <v>0.49822648809717407</v>
      </c>
      <c r="AG325" s="799">
        <f t="shared" si="124"/>
        <v>2</v>
      </c>
      <c r="AH325" s="176">
        <f t="shared" si="119"/>
        <v>8</v>
      </c>
      <c r="AI325" s="224">
        <f t="shared" si="120"/>
        <v>2.4982264880971741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46334</v>
      </c>
      <c r="B326" s="409">
        <f>IF(t&gt;Tmaj,'2025'!Wh/'2025'!Env_an*'2026'!Env_an,0.001*'[13]mon-tableau (3)'!$B$242)</f>
        <v>23.958137818729547</v>
      </c>
      <c r="C326" s="829"/>
      <c r="D326" s="391">
        <f t="shared" si="102"/>
        <v>25.297313227272408</v>
      </c>
      <c r="E326" s="383">
        <f t="shared" si="125"/>
        <v>26.099531992171585</v>
      </c>
      <c r="F326" s="383">
        <f t="shared" si="103"/>
        <v>26.099679158232163</v>
      </c>
      <c r="G326" s="110">
        <f t="shared" si="126"/>
        <v>0.74179870363907274</v>
      </c>
      <c r="H326" s="412" t="b">
        <f>Wh_hp&gt;='2025'!Maxi_hp</f>
        <v>0</v>
      </c>
      <c r="I326" s="388">
        <f>IF(H326,Wh_hp,'2025'!Maxi_hp)</f>
        <v>28.580031803596686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5.293745610498779E-2</v>
      </c>
      <c r="M326" s="832"/>
      <c r="N326" s="832"/>
      <c r="O326" s="48">
        <f>IF(t&lt;Tnet,'2025'!Resal+('2025'!Salim-'2025'!Resal)*(1-EXP(('2025'!Tnet-t)/('2025'!Tau_j))),Resal+(Salim-Resal)*(1-EXP((Tnet-t)/(Tau_j))))*Salcycl</f>
        <v>3.0736902299236517E-2</v>
      </c>
      <c r="P326" s="169">
        <f>(INDEX(Models!$BJ326:$BT326,,T326)*(1-R326)+INDEX(Models!$BJ326:$BT326,,T326+1)*R326-ERP_i)*Q326*Ramure*Pc/MaxiM</f>
        <v>8.9339536673461181E-6</v>
      </c>
      <c r="Q326" s="304">
        <f t="shared" si="105"/>
        <v>0.6</v>
      </c>
      <c r="R326" s="177">
        <f t="shared" si="106"/>
        <v>0.9732811571805613</v>
      </c>
      <c r="S326" s="799">
        <f t="shared" si="107"/>
        <v>-2</v>
      </c>
      <c r="T326" s="176">
        <f t="shared" si="108"/>
        <v>4</v>
      </c>
      <c r="U326" s="250">
        <f t="shared" si="109"/>
        <v>-1.0267188428194387</v>
      </c>
      <c r="V326" s="382">
        <f t="shared" si="110"/>
        <v>32.297250926148919</v>
      </c>
      <c r="W326" s="400">
        <f t="shared" si="111"/>
        <v>23.958137818729547</v>
      </c>
      <c r="X326" s="157">
        <f t="shared" si="112"/>
        <v>46334</v>
      </c>
      <c r="Y326" s="383">
        <f t="shared" si="113"/>
        <v>23.211798368861679</v>
      </c>
      <c r="Z326" s="383">
        <f t="shared" si="114"/>
        <v>24.509256034345764</v>
      </c>
      <c r="AA326" s="384">
        <f t="shared" si="115"/>
        <v>26.094135139583202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6.0736985409157028E-2</v>
      </c>
      <c r="AD326" s="230">
        <f>(INDEX(Models!$BJ326:$BT326,,AH326)*(1-AF326)+INDEX(Models!$BJ326:$BT326,,AH326+1)*AF326-ERP_i)*AE326*Ramure*Pc/MaxiM</f>
        <v>3.3655861647659377E-4</v>
      </c>
      <c r="AE326" s="304">
        <f t="shared" si="117"/>
        <v>0.6</v>
      </c>
      <c r="AF326" s="177">
        <f t="shared" si="118"/>
        <v>0.49826872355453977</v>
      </c>
      <c r="AG326" s="799">
        <f t="shared" si="124"/>
        <v>2</v>
      </c>
      <c r="AH326" s="176">
        <f t="shared" si="119"/>
        <v>8</v>
      </c>
      <c r="AI326" s="224">
        <f t="shared" si="120"/>
        <v>2.4982687235545398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46335</v>
      </c>
      <c r="B327" s="409">
        <f>IF(t&gt;Tmaj,'2025'!Wh/'2025'!Env_an*'2026'!Env_an,0.001*'[13]mon-tableau (3)'!$B$243)</f>
        <v>10.694527723094929</v>
      </c>
      <c r="C327" s="829"/>
      <c r="D327" s="391">
        <f t="shared" si="102"/>
        <v>11.292530524143036</v>
      </c>
      <c r="E327" s="383">
        <f t="shared" si="125"/>
        <v>11.651588582777743</v>
      </c>
      <c r="F327" s="383">
        <f t="shared" si="103"/>
        <v>11.651593844846278</v>
      </c>
      <c r="G327" s="110">
        <f t="shared" si="126"/>
        <v>0.33406876702539945</v>
      </c>
      <c r="H327" s="412" t="b">
        <f>Wh_hp&gt;='2025'!Maxi_hp</f>
        <v>0</v>
      </c>
      <c r="I327" s="388">
        <f>IF(H327,Wh_hp,'2025'!Maxi_hp)</f>
        <v>26.22479613054475</v>
      </c>
      <c r="J327" s="85">
        <f>IF(H327,An,'2025'!An_max)</f>
        <v>2020</v>
      </c>
      <c r="K327" s="197">
        <f t="shared" si="104"/>
        <v>46335</v>
      </c>
      <c r="L327" s="147">
        <f>IF(t&lt;Tvie,1-EXP((T0-t)*PertePVj)+'2025'!Pspv,1-EXP((T0-t)*PertePVj)+Pspv)</f>
        <v>5.2955606342581785E-2</v>
      </c>
      <c r="M327" s="832"/>
      <c r="N327" s="832"/>
      <c r="O327" s="48">
        <f>IF(t&lt;Tnet,'2025'!Resal+('2025'!Salim-'2025'!Resal)*(1-EXP(('2025'!Tnet-t)/('2025'!Tau_j))),Resal+(Salim-Resal)*(1-EXP((Tnet-t)/(Tau_j))))*Salcycl</f>
        <v>3.0816232145840713E-2</v>
      </c>
      <c r="P327" s="169">
        <f>(INDEX(Models!$BJ327:$BT327,,T327)*(1-R327)+INDEX(Models!$BJ327:$BT327,,T327+1)*R327-ERP_i)*Q327*Ramure*Pc/MaxiM</f>
        <v>9.2784450048940265E-6</v>
      </c>
      <c r="Q327" s="304">
        <f t="shared" si="105"/>
        <v>0.6</v>
      </c>
      <c r="R327" s="177">
        <f t="shared" si="106"/>
        <v>0.97332169882903075</v>
      </c>
      <c r="S327" s="799">
        <f t="shared" si="107"/>
        <v>-2</v>
      </c>
      <c r="T327" s="176">
        <f t="shared" si="108"/>
        <v>4</v>
      </c>
      <c r="U327" s="250">
        <f t="shared" si="109"/>
        <v>-1.0266783011709693</v>
      </c>
      <c r="V327" s="382">
        <f t="shared" si="110"/>
        <v>32.01267038379612</v>
      </c>
      <c r="W327" s="400">
        <f t="shared" si="111"/>
        <v>10.694527723094929</v>
      </c>
      <c r="X327" s="157">
        <f t="shared" si="112"/>
        <v>46335</v>
      </c>
      <c r="Y327" s="383">
        <f t="shared" si="113"/>
        <v>10.363911537931667</v>
      </c>
      <c r="Z327" s="383">
        <f t="shared" si="114"/>
        <v>10.943427369763498</v>
      </c>
      <c r="AA327" s="384">
        <f t="shared" si="115"/>
        <v>11.651383750434547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6.0761570971743589E-2</v>
      </c>
      <c r="AD327" s="230">
        <f>(INDEX(Models!$BJ327:$BT327,,AH327)*(1-AF327)+INDEX(Models!$BJ327:$BT327,,AH327+1)*AF327-ERP_i)*AE327*Ramure*Pc/MaxiM</f>
        <v>3.7045307035808467E-4</v>
      </c>
      <c r="AE327" s="304">
        <f t="shared" si="117"/>
        <v>0.6</v>
      </c>
      <c r="AF327" s="177">
        <f t="shared" si="118"/>
        <v>0.49830926520300967</v>
      </c>
      <c r="AG327" s="799">
        <f t="shared" si="124"/>
        <v>2</v>
      </c>
      <c r="AH327" s="176">
        <f t="shared" si="119"/>
        <v>8</v>
      </c>
      <c r="AI327" s="224">
        <f t="shared" si="120"/>
        <v>2.4983092652030097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46336</v>
      </c>
      <c r="B328" s="409">
        <f>IF(t&gt;Tmaj,'2025'!Wh/'2025'!Env_an*'2026'!Env_an,0.001*'[13]mon-tableau (3)'!$B$244)</f>
        <v>20.06092589376221</v>
      </c>
      <c r="C328" s="829"/>
      <c r="D328" s="391">
        <f t="shared" si="102"/>
        <v>21.183072830116508</v>
      </c>
      <c r="E328" s="383">
        <f t="shared" si="125"/>
        <v>21.858400146991539</v>
      </c>
      <c r="F328" s="383">
        <f t="shared" si="103"/>
        <v>21.858500945297919</v>
      </c>
      <c r="G328" s="110">
        <f t="shared" si="126"/>
        <v>0.6322012998968658</v>
      </c>
      <c r="H328" s="412" t="b">
        <f>Wh_hp&gt;='2025'!Maxi_hp</f>
        <v>1</v>
      </c>
      <c r="I328" s="388">
        <f>IF(H328,Wh_hp,'2025'!Maxi_hp)</f>
        <v>21.858500945297919</v>
      </c>
      <c r="J328" s="85">
        <f>IF(H328,An,'2025'!An_max)</f>
        <v>2026</v>
      </c>
      <c r="K328" s="197">
        <f t="shared" si="104"/>
        <v>46336</v>
      </c>
      <c r="L328" s="147">
        <f>IF(t&lt;Tvie,1-EXP((T0-t)*PertePVj)+'2025'!Pspv,1-EXP((T0-t)*PertePVj)+Pspv)</f>
        <v>5.2973756232330693E-2</v>
      </c>
      <c r="M328" s="832"/>
      <c r="N328" s="832"/>
      <c r="O328" s="48">
        <f>IF(t&lt;Tnet,'2025'!Resal+('2025'!Salim-'2025'!Resal)*(1-EXP(('2025'!Tnet-t)/('2025'!Tau_j))),Resal+(Salim-Resal)*(1-EXP((Tnet-t)/(Tau_j))))*Salcycl</f>
        <v>3.0895551016252219E-2</v>
      </c>
      <c r="P328" s="169">
        <f>(INDEX(Models!$BJ328:$BT328,,T328)*(1-R328)+INDEX(Models!$BJ328:$BT328,,T328+1)*R328-ERP_i)*Q328*Ramure*Pc/MaxiM</f>
        <v>9.7168467499670922E-6</v>
      </c>
      <c r="Q328" s="304">
        <f t="shared" si="105"/>
        <v>0.6</v>
      </c>
      <c r="R328" s="177">
        <f t="shared" si="106"/>
        <v>0.97336061433806598</v>
      </c>
      <c r="S328" s="799">
        <f t="shared" si="107"/>
        <v>-2</v>
      </c>
      <c r="T328" s="176">
        <f t="shared" si="108"/>
        <v>4</v>
      </c>
      <c r="U328" s="250">
        <f t="shared" si="109"/>
        <v>-1.026639385661934</v>
      </c>
      <c r="V328" s="382">
        <f t="shared" si="110"/>
        <v>31.731702349532501</v>
      </c>
      <c r="W328" s="400">
        <f t="shared" si="111"/>
        <v>20.06092589376221</v>
      </c>
      <c r="X328" s="157">
        <f t="shared" si="112"/>
        <v>46336</v>
      </c>
      <c r="Y328" s="383">
        <f t="shared" si="113"/>
        <v>19.438491117726663</v>
      </c>
      <c r="Z328" s="383">
        <f t="shared" si="114"/>
        <v>20.525820953379451</v>
      </c>
      <c r="AA328" s="384">
        <f t="shared" si="115"/>
        <v>21.854264424035968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6.0786464594775193E-2</v>
      </c>
      <c r="AD328" s="230">
        <f>(INDEX(Models!$BJ328:$BT328,,AH328)*(1-AF328)+INDEX(Models!$BJ328:$BT328,,AH328+1)*AF328-ERP_i)*AE328*Ramure*Pc/MaxiM</f>
        <v>4.083960270041667E-4</v>
      </c>
      <c r="AE328" s="304">
        <f t="shared" si="117"/>
        <v>0.6</v>
      </c>
      <c r="AF328" s="177">
        <f t="shared" si="118"/>
        <v>0.49834818071204445</v>
      </c>
      <c r="AG328" s="799">
        <f t="shared" si="124"/>
        <v>2</v>
      </c>
      <c r="AH328" s="176">
        <f t="shared" si="119"/>
        <v>8</v>
      </c>
      <c r="AI328" s="224">
        <f t="shared" si="120"/>
        <v>2.4983481807120445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46337</v>
      </c>
      <c r="B329" s="409">
        <f>IF(t&gt;Tmaj,'2025'!Wh/'2025'!Env_an*'2026'!Env_an,0.001*'[13]mon-tableau (3)'!$B$245)</f>
        <v>31.649852252343731</v>
      </c>
      <c r="C329" s="829"/>
      <c r="D329" s="391">
        <f t="shared" si="102"/>
        <v>33.420888844904283</v>
      </c>
      <c r="E329" s="383">
        <f t="shared" si="125"/>
        <v>34.489187692385713</v>
      </c>
      <c r="F329" s="383">
        <f t="shared" si="103"/>
        <v>34.489541172073224</v>
      </c>
      <c r="G329" s="110">
        <f t="shared" si="126"/>
        <v>1.0062092732884731</v>
      </c>
      <c r="H329" s="412" t="b">
        <f>Wh_hp&gt;='2025'!Maxi_hp</f>
        <v>1</v>
      </c>
      <c r="I329" s="388">
        <f>IF(H329,Wh_hp,'2025'!Maxi_hp)</f>
        <v>34.489541172073224</v>
      </c>
      <c r="J329" s="85">
        <f>IF(H329,An,'2025'!An_max)</f>
        <v>2026</v>
      </c>
      <c r="K329" s="197">
        <f t="shared" si="104"/>
        <v>46337</v>
      </c>
      <c r="L329" s="147">
        <f>IF(t&lt;Tvie,1-EXP((T0-t)*PertePVj)+'2025'!Pspv,1-EXP((T0-t)*PertePVj)+Pspv)</f>
        <v>5.2991905774241066E-2</v>
      </c>
      <c r="M329" s="832"/>
      <c r="N329" s="832"/>
      <c r="O329" s="48">
        <f>IF(t&lt;Tnet,'2025'!Resal+('2025'!Salim-'2025'!Resal)*(1-EXP(('2025'!Tnet-t)/('2025'!Tau_j))),Resal+(Salim-Resal)*(1-EXP((Tnet-t)/(Tau_j))))*Salcycl</f>
        <v>3.0974891522808468E-2</v>
      </c>
      <c r="P329" s="169">
        <f>(INDEX(Models!$BJ329:$BT329,,T329)*(1-R329)+INDEX(Models!$BJ329:$BT329,,T329+1)*R329-ERP_i)*Q329*Ramure*Pc/MaxiM</f>
        <v>1.0248895041708213E-5</v>
      </c>
      <c r="Q329" s="304">
        <f t="shared" si="105"/>
        <v>0.6</v>
      </c>
      <c r="R329" s="177">
        <f t="shared" si="106"/>
        <v>0.97339796869406303</v>
      </c>
      <c r="S329" s="799">
        <f t="shared" si="107"/>
        <v>-2</v>
      </c>
      <c r="T329" s="176">
        <f t="shared" si="108"/>
        <v>4</v>
      </c>
      <c r="U329" s="250">
        <f t="shared" si="109"/>
        <v>-1.026602031305937</v>
      </c>
      <c r="V329" s="382">
        <f t="shared" si="110"/>
        <v>31.454542402403344</v>
      </c>
      <c r="W329" s="400">
        <f t="shared" si="111"/>
        <v>31.649852252343731</v>
      </c>
      <c r="X329" s="157">
        <f t="shared" si="112"/>
        <v>46337</v>
      </c>
      <c r="Y329" s="383">
        <f t="shared" si="113"/>
        <v>30.661834155750238</v>
      </c>
      <c r="Z329" s="383">
        <f t="shared" si="114"/>
        <v>32.377584038305706</v>
      </c>
      <c r="AA329" s="384">
        <f t="shared" si="115"/>
        <v>34.474007993175789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6.0811726773546945E-2</v>
      </c>
      <c r="AD329" s="230">
        <f>(INDEX(Models!$BJ329:$BT329,,AH329)*(1-AF329)+INDEX(Models!$BJ329:$BT329,,AH329+1)*AF329-ERP_i)*AE329*Ramure*Pc/MaxiM</f>
        <v>4.5037360224471407E-4</v>
      </c>
      <c r="AE329" s="304">
        <f t="shared" si="117"/>
        <v>0.6</v>
      </c>
      <c r="AF329" s="177">
        <f t="shared" si="118"/>
        <v>0.49838553506804173</v>
      </c>
      <c r="AG329" s="799">
        <f t="shared" si="124"/>
        <v>2</v>
      </c>
      <c r="AH329" s="176">
        <f t="shared" si="119"/>
        <v>8</v>
      </c>
      <c r="AI329" s="224">
        <f t="shared" si="120"/>
        <v>2.4983855350680417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46338</v>
      </c>
      <c r="B330" s="409">
        <f>IF(t&gt;Tmaj,'2025'!Wh/'2025'!Env_an*'2026'!Env_an,0.001*'[13]mon-tableau (3)'!$B$246)</f>
        <v>30.909696893269661</v>
      </c>
      <c r="C330" s="829"/>
      <c r="D330" s="391">
        <f t="shared" si="102"/>
        <v>32.639942013571876</v>
      </c>
      <c r="E330" s="383">
        <f t="shared" si="125"/>
        <v>33.686037858604593</v>
      </c>
      <c r="F330" s="383">
        <f t="shared" si="103"/>
        <v>33.686399615793086</v>
      </c>
      <c r="G330" s="110">
        <f t="shared" si="126"/>
        <v>0.99128668037569168</v>
      </c>
      <c r="H330" s="412" t="b">
        <f>Wh_hp&gt;='2025'!Maxi_hp</f>
        <v>1</v>
      </c>
      <c r="I330" s="388">
        <f>IF(H330,Wh_hp,'2025'!Maxi_hp)</f>
        <v>33.686399615793086</v>
      </c>
      <c r="J330" s="85">
        <f>IF(H330,An,'2025'!An_max)</f>
        <v>2026</v>
      </c>
      <c r="K330" s="197">
        <f t="shared" si="104"/>
        <v>46338</v>
      </c>
      <c r="L330" s="147">
        <f>IF(t&lt;Tvie,1-EXP((T0-t)*PertePVj)+'2025'!Pspv,1-EXP((T0-t)*PertePVj)+Pspv)</f>
        <v>5.3010054968319675E-2</v>
      </c>
      <c r="M330" s="832"/>
      <c r="N330" s="832"/>
      <c r="O330" s="48">
        <f>IF(t&lt;Tnet,'2025'!Resal+('2025'!Salim-'2025'!Resal)*(1-EXP(('2025'!Tnet-t)/('2025'!Tau_j))),Resal+(Salim-Resal)*(1-EXP((Tnet-t)/(Tau_j))))*Salcycl</f>
        <v>3.105428573771879E-2</v>
      </c>
      <c r="P330" s="169">
        <f>(INDEX(Models!$BJ330:$BT330,,T330)*(1-R330)+INDEX(Models!$BJ330:$BT330,,T330+1)*R330-ERP_i)*Q330*Ramure*Pc/MaxiM</f>
        <v>1.0874325790301557E-5</v>
      </c>
      <c r="Q330" s="304">
        <f t="shared" si="105"/>
        <v>0.6</v>
      </c>
      <c r="R330" s="177">
        <f t="shared" si="106"/>
        <v>0.97343382430512637</v>
      </c>
      <c r="S330" s="799">
        <f t="shared" si="107"/>
        <v>-2</v>
      </c>
      <c r="T330" s="176">
        <f t="shared" si="108"/>
        <v>4</v>
      </c>
      <c r="U330" s="250">
        <f t="shared" si="109"/>
        <v>-1.0265661756948736</v>
      </c>
      <c r="V330" s="382">
        <f t="shared" si="110"/>
        <v>31.181386092730641</v>
      </c>
      <c r="W330" s="400">
        <f t="shared" si="111"/>
        <v>30.909696893269661</v>
      </c>
      <c r="X330" s="157">
        <f t="shared" si="112"/>
        <v>46338</v>
      </c>
      <c r="Y330" s="383">
        <f t="shared" si="113"/>
        <v>29.945240485693454</v>
      </c>
      <c r="Z330" s="383">
        <f t="shared" si="114"/>
        <v>31.621497823497666</v>
      </c>
      <c r="AA330" s="384">
        <f t="shared" si="115"/>
        <v>33.669886745291301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6.0837416451366512E-2</v>
      </c>
      <c r="AD330" s="230">
        <f>(INDEX(Models!$BJ330:$BT330,,AH330)*(1-AF330)+INDEX(Models!$BJ330:$BT330,,AH330+1)*AF330-ERP_i)*AE330*Ramure*Pc/MaxiM</f>
        <v>4.9637253738695885E-4</v>
      </c>
      <c r="AE330" s="304">
        <f t="shared" si="117"/>
        <v>0.6</v>
      </c>
      <c r="AF330" s="177">
        <f t="shared" si="118"/>
        <v>0.49842139067910507</v>
      </c>
      <c r="AG330" s="799">
        <f t="shared" si="124"/>
        <v>2</v>
      </c>
      <c r="AH330" s="176">
        <f t="shared" si="119"/>
        <v>8</v>
      </c>
      <c r="AI330" s="224">
        <f t="shared" si="120"/>
        <v>2.4984213906791051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46339</v>
      </c>
      <c r="B331" s="409">
        <f>IF(t&gt;Tmaj,'2025'!Wh/'2025'!Env_an*'2026'!Env_an,0.001*'[13]mon-tableau (3)'!$B$247)</f>
        <v>29.931099538987606</v>
      </c>
      <c r="C331" s="829"/>
      <c r="D331" s="391">
        <f t="shared" si="102"/>
        <v>31.607171047285114</v>
      </c>
      <c r="E331" s="383">
        <f t="shared" si="125"/>
        <v>32.622842975524172</v>
      </c>
      <c r="F331" s="383">
        <f t="shared" si="103"/>
        <v>32.623204090205185</v>
      </c>
      <c r="G331" s="110">
        <f t="shared" si="126"/>
        <v>0.96832985603768107</v>
      </c>
      <c r="H331" s="412" t="b">
        <f>Wh_hp&gt;='2025'!Maxi_hp</f>
        <v>1</v>
      </c>
      <c r="I331" s="388">
        <f>IF(H331,Wh_hp,'2025'!Maxi_hp)</f>
        <v>32.623204090205185</v>
      </c>
      <c r="J331" s="85">
        <f>IF(H331,An,'2025'!An_max)</f>
        <v>2026</v>
      </c>
      <c r="K331" s="197">
        <f t="shared" si="104"/>
        <v>46339</v>
      </c>
      <c r="L331" s="147">
        <f>IF(t&lt;Tvie,1-EXP((T0-t)*PertePVj)+'2025'!Pspv,1-EXP((T0-t)*PertePVj)+Pspv)</f>
        <v>5.3028203814573072E-2</v>
      </c>
      <c r="M331" s="832"/>
      <c r="N331" s="832"/>
      <c r="O331" s="48">
        <f>IF(t&lt;Tnet,'2025'!Resal+('2025'!Salim-'2025'!Resal)*(1-EXP(('2025'!Tnet-t)/('2025'!Tau_j))),Resal+(Salim-Resal)*(1-EXP((Tnet-t)/(Tau_j))))*Salcycl</f>
        <v>3.113376504313509E-2</v>
      </c>
      <c r="P331" s="169">
        <f>(INDEX(Models!$BJ331:$BT331,,T331)*(1-R331)+INDEX(Models!$BJ331:$BT331,,T331+1)*R331-ERP_i)*Q331*Ramure*Pc/MaxiM</f>
        <v>1.159378865200803E-5</v>
      </c>
      <c r="Q331" s="304">
        <f t="shared" si="105"/>
        <v>0.6</v>
      </c>
      <c r="R331" s="177">
        <f t="shared" si="106"/>
        <v>0.97346824110187691</v>
      </c>
      <c r="S331" s="799">
        <f t="shared" si="107"/>
        <v>-2</v>
      </c>
      <c r="T331" s="176">
        <f t="shared" si="108"/>
        <v>4</v>
      </c>
      <c r="U331" s="250">
        <f t="shared" si="109"/>
        <v>-1.0265317588981231</v>
      </c>
      <c r="V331" s="382">
        <f t="shared" si="110"/>
        <v>30.910008250211995</v>
      </c>
      <c r="W331" s="400">
        <f t="shared" si="111"/>
        <v>29.931099538987606</v>
      </c>
      <c r="X331" s="157">
        <f t="shared" si="112"/>
        <v>46339</v>
      </c>
      <c r="Y331" s="383">
        <f t="shared" si="113"/>
        <v>28.997843672685917</v>
      </c>
      <c r="Z331" s="383">
        <f t="shared" si="114"/>
        <v>30.621655037134641</v>
      </c>
      <c r="AA331" s="384">
        <f t="shared" si="115"/>
        <v>32.606184506776486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6.0863590747007076E-2</v>
      </c>
      <c r="AD331" s="230">
        <f>(INDEX(Models!$BJ331:$BT331,,AH331)*(1-AF331)+INDEX(Models!$BJ331:$BT331,,AH331+1)*AF331-ERP_i)*AE331*Ramure*Pc/MaxiM</f>
        <v>5.4642323780320517E-4</v>
      </c>
      <c r="AE331" s="304">
        <f t="shared" si="117"/>
        <v>0.6</v>
      </c>
      <c r="AF331" s="177">
        <f t="shared" si="118"/>
        <v>0.49845580747585583</v>
      </c>
      <c r="AG331" s="799">
        <f t="shared" si="124"/>
        <v>2</v>
      </c>
      <c r="AH331" s="176">
        <f t="shared" si="119"/>
        <v>8</v>
      </c>
      <c r="AI331" s="224">
        <f t="shared" si="120"/>
        <v>2.4984558074758558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46340</v>
      </c>
      <c r="B332" s="409">
        <f>IF(t&gt;Tmaj,'2025'!Wh/'2025'!Env_an*'2026'!Env_an,0.001*'[13]mon-tableau (3)'!$B$248)</f>
        <v>11.336744919828689</v>
      </c>
      <c r="C332" s="829"/>
      <c r="D332" s="391">
        <f t="shared" si="102"/>
        <v>11.971805534008524</v>
      </c>
      <c r="E332" s="383">
        <f t="shared" si="125"/>
        <v>12.357525423574634</v>
      </c>
      <c r="F332" s="383">
        <f t="shared" si="103"/>
        <v>12.357540863040832</v>
      </c>
      <c r="G332" s="110">
        <f t="shared" si="126"/>
        <v>0.37001042831001041</v>
      </c>
      <c r="H332" s="412" t="b">
        <f>Wh_hp&gt;='2025'!Maxi_hp</f>
        <v>0</v>
      </c>
      <c r="I332" s="388">
        <f>IF(H332,Wh_hp,'2025'!Maxi_hp)</f>
        <v>19.58493615154913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5.3046352313008027E-2</v>
      </c>
      <c r="M332" s="832"/>
      <c r="N332" s="832"/>
      <c r="O332" s="48">
        <f>IF(t&lt;Tnet,'2025'!Resal+('2025'!Salim-'2025'!Resal)*(1-EXP(('2025'!Tnet-t)/('2025'!Tau_j))),Resal+(Salim-Resal)*(1-EXP((Tnet-t)/(Tau_j))))*Salcycl</f>
        <v>3.1213359984699367E-2</v>
      </c>
      <c r="P332" s="169">
        <f>(INDEX(Models!$BJ332:$BT332,,T332)*(1-R332)+INDEX(Models!$BJ332:$BT332,,T332+1)*R332-ERP_i)*Q332*Ramure*Pc/MaxiM</f>
        <v>1.2491360097114766E-5</v>
      </c>
      <c r="Q332" s="304">
        <f t="shared" si="105"/>
        <v>0.6</v>
      </c>
      <c r="R332" s="177">
        <f t="shared" si="106"/>
        <v>0.97350127663443864</v>
      </c>
      <c r="S332" s="799">
        <f t="shared" si="107"/>
        <v>-2</v>
      </c>
      <c r="T332" s="176">
        <f t="shared" si="108"/>
        <v>4</v>
      </c>
      <c r="U332" s="250">
        <f t="shared" si="109"/>
        <v>-1.0264987233655614</v>
      </c>
      <c r="V332" s="382">
        <f t="shared" si="110"/>
        <v>30.638643143580619</v>
      </c>
      <c r="W332" s="400">
        <f t="shared" si="111"/>
        <v>11.336744919828689</v>
      </c>
      <c r="X332" s="157">
        <f t="shared" si="112"/>
        <v>46340</v>
      </c>
      <c r="Y332" s="383">
        <f t="shared" si="113"/>
        <v>10.988816675480956</v>
      </c>
      <c r="Z332" s="383">
        <f t="shared" si="114"/>
        <v>11.604387080953748</v>
      </c>
      <c r="AA332" s="384">
        <f t="shared" si="115"/>
        <v>12.356796164424946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6.089030469219639E-2</v>
      </c>
      <c r="AD332" s="230">
        <f>(INDEX(Models!$BJ332:$BT332,,AH332)*(1-AF332)+INDEX(Models!$BJ332:$BT332,,AH332+1)*AF332-ERP_i)*AE332*Ramure*Pc/MaxiM</f>
        <v>6.0250130767999723E-4</v>
      </c>
      <c r="AE332" s="304">
        <f t="shared" si="117"/>
        <v>0.6</v>
      </c>
      <c r="AF332" s="177">
        <f t="shared" si="118"/>
        <v>0.49848884300841734</v>
      </c>
      <c r="AG332" s="799">
        <f t="shared" si="124"/>
        <v>2</v>
      </c>
      <c r="AH332" s="176">
        <f t="shared" si="119"/>
        <v>8</v>
      </c>
      <c r="AI332" s="224">
        <f t="shared" si="120"/>
        <v>2.4984888430084173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46341</v>
      </c>
      <c r="B333" s="409">
        <f>IF(t&gt;Tmaj,'2025'!Wh/'2025'!Env_an*'2026'!Env_an,0.001*'[13]mon-tableau (3)'!$B$249)</f>
        <v>13.007028361191699</v>
      </c>
      <c r="C333" s="829"/>
      <c r="D333" s="391">
        <f t="shared" si="102"/>
        <v>13.735917987613831</v>
      </c>
      <c r="E333" s="383">
        <f t="shared" si="125"/>
        <v>14.179642975033961</v>
      </c>
      <c r="F333" s="383">
        <f t="shared" si="103"/>
        <v>14.179678177129587</v>
      </c>
      <c r="G333" s="110">
        <f t="shared" si="126"/>
        <v>0.42830635730788197</v>
      </c>
      <c r="H333" s="412" t="b">
        <f>Wh_hp&gt;='2025'!Maxi_hp</f>
        <v>0</v>
      </c>
      <c r="I333" s="388">
        <f>IF(H333,Wh_hp,'2025'!Maxi_hp)</f>
        <v>27.924813714733766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5.3064500463631092E-2</v>
      </c>
      <c r="M333" s="832"/>
      <c r="N333" s="832"/>
      <c r="O333" s="48">
        <f>IF(t&lt;Tnet,'2025'!Resal+('2025'!Salim-'2025'!Resal)*(1-EXP(('2025'!Tnet-t)/('2025'!Tau_j))),Resal+(Salim-Resal)*(1-EXP((Tnet-t)/(Tau_j))))*Salcycl</f>
        <v>3.1293100129629006E-2</v>
      </c>
      <c r="P333" s="169">
        <f>(INDEX(Models!$BJ333:$BT333,,T333)*(1-R333)+INDEX(Models!$BJ333:$BT333,,T333+1)*R333-ERP_i)*Q333*Ramure*Pc/MaxiM</f>
        <v>1.3543657835044811E-5</v>
      </c>
      <c r="Q333" s="304">
        <f t="shared" si="105"/>
        <v>0.6</v>
      </c>
      <c r="R333" s="177">
        <f t="shared" si="106"/>
        <v>0.9735329861657338</v>
      </c>
      <c r="S333" s="799">
        <f t="shared" si="107"/>
        <v>-2</v>
      </c>
      <c r="T333" s="176">
        <f t="shared" si="108"/>
        <v>4</v>
      </c>
      <c r="U333" s="250">
        <f t="shared" si="109"/>
        <v>-1.0264670138342662</v>
      </c>
      <c r="V333" s="382">
        <f t="shared" si="110"/>
        <v>30.368179848540539</v>
      </c>
      <c r="W333" s="400">
        <f t="shared" si="111"/>
        <v>13.007028361191699</v>
      </c>
      <c r="X333" s="157">
        <f t="shared" si="112"/>
        <v>46341</v>
      </c>
      <c r="Y333" s="383">
        <f t="shared" si="113"/>
        <v>12.60775256402394</v>
      </c>
      <c r="Z333" s="383">
        <f t="shared" si="114"/>
        <v>13.314267518956516</v>
      </c>
      <c r="AA333" s="384">
        <f t="shared" si="115"/>
        <v>14.177954644496516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6.091761098102115E-2</v>
      </c>
      <c r="AD333" s="230">
        <f>(INDEX(Models!$BJ333:$BT333,,AH333)*(1-AF333)+INDEX(Models!$BJ333:$BT333,,AH333+1)*AF333-ERP_i)*AE333*Ramure*Pc/MaxiM</f>
        <v>6.6311211971359764E-4</v>
      </c>
      <c r="AE333" s="304">
        <f t="shared" si="117"/>
        <v>0.6</v>
      </c>
      <c r="AF333" s="177">
        <f t="shared" si="118"/>
        <v>0.49852055253971228</v>
      </c>
      <c r="AG333" s="799">
        <f t="shared" si="124"/>
        <v>2</v>
      </c>
      <c r="AH333" s="176">
        <f t="shared" si="119"/>
        <v>8</v>
      </c>
      <c r="AI333" s="224">
        <f t="shared" si="120"/>
        <v>2.4985205525397123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46342</v>
      </c>
      <c r="B334" s="409">
        <f>IF(t&gt;Tmaj,'2025'!Wh/'2025'!Env_an*'2026'!Env_an,0.001*'[13]mon-tableau (3)'!$B$250)</f>
        <v>30.487179356768639</v>
      </c>
      <c r="C334" s="829"/>
      <c r="D334" s="391">
        <f t="shared" si="102"/>
        <v>32.19624109850222</v>
      </c>
      <c r="E334" s="383">
        <f t="shared" si="125"/>
        <v>33.239050286162282</v>
      </c>
      <c r="F334" s="383">
        <f t="shared" si="103"/>
        <v>33.23954058727778</v>
      </c>
      <c r="G334" s="110">
        <f t="shared" si="126"/>
        <v>1.0128797109208914</v>
      </c>
      <c r="H334" s="412" t="b">
        <f>Wh_hp&gt;='2025'!Maxi_hp</f>
        <v>1</v>
      </c>
      <c r="I334" s="388">
        <f>IF(H334,Wh_hp,'2025'!Maxi_hp)</f>
        <v>33.23954058727778</v>
      </c>
      <c r="J334" s="85">
        <f>IF(H334,An,'2025'!An_max)</f>
        <v>2026</v>
      </c>
      <c r="K334" s="197">
        <f t="shared" si="104"/>
        <v>46342</v>
      </c>
      <c r="L334" s="147">
        <f>IF(t&lt;Tvie,1-EXP((T0-t)*PertePVj)+'2025'!Pspv,1-EXP((T0-t)*PertePVj)+Pspv)</f>
        <v>5.308264826644904E-2</v>
      </c>
      <c r="M334" s="832"/>
      <c r="N334" s="832"/>
      <c r="O334" s="48">
        <f>IF(t&lt;Tnet,'2025'!Resal+('2025'!Salim-'2025'!Resal)*(1-EXP(('2025'!Tnet-t)/('2025'!Tau_j))),Resal+(Salim-Resal)*(1-EXP((Tnet-t)/(Tau_j))))*Salcycl</f>
        <v>3.1373013930370772E-2</v>
      </c>
      <c r="P334" s="169">
        <f>(INDEX(Models!$BJ334:$BT334,,T334)*(1-R334)+INDEX(Models!$BJ334:$BT334,,T334+1)*R334-ERP_i)*Q334*Ramure*Pc/MaxiM</f>
        <v>1.4750538269591128E-5</v>
      </c>
      <c r="Q334" s="304">
        <f t="shared" si="105"/>
        <v>0.6</v>
      </c>
      <c r="R334" s="177">
        <f t="shared" si="106"/>
        <v>0.97356342276122332</v>
      </c>
      <c r="S334" s="799">
        <f t="shared" si="107"/>
        <v>-2</v>
      </c>
      <c r="T334" s="176">
        <f t="shared" si="108"/>
        <v>4</v>
      </c>
      <c r="U334" s="250">
        <f t="shared" si="109"/>
        <v>-1.0264365772387767</v>
      </c>
      <c r="V334" s="382">
        <f t="shared" si="110"/>
        <v>30.099506415278338</v>
      </c>
      <c r="W334" s="400">
        <f t="shared" si="111"/>
        <v>30.487179356768639</v>
      </c>
      <c r="X334" s="157">
        <f t="shared" si="112"/>
        <v>46342</v>
      </c>
      <c r="Y334" s="383">
        <f t="shared" si="113"/>
        <v>29.535305283488633</v>
      </c>
      <c r="Z334" s="383">
        <f t="shared" si="114"/>
        <v>31.191006511199138</v>
      </c>
      <c r="AA334" s="384">
        <f t="shared" si="115"/>
        <v>33.215333609765999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6.0945559733040527E-2</v>
      </c>
      <c r="AD334" s="230">
        <f>(INDEX(Models!$BJ334:$BT334,,AH334)*(1-AF334)+INDEX(Models!$BJ334:$BT334,,AH334+1)*AF334-ERP_i)*AE334*Ramure*Pc/MaxiM</f>
        <v>7.2825848625130427E-4</v>
      </c>
      <c r="AE334" s="304">
        <f t="shared" si="117"/>
        <v>0.6</v>
      </c>
      <c r="AF334" s="177">
        <f t="shared" si="118"/>
        <v>0.49855098913520202</v>
      </c>
      <c r="AG334" s="799">
        <f t="shared" si="124"/>
        <v>2</v>
      </c>
      <c r="AH334" s="176">
        <f t="shared" si="119"/>
        <v>8</v>
      </c>
      <c r="AI334" s="224">
        <f t="shared" si="120"/>
        <v>2.498550989135202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46343</v>
      </c>
      <c r="B335" s="409">
        <f>IF(t&gt;Tmaj,'2025'!Wh/'2025'!Env_an*'2026'!Env_an,0.001*'[13]mon-tableau (3)'!$B$251)</f>
        <v>13.704872234298346</v>
      </c>
      <c r="C335" s="829"/>
      <c r="D335" s="391">
        <f t="shared" ref="D335:D379" si="127">Wh/(1-Ppv)</f>
        <v>14.473422485068475</v>
      </c>
      <c r="E335" s="383">
        <f t="shared" si="125"/>
        <v>14.943440438840296</v>
      </c>
      <c r="F335" s="383">
        <f t="shared" ref="F335:F379" si="128">Wh_sa/(1-Pvg*MEDIAN((-Sdif+Wh/Env_an)/Csdif,0,1))</f>
        <v>14.943495257711353</v>
      </c>
      <c r="G335" s="110">
        <f t="shared" si="126"/>
        <v>0.45937274637048237</v>
      </c>
      <c r="H335" s="412" t="b">
        <f>Wh_hp&gt;='2025'!Maxi_hp</f>
        <v>0</v>
      </c>
      <c r="I335" s="388">
        <f>IF(H335,Wh_hp,'2025'!Maxi_hp)</f>
        <v>24.838157791635798</v>
      </c>
      <c r="J335" s="85">
        <f>IF(H335,An,'2025'!An_max)</f>
        <v>2020</v>
      </c>
      <c r="K335" s="197">
        <f t="shared" ref="K335:K379" si="129">t</f>
        <v>46343</v>
      </c>
      <c r="L335" s="147">
        <f>IF(t&lt;Tvie,1-EXP((T0-t)*PertePVj)+'2025'!Pspv,1-EXP((T0-t)*PertePVj)+Pspv)</f>
        <v>5.3100795721468419E-2</v>
      </c>
      <c r="M335" s="832"/>
      <c r="N335" s="832"/>
      <c r="O335" s="48">
        <f>IF(t&lt;Tnet,'2025'!Resal+('2025'!Salim-'2025'!Resal)*(1-EXP(('2025'!Tnet-t)/('2025'!Tau_j))),Resal+(Salim-Resal)*(1-EXP((Tnet-t)/(Tau_j))))*Salcycl</f>
        <v>3.1453128594816158E-2</v>
      </c>
      <c r="P335" s="169">
        <f>(INDEX(Models!$BJ335:$BT335,,T335)*(1-R335)+INDEX(Models!$BJ335:$BT335,,T335+1)*R335-ERP_i)*Q335*Ramure*Pc/MaxiM</f>
        <v>1.6111883166205067E-5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0.97359263737521751</v>
      </c>
      <c r="S335" s="799">
        <f t="shared" ref="S335:S379" si="132">INDEX(Echel_vg,T335)</f>
        <v>-2</v>
      </c>
      <c r="T335" s="176">
        <f t="shared" ref="T335:T379" si="133">MIN(MATCH(Hp_vg,Echel_vg),10)</f>
        <v>4</v>
      </c>
      <c r="U335" s="250">
        <f t="shared" ref="U335:U379" si="134">IF(OR(t&lt;Ttai,Notai),Hdd+PousH*Croivg,Hdtf+PousH*(Croivg-Croi_tai))</f>
        <v>-1.0264073626247825</v>
      </c>
      <c r="V335" s="382">
        <f t="shared" ref="V335:V379" si="135">MaxiM*(1-Ppv)*(1-Pvg)*(1-Psa)</f>
        <v>29.833510598413657</v>
      </c>
      <c r="W335" s="400">
        <f t="shared" ref="W335:W379" si="136">Wh*(A335&gt;Tmaj)</f>
        <v>13.704872234298346</v>
      </c>
      <c r="X335" s="157">
        <f t="shared" ref="X335:X379" si="137">t</f>
        <v>46343</v>
      </c>
      <c r="Y335" s="383">
        <f t="shared" ref="Y335:Y379" si="138">Wh_pvt_s*(1-Ppv)</f>
        <v>13.284785857696864</v>
      </c>
      <c r="Z335" s="383">
        <f t="shared" ref="Z335:Z379" si="139">Wh_sa_s*(1-Psa_s)</f>
        <v>14.029778246375132</v>
      </c>
      <c r="AA335" s="384">
        <f t="shared" ref="AA335:AA379" si="140">Wh_hp*(1-Pvg_s*MEDIAN((-Sdif+Wh/Env_an)/Csdif,0,1))</f>
        <v>14.940780349756606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6.0974198271800041E-2</v>
      </c>
      <c r="AD335" s="230">
        <f>(INDEX(Models!$BJ335:$BT335,,AH335)*(1-AF335)+INDEX(Models!$BJ335:$BT335,,AH335+1)*AF335-ERP_i)*AE335*Ramure*Pc/MaxiM</f>
        <v>7.9794200300996158E-4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0.4985802037491962</v>
      </c>
      <c r="AG335" s="799">
        <f t="shared" si="124"/>
        <v>2</v>
      </c>
      <c r="AH335" s="176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2.4985802037491962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46344</v>
      </c>
      <c r="B336" s="409">
        <f>IF(t&gt;Tmaj,'2025'!Wh/'2025'!Env_an*'2026'!Env_an,0.001*'[13]mon-tableau (3)'!$B$252)</f>
        <v>17.473252210431362</v>
      </c>
      <c r="C336" s="829"/>
      <c r="D336" s="391">
        <f t="shared" si="127"/>
        <v>18.453481647030358</v>
      </c>
      <c r="E336" s="383">
        <f t="shared" si="125"/>
        <v>19.054330815485024</v>
      </c>
      <c r="F336" s="383">
        <f t="shared" si="128"/>
        <v>19.054470394411254</v>
      </c>
      <c r="G336" s="110">
        <f t="shared" si="126"/>
        <v>0.59088380558808362</v>
      </c>
      <c r="H336" s="412" t="b">
        <f>Wh_hp&gt;='2025'!Maxi_hp</f>
        <v>0</v>
      </c>
      <c r="I336" s="388">
        <f>IF(H336,Wh_hp,'2025'!Maxi_hp)</f>
        <v>29.745287536442678</v>
      </c>
      <c r="J336" s="85">
        <f>IF(H336,An,'2025'!An_max)</f>
        <v>2020</v>
      </c>
      <c r="K336" s="197">
        <f t="shared" si="129"/>
        <v>46344</v>
      </c>
      <c r="L336" s="147">
        <f>IF(t&lt;Tvie,1-EXP((T0-t)*PertePVj)+'2025'!Pspv,1-EXP((T0-t)*PertePVj)+Pspv)</f>
        <v>5.3118942828696003E-2</v>
      </c>
      <c r="M336" s="832"/>
      <c r="N336" s="832"/>
      <c r="O336" s="48">
        <f>IF(t&lt;Tnet,'2025'!Resal+('2025'!Salim-'2025'!Resal)*(1-EXP(('2025'!Tnet-t)/('2025'!Tau_j))),Resal+(Salim-Resal)*(1-EXP((Tnet-t)/(Tau_j))))*Salcycl</f>
        <v>3.1533469964023661E-2</v>
      </c>
      <c r="P336" s="169">
        <f>(INDEX(Models!$BJ336:$BT336,,T336)*(1-R336)+INDEX(Models!$BJ336:$BT336,,T336+1)*R336-ERP_i)*Q336*Ramure*Pc/MaxiM</f>
        <v>1.7627567181430178E-5</v>
      </c>
      <c r="Q336" s="304">
        <f t="shared" si="130"/>
        <v>0.6</v>
      </c>
      <c r="R336" s="177">
        <f t="shared" si="131"/>
        <v>0.97362067893388105</v>
      </c>
      <c r="S336" s="799">
        <f t="shared" si="132"/>
        <v>-2</v>
      </c>
      <c r="T336" s="176">
        <f t="shared" si="133"/>
        <v>4</v>
      </c>
      <c r="U336" s="250">
        <f t="shared" si="134"/>
        <v>-1.026379321066119</v>
      </c>
      <c r="V336" s="382">
        <f t="shared" si="135"/>
        <v>29.571079845197456</v>
      </c>
      <c r="W336" s="400">
        <f t="shared" si="136"/>
        <v>17.473252210431362</v>
      </c>
      <c r="X336" s="157">
        <f t="shared" si="137"/>
        <v>46344</v>
      </c>
      <c r="Y336" s="383">
        <f t="shared" si="138"/>
        <v>16.93553108183691</v>
      </c>
      <c r="Z336" s="383">
        <f t="shared" si="139"/>
        <v>17.885594978982706</v>
      </c>
      <c r="AA336" s="384">
        <f t="shared" si="140"/>
        <v>19.047564426323312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6.1003570920321368E-2</v>
      </c>
      <c r="AD336" s="230">
        <f>(INDEX(Models!$BJ336:$BT336,,AH336)*(1-AF336)+INDEX(Models!$BJ336:$BT336,,AH336+1)*AF336-ERP_i)*AE336*Ramure*Pc/MaxiM</f>
        <v>8.7216186361121324E-4</v>
      </c>
      <c r="AE336" s="304">
        <f t="shared" si="142"/>
        <v>0.6</v>
      </c>
      <c r="AF336" s="177">
        <f t="shared" si="143"/>
        <v>0.49860824530785974</v>
      </c>
      <c r="AG336" s="799">
        <f t="shared" ref="AG336:AG379" si="149">INDEX(Echel_vg,AH336)</f>
        <v>2</v>
      </c>
      <c r="AH336" s="176">
        <f t="shared" si="144"/>
        <v>8</v>
      </c>
      <c r="AI336" s="224">
        <f t="shared" si="145"/>
        <v>2.4986082453078597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46345</v>
      </c>
      <c r="B337" s="409">
        <f>IF(t&gt;Tmaj,'2025'!Wh/'2025'!Env_an*'2026'!Env_an,0.001*'[13]mon-tableau (3)'!$B$253)</f>
        <v>6.8948341396398103</v>
      </c>
      <c r="C337" s="829"/>
      <c r="D337" s="391">
        <f t="shared" si="127"/>
        <v>7.2817659914894435</v>
      </c>
      <c r="E337" s="383">
        <f t="shared" si="125"/>
        <v>7.5194875397754242</v>
      </c>
      <c r="F337" s="383">
        <f t="shared" si="128"/>
        <v>7.5194875397754242</v>
      </c>
      <c r="G337" s="110">
        <f t="shared" si="126"/>
        <v>0.23520885815259138</v>
      </c>
      <c r="H337" s="412" t="b">
        <f>Wh_hp&gt;='2025'!Maxi_hp</f>
        <v>0</v>
      </c>
      <c r="I337" s="388">
        <f>IF(H337,Wh_hp,'2025'!Maxi_hp)</f>
        <v>31.924931644225545</v>
      </c>
      <c r="J337" s="85">
        <f>IF(H337,An,'2025'!An_max)</f>
        <v>2020</v>
      </c>
      <c r="K337" s="197">
        <f t="shared" si="129"/>
        <v>46345</v>
      </c>
      <c r="L337" s="147">
        <f>IF(t&lt;Tvie,1-EXP((T0-t)*PertePVj)+'2025'!Pspv,1-EXP((T0-t)*PertePVj)+Pspv)</f>
        <v>5.3137089588138342E-2</v>
      </c>
      <c r="M337" s="832"/>
      <c r="N337" s="832"/>
      <c r="O337" s="48">
        <f>IF(t&lt;Tnet,'2025'!Resal+('2025'!Salim-'2025'!Resal)*(1-EXP(('2025'!Tnet-t)/('2025'!Tau_j))),Resal+(Salim-Resal)*(1-EXP((Tnet-t)/(Tau_j))))*Salcycl</f>
        <v>3.1614062398337472E-2</v>
      </c>
      <c r="P337" s="169">
        <f>(INDEX(Models!$BJ337:$BT337,,T337)*(1-R337)+INDEX(Models!$BJ337:$BT337,,T337+1)*R337-ERP_i)*Q337*Ramure*Pc/MaxiM</f>
        <v>1.9297421437316643E-5</v>
      </c>
      <c r="Q337" s="304">
        <f t="shared" si="130"/>
        <v>0.6</v>
      </c>
      <c r="R337" s="177">
        <f t="shared" si="131"/>
        <v>0.97364759441505155</v>
      </c>
      <c r="S337" s="799">
        <f t="shared" si="132"/>
        <v>-2</v>
      </c>
      <c r="T337" s="176">
        <f t="shared" si="133"/>
        <v>4</v>
      </c>
      <c r="U337" s="250">
        <f t="shared" si="134"/>
        <v>-1.0263524055849484</v>
      </c>
      <c r="V337" s="382">
        <f t="shared" si="135"/>
        <v>29.313101306102809</v>
      </c>
      <c r="W337" s="400">
        <f t="shared" si="136"/>
        <v>6.8948341396398103</v>
      </c>
      <c r="X337" s="157">
        <f t="shared" si="137"/>
        <v>46345</v>
      </c>
      <c r="Y337" s="383">
        <f t="shared" si="138"/>
        <v>6.685368426062289</v>
      </c>
      <c r="Z337" s="383">
        <f t="shared" si="139"/>
        <v>7.0605452516397769</v>
      </c>
      <c r="AA337" s="384">
        <f t="shared" si="140"/>
        <v>7.5194875397754242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6.103371881501312E-2</v>
      </c>
      <c r="AD337" s="230">
        <f>(INDEX(Models!$BJ337:$BT337,,AH337)*(1-AF337)+INDEX(Models!$BJ337:$BT337,,AH337+1)*AF337-ERP_i)*AE337*Ramure*Pc/MaxiM</f>
        <v>9.5091353806079899E-4</v>
      </c>
      <c r="AE337" s="304">
        <f t="shared" si="142"/>
        <v>0.6</v>
      </c>
      <c r="AF337" s="177">
        <f t="shared" si="143"/>
        <v>0.49863516078903025</v>
      </c>
      <c r="AG337" s="799">
        <f t="shared" si="149"/>
        <v>2</v>
      </c>
      <c r="AH337" s="176">
        <f t="shared" si="144"/>
        <v>8</v>
      </c>
      <c r="AI337" s="224">
        <f t="shared" si="145"/>
        <v>2.4986351607890303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46346</v>
      </c>
      <c r="B338" s="409">
        <f>IF(t&gt;Tmaj,'2025'!Wh/'2025'!Env_an*'2026'!Env_an,0.001*'[13]mon-tableau (3)'!$B$254)</f>
        <v>17.738600968124825</v>
      </c>
      <c r="C338" s="829"/>
      <c r="D338" s="391">
        <f t="shared" si="127"/>
        <v>18.734434241557597</v>
      </c>
      <c r="E338" s="383">
        <f t="shared" si="125"/>
        <v>19.347656845252299</v>
      </c>
      <c r="F338" s="383">
        <f t="shared" si="128"/>
        <v>19.347838678817769</v>
      </c>
      <c r="G338" s="110">
        <f t="shared" si="126"/>
        <v>0.6103961156066795</v>
      </c>
      <c r="H338" s="412" t="b">
        <f>Wh_hp&gt;='2025'!Maxi_hp</f>
        <v>0</v>
      </c>
      <c r="I338" s="388">
        <f>IF(H338,Wh_hp,'2025'!Maxi_hp)</f>
        <v>32.554516773217912</v>
      </c>
      <c r="J338" s="85">
        <f>IF(H338,An,'2025'!An_max)</f>
        <v>2018</v>
      </c>
      <c r="K338" s="197">
        <f t="shared" si="129"/>
        <v>46346</v>
      </c>
      <c r="L338" s="147">
        <f>IF(t&lt;Tvie,1-EXP((T0-t)*PertePVj)+'2025'!Pspv,1-EXP((T0-t)*PertePVj)+Pspv)</f>
        <v>5.3155235999802319E-2</v>
      </c>
      <c r="M338" s="832"/>
      <c r="N338" s="832"/>
      <c r="O338" s="48">
        <f>IF(t&lt;Tnet,'2025'!Resal+('2025'!Salim-'2025'!Resal)*(1-EXP(('2025'!Tnet-t)/('2025'!Tau_j))),Resal+(Salim-Resal)*(1-EXP((Tnet-t)/(Tau_j))))*Salcycl</f>
        <v>3.169492867272871E-2</v>
      </c>
      <c r="P338" s="169">
        <f>(INDEX(Models!$BJ338:$BT338,,T338)*(1-R338)+INDEX(Models!$BJ338:$BT338,,T338+1)*R338-ERP_i)*Q338*Ramure*Pc/MaxiM</f>
        <v>2.1194017326220181E-5</v>
      </c>
      <c r="Q338" s="304">
        <f t="shared" si="130"/>
        <v>0.6</v>
      </c>
      <c r="R338" s="177">
        <f t="shared" si="131"/>
        <v>0.97367342892499043</v>
      </c>
      <c r="S338" s="799">
        <f t="shared" si="132"/>
        <v>-2</v>
      </c>
      <c r="T338" s="176">
        <f t="shared" si="133"/>
        <v>4</v>
      </c>
      <c r="U338" s="250">
        <f t="shared" si="134"/>
        <v>-1.0263265710750096</v>
      </c>
      <c r="V338" s="382">
        <f t="shared" si="135"/>
        <v>29.060459708277712</v>
      </c>
      <c r="W338" s="400">
        <f t="shared" si="136"/>
        <v>17.738600968124825</v>
      </c>
      <c r="X338" s="157">
        <f t="shared" si="137"/>
        <v>46346</v>
      </c>
      <c r="Y338" s="383">
        <f t="shared" si="138"/>
        <v>17.192855096551259</v>
      </c>
      <c r="Z338" s="383">
        <f t="shared" si="139"/>
        <v>18.158050559328721</v>
      </c>
      <c r="AA338" s="384">
        <f t="shared" si="140"/>
        <v>19.33897912615231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6.1064679739304746E-2</v>
      </c>
      <c r="AD338" s="230">
        <f>(INDEX(Models!$BJ338:$BT338,,AH338)*(1-AF338)+INDEX(Models!$BJ338:$BT338,,AH338+1)*AF338-ERP_i)*AE338*Ramure*Pc/MaxiM</f>
        <v>1.0326449476363154E-3</v>
      </c>
      <c r="AE338" s="304">
        <f t="shared" si="142"/>
        <v>0.6</v>
      </c>
      <c r="AF338" s="177">
        <f t="shared" si="143"/>
        <v>0.49866099529896912</v>
      </c>
      <c r="AG338" s="799">
        <f t="shared" si="149"/>
        <v>2</v>
      </c>
      <c r="AH338" s="176">
        <f t="shared" si="144"/>
        <v>8</v>
      </c>
      <c r="AI338" s="224">
        <f t="shared" si="145"/>
        <v>2.4986609952989691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46347</v>
      </c>
      <c r="B339" s="409">
        <f>IF(t&gt;Tmaj,'2025'!Wh/'2025'!Env_an*'2026'!Env_an,0.001*'[13]mon-tableau (3)'!$B$255)</f>
        <v>3.1698017113693782</v>
      </c>
      <c r="C339" s="829"/>
      <c r="D339" s="391">
        <f t="shared" si="127"/>
        <v>3.3478164336763663</v>
      </c>
      <c r="E339" s="383">
        <f t="shared" si="125"/>
        <v>3.4576882461710259</v>
      </c>
      <c r="F339" s="383">
        <f t="shared" si="128"/>
        <v>3.4576882461710259</v>
      </c>
      <c r="G339" s="110">
        <f t="shared" si="126"/>
        <v>0.11000635871098337</v>
      </c>
      <c r="H339" s="412" t="b">
        <f>Wh_hp&gt;='2025'!Maxi_hp</f>
        <v>0</v>
      </c>
      <c r="I339" s="388">
        <f>IF(H339,Wh_hp,'2025'!Maxi_hp)</f>
        <v>29.917682231011785</v>
      </c>
      <c r="J339" s="85">
        <f>IF(H339,An,'2025'!An_max)</f>
        <v>2018</v>
      </c>
      <c r="K339" s="197">
        <f t="shared" si="129"/>
        <v>46347</v>
      </c>
      <c r="L339" s="147">
        <f>IF(t&lt;Tvie,1-EXP((T0-t)*PertePVj)+'2025'!Pspv,1-EXP((T0-t)*PertePVj)+Pspv)</f>
        <v>5.3173382063694374E-2</v>
      </c>
      <c r="M339" s="832"/>
      <c r="N339" s="832"/>
      <c r="O339" s="48">
        <f>IF(t&lt;Tnet,'2025'!Resal+('2025'!Salim-'2025'!Resal)*(1-EXP(('2025'!Tnet-t)/('2025'!Tau_j))),Resal+(Salim-Resal)*(1-EXP((Tnet-t)/(Tau_j))))*Salcycl</f>
        <v>3.1776089882114049E-2</v>
      </c>
      <c r="P339" s="169">
        <f>(INDEX(Models!$BJ339:$BT339,,T339)*(1-R339)+INDEX(Models!$BJ339:$BT339,,T339+1)*R339-ERP_i)*Q339*Ramure*Pc/MaxiM</f>
        <v>2.3245727397225222E-5</v>
      </c>
      <c r="Q339" s="304">
        <f t="shared" si="130"/>
        <v>0.6</v>
      </c>
      <c r="R339" s="177">
        <f t="shared" si="131"/>
        <v>0.97369822577217557</v>
      </c>
      <c r="S339" s="799">
        <f t="shared" si="132"/>
        <v>-2</v>
      </c>
      <c r="T339" s="176">
        <f t="shared" si="133"/>
        <v>4</v>
      </c>
      <c r="U339" s="250">
        <f t="shared" si="134"/>
        <v>-1.0263017742278244</v>
      </c>
      <c r="V339" s="382">
        <f t="shared" si="135"/>
        <v>28.814043698606827</v>
      </c>
      <c r="W339" s="400">
        <f t="shared" si="136"/>
        <v>3.1698017113693782</v>
      </c>
      <c r="X339" s="157">
        <f t="shared" si="137"/>
        <v>46347</v>
      </c>
      <c r="Y339" s="383">
        <f t="shared" si="138"/>
        <v>3.0738116752923546</v>
      </c>
      <c r="Z339" s="383">
        <f t="shared" si="139"/>
        <v>3.2464356378066404</v>
      </c>
      <c r="AA339" s="384">
        <f t="shared" si="140"/>
        <v>3.4576882461710259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6.1096487978152043E-2</v>
      </c>
      <c r="AD339" s="230">
        <f>(INDEX(Models!$BJ339:$BT339,,AH339)*(1-AF339)+INDEX(Models!$BJ339:$BT339,,AH339+1)*AF339-ERP_i)*AE339*Ramure*Pc/MaxiM</f>
        <v>1.1147290077211647E-3</v>
      </c>
      <c r="AE339" s="304">
        <f t="shared" si="142"/>
        <v>0.6</v>
      </c>
      <c r="AF339" s="177">
        <f t="shared" si="143"/>
        <v>0.49868579214615405</v>
      </c>
      <c r="AG339" s="799">
        <f t="shared" si="149"/>
        <v>2</v>
      </c>
      <c r="AH339" s="176">
        <f t="shared" si="144"/>
        <v>8</v>
      </c>
      <c r="AI339" s="224">
        <f t="shared" si="145"/>
        <v>2.498685792146154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46348</v>
      </c>
      <c r="B340" s="409">
        <f>IF(t&gt;Tmaj,'2025'!Wh/'2025'!Env_an*'2026'!Env_an,0.001*'[13]mon-tableau (3)'!$B$256)</f>
        <v>8.1219237086991143</v>
      </c>
      <c r="C340" s="829"/>
      <c r="D340" s="391">
        <f t="shared" si="127"/>
        <v>8.5782119055757402</v>
      </c>
      <c r="E340" s="383">
        <f t="shared" si="125"/>
        <v>8.8604853982480876</v>
      </c>
      <c r="F340" s="383">
        <f t="shared" si="128"/>
        <v>8.8604853982480876</v>
      </c>
      <c r="G340" s="110">
        <f t="shared" si="126"/>
        <v>0.28422715768446677</v>
      </c>
      <c r="H340" s="412" t="b">
        <f>Wh_hp&gt;='2025'!Maxi_hp</f>
        <v>0</v>
      </c>
      <c r="I340" s="388">
        <f>IF(H340,Wh_hp,'2025'!Maxi_hp)</f>
        <v>32.069171926586371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5.3191527779821279E-2</v>
      </c>
      <c r="M340" s="832"/>
      <c r="N340" s="832"/>
      <c r="O340" s="48">
        <f>IF(t&lt;Tnet,'2025'!Resal+('2025'!Salim-'2025'!Resal)*(1-EXP(('2025'!Tnet-t)/('2025'!Tau_j))),Resal+(Salim-Resal)*(1-EXP((Tnet-t)/(Tau_j))))*Salcycl</f>
        <v>3.1857565357328976E-2</v>
      </c>
      <c r="P340" s="169">
        <f>(INDEX(Models!$BJ340:$BT340,,T340)*(1-R340)+INDEX(Models!$BJ340:$BT340,,T340+1)*R340-ERP_i)*Q340*Ramure*Pc/MaxiM</f>
        <v>2.5451988904324474E-5</v>
      </c>
      <c r="Q340" s="304">
        <f t="shared" si="130"/>
        <v>0.6</v>
      </c>
      <c r="R340" s="177">
        <f t="shared" si="131"/>
        <v>0.97372202653824425</v>
      </c>
      <c r="S340" s="799">
        <f t="shared" si="132"/>
        <v>-2</v>
      </c>
      <c r="T340" s="176">
        <f t="shared" si="133"/>
        <v>4</v>
      </c>
      <c r="U340" s="250">
        <f t="shared" si="134"/>
        <v>-1.0262779734617558</v>
      </c>
      <c r="V340" s="382">
        <f t="shared" si="135"/>
        <v>28.57473949974646</v>
      </c>
      <c r="W340" s="400">
        <f t="shared" si="136"/>
        <v>8.1219237086991143</v>
      </c>
      <c r="X340" s="157">
        <f t="shared" si="137"/>
        <v>46348</v>
      </c>
      <c r="Y340" s="383">
        <f t="shared" si="138"/>
        <v>7.8763588359091852</v>
      </c>
      <c r="Z340" s="383">
        <f t="shared" si="139"/>
        <v>8.3188512428916574</v>
      </c>
      <c r="AA340" s="384">
        <f t="shared" si="140"/>
        <v>8.8604853982480876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6.1129174194398291E-2</v>
      </c>
      <c r="AD340" s="230">
        <f>(INDEX(Models!$BJ340:$BT340,,AH340)*(1-AF340)+INDEX(Models!$BJ340:$BT340,,AH340+1)*AF340-ERP_i)*AE340*Ramure*Pc/MaxiM</f>
        <v>1.1971450048003617E-3</v>
      </c>
      <c r="AE340" s="304">
        <f t="shared" si="142"/>
        <v>0.6</v>
      </c>
      <c r="AF340" s="177">
        <f t="shared" si="143"/>
        <v>0.49870959291222272</v>
      </c>
      <c r="AG340" s="799">
        <f t="shared" si="149"/>
        <v>2</v>
      </c>
      <c r="AH340" s="176">
        <f t="shared" si="144"/>
        <v>8</v>
      </c>
      <c r="AI340" s="224">
        <f t="shared" si="145"/>
        <v>2.4987095929122227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46349</v>
      </c>
      <c r="B341" s="409">
        <f>IF(t&gt;Tmaj,'2025'!Wh/'2025'!Env_an*'2026'!Env_an,0.001*'[13]mon-tableau (3)'!$B$257)</f>
        <v>13.38780580535442</v>
      </c>
      <c r="C341" s="829"/>
      <c r="D341" s="391">
        <f t="shared" si="127"/>
        <v>14.140201294483493</v>
      </c>
      <c r="E341" s="383">
        <f t="shared" si="125"/>
        <v>14.6067311221501</v>
      </c>
      <c r="F341" s="383">
        <f t="shared" si="128"/>
        <v>14.606831140495654</v>
      </c>
      <c r="G341" s="110">
        <f t="shared" si="126"/>
        <v>0.47233251957299605</v>
      </c>
      <c r="H341" s="412" t="b">
        <f>Wh_hp&gt;='2025'!Maxi_hp</f>
        <v>0</v>
      </c>
      <c r="I341" s="388">
        <f>IF(H341,Wh_hp,'2025'!Maxi_hp)</f>
        <v>32.348955390885784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5.3209673148189585E-2</v>
      </c>
      <c r="M341" s="832"/>
      <c r="N341" s="832"/>
      <c r="O341" s="48">
        <f>IF(t&lt;Tnet,'2025'!Resal+('2025'!Salim-'2025'!Resal)*(1-EXP(('2025'!Tnet-t)/('2025'!Tau_j))),Resal+(Salim-Resal)*(1-EXP((Tnet-t)/(Tau_j))))*Salcycl</f>
        <v>3.1939372592348574E-2</v>
      </c>
      <c r="P341" s="169">
        <f>(INDEX(Models!$BJ341:$BT341,,T341)*(1-R341)+INDEX(Models!$BJ341:$BT341,,T341+1)*R341-ERP_i)*Q341*Ramure*Pc/MaxiM</f>
        <v>2.7811826128118868E-5</v>
      </c>
      <c r="Q341" s="304">
        <f t="shared" si="130"/>
        <v>0.6</v>
      </c>
      <c r="R341" s="177">
        <f t="shared" si="131"/>
        <v>0.97374487114619379</v>
      </c>
      <c r="S341" s="799">
        <f t="shared" si="132"/>
        <v>-2</v>
      </c>
      <c r="T341" s="176">
        <f t="shared" si="133"/>
        <v>4</v>
      </c>
      <c r="U341" s="250">
        <f t="shared" si="134"/>
        <v>-1.0262551288538062</v>
      </c>
      <c r="V341" s="382">
        <f t="shared" si="135"/>
        <v>28.343433027729553</v>
      </c>
      <c r="W341" s="400">
        <f t="shared" si="136"/>
        <v>13.38780580535442</v>
      </c>
      <c r="X341" s="157">
        <f t="shared" si="137"/>
        <v>46349</v>
      </c>
      <c r="Y341" s="383">
        <f t="shared" si="138"/>
        <v>12.979658217959273</v>
      </c>
      <c r="Z341" s="383">
        <f t="shared" si="139"/>
        <v>13.709115788200085</v>
      </c>
      <c r="AA341" s="384">
        <f t="shared" si="140"/>
        <v>14.602228460811668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6.1162765327802467E-2</v>
      </c>
      <c r="AD341" s="230">
        <f>(INDEX(Models!$BJ341:$BT341,,AH341)*(1-AF341)+INDEX(Models!$BJ341:$BT341,,AH341+1)*AF341-ERP_i)*AE341*Ramure*Pc/MaxiM</f>
        <v>1.2798544745596741E-3</v>
      </c>
      <c r="AE341" s="304">
        <f t="shared" si="142"/>
        <v>0.6</v>
      </c>
      <c r="AF341" s="177">
        <f t="shared" si="143"/>
        <v>0.49873243752017249</v>
      </c>
      <c r="AG341" s="799">
        <f t="shared" si="149"/>
        <v>2</v>
      </c>
      <c r="AH341" s="176">
        <f t="shared" si="144"/>
        <v>8</v>
      </c>
      <c r="AI341" s="224">
        <f t="shared" si="145"/>
        <v>2.4987324375201725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46350</v>
      </c>
      <c r="B342" s="409">
        <f>IF(t&gt;Tmaj,'2025'!Wh/'2025'!Env_an*'2026'!Env_an,0.001*'[13]mon-tableau (3)'!$B$258)</f>
        <v>14.355206962139203</v>
      </c>
      <c r="C342" s="829"/>
      <c r="D342" s="391">
        <f t="shared" si="127"/>
        <v>15.162261035568413</v>
      </c>
      <c r="E342" s="383">
        <f t="shared" si="125"/>
        <v>15.663841150772127</v>
      </c>
      <c r="F342" s="383">
        <f t="shared" si="128"/>
        <v>15.663983974859725</v>
      </c>
      <c r="G342" s="110">
        <f t="shared" si="126"/>
        <v>0.51046895561222738</v>
      </c>
      <c r="H342" s="412" t="b">
        <f>Wh_hp&gt;='2025'!Maxi_hp</f>
        <v>0</v>
      </c>
      <c r="I342" s="388">
        <f>IF(H342,Wh_hp,'2025'!Maxi_hp)</f>
        <v>29.959800379951087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5.3227818168806174E-2</v>
      </c>
      <c r="M342" s="832"/>
      <c r="N342" s="832"/>
      <c r="O342" s="48">
        <f>IF(t&lt;Tnet,'2025'!Resal+('2025'!Salim-'2025'!Resal)*(1-EXP(('2025'!Tnet-t)/('2025'!Tau_j))),Resal+(Salim-Resal)*(1-EXP((Tnet-t)/(Tau_j))))*Salcycl</f>
        <v>3.2021527183259742E-2</v>
      </c>
      <c r="P342" s="169">
        <f>(INDEX(Models!$BJ342:$BT342,,T342)*(1-R342)+INDEX(Models!$BJ342:$BT342,,T342+1)*R342-ERP_i)*Q342*Ramure*Pc/MaxiM</f>
        <v>3.0324027727479387E-5</v>
      </c>
      <c r="Q342" s="304">
        <f t="shared" si="130"/>
        <v>0.6</v>
      </c>
      <c r="R342" s="177">
        <f t="shared" si="131"/>
        <v>0.9737667979259419</v>
      </c>
      <c r="S342" s="799">
        <f t="shared" si="132"/>
        <v>-2</v>
      </c>
      <c r="T342" s="176">
        <f t="shared" si="133"/>
        <v>4</v>
      </c>
      <c r="U342" s="250">
        <f t="shared" si="134"/>
        <v>-1.0262332020740581</v>
      </c>
      <c r="V342" s="382">
        <f t="shared" si="135"/>
        <v>28.121009876343567</v>
      </c>
      <c r="W342" s="400">
        <f t="shared" si="136"/>
        <v>14.355206962139203</v>
      </c>
      <c r="X342" s="157">
        <f t="shared" si="137"/>
        <v>46350</v>
      </c>
      <c r="Y342" s="383">
        <f t="shared" si="138"/>
        <v>13.916949636506708</v>
      </c>
      <c r="Z342" s="383">
        <f t="shared" si="139"/>
        <v>14.699364750651336</v>
      </c>
      <c r="AA342" s="384">
        <f t="shared" si="140"/>
        <v>15.657565224547179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6.1197284517366848E-2</v>
      </c>
      <c r="AD342" s="230">
        <f>(INDEX(Models!$BJ342:$BT342,,AH342)*(1-AF342)+INDEX(Models!$BJ342:$BT342,,AH342+1)*AF342-ERP_i)*AE342*Ramure*Pc/MaxiM</f>
        <v>1.3628118738780951E-3</v>
      </c>
      <c r="AE342" s="304">
        <f t="shared" si="142"/>
        <v>0.6</v>
      </c>
      <c r="AF342" s="177">
        <f t="shared" si="143"/>
        <v>0.49875436429992082</v>
      </c>
      <c r="AG342" s="799">
        <f t="shared" si="149"/>
        <v>2</v>
      </c>
      <c r="AH342" s="176">
        <f t="shared" si="144"/>
        <v>8</v>
      </c>
      <c r="AI342" s="224">
        <f t="shared" si="145"/>
        <v>2.4987543642999208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46351</v>
      </c>
      <c r="B343" s="409">
        <f>IF(t&gt;Tmaj,'2025'!Wh/'2025'!Env_an*'2026'!Env_an,0.001*'[13]mon-tableau (3)'!$B$259)</f>
        <v>4.5755408355417551</v>
      </c>
      <c r="C343" s="829"/>
      <c r="D343" s="391">
        <f t="shared" si="127"/>
        <v>4.8328717448886911</v>
      </c>
      <c r="E343" s="383">
        <f t="shared" si="125"/>
        <v>4.9931727773372341</v>
      </c>
      <c r="F343" s="383">
        <f t="shared" si="128"/>
        <v>4.9931727773372341</v>
      </c>
      <c r="G343" s="110">
        <f t="shared" si="126"/>
        <v>0.16394337287015998</v>
      </c>
      <c r="H343" s="412" t="b">
        <f>Wh_hp&gt;='2025'!Maxi_hp</f>
        <v>0</v>
      </c>
      <c r="I343" s="388">
        <f>IF(H343,Wh_hp,'2025'!Maxi_hp)</f>
        <v>29.033907399331543</v>
      </c>
      <c r="J343" s="85">
        <f>IF(H343,An,'2025'!An_max)</f>
        <v>2020</v>
      </c>
      <c r="K343" s="197">
        <f t="shared" si="129"/>
        <v>46351</v>
      </c>
      <c r="L343" s="147">
        <f>IF(t&lt;Tvie,1-EXP((T0-t)*PertePVj)+'2025'!Pspv,1-EXP((T0-t)*PertePVj)+Pspv)</f>
        <v>5.3245962841677485E-2</v>
      </c>
      <c r="M343" s="832"/>
      <c r="N343" s="832"/>
      <c r="O343" s="48">
        <f>IF(t&lt;Tnet,'2025'!Resal+('2025'!Salim-'2025'!Resal)*(1-EXP(('2025'!Tnet-t)/('2025'!Tau_j))),Resal+(Salim-Resal)*(1-EXP((Tnet-t)/(Tau_j))))*Salcycl</f>
        <v>3.2104042779394625E-2</v>
      </c>
      <c r="P343" s="169">
        <f>(INDEX(Models!$BJ343:$BT343,,T343)*(1-R343)+INDEX(Models!$BJ343:$BT343,,T343+1)*R343-ERP_i)*Q343*Ramure*Pc/MaxiM</f>
        <v>3.2987162232026581E-5</v>
      </c>
      <c r="Q343" s="304">
        <f t="shared" si="130"/>
        <v>0.6</v>
      </c>
      <c r="R343" s="177">
        <f t="shared" si="131"/>
        <v>0.97378784367733928</v>
      </c>
      <c r="S343" s="799">
        <f t="shared" si="132"/>
        <v>-2</v>
      </c>
      <c r="T343" s="176">
        <f t="shared" si="133"/>
        <v>4</v>
      </c>
      <c r="U343" s="250">
        <f t="shared" si="134"/>
        <v>-1.0262121563226607</v>
      </c>
      <c r="V343" s="382">
        <f t="shared" si="135"/>
        <v>27.908355313987197</v>
      </c>
      <c r="W343" s="400">
        <f t="shared" si="136"/>
        <v>4.5755408355417551</v>
      </c>
      <c r="X343" s="157">
        <f t="shared" si="137"/>
        <v>46351</v>
      </c>
      <c r="Y343" s="383">
        <f t="shared" si="138"/>
        <v>4.437840504041648</v>
      </c>
      <c r="Z343" s="383">
        <f t="shared" si="139"/>
        <v>4.6874270717258346</v>
      </c>
      <c r="AA343" s="384">
        <f t="shared" si="140"/>
        <v>4.9931727773372341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6.1232751047410737E-2</v>
      </c>
      <c r="AD343" s="230">
        <f>(INDEX(Models!$BJ343:$BT343,,AH343)*(1-AF343)+INDEX(Models!$BJ343:$BT343,,AH343+1)*AF343-ERP_i)*AE343*Ramure*Pc/MaxiM</f>
        <v>1.4459668476027193E-3</v>
      </c>
      <c r="AE343" s="304">
        <f t="shared" si="142"/>
        <v>0.6</v>
      </c>
      <c r="AF343" s="177">
        <f t="shared" si="143"/>
        <v>0.49877541005131798</v>
      </c>
      <c r="AG343" s="799">
        <f t="shared" si="149"/>
        <v>2</v>
      </c>
      <c r="AH343" s="176">
        <f t="shared" si="144"/>
        <v>8</v>
      </c>
      <c r="AI343" s="224">
        <f t="shared" si="145"/>
        <v>2.498775410051318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46352</v>
      </c>
      <c r="B344" s="409">
        <f>IF(t&gt;Tmaj,'2025'!Wh/'2025'!Env_an*'2026'!Env_an,0.001*'[13]mon-tableau (3)'!$B$260)</f>
        <v>10.652420008156357</v>
      </c>
      <c r="C344" s="829"/>
      <c r="D344" s="391">
        <f t="shared" si="127"/>
        <v>11.251733549763346</v>
      </c>
      <c r="E344" s="383">
        <f t="shared" si="125"/>
        <v>11.625936775099529</v>
      </c>
      <c r="F344" s="383">
        <f t="shared" si="128"/>
        <v>11.6259870023407</v>
      </c>
      <c r="G344" s="110">
        <f t="shared" si="126"/>
        <v>0.38446359901787763</v>
      </c>
      <c r="H344" s="412" t="b">
        <f>Wh_hp&gt;='2025'!Maxi_hp</f>
        <v>0</v>
      </c>
      <c r="I344" s="388">
        <f>IF(H344,Wh_hp,'2025'!Maxi_hp)</f>
        <v>28.857430187211506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5.3264107166810293E-2</v>
      </c>
      <c r="M344" s="832"/>
      <c r="N344" s="832"/>
      <c r="O344" s="48">
        <f>IF(t&lt;Tnet,'2025'!Resal+('2025'!Salim-'2025'!Resal)*(1-EXP(('2025'!Tnet-t)/('2025'!Tau_j))),Resal+(Salim-Resal)*(1-EXP((Tnet-t)/(Tau_j))))*Salcycl</f>
        <v>3.2186931046937491E-2</v>
      </c>
      <c r="P344" s="169">
        <f>(INDEX(Models!$BJ344:$BT344,,T344)*(1-R344)+INDEX(Models!$BJ344:$BT344,,T344+1)*R344-ERP_i)*Q344*Ramure*Pc/MaxiM</f>
        <v>3.5799397831765443E-5</v>
      </c>
      <c r="Q344" s="304">
        <f t="shared" si="130"/>
        <v>0.6</v>
      </c>
      <c r="R344" s="177">
        <f t="shared" si="131"/>
        <v>0.9738080437307377</v>
      </c>
      <c r="S344" s="799">
        <f t="shared" si="132"/>
        <v>-2</v>
      </c>
      <c r="T344" s="176">
        <f t="shared" si="133"/>
        <v>4</v>
      </c>
      <c r="U344" s="250">
        <f t="shared" si="134"/>
        <v>-1.0261919562692623</v>
      </c>
      <c r="V344" s="382">
        <f t="shared" si="135"/>
        <v>27.706354268334803</v>
      </c>
      <c r="W344" s="400">
        <f t="shared" si="136"/>
        <v>10.652420008156357</v>
      </c>
      <c r="X344" s="157">
        <f t="shared" si="137"/>
        <v>46352</v>
      </c>
      <c r="Y344" s="383">
        <f t="shared" si="138"/>
        <v>10.330458457153679</v>
      </c>
      <c r="Z344" s="383">
        <f t="shared" si="139"/>
        <v>10.911658188260805</v>
      </c>
      <c r="AA344" s="384">
        <f t="shared" si="140"/>
        <v>11.623841424481098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6.1269180317649115E-2</v>
      </c>
      <c r="AD344" s="230">
        <f>(INDEX(Models!$BJ344:$BT344,,AH344)*(1-AF344)+INDEX(Models!$BJ344:$BT344,,AH344+1)*AF344-ERP_i)*AE344*Ramure*Pc/MaxiM</f>
        <v>1.5292577013027904E-3</v>
      </c>
      <c r="AE344" s="304">
        <f t="shared" si="142"/>
        <v>0.6</v>
      </c>
      <c r="AF344" s="177">
        <f t="shared" si="143"/>
        <v>0.4987956101047164</v>
      </c>
      <c r="AG344" s="799">
        <f t="shared" si="149"/>
        <v>2</v>
      </c>
      <c r="AH344" s="176">
        <f t="shared" si="144"/>
        <v>8</v>
      </c>
      <c r="AI344" s="224">
        <f t="shared" si="145"/>
        <v>2.4987956101047164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46353</v>
      </c>
      <c r="B345" s="409">
        <f>IF(t&gt;Tmaj,'2025'!Wh/'2025'!Env_an*'2026'!Env_an,0.001*'[13]mon-tableau (3)'!$B$261)</f>
        <v>16.567069631294245</v>
      </c>
      <c r="C345" s="829"/>
      <c r="D345" s="391">
        <f t="shared" si="127"/>
        <v>17.499481393812832</v>
      </c>
      <c r="E345" s="383">
        <f t="shared" si="125"/>
        <v>18.083024232139312</v>
      </c>
      <c r="F345" s="383">
        <f t="shared" si="128"/>
        <v>18.083326797687363</v>
      </c>
      <c r="G345" s="110">
        <f t="shared" si="126"/>
        <v>0.60214031488799402</v>
      </c>
      <c r="H345" s="412" t="b">
        <f>Wh_hp&gt;='2025'!Maxi_hp</f>
        <v>0</v>
      </c>
      <c r="I345" s="388">
        <f>IF(H345,Wh_hp,'2025'!Maxi_hp)</f>
        <v>26.802315744867702</v>
      </c>
      <c r="J345" s="85">
        <f>IF(H345,An,'2025'!An_max)</f>
        <v>2020</v>
      </c>
      <c r="K345" s="197">
        <f t="shared" si="129"/>
        <v>46353</v>
      </c>
      <c r="L345" s="147">
        <f>IF(t&lt;Tvie,1-EXP((T0-t)*PertePVj)+'2025'!Pspv,1-EXP((T0-t)*PertePVj)+Pspv)</f>
        <v>5.3282251144211257E-2</v>
      </c>
      <c r="M345" s="832"/>
      <c r="N345" s="832"/>
      <c r="O345" s="48">
        <f>IF(t&lt;Tnet,'2025'!Resal+('2025'!Salim-'2025'!Resal)*(1-EXP(('2025'!Tnet-t)/('2025'!Tau_j))),Resal+(Salim-Resal)*(1-EXP((Tnet-t)/(Tau_j))))*Salcycl</f>
        <v>3.2270201645216837E-2</v>
      </c>
      <c r="P345" s="169">
        <f>(INDEX(Models!$BJ345:$BT345,,T345)*(1-R345)+INDEX(Models!$BJ345:$BT345,,T345+1)*R345-ERP_i)*Q345*Ramure*Pc/MaxiM</f>
        <v>3.8762469594814117E-5</v>
      </c>
      <c r="Q345" s="304">
        <f t="shared" si="130"/>
        <v>0.6</v>
      </c>
      <c r="R345" s="177">
        <f t="shared" si="131"/>
        <v>0.97382743200519828</v>
      </c>
      <c r="S345" s="799">
        <f t="shared" si="132"/>
        <v>-2</v>
      </c>
      <c r="T345" s="176">
        <f t="shared" si="133"/>
        <v>4</v>
      </c>
      <c r="U345" s="250">
        <f t="shared" si="134"/>
        <v>-1.0261725679948017</v>
      </c>
      <c r="V345" s="382">
        <f t="shared" si="135"/>
        <v>27.513030154211304</v>
      </c>
      <c r="W345" s="400">
        <f t="shared" si="136"/>
        <v>16.567069631294245</v>
      </c>
      <c r="X345" s="157">
        <f t="shared" si="137"/>
        <v>46353</v>
      </c>
      <c r="Y345" s="383">
        <f t="shared" si="138"/>
        <v>16.059062244553065</v>
      </c>
      <c r="Z345" s="383">
        <f t="shared" si="139"/>
        <v>16.962882827497623</v>
      </c>
      <c r="AA345" s="384">
        <f t="shared" si="140"/>
        <v>18.070738044420576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6.1306583837343991E-2</v>
      </c>
      <c r="AD345" s="230">
        <f>(INDEX(Models!$BJ345:$BT345,,AH345)*(1-AF345)+INDEX(Models!$BJ345:$BT345,,AH345+1)*AF345-ERP_i)*AE345*Ramure*Pc/MaxiM</f>
        <v>1.6127783512977641E-3</v>
      </c>
      <c r="AE345" s="304">
        <f t="shared" si="142"/>
        <v>0.6</v>
      </c>
      <c r="AF345" s="177">
        <f t="shared" si="143"/>
        <v>0.49881499837917698</v>
      </c>
      <c r="AG345" s="799">
        <f t="shared" si="149"/>
        <v>2</v>
      </c>
      <c r="AH345" s="176">
        <f t="shared" si="144"/>
        <v>8</v>
      </c>
      <c r="AI345" s="224">
        <f t="shared" si="145"/>
        <v>2.498814998379177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46354</v>
      </c>
      <c r="B346" s="409">
        <f>IF(t&gt;Tmaj,'2025'!Wh/'2025'!Env_an*'2026'!Env_an,0.001*'[13]mon-tableau (3)'!$B$262)</f>
        <v>10.284515924396979</v>
      </c>
      <c r="C346" s="829"/>
      <c r="D346" s="391">
        <f t="shared" si="127"/>
        <v>10.863547283238372</v>
      </c>
      <c r="E346" s="383">
        <f t="shared" si="125"/>
        <v>11.226776875392254</v>
      </c>
      <c r="F346" s="383">
        <f t="shared" si="128"/>
        <v>11.22682828817733</v>
      </c>
      <c r="G346" s="110">
        <f t="shared" si="126"/>
        <v>0.37634954074322363</v>
      </c>
      <c r="H346" s="412" t="b">
        <f>Wh_hp&gt;='2025'!Maxi_hp</f>
        <v>0</v>
      </c>
      <c r="I346" s="388">
        <f>IF(H346,Wh_hp,'2025'!Maxi_hp)</f>
        <v>18.703888708428419</v>
      </c>
      <c r="J346" s="85">
        <f>IF(H346,An,'2025'!An_max)</f>
        <v>2020</v>
      </c>
      <c r="K346" s="197">
        <f t="shared" si="129"/>
        <v>46354</v>
      </c>
      <c r="L346" s="147">
        <f>IF(t&lt;Tvie,1-EXP((T0-t)*PertePVj)+'2025'!Pspv,1-EXP((T0-t)*PertePVj)+Pspv)</f>
        <v>5.3300394773887039E-2</v>
      </c>
      <c r="M346" s="832"/>
      <c r="N346" s="832"/>
      <c r="O346" s="48">
        <f>IF(t&lt;Tnet,'2025'!Resal+('2025'!Salim-'2025'!Resal)*(1-EXP(('2025'!Tnet-t)/('2025'!Tau_j))),Resal+(Salim-Resal)*(1-EXP((Tnet-t)/(Tau_j))))*Salcycl</f>
        <v>3.2353862215792152E-2</v>
      </c>
      <c r="P346" s="169">
        <f>(INDEX(Models!$BJ346:$BT346,,T346)*(1-R346)+INDEX(Models!$BJ346:$BT346,,T346+1)*R346-ERP_i)*Q346*Ramure*Pc/MaxiM</f>
        <v>4.1978373082892302E-5</v>
      </c>
      <c r="Q346" s="304">
        <f t="shared" si="130"/>
        <v>0.6</v>
      </c>
      <c r="R346" s="177">
        <f t="shared" si="131"/>
        <v>0.97384604106443295</v>
      </c>
      <c r="S346" s="799">
        <f t="shared" si="132"/>
        <v>-2</v>
      </c>
      <c r="T346" s="176">
        <f t="shared" si="133"/>
        <v>4</v>
      </c>
      <c r="U346" s="250">
        <f t="shared" si="134"/>
        <v>-1.026153958935567</v>
      </c>
      <c r="V346" s="382">
        <f t="shared" si="135"/>
        <v>27.326009944333315</v>
      </c>
      <c r="W346" s="400">
        <f t="shared" si="136"/>
        <v>10.284515924396979</v>
      </c>
      <c r="X346" s="157">
        <f t="shared" si="137"/>
        <v>46354</v>
      </c>
      <c r="Y346" s="383">
        <f t="shared" si="138"/>
        <v>9.974589586711792</v>
      </c>
      <c r="Z346" s="383">
        <f t="shared" si="139"/>
        <v>10.53617169759929</v>
      </c>
      <c r="AA346" s="384">
        <f t="shared" si="140"/>
        <v>11.224753879076003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6.1344969243405503E-2</v>
      </c>
      <c r="AD346" s="230">
        <f>(INDEX(Models!$BJ346:$BT346,,AH346)*(1-AF346)+INDEX(Models!$BJ346:$BT346,,AH346+1)*AF346-ERP_i)*AE346*Ramure*Pc/MaxiM</f>
        <v>1.6937483361781367E-3</v>
      </c>
      <c r="AE346" s="304">
        <f t="shared" si="142"/>
        <v>0.6</v>
      </c>
      <c r="AF346" s="177">
        <f t="shared" si="143"/>
        <v>0.49883360743841143</v>
      </c>
      <c r="AG346" s="799">
        <f t="shared" si="149"/>
        <v>2</v>
      </c>
      <c r="AH346" s="176">
        <f t="shared" si="144"/>
        <v>8</v>
      </c>
      <c r="AI346" s="224">
        <f t="shared" si="145"/>
        <v>2.4988336074384114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46355</v>
      </c>
      <c r="B347" s="409">
        <f>IF(t&gt;Tmaj,'2025'!Wh/'2025'!Env_an*'2026'!Env_an,0.001*'[13]mon-tableau (3)'!$B$263)</f>
        <v>15.300242757429922</v>
      </c>
      <c r="C347" s="829"/>
      <c r="D347" s="391">
        <f t="shared" si="127"/>
        <v>16.161975672375085</v>
      </c>
      <c r="E347" s="383">
        <f t="shared" si="125"/>
        <v>16.703812581604506</v>
      </c>
      <c r="F347" s="383">
        <f t="shared" si="128"/>
        <v>16.70409797511077</v>
      </c>
      <c r="G347" s="110">
        <f t="shared" si="126"/>
        <v>0.56362046664317211</v>
      </c>
      <c r="H347" s="412" t="b">
        <f>Wh_hp&gt;='2025'!Maxi_hp</f>
        <v>0</v>
      </c>
      <c r="I347" s="388">
        <f>IF(H347,Wh_hp,'2025'!Maxi_hp)</f>
        <v>16.758916593732387</v>
      </c>
      <c r="J347" s="85">
        <f>IF(H347,An,'2025'!An_max)</f>
        <v>2018</v>
      </c>
      <c r="K347" s="197">
        <f t="shared" si="129"/>
        <v>46355</v>
      </c>
      <c r="L347" s="147">
        <f>IF(t&lt;Tvie,1-EXP((T0-t)*PertePVj)+'2025'!Pspv,1-EXP((T0-t)*PertePVj)+Pspv)</f>
        <v>5.3318538055844411E-2</v>
      </c>
      <c r="M347" s="832"/>
      <c r="N347" s="832"/>
      <c r="O347" s="48">
        <f>IF(t&lt;Tnet,'2025'!Resal+('2025'!Salim-'2025'!Resal)*(1-EXP(('2025'!Tnet-t)/('2025'!Tau_j))),Resal+(Salim-Resal)*(1-EXP((Tnet-t)/(Tau_j))))*Salcycl</f>
        <v>3.2437918384341298E-2</v>
      </c>
      <c r="P347" s="169">
        <f>(INDEX(Models!$BJ347:$BT347,,T347)*(1-R347)+INDEX(Models!$BJ347:$BT347,,T347+1)*R347-ERP_i)*Q347*Ramure*Pc/MaxiM</f>
        <v>4.5364247999855726E-5</v>
      </c>
      <c r="Q347" s="304">
        <f t="shared" si="130"/>
        <v>0.6</v>
      </c>
      <c r="R347" s="177">
        <f t="shared" si="131"/>
        <v>0.97386390217056196</v>
      </c>
      <c r="S347" s="799">
        <f t="shared" si="132"/>
        <v>-2</v>
      </c>
      <c r="T347" s="176">
        <f t="shared" si="133"/>
        <v>4</v>
      </c>
      <c r="U347" s="250">
        <f t="shared" si="134"/>
        <v>-1.026136097829438</v>
      </c>
      <c r="V347" s="382">
        <f t="shared" si="135"/>
        <v>27.145589948956147</v>
      </c>
      <c r="W347" s="400">
        <f t="shared" si="136"/>
        <v>15.300242757429922</v>
      </c>
      <c r="X347" s="157">
        <f t="shared" si="137"/>
        <v>46355</v>
      </c>
      <c r="Y347" s="383">
        <f t="shared" si="138"/>
        <v>14.832865122281197</v>
      </c>
      <c r="Z347" s="383">
        <f t="shared" si="139"/>
        <v>15.668274618813843</v>
      </c>
      <c r="AA347" s="384">
        <f t="shared" si="140"/>
        <v>16.692961019343119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6.1384340342130528E-2</v>
      </c>
      <c r="AD347" s="230">
        <f>(INDEX(Models!$BJ347:$BT347,,AH347)*(1-AF347)+INDEX(Models!$BJ347:$BT347,,AH347+1)*AF347-ERP_i)*AE347*Ramure*Pc/MaxiM</f>
        <v>1.7702561982632773E-3</v>
      </c>
      <c r="AE347" s="304">
        <f t="shared" si="142"/>
        <v>0.6</v>
      </c>
      <c r="AF347" s="177">
        <f t="shared" si="143"/>
        <v>0.49885146854454065</v>
      </c>
      <c r="AG347" s="799">
        <f t="shared" si="149"/>
        <v>2</v>
      </c>
      <c r="AH347" s="176">
        <f t="shared" si="144"/>
        <v>8</v>
      </c>
      <c r="AI347" s="224">
        <f t="shared" si="145"/>
        <v>2.4988514685445407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46356</v>
      </c>
      <c r="B348" s="409">
        <f>IF(t&gt;Tmaj,'2025'!Wh/'2025'!Env_an*'2026'!Env_an,0.001*'[13]mon-tableau (3)'!$B$264)</f>
        <v>3.9199042249285263</v>
      </c>
      <c r="C348" s="829"/>
      <c r="D348" s="391">
        <f t="shared" si="127"/>
        <v>4.1407585423593352</v>
      </c>
      <c r="E348" s="383">
        <f t="shared" si="125"/>
        <v>4.279952765954115</v>
      </c>
      <c r="F348" s="383">
        <f t="shared" si="128"/>
        <v>4.279952765954115</v>
      </c>
      <c r="G348" s="110">
        <f t="shared" si="126"/>
        <v>0.14532489796632939</v>
      </c>
      <c r="H348" s="412" t="b">
        <f>Wh_hp&gt;='2025'!Maxi_hp</f>
        <v>0</v>
      </c>
      <c r="I348" s="388">
        <f>IF(H348,Wh_hp,'2025'!Maxi_hp)</f>
        <v>27.894604255922708</v>
      </c>
      <c r="J348" s="85">
        <f>IF(H348,An,'2025'!An_max)</f>
        <v>2020</v>
      </c>
      <c r="K348" s="197">
        <f t="shared" si="129"/>
        <v>46356</v>
      </c>
      <c r="L348" s="147">
        <f>IF(t&lt;Tvie,1-EXP((T0-t)*PertePVj)+'2025'!Pspv,1-EXP((T0-t)*PertePVj)+Pspv)</f>
        <v>5.3336680990089813E-2</v>
      </c>
      <c r="M348" s="832"/>
      <c r="N348" s="832"/>
      <c r="O348" s="48">
        <f>IF(t&lt;Tnet,'2025'!Resal+('2025'!Salim-'2025'!Resal)*(1-EXP(('2025'!Tnet-t)/('2025'!Tau_j))),Resal+(Salim-Resal)*(1-EXP((Tnet-t)/(Tau_j))))*Salcycl</f>
        <v>3.2522373775251287E-2</v>
      </c>
      <c r="P348" s="169">
        <f>(INDEX(Models!$BJ348:$BT348,,T348)*(1-R348)+INDEX(Models!$BJ348:$BT348,,T348+1)*R348-ERP_i)*Q348*Ramure*Pc/MaxiM</f>
        <v>4.8919979263761718E-5</v>
      </c>
      <c r="Q348" s="304">
        <f t="shared" si="130"/>
        <v>0.6</v>
      </c>
      <c r="R348" s="177">
        <f t="shared" si="131"/>
        <v>0.97388104533577113</v>
      </c>
      <c r="S348" s="799">
        <f t="shared" si="132"/>
        <v>-2</v>
      </c>
      <c r="T348" s="176">
        <f t="shared" si="133"/>
        <v>4</v>
      </c>
      <c r="U348" s="250">
        <f t="shared" si="134"/>
        <v>-1.0261189546642289</v>
      </c>
      <c r="V348" s="382">
        <f t="shared" si="135"/>
        <v>26.972064100146781</v>
      </c>
      <c r="W348" s="400">
        <f t="shared" si="136"/>
        <v>3.9199042249285263</v>
      </c>
      <c r="X348" s="157">
        <f t="shared" si="137"/>
        <v>46356</v>
      </c>
      <c r="Y348" s="383">
        <f t="shared" si="138"/>
        <v>3.8028014242741977</v>
      </c>
      <c r="Z348" s="383">
        <f t="shared" si="139"/>
        <v>4.0170579633860175</v>
      </c>
      <c r="AA348" s="384">
        <f t="shared" si="140"/>
        <v>4.279952765954115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6.142469717407998E-2</v>
      </c>
      <c r="AD348" s="230">
        <f>(INDEX(Models!$BJ348:$BT348,,AH348)*(1-AF348)+INDEX(Models!$BJ348:$BT348,,AH348+1)*AF348-ERP_i)*AE348*Ramure*Pc/MaxiM</f>
        <v>1.8423068948403591E-3</v>
      </c>
      <c r="AE348" s="304">
        <f t="shared" si="142"/>
        <v>0.6</v>
      </c>
      <c r="AF348" s="177">
        <f t="shared" si="143"/>
        <v>0.49886861170974983</v>
      </c>
      <c r="AG348" s="799">
        <f t="shared" si="149"/>
        <v>2</v>
      </c>
      <c r="AH348" s="176">
        <f t="shared" si="144"/>
        <v>8</v>
      </c>
      <c r="AI348" s="224">
        <f t="shared" si="145"/>
        <v>2.4988686117097498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46357</v>
      </c>
      <c r="B349" s="409">
        <f>IF(t&gt;Tmaj,'2025'!Wh/'2025'!Env_an*'2026'!Env_an,0.001*'[14]mon-tableau (2)'!$B$242)</f>
        <v>3.729682660318947</v>
      </c>
      <c r="C349" s="829"/>
      <c r="D349" s="391">
        <f t="shared" si="127"/>
        <v>3.93989506650263</v>
      </c>
      <c r="E349" s="383">
        <f t="shared" si="125"/>
        <v>4.072694347984732</v>
      </c>
      <c r="F349" s="383">
        <f t="shared" si="128"/>
        <v>4.072694347984732</v>
      </c>
      <c r="G349" s="110">
        <f t="shared" si="126"/>
        <v>0.13913020966117334</v>
      </c>
      <c r="H349" s="412" t="b">
        <f>Wh_hp&gt;='2025'!Maxi_hp</f>
        <v>0</v>
      </c>
      <c r="I349" s="388">
        <f>IF(H349,Wh_hp,'2025'!Maxi_hp)</f>
        <v>28.876381708820084</v>
      </c>
      <c r="J349" s="85">
        <f>IF(H349,An,'2025'!An_max)</f>
        <v>2020</v>
      </c>
      <c r="K349" s="197">
        <f t="shared" si="129"/>
        <v>46357</v>
      </c>
      <c r="L349" s="147">
        <f>IF(t&lt;Tvie,1-EXP((T0-t)*PertePVj)+'2025'!Pspv,1-EXP((T0-t)*PertePVj)+Pspv)</f>
        <v>5.3354823576630017E-2</v>
      </c>
      <c r="M349" s="832"/>
      <c r="N349" s="832"/>
      <c r="O349" s="48">
        <f>IF(t&lt;Tnet,'2025'!Resal+('2025'!Salim-'2025'!Resal)*(1-EXP(('2025'!Tnet-t)/('2025'!Tau_j))),Resal+(Salim-Resal)*(1-EXP((Tnet-t)/(Tau_j))))*Salcycl</f>
        <v>3.2607230038712451E-2</v>
      </c>
      <c r="P349" s="169">
        <f>(INDEX(Models!$BJ349:$BT349,,T349)*(1-R349)+INDEX(Models!$BJ349:$BT349,,T349+1)*R349-ERP_i)*Q349*Ramure*Pc/MaxiM</f>
        <v>5.2645311568712977E-5</v>
      </c>
      <c r="Q349" s="304">
        <f t="shared" si="130"/>
        <v>0.6</v>
      </c>
      <c r="R349" s="177">
        <f t="shared" si="131"/>
        <v>0.9738974993719467</v>
      </c>
      <c r="S349" s="799">
        <f t="shared" si="132"/>
        <v>-2</v>
      </c>
      <c r="T349" s="176">
        <f t="shared" si="133"/>
        <v>4</v>
      </c>
      <c r="U349" s="250">
        <f t="shared" si="134"/>
        <v>-1.0261025006280533</v>
      </c>
      <c r="V349" s="382">
        <f t="shared" si="135"/>
        <v>26.805726226502038</v>
      </c>
      <c r="W349" s="400">
        <f t="shared" si="136"/>
        <v>3.729682660318947</v>
      </c>
      <c r="X349" s="157">
        <f t="shared" si="137"/>
        <v>46357</v>
      </c>
      <c r="Y349" s="383">
        <f t="shared" si="138"/>
        <v>3.6184205215974887</v>
      </c>
      <c r="Z349" s="383">
        <f t="shared" si="139"/>
        <v>3.8223619701614742</v>
      </c>
      <c r="AA349" s="384">
        <f t="shared" si="140"/>
        <v>4.072694347984732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6.1466036101414899E-2</v>
      </c>
      <c r="AD349" s="230">
        <f>(INDEX(Models!$BJ349:$BT349,,AH349)*(1-AF349)+INDEX(Models!$BJ349:$BT349,,AH349+1)*AF349-ERP_i)*AE349*Ramure*Pc/MaxiM</f>
        <v>1.9098990458014196E-3</v>
      </c>
      <c r="AE349" s="304">
        <f t="shared" si="142"/>
        <v>0.6</v>
      </c>
      <c r="AF349" s="177">
        <f t="shared" si="143"/>
        <v>0.49888506574592517</v>
      </c>
      <c r="AG349" s="799">
        <f t="shared" si="149"/>
        <v>2</v>
      </c>
      <c r="AH349" s="176">
        <f t="shared" si="144"/>
        <v>8</v>
      </c>
      <c r="AI349" s="224">
        <f t="shared" si="145"/>
        <v>2.4988850657459252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46358</v>
      </c>
      <c r="B350" s="409">
        <f>IF(t&gt;Tmaj,'2025'!Wh/'2025'!Env_an*'2026'!Env_an,0.001*'[14]mon-tableau (2)'!$B$243)</f>
        <v>5.5901450760982785</v>
      </c>
      <c r="C350" s="829"/>
      <c r="D350" s="391">
        <f t="shared" si="127"/>
        <v>5.9053300552671288</v>
      </c>
      <c r="E350" s="383">
        <f t="shared" si="125"/>
        <v>6.1049149057893075</v>
      </c>
      <c r="F350" s="383">
        <f t="shared" si="128"/>
        <v>6.1049149057893075</v>
      </c>
      <c r="G350" s="110">
        <f t="shared" si="126"/>
        <v>0.20977431854816958</v>
      </c>
      <c r="H350" s="412" t="b">
        <f>Wh_hp&gt;='2025'!Maxi_hp</f>
        <v>0</v>
      </c>
      <c r="I350" s="388">
        <f>IF(H350,Wh_hp,'2025'!Maxi_hp)</f>
        <v>10.012976509324043</v>
      </c>
      <c r="J350" s="85">
        <f>IF(H350,An,'2025'!An_max)</f>
        <v>2021</v>
      </c>
      <c r="K350" s="197">
        <f t="shared" si="129"/>
        <v>46358</v>
      </c>
      <c r="L350" s="147">
        <f>IF(t&lt;Tvie,1-EXP((T0-t)*PertePVj)+'2025'!Pspv,1-EXP((T0-t)*PertePVj)+Pspv)</f>
        <v>5.3372965815471685E-2</v>
      </c>
      <c r="M350" s="832"/>
      <c r="N350" s="832"/>
      <c r="O350" s="48">
        <f>IF(t&lt;Tnet,'2025'!Resal+('2025'!Salim-'2025'!Resal)*(1-EXP(('2025'!Tnet-t)/('2025'!Tau_j))),Resal+(Salim-Resal)*(1-EXP((Tnet-t)/(Tau_j))))*Salcycl</f>
        <v>3.2692486890015672E-2</v>
      </c>
      <c r="P350" s="169">
        <f>(INDEX(Models!$BJ350:$BT350,,T350)*(1-R350)+INDEX(Models!$BJ350:$BT350,,T350+1)*R350-ERP_i)*Q350*Ramure*Pc/MaxiM</f>
        <v>5.6539808883596594E-5</v>
      </c>
      <c r="Q350" s="304">
        <f t="shared" si="130"/>
        <v>0.6</v>
      </c>
      <c r="R350" s="177">
        <f t="shared" si="131"/>
        <v>0.97391329193836862</v>
      </c>
      <c r="S350" s="799">
        <f t="shared" si="132"/>
        <v>-2</v>
      </c>
      <c r="T350" s="176">
        <f t="shared" si="133"/>
        <v>4</v>
      </c>
      <c r="U350" s="250">
        <f t="shared" si="134"/>
        <v>-1.0260867080616314</v>
      </c>
      <c r="V350" s="382">
        <f t="shared" si="135"/>
        <v>26.646870069943649</v>
      </c>
      <c r="W350" s="400">
        <f t="shared" si="136"/>
        <v>5.5901450760982785</v>
      </c>
      <c r="X350" s="157">
        <f t="shared" si="137"/>
        <v>46358</v>
      </c>
      <c r="Y350" s="383">
        <f t="shared" si="138"/>
        <v>5.4236159706900109</v>
      </c>
      <c r="Z350" s="383">
        <f t="shared" si="139"/>
        <v>5.7294116635515104</v>
      </c>
      <c r="AA350" s="384">
        <f t="shared" si="140"/>
        <v>6.1049149057893075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6.1508349916836097E-2</v>
      </c>
      <c r="AD350" s="230">
        <f>(INDEX(Models!$BJ350:$BT350,,AH350)*(1-AF350)+INDEX(Models!$BJ350:$BT350,,AH350+1)*AF350-ERP_i)*AE350*Ramure*Pc/MaxiM</f>
        <v>1.9730248689784212E-3</v>
      </c>
      <c r="AE350" s="304">
        <f t="shared" si="142"/>
        <v>0.6</v>
      </c>
      <c r="AF350" s="177">
        <f t="shared" si="143"/>
        <v>0.49890085831234732</v>
      </c>
      <c r="AG350" s="799">
        <f t="shared" si="149"/>
        <v>2</v>
      </c>
      <c r="AH350" s="176">
        <f t="shared" si="144"/>
        <v>8</v>
      </c>
      <c r="AI350" s="224">
        <f t="shared" si="145"/>
        <v>2.4989008583123473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46359</v>
      </c>
      <c r="B351" s="409">
        <f>IF(t&gt;Tmaj,'2025'!Wh/'2025'!Env_an*'2026'!Env_an,0.001*'[14]mon-tableau (2)'!$B$244)</f>
        <v>10.828777915023133</v>
      </c>
      <c r="C351" s="829"/>
      <c r="D351" s="391">
        <f t="shared" si="127"/>
        <v>11.439548057474845</v>
      </c>
      <c r="E351" s="383">
        <f t="shared" si="125"/>
        <v>11.827222435842572</v>
      </c>
      <c r="F351" s="383">
        <f t="shared" si="128"/>
        <v>11.82733373795714</v>
      </c>
      <c r="G351" s="110">
        <f t="shared" si="126"/>
        <v>0.40867714680341571</v>
      </c>
      <c r="H351" s="412" t="b">
        <f>Wh_hp&gt;='2025'!Maxi_hp</f>
        <v>0</v>
      </c>
      <c r="I351" s="388">
        <f>IF(H351,Wh_hp,'2025'!Maxi_hp)</f>
        <v>19.179192393399582</v>
      </c>
      <c r="J351" s="85">
        <f>IF(H351,An,'2025'!An_max)</f>
        <v>2021</v>
      </c>
      <c r="K351" s="197">
        <f t="shared" si="129"/>
        <v>46359</v>
      </c>
      <c r="L351" s="147">
        <f>IF(t&lt;Tvie,1-EXP((T0-t)*PertePVj)+'2025'!Pspv,1-EXP((T0-t)*PertePVj)+Pspv)</f>
        <v>5.3391107706621477E-2</v>
      </c>
      <c r="M351" s="832"/>
      <c r="N351" s="832"/>
      <c r="O351" s="48">
        <f>IF(t&lt;Tnet,'2025'!Resal+('2025'!Salim-'2025'!Resal)*(1-EXP(('2025'!Tnet-t)/('2025'!Tau_j))),Resal+(Salim-Resal)*(1-EXP((Tnet-t)/(Tau_j))))*Salcycl</f>
        <v>3.2778142160654229E-2</v>
      </c>
      <c r="P351" s="169">
        <f>(INDEX(Models!$BJ351:$BT351,,T351)*(1-R351)+INDEX(Models!$BJ351:$BT351,,T351+1)*R351-ERP_i)*Q351*Ramure*Pc/MaxiM</f>
        <v>6.0602811705134382E-5</v>
      </c>
      <c r="Q351" s="304">
        <f t="shared" si="130"/>
        <v>0.6</v>
      </c>
      <c r="R351" s="177">
        <f t="shared" si="131"/>
        <v>0.97392844958753111</v>
      </c>
      <c r="S351" s="799">
        <f t="shared" si="132"/>
        <v>-2</v>
      </c>
      <c r="T351" s="176">
        <f t="shared" si="133"/>
        <v>4</v>
      </c>
      <c r="U351" s="250">
        <f t="shared" si="134"/>
        <v>-1.0260715504124689</v>
      </c>
      <c r="V351" s="382">
        <f t="shared" si="135"/>
        <v>26.495789268459845</v>
      </c>
      <c r="W351" s="400">
        <f t="shared" si="136"/>
        <v>10.828777915023133</v>
      </c>
      <c r="X351" s="157">
        <f t="shared" si="137"/>
        <v>46359</v>
      </c>
      <c r="Y351" s="383">
        <f t="shared" si="138"/>
        <v>10.503421218134042</v>
      </c>
      <c r="Z351" s="383">
        <f t="shared" si="139"/>
        <v>11.095840429606655</v>
      </c>
      <c r="AA351" s="384">
        <f t="shared" si="140"/>
        <v>11.823602406215976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6.155162797310542E-2</v>
      </c>
      <c r="AD351" s="230">
        <f>(INDEX(Models!$BJ351:$BT351,,AH351)*(1-AF351)+INDEX(Models!$BJ351:$BT351,,AH351+1)*AF351-ERP_i)*AE351*Ramure*Pc/MaxiM</f>
        <v>2.0316702499149075E-3</v>
      </c>
      <c r="AE351" s="304">
        <f t="shared" si="142"/>
        <v>0.6</v>
      </c>
      <c r="AF351" s="177">
        <f t="shared" si="143"/>
        <v>0.49891601596150981</v>
      </c>
      <c r="AG351" s="799">
        <f t="shared" si="149"/>
        <v>2</v>
      </c>
      <c r="AH351" s="176">
        <f t="shared" si="144"/>
        <v>8</v>
      </c>
      <c r="AI351" s="224">
        <f t="shared" si="145"/>
        <v>2.4989160159615098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46360</v>
      </c>
      <c r="B352" s="409">
        <f>IF(t&gt;Tmaj,'2025'!Wh/'2025'!Env_an*'2026'!Env_an,0.001*'[14]mon-tableau (2)'!$B$245)</f>
        <v>17.543519070708779</v>
      </c>
      <c r="C352" s="829"/>
      <c r="D352" s="391">
        <f t="shared" si="127"/>
        <v>18.533372586632971</v>
      </c>
      <c r="E352" s="383">
        <f t="shared" si="125"/>
        <v>19.163154161658618</v>
      </c>
      <c r="F352" s="383">
        <f t="shared" si="128"/>
        <v>19.163803156225448</v>
      </c>
      <c r="G352" s="110">
        <f t="shared" si="126"/>
        <v>0.66569741523734716</v>
      </c>
      <c r="H352" s="412" t="b">
        <f>Wh_hp&gt;='2025'!Maxi_hp</f>
        <v>1</v>
      </c>
      <c r="I352" s="388">
        <f>IF(H352,Wh_hp,'2025'!Maxi_hp)</f>
        <v>19.163803156225448</v>
      </c>
      <c r="J352" s="85">
        <f>IF(H352,An,'2025'!An_max)</f>
        <v>2026</v>
      </c>
      <c r="K352" s="197">
        <f t="shared" si="129"/>
        <v>46360</v>
      </c>
      <c r="L352" s="147">
        <f>IF(t&lt;Tvie,1-EXP((T0-t)*PertePVj)+'2025'!Pspv,1-EXP((T0-t)*PertePVj)+Pspv)</f>
        <v>5.3409249250086055E-2</v>
      </c>
      <c r="M352" s="832"/>
      <c r="N352" s="832"/>
      <c r="O352" s="48">
        <f>IF(t&lt;Tnet,'2025'!Resal+('2025'!Salim-'2025'!Resal)*(1-EXP(('2025'!Tnet-t)/('2025'!Tau_j))),Resal+(Salim-Resal)*(1-EXP((Tnet-t)/(Tau_j))))*Salcycl</f>
        <v>3.2864191860737829E-2</v>
      </c>
      <c r="P352" s="169">
        <f>(INDEX(Models!$BJ352:$BT352,,T352)*(1-R352)+INDEX(Models!$BJ352:$BT352,,T352+1)*R352-ERP_i)*Q352*Ramure*Pc/MaxiM</f>
        <v>6.4820299951577905E-5</v>
      </c>
      <c r="Q352" s="304">
        <f t="shared" si="130"/>
        <v>0.6</v>
      </c>
      <c r="R352" s="177">
        <f t="shared" si="131"/>
        <v>0.97394299780916604</v>
      </c>
      <c r="S352" s="799">
        <f t="shared" si="132"/>
        <v>-2</v>
      </c>
      <c r="T352" s="176">
        <f t="shared" si="133"/>
        <v>4</v>
      </c>
      <c r="U352" s="250">
        <f t="shared" si="134"/>
        <v>-1.026057002190834</v>
      </c>
      <c r="V352" s="382">
        <f t="shared" si="135"/>
        <v>26.352777699300997</v>
      </c>
      <c r="W352" s="400">
        <f t="shared" si="136"/>
        <v>17.543519070708779</v>
      </c>
      <c r="X352" s="157">
        <f t="shared" si="137"/>
        <v>46360</v>
      </c>
      <c r="Y352" s="383">
        <f t="shared" si="138"/>
        <v>17.004374449011589</v>
      </c>
      <c r="Z352" s="383">
        <f t="shared" si="139"/>
        <v>17.963807945028282</v>
      </c>
      <c r="AA352" s="384">
        <f t="shared" si="140"/>
        <v>19.142933315289309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6.1595856331969026E-2</v>
      </c>
      <c r="AD352" s="230">
        <f>(INDEX(Models!$BJ352:$BT352,,AH352)*(1-AF352)+INDEX(Models!$BJ352:$BT352,,AH352+1)*AF352-ERP_i)*AE352*Ramure*Pc/MaxiM</f>
        <v>2.0844386356412767E-3</v>
      </c>
      <c r="AE352" s="304">
        <f t="shared" si="142"/>
        <v>0.6</v>
      </c>
      <c r="AF352" s="177">
        <f t="shared" si="143"/>
        <v>0.49893056418314474</v>
      </c>
      <c r="AG352" s="799">
        <f t="shared" si="149"/>
        <v>2</v>
      </c>
      <c r="AH352" s="176">
        <f t="shared" si="144"/>
        <v>8</v>
      </c>
      <c r="AI352" s="224">
        <f t="shared" si="145"/>
        <v>2.4989305641831447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46361</v>
      </c>
      <c r="B353" s="409">
        <f>IF(t&gt;Tmaj,'2025'!Wh/'2025'!Env_an*'2026'!Env_an,0.001*'[14]mon-tableau (2)'!$B$246)</f>
        <v>27.162232526707154</v>
      </c>
      <c r="C353" s="829"/>
      <c r="D353" s="391">
        <f t="shared" si="127"/>
        <v>28.695350206152291</v>
      </c>
      <c r="E353" s="383">
        <f t="shared" si="125"/>
        <v>29.67309746929876</v>
      </c>
      <c r="F353" s="383">
        <f t="shared" si="128"/>
        <v>29.675148577196847</v>
      </c>
      <c r="G353" s="110">
        <f t="shared" si="126"/>
        <v>1.0360095025616596</v>
      </c>
      <c r="H353" s="412" t="b">
        <f>Wh_hp&gt;='2025'!Maxi_hp</f>
        <v>1</v>
      </c>
      <c r="I353" s="388">
        <f>IF(H353,Wh_hp,'2025'!Maxi_hp)</f>
        <v>29.675148577196847</v>
      </c>
      <c r="J353" s="85">
        <f>IF(H353,An,'2025'!An_max)</f>
        <v>2026</v>
      </c>
      <c r="K353" s="197">
        <f t="shared" si="129"/>
        <v>46361</v>
      </c>
      <c r="L353" s="147">
        <f>IF(t&lt;Tvie,1-EXP((T0-t)*PertePVj)+'2025'!Pspv,1-EXP((T0-t)*PertePVj)+Pspv)</f>
        <v>5.3427390445872192E-2</v>
      </c>
      <c r="M353" s="832"/>
      <c r="N353" s="832"/>
      <c r="O353" s="48">
        <f>IF(t&lt;Tnet,'2025'!Resal+('2025'!Salim-'2025'!Resal)*(1-EXP(('2025'!Tnet-t)/('2025'!Tau_j))),Resal+(Salim-Resal)*(1-EXP((Tnet-t)/(Tau_j))))*Salcycl</f>
        <v>3.2950630252136411E-2</v>
      </c>
      <c r="P353" s="169">
        <f>(INDEX(Models!$BJ353:$BT353,,T353)*(1-R353)+INDEX(Models!$BJ353:$BT353,,T353+1)*R353-ERP_i)*Q353*Ramure*Pc/MaxiM</f>
        <v>6.9118706946088215E-5</v>
      </c>
      <c r="Q353" s="304">
        <f t="shared" si="130"/>
        <v>0.6</v>
      </c>
      <c r="R353" s="177">
        <f t="shared" si="131"/>
        <v>0.97395696107253515</v>
      </c>
      <c r="S353" s="799">
        <f t="shared" si="132"/>
        <v>-2</v>
      </c>
      <c r="T353" s="176">
        <f t="shared" si="133"/>
        <v>4</v>
      </c>
      <c r="U353" s="250">
        <f t="shared" si="134"/>
        <v>-1.0260430389274648</v>
      </c>
      <c r="V353" s="382">
        <f t="shared" si="135"/>
        <v>26.218130682725626</v>
      </c>
      <c r="W353" s="400">
        <f t="shared" si="136"/>
        <v>27.162232526707154</v>
      </c>
      <c r="X353" s="157">
        <f t="shared" si="137"/>
        <v>46361</v>
      </c>
      <c r="Y353" s="383">
        <f t="shared" si="138"/>
        <v>26.301988416331792</v>
      </c>
      <c r="Z353" s="383">
        <f t="shared" si="139"/>
        <v>27.786551344139404</v>
      </c>
      <c r="AA353" s="384">
        <f t="shared" si="140"/>
        <v>29.61185630991362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6.1641017931156533E-2</v>
      </c>
      <c r="AD353" s="230">
        <f>(INDEX(Models!$BJ353:$BT353,,AH353)*(1-AF353)+INDEX(Models!$BJ353:$BT353,,AH353+1)*AF353-ERP_i)*AE353*Ramure*Pc/MaxiM</f>
        <v>2.1328374184405039E-3</v>
      </c>
      <c r="AE353" s="304">
        <f t="shared" si="142"/>
        <v>0.6</v>
      </c>
      <c r="AF353" s="177">
        <f t="shared" si="143"/>
        <v>0.49894452744651385</v>
      </c>
      <c r="AG353" s="799">
        <f t="shared" si="149"/>
        <v>2</v>
      </c>
      <c r="AH353" s="176">
        <f t="shared" si="144"/>
        <v>8</v>
      </c>
      <c r="AI353" s="224">
        <f t="shared" si="145"/>
        <v>2.4989445274465139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46362</v>
      </c>
      <c r="B354" s="409">
        <f>IF(t&gt;Tmaj,'2025'!Wh/'2025'!Env_an*'2026'!Env_an,0.001*'[14]mon-tableau (2)'!$B$247)</f>
        <v>12.214871716639188</v>
      </c>
      <c r="C354" s="829"/>
      <c r="D354" s="391">
        <f t="shared" si="127"/>
        <v>12.904562939032463</v>
      </c>
      <c r="E354" s="383">
        <f t="shared" si="125"/>
        <v>13.34546300487108</v>
      </c>
      <c r="F354" s="383">
        <f t="shared" si="128"/>
        <v>13.345698613294488</v>
      </c>
      <c r="G354" s="110">
        <f t="shared" si="126"/>
        <v>0.46811755943981859</v>
      </c>
      <c r="H354" s="412" t="b">
        <f>Wh_hp&gt;='2025'!Maxi_hp</f>
        <v>0</v>
      </c>
      <c r="I354" s="388">
        <f>IF(H354,Wh_hp,'2025'!Maxi_hp)</f>
        <v>22.171647596043584</v>
      </c>
      <c r="J354" s="85">
        <f>IF(H354,An,'2025'!An_max)</f>
        <v>2020</v>
      </c>
      <c r="K354" s="197">
        <f t="shared" si="129"/>
        <v>46362</v>
      </c>
      <c r="L354" s="147">
        <f>IF(t&lt;Tvie,1-EXP((T0-t)*PertePVj)+'2025'!Pspv,1-EXP((T0-t)*PertePVj)+Pspv)</f>
        <v>5.3445531293986326E-2</v>
      </c>
      <c r="M354" s="832"/>
      <c r="N354" s="832"/>
      <c r="O354" s="48">
        <f>IF(t&lt;Tnet,'2025'!Resal+('2025'!Salim-'2025'!Resal)*(1-EXP(('2025'!Tnet-t)/('2025'!Tau_j))),Resal+(Salim-Resal)*(1-EXP((Tnet-t)/(Tau_j))))*Salcycl</f>
        <v>3.303744993168755E-2</v>
      </c>
      <c r="P354" s="169">
        <f>(INDEX(Models!$BJ354:$BT354,,T354)*(1-R354)+INDEX(Models!$BJ354:$BT354,,T354+1)*R354-ERP_i)*Q354*Ramure*Pc/MaxiM</f>
        <v>7.3496546886978522E-5</v>
      </c>
      <c r="Q354" s="304">
        <f t="shared" si="130"/>
        <v>0.6</v>
      </c>
      <c r="R354" s="177">
        <f t="shared" si="131"/>
        <v>0.97397036286705818</v>
      </c>
      <c r="S354" s="799">
        <f t="shared" si="132"/>
        <v>-2</v>
      </c>
      <c r="T354" s="176">
        <f t="shared" si="133"/>
        <v>4</v>
      </c>
      <c r="U354" s="250">
        <f t="shared" si="134"/>
        <v>-1.0260296371329418</v>
      </c>
      <c r="V354" s="382">
        <f t="shared" si="135"/>
        <v>26.092141497177703</v>
      </c>
      <c r="W354" s="400">
        <f t="shared" si="136"/>
        <v>12.214871716639188</v>
      </c>
      <c r="X354" s="157">
        <f t="shared" si="137"/>
        <v>46362</v>
      </c>
      <c r="Y354" s="383">
        <f t="shared" si="138"/>
        <v>11.846974864488843</v>
      </c>
      <c r="Z354" s="383">
        <f t="shared" si="139"/>
        <v>12.515893438952581</v>
      </c>
      <c r="AA354" s="384">
        <f t="shared" si="140"/>
        <v>13.338720316524366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6.1687092767995569E-2</v>
      </c>
      <c r="AD354" s="230">
        <f>(INDEX(Models!$BJ354:$BT354,,AH354)*(1-AF354)+INDEX(Models!$BJ354:$BT354,,AH354+1)*AF354-ERP_i)*AE354*Ramure*Pc/MaxiM</f>
        <v>2.1768352265914082E-3</v>
      </c>
      <c r="AE354" s="304">
        <f t="shared" si="142"/>
        <v>0.6</v>
      </c>
      <c r="AF354" s="177">
        <f t="shared" si="143"/>
        <v>0.49895792924103688</v>
      </c>
      <c r="AG354" s="799">
        <f t="shared" si="149"/>
        <v>2</v>
      </c>
      <c r="AH354" s="176">
        <f t="shared" si="144"/>
        <v>8</v>
      </c>
      <c r="AI354" s="224">
        <f t="shared" si="145"/>
        <v>2.4989579292410369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46363</v>
      </c>
      <c r="B355" s="409">
        <f>IF(t&gt;Tmaj,'2025'!Wh/'2025'!Env_an*'2026'!Env_an,0.001*'[14]mon-tableau (2)'!$B$248)</f>
        <v>22.436817059731766</v>
      </c>
      <c r="C355" s="829"/>
      <c r="D355" s="391">
        <f t="shared" si="127"/>
        <v>23.704126710347492</v>
      </c>
      <c r="E355" s="383">
        <f t="shared" si="125"/>
        <v>24.516217641030682</v>
      </c>
      <c r="F355" s="383">
        <f t="shared" si="128"/>
        <v>24.51775693165192</v>
      </c>
      <c r="G355" s="110">
        <f t="shared" si="126"/>
        <v>0.86376852539608384</v>
      </c>
      <c r="H355" s="412" t="b">
        <f>Wh_hp&gt;='2025'!Maxi_hp</f>
        <v>1</v>
      </c>
      <c r="I355" s="388">
        <f>IF(H355,Wh_hp,'2025'!Maxi_hp)</f>
        <v>24.51775693165192</v>
      </c>
      <c r="J355" s="85">
        <f>IF(H355,An,'2025'!An_max)</f>
        <v>2026</v>
      </c>
      <c r="K355" s="197">
        <f t="shared" si="129"/>
        <v>46363</v>
      </c>
      <c r="L355" s="147">
        <f>IF(t&lt;Tvie,1-EXP((T0-t)*PertePVj)+'2025'!Pspv,1-EXP((T0-t)*PertePVj)+Pspv)</f>
        <v>5.3463671794435341E-2</v>
      </c>
      <c r="M355" s="832"/>
      <c r="N355" s="832"/>
      <c r="O355" s="48">
        <f>IF(t&lt;Tnet,'2025'!Resal+('2025'!Salim-'2025'!Resal)*(1-EXP(('2025'!Tnet-t)/('2025'!Tau_j))),Resal+(Salim-Resal)*(1-EXP((Tnet-t)/(Tau_j))))*Salcycl</f>
        <v>3.3124641923722505E-2</v>
      </c>
      <c r="P355" s="169">
        <f>(INDEX(Models!$BJ355:$BT355,,T355)*(1-R355)+INDEX(Models!$BJ355:$BT355,,T355+1)*R355-ERP_i)*Q355*Ramure*Pc/MaxiM</f>
        <v>7.7951954335420449E-5</v>
      </c>
      <c r="Q355" s="304">
        <f t="shared" si="130"/>
        <v>0.6</v>
      </c>
      <c r="R355" s="177">
        <f t="shared" si="131"/>
        <v>0.973983225741343</v>
      </c>
      <c r="S355" s="799">
        <f t="shared" si="132"/>
        <v>-2</v>
      </c>
      <c r="T355" s="176">
        <f t="shared" si="133"/>
        <v>4</v>
      </c>
      <c r="U355" s="250">
        <f t="shared" si="134"/>
        <v>-1.026016774258657</v>
      </c>
      <c r="V355" s="382">
        <f t="shared" si="135"/>
        <v>25.975103315975733</v>
      </c>
      <c r="W355" s="400">
        <f t="shared" si="136"/>
        <v>22.436817059731766</v>
      </c>
      <c r="X355" s="157">
        <f t="shared" si="137"/>
        <v>46363</v>
      </c>
      <c r="Y355" s="383">
        <f t="shared" si="138"/>
        <v>21.735419492387042</v>
      </c>
      <c r="Z355" s="383">
        <f t="shared" si="139"/>
        <v>22.963111763066571</v>
      </c>
      <c r="AA355" s="384">
        <f t="shared" si="140"/>
        <v>24.47399051543799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6.1734058098059985E-2</v>
      </c>
      <c r="AD355" s="230">
        <f>(INDEX(Models!$BJ355:$BT355,,AH355)*(1-AF355)+INDEX(Models!$BJ355:$BT355,,AH355+1)*AF355-ERP_i)*AE355*Ramure*Pc/MaxiM</f>
        <v>2.2163960665114377E-3</v>
      </c>
      <c r="AE355" s="304">
        <f t="shared" si="142"/>
        <v>0.6</v>
      </c>
      <c r="AF355" s="177">
        <f t="shared" si="143"/>
        <v>0.49897079211532169</v>
      </c>
      <c r="AG355" s="799">
        <f t="shared" si="149"/>
        <v>2</v>
      </c>
      <c r="AH355" s="176">
        <f t="shared" si="144"/>
        <v>8</v>
      </c>
      <c r="AI355" s="224">
        <f t="shared" si="145"/>
        <v>2.4989707921153217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46364</v>
      </c>
      <c r="B356" s="409">
        <f>IF(t&gt;Tmaj,'2025'!Wh/'2025'!Env_an*'2026'!Env_an,0.001*'[14]mon-tableau (2)'!$B$249)</f>
        <v>4.1233455823129912</v>
      </c>
      <c r="C356" s="829"/>
      <c r="D356" s="391">
        <f t="shared" si="127"/>
        <v>4.3563300043877122</v>
      </c>
      <c r="E356" s="383">
        <f t="shared" si="125"/>
        <v>4.5059836143747329</v>
      </c>
      <c r="F356" s="383">
        <f t="shared" si="128"/>
        <v>4.5059836143747329</v>
      </c>
      <c r="G356" s="110">
        <f t="shared" si="126"/>
        <v>0.15939058242543636</v>
      </c>
      <c r="H356" s="412" t="b">
        <f>Wh_hp&gt;='2025'!Maxi_hp</f>
        <v>0</v>
      </c>
      <c r="I356" s="388">
        <f>IF(H356,Wh_hp,'2025'!Maxi_hp)</f>
        <v>18.001380759086484</v>
      </c>
      <c r="J356" s="85">
        <f>IF(H356,An,'2025'!An_max)</f>
        <v>2018</v>
      </c>
      <c r="K356" s="197">
        <f t="shared" si="129"/>
        <v>46364</v>
      </c>
      <c r="L356" s="147">
        <f>IF(t&lt;Tvie,1-EXP((T0-t)*PertePVj)+'2025'!Pspv,1-EXP((T0-t)*PertePVj)+Pspv)</f>
        <v>5.3481811947225788E-2</v>
      </c>
      <c r="M356" s="832"/>
      <c r="N356" s="832"/>
      <c r="O356" s="48">
        <f>IF(t&lt;Tnet,'2025'!Resal+('2025'!Salim-'2025'!Resal)*(1-EXP(('2025'!Tnet-t)/('2025'!Tau_j))),Resal+(Salim-Resal)*(1-EXP((Tnet-t)/(Tau_j))))*Salcycl</f>
        <v>3.3212195781095084E-2</v>
      </c>
      <c r="P356" s="169">
        <f>(INDEX(Models!$BJ356:$BT356,,T356)*(1-R356)+INDEX(Models!$BJ356:$BT356,,T356+1)*R356-ERP_i)*Q356*Ramure*Pc/MaxiM</f>
        <v>8.2482654971610287E-5</v>
      </c>
      <c r="Q356" s="304">
        <f t="shared" si="130"/>
        <v>0.6</v>
      </c>
      <c r="R356" s="177">
        <f t="shared" si="131"/>
        <v>0.97399557134067716</v>
      </c>
      <c r="S356" s="799">
        <f t="shared" si="132"/>
        <v>-2</v>
      </c>
      <c r="T356" s="176">
        <f t="shared" si="133"/>
        <v>4</v>
      </c>
      <c r="U356" s="250">
        <f t="shared" si="134"/>
        <v>-1.0260044286593228</v>
      </c>
      <c r="V356" s="382">
        <f t="shared" si="135"/>
        <v>25.867309191562544</v>
      </c>
      <c r="W356" s="400">
        <f t="shared" si="136"/>
        <v>4.1233455823129912</v>
      </c>
      <c r="X356" s="157">
        <f t="shared" si="137"/>
        <v>46364</v>
      </c>
      <c r="Y356" s="383">
        <f t="shared" si="138"/>
        <v>4.0014959723434904</v>
      </c>
      <c r="Z356" s="383">
        <f t="shared" si="139"/>
        <v>4.2275954364654877</v>
      </c>
      <c r="AA356" s="384">
        <f t="shared" si="140"/>
        <v>4.5059836143747329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6.178188864716392E-2</v>
      </c>
      <c r="AD356" s="230">
        <f>(INDEX(Models!$BJ356:$BT356,,AH356)*(1-AF356)+INDEX(Models!$BJ356:$BT356,,AH356+1)*AF356-ERP_i)*AE356*Ramure*Pc/MaxiM</f>
        <v>2.2514800638747737E-3</v>
      </c>
      <c r="AE356" s="304">
        <f t="shared" si="142"/>
        <v>0.6</v>
      </c>
      <c r="AF356" s="177">
        <f t="shared" si="143"/>
        <v>0.49898313771465563</v>
      </c>
      <c r="AG356" s="799">
        <f t="shared" si="149"/>
        <v>2</v>
      </c>
      <c r="AH356" s="176">
        <f t="shared" si="144"/>
        <v>8</v>
      </c>
      <c r="AI356" s="224">
        <f t="shared" si="145"/>
        <v>2.4989831377146556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46365</v>
      </c>
      <c r="B357" s="409">
        <f>IF(t&gt;Tmaj,'2025'!Wh/'2025'!Env_an*'2026'!Env_an,0.001*'[14]mon-tableau (2)'!$B$250)</f>
        <v>4.9825160052327071</v>
      </c>
      <c r="C357" s="829"/>
      <c r="D357" s="391">
        <f t="shared" si="127"/>
        <v>5.2641476505547056</v>
      </c>
      <c r="E357" s="383">
        <f t="shared" si="125"/>
        <v>5.4454827696656229</v>
      </c>
      <c r="F357" s="383">
        <f t="shared" si="128"/>
        <v>5.4454827696656229</v>
      </c>
      <c r="G357" s="110">
        <f t="shared" si="126"/>
        <v>0.19333586991987181</v>
      </c>
      <c r="H357" s="412" t="b">
        <f>Wh_hp&gt;='2025'!Maxi_hp</f>
        <v>0</v>
      </c>
      <c r="I357" s="388">
        <f>IF(H357,Wh_hp,'2025'!Maxi_hp)</f>
        <v>12.508888202524682</v>
      </c>
      <c r="J357" s="85">
        <f>IF(H357,An,'2025'!An_max)</f>
        <v>2018</v>
      </c>
      <c r="K357" s="197">
        <f t="shared" si="129"/>
        <v>46365</v>
      </c>
      <c r="L357" s="147">
        <f>IF(t&lt;Tvie,1-EXP((T0-t)*PertePVj)+'2025'!Pspv,1-EXP((T0-t)*PertePVj)+Pspv)</f>
        <v>5.3499951752364328E-2</v>
      </c>
      <c r="M357" s="832"/>
      <c r="N357" s="832"/>
      <c r="O357" s="48">
        <f>IF(t&lt;Tnet,'2025'!Resal+('2025'!Salim-'2025'!Resal)*(1-EXP(('2025'!Tnet-t)/('2025'!Tau_j))),Resal+(Salim-Resal)*(1-EXP((Tnet-t)/(Tau_j))))*Salcycl</f>
        <v>3.33000996938334E-2</v>
      </c>
      <c r="P357" s="169">
        <f>(INDEX(Models!$BJ357:$BT357,,T357)*(1-R357)+INDEX(Models!$BJ357:$BT357,,T357+1)*R357-ERP_i)*Q357*Ramure*Pc/MaxiM</f>
        <v>8.7085939322024294E-5</v>
      </c>
      <c r="Q357" s="304">
        <f t="shared" si="130"/>
        <v>0.6</v>
      </c>
      <c r="R357" s="177">
        <f t="shared" si="131"/>
        <v>0.97400742044303712</v>
      </c>
      <c r="S357" s="799">
        <f t="shared" si="132"/>
        <v>-2</v>
      </c>
      <c r="T357" s="176">
        <f t="shared" si="133"/>
        <v>4</v>
      </c>
      <c r="U357" s="250">
        <f t="shared" si="134"/>
        <v>-1.0259925795569629</v>
      </c>
      <c r="V357" s="382">
        <f t="shared" si="135"/>
        <v>25.76905206577047</v>
      </c>
      <c r="W357" s="400">
        <f t="shared" si="136"/>
        <v>4.9825160052327071</v>
      </c>
      <c r="X357" s="157">
        <f t="shared" si="137"/>
        <v>46365</v>
      </c>
      <c r="Y357" s="383">
        <f t="shared" si="138"/>
        <v>4.8354657579977012</v>
      </c>
      <c r="Z357" s="383">
        <f t="shared" si="139"/>
        <v>5.1087855377822269</v>
      </c>
      <c r="AA357" s="384">
        <f t="shared" si="140"/>
        <v>5.4454827696656229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6.1830556834921564E-2</v>
      </c>
      <c r="AD357" s="230">
        <f>(INDEX(Models!$BJ357:$BT357,,AH357)*(1-AF357)+INDEX(Models!$BJ357:$BT357,,AH357+1)*AF357-ERP_i)*AE357*Ramure*Pc/MaxiM</f>
        <v>2.2820443281186807E-3</v>
      </c>
      <c r="AE357" s="304">
        <f t="shared" si="142"/>
        <v>0.6</v>
      </c>
      <c r="AF357" s="177">
        <f t="shared" si="143"/>
        <v>0.49899498681701582</v>
      </c>
      <c r="AG357" s="799">
        <f t="shared" si="149"/>
        <v>2</v>
      </c>
      <c r="AH357" s="176">
        <f t="shared" si="144"/>
        <v>8</v>
      </c>
      <c r="AI357" s="224">
        <f t="shared" si="145"/>
        <v>2.4989949868170158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46366</v>
      </c>
      <c r="B358" s="409">
        <f>IF(t&gt;Tmaj,'2025'!Wh/'2025'!Env_an*'2026'!Env_an,0.001*'[14]mon-tableau (2)'!$B$251)</f>
        <v>11.518236800121064</v>
      </c>
      <c r="C358" s="829"/>
      <c r="D358" s="391">
        <f t="shared" si="127"/>
        <v>12.169526636641644</v>
      </c>
      <c r="E358" s="383">
        <f t="shared" si="125"/>
        <v>12.589881901747351</v>
      </c>
      <c r="F358" s="383">
        <f t="shared" si="128"/>
        <v>12.590127011034332</v>
      </c>
      <c r="G358" s="110">
        <f t="shared" si="126"/>
        <v>0.44848613456721853</v>
      </c>
      <c r="H358" s="412" t="b">
        <f>Wh_hp&gt;='2025'!Maxi_hp</f>
        <v>0</v>
      </c>
      <c r="I358" s="388">
        <f>IF(H358,Wh_hp,'2025'!Maxi_hp)</f>
        <v>24.237624658257118</v>
      </c>
      <c r="J358" s="85">
        <f>IF(H358,An,'2025'!An_max)</f>
        <v>2018</v>
      </c>
      <c r="K358" s="197">
        <f t="shared" si="129"/>
        <v>46366</v>
      </c>
      <c r="L358" s="147">
        <f>IF(t&lt;Tvie,1-EXP((T0-t)*PertePVj)+'2025'!Pspv,1-EXP((T0-t)*PertePVj)+Pspv)</f>
        <v>5.3518091209857621E-2</v>
      </c>
      <c r="M358" s="832"/>
      <c r="N358" s="832"/>
      <c r="O358" s="48">
        <f>IF(t&lt;Tnet,'2025'!Resal+('2025'!Salim-'2025'!Resal)*(1-EXP(('2025'!Tnet-t)/('2025'!Tau_j))),Resal+(Salim-Resal)*(1-EXP((Tnet-t)/(Tau_j))))*Salcycl</f>
        <v>3.3388340604479004E-2</v>
      </c>
      <c r="P358" s="169">
        <f>(INDEX(Models!$BJ358:$BT358,,T358)*(1-R358)+INDEX(Models!$BJ358:$BT358,,T358+1)*R358-ERP_i)*Q358*Ramure*Pc/MaxiM</f>
        <v>9.1758640250978344E-5</v>
      </c>
      <c r="Q358" s="304">
        <f t="shared" si="130"/>
        <v>0.6</v>
      </c>
      <c r="R358" s="177">
        <f t="shared" si="131"/>
        <v>0.97401879299368188</v>
      </c>
      <c r="S358" s="799">
        <f t="shared" si="132"/>
        <v>-2</v>
      </c>
      <c r="T358" s="176">
        <f t="shared" si="133"/>
        <v>4</v>
      </c>
      <c r="U358" s="250">
        <f t="shared" si="134"/>
        <v>-1.0259812070063181</v>
      </c>
      <c r="V358" s="382">
        <f t="shared" si="135"/>
        <v>25.680624750208178</v>
      </c>
      <c r="W358" s="400">
        <f t="shared" si="136"/>
        <v>11.518236800121064</v>
      </c>
      <c r="X358" s="157">
        <f t="shared" si="137"/>
        <v>46366</v>
      </c>
      <c r="Y358" s="383">
        <f t="shared" si="138"/>
        <v>11.173470422618033</v>
      </c>
      <c r="Z358" s="383">
        <f t="shared" si="139"/>
        <v>11.805265709622198</v>
      </c>
      <c r="AA358" s="384">
        <f t="shared" si="140"/>
        <v>12.583961673340124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6.1880033008018448E-2</v>
      </c>
      <c r="AD358" s="230">
        <f>(INDEX(Models!$BJ358:$BT358,,AH358)*(1-AF358)+INDEX(Models!$BJ358:$BT358,,AH358+1)*AF358-ERP_i)*AE358*Ramure*Pc/MaxiM</f>
        <v>2.3080439361406854E-3</v>
      </c>
      <c r="AE358" s="304">
        <f t="shared" si="142"/>
        <v>0.6</v>
      </c>
      <c r="AF358" s="177">
        <f t="shared" si="143"/>
        <v>0.49900635936766058</v>
      </c>
      <c r="AG358" s="799">
        <f t="shared" si="149"/>
        <v>2</v>
      </c>
      <c r="AH358" s="176">
        <f t="shared" si="144"/>
        <v>8</v>
      </c>
      <c r="AI358" s="224">
        <f t="shared" si="145"/>
        <v>2.4990063593676606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46367</v>
      </c>
      <c r="B359" s="409">
        <f>IF(t&gt;Tmaj,'2025'!Wh/'2025'!Env_an*'2026'!Env_an,0.001*'[14]mon-tableau (2)'!$B$252)</f>
        <v>18.122314353702745</v>
      </c>
      <c r="C359" s="829"/>
      <c r="D359" s="391">
        <f t="shared" si="127"/>
        <v>19.147393629049745</v>
      </c>
      <c r="E359" s="383">
        <f t="shared" si="125"/>
        <v>19.810590884803865</v>
      </c>
      <c r="F359" s="383">
        <f t="shared" si="128"/>
        <v>19.811704894203341</v>
      </c>
      <c r="G359" s="110">
        <f t="shared" si="126"/>
        <v>0.70784732304672693</v>
      </c>
      <c r="H359" s="412" t="b">
        <f>Wh_hp&gt;='2025'!Maxi_hp</f>
        <v>1</v>
      </c>
      <c r="I359" s="388">
        <f>IF(H359,Wh_hp,'2025'!Maxi_hp)</f>
        <v>19.811704894203341</v>
      </c>
      <c r="J359" s="85">
        <f>IF(H359,An,'2025'!An_max)</f>
        <v>2026</v>
      </c>
      <c r="K359" s="197">
        <f t="shared" si="129"/>
        <v>46367</v>
      </c>
      <c r="L359" s="147">
        <f>IF(t&lt;Tvie,1-EXP((T0-t)*PertePVj)+'2025'!Pspv,1-EXP((T0-t)*PertePVj)+Pspv)</f>
        <v>5.353623031971233E-2</v>
      </c>
      <c r="M359" s="832"/>
      <c r="N359" s="832"/>
      <c r="O359" s="48">
        <f>IF(t&lt;Tnet,'2025'!Resal+('2025'!Salim-'2025'!Resal)*(1-EXP(('2025'!Tnet-t)/('2025'!Tau_j))),Resal+(Salim-Resal)*(1-EXP((Tnet-t)/(Tau_j))))*Salcycl</f>
        <v>3.3476904329130294E-2</v>
      </c>
      <c r="P359" s="169">
        <f>(INDEX(Models!$BJ359:$BT359,,T359)*(1-R359)+INDEX(Models!$BJ359:$BT359,,T359+1)*R359-ERP_i)*Q359*Ramure*Pc/MaxiM</f>
        <v>9.6502168340041673E-5</v>
      </c>
      <c r="Q359" s="304">
        <f t="shared" si="130"/>
        <v>0.6</v>
      </c>
      <c r="R359" s="177">
        <f t="shared" si="131"/>
        <v>0.97402970813837308</v>
      </c>
      <c r="S359" s="799">
        <f t="shared" si="132"/>
        <v>-2</v>
      </c>
      <c r="T359" s="176">
        <f t="shared" si="133"/>
        <v>4</v>
      </c>
      <c r="U359" s="250">
        <f t="shared" si="134"/>
        <v>-1.0259702918616269</v>
      </c>
      <c r="V359" s="382">
        <f t="shared" si="135"/>
        <v>25.600979046212942</v>
      </c>
      <c r="W359" s="400">
        <f t="shared" si="136"/>
        <v>18.122314353702745</v>
      </c>
      <c r="X359" s="157">
        <f t="shared" si="137"/>
        <v>46367</v>
      </c>
      <c r="Y359" s="383">
        <f t="shared" si="138"/>
        <v>17.565926213645145</v>
      </c>
      <c r="Z359" s="383">
        <f t="shared" si="139"/>
        <v>18.55953368355437</v>
      </c>
      <c r="AA359" s="384">
        <f t="shared" si="140"/>
        <v>19.784812791907878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6.1930285681280409E-2</v>
      </c>
      <c r="AD359" s="230">
        <f>(INDEX(Models!$BJ359:$BT359,,AH359)*(1-AF359)+INDEX(Models!$BJ359:$BT359,,AH359+1)*AF359-ERP_i)*AE359*Ramure*Pc/MaxiM</f>
        <v>2.3295550144861259E-3</v>
      </c>
      <c r="AE359" s="304">
        <f t="shared" si="142"/>
        <v>0.6</v>
      </c>
      <c r="AF359" s="177">
        <f t="shared" si="143"/>
        <v>0.49901727451235178</v>
      </c>
      <c r="AG359" s="799">
        <f t="shared" si="149"/>
        <v>2</v>
      </c>
      <c r="AH359" s="176">
        <f t="shared" si="144"/>
        <v>8</v>
      </c>
      <c r="AI359" s="224">
        <f t="shared" si="145"/>
        <v>2.4990172745123518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46368</v>
      </c>
      <c r="B360" s="409">
        <f>IF(t&gt;Tmaj,'2025'!Wh/'2025'!Env_an*'2026'!Env_an,0.001*'[14]mon-tableau (2)'!$B$253)</f>
        <v>6.9864297557298993</v>
      </c>
      <c r="C360" s="829"/>
      <c r="D360" s="391">
        <f t="shared" si="127"/>
        <v>7.3817549867634442</v>
      </c>
      <c r="E360" s="383">
        <f t="shared" si="125"/>
        <v>7.6381349097830062</v>
      </c>
      <c r="F360" s="383">
        <f t="shared" si="128"/>
        <v>7.6381349097830062</v>
      </c>
      <c r="G360" s="110">
        <f t="shared" si="126"/>
        <v>0.27363808729379591</v>
      </c>
      <c r="H360" s="412" t="b">
        <f>Wh_hp&gt;='2025'!Maxi_hp</f>
        <v>0</v>
      </c>
      <c r="I360" s="388">
        <f>IF(H360,Wh_hp,'2025'!Maxi_hp)</f>
        <v>26.814406326002654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5.3554369081935116E-2</v>
      </c>
      <c r="M360" s="832"/>
      <c r="N360" s="832"/>
      <c r="O360" s="48">
        <f>IF(t&lt;Tnet,'2025'!Resal+('2025'!Salim-'2025'!Resal)*(1-EXP(('2025'!Tnet-t)/('2025'!Tau_j))),Resal+(Salim-Resal)*(1-EXP((Tnet-t)/(Tau_j))))*Salcycl</f>
        <v>3.356577568316943E-2</v>
      </c>
      <c r="P360" s="169">
        <f>(INDEX(Models!$BJ360:$BT360,,T360)*(1-R360)+INDEX(Models!$BJ360:$BT360,,T360+1)*R360-ERP_i)*Q360*Ramure*Pc/MaxiM</f>
        <v>1.0131855442129733E-4</v>
      </c>
      <c r="Q360" s="304">
        <f t="shared" si="130"/>
        <v>0.6</v>
      </c>
      <c r="R360" s="177">
        <f t="shared" si="131"/>
        <v>0.97404018425528793</v>
      </c>
      <c r="S360" s="799">
        <f t="shared" si="132"/>
        <v>-2</v>
      </c>
      <c r="T360" s="176">
        <f t="shared" si="133"/>
        <v>4</v>
      </c>
      <c r="U360" s="250">
        <f t="shared" si="134"/>
        <v>-1.0259598157447121</v>
      </c>
      <c r="V360" s="382">
        <f t="shared" si="135"/>
        <v>25.529055439077645</v>
      </c>
      <c r="W360" s="400">
        <f t="shared" si="136"/>
        <v>6.9864297557298993</v>
      </c>
      <c r="X360" s="157">
        <f t="shared" si="137"/>
        <v>46368</v>
      </c>
      <c r="Y360" s="383">
        <f t="shared" si="138"/>
        <v>6.7810118055415218</v>
      </c>
      <c r="Z360" s="383">
        <f t="shared" si="139"/>
        <v>7.1647135176310659</v>
      </c>
      <c r="AA360" s="384">
        <f t="shared" si="140"/>
        <v>7.6381349097830062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6.1981281784585493E-2</v>
      </c>
      <c r="AD360" s="230">
        <f>(INDEX(Models!$BJ360:$BT360,,AH360)*(1-AF360)+INDEX(Models!$BJ360:$BT360,,AH360+1)*AF360-ERP_i)*AE360*Ramure*Pc/MaxiM</f>
        <v>2.3466598384232068E-3</v>
      </c>
      <c r="AE360" s="304">
        <f t="shared" si="142"/>
        <v>0.6</v>
      </c>
      <c r="AF360" s="177">
        <f t="shared" si="143"/>
        <v>0.49902775062926663</v>
      </c>
      <c r="AG360" s="799">
        <f t="shared" si="149"/>
        <v>2</v>
      </c>
      <c r="AH360" s="176">
        <f t="shared" si="144"/>
        <v>8</v>
      </c>
      <c r="AI360" s="224">
        <f t="shared" si="145"/>
        <v>2.4990277506292666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46369</v>
      </c>
      <c r="B361" s="409">
        <f>IF(t&gt;Tmaj,'2025'!Wh/'2025'!Env_an*'2026'!Env_an,0.001*'[14]mon-tableau (2)'!$B$254)</f>
        <v>5.4224340795490633</v>
      </c>
      <c r="C361" s="829"/>
      <c r="D361" s="391">
        <f t="shared" si="127"/>
        <v>5.7293708419287048</v>
      </c>
      <c r="E361" s="383">
        <f t="shared" ref="E361:E379" si="150">Wh_pvt/(1-Psa)</f>
        <v>5.9289078724024442</v>
      </c>
      <c r="F361" s="383">
        <f t="shared" si="128"/>
        <v>5.9289078724024442</v>
      </c>
      <c r="G361" s="110">
        <f t="shared" ref="G361:G379" si="151">+Wh_hp/MaxiM</f>
        <v>0.21291304124228391</v>
      </c>
      <c r="H361" s="412" t="b">
        <f>Wh_hp&gt;='2025'!Maxi_hp</f>
        <v>0</v>
      </c>
      <c r="I361" s="388">
        <f>IF(H361,Wh_hp,'2025'!Maxi_hp)</f>
        <v>28.151976192045886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5.3572507496532751E-2</v>
      </c>
      <c r="M361" s="832"/>
      <c r="N361" s="832"/>
      <c r="O361" s="48">
        <f>IF(t&lt;Tnet,'2025'!Resal+('2025'!Salim-'2025'!Resal)*(1-EXP(('2025'!Tnet-t)/('2025'!Tau_j))),Resal+(Salim-Resal)*(1-EXP((Tnet-t)/(Tau_j))))*Salcycl</f>
        <v>3.3654938610622277E-2</v>
      </c>
      <c r="P361" s="169">
        <f>(INDEX(Models!$BJ361:$BT361,,T361)*(1-R361)+INDEX(Models!$BJ361:$BT361,,T361+1)*R361-ERP_i)*Q361*Ramure*Pc/MaxiM</f>
        <v>1.0578575652684229E-4</v>
      </c>
      <c r="Q361" s="304">
        <f t="shared" si="130"/>
        <v>0.6</v>
      </c>
      <c r="R361" s="177">
        <f t="shared" si="131"/>
        <v>0.97405023898566379</v>
      </c>
      <c r="S361" s="799">
        <f t="shared" si="132"/>
        <v>-2</v>
      </c>
      <c r="T361" s="176">
        <f t="shared" si="133"/>
        <v>4</v>
      </c>
      <c r="U361" s="250">
        <f t="shared" si="134"/>
        <v>-1.0259497610143362</v>
      </c>
      <c r="V361" s="382">
        <f t="shared" si="135"/>
        <v>25.465140282731422</v>
      </c>
      <c r="W361" s="400">
        <f t="shared" si="136"/>
        <v>5.4224340795490633</v>
      </c>
      <c r="X361" s="157">
        <f t="shared" si="137"/>
        <v>46369</v>
      </c>
      <c r="Y361" s="383">
        <f t="shared" si="138"/>
        <v>5.2631968646269609</v>
      </c>
      <c r="Z361" s="383">
        <f t="shared" si="139"/>
        <v>5.5611200079415264</v>
      </c>
      <c r="AA361" s="384">
        <f t="shared" si="140"/>
        <v>5.9289078724024442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6.2032986913639912E-2</v>
      </c>
      <c r="AD361" s="230">
        <f>(INDEX(Models!$BJ361:$BT361,,AH361)*(1-AF361)+INDEX(Models!$BJ361:$BT361,,AH361+1)*AF361-ERP_i)*AE361*Ramure*Pc/MaxiM</f>
        <v>2.3614906105542022E-3</v>
      </c>
      <c r="AE361" s="304">
        <f t="shared" si="142"/>
        <v>0.6</v>
      </c>
      <c r="AF361" s="177">
        <f t="shared" si="143"/>
        <v>0.49903780535964248</v>
      </c>
      <c r="AG361" s="799">
        <f t="shared" si="149"/>
        <v>2</v>
      </c>
      <c r="AH361" s="176">
        <f t="shared" si="144"/>
        <v>8</v>
      </c>
      <c r="AI361" s="224">
        <f t="shared" si="145"/>
        <v>2.4990378053596425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46370</v>
      </c>
      <c r="B362" s="409">
        <f>IF(t&gt;Tmaj,'2025'!Wh/'2025'!Env_an*'2026'!Env_an,0.001*'[14]mon-tableau (2)'!$B$255)</f>
        <v>17.613683127979336</v>
      </c>
      <c r="C362" s="829"/>
      <c r="D362" s="391">
        <f t="shared" si="127"/>
        <v>18.611061952644043</v>
      </c>
      <c r="E362" s="383">
        <f t="shared" si="150"/>
        <v>19.261012817382685</v>
      </c>
      <c r="F362" s="383">
        <f t="shared" si="128"/>
        <v>19.26220191481093</v>
      </c>
      <c r="G362" s="110">
        <f t="shared" si="151"/>
        <v>0.69315918748395144</v>
      </c>
      <c r="H362" s="412" t="b">
        <f>Wh_hp&gt;='2025'!Maxi_hp</f>
        <v>0</v>
      </c>
      <c r="I362" s="388">
        <f>IF(H362,Wh_hp,'2025'!Maxi_hp)</f>
        <v>27.05277642016825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5.3590645563511785E-2</v>
      </c>
      <c r="M362" s="832"/>
      <c r="N362" s="832"/>
      <c r="O362" s="48">
        <f>IF(t&lt;Tnet,'2025'!Resal+('2025'!Salim-'2025'!Resal)*(1-EXP(('2025'!Tnet-t)/('2025'!Tau_j))),Resal+(Salim-Resal)*(1-EXP((Tnet-t)/(Tau_j))))*Salcycl</f>
        <v>3.3744376316082104E-2</v>
      </c>
      <c r="P362" s="169">
        <f>(INDEX(Models!$BJ362:$BT362,,T362)*(1-R362)+INDEX(Models!$BJ362:$BT362,,T362+1)*R362-ERP_i)*Q362*Ramure*Pc/MaxiM</f>
        <v>1.099016556199071E-4</v>
      </c>
      <c r="Q362" s="304">
        <f t="shared" si="130"/>
        <v>0.6</v>
      </c>
      <c r="R362" s="177">
        <f t="shared" si="131"/>
        <v>0.97405988926323306</v>
      </c>
      <c r="S362" s="799">
        <f t="shared" si="132"/>
        <v>-2</v>
      </c>
      <c r="T362" s="176">
        <f t="shared" si="133"/>
        <v>4</v>
      </c>
      <c r="U362" s="250">
        <f t="shared" si="134"/>
        <v>-1.0259401107367669</v>
      </c>
      <c r="V362" s="382">
        <f t="shared" si="135"/>
        <v>25.409509029792329</v>
      </c>
      <c r="W362" s="400">
        <f t="shared" si="136"/>
        <v>17.613683127979336</v>
      </c>
      <c r="X362" s="157">
        <f t="shared" si="137"/>
        <v>46370</v>
      </c>
      <c r="Y362" s="383">
        <f t="shared" si="138"/>
        <v>17.075316234385831</v>
      </c>
      <c r="Z362" s="383">
        <f t="shared" si="139"/>
        <v>18.042209910903541</v>
      </c>
      <c r="AA362" s="384">
        <f t="shared" si="140"/>
        <v>19.236516041901144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6.2085365582632362E-2</v>
      </c>
      <c r="AD362" s="230">
        <f>(INDEX(Models!$BJ362:$BT362,,AH362)*(1-AF362)+INDEX(Models!$BJ362:$BT362,,AH362+1)*AF362-ERP_i)*AE362*Ramure*Pc/MaxiM</f>
        <v>2.374002240496951E-3</v>
      </c>
      <c r="AE362" s="304">
        <f t="shared" si="142"/>
        <v>0.6</v>
      </c>
      <c r="AF362" s="177">
        <f t="shared" si="143"/>
        <v>0.49904745563721153</v>
      </c>
      <c r="AG362" s="799">
        <f t="shared" si="149"/>
        <v>2</v>
      </c>
      <c r="AH362" s="176">
        <f t="shared" si="144"/>
        <v>8</v>
      </c>
      <c r="AI362" s="224">
        <f t="shared" si="145"/>
        <v>2.4990474556372115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46371</v>
      </c>
      <c r="B363" s="409">
        <f>IF(t&gt;Tmaj,'2025'!Wh/'2025'!Env_an*'2026'!Env_an,0.001*'[14]mon-tableau (2)'!$B$256)</f>
        <v>5.899116294056892</v>
      </c>
      <c r="C363" s="829"/>
      <c r="D363" s="391">
        <f t="shared" si="127"/>
        <v>6.233274559034875</v>
      </c>
      <c r="E363" s="383">
        <f t="shared" si="150"/>
        <v>6.4515569991739525</v>
      </c>
      <c r="F363" s="383">
        <f t="shared" si="128"/>
        <v>6.4515569991739525</v>
      </c>
      <c r="G363" s="110">
        <f t="shared" si="151"/>
        <v>0.23256620695991609</v>
      </c>
      <c r="H363" s="412" t="b">
        <f>Wh_hp&gt;='2025'!Maxi_hp</f>
        <v>0</v>
      </c>
      <c r="I363" s="388">
        <f>IF(H363,Wh_hp,'2025'!Maxi_hp)</f>
        <v>28.710535852153466</v>
      </c>
      <c r="J363" s="85">
        <f>IF(H363,An,'2025'!An_max)</f>
        <v>2018</v>
      </c>
      <c r="K363" s="197">
        <f t="shared" si="129"/>
        <v>46371</v>
      </c>
      <c r="L363" s="147">
        <f>IF(t&lt;Tvie,1-EXP((T0-t)*PertePVj)+'2025'!Pspv,1-EXP((T0-t)*PertePVj)+Pspv)</f>
        <v>5.360878328287888E-2</v>
      </c>
      <c r="M363" s="832"/>
      <c r="N363" s="832"/>
      <c r="O363" s="48">
        <f>IF(t&lt;Tnet,'2025'!Resal+('2025'!Salim-'2025'!Resal)*(1-EXP(('2025'!Tnet-t)/('2025'!Tau_j))),Resal+(Salim-Resal)*(1-EXP((Tnet-t)/(Tau_j))))*Salcycl</f>
        <v>3.3834071398117657E-2</v>
      </c>
      <c r="P363" s="169">
        <f>(INDEX(Models!$BJ363:$BT363,,T363)*(1-R363)+INDEX(Models!$BJ363:$BT363,,T363+1)*R363-ERP_i)*Q363*Ramure*Pc/MaxiM</f>
        <v>1.1366391748446359E-4</v>
      </c>
      <c r="Q363" s="304">
        <f t="shared" si="130"/>
        <v>0.6</v>
      </c>
      <c r="R363" s="177">
        <f t="shared" si="131"/>
        <v>0.9740691513424895</v>
      </c>
      <c r="S363" s="799">
        <f t="shared" si="132"/>
        <v>-2</v>
      </c>
      <c r="T363" s="176">
        <f t="shared" si="133"/>
        <v>4</v>
      </c>
      <c r="U363" s="250">
        <f t="shared" si="134"/>
        <v>-1.0259308486575105</v>
      </c>
      <c r="V363" s="382">
        <f t="shared" si="135"/>
        <v>25.362437021668583</v>
      </c>
      <c r="W363" s="400">
        <f t="shared" si="136"/>
        <v>5.899116294056892</v>
      </c>
      <c r="X363" s="157">
        <f t="shared" si="137"/>
        <v>46371</v>
      </c>
      <c r="Y363" s="383">
        <f t="shared" si="138"/>
        <v>5.7262987563708281</v>
      </c>
      <c r="Z363" s="383">
        <f t="shared" si="139"/>
        <v>6.0506676892400133</v>
      </c>
      <c r="AA363" s="384">
        <f t="shared" si="140"/>
        <v>6.4515569991739525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6.2138381476792119E-2</v>
      </c>
      <c r="AD363" s="230">
        <f>(INDEX(Models!$BJ363:$BT363,,AH363)*(1-AF363)+INDEX(Models!$BJ363:$BT363,,AH363+1)*AF363-ERP_i)*AE363*Ramure*Pc/MaxiM</f>
        <v>2.3841488742013983E-3</v>
      </c>
      <c r="AE363" s="304">
        <f t="shared" si="142"/>
        <v>0.6</v>
      </c>
      <c r="AF363" s="177">
        <f t="shared" si="143"/>
        <v>0.49905671771646842</v>
      </c>
      <c r="AG363" s="799">
        <f t="shared" si="149"/>
        <v>2</v>
      </c>
      <c r="AH363" s="176">
        <f t="shared" si="144"/>
        <v>8</v>
      </c>
      <c r="AI363" s="224">
        <f t="shared" si="145"/>
        <v>2.4990567177164684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46372</v>
      </c>
      <c r="B364" s="409">
        <f>IF(t&gt;Tmaj,'2025'!Wh/'2025'!Env_an*'2026'!Env_an,0.001*'[14]mon-tableau (2)'!$B$257)</f>
        <v>5.2667258331039353</v>
      </c>
      <c r="C364" s="829"/>
      <c r="D364" s="391">
        <f t="shared" si="127"/>
        <v>5.5651686930350142</v>
      </c>
      <c r="E364" s="383">
        <f t="shared" si="150"/>
        <v>5.7605910171675179</v>
      </c>
      <c r="F364" s="383">
        <f t="shared" si="128"/>
        <v>5.7605910171675179</v>
      </c>
      <c r="G364" s="110">
        <f t="shared" si="151"/>
        <v>0.20794770859214498</v>
      </c>
      <c r="H364" s="412" t="b">
        <f>Wh_hp&gt;='2025'!Maxi_hp</f>
        <v>0</v>
      </c>
      <c r="I364" s="388">
        <f>IF(H364,Wh_hp,'2025'!Maxi_hp)</f>
        <v>28.36247847047073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5.3626920654640697E-2</v>
      </c>
      <c r="M364" s="832"/>
      <c r="N364" s="832"/>
      <c r="O364" s="48">
        <f>IF(t&lt;Tnet,'2025'!Resal+('2025'!Salim-'2025'!Resal)*(1-EXP(('2025'!Tnet-t)/('2025'!Tau_j))),Resal+(Salim-Resal)*(1-EXP((Tnet-t)/(Tau_j))))*Salcycl</f>
        <v>3.3924005983086189E-2</v>
      </c>
      <c r="P364" s="169">
        <f>(INDEX(Models!$BJ364:$BT364,,T364)*(1-R364)+INDEX(Models!$BJ364:$BT364,,T364+1)*R364-ERP_i)*Q364*Ramure*Pc/MaxiM</f>
        <v>1.1707007498115897E-4</v>
      </c>
      <c r="Q364" s="304">
        <f t="shared" si="130"/>
        <v>0.6</v>
      </c>
      <c r="R364" s="177">
        <f t="shared" si="131"/>
        <v>0.97407804082583471</v>
      </c>
      <c r="S364" s="799">
        <f t="shared" si="132"/>
        <v>-2</v>
      </c>
      <c r="T364" s="176">
        <f t="shared" si="133"/>
        <v>4</v>
      </c>
      <c r="U364" s="250">
        <f t="shared" si="134"/>
        <v>-1.0259219591741653</v>
      </c>
      <c r="V364" s="382">
        <f t="shared" si="135"/>
        <v>25.324199495962468</v>
      </c>
      <c r="W364" s="400">
        <f t="shared" si="136"/>
        <v>5.2667258331039353</v>
      </c>
      <c r="X364" s="157">
        <f t="shared" si="137"/>
        <v>46372</v>
      </c>
      <c r="Y364" s="383">
        <f t="shared" si="138"/>
        <v>5.1126181198776735</v>
      </c>
      <c r="Z364" s="383">
        <f t="shared" si="139"/>
        <v>5.4023283538604643</v>
      </c>
      <c r="AA364" s="384">
        <f t="shared" si="140"/>
        <v>5.7605910171675179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6.2191997702904331E-2</v>
      </c>
      <c r="AD364" s="230">
        <f>(INDEX(Models!$BJ364:$BT364,,AH364)*(1-AF364)+INDEX(Models!$BJ364:$BT364,,AH364+1)*AF364-ERP_i)*AE364*Ramure*Pc/MaxiM</f>
        <v>2.3918846834454655E-3</v>
      </c>
      <c r="AE364" s="304">
        <f t="shared" si="142"/>
        <v>0.6</v>
      </c>
      <c r="AF364" s="177">
        <f t="shared" si="143"/>
        <v>0.49906560719981341</v>
      </c>
      <c r="AG364" s="799">
        <f t="shared" si="149"/>
        <v>2</v>
      </c>
      <c r="AH364" s="176">
        <f t="shared" si="144"/>
        <v>8</v>
      </c>
      <c r="AI364" s="224">
        <f t="shared" si="145"/>
        <v>2.4990656071998134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46373</v>
      </c>
      <c r="B365" s="409">
        <f>IF(t&gt;Tmaj,'2025'!Wh/'2025'!Env_an*'2026'!Env_an,0.001*'[14]mon-tableau (2)'!$B$258)</f>
        <v>3.4750417845858079</v>
      </c>
      <c r="C365" s="829"/>
      <c r="D365" s="391">
        <f t="shared" si="127"/>
        <v>3.6720279349546288</v>
      </c>
      <c r="E365" s="383">
        <f t="shared" si="150"/>
        <v>3.8013268828232158</v>
      </c>
      <c r="F365" s="383">
        <f t="shared" si="128"/>
        <v>3.8013268828232158</v>
      </c>
      <c r="G365" s="110">
        <f t="shared" si="151"/>
        <v>0.13736369005693302</v>
      </c>
      <c r="H365" s="412" t="b">
        <f>Wh_hp&gt;='2025'!Maxi_hp</f>
        <v>0</v>
      </c>
      <c r="I365" s="388">
        <f>IF(H365,Wh_hp,'2025'!Maxi_hp)</f>
        <v>28.942207486281909</v>
      </c>
      <c r="J365" s="85">
        <f>IF(H365,An,'2025'!An_max)</f>
        <v>2021</v>
      </c>
      <c r="K365" s="197">
        <f t="shared" si="129"/>
        <v>46373</v>
      </c>
      <c r="L365" s="147">
        <f>IF(t&lt;Tvie,1-EXP((T0-t)*PertePVj)+'2025'!Pspv,1-EXP((T0-t)*PertePVj)+Pspv)</f>
        <v>5.3645057678804009E-2</v>
      </c>
      <c r="M365" s="832"/>
      <c r="N365" s="832"/>
      <c r="O365" s="48">
        <f>IF(t&lt;Tnet,'2025'!Resal+('2025'!Salim-'2025'!Resal)*(1-EXP(('2025'!Tnet-t)/('2025'!Tau_j))),Resal+(Salim-Resal)*(1-EXP((Tnet-t)/(Tau_j))))*Salcycl</f>
        <v>3.4014161858281849E-2</v>
      </c>
      <c r="P365" s="169">
        <f>(INDEX(Models!$BJ365:$BT365,,T365)*(1-R365)+INDEX(Models!$BJ365:$BT365,,T365+1)*R365-ERP_i)*Q365*Ramure*Pc/MaxiM</f>
        <v>1.2011761500304182E-4</v>
      </c>
      <c r="Q365" s="304">
        <f t="shared" si="130"/>
        <v>0.6</v>
      </c>
      <c r="R365" s="177">
        <f t="shared" si="131"/>
        <v>0.97408657268964727</v>
      </c>
      <c r="S365" s="799">
        <f t="shared" si="132"/>
        <v>-2</v>
      </c>
      <c r="T365" s="176">
        <f t="shared" si="133"/>
        <v>4</v>
      </c>
      <c r="U365" s="250">
        <f t="shared" si="134"/>
        <v>-1.0259134273103527</v>
      </c>
      <c r="V365" s="382">
        <f t="shared" si="135"/>
        <v>25.295071568144991</v>
      </c>
      <c r="W365" s="400">
        <f t="shared" si="136"/>
        <v>3.4750417845858079</v>
      </c>
      <c r="X365" s="157">
        <f t="shared" si="137"/>
        <v>46373</v>
      </c>
      <c r="Y365" s="383">
        <f t="shared" si="138"/>
        <v>3.3734798066235339</v>
      </c>
      <c r="Z365" s="383">
        <f t="shared" si="139"/>
        <v>3.5647088167037477</v>
      </c>
      <c r="AA365" s="384">
        <f t="shared" si="140"/>
        <v>3.8013268828232158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6.2246177035881103E-2</v>
      </c>
      <c r="AD365" s="230">
        <f>(INDEX(Models!$BJ365:$BT365,,AH365)*(1-AF365)+INDEX(Models!$BJ365:$BT365,,AH365+1)*AF365-ERP_i)*AE365*Ramure*Pc/MaxiM</f>
        <v>2.3971646826529938E-3</v>
      </c>
      <c r="AE365" s="304">
        <f t="shared" si="142"/>
        <v>0.6</v>
      </c>
      <c r="AF365" s="177">
        <f t="shared" si="143"/>
        <v>0.49907413906362574</v>
      </c>
      <c r="AG365" s="799">
        <f t="shared" si="149"/>
        <v>2</v>
      </c>
      <c r="AH365" s="176">
        <f t="shared" si="144"/>
        <v>8</v>
      </c>
      <c r="AI365" s="224">
        <f t="shared" si="145"/>
        <v>2.4990741390636257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46374</v>
      </c>
      <c r="B366" s="409">
        <f>IF(t&gt;Tmaj,'2025'!Wh/'2025'!Env_an*'2026'!Env_an,0.001*'[14]mon-tableau (2)'!$B$259)</f>
        <v>24.601783088972216</v>
      </c>
      <c r="C366" s="829"/>
      <c r="D366" s="391">
        <f t="shared" si="127"/>
        <v>25.996857505942614</v>
      </c>
      <c r="E366" s="383">
        <f t="shared" si="150"/>
        <v>26.914772934005398</v>
      </c>
      <c r="F366" s="383">
        <f t="shared" si="128"/>
        <v>26.917944459362911</v>
      </c>
      <c r="G366" s="110">
        <f t="shared" si="151"/>
        <v>0.97334682567894304</v>
      </c>
      <c r="H366" s="412" t="b">
        <f>Wh_hp&gt;='2025'!Maxi_hp</f>
        <v>0</v>
      </c>
      <c r="I366" s="388">
        <f>IF(H366,Wh_hp,'2025'!Maxi_hp)</f>
        <v>28.845869606100038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5.3663194355375365E-2</v>
      </c>
      <c r="M366" s="832"/>
      <c r="N366" s="832"/>
      <c r="O366" s="48">
        <f>IF(t&lt;Tnet,'2025'!Resal+('2025'!Salim-'2025'!Resal)*(1-EXP(('2025'!Tnet-t)/('2025'!Tau_j))),Resal+(Salim-Resal)*(1-EXP((Tnet-t)/(Tau_j))))*Salcycl</f>
        <v>3.4104520603368993E-2</v>
      </c>
      <c r="P366" s="169">
        <f>(INDEX(Models!$BJ366:$BT366,,T366)*(1-R366)+INDEX(Models!$BJ366:$BT366,,T366+1)*R366-ERP_i)*Q366*Ramure*Pc/MaxiM</f>
        <v>1.2248491090685002E-4</v>
      </c>
      <c r="Q366" s="304">
        <f t="shared" si="130"/>
        <v>0.6</v>
      </c>
      <c r="R366" s="177">
        <f t="shared" si="131"/>
        <v>0.97409476130931649</v>
      </c>
      <c r="S366" s="799">
        <f t="shared" si="132"/>
        <v>-2</v>
      </c>
      <c r="T366" s="176">
        <f t="shared" si="133"/>
        <v>4</v>
      </c>
      <c r="U366" s="250">
        <f t="shared" si="134"/>
        <v>-1.0259052386906835</v>
      </c>
      <c r="V366" s="382">
        <f t="shared" si="135"/>
        <v>25.275336303415251</v>
      </c>
      <c r="W366" s="400">
        <f t="shared" si="136"/>
        <v>24.601783088972216</v>
      </c>
      <c r="X366" s="157">
        <f t="shared" si="137"/>
        <v>46374</v>
      </c>
      <c r="Y366" s="383">
        <f t="shared" si="138"/>
        <v>23.831296610296221</v>
      </c>
      <c r="Z366" s="383">
        <f t="shared" si="139"/>
        <v>25.182679642331827</v>
      </c>
      <c r="AA366" s="384">
        <f t="shared" si="140"/>
        <v>26.855820980538265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6.2300882159548175E-2</v>
      </c>
      <c r="AD366" s="230">
        <f>(INDEX(Models!$BJ366:$BT366,,AH366)*(1-AF366)+INDEX(Models!$BJ366:$BT366,,AH366+1)*AF366-ERP_i)*AE366*Ramure*Pc/MaxiM</f>
        <v>2.3992205362750848E-3</v>
      </c>
      <c r="AE366" s="304">
        <f t="shared" si="142"/>
        <v>0.6</v>
      </c>
      <c r="AF366" s="177">
        <f t="shared" si="143"/>
        <v>0.49908232768329519</v>
      </c>
      <c r="AG366" s="799">
        <f t="shared" si="149"/>
        <v>2</v>
      </c>
      <c r="AH366" s="176">
        <f t="shared" si="144"/>
        <v>8</v>
      </c>
      <c r="AI366" s="224">
        <f t="shared" si="145"/>
        <v>2.4990823276832952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46375</v>
      </c>
      <c r="B367" s="409">
        <f>IF(t&gt;Tmaj,'2025'!Wh/'2025'!Env_an*'2026'!Env_an,0.001*'[14]mon-tableau (2)'!$B$260)</f>
        <v>19.814543567509247</v>
      </c>
      <c r="C367" s="829"/>
      <c r="D367" s="391">
        <f t="shared" si="127"/>
        <v>20.938552952610333</v>
      </c>
      <c r="E367" s="383">
        <f t="shared" si="150"/>
        <v>21.679898461939498</v>
      </c>
      <c r="F367" s="383">
        <f t="shared" si="128"/>
        <v>21.681761156364967</v>
      </c>
      <c r="G367" s="110">
        <f t="shared" si="151"/>
        <v>0.7842301523889863</v>
      </c>
      <c r="H367" s="412" t="b">
        <f>Wh_hp&gt;='2025'!Maxi_hp</f>
        <v>0</v>
      </c>
      <c r="I367" s="388">
        <f>IF(H367,Wh_hp,'2025'!Maxi_hp)</f>
        <v>28.572996708311734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5.3681330684361428E-2</v>
      </c>
      <c r="M367" s="832"/>
      <c r="N367" s="832"/>
      <c r="O367" s="48">
        <f>IF(t&lt;Tnet,'2025'!Resal+('2025'!Salim-'2025'!Resal)*(1-EXP(('2025'!Tnet-t)/('2025'!Tau_j))),Resal+(Salim-Resal)*(1-EXP((Tnet-t)/(Tau_j))))*Salcycl</f>
        <v>3.4195063719078093E-2</v>
      </c>
      <c r="P367" s="169">
        <f>(INDEX(Models!$BJ367:$BT367,,T367)*(1-R367)+INDEX(Models!$BJ367:$BT367,,T367+1)*R367-ERP_i)*Q367*Ramure*Pc/MaxiM</f>
        <v>1.2418420102287988E-4</v>
      </c>
      <c r="Q367" s="304">
        <f t="shared" si="130"/>
        <v>0.6</v>
      </c>
      <c r="R367" s="177">
        <f t="shared" si="131"/>
        <v>0.97410262048328278</v>
      </c>
      <c r="S367" s="799">
        <f t="shared" si="132"/>
        <v>-2</v>
      </c>
      <c r="T367" s="176">
        <f t="shared" si="133"/>
        <v>4</v>
      </c>
      <c r="U367" s="250">
        <f t="shared" si="134"/>
        <v>-1.0258973795167172</v>
      </c>
      <c r="V367" s="382">
        <f t="shared" si="135"/>
        <v>25.265268198704415</v>
      </c>
      <c r="W367" s="400">
        <f t="shared" si="136"/>
        <v>19.814543567509247</v>
      </c>
      <c r="X367" s="157">
        <f t="shared" si="137"/>
        <v>46375</v>
      </c>
      <c r="Y367" s="383">
        <f t="shared" si="138"/>
        <v>19.206508794716104</v>
      </c>
      <c r="Z367" s="383">
        <f t="shared" si="139"/>
        <v>20.29602650511579</v>
      </c>
      <c r="AA367" s="384">
        <f t="shared" si="140"/>
        <v>21.645771900665245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6.2356075899883873E-2</v>
      </c>
      <c r="AD367" s="230">
        <f>(INDEX(Models!$BJ367:$BT367,,AH367)*(1-AF367)+INDEX(Models!$BJ367:$BT367,,AH367+1)*AF367-ERP_i)*AE367*Ramure*Pc/MaxiM</f>
        <v>2.3993720619808786E-3</v>
      </c>
      <c r="AE367" s="304">
        <f t="shared" si="142"/>
        <v>0.6</v>
      </c>
      <c r="AF367" s="177">
        <f t="shared" si="143"/>
        <v>0.49909018685726148</v>
      </c>
      <c r="AG367" s="799">
        <f t="shared" si="149"/>
        <v>2</v>
      </c>
      <c r="AH367" s="176">
        <f t="shared" si="144"/>
        <v>8</v>
      </c>
      <c r="AI367" s="224">
        <f t="shared" si="145"/>
        <v>2.4990901868572615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46376</v>
      </c>
      <c r="B368" s="409">
        <f>IF(t&gt;Tmaj,'2025'!Wh/'2025'!Env_an*'2026'!Env_an,0.001*'[14]mon-tableau (2)'!$B$261)</f>
        <v>4.3685849061859496</v>
      </c>
      <c r="C368" s="829"/>
      <c r="D368" s="391">
        <f t="shared" si="127"/>
        <v>4.6164878411232761</v>
      </c>
      <c r="E368" s="383">
        <f t="shared" si="150"/>
        <v>4.780387107146348</v>
      </c>
      <c r="F368" s="383">
        <f t="shared" si="128"/>
        <v>4.780387107146348</v>
      </c>
      <c r="G368" s="110">
        <f t="shared" si="151"/>
        <v>0.1728879219641031</v>
      </c>
      <c r="H368" s="412" t="b">
        <f>Wh_hp&gt;='2025'!Maxi_hp</f>
        <v>0</v>
      </c>
      <c r="I368" s="388">
        <f>IF(H368,Wh_hp,'2025'!Maxi_hp)</f>
        <v>25.354958891522763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5.3699466665768858E-2</v>
      </c>
      <c r="M368" s="832"/>
      <c r="N368" s="832"/>
      <c r="O368" s="48">
        <f>IF(t&lt;Tnet,'2025'!Resal+('2025'!Salim-'2025'!Resal)*(1-EXP(('2025'!Tnet-t)/('2025'!Tau_j))),Resal+(Salim-Resal)*(1-EXP((Tnet-t)/(Tau_j))))*Salcycl</f>
        <v>3.4285772752180241E-2</v>
      </c>
      <c r="P368" s="169">
        <f>(INDEX(Models!$BJ368:$BT368,,T368)*(1-R368)+INDEX(Models!$BJ368:$BT368,,T368+1)*R368-ERP_i)*Q368*Ramure*Pc/MaxiM</f>
        <v>1.2521535425178269E-4</v>
      </c>
      <c r="Q368" s="304">
        <f t="shared" si="130"/>
        <v>0.6</v>
      </c>
      <c r="R368" s="177">
        <f t="shared" si="131"/>
        <v>0.97411016345612111</v>
      </c>
      <c r="S368" s="799">
        <f t="shared" si="132"/>
        <v>-2</v>
      </c>
      <c r="T368" s="176">
        <f t="shared" si="133"/>
        <v>4</v>
      </c>
      <c r="U368" s="250">
        <f t="shared" si="134"/>
        <v>-1.0258898365438789</v>
      </c>
      <c r="V368" s="382">
        <f t="shared" si="135"/>
        <v>25.265141963972951</v>
      </c>
      <c r="W368" s="400">
        <f t="shared" si="136"/>
        <v>4.3685849061859496</v>
      </c>
      <c r="X368" s="157">
        <f t="shared" si="137"/>
        <v>46376</v>
      </c>
      <c r="Y368" s="383">
        <f t="shared" si="138"/>
        <v>4.241352033890565</v>
      </c>
      <c r="Z368" s="383">
        <f t="shared" si="139"/>
        <v>4.4820349185965522</v>
      </c>
      <c r="AA368" s="384">
        <f t="shared" si="140"/>
        <v>4.780387107146348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6.2411721449039129E-2</v>
      </c>
      <c r="AD368" s="230">
        <f>(INDEX(Models!$BJ368:$BT368,,AH368)*(1-AF368)+INDEX(Models!$BJ368:$BT368,,AH368+1)*AF368-ERP_i)*AE368*Ramure*Pc/MaxiM</f>
        <v>2.3975785165072172E-3</v>
      </c>
      <c r="AE368" s="304">
        <f t="shared" si="142"/>
        <v>0.6</v>
      </c>
      <c r="AF368" s="177">
        <f t="shared" si="143"/>
        <v>0.49909772983009981</v>
      </c>
      <c r="AG368" s="799">
        <f t="shared" si="149"/>
        <v>2</v>
      </c>
      <c r="AH368" s="176">
        <f t="shared" si="144"/>
        <v>8</v>
      </c>
      <c r="AI368" s="224">
        <f t="shared" si="145"/>
        <v>2.4990977298300998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46377</v>
      </c>
      <c r="B369" s="409">
        <f>IF(t&gt;Tmaj,'2025'!Wh/'2025'!Env_an*'2026'!Env_an,0.001*'[14]mon-tableau (2)'!$B$262)</f>
        <v>22.520853178611326</v>
      </c>
      <c r="C369" s="829"/>
      <c r="D369" s="391">
        <f t="shared" si="127"/>
        <v>23.79929419942745</v>
      </c>
      <c r="E369" s="383">
        <f t="shared" si="150"/>
        <v>24.646559853899319</v>
      </c>
      <c r="F369" s="383">
        <f t="shared" si="128"/>
        <v>24.64917338003707</v>
      </c>
      <c r="G369" s="110">
        <f t="shared" si="151"/>
        <v>0.89100715990987711</v>
      </c>
      <c r="H369" s="412" t="b">
        <f>Wh_hp&gt;='2025'!Maxi_hp</f>
        <v>1</v>
      </c>
      <c r="I369" s="388">
        <f>IF(H369,Wh_hp,'2025'!Maxi_hp)</f>
        <v>24.64917338003707</v>
      </c>
      <c r="J369" s="85">
        <f>IF(H369,An,'2025'!An_max)</f>
        <v>2026</v>
      </c>
      <c r="K369" s="197">
        <f t="shared" si="129"/>
        <v>46377</v>
      </c>
      <c r="L369" s="147">
        <f>IF(t&lt;Tvie,1-EXP((T0-t)*PertePVj)+'2025'!Pspv,1-EXP((T0-t)*PertePVj)+Pspv)</f>
        <v>5.3717602299604317E-2</v>
      </c>
      <c r="M369" s="832"/>
      <c r="N369" s="832"/>
      <c r="O369" s="48">
        <f>IF(t&lt;Tnet,'2025'!Resal+('2025'!Salim-'2025'!Resal)*(1-EXP(('2025'!Tnet-t)/('2025'!Tau_j))),Resal+(Salim-Resal)*(1-EXP((Tnet-t)/(Tau_j))))*Salcycl</f>
        <v>3.4376629415801579E-2</v>
      </c>
      <c r="P369" s="169">
        <f>(INDEX(Models!$BJ369:$BT369,,T369)*(1-R369)+INDEX(Models!$BJ369:$BT369,,T369+1)*R369-ERP_i)*Q369*Ramure*Pc/MaxiM</f>
        <v>1.2557898953349111E-4</v>
      </c>
      <c r="Q369" s="304">
        <f t="shared" si="130"/>
        <v>0.6</v>
      </c>
      <c r="R369" s="177">
        <f t="shared" si="131"/>
        <v>0.97411740294070803</v>
      </c>
      <c r="S369" s="799">
        <f t="shared" si="132"/>
        <v>-2</v>
      </c>
      <c r="T369" s="176">
        <f t="shared" si="133"/>
        <v>4</v>
      </c>
      <c r="U369" s="250">
        <f t="shared" si="134"/>
        <v>-1.025882597059292</v>
      </c>
      <c r="V369" s="382">
        <f t="shared" si="135"/>
        <v>25.275232188687536</v>
      </c>
      <c r="W369" s="400">
        <f t="shared" si="136"/>
        <v>22.520853178611326</v>
      </c>
      <c r="X369" s="157">
        <f t="shared" si="137"/>
        <v>46377</v>
      </c>
      <c r="Y369" s="383">
        <f t="shared" si="138"/>
        <v>21.823814673857363</v>
      </c>
      <c r="Z369" s="383">
        <f t="shared" si="139"/>
        <v>23.062686917660539</v>
      </c>
      <c r="AA369" s="384">
        <f t="shared" si="140"/>
        <v>24.599354015899067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6.2467782578573043E-2</v>
      </c>
      <c r="AD369" s="230">
        <f>(INDEX(Models!$BJ369:$BT369,,AH369)*(1-AF369)+INDEX(Models!$BJ369:$BT369,,AH369+1)*AF369-ERP_i)*AE369*Ramure*Pc/MaxiM</f>
        <v>2.3938025020241059E-3</v>
      </c>
      <c r="AE369" s="304">
        <f t="shared" si="142"/>
        <v>0.6</v>
      </c>
      <c r="AF369" s="177">
        <f t="shared" si="143"/>
        <v>0.49910496931468673</v>
      </c>
      <c r="AG369" s="799">
        <f t="shared" si="149"/>
        <v>2</v>
      </c>
      <c r="AH369" s="176">
        <f t="shared" si="144"/>
        <v>8</v>
      </c>
      <c r="AI369" s="224">
        <f t="shared" si="145"/>
        <v>2.4991049693146867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46378</v>
      </c>
      <c r="B370" s="409">
        <f>IF(t&gt;Tmaj,'2025'!Wh/'2025'!Env_an*'2026'!Env_an,0.001*'[14]mon-tableau (2)'!$B$263)</f>
        <v>20.15843388261446</v>
      </c>
      <c r="C370" s="829"/>
      <c r="D370" s="391">
        <f t="shared" si="127"/>
        <v>21.303175744147751</v>
      </c>
      <c r="E370" s="383">
        <f t="shared" si="150"/>
        <v>22.063657408741225</v>
      </c>
      <c r="F370" s="383">
        <f t="shared" si="128"/>
        <v>22.065619702503195</v>
      </c>
      <c r="G370" s="110">
        <f t="shared" si="151"/>
        <v>0.79687894822725625</v>
      </c>
      <c r="H370" s="412" t="b">
        <f>Wh_hp&gt;='2025'!Maxi_hp</f>
        <v>0</v>
      </c>
      <c r="I370" s="388">
        <f>IF(H370,Wh_hp,'2025'!Maxi_hp)</f>
        <v>28.339103776749631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5.3735737585874577E-2</v>
      </c>
      <c r="M370" s="832"/>
      <c r="N370" s="832"/>
      <c r="O370" s="48">
        <f>IF(t&lt;Tnet,'2025'!Resal+('2025'!Salim-'2025'!Resal)*(1-EXP(('2025'!Tnet-t)/('2025'!Tau_j))),Resal+(Salim-Resal)*(1-EXP((Tnet-t)/(Tau_j))))*Salcycl</f>
        <v>3.4467615704193551E-2</v>
      </c>
      <c r="P370" s="169">
        <f>(INDEX(Models!$BJ370:$BT370,,T370)*(1-R370)+INDEX(Models!$BJ370:$BT370,,T370+1)*R370-ERP_i)*Q370*Ramure*Pc/MaxiM</f>
        <v>1.2527661761711222E-4</v>
      </c>
      <c r="Q370" s="304">
        <f t="shared" si="130"/>
        <v>0.6</v>
      </c>
      <c r="R370" s="177">
        <f t="shared" si="131"/>
        <v>0.97412435113950524</v>
      </c>
      <c r="S370" s="799">
        <f t="shared" si="132"/>
        <v>-2</v>
      </c>
      <c r="T370" s="176">
        <f t="shared" si="133"/>
        <v>4</v>
      </c>
      <c r="U370" s="250">
        <f t="shared" si="134"/>
        <v>-1.0258756488604948</v>
      </c>
      <c r="V370" s="382">
        <f t="shared" si="135"/>
        <v>25.295813334964521</v>
      </c>
      <c r="W370" s="400">
        <f t="shared" si="136"/>
        <v>20.15843388261446</v>
      </c>
      <c r="X370" s="157">
        <f t="shared" si="137"/>
        <v>46378</v>
      </c>
      <c r="Y370" s="383">
        <f t="shared" si="138"/>
        <v>19.541225336730069</v>
      </c>
      <c r="Z370" s="383">
        <f t="shared" si="139"/>
        <v>20.650917627255797</v>
      </c>
      <c r="AA370" s="384">
        <f t="shared" si="140"/>
        <v>22.028214650893908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6.2524223840456264E-2</v>
      </c>
      <c r="AD370" s="230">
        <f>(INDEX(Models!$BJ370:$BT370,,AH370)*(1-AF370)+INDEX(Models!$BJ370:$BT370,,AH370+1)*AF370-ERP_i)*AE370*Ramure*Pc/MaxiM</f>
        <v>2.3880106221712489E-3</v>
      </c>
      <c r="AE370" s="304">
        <f t="shared" si="142"/>
        <v>0.6</v>
      </c>
      <c r="AF370" s="177">
        <f t="shared" si="143"/>
        <v>0.49911191751348394</v>
      </c>
      <c r="AG370" s="799">
        <f t="shared" si="149"/>
        <v>2</v>
      </c>
      <c r="AH370" s="176">
        <f t="shared" si="144"/>
        <v>8</v>
      </c>
      <c r="AI370" s="224">
        <f t="shared" si="145"/>
        <v>2.4991119175134839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46379</v>
      </c>
      <c r="B371" s="409">
        <f>IF(t&gt;Tmaj,'2025'!Wh/'2025'!Env_an*'2026'!Env_an,0.001*'[14]mon-tableau (2)'!$B$264)</f>
        <v>20.508150633628937</v>
      </c>
      <c r="C371" s="829"/>
      <c r="D371" s="391">
        <f t="shared" si="127"/>
        <v>21.673167306211035</v>
      </c>
      <c r="E371" s="383">
        <f t="shared" si="150"/>
        <v>22.448975013314847</v>
      </c>
      <c r="F371" s="383">
        <f t="shared" si="128"/>
        <v>22.451007279574906</v>
      </c>
      <c r="G371" s="110">
        <f t="shared" si="151"/>
        <v>0.80970222477476028</v>
      </c>
      <c r="H371" s="412" t="b">
        <f>Wh_hp&gt;='2025'!Maxi_hp</f>
        <v>1</v>
      </c>
      <c r="I371" s="388">
        <f>IF(H371,Wh_hp,'2025'!Maxi_hp)</f>
        <v>22.451007279574906</v>
      </c>
      <c r="J371" s="85">
        <f>IF(H371,An,'2025'!An_max)</f>
        <v>2026</v>
      </c>
      <c r="K371" s="197">
        <f t="shared" si="129"/>
        <v>46379</v>
      </c>
      <c r="L371" s="147">
        <f>IF(t&lt;Tvie,1-EXP((T0-t)*PertePVj)+'2025'!Pspv,1-EXP((T0-t)*PertePVj)+Pspv)</f>
        <v>5.3753872524586188E-2</v>
      </c>
      <c r="M371" s="832"/>
      <c r="N371" s="832"/>
      <c r="O371" s="48">
        <f>IF(t&lt;Tnet,'2025'!Resal+('2025'!Salim-'2025'!Resal)*(1-EXP(('2025'!Tnet-t)/('2025'!Tau_j))),Resal+(Salim-Resal)*(1-EXP((Tnet-t)/(Tau_j))))*Salcycl</f>
        <v>3.4558714001136775E-2</v>
      </c>
      <c r="P371" s="169">
        <f>(INDEX(Models!$BJ371:$BT371,,T371)*(1-R371)+INDEX(Models!$BJ371:$BT371,,T371+1)*R371-ERP_i)*Q371*Ramure*Pc/MaxiM</f>
        <v>1.2430911465975019E-4</v>
      </c>
      <c r="Q371" s="304">
        <f t="shared" si="130"/>
        <v>0.6</v>
      </c>
      <c r="R371" s="177">
        <f t="shared" si="131"/>
        <v>0.97412435113950524</v>
      </c>
      <c r="S371" s="799">
        <f t="shared" si="132"/>
        <v>-2</v>
      </c>
      <c r="T371" s="176">
        <f t="shared" si="133"/>
        <v>4</v>
      </c>
      <c r="U371" s="250">
        <f t="shared" si="134"/>
        <v>-1.0258756488604948</v>
      </c>
      <c r="V371" s="382">
        <f t="shared" si="135"/>
        <v>25.327159778196602</v>
      </c>
      <c r="W371" s="400">
        <f t="shared" si="136"/>
        <v>20.508150633628937</v>
      </c>
      <c r="X371" s="157">
        <f t="shared" si="137"/>
        <v>46379</v>
      </c>
      <c r="Y371" s="383">
        <f t="shared" si="138"/>
        <v>19.880180293868889</v>
      </c>
      <c r="Z371" s="383">
        <f t="shared" si="139"/>
        <v>21.009523544269864</v>
      </c>
      <c r="AA371" s="384">
        <f t="shared" si="140"/>
        <v>22.412095109338843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6.2581010754525365E-2</v>
      </c>
      <c r="AD371" s="230">
        <f>(INDEX(Models!$BJ371:$BT371,,AH371)*(1-AF371)+INDEX(Models!$BJ371:$BT371,,AH371+1)*AF371-ERP_i)*AE371*Ramure*Pc/MaxiM</f>
        <v>2.3801691375787094E-3</v>
      </c>
      <c r="AE371" s="304">
        <f t="shared" si="142"/>
        <v>0.6</v>
      </c>
      <c r="AF371" s="177">
        <f t="shared" si="143"/>
        <v>0.49911191751348394</v>
      </c>
      <c r="AG371" s="799">
        <f t="shared" si="149"/>
        <v>2</v>
      </c>
      <c r="AH371" s="176">
        <f t="shared" si="144"/>
        <v>8</v>
      </c>
      <c r="AI371" s="224">
        <f t="shared" si="145"/>
        <v>2.4991119175134839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46380</v>
      </c>
      <c r="B372" s="409">
        <f>IF(t&gt;Tmaj,'2025'!Wh/'2025'!Env_an*'2026'!Env_an,0.001*'[14]mon-tableau (2)'!$B$265)</f>
        <v>22.549634601266447</v>
      </c>
      <c r="C372" s="829"/>
      <c r="D372" s="391">
        <f t="shared" si="127"/>
        <v>23.831079582132798</v>
      </c>
      <c r="E372" s="383">
        <f t="shared" si="150"/>
        <v>24.686463242104431</v>
      </c>
      <c r="F372" s="383">
        <f t="shared" si="128"/>
        <v>24.689011173793165</v>
      </c>
      <c r="G372" s="110">
        <f t="shared" si="151"/>
        <v>0.88882928949001028</v>
      </c>
      <c r="H372" s="412" t="b">
        <f>Wh_hp&gt;='2025'!Maxi_hp</f>
        <v>1</v>
      </c>
      <c r="I372" s="388">
        <f>IF(H372,Wh_hp,'2025'!Maxi_hp)</f>
        <v>24.689011173793165</v>
      </c>
      <c r="J372" s="85">
        <f>IF(H372,An,'2025'!An_max)</f>
        <v>2026</v>
      </c>
      <c r="K372" s="197">
        <f t="shared" si="129"/>
        <v>46380</v>
      </c>
      <c r="L372" s="147">
        <f>IF(t&lt;Tvie,1-EXP((T0-t)*PertePVj)+'2025'!Pspv,1-EXP((T0-t)*PertePVj)+Pspv)</f>
        <v>5.3772007115745812E-2</v>
      </c>
      <c r="M372" s="832"/>
      <c r="N372" s="832"/>
      <c r="O372" s="48">
        <f>IF(t&lt;Tnet,'2025'!Resal+('2025'!Salim-'2025'!Resal)*(1-EXP(('2025'!Tnet-t)/('2025'!Tau_j))),Resal+(Salim-Resal)*(1-EXP((Tnet-t)/(Tau_j))))*Salcycl</f>
        <v>3.4649907181224654E-2</v>
      </c>
      <c r="P372" s="169">
        <f>(INDEX(Models!$BJ372:$BT372,,T372)*(1-R372)+INDEX(Models!$BJ372:$BT372,,T372+1)*R372-ERP_i)*Q372*Ramure*Pc/MaxiM</f>
        <v>1.2268174573782192E-4</v>
      </c>
      <c r="Q372" s="304">
        <f t="shared" si="130"/>
        <v>0.6</v>
      </c>
      <c r="R372" s="177">
        <f t="shared" si="131"/>
        <v>0.97412435113950524</v>
      </c>
      <c r="S372" s="799">
        <f t="shared" si="132"/>
        <v>-2</v>
      </c>
      <c r="T372" s="176">
        <f t="shared" si="133"/>
        <v>4</v>
      </c>
      <c r="U372" s="250">
        <f t="shared" si="134"/>
        <v>-1.0258756488604948</v>
      </c>
      <c r="V372" s="382">
        <f t="shared" si="135"/>
        <v>25.3695456932155</v>
      </c>
      <c r="W372" s="400">
        <f t="shared" si="136"/>
        <v>22.549634601266447</v>
      </c>
      <c r="X372" s="157">
        <f t="shared" si="137"/>
        <v>46380</v>
      </c>
      <c r="Y372" s="383">
        <f t="shared" si="138"/>
        <v>21.854455191692889</v>
      </c>
      <c r="Z372" s="383">
        <f t="shared" si="139"/>
        <v>23.09639469138618</v>
      </c>
      <c r="AA372" s="384">
        <f t="shared" si="140"/>
        <v>24.63978420428765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6.2638109981210832E-2</v>
      </c>
      <c r="AD372" s="230">
        <f>(INDEX(Models!$BJ372:$BT372,,AH372)*(1-AF372)+INDEX(Models!$BJ372:$BT372,,AH372+1)*AF372-ERP_i)*AE372*Ramure*Pc/MaxiM</f>
        <v>2.3702560720185008E-3</v>
      </c>
      <c r="AE372" s="304">
        <f t="shared" si="142"/>
        <v>0.6</v>
      </c>
      <c r="AF372" s="177">
        <f t="shared" si="143"/>
        <v>0.49911191751348394</v>
      </c>
      <c r="AG372" s="799">
        <f t="shared" si="149"/>
        <v>2</v>
      </c>
      <c r="AH372" s="176">
        <f t="shared" si="144"/>
        <v>8</v>
      </c>
      <c r="AI372" s="224">
        <f t="shared" si="145"/>
        <v>2.4991119175134839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46381</v>
      </c>
      <c r="B373" s="409">
        <f>IF(t&gt;Tmaj,'2025'!Wh/'2025'!Env_an*'2026'!Env_an,0.001*'[14]mon-tableau (2)'!$B$266)</f>
        <v>13.309276372986798</v>
      </c>
      <c r="C373" s="829"/>
      <c r="D373" s="391">
        <f t="shared" si="127"/>
        <v>14.065882162871771</v>
      </c>
      <c r="E373" s="383">
        <f t="shared" si="150"/>
        <v>14.572135320117344</v>
      </c>
      <c r="F373" s="383">
        <f t="shared" si="128"/>
        <v>14.572695556685257</v>
      </c>
      <c r="G373" s="110">
        <f t="shared" si="151"/>
        <v>0.52347016964270432</v>
      </c>
      <c r="H373" s="412" t="b">
        <f>Wh_hp&gt;='2025'!Maxi_hp</f>
        <v>1</v>
      </c>
      <c r="I373" s="388">
        <f>IF(H373,Wh_hp,'2025'!Maxi_hp)</f>
        <v>14.572695556685257</v>
      </c>
      <c r="J373" s="85">
        <f>IF(H373,An,'2025'!An_max)</f>
        <v>2026</v>
      </c>
      <c r="K373" s="197">
        <f t="shared" si="129"/>
        <v>46381</v>
      </c>
      <c r="L373" s="147">
        <f>IF(t&lt;Tvie,1-EXP((T0-t)*PertePVj)+'2025'!Pspv,1-EXP((T0-t)*PertePVj)+Pspv)</f>
        <v>5.3790141359360111E-2</v>
      </c>
      <c r="M373" s="832"/>
      <c r="N373" s="832"/>
      <c r="O373" s="48">
        <f>IF(t&lt;Tnet,'2025'!Resal+('2025'!Salim-'2025'!Resal)*(1-EXP(('2025'!Tnet-t)/('2025'!Tau_j))),Resal+(Salim-Resal)*(1-EXP((Tnet-t)/(Tau_j))))*Salcycl</f>
        <v>3.4741178703348419E-2</v>
      </c>
      <c r="P373" s="169">
        <f>(INDEX(Models!$BJ373:$BT373,,T373)*(1-R373)+INDEX(Models!$BJ373:$BT373,,T373+1)*R373-ERP_i)*Q373*Ramure*Pc/MaxiM</f>
        <v>1.2040004937279912E-4</v>
      </c>
      <c r="Q373" s="304">
        <f t="shared" si="130"/>
        <v>0.6</v>
      </c>
      <c r="R373" s="177">
        <f t="shared" si="131"/>
        <v>0.97412435113950524</v>
      </c>
      <c r="S373" s="799">
        <f t="shared" si="132"/>
        <v>-2</v>
      </c>
      <c r="T373" s="176">
        <f t="shared" si="133"/>
        <v>4</v>
      </c>
      <c r="U373" s="250">
        <f t="shared" si="134"/>
        <v>-1.0258756488604948</v>
      </c>
      <c r="V373" s="382">
        <f t="shared" si="135"/>
        <v>25.423006563962417</v>
      </c>
      <c r="W373" s="400">
        <f t="shared" si="136"/>
        <v>13.309276372986798</v>
      </c>
      <c r="X373" s="157">
        <f t="shared" si="137"/>
        <v>46381</v>
      </c>
      <c r="Y373" s="383">
        <f t="shared" si="138"/>
        <v>12.914598792249587</v>
      </c>
      <c r="Z373" s="383">
        <f t="shared" si="139"/>
        <v>13.648767949641929</v>
      </c>
      <c r="AA373" s="384">
        <f t="shared" si="140"/>
        <v>14.561722254007027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6.2695489478510974E-2</v>
      </c>
      <c r="AD373" s="230">
        <f>(INDEX(Models!$BJ373:$BT373,,AH373)*(1-AF373)+INDEX(Models!$BJ373:$BT373,,AH373+1)*AF373-ERP_i)*AE373*Ramure*Pc/MaxiM</f>
        <v>2.3582648115276369E-3</v>
      </c>
      <c r="AE373" s="304">
        <f t="shared" si="142"/>
        <v>0.6</v>
      </c>
      <c r="AF373" s="177">
        <f t="shared" si="143"/>
        <v>0.49911191751348394</v>
      </c>
      <c r="AG373" s="799">
        <f t="shared" si="149"/>
        <v>2</v>
      </c>
      <c r="AH373" s="176">
        <f t="shared" si="144"/>
        <v>8</v>
      </c>
      <c r="AI373" s="224">
        <f t="shared" si="145"/>
        <v>2.4991119175134839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46382</v>
      </c>
      <c r="B374" s="409">
        <f>IF(t&gt;Tmaj,'2025'!Wh/'2025'!Env_an*'2026'!Env_an,0.001*'[14]mon-tableau (2)'!$B$267)</f>
        <v>22.284579670131443</v>
      </c>
      <c r="C374" s="829"/>
      <c r="D374" s="391">
        <f t="shared" si="127"/>
        <v>23.551864899418174</v>
      </c>
      <c r="E374" s="383">
        <f t="shared" si="150"/>
        <v>24.401842384061531</v>
      </c>
      <c r="F374" s="383">
        <f t="shared" si="128"/>
        <v>24.404194573775538</v>
      </c>
      <c r="G374" s="110">
        <f t="shared" si="151"/>
        <v>0.87432337265542015</v>
      </c>
      <c r="H374" s="412" t="b">
        <f>Wh_hp&gt;='2025'!Maxi_hp</f>
        <v>1</v>
      </c>
      <c r="I374" s="388">
        <f>IF(H374,Wh_hp,'2025'!Maxi_hp)</f>
        <v>24.404194573775538</v>
      </c>
      <c r="J374" s="85">
        <f>IF(H374,An,'2025'!An_max)</f>
        <v>2026</v>
      </c>
      <c r="K374" s="197">
        <f t="shared" si="129"/>
        <v>46382</v>
      </c>
      <c r="L374" s="147">
        <f>IF(t&lt;Tvie,1-EXP((T0-t)*PertePVj)+'2025'!Pspv,1-EXP((T0-t)*PertePVj)+Pspv)</f>
        <v>5.3808275255435856E-2</v>
      </c>
      <c r="M374" s="832"/>
      <c r="N374" s="832"/>
      <c r="O374" s="48">
        <f>IF(t&lt;Tnet,'2025'!Resal+('2025'!Salim-'2025'!Resal)*(1-EXP(('2025'!Tnet-t)/('2025'!Tau_j))),Resal+(Salim-Resal)*(1-EXP((Tnet-t)/(Tau_j))))*Salcycl</f>
        <v>3.4832512695784627E-2</v>
      </c>
      <c r="P374" s="169">
        <f>(INDEX(Models!$BJ374:$BT374,,T374)*(1-R374)+INDEX(Models!$BJ374:$BT374,,T374+1)*R374-ERP_i)*Q374*Ramure*Pc/MaxiM</f>
        <v>1.1747230039021366E-4</v>
      </c>
      <c r="Q374" s="304">
        <f t="shared" si="130"/>
        <v>0.6</v>
      </c>
      <c r="R374" s="177">
        <f t="shared" si="131"/>
        <v>0.97412435113950524</v>
      </c>
      <c r="S374" s="799">
        <f t="shared" si="132"/>
        <v>-2</v>
      </c>
      <c r="T374" s="176">
        <f t="shared" si="133"/>
        <v>4</v>
      </c>
      <c r="U374" s="250">
        <f t="shared" si="134"/>
        <v>-1.0258756488604948</v>
      </c>
      <c r="V374" s="382">
        <f t="shared" si="135"/>
        <v>25.487262942191915</v>
      </c>
      <c r="W374" s="400">
        <f t="shared" si="136"/>
        <v>22.284579670131443</v>
      </c>
      <c r="X374" s="157">
        <f t="shared" si="137"/>
        <v>46382</v>
      </c>
      <c r="Y374" s="383">
        <f t="shared" si="138"/>
        <v>21.600385329286784</v>
      </c>
      <c r="Z374" s="383">
        <f t="shared" si="139"/>
        <v>22.828761618178458</v>
      </c>
      <c r="AA374" s="384">
        <f t="shared" si="140"/>
        <v>24.357255353156873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6.2753118642339623E-2</v>
      </c>
      <c r="AD374" s="230">
        <f>(INDEX(Models!$BJ374:$BT374,,AH374)*(1-AF374)+INDEX(Models!$BJ374:$BT374,,AH374+1)*AF374-ERP_i)*AE374*Ramure*Pc/MaxiM</f>
        <v>2.3442234237169538E-3</v>
      </c>
      <c r="AE374" s="304">
        <f t="shared" si="142"/>
        <v>0.6</v>
      </c>
      <c r="AF374" s="177">
        <f t="shared" si="143"/>
        <v>0.49911191751348394</v>
      </c>
      <c r="AG374" s="799">
        <f t="shared" si="149"/>
        <v>2</v>
      </c>
      <c r="AH374" s="176">
        <f t="shared" si="144"/>
        <v>8</v>
      </c>
      <c r="AI374" s="224">
        <f t="shared" si="145"/>
        <v>2.4991119175134839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46383</v>
      </c>
      <c r="B375" s="409">
        <f>IF(t&gt;Tmaj,'2025'!Wh/'2025'!Env_an*'2026'!Env_an,0.001*'[14]mon-tableau (2)'!$B$268)</f>
        <v>7.2818729690172699</v>
      </c>
      <c r="C375" s="829"/>
      <c r="D375" s="391">
        <f t="shared" si="127"/>
        <v>7.696127895318388</v>
      </c>
      <c r="E375" s="383">
        <f t="shared" si="150"/>
        <v>7.9746331379761131</v>
      </c>
      <c r="F375" s="383">
        <f t="shared" si="128"/>
        <v>7.9746331379761131</v>
      </c>
      <c r="G375" s="110">
        <f t="shared" si="151"/>
        <v>0.28483727010124676</v>
      </c>
      <c r="H375" s="412" t="b">
        <f>Wh_hp&gt;='2025'!Maxi_hp</f>
        <v>0</v>
      </c>
      <c r="I375" s="388">
        <f>IF(H375,Wh_hp,'2025'!Maxi_hp)</f>
        <v>23.939485558369796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5.3826408803979486E-2</v>
      </c>
      <c r="M375" s="832"/>
      <c r="N375" s="832"/>
      <c r="O375" s="48">
        <f>IF(t&lt;Tnet,'2025'!Resal+('2025'!Salim-'2025'!Resal)*(1-EXP(('2025'!Tnet-t)/('2025'!Tau_j))),Resal+(Salim-Resal)*(1-EXP((Tnet-t)/(Tau_j))))*Salcycl</f>
        <v>3.492389403237256E-2</v>
      </c>
      <c r="P375" s="169">
        <f>(INDEX(Models!$BJ375:$BT375,,T375)*(1-R375)+INDEX(Models!$BJ375:$BT375,,T375+1)*R375-ERP_i)*Q375*Ramure*Pc/MaxiM</f>
        <v>1.1389492748154552E-4</v>
      </c>
      <c r="Q375" s="304">
        <f t="shared" si="130"/>
        <v>0.6</v>
      </c>
      <c r="R375" s="177">
        <f t="shared" si="131"/>
        <v>0.97412435113950524</v>
      </c>
      <c r="S375" s="799">
        <f t="shared" si="132"/>
        <v>-2</v>
      </c>
      <c r="T375" s="176">
        <f t="shared" si="133"/>
        <v>4</v>
      </c>
      <c r="U375" s="250">
        <f t="shared" si="134"/>
        <v>-1.0258756488604948</v>
      </c>
      <c r="V375" s="382">
        <f t="shared" si="135"/>
        <v>25.562116916916992</v>
      </c>
      <c r="W375" s="400">
        <f t="shared" si="136"/>
        <v>7.2818729690172699</v>
      </c>
      <c r="X375" s="157">
        <f t="shared" si="137"/>
        <v>46383</v>
      </c>
      <c r="Y375" s="383">
        <f t="shared" si="138"/>
        <v>7.071454192734242</v>
      </c>
      <c r="Z375" s="383">
        <f t="shared" si="139"/>
        <v>7.4737387077095407</v>
      </c>
      <c r="AA375" s="384">
        <f t="shared" si="140"/>
        <v>7.9746331379761131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6.2810968429538955E-2</v>
      </c>
      <c r="AD375" s="230">
        <f>(INDEX(Models!$BJ375:$BT375,,AH375)*(1-AF375)+INDEX(Models!$BJ375:$BT375,,AH375+1)*AF375-ERP_i)*AE375*Ramure*Pc/MaxiM</f>
        <v>2.3268312343862128E-3</v>
      </c>
      <c r="AE375" s="304">
        <f t="shared" si="142"/>
        <v>0.6</v>
      </c>
      <c r="AF375" s="177">
        <f t="shared" si="143"/>
        <v>0.49911191751348394</v>
      </c>
      <c r="AG375" s="799">
        <f t="shared" si="149"/>
        <v>2</v>
      </c>
      <c r="AH375" s="176">
        <f t="shared" si="144"/>
        <v>8</v>
      </c>
      <c r="AI375" s="224">
        <f t="shared" si="145"/>
        <v>2.4991119175134839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46384</v>
      </c>
      <c r="B376" s="409">
        <f>IF(t&gt;Tmaj,'2025'!Wh/'2025'!Env_an*'2026'!Env_an,0.001*'[14]mon-tableau (2)'!$B$269)</f>
        <v>24.608405553600672</v>
      </c>
      <c r="C376" s="829"/>
      <c r="D376" s="391">
        <f t="shared" si="127"/>
        <v>26.008839610510034</v>
      </c>
      <c r="E376" s="383">
        <f t="shared" si="150"/>
        <v>26.952592965354242</v>
      </c>
      <c r="F376" s="383">
        <f t="shared" si="128"/>
        <v>26.955386172159706</v>
      </c>
      <c r="G376" s="110">
        <f t="shared" si="151"/>
        <v>0.95948458777099099</v>
      </c>
      <c r="H376" s="412" t="b">
        <f>Wh_hp&gt;='2025'!Maxi_hp</f>
        <v>1</v>
      </c>
      <c r="I376" s="388">
        <f>IF(H376,Wh_hp,'2025'!Maxi_hp)</f>
        <v>26.955386172159706</v>
      </c>
      <c r="J376" s="85">
        <f>IF(H376,An,'2025'!An_max)</f>
        <v>2026</v>
      </c>
      <c r="K376" s="197">
        <f t="shared" si="129"/>
        <v>46384</v>
      </c>
      <c r="L376" s="147">
        <f>IF(t&lt;Tvie,1-EXP((T0-t)*PertePVj)+'2025'!Pspv,1-EXP((T0-t)*PertePVj)+Pspv)</f>
        <v>5.3844542004997886E-2</v>
      </c>
      <c r="M376" s="832"/>
      <c r="N376" s="832"/>
      <c r="O376" s="48">
        <f>IF(t&lt;Tnet,'2025'!Resal+('2025'!Salim-'2025'!Resal)*(1-EXP(('2025'!Tnet-t)/('2025'!Tau_j))),Resal+(Salim-Resal)*(1-EXP((Tnet-t)/(Tau_j))))*Salcycl</f>
        <v>3.5015308399356612E-2</v>
      </c>
      <c r="P376" s="169">
        <f>(INDEX(Models!$BJ376:$BT376,,T376)*(1-R376)+INDEX(Models!$BJ376:$BT376,,T376+1)*R376-ERP_i)*Q376*Ramure*Pc/MaxiM</f>
        <v>1.0998840413182145E-4</v>
      </c>
      <c r="Q376" s="304">
        <f t="shared" si="130"/>
        <v>0.6</v>
      </c>
      <c r="R376" s="177">
        <f t="shared" si="131"/>
        <v>0.97412435113950524</v>
      </c>
      <c r="S376" s="799">
        <f t="shared" si="132"/>
        <v>-2</v>
      </c>
      <c r="T376" s="176">
        <f t="shared" si="133"/>
        <v>4</v>
      </c>
      <c r="U376" s="250">
        <f t="shared" si="134"/>
        <v>-1.0258756488604948</v>
      </c>
      <c r="V376" s="382">
        <f t="shared" si="135"/>
        <v>25.64736236164633</v>
      </c>
      <c r="W376" s="400">
        <f t="shared" si="136"/>
        <v>24.608405553600672</v>
      </c>
      <c r="X376" s="157">
        <f t="shared" si="137"/>
        <v>46384</v>
      </c>
      <c r="Y376" s="383">
        <f t="shared" si="138"/>
        <v>23.848631259687384</v>
      </c>
      <c r="Z376" s="383">
        <f t="shared" si="139"/>
        <v>25.205827497127178</v>
      </c>
      <c r="AA376" s="384">
        <f t="shared" si="140"/>
        <v>26.89680290743302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6.2869011463014227E-2</v>
      </c>
      <c r="AD376" s="230">
        <f>(INDEX(Models!$BJ376:$BT376,,AH376)*(1-AF376)+INDEX(Models!$BJ376:$BT376,,AH376+1)*AF376-ERP_i)*AE376*Ramure*Pc/MaxiM</f>
        <v>2.3068395020084918E-3</v>
      </c>
      <c r="AE376" s="304">
        <f t="shared" si="142"/>
        <v>0.6</v>
      </c>
      <c r="AF376" s="177">
        <f t="shared" si="143"/>
        <v>0.49911191751348394</v>
      </c>
      <c r="AG376" s="799">
        <f t="shared" si="149"/>
        <v>2</v>
      </c>
      <c r="AH376" s="176">
        <f t="shared" si="144"/>
        <v>8</v>
      </c>
      <c r="AI376" s="224">
        <f t="shared" si="145"/>
        <v>2.4991119175134839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46385</v>
      </c>
      <c r="B377" s="409">
        <f>IF(t&gt;Tmaj,'2025'!Wh/'2025'!Env_an*'2026'!Env_an,0.001*'[14]mon-tableau (2)'!$B$270)</f>
        <v>10.918080115731073</v>
      </c>
      <c r="C377" s="829"/>
      <c r="D377" s="391">
        <f t="shared" si="127"/>
        <v>11.539635764922588</v>
      </c>
      <c r="E377" s="383">
        <f t="shared" si="150"/>
        <v>11.959494662713293</v>
      </c>
      <c r="F377" s="383">
        <f t="shared" si="128"/>
        <v>11.959718943655561</v>
      </c>
      <c r="G377" s="110">
        <f t="shared" si="151"/>
        <v>0.42408477849591081</v>
      </c>
      <c r="H377" s="412" t="b">
        <f>Wh_hp&gt;='2025'!Maxi_hp</f>
        <v>0</v>
      </c>
      <c r="I377" s="388">
        <f>IF(H377,Wh_hp,'2025'!Maxi_hp)</f>
        <v>26.417584370860784</v>
      </c>
      <c r="J377" s="85">
        <f>IF(H377,An,'2025'!An_max)</f>
        <v>2018</v>
      </c>
      <c r="K377" s="197">
        <f t="shared" si="129"/>
        <v>46385</v>
      </c>
      <c r="L377" s="147">
        <f>IF(t&lt;Tvie,1-EXP((T0-t)*PertePVj)+'2025'!Pspv,1-EXP((T0-t)*PertePVj)+Pspv)</f>
        <v>5.3862674858497606E-2</v>
      </c>
      <c r="M377" s="832"/>
      <c r="N377" s="832"/>
      <c r="O377" s="48">
        <f>IF(t&lt;Tnet,'2025'!Resal+('2025'!Salim-'2025'!Resal)*(1-EXP(('2025'!Tnet-t)/('2025'!Tau_j))),Resal+(Salim-Resal)*(1-EXP((Tnet-t)/(Tau_j))))*Salcycl</f>
        <v>3.5106742352561157E-2</v>
      </c>
      <c r="P377" s="169">
        <f>(INDEX(Models!$BJ377:$BT377,,T377)*(1-R377)+INDEX(Models!$BJ377:$BT377,,T377+1)*R377-ERP_i)*Q377*Ramure*Pc/MaxiM</f>
        <v>1.0576008481747388E-4</v>
      </c>
      <c r="Q377" s="304">
        <f t="shared" si="130"/>
        <v>0.6</v>
      </c>
      <c r="R377" s="177">
        <f t="shared" si="131"/>
        <v>0.97412435113950524</v>
      </c>
      <c r="S377" s="799">
        <f t="shared" si="132"/>
        <v>-2</v>
      </c>
      <c r="T377" s="176">
        <f t="shared" si="133"/>
        <v>4</v>
      </c>
      <c r="U377" s="250">
        <f t="shared" si="134"/>
        <v>-1.0258756488604948</v>
      </c>
      <c r="V377" s="382">
        <f t="shared" si="135"/>
        <v>25.742801207383618</v>
      </c>
      <c r="W377" s="400">
        <f t="shared" si="136"/>
        <v>10.918080115731073</v>
      </c>
      <c r="X377" s="157">
        <f t="shared" si="137"/>
        <v>46385</v>
      </c>
      <c r="Y377" s="383">
        <f t="shared" si="138"/>
        <v>10.599186344731971</v>
      </c>
      <c r="Z377" s="383">
        <f t="shared" si="139"/>
        <v>11.20258768265672</v>
      </c>
      <c r="AA377" s="384">
        <f t="shared" si="140"/>
        <v>11.954874740876066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6.2927222118616608E-2</v>
      </c>
      <c r="AD377" s="230">
        <f>(INDEX(Models!$BJ377:$BT377,,AH377)*(1-AF377)+INDEX(Models!$BJ377:$BT377,,AH377+1)*AF377-ERP_i)*AE377*Ramure*Pc/MaxiM</f>
        <v>2.2842926003910193E-3</v>
      </c>
      <c r="AE377" s="304">
        <f t="shared" si="142"/>
        <v>0.6</v>
      </c>
      <c r="AF377" s="177">
        <f t="shared" si="143"/>
        <v>0.49911191751348394</v>
      </c>
      <c r="AG377" s="799">
        <f t="shared" si="149"/>
        <v>2</v>
      </c>
      <c r="AH377" s="176">
        <f t="shared" si="144"/>
        <v>8</v>
      </c>
      <c r="AI377" s="224">
        <f t="shared" si="145"/>
        <v>2.4991119175134839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46386</v>
      </c>
      <c r="B378" s="409">
        <f>IF(t&gt;Tmaj,'2025'!Wh/'2025'!Env_an*'2026'!Env_an,0.001*'[14]mon-tableau (2)'!$B$271)</f>
        <v>14.163488467288706</v>
      </c>
      <c r="C378" s="829"/>
      <c r="D378" s="391">
        <f t="shared" si="127"/>
        <v>14.970088946018331</v>
      </c>
      <c r="E378" s="383">
        <f t="shared" si="150"/>
        <v>15.516232129646241</v>
      </c>
      <c r="F378" s="383">
        <f t="shared" si="128"/>
        <v>15.516788445796189</v>
      </c>
      <c r="G378" s="110">
        <f t="shared" si="151"/>
        <v>0.54791216438998402</v>
      </c>
      <c r="H378" s="412" t="b">
        <f>Wh_hp&gt;='2025'!Maxi_hp</f>
        <v>0</v>
      </c>
      <c r="I378" s="388">
        <f>IF(H378,Wh_hp,'2025'!Maxi_hp)</f>
        <v>29.01951581106924</v>
      </c>
      <c r="J378" s="85">
        <f>IF(H378,An,'2025'!An_max)</f>
        <v>2018</v>
      </c>
      <c r="K378" s="197">
        <f t="shared" si="129"/>
        <v>46386</v>
      </c>
      <c r="L378" s="147">
        <f>IF(t&lt;Tvie,1-EXP((T0-t)*PertePVj)+'2025'!Pspv,1-EXP((T0-t)*PertePVj)+Pspv)</f>
        <v>5.3880807364485306E-2</v>
      </c>
      <c r="M378" s="832"/>
      <c r="N378" s="832"/>
      <c r="O378" s="48">
        <f>IF(t&lt;Tnet,'2025'!Resal+('2025'!Salim-'2025'!Resal)*(1-EXP(('2025'!Tnet-t)/('2025'!Tau_j))),Resal+(Salim-Resal)*(1-EXP((Tnet-t)/(Tau_j))))*Salcycl</f>
        <v>3.5198183364659512E-2</v>
      </c>
      <c r="P378" s="169">
        <f>(INDEX(Models!$BJ378:$BT378,,T378)*(1-R378)+INDEX(Models!$BJ378:$BT378,,T378+1)*R378-ERP_i)*Q378*Ramure*Pc/MaxiM</f>
        <v>1.0121789236581398E-4</v>
      </c>
      <c r="Q378" s="304">
        <f t="shared" si="130"/>
        <v>0.6</v>
      </c>
      <c r="R378" s="177">
        <f t="shared" si="131"/>
        <v>0.97412435113950524</v>
      </c>
      <c r="S378" s="799">
        <f t="shared" si="132"/>
        <v>-2</v>
      </c>
      <c r="T378" s="176">
        <f t="shared" si="133"/>
        <v>4</v>
      </c>
      <c r="U378" s="250">
        <f t="shared" si="134"/>
        <v>-1.0258756488604948</v>
      </c>
      <c r="V378" s="382">
        <f t="shared" si="135"/>
        <v>25.848235452723262</v>
      </c>
      <c r="W378" s="400">
        <f t="shared" si="136"/>
        <v>14.163488467288706</v>
      </c>
      <c r="X378" s="157">
        <f t="shared" si="137"/>
        <v>46386</v>
      </c>
      <c r="Y378" s="383">
        <f t="shared" si="138"/>
        <v>13.745048760371128</v>
      </c>
      <c r="Z378" s="383">
        <f t="shared" si="139"/>
        <v>14.527819398825265</v>
      </c>
      <c r="AA378" s="384">
        <f t="shared" si="140"/>
        <v>15.504371155793667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6.2985576593571374E-2</v>
      </c>
      <c r="AD378" s="230">
        <f>(INDEX(Models!$BJ378:$BT378,,AH378)*(1-AF378)+INDEX(Models!$BJ378:$BT378,,AH378+1)*AF378-ERP_i)*AE378*Ramure*Pc/MaxiM</f>
        <v>2.2592404032592051E-3</v>
      </c>
      <c r="AE378" s="304">
        <f t="shared" si="142"/>
        <v>0.6</v>
      </c>
      <c r="AF378" s="177">
        <f t="shared" si="143"/>
        <v>0.49911191751348394</v>
      </c>
      <c r="AG378" s="799">
        <f t="shared" si="149"/>
        <v>2</v>
      </c>
      <c r="AH378" s="176">
        <f t="shared" si="144"/>
        <v>8</v>
      </c>
      <c r="AI378" s="224">
        <f t="shared" si="145"/>
        <v>2.4991119175134839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46387</v>
      </c>
      <c r="B379" s="409">
        <f>IF(t&gt;Tmaj,'2025'!Wh/'2025'!Env_an*'2026'!Env_an,0.001*'[14]mon-tableau (2)'!$B$272)</f>
        <v>13.264622749554627</v>
      </c>
      <c r="C379" s="829"/>
      <c r="D379" s="391">
        <f t="shared" si="127"/>
        <v>14.020302168212867</v>
      </c>
      <c r="E379" s="383">
        <f t="shared" si="150"/>
        <v>14.533172293857763</v>
      </c>
      <c r="F379" s="383">
        <f t="shared" si="128"/>
        <v>14.533594267900749</v>
      </c>
      <c r="G379" s="110">
        <f t="shared" si="151"/>
        <v>0.51086125973961072</v>
      </c>
      <c r="H379" s="412" t="b">
        <f>Wh_hp&gt;='2025'!Maxi_hp</f>
        <v>0</v>
      </c>
      <c r="I379" s="388">
        <f>IF(H379,Wh_hp,'2025'!Maxi_hp)</f>
        <v>28.959989458050305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5.3898939522967759E-2</v>
      </c>
      <c r="M379" s="832"/>
      <c r="N379" s="832"/>
      <c r="O379" s="48">
        <f>IF(t&lt;Tnet,'2025'!Resal+('2025'!Salim-'2025'!Resal)*(1-EXP(('2025'!Tnet-t)/('2025'!Tau_j))),Resal+(Salim-Resal)*(1-EXP((Tnet-t)/(Tau_j))))*Salcycl</f>
        <v>3.5289619862392631E-2</v>
      </c>
      <c r="P379" s="169">
        <f>(INDEX(Models!$BJ379:$BT379,,T379)*(1-R379)+INDEX(Models!$BJ379:$BT379,,T379+1)*R379-ERP_i)*Q379*Ramure*Pc/MaxiM</f>
        <v>9.6370274859965097E-5</v>
      </c>
      <c r="Q379" s="305">
        <f t="shared" si="130"/>
        <v>0.6</v>
      </c>
      <c r="R379" s="177">
        <f t="shared" si="131"/>
        <v>0.97412435113950524</v>
      </c>
      <c r="S379" s="799">
        <f t="shared" si="132"/>
        <v>-2</v>
      </c>
      <c r="T379" s="176">
        <f t="shared" si="133"/>
        <v>4</v>
      </c>
      <c r="U379" s="306">
        <f t="shared" si="134"/>
        <v>-1.0258756488604948</v>
      </c>
      <c r="V379" s="382">
        <f t="shared" si="135"/>
        <v>25.963467155975433</v>
      </c>
      <c r="W379" s="400">
        <f t="shared" si="136"/>
        <v>13.264622749554627</v>
      </c>
      <c r="X379" s="157">
        <f t="shared" si="137"/>
        <v>46387</v>
      </c>
      <c r="Y379" s="383">
        <f t="shared" si="138"/>
        <v>12.874715040457238</v>
      </c>
      <c r="Z379" s="383">
        <f t="shared" si="139"/>
        <v>13.608181597392669</v>
      </c>
      <c r="AA379" s="384">
        <f t="shared" si="140"/>
        <v>14.523822214193888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6.3044052956416657E-2</v>
      </c>
      <c r="AD379" s="230">
        <f>(INDEX(Models!$BJ379:$BT379,,AH379)*(1-AF379)+INDEX(Models!$BJ379:$BT379,,AH379+1)*AF379-ERP_i)*AE379*Ramure*Pc/MaxiM</f>
        <v>2.2317379879938743E-3</v>
      </c>
      <c r="AE379" s="305">
        <f t="shared" si="142"/>
        <v>0.6</v>
      </c>
      <c r="AF379" s="177">
        <f t="shared" si="143"/>
        <v>0.49911191751348394</v>
      </c>
      <c r="AG379" s="799">
        <f t="shared" si="149"/>
        <v>2</v>
      </c>
      <c r="AH379" s="176">
        <f t="shared" si="144"/>
        <v>8</v>
      </c>
      <c r="AI379" s="221">
        <f t="shared" si="145"/>
        <v>2.4991119175134839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Wh_hp&gt;='2025'!Maxi_hp</f>
        <v>0</v>
      </c>
      <c r="I380" s="388">
        <f>IF(H380,Wh_hp,'2025'!Maxi_hp)</f>
        <v>18.799311780498957</v>
      </c>
      <c r="J380" s="85">
        <f>IF(H380,An,'2025'!An_max)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1.543226668116056</v>
      </c>
      <c r="C381" s="374"/>
      <c r="D381" s="372">
        <f>MIN(D15:D380)</f>
        <v>1.6198352896812267</v>
      </c>
      <c r="E381" s="372">
        <f>MIN(E15:E380)</f>
        <v>1.6794079852208654</v>
      </c>
      <c r="F381" s="373">
        <f>MIN(F15:F380)</f>
        <v>1.6794079852208654</v>
      </c>
      <c r="G381" s="125">
        <f>+MIN(G15:G380)</f>
        <v>5.8435916683670534E-2</v>
      </c>
      <c r="H381" s="94"/>
      <c r="I381" s="373">
        <f>MIN(I15:I380)</f>
        <v>10.012976509324043</v>
      </c>
      <c r="J381" s="57">
        <f>MIN(J15:J380)</f>
        <v>2018</v>
      </c>
      <c r="K381" s="200" t="s">
        <v>7</v>
      </c>
      <c r="L381" s="146">
        <f t="shared" ref="L381:T381" si="152">MIN(L15:L380)</f>
        <v>4.7275822362403797E-2</v>
      </c>
      <c r="M381" s="833"/>
      <c r="N381" s="833"/>
      <c r="O381" s="47">
        <f t="shared" si="152"/>
        <v>9.099574010168537E-3</v>
      </c>
      <c r="P381" s="168">
        <f t="shared" si="152"/>
        <v>-2.0414829016633972E-20</v>
      </c>
      <c r="Q381" s="309">
        <f t="shared" si="152"/>
        <v>0.6</v>
      </c>
      <c r="R381" s="310">
        <f t="shared" si="152"/>
        <v>6.5676113190527019E-5</v>
      </c>
      <c r="S381" s="799">
        <f t="shared" si="152"/>
        <v>-2</v>
      </c>
      <c r="T381" s="176">
        <f t="shared" si="152"/>
        <v>4</v>
      </c>
      <c r="U381" s="251">
        <f>MIN(U15:U380)</f>
        <v>-1.5008874621829826</v>
      </c>
      <c r="V381" s="57">
        <f>MIN(V15:V380)</f>
        <v>25.265141963972951</v>
      </c>
      <c r="W381" s="58"/>
      <c r="X381" s="112" t="s">
        <v>7</v>
      </c>
      <c r="Y381" s="372">
        <f>MIN(Y15:Y380)</f>
        <v>1.4989250001905272</v>
      </c>
      <c r="Z381" s="372">
        <f>MIN(Z15:Z380)</f>
        <v>1.5733344051513374</v>
      </c>
      <c r="AA381" s="372">
        <f>MIN(AA15:AA380)</f>
        <v>1.6794079852208654</v>
      </c>
      <c r="AB381" s="200" t="s">
        <v>7</v>
      </c>
      <c r="AC381" s="47">
        <f t="shared" ref="AC381:AH381" si="153">MIN(AC15:AC380)</f>
        <v>4.6193912119919384E-2</v>
      </c>
      <c r="AD381" s="168">
        <f t="shared" si="153"/>
        <v>-1.9963849872836837E-20</v>
      </c>
      <c r="AE381" s="309">
        <f t="shared" si="153"/>
        <v>0.6</v>
      </c>
      <c r="AF381" s="310">
        <f t="shared" si="153"/>
        <v>6.5676113190527019E-5</v>
      </c>
      <c r="AG381" s="799">
        <f t="shared" si="153"/>
        <v>1</v>
      </c>
      <c r="AH381" s="176">
        <f t="shared" si="153"/>
        <v>7</v>
      </c>
      <c r="AI381" s="225">
        <f>MIN(AI15:AI380)</f>
        <v>1.9991131905496551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31.152389543515824</v>
      </c>
      <c r="C382" s="374"/>
      <c r="D382" s="374">
        <f>AVERAGE(D15:D380)</f>
        <v>32.81123122502747</v>
      </c>
      <c r="E382" s="374">
        <f>AVERAGE(E15:E380)</f>
        <v>33.695528265686519</v>
      </c>
      <c r="F382" s="375">
        <f>AVERAGE(F15:F380)</f>
        <v>33.69633943034038</v>
      </c>
      <c r="G382" s="126">
        <f>AVERAGE(G15:G380)</f>
        <v>0.6666880071466319</v>
      </c>
      <c r="H382" s="94"/>
      <c r="I382" s="375">
        <f>AVERAGE(I15:I380)</f>
        <v>44.754477275877704</v>
      </c>
      <c r="J382" s="59">
        <f>AVERAGE(J15:J380)</f>
        <v>2021.3387978142077</v>
      </c>
      <c r="K382" s="200" t="s">
        <v>8</v>
      </c>
      <c r="L382" s="147">
        <f t="shared" ref="L382:V382" si="154">AVERAGE(L15:L380)</f>
        <v>5.0591220624879432E-2</v>
      </c>
      <c r="M382" s="832"/>
      <c r="N382" s="832"/>
      <c r="O382" s="48">
        <f t="shared" si="154"/>
        <v>2.9034363050070254E-2</v>
      </c>
      <c r="P382" s="169">
        <f t="shared" si="154"/>
        <v>1.0120601383797366E-4</v>
      </c>
      <c r="Q382" s="311">
        <f t="shared" si="154"/>
        <v>0.59999999999999631</v>
      </c>
      <c r="R382" s="177">
        <f t="shared" si="154"/>
        <v>0.69571851818107822</v>
      </c>
      <c r="S382" s="799">
        <f t="shared" si="154"/>
        <v>-1.0821917808219179</v>
      </c>
      <c r="T382" s="176">
        <f t="shared" si="154"/>
        <v>4.9178082191780819</v>
      </c>
      <c r="U382" s="250">
        <f>AVERAGE(U15:U380)</f>
        <v>-0.38647326264084003</v>
      </c>
      <c r="V382" s="59">
        <f t="shared" si="154"/>
        <v>45.053642627114243</v>
      </c>
      <c r="X382" s="112" t="s">
        <v>8</v>
      </c>
      <c r="Y382" s="374">
        <f>AVERAGE(Y15:Y380)</f>
        <v>30.129262186541506</v>
      </c>
      <c r="Z382" s="374">
        <f>AVERAGE(Z15:Z380)</f>
        <v>31.733546540823607</v>
      </c>
      <c r="AA382" s="374">
        <f>AVERAGE(AA15:AA380)</f>
        <v>33.693196089220024</v>
      </c>
      <c r="AB382" s="200" t="s">
        <v>8</v>
      </c>
      <c r="AC382" s="48">
        <f t="shared" ref="AC382:AH382" si="155">AVERAGE(AC15:AC380)</f>
        <v>5.9768804432730291E-2</v>
      </c>
      <c r="AD382" s="169">
        <f t="shared" si="155"/>
        <v>3.652124424574625E-4</v>
      </c>
      <c r="AE382" s="311">
        <f t="shared" si="155"/>
        <v>0.59999999999999631</v>
      </c>
      <c r="AF382" s="177">
        <f t="shared" si="155"/>
        <v>0.33653103412414132</v>
      </c>
      <c r="AG382" s="799">
        <f t="shared" si="155"/>
        <v>1.9424657534246574</v>
      </c>
      <c r="AH382" s="176">
        <f t="shared" si="155"/>
        <v>7.9424657534246572</v>
      </c>
      <c r="AI382" s="224">
        <f>AVERAGE(AI15:AI380)</f>
        <v>2.2789967875487989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60.13228804397194</v>
      </c>
      <c r="C383" s="376"/>
      <c r="D383" s="376">
        <f>MAX(D15:D380)</f>
        <v>63.295433879142507</v>
      </c>
      <c r="E383" s="376">
        <f>MAX(E15:E380)</f>
        <v>64.121433060958893</v>
      </c>
      <c r="F383" s="377">
        <f>MAX(F15:F380)</f>
        <v>64.121433060958893</v>
      </c>
      <c r="G383" s="127">
        <f>+MAX(G15:G380)</f>
        <v>1.0478798370423084</v>
      </c>
      <c r="H383" s="94"/>
      <c r="I383" s="377">
        <f>MAX(I15:I380)</f>
        <v>65.55404847482302</v>
      </c>
      <c r="J383" s="60">
        <f>MAX(J15:J380)</f>
        <v>2026</v>
      </c>
      <c r="K383" s="200" t="s">
        <v>9</v>
      </c>
      <c r="L383" s="148">
        <f t="shared" ref="L383:T383" si="156">MAX(L15:L380)</f>
        <v>5.3898939522967759E-2</v>
      </c>
      <c r="M383" s="834"/>
      <c r="N383" s="834"/>
      <c r="O383" s="49">
        <f t="shared" si="156"/>
        <v>4.6088880511343445E-2</v>
      </c>
      <c r="P383" s="170">
        <f t="shared" si="156"/>
        <v>1.7184566066312801E-3</v>
      </c>
      <c r="Q383" s="312">
        <f t="shared" si="156"/>
        <v>0.6</v>
      </c>
      <c r="R383" s="313">
        <f t="shared" si="156"/>
        <v>0.99999945723440842</v>
      </c>
      <c r="S383" s="800">
        <f t="shared" si="156"/>
        <v>2</v>
      </c>
      <c r="T383" s="232">
        <f t="shared" si="156"/>
        <v>8</v>
      </c>
      <c r="U383" s="252">
        <f>MAX(U15:U380)</f>
        <v>2.0231169797073321</v>
      </c>
      <c r="V383" s="60">
        <f>MAX(V15:V380)</f>
        <v>59.301856658411936</v>
      </c>
      <c r="X383" s="112" t="s">
        <v>9</v>
      </c>
      <c r="Y383" s="376">
        <f>MAX(Y15:Y380)</f>
        <v>57.905136076185215</v>
      </c>
      <c r="Z383" s="376">
        <f>MAX(Z15:Z380)</f>
        <v>60.951126773902097</v>
      </c>
      <c r="AA383" s="376">
        <f>MAX(AA15:AA380)</f>
        <v>64.121433060958893</v>
      </c>
      <c r="AB383" s="200" t="s">
        <v>9</v>
      </c>
      <c r="AC383" s="49">
        <f t="shared" ref="AC383:AH383" si="157">MAX(AC15:AC380)</f>
        <v>7.0558662174533243E-2</v>
      </c>
      <c r="AD383" s="170">
        <f t="shared" si="157"/>
        <v>2.3993720619808786E-3</v>
      </c>
      <c r="AE383" s="312">
        <f t="shared" si="157"/>
        <v>0.6</v>
      </c>
      <c r="AF383" s="313">
        <f t="shared" si="157"/>
        <v>0.99999945723440842</v>
      </c>
      <c r="AG383" s="800">
        <f t="shared" si="157"/>
        <v>2</v>
      </c>
      <c r="AH383" s="232">
        <f t="shared" si="157"/>
        <v>8</v>
      </c>
      <c r="AI383" s="226">
        <f>MAX(AI15:AI380)</f>
        <v>2.4991119175134839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A380" sqref="A380:G380"/>
      <selection pane="topRight" activeCell="A380" sqref="A380:G380"/>
      <selection pane="bottomLeft" activeCell="A380" sqref="A380:G380"/>
      <selection pane="bottomRight" activeCell="B14" sqref="B14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7">
        <f>'2026'!An+1</f>
        <v>2027</v>
      </c>
      <c r="K1" s="1278"/>
      <c r="L1" s="113" t="str">
        <f>"Calcul pertes et enveloppes en "&amp;TEXT(An,0)</f>
        <v>Calcul pertes et enveloppes en 2027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2027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7">
        <f>Tmaj</f>
        <v>44947</v>
      </c>
      <c r="F3" s="1287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76.289065470356377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0" t="str">
        <f>Station</f>
        <v>Esp. Berjean Escalquens</v>
      </c>
      <c r="F4" s="1221"/>
      <c r="G4" s="1221"/>
      <c r="H4" s="1221"/>
      <c r="I4" s="1222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293.70404572855955</v>
      </c>
      <c r="AK4" s="822">
        <f>AM12-AK12</f>
        <v>1.1715308112500016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88">
        <f>T0</f>
        <v>43496</v>
      </c>
      <c r="F5" s="1288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370.04456219073523</v>
      </c>
      <c r="AA5" s="236">
        <f>Wh_Pvg_s-Wh_Pvg</f>
        <v>1.1715308112500016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2848.4063277369264</v>
      </c>
      <c r="AK5" s="514">
        <f>SUMIF(AK15:AK380,"VRAI",Wh)</f>
        <v>0</v>
      </c>
      <c r="AL5" s="514">
        <f>SUMIF(AJ15:AJ380,"VRAI",Wh_s)</f>
        <v>2771.7948453235231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89">
        <f>Tservice</f>
        <v>43535</v>
      </c>
      <c r="F6" s="1289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8443.2859265282004</v>
      </c>
      <c r="AK6" s="514">
        <f>SUMIF(AK15:AK380,"FAUX",Wh)</f>
        <v>11291.692254265119</v>
      </c>
      <c r="AL6" s="514">
        <f>SUMIF(AJ15:AJ380,"FAUX",Wh_s)</f>
        <v>8148.6325742024119</v>
      </c>
      <c r="AM6" s="514">
        <f>SUMIF(AK15:AK380,"FAUX",Wh_s)</f>
        <v>10920.427419525933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AND(YEAR(Tnet)=An,Resal_2027="I")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3014.7115646458883</v>
      </c>
      <c r="AK7" s="514">
        <f>SUMIF(AK15:AK380,"VRAI",Wh_sa)</f>
        <v>0</v>
      </c>
      <c r="AL7" s="514">
        <f>SUMIF(AJ15:AJ380,"VRAI",Wh_pvt_s)</f>
        <v>2933.6289581638821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AND(YEAR(Tnet)=An,Resal_2027&lt;&gt;"I")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5" t="s">
        <v>102</v>
      </c>
      <c r="Y8" s="1276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8961.7385916091753</v>
      </c>
      <c r="AK8" s="514">
        <f>SUMIF(AK15:AK380,"FAUX",Wh_sa)</f>
        <v>12299.232564084426</v>
      </c>
      <c r="AL8" s="514">
        <f>SUMIF(AJ15:AJ380,"FAUX",Wh_pvt_s)</f>
        <v>8649.0145201978976</v>
      </c>
      <c r="AM8" s="514">
        <f>SUMIF(AK15:AK380,"FAUX",Wh_sa_s)</f>
        <v>12297.909233371807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11976.450156255069</v>
      </c>
      <c r="E9" s="184">
        <f>SUM(E$15:E$380)</f>
        <v>12299.232564084426</v>
      </c>
      <c r="F9" s="184">
        <f>SUM(F$15:F$380)</f>
        <v>12299.351351894291</v>
      </c>
      <c r="H9" s="1279">
        <f>+SUM(Wh)</f>
        <v>11291.692254265119</v>
      </c>
      <c r="I9" s="1280"/>
      <c r="J9" s="1281"/>
      <c r="K9" s="191"/>
      <c r="L9" s="231"/>
      <c r="M9" s="231"/>
      <c r="N9" s="231"/>
      <c r="O9" s="222">
        <f>Tnet_2027</f>
        <v>46507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3">
        <f>+SUM(Wh_s)</f>
        <v>10920.427419525933</v>
      </c>
      <c r="Y9" s="1274"/>
      <c r="Z9" s="514">
        <f>SUM(Z$15:Z$380)</f>
        <v>11582.643478361781</v>
      </c>
      <c r="AA9" s="514">
        <f>SUM(AA$15:AA$380)</f>
        <v>12297.909233371807</v>
      </c>
      <c r="AB9" s="514">
        <f>F9</f>
        <v>12299.351351894291</v>
      </c>
      <c r="AC9" s="324">
        <f>IF(An_Tnet,Tnet,'2026'!Tnet_s)</f>
        <v>46507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3145.4250228501005</v>
      </c>
      <c r="AK9" s="514">
        <f>SUMIF(AK15:AK380,"VRAI",Wh_hp)</f>
        <v>0</v>
      </c>
      <c r="AL9" s="514">
        <f>SUMIF(AJ15:AJ380,"VRAI",Wh_sa_s)</f>
        <v>3145.0857810442726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IF(Inflex,'2026'!Resal+('2026'!Salim-'2026'!Resal)*(1-EXP(-(Tnet-'2026'!Tnet)/('2026'!Tau_j))),IF(An_Tnet,Resal_2027,'2026'!Resal))</f>
        <v>8.9999999999999993E-3</v>
      </c>
      <c r="P10" s="419" t="b">
        <f>NOT(Acti_tai)</f>
        <v>1</v>
      </c>
      <c r="Q10" s="256">
        <f>IF(Acti_tai,'2026'!PousD,Dens-Dd)</f>
        <v>0</v>
      </c>
      <c r="R10" s="273"/>
      <c r="S10" s="274"/>
      <c r="T10" s="275"/>
      <c r="U10" s="265">
        <f>IF(Acti_tai,'2026'!PousH,Hdtf-Hdd)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IF(OR(Inflex,GainD),'2026'!Resal_s+('2026'!Salim-'2026'!Resal_s)*(1-EXP(('2026'!Tnet_s-Tnet)/('2026'!Tau_j))),IF(Acti_net,'2026'!Resal+('2026'!Salim-'2026'!Resal)*(1-EXP(('2026'!Tnet-Tnet)/'2026'!Tau_j)),'2026'!Resal_s))</f>
        <v>4.5688425481752219E-2</v>
      </c>
      <c r="AD10" s="426"/>
      <c r="AE10" s="426"/>
      <c r="AF10" s="259"/>
      <c r="AG10" s="260"/>
      <c r="AH10" s="261"/>
      <c r="AI10" s="471"/>
      <c r="AJ10" s="514">
        <f>SUMIF(AJ15:AJ380,"FAUX",Wh_sa)</f>
        <v>9153.8075412343187</v>
      </c>
      <c r="AK10" s="514">
        <f>SUMIF(AK15:AK380,"FAUX",Wh_hp)</f>
        <v>12299.351351894291</v>
      </c>
      <c r="AL10" s="514">
        <f>SUMIF(AJ15:AJ380,"FAUX",Wh_sa_s)</f>
        <v>9152.8234523275278</v>
      </c>
      <c r="AM10" s="514">
        <f>SUMIF(AK15:AK380,"FAUX",Wh_hp)</f>
        <v>12299.351351894291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684.75790198994946</v>
      </c>
      <c r="E11" s="51">
        <f>(E$9-D$9)*Prod_an/D$9</f>
        <v>304.3272060374432</v>
      </c>
      <c r="F11" s="186">
        <f>(F$9-E$9)*Prod_an/E$9</f>
        <v>0.1090568363154861</v>
      </c>
      <c r="G11" s="185" t="s">
        <v>6</v>
      </c>
      <c r="K11" s="194"/>
      <c r="L11" s="211">
        <f>Tvie_2027</f>
        <v>43496</v>
      </c>
      <c r="M11" s="831"/>
      <c r="N11" s="831"/>
      <c r="O11" s="202">
        <f>IF(An_Tnet,Salim_2027,'2026'!Salim)</f>
        <v>0.11666666666666665</v>
      </c>
      <c r="P11" s="255">
        <f>Ttai_2027</f>
        <v>46112</v>
      </c>
      <c r="Q11" s="271">
        <f>Dens_2027</f>
        <v>0.6</v>
      </c>
      <c r="R11" s="276"/>
      <c r="S11" s="229"/>
      <c r="T11" s="229"/>
      <c r="U11" s="265">
        <f>Htf_2027</f>
        <v>-0.52587564886049476</v>
      </c>
      <c r="V11" s="426"/>
      <c r="W11" s="517"/>
      <c r="X11" s="524" t="s">
        <v>43</v>
      </c>
      <c r="Y11" s="50">
        <f>Z$9-Prod_an_s</f>
        <v>662.21605883584743</v>
      </c>
      <c r="Z11" s="51">
        <f>(AA$9-Z$9)*Prod_an_s/Z$9</f>
        <v>674.37176822817844</v>
      </c>
      <c r="AA11" s="186">
        <f>(AB$9-AA$9)*Prod_an_s/AA$9</f>
        <v>1.2805876475654876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123.50270779983825</v>
      </c>
      <c r="AK11" s="822">
        <f>IF($AK7=0,0,($AK9-$AK7)*$AK5/$AK7)</f>
        <v>0</v>
      </c>
      <c r="AL11" s="821">
        <f>IF($AL7=0,0,($AL9-$AL7)*$AL5/$AL7)</f>
        <v>199.79177327019462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4.7879837042308138E-2</v>
      </c>
      <c r="K12" s="191"/>
      <c r="L12" s="212">
        <f>Pspv_2027</f>
        <v>0</v>
      </c>
      <c r="M12" s="212"/>
      <c r="N12" s="212"/>
      <c r="O12" s="205">
        <f>IF(An_Tnet,Tau_2027*365,'2026'!Tau_j)</f>
        <v>876</v>
      </c>
      <c r="P12" s="280">
        <f>INDEX(Croivg,MIN(MAX(Ttai-$A$15,0)+1,366))</f>
        <v>2.3909964587625958E-6</v>
      </c>
      <c r="Q12" s="279">
        <f>'2026'!Df</f>
        <v>0.6</v>
      </c>
      <c r="R12" s="277"/>
      <c r="S12" s="278"/>
      <c r="T12" s="278"/>
      <c r="U12" s="266">
        <f>'2026'!Hdf</f>
        <v>-1.0258756488604948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'2026'!Df_s</f>
        <v>0.6</v>
      </c>
      <c r="AF12" s="203"/>
      <c r="AG12" s="203"/>
      <c r="AH12" s="203"/>
      <c r="AI12" s="296">
        <f>'2026'!Hdf_s</f>
        <v>2.4991119175134839</v>
      </c>
      <c r="AJ12" s="821">
        <f>IF($AJ8=0,0,($AJ10-$AJ8)*$AJ6/$AJ8)</f>
        <v>180.95741609908254</v>
      </c>
      <c r="AK12" s="822">
        <f>IF($AK8=0,0,($AK10-$AK8)*$AK6/$AK8)</f>
        <v>0.1090568363154861</v>
      </c>
      <c r="AL12" s="821">
        <f>IF($AL8=0,0,($AL10-$AL8)*$AL6/$AL8)</f>
        <v>474.66146182764209</v>
      </c>
      <c r="AM12" s="822">
        <f>IF($AM8=0,0,($AM10-$AM8)*$AM6/$AM8)</f>
        <v>1.2805876475654876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200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304.46012389892076</v>
      </c>
      <c r="AK13" s="73">
        <f>+AK11+AK12</f>
        <v>0.1090568363154861</v>
      </c>
      <c r="AL13" s="73">
        <f>+AL11+AL12</f>
        <v>674.45323509783668</v>
      </c>
      <c r="AM13" s="73">
        <f>+AM11+AM12</f>
        <v>1.2805876475654876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414" t="s">
        <v>365</v>
      </c>
      <c r="C14" s="414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199</v>
      </c>
      <c r="V14" s="45" t="str">
        <f>"Enveloppe "&amp; TEXT(An,0)</f>
        <v>Enveloppe 2027</v>
      </c>
      <c r="W14" s="371" t="s">
        <v>116</v>
      </c>
      <c r="X14" s="257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129">
        <f>DATE(An,1,1)</f>
        <v>46388</v>
      </c>
      <c r="B15" s="408">
        <f>IF(t&gt;Tmaj,'2026'!Wh/'2026'!Env_an*'2027'!Env_an,0.001*'[3]mon-tableau (2)'!$B$242)</f>
        <v>9.5862370722240904</v>
      </c>
      <c r="C15" s="829"/>
      <c r="D15" s="391">
        <f t="shared" ref="D15:D78" si="0">Wh/(1-Ppv)</f>
        <v>10.13255474944509</v>
      </c>
      <c r="E15" s="398">
        <f t="shared" ref="E15:E79" si="1">Wh_pvt/(1-Psa)</f>
        <v>10.504204440076629</v>
      </c>
      <c r="F15" s="398">
        <f t="shared" ref="F15:F78" si="2">Wh_sa/(1-Pvg*MEDIAN((-Sdif+Wh/Env_an)/Csdif,0,1))</f>
        <v>10.504296780962001</v>
      </c>
      <c r="G15" s="123">
        <f>+Wh_hp/MaxiM</f>
        <v>0.36742322769448138</v>
      </c>
      <c r="H15" s="412" t="b">
        <f>Wh_hp&gt;='2026'!Maxi_hp</f>
        <v>0</v>
      </c>
      <c r="I15" s="394">
        <f>IF(H15,Wh_hp,'2026'!Maxi_hp)</f>
        <v>28.767141164856003</v>
      </c>
      <c r="J15" s="84">
        <f>IF(H15,An,'2026'!An_max)</f>
        <v>2022</v>
      </c>
      <c r="K15" s="197">
        <f t="shared" ref="K15:K78" si="3">t</f>
        <v>46388</v>
      </c>
      <c r="L15" s="146">
        <f>IF(t&lt;Tvie,1-EXP((T0-t)*PertePVj)+'2026'!Pspv,1-EXP((T0-t)*PertePVj)+Pspv)</f>
        <v>5.3917071333951405E-2</v>
      </c>
      <c r="M15" s="832"/>
      <c r="N15" s="832"/>
      <c r="O15" s="48">
        <f>IF(t&lt;Tnet,'2026'!Resal+('2026'!Salim-'2026'!Resal)*(1-EXP(('2026'!Tnet-t)/('2026'!Tau_j))),Resal+(Salim-Resal)*(1-EXP((Tnet-t)/(Tau_j))))*Salcycl</f>
        <v>3.5381041253689453E-2</v>
      </c>
      <c r="P15" s="301">
        <f>(INDEX(Models!$BJ15:$BT15,,T15)*(1-R15)+INDEX(Models!$BJ15:$BT15,,T15+1)*R15-ERP_i)*Q15*Ramure*Pc/MaxiM</f>
        <v>9.1226387609984837E-5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0.97412554663773454</v>
      </c>
      <c r="S15" s="798">
        <f t="shared" ref="S15:S78" si="6">INDEX(Echel_vg,T15)</f>
        <v>-2</v>
      </c>
      <c r="T15" s="248">
        <f t="shared" ref="T15:T78" si="7">MIN(MATCH(Hp_vg,Echel_vg),10)</f>
        <v>4</v>
      </c>
      <c r="U15" s="250">
        <f t="shared" ref="U15:U78" si="8">IF(OR(t&lt;Ttai,Notai),Hdd+PousH*Croivg,Hdtf+PousH*(Croivg-Croi_tai))</f>
        <v>-1.0258744533622655</v>
      </c>
      <c r="V15" s="381">
        <f t="shared" ref="V15:V78" si="9">MaxiM*(1-Ppv)*(1-Pvg)*(1-Psa)</f>
        <v>26.088298440129872</v>
      </c>
      <c r="W15" s="400">
        <f t="shared" ref="W15:W78" si="10">Wh*(A15&gt;Tmaj)</f>
        <v>9.5862370722240904</v>
      </c>
      <c r="X15" s="156">
        <f t="shared" ref="X15:X78" si="11">t</f>
        <v>46388</v>
      </c>
      <c r="Y15" s="383">
        <f t="shared" ref="Y15:Y78" si="12">Wh_pvt_s*(1-Ppv)</f>
        <v>9.3088504389992117</v>
      </c>
      <c r="Z15" s="383">
        <f>Wh_sa_s*(1-Psa_s)</f>
        <v>9.8393599090984978</v>
      </c>
      <c r="AA15" s="384">
        <f t="shared" ref="AA15:AA78" si="13">Wh_hp*(1-Pvg_s*MEDIAN((-Sdif+Wh/Env_an)/Csdif,0,1))</f>
        <v>10.502068034918384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6.3102631178587401E-2</v>
      </c>
      <c r="AD15" s="230">
        <f>(INDEX(Models!$BJ15:$BT15,,AH15)*(1-AF15)+INDEX(Models!$BJ15:$BT15,,AH15+1)*AF15-ERP_i)*AE15*Ramure*Pc/MaxiM</f>
        <v>2.2018464479811894E-3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0.49911311301171324</v>
      </c>
      <c r="AG15" s="798">
        <f>INDEX(Echel_vg,AH15)</f>
        <v>2</v>
      </c>
      <c r="AH15" s="248">
        <f t="shared" ref="AH15:AH78" si="16">MIN(MATCH(Hp_vg_s,Echel_vg),10)</f>
        <v>8</v>
      </c>
      <c r="AI15" s="223">
        <f t="shared" ref="AI15:AI78" si="17">IF(OR(t&lt;Ttai,Notai),Hdd_s+PousH*Croivg,Hdtai_s+PousH*(Croivg-Croi_tai))</f>
        <v>2.4991131130117132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46389</v>
      </c>
      <c r="B16" s="409">
        <f>IF(t&gt;Tmaj,'2026'!Wh/'2026'!Env_an*'2027'!Env_an,0.001*'[3]mon-tableau (2)'!$B$243)</f>
        <v>1.5349268666582776</v>
      </c>
      <c r="C16" s="829"/>
      <c r="D16" s="391">
        <f t="shared" si="0"/>
        <v>1.6224331263534402</v>
      </c>
      <c r="E16" s="383">
        <f t="shared" si="1"/>
        <v>1.6821013625533678</v>
      </c>
      <c r="F16" s="383">
        <f t="shared" si="2"/>
        <v>1.6821013625533678</v>
      </c>
      <c r="G16" s="110">
        <f t="shared" ref="G16:G79" si="21">+Wh_hp/MaxiM</f>
        <v>5.8529634216744605E-2</v>
      </c>
      <c r="H16" s="412" t="b">
        <f>Wh_hp&gt;='2026'!Maxi_hp</f>
        <v>0</v>
      </c>
      <c r="I16" s="388">
        <f>IF(H16,Wh_hp,'2026'!Maxi_hp)</f>
        <v>27.700774451172606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5.3935202797443127E-2</v>
      </c>
      <c r="M16" s="832"/>
      <c r="N16" s="832"/>
      <c r="O16" s="48">
        <f>IF(t&lt;Tnet,'2026'!Resal+('2026'!Salim-'2026'!Resal)*(1-EXP(('2026'!Tnet-t)/('2026'!Tau_j))),Resal+(Salim-Resal)*(1-EXP((Tnet-t)/(Tau_j))))*Salcycl</f>
        <v>3.5472437944734536E-2</v>
      </c>
      <c r="P16" s="169">
        <f>(INDEX(Models!$BJ16:$BT16,,T16)*(1-R16)+INDEX(Models!$BJ16:$BT16,,T16+1)*R16-ERP_i)*Q16*Ramure*Pc/MaxiM</f>
        <v>8.619512270872393E-5</v>
      </c>
      <c r="Q16" s="304">
        <f t="shared" si="4"/>
        <v>0.6</v>
      </c>
      <c r="R16" s="177">
        <f t="shared" si="5"/>
        <v>0.97415476125172895</v>
      </c>
      <c r="S16" s="799">
        <f t="shared" si="6"/>
        <v>-2</v>
      </c>
      <c r="T16" s="176">
        <f t="shared" si="7"/>
        <v>4</v>
      </c>
      <c r="U16" s="250">
        <f t="shared" si="8"/>
        <v>-1.025845238748271</v>
      </c>
      <c r="V16" s="382">
        <f t="shared" si="9"/>
        <v>26.222521018413804</v>
      </c>
      <c r="W16" s="400">
        <f t="shared" si="10"/>
        <v>1.5349268666582776</v>
      </c>
      <c r="X16" s="157">
        <f t="shared" si="11"/>
        <v>46389</v>
      </c>
      <c r="Y16" s="383">
        <f t="shared" si="12"/>
        <v>1.4908634625313386</v>
      </c>
      <c r="Z16" s="383">
        <f t="shared" ref="Z16:Z78" si="22">Wh_sa_s*(1-Psa_s)</f>
        <v>1.5758576652885836</v>
      </c>
      <c r="AA16" s="384">
        <f t="shared" si="13"/>
        <v>1.6821013625533678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6.3161293147940958E-2</v>
      </c>
      <c r="AD16" s="230">
        <f>(INDEX(Models!$BJ16:$BT16,,AH16)*(1-AF16)+INDEX(Models!$BJ16:$BT16,,AH16+1)*AF16-ERP_i)*AE16*Ramure*Pc/MaxiM</f>
        <v>2.1676125426366107E-3</v>
      </c>
      <c r="AE16" s="304">
        <f t="shared" si="15"/>
        <v>0.6</v>
      </c>
      <c r="AF16" s="177">
        <f t="shared" ref="AF16:AF78" si="23">(Hp_vg_s-AG16)/(INDEX(Echel_vg,AH16+1)-AG16)</f>
        <v>0.49914232762570743</v>
      </c>
      <c r="AG16" s="799">
        <f t="shared" ref="AG16:AG79" si="24">INDEX(Echel_vg,AH16)</f>
        <v>2</v>
      </c>
      <c r="AH16" s="176">
        <f t="shared" si="16"/>
        <v>8</v>
      </c>
      <c r="AI16" s="224">
        <f t="shared" si="17"/>
        <v>2.4991423276257074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46390</v>
      </c>
      <c r="B17" s="409">
        <f>IF(t&gt;Tmaj,'2026'!Wh/'2026'!Env_an*'2027'!Env_an,0.001*'[3]mon-tableau (2)'!$B$244)</f>
        <v>15.79717663002949</v>
      </c>
      <c r="C17" s="829"/>
      <c r="D17" s="391">
        <f t="shared" si="0"/>
        <v>16.698094498209734</v>
      </c>
      <c r="E17" s="383">
        <f t="shared" si="1"/>
        <v>17.313840481655067</v>
      </c>
      <c r="F17" s="383">
        <f t="shared" si="2"/>
        <v>17.314441865495677</v>
      </c>
      <c r="G17" s="110">
        <f t="shared" si="21"/>
        <v>0.59912307341471005</v>
      </c>
      <c r="H17" s="412" t="b">
        <f>Wh_hp&gt;='2026'!Maxi_hp</f>
        <v>0</v>
      </c>
      <c r="I17" s="388">
        <f>IF(H17,Wh_hp,'2026'!Maxi_hp)</f>
        <v>27.58667687662351</v>
      </c>
      <c r="J17" s="85">
        <f>IF(H17,An,'2026'!An_max)</f>
        <v>2021</v>
      </c>
      <c r="K17" s="197">
        <f t="shared" si="3"/>
        <v>46390</v>
      </c>
      <c r="L17" s="147">
        <f>IF(t&lt;Tvie,1-EXP((T0-t)*PertePVj)+'2026'!Pspv,1-EXP((T0-t)*PertePVj)+Pspv)</f>
        <v>5.3953333913449475E-2</v>
      </c>
      <c r="M17" s="832"/>
      <c r="N17" s="832"/>
      <c r="O17" s="48">
        <f>IF(t&lt;Tnet,'2026'!Resal+('2026'!Salim-'2026'!Resal)*(1-EXP(('2026'!Tnet-t)/('2026'!Tau_j))),Resal+(Salim-Resal)*(1-EXP((Tnet-t)/(Tau_j))))*Salcycl</f>
        <v>3.5563801347121581E-2</v>
      </c>
      <c r="P17" s="169">
        <f>(INDEX(Models!$BJ17:$BT17,,T17)*(1-R17)+INDEX(Models!$BJ17:$BT17,,T17+1)*R17-ERP_i)*Q17*Ramure*Pc/MaxiM</f>
        <v>8.1273862120497298E-5</v>
      </c>
      <c r="Q17" s="304">
        <f t="shared" si="4"/>
        <v>0.6</v>
      </c>
      <c r="R17" s="177">
        <f t="shared" si="5"/>
        <v>0.97418519784721846</v>
      </c>
      <c r="S17" s="799">
        <f t="shared" si="6"/>
        <v>-2</v>
      </c>
      <c r="T17" s="176">
        <f t="shared" si="7"/>
        <v>4</v>
      </c>
      <c r="U17" s="250">
        <f t="shared" si="8"/>
        <v>-1.0258148021527815</v>
      </c>
      <c r="V17" s="382">
        <f t="shared" si="9"/>
        <v>26.365937304760386</v>
      </c>
      <c r="W17" s="400">
        <f t="shared" si="10"/>
        <v>15.79717663002949</v>
      </c>
      <c r="X17" s="157">
        <f t="shared" si="11"/>
        <v>46390</v>
      </c>
      <c r="Y17" s="383">
        <f t="shared" si="12"/>
        <v>15.330746886126796</v>
      </c>
      <c r="Z17" s="383">
        <f t="shared" si="22"/>
        <v>16.205064121777941</v>
      </c>
      <c r="AA17" s="384">
        <f t="shared" si="13"/>
        <v>17.298687540134473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6.3220022664680825E-2</v>
      </c>
      <c r="AD17" s="230">
        <f>(INDEX(Models!$BJ17:$BT17,,AH17)*(1-AF17)+INDEX(Models!$BJ17:$BT17,,AH17+1)*AF17-ERP_i)*AE17*Ramure*Pc/MaxiM</f>
        <v>2.1291141875497085E-3</v>
      </c>
      <c r="AE17" s="304">
        <f t="shared" si="15"/>
        <v>0.6</v>
      </c>
      <c r="AF17" s="177">
        <f>(Hp_vg_s-AG17)/(INDEX(Echel_vg,AH17+1)-AG17)</f>
        <v>0.49917276422119716</v>
      </c>
      <c r="AG17" s="799">
        <f>INDEX(Echel_vg,AH17)</f>
        <v>2</v>
      </c>
      <c r="AH17" s="176">
        <f t="shared" si="16"/>
        <v>8</v>
      </c>
      <c r="AI17" s="224">
        <f t="shared" si="17"/>
        <v>2.4991727642211972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46391</v>
      </c>
      <c r="B18" s="409">
        <f>IF(t&gt;Tmaj,'2026'!Wh/'2026'!Env_an*'2027'!Env_an,0.001*'[3]mon-tableau (2)'!$B$245)</f>
        <v>14.149772837333421</v>
      </c>
      <c r="C18" s="829"/>
      <c r="D18" s="391">
        <f t="shared" si="0"/>
        <v>14.957025405768277</v>
      </c>
      <c r="E18" s="383">
        <f t="shared" si="1"/>
        <v>15.510037722059216</v>
      </c>
      <c r="F18" s="383">
        <f t="shared" si="2"/>
        <v>15.510433483293973</v>
      </c>
      <c r="G18" s="110">
        <f t="shared" si="21"/>
        <v>0.53355703092787843</v>
      </c>
      <c r="H18" s="412" t="b">
        <f>Wh_hp&gt;='2026'!Maxi_hp</f>
        <v>0</v>
      </c>
      <c r="I18" s="388">
        <f>IF(H18,Wh_hp,'2026'!Maxi_hp)</f>
        <v>23.787440527034882</v>
      </c>
      <c r="J18" s="85">
        <f>IF(H18,An,'2026'!An_max)</f>
        <v>2021</v>
      </c>
      <c r="K18" s="197">
        <f t="shared" si="3"/>
        <v>46391</v>
      </c>
      <c r="L18" s="147">
        <f>IF(t&lt;Tvie,1-EXP((T0-t)*PertePVj)+'2026'!Pspv,1-EXP((T0-t)*PertePVj)+Pspv)</f>
        <v>5.397146468197711E-2</v>
      </c>
      <c r="M18" s="832"/>
      <c r="N18" s="832"/>
      <c r="O18" s="48">
        <f>IF(t&lt;Tnet,'2026'!Resal+('2026'!Salim-'2026'!Resal)*(1-EXP(('2026'!Tnet-t)/('2026'!Tau_j))),Resal+(Salim-Resal)*(1-EXP((Tnet-t)/(Tau_j))))*Salcycl</f>
        <v>3.5655123875321937E-2</v>
      </c>
      <c r="P18" s="169">
        <f>(INDEX(Models!$BJ18:$BT18,,T18)*(1-R18)+INDEX(Models!$BJ18:$BT18,,T18+1)*R18-ERP_i)*Q18*Ramure*Pc/MaxiM</f>
        <v>7.6465205725270404E-5</v>
      </c>
      <c r="Q18" s="304">
        <f t="shared" si="4"/>
        <v>0.6</v>
      </c>
      <c r="R18" s="177">
        <f t="shared" si="5"/>
        <v>0.97421690737851363</v>
      </c>
      <c r="S18" s="799">
        <f t="shared" si="6"/>
        <v>-2</v>
      </c>
      <c r="T18" s="176">
        <f t="shared" si="7"/>
        <v>4</v>
      </c>
      <c r="U18" s="250">
        <f t="shared" si="8"/>
        <v>-1.0257830926214864</v>
      </c>
      <c r="V18" s="382">
        <f t="shared" si="9"/>
        <v>26.518349635316245</v>
      </c>
      <c r="W18" s="400">
        <f t="shared" si="10"/>
        <v>14.149772837333421</v>
      </c>
      <c r="X18" s="157">
        <f t="shared" si="11"/>
        <v>46391</v>
      </c>
      <c r="Y18" s="383">
        <f t="shared" si="12"/>
        <v>13.735233359161947</v>
      </c>
      <c r="Z18" s="383">
        <f>Wh_sa_s*(1-Psa_s)</f>
        <v>14.518836215172543</v>
      </c>
      <c r="AA18" s="384">
        <f t="shared" si="13"/>
        <v>15.499634575565265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6.3278805420285439E-2</v>
      </c>
      <c r="AD18" s="230">
        <f>(INDEX(Models!$BJ18:$BT18,,AH18)*(1-AF18)+INDEX(Models!$BJ18:$BT18,,AH18+1)*AF18-ERP_i)*AE18*Ramure*Pc/MaxiM</f>
        <v>2.0864618071892937E-3</v>
      </c>
      <c r="AE18" s="304">
        <f t="shared" si="15"/>
        <v>0.6</v>
      </c>
      <c r="AF18" s="177">
        <f t="shared" si="23"/>
        <v>0.49920447375249211</v>
      </c>
      <c r="AG18" s="799">
        <f t="shared" si="24"/>
        <v>2</v>
      </c>
      <c r="AH18" s="176">
        <f t="shared" si="16"/>
        <v>8</v>
      </c>
      <c r="AI18" s="224">
        <f t="shared" si="17"/>
        <v>2.4992044737524921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46392</v>
      </c>
      <c r="B19" s="409">
        <f>IF(t&gt;Tmaj,'2026'!Wh/'2026'!Env_an*'2027'!Env_an,0.001*'[3]mon-tableau (2)'!$B$246)</f>
        <v>13.969706025107444</v>
      </c>
      <c r="C19" s="829"/>
      <c r="D19" s="391">
        <f t="shared" si="0"/>
        <v>14.766968685327434</v>
      </c>
      <c r="E19" s="383">
        <f t="shared" si="1"/>
        <v>15.314403460888595</v>
      </c>
      <c r="F19" s="383">
        <f t="shared" si="2"/>
        <v>15.314754581938463</v>
      </c>
      <c r="G19" s="110">
        <f t="shared" si="21"/>
        <v>0.52358522603792712</v>
      </c>
      <c r="H19" s="412" t="b">
        <f>Wh_hp&gt;='2026'!Maxi_hp</f>
        <v>0</v>
      </c>
      <c r="I19" s="388">
        <f>IF(H19,Wh_hp,'2026'!Maxi_hp)</f>
        <v>16.919002934899346</v>
      </c>
      <c r="J19" s="85">
        <f>IF(H19,An,'2026'!An_max)</f>
        <v>2022</v>
      </c>
      <c r="K19" s="197">
        <f t="shared" si="3"/>
        <v>46392</v>
      </c>
      <c r="L19" s="147">
        <f>IF(t&lt;Tvie,1-EXP((T0-t)*PertePVj)+'2026'!Pspv,1-EXP((T0-t)*PertePVj)+Pspv)</f>
        <v>5.3989595103032695E-2</v>
      </c>
      <c r="M19" s="832"/>
      <c r="N19" s="832"/>
      <c r="O19" s="48">
        <f>IF(t&lt;Tnet,'2026'!Resal+('2026'!Salim-'2026'!Resal)*(1-EXP(('2026'!Tnet-t)/('2026'!Tau_j))),Resal+(Salim-Resal)*(1-EXP((Tnet-t)/(Tau_j))))*Salcycl</f>
        <v>3.574639893478402E-2</v>
      </c>
      <c r="P19" s="169">
        <f>(INDEX(Models!$BJ19:$BT19,,T19)*(1-R19)+INDEX(Models!$BJ19:$BT19,,T19+1)*R19-ERP_i)*Q19*Ramure*Pc/MaxiM</f>
        <v>7.1771510293381648E-5</v>
      </c>
      <c r="Q19" s="304">
        <f t="shared" si="4"/>
        <v>0.6</v>
      </c>
      <c r="R19" s="177">
        <f t="shared" si="5"/>
        <v>0.97424994291107514</v>
      </c>
      <c r="S19" s="799">
        <f t="shared" si="6"/>
        <v>-2</v>
      </c>
      <c r="T19" s="176">
        <f t="shared" si="7"/>
        <v>4</v>
      </c>
      <c r="U19" s="250">
        <f t="shared" si="8"/>
        <v>-1.0257500570889249</v>
      </c>
      <c r="V19" s="382">
        <f t="shared" si="9"/>
        <v>26.679560405896169</v>
      </c>
      <c r="W19" s="400">
        <f t="shared" si="10"/>
        <v>13.969706025107444</v>
      </c>
      <c r="X19" s="157">
        <f t="shared" si="11"/>
        <v>46392</v>
      </c>
      <c r="Y19" s="383">
        <f t="shared" si="12"/>
        <v>13.561444558873548</v>
      </c>
      <c r="Z19" s="383">
        <f t="shared" si="22"/>
        <v>14.335407400038653</v>
      </c>
      <c r="AA19" s="384">
        <f t="shared" si="13"/>
        <v>15.304775598196235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6.3337628960193917E-2</v>
      </c>
      <c r="AD19" s="230">
        <f>(INDEX(Models!$BJ19:$BT19,,AH19)*(1-AF19)+INDEX(Models!$BJ19:$BT19,,AH19+1)*AF19-ERP_i)*AE19*Ramure*Pc/MaxiM</f>
        <v>2.0397715677934534E-3</v>
      </c>
      <c r="AE19" s="304">
        <f t="shared" si="15"/>
        <v>0.6</v>
      </c>
      <c r="AF19" s="177">
        <f t="shared" si="23"/>
        <v>0.49923750928505406</v>
      </c>
      <c r="AG19" s="799">
        <f t="shared" si="24"/>
        <v>2</v>
      </c>
      <c r="AH19" s="176">
        <f t="shared" si="16"/>
        <v>8</v>
      </c>
      <c r="AI19" s="224">
        <f t="shared" si="17"/>
        <v>2.4992375092850541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46393</v>
      </c>
      <c r="B20" s="409">
        <f>IF(t&gt;Tmaj,'2026'!Wh/'2026'!Env_an*'2027'!Env_an,0.001*'[3]mon-tableau (2)'!$B$247)</f>
        <v>4.5875466827632687</v>
      </c>
      <c r="C20" s="829"/>
      <c r="D20" s="391">
        <f t="shared" si="0"/>
        <v>4.8494546994263708</v>
      </c>
      <c r="E20" s="383">
        <f t="shared" si="1"/>
        <v>5.0297074481981454</v>
      </c>
      <c r="F20" s="383">
        <f t="shared" si="2"/>
        <v>5.0297074481981454</v>
      </c>
      <c r="G20" s="110">
        <f t="shared" si="21"/>
        <v>0.1708508642019281</v>
      </c>
      <c r="H20" s="412" t="b">
        <f>Wh_hp&gt;='2026'!Maxi_hp</f>
        <v>0</v>
      </c>
      <c r="I20" s="388">
        <f>IF(H20,Wh_hp,'2026'!Maxi_hp)</f>
        <v>29.950318368832068</v>
      </c>
      <c r="J20" s="85">
        <f>IF(H20,An,'2026'!An_max)</f>
        <v>2020</v>
      </c>
      <c r="K20" s="197">
        <f t="shared" si="3"/>
        <v>46393</v>
      </c>
      <c r="L20" s="147">
        <f>IF(t&lt;Tvie,1-EXP((T0-t)*PertePVj)+'2026'!Pspv,1-EXP((T0-t)*PertePVj)+Pspv)</f>
        <v>5.4007725176622889E-2</v>
      </c>
      <c r="M20" s="832"/>
      <c r="N20" s="832"/>
      <c r="O20" s="48">
        <f>IF(t&lt;Tnet,'2026'!Resal+('2026'!Salim-'2026'!Resal)*(1-EXP(('2026'!Tnet-t)/('2026'!Tau_j))),Resal+(Salim-Resal)*(1-EXP((Tnet-t)/(Tau_j))))*Salcycl</f>
        <v>3.5837620901062364E-2</v>
      </c>
      <c r="P20" s="169">
        <f>(INDEX(Models!$BJ20:$BT20,,T20)*(1-R20)+INDEX(Models!$BJ20:$BT20,,T20+1)*R20-ERP_i)*Q20*Ramure*Pc/MaxiM</f>
        <v>6.7194877793056687E-5</v>
      </c>
      <c r="Q20" s="304">
        <f t="shared" si="4"/>
        <v>0.6</v>
      </c>
      <c r="R20" s="177">
        <f t="shared" si="5"/>
        <v>0.9742843597078259</v>
      </c>
      <c r="S20" s="799">
        <f t="shared" si="6"/>
        <v>-2</v>
      </c>
      <c r="T20" s="176">
        <f t="shared" si="7"/>
        <v>4</v>
      </c>
      <c r="U20" s="250">
        <f t="shared" si="8"/>
        <v>-1.0257156402921741</v>
      </c>
      <c r="V20" s="382">
        <f t="shared" si="9"/>
        <v>26.849372079867898</v>
      </c>
      <c r="W20" s="400">
        <f t="shared" si="10"/>
        <v>4.5875466827632687</v>
      </c>
      <c r="X20" s="157">
        <f t="shared" si="11"/>
        <v>46393</v>
      </c>
      <c r="Y20" s="383">
        <f t="shared" si="12"/>
        <v>4.4564198441194769</v>
      </c>
      <c r="Z20" s="383">
        <f t="shared" si="22"/>
        <v>4.7108416873187675</v>
      </c>
      <c r="AA20" s="384">
        <f t="shared" si="13"/>
        <v>5.0297074481981454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6.3396482631133719E-2</v>
      </c>
      <c r="AD20" s="230">
        <f>(INDEX(Models!$BJ20:$BT20,,AH20)*(1-AF20)+INDEX(Models!$BJ20:$BT20,,AH20+1)*AF20-ERP_i)*AE20*Ramure*Pc/MaxiM</f>
        <v>1.9891646575854603E-3</v>
      </c>
      <c r="AE20" s="304">
        <f t="shared" si="15"/>
        <v>0.6</v>
      </c>
      <c r="AF20" s="177">
        <f t="shared" si="23"/>
        <v>0.49927192608180482</v>
      </c>
      <c r="AG20" s="799">
        <f t="shared" si="24"/>
        <v>2</v>
      </c>
      <c r="AH20" s="176">
        <f t="shared" si="16"/>
        <v>8</v>
      </c>
      <c r="AI20" s="224">
        <f t="shared" si="17"/>
        <v>2.4992719260818048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46394</v>
      </c>
      <c r="B21" s="409">
        <f>IF(t&gt;Tmaj,'2026'!Wh/'2026'!Env_an*'2027'!Env_an,0.001*'[3]mon-tableau (2)'!$B$248)</f>
        <v>17.736849155506906</v>
      </c>
      <c r="C21" s="829"/>
      <c r="D21" s="391">
        <f t="shared" si="0"/>
        <v>18.749824450734398</v>
      </c>
      <c r="E21" s="383">
        <f t="shared" si="1"/>
        <v>19.44858861126102</v>
      </c>
      <c r="F21" s="383">
        <f t="shared" si="2"/>
        <v>19.449209599434813</v>
      </c>
      <c r="G21" s="110">
        <f t="shared" si="21"/>
        <v>0.65622959879456944</v>
      </c>
      <c r="H21" s="412" t="b">
        <f>Wh_hp&gt;='2026'!Maxi_hp</f>
        <v>1</v>
      </c>
      <c r="I21" s="388">
        <f>IF(H21,Wh_hp,'2026'!Maxi_hp)</f>
        <v>19.449209599434813</v>
      </c>
      <c r="J21" s="85">
        <f>IF(H21,An,'2026'!An_max)</f>
        <v>2027</v>
      </c>
      <c r="K21" s="197">
        <f t="shared" si="3"/>
        <v>46394</v>
      </c>
      <c r="L21" s="147">
        <f>IF(t&lt;Tvie,1-EXP((T0-t)*PertePVj)+'2026'!Pspv,1-EXP((T0-t)*PertePVj)+Pspv)</f>
        <v>5.4025854902754356E-2</v>
      </c>
      <c r="M21" s="832"/>
      <c r="N21" s="832"/>
      <c r="O21" s="48">
        <f>IF(t&lt;Tnet,'2026'!Resal+('2026'!Salim-'2026'!Resal)*(1-EXP(('2026'!Tnet-t)/('2026'!Tau_j))),Resal+(Salim-Resal)*(1-EXP((Tnet-t)/(Tau_j))))*Salcycl</f>
        <v>3.5928785090452747E-2</v>
      </c>
      <c r="P21" s="169">
        <f>(INDEX(Models!$BJ21:$BT21,,T21)*(1-R21)+INDEX(Models!$BJ21:$BT21,,T21+1)*R21-ERP_i)*Q21*Ramure*Pc/MaxiM</f>
        <v>6.2737146607162926E-5</v>
      </c>
      <c r="Q21" s="304">
        <f t="shared" si="4"/>
        <v>0.6</v>
      </c>
      <c r="R21" s="177">
        <f t="shared" si="5"/>
        <v>0.97432021531888902</v>
      </c>
      <c r="S21" s="799">
        <f t="shared" si="6"/>
        <v>-2</v>
      </c>
      <c r="T21" s="176">
        <f t="shared" si="7"/>
        <v>4</v>
      </c>
      <c r="U21" s="250">
        <f t="shared" si="8"/>
        <v>-1.025679784681111</v>
      </c>
      <c r="V21" s="382">
        <f t="shared" si="9"/>
        <v>27.027587182971981</v>
      </c>
      <c r="W21" s="400">
        <f t="shared" si="10"/>
        <v>17.736849155506906</v>
      </c>
      <c r="X21" s="157">
        <f t="shared" si="11"/>
        <v>46394</v>
      </c>
      <c r="Y21" s="383">
        <f t="shared" si="12"/>
        <v>17.214002635175223</v>
      </c>
      <c r="Z21" s="383">
        <f t="shared" si="22"/>
        <v>18.197117462872765</v>
      </c>
      <c r="AA21" s="384">
        <f t="shared" si="13"/>
        <v>19.430058789906255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6.3455357514100419E-2</v>
      </c>
      <c r="AD21" s="230">
        <f>(INDEX(Models!$BJ21:$BT21,,AH21)*(1-AF21)+INDEX(Models!$BJ21:$BT21,,AH21+1)*AF21-ERP_i)*AE21*Ramure*Pc/MaxiM</f>
        <v>1.93476654748788E-3</v>
      </c>
      <c r="AE21" s="304">
        <f t="shared" si="15"/>
        <v>0.6</v>
      </c>
      <c r="AF21" s="177">
        <f t="shared" si="23"/>
        <v>0.49930778169286771</v>
      </c>
      <c r="AG21" s="799">
        <f t="shared" si="24"/>
        <v>2</v>
      </c>
      <c r="AH21" s="176">
        <f t="shared" si="16"/>
        <v>8</v>
      </c>
      <c r="AI21" s="224">
        <f t="shared" si="17"/>
        <v>2.4993077816928677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46395</v>
      </c>
      <c r="B22" s="409">
        <f>IF(t&gt;Tmaj,'2026'!Wh/'2026'!Env_an*'2027'!Env_an,0.001*'[3]mon-tableau (2)'!$B$249)</f>
        <v>6.6231548844588577</v>
      </c>
      <c r="C22" s="829"/>
      <c r="D22" s="391">
        <f t="shared" si="0"/>
        <v>7.0015463450779825</v>
      </c>
      <c r="E22" s="383">
        <f t="shared" si="1"/>
        <v>7.2631647229084937</v>
      </c>
      <c r="F22" s="383">
        <f t="shared" si="2"/>
        <v>7.2631647229084937</v>
      </c>
      <c r="G22" s="110">
        <f t="shared" si="21"/>
        <v>0.24335878851382545</v>
      </c>
      <c r="H22" s="412" t="b">
        <f>Wh_hp&gt;='2026'!Maxi_hp</f>
        <v>0</v>
      </c>
      <c r="I22" s="388">
        <f>IF(H22,Wh_hp,'2026'!Maxi_hp)</f>
        <v>23.032683038014351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5.4043984281433755E-2</v>
      </c>
      <c r="M22" s="832"/>
      <c r="N22" s="832"/>
      <c r="O22" s="48">
        <f>IF(t&lt;Tnet,'2026'!Resal+('2026'!Salim-'2026'!Resal)*(1-EXP(('2026'!Tnet-t)/('2026'!Tau_j))),Resal+(Salim-Resal)*(1-EXP((Tnet-t)/(Tau_j))))*Salcycl</f>
        <v>3.6019887722682338E-2</v>
      </c>
      <c r="P22" s="169">
        <f>(INDEX(Models!$BJ22:$BT22,,T22)*(1-R22)+INDEX(Models!$BJ22:$BT22,,T22+1)*R22-ERP_i)*Q22*Ramure*Pc/MaxiM</f>
        <v>5.8399885562364427E-5</v>
      </c>
      <c r="Q22" s="304">
        <f t="shared" si="4"/>
        <v>0.6</v>
      </c>
      <c r="R22" s="177">
        <f t="shared" si="5"/>
        <v>0.97435756967488629</v>
      </c>
      <c r="S22" s="799">
        <f t="shared" si="6"/>
        <v>-2</v>
      </c>
      <c r="T22" s="176">
        <f t="shared" si="7"/>
        <v>4</v>
      </c>
      <c r="U22" s="250">
        <f t="shared" si="8"/>
        <v>-1.0256424303251137</v>
      </c>
      <c r="V22" s="382">
        <f t="shared" si="9"/>
        <v>27.214008310183949</v>
      </c>
      <c r="W22" s="400">
        <f t="shared" si="10"/>
        <v>6.6231548844588577</v>
      </c>
      <c r="X22" s="157">
        <f t="shared" si="11"/>
        <v>46395</v>
      </c>
      <c r="Y22" s="383">
        <f t="shared" si="12"/>
        <v>6.4342511993315972</v>
      </c>
      <c r="Z22" s="383">
        <f t="shared" si="22"/>
        <v>6.8018502894598303</v>
      </c>
      <c r="AA22" s="384">
        <f t="shared" si="13"/>
        <v>7.2631647229084937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6.3514246344110528E-2</v>
      </c>
      <c r="AD22" s="230">
        <f>(INDEX(Models!$BJ22:$BT22,,AH22)*(1-AF22)+INDEX(Models!$BJ22:$BT22,,AH22+1)*AF22-ERP_i)*AE22*Ramure*Pc/MaxiM</f>
        <v>1.8767062407736717E-3</v>
      </c>
      <c r="AE22" s="304">
        <f t="shared" si="15"/>
        <v>0.6</v>
      </c>
      <c r="AF22" s="177">
        <f t="shared" si="23"/>
        <v>0.49934513604886499</v>
      </c>
      <c r="AG22" s="799">
        <f t="shared" si="24"/>
        <v>2</v>
      </c>
      <c r="AH22" s="176">
        <f t="shared" si="16"/>
        <v>8</v>
      </c>
      <c r="AI22" s="224">
        <f t="shared" si="17"/>
        <v>2.499345136048865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46396</v>
      </c>
      <c r="B23" s="409">
        <f>IF(t&gt;Tmaj,'2026'!Wh/'2026'!Env_an*'2027'!Env_an,0.001*'[3]mon-tableau (2)'!$B$250)</f>
        <v>8.4755366566885577</v>
      </c>
      <c r="C23" s="829"/>
      <c r="D23" s="391">
        <f t="shared" si="0"/>
        <v>8.959929373766629</v>
      </c>
      <c r="E23" s="383">
        <f t="shared" si="1"/>
        <v>9.2956021748789723</v>
      </c>
      <c r="F23" s="383">
        <f t="shared" si="2"/>
        <v>9.2956087970795078</v>
      </c>
      <c r="G23" s="110">
        <f t="shared" si="21"/>
        <v>0.3091876639751408</v>
      </c>
      <c r="H23" s="412" t="b">
        <f>Wh_hp&gt;='2026'!Maxi_hp</f>
        <v>0</v>
      </c>
      <c r="I23" s="388">
        <f>IF(H23,Wh_hp,'2026'!Maxi_hp)</f>
        <v>29.267673438612903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5.4062113312667748E-2</v>
      </c>
      <c r="M23" s="832"/>
      <c r="N23" s="832"/>
      <c r="O23" s="48">
        <f>IF(t&lt;Tnet,'2026'!Resal+('2026'!Salim-'2026'!Resal)*(1-EXP(('2026'!Tnet-t)/('2026'!Tau_j))),Resal+(Salim-Resal)*(1-EXP((Tnet-t)/(Tau_j))))*Salcycl</f>
        <v>3.6110925876269372E-2</v>
      </c>
      <c r="P23" s="169">
        <f>(INDEX(Models!$BJ23:$BT23,,T23)*(1-R23)+INDEX(Models!$BJ23:$BT23,,T23+1)*R23-ERP_i)*Q23*Ramure*Pc/MaxiM</f>
        <v>5.4179707641321304E-5</v>
      </c>
      <c r="Q23" s="304">
        <f t="shared" si="4"/>
        <v>0.6</v>
      </c>
      <c r="R23" s="177">
        <f t="shared" si="5"/>
        <v>0.9743964851839213</v>
      </c>
      <c r="S23" s="799">
        <f t="shared" si="6"/>
        <v>-2</v>
      </c>
      <c r="T23" s="176">
        <f t="shared" si="7"/>
        <v>4</v>
      </c>
      <c r="U23" s="250">
        <f t="shared" si="8"/>
        <v>-1.0256035148160787</v>
      </c>
      <c r="V23" s="382">
        <f t="shared" si="9"/>
        <v>27.410807350093162</v>
      </c>
      <c r="W23" s="400">
        <f t="shared" si="10"/>
        <v>8.4755366566885577</v>
      </c>
      <c r="X23" s="157">
        <f t="shared" si="11"/>
        <v>46396</v>
      </c>
      <c r="Y23" s="383">
        <f t="shared" si="12"/>
        <v>8.2338690306775479</v>
      </c>
      <c r="Z23" s="383">
        <f t="shared" si="22"/>
        <v>8.7044499924963343</v>
      </c>
      <c r="AA23" s="384">
        <f t="shared" si="13"/>
        <v>9.2953869608860877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6.3573143417949923E-2</v>
      </c>
      <c r="AD23" s="230">
        <f>(INDEX(Models!$BJ23:$BT23,,AH23)*(1-AF23)+INDEX(Models!$BJ23:$BT23,,AH23+1)*AF23-ERP_i)*AE23*Ramure*Pc/MaxiM</f>
        <v>1.8149586442262743E-3</v>
      </c>
      <c r="AE23" s="304">
        <f t="shared" si="15"/>
        <v>0.6</v>
      </c>
      <c r="AF23" s="177">
        <f t="shared" si="23"/>
        <v>0.49938405155790022</v>
      </c>
      <c r="AG23" s="799">
        <f t="shared" si="24"/>
        <v>2</v>
      </c>
      <c r="AH23" s="176">
        <f t="shared" si="16"/>
        <v>8</v>
      </c>
      <c r="AI23" s="224">
        <f t="shared" si="17"/>
        <v>2.4993840515579002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46397</v>
      </c>
      <c r="B24" s="409">
        <f>IF(t&gt;Tmaj,'2026'!Wh/'2026'!Env_an*'2027'!Env_an,0.001*'[3]mon-tableau (2)'!$B$251)</f>
        <v>24.16683887627492</v>
      </c>
      <c r="C24" s="829"/>
      <c r="D24" s="391">
        <f t="shared" si="0"/>
        <v>25.548508392806564</v>
      </c>
      <c r="E24" s="383">
        <f t="shared" si="1"/>
        <v>26.508153860100116</v>
      </c>
      <c r="F24" s="383">
        <f t="shared" si="2"/>
        <v>26.50924564271174</v>
      </c>
      <c r="G24" s="110">
        <f t="shared" si="21"/>
        <v>0.87497728929480734</v>
      </c>
      <c r="H24" s="412" t="b">
        <f>Wh_hp&gt;='2026'!Maxi_hp</f>
        <v>1</v>
      </c>
      <c r="I24" s="388">
        <f>IF(H24,Wh_hp,'2026'!Maxi_hp)</f>
        <v>26.50924564271174</v>
      </c>
      <c r="J24" s="85">
        <f>IF(H24,An,'2026'!An_max)</f>
        <v>2027</v>
      </c>
      <c r="K24" s="197">
        <f t="shared" si="3"/>
        <v>46397</v>
      </c>
      <c r="L24" s="147">
        <f>IF(t&lt;Tvie,1-EXP((T0-t)*PertePVj)+'2026'!Pspv,1-EXP((T0-t)*PertePVj)+Pspv)</f>
        <v>5.4080241996462997E-2</v>
      </c>
      <c r="M24" s="832"/>
      <c r="N24" s="832"/>
      <c r="O24" s="48">
        <f>IF(t&lt;Tnet,'2026'!Resal+('2026'!Salim-'2026'!Resal)*(1-EXP(('2026'!Tnet-t)/('2026'!Tau_j))),Resal+(Salim-Resal)*(1-EXP((Tnet-t)/(Tau_j))))*Salcycl</f>
        <v>3.6201897437226023E-2</v>
      </c>
      <c r="P24" s="169">
        <f>(INDEX(Models!$BJ24:$BT24,,T24)*(1-R24)+INDEX(Models!$BJ24:$BT24,,T24+1)*R24-ERP_i)*Q24*Ramure*Pc/MaxiM</f>
        <v>5.013952720556666E-5</v>
      </c>
      <c r="Q24" s="304">
        <f t="shared" si="4"/>
        <v>0.6</v>
      </c>
      <c r="R24" s="177">
        <f t="shared" si="5"/>
        <v>0.97443702683239097</v>
      </c>
      <c r="S24" s="799">
        <f t="shared" si="6"/>
        <v>-2</v>
      </c>
      <c r="T24" s="176">
        <f t="shared" si="7"/>
        <v>4</v>
      </c>
      <c r="U24" s="250">
        <f t="shared" si="8"/>
        <v>-1.025562973167609</v>
      </c>
      <c r="V24" s="382">
        <f t="shared" si="9"/>
        <v>27.619713974075907</v>
      </c>
      <c r="W24" s="400">
        <f t="shared" si="10"/>
        <v>24.16683887627492</v>
      </c>
      <c r="X24" s="157">
        <f t="shared" si="11"/>
        <v>46397</v>
      </c>
      <c r="Y24" s="383">
        <f t="shared" si="12"/>
        <v>23.44628945096537</v>
      </c>
      <c r="Z24" s="383">
        <f t="shared" si="22"/>
        <v>24.786763626178214</v>
      </c>
      <c r="AA24" s="384">
        <f t="shared" si="13"/>
        <v>26.471178856938071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6.3632044491224921E-2</v>
      </c>
      <c r="AD24" s="230">
        <f>(INDEX(Models!$BJ24:$BT24,,AH24)*(1-AF24)+INDEX(Models!$BJ24:$BT24,,AH24+1)*AF24-ERP_i)*AE24*Ramure*Pc/MaxiM</f>
        <v>1.7481965920722049E-3</v>
      </c>
      <c r="AE24" s="304">
        <f t="shared" si="15"/>
        <v>0.6</v>
      </c>
      <c r="AF24" s="177">
        <f t="shared" si="23"/>
        <v>0.49942459320636967</v>
      </c>
      <c r="AG24" s="799">
        <f t="shared" si="24"/>
        <v>2</v>
      </c>
      <c r="AH24" s="176">
        <f t="shared" si="16"/>
        <v>8</v>
      </c>
      <c r="AI24" s="224">
        <f t="shared" si="17"/>
        <v>2.4994245932063697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46398</v>
      </c>
      <c r="B25" s="409">
        <f>IF(t&gt;Tmaj,'2026'!Wh/'2026'!Env_an*'2027'!Env_an,0.001*'[3]mon-tableau (2)'!$B$252)</f>
        <v>4.3945442742803982</v>
      </c>
      <c r="C25" s="829"/>
      <c r="D25" s="391">
        <f t="shared" si="0"/>
        <v>4.6458787430429398</v>
      </c>
      <c r="E25" s="383">
        <f t="shared" si="1"/>
        <v>4.8208405499776648</v>
      </c>
      <c r="F25" s="383">
        <f t="shared" si="2"/>
        <v>4.8208405499776648</v>
      </c>
      <c r="G25" s="110">
        <f t="shared" si="21"/>
        <v>0.15784343900498751</v>
      </c>
      <c r="H25" s="412" t="b">
        <f>Wh_hp&gt;='2026'!Maxi_hp</f>
        <v>0</v>
      </c>
      <c r="I25" s="388">
        <f>IF(H25,Wh_hp,'2026'!Maxi_hp)</f>
        <v>29.842314321550671</v>
      </c>
      <c r="J25" s="85">
        <f>IF(H25,An,'2026'!An_max)</f>
        <v>2020</v>
      </c>
      <c r="K25" s="197">
        <f t="shared" si="3"/>
        <v>46398</v>
      </c>
      <c r="L25" s="147">
        <f>IF(t&lt;Tvie,1-EXP((T0-t)*PertePVj)+'2026'!Pspv,1-EXP((T0-t)*PertePVj)+Pspv)</f>
        <v>5.4098370332826162E-2</v>
      </c>
      <c r="M25" s="832"/>
      <c r="N25" s="832"/>
      <c r="O25" s="48">
        <f>IF(t&lt;Tnet,'2026'!Resal+('2026'!Salim-'2026'!Resal)*(1-EXP(('2026'!Tnet-t)/('2026'!Tau_j))),Resal+(Salim-Resal)*(1-EXP((Tnet-t)/(Tau_j))))*Salcycl</f>
        <v>3.6292801041829845E-2</v>
      </c>
      <c r="P25" s="169">
        <f>(INDEX(Models!$BJ25:$BT25,,T25)*(1-R25)+INDEX(Models!$BJ25:$BT25,,T25+1)*R25-ERP_i)*Q25*Ramure*Pc/MaxiM</f>
        <v>4.6293152513597196E-5</v>
      </c>
      <c r="Q25" s="304">
        <f t="shared" si="4"/>
        <v>0.6</v>
      </c>
      <c r="R25" s="177">
        <f t="shared" si="5"/>
        <v>0.9744792622897569</v>
      </c>
      <c r="S25" s="799">
        <f t="shared" si="6"/>
        <v>-2</v>
      </c>
      <c r="T25" s="176">
        <f t="shared" si="7"/>
        <v>4</v>
      </c>
      <c r="U25" s="250">
        <f t="shared" si="8"/>
        <v>-1.0255207377102431</v>
      </c>
      <c r="V25" s="382">
        <f t="shared" si="9"/>
        <v>27.83987009325886</v>
      </c>
      <c r="W25" s="400">
        <f t="shared" si="10"/>
        <v>4.3945442742803982</v>
      </c>
      <c r="X25" s="157">
        <f t="shared" si="11"/>
        <v>46398</v>
      </c>
      <c r="Y25" s="383">
        <f t="shared" si="12"/>
        <v>4.2696076087566892</v>
      </c>
      <c r="Z25" s="383">
        <f t="shared" si="22"/>
        <v>4.5137966516232764</v>
      </c>
      <c r="AA25" s="384">
        <f t="shared" si="13"/>
        <v>4.8208405499776648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6.3690946666097689E-2</v>
      </c>
      <c r="AD25" s="230">
        <f>(INDEX(Models!$BJ25:$BT25,,AH25)*(1-AF25)+INDEX(Models!$BJ25:$BT25,,AH25+1)*AF25-ERP_i)*AE25*Ramure*Pc/MaxiM</f>
        <v>1.6778773080177638E-3</v>
      </c>
      <c r="AE25" s="304">
        <f t="shared" si="15"/>
        <v>0.6</v>
      </c>
      <c r="AF25" s="177">
        <f t="shared" si="23"/>
        <v>0.49946682866373582</v>
      </c>
      <c r="AG25" s="799">
        <f t="shared" si="24"/>
        <v>2</v>
      </c>
      <c r="AH25" s="176">
        <f t="shared" si="16"/>
        <v>8</v>
      </c>
      <c r="AI25" s="224">
        <f t="shared" si="17"/>
        <v>2.4994668286637358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46399</v>
      </c>
      <c r="B26" s="409">
        <f>IF(t&gt;Tmaj,'2026'!Wh/'2026'!Env_an*'2027'!Env_an,0.001*'[3]mon-tableau (2)'!$B$253)</f>
        <v>23.490409095955751</v>
      </c>
      <c r="C26" s="829"/>
      <c r="D26" s="391">
        <f t="shared" si="0"/>
        <v>24.834357565469571</v>
      </c>
      <c r="E26" s="383">
        <f t="shared" si="1"/>
        <v>25.772038015988262</v>
      </c>
      <c r="F26" s="383">
        <f t="shared" si="2"/>
        <v>25.772880851355072</v>
      </c>
      <c r="G26" s="110">
        <f t="shared" si="21"/>
        <v>0.83683026497222801</v>
      </c>
      <c r="H26" s="412" t="b">
        <f>Wh_hp&gt;='2026'!Maxi_hp</f>
        <v>0</v>
      </c>
      <c r="I26" s="388">
        <f>IF(H26,Wh_hp,'2026'!Maxi_hp)</f>
        <v>31.06915900574295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5.4116498321763906E-2</v>
      </c>
      <c r="M26" s="832"/>
      <c r="N26" s="832"/>
      <c r="O26" s="48">
        <f>IF(t&lt;Tnet,'2026'!Resal+('2026'!Salim-'2026'!Resal)*(1-EXP(('2026'!Tnet-t)/('2026'!Tau_j))),Resal+(Salim-Resal)*(1-EXP((Tnet-t)/(Tau_j))))*Salcycl</f>
        <v>3.6383636014232897E-2</v>
      </c>
      <c r="P26" s="169">
        <f>(INDEX(Models!$BJ26:$BT26,,T26)*(1-R26)+INDEX(Models!$BJ26:$BT26,,T26+1)*R26-ERP_i)*Q26*Ramure*Pc/MaxiM</f>
        <v>4.2641660083303121E-5</v>
      </c>
      <c r="Q26" s="304">
        <f t="shared" si="4"/>
        <v>0.6</v>
      </c>
      <c r="R26" s="177">
        <f t="shared" si="5"/>
        <v>0.974523262017428</v>
      </c>
      <c r="S26" s="799">
        <f t="shared" si="6"/>
        <v>-2</v>
      </c>
      <c r="T26" s="176">
        <f t="shared" si="7"/>
        <v>4</v>
      </c>
      <c r="U26" s="250">
        <f t="shared" si="8"/>
        <v>-1.025476737982572</v>
      </c>
      <c r="V26" s="382">
        <f t="shared" si="9"/>
        <v>28.070418332796702</v>
      </c>
      <c r="W26" s="400">
        <f t="shared" si="10"/>
        <v>23.490409095955751</v>
      </c>
      <c r="X26" s="157">
        <f t="shared" si="11"/>
        <v>46399</v>
      </c>
      <c r="Y26" s="383">
        <f t="shared" si="12"/>
        <v>22.795959671367296</v>
      </c>
      <c r="Z26" s="383">
        <f t="shared" si="22"/>
        <v>24.100176851506035</v>
      </c>
      <c r="AA26" s="384">
        <f t="shared" si="13"/>
        <v>25.741172705823598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6.3749848271143772E-2</v>
      </c>
      <c r="AD26" s="230">
        <f>(INDEX(Models!$BJ26:$BT26,,AH26)*(1-AF26)+INDEX(Models!$BJ26:$BT26,,AH26+1)*AF26-ERP_i)*AE26*Ramure*Pc/MaxiM</f>
        <v>1.6042136066743362E-3</v>
      </c>
      <c r="AE26" s="304">
        <f t="shared" si="15"/>
        <v>0.6</v>
      </c>
      <c r="AF26" s="177">
        <f t="shared" si="23"/>
        <v>0.49951082839140692</v>
      </c>
      <c r="AG26" s="799">
        <f t="shared" si="24"/>
        <v>2</v>
      </c>
      <c r="AH26" s="176">
        <f t="shared" si="16"/>
        <v>8</v>
      </c>
      <c r="AI26" s="224">
        <f t="shared" si="17"/>
        <v>2.4995108283914069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46400</v>
      </c>
      <c r="B27" s="409">
        <f>IF(t&gt;Tmaj,'2026'!Wh/'2026'!Env_an*'2027'!Env_an,0.001*'[3]mon-tableau (2)'!$B$254)</f>
        <v>13.28163839658845</v>
      </c>
      <c r="C27" s="829"/>
      <c r="D27" s="391">
        <f t="shared" si="0"/>
        <v>14.041785185460098</v>
      </c>
      <c r="E27" s="383">
        <f t="shared" si="1"/>
        <v>14.573339015563882</v>
      </c>
      <c r="F27" s="383">
        <f t="shared" si="2"/>
        <v>14.573477002763873</v>
      </c>
      <c r="G27" s="110">
        <f t="shared" si="21"/>
        <v>0.46912781193174574</v>
      </c>
      <c r="H27" s="412" t="b">
        <f>Wh_hp&gt;='2026'!Maxi_hp</f>
        <v>0</v>
      </c>
      <c r="I27" s="388">
        <f>IF(H27,Wh_hp,'2026'!Maxi_hp)</f>
        <v>16.623085463395078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5.4134625963282779E-2</v>
      </c>
      <c r="M27" s="832"/>
      <c r="N27" s="832"/>
      <c r="O27" s="48">
        <f>IF(t&lt;Tnet,'2026'!Resal+('2026'!Salim-'2026'!Resal)*(1-EXP(('2026'!Tnet-t)/('2026'!Tau_j))),Resal+(Salim-Resal)*(1-EXP((Tnet-t)/(Tau_j))))*Salcycl</f>
        <v>3.647440229971316E-2</v>
      </c>
      <c r="P27" s="169">
        <f>(INDEX(Models!$BJ27:$BT27,,T27)*(1-R27)+INDEX(Models!$BJ27:$BT27,,T27+1)*R27-ERP_i)*Q27*Ramure*Pc/MaxiM</f>
        <v>3.9185269095888576E-5</v>
      </c>
      <c r="Q27" s="304">
        <f t="shared" si="4"/>
        <v>0.6</v>
      </c>
      <c r="R27" s="177">
        <f t="shared" si="5"/>
        <v>0.97456909938189717</v>
      </c>
      <c r="S27" s="799">
        <f t="shared" si="6"/>
        <v>-2</v>
      </c>
      <c r="T27" s="176">
        <f t="shared" si="7"/>
        <v>4</v>
      </c>
      <c r="U27" s="250">
        <f t="shared" si="8"/>
        <v>-1.0254309006181028</v>
      </c>
      <c r="V27" s="382">
        <f t="shared" si="9"/>
        <v>28.310501671539868</v>
      </c>
      <c r="W27" s="400">
        <f t="shared" si="10"/>
        <v>13.28163839658845</v>
      </c>
      <c r="X27" s="157">
        <f t="shared" si="11"/>
        <v>46400</v>
      </c>
      <c r="Y27" s="383">
        <f t="shared" si="12"/>
        <v>12.900209724064528</v>
      </c>
      <c r="Z27" s="383">
        <f t="shared" si="22"/>
        <v>13.63852624080069</v>
      </c>
      <c r="AA27" s="384">
        <f t="shared" si="13"/>
        <v>14.568098369184012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6.3808748734814486E-2</v>
      </c>
      <c r="AD27" s="230">
        <f>(INDEX(Models!$BJ27:$BT27,,AH27)*(1-AF27)+INDEX(Models!$BJ27:$BT27,,AH27+1)*AF27-ERP_i)*AE27*Ramure*Pc/MaxiM</f>
        <v>1.5274112686477679E-3</v>
      </c>
      <c r="AE27" s="304">
        <f t="shared" si="15"/>
        <v>0.6</v>
      </c>
      <c r="AF27" s="177">
        <f t="shared" si="23"/>
        <v>0.49955666575587587</v>
      </c>
      <c r="AG27" s="799">
        <f t="shared" si="24"/>
        <v>2</v>
      </c>
      <c r="AH27" s="176">
        <f t="shared" si="16"/>
        <v>8</v>
      </c>
      <c r="AI27" s="224">
        <f t="shared" si="17"/>
        <v>2.4995566657558759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46401</v>
      </c>
      <c r="B28" s="409">
        <f>IF(t&gt;Tmaj,'2026'!Wh/'2026'!Env_an*'2027'!Env_an,0.001*'[3]mon-tableau (2)'!$B$255)</f>
        <v>17.933260661637924</v>
      </c>
      <c r="C28" s="829"/>
      <c r="D28" s="391">
        <f t="shared" si="0"/>
        <v>18.959996683817625</v>
      </c>
      <c r="E28" s="383">
        <f t="shared" si="1"/>
        <v>19.679582597204298</v>
      </c>
      <c r="F28" s="383">
        <f t="shared" si="2"/>
        <v>19.67991379388366</v>
      </c>
      <c r="G28" s="110">
        <f t="shared" si="21"/>
        <v>0.62791949264756897</v>
      </c>
      <c r="H28" s="412" t="b">
        <f>Wh_hp&gt;='2026'!Maxi_hp</f>
        <v>0</v>
      </c>
      <c r="I28" s="388">
        <f>IF(H28,Wh_hp,'2026'!Maxi_hp)</f>
        <v>31.753841494972857</v>
      </c>
      <c r="J28" s="85">
        <f>IF(H28,An,'2026'!An_max)</f>
        <v>2022</v>
      </c>
      <c r="K28" s="197">
        <f t="shared" si="3"/>
        <v>46401</v>
      </c>
      <c r="L28" s="147">
        <f>IF(t&lt;Tvie,1-EXP((T0-t)*PertePVj)+'2026'!Pspv,1-EXP((T0-t)*PertePVj)+Pspv)</f>
        <v>5.4152753257389663E-2</v>
      </c>
      <c r="M28" s="832"/>
      <c r="N28" s="832"/>
      <c r="O28" s="48">
        <f>IF(t&lt;Tnet,'2026'!Resal+('2026'!Salim-'2026'!Resal)*(1-EXP(('2026'!Tnet-t)/('2026'!Tau_j))),Resal+(Salim-Resal)*(1-EXP((Tnet-t)/(Tau_j))))*Salcycl</f>
        <v>3.6565100394400522E-2</v>
      </c>
      <c r="P28" s="169">
        <f>(INDEX(Models!$BJ28:$BT28,,T28)*(1-R28)+INDEX(Models!$BJ28:$BT28,,T28+1)*R28-ERP_i)*Q28*Ramure*Pc/MaxiM</f>
        <v>3.592342277577057E-5</v>
      </c>
      <c r="Q28" s="304">
        <f t="shared" si="4"/>
        <v>0.6</v>
      </c>
      <c r="R28" s="177">
        <f t="shared" si="5"/>
        <v>0.97461685077228677</v>
      </c>
      <c r="S28" s="799">
        <f t="shared" si="6"/>
        <v>-2</v>
      </c>
      <c r="T28" s="176">
        <f t="shared" si="7"/>
        <v>4</v>
      </c>
      <c r="U28" s="250">
        <f t="shared" si="8"/>
        <v>-1.0253831492277132</v>
      </c>
      <c r="V28" s="382">
        <f t="shared" si="9"/>
        <v>28.559263478362759</v>
      </c>
      <c r="W28" s="400">
        <f t="shared" si="10"/>
        <v>17.933260661637924</v>
      </c>
      <c r="X28" s="157">
        <f t="shared" si="11"/>
        <v>46401</v>
      </c>
      <c r="Y28" s="383">
        <f t="shared" si="12"/>
        <v>17.41352982386152</v>
      </c>
      <c r="Z28" s="383">
        <f t="shared" si="22"/>
        <v>18.410509608006709</v>
      </c>
      <c r="AA28" s="384">
        <f t="shared" si="13"/>
        <v>19.666566995150276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6.3867648454013673E-2</v>
      </c>
      <c r="AD28" s="230">
        <f>(INDEX(Models!$BJ28:$BT28,,AH28)*(1-AF28)+INDEX(Models!$BJ28:$BT28,,AH28+1)*AF28-ERP_i)*AE28*Ramure*Pc/MaxiM</f>
        <v>1.4476675748298657E-3</v>
      </c>
      <c r="AE28" s="304">
        <f t="shared" si="15"/>
        <v>0.6</v>
      </c>
      <c r="AF28" s="177">
        <f t="shared" si="23"/>
        <v>0.49960441714626525</v>
      </c>
      <c r="AG28" s="799">
        <f t="shared" si="24"/>
        <v>2</v>
      </c>
      <c r="AH28" s="176">
        <f t="shared" si="16"/>
        <v>8</v>
      </c>
      <c r="AI28" s="224">
        <f t="shared" si="17"/>
        <v>2.4996044171462652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46402</v>
      </c>
      <c r="B29" s="409">
        <f>IF(t&gt;Tmaj,'2026'!Wh/'2026'!Env_an*'2027'!Env_an,0.001*'[3]mon-tableau (2)'!$B$256)</f>
        <v>5.8437533642001558</v>
      </c>
      <c r="C29" s="829"/>
      <c r="D29" s="391">
        <f t="shared" si="0"/>
        <v>6.178445177772832</v>
      </c>
      <c r="E29" s="383">
        <f t="shared" si="1"/>
        <v>6.4135381071327222</v>
      </c>
      <c r="F29" s="383">
        <f t="shared" si="2"/>
        <v>6.4135381071327222</v>
      </c>
      <c r="G29" s="110">
        <f t="shared" si="21"/>
        <v>0.20278984928811067</v>
      </c>
      <c r="H29" s="412" t="b">
        <f>Wh_hp&gt;='2026'!Maxi_hp</f>
        <v>0</v>
      </c>
      <c r="I29" s="388">
        <f>IF(H29,Wh_hp,'2026'!Maxi_hp)</f>
        <v>32.62432731925049</v>
      </c>
      <c r="J29" s="85">
        <f>IF(H29,An,'2026'!An_max)</f>
        <v>2022</v>
      </c>
      <c r="K29" s="197">
        <f t="shared" si="3"/>
        <v>46402</v>
      </c>
      <c r="L29" s="147">
        <f>IF(t&lt;Tvie,1-EXP((T0-t)*PertePVj)+'2026'!Pspv,1-EXP((T0-t)*PertePVj)+Pspv)</f>
        <v>5.4170880204090999E-2</v>
      </c>
      <c r="M29" s="832"/>
      <c r="N29" s="832"/>
      <c r="O29" s="48">
        <f>IF(t&lt;Tnet,'2026'!Resal+('2026'!Salim-'2026'!Resal)*(1-EXP(('2026'!Tnet-t)/('2026'!Tau_j))),Resal+(Salim-Resal)*(1-EXP((Tnet-t)/(Tau_j))))*Salcycl</f>
        <v>3.6655731272327727E-2</v>
      </c>
      <c r="P29" s="169">
        <f>(INDEX(Models!$BJ29:$BT29,,T29)*(1-R29)+INDEX(Models!$BJ29:$BT29,,T29+1)*R29-ERP_i)*Q29*Ramure*Pc/MaxiM</f>
        <v>3.2854871052040264E-5</v>
      </c>
      <c r="Q29" s="304">
        <f t="shared" si="4"/>
        <v>0.6</v>
      </c>
      <c r="R29" s="177">
        <f t="shared" si="5"/>
        <v>0.97466659572245895</v>
      </c>
      <c r="S29" s="799">
        <f t="shared" si="6"/>
        <v>-2</v>
      </c>
      <c r="T29" s="176">
        <f t="shared" si="7"/>
        <v>4</v>
      </c>
      <c r="U29" s="250">
        <f t="shared" si="8"/>
        <v>-1.025333404277541</v>
      </c>
      <c r="V29" s="382">
        <f t="shared" si="9"/>
        <v>28.815847484233601</v>
      </c>
      <c r="W29" s="400">
        <f t="shared" si="10"/>
        <v>5.8437533642001558</v>
      </c>
      <c r="X29" s="157">
        <f t="shared" si="11"/>
        <v>46402</v>
      </c>
      <c r="Y29" s="383">
        <f t="shared" si="12"/>
        <v>5.6783255560707122</v>
      </c>
      <c r="Z29" s="383">
        <f t="shared" si="22"/>
        <v>6.0035427512487471</v>
      </c>
      <c r="AA29" s="384">
        <f t="shared" si="13"/>
        <v>6.4135381071327222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6.3926548659312452E-2</v>
      </c>
      <c r="AD29" s="230">
        <f>(INDEX(Models!$BJ29:$BT29,,AH29)*(1-AF29)+INDEX(Models!$BJ29:$BT29,,AH29+1)*AF29-ERP_i)*AE29*Ramure*Pc/MaxiM</f>
        <v>1.3651700749614465E-3</v>
      </c>
      <c r="AE29" s="304">
        <f t="shared" si="15"/>
        <v>0.6</v>
      </c>
      <c r="AF29" s="177">
        <f t="shared" si="23"/>
        <v>0.49965416209643765</v>
      </c>
      <c r="AG29" s="799">
        <f t="shared" si="24"/>
        <v>2</v>
      </c>
      <c r="AH29" s="176">
        <f t="shared" si="16"/>
        <v>8</v>
      </c>
      <c r="AI29" s="224">
        <f t="shared" si="17"/>
        <v>2.4996541620964376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46403</v>
      </c>
      <c r="B30" s="409">
        <f>IF(t&gt;Tmaj,'2026'!Wh/'2026'!Env_an*'2027'!Env_an,0.001*'[3]mon-tableau (2)'!$B$257)</f>
        <v>3.5440606511157213</v>
      </c>
      <c r="C30" s="829"/>
      <c r="D30" s="391">
        <f t="shared" si="0"/>
        <v>3.7471129819898543</v>
      </c>
      <c r="E30" s="383">
        <f t="shared" si="1"/>
        <v>3.8900582137791271</v>
      </c>
      <c r="F30" s="383">
        <f t="shared" si="2"/>
        <v>3.8900582137791271</v>
      </c>
      <c r="G30" s="110">
        <f t="shared" si="21"/>
        <v>0.12187165744791066</v>
      </c>
      <c r="H30" s="412" t="b">
        <f>Wh_hp&gt;='2026'!Maxi_hp</f>
        <v>0</v>
      </c>
      <c r="I30" s="388">
        <f>IF(H30,Wh_hp,'2026'!Maxi_hp)</f>
        <v>31.820475310957626</v>
      </c>
      <c r="J30" s="85">
        <f>IF(H30,An,'2026'!An_max)</f>
        <v>2022</v>
      </c>
      <c r="K30" s="197">
        <f t="shared" si="3"/>
        <v>46403</v>
      </c>
      <c r="L30" s="147">
        <f>IF(t&lt;Tvie,1-EXP((T0-t)*PertePVj)+'2026'!Pspv,1-EXP((T0-t)*PertePVj)+Pspv)</f>
        <v>5.4189006803393669E-2</v>
      </c>
      <c r="M30" s="832"/>
      <c r="N30" s="832"/>
      <c r="O30" s="48">
        <f>IF(t&lt;Tnet,'2026'!Resal+('2026'!Salim-'2026'!Resal)*(1-EXP(('2026'!Tnet-t)/('2026'!Tau_j))),Resal+(Salim-Resal)*(1-EXP((Tnet-t)/(Tau_j))))*Salcycl</f>
        <v>3.6746296310667226E-2</v>
      </c>
      <c r="P30" s="169">
        <f>(INDEX(Models!$BJ30:$BT30,,T30)*(1-R30)+INDEX(Models!$BJ30:$BT30,,T30+1)*R30-ERP_i)*Q30*Ramure*Pc/MaxiM</f>
        <v>3.0047288970314876E-5</v>
      </c>
      <c r="Q30" s="304">
        <f t="shared" si="4"/>
        <v>0.6</v>
      </c>
      <c r="R30" s="177">
        <f t="shared" si="5"/>
        <v>0.97471841703785222</v>
      </c>
      <c r="S30" s="799">
        <f t="shared" si="6"/>
        <v>-2</v>
      </c>
      <c r="T30" s="176">
        <f t="shared" si="7"/>
        <v>4</v>
      </c>
      <c r="U30" s="250">
        <f t="shared" si="8"/>
        <v>-1.0252815829621478</v>
      </c>
      <c r="V30" s="382">
        <f t="shared" si="9"/>
        <v>29.079395783354595</v>
      </c>
      <c r="W30" s="400">
        <f t="shared" si="10"/>
        <v>3.5440606511157213</v>
      </c>
      <c r="X30" s="157">
        <f t="shared" si="11"/>
        <v>46403</v>
      </c>
      <c r="Y30" s="383">
        <f t="shared" si="12"/>
        <v>3.4438407226370993</v>
      </c>
      <c r="Z30" s="383">
        <f t="shared" si="22"/>
        <v>3.6411510834715219</v>
      </c>
      <c r="AA30" s="384">
        <f t="shared" si="13"/>
        <v>3.8900582137791271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6.3985451278323155E-2</v>
      </c>
      <c r="AD30" s="230">
        <f>(INDEX(Models!$BJ30:$BT30,,AH30)*(1-AF30)+INDEX(Models!$BJ30:$BT30,,AH30+1)*AF30-ERP_i)*AE30*Ramure*Pc/MaxiM</f>
        <v>1.2817062697786125E-3</v>
      </c>
      <c r="AE30" s="304">
        <f t="shared" si="15"/>
        <v>0.6</v>
      </c>
      <c r="AF30" s="177">
        <f t="shared" si="23"/>
        <v>0.49970598341183114</v>
      </c>
      <c r="AG30" s="799">
        <f t="shared" si="24"/>
        <v>2</v>
      </c>
      <c r="AH30" s="176">
        <f t="shared" si="16"/>
        <v>8</v>
      </c>
      <c r="AI30" s="224">
        <f t="shared" si="17"/>
        <v>2.4997059834118311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46404</v>
      </c>
      <c r="B31" s="409">
        <f>IF(t&gt;Tmaj,'2026'!Wh/'2026'!Env_an*'2027'!Env_an,0.001*'[3]mon-tableau (2)'!$B$258)</f>
        <v>6.6684021358082832</v>
      </c>
      <c r="C31" s="829"/>
      <c r="D31" s="391">
        <f t="shared" si="0"/>
        <v>7.0505946585852293</v>
      </c>
      <c r="E31" s="383">
        <f t="shared" si="1"/>
        <v>7.3202491936892198</v>
      </c>
      <c r="F31" s="383">
        <f t="shared" si="2"/>
        <v>7.3202491936892198</v>
      </c>
      <c r="G31" s="110">
        <f t="shared" si="21"/>
        <v>0.22720388322420643</v>
      </c>
      <c r="H31" s="412" t="b">
        <f>Wh_hp&gt;='2026'!Maxi_hp</f>
        <v>0</v>
      </c>
      <c r="I31" s="388">
        <f>IF(H31,Wh_hp,'2026'!Maxi_hp)</f>
        <v>12.614398134606729</v>
      </c>
      <c r="J31" s="85">
        <f>IF(H31,An,'2026'!An_max)</f>
        <v>2022</v>
      </c>
      <c r="K31" s="197">
        <f t="shared" si="3"/>
        <v>46404</v>
      </c>
      <c r="L31" s="147">
        <f>IF(t&lt;Tvie,1-EXP((T0-t)*PertePVj)+'2026'!Pspv,1-EXP((T0-t)*PertePVj)+Pspv)</f>
        <v>5.4207133055304113E-2</v>
      </c>
      <c r="M31" s="832"/>
      <c r="N31" s="832"/>
      <c r="O31" s="48">
        <f>IF(t&lt;Tnet,'2026'!Resal+('2026'!Salim-'2026'!Resal)*(1-EXP(('2026'!Tnet-t)/('2026'!Tau_j))),Resal+(Salim-Resal)*(1-EXP((Tnet-t)/(Tau_j))))*Salcycl</f>
        <v>3.6836797214015511E-2</v>
      </c>
      <c r="P31" s="169">
        <f>(INDEX(Models!$BJ31:$BT31,,T31)*(1-R31)+INDEX(Models!$BJ31:$BT31,,T31+1)*R31-ERP_i)*Q31*Ramure*Pc/MaxiM</f>
        <v>2.7414117690113974E-5</v>
      </c>
      <c r="Q31" s="304">
        <f t="shared" si="4"/>
        <v>0.6</v>
      </c>
      <c r="R31" s="177">
        <f t="shared" si="5"/>
        <v>0.9747724009272063</v>
      </c>
      <c r="S31" s="799">
        <f t="shared" si="6"/>
        <v>-2</v>
      </c>
      <c r="T31" s="176">
        <f t="shared" si="7"/>
        <v>4</v>
      </c>
      <c r="U31" s="250">
        <f t="shared" si="8"/>
        <v>-1.0252275990727937</v>
      </c>
      <c r="V31" s="382">
        <f t="shared" si="9"/>
        <v>29.349055275023979</v>
      </c>
      <c r="W31" s="400">
        <f t="shared" si="10"/>
        <v>6.6684021358082832</v>
      </c>
      <c r="X31" s="157">
        <f t="shared" si="11"/>
        <v>46404</v>
      </c>
      <c r="Y31" s="383">
        <f t="shared" si="12"/>
        <v>6.4800322300053059</v>
      </c>
      <c r="Z31" s="383">
        <f t="shared" si="22"/>
        <v>6.8514285278324243</v>
      </c>
      <c r="AA31" s="384">
        <f t="shared" si="13"/>
        <v>7.3202491936892198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6.4044358798736739E-2</v>
      </c>
      <c r="AD31" s="230">
        <f>(INDEX(Models!$BJ31:$BT31,,AH31)*(1-AF31)+INDEX(Models!$BJ31:$BT31,,AH31+1)*AF31-ERP_i)*AE31*Ramure*Pc/MaxiM</f>
        <v>1.1998279057794129E-3</v>
      </c>
      <c r="AE31" s="304">
        <f t="shared" si="15"/>
        <v>0.6</v>
      </c>
      <c r="AF31" s="177">
        <f t="shared" si="23"/>
        <v>0.49975996730118499</v>
      </c>
      <c r="AG31" s="799">
        <f t="shared" si="24"/>
        <v>2</v>
      </c>
      <c r="AH31" s="176">
        <f t="shared" si="16"/>
        <v>8</v>
      </c>
      <c r="AI31" s="224">
        <f t="shared" si="17"/>
        <v>2.499759967301185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46405</v>
      </c>
      <c r="B32" s="409">
        <f>IF(t&gt;Tmaj,'2026'!Wh/'2026'!Env_an*'2027'!Env_an,0.001*'[3]mon-tableau (2)'!$B$259)</f>
        <v>19.098052518496303</v>
      </c>
      <c r="C32" s="829"/>
      <c r="D32" s="391">
        <f t="shared" si="0"/>
        <v>20.193024501259259</v>
      </c>
      <c r="E32" s="383">
        <f t="shared" si="1"/>
        <v>20.967288511100957</v>
      </c>
      <c r="F32" s="383">
        <f t="shared" si="2"/>
        <v>20.967546136972846</v>
      </c>
      <c r="G32" s="110">
        <f t="shared" si="21"/>
        <v>0.64467423111335487</v>
      </c>
      <c r="H32" s="412" t="b">
        <f>Wh_hp&gt;='2026'!Maxi_hp</f>
        <v>0</v>
      </c>
      <c r="I32" s="388">
        <f>IF(H32,Wh_hp,'2026'!Maxi_hp)</f>
        <v>30.661484813289494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5.4225258959829103E-2</v>
      </c>
      <c r="M32" s="832"/>
      <c r="N32" s="832"/>
      <c r="O32" s="48">
        <f>IF(t&lt;Tnet,'2026'!Resal+('2026'!Salim-'2026'!Resal)*(1-EXP(('2026'!Tnet-t)/('2026'!Tau_j))),Resal+(Salim-Resal)*(1-EXP((Tnet-t)/(Tau_j))))*Salcycl</f>
        <v>3.6927235938579731E-2</v>
      </c>
      <c r="P32" s="169">
        <f>(INDEX(Models!$BJ32:$BT32,,T32)*(1-R32)+INDEX(Models!$BJ32:$BT32,,T32+1)*R32-ERP_i)*Q32*Ramure*Pc/MaxiM</f>
        <v>2.4952887185989107E-5</v>
      </c>
      <c r="Q32" s="304">
        <f t="shared" si="4"/>
        <v>0.6</v>
      </c>
      <c r="R32" s="177">
        <f t="shared" si="5"/>
        <v>0.97482863713934798</v>
      </c>
      <c r="S32" s="799">
        <f t="shared" si="6"/>
        <v>-2</v>
      </c>
      <c r="T32" s="176">
        <f t="shared" si="7"/>
        <v>4</v>
      </c>
      <c r="U32" s="250">
        <f t="shared" si="8"/>
        <v>-1.025171362860652</v>
      </c>
      <c r="V32" s="382">
        <f t="shared" si="9"/>
        <v>29.62397083346584</v>
      </c>
      <c r="W32" s="400">
        <f t="shared" si="10"/>
        <v>19.098052518496303</v>
      </c>
      <c r="X32" s="157">
        <f t="shared" si="11"/>
        <v>46405</v>
      </c>
      <c r="Y32" s="383">
        <f t="shared" si="12"/>
        <v>18.549139254281176</v>
      </c>
      <c r="Z32" s="383">
        <f t="shared" si="22"/>
        <v>19.612639722097757</v>
      </c>
      <c r="AA32" s="384">
        <f t="shared" si="13"/>
        <v>20.955987108426282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6.4103274132497098E-2</v>
      </c>
      <c r="AD32" s="230">
        <f>(INDEX(Models!$BJ32:$BT32,,AH32)*(1-AF32)+INDEX(Models!$BJ32:$BT32,,AH32+1)*AF32-ERP_i)*AE32*Ramure*Pc/MaxiM</f>
        <v>1.1195736405872785E-3</v>
      </c>
      <c r="AE32" s="304">
        <f t="shared" si="15"/>
        <v>0.6</v>
      </c>
      <c r="AF32" s="177">
        <f t="shared" si="23"/>
        <v>0.49981620351332667</v>
      </c>
      <c r="AG32" s="799">
        <f t="shared" si="24"/>
        <v>2</v>
      </c>
      <c r="AH32" s="176">
        <f t="shared" si="16"/>
        <v>8</v>
      </c>
      <c r="AI32" s="224">
        <f t="shared" si="17"/>
        <v>2.4998162035133267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46406</v>
      </c>
      <c r="B33" s="409">
        <f>IF(t&gt;Tmaj,'2026'!Wh/'2026'!Env_an*'2027'!Env_an,0.001*'[3]mon-tableau (2)'!$B$260)</f>
        <v>10.035849176637228</v>
      </c>
      <c r="C33" s="829"/>
      <c r="D33" s="391">
        <f t="shared" si="0"/>
        <v>10.611450147257637</v>
      </c>
      <c r="E33" s="383">
        <f t="shared" si="1"/>
        <v>11.019360590939973</v>
      </c>
      <c r="F33" s="383">
        <f t="shared" si="2"/>
        <v>11.019373293990306</v>
      </c>
      <c r="G33" s="110">
        <f t="shared" si="21"/>
        <v>0.33560300880609978</v>
      </c>
      <c r="H33" s="412" t="b">
        <f>Wh_hp&gt;='2026'!Maxi_hp</f>
        <v>0</v>
      </c>
      <c r="I33" s="388">
        <f>IF(H33,Wh_hp,'2026'!Maxi_hp)</f>
        <v>33.4781759439336</v>
      </c>
      <c r="J33" s="85">
        <f>IF(H33,An,'2026'!An_max)</f>
        <v>2021</v>
      </c>
      <c r="K33" s="197">
        <f t="shared" si="3"/>
        <v>46406</v>
      </c>
      <c r="L33" s="147">
        <f>IF(t&lt;Tvie,1-EXP((T0-t)*PertePVj)+'2026'!Pspv,1-EXP((T0-t)*PertePVj)+Pspv)</f>
        <v>5.424338451697519E-2</v>
      </c>
      <c r="M33" s="832"/>
      <c r="N33" s="832"/>
      <c r="O33" s="48">
        <f>IF(t&lt;Tnet,'2026'!Resal+('2026'!Salim-'2026'!Resal)*(1-EXP(('2026'!Tnet-t)/('2026'!Tau_j))),Resal+(Salim-Resal)*(1-EXP((Tnet-t)/(Tau_j))))*Salcycl</f>
        <v>3.7017614617105621E-2</v>
      </c>
      <c r="P33" s="169">
        <f>(INDEX(Models!$BJ33:$BT33,,T33)*(1-R33)+INDEX(Models!$BJ33:$BT33,,T33+1)*R33-ERP_i)*Q33*Ramure*Pc/MaxiM</f>
        <v>2.2660757324200028E-5</v>
      </c>
      <c r="Q33" s="304">
        <f t="shared" si="4"/>
        <v>0.6</v>
      </c>
      <c r="R33" s="177">
        <f t="shared" si="5"/>
        <v>0.97488721910520892</v>
      </c>
      <c r="S33" s="799">
        <f t="shared" si="6"/>
        <v>-2</v>
      </c>
      <c r="T33" s="176">
        <f t="shared" si="7"/>
        <v>4</v>
      </c>
      <c r="U33" s="250">
        <f t="shared" si="8"/>
        <v>-1.0251127808947911</v>
      </c>
      <c r="V33" s="382">
        <f t="shared" si="9"/>
        <v>29.903287701139391</v>
      </c>
      <c r="W33" s="400">
        <f t="shared" si="10"/>
        <v>10.035849176637228</v>
      </c>
      <c r="X33" s="157">
        <f t="shared" si="11"/>
        <v>46406</v>
      </c>
      <c r="Y33" s="383">
        <f t="shared" si="12"/>
        <v>9.7524530250811132</v>
      </c>
      <c r="Z33" s="383">
        <f t="shared" si="22"/>
        <v>10.311799955108173</v>
      </c>
      <c r="AA33" s="384">
        <f t="shared" si="13"/>
        <v>11.018789752268168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6.4162200482540746E-2</v>
      </c>
      <c r="AD33" s="230">
        <f>(INDEX(Models!$BJ33:$BT33,,AH33)*(1-AF33)+INDEX(Models!$BJ33:$BT33,,AH33+1)*AF33-ERP_i)*AE33*Ramure*Pc/MaxiM</f>
        <v>1.0409702400048528E-3</v>
      </c>
      <c r="AE33" s="304">
        <f t="shared" si="15"/>
        <v>0.6</v>
      </c>
      <c r="AF33" s="177">
        <f t="shared" si="23"/>
        <v>0.49987478547918762</v>
      </c>
      <c r="AG33" s="799">
        <f t="shared" si="24"/>
        <v>2</v>
      </c>
      <c r="AH33" s="176">
        <f t="shared" si="16"/>
        <v>8</v>
      </c>
      <c r="AI33" s="224">
        <f t="shared" si="17"/>
        <v>2.4998747854791876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46407</v>
      </c>
      <c r="B34" s="409">
        <f>IF(t&gt;Tmaj,'2026'!Wh/'2026'!Env_an*'2027'!Env_an,0.001*'[3]mon-tableau (2)'!$B$261)</f>
        <v>17.991566631314193</v>
      </c>
      <c r="C34" s="829"/>
      <c r="D34" s="391">
        <f t="shared" si="0"/>
        <v>19.023828274257841</v>
      </c>
      <c r="E34" s="383">
        <f t="shared" si="1"/>
        <v>19.756968590085034</v>
      </c>
      <c r="F34" s="383">
        <f t="shared" si="2"/>
        <v>19.757140158063468</v>
      </c>
      <c r="G34" s="110">
        <f t="shared" si="21"/>
        <v>0.59601348680767419</v>
      </c>
      <c r="H34" s="412" t="b">
        <f>Wh_hp&gt;='2026'!Maxi_hp</f>
        <v>1</v>
      </c>
      <c r="I34" s="388">
        <f>IF(H34,Wh_hp,'2026'!Maxi_hp)</f>
        <v>19.757140158063468</v>
      </c>
      <c r="J34" s="85">
        <f>IF(H34,An,'2026'!An_max)</f>
        <v>2027</v>
      </c>
      <c r="K34" s="197">
        <f t="shared" si="3"/>
        <v>46407</v>
      </c>
      <c r="L34" s="147">
        <f>IF(t&lt;Tvie,1-EXP((T0-t)*PertePVj)+'2026'!Pspv,1-EXP((T0-t)*PertePVj)+Pspv)</f>
        <v>5.4261509726749146E-2</v>
      </c>
      <c r="M34" s="832"/>
      <c r="N34" s="832"/>
      <c r="O34" s="48">
        <f>IF(t&lt;Tnet,'2026'!Resal+('2026'!Salim-'2026'!Resal)*(1-EXP(('2026'!Tnet-t)/('2026'!Tau_j))),Resal+(Salim-Resal)*(1-EXP((Tnet-t)/(Tau_j))))*Salcycl</f>
        <v>3.7107935485361634E-2</v>
      </c>
      <c r="P34" s="169">
        <f>(INDEX(Models!$BJ34:$BT34,,T34)*(1-R34)+INDEX(Models!$BJ34:$BT34,,T34+1)*R34-ERP_i)*Q34*Ramure*Pc/MaxiM</f>
        <v>2.0534698550148061E-5</v>
      </c>
      <c r="Q34" s="304">
        <f t="shared" si="4"/>
        <v>0.6</v>
      </c>
      <c r="R34" s="177">
        <f t="shared" si="5"/>
        <v>0.97494824408525171</v>
      </c>
      <c r="S34" s="799">
        <f t="shared" si="6"/>
        <v>-2</v>
      </c>
      <c r="T34" s="176">
        <f t="shared" si="7"/>
        <v>4</v>
      </c>
      <c r="U34" s="250">
        <f t="shared" si="8"/>
        <v>-1.0250517559147483</v>
      </c>
      <c r="V34" s="382">
        <f t="shared" si="9"/>
        <v>30.18615150881546</v>
      </c>
      <c r="W34" s="400">
        <f t="shared" si="10"/>
        <v>17.991566631314193</v>
      </c>
      <c r="X34" s="157">
        <f t="shared" si="11"/>
        <v>46407</v>
      </c>
      <c r="Y34" s="383">
        <f t="shared" si="12"/>
        <v>17.477981923775037</v>
      </c>
      <c r="Z34" s="383">
        <f t="shared" si="22"/>
        <v>18.480776772366692</v>
      </c>
      <c r="AA34" s="384">
        <f t="shared" si="13"/>
        <v>19.749085586664826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6.4221141213471333E-2</v>
      </c>
      <c r="AD34" s="230">
        <f>(INDEX(Models!$BJ34:$BT34,,AH34)*(1-AF34)+INDEX(Models!$BJ34:$BT34,,AH34+1)*AF34-ERP_i)*AE34*Ramure*Pc/MaxiM</f>
        <v>9.6403884413738213E-4</v>
      </c>
      <c r="AE34" s="304">
        <f t="shared" si="15"/>
        <v>0.6</v>
      </c>
      <c r="AF34" s="177">
        <f t="shared" si="23"/>
        <v>0.49993581045923019</v>
      </c>
      <c r="AG34" s="799">
        <f t="shared" si="24"/>
        <v>2</v>
      </c>
      <c r="AH34" s="176">
        <f t="shared" si="16"/>
        <v>8</v>
      </c>
      <c r="AI34" s="224">
        <f t="shared" si="17"/>
        <v>2.4999358104592302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46408</v>
      </c>
      <c r="B35" s="409">
        <f>IF(t&gt;Tmaj,'2026'!Wh/'2026'!Env_an*'2027'!Env_an,0.001*'[3]mon-tableau (2)'!$B$262)</f>
        <v>6.5437457224932105</v>
      </c>
      <c r="C35" s="829"/>
      <c r="D35" s="391">
        <f t="shared" si="0"/>
        <v>6.9193241066036038</v>
      </c>
      <c r="E35" s="383">
        <f t="shared" si="1"/>
        <v>7.1866547325022792</v>
      </c>
      <c r="F35" s="383">
        <f t="shared" si="2"/>
        <v>7.1866547325022792</v>
      </c>
      <c r="G35" s="110">
        <f t="shared" si="21"/>
        <v>0.21474425192108507</v>
      </c>
      <c r="H35" s="412" t="b">
        <f>Wh_hp&gt;='2026'!Maxi_hp</f>
        <v>0</v>
      </c>
      <c r="I35" s="388">
        <f>IF(H35,Wh_hp,'2026'!Maxi_hp)</f>
        <v>24.694624919253947</v>
      </c>
      <c r="J35" s="85">
        <f>IF(H35,An,'2026'!An_max)</f>
        <v>2022</v>
      </c>
      <c r="K35" s="197">
        <f t="shared" si="3"/>
        <v>46408</v>
      </c>
      <c r="L35" s="147">
        <f>IF(t&lt;Tvie,1-EXP((T0-t)*PertePVj)+'2026'!Pspv,1-EXP((T0-t)*PertePVj)+Pspv)</f>
        <v>5.4279634589157633E-2</v>
      </c>
      <c r="M35" s="832"/>
      <c r="N35" s="832"/>
      <c r="O35" s="48">
        <f>IF(t&lt;Tnet,'2026'!Resal+('2026'!Salim-'2026'!Resal)*(1-EXP(('2026'!Tnet-t)/('2026'!Tau_j))),Resal+(Salim-Resal)*(1-EXP((Tnet-t)/(Tau_j))))*Salcycl</f>
        <v>3.7198200810962728E-2</v>
      </c>
      <c r="P35" s="169">
        <f>(INDEX(Models!$BJ35:$BT35,,T35)*(1-R35)+INDEX(Models!$BJ35:$BT35,,T35+1)*R35-ERP_i)*Q35*Ramure*Pc/MaxiM</f>
        <v>1.8571442519098891E-5</v>
      </c>
      <c r="Q35" s="304">
        <f t="shared" si="4"/>
        <v>0.6</v>
      </c>
      <c r="R35" s="177">
        <f t="shared" si="5"/>
        <v>0.97501181332248787</v>
      </c>
      <c r="S35" s="799">
        <f t="shared" si="6"/>
        <v>-2</v>
      </c>
      <c r="T35" s="176">
        <f t="shared" si="7"/>
        <v>4</v>
      </c>
      <c r="U35" s="250">
        <f t="shared" si="8"/>
        <v>-1.0249881866775121</v>
      </c>
      <c r="V35" s="382">
        <f t="shared" si="9"/>
        <v>30.471708263000863</v>
      </c>
      <c r="W35" s="400">
        <f t="shared" si="10"/>
        <v>6.5437457224932105</v>
      </c>
      <c r="X35" s="157">
        <f t="shared" si="11"/>
        <v>46408</v>
      </c>
      <c r="Y35" s="383">
        <f t="shared" si="12"/>
        <v>6.3596818161511681</v>
      </c>
      <c r="Z35" s="383">
        <f t="shared" si="22"/>
        <v>6.7246958495901463</v>
      </c>
      <c r="AA35" s="384">
        <f t="shared" si="13"/>
        <v>7.1866547325022792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6.4280099727468815E-2</v>
      </c>
      <c r="AD35" s="230">
        <f>(INDEX(Models!$BJ35:$BT35,,AH35)*(1-AF35)+INDEX(Models!$BJ35:$BT35,,AH35+1)*AF35-ERP_i)*AE35*Ramure*Pc/MaxiM</f>
        <v>8.8879104636047383E-4</v>
      </c>
      <c r="AE35" s="304">
        <f t="shared" si="15"/>
        <v>0.6</v>
      </c>
      <c r="AF35" s="177">
        <f t="shared" si="23"/>
        <v>0.49999937969646657</v>
      </c>
      <c r="AG35" s="799">
        <f t="shared" si="24"/>
        <v>2</v>
      </c>
      <c r="AH35" s="176">
        <f t="shared" si="16"/>
        <v>8</v>
      </c>
      <c r="AI35" s="224">
        <f t="shared" si="17"/>
        <v>2.4999993796964666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46409</v>
      </c>
      <c r="B36" s="409">
        <f>IF(t&gt;Tmaj,'2026'!Wh/'2026'!Env_an*'2027'!Env_an,0.001*'[3]mon-tableau (2)'!$B$263)</f>
        <v>30.845725311552599</v>
      </c>
      <c r="C36" s="829"/>
      <c r="D36" s="391">
        <f t="shared" si="0"/>
        <v>32.616741271898391</v>
      </c>
      <c r="E36" s="383">
        <f t="shared" si="1"/>
        <v>33.880075514224401</v>
      </c>
      <c r="F36" s="383">
        <f t="shared" si="2"/>
        <v>33.880643604916138</v>
      </c>
      <c r="G36" s="110">
        <f t="shared" si="21"/>
        <v>1.0028161076790945</v>
      </c>
      <c r="H36" s="412" t="b">
        <f>Wh_hp&gt;='2026'!Maxi_hp</f>
        <v>1</v>
      </c>
      <c r="I36" s="388">
        <f>IF(H36,Wh_hp,'2026'!Maxi_hp)</f>
        <v>33.880643604916138</v>
      </c>
      <c r="J36" s="85">
        <f>IF(H36,An,'2026'!An_max)</f>
        <v>2027</v>
      </c>
      <c r="K36" s="197">
        <f t="shared" si="3"/>
        <v>46409</v>
      </c>
      <c r="L36" s="147">
        <f>IF(t&lt;Tvie,1-EXP((T0-t)*PertePVj)+'2026'!Pspv,1-EXP((T0-t)*PertePVj)+Pspv)</f>
        <v>5.429775910420731E-2</v>
      </c>
      <c r="M36" s="832"/>
      <c r="N36" s="832"/>
      <c r="O36" s="48">
        <f>IF(t&lt;Tnet,'2026'!Resal+('2026'!Salim-'2026'!Resal)*(1-EXP(('2026'!Tnet-t)/('2026'!Tau_j))),Resal+(Salim-Resal)*(1-EXP((Tnet-t)/(Tau_j))))*Salcycl</f>
        <v>3.7288412825278519E-2</v>
      </c>
      <c r="P36" s="169">
        <f>(INDEX(Models!$BJ36:$BT36,,T36)*(1-R36)+INDEX(Models!$BJ36:$BT36,,T36+1)*R36-ERP_i)*Q36*Ramure*Pc/MaxiM</f>
        <v>1.6767411456521134E-5</v>
      </c>
      <c r="Q36" s="304">
        <f t="shared" si="4"/>
        <v>0.6</v>
      </c>
      <c r="R36" s="177">
        <f t="shared" si="5"/>
        <v>0.97507803220126998</v>
      </c>
      <c r="S36" s="799">
        <f t="shared" si="6"/>
        <v>-2</v>
      </c>
      <c r="T36" s="176">
        <f t="shared" si="7"/>
        <v>4</v>
      </c>
      <c r="U36" s="250">
        <f t="shared" si="8"/>
        <v>-1.02492196779873</v>
      </c>
      <c r="V36" s="382">
        <f t="shared" si="9"/>
        <v>30.759104361557949</v>
      </c>
      <c r="W36" s="400">
        <f t="shared" si="10"/>
        <v>30.845725311552599</v>
      </c>
      <c r="X36" s="157">
        <f t="shared" si="11"/>
        <v>46409</v>
      </c>
      <c r="Y36" s="383">
        <f t="shared" si="12"/>
        <v>29.955072102534526</v>
      </c>
      <c r="Z36" s="383">
        <f t="shared" si="22"/>
        <v>31.674950959363635</v>
      </c>
      <c r="AA36" s="384">
        <f t="shared" si="13"/>
        <v>33.853023312383023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6.433907934664948E-2</v>
      </c>
      <c r="AD36" s="230">
        <f>(INDEX(Models!$BJ36:$BT36,,AH36)*(1-AF36)+INDEX(Models!$BJ36:$BT36,,AH36+1)*AF36-ERP_i)*AE36*Ramure*Pc/MaxiM</f>
        <v>8.1522337223562189E-4</v>
      </c>
      <c r="AE36" s="304">
        <f t="shared" si="15"/>
        <v>0.6</v>
      </c>
      <c r="AF36" s="177">
        <f t="shared" si="23"/>
        <v>0.50006559857524868</v>
      </c>
      <c r="AG36" s="799">
        <f t="shared" si="24"/>
        <v>2</v>
      </c>
      <c r="AH36" s="176">
        <f t="shared" si="16"/>
        <v>8</v>
      </c>
      <c r="AI36" s="224">
        <f t="shared" si="17"/>
        <v>2.5000655985752487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46410</v>
      </c>
      <c r="B37" s="409">
        <f>IF(t&gt;Tmaj,'2026'!Wh/'2026'!Env_an*'2027'!Env_an,0.001*'[3]mon-tableau (2)'!$B$264)</f>
        <v>30.743921870111329</v>
      </c>
      <c r="C37" s="829"/>
      <c r="D37" s="391">
        <f t="shared" si="0"/>
        <v>32.509715798632655</v>
      </c>
      <c r="E37" s="383">
        <f t="shared" si="1"/>
        <v>33.77206751174117</v>
      </c>
      <c r="F37" s="383">
        <f t="shared" si="2"/>
        <v>33.772570832155473</v>
      </c>
      <c r="G37" s="110">
        <f t="shared" si="21"/>
        <v>0.99010019684912243</v>
      </c>
      <c r="H37" s="412" t="b">
        <f>Wh_hp&gt;='2026'!Maxi_hp</f>
        <v>1</v>
      </c>
      <c r="I37" s="388">
        <f>IF(H37,Wh_hp,'2026'!Maxi_hp)</f>
        <v>33.772570832155473</v>
      </c>
      <c r="J37" s="85">
        <f>IF(H37,An,'2026'!An_max)</f>
        <v>2027</v>
      </c>
      <c r="K37" s="197">
        <f t="shared" si="3"/>
        <v>46410</v>
      </c>
      <c r="L37" s="147">
        <f>IF(t&lt;Tvie,1-EXP((T0-t)*PertePVj)+'2026'!Pspv,1-EXP((T0-t)*PertePVj)+Pspv)</f>
        <v>5.4315883271904619E-2</v>
      </c>
      <c r="M37" s="832"/>
      <c r="N37" s="832"/>
      <c r="O37" s="48">
        <f>IF(t&lt;Tnet,'2026'!Resal+('2026'!Salim-'2026'!Resal)*(1-EXP(('2026'!Tnet-t)/('2026'!Tau_j))),Resal+(Salim-Resal)*(1-EXP((Tnet-t)/(Tau_j))))*Salcycl</f>
        <v>3.7378573659123726E-2</v>
      </c>
      <c r="P37" s="169">
        <f>(INDEX(Models!$BJ37:$BT37,,T37)*(1-R37)+INDEX(Models!$BJ37:$BT37,,T37+1)*R37-ERP_i)*Q37*Ramure*Pc/MaxiM</f>
        <v>1.5117019723834786E-5</v>
      </c>
      <c r="Q37" s="304">
        <f t="shared" si="4"/>
        <v>0.6</v>
      </c>
      <c r="R37" s="177">
        <f t="shared" si="5"/>
        <v>0.97514701041204721</v>
      </c>
      <c r="S37" s="799">
        <f t="shared" si="6"/>
        <v>-2</v>
      </c>
      <c r="T37" s="176">
        <f t="shared" si="7"/>
        <v>4</v>
      </c>
      <c r="U37" s="250">
        <f t="shared" si="8"/>
        <v>-1.0248529895879528</v>
      </c>
      <c r="V37" s="382">
        <f t="shared" si="9"/>
        <v>31.051317225407185</v>
      </c>
      <c r="W37" s="400">
        <f t="shared" si="10"/>
        <v>30.743921870111329</v>
      </c>
      <c r="X37" s="157">
        <f t="shared" si="11"/>
        <v>46410</v>
      </c>
      <c r="Y37" s="383">
        <f t="shared" si="12"/>
        <v>29.859531268904892</v>
      </c>
      <c r="Z37" s="383">
        <f t="shared" si="22"/>
        <v>31.574529740664083</v>
      </c>
      <c r="AA37" s="384">
        <f t="shared" si="13"/>
        <v>33.747824981759777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6.4398083203001347E-2</v>
      </c>
      <c r="AD37" s="230">
        <f>(INDEX(Models!$BJ37:$BT37,,AH37)*(1-AF37)+INDEX(Models!$BJ37:$BT37,,AH37+1)*AF37-ERP_i)*AE37*Ramure*Pc/MaxiM</f>
        <v>7.4323134505155201E-4</v>
      </c>
      <c r="AE37" s="304">
        <f t="shared" si="15"/>
        <v>0.6</v>
      </c>
      <c r="AF37" s="177">
        <f t="shared" si="23"/>
        <v>0.50013457678602569</v>
      </c>
      <c r="AG37" s="799">
        <f t="shared" si="24"/>
        <v>2</v>
      </c>
      <c r="AH37" s="176">
        <f t="shared" si="16"/>
        <v>8</v>
      </c>
      <c r="AI37" s="224">
        <f t="shared" si="17"/>
        <v>2.5001345767860257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46411</v>
      </c>
      <c r="B38" s="409">
        <f>IF(t&gt;Tmaj,'2026'!Wh/'2026'!Env_an*'2027'!Env_an,0.001*'[3]mon-tableau (2)'!$B$265)</f>
        <v>31.744191733408513</v>
      </c>
      <c r="C38" s="829"/>
      <c r="D38" s="391">
        <f t="shared" si="0"/>
        <v>33.568080031937228</v>
      </c>
      <c r="E38" s="383">
        <f t="shared" si="1"/>
        <v>34.874792662514608</v>
      </c>
      <c r="F38" s="383">
        <f t="shared" si="2"/>
        <v>34.875269429553491</v>
      </c>
      <c r="G38" s="110">
        <f t="shared" si="21"/>
        <v>1.012529757282697</v>
      </c>
      <c r="H38" s="412" t="b">
        <f>Wh_hp&gt;='2026'!Maxi_hp</f>
        <v>1</v>
      </c>
      <c r="I38" s="388">
        <f>IF(H38,Wh_hp,'2026'!Maxi_hp)</f>
        <v>34.875269429553491</v>
      </c>
      <c r="J38" s="85">
        <f>IF(H38,An,'2026'!An_max)</f>
        <v>2027</v>
      </c>
      <c r="K38" s="197">
        <f t="shared" si="3"/>
        <v>46411</v>
      </c>
      <c r="L38" s="147">
        <f>IF(t&lt;Tvie,1-EXP((T0-t)*PertePVj)+'2026'!Pspv,1-EXP((T0-t)*PertePVj)+Pspv)</f>
        <v>5.4334007092256553E-2</v>
      </c>
      <c r="M38" s="832"/>
      <c r="N38" s="832"/>
      <c r="O38" s="48">
        <f>IF(t&lt;Tnet,'2026'!Resal+('2026'!Salim-'2026'!Resal)*(1-EXP(('2026'!Tnet-t)/('2026'!Tau_j))),Resal+(Salim-Resal)*(1-EXP((Tnet-t)/(Tau_j))))*Salcycl</f>
        <v>3.7468685282877848E-2</v>
      </c>
      <c r="P38" s="169">
        <f>(INDEX(Models!$BJ38:$BT38,,T38)*(1-R38)+INDEX(Models!$BJ38:$BT38,,T38+1)*R38-ERP_i)*Q38*Ramure*Pc/MaxiM</f>
        <v>1.3670633852721661E-5</v>
      </c>
      <c r="Q38" s="304">
        <f t="shared" si="4"/>
        <v>0.6</v>
      </c>
      <c r="R38" s="177">
        <f t="shared" si="5"/>
        <v>0.9752188621222766</v>
      </c>
      <c r="S38" s="799">
        <f t="shared" si="6"/>
        <v>-2</v>
      </c>
      <c r="T38" s="176">
        <f t="shared" si="7"/>
        <v>4</v>
      </c>
      <c r="U38" s="250">
        <f t="shared" si="8"/>
        <v>-1.0247811378777234</v>
      </c>
      <c r="V38" s="382">
        <f t="shared" si="9"/>
        <v>31.351366717951752</v>
      </c>
      <c r="W38" s="400">
        <f t="shared" si="10"/>
        <v>31.744191733408513</v>
      </c>
      <c r="X38" s="157">
        <f t="shared" si="11"/>
        <v>46411</v>
      </c>
      <c r="Y38" s="383">
        <f t="shared" si="12"/>
        <v>30.833718237658537</v>
      </c>
      <c r="Z38" s="383">
        <f t="shared" si="22"/>
        <v>32.605294542580204</v>
      </c>
      <c r="AA38" s="384">
        <f t="shared" si="13"/>
        <v>34.851736927591766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6.4457114136916349E-2</v>
      </c>
      <c r="AD38" s="230">
        <f>(INDEX(Models!$BJ38:$BT38,,AH38)*(1-AF38)+INDEX(Models!$BJ38:$BT38,,AH38+1)*AF38-ERP_i)*AE38*Ramure*Pc/MaxiM</f>
        <v>6.7476186841393924E-4</v>
      </c>
      <c r="AE38" s="304">
        <f t="shared" si="15"/>
        <v>0.6</v>
      </c>
      <c r="AF38" s="177">
        <f t="shared" si="23"/>
        <v>0.5002064284962553</v>
      </c>
      <c r="AG38" s="799">
        <f t="shared" si="24"/>
        <v>2</v>
      </c>
      <c r="AH38" s="176">
        <f t="shared" si="16"/>
        <v>8</v>
      </c>
      <c r="AI38" s="224">
        <f t="shared" si="17"/>
        <v>2.5002064284962553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46412</v>
      </c>
      <c r="B39" s="409">
        <f>IF(t&gt;Tmaj,'2026'!Wh/'2026'!Env_an*'2027'!Env_an,0.001*'[3]mon-tableau (2)'!$B$266)</f>
        <v>29.386277512982012</v>
      </c>
      <c r="C39" s="829"/>
      <c r="D39" s="391">
        <f t="shared" si="0"/>
        <v>31.075285487131616</v>
      </c>
      <c r="E39" s="383">
        <f t="shared" si="1"/>
        <v>32.287981702182435</v>
      </c>
      <c r="F39" s="383">
        <f t="shared" si="2"/>
        <v>32.288340093913007</v>
      </c>
      <c r="G39" s="110">
        <f t="shared" si="21"/>
        <v>0.9282268616957039</v>
      </c>
      <c r="H39" s="412" t="b">
        <f>Wh_hp&gt;='2026'!Maxi_hp</f>
        <v>1</v>
      </c>
      <c r="I39" s="388">
        <f>IF(H39,Wh_hp,'2026'!Maxi_hp)</f>
        <v>32.288340093913007</v>
      </c>
      <c r="J39" s="85">
        <f>IF(H39,An,'2026'!An_max)</f>
        <v>2027</v>
      </c>
      <c r="K39" s="197">
        <f t="shared" si="3"/>
        <v>46412</v>
      </c>
      <c r="L39" s="147">
        <f>IF(t&lt;Tvie,1-EXP((T0-t)*PertePVj)+'2026'!Pspv,1-EXP((T0-t)*PertePVj)+Pspv)</f>
        <v>5.4352130565269552E-2</v>
      </c>
      <c r="M39" s="832"/>
      <c r="N39" s="832"/>
      <c r="O39" s="48">
        <f>IF(t&lt;Tnet,'2026'!Resal+('2026'!Salim-'2026'!Resal)*(1-EXP(('2026'!Tnet-t)/('2026'!Tau_j))),Resal+(Salim-Resal)*(1-EXP((Tnet-t)/(Tau_j))))*Salcycl</f>
        <v>3.7558749451621722E-2</v>
      </c>
      <c r="P39" s="169">
        <f>(INDEX(Models!$BJ39:$BT39,,T39)*(1-R39)+INDEX(Models!$BJ39:$BT39,,T39+1)*R39-ERP_i)*Q39*Ramure*Pc/MaxiM</f>
        <v>1.236781514873783E-5</v>
      </c>
      <c r="Q39" s="304">
        <f t="shared" si="4"/>
        <v>0.6</v>
      </c>
      <c r="R39" s="177">
        <f t="shared" si="5"/>
        <v>0.97529370615368483</v>
      </c>
      <c r="S39" s="799">
        <f t="shared" si="6"/>
        <v>-2</v>
      </c>
      <c r="T39" s="176">
        <f t="shared" si="7"/>
        <v>4</v>
      </c>
      <c r="U39" s="250">
        <f t="shared" si="8"/>
        <v>-1.0247062938463152</v>
      </c>
      <c r="V39" s="382">
        <f t="shared" si="9"/>
        <v>31.658467838851021</v>
      </c>
      <c r="W39" s="400">
        <f t="shared" si="10"/>
        <v>29.386277512982012</v>
      </c>
      <c r="X39" s="157">
        <f t="shared" si="11"/>
        <v>46412</v>
      </c>
      <c r="Y39" s="383">
        <f t="shared" si="12"/>
        <v>28.547839933119896</v>
      </c>
      <c r="Z39" s="383">
        <f t="shared" si="22"/>
        <v>30.188657803654362</v>
      </c>
      <c r="AA39" s="384">
        <f t="shared" si="13"/>
        <v>32.270635776000603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6.4516174605230167E-2</v>
      </c>
      <c r="AD39" s="230">
        <f>(INDEX(Models!$BJ39:$BT39,,AH39)*(1-AF39)+INDEX(Models!$BJ39:$BT39,,AH39+1)*AF39-ERP_i)*AE39*Ramure*Pc/MaxiM</f>
        <v>6.1096200776160608E-4</v>
      </c>
      <c r="AE39" s="304">
        <f t="shared" si="15"/>
        <v>0.6</v>
      </c>
      <c r="AF39" s="177">
        <f t="shared" si="23"/>
        <v>0.50028127252766375</v>
      </c>
      <c r="AG39" s="799">
        <f t="shared" si="24"/>
        <v>2</v>
      </c>
      <c r="AH39" s="176">
        <f t="shared" si="16"/>
        <v>8</v>
      </c>
      <c r="AI39" s="224">
        <f t="shared" si="17"/>
        <v>2.5002812725276637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46413</v>
      </c>
      <c r="B40" s="409">
        <f>IF(t&gt;Tmaj,'2026'!Wh/'2026'!Env_an*'2027'!Env_an,0.001*'[3]mon-tableau (2)'!$B$267)</f>
        <v>30.983947312250525</v>
      </c>
      <c r="C40" s="829"/>
      <c r="D40" s="391">
        <f t="shared" si="0"/>
        <v>32.76541102179371</v>
      </c>
      <c r="E40" s="383">
        <f t="shared" si="1"/>
        <v>34.047247949151284</v>
      </c>
      <c r="F40" s="383">
        <f t="shared" si="2"/>
        <v>34.047612629642948</v>
      </c>
      <c r="G40" s="110">
        <f t="shared" si="21"/>
        <v>0.96910085972142956</v>
      </c>
      <c r="H40" s="412" t="b">
        <f>Wh_hp&gt;='2026'!Maxi_hp</f>
        <v>1</v>
      </c>
      <c r="I40" s="388">
        <f>IF(H40,Wh_hp,'2026'!Maxi_hp)</f>
        <v>34.047612629642948</v>
      </c>
      <c r="J40" s="85">
        <f>IF(H40,An,'2026'!An_max)</f>
        <v>2027</v>
      </c>
      <c r="K40" s="197">
        <f t="shared" si="3"/>
        <v>46413</v>
      </c>
      <c r="L40" s="147">
        <f>IF(t&lt;Tvie,1-EXP((T0-t)*PertePVj)+'2026'!Pspv,1-EXP((T0-t)*PertePVj)+Pspv)</f>
        <v>5.4370253690950276E-2</v>
      </c>
      <c r="M40" s="832"/>
      <c r="N40" s="832"/>
      <c r="O40" s="48">
        <f>IF(t&lt;Tnet,'2026'!Resal+('2026'!Salim-'2026'!Resal)*(1-EXP(('2026'!Tnet-t)/('2026'!Tau_j))),Resal+(Salim-Resal)*(1-EXP((Tnet-t)/(Tau_j))))*Salcycl</f>
        <v>3.7648767655816644E-2</v>
      </c>
      <c r="P40" s="169">
        <f>(INDEX(Models!$BJ40:$BT40,,T40)*(1-R40)+INDEX(Models!$BJ40:$BT40,,T40+1)*R40-ERP_i)*Q40*Ramure*Pc/MaxiM</f>
        <v>1.1205519802726117E-5</v>
      </c>
      <c r="Q40" s="304">
        <f t="shared" si="4"/>
        <v>0.6</v>
      </c>
      <c r="R40" s="177">
        <f t="shared" si="5"/>
        <v>0.97537166616607762</v>
      </c>
      <c r="S40" s="799">
        <f t="shared" si="6"/>
        <v>-2</v>
      </c>
      <c r="T40" s="176">
        <f t="shared" si="7"/>
        <v>4</v>
      </c>
      <c r="U40" s="250">
        <f t="shared" si="8"/>
        <v>-1.0246283338339224</v>
      </c>
      <c r="V40" s="382">
        <f t="shared" si="9"/>
        <v>31.971834175901822</v>
      </c>
      <c r="W40" s="400">
        <f t="shared" si="10"/>
        <v>30.983947312250525</v>
      </c>
      <c r="X40" s="157">
        <f t="shared" si="11"/>
        <v>46413</v>
      </c>
      <c r="Y40" s="383">
        <f t="shared" si="12"/>
        <v>30.101458147575265</v>
      </c>
      <c r="Z40" s="383">
        <f t="shared" si="22"/>
        <v>31.832181956062893</v>
      </c>
      <c r="AA40" s="384">
        <f t="shared" si="13"/>
        <v>34.029656069010713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6.4575266599563447E-2</v>
      </c>
      <c r="AD40" s="230">
        <f>(INDEX(Models!$BJ40:$BT40,,AH40)*(1-AF40)+INDEX(Models!$BJ40:$BT40,,AH40+1)*AF40-ERP_i)*AE40*Ramure*Pc/MaxiM</f>
        <v>5.5175036874962377E-4</v>
      </c>
      <c r="AE40" s="304">
        <f t="shared" si="15"/>
        <v>0.6</v>
      </c>
      <c r="AF40" s="177">
        <f t="shared" si="23"/>
        <v>0.5003592325400561</v>
      </c>
      <c r="AG40" s="799">
        <f t="shared" si="24"/>
        <v>2</v>
      </c>
      <c r="AH40" s="176">
        <f t="shared" si="16"/>
        <v>8</v>
      </c>
      <c r="AI40" s="224">
        <f t="shared" si="17"/>
        <v>2.5003592325400561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46414</v>
      </c>
      <c r="B41" s="409">
        <f>IF(t&gt;Tmaj,'2026'!Wh/'2026'!Env_an*'2027'!Env_an,0.001*'[3]mon-tableau (2)'!$B$268)</f>
        <v>27.347038467463676</v>
      </c>
      <c r="C41" s="829"/>
      <c r="D41" s="391">
        <f t="shared" si="0"/>
        <v>28.919947457240614</v>
      </c>
      <c r="E41" s="383">
        <f t="shared" si="1"/>
        <v>30.054153369572937</v>
      </c>
      <c r="F41" s="383">
        <f t="shared" si="2"/>
        <v>30.054392420332221</v>
      </c>
      <c r="G41" s="110">
        <f t="shared" si="21"/>
        <v>0.8469000295278134</v>
      </c>
      <c r="H41" s="412" t="b">
        <f>Wh_hp&gt;='2026'!Maxi_hp</f>
        <v>1</v>
      </c>
      <c r="I41" s="388">
        <f>IF(H41,Wh_hp,'2026'!Maxi_hp)</f>
        <v>30.054392420332221</v>
      </c>
      <c r="J41" s="85">
        <f>IF(H41,An,'2026'!An_max)</f>
        <v>2027</v>
      </c>
      <c r="K41" s="197">
        <f t="shared" si="3"/>
        <v>46414</v>
      </c>
      <c r="L41" s="147">
        <f>IF(t&lt;Tvie,1-EXP((T0-t)*PertePVj)+'2026'!Pspv,1-EXP((T0-t)*PertePVj)+Pspv)</f>
        <v>5.4388376469305499E-2</v>
      </c>
      <c r="M41" s="832"/>
      <c r="N41" s="832"/>
      <c r="O41" s="48">
        <f>IF(t&lt;Tnet,'2026'!Resal+('2026'!Salim-'2026'!Resal)*(1-EXP(('2026'!Tnet-t)/('2026'!Tau_j))),Resal+(Salim-Resal)*(1-EXP((Tnet-t)/(Tau_j))))*Salcycl</f>
        <v>3.7738741077983723E-2</v>
      </c>
      <c r="P41" s="169">
        <f>(INDEX(Models!$BJ41:$BT41,,T41)*(1-R41)+INDEX(Models!$BJ41:$BT41,,T41+1)*R41-ERP_i)*Q41*Ramure*Pc/MaxiM</f>
        <v>1.0180538965766579E-5</v>
      </c>
      <c r="Q41" s="304">
        <f t="shared" si="4"/>
        <v>0.6</v>
      </c>
      <c r="R41" s="177">
        <f t="shared" si="5"/>
        <v>0.97545287084789933</v>
      </c>
      <c r="S41" s="799">
        <f t="shared" si="6"/>
        <v>-2</v>
      </c>
      <c r="T41" s="176">
        <f t="shared" si="7"/>
        <v>4</v>
      </c>
      <c r="U41" s="250">
        <f t="shared" si="8"/>
        <v>-1.0245471291521007</v>
      </c>
      <c r="V41" s="382">
        <f t="shared" si="9"/>
        <v>32.290679681840338</v>
      </c>
      <c r="W41" s="400">
        <f t="shared" si="10"/>
        <v>27.347038467463676</v>
      </c>
      <c r="X41" s="157">
        <f t="shared" si="11"/>
        <v>46414</v>
      </c>
      <c r="Y41" s="383">
        <f t="shared" si="12"/>
        <v>26.572564524658453</v>
      </c>
      <c r="Z41" s="383">
        <f t="shared" si="22"/>
        <v>28.100928397477453</v>
      </c>
      <c r="AA41" s="384">
        <f t="shared" si="13"/>
        <v>30.042721417578925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6.4634391575633707E-2</v>
      </c>
      <c r="AD41" s="230">
        <f>(INDEX(Models!$BJ41:$BT41,,AH41)*(1-AF41)+INDEX(Models!$BJ41:$BT41,,AH41+1)*AF41-ERP_i)*AE41*Ramure*Pc/MaxiM</f>
        <v>4.9703710899904837E-4</v>
      </c>
      <c r="AE41" s="304">
        <f t="shared" si="15"/>
        <v>0.6</v>
      </c>
      <c r="AF41" s="177">
        <f t="shared" si="23"/>
        <v>0.50044043722187803</v>
      </c>
      <c r="AG41" s="799">
        <f t="shared" si="24"/>
        <v>2</v>
      </c>
      <c r="AH41" s="176">
        <f t="shared" si="16"/>
        <v>8</v>
      </c>
      <c r="AI41" s="224">
        <f t="shared" si="17"/>
        <v>2.500440437221878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46415</v>
      </c>
      <c r="B42" s="409">
        <f>IF(t&gt;Tmaj,'2026'!Wh/'2026'!Env_an*'2027'!Env_an,0.001*'[3]mon-tableau (2)'!$B$269)</f>
        <v>4.1752558560346058</v>
      </c>
      <c r="C42" s="829"/>
      <c r="D42" s="391">
        <f t="shared" si="0"/>
        <v>4.415487047213289</v>
      </c>
      <c r="E42" s="383">
        <f t="shared" si="1"/>
        <v>4.5890860723981115</v>
      </c>
      <c r="F42" s="383">
        <f t="shared" si="2"/>
        <v>4.5890860723981115</v>
      </c>
      <c r="G42" s="110">
        <f t="shared" si="21"/>
        <v>0.12801830733115624</v>
      </c>
      <c r="H42" s="412" t="b">
        <f>Wh_hp&gt;='2026'!Maxi_hp</f>
        <v>0</v>
      </c>
      <c r="I42" s="388">
        <f>IF(H42,Wh_hp,'2026'!Maxi_hp)</f>
        <v>18.140123451777548</v>
      </c>
      <c r="J42" s="85">
        <f>IF(H42,An,'2026'!An_max)</f>
        <v>2021</v>
      </c>
      <c r="K42" s="197">
        <f t="shared" si="3"/>
        <v>46415</v>
      </c>
      <c r="L42" s="147">
        <f>IF(t&lt;Tvie,1-EXP((T0-t)*PertePVj)+'2026'!Pspv,1-EXP((T0-t)*PertePVj)+Pspv)</f>
        <v>5.4406498900341771E-2</v>
      </c>
      <c r="M42" s="832"/>
      <c r="N42" s="832"/>
      <c r="O42" s="48">
        <f>IF(t&lt;Tnet,'2026'!Resal+('2026'!Salim-'2026'!Resal)*(1-EXP(('2026'!Tnet-t)/('2026'!Tau_j))),Resal+(Salim-Resal)*(1-EXP((Tnet-t)/(Tau_j))))*Salcycl</f>
        <v>3.7828670555770494E-2</v>
      </c>
      <c r="P42" s="169">
        <f>(INDEX(Models!$BJ42:$BT42,,T42)*(1-R42)+INDEX(Models!$BJ42:$BT42,,T42+1)*R42-ERP_i)*Q42*Ramure*Pc/MaxiM</f>
        <v>9.2895487984005415E-6</v>
      </c>
      <c r="Q42" s="304">
        <f t="shared" si="4"/>
        <v>0.6</v>
      </c>
      <c r="R42" s="177">
        <f t="shared" si="5"/>
        <v>0.97553745411374537</v>
      </c>
      <c r="S42" s="799">
        <f t="shared" si="6"/>
        <v>-2</v>
      </c>
      <c r="T42" s="176">
        <f t="shared" si="7"/>
        <v>4</v>
      </c>
      <c r="U42" s="250">
        <f t="shared" si="8"/>
        <v>-1.0244625458862546</v>
      </c>
      <c r="V42" s="382">
        <f t="shared" si="9"/>
        <v>32.61421867570224</v>
      </c>
      <c r="W42" s="400">
        <f t="shared" si="10"/>
        <v>4.1752558560346058</v>
      </c>
      <c r="X42" s="157">
        <f t="shared" si="11"/>
        <v>46415</v>
      </c>
      <c r="Y42" s="383">
        <f t="shared" si="12"/>
        <v>4.0586781287275979</v>
      </c>
      <c r="Z42" s="383">
        <f t="shared" si="22"/>
        <v>4.2922018013106511</v>
      </c>
      <c r="AA42" s="384">
        <f t="shared" si="13"/>
        <v>4.5890860723981115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6.4693550394080604E-2</v>
      </c>
      <c r="AD42" s="230">
        <f>(INDEX(Models!$BJ42:$BT42,,AH42)*(1-AF42)+INDEX(Models!$BJ42:$BT42,,AH42+1)*AF42-ERP_i)*AE42*Ramure*Pc/MaxiM</f>
        <v>4.467256947446163E-4</v>
      </c>
      <c r="AE42" s="304">
        <f t="shared" si="15"/>
        <v>0.6</v>
      </c>
      <c r="AF42" s="177">
        <f t="shared" si="23"/>
        <v>0.50052502048772407</v>
      </c>
      <c r="AG42" s="799">
        <f t="shared" si="24"/>
        <v>2</v>
      </c>
      <c r="AH42" s="176">
        <f t="shared" si="16"/>
        <v>8</v>
      </c>
      <c r="AI42" s="224">
        <f t="shared" si="17"/>
        <v>2.5005250204877241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46416</v>
      </c>
      <c r="B43" s="409">
        <f>IF(t&gt;Tmaj,'2026'!Wh/'2026'!Env_an*'2027'!Env_an,0.001*'[3]mon-tableau (2)'!$B$270)</f>
        <v>7.942642770553566</v>
      </c>
      <c r="C43" s="829"/>
      <c r="D43" s="391">
        <f t="shared" si="0"/>
        <v>8.3997986271803331</v>
      </c>
      <c r="E43" s="383">
        <f t="shared" si="1"/>
        <v>8.730860245130458</v>
      </c>
      <c r="F43" s="383">
        <f t="shared" si="2"/>
        <v>8.730860245130458</v>
      </c>
      <c r="G43" s="110">
        <f t="shared" si="21"/>
        <v>0.24111030283153292</v>
      </c>
      <c r="H43" s="412" t="b">
        <f>Wh_hp&gt;='2026'!Maxi_hp</f>
        <v>0</v>
      </c>
      <c r="I43" s="388">
        <f>IF(H43,Wh_hp,'2026'!Maxi_hp)</f>
        <v>22.560776300734982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5.4424620984065863E-2</v>
      </c>
      <c r="M43" s="832"/>
      <c r="N43" s="832"/>
      <c r="O43" s="48">
        <f>IF(t&lt;Tnet,'2026'!Resal+('2026'!Salim-'2026'!Resal)*(1-EXP(('2026'!Tnet-t)/('2026'!Tau_j))),Resal+(Salim-Resal)*(1-EXP((Tnet-t)/(Tau_j))))*Salcycl</f>
        <v>3.7918556551717955E-2</v>
      </c>
      <c r="P43" s="169">
        <f>(INDEX(Models!$BJ43:$BT43,,T43)*(1-R43)+INDEX(Models!$BJ43:$BT43,,T43+1)*R43-ERP_i)*Q43*Ramure*Pc/MaxiM</f>
        <v>8.5291561811593775E-6</v>
      </c>
      <c r="Q43" s="304">
        <f t="shared" si="4"/>
        <v>0.6</v>
      </c>
      <c r="R43" s="177">
        <f t="shared" si="5"/>
        <v>0.9756255553090305</v>
      </c>
      <c r="S43" s="799">
        <f t="shared" si="6"/>
        <v>-2</v>
      </c>
      <c r="T43" s="176">
        <f t="shared" si="7"/>
        <v>4</v>
      </c>
      <c r="U43" s="250">
        <f t="shared" si="8"/>
        <v>-1.0243744446909695</v>
      </c>
      <c r="V43" s="382">
        <f t="shared" si="9"/>
        <v>32.941665840229447</v>
      </c>
      <c r="W43" s="400">
        <f t="shared" si="10"/>
        <v>7.942642770553566</v>
      </c>
      <c r="X43" s="157">
        <f t="shared" si="11"/>
        <v>46416</v>
      </c>
      <c r="Y43" s="383">
        <f t="shared" si="12"/>
        <v>7.7211081378895461</v>
      </c>
      <c r="Z43" s="383">
        <f t="shared" si="22"/>
        <v>8.1655130931232041</v>
      </c>
      <c r="AA43" s="384">
        <f t="shared" si="13"/>
        <v>8.730860245130458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6.4752743273215257E-2</v>
      </c>
      <c r="AD43" s="230">
        <f>(INDEX(Models!$BJ43:$BT43,,AH43)*(1-AF43)+INDEX(Models!$BJ43:$BT43,,AH43+1)*AF43-ERP_i)*AE43*Ramure*Pc/MaxiM</f>
        <v>4.0071452547655803E-4</v>
      </c>
      <c r="AE43" s="304">
        <f t="shared" si="15"/>
        <v>0.6</v>
      </c>
      <c r="AF43" s="177">
        <f t="shared" si="23"/>
        <v>0.50061312168300942</v>
      </c>
      <c r="AG43" s="799">
        <f t="shared" si="24"/>
        <v>2</v>
      </c>
      <c r="AH43" s="176">
        <f t="shared" si="16"/>
        <v>8</v>
      </c>
      <c r="AI43" s="224">
        <f t="shared" si="17"/>
        <v>2.5006131216830094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46417</v>
      </c>
      <c r="B44" s="409">
        <f>IF(t&gt;Tmaj,'2026'!Wh/'2026'!Env_an*'2027'!Env_an,0.001*'[3]mon-tableau (2)'!$B$271)</f>
        <v>4.5957943226813489</v>
      </c>
      <c r="C44" s="829"/>
      <c r="D44" s="391">
        <f t="shared" si="0"/>
        <v>4.8604082801966042</v>
      </c>
      <c r="E44" s="383">
        <f t="shared" si="1"/>
        <v>5.0524435720652905</v>
      </c>
      <c r="F44" s="383">
        <f t="shared" si="2"/>
        <v>5.0524435720652905</v>
      </c>
      <c r="G44" s="110">
        <f t="shared" si="21"/>
        <v>0.13812591384866812</v>
      </c>
      <c r="H44" s="412" t="b">
        <f>Wh_hp&gt;='2026'!Maxi_hp</f>
        <v>0</v>
      </c>
      <c r="I44" s="388">
        <f>IF(H44,Wh_hp,'2026'!Maxi_hp)</f>
        <v>12.305895524222464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5.4442742720484216E-2</v>
      </c>
      <c r="M44" s="832"/>
      <c r="N44" s="832"/>
      <c r="O44" s="48">
        <f>IF(t&lt;Tnet,'2026'!Resal+('2026'!Salim-'2026'!Resal)*(1-EXP(('2026'!Tnet-t)/('2026'!Tau_j))),Resal+(Salim-Resal)*(1-EXP((Tnet-t)/(Tau_j))))*Salcycl</f>
        <v>3.8008399129965516E-2</v>
      </c>
      <c r="P44" s="169">
        <f>(INDEX(Models!$BJ44:$BT44,,T44)*(1-R44)+INDEX(Models!$BJ44:$BT44,,T44+1)*R44-ERP_i)*Q44*Ramure*Pc/MaxiM</f>
        <v>7.9128105098047099E-6</v>
      </c>
      <c r="Q44" s="304">
        <f t="shared" si="4"/>
        <v>0.6</v>
      </c>
      <c r="R44" s="177">
        <f t="shared" si="5"/>
        <v>0.97571731942202411</v>
      </c>
      <c r="S44" s="799">
        <f t="shared" si="6"/>
        <v>-2</v>
      </c>
      <c r="T44" s="176">
        <f t="shared" si="7"/>
        <v>4</v>
      </c>
      <c r="U44" s="250">
        <f t="shared" si="8"/>
        <v>-1.0242826805779759</v>
      </c>
      <c r="V44" s="382">
        <f t="shared" si="9"/>
        <v>33.272235665111189</v>
      </c>
      <c r="W44" s="400">
        <f t="shared" si="10"/>
        <v>4.5957943226813489</v>
      </c>
      <c r="X44" s="157">
        <f t="shared" si="11"/>
        <v>46417</v>
      </c>
      <c r="Y44" s="383">
        <f t="shared" si="12"/>
        <v>4.4677436228727512</v>
      </c>
      <c r="Z44" s="383">
        <f t="shared" si="22"/>
        <v>4.7249847520889405</v>
      </c>
      <c r="AA44" s="384">
        <f t="shared" si="13"/>
        <v>5.0524435720652905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6.4811969753972756E-2</v>
      </c>
      <c r="AD44" s="230">
        <f>(INDEX(Models!$BJ44:$BT44,,AH44)*(1-AF44)+INDEX(Models!$BJ44:$BT44,,AH44+1)*AF44-ERP_i)*AE44*Ramure*Pc/MaxiM</f>
        <v>3.5998447773862794E-4</v>
      </c>
      <c r="AE44" s="304">
        <f t="shared" si="15"/>
        <v>0.6</v>
      </c>
      <c r="AF44" s="177">
        <f t="shared" si="23"/>
        <v>0.50070488579600259</v>
      </c>
      <c r="AG44" s="799">
        <f t="shared" si="24"/>
        <v>2</v>
      </c>
      <c r="AH44" s="176">
        <f t="shared" si="16"/>
        <v>8</v>
      </c>
      <c r="AI44" s="224">
        <f t="shared" si="17"/>
        <v>2.5007048857960026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46418</v>
      </c>
      <c r="B45" s="409">
        <f>IF(t&gt;Tmaj,'2026'!Wh/'2026'!Env_an*'2027'!Env_an,0.001*'[3]mon-tableau (2)'!$B$272)</f>
        <v>7.3287957967821802</v>
      </c>
      <c r="C45" s="829"/>
      <c r="D45" s="391">
        <f t="shared" si="0"/>
        <v>7.7509174592554455</v>
      </c>
      <c r="E45" s="383">
        <f t="shared" si="1"/>
        <v>8.0579092820666212</v>
      </c>
      <c r="F45" s="383">
        <f t="shared" si="2"/>
        <v>8.0579092820666212</v>
      </c>
      <c r="G45" s="110">
        <f t="shared" si="21"/>
        <v>0.21808391564742657</v>
      </c>
      <c r="H45" s="412" t="b">
        <f>Wh_hp&gt;='2026'!Maxi_hp</f>
        <v>0</v>
      </c>
      <c r="I45" s="388">
        <f>IF(H45,Wh_hp,'2026'!Maxi_hp)</f>
        <v>23.230245238916424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5.4460864109603713E-2</v>
      </c>
      <c r="M45" s="832"/>
      <c r="N45" s="832"/>
      <c r="O45" s="48">
        <f>IF(t&lt;Tnet,'2026'!Resal+('2026'!Salim-'2026'!Resal)*(1-EXP(('2026'!Tnet-t)/('2026'!Tau_j))),Resal+(Salim-Resal)*(1-EXP((Tnet-t)/(Tau_j))))*Salcycl</f>
        <v>3.8098197940054264E-2</v>
      </c>
      <c r="P45" s="169">
        <f>(INDEX(Models!$BJ45:$BT45,,T45)*(1-R45)+INDEX(Models!$BJ45:$BT45,,T45+1)*R45-ERP_i)*Q45*Ramure*Pc/MaxiM</f>
        <v>7.3764590274252065E-6</v>
      </c>
      <c r="Q45" s="304">
        <f t="shared" si="4"/>
        <v>0.6</v>
      </c>
      <c r="R45" s="177">
        <f t="shared" si="5"/>
        <v>0.97581289730345411</v>
      </c>
      <c r="S45" s="799">
        <f t="shared" si="6"/>
        <v>-2</v>
      </c>
      <c r="T45" s="176">
        <f t="shared" si="7"/>
        <v>4</v>
      </c>
      <c r="U45" s="250">
        <f t="shared" si="8"/>
        <v>-1.0241871026965459</v>
      </c>
      <c r="V45" s="382">
        <f t="shared" si="9"/>
        <v>33.605145590234848</v>
      </c>
      <c r="W45" s="400">
        <f t="shared" si="10"/>
        <v>7.3287957967821802</v>
      </c>
      <c r="X45" s="157">
        <f t="shared" si="11"/>
        <v>46418</v>
      </c>
      <c r="Y45" s="383">
        <f t="shared" si="12"/>
        <v>7.1248102395107278</v>
      </c>
      <c r="Z45" s="383">
        <f t="shared" si="22"/>
        <v>7.5351828063694359</v>
      </c>
      <c r="AA45" s="384">
        <f t="shared" si="13"/>
        <v>8.0579092820666212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6.4871228677213566E-2</v>
      </c>
      <c r="AD45" s="230">
        <f>(INDEX(Models!$BJ45:$BT45,,AH45)*(1-AF45)+INDEX(Models!$BJ45:$BT45,,AH45+1)*AF45-ERP_i)*AE45*Ramure*Pc/MaxiM</f>
        <v>3.2300563515886085E-4</v>
      </c>
      <c r="AE45" s="304">
        <f t="shared" si="15"/>
        <v>0.6</v>
      </c>
      <c r="AF45" s="177">
        <f t="shared" si="23"/>
        <v>0.50080046367743281</v>
      </c>
      <c r="AG45" s="799">
        <f t="shared" si="24"/>
        <v>2</v>
      </c>
      <c r="AH45" s="176">
        <f t="shared" si="16"/>
        <v>8</v>
      </c>
      <c r="AI45" s="224">
        <f t="shared" si="17"/>
        <v>2.5008004636774328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46419</v>
      </c>
      <c r="B46" s="409">
        <f>IF(t&gt;Tmaj,'2026'!Wh/'2026'!Env_an*'2027'!Env_an,0.001*'[4]mon-tableau'!$B$221)</f>
        <v>16.081501764764212</v>
      </c>
      <c r="C46" s="829"/>
      <c r="D46" s="391">
        <f t="shared" si="0"/>
        <v>17.008084973489204</v>
      </c>
      <c r="E46" s="383">
        <f t="shared" si="1"/>
        <v>17.68337692643021</v>
      </c>
      <c r="F46" s="383">
        <f t="shared" si="2"/>
        <v>17.683407304916283</v>
      </c>
      <c r="G46" s="110">
        <f t="shared" si="21"/>
        <v>0.47382446276071688</v>
      </c>
      <c r="H46" s="412" t="b">
        <f>Wh_hp&gt;='2026'!Maxi_hp</f>
        <v>1</v>
      </c>
      <c r="I46" s="388">
        <f>IF(H46,Wh_hp,'2026'!Maxi_hp)</f>
        <v>17.683407304916283</v>
      </c>
      <c r="J46" s="85">
        <f>IF(H46,An,'2026'!An_max)</f>
        <v>2027</v>
      </c>
      <c r="K46" s="197">
        <f t="shared" si="3"/>
        <v>46419</v>
      </c>
      <c r="L46" s="147">
        <f>IF(t&lt;Tvie,1-EXP((T0-t)*PertePVj)+'2026'!Pspv,1-EXP((T0-t)*PertePVj)+Pspv)</f>
        <v>5.4478985151430903E-2</v>
      </c>
      <c r="M46" s="832"/>
      <c r="N46" s="832"/>
      <c r="O46" s="48">
        <f>IF(t&lt;Tnet,'2026'!Resal+('2026'!Salim-'2026'!Resal)*(1-EXP(('2026'!Tnet-t)/('2026'!Tau_j))),Resal+(Salim-Resal)*(1-EXP((Tnet-t)/(Tau_j))))*Salcycl</f>
        <v>3.8187952207911727E-2</v>
      </c>
      <c r="P46" s="169">
        <f>(INDEX(Models!$BJ46:$BT46,,T46)*(1-R46)+INDEX(Models!$BJ46:$BT46,,T46+1)*R46-ERP_i)*Q46*Ramure*Pc/MaxiM</f>
        <v>6.9180096703460623E-6</v>
      </c>
      <c r="Q46" s="304">
        <f t="shared" si="4"/>
        <v>0.6</v>
      </c>
      <c r="R46" s="177">
        <f t="shared" si="5"/>
        <v>0.97591244589389459</v>
      </c>
      <c r="S46" s="799">
        <f t="shared" si="6"/>
        <v>-2</v>
      </c>
      <c r="T46" s="176">
        <f t="shared" si="7"/>
        <v>4</v>
      </c>
      <c r="U46" s="250">
        <f t="shared" si="8"/>
        <v>-1.0240875541061054</v>
      </c>
      <c r="V46" s="382">
        <f t="shared" si="9"/>
        <v>33.939611402704209</v>
      </c>
      <c r="W46" s="400">
        <f t="shared" si="10"/>
        <v>16.081501764764212</v>
      </c>
      <c r="X46" s="157">
        <f t="shared" si="11"/>
        <v>46419</v>
      </c>
      <c r="Y46" s="383">
        <f t="shared" si="12"/>
        <v>15.63326814820544</v>
      </c>
      <c r="Z46" s="383">
        <f t="shared" si="22"/>
        <v>16.534025053593549</v>
      </c>
      <c r="AA46" s="384">
        <f t="shared" si="13"/>
        <v>17.682135258328771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6.4930518173388102E-2</v>
      </c>
      <c r="AD46" s="230">
        <f>(INDEX(Models!$BJ46:$BT46,,AH46)*(1-AF46)+INDEX(Models!$BJ46:$BT46,,AH46+1)*AF46-ERP_i)*AE46*Ramure*Pc/MaxiM</f>
        <v>2.8967969542394547E-4</v>
      </c>
      <c r="AE46" s="304">
        <f t="shared" si="15"/>
        <v>0.6</v>
      </c>
      <c r="AF46" s="177">
        <f t="shared" si="23"/>
        <v>0.50090001226787306</v>
      </c>
      <c r="AG46" s="799">
        <f t="shared" si="24"/>
        <v>2</v>
      </c>
      <c r="AH46" s="176">
        <f t="shared" si="16"/>
        <v>8</v>
      </c>
      <c r="AI46" s="224">
        <f t="shared" si="17"/>
        <v>2.5009000122678731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46420</v>
      </c>
      <c r="B47" s="409">
        <f>IF(t&gt;Tmaj,'2026'!Wh/'2026'!Env_an*'2027'!Env_an,0.001*'[4]mon-tableau'!$B$222)</f>
        <v>5.2797369208813096</v>
      </c>
      <c r="C47" s="829"/>
      <c r="D47" s="391">
        <f t="shared" si="0"/>
        <v>5.5840515703606215</v>
      </c>
      <c r="E47" s="383">
        <f t="shared" si="1"/>
        <v>5.8063032773290777</v>
      </c>
      <c r="F47" s="383">
        <f t="shared" si="2"/>
        <v>5.8063032773290777</v>
      </c>
      <c r="G47" s="110">
        <f t="shared" si="21"/>
        <v>0.15404013525402566</v>
      </c>
      <c r="H47" s="412" t="b">
        <f>Wh_hp&gt;='2026'!Maxi_hp</f>
        <v>0</v>
      </c>
      <c r="I47" s="388">
        <f>IF(H47,Wh_hp,'2026'!Maxi_hp)</f>
        <v>31.802968969314829</v>
      </c>
      <c r="J47" s="85">
        <f>IF(H47,An,'2026'!An_max)</f>
        <v>2021</v>
      </c>
      <c r="K47" s="197">
        <f t="shared" si="3"/>
        <v>46420</v>
      </c>
      <c r="L47" s="147">
        <f>IF(t&lt;Tvie,1-EXP((T0-t)*PertePVj)+'2026'!Pspv,1-EXP((T0-t)*PertePVj)+Pspv)</f>
        <v>5.4497105845972449E-2</v>
      </c>
      <c r="M47" s="832"/>
      <c r="N47" s="832"/>
      <c r="O47" s="48">
        <f>IF(t&lt;Tnet,'2026'!Resal+('2026'!Salim-'2026'!Resal)*(1-EXP(('2026'!Tnet-t)/('2026'!Tau_j))),Resal+(Salim-Resal)*(1-EXP((Tnet-t)/(Tau_j))))*Salcycl</f>
        <v>3.8277660734024381E-2</v>
      </c>
      <c r="P47" s="169">
        <f>(INDEX(Models!$BJ47:$BT47,,T47)*(1-R47)+INDEX(Models!$BJ47:$BT47,,T47+1)*R47-ERP_i)*Q47*Ramure*Pc/MaxiM</f>
        <v>6.5353926428997154E-6</v>
      </c>
      <c r="Q47" s="304">
        <f t="shared" si="4"/>
        <v>0.6</v>
      </c>
      <c r="R47" s="177">
        <f t="shared" si="5"/>
        <v>0.97601612845913932</v>
      </c>
      <c r="S47" s="799">
        <f t="shared" si="6"/>
        <v>-2</v>
      </c>
      <c r="T47" s="176">
        <f t="shared" si="7"/>
        <v>4</v>
      </c>
      <c r="U47" s="250">
        <f t="shared" si="8"/>
        <v>-1.0239838715408607</v>
      </c>
      <c r="V47" s="382">
        <f t="shared" si="9"/>
        <v>34.274849259388077</v>
      </c>
      <c r="W47" s="400">
        <f t="shared" si="10"/>
        <v>5.2797369208813096</v>
      </c>
      <c r="X47" s="157">
        <f t="shared" si="11"/>
        <v>46420</v>
      </c>
      <c r="Y47" s="383">
        <f t="shared" si="12"/>
        <v>5.1330903780497792</v>
      </c>
      <c r="Z47" s="383">
        <f t="shared" si="22"/>
        <v>5.4289525815175042</v>
      </c>
      <c r="AA47" s="384">
        <f t="shared" si="13"/>
        <v>5.8063032773290777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6.4989835664449769E-2</v>
      </c>
      <c r="AD47" s="230">
        <f>(INDEX(Models!$BJ47:$BT47,,AH47)*(1-AF47)+INDEX(Models!$BJ47:$BT47,,AH47+1)*AF47-ERP_i)*AE47*Ramure*Pc/MaxiM</f>
        <v>2.5990817386926566E-4</v>
      </c>
      <c r="AE47" s="304">
        <f t="shared" si="15"/>
        <v>0.6</v>
      </c>
      <c r="AF47" s="177">
        <f t="shared" si="23"/>
        <v>0.50100369483311802</v>
      </c>
      <c r="AG47" s="799">
        <f t="shared" si="24"/>
        <v>2</v>
      </c>
      <c r="AH47" s="176">
        <f t="shared" si="16"/>
        <v>8</v>
      </c>
      <c r="AI47" s="224">
        <f t="shared" si="17"/>
        <v>2.501003694833118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46421</v>
      </c>
      <c r="B48" s="409">
        <f>IF(t&gt;Tmaj,'2026'!Wh/'2026'!Env_an*'2027'!Env_an,0.001*'[4]mon-tableau'!$B$223)</f>
        <v>10.616855153216594</v>
      </c>
      <c r="C48" s="829"/>
      <c r="D48" s="391">
        <f t="shared" si="0"/>
        <v>11.229007010309013</v>
      </c>
      <c r="E48" s="383">
        <f t="shared" si="1"/>
        <v>11.677023114980358</v>
      </c>
      <c r="F48" s="383">
        <f t="shared" si="2"/>
        <v>11.677023816735833</v>
      </c>
      <c r="G48" s="110">
        <f t="shared" si="21"/>
        <v>0.30675430417345678</v>
      </c>
      <c r="H48" s="412" t="b">
        <f>Wh_hp&gt;='2026'!Maxi_hp</f>
        <v>0</v>
      </c>
      <c r="I48" s="388">
        <f>IF(H48,Wh_hp,'2026'!Maxi_hp)</f>
        <v>29.439960485046544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5.4515226193235122E-2</v>
      </c>
      <c r="M48" s="832"/>
      <c r="N48" s="832"/>
      <c r="O48" s="48">
        <f>IF(t&lt;Tnet,'2026'!Resal+('2026'!Salim-'2026'!Resal)*(1-EXP(('2026'!Tnet-t)/('2026'!Tau_j))),Resal+(Salim-Resal)*(1-EXP((Tnet-t)/(Tau_j))))*Salcycl</f>
        <v>3.8367321898728442E-2</v>
      </c>
      <c r="P48" s="169">
        <f>(INDEX(Models!$BJ48:$BT48,,T48)*(1-R48)+INDEX(Models!$BJ48:$BT48,,T48+1)*R48-ERP_i)*Q48*Ramure*Pc/MaxiM</f>
        <v>6.2265783568055356E-6</v>
      </c>
      <c r="Q48" s="304">
        <f t="shared" si="4"/>
        <v>0.6</v>
      </c>
      <c r="R48" s="177">
        <f t="shared" si="5"/>
        <v>0.97612411483377248</v>
      </c>
      <c r="S48" s="799">
        <f t="shared" si="6"/>
        <v>-2</v>
      </c>
      <c r="T48" s="176">
        <f t="shared" si="7"/>
        <v>4</v>
      </c>
      <c r="U48" s="250">
        <f t="shared" si="8"/>
        <v>-1.0238758851662275</v>
      </c>
      <c r="V48" s="382">
        <f t="shared" si="9"/>
        <v>34.610075686407278</v>
      </c>
      <c r="W48" s="400">
        <f t="shared" si="10"/>
        <v>10.616855153216594</v>
      </c>
      <c r="X48" s="157">
        <f t="shared" si="11"/>
        <v>46421</v>
      </c>
      <c r="Y48" s="383">
        <f t="shared" si="12"/>
        <v>10.322252869512557</v>
      </c>
      <c r="Z48" s="383">
        <f t="shared" si="22"/>
        <v>10.917418403209723</v>
      </c>
      <c r="AA48" s="384">
        <f t="shared" si="13"/>
        <v>11.67699749001612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6.5049177877775574E-2</v>
      </c>
      <c r="AD48" s="230">
        <f>(INDEX(Models!$BJ48:$BT48,,AH48)*(1-AF48)+INDEX(Models!$BJ48:$BT48,,AH48+1)*AF48-ERP_i)*AE48*Ramure*Pc/MaxiM</f>
        <v>2.3359330845308831E-4</v>
      </c>
      <c r="AE48" s="304">
        <f t="shared" si="15"/>
        <v>0.6</v>
      </c>
      <c r="AF48" s="177">
        <f t="shared" si="23"/>
        <v>0.50111168120775096</v>
      </c>
      <c r="AG48" s="799">
        <f t="shared" si="24"/>
        <v>2</v>
      </c>
      <c r="AH48" s="176">
        <f t="shared" si="16"/>
        <v>8</v>
      </c>
      <c r="AI48" s="224">
        <f t="shared" si="17"/>
        <v>2.501111681207751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46422</v>
      </c>
      <c r="B49" s="409">
        <f>IF(t&gt;Tmaj,'2026'!Wh/'2026'!Env_an*'2027'!Env_an,0.001*'[4]mon-tableau'!$B$224)</f>
        <v>10.964620558655721</v>
      </c>
      <c r="C49" s="829"/>
      <c r="D49" s="391">
        <f t="shared" si="0"/>
        <v>11.597046299315137</v>
      </c>
      <c r="E49" s="383">
        <f t="shared" si="1"/>
        <v>12.060870392038199</v>
      </c>
      <c r="F49" s="383">
        <f t="shared" si="2"/>
        <v>12.060871813340006</v>
      </c>
      <c r="G49" s="110">
        <f t="shared" si="21"/>
        <v>0.31377051608667944</v>
      </c>
      <c r="H49" s="412" t="b">
        <f>Wh_hp&gt;='2026'!Maxi_hp</f>
        <v>0</v>
      </c>
      <c r="I49" s="388">
        <f>IF(H49,Wh_hp,'2026'!Maxi_hp)</f>
        <v>20.989724213200883</v>
      </c>
      <c r="J49" s="85">
        <f>IF(H49,An,'2026'!An_max)</f>
        <v>2020</v>
      </c>
      <c r="K49" s="197">
        <f t="shared" si="3"/>
        <v>46422</v>
      </c>
      <c r="L49" s="147">
        <f>IF(t&lt;Tvie,1-EXP((T0-t)*PertePVj)+'2026'!Pspv,1-EXP((T0-t)*PertePVj)+Pspv)</f>
        <v>5.4533346193225363E-2</v>
      </c>
      <c r="M49" s="832"/>
      <c r="N49" s="832"/>
      <c r="O49" s="48">
        <f>IF(t&lt;Tnet,'2026'!Resal+('2026'!Salim-'2026'!Resal)*(1-EXP(('2026'!Tnet-t)/('2026'!Tau_j))),Resal+(Salim-Resal)*(1-EXP((Tnet-t)/(Tau_j))))*Salcycl</f>
        <v>3.8456933674475752E-2</v>
      </c>
      <c r="P49" s="169">
        <f>(INDEX(Models!$BJ49:$BT49,,T49)*(1-R49)+INDEX(Models!$BJ49:$BT49,,T49+1)*R49-ERP_i)*Q49*Ramure*Pc/MaxiM</f>
        <v>5.9895932128498973E-6</v>
      </c>
      <c r="Q49" s="304">
        <f t="shared" si="4"/>
        <v>0.6</v>
      </c>
      <c r="R49" s="177">
        <f t="shared" si="5"/>
        <v>0.97623658167313843</v>
      </c>
      <c r="S49" s="799">
        <f t="shared" si="6"/>
        <v>-2</v>
      </c>
      <c r="T49" s="176">
        <f t="shared" si="7"/>
        <v>4</v>
      </c>
      <c r="U49" s="250">
        <f t="shared" si="8"/>
        <v>-1.0237634183268616</v>
      </c>
      <c r="V49" s="382">
        <f t="shared" si="9"/>
        <v>34.944507578007808</v>
      </c>
      <c r="W49" s="400">
        <f t="shared" si="10"/>
        <v>10.964620558655721</v>
      </c>
      <c r="X49" s="157">
        <f t="shared" si="11"/>
        <v>46422</v>
      </c>
      <c r="Y49" s="383">
        <f t="shared" si="12"/>
        <v>10.660665338849208</v>
      </c>
      <c r="Z49" s="383">
        <f t="shared" si="22"/>
        <v>11.275559318698015</v>
      </c>
      <c r="AA49" s="384">
        <f t="shared" si="13"/>
        <v>12.06082182974678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6.5108540871733553E-2</v>
      </c>
      <c r="AD49" s="230">
        <f>(INDEX(Models!$BJ49:$BT49,,AH49)*(1-AF49)+INDEX(Models!$BJ49:$BT49,,AH49+1)*AF49-ERP_i)*AE49*Ramure*Pc/MaxiM</f>
        <v>2.1063885893477956E-4</v>
      </c>
      <c r="AE49" s="304">
        <f t="shared" si="15"/>
        <v>0.6</v>
      </c>
      <c r="AF49" s="177">
        <f t="shared" si="23"/>
        <v>0.5012241480471169</v>
      </c>
      <c r="AG49" s="799">
        <f t="shared" si="24"/>
        <v>2</v>
      </c>
      <c r="AH49" s="176">
        <f t="shared" si="16"/>
        <v>8</v>
      </c>
      <c r="AI49" s="224">
        <f t="shared" si="17"/>
        <v>2.5012241480471169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46423</v>
      </c>
      <c r="B50" s="409">
        <f>IF(t&gt;Tmaj,'2026'!Wh/'2026'!Env_an*'2027'!Env_an,0.001*'[4]mon-tableau'!$B$225)</f>
        <v>9.0465897760004541</v>
      </c>
      <c r="C50" s="829"/>
      <c r="D50" s="391">
        <f t="shared" si="0"/>
        <v>9.568569254903954</v>
      </c>
      <c r="E50" s="383">
        <f t="shared" si="1"/>
        <v>9.9521913349490028</v>
      </c>
      <c r="F50" s="383">
        <f t="shared" si="2"/>
        <v>9.9521913349490028</v>
      </c>
      <c r="G50" s="110">
        <f t="shared" si="21"/>
        <v>0.2564402930984383</v>
      </c>
      <c r="H50" s="412" t="b">
        <f>Wh_hp&gt;='2026'!Maxi_hp</f>
        <v>0</v>
      </c>
      <c r="I50" s="388">
        <f>IF(H50,Wh_hp,'2026'!Maxi_hp)</f>
        <v>38.888374306898015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5.4551465845949942E-2</v>
      </c>
      <c r="M50" s="832"/>
      <c r="N50" s="832"/>
      <c r="O50" s="48">
        <f>IF(t&lt;Tnet,'2026'!Resal+('2026'!Salim-'2026'!Resal)*(1-EXP(('2026'!Tnet-t)/('2026'!Tau_j))),Resal+(Salim-Resal)*(1-EXP((Tnet-t)/(Tau_j))))*Salcycl</f>
        <v>3.8546493644860673E-2</v>
      </c>
      <c r="P50" s="169">
        <f>(INDEX(Models!$BJ50:$BT50,,T50)*(1-R50)+INDEX(Models!$BJ50:$BT50,,T50+1)*R50-ERP_i)*Q50*Ramure*Pc/MaxiM</f>
        <v>5.8225334063288868E-6</v>
      </c>
      <c r="Q50" s="304">
        <f t="shared" si="4"/>
        <v>0.6</v>
      </c>
      <c r="R50" s="177">
        <f t="shared" si="5"/>
        <v>0.97635371271391924</v>
      </c>
      <c r="S50" s="799">
        <f t="shared" si="6"/>
        <v>-2</v>
      </c>
      <c r="T50" s="176">
        <f t="shared" si="7"/>
        <v>4</v>
      </c>
      <c r="U50" s="250">
        <f t="shared" si="8"/>
        <v>-1.0236462872860808</v>
      </c>
      <c r="V50" s="382">
        <f t="shared" si="9"/>
        <v>35.277362198524024</v>
      </c>
      <c r="W50" s="400">
        <f t="shared" si="10"/>
        <v>9.0465897760004541</v>
      </c>
      <c r="X50" s="157">
        <f t="shared" si="11"/>
        <v>46423</v>
      </c>
      <c r="Y50" s="383">
        <f t="shared" si="12"/>
        <v>8.796101195377231</v>
      </c>
      <c r="Z50" s="383">
        <f t="shared" si="22"/>
        <v>9.3036277254876012</v>
      </c>
      <c r="AA50" s="384">
        <f t="shared" si="13"/>
        <v>9.9521913349490028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6.5167920072421323E-2</v>
      </c>
      <c r="AD50" s="230">
        <f>(INDEX(Models!$BJ50:$BT50,,AH50)*(1-AF50)+INDEX(Models!$BJ50:$BT50,,AH50+1)*AF50-ERP_i)*AE50*Ramure*Pc/MaxiM</f>
        <v>1.9095080784374002E-4</v>
      </c>
      <c r="AE50" s="304">
        <f t="shared" si="15"/>
        <v>0.6</v>
      </c>
      <c r="AF50" s="177">
        <f t="shared" si="23"/>
        <v>0.50134127908789772</v>
      </c>
      <c r="AG50" s="799">
        <f t="shared" si="24"/>
        <v>2</v>
      </c>
      <c r="AH50" s="176">
        <f t="shared" si="16"/>
        <v>8</v>
      </c>
      <c r="AI50" s="224">
        <f t="shared" si="17"/>
        <v>2.5013412790878977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46424</v>
      </c>
      <c r="B51" s="409">
        <f>IF(t&gt;Tmaj,'2026'!Wh/'2026'!Env_an*'2027'!Env_an,0.001*'[4]mon-tableau'!$B$226)</f>
        <v>24.748381151748585</v>
      </c>
      <c r="C51" s="829"/>
      <c r="D51" s="391">
        <f t="shared" si="0"/>
        <v>26.176840477162102</v>
      </c>
      <c r="E51" s="383">
        <f t="shared" si="1"/>
        <v>27.228854472139123</v>
      </c>
      <c r="F51" s="383">
        <f t="shared" si="2"/>
        <v>27.228942398088819</v>
      </c>
      <c r="G51" s="110">
        <f t="shared" si="21"/>
        <v>0.69496107476753988</v>
      </c>
      <c r="H51" s="412" t="b">
        <f>Wh_hp&gt;='2026'!Maxi_hp</f>
        <v>0</v>
      </c>
      <c r="I51" s="388">
        <f>IF(H51,Wh_hp,'2026'!Maxi_hp)</f>
        <v>41.004542581463518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5.4569585151415523E-2</v>
      </c>
      <c r="M51" s="832"/>
      <c r="N51" s="832"/>
      <c r="O51" s="48">
        <f>IF(t&lt;Tnet,'2026'!Resal+('2026'!Salim-'2026'!Resal)*(1-EXP(('2026'!Tnet-t)/('2026'!Tau_j))),Resal+(Salim-Resal)*(1-EXP((Tnet-t)/(Tau_j))))*Salcycl</f>
        <v>3.8635999030126385E-2</v>
      </c>
      <c r="P51" s="169">
        <f>(INDEX(Models!$BJ51:$BT51,,T51)*(1-R51)+INDEX(Models!$BJ51:$BT51,,T51+1)*R51-ERP_i)*Q51*Ramure*Pc/MaxiM</f>
        <v>5.7230578106198286E-6</v>
      </c>
      <c r="Q51" s="304">
        <f t="shared" si="4"/>
        <v>0.6</v>
      </c>
      <c r="R51" s="177">
        <f t="shared" si="5"/>
        <v>0.97647569904351328</v>
      </c>
      <c r="S51" s="799">
        <f t="shared" si="6"/>
        <v>-2</v>
      </c>
      <c r="T51" s="176">
        <f t="shared" si="7"/>
        <v>4</v>
      </c>
      <c r="U51" s="250">
        <f t="shared" si="8"/>
        <v>-1.0235243009564867</v>
      </c>
      <c r="V51" s="382">
        <f t="shared" si="9"/>
        <v>35.611087195483904</v>
      </c>
      <c r="W51" s="400">
        <f t="shared" si="10"/>
        <v>24.748381151748585</v>
      </c>
      <c r="X51" s="157">
        <f t="shared" si="11"/>
        <v>46424</v>
      </c>
      <c r="Y51" s="383">
        <f t="shared" si="12"/>
        <v>24.061550829349216</v>
      </c>
      <c r="Z51" s="383">
        <f t="shared" si="22"/>
        <v>25.450366786859504</v>
      </c>
      <c r="AA51" s="384">
        <f t="shared" si="13"/>
        <v>27.226262670980407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6.5227310320992771E-2</v>
      </c>
      <c r="AD51" s="230">
        <f>(INDEX(Models!$BJ51:$BT51,,AH51)*(1-AF51)+INDEX(Models!$BJ51:$BT51,,AH51+1)*AF51-ERP_i)*AE51*Ramure*Pc/MaxiM</f>
        <v>1.7442214967071609E-4</v>
      </c>
      <c r="AE51" s="304">
        <f t="shared" si="15"/>
        <v>0.6</v>
      </c>
      <c r="AF51" s="177">
        <f t="shared" si="23"/>
        <v>0.5014632654174922</v>
      </c>
      <c r="AG51" s="799">
        <f t="shared" si="24"/>
        <v>2</v>
      </c>
      <c r="AH51" s="176">
        <f t="shared" si="16"/>
        <v>8</v>
      </c>
      <c r="AI51" s="224">
        <f t="shared" si="17"/>
        <v>2.5014632654174922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46425</v>
      </c>
      <c r="B52" s="409">
        <f>IF(t&gt;Tmaj,'2026'!Wh/'2026'!Env_an*'2027'!Env_an,0.001*'[4]mon-tableau'!$B$227)</f>
        <v>8.8782416480583066</v>
      </c>
      <c r="C52" s="829"/>
      <c r="D52" s="391">
        <f t="shared" si="0"/>
        <v>9.3908675470493517</v>
      </c>
      <c r="E52" s="383">
        <f t="shared" si="1"/>
        <v>9.769183543863468</v>
      </c>
      <c r="F52" s="383">
        <f t="shared" si="2"/>
        <v>9.769183543863468</v>
      </c>
      <c r="G52" s="110">
        <f t="shared" si="21"/>
        <v>0.24697137588551218</v>
      </c>
      <c r="H52" s="412" t="b">
        <f>Wh_hp&gt;='2026'!Maxi_hp</f>
        <v>0</v>
      </c>
      <c r="I52" s="388">
        <f>IF(H52,Wh_hp,'2026'!Maxi_hp)</f>
        <v>27.6544109096825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5.4587704109628765E-2</v>
      </c>
      <c r="M52" s="832"/>
      <c r="N52" s="832"/>
      <c r="O52" s="48">
        <f>IF(t&lt;Tnet,'2026'!Resal+('2026'!Salim-'2026'!Resal)*(1-EXP(('2026'!Tnet-t)/('2026'!Tau_j))),Resal+(Salim-Resal)*(1-EXP((Tnet-t)/(Tau_j))))*Salcycl</f>
        <v>3.8725446718805547E-2</v>
      </c>
      <c r="P52" s="169">
        <f>(INDEX(Models!$BJ52:$BT52,,T52)*(1-R52)+INDEX(Models!$BJ52:$BT52,,T52+1)*R52-ERP_i)*Q52*Ramure*Pc/MaxiM</f>
        <v>5.6768493185371425E-6</v>
      </c>
      <c r="Q52" s="304">
        <f t="shared" si="4"/>
        <v>0.6</v>
      </c>
      <c r="R52" s="177">
        <f t="shared" si="5"/>
        <v>0.97660273937841491</v>
      </c>
      <c r="S52" s="799">
        <f t="shared" si="6"/>
        <v>-2</v>
      </c>
      <c r="T52" s="176">
        <f t="shared" si="7"/>
        <v>4</v>
      </c>
      <c r="U52" s="250">
        <f t="shared" si="8"/>
        <v>-1.0233972606215851</v>
      </c>
      <c r="V52" s="382">
        <f t="shared" si="9"/>
        <v>35.94826005963499</v>
      </c>
      <c r="W52" s="400">
        <f t="shared" si="10"/>
        <v>8.8782416480583066</v>
      </c>
      <c r="X52" s="157">
        <f t="shared" si="11"/>
        <v>46425</v>
      </c>
      <c r="Y52" s="383">
        <f t="shared" si="12"/>
        <v>8.6329243482747255</v>
      </c>
      <c r="Z52" s="383">
        <f t="shared" si="22"/>
        <v>9.1313857306503525</v>
      </c>
      <c r="AA52" s="384">
        <f t="shared" si="13"/>
        <v>9.769183543863468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6.5286705930891253E-2</v>
      </c>
      <c r="AD52" s="230">
        <f>(INDEX(Models!$BJ52:$BT52,,AH52)*(1-AF52)+INDEX(Models!$BJ52:$BT52,,AH52+1)*AF52-ERP_i)*AE52*Ramure*Pc/MaxiM</f>
        <v>1.6121327362935881E-4</v>
      </c>
      <c r="AE52" s="304">
        <f t="shared" si="15"/>
        <v>0.6</v>
      </c>
      <c r="AF52" s="177">
        <f t="shared" si="23"/>
        <v>0.50159030575239338</v>
      </c>
      <c r="AG52" s="799">
        <f t="shared" si="24"/>
        <v>2</v>
      </c>
      <c r="AH52" s="176">
        <f t="shared" si="16"/>
        <v>8</v>
      </c>
      <c r="AI52" s="224">
        <f t="shared" si="17"/>
        <v>2.5015903057523934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46426</v>
      </c>
      <c r="B53" s="409">
        <f>IF(t&gt;Tmaj,'2026'!Wh/'2026'!Env_an*'2027'!Env_an,0.001*'[4]mon-tableau'!$B$228)</f>
        <v>35.879871223975883</v>
      </c>
      <c r="C53" s="829"/>
      <c r="D53" s="391">
        <f t="shared" si="0"/>
        <v>37.952287084344789</v>
      </c>
      <c r="E53" s="383">
        <f t="shared" si="1"/>
        <v>39.484886366740291</v>
      </c>
      <c r="F53" s="383">
        <f t="shared" si="2"/>
        <v>39.485105277773023</v>
      </c>
      <c r="G53" s="110">
        <f t="shared" si="21"/>
        <v>0.98874495419493247</v>
      </c>
      <c r="H53" s="412" t="b">
        <f>Wh_hp&gt;='2026'!Maxi_hp</f>
        <v>1</v>
      </c>
      <c r="I53" s="388">
        <f>IF(H53,Wh_hp,'2026'!Maxi_hp)</f>
        <v>39.485105277773023</v>
      </c>
      <c r="J53" s="85">
        <f>IF(H53,An,'2026'!An_max)</f>
        <v>2027</v>
      </c>
      <c r="K53" s="197">
        <f t="shared" si="3"/>
        <v>46426</v>
      </c>
      <c r="L53" s="147">
        <f>IF(t&lt;Tvie,1-EXP((T0-t)*PertePVj)+'2026'!Pspv,1-EXP((T0-t)*PertePVj)+Pspv)</f>
        <v>5.4605822720596331E-2</v>
      </c>
      <c r="M53" s="832"/>
      <c r="N53" s="832"/>
      <c r="O53" s="48">
        <f>IF(t&lt;Tnet,'2026'!Resal+('2026'!Salim-'2026'!Resal)*(1-EXP(('2026'!Tnet-t)/('2026'!Tau_j))),Resal+(Salim-Resal)*(1-EXP((Tnet-t)/(Tau_j))))*Salcycl</f>
        <v>3.8814833305091404E-2</v>
      </c>
      <c r="P53" s="169">
        <f>(INDEX(Models!$BJ53:$BT53,,T53)*(1-R53)+INDEX(Models!$BJ53:$BT53,,T53+1)*R53-ERP_i)*Q53*Ramure*Pc/MaxiM</f>
        <v>5.6347402769726103E-6</v>
      </c>
      <c r="Q53" s="304">
        <f t="shared" si="4"/>
        <v>0.6</v>
      </c>
      <c r="R53" s="177">
        <f t="shared" si="5"/>
        <v>0.97673504035178116</v>
      </c>
      <c r="S53" s="799">
        <f t="shared" si="6"/>
        <v>-2</v>
      </c>
      <c r="T53" s="176">
        <f t="shared" si="7"/>
        <v>4</v>
      </c>
      <c r="U53" s="250">
        <f t="shared" si="8"/>
        <v>-1.0232649596482188</v>
      </c>
      <c r="V53" s="382">
        <f t="shared" si="9"/>
        <v>36.288294388839503</v>
      </c>
      <c r="W53" s="400">
        <f t="shared" si="10"/>
        <v>35.879871223975883</v>
      </c>
      <c r="X53" s="157">
        <f t="shared" si="11"/>
        <v>46426</v>
      </c>
      <c r="Y53" s="383">
        <f t="shared" si="12"/>
        <v>34.884552927064234</v>
      </c>
      <c r="Z53" s="383">
        <f t="shared" si="22"/>
        <v>36.899479355217551</v>
      </c>
      <c r="AA53" s="384">
        <f t="shared" si="13"/>
        <v>39.479297507872687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6.5346100754216541E-2</v>
      </c>
      <c r="AD53" s="230">
        <f>(INDEX(Models!$BJ53:$BT53,,AH53)*(1-AF53)+INDEX(Models!$BJ53:$BT53,,AH53+1)*AF53-ERP_i)*AE53*Ramure*Pc/MaxiM</f>
        <v>1.4949120914046848E-4</v>
      </c>
      <c r="AE53" s="304">
        <f t="shared" si="15"/>
        <v>0.6</v>
      </c>
      <c r="AF53" s="177">
        <f t="shared" si="23"/>
        <v>0.50172260672575986</v>
      </c>
      <c r="AG53" s="799">
        <f t="shared" si="24"/>
        <v>2</v>
      </c>
      <c r="AH53" s="176">
        <f t="shared" si="16"/>
        <v>8</v>
      </c>
      <c r="AI53" s="224">
        <f t="shared" si="17"/>
        <v>2.5017226067257599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46427</v>
      </c>
      <c r="B54" s="409">
        <f>IF(t&gt;Tmaj,'2026'!Wh/'2026'!Env_an*'2027'!Env_an,0.001*'[4]mon-tableau'!$B$229)</f>
        <v>36.61108680798624</v>
      </c>
      <c r="C54" s="829"/>
      <c r="D54" s="391">
        <f t="shared" si="0"/>
        <v>38.726479752518458</v>
      </c>
      <c r="E54" s="383">
        <f t="shared" si="1"/>
        <v>40.294087170688393</v>
      </c>
      <c r="F54" s="383">
        <f t="shared" si="2"/>
        <v>40.294312514962506</v>
      </c>
      <c r="G54" s="110">
        <f t="shared" si="21"/>
        <v>0.99946723033871099</v>
      </c>
      <c r="H54" s="412" t="b">
        <f>Wh_hp&gt;='2026'!Maxi_hp</f>
        <v>1</v>
      </c>
      <c r="I54" s="388">
        <f>IF(H54,Wh_hp,'2026'!Maxi_hp)</f>
        <v>40.294312514962506</v>
      </c>
      <c r="J54" s="85">
        <f>IF(H54,An,'2026'!An_max)</f>
        <v>2027</v>
      </c>
      <c r="K54" s="197">
        <f t="shared" si="3"/>
        <v>46427</v>
      </c>
      <c r="L54" s="147">
        <f>IF(t&lt;Tvie,1-EXP((T0-t)*PertePVj)+'2026'!Pspv,1-EXP((T0-t)*PertePVj)+Pspv)</f>
        <v>5.462394098432477E-2</v>
      </c>
      <c r="M54" s="832"/>
      <c r="N54" s="832"/>
      <c r="O54" s="48">
        <f>IF(t&lt;Tnet,'2026'!Resal+('2026'!Salim-'2026'!Resal)*(1-EXP(('2026'!Tnet-t)/('2026'!Tau_j))),Resal+(Salim-Resal)*(1-EXP((Tnet-t)/(Tau_j))))*Salcycl</f>
        <v>3.8904155131482321E-2</v>
      </c>
      <c r="P54" s="169">
        <f>(INDEX(Models!$BJ54:$BT54,,T54)*(1-R54)+INDEX(Models!$BJ54:$BT54,,T54+1)*R54-ERP_i)*Q54*Ramure*Pc/MaxiM</f>
        <v>5.59671821446519E-6</v>
      </c>
      <c r="Q54" s="304">
        <f t="shared" si="4"/>
        <v>0.6</v>
      </c>
      <c r="R54" s="177">
        <f t="shared" si="5"/>
        <v>0.97687281681037219</v>
      </c>
      <c r="S54" s="799">
        <f t="shared" si="6"/>
        <v>-2</v>
      </c>
      <c r="T54" s="176">
        <f t="shared" si="7"/>
        <v>4</v>
      </c>
      <c r="U54" s="250">
        <f t="shared" si="8"/>
        <v>-1.0231271831896278</v>
      </c>
      <c r="V54" s="382">
        <f t="shared" si="9"/>
        <v>36.630602325629695</v>
      </c>
      <c r="W54" s="400">
        <f t="shared" si="10"/>
        <v>36.61108680798624</v>
      </c>
      <c r="X54" s="157">
        <f t="shared" si="11"/>
        <v>46427</v>
      </c>
      <c r="Y54" s="383">
        <f t="shared" si="12"/>
        <v>35.596816214638245</v>
      </c>
      <c r="Z54" s="383">
        <f t="shared" si="22"/>
        <v>37.653604483808934</v>
      </c>
      <c r="AA54" s="384">
        <f t="shared" si="13"/>
        <v>40.288707038906637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6.5405488256374003E-2</v>
      </c>
      <c r="AD54" s="230">
        <f>(INDEX(Models!$BJ54:$BT54,,AH54)*(1-AF54)+INDEX(Models!$BJ54:$BT54,,AH54+1)*AF54-ERP_i)*AE54*Ramure*Pc/MaxiM</f>
        <v>1.392192904228112E-4</v>
      </c>
      <c r="AE54" s="304">
        <f t="shared" si="15"/>
        <v>0.6</v>
      </c>
      <c r="AF54" s="177">
        <f t="shared" si="23"/>
        <v>0.50186038318435111</v>
      </c>
      <c r="AG54" s="799">
        <f t="shared" si="24"/>
        <v>2</v>
      </c>
      <c r="AH54" s="176">
        <f t="shared" si="16"/>
        <v>8</v>
      </c>
      <c r="AI54" s="224">
        <f t="shared" si="17"/>
        <v>2.5018603831843511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46428</v>
      </c>
      <c r="B55" s="409">
        <f>IF(t&gt;Tmaj,'2026'!Wh/'2026'!Env_an*'2027'!Env_an,0.001*'[4]mon-tableau'!$B$230)</f>
        <v>34.324836119624457</v>
      </c>
      <c r="C55" s="829"/>
      <c r="D55" s="391">
        <f t="shared" si="0"/>
        <v>36.308825078165157</v>
      </c>
      <c r="E55" s="383">
        <f t="shared" si="1"/>
        <v>37.782077035812137</v>
      </c>
      <c r="F55" s="383">
        <f t="shared" si="2"/>
        <v>37.782265692649183</v>
      </c>
      <c r="G55" s="110">
        <f t="shared" si="21"/>
        <v>0.92833512776367111</v>
      </c>
      <c r="H55" s="412" t="b">
        <f>Wh_hp&gt;='2026'!Maxi_hp</f>
        <v>1</v>
      </c>
      <c r="I55" s="388">
        <f>IF(H55,Wh_hp,'2026'!Maxi_hp)</f>
        <v>37.782265692649183</v>
      </c>
      <c r="J55" s="85">
        <f>IF(H55,An,'2026'!An_max)</f>
        <v>2027</v>
      </c>
      <c r="K55" s="197">
        <f t="shared" si="3"/>
        <v>46428</v>
      </c>
      <c r="L55" s="147">
        <f>IF(t&lt;Tvie,1-EXP((T0-t)*PertePVj)+'2026'!Pspv,1-EXP((T0-t)*PertePVj)+Pspv)</f>
        <v>5.4642058900820856E-2</v>
      </c>
      <c r="M55" s="832"/>
      <c r="N55" s="832"/>
      <c r="O55" s="48">
        <f>IF(t&lt;Tnet,'2026'!Resal+('2026'!Salim-'2026'!Resal)*(1-EXP(('2026'!Tnet-t)/('2026'!Tau_j))),Resal+(Salim-Resal)*(1-EXP((Tnet-t)/(Tau_j))))*Salcycl</f>
        <v>3.8993408336194468E-2</v>
      </c>
      <c r="P55" s="169">
        <f>(INDEX(Models!$BJ55:$BT55,,T55)*(1-R55)+INDEX(Models!$BJ55:$BT55,,T55+1)*R55-ERP_i)*Q55*Ramure*Pc/MaxiM</f>
        <v>5.5627672057291885E-6</v>
      </c>
      <c r="Q55" s="304">
        <f t="shared" si="4"/>
        <v>0.6</v>
      </c>
      <c r="R55" s="177">
        <f t="shared" si="5"/>
        <v>0.9770162921210348</v>
      </c>
      <c r="S55" s="799">
        <f t="shared" si="6"/>
        <v>-2</v>
      </c>
      <c r="T55" s="176">
        <f t="shared" si="7"/>
        <v>4</v>
      </c>
      <c r="U55" s="250">
        <f t="shared" si="8"/>
        <v>-1.0229837078789652</v>
      </c>
      <c r="V55" s="382">
        <f t="shared" si="9"/>
        <v>36.974596290586369</v>
      </c>
      <c r="W55" s="400">
        <f t="shared" si="10"/>
        <v>34.324836119624457</v>
      </c>
      <c r="X55" s="157">
        <f t="shared" si="11"/>
        <v>46428</v>
      </c>
      <c r="Y55" s="383">
        <f t="shared" si="12"/>
        <v>33.375600464131537</v>
      </c>
      <c r="Z55" s="383">
        <f t="shared" si="22"/>
        <v>35.304723230362164</v>
      </c>
      <c r="AA55" s="384">
        <f t="shared" si="13"/>
        <v>37.777844598475241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6.5464861598083304E-2</v>
      </c>
      <c r="AD55" s="230">
        <f>(INDEX(Models!$BJ55:$BT55,,AH55)*(1-AF55)+INDEX(Models!$BJ55:$BT55,,AH55+1)*AF55-ERP_i)*AE55*Ramure*Pc/MaxiM</f>
        <v>1.303611258884435E-4</v>
      </c>
      <c r="AE55" s="304">
        <f t="shared" si="15"/>
        <v>0.6</v>
      </c>
      <c r="AF55" s="177">
        <f t="shared" si="23"/>
        <v>0.5020038584950135</v>
      </c>
      <c r="AG55" s="799">
        <f t="shared" si="24"/>
        <v>2</v>
      </c>
      <c r="AH55" s="176">
        <f t="shared" si="16"/>
        <v>8</v>
      </c>
      <c r="AI55" s="224">
        <f t="shared" si="17"/>
        <v>2.5020038584950135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46429</v>
      </c>
      <c r="B56" s="409">
        <f>IF(t&gt;Tmaj,'2026'!Wh/'2026'!Env_an*'2027'!Env_an,0.001*'[4]mon-tableau'!$B$231)</f>
        <v>16.96542519590821</v>
      </c>
      <c r="C56" s="829"/>
      <c r="D56" s="391">
        <f t="shared" si="0"/>
        <v>17.94637734879203</v>
      </c>
      <c r="E56" s="383">
        <f t="shared" si="1"/>
        <v>18.676295321090791</v>
      </c>
      <c r="F56" s="383">
        <f t="shared" si="2"/>
        <v>18.67631814264152</v>
      </c>
      <c r="G56" s="110">
        <f t="shared" si="21"/>
        <v>0.45459521563998684</v>
      </c>
      <c r="H56" s="412" t="b">
        <f>Wh_hp&gt;='2026'!Maxi_hp</f>
        <v>0</v>
      </c>
      <c r="I56" s="388">
        <f>IF(H56,Wh_hp,'2026'!Maxi_hp)</f>
        <v>35.249540811228528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5.4660176470091248E-2</v>
      </c>
      <c r="M56" s="832"/>
      <c r="N56" s="832"/>
      <c r="O56" s="48">
        <f>IF(t&lt;Tnet,'2026'!Resal+('2026'!Salim-'2026'!Resal)*(1-EXP(('2026'!Tnet-t)/('2026'!Tau_j))),Resal+(Salim-Resal)*(1-EXP((Tnet-t)/(Tau_j))))*Salcycl</f>
        <v>3.9082588904796309E-2</v>
      </c>
      <c r="P56" s="169">
        <f>(INDEX(Models!$BJ56:$BT56,,T56)*(1-R56)+INDEX(Models!$BJ56:$BT56,,T56+1)*R56-ERP_i)*Q56*Ramure*Pc/MaxiM</f>
        <v>5.5328688187848677E-6</v>
      </c>
      <c r="Q56" s="304">
        <f t="shared" si="4"/>
        <v>0.6</v>
      </c>
      <c r="R56" s="177">
        <f t="shared" si="5"/>
        <v>0.97716569848689594</v>
      </c>
      <c r="S56" s="799">
        <f t="shared" si="6"/>
        <v>-2</v>
      </c>
      <c r="T56" s="176">
        <f t="shared" si="7"/>
        <v>4</v>
      </c>
      <c r="U56" s="250">
        <f t="shared" si="8"/>
        <v>-1.0228343015131041</v>
      </c>
      <c r="V56" s="382">
        <f t="shared" si="9"/>
        <v>37.319688979536615</v>
      </c>
      <c r="W56" s="400">
        <f t="shared" si="10"/>
        <v>16.96542519590821</v>
      </c>
      <c r="X56" s="157">
        <f t="shared" si="11"/>
        <v>46429</v>
      </c>
      <c r="Y56" s="383">
        <f t="shared" si="12"/>
        <v>16.49815893528287</v>
      </c>
      <c r="Z56" s="383">
        <f t="shared" si="22"/>
        <v>17.452093442629522</v>
      </c>
      <c r="AA56" s="384">
        <f t="shared" si="13"/>
        <v>18.675811293274787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6.5524213723766253E-2</v>
      </c>
      <c r="AD56" s="230">
        <f>(INDEX(Models!$BJ56:$BT56,,AH56)*(1-AF56)+INDEX(Models!$BJ56:$BT56,,AH56+1)*AF56-ERP_i)*AE56*Ramure*Pc/MaxiM</f>
        <v>1.2288082831413008E-4</v>
      </c>
      <c r="AE56" s="304">
        <f t="shared" si="15"/>
        <v>0.6</v>
      </c>
      <c r="AF56" s="177">
        <f t="shared" si="23"/>
        <v>0.50215326486087486</v>
      </c>
      <c r="AG56" s="799">
        <f t="shared" si="24"/>
        <v>2</v>
      </c>
      <c r="AH56" s="176">
        <f t="shared" si="16"/>
        <v>8</v>
      </c>
      <c r="AI56" s="224">
        <f t="shared" si="17"/>
        <v>2.5021532648608749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46430</v>
      </c>
      <c r="B57" s="409">
        <f>IF(t&gt;Tmaj,'2026'!Wh/'2026'!Env_an*'2027'!Env_an,0.001*'[4]mon-tableau'!$B$232)</f>
        <v>27.577682775010729</v>
      </c>
      <c r="C57" s="829"/>
      <c r="D57" s="391">
        <f t="shared" si="0"/>
        <v>29.172801799633767</v>
      </c>
      <c r="E57" s="383">
        <f t="shared" si="1"/>
        <v>30.362138145560319</v>
      </c>
      <c r="F57" s="383">
        <f t="shared" si="2"/>
        <v>30.362241377317755</v>
      </c>
      <c r="G57" s="110">
        <f t="shared" si="21"/>
        <v>0.73217602221308198</v>
      </c>
      <c r="H57" s="412" t="b">
        <f>Wh_hp&gt;='2026'!Maxi_hp</f>
        <v>1</v>
      </c>
      <c r="I57" s="388">
        <f>IF(H57,Wh_hp,'2026'!Maxi_hp)</f>
        <v>30.362241377317755</v>
      </c>
      <c r="J57" s="85">
        <f>IF(H57,An,'2026'!An_max)</f>
        <v>2027</v>
      </c>
      <c r="K57" s="197">
        <f t="shared" si="3"/>
        <v>46430</v>
      </c>
      <c r="L57" s="147">
        <f>IF(t&lt;Tvie,1-EXP((T0-t)*PertePVj)+'2026'!Pspv,1-EXP((T0-t)*PertePVj)+Pspv)</f>
        <v>5.4678293692142499E-2</v>
      </c>
      <c r="M57" s="832"/>
      <c r="N57" s="832"/>
      <c r="O57" s="48">
        <f>IF(t&lt;Tnet,'2026'!Resal+('2026'!Salim-'2026'!Resal)*(1-EXP(('2026'!Tnet-t)/('2026'!Tau_j))),Resal+(Salim-Resal)*(1-EXP((Tnet-t)/(Tau_j))))*Salcycl</f>
        <v>3.9171692725482883E-2</v>
      </c>
      <c r="P57" s="169">
        <f>(INDEX(Models!$BJ57:$BT57,,T57)*(1-R57)+INDEX(Models!$BJ57:$BT57,,T57+1)*R57-ERP_i)*Q57*Ramure*Pc/MaxiM</f>
        <v>5.5070030146442822E-6</v>
      </c>
      <c r="Q57" s="304">
        <f t="shared" si="4"/>
        <v>0.6</v>
      </c>
      <c r="R57" s="177">
        <f t="shared" si="5"/>
        <v>0.97732127727341878</v>
      </c>
      <c r="S57" s="799">
        <f t="shared" si="6"/>
        <v>-2</v>
      </c>
      <c r="T57" s="176">
        <f t="shared" si="7"/>
        <v>4</v>
      </c>
      <c r="U57" s="250">
        <f t="shared" si="8"/>
        <v>-1.0226787227265812</v>
      </c>
      <c r="V57" s="382">
        <f t="shared" si="9"/>
        <v>37.665293361178719</v>
      </c>
      <c r="W57" s="400">
        <f t="shared" si="10"/>
        <v>27.577682775010729</v>
      </c>
      <c r="X57" s="157">
        <f t="shared" si="11"/>
        <v>46430</v>
      </c>
      <c r="Y57" s="383">
        <f t="shared" si="12"/>
        <v>26.817768425521994</v>
      </c>
      <c r="Z57" s="383">
        <f t="shared" si="22"/>
        <v>28.368933291782898</v>
      </c>
      <c r="AA57" s="384">
        <f t="shared" si="13"/>
        <v>30.360052962385979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6.5583537455285168E-2</v>
      </c>
      <c r="AD57" s="230">
        <f>(INDEX(Models!$BJ57:$BT57,,AH57)*(1-AF57)+INDEX(Models!$BJ57:$BT57,,AH57+1)*AF57-ERP_i)*AE57*Ramure*Pc/MaxiM</f>
        <v>1.1674321861663092E-4</v>
      </c>
      <c r="AE57" s="304">
        <f t="shared" si="15"/>
        <v>0.6</v>
      </c>
      <c r="AF57" s="177">
        <f t="shared" si="23"/>
        <v>0.50230884364739747</v>
      </c>
      <c r="AG57" s="799">
        <f t="shared" si="24"/>
        <v>2</v>
      </c>
      <c r="AH57" s="176">
        <f t="shared" si="16"/>
        <v>8</v>
      </c>
      <c r="AI57" s="224">
        <f t="shared" si="17"/>
        <v>2.5023088436473975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46431</v>
      </c>
      <c r="B58" s="409">
        <f>IF(t&gt;Tmaj,'2026'!Wh/'2026'!Env_an*'2027'!Env_an,0.001*'[4]mon-tableau'!$B$233)</f>
        <v>34.339896702865474</v>
      </c>
      <c r="C58" s="829"/>
      <c r="D58" s="391">
        <f t="shared" si="0"/>
        <v>36.326844716057956</v>
      </c>
      <c r="E58" s="383">
        <f t="shared" si="1"/>
        <v>37.811345187717876</v>
      </c>
      <c r="F58" s="383">
        <f t="shared" si="2"/>
        <v>37.81152387859261</v>
      </c>
      <c r="G58" s="110">
        <f t="shared" si="21"/>
        <v>0.90342350444331987</v>
      </c>
      <c r="H58" s="412" t="b">
        <f>Wh_hp&gt;='2026'!Maxi_hp</f>
        <v>1</v>
      </c>
      <c r="I58" s="388">
        <f>IF(H58,Wh_hp,'2026'!Maxi_hp)</f>
        <v>37.81152387859261</v>
      </c>
      <c r="J58" s="85">
        <f>IF(H58,An,'2026'!An_max)</f>
        <v>2027</v>
      </c>
      <c r="K58" s="197">
        <f t="shared" si="3"/>
        <v>46431</v>
      </c>
      <c r="L58" s="147">
        <f>IF(t&lt;Tvie,1-EXP((T0-t)*PertePVj)+'2026'!Pspv,1-EXP((T0-t)*PertePVj)+Pspv)</f>
        <v>5.4696410566981379E-2</v>
      </c>
      <c r="M58" s="832"/>
      <c r="N58" s="832"/>
      <c r="O58" s="48">
        <f>IF(t&lt;Tnet,'2026'!Resal+('2026'!Salim-'2026'!Resal)*(1-EXP(('2026'!Tnet-t)/('2026'!Tau_j))),Resal+(Salim-Resal)*(1-EXP((Tnet-t)/(Tau_j))))*Salcycl</f>
        <v>3.9260715647380005E-2</v>
      </c>
      <c r="P58" s="169">
        <f>(INDEX(Models!$BJ58:$BT58,,T58)*(1-R58)+INDEX(Models!$BJ58:$BT58,,T58+1)*R58-ERP_i)*Q58*Ramure*Pc/MaxiM</f>
        <v>5.4821828876537333E-6</v>
      </c>
      <c r="Q58" s="304">
        <f t="shared" si="4"/>
        <v>0.6</v>
      </c>
      <c r="R58" s="177">
        <f t="shared" si="5"/>
        <v>0.97748327934445789</v>
      </c>
      <c r="S58" s="799">
        <f t="shared" si="6"/>
        <v>-2</v>
      </c>
      <c r="T58" s="176">
        <f t="shared" si="7"/>
        <v>4</v>
      </c>
      <c r="U58" s="250">
        <f t="shared" si="8"/>
        <v>-1.0225167206555421</v>
      </c>
      <c r="V58" s="382">
        <f t="shared" si="9"/>
        <v>38.010822787768461</v>
      </c>
      <c r="W58" s="400">
        <f t="shared" si="10"/>
        <v>34.339896702865474</v>
      </c>
      <c r="X58" s="157">
        <f t="shared" si="11"/>
        <v>46431</v>
      </c>
      <c r="Y58" s="383">
        <f t="shared" si="12"/>
        <v>33.393855210326251</v>
      </c>
      <c r="Z58" s="383">
        <f t="shared" si="22"/>
        <v>35.326064116984334</v>
      </c>
      <c r="AA58" s="384">
        <f t="shared" si="13"/>
        <v>37.807880203081659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6.5642825589968895E-2</v>
      </c>
      <c r="AD58" s="230">
        <f>(INDEX(Models!$BJ58:$BT58,,AH58)*(1-AF58)+INDEX(Models!$BJ58:$BT58,,AH58+1)*AF58-ERP_i)*AE58*Ramure*Pc/MaxiM</f>
        <v>1.1178688091457883E-4</v>
      </c>
      <c r="AE58" s="304">
        <f t="shared" si="15"/>
        <v>0.6</v>
      </c>
      <c r="AF58" s="177">
        <f t="shared" si="23"/>
        <v>0.50247084571843681</v>
      </c>
      <c r="AG58" s="799">
        <f t="shared" si="24"/>
        <v>2</v>
      </c>
      <c r="AH58" s="176">
        <f t="shared" si="16"/>
        <v>8</v>
      </c>
      <c r="AI58" s="224">
        <f t="shared" si="17"/>
        <v>2.5024708457184368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46432</v>
      </c>
      <c r="B59" s="409">
        <f>IF(t&gt;Tmaj,'2026'!Wh/'2026'!Env_an*'2027'!Env_an,0.001*'[4]mon-tableau'!$B$234)</f>
        <v>15.112274414674676</v>
      </c>
      <c r="C59" s="829"/>
      <c r="D59" s="391">
        <f t="shared" si="0"/>
        <v>15.986995302304067</v>
      </c>
      <c r="E59" s="383">
        <f t="shared" si="1"/>
        <v>16.641846183928369</v>
      </c>
      <c r="F59" s="383">
        <f t="shared" si="2"/>
        <v>16.641858349906379</v>
      </c>
      <c r="G59" s="110">
        <f t="shared" si="21"/>
        <v>0.39400158543536762</v>
      </c>
      <c r="H59" s="412" t="b">
        <f>Wh_hp&gt;='2026'!Maxi_hp</f>
        <v>0</v>
      </c>
      <c r="I59" s="388">
        <f>IF(H59,Wh_hp,'2026'!Maxi_hp)</f>
        <v>40.693105086860676</v>
      </c>
      <c r="J59" s="85">
        <f>IF(H59,An,'2026'!An_max)</f>
        <v>2021</v>
      </c>
      <c r="K59" s="197">
        <f t="shared" si="3"/>
        <v>46432</v>
      </c>
      <c r="L59" s="147">
        <f>IF(t&lt;Tvie,1-EXP((T0-t)*PertePVj)+'2026'!Pspv,1-EXP((T0-t)*PertePVj)+Pspv)</f>
        <v>5.471452709461444E-2</v>
      </c>
      <c r="M59" s="832"/>
      <c r="N59" s="832"/>
      <c r="O59" s="48">
        <f>IF(t&lt;Tnet,'2026'!Resal+('2026'!Salim-'2026'!Resal)*(1-EXP(('2026'!Tnet-t)/('2026'!Tau_j))),Resal+(Salim-Resal)*(1-EXP((Tnet-t)/(Tau_j))))*Salcycl</f>
        <v>3.9349653541246712E-2</v>
      </c>
      <c r="P59" s="169">
        <f>(INDEX(Models!$BJ59:$BT59,,T59)*(1-R59)+INDEX(Models!$BJ59:$BT59,,T59+1)*R59-ERP_i)*Q59*Ramure*Pc/MaxiM</f>
        <v>5.4437665038072144E-6</v>
      </c>
      <c r="Q59" s="304">
        <f t="shared" si="4"/>
        <v>0.6</v>
      </c>
      <c r="R59" s="177">
        <f t="shared" si="5"/>
        <v>0.97765196540843968</v>
      </c>
      <c r="S59" s="799">
        <f t="shared" si="6"/>
        <v>-2</v>
      </c>
      <c r="T59" s="176">
        <f t="shared" si="7"/>
        <v>4</v>
      </c>
      <c r="U59" s="250">
        <f t="shared" si="8"/>
        <v>-1.0223480345915603</v>
      </c>
      <c r="V59" s="382">
        <f t="shared" si="9"/>
        <v>38.355691330559075</v>
      </c>
      <c r="W59" s="400">
        <f t="shared" si="10"/>
        <v>15.112274414674676</v>
      </c>
      <c r="X59" s="157">
        <f t="shared" si="11"/>
        <v>46432</v>
      </c>
      <c r="Y59" s="383">
        <f t="shared" si="12"/>
        <v>14.697516225708528</v>
      </c>
      <c r="Z59" s="383">
        <f t="shared" si="22"/>
        <v>15.548230293368334</v>
      </c>
      <c r="AA59" s="384">
        <f t="shared" si="13"/>
        <v>16.641619135387089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6.5702071001838364E-2</v>
      </c>
      <c r="AD59" s="230">
        <f>(INDEX(Models!$BJ59:$BT59,,AH59)*(1-AF59)+INDEX(Models!$BJ59:$BT59,,AH59+1)*AF59-ERP_i)*AE59*Ramure*Pc/MaxiM</f>
        <v>1.0703849588416798E-4</v>
      </c>
      <c r="AE59" s="304">
        <f t="shared" si="15"/>
        <v>0.6</v>
      </c>
      <c r="AF59" s="177">
        <f t="shared" si="23"/>
        <v>0.50263953178241838</v>
      </c>
      <c r="AG59" s="799">
        <f t="shared" si="24"/>
        <v>2</v>
      </c>
      <c r="AH59" s="176">
        <f t="shared" si="16"/>
        <v>8</v>
      </c>
      <c r="AI59" s="224">
        <f t="shared" si="17"/>
        <v>2.5026395317824184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46433</v>
      </c>
      <c r="B60" s="409">
        <f>IF(t&gt;Tmaj,'2026'!Wh/'2026'!Env_an*'2027'!Env_an,0.001*'[4]mon-tableau'!$B$235)</f>
        <v>19.212791026485025</v>
      </c>
      <c r="C60" s="829"/>
      <c r="D60" s="391">
        <f t="shared" si="0"/>
        <v>20.325245434319438</v>
      </c>
      <c r="E60" s="383">
        <f t="shared" si="1"/>
        <v>21.159754460591333</v>
      </c>
      <c r="F60" s="383">
        <f t="shared" si="2"/>
        <v>21.15978648336062</v>
      </c>
      <c r="G60" s="110">
        <f t="shared" si="21"/>
        <v>0.49646143904283202</v>
      </c>
      <c r="H60" s="412" t="b">
        <f>Wh_hp&gt;='2026'!Maxi_hp</f>
        <v>0</v>
      </c>
      <c r="I60" s="388">
        <f>IF(H60,Wh_hp,'2026'!Maxi_hp)</f>
        <v>42.120737329566786</v>
      </c>
      <c r="J60" s="85">
        <f>IF(H60,An,'2026'!An_max)</f>
        <v>2020</v>
      </c>
      <c r="K60" s="197">
        <f t="shared" si="3"/>
        <v>46433</v>
      </c>
      <c r="L60" s="147">
        <f>IF(t&lt;Tvie,1-EXP((T0-t)*PertePVj)+'2026'!Pspv,1-EXP((T0-t)*PertePVj)+Pspv)</f>
        <v>5.4732643275048454E-2</v>
      </c>
      <c r="M60" s="832"/>
      <c r="N60" s="832"/>
      <c r="O60" s="48">
        <f>IF(t&lt;Tnet,'2026'!Resal+('2026'!Salim-'2026'!Resal)*(1-EXP(('2026'!Tnet-t)/('2026'!Tau_j))),Resal+(Salim-Resal)*(1-EXP((Tnet-t)/(Tau_j))))*Salcycl</f>
        <v>3.9438502361930243E-2</v>
      </c>
      <c r="P60" s="169">
        <f>(INDEX(Models!$BJ60:$BT60,,T60)*(1-R60)+INDEX(Models!$BJ60:$BT60,,T60+1)*R60-ERP_i)*Q60*Ramure*Pc/MaxiM</f>
        <v>5.3921761065361415E-6</v>
      </c>
      <c r="Q60" s="304">
        <f t="shared" si="4"/>
        <v>0.6</v>
      </c>
      <c r="R60" s="177">
        <f t="shared" si="5"/>
        <v>0.97782760637477018</v>
      </c>
      <c r="S60" s="799">
        <f t="shared" si="6"/>
        <v>-2</v>
      </c>
      <c r="T60" s="176">
        <f t="shared" si="7"/>
        <v>4</v>
      </c>
      <c r="U60" s="250">
        <f t="shared" si="8"/>
        <v>-1.0221723936252298</v>
      </c>
      <c r="V60" s="382">
        <f t="shared" si="9"/>
        <v>38.699312762113379</v>
      </c>
      <c r="W60" s="400">
        <f t="shared" si="10"/>
        <v>19.212791026485025</v>
      </c>
      <c r="X60" s="157">
        <f t="shared" si="11"/>
        <v>46433</v>
      </c>
      <c r="Y60" s="383">
        <f t="shared" si="12"/>
        <v>18.685783707162379</v>
      </c>
      <c r="Z60" s="383">
        <f t="shared" si="22"/>
        <v>19.76772346387019</v>
      </c>
      <c r="AA60" s="384">
        <f t="shared" si="13"/>
        <v>21.15917779922874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6.5761266744933058E-2</v>
      </c>
      <c r="AD60" s="230">
        <f>(INDEX(Models!$BJ60:$BT60,,AH60)*(1-AF60)+INDEX(Models!$BJ60:$BT60,,AH60+1)*AF60-ERP_i)*AE60*Ramure*Pc/MaxiM</f>
        <v>1.0249369762456415E-4</v>
      </c>
      <c r="AE60" s="304">
        <f t="shared" si="15"/>
        <v>0.6</v>
      </c>
      <c r="AF60" s="177">
        <f t="shared" si="23"/>
        <v>0.50281517274874865</v>
      </c>
      <c r="AG60" s="799">
        <f t="shared" si="24"/>
        <v>2</v>
      </c>
      <c r="AH60" s="176">
        <f t="shared" si="16"/>
        <v>8</v>
      </c>
      <c r="AI60" s="224">
        <f t="shared" si="17"/>
        <v>2.5028151727487487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46434</v>
      </c>
      <c r="B61" s="409">
        <f>IF(t&gt;Tmaj,'2026'!Wh/'2026'!Env_an*'2027'!Env_an,0.001*'[4]mon-tableau'!$B$236)</f>
        <v>8.6566542100512631</v>
      </c>
      <c r="C61" s="829"/>
      <c r="D61" s="391">
        <f t="shared" si="0"/>
        <v>9.1580652335514436</v>
      </c>
      <c r="E61" s="383">
        <f t="shared" si="1"/>
        <v>9.534955897345073</v>
      </c>
      <c r="F61" s="383">
        <f t="shared" si="2"/>
        <v>9.534955897345073</v>
      </c>
      <c r="G61" s="110">
        <f t="shared" si="21"/>
        <v>0.22173063365229384</v>
      </c>
      <c r="H61" s="412" t="b">
        <f>Wh_hp&gt;='2026'!Maxi_hp</f>
        <v>0</v>
      </c>
      <c r="I61" s="388">
        <f>IF(H61,Wh_hp,'2026'!Maxi_hp)</f>
        <v>34.417893598161328</v>
      </c>
      <c r="J61" s="85">
        <f>IF(H61,An,'2026'!An_max)</f>
        <v>2021</v>
      </c>
      <c r="K61" s="197">
        <f t="shared" si="3"/>
        <v>46434</v>
      </c>
      <c r="L61" s="147">
        <f>IF(t&lt;Tvie,1-EXP((T0-t)*PertePVj)+'2026'!Pspv,1-EXP((T0-t)*PertePVj)+Pspv)</f>
        <v>5.475075910828997E-2</v>
      </c>
      <c r="M61" s="832"/>
      <c r="N61" s="832"/>
      <c r="O61" s="48">
        <f>IF(t&lt;Tnet,'2026'!Resal+('2026'!Salim-'2026'!Resal)*(1-EXP(('2026'!Tnet-t)/('2026'!Tau_j))),Resal+(Salim-Resal)*(1-EXP((Tnet-t)/(Tau_j))))*Salcycl</f>
        <v>3.9527258211920109E-2</v>
      </c>
      <c r="P61" s="169">
        <f>(INDEX(Models!$BJ61:$BT61,,T61)*(1-R61)+INDEX(Models!$BJ61:$BT61,,T61+1)*R61-ERP_i)*Q61*Ramure*Pc/MaxiM</f>
        <v>5.3278123628428035E-6</v>
      </c>
      <c r="Q61" s="304">
        <f t="shared" si="4"/>
        <v>0.6</v>
      </c>
      <c r="R61" s="177">
        <f t="shared" si="5"/>
        <v>0.9780104837205581</v>
      </c>
      <c r="S61" s="799">
        <f t="shared" si="6"/>
        <v>-2</v>
      </c>
      <c r="T61" s="176">
        <f t="shared" si="7"/>
        <v>4</v>
      </c>
      <c r="U61" s="250">
        <f t="shared" si="8"/>
        <v>-1.0219895162794419</v>
      </c>
      <c r="V61" s="382">
        <f t="shared" si="9"/>
        <v>39.041101116396817</v>
      </c>
      <c r="W61" s="400">
        <f t="shared" si="10"/>
        <v>8.6566542100512631</v>
      </c>
      <c r="X61" s="157">
        <f t="shared" si="11"/>
        <v>46434</v>
      </c>
      <c r="Y61" s="383">
        <f t="shared" si="12"/>
        <v>8.4196764386300007</v>
      </c>
      <c r="Z61" s="383">
        <f t="shared" si="22"/>
        <v>8.9073612274866445</v>
      </c>
      <c r="AA61" s="384">
        <f t="shared" si="13"/>
        <v>9.534955897345073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6.5820406157639025E-2</v>
      </c>
      <c r="AD61" s="230">
        <f>(INDEX(Models!$BJ61:$BT61,,AH61)*(1-AF61)+INDEX(Models!$BJ61:$BT61,,AH61+1)*AF61-ERP_i)*AE61*Ramure*Pc/MaxiM</f>
        <v>9.8148068562829387E-5</v>
      </c>
      <c r="AE61" s="304">
        <f t="shared" si="15"/>
        <v>0.6</v>
      </c>
      <c r="AF61" s="177">
        <f t="shared" si="23"/>
        <v>0.5029980500945368</v>
      </c>
      <c r="AG61" s="799">
        <f t="shared" si="24"/>
        <v>2</v>
      </c>
      <c r="AH61" s="176">
        <f t="shared" si="16"/>
        <v>8</v>
      </c>
      <c r="AI61" s="224">
        <f t="shared" si="17"/>
        <v>2.5029980500945368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46435</v>
      </c>
      <c r="B62" s="409">
        <f>IF(t&gt;Tmaj,'2026'!Wh/'2026'!Env_an*'2027'!Env_an,0.001*'[4]mon-tableau'!$B$237)</f>
        <v>10.91778260314066</v>
      </c>
      <c r="C62" s="829"/>
      <c r="D62" s="391">
        <f t="shared" si="0"/>
        <v>11.550384143830639</v>
      </c>
      <c r="E62" s="383">
        <f t="shared" si="1"/>
        <v>12.026838379729474</v>
      </c>
      <c r="F62" s="383">
        <f t="shared" si="2"/>
        <v>12.026838379729474</v>
      </c>
      <c r="G62" s="110">
        <f t="shared" si="21"/>
        <v>0.27723704371843472</v>
      </c>
      <c r="H62" s="412" t="b">
        <f>Wh_hp&gt;='2026'!Maxi_hp</f>
        <v>0</v>
      </c>
      <c r="I62" s="388">
        <f>IF(H62,Wh_hp,'2026'!Maxi_hp)</f>
        <v>38.835369308971607</v>
      </c>
      <c r="J62" s="85">
        <f>IF(H62,An,'2026'!An_max)</f>
        <v>2021</v>
      </c>
      <c r="K62" s="197">
        <f t="shared" si="3"/>
        <v>46435</v>
      </c>
      <c r="L62" s="147">
        <f>IF(t&lt;Tvie,1-EXP((T0-t)*PertePVj)+'2026'!Pspv,1-EXP((T0-t)*PertePVj)+Pspv)</f>
        <v>5.4768874594345651E-2</v>
      </c>
      <c r="M62" s="832"/>
      <c r="N62" s="832"/>
      <c r="O62" s="48">
        <f>IF(t&lt;Tnet,'2026'!Resal+('2026'!Salim-'2026'!Resal)*(1-EXP(('2026'!Tnet-t)/('2026'!Tau_j))),Resal+(Salim-Resal)*(1-EXP((Tnet-t)/(Tau_j))))*Salcycl</f>
        <v>3.9615917405348158E-2</v>
      </c>
      <c r="P62" s="169">
        <f>(INDEX(Models!$BJ62:$BT62,,T62)*(1-R62)+INDEX(Models!$BJ62:$BT62,,T62+1)*R62-ERP_i)*Q62*Ramure*Pc/MaxiM</f>
        <v>5.2510537214553231E-6</v>
      </c>
      <c r="Q62" s="304">
        <f t="shared" si="4"/>
        <v>0.6</v>
      </c>
      <c r="R62" s="177">
        <f t="shared" si="5"/>
        <v>0.97820088986771458</v>
      </c>
      <c r="S62" s="799">
        <f t="shared" si="6"/>
        <v>-2</v>
      </c>
      <c r="T62" s="176">
        <f t="shared" si="7"/>
        <v>4</v>
      </c>
      <c r="U62" s="250">
        <f t="shared" si="8"/>
        <v>-1.0217991101322854</v>
      </c>
      <c r="V62" s="382">
        <f t="shared" si="9"/>
        <v>39.380470686182427</v>
      </c>
      <c r="W62" s="400">
        <f t="shared" si="10"/>
        <v>10.91778260314066</v>
      </c>
      <c r="X62" s="157">
        <f t="shared" si="11"/>
        <v>46435</v>
      </c>
      <c r="Y62" s="383">
        <f t="shared" si="12"/>
        <v>10.619214661021076</v>
      </c>
      <c r="Z62" s="383">
        <f t="shared" si="22"/>
        <v>11.234516485546056</v>
      </c>
      <c r="AA62" s="384">
        <f t="shared" si="13"/>
        <v>12.026838379729474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6.5879482966930913E-2</v>
      </c>
      <c r="AD62" s="230">
        <f>(INDEX(Models!$BJ62:$BT62,,AH62)*(1-AF62)+INDEX(Models!$BJ62:$BT62,,AH62+1)*AF62-ERP_i)*AE62*Ramure*Pc/MaxiM</f>
        <v>9.3997170853273398E-5</v>
      </c>
      <c r="AE62" s="304">
        <f t="shared" si="15"/>
        <v>0.6</v>
      </c>
      <c r="AF62" s="177">
        <f t="shared" si="23"/>
        <v>0.50318845624169306</v>
      </c>
      <c r="AG62" s="799">
        <f t="shared" si="24"/>
        <v>2</v>
      </c>
      <c r="AH62" s="176">
        <f t="shared" si="16"/>
        <v>8</v>
      </c>
      <c r="AI62" s="224">
        <f t="shared" si="17"/>
        <v>2.5031884562416931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46436</v>
      </c>
      <c r="B63" s="409">
        <f>IF(t&gt;Tmaj,'2026'!Wh/'2026'!Env_an*'2027'!Env_an,0.001*'[4]mon-tableau'!$B$238)</f>
        <v>30.972668864115242</v>
      </c>
      <c r="C63" s="829"/>
      <c r="D63" s="391">
        <f t="shared" si="0"/>
        <v>32.76792482508624</v>
      </c>
      <c r="E63" s="383">
        <f t="shared" si="1"/>
        <v>34.122750782739558</v>
      </c>
      <c r="F63" s="383">
        <f t="shared" si="2"/>
        <v>34.122871531041717</v>
      </c>
      <c r="G63" s="110">
        <f t="shared" si="21"/>
        <v>0.77983600110934759</v>
      </c>
      <c r="H63" s="412" t="b">
        <f>Wh_hp&gt;='2026'!Maxi_hp</f>
        <v>1</v>
      </c>
      <c r="I63" s="388">
        <f>IF(H63,Wh_hp,'2026'!Maxi_hp)</f>
        <v>34.122871531041717</v>
      </c>
      <c r="J63" s="85">
        <f>IF(H63,An,'2026'!An_max)</f>
        <v>2027</v>
      </c>
      <c r="K63" s="197">
        <f t="shared" si="3"/>
        <v>46436</v>
      </c>
      <c r="L63" s="147">
        <f>IF(t&lt;Tvie,1-EXP((T0-t)*PertePVj)+'2026'!Pspv,1-EXP((T0-t)*PertePVj)+Pspv)</f>
        <v>5.4786989733222158E-2</v>
      </c>
      <c r="M63" s="832"/>
      <c r="N63" s="832"/>
      <c r="O63" s="48">
        <f>IF(t&lt;Tnet,'2026'!Resal+('2026'!Salim-'2026'!Resal)*(1-EXP(('2026'!Tnet-t)/('2026'!Tau_j))),Resal+(Salim-Resal)*(1-EXP((Tnet-t)/(Tau_j))))*Salcycl</f>
        <v>3.9704476531787616E-2</v>
      </c>
      <c r="P63" s="169">
        <f>(INDEX(Models!$BJ63:$BT63,,T63)*(1-R63)+INDEX(Models!$BJ63:$BT63,,T63+1)*R63-ERP_i)*Q63*Ramure*Pc/MaxiM</f>
        <v>5.1622558693913796E-6</v>
      </c>
      <c r="Q63" s="304">
        <f t="shared" si="4"/>
        <v>0.6</v>
      </c>
      <c r="R63" s="177">
        <f t="shared" si="5"/>
        <v>0.97839912857046274</v>
      </c>
      <c r="S63" s="799">
        <f t="shared" si="6"/>
        <v>-2</v>
      </c>
      <c r="T63" s="176">
        <f t="shared" si="7"/>
        <v>4</v>
      </c>
      <c r="U63" s="250">
        <f t="shared" si="8"/>
        <v>-1.0216008714295373</v>
      </c>
      <c r="V63" s="382">
        <f t="shared" si="9"/>
        <v>39.716836016711845</v>
      </c>
      <c r="W63" s="400">
        <f t="shared" si="10"/>
        <v>30.972668864115242</v>
      </c>
      <c r="X63" s="157">
        <f t="shared" si="11"/>
        <v>46436</v>
      </c>
      <c r="Y63" s="383">
        <f t="shared" si="12"/>
        <v>30.12478339040339</v>
      </c>
      <c r="Z63" s="383">
        <f t="shared" si="22"/>
        <v>31.870893717280662</v>
      </c>
      <c r="AA63" s="384">
        <f t="shared" si="13"/>
        <v>34.120765520847179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6.5938491391463239E-2</v>
      </c>
      <c r="AD63" s="230">
        <f>(INDEX(Models!$BJ63:$BT63,,AH63)*(1-AF63)+INDEX(Models!$BJ63:$BT63,,AH63+1)*AF63-ERP_i)*AE63*Ramure*Pc/MaxiM</f>
        <v>9.0036574371531378E-5</v>
      </c>
      <c r="AE63" s="304">
        <f t="shared" si="15"/>
        <v>0.6</v>
      </c>
      <c r="AF63" s="177">
        <f t="shared" si="23"/>
        <v>0.50338669494444144</v>
      </c>
      <c r="AG63" s="799">
        <f t="shared" si="24"/>
        <v>2</v>
      </c>
      <c r="AH63" s="176">
        <f t="shared" si="16"/>
        <v>8</v>
      </c>
      <c r="AI63" s="224">
        <f t="shared" si="17"/>
        <v>2.5033866949444414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46437</v>
      </c>
      <c r="B64" s="409">
        <f>IF(t&gt;Tmaj,'2026'!Wh/'2026'!Env_an*'2027'!Env_an,0.001*'[4]mon-tableau'!$B$239)</f>
        <v>18.63924096940821</v>
      </c>
      <c r="C64" s="829"/>
      <c r="D64" s="391">
        <f t="shared" si="0"/>
        <v>19.719997493257466</v>
      </c>
      <c r="E64" s="383">
        <f t="shared" si="1"/>
        <v>20.537234270723747</v>
      </c>
      <c r="F64" s="383">
        <f t="shared" si="2"/>
        <v>20.537258834248124</v>
      </c>
      <c r="G64" s="110">
        <f t="shared" si="21"/>
        <v>0.46540198590900661</v>
      </c>
      <c r="H64" s="412" t="b">
        <f>Wh_hp&gt;='2026'!Maxi_hp</f>
        <v>0</v>
      </c>
      <c r="I64" s="388">
        <f>IF(H64,Wh_hp,'2026'!Maxi_hp)</f>
        <v>41.255245253729655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5.4805104524926151E-2</v>
      </c>
      <c r="M64" s="832"/>
      <c r="N64" s="832"/>
      <c r="O64" s="48">
        <f>IF(t&lt;Tnet,'2026'!Resal+('2026'!Salim-'2026'!Resal)*(1-EXP(('2026'!Tnet-t)/('2026'!Tau_j))),Resal+(Salim-Resal)*(1-EXP((Tnet-t)/(Tau_j))))*Salcycl</f>
        <v>3.9792932519218033E-2</v>
      </c>
      <c r="P64" s="169">
        <f>(INDEX(Models!$BJ64:$BT64,,T64)*(1-R64)+INDEX(Models!$BJ64:$BT64,,T64+1)*R64-ERP_i)*Q64*Ramure*Pc/MaxiM</f>
        <v>5.0617512573103623E-6</v>
      </c>
      <c r="Q64" s="304">
        <f t="shared" si="4"/>
        <v>0.6</v>
      </c>
      <c r="R64" s="177">
        <f t="shared" si="5"/>
        <v>0.97860551531327178</v>
      </c>
      <c r="S64" s="799">
        <f t="shared" si="6"/>
        <v>-2</v>
      </c>
      <c r="T64" s="176">
        <f t="shared" si="7"/>
        <v>4</v>
      </c>
      <c r="U64" s="250">
        <f t="shared" si="8"/>
        <v>-1.0213944846867282</v>
      </c>
      <c r="V64" s="382">
        <f t="shared" si="9"/>
        <v>40.049611905117423</v>
      </c>
      <c r="W64" s="400">
        <f t="shared" si="10"/>
        <v>18.63924096940821</v>
      </c>
      <c r="X64" s="157">
        <f t="shared" si="11"/>
        <v>46437</v>
      </c>
      <c r="Y64" s="383">
        <f t="shared" si="12"/>
        <v>18.13021961759852</v>
      </c>
      <c r="Z64" s="383">
        <f t="shared" si="22"/>
        <v>19.181461627007529</v>
      </c>
      <c r="AA64" s="384">
        <f t="shared" si="13"/>
        <v>20.536840225011296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6.5997426242479396E-2</v>
      </c>
      <c r="AD64" s="230">
        <f>(INDEX(Models!$BJ64:$BT64,,AH64)*(1-AF64)+INDEX(Models!$BJ64:$BT64,,AH64+1)*AF64-ERP_i)*AE64*Ramure*Pc/MaxiM</f>
        <v>8.6261881575747142E-5</v>
      </c>
      <c r="AE64" s="304">
        <f t="shared" si="15"/>
        <v>0.6</v>
      </c>
      <c r="AF64" s="177">
        <f t="shared" si="23"/>
        <v>0.50359308168725025</v>
      </c>
      <c r="AG64" s="799">
        <f t="shared" si="24"/>
        <v>2</v>
      </c>
      <c r="AH64" s="176">
        <f t="shared" si="16"/>
        <v>8</v>
      </c>
      <c r="AI64" s="224">
        <f t="shared" si="17"/>
        <v>2.5035930816872503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46438</v>
      </c>
      <c r="B65" s="409">
        <f>IF(t&gt;Tmaj,'2026'!Wh/'2026'!Env_an*'2027'!Env_an,0.001*'[4]mon-tableau'!$B$240)</f>
        <v>20.264531697302115</v>
      </c>
      <c r="C65" s="829"/>
      <c r="D65" s="391">
        <f t="shared" si="0"/>
        <v>21.439938119520342</v>
      </c>
      <c r="E65" s="383">
        <f t="shared" si="1"/>
        <v>22.330507397786359</v>
      </c>
      <c r="F65" s="383">
        <f t="shared" si="2"/>
        <v>22.330539270090991</v>
      </c>
      <c r="G65" s="110">
        <f t="shared" si="21"/>
        <v>0.50185060744969856</v>
      </c>
      <c r="H65" s="412" t="b">
        <f>Wh_hp&gt;='2026'!Maxi_hp</f>
        <v>0</v>
      </c>
      <c r="I65" s="388">
        <f>IF(H65,Wh_hp,'2026'!Maxi_hp)</f>
        <v>44.665553120035945</v>
      </c>
      <c r="J65" s="85">
        <f>IF(H65,An,'2026'!An_max)</f>
        <v>2020</v>
      </c>
      <c r="K65" s="197">
        <f t="shared" si="3"/>
        <v>46438</v>
      </c>
      <c r="L65" s="147">
        <f>IF(t&lt;Tvie,1-EXP((T0-t)*PertePVj)+'2026'!Pspv,1-EXP((T0-t)*PertePVj)+Pspv)</f>
        <v>5.4823218969464294E-2</v>
      </c>
      <c r="M65" s="832"/>
      <c r="N65" s="832"/>
      <c r="O65" s="48">
        <f>IF(t&lt;Tnet,'2026'!Resal+('2026'!Salim-'2026'!Resal)*(1-EXP(('2026'!Tnet-t)/('2026'!Tau_j))),Resal+(Salim-Resal)*(1-EXP((Tnet-t)/(Tau_j))))*Salcycl</f>
        <v>3.9881282695542419E-2</v>
      </c>
      <c r="P65" s="169">
        <f>(INDEX(Models!$BJ65:$BT65,,T65)*(1-R65)+INDEX(Models!$BJ65:$BT65,,T65+1)*R65-ERP_i)*Q65*Ramure*Pc/MaxiM</f>
        <v>4.9496949311645732E-6</v>
      </c>
      <c r="Q65" s="304">
        <f t="shared" si="4"/>
        <v>0.6</v>
      </c>
      <c r="R65" s="177">
        <f t="shared" si="5"/>
        <v>0.97882037771918196</v>
      </c>
      <c r="S65" s="799">
        <f t="shared" si="6"/>
        <v>-2</v>
      </c>
      <c r="T65" s="176">
        <f t="shared" si="7"/>
        <v>4</v>
      </c>
      <c r="U65" s="250">
        <f t="shared" si="8"/>
        <v>-1.021179622280818</v>
      </c>
      <c r="V65" s="382">
        <f t="shared" si="9"/>
        <v>40.379467547980269</v>
      </c>
      <c r="W65" s="400">
        <f t="shared" si="10"/>
        <v>20.264531697302115</v>
      </c>
      <c r="X65" s="157">
        <f t="shared" si="11"/>
        <v>46438</v>
      </c>
      <c r="Y65" s="383">
        <f t="shared" si="12"/>
        <v>19.711633131822328</v>
      </c>
      <c r="Z65" s="383">
        <f t="shared" si="22"/>
        <v>20.854969702419623</v>
      </c>
      <c r="AA65" s="384">
        <f t="shared" si="13"/>
        <v>22.330006962187046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6.6056283021550574E-2</v>
      </c>
      <c r="AD65" s="230">
        <f>(INDEX(Models!$BJ65:$BT65,,AH65)*(1-AF65)+INDEX(Models!$BJ65:$BT65,,AH65+1)*AF65-ERP_i)*AE65*Ramure*Pc/MaxiM</f>
        <v>8.266618194614684E-5</v>
      </c>
      <c r="AE65" s="304">
        <f t="shared" si="15"/>
        <v>0.6</v>
      </c>
      <c r="AF65" s="177">
        <f t="shared" si="23"/>
        <v>0.50380794409316065</v>
      </c>
      <c r="AG65" s="799">
        <f t="shared" si="24"/>
        <v>2</v>
      </c>
      <c r="AH65" s="176">
        <f t="shared" si="16"/>
        <v>8</v>
      </c>
      <c r="AI65" s="224">
        <f t="shared" si="17"/>
        <v>2.5038079440931607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46439</v>
      </c>
      <c r="B66" s="409">
        <f>IF(t&gt;Tmaj,'2026'!Wh/'2026'!Env_an*'2027'!Env_an,0.001*'[4]mon-tableau'!$B$241)</f>
        <v>21.330827334659148</v>
      </c>
      <c r="C66" s="829"/>
      <c r="D66" s="391">
        <f t="shared" si="0"/>
        <v>22.5685147699838</v>
      </c>
      <c r="E66" s="383">
        <f t="shared" si="1"/>
        <v>23.508123287869783</v>
      </c>
      <c r="F66" s="383">
        <f t="shared" si="2"/>
        <v>23.508159666463104</v>
      </c>
      <c r="G66" s="110">
        <f t="shared" si="21"/>
        <v>0.52400031476214659</v>
      </c>
      <c r="H66" s="412" t="b">
        <f>Wh_hp&gt;='2026'!Maxi_hp</f>
        <v>1</v>
      </c>
      <c r="I66" s="388">
        <f>IF(H66,Wh_hp,'2026'!Maxi_hp)</f>
        <v>23.508159666463104</v>
      </c>
      <c r="J66" s="85">
        <f>IF(H66,An,'2026'!An_max)</f>
        <v>2027</v>
      </c>
      <c r="K66" s="197">
        <f t="shared" si="3"/>
        <v>46439</v>
      </c>
      <c r="L66" s="147">
        <f>IF(t&lt;Tvie,1-EXP((T0-t)*PertePVj)+'2026'!Pspv,1-EXP((T0-t)*PertePVj)+Pspv)</f>
        <v>5.4841333066843245E-2</v>
      </c>
      <c r="M66" s="832"/>
      <c r="N66" s="832"/>
      <c r="O66" s="48">
        <f>IF(t&lt;Tnet,'2026'!Resal+('2026'!Salim-'2026'!Resal)*(1-EXP(('2026'!Tnet-t)/('2026'!Tau_j))),Resal+(Salim-Resal)*(1-EXP((Tnet-t)/(Tau_j))))*Salcycl</f>
        <v>3.9969524848069177E-2</v>
      </c>
      <c r="P66" s="169">
        <f>(INDEX(Models!$BJ66:$BT66,,T66)*(1-R66)+INDEX(Models!$BJ66:$BT66,,T66+1)*R66-ERP_i)*Q66*Ramure*Pc/MaxiM</f>
        <v>4.8358557835885887E-6</v>
      </c>
      <c r="Q66" s="304">
        <f t="shared" si="4"/>
        <v>0.6</v>
      </c>
      <c r="R66" s="177">
        <f t="shared" si="5"/>
        <v>0.97904405596846877</v>
      </c>
      <c r="S66" s="799">
        <f t="shared" si="6"/>
        <v>-2</v>
      </c>
      <c r="T66" s="176">
        <f t="shared" si="7"/>
        <v>4</v>
      </c>
      <c r="U66" s="250">
        <f t="shared" si="8"/>
        <v>-1.0209559440315312</v>
      </c>
      <c r="V66" s="382">
        <f t="shared" si="9"/>
        <v>40.707527438463671</v>
      </c>
      <c r="W66" s="400">
        <f t="shared" si="10"/>
        <v>21.330827334659148</v>
      </c>
      <c r="X66" s="157">
        <f t="shared" si="11"/>
        <v>46439</v>
      </c>
      <c r="Y66" s="383">
        <f t="shared" si="12"/>
        <v>20.749407508938042</v>
      </c>
      <c r="Z66" s="383">
        <f t="shared" si="22"/>
        <v>21.953358980736592</v>
      </c>
      <c r="AA66" s="384">
        <f t="shared" si="13"/>
        <v>23.507562863210438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6.6115058014209929E-2</v>
      </c>
      <c r="AD66" s="230">
        <f>(INDEX(Models!$BJ66:$BT66,,AH66)*(1-AF66)+INDEX(Models!$BJ66:$BT66,,AH66+1)*AF66-ERP_i)*AE66*Ramure*Pc/MaxiM</f>
        <v>7.9333866366449739E-5</v>
      </c>
      <c r="AE66" s="304">
        <f t="shared" si="15"/>
        <v>0.6</v>
      </c>
      <c r="AF66" s="177">
        <f t="shared" si="23"/>
        <v>0.50403162234244725</v>
      </c>
      <c r="AG66" s="799">
        <f t="shared" si="24"/>
        <v>2</v>
      </c>
      <c r="AH66" s="176">
        <f t="shared" si="16"/>
        <v>8</v>
      </c>
      <c r="AI66" s="224">
        <f t="shared" si="17"/>
        <v>2.5040316223424472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46440</v>
      </c>
      <c r="B67" s="409">
        <f>IF(t&gt;Tmaj,'2026'!Wh/'2026'!Env_an*'2027'!Env_an,0.001*'[4]mon-tableau'!$B$242)</f>
        <v>33.711279709506975</v>
      </c>
      <c r="C67" s="829"/>
      <c r="D67" s="391">
        <f t="shared" si="0"/>
        <v>35.668006833457945</v>
      </c>
      <c r="E67" s="383">
        <f t="shared" si="1"/>
        <v>37.15640538618964</v>
      </c>
      <c r="F67" s="383">
        <f t="shared" si="2"/>
        <v>37.156536356386511</v>
      </c>
      <c r="G67" s="110">
        <f t="shared" si="21"/>
        <v>0.82154627243772915</v>
      </c>
      <c r="H67" s="412" t="b">
        <f>Wh_hp&gt;='2026'!Maxi_hp</f>
        <v>0</v>
      </c>
      <c r="I67" s="388">
        <f>IF(H67,Wh_hp,'2026'!Maxi_hp)</f>
        <v>42.383788099046349</v>
      </c>
      <c r="J67" s="85">
        <f>IF(H67,An,'2026'!An_max)</f>
        <v>2020</v>
      </c>
      <c r="K67" s="197">
        <f t="shared" si="3"/>
        <v>46440</v>
      </c>
      <c r="L67" s="147">
        <f>IF(t&lt;Tvie,1-EXP((T0-t)*PertePVj)+'2026'!Pspv,1-EXP((T0-t)*PertePVj)+Pspv)</f>
        <v>5.4859446817069779E-2</v>
      </c>
      <c r="M67" s="832"/>
      <c r="N67" s="832"/>
      <c r="O67" s="48">
        <f>IF(t&lt;Tnet,'2026'!Resal+('2026'!Salim-'2026'!Resal)*(1-EXP(('2026'!Tnet-t)/('2026'!Tau_j))),Resal+(Salim-Resal)*(1-EXP((Tnet-t)/(Tau_j))))*Salcycl</f>
        <v>4.0057657280402802E-2</v>
      </c>
      <c r="P67" s="169">
        <f>(INDEX(Models!$BJ67:$BT67,,T67)*(1-R67)+INDEX(Models!$BJ67:$BT67,,T67+1)*R67-ERP_i)*Q67*Ramure*Pc/MaxiM</f>
        <v>4.7308766663004245E-6</v>
      </c>
      <c r="Q67" s="304">
        <f t="shared" si="4"/>
        <v>0.6</v>
      </c>
      <c r="R67" s="177">
        <f t="shared" si="5"/>
        <v>0.97927690322753791</v>
      </c>
      <c r="S67" s="799">
        <f t="shared" si="6"/>
        <v>-2</v>
      </c>
      <c r="T67" s="176">
        <f t="shared" si="7"/>
        <v>4</v>
      </c>
      <c r="U67" s="250">
        <f t="shared" si="8"/>
        <v>-1.0207230967724621</v>
      </c>
      <c r="V67" s="382">
        <f t="shared" si="9"/>
        <v>41.033889608805808</v>
      </c>
      <c r="W67" s="400">
        <f t="shared" si="10"/>
        <v>33.711279709506975</v>
      </c>
      <c r="X67" s="157">
        <f t="shared" si="11"/>
        <v>46440</v>
      </c>
      <c r="Y67" s="383">
        <f t="shared" si="12"/>
        <v>32.792392045338367</v>
      </c>
      <c r="Z67" s="383">
        <f t="shared" si="22"/>
        <v>34.695783537066639</v>
      </c>
      <c r="AA67" s="384">
        <f t="shared" si="13"/>
        <v>37.154431541011796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6.6173748378608829E-2</v>
      </c>
      <c r="AD67" s="230">
        <f>(INDEX(Models!$BJ67:$BT67,,AH67)*(1-AF67)+INDEX(Models!$BJ67:$BT67,,AH67+1)*AF67-ERP_i)*AE67*Ramure*Pc/MaxiM</f>
        <v>7.6029678364193282E-5</v>
      </c>
      <c r="AE67" s="304">
        <f t="shared" si="15"/>
        <v>0.6</v>
      </c>
      <c r="AF67" s="177">
        <f t="shared" si="23"/>
        <v>0.50426446960151683</v>
      </c>
      <c r="AG67" s="799">
        <f t="shared" si="24"/>
        <v>2</v>
      </c>
      <c r="AH67" s="176">
        <f t="shared" si="16"/>
        <v>8</v>
      </c>
      <c r="AI67" s="224">
        <f t="shared" si="17"/>
        <v>2.5042644696015168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46441</v>
      </c>
      <c r="B68" s="409">
        <f>IF(t&gt;Tmaj,'2026'!Wh/'2026'!Env_an*'2027'!Env_an,0.001*'[4]mon-tableau'!$B$243)</f>
        <v>35.82092261015277</v>
      </c>
      <c r="C68" s="829"/>
      <c r="D68" s="391">
        <f t="shared" si="0"/>
        <v>37.900827556794276</v>
      </c>
      <c r="E68" s="383">
        <f t="shared" si="1"/>
        <v>39.486020661995873</v>
      </c>
      <c r="F68" s="383">
        <f t="shared" si="2"/>
        <v>39.486168657133177</v>
      </c>
      <c r="G68" s="110">
        <f t="shared" si="21"/>
        <v>0.866103915947537</v>
      </c>
      <c r="H68" s="412" t="b">
        <f>Wh_hp&gt;='2026'!Maxi_hp</f>
        <v>0</v>
      </c>
      <c r="I68" s="388">
        <f>IF(H68,Wh_hp,'2026'!Maxi_hp)</f>
        <v>44.04907717434498</v>
      </c>
      <c r="J68" s="85">
        <f>IF(H68,An,'2026'!An_max)</f>
        <v>2020</v>
      </c>
      <c r="K68" s="197">
        <f t="shared" si="3"/>
        <v>46441</v>
      </c>
      <c r="L68" s="147">
        <f>IF(t&lt;Tvie,1-EXP((T0-t)*PertePVj)+'2026'!Pspv,1-EXP((T0-t)*PertePVj)+Pspv)</f>
        <v>5.4877560220150223E-2</v>
      </c>
      <c r="M68" s="832"/>
      <c r="N68" s="832"/>
      <c r="O68" s="48">
        <f>IF(t&lt;Tnet,'2026'!Resal+('2026'!Salim-'2026'!Resal)*(1-EXP(('2026'!Tnet-t)/('2026'!Tau_j))),Resal+(Salim-Resal)*(1-EXP((Tnet-t)/(Tau_j))))*Salcycl</f>
        <v>4.0145678866224659E-2</v>
      </c>
      <c r="P68" s="169">
        <f>(INDEX(Models!$BJ68:$BT68,,T68)*(1-R68)+INDEX(Models!$BJ68:$BT68,,T68+1)*R68-ERP_i)*Q68*Ramure*Pc/MaxiM</f>
        <v>4.6345091260980133E-6</v>
      </c>
      <c r="Q68" s="304">
        <f t="shared" si="4"/>
        <v>0.6</v>
      </c>
      <c r="R68" s="177">
        <f t="shared" si="5"/>
        <v>0.97951928608791583</v>
      </c>
      <c r="S68" s="799">
        <f t="shared" si="6"/>
        <v>-2</v>
      </c>
      <c r="T68" s="176">
        <f t="shared" si="7"/>
        <v>4</v>
      </c>
      <c r="U68" s="250">
        <f t="shared" si="8"/>
        <v>-1.0204807139120842</v>
      </c>
      <c r="V68" s="382">
        <f t="shared" si="9"/>
        <v>41.358652461646678</v>
      </c>
      <c r="W68" s="400">
        <f t="shared" si="10"/>
        <v>35.82092261015277</v>
      </c>
      <c r="X68" s="157">
        <f t="shared" si="11"/>
        <v>46441</v>
      </c>
      <c r="Y68" s="383">
        <f t="shared" si="12"/>
        <v>34.845471129162057</v>
      </c>
      <c r="Z68" s="383">
        <f t="shared" si="22"/>
        <v>36.868737491069112</v>
      </c>
      <c r="AA68" s="384">
        <f t="shared" si="13"/>
        <v>39.483845450262258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6.6232352228391661E-2</v>
      </c>
      <c r="AD68" s="230">
        <f>(INDEX(Models!$BJ68:$BT68,,AH68)*(1-AF68)+INDEX(Models!$BJ68:$BT68,,AH68+1)*AF68-ERP_i)*AE68*Ramure*Pc/MaxiM</f>
        <v>7.275187307695006E-5</v>
      </c>
      <c r="AE68" s="304">
        <f t="shared" si="15"/>
        <v>0.6</v>
      </c>
      <c r="AF68" s="177">
        <f t="shared" si="23"/>
        <v>0.50450685246189453</v>
      </c>
      <c r="AG68" s="799">
        <f t="shared" si="24"/>
        <v>2</v>
      </c>
      <c r="AH68" s="176">
        <f t="shared" si="16"/>
        <v>8</v>
      </c>
      <c r="AI68" s="224">
        <f t="shared" si="17"/>
        <v>2.5045068524618945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46442</v>
      </c>
      <c r="B69" s="409">
        <f>IF(t&gt;Tmaj,'2026'!Wh/'2026'!Env_an*'2027'!Env_an,0.001*'[4]mon-tableau'!$B$244)</f>
        <v>24.691234085574006</v>
      </c>
      <c r="C69" s="829"/>
      <c r="D69" s="391">
        <f t="shared" si="0"/>
        <v>26.125405828119767</v>
      </c>
      <c r="E69" s="383">
        <f t="shared" si="1"/>
        <v>27.220587771567509</v>
      </c>
      <c r="F69" s="383">
        <f t="shared" si="2"/>
        <v>27.220639462988</v>
      </c>
      <c r="G69" s="110">
        <f t="shared" si="21"/>
        <v>0.59237127450266691</v>
      </c>
      <c r="H69" s="412" t="b">
        <f>Wh_hp&gt;='2026'!Maxi_hp</f>
        <v>0</v>
      </c>
      <c r="I69" s="388">
        <f>IF(H69,Wh_hp,'2026'!Maxi_hp)</f>
        <v>42.202501894458955</v>
      </c>
      <c r="J69" s="85">
        <f>IF(H69,An,'2026'!An_max)</f>
        <v>2021</v>
      </c>
      <c r="K69" s="197">
        <f t="shared" si="3"/>
        <v>46442</v>
      </c>
      <c r="L69" s="147">
        <f>IF(t&lt;Tvie,1-EXP((T0-t)*PertePVj)+'2026'!Pspv,1-EXP((T0-t)*PertePVj)+Pspv)</f>
        <v>5.4895673276091572E-2</v>
      </c>
      <c r="M69" s="832"/>
      <c r="N69" s="832"/>
      <c r="O69" s="48">
        <f>IF(t&lt;Tnet,'2026'!Resal+('2026'!Salim-'2026'!Resal)*(1-EXP(('2026'!Tnet-t)/('2026'!Tau_j))),Resal+(Salim-Resal)*(1-EXP((Tnet-t)/(Tau_j))))*Salcycl</f>
        <v>4.0233589099486045E-2</v>
      </c>
      <c r="P69" s="169">
        <f>(INDEX(Models!$BJ69:$BT69,,T69)*(1-R69)+INDEX(Models!$BJ69:$BT69,,T69+1)*R69-ERP_i)*Q69*Ramure*Pc/MaxiM</f>
        <v>4.5465414300552614E-6</v>
      </c>
      <c r="Q69" s="304">
        <f t="shared" si="4"/>
        <v>0.6</v>
      </c>
      <c r="R69" s="177">
        <f t="shared" si="5"/>
        <v>0.97977158501513406</v>
      </c>
      <c r="S69" s="799">
        <f t="shared" si="6"/>
        <v>-2</v>
      </c>
      <c r="T69" s="176">
        <f t="shared" si="7"/>
        <v>4</v>
      </c>
      <c r="U69" s="250">
        <f t="shared" si="8"/>
        <v>-1.0202284149848659</v>
      </c>
      <c r="V69" s="382">
        <f t="shared" si="9"/>
        <v>41.681914327452731</v>
      </c>
      <c r="W69" s="400">
        <f t="shared" si="10"/>
        <v>24.691234085574006</v>
      </c>
      <c r="X69" s="157">
        <f t="shared" si="11"/>
        <v>46442</v>
      </c>
      <c r="Y69" s="383">
        <f t="shared" si="12"/>
        <v>24.020225149118463</v>
      </c>
      <c r="Z69" s="383">
        <f t="shared" si="22"/>
        <v>25.415421842773391</v>
      </c>
      <c r="AA69" s="384">
        <f t="shared" si="13"/>
        <v>27.219849298929155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6.629086870906202E-2</v>
      </c>
      <c r="AD69" s="230">
        <f>(INDEX(Models!$BJ69:$BT69,,AH69)*(1-AF69)+INDEX(Models!$BJ69:$BT69,,AH69+1)*AF69-ERP_i)*AE69*Ramure*Pc/MaxiM</f>
        <v>6.9499224356813258E-5</v>
      </c>
      <c r="AE69" s="304">
        <f t="shared" si="15"/>
        <v>0.6</v>
      </c>
      <c r="AF69" s="177">
        <f t="shared" si="23"/>
        <v>0.50475915138911276</v>
      </c>
      <c r="AG69" s="799">
        <f t="shared" si="24"/>
        <v>2</v>
      </c>
      <c r="AH69" s="176">
        <f t="shared" si="16"/>
        <v>8</v>
      </c>
      <c r="AI69" s="224">
        <f t="shared" si="17"/>
        <v>2.5047591513891128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46443</v>
      </c>
      <c r="B70" s="409">
        <f>IF(t&gt;Tmaj,'2026'!Wh/'2026'!Env_an*'2027'!Env_an,0.001*'[4]mon-tableau'!$B$245)</f>
        <v>29.253615647232081</v>
      </c>
      <c r="C70" s="829"/>
      <c r="D70" s="391">
        <f t="shared" si="0"/>
        <v>30.953383102427409</v>
      </c>
      <c r="E70" s="383">
        <f t="shared" si="1"/>
        <v>32.253905338636159</v>
      </c>
      <c r="F70" s="383">
        <f t="shared" si="2"/>
        <v>32.253986934845386</v>
      </c>
      <c r="G70" s="110">
        <f t="shared" si="21"/>
        <v>0.69645073693526693</v>
      </c>
      <c r="H70" s="412" t="b">
        <f>Wh_hp&gt;='2026'!Maxi_hp</f>
        <v>0</v>
      </c>
      <c r="I70" s="388">
        <f>IF(H70,Wh_hp,'2026'!Maxi_hp)</f>
        <v>38.963373237809762</v>
      </c>
      <c r="J70" s="85">
        <f>IF(H70,An,'2026'!An_max)</f>
        <v>2021</v>
      </c>
      <c r="K70" s="197">
        <f t="shared" si="3"/>
        <v>46443</v>
      </c>
      <c r="L70" s="147">
        <f>IF(t&lt;Tvie,1-EXP((T0-t)*PertePVj)+'2026'!Pspv,1-EXP((T0-t)*PertePVj)+Pspv)</f>
        <v>5.4913785984900265E-2</v>
      </c>
      <c r="M70" s="832"/>
      <c r="N70" s="832"/>
      <c r="O70" s="48">
        <f>IF(t&lt;Tnet,'2026'!Resal+('2026'!Salim-'2026'!Resal)*(1-EXP(('2026'!Tnet-t)/('2026'!Tau_j))),Resal+(Salim-Resal)*(1-EXP((Tnet-t)/(Tau_j))))*Salcycl</f>
        <v>4.0321388140582365E-2</v>
      </c>
      <c r="P70" s="169">
        <f>(INDEX(Models!$BJ70:$BT70,,T70)*(1-R70)+INDEX(Models!$BJ70:$BT70,,T70+1)*R70-ERP_i)*Q70*Ramure*Pc/MaxiM</f>
        <v>4.4667732842080993E-6</v>
      </c>
      <c r="Q70" s="304">
        <f t="shared" si="4"/>
        <v>0.6</v>
      </c>
      <c r="R70" s="177">
        <f t="shared" si="5"/>
        <v>0.98003419480727016</v>
      </c>
      <c r="S70" s="799">
        <f t="shared" si="6"/>
        <v>-2</v>
      </c>
      <c r="T70" s="176">
        <f t="shared" si="7"/>
        <v>4</v>
      </c>
      <c r="U70" s="250">
        <f t="shared" si="8"/>
        <v>-1.0199658051927298</v>
      </c>
      <c r="V70" s="382">
        <f t="shared" si="9"/>
        <v>42.003773464887679</v>
      </c>
      <c r="W70" s="400">
        <f t="shared" si="10"/>
        <v>29.253615647232081</v>
      </c>
      <c r="X70" s="157">
        <f t="shared" si="11"/>
        <v>46443</v>
      </c>
      <c r="Y70" s="383">
        <f t="shared" si="12"/>
        <v>28.459217921491227</v>
      </c>
      <c r="Z70" s="383">
        <f t="shared" si="22"/>
        <v>30.112827273805234</v>
      </c>
      <c r="AA70" s="384">
        <f t="shared" si="13"/>
        <v>32.252776345015235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6.6349298067195278E-2</v>
      </c>
      <c r="AD70" s="230">
        <f>(INDEX(Models!$BJ70:$BT70,,AH70)*(1-AF70)+INDEX(Models!$BJ70:$BT70,,AH70+1)*AF70-ERP_i)*AE70*Ramure*Pc/MaxiM</f>
        <v>6.6270606965854504E-5</v>
      </c>
      <c r="AE70" s="304">
        <f t="shared" si="15"/>
        <v>0.6</v>
      </c>
      <c r="AF70" s="177">
        <f t="shared" si="23"/>
        <v>0.50502176118124886</v>
      </c>
      <c r="AG70" s="799">
        <f t="shared" si="24"/>
        <v>2</v>
      </c>
      <c r="AH70" s="176">
        <f t="shared" si="16"/>
        <v>8</v>
      </c>
      <c r="AI70" s="224">
        <f t="shared" si="17"/>
        <v>2.5050217611812489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46444</v>
      </c>
      <c r="B71" s="409">
        <f>IF(t&gt;Tmaj,'2026'!Wh/'2026'!Env_an*'2027'!Env_an,0.001*'[4]mon-tableau'!$B$246)</f>
        <v>43.993947331549933</v>
      </c>
      <c r="C71" s="829"/>
      <c r="D71" s="391">
        <f t="shared" si="0"/>
        <v>46.551086905358012</v>
      </c>
      <c r="E71" s="383">
        <f t="shared" si="1"/>
        <v>48.511387282553017</v>
      </c>
      <c r="F71" s="383">
        <f t="shared" si="2"/>
        <v>48.511600491772327</v>
      </c>
      <c r="G71" s="110">
        <f t="shared" si="21"/>
        <v>1.0394482169514445</v>
      </c>
      <c r="H71" s="412" t="b">
        <f>Wh_hp&gt;='2026'!Maxi_hp</f>
        <v>1</v>
      </c>
      <c r="I71" s="388">
        <f>IF(H71,Wh_hp,'2026'!Maxi_hp)</f>
        <v>48.511600491772327</v>
      </c>
      <c r="J71" s="85">
        <f>IF(H71,An,'2026'!An_max)</f>
        <v>2027</v>
      </c>
      <c r="K71" s="197">
        <f t="shared" si="3"/>
        <v>46444</v>
      </c>
      <c r="L71" s="147">
        <f>IF(t&lt;Tvie,1-EXP((T0-t)*PertePVj)+'2026'!Pspv,1-EXP((T0-t)*PertePVj)+Pspv)</f>
        <v>5.4931898346583075E-2</v>
      </c>
      <c r="M71" s="832"/>
      <c r="N71" s="832"/>
      <c r="O71" s="48">
        <f>IF(t&lt;Tnet,'2026'!Resal+('2026'!Salim-'2026'!Resal)*(1-EXP(('2026'!Tnet-t)/('2026'!Tau_j))),Resal+(Salim-Resal)*(1-EXP((Tnet-t)/(Tau_j))))*Salcycl</f>
        <v>4.0409076858125989E-2</v>
      </c>
      <c r="P71" s="169">
        <f>(INDEX(Models!$BJ71:$BT71,,T71)*(1-R71)+INDEX(Models!$BJ71:$BT71,,T71+1)*R71-ERP_i)*Q71*Ramure*Pc/MaxiM</f>
        <v>4.3950151540696913E-6</v>
      </c>
      <c r="Q71" s="304">
        <f t="shared" si="4"/>
        <v>0.6</v>
      </c>
      <c r="R71" s="177">
        <f t="shared" si="5"/>
        <v>0.98030752506283547</v>
      </c>
      <c r="S71" s="799">
        <f t="shared" si="6"/>
        <v>-2</v>
      </c>
      <c r="T71" s="176">
        <f t="shared" si="7"/>
        <v>4</v>
      </c>
      <c r="U71" s="250">
        <f t="shared" si="8"/>
        <v>-1.0196924749371645</v>
      </c>
      <c r="V71" s="382">
        <f t="shared" si="9"/>
        <v>42.324328056069973</v>
      </c>
      <c r="W71" s="400">
        <f t="shared" si="10"/>
        <v>43.993947331549933</v>
      </c>
      <c r="X71" s="157">
        <f t="shared" si="11"/>
        <v>46444</v>
      </c>
      <c r="Y71" s="383">
        <f t="shared" si="12"/>
        <v>42.799491242817673</v>
      </c>
      <c r="Z71" s="383">
        <f t="shared" si="22"/>
        <v>45.287203290365049</v>
      </c>
      <c r="AA71" s="384">
        <f t="shared" si="13"/>
        <v>48.508541108250647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6.6407641711939469E-2</v>
      </c>
      <c r="AD71" s="230">
        <f>(INDEX(Models!$BJ71:$BT71,,AH71)*(1-AF71)+INDEX(Models!$BJ71:$BT71,,AH71+1)*AF71-ERP_i)*AE71*Ramure*Pc/MaxiM</f>
        <v>6.3064988387560427E-5</v>
      </c>
      <c r="AE71" s="304">
        <f t="shared" si="15"/>
        <v>0.6</v>
      </c>
      <c r="AF71" s="177">
        <f t="shared" si="23"/>
        <v>0.50529509143681395</v>
      </c>
      <c r="AG71" s="799">
        <f t="shared" si="24"/>
        <v>2</v>
      </c>
      <c r="AH71" s="176">
        <f t="shared" si="16"/>
        <v>8</v>
      </c>
      <c r="AI71" s="224">
        <f t="shared" si="17"/>
        <v>2.5052950914368139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46445</v>
      </c>
      <c r="B72" s="409">
        <f>IF(t&gt;Tmaj,'2026'!Wh/'2026'!Env_an*'2027'!Env_an,0.001*'[4]mon-tableau'!$B$247)</f>
        <v>25.914458126527148</v>
      </c>
      <c r="C72" s="829"/>
      <c r="D72" s="391">
        <f t="shared" si="0"/>
        <v>27.421256452719756</v>
      </c>
      <c r="E72" s="383">
        <f t="shared" si="1"/>
        <v>28.578593966284789</v>
      </c>
      <c r="F72" s="383">
        <f t="shared" si="2"/>
        <v>28.57864827917939</v>
      </c>
      <c r="G72" s="110">
        <f t="shared" si="21"/>
        <v>0.60769608636058203</v>
      </c>
      <c r="H72" s="412" t="b">
        <f>Wh_hp&gt;='2026'!Maxi_hp</f>
        <v>0</v>
      </c>
      <c r="I72" s="388">
        <f>IF(H72,Wh_hp,'2026'!Maxi_hp)</f>
        <v>44.999579692306305</v>
      </c>
      <c r="J72" s="85">
        <f>IF(H72,An,'2026'!An_max)</f>
        <v>2021</v>
      </c>
      <c r="K72" s="197">
        <f t="shared" si="3"/>
        <v>46445</v>
      </c>
      <c r="L72" s="147">
        <f>IF(t&lt;Tvie,1-EXP((T0-t)*PertePVj)+'2026'!Pspv,1-EXP((T0-t)*PertePVj)+Pspv)</f>
        <v>5.4950010361146551E-2</v>
      </c>
      <c r="M72" s="832"/>
      <c r="N72" s="832"/>
      <c r="O72" s="48">
        <f>IF(t&lt;Tnet,'2026'!Resal+('2026'!Salim-'2026'!Resal)*(1-EXP(('2026'!Tnet-t)/('2026'!Tau_j))),Resal+(Salim-Resal)*(1-EXP((Tnet-t)/(Tau_j))))*Salcycl</f>
        <v>4.04966568659881E-2</v>
      </c>
      <c r="P72" s="169">
        <f>(INDEX(Models!$BJ72:$BT72,,T72)*(1-R72)+INDEX(Models!$BJ72:$BT72,,T72+1)*R72-ERP_i)*Q72*Ramure*Pc/MaxiM</f>
        <v>4.3234979244972268E-6</v>
      </c>
      <c r="Q72" s="304">
        <f t="shared" si="4"/>
        <v>0.6</v>
      </c>
      <c r="R72" s="177">
        <f t="shared" si="5"/>
        <v>0.98059200065764562</v>
      </c>
      <c r="S72" s="799">
        <f t="shared" si="6"/>
        <v>-2</v>
      </c>
      <c r="T72" s="176">
        <f t="shared" si="7"/>
        <v>4</v>
      </c>
      <c r="U72" s="250">
        <f t="shared" si="8"/>
        <v>-1.0194079993423544</v>
      </c>
      <c r="V72" s="382">
        <f t="shared" si="9"/>
        <v>42.643676529461153</v>
      </c>
      <c r="W72" s="400">
        <f t="shared" si="10"/>
        <v>25.914458126527148</v>
      </c>
      <c r="X72" s="157">
        <f t="shared" si="11"/>
        <v>46445</v>
      </c>
      <c r="Y72" s="383">
        <f t="shared" si="12"/>
        <v>25.212458935962481</v>
      </c>
      <c r="Z72" s="383">
        <f t="shared" si="22"/>
        <v>26.67843946074991</v>
      </c>
      <c r="AA72" s="384">
        <f t="shared" si="13"/>
        <v>28.577895039478719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6.6465902268337804E-2</v>
      </c>
      <c r="AD72" s="230">
        <f>(INDEX(Models!$BJ72:$BT72,,AH72)*(1-AF72)+INDEX(Models!$BJ72:$BT72,,AH72+1)*AF72-ERP_i)*AE72*Ramure*Pc/MaxiM</f>
        <v>5.9960536194772687E-5</v>
      </c>
      <c r="AE72" s="304">
        <f t="shared" si="15"/>
        <v>0.6</v>
      </c>
      <c r="AF72" s="177">
        <f t="shared" si="23"/>
        <v>0.50557956703162432</v>
      </c>
      <c r="AG72" s="799">
        <f t="shared" si="24"/>
        <v>2</v>
      </c>
      <c r="AH72" s="176">
        <f t="shared" si="16"/>
        <v>8</v>
      </c>
      <c r="AI72" s="224">
        <f t="shared" si="17"/>
        <v>2.5055795670316243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46446</v>
      </c>
      <c r="B73" s="409">
        <f>IF(t&gt;Tmaj,'2026'!Wh/'2026'!Env_an*'2027'!Env_an,0.001*'[4]mon-tableau'!$B$248)</f>
        <v>37.049676850971572</v>
      </c>
      <c r="C73" s="829"/>
      <c r="D73" s="391">
        <f t="shared" si="0"/>
        <v>39.204684746193003</v>
      </c>
      <c r="E73" s="383">
        <f t="shared" si="1"/>
        <v>40.863077206431512</v>
      </c>
      <c r="F73" s="383">
        <f t="shared" si="2"/>
        <v>40.863216892173391</v>
      </c>
      <c r="G73" s="110">
        <f t="shared" si="21"/>
        <v>0.86238344619372698</v>
      </c>
      <c r="H73" s="412" t="b">
        <f>Wh_hp&gt;='2026'!Maxi_hp</f>
        <v>1</v>
      </c>
      <c r="I73" s="388">
        <f>IF(H73,Wh_hp,'2026'!Maxi_hp)</f>
        <v>40.863216892173391</v>
      </c>
      <c r="J73" s="85">
        <f>IF(H73,An,'2026'!An_max)</f>
        <v>2027</v>
      </c>
      <c r="K73" s="197">
        <f t="shared" si="3"/>
        <v>46446</v>
      </c>
      <c r="L73" s="147">
        <f>IF(t&lt;Tvie,1-EXP((T0-t)*PertePVj)+'2026'!Pspv,1-EXP((T0-t)*PertePVj)+Pspv)</f>
        <v>5.4968122028597466E-2</v>
      </c>
      <c r="M73" s="832"/>
      <c r="N73" s="832"/>
      <c r="O73" s="48">
        <f>IF(t&lt;Tnet,'2026'!Resal+('2026'!Salim-'2026'!Resal)*(1-EXP(('2026'!Tnet-t)/('2026'!Tau_j))),Resal+(Salim-Resal)*(1-EXP((Tnet-t)/(Tau_j))))*Salcycl</f>
        <v>4.0584130555334004E-2</v>
      </c>
      <c r="P73" s="169">
        <f>(INDEX(Models!$BJ73:$BT73,,T73)*(1-R73)+INDEX(Models!$BJ73:$BT73,,T73+1)*R73-ERP_i)*Q73*Ramure*Pc/MaxiM</f>
        <v>4.2548522144825871E-6</v>
      </c>
      <c r="Q73" s="304">
        <f t="shared" si="4"/>
        <v>0.6</v>
      </c>
      <c r="R73" s="177">
        <f t="shared" si="5"/>
        <v>0.98088806223023317</v>
      </c>
      <c r="S73" s="799">
        <f t="shared" si="6"/>
        <v>-2</v>
      </c>
      <c r="T73" s="176">
        <f t="shared" si="7"/>
        <v>4</v>
      </c>
      <c r="U73" s="250">
        <f t="shared" si="8"/>
        <v>-1.0191119377697668</v>
      </c>
      <c r="V73" s="382">
        <f t="shared" si="9"/>
        <v>42.961916793658432</v>
      </c>
      <c r="W73" s="400">
        <f t="shared" si="10"/>
        <v>37.049676850971572</v>
      </c>
      <c r="X73" s="157">
        <f t="shared" si="11"/>
        <v>46446</v>
      </c>
      <c r="Y73" s="383">
        <f t="shared" si="12"/>
        <v>36.046426481590927</v>
      </c>
      <c r="Z73" s="383">
        <f t="shared" si="22"/>
        <v>38.143079955109961</v>
      </c>
      <c r="AA73" s="384">
        <f t="shared" si="13"/>
        <v>40.861343378963404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6.6524083622098565E-2</v>
      </c>
      <c r="AD73" s="230">
        <f>(INDEX(Models!$BJ73:$BT73,,AH73)*(1-AF73)+INDEX(Models!$BJ73:$BT73,,AH73+1)*AF73-ERP_i)*AE73*Ramure*Pc/MaxiM</f>
        <v>5.7067541204789379E-5</v>
      </c>
      <c r="AE73" s="304">
        <f t="shared" si="15"/>
        <v>0.6</v>
      </c>
      <c r="AF73" s="177">
        <f t="shared" si="23"/>
        <v>0.50587562860421187</v>
      </c>
      <c r="AG73" s="799">
        <f t="shared" si="24"/>
        <v>2</v>
      </c>
      <c r="AH73" s="176">
        <f t="shared" si="16"/>
        <v>8</v>
      </c>
      <c r="AI73" s="224">
        <f t="shared" si="17"/>
        <v>2.5058756286042119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46447</v>
      </c>
      <c r="B74" s="409">
        <f>IF(t&gt;Tmaj,'2026'!Wh/'2026'!Env_an*'2027'!Env_an,0.001*'[5]mon-tableau'!$B$242)</f>
        <v>41.974747885742332</v>
      </c>
      <c r="C74" s="829"/>
      <c r="D74" s="391">
        <f t="shared" si="0"/>
        <v>44.417075567578827</v>
      </c>
      <c r="E74" s="383">
        <f t="shared" si="1"/>
        <v>46.300173110150865</v>
      </c>
      <c r="F74" s="383">
        <f t="shared" si="2"/>
        <v>46.300358711994825</v>
      </c>
      <c r="G74" s="110">
        <f t="shared" si="21"/>
        <v>0.96986062408056828</v>
      </c>
      <c r="H74" s="412" t="b">
        <f>Wh_hp&gt;='2026'!Maxi_hp</f>
        <v>1</v>
      </c>
      <c r="I74" s="388">
        <f>IF(H74,Wh_hp,'2026'!Maxi_hp)</f>
        <v>46.300358711994825</v>
      </c>
      <c r="J74" s="85">
        <f>IF(H74,An,'2026'!An_max)</f>
        <v>2027</v>
      </c>
      <c r="K74" s="197">
        <f t="shared" si="3"/>
        <v>46447</v>
      </c>
      <c r="L74" s="147">
        <f>IF(t&lt;Tvie,1-EXP((T0-t)*PertePVj)+'2026'!Pspv,1-EXP((T0-t)*PertePVj)+Pspv)</f>
        <v>5.498623334894237E-2</v>
      </c>
      <c r="M74" s="832"/>
      <c r="N74" s="832"/>
      <c r="O74" s="48">
        <f>IF(t&lt;Tnet,'2026'!Resal+('2026'!Salim-'2026'!Resal)*(1-EXP(('2026'!Tnet-t)/('2026'!Tau_j))),Resal+(Salim-Resal)*(1-EXP((Tnet-t)/(Tau_j))))*Salcycl</f>
        <v>4.067150112143296E-2</v>
      </c>
      <c r="P74" s="169">
        <f>(INDEX(Models!$BJ74:$BT74,,T74)*(1-R74)+INDEX(Models!$BJ74:$BT74,,T74+1)*R74-ERP_i)*Q74*Ramure*Pc/MaxiM</f>
        <v>4.1890101028089949E-6</v>
      </c>
      <c r="Q74" s="304">
        <f t="shared" si="4"/>
        <v>0.6</v>
      </c>
      <c r="R74" s="177">
        <f t="shared" si="5"/>
        <v>0.98119616667529197</v>
      </c>
      <c r="S74" s="799">
        <f t="shared" si="6"/>
        <v>-2</v>
      </c>
      <c r="T74" s="176">
        <f t="shared" si="7"/>
        <v>4</v>
      </c>
      <c r="U74" s="250">
        <f t="shared" si="8"/>
        <v>-1.018803833324708</v>
      </c>
      <c r="V74" s="382">
        <f t="shared" si="9"/>
        <v>43.279146789626274</v>
      </c>
      <c r="W74" s="400">
        <f t="shared" si="10"/>
        <v>41.974747885742332</v>
      </c>
      <c r="X74" s="157">
        <f t="shared" si="11"/>
        <v>46447</v>
      </c>
      <c r="Y74" s="383">
        <f t="shared" si="12"/>
        <v>40.839082115349214</v>
      </c>
      <c r="Z74" s="383">
        <f t="shared" si="22"/>
        <v>43.215330354471831</v>
      </c>
      <c r="AA74" s="384">
        <f t="shared" si="13"/>
        <v>46.297949252447943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6.6582190955533971E-2</v>
      </c>
      <c r="AD74" s="230">
        <f>(INDEX(Models!$BJ74:$BT74,,AH74)*(1-AF74)+INDEX(Models!$BJ74:$BT74,,AH74+1)*AF74-ERP_i)*AE74*Ramure*Pc/MaxiM</f>
        <v>5.4381196700801243E-5</v>
      </c>
      <c r="AE74" s="304">
        <f t="shared" si="15"/>
        <v>0.6</v>
      </c>
      <c r="AF74" s="177">
        <f t="shared" si="23"/>
        <v>0.50618373304927067</v>
      </c>
      <c r="AG74" s="799">
        <f t="shared" si="24"/>
        <v>2</v>
      </c>
      <c r="AH74" s="176">
        <f t="shared" si="16"/>
        <v>8</v>
      </c>
      <c r="AI74" s="224">
        <f t="shared" si="17"/>
        <v>2.5061837330492707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46448</v>
      </c>
      <c r="B75" s="409">
        <f>IF(t&gt;Tmaj,'2026'!Wh/'2026'!Env_an*'2027'!Env_an,0.001*'[5]mon-tableau'!$B$243)</f>
        <v>12.310634607033</v>
      </c>
      <c r="C75" s="829"/>
      <c r="D75" s="391">
        <f t="shared" si="0"/>
        <v>13.027186456431926</v>
      </c>
      <c r="E75" s="383">
        <f t="shared" si="1"/>
        <v>13.580719931668471</v>
      </c>
      <c r="F75" s="383">
        <f t="shared" si="2"/>
        <v>13.580719931668471</v>
      </c>
      <c r="G75" s="110">
        <f t="shared" si="21"/>
        <v>0.28238221548965908</v>
      </c>
      <c r="H75" s="412" t="b">
        <f>Wh_hp&gt;='2026'!Maxi_hp</f>
        <v>0</v>
      </c>
      <c r="I75" s="388">
        <f>IF(H75,Wh_hp,'2026'!Maxi_hp)</f>
        <v>33.645098322767872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5.5004344322187926E-2</v>
      </c>
      <c r="M75" s="832"/>
      <c r="N75" s="832"/>
      <c r="O75" s="48">
        <f>IF(t&lt;Tnet,'2026'!Resal+('2026'!Salim-'2026'!Resal)*(1-EXP(('2026'!Tnet-t)/('2026'!Tau_j))),Resal+(Salim-Resal)*(1-EXP((Tnet-t)/(Tau_j))))*Salcycl</f>
        <v>4.0758772585080497E-2</v>
      </c>
      <c r="P75" s="169">
        <f>(INDEX(Models!$BJ75:$BT75,,T75)*(1-R75)+INDEX(Models!$BJ75:$BT75,,T75+1)*R75-ERP_i)*Q75*Ramure*Pc/MaxiM</f>
        <v>4.1259083088312729E-6</v>
      </c>
      <c r="Q75" s="304">
        <f t="shared" si="4"/>
        <v>0.6</v>
      </c>
      <c r="R75" s="177">
        <f t="shared" si="5"/>
        <v>0.98151678764455363</v>
      </c>
      <c r="S75" s="799">
        <f t="shared" si="6"/>
        <v>-2</v>
      </c>
      <c r="T75" s="176">
        <f t="shared" si="7"/>
        <v>4</v>
      </c>
      <c r="U75" s="250">
        <f t="shared" si="8"/>
        <v>-1.0184832123554464</v>
      </c>
      <c r="V75" s="382">
        <f t="shared" si="9"/>
        <v>43.59546437135382</v>
      </c>
      <c r="W75" s="400">
        <f t="shared" si="10"/>
        <v>12.310634607033</v>
      </c>
      <c r="X75" s="157">
        <f t="shared" si="11"/>
        <v>46448</v>
      </c>
      <c r="Y75" s="383">
        <f t="shared" si="12"/>
        <v>11.978479184850404</v>
      </c>
      <c r="Z75" s="383">
        <f t="shared" si="22"/>
        <v>12.675697621338442</v>
      </c>
      <c r="AA75" s="384">
        <f t="shared" si="13"/>
        <v>13.580719931668471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6.6640230774484513E-2</v>
      </c>
      <c r="AD75" s="230">
        <f>(INDEX(Models!$BJ75:$BT75,,AH75)*(1-AF75)+INDEX(Models!$BJ75:$BT75,,AH75+1)*AF75-ERP_i)*AE75*Ramure*Pc/MaxiM</f>
        <v>5.1896901955259875E-5</v>
      </c>
      <c r="AE75" s="304">
        <f t="shared" si="15"/>
        <v>0.6</v>
      </c>
      <c r="AF75" s="177">
        <f t="shared" si="23"/>
        <v>0.50650435401853233</v>
      </c>
      <c r="AG75" s="799">
        <f t="shared" si="24"/>
        <v>2</v>
      </c>
      <c r="AH75" s="176">
        <f t="shared" si="16"/>
        <v>8</v>
      </c>
      <c r="AI75" s="224">
        <f t="shared" si="17"/>
        <v>2.5065043540185323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46449</v>
      </c>
      <c r="B76" s="409">
        <f>IF(t&gt;Tmaj,'2026'!Wh/'2026'!Env_an*'2027'!Env_an,0.001*'[5]mon-tableau'!$B$244)</f>
        <v>33.957735247050316</v>
      </c>
      <c r="C76" s="829"/>
      <c r="D76" s="391">
        <f t="shared" si="0"/>
        <v>35.934965253797593</v>
      </c>
      <c r="E76" s="383">
        <f t="shared" si="1"/>
        <v>37.465269782913452</v>
      </c>
      <c r="F76" s="383">
        <f t="shared" si="2"/>
        <v>37.465372776486255</v>
      </c>
      <c r="G76" s="110">
        <f t="shared" si="21"/>
        <v>0.77333050548929172</v>
      </c>
      <c r="H76" s="412" t="b">
        <f>Wh_hp&gt;='2026'!Maxi_hp</f>
        <v>1</v>
      </c>
      <c r="I76" s="388">
        <f>IF(H76,Wh_hp,'2026'!Maxi_hp)</f>
        <v>37.465372776486255</v>
      </c>
      <c r="J76" s="85">
        <f>IF(H76,An,'2026'!An_max)</f>
        <v>2027</v>
      </c>
      <c r="K76" s="197">
        <f t="shared" si="3"/>
        <v>46449</v>
      </c>
      <c r="L76" s="147">
        <f>IF(t&lt;Tvie,1-EXP((T0-t)*PertePVj)+'2026'!Pspv,1-EXP((T0-t)*PertePVj)+Pspv)</f>
        <v>5.5022454948340904E-2</v>
      </c>
      <c r="M76" s="832"/>
      <c r="N76" s="832"/>
      <c r="O76" s="48">
        <f>IF(t&lt;Tnet,'2026'!Resal+('2026'!Salim-'2026'!Resal)*(1-EXP(('2026'!Tnet-t)/('2026'!Tau_j))),Resal+(Salim-Resal)*(1-EXP((Tnet-t)/(Tau_j))))*Salcycl</f>
        <v>4.0845949808528556E-2</v>
      </c>
      <c r="P76" s="169">
        <f>(INDEX(Models!$BJ76:$BT76,,T76)*(1-R76)+INDEX(Models!$BJ76:$BT76,,T76+1)*R76-ERP_i)*Q76*Ramure*Pc/MaxiM</f>
        <v>4.0654879354836764E-6</v>
      </c>
      <c r="Q76" s="304">
        <f t="shared" si="4"/>
        <v>0.6</v>
      </c>
      <c r="R76" s="177">
        <f t="shared" si="5"/>
        <v>0.98185041605441148</v>
      </c>
      <c r="S76" s="799">
        <f t="shared" si="6"/>
        <v>-2</v>
      </c>
      <c r="T76" s="176">
        <f t="shared" si="7"/>
        <v>4</v>
      </c>
      <c r="U76" s="250">
        <f t="shared" si="8"/>
        <v>-1.0181495839455885</v>
      </c>
      <c r="V76" s="382">
        <f t="shared" si="9"/>
        <v>43.910967305806935</v>
      </c>
      <c r="W76" s="400">
        <f t="shared" si="10"/>
        <v>33.957735247050316</v>
      </c>
      <c r="X76" s="157">
        <f t="shared" si="11"/>
        <v>46449</v>
      </c>
      <c r="Y76" s="383">
        <f t="shared" si="12"/>
        <v>33.04144835982455</v>
      </c>
      <c r="Z76" s="383">
        <f t="shared" si="22"/>
        <v>34.96532645970786</v>
      </c>
      <c r="AA76" s="384">
        <f t="shared" si="13"/>
        <v>37.464115968753113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6.6698210926139562E-2</v>
      </c>
      <c r="AD76" s="230">
        <f>(INDEX(Models!$BJ76:$BT76,,AH76)*(1-AF76)+INDEX(Models!$BJ76:$BT76,,AH76+1)*AF76-ERP_i)*AE76*Ramure*Pc/MaxiM</f>
        <v>4.9610247877149261E-5</v>
      </c>
      <c r="AE76" s="304">
        <f t="shared" si="15"/>
        <v>0.6</v>
      </c>
      <c r="AF76" s="177">
        <f t="shared" si="23"/>
        <v>0.50683798242839018</v>
      </c>
      <c r="AG76" s="799">
        <f t="shared" si="24"/>
        <v>2</v>
      </c>
      <c r="AH76" s="176">
        <f t="shared" si="16"/>
        <v>8</v>
      </c>
      <c r="AI76" s="224">
        <f t="shared" si="17"/>
        <v>2.5068379824283902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46450</v>
      </c>
      <c r="B77" s="409">
        <f>IF(t&gt;Tmaj,'2026'!Wh/'2026'!Env_an*'2027'!Env_an,0.001*'[5]mon-tableau'!$B$245)</f>
        <v>3.6358071950078807</v>
      </c>
      <c r="C77" s="829"/>
      <c r="D77" s="391">
        <f t="shared" si="0"/>
        <v>3.8475801830401855</v>
      </c>
      <c r="E77" s="383">
        <f t="shared" si="1"/>
        <v>4.011795148324226</v>
      </c>
      <c r="F77" s="383">
        <f t="shared" si="2"/>
        <v>4.011795148324226</v>
      </c>
      <c r="G77" s="110">
        <f t="shared" si="21"/>
        <v>8.2209851838352166E-2</v>
      </c>
      <c r="H77" s="412" t="b">
        <f>Wh_hp&gt;='2026'!Maxi_hp</f>
        <v>0</v>
      </c>
      <c r="I77" s="388">
        <f>IF(H77,Wh_hp,'2026'!Maxi_hp)</f>
        <v>31.305227886602569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5.5040565227407745E-2</v>
      </c>
      <c r="M77" s="832"/>
      <c r="N77" s="832"/>
      <c r="O77" s="48">
        <f>IF(t&lt;Tnet,'2026'!Resal+('2026'!Salim-'2026'!Resal)*(1-EXP(('2026'!Tnet-t)/('2026'!Tau_j))),Resal+(Salim-Resal)*(1-EXP((Tnet-t)/(Tau_j))))*Salcycl</f>
        <v>4.0933038505875763E-2</v>
      </c>
      <c r="P77" s="169">
        <f>(INDEX(Models!$BJ77:$BT77,,T77)*(1-R77)+INDEX(Models!$BJ77:$BT77,,T77+1)*R77-ERP_i)*Q77*Ramure*Pc/MaxiM</f>
        <v>4.0076942267933944E-6</v>
      </c>
      <c r="Q77" s="304">
        <f t="shared" si="4"/>
        <v>0.6</v>
      </c>
      <c r="R77" s="177">
        <f t="shared" si="5"/>
        <v>0.98219756059950969</v>
      </c>
      <c r="S77" s="799">
        <f t="shared" si="6"/>
        <v>-2</v>
      </c>
      <c r="T77" s="176">
        <f t="shared" si="7"/>
        <v>4</v>
      </c>
      <c r="U77" s="250">
        <f t="shared" si="8"/>
        <v>-1.0178024394004903</v>
      </c>
      <c r="V77" s="382">
        <f t="shared" si="9"/>
        <v>44.225753270464132</v>
      </c>
      <c r="W77" s="400">
        <f t="shared" si="10"/>
        <v>3.6358071950078807</v>
      </c>
      <c r="X77" s="157">
        <f t="shared" si="11"/>
        <v>46450</v>
      </c>
      <c r="Y77" s="383">
        <f t="shared" si="12"/>
        <v>3.537912236481541</v>
      </c>
      <c r="Z77" s="383">
        <f t="shared" si="22"/>
        <v>3.7439831873131695</v>
      </c>
      <c r="AA77" s="384">
        <f t="shared" si="13"/>
        <v>4.011795148324226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6.6756140607758752E-2</v>
      </c>
      <c r="AD77" s="230">
        <f>(INDEX(Models!$BJ77:$BT77,,AH77)*(1-AF77)+INDEX(Models!$BJ77:$BT77,,AH77+1)*AF77-ERP_i)*AE77*Ramure*Pc/MaxiM</f>
        <v>4.7517004331303781E-5</v>
      </c>
      <c r="AE77" s="304">
        <f t="shared" si="15"/>
        <v>0.6</v>
      </c>
      <c r="AF77" s="177">
        <f t="shared" si="23"/>
        <v>0.50718512697348839</v>
      </c>
      <c r="AG77" s="799">
        <f t="shared" si="24"/>
        <v>2</v>
      </c>
      <c r="AH77" s="176">
        <f t="shared" si="16"/>
        <v>8</v>
      </c>
      <c r="AI77" s="224">
        <f t="shared" si="17"/>
        <v>2.5071851269734884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46451</v>
      </c>
      <c r="B78" s="409">
        <f>IF(t&gt;Tmaj,'2026'!Wh/'2026'!Env_an*'2027'!Env_an,0.001*'[5]mon-tableau'!$B$246)</f>
        <v>12.453726956469696</v>
      </c>
      <c r="C78" s="829"/>
      <c r="D78" s="391">
        <f t="shared" si="0"/>
        <v>13.179365352203666</v>
      </c>
      <c r="E78" s="383">
        <f t="shared" si="1"/>
        <v>13.743108275512327</v>
      </c>
      <c r="F78" s="383">
        <f t="shared" si="2"/>
        <v>13.743108275512327</v>
      </c>
      <c r="G78" s="110">
        <f t="shared" si="21"/>
        <v>0.27960709796339367</v>
      </c>
      <c r="H78" s="412" t="b">
        <f>Wh_hp&gt;='2026'!Maxi_hp</f>
        <v>0</v>
      </c>
      <c r="I78" s="388">
        <f>IF(H78,Wh_hp,'2026'!Maxi_hp)</f>
        <v>38.458441078302194</v>
      </c>
      <c r="J78" s="85">
        <f>IF(H78,An,'2026'!An_max)</f>
        <v>2021</v>
      </c>
      <c r="K78" s="197">
        <f t="shared" si="3"/>
        <v>46451</v>
      </c>
      <c r="L78" s="147">
        <f>IF(t&lt;Tvie,1-EXP((T0-t)*PertePVj)+'2026'!Pspv,1-EXP((T0-t)*PertePVj)+Pspv)</f>
        <v>5.5058675159395221E-2</v>
      </c>
      <c r="M78" s="832"/>
      <c r="N78" s="832"/>
      <c r="O78" s="48">
        <f>IF(t&lt;Tnet,'2026'!Resal+('2026'!Salim-'2026'!Resal)*(1-EXP(('2026'!Tnet-t)/('2026'!Tau_j))),Resal+(Salim-Resal)*(1-EXP((Tnet-t)/(Tau_j))))*Salcycl</f>
        <v>4.10200452479259E-2</v>
      </c>
      <c r="P78" s="169">
        <f>(INDEX(Models!$BJ78:$BT78,,T78)*(1-R78)+INDEX(Models!$BJ78:$BT78,,T78+1)*R78-ERP_i)*Q78*Ramure*Pc/MaxiM</f>
        <v>3.9524763393236721E-6</v>
      </c>
      <c r="Q78" s="304">
        <f t="shared" si="4"/>
        <v>0.6</v>
      </c>
      <c r="R78" s="177">
        <f t="shared" si="5"/>
        <v>0.98255874827140532</v>
      </c>
      <c r="S78" s="799">
        <f t="shared" si="6"/>
        <v>-2</v>
      </c>
      <c r="T78" s="176">
        <f t="shared" si="7"/>
        <v>4</v>
      </c>
      <c r="U78" s="250">
        <f t="shared" si="8"/>
        <v>-1.0174412517285947</v>
      </c>
      <c r="V78" s="382">
        <f t="shared" si="9"/>
        <v>44.539919852245703</v>
      </c>
      <c r="W78" s="400">
        <f t="shared" si="10"/>
        <v>12.453726956469696</v>
      </c>
      <c r="X78" s="157">
        <f t="shared" si="11"/>
        <v>46451</v>
      </c>
      <c r="Y78" s="383">
        <f t="shared" si="12"/>
        <v>12.118755150028122</v>
      </c>
      <c r="Z78" s="383">
        <f t="shared" si="22"/>
        <v>12.824875821863698</v>
      </c>
      <c r="AA78" s="384">
        <f t="shared" si="13"/>
        <v>13.743108275512327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6.6814030366387292E-2</v>
      </c>
      <c r="AD78" s="230">
        <f>(INDEX(Models!$BJ78:$BT78,,AH78)*(1-AF78)+INDEX(Models!$BJ78:$BT78,,AH78+1)*AF78-ERP_i)*AE78*Ramure*Pc/MaxiM</f>
        <v>4.5613109068028967E-5</v>
      </c>
      <c r="AE78" s="304">
        <f t="shared" si="15"/>
        <v>0.6</v>
      </c>
      <c r="AF78" s="177">
        <f t="shared" si="23"/>
        <v>0.50754631464538402</v>
      </c>
      <c r="AG78" s="799">
        <f t="shared" si="24"/>
        <v>2</v>
      </c>
      <c r="AH78" s="176">
        <f t="shared" si="16"/>
        <v>8</v>
      </c>
      <c r="AI78" s="224">
        <f t="shared" si="17"/>
        <v>2.507546314645384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46452</v>
      </c>
      <c r="B79" s="409">
        <f>IF(t&gt;Tmaj,'2026'!Wh/'2026'!Env_an*'2027'!Env_an,0.001*'[5]mon-tableau'!$B$247)</f>
        <v>15.30157740470163</v>
      </c>
      <c r="C79" s="829"/>
      <c r="D79" s="391">
        <f t="shared" ref="D79:D142" si="25">Wh/(1-Ppv)</f>
        <v>16.193461180399854</v>
      </c>
      <c r="E79" s="383">
        <f t="shared" si="1"/>
        <v>16.887661918252178</v>
      </c>
      <c r="F79" s="383">
        <f t="shared" ref="F79:F142" si="26">Wh_sa/(1-Pvg*MEDIAN((-Sdif+Wh/Env_an)/Csdif,0,1))</f>
        <v>16.887665788674106</v>
      </c>
      <c r="G79" s="110">
        <f t="shared" si="21"/>
        <v>0.34113774470891373</v>
      </c>
      <c r="H79" s="412" t="b">
        <f>Wh_hp&gt;='2026'!Maxi_hp</f>
        <v>1</v>
      </c>
      <c r="I79" s="388">
        <f>IF(H79,Wh_hp,'2026'!Maxi_hp)</f>
        <v>16.887665788674106</v>
      </c>
      <c r="J79" s="85">
        <f>IF(H79,An,'2026'!An_max)</f>
        <v>2027</v>
      </c>
      <c r="K79" s="197">
        <f t="shared" ref="K79:K142" si="27">t</f>
        <v>46452</v>
      </c>
      <c r="L79" s="147">
        <f>IF(t&lt;Tvie,1-EXP((T0-t)*PertePVj)+'2026'!Pspv,1-EXP((T0-t)*PertePVj)+Pspv)</f>
        <v>5.5076784744310103E-2</v>
      </c>
      <c r="M79" s="832"/>
      <c r="N79" s="832"/>
      <c r="O79" s="48">
        <f>IF(t&lt;Tnet,'2026'!Resal+('2026'!Salim-'2026'!Resal)*(1-EXP(('2026'!Tnet-t)/('2026'!Tau_j))),Resal+(Salim-Resal)*(1-EXP((Tnet-t)/(Tau_j))))*Salcycl</f>
        <v>4.1106977461576953E-2</v>
      </c>
      <c r="P79" s="169">
        <f>(INDEX(Models!$BJ79:$BT79,,T79)*(1-R79)+INDEX(Models!$BJ79:$BT79,,T79+1)*R79-ERP_i)*Q79*Ramure*Pc/MaxiM</f>
        <v>3.8997164318103531E-6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0.98293452488130351</v>
      </c>
      <c r="S79" s="799">
        <f t="shared" ref="S79:S142" si="30">INDEX(Echel_vg,T79)</f>
        <v>-2</v>
      </c>
      <c r="T79" s="176">
        <f t="shared" ref="T79:T142" si="31">MIN(MATCH(Hp_vg,Echel_vg),10)</f>
        <v>4</v>
      </c>
      <c r="U79" s="250">
        <f t="shared" ref="U79:U142" si="32">IF(OR(t&lt;Ttai,Notai),Hdd+PousH*Croivg,Hdtf+PousH*(Croivg-Croi_tai))</f>
        <v>-1.0170654751186965</v>
      </c>
      <c r="V79" s="382">
        <f t="shared" ref="V79:V142" si="33">MaxiM*(1-Ppv)*(1-Pvg)*(1-Psa)</f>
        <v>44.854377673290259</v>
      </c>
      <c r="W79" s="400">
        <f t="shared" ref="W79:W142" si="34">Wh*(A79&gt;Tmaj)</f>
        <v>15.30157740470163</v>
      </c>
      <c r="X79" s="157">
        <f t="shared" ref="X79:X142" si="35">t</f>
        <v>46452</v>
      </c>
      <c r="Y79" s="383">
        <f t="shared" ref="Y79:Y142" si="36">Wh_pvt_s*(1-Ppv)</f>
        <v>14.890397651760704</v>
      </c>
      <c r="Z79" s="383">
        <f t="shared" ref="Z79:Z142" si="37">Wh_sa_s*(1-Psa_s)</f>
        <v>15.758314973488574</v>
      </c>
      <c r="AA79" s="384">
        <f t="shared" ref="AA79:AA142" si="38">Wh_hp*(1-Pvg_s*MEDIAN((-Sdif+Wh/Env_an)/Csdif,0,1))</f>
        <v>16.88762222454044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6.6871892089746088E-2</v>
      </c>
      <c r="AD79" s="230">
        <f>(INDEX(Models!$BJ79:$BT79,,AH79)*(1-AF79)+INDEX(Models!$BJ79:$BT79,,AH79+1)*AF79-ERP_i)*AE79*Ramure*Pc/MaxiM</f>
        <v>4.3893862476000335E-5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0.5079220912552822</v>
      </c>
      <c r="AG79" s="799">
        <f t="shared" si="24"/>
        <v>2</v>
      </c>
      <c r="AH79" s="176">
        <f t="shared" ref="AH79:AH142" si="42">MIN(MATCH(Hp_vg_s,Echel_vg),10)</f>
        <v>8</v>
      </c>
      <c r="AI79" s="224">
        <f t="shared" ref="AI79:AI142" si="43">IF(OR(t&lt;Ttai,Notai),Hdd_s+PousH*Croivg,Hdtai_s+PousH*(Croivg-Croi_tai))</f>
        <v>2.5079220912552822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46453</v>
      </c>
      <c r="B80" s="409">
        <f>IF(t&gt;Tmaj,'2026'!Wh/'2026'!Env_an*'2027'!Env_an,0.001*'[5]mon-tableau'!$B$248)</f>
        <v>37.337085504152363</v>
      </c>
      <c r="C80" s="829"/>
      <c r="D80" s="391">
        <f t="shared" si="25"/>
        <v>39.51411127568548</v>
      </c>
      <c r="E80" s="383">
        <f t="shared" ref="E80:E143" si="47">Wh_pvt/(1-Psa)</f>
        <v>41.211783012312551</v>
      </c>
      <c r="F80" s="383">
        <f t="shared" si="26"/>
        <v>41.211902116299456</v>
      </c>
      <c r="G80" s="110">
        <f t="shared" ref="G80:G143" si="48">+Wh_hp/MaxiM</f>
        <v>0.82659600986564463</v>
      </c>
      <c r="H80" s="412" t="b">
        <f>Wh_hp&gt;='2026'!Maxi_hp</f>
        <v>1</v>
      </c>
      <c r="I80" s="388">
        <f>IF(H80,Wh_hp,'2026'!Maxi_hp)</f>
        <v>41.211902116299456</v>
      </c>
      <c r="J80" s="85">
        <f>IF(H80,An,'2026'!An_max)</f>
        <v>2027</v>
      </c>
      <c r="K80" s="197">
        <f t="shared" si="27"/>
        <v>46453</v>
      </c>
      <c r="L80" s="147">
        <f>IF(t&lt;Tvie,1-EXP((T0-t)*PertePVj)+'2026'!Pspv,1-EXP((T0-t)*PertePVj)+Pspv)</f>
        <v>5.5094893982158832E-2</v>
      </c>
      <c r="M80" s="832"/>
      <c r="N80" s="832"/>
      <c r="O80" s="48">
        <f>IF(t&lt;Tnet,'2026'!Resal+('2026'!Salim-'2026'!Resal)*(1-EXP(('2026'!Tnet-t)/('2026'!Tau_j))),Resal+(Salim-Resal)*(1-EXP((Tnet-t)/(Tau_j))))*Salcycl</f>
        <v>4.1193843423854619E-2</v>
      </c>
      <c r="P80" s="169">
        <f>(INDEX(Models!$BJ80:$BT80,,T80)*(1-R80)+INDEX(Models!$BJ80:$BT80,,T80+1)*R80-ERP_i)*Q80*Ramure*Pc/MaxiM</f>
        <v>3.8417001709309557E-6</v>
      </c>
      <c r="Q80" s="304">
        <f t="shared" si="28"/>
        <v>0.6</v>
      </c>
      <c r="R80" s="177">
        <f t="shared" si="29"/>
        <v>0.98332545558573914</v>
      </c>
      <c r="S80" s="799">
        <f t="shared" si="30"/>
        <v>-2</v>
      </c>
      <c r="T80" s="176">
        <f t="shared" si="31"/>
        <v>4</v>
      </c>
      <c r="U80" s="250">
        <f t="shared" si="32"/>
        <v>-1.0166745444142609</v>
      </c>
      <c r="V80" s="382">
        <f t="shared" si="33"/>
        <v>45.169646993394167</v>
      </c>
      <c r="W80" s="400">
        <f t="shared" si="34"/>
        <v>37.337085504152363</v>
      </c>
      <c r="X80" s="157">
        <f t="shared" si="35"/>
        <v>46453</v>
      </c>
      <c r="Y80" s="383">
        <f t="shared" si="36"/>
        <v>36.333846756755833</v>
      </c>
      <c r="Z80" s="383">
        <f t="shared" si="37"/>
        <v>38.452376355419752</v>
      </c>
      <c r="AA80" s="384">
        <f t="shared" si="38"/>
        <v>41.210590415493051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6.6929738988557461E-2</v>
      </c>
      <c r="AD80" s="230">
        <f>(INDEX(Models!$BJ80:$BT80,,AH80)*(1-AF80)+INDEX(Models!$BJ80:$BT80,,AH80+1)*AF80-ERP_i)*AE80*Ramure*Pc/MaxiM</f>
        <v>4.2308921331418149E-5</v>
      </c>
      <c r="AE80" s="304">
        <f t="shared" si="40"/>
        <v>0.6</v>
      </c>
      <c r="AF80" s="177">
        <f t="shared" si="41"/>
        <v>0.50831302195971784</v>
      </c>
      <c r="AG80" s="799">
        <f t="shared" ref="AG80:AG143" si="49">INDEX(Echel_vg,AH80)</f>
        <v>2</v>
      </c>
      <c r="AH80" s="176">
        <f t="shared" si="42"/>
        <v>8</v>
      </c>
      <c r="AI80" s="224">
        <f t="shared" si="43"/>
        <v>2.5083130219597178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46454</v>
      </c>
      <c r="B81" s="409">
        <f>IF(t&gt;Tmaj,'2026'!Wh/'2026'!Env_an*'2027'!Env_an,0.001*'[5]mon-tableau'!$B$249)</f>
        <v>35.031199757851844</v>
      </c>
      <c r="C81" s="829"/>
      <c r="D81" s="391">
        <f t="shared" si="25"/>
        <v>37.074486011941026</v>
      </c>
      <c r="E81" s="383">
        <f t="shared" si="47"/>
        <v>38.670843661369247</v>
      </c>
      <c r="F81" s="383">
        <f t="shared" si="26"/>
        <v>38.670941578412148</v>
      </c>
      <c r="G81" s="110">
        <f t="shared" si="48"/>
        <v>0.77016536705670369</v>
      </c>
      <c r="H81" s="412" t="b">
        <f>Wh_hp&gt;='2026'!Maxi_hp</f>
        <v>1</v>
      </c>
      <c r="I81" s="388">
        <f>IF(H81,Wh_hp,'2026'!Maxi_hp)</f>
        <v>38.670941578412148</v>
      </c>
      <c r="J81" s="85">
        <f>IF(H81,An,'2026'!An_max)</f>
        <v>2027</v>
      </c>
      <c r="K81" s="197">
        <f t="shared" si="27"/>
        <v>46454</v>
      </c>
      <c r="L81" s="147">
        <f>IF(t&lt;Tvie,1-EXP((T0-t)*PertePVj)+'2026'!Pspv,1-EXP((T0-t)*PertePVj)+Pspv)</f>
        <v>5.511300287294818E-2</v>
      </c>
      <c r="M81" s="832"/>
      <c r="N81" s="832"/>
      <c r="O81" s="48">
        <f>IF(t&lt;Tnet,'2026'!Resal+('2026'!Salim-'2026'!Resal)*(1-EXP(('2026'!Tnet-t)/('2026'!Tau_j))),Resal+(Salim-Resal)*(1-EXP((Tnet-t)/(Tau_j))))*Salcycl</f>
        <v>4.1280652250753058E-2</v>
      </c>
      <c r="P81" s="169">
        <f>(INDEX(Models!$BJ81:$BT81,,T81)*(1-R81)+INDEX(Models!$BJ81:$BT81,,T81+1)*R81-ERP_i)*Q81*Ramure*Pc/MaxiM</f>
        <v>3.7698152487518888E-6</v>
      </c>
      <c r="Q81" s="304">
        <f t="shared" si="28"/>
        <v>0.6</v>
      </c>
      <c r="R81" s="177">
        <f t="shared" si="29"/>
        <v>0.98373212541394928</v>
      </c>
      <c r="S81" s="799">
        <f t="shared" si="30"/>
        <v>-2</v>
      </c>
      <c r="T81" s="176">
        <f t="shared" si="31"/>
        <v>4</v>
      </c>
      <c r="U81" s="250">
        <f t="shared" si="32"/>
        <v>-1.0162678745860507</v>
      </c>
      <c r="V81" s="382">
        <f t="shared" si="33"/>
        <v>45.485239788794104</v>
      </c>
      <c r="W81" s="400">
        <f t="shared" si="34"/>
        <v>35.031199757851844</v>
      </c>
      <c r="X81" s="157">
        <f t="shared" si="35"/>
        <v>46454</v>
      </c>
      <c r="Y81" s="383">
        <f t="shared" si="36"/>
        <v>34.091031942912466</v>
      </c>
      <c r="Z81" s="383">
        <f t="shared" si="37"/>
        <v>36.079480452759903</v>
      </c>
      <c r="AA81" s="384">
        <f t="shared" si="38"/>
        <v>38.669882516865165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6.6987585570644201E-2</v>
      </c>
      <c r="AD81" s="230">
        <f>(INDEX(Models!$BJ81:$BT81,,AH81)*(1-AF81)+INDEX(Models!$BJ81:$BT81,,AH81+1)*AF81-ERP_i)*AE81*Ramure*Pc/MaxiM</f>
        <v>4.0773967953498425E-5</v>
      </c>
      <c r="AE81" s="304">
        <f t="shared" si="40"/>
        <v>0.6</v>
      </c>
      <c r="AF81" s="177">
        <f t="shared" si="41"/>
        <v>0.50871969178792797</v>
      </c>
      <c r="AG81" s="799">
        <f t="shared" si="49"/>
        <v>2</v>
      </c>
      <c r="AH81" s="176">
        <f t="shared" si="42"/>
        <v>8</v>
      </c>
      <c r="AI81" s="224">
        <f t="shared" si="43"/>
        <v>2.508719691787928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46455</v>
      </c>
      <c r="B82" s="409">
        <f>IF(t&gt;Tmaj,'2026'!Wh/'2026'!Env_an*'2027'!Env_an,0.001*'[5]mon-tableau'!$B$250)</f>
        <v>30.616738439388751</v>
      </c>
      <c r="C82" s="829"/>
      <c r="D82" s="391">
        <f t="shared" si="25"/>
        <v>32.403160702321159</v>
      </c>
      <c r="E82" s="383">
        <f t="shared" si="47"/>
        <v>33.801438811409106</v>
      </c>
      <c r="F82" s="383">
        <f t="shared" si="26"/>
        <v>33.80150436721717</v>
      </c>
      <c r="G82" s="110">
        <f t="shared" si="48"/>
        <v>0.66847682542522624</v>
      </c>
      <c r="H82" s="412" t="b">
        <f>Wh_hp&gt;='2026'!Maxi_hp</f>
        <v>0</v>
      </c>
      <c r="I82" s="388">
        <f>IF(H82,Wh_hp,'2026'!Maxi_hp)</f>
        <v>46.982445789324288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5.5131111416684697E-2</v>
      </c>
      <c r="M82" s="832"/>
      <c r="N82" s="832"/>
      <c r="O82" s="48">
        <f>IF(t&lt;Tnet,'2026'!Resal+('2026'!Salim-'2026'!Resal)*(1-EXP(('2026'!Tnet-t)/('2026'!Tau_j))),Resal+(Salim-Resal)*(1-EXP((Tnet-t)/(Tau_j))))*Salcycl</f>
        <v>4.1367413881091386E-2</v>
      </c>
      <c r="P82" s="169">
        <f>(INDEX(Models!$BJ82:$BT82,,T82)*(1-R82)+INDEX(Models!$BJ82:$BT82,,T82+1)*R82-ERP_i)*Q82*Ramure*Pc/MaxiM</f>
        <v>3.6843563792691778E-6</v>
      </c>
      <c r="Q82" s="304">
        <f t="shared" si="28"/>
        <v>0.6</v>
      </c>
      <c r="R82" s="177">
        <f t="shared" si="29"/>
        <v>0.98415513979553615</v>
      </c>
      <c r="S82" s="799">
        <f t="shared" si="30"/>
        <v>-2</v>
      </c>
      <c r="T82" s="176">
        <f t="shared" si="31"/>
        <v>4</v>
      </c>
      <c r="U82" s="250">
        <f t="shared" si="32"/>
        <v>-1.0158448602044639</v>
      </c>
      <c r="V82" s="382">
        <f t="shared" si="33"/>
        <v>45.800667803250548</v>
      </c>
      <c r="W82" s="400">
        <f t="shared" si="34"/>
        <v>30.616738439388751</v>
      </c>
      <c r="X82" s="157">
        <f t="shared" si="35"/>
        <v>46455</v>
      </c>
      <c r="Y82" s="383">
        <f t="shared" si="36"/>
        <v>29.796076800144018</v>
      </c>
      <c r="Z82" s="383">
        <f t="shared" si="37"/>
        <v>31.534615183296619</v>
      </c>
      <c r="AA82" s="384">
        <f t="shared" si="38"/>
        <v>33.800805304415249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6.7045447607208541E-2</v>
      </c>
      <c r="AD82" s="230">
        <f>(INDEX(Models!$BJ82:$BT82,,AH82)*(1-AF82)+INDEX(Models!$BJ82:$BT82,,AH82+1)*AF82-ERP_i)*AE82*Ramure*Pc/MaxiM</f>
        <v>3.9288608740608357E-5</v>
      </c>
      <c r="AE82" s="304">
        <f t="shared" si="40"/>
        <v>0.6</v>
      </c>
      <c r="AF82" s="177">
        <f t="shared" si="41"/>
        <v>0.50914270616951463</v>
      </c>
      <c r="AG82" s="799">
        <f t="shared" si="49"/>
        <v>2</v>
      </c>
      <c r="AH82" s="176">
        <f t="shared" si="42"/>
        <v>8</v>
      </c>
      <c r="AI82" s="224">
        <f t="shared" si="43"/>
        <v>2.5091427061695146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46456</v>
      </c>
      <c r="B83" s="409">
        <f>IF(t&gt;Tmaj,'2026'!Wh/'2026'!Env_an*'2027'!Env_an,0.001*'[5]mon-tableau'!$B$251)</f>
        <v>25.890836460867952</v>
      </c>
      <c r="C83" s="829"/>
      <c r="D83" s="391">
        <f t="shared" si="25"/>
        <v>27.402037441588018</v>
      </c>
      <c r="E83" s="383">
        <f t="shared" si="47"/>
        <v>28.587090673566085</v>
      </c>
      <c r="F83" s="383">
        <f t="shared" si="26"/>
        <v>28.587128955931647</v>
      </c>
      <c r="G83" s="110">
        <f t="shared" si="48"/>
        <v>0.56143401530418013</v>
      </c>
      <c r="H83" s="412" t="b">
        <f>Wh_hp&gt;='2026'!Maxi_hp</f>
        <v>0</v>
      </c>
      <c r="I83" s="388">
        <f>IF(H83,Wh_hp,'2026'!Maxi_hp)</f>
        <v>45.805582995042379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5.5149219613375156E-2</v>
      </c>
      <c r="M83" s="832"/>
      <c r="N83" s="832"/>
      <c r="O83" s="48">
        <f>IF(t&lt;Tnet,'2026'!Resal+('2026'!Salim-'2026'!Resal)*(1-EXP(('2026'!Tnet-t)/('2026'!Tau_j))),Resal+(Salim-Resal)*(1-EXP((Tnet-t)/(Tau_j))))*Salcycl</f>
        <v>4.1454139055635469E-2</v>
      </c>
      <c r="P83" s="169">
        <f>(INDEX(Models!$BJ83:$BT83,,T83)*(1-R83)+INDEX(Models!$BJ83:$BT83,,T83+1)*R83-ERP_i)*Q83*Ramure*Pc/MaxiM</f>
        <v>3.5856019628133479E-6</v>
      </c>
      <c r="Q83" s="304">
        <f t="shared" si="28"/>
        <v>0.6</v>
      </c>
      <c r="R83" s="177">
        <f t="shared" si="29"/>
        <v>0.98459512508687297</v>
      </c>
      <c r="S83" s="799">
        <f t="shared" si="30"/>
        <v>-2</v>
      </c>
      <c r="T83" s="176">
        <f t="shared" si="31"/>
        <v>4</v>
      </c>
      <c r="U83" s="250">
        <f t="shared" si="32"/>
        <v>-1.015404874913127</v>
      </c>
      <c r="V83" s="382">
        <f t="shared" si="33"/>
        <v>46.115442941522545</v>
      </c>
      <c r="W83" s="400">
        <f t="shared" si="34"/>
        <v>25.890836460867952</v>
      </c>
      <c r="X83" s="157">
        <f t="shared" si="35"/>
        <v>46456</v>
      </c>
      <c r="Y83" s="383">
        <f t="shared" si="36"/>
        <v>25.197715283170648</v>
      </c>
      <c r="Z83" s="383">
        <f t="shared" si="37"/>
        <v>26.668460042822804</v>
      </c>
      <c r="AA83" s="384">
        <f t="shared" si="38"/>
        <v>28.586724817537004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6.7103342091760318E-2</v>
      </c>
      <c r="AD83" s="230">
        <f>(INDEX(Models!$BJ83:$BT83,,AH83)*(1-AF83)+INDEX(Models!$BJ83:$BT83,,AH83+1)*AF83-ERP_i)*AE83*Ramure*Pc/MaxiM</f>
        <v>3.7852400182346682E-5</v>
      </c>
      <c r="AE83" s="304">
        <f t="shared" si="40"/>
        <v>0.6</v>
      </c>
      <c r="AF83" s="177">
        <f t="shared" si="41"/>
        <v>0.50958269146085167</v>
      </c>
      <c r="AG83" s="799">
        <f t="shared" si="49"/>
        <v>2</v>
      </c>
      <c r="AH83" s="176">
        <f t="shared" si="42"/>
        <v>8</v>
      </c>
      <c r="AI83" s="224">
        <f t="shared" si="43"/>
        <v>2.5095826914608517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46457</v>
      </c>
      <c r="B84" s="409">
        <f>IF(t&gt;Tmaj,'2026'!Wh/'2026'!Env_an*'2027'!Env_an,0.001*'[5]mon-tableau'!$B$252)</f>
        <v>16.491610143545309</v>
      </c>
      <c r="C84" s="829"/>
      <c r="D84" s="391">
        <f t="shared" si="25"/>
        <v>17.454529910850376</v>
      </c>
      <c r="E84" s="383">
        <f t="shared" si="47"/>
        <v>18.21103144129043</v>
      </c>
      <c r="F84" s="383">
        <f t="shared" si="26"/>
        <v>18.211036429932697</v>
      </c>
      <c r="G84" s="110">
        <f t="shared" si="48"/>
        <v>0.35519890425686285</v>
      </c>
      <c r="H84" s="412" t="b">
        <f>Wh_hp&gt;='2026'!Maxi_hp</f>
        <v>0</v>
      </c>
      <c r="I84" s="388">
        <f>IF(H84,Wh_hp,'2026'!Maxi_hp)</f>
        <v>35.092284275887017</v>
      </c>
      <c r="J84" s="85">
        <f>IF(H84,An,'2026'!An_max)</f>
        <v>2021</v>
      </c>
      <c r="K84" s="197">
        <f t="shared" si="27"/>
        <v>46457</v>
      </c>
      <c r="L84" s="147">
        <f>IF(t&lt;Tvie,1-EXP((T0-t)*PertePVj)+'2026'!Pspv,1-EXP((T0-t)*PertePVj)+Pspv)</f>
        <v>5.5167327463026217E-2</v>
      </c>
      <c r="M84" s="832"/>
      <c r="N84" s="832"/>
      <c r="O84" s="48">
        <f>IF(t&lt;Tnet,'2026'!Resal+('2026'!Salim-'2026'!Resal)*(1-EXP(('2026'!Tnet-t)/('2026'!Tau_j))),Resal+(Salim-Resal)*(1-EXP((Tnet-t)/(Tau_j))))*Salcycl</f>
        <v>4.154083929177213E-2</v>
      </c>
      <c r="P84" s="169">
        <f>(INDEX(Models!$BJ84:$BT84,,T84)*(1-R84)+INDEX(Models!$BJ84:$BT84,,T84+1)*R84-ERP_i)*Q84*Ramure*Pc/MaxiM</f>
        <v>3.4738122282765719E-6</v>
      </c>
      <c r="Q84" s="304">
        <f t="shared" si="28"/>
        <v>0.6</v>
      </c>
      <c r="R84" s="177">
        <f t="shared" si="29"/>
        <v>0.98505272909453767</v>
      </c>
      <c r="S84" s="799">
        <f t="shared" si="30"/>
        <v>-2</v>
      </c>
      <c r="T84" s="176">
        <f t="shared" si="31"/>
        <v>4</v>
      </c>
      <c r="U84" s="250">
        <f t="shared" si="32"/>
        <v>-1.0149472709054623</v>
      </c>
      <c r="V84" s="382">
        <f t="shared" si="33"/>
        <v>46.429077271249135</v>
      </c>
      <c r="W84" s="400">
        <f t="shared" si="34"/>
        <v>16.491610143545309</v>
      </c>
      <c r="X84" s="157">
        <f t="shared" si="35"/>
        <v>46457</v>
      </c>
      <c r="Y84" s="383">
        <f t="shared" si="36"/>
        <v>16.050733287681616</v>
      </c>
      <c r="Z84" s="383">
        <f t="shared" si="37"/>
        <v>16.987910933037202</v>
      </c>
      <c r="AA84" s="384">
        <f t="shared" si="38"/>
        <v>18.210984063798907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6.7161287192218033E-2</v>
      </c>
      <c r="AD84" s="230">
        <f>(INDEX(Models!$BJ84:$BT84,,AH84)*(1-AF84)+INDEX(Models!$BJ84:$BT84,,AH84+1)*AF84-ERP_i)*AE84*Ramure*Pc/MaxiM</f>
        <v>3.6464854809870262E-5</v>
      </c>
      <c r="AE84" s="304">
        <f t="shared" si="40"/>
        <v>0.6</v>
      </c>
      <c r="AF84" s="177">
        <f t="shared" si="41"/>
        <v>0.51004029546851637</v>
      </c>
      <c r="AG84" s="799">
        <f t="shared" si="49"/>
        <v>2</v>
      </c>
      <c r="AH84" s="176">
        <f t="shared" si="42"/>
        <v>8</v>
      </c>
      <c r="AI84" s="224">
        <f t="shared" si="43"/>
        <v>2.5100402954685164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46458</v>
      </c>
      <c r="B85" s="409">
        <f>IF(t&gt;Tmaj,'2026'!Wh/'2026'!Env_an*'2027'!Env_an,0.001*'[5]mon-tableau'!$B$253)</f>
        <v>13.557475051662637</v>
      </c>
      <c r="C85" s="829"/>
      <c r="D85" s="391">
        <f t="shared" si="25"/>
        <v>14.349350182985015</v>
      </c>
      <c r="E85" s="383">
        <f t="shared" si="47"/>
        <v>14.972623468495469</v>
      </c>
      <c r="F85" s="383">
        <f t="shared" si="26"/>
        <v>14.972623468495469</v>
      </c>
      <c r="G85" s="110">
        <f t="shared" si="48"/>
        <v>0.29005381921059759</v>
      </c>
      <c r="H85" s="412" t="b">
        <f>Wh_hp&gt;='2026'!Maxi_hp</f>
        <v>0</v>
      </c>
      <c r="I85" s="388">
        <f>IF(H85,Wh_hp,'2026'!Maxi_hp)</f>
        <v>45.555962265985798</v>
      </c>
      <c r="J85" s="85">
        <f>IF(H85,An,'2026'!An_max)</f>
        <v>2018</v>
      </c>
      <c r="K85" s="197">
        <f t="shared" si="27"/>
        <v>46458</v>
      </c>
      <c r="L85" s="147">
        <f>IF(t&lt;Tvie,1-EXP((T0-t)*PertePVj)+'2026'!Pspv,1-EXP((T0-t)*PertePVj)+Pspv)</f>
        <v>5.5185434965644431E-2</v>
      </c>
      <c r="M85" s="832"/>
      <c r="N85" s="832"/>
      <c r="O85" s="48">
        <f>IF(t&lt;Tnet,'2026'!Resal+('2026'!Salim-'2026'!Resal)*(1-EXP(('2026'!Tnet-t)/('2026'!Tau_j))),Resal+(Salim-Resal)*(1-EXP((Tnet-t)/(Tau_j))))*Salcycl</f>
        <v>4.1627526854055207E-2</v>
      </c>
      <c r="P85" s="169">
        <f>(INDEX(Models!$BJ85:$BT85,,T85)*(1-R85)+INDEX(Models!$BJ85:$BT85,,T85+1)*R85-ERP_i)*Q85*Ramure*Pc/MaxiM</f>
        <v>3.3492274181681561E-6</v>
      </c>
      <c r="Q85" s="304">
        <f t="shared" si="28"/>
        <v>0.6</v>
      </c>
      <c r="R85" s="177">
        <f t="shared" si="29"/>
        <v>0.98552862159389298</v>
      </c>
      <c r="S85" s="799">
        <f t="shared" si="30"/>
        <v>-2</v>
      </c>
      <c r="T85" s="176">
        <f t="shared" si="31"/>
        <v>4</v>
      </c>
      <c r="U85" s="250">
        <f t="shared" si="32"/>
        <v>-1.014471378406107</v>
      </c>
      <c r="V85" s="382">
        <f t="shared" si="33"/>
        <v>46.741083022085341</v>
      </c>
      <c r="W85" s="400">
        <f t="shared" si="34"/>
        <v>13.557475051662637</v>
      </c>
      <c r="X85" s="157">
        <f t="shared" si="35"/>
        <v>46458</v>
      </c>
      <c r="Y85" s="383">
        <f t="shared" si="36"/>
        <v>13.195444770682776</v>
      </c>
      <c r="Z85" s="383">
        <f t="shared" si="37"/>
        <v>13.966174166888463</v>
      </c>
      <c r="AA85" s="384">
        <f t="shared" si="38"/>
        <v>14.972623468495469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6.7219302196753886E-2</v>
      </c>
      <c r="AD85" s="230">
        <f>(INDEX(Models!$BJ85:$BT85,,AH85)*(1-AF85)+INDEX(Models!$BJ85:$BT85,,AH85+1)*AF85-ERP_i)*AE85*Ramure*Pc/MaxiM</f>
        <v>3.5125447016888762E-5</v>
      </c>
      <c r="AE85" s="304">
        <f t="shared" si="40"/>
        <v>0.6</v>
      </c>
      <c r="AF85" s="177">
        <f t="shared" si="41"/>
        <v>0.51051618796787146</v>
      </c>
      <c r="AG85" s="799">
        <f t="shared" si="49"/>
        <v>2</v>
      </c>
      <c r="AH85" s="176">
        <f t="shared" si="42"/>
        <v>8</v>
      </c>
      <c r="AI85" s="224">
        <f t="shared" si="43"/>
        <v>2.5105161879678715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46459</v>
      </c>
      <c r="B86" s="409">
        <f>IF(t&gt;Tmaj,'2026'!Wh/'2026'!Env_an*'2027'!Env_an,0.001*'[5]mon-tableau'!$B$254)</f>
        <v>7.8117802901939699</v>
      </c>
      <c r="C86" s="829"/>
      <c r="D86" s="391">
        <f t="shared" si="25"/>
        <v>8.2682150478557137</v>
      </c>
      <c r="E86" s="383">
        <f t="shared" si="47"/>
        <v>8.6281307464538965</v>
      </c>
      <c r="F86" s="383">
        <f t="shared" si="26"/>
        <v>8.6281307464538965</v>
      </c>
      <c r="G86" s="110">
        <f t="shared" si="48"/>
        <v>0.16602749675133835</v>
      </c>
      <c r="H86" s="412" t="b">
        <f>Wh_hp&gt;='2026'!Maxi_hp</f>
        <v>0</v>
      </c>
      <c r="I86" s="388">
        <f>IF(H86,Wh_hp,'2026'!Maxi_hp)</f>
        <v>42.650905420994242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5.520354212123646E-2</v>
      </c>
      <c r="M86" s="832"/>
      <c r="N86" s="832"/>
      <c r="O86" s="48">
        <f>IF(t&lt;Tnet,'2026'!Resal+('2026'!Salim-'2026'!Resal)*(1-EXP(('2026'!Tnet-t)/('2026'!Tau_j))),Resal+(Salim-Resal)*(1-EXP((Tnet-t)/(Tau_j))))*Salcycl</f>
        <v>4.1714214720970207E-2</v>
      </c>
      <c r="P86" s="169">
        <f>(INDEX(Models!$BJ86:$BT86,,T86)*(1-R86)+INDEX(Models!$BJ86:$BT86,,T86+1)*R86-ERP_i)*Q86*Ramure*Pc/MaxiM</f>
        <v>3.2174911532343737E-6</v>
      </c>
      <c r="Q86" s="304">
        <f t="shared" si="28"/>
        <v>0.6</v>
      </c>
      <c r="R86" s="177">
        <f t="shared" si="29"/>
        <v>0.9860234948407387</v>
      </c>
      <c r="S86" s="799">
        <f t="shared" si="30"/>
        <v>-2</v>
      </c>
      <c r="T86" s="176">
        <f t="shared" si="31"/>
        <v>4</v>
      </c>
      <c r="U86" s="250">
        <f t="shared" si="32"/>
        <v>-1.0139765051592613</v>
      </c>
      <c r="V86" s="382">
        <f t="shared" si="33"/>
        <v>47.050972331166122</v>
      </c>
      <c r="W86" s="400">
        <f t="shared" si="34"/>
        <v>7.8117802901939699</v>
      </c>
      <c r="X86" s="157">
        <f t="shared" si="35"/>
        <v>46459</v>
      </c>
      <c r="Y86" s="383">
        <f t="shared" si="36"/>
        <v>7.6033935560757175</v>
      </c>
      <c r="Z86" s="383">
        <f t="shared" si="37"/>
        <v>8.04765247865841</v>
      </c>
      <c r="AA86" s="384">
        <f t="shared" si="38"/>
        <v>8.6281307464538965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6.7277407453990967E-2</v>
      </c>
      <c r="AD86" s="230">
        <f>(INDEX(Models!$BJ86:$BT86,,AH86)*(1-AF86)+INDEX(Models!$BJ86:$BT86,,AH86+1)*AF86-ERP_i)*AE86*Ramure*Pc/MaxiM</f>
        <v>3.3860667546238296E-5</v>
      </c>
      <c r="AE86" s="304">
        <f t="shared" si="40"/>
        <v>0.6</v>
      </c>
      <c r="AF86" s="177">
        <f t="shared" si="41"/>
        <v>0.51101106121471762</v>
      </c>
      <c r="AG86" s="799">
        <f t="shared" si="49"/>
        <v>2</v>
      </c>
      <c r="AH86" s="176">
        <f t="shared" si="42"/>
        <v>8</v>
      </c>
      <c r="AI86" s="224">
        <f t="shared" si="43"/>
        <v>2.5110110612147176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46460</v>
      </c>
      <c r="B87" s="409">
        <f>IF(t&gt;Tmaj,'2026'!Wh/'2026'!Env_an*'2027'!Env_an,0.001*'[5]mon-tableau'!$B$255)</f>
        <v>14.020136143782409</v>
      </c>
      <c r="C87" s="829"/>
      <c r="D87" s="391">
        <f t="shared" si="25"/>
        <v>14.839603519599278</v>
      </c>
      <c r="E87" s="383">
        <f t="shared" si="47"/>
        <v>15.486973193652712</v>
      </c>
      <c r="F87" s="383">
        <f t="shared" si="26"/>
        <v>15.486973193652712</v>
      </c>
      <c r="G87" s="110">
        <f t="shared" si="48"/>
        <v>0.29604325929522896</v>
      </c>
      <c r="H87" s="412" t="b">
        <f>Wh_hp&gt;='2026'!Maxi_hp</f>
        <v>0</v>
      </c>
      <c r="I87" s="388">
        <f>IF(H87,Wh_hp,'2026'!Maxi_hp)</f>
        <v>42.248499261755185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5.5221648929808964E-2</v>
      </c>
      <c r="M87" s="832"/>
      <c r="N87" s="832"/>
      <c r="O87" s="48">
        <f>IF(t&lt;Tnet,'2026'!Resal+('2026'!Salim-'2026'!Resal)*(1-EXP(('2026'!Tnet-t)/('2026'!Tau_j))),Resal+(Salim-Resal)*(1-EXP((Tnet-t)/(Tau_j))))*Salcycl</f>
        <v>4.1800916548287027E-2</v>
      </c>
      <c r="P87" s="169">
        <f>(INDEX(Models!$BJ87:$BT87,,T87)*(1-R87)+INDEX(Models!$BJ87:$BT87,,T87+1)*R87-ERP_i)*Q87*Ramure*Pc/MaxiM</f>
        <v>3.0856578975136221E-6</v>
      </c>
      <c r="Q87" s="304">
        <f t="shared" si="28"/>
        <v>0.6</v>
      </c>
      <c r="R87" s="177">
        <f t="shared" si="29"/>
        <v>0.98653806407377642</v>
      </c>
      <c r="S87" s="799">
        <f t="shared" si="30"/>
        <v>-2</v>
      </c>
      <c r="T87" s="176">
        <f t="shared" si="31"/>
        <v>4</v>
      </c>
      <c r="U87" s="250">
        <f t="shared" si="32"/>
        <v>-1.0134619359262236</v>
      </c>
      <c r="V87" s="382">
        <f t="shared" si="33"/>
        <v>47.35825742432143</v>
      </c>
      <c r="W87" s="400">
        <f t="shared" si="34"/>
        <v>14.020136143782409</v>
      </c>
      <c r="X87" s="157">
        <f t="shared" si="35"/>
        <v>46460</v>
      </c>
      <c r="Y87" s="383">
        <f t="shared" si="36"/>
        <v>13.646518504850912</v>
      </c>
      <c r="Z87" s="383">
        <f t="shared" si="37"/>
        <v>14.444148185013885</v>
      </c>
      <c r="AA87" s="384">
        <f t="shared" si="38"/>
        <v>15.486973193652712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6.7335624308191191E-2</v>
      </c>
      <c r="AD87" s="230">
        <f>(INDEX(Models!$BJ87:$BT87,,AH87)*(1-AF87)+INDEX(Models!$BJ87:$BT87,,AH87+1)*AF87-ERP_i)*AE87*Ramure*Pc/MaxiM</f>
        <v>3.2597579010508071E-5</v>
      </c>
      <c r="AE87" s="304">
        <f t="shared" si="40"/>
        <v>0.6</v>
      </c>
      <c r="AF87" s="177">
        <f t="shared" si="41"/>
        <v>0.51152563044775512</v>
      </c>
      <c r="AG87" s="799">
        <f t="shared" si="49"/>
        <v>2</v>
      </c>
      <c r="AH87" s="176">
        <f t="shared" si="42"/>
        <v>8</v>
      </c>
      <c r="AI87" s="224">
        <f t="shared" si="43"/>
        <v>2.5115256304477551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46461</v>
      </c>
      <c r="B88" s="409">
        <f>IF(t&gt;Tmaj,'2026'!Wh/'2026'!Env_an*'2027'!Env_an,0.001*'[5]mon-tableau'!$B$256)</f>
        <v>13.294505954324114</v>
      </c>
      <c r="C88" s="829"/>
      <c r="D88" s="391">
        <f t="shared" si="25"/>
        <v>14.071830424904668</v>
      </c>
      <c r="E88" s="383">
        <f t="shared" si="47"/>
        <v>14.687035790114122</v>
      </c>
      <c r="F88" s="383">
        <f t="shared" si="26"/>
        <v>14.687035790114122</v>
      </c>
      <c r="G88" s="110">
        <f t="shared" si="48"/>
        <v>0.27892956408138841</v>
      </c>
      <c r="H88" s="412" t="b">
        <f>Wh_hp&gt;='2026'!Maxi_hp</f>
        <v>0</v>
      </c>
      <c r="I88" s="388">
        <f>IF(H88,Wh_hp,'2026'!Maxi_hp)</f>
        <v>34.209482776257786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5.5239755391368717E-2</v>
      </c>
      <c r="M88" s="832"/>
      <c r="N88" s="832"/>
      <c r="O88" s="48">
        <f>IF(t&lt;Tnet,'2026'!Resal+('2026'!Salim-'2026'!Resal)*(1-EXP(('2026'!Tnet-t)/('2026'!Tau_j))),Resal+(Salim-Resal)*(1-EXP((Tnet-t)/(Tau_j))))*Salcycl</f>
        <v>4.1887646629386481E-2</v>
      </c>
      <c r="P88" s="169">
        <f>(INDEX(Models!$BJ88:$BT88,,T88)*(1-R88)+INDEX(Models!$BJ88:$BT88,,T88+1)*R88-ERP_i)*Q88*Ramure*Pc/MaxiM</f>
        <v>2.9537219616173406E-6</v>
      </c>
      <c r="Q88" s="304">
        <f t="shared" si="28"/>
        <v>0.6</v>
      </c>
      <c r="R88" s="177">
        <f t="shared" si="29"/>
        <v>0.98707306800540806</v>
      </c>
      <c r="S88" s="799">
        <f t="shared" si="30"/>
        <v>-2</v>
      </c>
      <c r="T88" s="176">
        <f t="shared" si="31"/>
        <v>4</v>
      </c>
      <c r="U88" s="250">
        <f t="shared" si="32"/>
        <v>-1.0129269319945919</v>
      </c>
      <c r="V88" s="382">
        <f t="shared" si="33"/>
        <v>47.662451019966952</v>
      </c>
      <c r="W88" s="400">
        <f t="shared" si="34"/>
        <v>13.294505954324114</v>
      </c>
      <c r="X88" s="157">
        <f t="shared" si="35"/>
        <v>46461</v>
      </c>
      <c r="Y88" s="383">
        <f t="shared" si="36"/>
        <v>12.940587091256329</v>
      </c>
      <c r="Z88" s="383">
        <f t="shared" si="37"/>
        <v>13.6972180668091</v>
      </c>
      <c r="AA88" s="384">
        <f t="shared" si="38"/>
        <v>14.687035790114122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6.739397503009216E-2</v>
      </c>
      <c r="AD88" s="230">
        <f>(INDEX(Models!$BJ88:$BT88,,AH88)*(1-AF88)+INDEX(Models!$BJ88:$BT88,,AH88+1)*AF88-ERP_i)*AE88*Ramure*Pc/MaxiM</f>
        <v>3.1336287682418807E-5</v>
      </c>
      <c r="AE88" s="304">
        <f t="shared" si="40"/>
        <v>0.6</v>
      </c>
      <c r="AF88" s="177">
        <f t="shared" si="41"/>
        <v>0.51206063437938676</v>
      </c>
      <c r="AG88" s="799">
        <f t="shared" si="49"/>
        <v>2</v>
      </c>
      <c r="AH88" s="176">
        <f t="shared" si="42"/>
        <v>8</v>
      </c>
      <c r="AI88" s="224">
        <f t="shared" si="43"/>
        <v>2.5120606343793868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46462</v>
      </c>
      <c r="B89" s="409">
        <f>IF(t&gt;Tmaj,'2026'!Wh/'2026'!Env_an*'2027'!Env_an,0.001*'[5]mon-tableau'!$B$257)</f>
        <v>13.366519319949196</v>
      </c>
      <c r="C89" s="829"/>
      <c r="D89" s="391">
        <f t="shared" si="25"/>
        <v>14.148325532780271</v>
      </c>
      <c r="E89" s="383">
        <f t="shared" si="47"/>
        <v>14.768212692826765</v>
      </c>
      <c r="F89" s="383">
        <f t="shared" si="26"/>
        <v>14.768212692826765</v>
      </c>
      <c r="G89" s="110">
        <f t="shared" si="48"/>
        <v>0.27868280154575042</v>
      </c>
      <c r="H89" s="412" t="b">
        <f>Wh_hp&gt;='2026'!Maxi_hp</f>
        <v>0</v>
      </c>
      <c r="I89" s="388">
        <f>IF(H89,Wh_hp,'2026'!Maxi_hp)</f>
        <v>54.475764848808986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5.5257861505922157E-2</v>
      </c>
      <c r="M89" s="832"/>
      <c r="N89" s="832"/>
      <c r="O89" s="48">
        <f>IF(t&lt;Tnet,'2026'!Resal+('2026'!Salim-'2026'!Resal)*(1-EXP(('2026'!Tnet-t)/('2026'!Tau_j))),Resal+(Salim-Resal)*(1-EXP((Tnet-t)/(Tau_j))))*Salcycl</f>
        <v>4.1974419852958043E-2</v>
      </c>
      <c r="P89" s="169">
        <f>(INDEX(Models!$BJ89:$BT89,,T89)*(1-R89)+INDEX(Models!$BJ89:$BT89,,T89+1)*R89-ERP_i)*Q89*Ramure*Pc/MaxiM</f>
        <v>2.8216686238090531E-6</v>
      </c>
      <c r="Q89" s="304">
        <f t="shared" si="28"/>
        <v>0.6</v>
      </c>
      <c r="R89" s="177">
        <f t="shared" si="29"/>
        <v>0.98762926929817985</v>
      </c>
      <c r="S89" s="799">
        <f t="shared" si="30"/>
        <v>-2</v>
      </c>
      <c r="T89" s="176">
        <f t="shared" si="31"/>
        <v>4</v>
      </c>
      <c r="U89" s="250">
        <f t="shared" si="32"/>
        <v>-1.0123707307018202</v>
      </c>
      <c r="V89" s="382">
        <f t="shared" si="33"/>
        <v>47.963066001640911</v>
      </c>
      <c r="W89" s="400">
        <f t="shared" si="34"/>
        <v>13.366519319949196</v>
      </c>
      <c r="X89" s="157">
        <f t="shared" si="35"/>
        <v>46462</v>
      </c>
      <c r="Y89" s="383">
        <f t="shared" si="36"/>
        <v>13.011045492395894</v>
      </c>
      <c r="Z89" s="383">
        <f t="shared" si="37"/>
        <v>13.772060081003209</v>
      </c>
      <c r="AA89" s="384">
        <f t="shared" si="38"/>
        <v>14.768212692826765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6.7452482744063458E-2</v>
      </c>
      <c r="AD89" s="230">
        <f>(INDEX(Models!$BJ89:$BT89,,AH89)*(1-AF89)+INDEX(Models!$BJ89:$BT89,,AH89+1)*AF89-ERP_i)*AE89*Ramure*Pc/MaxiM</f>
        <v>3.0076823314768318E-5</v>
      </c>
      <c r="AE89" s="304">
        <f t="shared" si="40"/>
        <v>0.6</v>
      </c>
      <c r="AF89" s="177">
        <f t="shared" si="41"/>
        <v>0.51261683567215854</v>
      </c>
      <c r="AG89" s="799">
        <f t="shared" si="49"/>
        <v>2</v>
      </c>
      <c r="AH89" s="176">
        <f t="shared" si="42"/>
        <v>8</v>
      </c>
      <c r="AI89" s="224">
        <f t="shared" si="43"/>
        <v>2.5126168356721585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46463</v>
      </c>
      <c r="B90" s="409">
        <f>IF(t&gt;Tmaj,'2026'!Wh/'2026'!Env_an*'2027'!Env_an,0.001*'[5]mon-tableau'!$B$258)</f>
        <v>11.0205373095426</v>
      </c>
      <c r="C90" s="829"/>
      <c r="D90" s="391">
        <f t="shared" si="25"/>
        <v>11.665350862025539</v>
      </c>
      <c r="E90" s="383">
        <f t="shared" si="47"/>
        <v>12.177554026519621</v>
      </c>
      <c r="F90" s="383">
        <f t="shared" si="26"/>
        <v>12.177554026519621</v>
      </c>
      <c r="G90" s="110">
        <f t="shared" si="48"/>
        <v>0.22835879593079023</v>
      </c>
      <c r="H90" s="412" t="b">
        <f>Wh_hp&gt;='2026'!Maxi_hp</f>
        <v>0</v>
      </c>
      <c r="I90" s="388">
        <f>IF(H90,Wh_hp,'2026'!Maxi_hp)</f>
        <v>28.016167697203379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5.5275967273476057E-2</v>
      </c>
      <c r="M90" s="832"/>
      <c r="N90" s="832"/>
      <c r="O90" s="48">
        <f>IF(t&lt;Tnet,'2026'!Resal+('2026'!Salim-'2026'!Resal)*(1-EXP(('2026'!Tnet-t)/('2026'!Tau_j))),Resal+(Salim-Resal)*(1-EXP((Tnet-t)/(Tau_j))))*Salcycl</f>
        <v>4.2061251658472083E-2</v>
      </c>
      <c r="P90" s="169">
        <f>(INDEX(Models!$BJ90:$BT90,,T90)*(1-R90)+INDEX(Models!$BJ90:$BT90,,T90+1)*R90-ERP_i)*Q90*Ramure*Pc/MaxiM</f>
        <v>2.6894740117548234E-6</v>
      </c>
      <c r="Q90" s="304">
        <f t="shared" si="28"/>
        <v>0.6</v>
      </c>
      <c r="R90" s="177">
        <f t="shared" si="29"/>
        <v>0.98820745502394414</v>
      </c>
      <c r="S90" s="799">
        <f t="shared" si="30"/>
        <v>-2</v>
      </c>
      <c r="T90" s="176">
        <f t="shared" si="31"/>
        <v>4</v>
      </c>
      <c r="U90" s="250">
        <f t="shared" si="32"/>
        <v>-1.0117925449760559</v>
      </c>
      <c r="V90" s="382">
        <f t="shared" si="33"/>
        <v>48.259615423064091</v>
      </c>
      <c r="W90" s="400">
        <f t="shared" si="34"/>
        <v>11.0205373095426</v>
      </c>
      <c r="X90" s="157">
        <f t="shared" si="35"/>
        <v>46463</v>
      </c>
      <c r="Y90" s="383">
        <f t="shared" si="36"/>
        <v>10.727750542125822</v>
      </c>
      <c r="Z90" s="383">
        <f t="shared" si="37"/>
        <v>11.35543308998392</v>
      </c>
      <c r="AA90" s="384">
        <f t="shared" si="38"/>
        <v>12.177554026519621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6.7511171352254415E-2</v>
      </c>
      <c r="AD90" s="230">
        <f>(INDEX(Models!$BJ90:$BT90,,AH90)*(1-AF90)+INDEX(Models!$BJ90:$BT90,,AH90+1)*AF90-ERP_i)*AE90*Ramure*Pc/MaxiM</f>
        <v>2.8819138915290041E-5</v>
      </c>
      <c r="AE90" s="304">
        <f t="shared" si="40"/>
        <v>0.6</v>
      </c>
      <c r="AF90" s="177">
        <f t="shared" si="41"/>
        <v>0.51319502139792306</v>
      </c>
      <c r="AG90" s="799">
        <f t="shared" si="49"/>
        <v>2</v>
      </c>
      <c r="AH90" s="176">
        <f t="shared" si="42"/>
        <v>8</v>
      </c>
      <c r="AI90" s="224">
        <f t="shared" si="43"/>
        <v>2.5131950213979231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46464</v>
      </c>
      <c r="B91" s="409">
        <f>IF(t&gt;Tmaj,'2026'!Wh/'2026'!Env_an*'2027'!Env_an,0.001*'[5]mon-tableau'!$B$259)</f>
        <v>13.812551923654855</v>
      </c>
      <c r="C91" s="829"/>
      <c r="D91" s="391">
        <f t="shared" si="25"/>
        <v>14.621006944504296</v>
      </c>
      <c r="E91" s="383">
        <f t="shared" si="47"/>
        <v>15.264372111891872</v>
      </c>
      <c r="F91" s="383">
        <f t="shared" si="26"/>
        <v>15.264372111891872</v>
      </c>
      <c r="G91" s="110">
        <f t="shared" si="48"/>
        <v>0.28449140801940914</v>
      </c>
      <c r="H91" s="412" t="b">
        <f>Wh_hp&gt;='2026'!Maxi_hp</f>
        <v>0</v>
      </c>
      <c r="I91" s="388">
        <f>IF(H91,Wh_hp,'2026'!Maxi_hp)</f>
        <v>36.161356704838056</v>
      </c>
      <c r="J91" s="85">
        <f>IF(H91,An,'2026'!An_max)</f>
        <v>2018</v>
      </c>
      <c r="K91" s="197">
        <f t="shared" si="27"/>
        <v>46464</v>
      </c>
      <c r="L91" s="147">
        <f>IF(t&lt;Tvie,1-EXP((T0-t)*PertePVj)+'2026'!Pspv,1-EXP((T0-t)*PertePVj)+Pspv)</f>
        <v>5.5294072694037077E-2</v>
      </c>
      <c r="M91" s="832"/>
      <c r="N91" s="832"/>
      <c r="O91" s="48">
        <f>IF(t&lt;Tnet,'2026'!Resal+('2026'!Salim-'2026'!Resal)*(1-EXP(('2026'!Tnet-t)/('2026'!Tau_j))),Resal+(Salim-Resal)*(1-EXP((Tnet-t)/(Tau_j))))*Salcycl</f>
        <v>4.2148157989830036E-2</v>
      </c>
      <c r="P91" s="169">
        <f>(INDEX(Models!$BJ91:$BT91,,T91)*(1-R91)+INDEX(Models!$BJ91:$BT91,,T91+1)*R91-ERP_i)*Q91*Ramure*Pc/MaxiM</f>
        <v>2.5571049780481738E-6</v>
      </c>
      <c r="Q91" s="304">
        <f t="shared" si="28"/>
        <v>0.6</v>
      </c>
      <c r="R91" s="177">
        <f t="shared" si="29"/>
        <v>0.9888084371025696</v>
      </c>
      <c r="S91" s="799">
        <f t="shared" si="30"/>
        <v>-2</v>
      </c>
      <c r="T91" s="176">
        <f t="shared" si="31"/>
        <v>4</v>
      </c>
      <c r="U91" s="250">
        <f t="shared" si="32"/>
        <v>-1.0111915628974304</v>
      </c>
      <c r="V91" s="382">
        <f t="shared" si="33"/>
        <v>48.551612506228047</v>
      </c>
      <c r="W91" s="400">
        <f t="shared" si="34"/>
        <v>13.812551923654855</v>
      </c>
      <c r="X91" s="157">
        <f t="shared" si="35"/>
        <v>46464</v>
      </c>
      <c r="Y91" s="383">
        <f t="shared" si="36"/>
        <v>13.445959303084811</v>
      </c>
      <c r="Z91" s="383">
        <f t="shared" si="37"/>
        <v>14.232957489140484</v>
      </c>
      <c r="AA91" s="384">
        <f t="shared" si="38"/>
        <v>15.264372111891872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6.7570065456400527E-2</v>
      </c>
      <c r="AD91" s="230">
        <f>(INDEX(Models!$BJ91:$BT91,,AH91)*(1-AF91)+INDEX(Models!$BJ91:$BT91,,AH91+1)*AF91-ERP_i)*AE91*Ramure*Pc/MaxiM</f>
        <v>2.7563110535924259E-5</v>
      </c>
      <c r="AE91" s="304">
        <f t="shared" si="40"/>
        <v>0.6</v>
      </c>
      <c r="AF91" s="177">
        <f t="shared" si="41"/>
        <v>0.51379600347654808</v>
      </c>
      <c r="AG91" s="799">
        <f t="shared" si="49"/>
        <v>2</v>
      </c>
      <c r="AH91" s="176">
        <f t="shared" si="42"/>
        <v>8</v>
      </c>
      <c r="AI91" s="224">
        <f t="shared" si="43"/>
        <v>2.5137960034765481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46465</v>
      </c>
      <c r="B92" s="409">
        <f>IF(t&gt;Tmaj,'2026'!Wh/'2026'!Env_an*'2027'!Env_an,0.001*'[5]mon-tableau'!$B$260)</f>
        <v>27.757709994255286</v>
      </c>
      <c r="C92" s="829"/>
      <c r="D92" s="391">
        <f t="shared" si="25"/>
        <v>29.382944652193302</v>
      </c>
      <c r="E92" s="383">
        <f t="shared" si="47"/>
        <v>30.678662735620733</v>
      </c>
      <c r="F92" s="383">
        <f t="shared" si="26"/>
        <v>30.678691250805677</v>
      </c>
      <c r="G92" s="110">
        <f t="shared" si="48"/>
        <v>0.56835546428081174</v>
      </c>
      <c r="H92" s="412" t="b">
        <f>Wh_hp&gt;='2026'!Maxi_hp</f>
        <v>0</v>
      </c>
      <c r="I92" s="388">
        <f>IF(H92,Wh_hp,'2026'!Maxi_hp)</f>
        <v>48.151919129153704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5.5312177767611881E-2</v>
      </c>
      <c r="M92" s="832"/>
      <c r="N92" s="832"/>
      <c r="O92" s="48">
        <f>IF(t&lt;Tnet,'2026'!Resal+('2026'!Salim-'2026'!Resal)*(1-EXP(('2026'!Tnet-t)/('2026'!Tau_j))),Resal+(Salim-Resal)*(1-EXP((Tnet-t)/(Tau_j))))*Salcycl</f>
        <v>4.2235155247591145E-2</v>
      </c>
      <c r="P92" s="169">
        <f>(INDEX(Models!$BJ92:$BT92,,T92)*(1-R92)+INDEX(Models!$BJ92:$BT92,,T92+1)*R92-ERP_i)*Q92*Ramure*Pc/MaxiM</f>
        <v>2.4245189670174469E-6</v>
      </c>
      <c r="Q92" s="304">
        <f t="shared" si="28"/>
        <v>0.6</v>
      </c>
      <c r="R92" s="177">
        <f t="shared" si="29"/>
        <v>0.98943305271677606</v>
      </c>
      <c r="S92" s="799">
        <f t="shared" si="30"/>
        <v>-2</v>
      </c>
      <c r="T92" s="176">
        <f t="shared" si="31"/>
        <v>4</v>
      </c>
      <c r="U92" s="250">
        <f t="shared" si="32"/>
        <v>-1.0105669472832239</v>
      </c>
      <c r="V92" s="382">
        <f t="shared" si="33"/>
        <v>48.83857064775836</v>
      </c>
      <c r="W92" s="400">
        <f t="shared" si="34"/>
        <v>27.757709994255286</v>
      </c>
      <c r="X92" s="157">
        <f t="shared" si="35"/>
        <v>46465</v>
      </c>
      <c r="Y92" s="383">
        <f t="shared" si="36"/>
        <v>27.021498768612219</v>
      </c>
      <c r="Z92" s="383">
        <f t="shared" si="37"/>
        <v>28.603627709265712</v>
      </c>
      <c r="AA92" s="384">
        <f t="shared" si="38"/>
        <v>30.67838183157242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6.7629190277940052E-2</v>
      </c>
      <c r="AD92" s="230">
        <f>(INDEX(Models!$BJ92:$BT92,,AH92)*(1-AF92)+INDEX(Models!$BJ92:$BT92,,AH92+1)*AF92-ERP_i)*AE92*Ramure*Pc/MaxiM</f>
        <v>2.6308537058157497E-5</v>
      </c>
      <c r="AE92" s="304">
        <f t="shared" si="40"/>
        <v>0.6</v>
      </c>
      <c r="AF92" s="177">
        <f t="shared" si="41"/>
        <v>0.51442061909075498</v>
      </c>
      <c r="AG92" s="799">
        <f t="shared" si="49"/>
        <v>2</v>
      </c>
      <c r="AH92" s="176">
        <f t="shared" si="42"/>
        <v>8</v>
      </c>
      <c r="AI92" s="224">
        <f t="shared" si="43"/>
        <v>2.514420619090755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46466</v>
      </c>
      <c r="B93" s="409">
        <f>IF(t&gt;Tmaj,'2026'!Wh/'2026'!Env_an*'2027'!Env_an,0.001*'[5]mon-tableau'!$B$261)</f>
        <v>30.71559956354811</v>
      </c>
      <c r="C93" s="829"/>
      <c r="D93" s="391">
        <f t="shared" si="25"/>
        <v>32.514644001340876</v>
      </c>
      <c r="E93" s="383">
        <f t="shared" si="47"/>
        <v>33.951550350846425</v>
      </c>
      <c r="F93" s="383">
        <f t="shared" si="26"/>
        <v>33.951586504384231</v>
      </c>
      <c r="G93" s="110">
        <f t="shared" si="48"/>
        <v>0.62528245798479254</v>
      </c>
      <c r="H93" s="412" t="b">
        <f>Wh_hp&gt;='2026'!Maxi_hp</f>
        <v>0</v>
      </c>
      <c r="I93" s="388">
        <f>IF(H93,Wh_hp,'2026'!Maxi_hp)</f>
        <v>53.213779784597463</v>
      </c>
      <c r="J93" s="85">
        <f>IF(H93,An,'2026'!An_max)</f>
        <v>2018</v>
      </c>
      <c r="K93" s="197">
        <f t="shared" si="27"/>
        <v>46466</v>
      </c>
      <c r="L93" s="147">
        <f>IF(t&lt;Tvie,1-EXP((T0-t)*PertePVj)+'2026'!Pspv,1-EXP((T0-t)*PertePVj)+Pspv)</f>
        <v>5.5330282494207017E-2</v>
      </c>
      <c r="M93" s="832"/>
      <c r="N93" s="832"/>
      <c r="O93" s="48">
        <f>IF(t&lt;Tnet,'2026'!Resal+('2026'!Salim-'2026'!Resal)*(1-EXP(('2026'!Tnet-t)/('2026'!Tau_j))),Resal+(Salim-Resal)*(1-EXP((Tnet-t)/(Tau_j))))*Salcycl</f>
        <v>4.232226024016382E-2</v>
      </c>
      <c r="P93" s="169">
        <f>(INDEX(Models!$BJ93:$BT93,,T93)*(1-R93)+INDEX(Models!$BJ93:$BT93,,T93+1)*R93-ERP_i)*Q93*Ramure*Pc/MaxiM</f>
        <v>2.2915382010333273E-6</v>
      </c>
      <c r="Q93" s="304">
        <f t="shared" si="28"/>
        <v>0.6</v>
      </c>
      <c r="R93" s="177">
        <f t="shared" si="29"/>
        <v>0.99008216469939758</v>
      </c>
      <c r="S93" s="799">
        <f t="shared" si="30"/>
        <v>-2</v>
      </c>
      <c r="T93" s="176">
        <f t="shared" si="31"/>
        <v>4</v>
      </c>
      <c r="U93" s="250">
        <f t="shared" si="32"/>
        <v>-1.0099178353006024</v>
      </c>
      <c r="V93" s="382">
        <f t="shared" si="33"/>
        <v>49.122698858703899</v>
      </c>
      <c r="W93" s="400">
        <f t="shared" si="34"/>
        <v>30.71559956354811</v>
      </c>
      <c r="X93" s="157">
        <f t="shared" si="35"/>
        <v>46466</v>
      </c>
      <c r="Y93" s="383">
        <f t="shared" si="36"/>
        <v>29.90170953689287</v>
      </c>
      <c r="Z93" s="383">
        <f t="shared" si="37"/>
        <v>31.653083593959394</v>
      </c>
      <c r="AA93" s="384">
        <f t="shared" si="38"/>
        <v>33.951191231778417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6.7688571577070006E-2</v>
      </c>
      <c r="AD93" s="230">
        <f>(INDEX(Models!$BJ93:$BT93,,AH93)*(1-AF93)+INDEX(Models!$BJ93:$BT93,,AH93+1)*AF93-ERP_i)*AE93*Ramure*Pc/MaxiM</f>
        <v>2.5053765993241373E-5</v>
      </c>
      <c r="AE93" s="304">
        <f t="shared" si="40"/>
        <v>0.6</v>
      </c>
      <c r="AF93" s="177">
        <f t="shared" si="41"/>
        <v>0.5150697310733765</v>
      </c>
      <c r="AG93" s="799">
        <f t="shared" si="49"/>
        <v>2</v>
      </c>
      <c r="AH93" s="176">
        <f t="shared" si="42"/>
        <v>8</v>
      </c>
      <c r="AI93" s="224">
        <f t="shared" si="43"/>
        <v>2.5150697310733765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46467</v>
      </c>
      <c r="B94" s="409">
        <f>IF(t&gt;Tmaj,'2026'!Wh/'2026'!Env_an*'2027'!Env_an,0.001*'[5]mon-tableau'!$B$262)</f>
        <v>44.993562864882236</v>
      </c>
      <c r="C94" s="829"/>
      <c r="D94" s="391">
        <f t="shared" si="25"/>
        <v>47.629795196118245</v>
      </c>
      <c r="E94" s="383">
        <f t="shared" si="47"/>
        <v>49.739209720029471</v>
      </c>
      <c r="F94" s="383">
        <f t="shared" si="26"/>
        <v>49.739303467106836</v>
      </c>
      <c r="G94" s="110">
        <f t="shared" si="48"/>
        <v>0.91068862153104557</v>
      </c>
      <c r="H94" s="412" t="b">
        <f>Wh_hp&gt;='2026'!Maxi_hp</f>
        <v>0</v>
      </c>
      <c r="I94" s="388">
        <f>IF(H94,Wh_hp,'2026'!Maxi_hp)</f>
        <v>53.458089214511951</v>
      </c>
      <c r="J94" s="85">
        <f>IF(H94,An,'2026'!An_max)</f>
        <v>2020</v>
      </c>
      <c r="K94" s="197">
        <f t="shared" si="27"/>
        <v>46467</v>
      </c>
      <c r="L94" s="147">
        <f>IF(t&lt;Tvie,1-EXP((T0-t)*PertePVj)+'2026'!Pspv,1-EXP((T0-t)*PertePVj)+Pspv)</f>
        <v>5.5348386873829258E-2</v>
      </c>
      <c r="M94" s="832"/>
      <c r="N94" s="832"/>
      <c r="O94" s="48">
        <f>IF(t&lt;Tnet,'2026'!Resal+('2026'!Salim-'2026'!Resal)*(1-EXP(('2026'!Tnet-t)/('2026'!Tau_j))),Resal+(Salim-Resal)*(1-EXP((Tnet-t)/(Tau_j))))*Salcycl</f>
        <v>4.2409490134335349E-2</v>
      </c>
      <c r="P94" s="169">
        <f>(INDEX(Models!$BJ94:$BT94,,T94)*(1-R94)+INDEX(Models!$BJ94:$BT94,,T94+1)*R94-ERP_i)*Q94*Ramure*Pc/MaxiM</f>
        <v>2.1604094643612279E-6</v>
      </c>
      <c r="Q94" s="304">
        <f t="shared" si="28"/>
        <v>0.6</v>
      </c>
      <c r="R94" s="177">
        <f t="shared" si="29"/>
        <v>0.99075666188909794</v>
      </c>
      <c r="S94" s="799">
        <f t="shared" si="30"/>
        <v>-2</v>
      </c>
      <c r="T94" s="176">
        <f t="shared" si="31"/>
        <v>4</v>
      </c>
      <c r="U94" s="250">
        <f t="shared" si="32"/>
        <v>-1.0092433381109021</v>
      </c>
      <c r="V94" s="382">
        <f t="shared" si="33"/>
        <v>49.406075138120592</v>
      </c>
      <c r="W94" s="400">
        <f t="shared" si="34"/>
        <v>44.993562864882236</v>
      </c>
      <c r="X94" s="157">
        <f t="shared" si="35"/>
        <v>46467</v>
      </c>
      <c r="Y94" s="383">
        <f t="shared" si="36"/>
        <v>43.80216338069777</v>
      </c>
      <c r="Z94" s="383">
        <f t="shared" si="37"/>
        <v>46.368590041085774</v>
      </c>
      <c r="AA94" s="384">
        <f t="shared" si="38"/>
        <v>49.738270079331308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6.7748235571341284E-2</v>
      </c>
      <c r="AD94" s="230">
        <f>(INDEX(Models!$BJ94:$BT94,,AH94)*(1-AF94)+INDEX(Models!$BJ94:$BT94,,AH94+1)*AF94-ERP_i)*AE94*Ramure*Pc/MaxiM</f>
        <v>2.3814510205383095E-5</v>
      </c>
      <c r="AE94" s="304">
        <f t="shared" si="40"/>
        <v>0.6</v>
      </c>
      <c r="AF94" s="177">
        <f t="shared" si="41"/>
        <v>0.51574422826307664</v>
      </c>
      <c r="AG94" s="799">
        <f t="shared" si="49"/>
        <v>2</v>
      </c>
      <c r="AH94" s="176">
        <f t="shared" si="42"/>
        <v>8</v>
      </c>
      <c r="AI94" s="224">
        <f t="shared" si="43"/>
        <v>2.5157442282630766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46468</v>
      </c>
      <c r="B95" s="409">
        <f>IF(t&gt;Tmaj,'2026'!Wh/'2026'!Env_an*'2027'!Env_an,0.001*'[5]mon-tableau'!$B$263)</f>
        <v>42.355240861707152</v>
      </c>
      <c r="C95" s="829"/>
      <c r="D95" s="391">
        <f t="shared" si="25"/>
        <v>44.837749724072253</v>
      </c>
      <c r="E95" s="383">
        <f t="shared" si="47"/>
        <v>46.827783600496765</v>
      </c>
      <c r="F95" s="383">
        <f t="shared" si="26"/>
        <v>46.827858923520466</v>
      </c>
      <c r="G95" s="110">
        <f t="shared" si="48"/>
        <v>0.85242329302530073</v>
      </c>
      <c r="H95" s="412" t="b">
        <f>Wh_hp&gt;='2026'!Maxi_hp</f>
        <v>0</v>
      </c>
      <c r="I95" s="388">
        <f>IF(H95,Wh_hp,'2026'!Maxi_hp)</f>
        <v>53.132913238257949</v>
      </c>
      <c r="J95" s="85">
        <f>IF(H95,An,'2026'!An_max)</f>
        <v>2020</v>
      </c>
      <c r="K95" s="197">
        <f t="shared" si="27"/>
        <v>46468</v>
      </c>
      <c r="L95" s="147">
        <f>IF(t&lt;Tvie,1-EXP((T0-t)*PertePVj)+'2026'!Pspv,1-EXP((T0-t)*PertePVj)+Pspv)</f>
        <v>5.5366490906485155E-2</v>
      </c>
      <c r="M95" s="832"/>
      <c r="N95" s="832"/>
      <c r="O95" s="48">
        <f>IF(t&lt;Tnet,'2026'!Resal+('2026'!Salim-'2026'!Resal)*(1-EXP(('2026'!Tnet-t)/('2026'!Tau_j))),Resal+(Salim-Resal)*(1-EXP((Tnet-t)/(Tau_j))))*Salcycl</f>
        <v>4.2496862405492969E-2</v>
      </c>
      <c r="P95" s="169">
        <f>(INDEX(Models!$BJ95:$BT95,,T95)*(1-R95)+INDEX(Models!$BJ95:$BT95,,T95+1)*R95-ERP_i)*Q95*Ramure*Pc/MaxiM</f>
        <v>2.0382113421161499E-6</v>
      </c>
      <c r="Q95" s="304">
        <f t="shared" si="28"/>
        <v>0.6</v>
      </c>
      <c r="R95" s="177">
        <f t="shared" si="29"/>
        <v>0.99145745945027253</v>
      </c>
      <c r="S95" s="799">
        <f t="shared" si="30"/>
        <v>-2</v>
      </c>
      <c r="T95" s="176">
        <f t="shared" si="31"/>
        <v>4</v>
      </c>
      <c r="U95" s="250">
        <f t="shared" si="32"/>
        <v>-1.0085425405497275</v>
      </c>
      <c r="V95" s="382">
        <f t="shared" si="33"/>
        <v>49.688016514896596</v>
      </c>
      <c r="W95" s="400">
        <f t="shared" si="34"/>
        <v>42.355240861707152</v>
      </c>
      <c r="X95" s="157">
        <f t="shared" si="35"/>
        <v>46468</v>
      </c>
      <c r="Y95" s="383">
        <f t="shared" si="36"/>
        <v>41.234920884267233</v>
      </c>
      <c r="Z95" s="383">
        <f t="shared" si="37"/>
        <v>43.651765988946245</v>
      </c>
      <c r="AA95" s="384">
        <f t="shared" si="38"/>
        <v>46.827022511428758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6.7808208854354374E-2</v>
      </c>
      <c r="AD95" s="230">
        <f>(INDEX(Models!$BJ95:$BT95,,AH95)*(1-AF95)+INDEX(Models!$BJ95:$BT95,,AH95+1)*AF95-ERP_i)*AE95*Ramure*Pc/MaxiM</f>
        <v>2.2632981632728709E-5</v>
      </c>
      <c r="AE95" s="304">
        <f t="shared" si="40"/>
        <v>0.6</v>
      </c>
      <c r="AF95" s="177">
        <f t="shared" si="41"/>
        <v>0.51644502582425122</v>
      </c>
      <c r="AG95" s="799">
        <f t="shared" si="49"/>
        <v>2</v>
      </c>
      <c r="AH95" s="176">
        <f t="shared" si="42"/>
        <v>8</v>
      </c>
      <c r="AI95" s="224">
        <f t="shared" si="43"/>
        <v>2.5164450258242512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46469</v>
      </c>
      <c r="B96" s="409">
        <f>IF(t&gt;Tmaj,'2026'!Wh/'2026'!Env_an*'2027'!Env_an,0.001*'[5]mon-tableau'!$B$264)</f>
        <v>48.164909295345026</v>
      </c>
      <c r="C96" s="829"/>
      <c r="D96" s="391">
        <f t="shared" si="25"/>
        <v>50.988909369470633</v>
      </c>
      <c r="E96" s="383">
        <f t="shared" si="47"/>
        <v>53.256818764901006</v>
      </c>
      <c r="F96" s="383">
        <f t="shared" si="26"/>
        <v>53.256915991289581</v>
      </c>
      <c r="G96" s="110">
        <f t="shared" si="48"/>
        <v>0.96391807016366449</v>
      </c>
      <c r="H96" s="412" t="b">
        <f>Wh_hp&gt;='2026'!Maxi_hp</f>
        <v>0</v>
      </c>
      <c r="I96" s="388">
        <f>IF(H96,Wh_hp,'2026'!Maxi_hp)</f>
        <v>53.726378247452473</v>
      </c>
      <c r="J96" s="85">
        <f>IF(H96,An,'2026'!An_max)</f>
        <v>2021</v>
      </c>
      <c r="K96" s="197">
        <f t="shared" si="27"/>
        <v>46469</v>
      </c>
      <c r="L96" s="147">
        <f>IF(t&lt;Tvie,1-EXP((T0-t)*PertePVj)+'2026'!Pspv,1-EXP((T0-t)*PertePVj)+Pspv)</f>
        <v>5.5384594592181369E-2</v>
      </c>
      <c r="M96" s="832"/>
      <c r="N96" s="832"/>
      <c r="O96" s="48">
        <f>IF(t&lt;Tnet,'2026'!Resal+('2026'!Salim-'2026'!Resal)*(1-EXP(('2026'!Tnet-t)/('2026'!Tau_j))),Resal+(Salim-Resal)*(1-EXP((Tnet-t)/(Tau_j))))*Salcycl</f>
        <v>4.2584394787866055E-2</v>
      </c>
      <c r="P96" s="169">
        <f>(INDEX(Models!$BJ96:$BT96,,T96)*(1-R96)+INDEX(Models!$BJ96:$BT96,,T96+1)*R96-ERP_i)*Q96*Ramure*Pc/MaxiM</f>
        <v>1.924826676492639E-6</v>
      </c>
      <c r="Q96" s="304">
        <f t="shared" si="28"/>
        <v>0.6</v>
      </c>
      <c r="R96" s="177">
        <f t="shared" si="29"/>
        <v>0.99218549915256715</v>
      </c>
      <c r="S96" s="799">
        <f t="shared" si="30"/>
        <v>-2</v>
      </c>
      <c r="T96" s="176">
        <f t="shared" si="31"/>
        <v>4</v>
      </c>
      <c r="U96" s="250">
        <f t="shared" si="32"/>
        <v>-1.0078145008474328</v>
      </c>
      <c r="V96" s="382">
        <f t="shared" si="33"/>
        <v>49.96784063652153</v>
      </c>
      <c r="W96" s="400">
        <f t="shared" si="34"/>
        <v>48.164909295345026</v>
      </c>
      <c r="X96" s="157">
        <f t="shared" si="35"/>
        <v>46469</v>
      </c>
      <c r="Y96" s="383">
        <f t="shared" si="36"/>
        <v>46.892064553194231</v>
      </c>
      <c r="Z96" s="383">
        <f t="shared" si="37"/>
        <v>49.641435323563805</v>
      </c>
      <c r="AA96" s="384">
        <f t="shared" si="38"/>
        <v>53.255829567982929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6.7868518315074372E-2</v>
      </c>
      <c r="AD96" s="230">
        <f>(INDEX(Models!$BJ96:$BT96,,AH96)*(1-AF96)+INDEX(Models!$BJ96:$BT96,,AH96+1)*AF96-ERP_i)*AE96*Ramure*Pc/MaxiM</f>
        <v>2.1508322928764067E-5</v>
      </c>
      <c r="AE96" s="304">
        <f t="shared" si="40"/>
        <v>0.6</v>
      </c>
      <c r="AF96" s="177">
        <f t="shared" si="41"/>
        <v>0.51717306552654607</v>
      </c>
      <c r="AG96" s="799">
        <f t="shared" si="49"/>
        <v>2</v>
      </c>
      <c r="AH96" s="176">
        <f t="shared" si="42"/>
        <v>8</v>
      </c>
      <c r="AI96" s="224">
        <f t="shared" si="43"/>
        <v>2.5171730655265461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46470</v>
      </c>
      <c r="B97" s="409">
        <f>IF(t&gt;Tmaj,'2026'!Wh/'2026'!Env_an*'2027'!Env_an,0.001*'[5]mon-tableau'!$B$265)</f>
        <v>47.528243187761724</v>
      </c>
      <c r="C97" s="829"/>
      <c r="D97" s="391">
        <f t="shared" si="25"/>
        <v>50.315878611609811</v>
      </c>
      <c r="E97" s="383">
        <f t="shared" si="47"/>
        <v>52.558667606191825</v>
      </c>
      <c r="F97" s="383">
        <f t="shared" si="26"/>
        <v>52.558755881448654</v>
      </c>
      <c r="G97" s="110">
        <f t="shared" si="48"/>
        <v>0.94593220832707259</v>
      </c>
      <c r="H97" s="412" t="b">
        <f>Wh_hp&gt;='2026'!Maxi_hp</f>
        <v>0</v>
      </c>
      <c r="I97" s="388">
        <f>IF(H97,Wh_hp,'2026'!Maxi_hp)</f>
        <v>52.931336323355495</v>
      </c>
      <c r="J97" s="85">
        <f>IF(H97,An,'2026'!An_max)</f>
        <v>2018</v>
      </c>
      <c r="K97" s="197">
        <f t="shared" si="27"/>
        <v>46470</v>
      </c>
      <c r="L97" s="147">
        <f>IF(t&lt;Tvie,1-EXP((T0-t)*PertePVj)+'2026'!Pspv,1-EXP((T0-t)*PertePVj)+Pspv)</f>
        <v>5.540269793092456E-2</v>
      </c>
      <c r="M97" s="832"/>
      <c r="N97" s="832"/>
      <c r="O97" s="48">
        <f>IF(t&lt;Tnet,'2026'!Resal+('2026'!Salim-'2026'!Resal)*(1-EXP(('2026'!Tnet-t)/('2026'!Tau_j))),Resal+(Salim-Resal)*(1-EXP((Tnet-t)/(Tau_j))))*Salcycl</f>
        <v>4.267210522509126E-2</v>
      </c>
      <c r="P97" s="169">
        <f>(INDEX(Models!$BJ97:$BT97,,T97)*(1-R97)+INDEX(Models!$BJ97:$BT97,,T97+1)*R97-ERP_i)*Q97*Ramure*Pc/MaxiM</f>
        <v>1.8201405426173916E-6</v>
      </c>
      <c r="Q97" s="304">
        <f t="shared" si="28"/>
        <v>0.6</v>
      </c>
      <c r="R97" s="177">
        <f t="shared" si="29"/>
        <v>0.99294174960512693</v>
      </c>
      <c r="S97" s="799">
        <f t="shared" si="30"/>
        <v>-2</v>
      </c>
      <c r="T97" s="176">
        <f t="shared" si="31"/>
        <v>4</v>
      </c>
      <c r="U97" s="250">
        <f t="shared" si="32"/>
        <v>-1.0070582503948731</v>
      </c>
      <c r="V97" s="382">
        <f t="shared" si="33"/>
        <v>50.244865422189633</v>
      </c>
      <c r="W97" s="400">
        <f t="shared" si="34"/>
        <v>47.528243187761724</v>
      </c>
      <c r="X97" s="157">
        <f t="shared" si="35"/>
        <v>46470</v>
      </c>
      <c r="Y97" s="383">
        <f t="shared" si="36"/>
        <v>46.273515258381359</v>
      </c>
      <c r="Z97" s="383">
        <f t="shared" si="37"/>
        <v>48.987558144642598</v>
      </c>
      <c r="AA97" s="384">
        <f t="shared" si="38"/>
        <v>52.557764576128164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6.7929191058235402E-2</v>
      </c>
      <c r="AD97" s="230">
        <f>(INDEX(Models!$BJ97:$BT97,,AH97)*(1-AF97)+INDEX(Models!$BJ97:$BT97,,AH97+1)*AF97-ERP_i)*AE97*Ramure*Pc/MaxiM</f>
        <v>2.0439646043205747E-5</v>
      </c>
      <c r="AE97" s="304">
        <f t="shared" si="40"/>
        <v>0.6</v>
      </c>
      <c r="AF97" s="177">
        <f t="shared" si="41"/>
        <v>0.51792931597910563</v>
      </c>
      <c r="AG97" s="799">
        <f t="shared" si="49"/>
        <v>2</v>
      </c>
      <c r="AH97" s="176">
        <f t="shared" si="42"/>
        <v>8</v>
      </c>
      <c r="AI97" s="224">
        <f t="shared" si="43"/>
        <v>2.5179293159791056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46471</v>
      </c>
      <c r="B98" s="409">
        <f>IF(t&gt;Tmaj,'2026'!Wh/'2026'!Env_an*'2027'!Env_an,0.001*'[5]mon-tableau'!$B$266)</f>
        <v>39.900281910188014</v>
      </c>
      <c r="C98" s="829"/>
      <c r="D98" s="391">
        <f t="shared" si="25"/>
        <v>42.241330265545756</v>
      </c>
      <c r="E98" s="383">
        <f t="shared" si="47"/>
        <v>44.128254969706894</v>
      </c>
      <c r="F98" s="383">
        <f t="shared" si="26"/>
        <v>44.128308205120035</v>
      </c>
      <c r="G98" s="110">
        <f t="shared" si="48"/>
        <v>0.78981626683823225</v>
      </c>
      <c r="H98" s="412" t="b">
        <f>Wh_hp&gt;='2026'!Maxi_hp</f>
        <v>0</v>
      </c>
      <c r="I98" s="388">
        <f>IF(H98,Wh_hp,'2026'!Maxi_hp)</f>
        <v>46.534768311108202</v>
      </c>
      <c r="J98" s="85">
        <f>IF(H98,An,'2026'!An_max)</f>
        <v>2020</v>
      </c>
      <c r="K98" s="197">
        <f t="shared" si="27"/>
        <v>46471</v>
      </c>
      <c r="L98" s="147">
        <f>IF(t&lt;Tvie,1-EXP((T0-t)*PertePVj)+'2026'!Pspv,1-EXP((T0-t)*PertePVj)+Pspv)</f>
        <v>5.5420800922721503E-2</v>
      </c>
      <c r="M98" s="832"/>
      <c r="N98" s="832"/>
      <c r="O98" s="48">
        <f>IF(t&lt;Tnet,'2026'!Resal+('2026'!Salim-'2026'!Resal)*(1-EXP(('2026'!Tnet-t)/('2026'!Tau_j))),Resal+(Salim-Resal)*(1-EXP((Tnet-t)/(Tau_j))))*Salcycl</f>
        <v>4.2760011821370902E-2</v>
      </c>
      <c r="P98" s="169">
        <f>(INDEX(Models!$BJ98:$BT98,,T98)*(1-R98)+INDEX(Models!$BJ98:$BT98,,T98+1)*R98-ERP_i)*Q98*Ramure*Pc/MaxiM</f>
        <v>1.7240419323490972E-6</v>
      </c>
      <c r="Q98" s="304">
        <f t="shared" si="28"/>
        <v>0.6</v>
      </c>
      <c r="R98" s="177">
        <f t="shared" si="29"/>
        <v>0.99372720644037416</v>
      </c>
      <c r="S98" s="799">
        <f t="shared" si="30"/>
        <v>-2</v>
      </c>
      <c r="T98" s="176">
        <f t="shared" si="31"/>
        <v>4</v>
      </c>
      <c r="U98" s="250">
        <f t="shared" si="32"/>
        <v>-1.0062727935596258</v>
      </c>
      <c r="V98" s="382">
        <f t="shared" si="33"/>
        <v>50.518409066133017</v>
      </c>
      <c r="W98" s="400">
        <f t="shared" si="34"/>
        <v>39.900281910188014</v>
      </c>
      <c r="X98" s="157">
        <f t="shared" si="35"/>
        <v>46471</v>
      </c>
      <c r="Y98" s="383">
        <f t="shared" si="36"/>
        <v>38.848137793974765</v>
      </c>
      <c r="Z98" s="383">
        <f t="shared" si="37"/>
        <v>41.127454248329784</v>
      </c>
      <c r="AA98" s="384">
        <f t="shared" si="38"/>
        <v>44.127708362747541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6.7990254326249222E-2</v>
      </c>
      <c r="AD98" s="230">
        <f>(INDEX(Models!$BJ98:$BT98,,AH98)*(1-AF98)+INDEX(Models!$BJ98:$BT98,,AH98+1)*AF98-ERP_i)*AE98*Ramure*Pc/MaxiM</f>
        <v>1.9426042590717696E-5</v>
      </c>
      <c r="AE98" s="304">
        <f t="shared" si="40"/>
        <v>0.6</v>
      </c>
      <c r="AF98" s="177">
        <f t="shared" si="41"/>
        <v>0.51871477281435308</v>
      </c>
      <c r="AG98" s="799">
        <f t="shared" si="49"/>
        <v>2</v>
      </c>
      <c r="AH98" s="176">
        <f t="shared" si="42"/>
        <v>8</v>
      </c>
      <c r="AI98" s="224">
        <f t="shared" si="43"/>
        <v>2.5187147728143531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46472</v>
      </c>
      <c r="B99" s="409">
        <f>IF(t&gt;Tmaj,'2026'!Wh/'2026'!Env_an*'2027'!Env_an,0.001*'[5]mon-tableau'!$B$267)</f>
        <v>46.148688599317779</v>
      </c>
      <c r="C99" s="829"/>
      <c r="D99" s="391">
        <f t="shared" si="25"/>
        <v>48.857282788397676</v>
      </c>
      <c r="E99" s="383">
        <f t="shared" si="47"/>
        <v>51.044441809415616</v>
      </c>
      <c r="F99" s="383">
        <f t="shared" si="26"/>
        <v>51.044514440072689</v>
      </c>
      <c r="G99" s="110">
        <f t="shared" si="48"/>
        <v>0.90865695686984671</v>
      </c>
      <c r="H99" s="412" t="b">
        <f>Wh_hp&gt;='2026'!Maxi_hp</f>
        <v>0</v>
      </c>
      <c r="I99" s="388">
        <f>IF(H99,Wh_hp,'2026'!Maxi_hp)</f>
        <v>56.562989488883829</v>
      </c>
      <c r="J99" s="85">
        <f>IF(H99,An,'2026'!An_max)</f>
        <v>2020</v>
      </c>
      <c r="K99" s="197">
        <f t="shared" si="27"/>
        <v>46472</v>
      </c>
      <c r="L99" s="147">
        <f>IF(t&lt;Tvie,1-EXP((T0-t)*PertePVj)+'2026'!Pspv,1-EXP((T0-t)*PertePVj)+Pspv)</f>
        <v>5.5438903567578635E-2</v>
      </c>
      <c r="M99" s="832"/>
      <c r="N99" s="832"/>
      <c r="O99" s="48">
        <f>IF(t&lt;Tnet,'2026'!Resal+('2026'!Salim-'2026'!Resal)*(1-EXP(('2026'!Tnet-t)/('2026'!Tau_j))),Resal+(Salim-Resal)*(1-EXP((Tnet-t)/(Tau_j))))*Salcycl</f>
        <v>4.2848132793461134E-2</v>
      </c>
      <c r="P99" s="169">
        <f>(INDEX(Models!$BJ99:$BT99,,T99)*(1-R99)+INDEX(Models!$BJ99:$BT99,,T99+1)*R99-ERP_i)*Q99*Ramure*Pc/MaxiM</f>
        <v>1.6364253835187793E-6</v>
      </c>
      <c r="Q99" s="304">
        <f t="shared" si="28"/>
        <v>0.6</v>
      </c>
      <c r="R99" s="177">
        <f t="shared" si="29"/>
        <v>0.99454289244177785</v>
      </c>
      <c r="S99" s="799">
        <f t="shared" si="30"/>
        <v>-2</v>
      </c>
      <c r="T99" s="176">
        <f t="shared" si="31"/>
        <v>4</v>
      </c>
      <c r="U99" s="250">
        <f t="shared" si="32"/>
        <v>-1.0054571075582222</v>
      </c>
      <c r="V99" s="382">
        <f t="shared" si="33"/>
        <v>50.787790041067034</v>
      </c>
      <c r="W99" s="400">
        <f t="shared" si="34"/>
        <v>46.148688599317779</v>
      </c>
      <c r="X99" s="157">
        <f t="shared" si="35"/>
        <v>46472</v>
      </c>
      <c r="Y99" s="383">
        <f t="shared" si="36"/>
        <v>44.932849575128138</v>
      </c>
      <c r="Z99" s="383">
        <f t="shared" si="37"/>
        <v>47.570082808659123</v>
      </c>
      <c r="AA99" s="384">
        <f t="shared" si="38"/>
        <v>51.043694823820971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6.8051735422977003E-2</v>
      </c>
      <c r="AD99" s="230">
        <f>(INDEX(Models!$BJ99:$BT99,,AH99)*(1-AF99)+INDEX(Models!$BJ99:$BT99,,AH99+1)*AF99-ERP_i)*AE99*Ramure*Pc/MaxiM</f>
        <v>1.8466593764115277E-5</v>
      </c>
      <c r="AE99" s="304">
        <f t="shared" si="40"/>
        <v>0.6</v>
      </c>
      <c r="AF99" s="177">
        <f t="shared" si="41"/>
        <v>0.51953045881575655</v>
      </c>
      <c r="AG99" s="799">
        <f t="shared" si="49"/>
        <v>2</v>
      </c>
      <c r="AH99" s="176">
        <f t="shared" si="42"/>
        <v>8</v>
      </c>
      <c r="AI99" s="224">
        <f t="shared" si="43"/>
        <v>2.5195304588157565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46473</v>
      </c>
      <c r="B100" s="409">
        <f>IF(t&gt;Tmaj,'2026'!Wh/'2026'!Env_an*'2027'!Env_an,0.001*'[5]mon-tableau'!$B$268)</f>
        <v>45.339142447278981</v>
      </c>
      <c r="C100" s="829"/>
      <c r="D100" s="391">
        <f t="shared" si="25"/>
        <v>48.001142064289091</v>
      </c>
      <c r="E100" s="383">
        <f t="shared" si="47"/>
        <v>50.154604562157736</v>
      </c>
      <c r="F100" s="383">
        <f t="shared" si="26"/>
        <v>50.154670114993564</v>
      </c>
      <c r="G100" s="110">
        <f t="shared" si="48"/>
        <v>0.8880913697056626</v>
      </c>
      <c r="H100" s="412" t="b">
        <f>Wh_hp&gt;='2026'!Maxi_hp</f>
        <v>0</v>
      </c>
      <c r="I100" s="388">
        <f>IF(H100,Wh_hp,'2026'!Maxi_hp)</f>
        <v>55.827090198915265</v>
      </c>
      <c r="J100" s="85">
        <f>IF(H100,An,'2026'!An_max)</f>
        <v>2018</v>
      </c>
      <c r="K100" s="197">
        <f t="shared" si="27"/>
        <v>46473</v>
      </c>
      <c r="L100" s="147">
        <f>IF(t&lt;Tvie,1-EXP((T0-t)*PertePVj)+'2026'!Pspv,1-EXP((T0-t)*PertePVj)+Pspv)</f>
        <v>5.5457005865502729E-2</v>
      </c>
      <c r="M100" s="832"/>
      <c r="N100" s="832"/>
      <c r="O100" s="48">
        <f>IF(t&lt;Tnet,'2026'!Resal+('2026'!Salim-'2026'!Resal)*(1-EXP(('2026'!Tnet-t)/('2026'!Tau_j))),Resal+(Salim-Resal)*(1-EXP((Tnet-t)/(Tau_j))))*Salcycl</f>
        <v>4.2936486423690447E-2</v>
      </c>
      <c r="P100" s="169">
        <f>(INDEX(Models!$BJ100:$BT100,,T100)*(1-R100)+INDEX(Models!$BJ100:$BT100,,T100+1)*R100-ERP_i)*Q100*Ramure*Pc/MaxiM</f>
        <v>1.5557262389614856E-6</v>
      </c>
      <c r="Q100" s="304">
        <f t="shared" si="28"/>
        <v>0.6</v>
      </c>
      <c r="R100" s="177">
        <f t="shared" si="29"/>
        <v>0.99538985760974241</v>
      </c>
      <c r="S100" s="799">
        <f t="shared" si="30"/>
        <v>-2</v>
      </c>
      <c r="T100" s="176">
        <f t="shared" si="31"/>
        <v>4</v>
      </c>
      <c r="U100" s="250">
        <f t="shared" si="32"/>
        <v>-1.0046101423902576</v>
      </c>
      <c r="V100" s="382">
        <f t="shared" si="33"/>
        <v>51.052327178759754</v>
      </c>
      <c r="W100" s="400">
        <f t="shared" si="34"/>
        <v>45.339142447278981</v>
      </c>
      <c r="X100" s="157">
        <f t="shared" si="35"/>
        <v>46473</v>
      </c>
      <c r="Y100" s="383">
        <f t="shared" si="36"/>
        <v>44.145826473755527</v>
      </c>
      <c r="Z100" s="383">
        <f t="shared" si="37"/>
        <v>46.737762862988774</v>
      </c>
      <c r="AA100" s="384">
        <f t="shared" si="38"/>
        <v>50.153930730677111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6.8113661639661052E-2</v>
      </c>
      <c r="AD100" s="230">
        <f>(INDEX(Models!$BJ100:$BT100,,AH100)*(1-AF100)+INDEX(Models!$BJ100:$BT100,,AH100+1)*AF100-ERP_i)*AE100*Ramure*Pc/MaxiM</f>
        <v>1.7547365682274182E-5</v>
      </c>
      <c r="AE100" s="304">
        <f t="shared" si="40"/>
        <v>0.6</v>
      </c>
      <c r="AF100" s="177">
        <f t="shared" si="41"/>
        <v>0.52037742398372133</v>
      </c>
      <c r="AG100" s="799">
        <f t="shared" si="49"/>
        <v>2</v>
      </c>
      <c r="AH100" s="176">
        <f t="shared" si="42"/>
        <v>8</v>
      </c>
      <c r="AI100" s="224">
        <f t="shared" si="43"/>
        <v>2.5203774239837213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46474</v>
      </c>
      <c r="B101" s="409">
        <f>IF(t&gt;Tmaj,'2026'!Wh/'2026'!Env_an*'2027'!Env_an,0.001*'[5]mon-tableau'!$B$269)</f>
        <v>36.167341324494387</v>
      </c>
      <c r="C101" s="829"/>
      <c r="D101" s="391">
        <f t="shared" si="25"/>
        <v>38.291570316251551</v>
      </c>
      <c r="E101" s="383">
        <f t="shared" si="47"/>
        <v>40.013139275335526</v>
      </c>
      <c r="F101" s="383">
        <f t="shared" si="26"/>
        <v>40.013173450032056</v>
      </c>
      <c r="G101" s="110">
        <f t="shared" si="48"/>
        <v>0.70486015283033965</v>
      </c>
      <c r="H101" s="412" t="b">
        <f>Wh_hp&gt;='2026'!Maxi_hp</f>
        <v>0</v>
      </c>
      <c r="I101" s="388">
        <f>IF(H101,Wh_hp,'2026'!Maxi_hp)</f>
        <v>54.360653644959861</v>
      </c>
      <c r="J101" s="85">
        <f>IF(H101,An,'2026'!An_max)</f>
        <v>2018</v>
      </c>
      <c r="K101" s="197">
        <f t="shared" si="27"/>
        <v>46474</v>
      </c>
      <c r="L101" s="147">
        <f>IF(t&lt;Tvie,1-EXP((T0-t)*PertePVj)+'2026'!Pspv,1-EXP((T0-t)*PertePVj)+Pspv)</f>
        <v>5.5475107816500446E-2</v>
      </c>
      <c r="M101" s="832"/>
      <c r="N101" s="832"/>
      <c r="O101" s="48">
        <f>IF(t&lt;Tnet,'2026'!Resal+('2026'!Salim-'2026'!Resal)*(1-EXP(('2026'!Tnet-t)/('2026'!Tau_j))),Resal+(Salim-Resal)*(1-EXP((Tnet-t)/(Tau_j))))*Salcycl</f>
        <v>4.3025091014170062E-2</v>
      </c>
      <c r="P101" s="169">
        <f>(INDEX(Models!$BJ101:$BT101,,T101)*(1-R101)+INDEX(Models!$BJ101:$BT101,,T101+1)*R101-ERP_i)*Q101*Ramure*Pc/MaxiM</f>
        <v>1.4767065615054838E-6</v>
      </c>
      <c r="Q101" s="304">
        <f t="shared" si="28"/>
        <v>0.6</v>
      </c>
      <c r="R101" s="177">
        <f t="shared" si="29"/>
        <v>0.99626917915940671</v>
      </c>
      <c r="S101" s="799">
        <f t="shared" si="30"/>
        <v>-2</v>
      </c>
      <c r="T101" s="176">
        <f t="shared" si="31"/>
        <v>4</v>
      </c>
      <c r="U101" s="250">
        <f t="shared" si="32"/>
        <v>-1.0037308208405933</v>
      </c>
      <c r="V101" s="382">
        <f t="shared" si="33"/>
        <v>51.311339789490212</v>
      </c>
      <c r="W101" s="400">
        <f t="shared" si="34"/>
        <v>36.167341324494387</v>
      </c>
      <c r="X101" s="157">
        <f t="shared" si="35"/>
        <v>46474</v>
      </c>
      <c r="Y101" s="383">
        <f t="shared" si="36"/>
        <v>35.216491632418453</v>
      </c>
      <c r="Z101" s="383">
        <f t="shared" si="37"/>
        <v>37.284874039695183</v>
      </c>
      <c r="AA101" s="384">
        <f t="shared" si="38"/>
        <v>40.012788303150444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6.817606018325098E-2</v>
      </c>
      <c r="AD101" s="230">
        <f>(INDEX(Models!$BJ101:$BT101,,AH101)*(1-AF101)+INDEX(Models!$BJ101:$BT101,,AH101+1)*AF101-ERP_i)*AE101*Ramure*Pc/MaxiM</f>
        <v>1.6642398760886488E-5</v>
      </c>
      <c r="AE101" s="304">
        <f t="shared" si="40"/>
        <v>0.6</v>
      </c>
      <c r="AF101" s="177">
        <f t="shared" si="41"/>
        <v>0.52125674553338541</v>
      </c>
      <c r="AG101" s="799">
        <f t="shared" si="49"/>
        <v>2</v>
      </c>
      <c r="AH101" s="176">
        <f t="shared" si="42"/>
        <v>8</v>
      </c>
      <c r="AI101" s="224">
        <f t="shared" si="43"/>
        <v>2.5212567455333854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46475</v>
      </c>
      <c r="B102" s="409">
        <f>IF(t&gt;Tmaj,'2026'!Wh/'2026'!Env_an*'2027'!Env_an,0.001*'[5]mon-tableau'!$B$270)</f>
        <v>27.105656001186237</v>
      </c>
      <c r="C102" s="829"/>
      <c r="D102" s="391">
        <f t="shared" si="25"/>
        <v>28.69821188321777</v>
      </c>
      <c r="E102" s="383">
        <f t="shared" si="47"/>
        <v>29.991253742655708</v>
      </c>
      <c r="F102" s="383">
        <f t="shared" si="26"/>
        <v>29.991267272142235</v>
      </c>
      <c r="G102" s="110">
        <f t="shared" si="48"/>
        <v>0.52566815827688418</v>
      </c>
      <c r="H102" s="412" t="b">
        <f>Wh_hp&gt;='2026'!Maxi_hp</f>
        <v>0</v>
      </c>
      <c r="I102" s="388">
        <f>IF(H102,Wh_hp,'2026'!Maxi_hp)</f>
        <v>56.601597113397979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5.5493209420578338E-2</v>
      </c>
      <c r="M102" s="832"/>
      <c r="N102" s="832"/>
      <c r="O102" s="48">
        <f>IF(t&lt;Tnet,'2026'!Resal+('2026'!Salim-'2026'!Resal)*(1-EXP(('2026'!Tnet-t)/('2026'!Tau_j))),Resal+(Salim-Resal)*(1-EXP((Tnet-t)/(Tau_j))))*Salcycl</f>
        <v>4.3113964842319406E-2</v>
      </c>
      <c r="P102" s="169">
        <f>(INDEX(Models!$BJ102:$BT102,,T102)*(1-R102)+INDEX(Models!$BJ102:$BT102,,T102+1)*R102-ERP_i)*Q102*Ramure*Pc/MaxiM</f>
        <v>1.3993079243344144E-6</v>
      </c>
      <c r="Q102" s="304">
        <f t="shared" si="28"/>
        <v>0.6</v>
      </c>
      <c r="R102" s="177">
        <f t="shared" si="29"/>
        <v>0.99718196144379312</v>
      </c>
      <c r="S102" s="799">
        <f t="shared" si="30"/>
        <v>-2</v>
      </c>
      <c r="T102" s="176">
        <f t="shared" si="31"/>
        <v>4</v>
      </c>
      <c r="U102" s="250">
        <f t="shared" si="32"/>
        <v>-1.0028180385562069</v>
      </c>
      <c r="V102" s="382">
        <f t="shared" si="33"/>
        <v>51.564147215255936</v>
      </c>
      <c r="W102" s="400">
        <f t="shared" si="34"/>
        <v>27.105656001186237</v>
      </c>
      <c r="X102" s="157">
        <f t="shared" si="35"/>
        <v>46475</v>
      </c>
      <c r="Y102" s="383">
        <f t="shared" si="36"/>
        <v>26.39381963434942</v>
      </c>
      <c r="Z102" s="383">
        <f t="shared" si="37"/>
        <v>27.944552540652186</v>
      </c>
      <c r="AA102" s="384">
        <f t="shared" si="38"/>
        <v>29.991114979316848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6.8238958107294773E-2</v>
      </c>
      <c r="AD102" s="230">
        <f>(INDEX(Models!$BJ102:$BT102,,AH102)*(1-AF102)+INDEX(Models!$BJ102:$BT102,,AH102+1)*AF102-ERP_i)*AE102*Ramure*Pc/MaxiM</f>
        <v>1.5751119377296763E-5</v>
      </c>
      <c r="AE102" s="304">
        <f t="shared" si="40"/>
        <v>0.6</v>
      </c>
      <c r="AF102" s="177">
        <f t="shared" si="41"/>
        <v>0.52216952781777159</v>
      </c>
      <c r="AG102" s="799">
        <f t="shared" si="49"/>
        <v>2</v>
      </c>
      <c r="AH102" s="176">
        <f t="shared" si="42"/>
        <v>8</v>
      </c>
      <c r="AI102" s="224">
        <f t="shared" si="43"/>
        <v>2.5221695278177716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46476</v>
      </c>
      <c r="B103" s="409">
        <f>IF(t&gt;Tmaj,'2026'!Wh/'2026'!Env_an*'2027'!Env_an,0.001*'[5]mon-tableau'!$B$271)</f>
        <v>7.3689098495811889</v>
      </c>
      <c r="C103" s="829"/>
      <c r="D103" s="391">
        <f t="shared" si="25"/>
        <v>7.802009630066558</v>
      </c>
      <c r="E103" s="383">
        <f t="shared" si="47"/>
        <v>8.1543009211661062</v>
      </c>
      <c r="F103" s="383">
        <f t="shared" si="26"/>
        <v>8.1543009211661062</v>
      </c>
      <c r="G103" s="110">
        <f t="shared" si="48"/>
        <v>0.14222911155021603</v>
      </c>
      <c r="H103" s="412" t="b">
        <f>Wh_hp&gt;='2026'!Maxi_hp</f>
        <v>0</v>
      </c>
      <c r="I103" s="388">
        <f>IF(H103,Wh_hp,'2026'!Maxi_hp)</f>
        <v>56.745534114329011</v>
      </c>
      <c r="J103" s="85">
        <f>IF(H103,An,'2026'!An_max)</f>
        <v>2018</v>
      </c>
      <c r="K103" s="197">
        <f t="shared" si="27"/>
        <v>46476</v>
      </c>
      <c r="L103" s="147">
        <f>IF(t&lt;Tvie,1-EXP((T0-t)*PertePVj)+'2026'!Pspv,1-EXP((T0-t)*PertePVj)+Pspv)</f>
        <v>5.5511310677743175E-2</v>
      </c>
      <c r="M103" s="832"/>
      <c r="N103" s="832"/>
      <c r="O103" s="48">
        <f>IF(t&lt;Tnet,'2026'!Resal+('2026'!Salim-'2026'!Resal)*(1-EXP(('2026'!Tnet-t)/('2026'!Tau_j))),Resal+(Salim-Resal)*(1-EXP((Tnet-t)/(Tau_j))))*Salcycl</f>
        <v>4.32031261177898E-2</v>
      </c>
      <c r="P103" s="169">
        <f>(INDEX(Models!$BJ103:$BT103,,T103)*(1-R103)+INDEX(Models!$BJ103:$BT103,,T103+1)*R103-ERP_i)*Q103*Ramure*Pc/MaxiM</f>
        <v>1.3234683097661576E-6</v>
      </c>
      <c r="Q103" s="304">
        <f t="shared" si="28"/>
        <v>0.6</v>
      </c>
      <c r="R103" s="177">
        <f t="shared" si="29"/>
        <v>0.9981293357954113</v>
      </c>
      <c r="S103" s="799">
        <f t="shared" si="30"/>
        <v>-2</v>
      </c>
      <c r="T103" s="176">
        <f t="shared" si="31"/>
        <v>4</v>
      </c>
      <c r="U103" s="250">
        <f t="shared" si="32"/>
        <v>-1.0018706642045887</v>
      </c>
      <c r="V103" s="382">
        <f t="shared" si="33"/>
        <v>51.810069097287652</v>
      </c>
      <c r="W103" s="400">
        <f t="shared" si="34"/>
        <v>7.3689098495811889</v>
      </c>
      <c r="X103" s="157">
        <f t="shared" si="35"/>
        <v>46476</v>
      </c>
      <c r="Y103" s="383">
        <f t="shared" si="36"/>
        <v>7.1756042893882483</v>
      </c>
      <c r="Z103" s="383">
        <f t="shared" si="37"/>
        <v>7.5973427427037752</v>
      </c>
      <c r="AA103" s="384">
        <f t="shared" si="38"/>
        <v>8.1543009211661062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6.8302382245501364E-2</v>
      </c>
      <c r="AD103" s="230">
        <f>(INDEX(Models!$BJ103:$BT103,,AH103)*(1-AF103)+INDEX(Models!$BJ103:$BT103,,AH103+1)*AF103-ERP_i)*AE103*Ramure*Pc/MaxiM</f>
        <v>1.4872904124355869E-5</v>
      </c>
      <c r="AE103" s="304">
        <f t="shared" si="40"/>
        <v>0.6</v>
      </c>
      <c r="AF103" s="177">
        <f t="shared" si="41"/>
        <v>0.52311690216939022</v>
      </c>
      <c r="AG103" s="799">
        <f t="shared" si="49"/>
        <v>2</v>
      </c>
      <c r="AH103" s="176">
        <f t="shared" si="42"/>
        <v>8</v>
      </c>
      <c r="AI103" s="224">
        <f t="shared" si="43"/>
        <v>2.5231169021693902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46477</v>
      </c>
      <c r="B104" s="409">
        <f>IF(t&gt;Tmaj,'2026'!Wh/'2026'!Env_an*'2027'!Env_an,0.001*'[5]mon-tableau'!$B$272)</f>
        <v>25.016210512946756</v>
      </c>
      <c r="C104" s="829"/>
      <c r="D104" s="391">
        <f t="shared" si="25"/>
        <v>26.487019098189375</v>
      </c>
      <c r="E104" s="383">
        <f t="shared" si="47"/>
        <v>27.685600532359214</v>
      </c>
      <c r="F104" s="383">
        <f t="shared" si="26"/>
        <v>27.685609456348473</v>
      </c>
      <c r="G104" s="110">
        <f t="shared" si="48"/>
        <v>0.480632932608279</v>
      </c>
      <c r="H104" s="412" t="b">
        <f>Wh_hp&gt;='2026'!Maxi_hp</f>
        <v>0</v>
      </c>
      <c r="I104" s="388">
        <f>IF(H104,Wh_hp,'2026'!Maxi_hp)</f>
        <v>51.692988498313227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5.552941158800162E-2</v>
      </c>
      <c r="M104" s="832"/>
      <c r="N104" s="832"/>
      <c r="O104" s="48">
        <f>IF(t&lt;Tnet,'2026'!Resal+('2026'!Salim-'2026'!Resal)*(1-EXP(('2026'!Tnet-t)/('2026'!Tau_j))),Resal+(Salim-Resal)*(1-EXP((Tnet-t)/(Tau_j))))*Salcycl</f>
        <v>4.3292592940829447E-2</v>
      </c>
      <c r="P104" s="169">
        <f>(INDEX(Models!$BJ104:$BT104,,T104)*(1-R104)+INDEX(Models!$BJ104:$BT104,,T104+1)*R104-ERP_i)*Q104*Ramure*Pc/MaxiM</f>
        <v>1.2491223722526886E-6</v>
      </c>
      <c r="Q104" s="304">
        <f t="shared" si="28"/>
        <v>0.6</v>
      </c>
      <c r="R104" s="177">
        <f t="shared" si="29"/>
        <v>0.99911246027907574</v>
      </c>
      <c r="S104" s="799">
        <f t="shared" si="30"/>
        <v>-2</v>
      </c>
      <c r="T104" s="176">
        <f t="shared" si="31"/>
        <v>4</v>
      </c>
      <c r="U104" s="250">
        <f t="shared" si="32"/>
        <v>-1.0008875397209243</v>
      </c>
      <c r="V104" s="382">
        <f t="shared" si="33"/>
        <v>52.048425380316289</v>
      </c>
      <c r="W104" s="400">
        <f t="shared" si="34"/>
        <v>25.016210512946756</v>
      </c>
      <c r="X104" s="157">
        <f t="shared" si="35"/>
        <v>46477</v>
      </c>
      <c r="Y104" s="383">
        <f t="shared" si="36"/>
        <v>24.360495572174262</v>
      </c>
      <c r="Z104" s="383">
        <f t="shared" si="37"/>
        <v>25.79275190891142</v>
      </c>
      <c r="AA104" s="384">
        <f t="shared" si="38"/>
        <v>27.685509386848501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6.8366359148016989E-2</v>
      </c>
      <c r="AD104" s="230">
        <f>(INDEX(Models!$BJ104:$BT104,,AH104)*(1-AF104)+INDEX(Models!$BJ104:$BT104,,AH104+1)*AF104-ERP_i)*AE104*Ramure*Pc/MaxiM</f>
        <v>1.4007082210642131E-5</v>
      </c>
      <c r="AE104" s="304">
        <f t="shared" si="40"/>
        <v>0.6</v>
      </c>
      <c r="AF104" s="177">
        <f t="shared" si="41"/>
        <v>0.52410002665305422</v>
      </c>
      <c r="AG104" s="799">
        <f t="shared" si="49"/>
        <v>2</v>
      </c>
      <c r="AH104" s="176">
        <f t="shared" si="42"/>
        <v>8</v>
      </c>
      <c r="AI104" s="224">
        <f t="shared" si="43"/>
        <v>2.5241000266530542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46478</v>
      </c>
      <c r="B105" s="409">
        <f>IF(t&gt;Tmaj,'2026'!Wh/'2026'!Env_an*'2027'!Env_an,0.001*'[6]mon-tableau'!$B$235)</f>
        <v>29.726707883627558</v>
      </c>
      <c r="C105" s="829"/>
      <c r="D105" s="391">
        <f t="shared" si="25"/>
        <v>31.475069700268108</v>
      </c>
      <c r="E105" s="383">
        <f t="shared" si="47"/>
        <v>32.902456686506596</v>
      </c>
      <c r="F105" s="383">
        <f t="shared" si="26"/>
        <v>32.902471538717691</v>
      </c>
      <c r="G105" s="110">
        <f t="shared" si="48"/>
        <v>0.5686212436058975</v>
      </c>
      <c r="H105" s="412" t="b">
        <f>Wh_hp&gt;='2026'!Maxi_hp</f>
        <v>0</v>
      </c>
      <c r="I105" s="388">
        <f>IF(H105,Wh_hp,'2026'!Maxi_hp)</f>
        <v>52.356654743992351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5.5547512151360112E-2</v>
      </c>
      <c r="M105" s="832"/>
      <c r="N105" s="832"/>
      <c r="O105" s="48">
        <f>IF(t&lt;Tnet,'2026'!Resal+('2026'!Salim-'2026'!Resal)*(1-EXP(('2026'!Tnet-t)/('2026'!Tau_j))),Resal+(Salim-Resal)*(1-EXP((Tnet-t)/(Tau_j))))*Salcycl</f>
        <v>4.3382383262094336E-2</v>
      </c>
      <c r="P105" s="169">
        <f>(INDEX(Models!$BJ105:$BT105,,T105)*(1-R105)+INDEX(Models!$BJ105:$BT105,,T105+1)*R105-ERP_i)*Q105*Ramure*Pc/MaxiM</f>
        <v>1.176304096231623E-6</v>
      </c>
      <c r="Q105" s="304">
        <f t="shared" si="28"/>
        <v>0.6</v>
      </c>
      <c r="R105" s="177">
        <f t="shared" si="29"/>
        <v>1.325193483608933E-4</v>
      </c>
      <c r="S105" s="799">
        <f t="shared" si="30"/>
        <v>-1</v>
      </c>
      <c r="T105" s="176">
        <f t="shared" si="31"/>
        <v>5</v>
      </c>
      <c r="U105" s="250">
        <f t="shared" si="32"/>
        <v>-0.99986748065163911</v>
      </c>
      <c r="V105" s="382">
        <f t="shared" si="33"/>
        <v>52.278536317297082</v>
      </c>
      <c r="W105" s="400">
        <f t="shared" si="34"/>
        <v>29.726707883627558</v>
      </c>
      <c r="X105" s="157">
        <f t="shared" si="35"/>
        <v>46478</v>
      </c>
      <c r="Y105" s="383">
        <f t="shared" si="36"/>
        <v>28.948196545868726</v>
      </c>
      <c r="Z105" s="383">
        <f t="shared" si="37"/>
        <v>30.650770598116132</v>
      </c>
      <c r="AA105" s="384">
        <f t="shared" si="38"/>
        <v>32.902305467540543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6.8430915020396957E-2</v>
      </c>
      <c r="AD105" s="230">
        <f>(INDEX(Models!$BJ105:$BT105,,AH105)*(1-AF105)+INDEX(Models!$BJ105:$BT105,,AH105+1)*AF105-ERP_i)*AE105*Ramure*Pc/MaxiM</f>
        <v>1.3152937612153137E-5</v>
      </c>
      <c r="AE105" s="304">
        <f t="shared" si="40"/>
        <v>0.6</v>
      </c>
      <c r="AF105" s="177">
        <f t="shared" si="41"/>
        <v>0.5251200857223397</v>
      </c>
      <c r="AG105" s="799">
        <f t="shared" si="49"/>
        <v>2</v>
      </c>
      <c r="AH105" s="176">
        <f t="shared" si="42"/>
        <v>8</v>
      </c>
      <c r="AI105" s="224">
        <f t="shared" si="43"/>
        <v>2.5251200857223397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46479</v>
      </c>
      <c r="B106" s="409">
        <f>IF(t&gt;Tmaj,'2026'!Wh/'2026'!Env_an*'2027'!Env_an,0.001*'[6]mon-tableau'!$B$236)</f>
        <v>19.095667467765658</v>
      </c>
      <c r="C106" s="829"/>
      <c r="D106" s="391">
        <f t="shared" si="25"/>
        <v>20.219157326154857</v>
      </c>
      <c r="E106" s="383">
        <f t="shared" si="47"/>
        <v>21.138082951013789</v>
      </c>
      <c r="F106" s="383">
        <f t="shared" si="26"/>
        <v>21.138085078466396</v>
      </c>
      <c r="G106" s="110">
        <f t="shared" si="48"/>
        <v>0.36372855679686134</v>
      </c>
      <c r="H106" s="412" t="b">
        <f>Wh_hp&gt;='2026'!Maxi_hp</f>
        <v>0</v>
      </c>
      <c r="I106" s="388">
        <f>IF(H106,Wh_hp,'2026'!Maxi_hp)</f>
        <v>47.319485851291006</v>
      </c>
      <c r="J106" s="85">
        <f>IF(H106,An,'2026'!An_max)</f>
        <v>2021</v>
      </c>
      <c r="K106" s="197">
        <f t="shared" si="27"/>
        <v>46479</v>
      </c>
      <c r="L106" s="147">
        <f>IF(t&lt;Tvie,1-EXP((T0-t)*PertePVj)+'2026'!Pspv,1-EXP((T0-t)*PertePVj)+Pspv)</f>
        <v>5.5565612367825534E-2</v>
      </c>
      <c r="M106" s="832"/>
      <c r="N106" s="832"/>
      <c r="O106" s="48">
        <f>IF(t&lt;Tnet,'2026'!Resal+('2026'!Salim-'2026'!Resal)*(1-EXP(('2026'!Tnet-t)/('2026'!Tau_j))),Resal+(Salim-Resal)*(1-EXP((Tnet-t)/(Tau_j))))*Salcycl</f>
        <v>4.3472514843871407E-2</v>
      </c>
      <c r="P106" s="169">
        <f>(INDEX(Models!$BJ106:$BT106,,T106)*(1-R106)+INDEX(Models!$BJ106:$BT106,,T106+1)*R106-ERP_i)*Q106*Ramure*Pc/MaxiM</f>
        <v>1.1054922896532006E-6</v>
      </c>
      <c r="Q106" s="304">
        <f t="shared" si="28"/>
        <v>0.6</v>
      </c>
      <c r="R106" s="177">
        <f t="shared" si="29"/>
        <v>1.1907233978002418E-3</v>
      </c>
      <c r="S106" s="799">
        <f t="shared" si="30"/>
        <v>-1</v>
      </c>
      <c r="T106" s="176">
        <f t="shared" si="31"/>
        <v>5</v>
      </c>
      <c r="U106" s="250">
        <f t="shared" si="32"/>
        <v>-0.99880927660219976</v>
      </c>
      <c r="V106" s="382">
        <f t="shared" si="33"/>
        <v>52.499722451563834</v>
      </c>
      <c r="W106" s="400">
        <f t="shared" si="34"/>
        <v>19.095667467765658</v>
      </c>
      <c r="X106" s="157">
        <f t="shared" si="35"/>
        <v>46479</v>
      </c>
      <c r="Y106" s="383">
        <f t="shared" si="36"/>
        <v>18.59608983095243</v>
      </c>
      <c r="Z106" s="383">
        <f t="shared" si="37"/>
        <v>19.690187136848497</v>
      </c>
      <c r="AA106" s="384">
        <f t="shared" si="38"/>
        <v>21.138061389177103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6.8496075665194806E-2</v>
      </c>
      <c r="AD106" s="230">
        <f>(INDEX(Models!$BJ106:$BT106,,AH106)*(1-AF106)+INDEX(Models!$BJ106:$BT106,,AH106+1)*AF106-ERP_i)*AE106*Ramure*Pc/MaxiM</f>
        <v>1.2309710966538589E-5</v>
      </c>
      <c r="AE106" s="304">
        <f t="shared" si="40"/>
        <v>0.6</v>
      </c>
      <c r="AF106" s="177">
        <f t="shared" si="41"/>
        <v>0.52617828977177883</v>
      </c>
      <c r="AG106" s="799">
        <f t="shared" si="49"/>
        <v>2</v>
      </c>
      <c r="AH106" s="176">
        <f t="shared" si="42"/>
        <v>8</v>
      </c>
      <c r="AI106" s="224">
        <f t="shared" si="43"/>
        <v>2.5261782897717788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46480</v>
      </c>
      <c r="B107" s="409">
        <f>IF(t&gt;Tmaj,'2026'!Wh/'2026'!Env_an*'2027'!Env_an,0.001*'[6]mon-tableau'!$B$237)</f>
        <v>23.661481303164265</v>
      </c>
      <c r="C107" s="829"/>
      <c r="D107" s="391">
        <f t="shared" si="25"/>
        <v>25.054080080745297</v>
      </c>
      <c r="E107" s="383">
        <f t="shared" si="47"/>
        <v>26.195222704217464</v>
      </c>
      <c r="F107" s="383">
        <f t="shared" si="26"/>
        <v>26.195228475123752</v>
      </c>
      <c r="G107" s="110">
        <f t="shared" si="48"/>
        <v>0.44887510614065185</v>
      </c>
      <c r="H107" s="412" t="b">
        <f>Wh_hp&gt;='2026'!Maxi_hp</f>
        <v>0</v>
      </c>
      <c r="I107" s="388">
        <f>IF(H107,Wh_hp,'2026'!Maxi_hp)</f>
        <v>54.874354285186392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5.5583712237404326E-2</v>
      </c>
      <c r="M107" s="832"/>
      <c r="N107" s="832"/>
      <c r="O107" s="48">
        <f>IF(t&lt;Tnet,'2026'!Resal+('2026'!Salim-'2026'!Resal)*(1-EXP(('2026'!Tnet-t)/('2026'!Tau_j))),Resal+(Salim-Resal)*(1-EXP((Tnet-t)/(Tau_j))))*Salcycl</f>
        <v>4.3563005222644627E-2</v>
      </c>
      <c r="P107" s="169">
        <f>(INDEX(Models!$BJ107:$BT107,,T107)*(1-R107)+INDEX(Models!$BJ107:$BT107,,T107+1)*R107-ERP_i)*Q107*Ramure*Pc/MaxiM</f>
        <v>1.0358496389669569E-6</v>
      </c>
      <c r="Q107" s="304">
        <f t="shared" si="28"/>
        <v>0.6</v>
      </c>
      <c r="R107" s="177">
        <f t="shared" si="29"/>
        <v>2.2883082026138313E-3</v>
      </c>
      <c r="S107" s="799">
        <f t="shared" si="30"/>
        <v>-1</v>
      </c>
      <c r="T107" s="176">
        <f t="shared" si="31"/>
        <v>5</v>
      </c>
      <c r="U107" s="250">
        <f t="shared" si="32"/>
        <v>-0.99771169179738617</v>
      </c>
      <c r="V107" s="382">
        <f t="shared" si="33"/>
        <v>52.712796237627316</v>
      </c>
      <c r="W107" s="400">
        <f t="shared" si="34"/>
        <v>23.661481303164265</v>
      </c>
      <c r="X107" s="157">
        <f t="shared" si="35"/>
        <v>46480</v>
      </c>
      <c r="Y107" s="383">
        <f t="shared" si="36"/>
        <v>23.042978435304583</v>
      </c>
      <c r="Z107" s="383">
        <f t="shared" si="37"/>
        <v>24.399175166594599</v>
      </c>
      <c r="AA107" s="384">
        <f t="shared" si="38"/>
        <v>26.195164538705324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6.8561866426035165E-2</v>
      </c>
      <c r="AD107" s="230">
        <f>(INDEX(Models!$BJ107:$BT107,,AH107)*(1-AF107)+INDEX(Models!$BJ107:$BT107,,AH107+1)*AF107-ERP_i)*AE107*Ramure*Pc/MaxiM</f>
        <v>1.1476276459502045E-5</v>
      </c>
      <c r="AE107" s="304">
        <f t="shared" si="40"/>
        <v>0.6</v>
      </c>
      <c r="AF107" s="177">
        <f t="shared" si="41"/>
        <v>0.52727587457659242</v>
      </c>
      <c r="AG107" s="799">
        <f t="shared" si="49"/>
        <v>2</v>
      </c>
      <c r="AH107" s="176">
        <f t="shared" si="42"/>
        <v>8</v>
      </c>
      <c r="AI107" s="224">
        <f t="shared" si="43"/>
        <v>2.5272758745765924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46481</v>
      </c>
      <c r="B108" s="409">
        <f>IF(t&gt;Tmaj,'2026'!Wh/'2026'!Env_an*'2027'!Env_an,0.001*'[6]mon-tableau'!$B$238)</f>
        <v>44.715677020319035</v>
      </c>
      <c r="C108" s="829"/>
      <c r="D108" s="391">
        <f t="shared" si="25"/>
        <v>47.348329949316181</v>
      </c>
      <c r="E108" s="383">
        <f t="shared" si="47"/>
        <v>49.509616389769747</v>
      </c>
      <c r="F108" s="383">
        <f t="shared" si="26"/>
        <v>49.509653724781117</v>
      </c>
      <c r="G108" s="110">
        <f t="shared" si="48"/>
        <v>0.84498181616260726</v>
      </c>
      <c r="H108" s="412" t="b">
        <f>Wh_hp&gt;='2026'!Maxi_hp</f>
        <v>0</v>
      </c>
      <c r="I108" s="388">
        <f>IF(H108,Wh_hp,'2026'!Maxi_hp)</f>
        <v>58.531654511187028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5.560181176010337E-2</v>
      </c>
      <c r="M108" s="832"/>
      <c r="N108" s="832"/>
      <c r="O108" s="48">
        <f>IF(t&lt;Tnet,'2026'!Resal+('2026'!Salim-'2026'!Resal)*(1-EXP(('2026'!Tnet-t)/('2026'!Tau_j))),Resal+(Salim-Resal)*(1-EXP((Tnet-t)/(Tau_j))))*Salcycl</f>
        <v>4.3653871672901016E-2</v>
      </c>
      <c r="P108" s="169">
        <f>(INDEX(Models!$BJ108:$BT108,,T108)*(1-R108)+INDEX(Models!$BJ108:$BT108,,T108+1)*R108-ERP_i)*Q108*Ramure*Pc/MaxiM</f>
        <v>9.685951337088202E-7</v>
      </c>
      <c r="Q108" s="304">
        <f t="shared" si="28"/>
        <v>0.6</v>
      </c>
      <c r="R108" s="177">
        <f t="shared" si="29"/>
        <v>3.4265342374665275E-3</v>
      </c>
      <c r="S108" s="799">
        <f t="shared" si="30"/>
        <v>-1</v>
      </c>
      <c r="T108" s="176">
        <f t="shared" si="31"/>
        <v>5</v>
      </c>
      <c r="U108" s="250">
        <f t="shared" si="32"/>
        <v>-0.99657346576253347</v>
      </c>
      <c r="V108" s="382">
        <f t="shared" si="33"/>
        <v>52.919088403453067</v>
      </c>
      <c r="W108" s="400">
        <f t="shared" si="34"/>
        <v>44.715677020319035</v>
      </c>
      <c r="X108" s="157">
        <f t="shared" si="35"/>
        <v>46481</v>
      </c>
      <c r="Y108" s="383">
        <f t="shared" si="36"/>
        <v>43.547623440998386</v>
      </c>
      <c r="Z108" s="383">
        <f t="shared" si="37"/>
        <v>46.111506759833375</v>
      </c>
      <c r="AA108" s="384">
        <f t="shared" si="38"/>
        <v>49.509242508203563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6.8628312133985667E-2</v>
      </c>
      <c r="AD108" s="230">
        <f>(INDEX(Models!$BJ108:$BT108,,AH108)*(1-AF108)+INDEX(Models!$BJ108:$BT108,,AH108+1)*AF108-ERP_i)*AE108*Ramure*Pc/MaxiM</f>
        <v>1.0668334126570401E-5</v>
      </c>
      <c r="AE108" s="304">
        <f t="shared" si="40"/>
        <v>0.6</v>
      </c>
      <c r="AF108" s="177">
        <f t="shared" si="41"/>
        <v>0.52841410061144511</v>
      </c>
      <c r="AG108" s="799">
        <f t="shared" si="49"/>
        <v>2</v>
      </c>
      <c r="AH108" s="176">
        <f t="shared" si="42"/>
        <v>8</v>
      </c>
      <c r="AI108" s="224">
        <f t="shared" si="43"/>
        <v>2.5284141006114451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46482</v>
      </c>
      <c r="B109" s="409">
        <f>IF(t&gt;Tmaj,'2026'!Wh/'2026'!Env_an*'2027'!Env_an,0.001*'[6]mon-tableau'!$B$239)</f>
        <v>51.334351787913043</v>
      </c>
      <c r="C109" s="829"/>
      <c r="D109" s="391">
        <f t="shared" si="25"/>
        <v>54.35772352929213</v>
      </c>
      <c r="E109" s="383">
        <f t="shared" si="47"/>
        <v>56.844388772541571</v>
      </c>
      <c r="F109" s="383">
        <f t="shared" si="26"/>
        <v>56.844437547773339</v>
      </c>
      <c r="G109" s="110">
        <f t="shared" si="48"/>
        <v>0.96640829025186814</v>
      </c>
      <c r="H109" s="412" t="b">
        <f>Wh_hp&gt;='2026'!Maxi_hp</f>
        <v>0</v>
      </c>
      <c r="I109" s="388">
        <f>IF(H109,Wh_hp,'2026'!Maxi_hp)</f>
        <v>60.630362862646294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5.5619910935929107E-2</v>
      </c>
      <c r="M109" s="832"/>
      <c r="N109" s="832"/>
      <c r="O109" s="48">
        <f>IF(t&lt;Tnet,'2026'!Resal+('2026'!Salim-'2026'!Resal)*(1-EXP(('2026'!Tnet-t)/('2026'!Tau_j))),Resal+(Salim-Resal)*(1-EXP((Tnet-t)/(Tau_j))))*Salcycl</f>
        <v>4.3745131172043053E-2</v>
      </c>
      <c r="P109" s="169">
        <f>(INDEX(Models!$BJ109:$BT109,,T109)*(1-R109)+INDEX(Models!$BJ109:$BT109,,T109+1)*R109-ERP_i)*Q109*Ramure*Pc/MaxiM</f>
        <v>9.0129920857389959E-7</v>
      </c>
      <c r="Q109" s="304">
        <f t="shared" si="28"/>
        <v>0.6</v>
      </c>
      <c r="R109" s="177">
        <f t="shared" si="29"/>
        <v>4.6066858654851828E-3</v>
      </c>
      <c r="S109" s="799">
        <f t="shared" si="30"/>
        <v>-1</v>
      </c>
      <c r="T109" s="176">
        <f t="shared" si="31"/>
        <v>5</v>
      </c>
      <c r="U109" s="250">
        <f t="shared" si="32"/>
        <v>-0.99539331413451482</v>
      </c>
      <c r="V109" s="382">
        <f t="shared" si="33"/>
        <v>53.118697434018941</v>
      </c>
      <c r="W109" s="400">
        <f t="shared" si="34"/>
        <v>51.334351787913043</v>
      </c>
      <c r="X109" s="157">
        <f t="shared" si="35"/>
        <v>46482</v>
      </c>
      <c r="Y109" s="383">
        <f t="shared" si="36"/>
        <v>49.994524964888285</v>
      </c>
      <c r="Z109" s="383">
        <f t="shared" si="37"/>
        <v>52.938986689602302</v>
      </c>
      <c r="AA109" s="384">
        <f t="shared" si="38"/>
        <v>56.84390348336067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6.8695437055996844E-2</v>
      </c>
      <c r="AD109" s="230">
        <f>(INDEX(Models!$BJ109:$BT109,,AH109)*(1-AF109)+INDEX(Models!$BJ109:$BT109,,AH109+1)*AF109-ERP_i)*AE109*Ramure*Pc/MaxiM</f>
        <v>9.8687759133709967E-6</v>
      </c>
      <c r="AE109" s="304">
        <f t="shared" si="40"/>
        <v>0.6</v>
      </c>
      <c r="AF109" s="177">
        <f t="shared" si="41"/>
        <v>0.52959425223946388</v>
      </c>
      <c r="AG109" s="799">
        <f t="shared" si="49"/>
        <v>2</v>
      </c>
      <c r="AH109" s="176">
        <f t="shared" si="42"/>
        <v>8</v>
      </c>
      <c r="AI109" s="224">
        <f t="shared" si="43"/>
        <v>2.5295942522394639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46483</v>
      </c>
      <c r="B110" s="409">
        <f>IF(t&gt;Tmaj,'2026'!Wh/'2026'!Env_an*'2027'!Env_an,0.001*'[6]mon-tableau'!$B$240)</f>
        <v>10.850238849220545</v>
      </c>
      <c r="C110" s="829"/>
      <c r="D110" s="391">
        <f t="shared" si="25"/>
        <v>11.489491277088812</v>
      </c>
      <c r="E110" s="383">
        <f t="shared" si="47"/>
        <v>12.016245010778203</v>
      </c>
      <c r="F110" s="383">
        <f t="shared" si="26"/>
        <v>12.016245010778203</v>
      </c>
      <c r="G110" s="110">
        <f t="shared" si="48"/>
        <v>0.20352428062529465</v>
      </c>
      <c r="H110" s="412" t="b">
        <f>Wh_hp&gt;='2026'!Maxi_hp</f>
        <v>0</v>
      </c>
      <c r="I110" s="388">
        <f>IF(H110,Wh_hp,'2026'!Maxi_hp)</f>
        <v>61.789879611435509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5.5638009764888308E-2</v>
      </c>
      <c r="M110" s="832"/>
      <c r="N110" s="832"/>
      <c r="O110" s="48">
        <f>IF(t&lt;Tnet,'2026'!Resal+('2026'!Salim-'2026'!Resal)*(1-EXP(('2026'!Tnet-t)/('2026'!Tau_j))),Resal+(Salim-Resal)*(1-EXP((Tnet-t)/(Tau_j))))*Salcycl</f>
        <v>4.3836800366246542E-2</v>
      </c>
      <c r="P110" s="169">
        <f>(INDEX(Models!$BJ110:$BT110,,T110)*(1-R110)+INDEX(Models!$BJ110:$BT110,,T110+1)*R110-ERP_i)*Q110*Ramure*Pc/MaxiM</f>
        <v>8.3387694035692313E-7</v>
      </c>
      <c r="Q110" s="304">
        <f t="shared" si="28"/>
        <v>0.6</v>
      </c>
      <c r="R110" s="177">
        <f t="shared" si="29"/>
        <v>5.8300703885254546E-3</v>
      </c>
      <c r="S110" s="799">
        <f t="shared" si="30"/>
        <v>-1</v>
      </c>
      <c r="T110" s="176">
        <f t="shared" si="31"/>
        <v>5</v>
      </c>
      <c r="U110" s="250">
        <f t="shared" si="32"/>
        <v>-0.99416992961147455</v>
      </c>
      <c r="V110" s="382">
        <f t="shared" si="33"/>
        <v>53.311721668397681</v>
      </c>
      <c r="W110" s="400">
        <f t="shared" si="34"/>
        <v>10.850238849220545</v>
      </c>
      <c r="X110" s="157">
        <f t="shared" si="35"/>
        <v>46483</v>
      </c>
      <c r="Y110" s="383">
        <f t="shared" si="36"/>
        <v>10.567381180816048</v>
      </c>
      <c r="Z110" s="383">
        <f t="shared" si="37"/>
        <v>11.189968772657988</v>
      </c>
      <c r="AA110" s="384">
        <f t="shared" si="38"/>
        <v>12.016245010778203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6.8763264845138533E-2</v>
      </c>
      <c r="AD110" s="230">
        <f>(INDEX(Models!$BJ110:$BT110,,AH110)*(1-AF110)+INDEX(Models!$BJ110:$BT110,,AH110+1)*AF110-ERP_i)*AE110*Ramure*Pc/MaxiM</f>
        <v>9.0767958654336578E-6</v>
      </c>
      <c r="AE110" s="304">
        <f t="shared" si="40"/>
        <v>0.6</v>
      </c>
      <c r="AF110" s="177">
        <f t="shared" si="41"/>
        <v>0.53081763676250393</v>
      </c>
      <c r="AG110" s="799">
        <f t="shared" si="49"/>
        <v>2</v>
      </c>
      <c r="AH110" s="176">
        <f t="shared" si="42"/>
        <v>8</v>
      </c>
      <c r="AI110" s="224">
        <f t="shared" si="43"/>
        <v>2.5308176367625039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46484</v>
      </c>
      <c r="B111" s="409">
        <f>IF(t&gt;Tmaj,'2026'!Wh/'2026'!Env_an*'2027'!Env_an,0.001*'[6]mon-tableau'!$B$241)</f>
        <v>39.359074251607915</v>
      </c>
      <c r="C111" s="829"/>
      <c r="D111" s="391">
        <f t="shared" si="25"/>
        <v>41.678751348245122</v>
      </c>
      <c r="E111" s="383">
        <f t="shared" si="47"/>
        <v>43.593777862012111</v>
      </c>
      <c r="F111" s="383">
        <f t="shared" si="26"/>
        <v>43.593798653594888</v>
      </c>
      <c r="G111" s="110">
        <f t="shared" si="48"/>
        <v>0.73570735365266271</v>
      </c>
      <c r="H111" s="412" t="b">
        <f>Wh_hp&gt;='2026'!Maxi_hp</f>
        <v>0</v>
      </c>
      <c r="I111" s="388">
        <f>IF(H111,Wh_hp,'2026'!Maxi_hp)</f>
        <v>57.641590326418545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5.5656108246987523E-2</v>
      </c>
      <c r="M111" s="832"/>
      <c r="N111" s="832"/>
      <c r="O111" s="48">
        <f>IF(t&lt;Tnet,'2026'!Resal+('2026'!Salim-'2026'!Resal)*(1-EXP(('2026'!Tnet-t)/('2026'!Tau_j))),Resal+(Salim-Resal)*(1-EXP((Tnet-t)/(Tau_j))))*Salcycl</f>
        <v>4.3928895537079841E-2</v>
      </c>
      <c r="P111" s="169">
        <f>(INDEX(Models!$BJ111:$BT111,,T111)*(1-R111)+INDEX(Models!$BJ111:$BT111,,T111+1)*R111-ERP_i)*Q111*Ramure*Pc/MaxiM</f>
        <v>7.6624168674876959E-7</v>
      </c>
      <c r="Q111" s="304">
        <f t="shared" si="28"/>
        <v>0.6</v>
      </c>
      <c r="R111" s="177">
        <f t="shared" si="29"/>
        <v>7.0980169494744283E-3</v>
      </c>
      <c r="S111" s="799">
        <f t="shared" si="30"/>
        <v>-1</v>
      </c>
      <c r="T111" s="176">
        <f t="shared" si="31"/>
        <v>5</v>
      </c>
      <c r="U111" s="250">
        <f t="shared" si="32"/>
        <v>-0.99290198305052557</v>
      </c>
      <c r="V111" s="382">
        <f t="shared" si="33"/>
        <v>53.498259422724935</v>
      </c>
      <c r="W111" s="400">
        <f t="shared" si="34"/>
        <v>39.359074251607915</v>
      </c>
      <c r="X111" s="157">
        <f t="shared" si="35"/>
        <v>46484</v>
      </c>
      <c r="Y111" s="383">
        <f t="shared" si="36"/>
        <v>38.333703167587394</v>
      </c>
      <c r="Z111" s="383">
        <f t="shared" si="37"/>
        <v>40.592948715353522</v>
      </c>
      <c r="AA111" s="384">
        <f t="shared" si="38"/>
        <v>43.593573665316491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6.8831818492327293E-2</v>
      </c>
      <c r="AD111" s="230">
        <f>(INDEX(Models!$BJ111:$BT111,,AH111)*(1-AF111)+INDEX(Models!$BJ111:$BT111,,AH111+1)*AF111-ERP_i)*AE111*Ramure*Pc/MaxiM</f>
        <v>8.2915956794853122E-6</v>
      </c>
      <c r="AE111" s="304">
        <f t="shared" si="40"/>
        <v>0.6</v>
      </c>
      <c r="AF111" s="177">
        <f t="shared" si="41"/>
        <v>0.53208558332345302</v>
      </c>
      <c r="AG111" s="799">
        <f t="shared" si="49"/>
        <v>2</v>
      </c>
      <c r="AH111" s="176">
        <f t="shared" si="42"/>
        <v>8</v>
      </c>
      <c r="AI111" s="224">
        <f t="shared" si="43"/>
        <v>2.532085583323453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46485</v>
      </c>
      <c r="B112" s="409">
        <f>IF(t&gt;Tmaj,'2026'!Wh/'2026'!Env_an*'2027'!Env_an,0.001*'[6]mon-tableau'!$B$242)</f>
        <v>33.753384287412622</v>
      </c>
      <c r="C112" s="829"/>
      <c r="D112" s="391">
        <f t="shared" si="25"/>
        <v>35.743367930363803</v>
      </c>
      <c r="E112" s="383">
        <f t="shared" si="47"/>
        <v>37.389298409068914</v>
      </c>
      <c r="F112" s="383">
        <f t="shared" si="26"/>
        <v>37.389310673184163</v>
      </c>
      <c r="G112" s="110">
        <f t="shared" si="48"/>
        <v>0.62880723216930745</v>
      </c>
      <c r="H112" s="412" t="b">
        <f>Wh_hp&gt;='2026'!Maxi_hp</f>
        <v>0</v>
      </c>
      <c r="I112" s="388">
        <f>IF(H112,Wh_hp,'2026'!Maxi_hp)</f>
        <v>59.015866902452174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5.5674206382233526E-2</v>
      </c>
      <c r="M112" s="832"/>
      <c r="N112" s="832"/>
      <c r="O112" s="48">
        <f>IF(t&lt;Tnet,'2026'!Resal+('2026'!Salim-'2026'!Resal)*(1-EXP(('2026'!Tnet-t)/('2026'!Tau_j))),Resal+(Salim-Resal)*(1-EXP((Tnet-t)/(Tau_j))))*Salcycl</f>
        <v>4.4021432568680775E-2</v>
      </c>
      <c r="P112" s="169">
        <f>(INDEX(Models!$BJ112:$BT112,,T112)*(1-R112)+INDEX(Models!$BJ112:$BT112,,T112+1)*R112-ERP_i)*Q112*Ramure*Pc/MaxiM</f>
        <v>6.9830497436894351E-7</v>
      </c>
      <c r="Q112" s="304">
        <f t="shared" si="28"/>
        <v>0.6</v>
      </c>
      <c r="R112" s="177">
        <f t="shared" si="29"/>
        <v>8.4118752772179839E-3</v>
      </c>
      <c r="S112" s="799">
        <f t="shared" si="30"/>
        <v>-1</v>
      </c>
      <c r="T112" s="176">
        <f t="shared" si="31"/>
        <v>5</v>
      </c>
      <c r="U112" s="250">
        <f t="shared" si="32"/>
        <v>-0.99158812472278202</v>
      </c>
      <c r="V112" s="382">
        <f t="shared" si="33"/>
        <v>53.678408997138632</v>
      </c>
      <c r="W112" s="400">
        <f t="shared" si="34"/>
        <v>33.753384287412622</v>
      </c>
      <c r="X112" s="157">
        <f t="shared" si="35"/>
        <v>46485</v>
      </c>
      <c r="Y112" s="383">
        <f t="shared" si="36"/>
        <v>32.874835038499377</v>
      </c>
      <c r="Z112" s="383">
        <f t="shared" si="37"/>
        <v>34.813022434295682</v>
      </c>
      <c r="AA112" s="384">
        <f t="shared" si="38"/>
        <v>37.389178735490667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6.8901120279211733E-2</v>
      </c>
      <c r="AD112" s="230">
        <f>(INDEX(Models!$BJ112:$BT112,,AH112)*(1-AF112)+INDEX(Models!$BJ112:$BT112,,AH112+1)*AF112-ERP_i)*AE112*Ramure*Pc/MaxiM</f>
        <v>7.5123843682034814E-6</v>
      </c>
      <c r="AE112" s="304">
        <f t="shared" si="40"/>
        <v>0.6</v>
      </c>
      <c r="AF112" s="177">
        <f t="shared" si="41"/>
        <v>0.53339944165119668</v>
      </c>
      <c r="AG112" s="799">
        <f t="shared" si="49"/>
        <v>2</v>
      </c>
      <c r="AH112" s="176">
        <f t="shared" si="42"/>
        <v>8</v>
      </c>
      <c r="AI112" s="224">
        <f t="shared" si="43"/>
        <v>2.5333994416511967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46486</v>
      </c>
      <c r="B113" s="409">
        <f>IF(t&gt;Tmaj,'2026'!Wh/'2026'!Env_an*'2027'!Env_an,0.001*'[6]mon-tableau'!$B$243)</f>
        <v>33.270848385679997</v>
      </c>
      <c r="C113" s="829"/>
      <c r="D113" s="391">
        <f t="shared" si="25"/>
        <v>35.233058602216367</v>
      </c>
      <c r="E113" s="383">
        <f t="shared" si="47"/>
        <v>36.859075598888055</v>
      </c>
      <c r="F113" s="383">
        <f t="shared" si="26"/>
        <v>36.859086141493549</v>
      </c>
      <c r="G113" s="110">
        <f t="shared" si="48"/>
        <v>0.61781681183544723</v>
      </c>
      <c r="H113" s="412" t="b">
        <f>Wh_hp&gt;='2026'!Maxi_hp</f>
        <v>0</v>
      </c>
      <c r="I113" s="388">
        <f>IF(H113,Wh_hp,'2026'!Maxi_hp)</f>
        <v>41.335283844945479</v>
      </c>
      <c r="J113" s="85">
        <f>IF(H113,An,'2026'!An_max)</f>
        <v>2020</v>
      </c>
      <c r="K113" s="197">
        <f t="shared" si="27"/>
        <v>46486</v>
      </c>
      <c r="L113" s="147">
        <f>IF(t&lt;Tvie,1-EXP((T0-t)*PertePVj)+'2026'!Pspv,1-EXP((T0-t)*PertePVj)+Pspv)</f>
        <v>5.5692304170632867E-2</v>
      </c>
      <c r="M113" s="832"/>
      <c r="N113" s="832"/>
      <c r="O113" s="48">
        <f>IF(t&lt;Tnet,'2026'!Resal+('2026'!Salim-'2026'!Resal)*(1-EXP(('2026'!Tnet-t)/('2026'!Tau_j))),Resal+(Salim-Resal)*(1-EXP((Tnet-t)/(Tau_j))))*Salcycl</f>
        <v>4.4114426915273446E-2</v>
      </c>
      <c r="P113" s="169">
        <f>(INDEX(Models!$BJ113:$BT113,,T113)*(1-R113)+INDEX(Models!$BJ113:$BT113,,T113+1)*R113-ERP_i)*Q113*Ramure*Pc/MaxiM</f>
        <v>6.2997639203037113E-7</v>
      </c>
      <c r="Q113" s="304">
        <f t="shared" si="28"/>
        <v>0.6</v>
      </c>
      <c r="R113" s="177">
        <f t="shared" si="29"/>
        <v>9.7730142647840523E-3</v>
      </c>
      <c r="S113" s="799">
        <f t="shared" si="30"/>
        <v>-1</v>
      </c>
      <c r="T113" s="176">
        <f t="shared" si="31"/>
        <v>5</v>
      </c>
      <c r="U113" s="250">
        <f t="shared" si="32"/>
        <v>-0.99022698573521595</v>
      </c>
      <c r="V113" s="382">
        <f t="shared" si="33"/>
        <v>53.852268673728574</v>
      </c>
      <c r="W113" s="400">
        <f t="shared" si="34"/>
        <v>33.270848385679997</v>
      </c>
      <c r="X113" s="157">
        <f t="shared" si="35"/>
        <v>46486</v>
      </c>
      <c r="Y113" s="383">
        <f t="shared" si="36"/>
        <v>32.405586282242119</v>
      </c>
      <c r="Z113" s="383">
        <f t="shared" si="37"/>
        <v>34.316766055560862</v>
      </c>
      <c r="AA113" s="384">
        <f t="shared" si="38"/>
        <v>36.858973375265997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6.8971191731863848E-2</v>
      </c>
      <c r="AD113" s="230">
        <f>(INDEX(Models!$BJ113:$BT113,,AH113)*(1-AF113)+INDEX(Models!$BJ113:$BT113,,AH113+1)*AF113-ERP_i)*AE113*Ramure*Pc/MaxiM</f>
        <v>6.7383780251716317E-6</v>
      </c>
      <c r="AE113" s="304">
        <f t="shared" si="40"/>
        <v>0.6</v>
      </c>
      <c r="AF113" s="177">
        <f t="shared" si="41"/>
        <v>0.53476058063876275</v>
      </c>
      <c r="AG113" s="799">
        <f t="shared" si="49"/>
        <v>2</v>
      </c>
      <c r="AH113" s="176">
        <f t="shared" si="42"/>
        <v>8</v>
      </c>
      <c r="AI113" s="224">
        <f t="shared" si="43"/>
        <v>2.5347605806387628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46487</v>
      </c>
      <c r="B114" s="409">
        <f>IF(t&gt;Tmaj,'2026'!Wh/'2026'!Env_an*'2027'!Env_an,0.001*'[6]mon-tableau'!$B$244)</f>
        <v>54.004410371838766</v>
      </c>
      <c r="C114" s="829"/>
      <c r="D114" s="391">
        <f t="shared" si="25"/>
        <v>57.1905170448143</v>
      </c>
      <c r="E114" s="383">
        <f t="shared" si="47"/>
        <v>59.835728564819242</v>
      </c>
      <c r="F114" s="383">
        <f t="shared" si="26"/>
        <v>59.835762292741911</v>
      </c>
      <c r="G114" s="110">
        <f t="shared" si="48"/>
        <v>0.99971258362354676</v>
      </c>
      <c r="H114" s="412" t="b">
        <f>Wh_hp&gt;='2026'!Maxi_hp</f>
        <v>0</v>
      </c>
      <c r="I114" s="388">
        <f>IF(H114,Wh_hp,'2026'!Maxi_hp)</f>
        <v>59.835762306271782</v>
      </c>
      <c r="J114" s="85">
        <f>IF(H114,An,'2026'!An_max)</f>
        <v>2026</v>
      </c>
      <c r="K114" s="197">
        <f t="shared" si="27"/>
        <v>46487</v>
      </c>
      <c r="L114" s="147">
        <f>IF(t&lt;Tvie,1-EXP((T0-t)*PertePVj)+'2026'!Pspv,1-EXP((T0-t)*PertePVj)+Pspv)</f>
        <v>5.5710401612192317E-2</v>
      </c>
      <c r="M114" s="832"/>
      <c r="N114" s="832"/>
      <c r="O114" s="48">
        <f>IF(t&lt;Tnet,'2026'!Resal+('2026'!Salim-'2026'!Resal)*(1-EXP(('2026'!Tnet-t)/('2026'!Tau_j))),Resal+(Salim-Resal)*(1-EXP((Tnet-t)/(Tau_j))))*Salcycl</f>
        <v>4.4207893568796772E-2</v>
      </c>
      <c r="P114" s="169">
        <f>(INDEX(Models!$BJ114:$BT114,,T114)*(1-R114)+INDEX(Models!$BJ114:$BT114,,T114+1)*R114-ERP_i)*Q114*Ramure*Pc/MaxiM</f>
        <v>5.6390652624841769E-7</v>
      </c>
      <c r="Q114" s="304">
        <f t="shared" si="28"/>
        <v>0.6</v>
      </c>
      <c r="R114" s="177">
        <f t="shared" si="29"/>
        <v>1.1182820371126612E-2</v>
      </c>
      <c r="S114" s="799">
        <f t="shared" si="30"/>
        <v>-1</v>
      </c>
      <c r="T114" s="176">
        <f t="shared" si="31"/>
        <v>5</v>
      </c>
      <c r="U114" s="250">
        <f t="shared" si="32"/>
        <v>-0.98881717962887339</v>
      </c>
      <c r="V114" s="382">
        <f t="shared" si="33"/>
        <v>54.019936573761008</v>
      </c>
      <c r="W114" s="400">
        <f t="shared" si="34"/>
        <v>54.004410371838766</v>
      </c>
      <c r="X114" s="157">
        <f t="shared" si="35"/>
        <v>46487</v>
      </c>
      <c r="Y114" s="383">
        <f t="shared" si="36"/>
        <v>52.600938575315176</v>
      </c>
      <c r="Z114" s="383">
        <f t="shared" si="37"/>
        <v>55.704244402481116</v>
      </c>
      <c r="AA114" s="384">
        <f t="shared" si="38"/>
        <v>59.835403539319202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6.9042053574910903E-2</v>
      </c>
      <c r="AD114" s="230">
        <f>(INDEX(Models!$BJ114:$BT114,,AH114)*(1-AF114)+INDEX(Models!$BJ114:$BT114,,AH114+1)*AF114-ERP_i)*AE114*Ramure*Pc/MaxiM</f>
        <v>5.9980983218546134E-6</v>
      </c>
      <c r="AE114" s="304">
        <f t="shared" si="40"/>
        <v>0.6</v>
      </c>
      <c r="AF114" s="177">
        <f t="shared" si="41"/>
        <v>0.53617038674510509</v>
      </c>
      <c r="AG114" s="799">
        <f t="shared" si="49"/>
        <v>2</v>
      </c>
      <c r="AH114" s="176">
        <f t="shared" si="42"/>
        <v>8</v>
      </c>
      <c r="AI114" s="224">
        <f t="shared" si="43"/>
        <v>2.5361703867451051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46488</v>
      </c>
      <c r="B115" s="409">
        <f>IF(t&gt;Tmaj,'2026'!Wh/'2026'!Env_an*'2027'!Env_an,0.001*'[6]mon-tableau'!$B$245)</f>
        <v>45.168099226595821</v>
      </c>
      <c r="C115" s="829"/>
      <c r="D115" s="391">
        <f t="shared" si="25"/>
        <v>47.833805388326134</v>
      </c>
      <c r="E115" s="383">
        <f t="shared" si="47"/>
        <v>50.051164417859958</v>
      </c>
      <c r="F115" s="383">
        <f t="shared" si="26"/>
        <v>50.051183555082929</v>
      </c>
      <c r="G115" s="110">
        <f t="shared" si="48"/>
        <v>0.8336440441932661</v>
      </c>
      <c r="H115" s="412" t="b">
        <f>Wh_hp&gt;='2026'!Maxi_hp</f>
        <v>0</v>
      </c>
      <c r="I115" s="388">
        <f>IF(H115,Wh_hp,'2026'!Maxi_hp)</f>
        <v>61.040326499043537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5.5728498706918317E-2</v>
      </c>
      <c r="M115" s="832"/>
      <c r="N115" s="832"/>
      <c r="O115" s="48">
        <f>IF(t&lt;Tnet,'2026'!Resal+('2026'!Salim-'2026'!Resal)*(1-EXP(('2026'!Tnet-t)/('2026'!Tau_j))),Resal+(Salim-Resal)*(1-EXP((Tnet-t)/(Tau_j))))*Salcycl</f>
        <v>4.4301847026411961E-2</v>
      </c>
      <c r="P115" s="169">
        <f>(INDEX(Models!$BJ115:$BT115,,T115)*(1-R115)+INDEX(Models!$BJ115:$BT115,,T115+1)*R115-ERP_i)*Q115*Ramure*Pc/MaxiM</f>
        <v>5.0154609993391589E-7</v>
      </c>
      <c r="Q115" s="304">
        <f t="shared" si="28"/>
        <v>0.6</v>
      </c>
      <c r="R115" s="177">
        <f t="shared" si="29"/>
        <v>1.264269583702371E-2</v>
      </c>
      <c r="S115" s="799">
        <f t="shared" si="30"/>
        <v>-1</v>
      </c>
      <c r="T115" s="176">
        <f t="shared" si="31"/>
        <v>5</v>
      </c>
      <c r="U115" s="250">
        <f t="shared" si="32"/>
        <v>-0.98735730416297629</v>
      </c>
      <c r="V115" s="382">
        <f t="shared" si="33"/>
        <v>54.181510870842445</v>
      </c>
      <c r="W115" s="400">
        <f t="shared" si="34"/>
        <v>45.168099226595821</v>
      </c>
      <c r="X115" s="157">
        <f t="shared" si="35"/>
        <v>46488</v>
      </c>
      <c r="Y115" s="383">
        <f t="shared" si="36"/>
        <v>43.99528192509981</v>
      </c>
      <c r="Z115" s="383">
        <f t="shared" si="37"/>
        <v>46.591771397159441</v>
      </c>
      <c r="AA115" s="384">
        <f t="shared" si="38"/>
        <v>50.0509811807907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6.9113725685739189E-2</v>
      </c>
      <c r="AD115" s="230">
        <f>(INDEX(Models!$BJ115:$BT115,,AH115)*(1-AF115)+INDEX(Models!$BJ115:$BT115,,AH115+1)*AF115-ERP_i)*AE115*Ramure*Pc/MaxiM</f>
        <v>5.3038017661405327E-6</v>
      </c>
      <c r="AE115" s="304">
        <f t="shared" si="40"/>
        <v>0.6</v>
      </c>
      <c r="AF115" s="177">
        <f t="shared" si="41"/>
        <v>0.5376302622110023</v>
      </c>
      <c r="AG115" s="799">
        <f t="shared" si="49"/>
        <v>2</v>
      </c>
      <c r="AH115" s="176">
        <f t="shared" si="42"/>
        <v>8</v>
      </c>
      <c r="AI115" s="224">
        <f t="shared" si="43"/>
        <v>2.5376302622110023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46489</v>
      </c>
      <c r="B116" s="409">
        <f>IF(t&gt;Tmaj,'2026'!Wh/'2026'!Env_an*'2027'!Env_an,0.001*'[6]mon-tableau'!$B$246)</f>
        <v>37.555521012648313</v>
      </c>
      <c r="C116" s="829"/>
      <c r="D116" s="391">
        <f t="shared" si="25"/>
        <v>39.772714434360601</v>
      </c>
      <c r="E116" s="383">
        <f t="shared" si="47"/>
        <v>41.620511187540316</v>
      </c>
      <c r="F116" s="383">
        <f t="shared" si="26"/>
        <v>41.620521487595205</v>
      </c>
      <c r="G116" s="110">
        <f t="shared" si="48"/>
        <v>0.6911579881028207</v>
      </c>
      <c r="H116" s="412" t="b">
        <f>Wh_hp&gt;='2026'!Maxi_hp</f>
        <v>0</v>
      </c>
      <c r="I116" s="388">
        <f>IF(H116,Wh_hp,'2026'!Maxi_hp)</f>
        <v>60.002961591028409</v>
      </c>
      <c r="J116" s="85">
        <f>IF(H116,An,'2026'!An_max)</f>
        <v>2020</v>
      </c>
      <c r="K116" s="197">
        <f t="shared" si="27"/>
        <v>46489</v>
      </c>
      <c r="L116" s="147">
        <f>IF(t&lt;Tvie,1-EXP((T0-t)*PertePVj)+'2026'!Pspv,1-EXP((T0-t)*PertePVj)+Pspv)</f>
        <v>5.5746595454817638E-2</v>
      </c>
      <c r="M116" s="832"/>
      <c r="N116" s="832"/>
      <c r="O116" s="48">
        <f>IF(t&lt;Tnet,'2026'!Resal+('2026'!Salim-'2026'!Resal)*(1-EXP(('2026'!Tnet-t)/('2026'!Tau_j))),Resal+(Salim-Resal)*(1-EXP((Tnet-t)/(Tau_j))))*Salcycl</f>
        <v>4.4396301257656791E-2</v>
      </c>
      <c r="P116" s="169">
        <f>(INDEX(Models!$BJ116:$BT116,,T116)*(1-R116)+INDEX(Models!$BJ116:$BT116,,T116+1)*R116-ERP_i)*Q116*Ramure*Pc/MaxiM</f>
        <v>4.4287147427435047E-7</v>
      </c>
      <c r="Q116" s="304">
        <f t="shared" si="28"/>
        <v>0.6</v>
      </c>
      <c r="R116" s="177">
        <f t="shared" si="29"/>
        <v>1.4154056705652063E-2</v>
      </c>
      <c r="S116" s="799">
        <f t="shared" si="30"/>
        <v>-1</v>
      </c>
      <c r="T116" s="176">
        <f t="shared" si="31"/>
        <v>5</v>
      </c>
      <c r="U116" s="250">
        <f t="shared" si="32"/>
        <v>-0.98584594329434794</v>
      </c>
      <c r="V116" s="382">
        <f t="shared" si="33"/>
        <v>54.337089812897986</v>
      </c>
      <c r="W116" s="400">
        <f t="shared" si="34"/>
        <v>37.555521012648313</v>
      </c>
      <c r="X116" s="157">
        <f t="shared" si="35"/>
        <v>46489</v>
      </c>
      <c r="Y116" s="383">
        <f t="shared" si="36"/>
        <v>36.581183156741055</v>
      </c>
      <c r="Z116" s="383">
        <f t="shared" si="37"/>
        <v>38.740853864711326</v>
      </c>
      <c r="AA116" s="384">
        <f t="shared" si="38"/>
        <v>41.620413223866144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6.9186227048404436E-2</v>
      </c>
      <c r="AD116" s="230">
        <f>(INDEX(Models!$BJ116:$BT116,,AH116)*(1-AF116)+INDEX(Models!$BJ116:$BT116,,AH116+1)*AF116-ERP_i)*AE116*Ramure*Pc/MaxiM</f>
        <v>4.6550157086996078E-6</v>
      </c>
      <c r="AE116" s="304">
        <f t="shared" si="40"/>
        <v>0.6</v>
      </c>
      <c r="AF116" s="177">
        <f t="shared" si="41"/>
        <v>0.53914162307963087</v>
      </c>
      <c r="AG116" s="799">
        <f t="shared" si="49"/>
        <v>2</v>
      </c>
      <c r="AH116" s="176">
        <f t="shared" si="42"/>
        <v>8</v>
      </c>
      <c r="AI116" s="224">
        <f t="shared" si="43"/>
        <v>2.5391416230796309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46490</v>
      </c>
      <c r="B117" s="409">
        <f>IF(t&gt;Tmaj,'2026'!Wh/'2026'!Env_an*'2027'!Env_an,0.001*'[6]mon-tableau'!$B$247)</f>
        <v>7.6203001474762795</v>
      </c>
      <c r="C117" s="829"/>
      <c r="D117" s="391">
        <f t="shared" si="25"/>
        <v>8.0703401808326767</v>
      </c>
      <c r="E117" s="383">
        <f t="shared" si="47"/>
        <v>8.4461187267792592</v>
      </c>
      <c r="F117" s="383">
        <f t="shared" si="26"/>
        <v>8.4461187267792592</v>
      </c>
      <c r="G117" s="110">
        <f t="shared" si="48"/>
        <v>0.13985591296059974</v>
      </c>
      <c r="H117" s="412" t="b">
        <f>Wh_hp&gt;='2026'!Maxi_hp</f>
        <v>0</v>
      </c>
      <c r="I117" s="388">
        <f>IF(H117,Wh_hp,'2026'!Maxi_hp)</f>
        <v>59.530054657867453</v>
      </c>
      <c r="J117" s="85">
        <f>IF(H117,An,'2026'!An_max)</f>
        <v>2018</v>
      </c>
      <c r="K117" s="197">
        <f t="shared" si="27"/>
        <v>46490</v>
      </c>
      <c r="L117" s="147">
        <f>IF(t&lt;Tvie,1-EXP((T0-t)*PertePVj)+'2026'!Pspv,1-EXP((T0-t)*PertePVj)+Pspv)</f>
        <v>5.5764691855896942E-2</v>
      </c>
      <c r="M117" s="832"/>
      <c r="N117" s="832"/>
      <c r="O117" s="48">
        <f>IF(t&lt;Tnet,'2026'!Resal+('2026'!Salim-'2026'!Resal)*(1-EXP(('2026'!Tnet-t)/('2026'!Tau_j))),Resal+(Salim-Resal)*(1-EXP((Tnet-t)/(Tau_j))))*Salcycl</f>
        <v>4.4491269671019323E-2</v>
      </c>
      <c r="P117" s="169">
        <f>(INDEX(Models!$BJ117:$BT117,,T117)*(1-R117)+INDEX(Models!$BJ117:$BT117,,T117+1)*R117-ERP_i)*Q117*Ramure*Pc/MaxiM</f>
        <v>3.87868845302625E-7</v>
      </c>
      <c r="Q117" s="304">
        <f t="shared" si="28"/>
        <v>0.6</v>
      </c>
      <c r="R117" s="177">
        <f t="shared" si="29"/>
        <v>1.571833063857353E-2</v>
      </c>
      <c r="S117" s="799">
        <f t="shared" si="30"/>
        <v>-1</v>
      </c>
      <c r="T117" s="176">
        <f t="shared" si="31"/>
        <v>5</v>
      </c>
      <c r="U117" s="250">
        <f t="shared" si="32"/>
        <v>-0.98428166936142647</v>
      </c>
      <c r="V117" s="382">
        <f t="shared" si="33"/>
        <v>54.486771638651085</v>
      </c>
      <c r="W117" s="400">
        <f t="shared" si="34"/>
        <v>7.6203001474762795</v>
      </c>
      <c r="X117" s="157">
        <f t="shared" si="35"/>
        <v>46490</v>
      </c>
      <c r="Y117" s="383">
        <f t="shared" si="36"/>
        <v>7.4227698474936332</v>
      </c>
      <c r="Z117" s="383">
        <f t="shared" si="37"/>
        <v>7.8611441273924676</v>
      </c>
      <c r="AA117" s="384">
        <f t="shared" si="38"/>
        <v>8.4461187267792592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6.925957570689506E-2</v>
      </c>
      <c r="AD117" s="230">
        <f>(INDEX(Models!$BJ117:$BT117,,AH117)*(1-AF117)+INDEX(Models!$BJ117:$BT117,,AH117+1)*AF117-ERP_i)*AE117*Ramure*Pc/MaxiM</f>
        <v>4.0513608524553858E-6</v>
      </c>
      <c r="AE117" s="304">
        <f t="shared" si="40"/>
        <v>0.6</v>
      </c>
      <c r="AF117" s="177">
        <f t="shared" si="41"/>
        <v>0.54070589701255223</v>
      </c>
      <c r="AG117" s="799">
        <f t="shared" si="49"/>
        <v>2</v>
      </c>
      <c r="AH117" s="176">
        <f t="shared" si="42"/>
        <v>8</v>
      </c>
      <c r="AI117" s="224">
        <f t="shared" si="43"/>
        <v>2.5407058970125522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46491</v>
      </c>
      <c r="B118" s="409">
        <f>IF(t&gt;Tmaj,'2026'!Wh/'2026'!Env_an*'2027'!Env_an,0.001*'[6]mon-tableau'!$B$248)</f>
        <v>39.458155116069989</v>
      </c>
      <c r="C118" s="829"/>
      <c r="D118" s="391">
        <f t="shared" si="25"/>
        <v>41.789277520939493</v>
      </c>
      <c r="E118" s="383">
        <f t="shared" si="47"/>
        <v>43.739479414293648</v>
      </c>
      <c r="F118" s="383">
        <f t="shared" si="26"/>
        <v>43.739488293963717</v>
      </c>
      <c r="G118" s="110">
        <f t="shared" si="48"/>
        <v>0.72227122563888901</v>
      </c>
      <c r="H118" s="412" t="b">
        <f>Wh_hp&gt;='2026'!Maxi_hp</f>
        <v>0</v>
      </c>
      <c r="I118" s="388">
        <f>IF(H118,Wh_hp,'2026'!Maxi_hp)</f>
        <v>58.540655243985405</v>
      </c>
      <c r="J118" s="85">
        <f>IF(H118,An,'2026'!An_max)</f>
        <v>2021</v>
      </c>
      <c r="K118" s="197">
        <f t="shared" si="27"/>
        <v>46491</v>
      </c>
      <c r="L118" s="147">
        <f>IF(t&lt;Tvie,1-EXP((T0-t)*PertePVj)+'2026'!Pspv,1-EXP((T0-t)*PertePVj)+Pspv)</f>
        <v>5.5782787910162779E-2</v>
      </c>
      <c r="M118" s="832"/>
      <c r="N118" s="832"/>
      <c r="O118" s="48">
        <f>IF(t&lt;Tnet,'2026'!Resal+('2026'!Salim-'2026'!Resal)*(1-EXP(('2026'!Tnet-t)/('2026'!Tau_j))),Resal+(Salim-Resal)*(1-EXP((Tnet-t)/(Tau_j))))*Salcycl</f>
        <v>4.4586765079715221E-2</v>
      </c>
      <c r="P118" s="169">
        <f>(INDEX(Models!$BJ118:$BT118,,T118)*(1-R118)+INDEX(Models!$BJ118:$BT118,,T118+1)*R118-ERP_i)*Q118*Ramure*Pc/MaxiM</f>
        <v>3.3653449306321989E-7</v>
      </c>
      <c r="Q118" s="304">
        <f t="shared" si="28"/>
        <v>0.6</v>
      </c>
      <c r="R118" s="177">
        <f t="shared" si="29"/>
        <v>1.7336954518137104E-2</v>
      </c>
      <c r="S118" s="799">
        <f t="shared" si="30"/>
        <v>-1</v>
      </c>
      <c r="T118" s="176">
        <f t="shared" si="31"/>
        <v>5</v>
      </c>
      <c r="U118" s="250">
        <f t="shared" si="32"/>
        <v>-0.9826630454818629</v>
      </c>
      <c r="V118" s="382">
        <f t="shared" si="33"/>
        <v>54.630654589127488</v>
      </c>
      <c r="W118" s="400">
        <f t="shared" si="34"/>
        <v>39.458155116069989</v>
      </c>
      <c r="X118" s="157">
        <f t="shared" si="35"/>
        <v>46491</v>
      </c>
      <c r="Y118" s="383">
        <f t="shared" si="36"/>
        <v>38.436040521470133</v>
      </c>
      <c r="Z118" s="383">
        <f t="shared" si="37"/>
        <v>40.706778090180748</v>
      </c>
      <c r="AA118" s="384">
        <f t="shared" si="38"/>
        <v>43.739396140836831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6.9333788717414677E-2</v>
      </c>
      <c r="AD118" s="230">
        <f>(INDEX(Models!$BJ118:$BT118,,AH118)*(1-AF118)+INDEX(Models!$BJ118:$BT118,,AH118+1)*AF118-ERP_i)*AE118*Ramure*Pc/MaxiM</f>
        <v>3.4925515913704004E-6</v>
      </c>
      <c r="AE118" s="304">
        <f t="shared" si="40"/>
        <v>0.6</v>
      </c>
      <c r="AF118" s="177">
        <f t="shared" si="41"/>
        <v>0.54232452089211591</v>
      </c>
      <c r="AG118" s="799">
        <f t="shared" si="49"/>
        <v>2</v>
      </c>
      <c r="AH118" s="176">
        <f t="shared" si="42"/>
        <v>8</v>
      </c>
      <c r="AI118" s="224">
        <f t="shared" si="43"/>
        <v>2.5423245208921159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46492</v>
      </c>
      <c r="B119" s="409">
        <f>IF(t&gt;Tmaj,'2026'!Wh/'2026'!Env_an*'2027'!Env_an,0.001*'[6]mon-tableau'!$B$249)</f>
        <v>42.521630629918739</v>
      </c>
      <c r="C119" s="829"/>
      <c r="D119" s="391">
        <f t="shared" si="25"/>
        <v>45.034601168487534</v>
      </c>
      <c r="E119" s="383">
        <f t="shared" si="47"/>
        <v>47.140992701444624</v>
      </c>
      <c r="F119" s="383">
        <f t="shared" si="26"/>
        <v>47.141001969052873</v>
      </c>
      <c r="G119" s="110">
        <f t="shared" si="48"/>
        <v>0.77638359899714804</v>
      </c>
      <c r="H119" s="412" t="b">
        <f>Wh_hp&gt;='2026'!Maxi_hp</f>
        <v>0</v>
      </c>
      <c r="I119" s="388">
        <f>IF(H119,Wh_hp,'2026'!Maxi_hp)</f>
        <v>59.383919600806216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5.5800883617621921E-2</v>
      </c>
      <c r="M119" s="832"/>
      <c r="N119" s="832"/>
      <c r="O119" s="48">
        <f>IF(t&lt;Tnet,'2026'!Resal+('2026'!Salim-'2026'!Resal)*(1-EXP(('2026'!Tnet-t)/('2026'!Tau_j))),Resal+(Salim-Resal)*(1-EXP((Tnet-t)/(Tau_j))))*Salcycl</f>
        <v>4.468279966646814E-2</v>
      </c>
      <c r="P119" s="169">
        <f>(INDEX(Models!$BJ119:$BT119,,T119)*(1-R119)+INDEX(Models!$BJ119:$BT119,,T119+1)*R119-ERP_i)*Q119*Ramure*Pc/MaxiM</f>
        <v>2.8887504893591737E-7</v>
      </c>
      <c r="Q119" s="304">
        <f t="shared" si="28"/>
        <v>0.6</v>
      </c>
      <c r="R119" s="177">
        <f t="shared" si="29"/>
        <v>1.9011371827668655E-2</v>
      </c>
      <c r="S119" s="799">
        <f t="shared" si="30"/>
        <v>-1</v>
      </c>
      <c r="T119" s="176">
        <f t="shared" si="31"/>
        <v>5</v>
      </c>
      <c r="U119" s="250">
        <f t="shared" si="32"/>
        <v>-0.98098862817233135</v>
      </c>
      <c r="V119" s="382">
        <f t="shared" si="33"/>
        <v>54.768836900825015</v>
      </c>
      <c r="W119" s="400">
        <f t="shared" si="34"/>
        <v>42.521630629918739</v>
      </c>
      <c r="X119" s="157">
        <f t="shared" si="35"/>
        <v>46492</v>
      </c>
      <c r="Y119" s="383">
        <f t="shared" si="36"/>
        <v>41.420984926962277</v>
      </c>
      <c r="Z119" s="383">
        <f t="shared" si="37"/>
        <v>43.868908801422528</v>
      </c>
      <c r="AA119" s="384">
        <f t="shared" si="38"/>
        <v>47.140906416976222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6.9408882099377595E-2</v>
      </c>
      <c r="AD119" s="230">
        <f>(INDEX(Models!$BJ119:$BT119,,AH119)*(1-AF119)+INDEX(Models!$BJ119:$BT119,,AH119+1)*AF119-ERP_i)*AE119*Ramure*Pc/MaxiM</f>
        <v>2.9783963747157275E-6</v>
      </c>
      <c r="AE119" s="304">
        <f t="shared" si="40"/>
        <v>0.6</v>
      </c>
      <c r="AF119" s="177">
        <f t="shared" si="41"/>
        <v>0.54399893820164724</v>
      </c>
      <c r="AG119" s="799">
        <f t="shared" si="49"/>
        <v>2</v>
      </c>
      <c r="AH119" s="176">
        <f t="shared" si="42"/>
        <v>8</v>
      </c>
      <c r="AI119" s="224">
        <f t="shared" si="43"/>
        <v>2.5439989382016472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46493</v>
      </c>
      <c r="B120" s="409">
        <f>IF(t&gt;Tmaj,'2026'!Wh/'2026'!Env_an*'2027'!Env_an,0.001*'[6]mon-tableau'!$B$250)</f>
        <v>41.003778366462861</v>
      </c>
      <c r="C120" s="829"/>
      <c r="D120" s="391">
        <f t="shared" si="25"/>
        <v>43.427878185998459</v>
      </c>
      <c r="E120" s="383">
        <f t="shared" si="47"/>
        <v>45.463715398975189</v>
      </c>
      <c r="F120" s="383">
        <f t="shared" si="26"/>
        <v>45.463722506901142</v>
      </c>
      <c r="G120" s="110">
        <f t="shared" si="48"/>
        <v>0.74686186826911738</v>
      </c>
      <c r="H120" s="412" t="b">
        <f>Wh_hp&gt;='2026'!Maxi_hp</f>
        <v>0</v>
      </c>
      <c r="I120" s="388">
        <f>IF(H120,Wh_hp,'2026'!Maxi_hp)</f>
        <v>56.502985475141656</v>
      </c>
      <c r="J120" s="85">
        <f>IF(H120,An,'2026'!An_max)</f>
        <v>2020</v>
      </c>
      <c r="K120" s="197">
        <f t="shared" si="27"/>
        <v>46493</v>
      </c>
      <c r="L120" s="147">
        <f>IF(t&lt;Tvie,1-EXP((T0-t)*PertePVj)+'2026'!Pspv,1-EXP((T0-t)*PertePVj)+Pspv)</f>
        <v>5.5818978978281031E-2</v>
      </c>
      <c r="M120" s="832"/>
      <c r="N120" s="832"/>
      <c r="O120" s="48">
        <f>IF(t&lt;Tnet,'2026'!Resal+('2026'!Salim-'2026'!Resal)*(1-EXP(('2026'!Tnet-t)/('2026'!Tau_j))),Resal+(Salim-Resal)*(1-EXP((Tnet-t)/(Tau_j))))*Salcycl</f>
        <v>4.4779384947113782E-2</v>
      </c>
      <c r="P120" s="169">
        <f>(INDEX(Models!$BJ120:$BT120,,T120)*(1-R120)+INDEX(Models!$BJ120:$BT120,,T120+1)*R120-ERP_i)*Q120*Ramure*Pc/MaxiM</f>
        <v>2.449077799634413E-7</v>
      </c>
      <c r="Q120" s="304">
        <f t="shared" si="28"/>
        <v>0.6</v>
      </c>
      <c r="R120" s="177">
        <f t="shared" si="29"/>
        <v>2.0743029801311041E-2</v>
      </c>
      <c r="S120" s="799">
        <f t="shared" si="30"/>
        <v>-1</v>
      </c>
      <c r="T120" s="176">
        <f t="shared" si="31"/>
        <v>5</v>
      </c>
      <c r="U120" s="250">
        <f t="shared" si="32"/>
        <v>-0.97925697019868896</v>
      </c>
      <c r="V120" s="382">
        <f t="shared" si="33"/>
        <v>54.901416817532322</v>
      </c>
      <c r="W120" s="400">
        <f t="shared" si="34"/>
        <v>41.003778366462861</v>
      </c>
      <c r="X120" s="157">
        <f t="shared" si="35"/>
        <v>46493</v>
      </c>
      <c r="Y120" s="383">
        <f t="shared" si="36"/>
        <v>39.943213517673946</v>
      </c>
      <c r="Z120" s="383">
        <f t="shared" si="37"/>
        <v>42.30461386996587</v>
      </c>
      <c r="AA120" s="384">
        <f t="shared" si="38"/>
        <v>45.463649694387904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6.9484870784845637E-2</v>
      </c>
      <c r="AD120" s="230">
        <f>(INDEX(Models!$BJ120:$BT120,,AH120)*(1-AF120)+INDEX(Models!$BJ120:$BT120,,AH120+1)*AF120-ERP_i)*AE120*Ramure*Pc/MaxiM</f>
        <v>2.5087980774843332E-6</v>
      </c>
      <c r="AE120" s="304">
        <f t="shared" si="40"/>
        <v>0.6</v>
      </c>
      <c r="AF120" s="177">
        <f t="shared" si="41"/>
        <v>0.54573059617528985</v>
      </c>
      <c r="AG120" s="799">
        <f t="shared" si="49"/>
        <v>2</v>
      </c>
      <c r="AH120" s="176">
        <f t="shared" si="42"/>
        <v>8</v>
      </c>
      <c r="AI120" s="224">
        <f t="shared" si="43"/>
        <v>2.5457305961752899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46494</v>
      </c>
      <c r="B121" s="409">
        <f>IF(t&gt;Tmaj,'2026'!Wh/'2026'!Env_an*'2027'!Env_an,0.001*'[6]mon-tableau'!$B$251)</f>
        <v>52.939242279888468</v>
      </c>
      <c r="C121" s="829"/>
      <c r="D121" s="391">
        <f t="shared" si="25"/>
        <v>56.070028616489147</v>
      </c>
      <c r="E121" s="383">
        <f t="shared" si="47"/>
        <v>58.704482173615318</v>
      </c>
      <c r="F121" s="383">
        <f t="shared" si="26"/>
        <v>58.704493537140188</v>
      </c>
      <c r="G121" s="110">
        <f t="shared" si="48"/>
        <v>0.96205592630839731</v>
      </c>
      <c r="H121" s="412" t="b">
        <f>Wh_hp&gt;='2026'!Maxi_hp</f>
        <v>0</v>
      </c>
      <c r="I121" s="388">
        <f>IF(H121,Wh_hp,'2026'!Maxi_hp)</f>
        <v>58.704494159649528</v>
      </c>
      <c r="J121" s="85">
        <f>IF(H121,An,'2026'!An_max)</f>
        <v>2026</v>
      </c>
      <c r="K121" s="197">
        <f t="shared" si="27"/>
        <v>46494</v>
      </c>
      <c r="L121" s="147">
        <f>IF(t&lt;Tvie,1-EXP((T0-t)*PertePVj)+'2026'!Pspv,1-EXP((T0-t)*PertePVj)+Pspv)</f>
        <v>5.5837073992146546E-2</v>
      </c>
      <c r="M121" s="832"/>
      <c r="N121" s="832"/>
      <c r="O121" s="48">
        <f>IF(t&lt;Tnet,'2026'!Resal+('2026'!Salim-'2026'!Resal)*(1-EXP(('2026'!Tnet-t)/('2026'!Tau_j))),Resal+(Salim-Resal)*(1-EXP((Tnet-t)/(Tau_j))))*Salcycl</f>
        <v>4.487653173287371E-2</v>
      </c>
      <c r="P121" s="169">
        <f>(INDEX(Models!$BJ121:$BT121,,T121)*(1-R121)+INDEX(Models!$BJ121:$BT121,,T121+1)*R121-ERP_i)*Q121*Ramure*Pc/MaxiM</f>
        <v>2.0466570539725099E-7</v>
      </c>
      <c r="Q121" s="304">
        <f t="shared" si="28"/>
        <v>0.6</v>
      </c>
      <c r="R121" s="177">
        <f t="shared" si="29"/>
        <v>2.2533376335987843E-2</v>
      </c>
      <c r="S121" s="799">
        <f t="shared" si="30"/>
        <v>-1</v>
      </c>
      <c r="T121" s="176">
        <f t="shared" si="31"/>
        <v>5</v>
      </c>
      <c r="U121" s="250">
        <f t="shared" si="32"/>
        <v>-0.97746662366401216</v>
      </c>
      <c r="V121" s="382">
        <f t="shared" si="33"/>
        <v>55.027197738613076</v>
      </c>
      <c r="W121" s="400">
        <f t="shared" si="34"/>
        <v>52.939242279888468</v>
      </c>
      <c r="X121" s="157">
        <f t="shared" si="35"/>
        <v>46494</v>
      </c>
      <c r="Y121" s="383">
        <f t="shared" si="36"/>
        <v>51.57093198314805</v>
      </c>
      <c r="Z121" s="383">
        <f t="shared" si="37"/>
        <v>54.620797494350128</v>
      </c>
      <c r="AA121" s="384">
        <f t="shared" si="38"/>
        <v>58.704377839438571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6.9561768566177073E-2</v>
      </c>
      <c r="AD121" s="230">
        <f>(INDEX(Models!$BJ121:$BT121,,AH121)*(1-AF121)+INDEX(Models!$BJ121:$BT121,,AH121+1)*AF121-ERP_i)*AE121*Ramure*Pc/MaxiM</f>
        <v>2.0838033964300622E-6</v>
      </c>
      <c r="AE121" s="304">
        <f t="shared" si="40"/>
        <v>0.6</v>
      </c>
      <c r="AF121" s="177">
        <f t="shared" si="41"/>
        <v>0.54752094270996654</v>
      </c>
      <c r="AG121" s="799">
        <f t="shared" si="49"/>
        <v>2</v>
      </c>
      <c r="AH121" s="176">
        <f t="shared" si="42"/>
        <v>8</v>
      </c>
      <c r="AI121" s="224">
        <f t="shared" si="43"/>
        <v>2.5475209427099665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46495</v>
      </c>
      <c r="B122" s="409">
        <f>IF(t&gt;Tmaj,'2026'!Wh/'2026'!Env_an*'2027'!Env_an,0.001*'[6]mon-tableau'!$B$252)</f>
        <v>35.157511021197095</v>
      </c>
      <c r="C122" s="829"/>
      <c r="D122" s="391">
        <f t="shared" si="25"/>
        <v>37.237413005026056</v>
      </c>
      <c r="E122" s="383">
        <f t="shared" si="47"/>
        <v>38.991004178244481</v>
      </c>
      <c r="F122" s="383">
        <f t="shared" si="26"/>
        <v>38.991007366550491</v>
      </c>
      <c r="G122" s="110">
        <f t="shared" si="48"/>
        <v>0.63754380795732357</v>
      </c>
      <c r="H122" s="412" t="b">
        <f>Wh_hp&gt;='2026'!Maxi_hp</f>
        <v>0</v>
      </c>
      <c r="I122" s="388">
        <f>IF(H122,Wh_hp,'2026'!Maxi_hp)</f>
        <v>44.767493272933869</v>
      </c>
      <c r="J122" s="85">
        <f>IF(H122,An,'2026'!An_max)</f>
        <v>2021</v>
      </c>
      <c r="K122" s="197">
        <f t="shared" si="27"/>
        <v>46495</v>
      </c>
      <c r="L122" s="147">
        <f>IF(t&lt;Tvie,1-EXP((T0-t)*PertePVj)+'2026'!Pspv,1-EXP((T0-t)*PertePVj)+Pspv)</f>
        <v>5.5855168659225352E-2</v>
      </c>
      <c r="M122" s="832"/>
      <c r="N122" s="832"/>
      <c r="O122" s="48">
        <f>IF(t&lt;Tnet,'2026'!Resal+('2026'!Salim-'2026'!Resal)*(1-EXP(('2026'!Tnet-t)/('2026'!Tau_j))),Resal+(Salim-Resal)*(1-EXP((Tnet-t)/(Tau_j))))*Salcycl</f>
        <v>4.4974250091175123E-2</v>
      </c>
      <c r="P122" s="169">
        <f>(INDEX(Models!$BJ122:$BT122,,T122)*(1-R122)+INDEX(Models!$BJ122:$BT122,,T122+1)*R122-ERP_i)*Q122*Ramure*Pc/MaxiM</f>
        <v>1.6957560087980414E-7</v>
      </c>
      <c r="Q122" s="304">
        <f t="shared" si="28"/>
        <v>0.6</v>
      </c>
      <c r="R122" s="177">
        <f t="shared" si="29"/>
        <v>2.4383856658710679E-2</v>
      </c>
      <c r="S122" s="799">
        <f t="shared" si="30"/>
        <v>-1</v>
      </c>
      <c r="T122" s="176">
        <f t="shared" si="31"/>
        <v>5</v>
      </c>
      <c r="U122" s="250">
        <f t="shared" si="32"/>
        <v>-0.97561614334128932</v>
      </c>
      <c r="V122" s="382">
        <f t="shared" si="33"/>
        <v>55.145242562741792</v>
      </c>
      <c r="W122" s="400">
        <f t="shared" si="34"/>
        <v>35.157511021197095</v>
      </c>
      <c r="X122" s="157">
        <f t="shared" si="35"/>
        <v>46495</v>
      </c>
      <c r="Y122" s="383">
        <f t="shared" si="36"/>
        <v>34.249476547095789</v>
      </c>
      <c r="Z122" s="383">
        <f t="shared" si="37"/>
        <v>36.27565963418801</v>
      </c>
      <c r="AA122" s="384">
        <f t="shared" si="38"/>
        <v>38.990975075811988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6.9639588041706238E-2</v>
      </c>
      <c r="AD122" s="230">
        <f>(INDEX(Models!$BJ122:$BT122,,AH122)*(1-AF122)+INDEX(Models!$BJ122:$BT122,,AH122+1)*AF122-ERP_i)*AE122*Ramure*Pc/MaxiM</f>
        <v>1.7174390936604787E-6</v>
      </c>
      <c r="AE122" s="304">
        <f t="shared" si="40"/>
        <v>0.6</v>
      </c>
      <c r="AF122" s="177">
        <f t="shared" si="41"/>
        <v>0.5493714230326896</v>
      </c>
      <c r="AG122" s="799">
        <f t="shared" si="49"/>
        <v>2</v>
      </c>
      <c r="AH122" s="176">
        <f t="shared" si="42"/>
        <v>8</v>
      </c>
      <c r="AI122" s="224">
        <f t="shared" si="43"/>
        <v>2.5493714230326896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46496</v>
      </c>
      <c r="B123" s="409">
        <f>IF(t&gt;Tmaj,'2026'!Wh/'2026'!Env_an*'2027'!Env_an,0.001*'[6]mon-tableau'!$B$253)</f>
        <v>8.8722683170710042</v>
      </c>
      <c r="C123" s="829"/>
      <c r="D123" s="391">
        <f t="shared" si="25"/>
        <v>9.3973276777125978</v>
      </c>
      <c r="E123" s="383">
        <f t="shared" si="47"/>
        <v>9.8408812846174492</v>
      </c>
      <c r="F123" s="383">
        <f t="shared" si="26"/>
        <v>9.8408812846174492</v>
      </c>
      <c r="G123" s="110">
        <f t="shared" si="48"/>
        <v>0.16056646974360395</v>
      </c>
      <c r="H123" s="412" t="b">
        <f>Wh_hp&gt;='2026'!Maxi_hp</f>
        <v>0</v>
      </c>
      <c r="I123" s="388">
        <f>IF(H123,Wh_hp,'2026'!Maxi_hp)</f>
        <v>58.622323149510997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5.5873262979523886E-2</v>
      </c>
      <c r="M123" s="832"/>
      <c r="N123" s="832"/>
      <c r="O123" s="48">
        <f>IF(t&lt;Tnet,'2026'!Resal+('2026'!Salim-'2026'!Resal)*(1-EXP(('2026'!Tnet-t)/('2026'!Tau_j))),Resal+(Salim-Resal)*(1-EXP((Tnet-t)/(Tau_j))))*Salcycl</f>
        <v>4.5072549304926886E-2</v>
      </c>
      <c r="P123" s="169">
        <f>(INDEX(Models!$BJ123:$BT123,,T123)*(1-R123)+INDEX(Models!$BJ123:$BT123,,T123+1)*R123-ERP_i)*Q123*Ramure*Pc/MaxiM</f>
        <v>1.3827437554995059E-7</v>
      </c>
      <c r="Q123" s="304">
        <f t="shared" si="28"/>
        <v>0.6</v>
      </c>
      <c r="R123" s="177">
        <f t="shared" si="29"/>
        <v>2.6295909743347612E-2</v>
      </c>
      <c r="S123" s="799">
        <f t="shared" si="30"/>
        <v>-1</v>
      </c>
      <c r="T123" s="176">
        <f t="shared" si="31"/>
        <v>5</v>
      </c>
      <c r="U123" s="250">
        <f t="shared" si="32"/>
        <v>-0.97370409025665239</v>
      </c>
      <c r="V123" s="382">
        <f t="shared" si="33"/>
        <v>55.256038850645922</v>
      </c>
      <c r="W123" s="400">
        <f t="shared" si="34"/>
        <v>8.8722683170710042</v>
      </c>
      <c r="X123" s="157">
        <f t="shared" si="35"/>
        <v>46496</v>
      </c>
      <c r="Y123" s="383">
        <f t="shared" si="36"/>
        <v>8.64328330597262</v>
      </c>
      <c r="Z123" s="383">
        <f t="shared" si="37"/>
        <v>9.1547913718125802</v>
      </c>
      <c r="AA123" s="384">
        <f t="shared" si="38"/>
        <v>9.8408812846174492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6.9718340559327269E-2</v>
      </c>
      <c r="AD123" s="230">
        <f>(INDEX(Models!$BJ123:$BT123,,AH123)*(1-AF123)+INDEX(Models!$BJ123:$BT123,,AH123+1)*AF123-ERP_i)*AE123*Ramure*Pc/MaxiM</f>
        <v>1.3926070666610855E-6</v>
      </c>
      <c r="AE123" s="304">
        <f t="shared" si="40"/>
        <v>0.6</v>
      </c>
      <c r="AF123" s="177">
        <f t="shared" si="41"/>
        <v>0.5512834761173262</v>
      </c>
      <c r="AG123" s="799">
        <f t="shared" si="49"/>
        <v>2</v>
      </c>
      <c r="AH123" s="176">
        <f t="shared" si="42"/>
        <v>8</v>
      </c>
      <c r="AI123" s="224">
        <f t="shared" si="43"/>
        <v>2.5512834761173262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46497</v>
      </c>
      <c r="B124" s="409">
        <f>IF(t&gt;Tmaj,'2026'!Wh/'2026'!Env_an*'2027'!Env_an,0.001*'[6]mon-tableau'!$B$254)</f>
        <v>9.1904321037626122</v>
      </c>
      <c r="C124" s="829"/>
      <c r="D124" s="391">
        <f t="shared" si="25"/>
        <v>9.7345069038898391</v>
      </c>
      <c r="E124" s="383">
        <f t="shared" si="47"/>
        <v>10.195031118223637</v>
      </c>
      <c r="F124" s="383">
        <f t="shared" si="26"/>
        <v>10.195031118223637</v>
      </c>
      <c r="G124" s="110">
        <f t="shared" si="48"/>
        <v>0.16601190054172493</v>
      </c>
      <c r="H124" s="412" t="b">
        <f>Wh_hp&gt;='2026'!Maxi_hp</f>
        <v>0</v>
      </c>
      <c r="I124" s="388">
        <f>IF(H124,Wh_hp,'2026'!Maxi_hp)</f>
        <v>57.174498343837172</v>
      </c>
      <c r="J124" s="85">
        <f>IF(H124,An,'2026'!An_max)</f>
        <v>2018</v>
      </c>
      <c r="K124" s="197">
        <f t="shared" si="27"/>
        <v>46497</v>
      </c>
      <c r="L124" s="147">
        <f>IF(t&lt;Tvie,1-EXP((T0-t)*PertePVj)+'2026'!Pspv,1-EXP((T0-t)*PertePVj)+Pspv)</f>
        <v>5.5891356953049032E-2</v>
      </c>
      <c r="M124" s="832"/>
      <c r="N124" s="832"/>
      <c r="O124" s="48">
        <f>IF(t&lt;Tnet,'2026'!Resal+('2026'!Salim-'2026'!Resal)*(1-EXP(('2026'!Tnet-t)/('2026'!Tau_j))),Resal+(Salim-Resal)*(1-EXP((Tnet-t)/(Tau_j))))*Salcycl</f>
        <v>4.5171437830200445E-2</v>
      </c>
      <c r="P124" s="169">
        <f>(INDEX(Models!$BJ124:$BT124,,T124)*(1-R124)+INDEX(Models!$BJ124:$BT124,,T124+1)*R124-ERP_i)*Q124*Ramure*Pc/MaxiM</f>
        <v>1.108214357147036E-7</v>
      </c>
      <c r="Q124" s="304">
        <f t="shared" si="28"/>
        <v>0.6</v>
      </c>
      <c r="R124" s="177">
        <f t="shared" si="29"/>
        <v>2.8270964472016824E-2</v>
      </c>
      <c r="S124" s="799">
        <f t="shared" si="30"/>
        <v>-1</v>
      </c>
      <c r="T124" s="176">
        <f t="shared" si="31"/>
        <v>5</v>
      </c>
      <c r="U124" s="250">
        <f t="shared" si="32"/>
        <v>-0.97172903552798318</v>
      </c>
      <c r="V124" s="382">
        <f t="shared" si="33"/>
        <v>55.360073918049252</v>
      </c>
      <c r="W124" s="400">
        <f t="shared" si="34"/>
        <v>9.1904321037626122</v>
      </c>
      <c r="X124" s="157">
        <f t="shared" si="35"/>
        <v>46497</v>
      </c>
      <c r="Y124" s="383">
        <f t="shared" si="36"/>
        <v>8.9533957510134101</v>
      </c>
      <c r="Z124" s="383">
        <f t="shared" si="37"/>
        <v>9.4834379676027964</v>
      </c>
      <c r="AA124" s="384">
        <f t="shared" si="38"/>
        <v>10.195031118223637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6.9798036157914828E-2</v>
      </c>
      <c r="AD124" s="230">
        <f>(INDEX(Models!$BJ124:$BT124,,AH124)*(1-AF124)+INDEX(Models!$BJ124:$BT124,,AH124+1)*AF124-ERP_i)*AE124*Ramure*Pc/MaxiM</f>
        <v>1.1095225290676862E-6</v>
      </c>
      <c r="AE124" s="304">
        <f t="shared" si="40"/>
        <v>0.6</v>
      </c>
      <c r="AF124" s="177">
        <f t="shared" si="41"/>
        <v>0.55325853084599563</v>
      </c>
      <c r="AG124" s="799">
        <f t="shared" si="49"/>
        <v>2</v>
      </c>
      <c r="AH124" s="176">
        <f t="shared" si="42"/>
        <v>8</v>
      </c>
      <c r="AI124" s="224">
        <f t="shared" si="43"/>
        <v>2.5532585308459956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46498</v>
      </c>
      <c r="B125" s="409">
        <f>IF(t&gt;Tmaj,'2026'!Wh/'2026'!Env_an*'2027'!Env_an,0.001*'[6]mon-tableau'!$B$255)</f>
        <v>8.745770862970927</v>
      </c>
      <c r="C125" s="829"/>
      <c r="D125" s="391">
        <f t="shared" si="25"/>
        <v>9.263699195317745</v>
      </c>
      <c r="E125" s="383">
        <f t="shared" si="47"/>
        <v>9.7029612074607918</v>
      </c>
      <c r="F125" s="383">
        <f t="shared" si="26"/>
        <v>9.7029612074607918</v>
      </c>
      <c r="G125" s="110">
        <f t="shared" si="48"/>
        <v>0.15770125381732153</v>
      </c>
      <c r="H125" s="412" t="b">
        <f>Wh_hp&gt;='2026'!Maxi_hp</f>
        <v>0</v>
      </c>
      <c r="I125" s="388">
        <f>IF(H125,Wh_hp,'2026'!Maxi_hp)</f>
        <v>52.981756605548966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5.5909450579807229E-2</v>
      </c>
      <c r="M125" s="832"/>
      <c r="N125" s="832"/>
      <c r="O125" s="48">
        <f>IF(t&lt;Tnet,'2026'!Resal+('2026'!Salim-'2026'!Resal)*(1-EXP(('2026'!Tnet-t)/('2026'!Tau_j))),Resal+(Salim-Resal)*(1-EXP((Tnet-t)/(Tau_j))))*Salcycl</f>
        <v>4.5270923252304598E-2</v>
      </c>
      <c r="P125" s="169">
        <f>(INDEX(Models!$BJ125:$BT125,,T125)*(1-R125)+INDEX(Models!$BJ125:$BT125,,T125+1)*R125-ERP_i)*Q125*Ramure*Pc/MaxiM</f>
        <v>8.7290017900895658E-8</v>
      </c>
      <c r="Q125" s="304">
        <f t="shared" si="28"/>
        <v>0.6</v>
      </c>
      <c r="R125" s="177">
        <f t="shared" si="29"/>
        <v>3.031043553748991E-2</v>
      </c>
      <c r="S125" s="799">
        <f t="shared" si="30"/>
        <v>-1</v>
      </c>
      <c r="T125" s="176">
        <f t="shared" si="31"/>
        <v>5</v>
      </c>
      <c r="U125" s="250">
        <f t="shared" si="32"/>
        <v>-0.96968956446251009</v>
      </c>
      <c r="V125" s="382">
        <f t="shared" si="33"/>
        <v>55.457834911594205</v>
      </c>
      <c r="W125" s="400">
        <f t="shared" si="34"/>
        <v>8.745770862970927</v>
      </c>
      <c r="X125" s="157">
        <f t="shared" si="35"/>
        <v>46498</v>
      </c>
      <c r="Y125" s="383">
        <f t="shared" si="36"/>
        <v>8.5203521155206801</v>
      </c>
      <c r="Z125" s="383">
        <f t="shared" si="37"/>
        <v>9.0249310521680357</v>
      </c>
      <c r="AA125" s="384">
        <f t="shared" si="38"/>
        <v>9.7029612074607918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6.9878683506577902E-2</v>
      </c>
      <c r="AD125" s="230">
        <f>(INDEX(Models!$BJ125:$BT125,,AH125)*(1-AF125)+INDEX(Models!$BJ125:$BT125,,AH125+1)*AF125-ERP_i)*AE125*Ramure*Pc/MaxiM</f>
        <v>8.6850760220156374E-7</v>
      </c>
      <c r="AE125" s="304">
        <f t="shared" si="40"/>
        <v>0.6</v>
      </c>
      <c r="AF125" s="177">
        <f t="shared" si="41"/>
        <v>0.55529800191146839</v>
      </c>
      <c r="AG125" s="799">
        <f t="shared" si="49"/>
        <v>2</v>
      </c>
      <c r="AH125" s="176">
        <f t="shared" si="42"/>
        <v>8</v>
      </c>
      <c r="AI125" s="224">
        <f t="shared" si="43"/>
        <v>2.5552980019114684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46499</v>
      </c>
      <c r="B126" s="409">
        <f>IF(t&gt;Tmaj,'2026'!Wh/'2026'!Env_an*'2027'!Env_an,0.001*'[6]mon-tableau'!$B$256)</f>
        <v>25.288869414223083</v>
      </c>
      <c r="C126" s="829"/>
      <c r="D126" s="391">
        <f t="shared" si="25"/>
        <v>26.787000563087801</v>
      </c>
      <c r="E126" s="383">
        <f t="shared" si="47"/>
        <v>28.060116450004877</v>
      </c>
      <c r="F126" s="383">
        <f t="shared" si="26"/>
        <v>28.060116871731442</v>
      </c>
      <c r="G126" s="110">
        <f t="shared" si="48"/>
        <v>0.45524671678308376</v>
      </c>
      <c r="H126" s="412" t="b">
        <f>Wh_hp&gt;='2026'!Maxi_hp</f>
        <v>0</v>
      </c>
      <c r="I126" s="388">
        <f>IF(H126,Wh_hp,'2026'!Maxi_hp)</f>
        <v>60.779702375651659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5.592754385980514E-2</v>
      </c>
      <c r="M126" s="832"/>
      <c r="N126" s="832"/>
      <c r="O126" s="48">
        <f>IF(t&lt;Tnet,'2026'!Resal+('2026'!Salim-'2026'!Resal)*(1-EXP(('2026'!Tnet-t)/('2026'!Tau_j))),Resal+(Salim-Resal)*(1-EXP((Tnet-t)/(Tau_j))))*Salcycl</f>
        <v>4.5371012240287931E-2</v>
      </c>
      <c r="P126" s="169">
        <f>(INDEX(Models!$BJ126:$BT126,,T126)*(1-R126)+INDEX(Models!$BJ126:$BT126,,T126+1)*R126-ERP_i)*Q126*Ramure*Pc/MaxiM</f>
        <v>6.7766808690922438E-8</v>
      </c>
      <c r="Q126" s="304">
        <f t="shared" si="28"/>
        <v>0.6</v>
      </c>
      <c r="R126" s="177">
        <f t="shared" si="29"/>
        <v>3.2415719084372352E-2</v>
      </c>
      <c r="S126" s="799">
        <f t="shared" si="30"/>
        <v>-1</v>
      </c>
      <c r="T126" s="176">
        <f t="shared" si="31"/>
        <v>5</v>
      </c>
      <c r="U126" s="250">
        <f t="shared" si="32"/>
        <v>-0.96758428091562765</v>
      </c>
      <c r="V126" s="382">
        <f t="shared" si="33"/>
        <v>55.549808814114158</v>
      </c>
      <c r="W126" s="400">
        <f t="shared" si="34"/>
        <v>25.288869414223083</v>
      </c>
      <c r="X126" s="157">
        <f t="shared" si="35"/>
        <v>46499</v>
      </c>
      <c r="Y126" s="383">
        <f t="shared" si="36"/>
        <v>24.637476905174882</v>
      </c>
      <c r="Z126" s="383">
        <f t="shared" si="37"/>
        <v>26.097019084641332</v>
      </c>
      <c r="AA126" s="384">
        <f t="shared" si="38"/>
        <v>28.060112702287249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6.9960289841811713E-2</v>
      </c>
      <c r="AD126" s="230">
        <f>(INDEX(Models!$BJ126:$BT126,,AH126)*(1-AF126)+INDEX(Models!$BJ126:$BT126,,AH126+1)*AF126-ERP_i)*AE126*Ramure*Pc/MaxiM</f>
        <v>6.699837020668776E-7</v>
      </c>
      <c r="AE126" s="304">
        <f t="shared" si="40"/>
        <v>0.6</v>
      </c>
      <c r="AF126" s="177">
        <f t="shared" si="41"/>
        <v>0.55740328545835105</v>
      </c>
      <c r="AG126" s="799">
        <f t="shared" si="49"/>
        <v>2</v>
      </c>
      <c r="AH126" s="176">
        <f t="shared" si="42"/>
        <v>8</v>
      </c>
      <c r="AI126" s="224">
        <f t="shared" si="43"/>
        <v>2.557403285458351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46500</v>
      </c>
      <c r="B127" s="409">
        <f>IF(t&gt;Tmaj,'2026'!Wh/'2026'!Env_an*'2027'!Env_an,0.001*'[6]mon-tableau'!$B$257)</f>
        <v>8.6161653370116618</v>
      </c>
      <c r="C127" s="829"/>
      <c r="D127" s="391">
        <f t="shared" si="25"/>
        <v>9.1267681955756963</v>
      </c>
      <c r="E127" s="383">
        <f t="shared" si="47"/>
        <v>9.5615481447448509</v>
      </c>
      <c r="F127" s="383">
        <f t="shared" si="26"/>
        <v>9.5615481447448509</v>
      </c>
      <c r="G127" s="110">
        <f t="shared" si="48"/>
        <v>0.15486537803411177</v>
      </c>
      <c r="H127" s="412" t="b">
        <f>Wh_hp&gt;='2026'!Maxi_hp</f>
        <v>0</v>
      </c>
      <c r="I127" s="388">
        <f>IF(H127,Wh_hp,'2026'!Maxi_hp)</f>
        <v>61.484717168911814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5.5945636793049536E-2</v>
      </c>
      <c r="M127" s="832"/>
      <c r="N127" s="832"/>
      <c r="O127" s="48">
        <f>IF(t&lt;Tnet,'2026'!Resal+('2026'!Salim-'2026'!Resal)*(1-EXP(('2026'!Tnet-t)/('2026'!Tau_j))),Resal+(Salim-Resal)*(1-EXP((Tnet-t)/(Tau_j))))*Salcycl</f>
        <v>4.5471710499948151E-2</v>
      </c>
      <c r="P127" s="169">
        <f>(INDEX(Models!$BJ127:$BT127,,T127)*(1-R127)+INDEX(Models!$BJ127:$BT127,,T127+1)*R127-ERP_i)*Q127*Ramure*Pc/MaxiM</f>
        <v>5.2351996125436669E-8</v>
      </c>
      <c r="Q127" s="304">
        <f t="shared" si="28"/>
        <v>0.6</v>
      </c>
      <c r="R127" s="177">
        <f t="shared" si="29"/>
        <v>3.4588188088405691E-2</v>
      </c>
      <c r="S127" s="799">
        <f t="shared" si="30"/>
        <v>-1</v>
      </c>
      <c r="T127" s="176">
        <f t="shared" si="31"/>
        <v>5</v>
      </c>
      <c r="U127" s="250">
        <f t="shared" si="32"/>
        <v>-0.96541181191159431</v>
      </c>
      <c r="V127" s="382">
        <f t="shared" si="33"/>
        <v>55.636482442449797</v>
      </c>
      <c r="W127" s="400">
        <f t="shared" si="34"/>
        <v>8.6161653370116618</v>
      </c>
      <c r="X127" s="157">
        <f t="shared" si="35"/>
        <v>46500</v>
      </c>
      <c r="Y127" s="383">
        <f t="shared" si="36"/>
        <v>8.3943708687707908</v>
      </c>
      <c r="Z127" s="383">
        <f t="shared" si="37"/>
        <v>8.8918299580281932</v>
      </c>
      <c r="AA127" s="384">
        <f t="shared" si="38"/>
        <v>9.5615481447448509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7.0042860902681803E-2</v>
      </c>
      <c r="AD127" s="230">
        <f>(INDEX(Models!$BJ127:$BT127,,AH127)*(1-AF127)+INDEX(Models!$BJ127:$BT127,,AH127+1)*AF127-ERP_i)*AE127*Ramure*Pc/MaxiM</f>
        <v>5.1446822799042594E-7</v>
      </c>
      <c r="AE127" s="304">
        <f t="shared" si="40"/>
        <v>0.6</v>
      </c>
      <c r="AF127" s="177">
        <f t="shared" si="41"/>
        <v>0.55957575446238428</v>
      </c>
      <c r="AG127" s="799">
        <f t="shared" si="49"/>
        <v>2</v>
      </c>
      <c r="AH127" s="176">
        <f t="shared" si="42"/>
        <v>8</v>
      </c>
      <c r="AI127" s="224">
        <f t="shared" si="43"/>
        <v>2.5595757544623843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46501</v>
      </c>
      <c r="B128" s="409">
        <f>IF(t&gt;Tmaj,'2026'!Wh/'2026'!Env_an*'2027'!Env_an,0.001*'[6]mon-tableau'!$B$258)</f>
        <v>28.289506544662387</v>
      </c>
      <c r="C128" s="829"/>
      <c r="D128" s="391">
        <f t="shared" si="25"/>
        <v>29.966546228218068</v>
      </c>
      <c r="E128" s="383">
        <f t="shared" si="47"/>
        <v>31.397421638050261</v>
      </c>
      <c r="F128" s="383">
        <f t="shared" si="26"/>
        <v>31.3974220215404</v>
      </c>
      <c r="G128" s="110">
        <f t="shared" si="48"/>
        <v>0.5077233902478101</v>
      </c>
      <c r="H128" s="412" t="b">
        <f>Wh_hp&gt;='2026'!Maxi_hp</f>
        <v>0</v>
      </c>
      <c r="I128" s="388">
        <f>IF(H128,Wh_hp,'2026'!Maxi_hp)</f>
        <v>60.938970338666145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5.5963729379546967E-2</v>
      </c>
      <c r="M128" s="832"/>
      <c r="N128" s="832"/>
      <c r="O128" s="48">
        <f>IF(t&lt;Tnet,'2026'!Resal+('2026'!Salim-'2026'!Resal)*(1-EXP(('2026'!Tnet-t)/('2026'!Tau_j))),Resal+(Salim-Resal)*(1-EXP((Tnet-t)/(Tau_j))))*Salcycl</f>
        <v>4.5573022725475261E-2</v>
      </c>
      <c r="P128" s="169">
        <f>(INDEX(Models!$BJ128:$BT128,,T128)*(1-R128)+INDEX(Models!$BJ128:$BT128,,T128+1)*R128-ERP_i)*Q128*Ramure*Pc/MaxiM</f>
        <v>4.1159758650744564E-8</v>
      </c>
      <c r="Q128" s="304">
        <f t="shared" si="28"/>
        <v>0.6</v>
      </c>
      <c r="R128" s="177">
        <f t="shared" si="29"/>
        <v>3.6829187474987202E-2</v>
      </c>
      <c r="S128" s="799">
        <f t="shared" si="30"/>
        <v>-1</v>
      </c>
      <c r="T128" s="176">
        <f t="shared" si="31"/>
        <v>5</v>
      </c>
      <c r="U128" s="250">
        <f t="shared" si="32"/>
        <v>-0.9631708125250128</v>
      </c>
      <c r="V128" s="382">
        <f t="shared" si="33"/>
        <v>55.718342446258795</v>
      </c>
      <c r="W128" s="400">
        <f t="shared" si="34"/>
        <v>28.289506544662387</v>
      </c>
      <c r="X128" s="157">
        <f t="shared" si="35"/>
        <v>46501</v>
      </c>
      <c r="Y128" s="383">
        <f t="shared" si="36"/>
        <v>27.561733976039541</v>
      </c>
      <c r="Z128" s="383">
        <f t="shared" si="37"/>
        <v>29.195630330945889</v>
      </c>
      <c r="AA128" s="384">
        <f t="shared" si="38"/>
        <v>31.397418270699379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7.0126400864246791E-2</v>
      </c>
      <c r="AD128" s="230">
        <f>(INDEX(Models!$BJ128:$BT128,,AH128)*(1-AF128)+INDEX(Models!$BJ128:$BT128,,AH128+1)*AF128-ERP_i)*AE128*Ramure*Pc/MaxiM</f>
        <v>4.0257543762770564E-7</v>
      </c>
      <c r="AE128" s="304">
        <f t="shared" si="40"/>
        <v>0.6</v>
      </c>
      <c r="AF128" s="177">
        <f t="shared" si="41"/>
        <v>0.56181675384896579</v>
      </c>
      <c r="AG128" s="799">
        <f t="shared" si="49"/>
        <v>2</v>
      </c>
      <c r="AH128" s="176">
        <f t="shared" si="42"/>
        <v>8</v>
      </c>
      <c r="AI128" s="224">
        <f t="shared" si="43"/>
        <v>2.5618167538489658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46502</v>
      </c>
      <c r="B129" s="409">
        <f>IF(t&gt;Tmaj,'2026'!Wh/'2026'!Env_an*'2027'!Env_an,0.001*'[6]mon-tableau'!$B$259)</f>
        <v>43.01970929810885</v>
      </c>
      <c r="C129" s="829"/>
      <c r="D129" s="391">
        <f t="shared" si="25"/>
        <v>45.570848404531695</v>
      </c>
      <c r="E129" s="383">
        <f t="shared" si="47"/>
        <v>47.751914849447267</v>
      </c>
      <c r="F129" s="383">
        <f t="shared" si="26"/>
        <v>47.751915852499607</v>
      </c>
      <c r="G129" s="110">
        <f t="shared" si="48"/>
        <v>0.77101951507448052</v>
      </c>
      <c r="H129" s="412" t="b">
        <f>Wh_hp&gt;='2026'!Maxi_hp</f>
        <v>0</v>
      </c>
      <c r="I129" s="388">
        <f>IF(H129,Wh_hp,'2026'!Maxi_hp)</f>
        <v>53.779346350507211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5.5981821619304206E-2</v>
      </c>
      <c r="M129" s="832"/>
      <c r="N129" s="832"/>
      <c r="O129" s="48">
        <f>IF(t&lt;Tnet,'2026'!Resal+('2026'!Salim-'2026'!Resal)*(1-EXP(('2026'!Tnet-t)/('2026'!Tau_j))),Resal+(Salim-Resal)*(1-EXP((Tnet-t)/(Tau_j))))*Salcycl</f>
        <v>4.5674952549904266E-2</v>
      </c>
      <c r="P129" s="169">
        <f>(INDEX(Models!$BJ129:$BT129,,T129)*(1-R129)+INDEX(Models!$BJ129:$BT129,,T129+1)*R129-ERP_i)*Q129*Ramure*Pc/MaxiM</f>
        <v>3.1217054760065353E-8</v>
      </c>
      <c r="Q129" s="304">
        <f t="shared" si="28"/>
        <v>0.6</v>
      </c>
      <c r="R129" s="177">
        <f t="shared" si="29"/>
        <v>3.9140028979953057E-2</v>
      </c>
      <c r="S129" s="799">
        <f t="shared" si="30"/>
        <v>-1</v>
      </c>
      <c r="T129" s="176">
        <f t="shared" si="31"/>
        <v>5</v>
      </c>
      <c r="U129" s="250">
        <f t="shared" si="32"/>
        <v>-0.96085997102004694</v>
      </c>
      <c r="V129" s="382">
        <f t="shared" si="33"/>
        <v>55.795875483974669</v>
      </c>
      <c r="W129" s="400">
        <f t="shared" si="34"/>
        <v>43.01970929810885</v>
      </c>
      <c r="X129" s="157">
        <f t="shared" si="35"/>
        <v>46502</v>
      </c>
      <c r="Y129" s="383">
        <f t="shared" si="36"/>
        <v>41.91365303846105</v>
      </c>
      <c r="Z129" s="383">
        <f t="shared" si="37"/>
        <v>44.399201200083738</v>
      </c>
      <c r="AA129" s="384">
        <f t="shared" si="38"/>
        <v>47.75190608921497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7.0210912269499215E-2</v>
      </c>
      <c r="AD129" s="230">
        <f>(INDEX(Models!$BJ129:$BT129,,AH129)*(1-AF129)+INDEX(Models!$BJ129:$BT129,,AH129+1)*AF129-ERP_i)*AE129*Ramure*Pc/MaxiM</f>
        <v>3.0385352713847395E-7</v>
      </c>
      <c r="AE129" s="304">
        <f t="shared" si="40"/>
        <v>0.6</v>
      </c>
      <c r="AF129" s="177">
        <f t="shared" si="41"/>
        <v>0.56412759535393153</v>
      </c>
      <c r="AG129" s="799">
        <f t="shared" si="49"/>
        <v>2</v>
      </c>
      <c r="AH129" s="176">
        <f t="shared" si="42"/>
        <v>8</v>
      </c>
      <c r="AI129" s="224">
        <f t="shared" si="43"/>
        <v>2.5641275953539315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46503</v>
      </c>
      <c r="B130" s="409">
        <f>IF(t&gt;Tmaj,'2026'!Wh/'2026'!Env_an*'2027'!Env_an,0.001*'[6]mon-tableau'!$B$260)</f>
        <v>52.891683560911915</v>
      </c>
      <c r="C130" s="829"/>
      <c r="D130" s="391">
        <f t="shared" si="25"/>
        <v>56.029320672739821</v>
      </c>
      <c r="E130" s="383">
        <f t="shared" si="47"/>
        <v>58.71724971819043</v>
      </c>
      <c r="F130" s="383">
        <f t="shared" si="26"/>
        <v>58.717250941847503</v>
      </c>
      <c r="G130" s="110">
        <f t="shared" si="48"/>
        <v>0.94669934764182162</v>
      </c>
      <c r="H130" s="412" t="b">
        <f>Wh_hp&gt;='2026'!Maxi_hp</f>
        <v>0</v>
      </c>
      <c r="I130" s="388">
        <f>IF(H130,Wh_hp,'2026'!Maxi_hp)</f>
        <v>58.717251034993211</v>
      </c>
      <c r="J130" s="85">
        <f>IF(H130,An,'2026'!An_max)</f>
        <v>2026</v>
      </c>
      <c r="K130" s="197">
        <f t="shared" si="27"/>
        <v>46503</v>
      </c>
      <c r="L130" s="147">
        <f>IF(t&lt;Tvie,1-EXP((T0-t)*PertePVj)+'2026'!Pspv,1-EXP((T0-t)*PertePVj)+Pspv)</f>
        <v>5.5999913512327693E-2</v>
      </c>
      <c r="M130" s="832"/>
      <c r="N130" s="832"/>
      <c r="O130" s="48">
        <f>IF(t&lt;Tnet,'2026'!Resal+('2026'!Salim-'2026'!Resal)*(1-EXP(('2026'!Tnet-t)/('2026'!Tau_j))),Resal+(Salim-Resal)*(1-EXP((Tnet-t)/(Tau_j))))*Salcycl</f>
        <v>4.5777502494601621E-2</v>
      </c>
      <c r="P130" s="169">
        <f>(INDEX(Models!$BJ130:$BT130,,T130)*(1-R130)+INDEX(Models!$BJ130:$BT130,,T130+1)*R130-ERP_i)*Q130*Ramure*Pc/MaxiM</f>
        <v>2.2557430406784363E-8</v>
      </c>
      <c r="Q130" s="304">
        <f t="shared" si="28"/>
        <v>0.6</v>
      </c>
      <c r="R130" s="177">
        <f t="shared" si="29"/>
        <v>4.1521985757811963E-2</v>
      </c>
      <c r="S130" s="799">
        <f t="shared" si="30"/>
        <v>-1</v>
      </c>
      <c r="T130" s="176">
        <f t="shared" si="31"/>
        <v>5</v>
      </c>
      <c r="U130" s="250">
        <f t="shared" si="32"/>
        <v>-0.95847801424218804</v>
      </c>
      <c r="V130" s="382">
        <f t="shared" si="33"/>
        <v>55.869567885321921</v>
      </c>
      <c r="W130" s="400">
        <f t="shared" si="34"/>
        <v>52.891683560911915</v>
      </c>
      <c r="X130" s="157">
        <f t="shared" si="35"/>
        <v>46503</v>
      </c>
      <c r="Y130" s="383">
        <f t="shared" si="36"/>
        <v>51.532614309879634</v>
      </c>
      <c r="Z130" s="383">
        <f t="shared" si="37"/>
        <v>54.589628801429775</v>
      </c>
      <c r="AA130" s="384">
        <f t="shared" si="38"/>
        <v>58.717239090203037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7.0296395960176436E-2</v>
      </c>
      <c r="AD130" s="230">
        <f>(INDEX(Models!$BJ130:$BT130,,AH130)*(1-AF130)+INDEX(Models!$BJ130:$BT130,,AH130+1)*AF130-ERP_i)*AE130*Ramure*Pc/MaxiM</f>
        <v>2.1847840486852327E-7</v>
      </c>
      <c r="AE130" s="304">
        <f t="shared" si="40"/>
        <v>0.6</v>
      </c>
      <c r="AF130" s="177">
        <f t="shared" si="41"/>
        <v>0.56650955213179088</v>
      </c>
      <c r="AG130" s="799">
        <f t="shared" si="49"/>
        <v>2</v>
      </c>
      <c r="AH130" s="176">
        <f t="shared" si="42"/>
        <v>8</v>
      </c>
      <c r="AI130" s="224">
        <f t="shared" si="43"/>
        <v>2.5665095521317909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46504</v>
      </c>
      <c r="B131" s="409">
        <f>IF(t&gt;Tmaj,'2026'!Wh/'2026'!Env_an*'2027'!Env_an,0.001*'[6]mon-tableau'!$B$261)</f>
        <v>40.392352918393556</v>
      </c>
      <c r="C131" s="829"/>
      <c r="D131" s="391">
        <f t="shared" si="25"/>
        <v>42.789325574903621</v>
      </c>
      <c r="E131" s="383">
        <f t="shared" si="47"/>
        <v>44.846933088145811</v>
      </c>
      <c r="F131" s="383">
        <f t="shared" si="26"/>
        <v>44.846933499676112</v>
      </c>
      <c r="G131" s="110">
        <f t="shared" si="48"/>
        <v>0.72206686955018651</v>
      </c>
      <c r="H131" s="412" t="b">
        <f>Wh_hp&gt;='2026'!Maxi_hp</f>
        <v>0</v>
      </c>
      <c r="I131" s="388">
        <f>IF(H131,Wh_hp,'2026'!Maxi_hp)</f>
        <v>44.84693374888743</v>
      </c>
      <c r="J131" s="85">
        <f>IF(H131,An,'2026'!An_max)</f>
        <v>2026</v>
      </c>
      <c r="K131" s="197">
        <f t="shared" si="27"/>
        <v>46504</v>
      </c>
      <c r="L131" s="147">
        <f>IF(t&lt;Tvie,1-EXP((T0-t)*PertePVj)+'2026'!Pspv,1-EXP((T0-t)*PertePVj)+Pspv)</f>
        <v>5.6018005058624198E-2</v>
      </c>
      <c r="M131" s="832"/>
      <c r="N131" s="832"/>
      <c r="O131" s="48">
        <f>IF(t&lt;Tnet,'2026'!Resal+('2026'!Salim-'2026'!Resal)*(1-EXP(('2026'!Tnet-t)/('2026'!Tau_j))),Resal+(Salim-Resal)*(1-EXP((Tnet-t)/(Tau_j))))*Salcycl</f>
        <v>4.5880673918058203E-2</v>
      </c>
      <c r="P131" s="169">
        <f>(INDEX(Models!$BJ131:$BT131,,T131)*(1-R131)+INDEX(Models!$BJ131:$BT131,,T131+1)*R131-ERP_i)*Q131*Ramure*Pc/MaxiM</f>
        <v>1.5218990231297251E-8</v>
      </c>
      <c r="Q131" s="304">
        <f t="shared" si="28"/>
        <v>0.6</v>
      </c>
      <c r="R131" s="177">
        <f t="shared" si="29"/>
        <v>4.3976286744946913E-2</v>
      </c>
      <c r="S131" s="799">
        <f t="shared" si="30"/>
        <v>-1</v>
      </c>
      <c r="T131" s="176">
        <f t="shared" si="31"/>
        <v>5</v>
      </c>
      <c r="U131" s="250">
        <f t="shared" si="32"/>
        <v>-0.95602371325505309</v>
      </c>
      <c r="V131" s="382">
        <f t="shared" si="33"/>
        <v>55.939905814372629</v>
      </c>
      <c r="W131" s="400">
        <f t="shared" si="34"/>
        <v>40.392352918393556</v>
      </c>
      <c r="X131" s="157">
        <f t="shared" si="35"/>
        <v>46504</v>
      </c>
      <c r="Y131" s="383">
        <f t="shared" si="36"/>
        <v>39.355057547690464</v>
      </c>
      <c r="Z131" s="383">
        <f t="shared" si="37"/>
        <v>41.690474774505134</v>
      </c>
      <c r="AA131" s="384">
        <f t="shared" si="38"/>
        <v>44.846929534012908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7.0382851006864283E-2</v>
      </c>
      <c r="AD131" s="230">
        <f>(INDEX(Models!$BJ131:$BT131,,AH131)*(1-AF131)+INDEX(Models!$BJ131:$BT131,,AH131+1)*AF131-ERP_i)*AE131*Ramure*Pc/MaxiM</f>
        <v>1.4665600389923071E-7</v>
      </c>
      <c r="AE131" s="304">
        <f t="shared" si="40"/>
        <v>0.6</v>
      </c>
      <c r="AF131" s="177">
        <f t="shared" si="41"/>
        <v>0.56896385311892583</v>
      </c>
      <c r="AG131" s="799">
        <f t="shared" si="49"/>
        <v>2</v>
      </c>
      <c r="AH131" s="176">
        <f t="shared" si="42"/>
        <v>8</v>
      </c>
      <c r="AI131" s="224">
        <f t="shared" si="43"/>
        <v>2.5689638531189258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46505</v>
      </c>
      <c r="B132" s="409">
        <f>IF(t&gt;Tmaj,'2026'!Wh/'2026'!Env_an*'2027'!Env_an,0.001*'[6]mon-tableau'!$B$262)</f>
        <v>22.757868875249375</v>
      </c>
      <c r="C132" s="829"/>
      <c r="D132" s="391">
        <f t="shared" si="25"/>
        <v>24.108833807139181</v>
      </c>
      <c r="E132" s="383">
        <f t="shared" si="47"/>
        <v>25.270902802205455</v>
      </c>
      <c r="F132" s="383">
        <f t="shared" si="26"/>
        <v>25.270902837693903</v>
      </c>
      <c r="G132" s="110">
        <f t="shared" si="48"/>
        <v>0.40633699732765943</v>
      </c>
      <c r="H132" s="412" t="b">
        <f>Wh_hp&gt;='2026'!Maxi_hp</f>
        <v>0</v>
      </c>
      <c r="I132" s="388">
        <f>IF(H132,Wh_hp,'2026'!Maxi_hp)</f>
        <v>48.436349706395312</v>
      </c>
      <c r="J132" s="85">
        <f>IF(H132,An,'2026'!An_max)</f>
        <v>2018</v>
      </c>
      <c r="K132" s="197">
        <f t="shared" si="27"/>
        <v>46505</v>
      </c>
      <c r="L132" s="147">
        <f>IF(t&lt;Tvie,1-EXP((T0-t)*PertePVj)+'2026'!Pspv,1-EXP((T0-t)*PertePVj)+Pspv)</f>
        <v>5.6036096258200385E-2</v>
      </c>
      <c r="M132" s="832"/>
      <c r="N132" s="832"/>
      <c r="O132" s="48">
        <f>IF(t&lt;Tnet,'2026'!Resal+('2026'!Salim-'2026'!Resal)*(1-EXP(('2026'!Tnet-t)/('2026'!Tau_j))),Resal+(Salim-Resal)*(1-EXP((Tnet-t)/(Tau_j))))*Salcycl</f>
        <v>4.5984466964308801E-2</v>
      </c>
      <c r="P132" s="169">
        <f>(INDEX(Models!$BJ132:$BT132,,T132)*(1-R132)+INDEX(Models!$BJ132:$BT132,,T132+1)*R132-ERP_i)*Q132*Ramure*Pc/MaxiM</f>
        <v>9.2444246333885247E-9</v>
      </c>
      <c r="Q132" s="304">
        <f t="shared" si="28"/>
        <v>0.6</v>
      </c>
      <c r="R132" s="177">
        <f t="shared" si="29"/>
        <v>4.6504110787824238E-2</v>
      </c>
      <c r="S132" s="799">
        <f t="shared" si="30"/>
        <v>-1</v>
      </c>
      <c r="T132" s="176">
        <f t="shared" si="31"/>
        <v>5</v>
      </c>
      <c r="U132" s="250">
        <f t="shared" si="32"/>
        <v>-0.95349588921217576</v>
      </c>
      <c r="V132" s="382">
        <f t="shared" si="33"/>
        <v>56.007375273470274</v>
      </c>
      <c r="W132" s="400">
        <f t="shared" si="34"/>
        <v>22.757868875249375</v>
      </c>
      <c r="X132" s="157">
        <f t="shared" si="35"/>
        <v>46505</v>
      </c>
      <c r="Y132" s="383">
        <f t="shared" si="36"/>
        <v>22.17376407176841</v>
      </c>
      <c r="Z132" s="383">
        <f t="shared" si="37"/>
        <v>23.490055058115392</v>
      </c>
      <c r="AA132" s="384">
        <f t="shared" si="38"/>
        <v>25.270902497485718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7.0470274638885944E-2</v>
      </c>
      <c r="AD132" s="230">
        <f>(INDEX(Models!$BJ132:$BT132,,AH132)*(1-AF132)+INDEX(Models!$BJ132:$BT132,,AH132+1)*AF132-ERP_i)*AE132*Ramure*Pc/MaxiM</f>
        <v>8.8621201448095832E-8</v>
      </c>
      <c r="AE132" s="304">
        <f t="shared" si="40"/>
        <v>0.6</v>
      </c>
      <c r="AF132" s="177">
        <f t="shared" si="41"/>
        <v>0.57149167716180305</v>
      </c>
      <c r="AG132" s="799">
        <f t="shared" si="49"/>
        <v>2</v>
      </c>
      <c r="AH132" s="176">
        <f t="shared" si="42"/>
        <v>8</v>
      </c>
      <c r="AI132" s="224">
        <f t="shared" si="43"/>
        <v>2.571491677161803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46506</v>
      </c>
      <c r="B133" s="409">
        <f>IF(t&gt;Tmaj,'2026'!Wh/'2026'!Env_an*'2027'!Env_an,0.001*'[6]mon-tableau'!$B$263)</f>
        <v>41.295668538900408</v>
      </c>
      <c r="C133" s="829"/>
      <c r="D133" s="391">
        <f t="shared" si="25"/>
        <v>43.747922788613685</v>
      </c>
      <c r="E133" s="383">
        <f t="shared" si="47"/>
        <v>45.861634165733101</v>
      </c>
      <c r="F133" s="383">
        <f t="shared" si="26"/>
        <v>45.861634299591898</v>
      </c>
      <c r="G133" s="110">
        <f t="shared" si="48"/>
        <v>0.73646968436868643</v>
      </c>
      <c r="H133" s="412" t="b">
        <f>Wh_hp&gt;='2026'!Maxi_hp</f>
        <v>0</v>
      </c>
      <c r="I133" s="388">
        <f>IF(H133,Wh_hp,'2026'!Maxi_hp)</f>
        <v>49.060314253198726</v>
      </c>
      <c r="J133" s="85">
        <f>IF(H133,An,'2026'!An_max)</f>
        <v>2018</v>
      </c>
      <c r="K133" s="197">
        <f t="shared" si="27"/>
        <v>46506</v>
      </c>
      <c r="L133" s="147">
        <f>IF(t&lt;Tvie,1-EXP((T0-t)*PertePVj)+'2026'!Pspv,1-EXP((T0-t)*PertePVj)+Pspv)</f>
        <v>5.6054187111062803E-2</v>
      </c>
      <c r="M133" s="832"/>
      <c r="N133" s="832"/>
      <c r="O133" s="48">
        <f>IF(t&lt;Tnet,'2026'!Resal+('2026'!Salim-'2026'!Resal)*(1-EXP(('2026'!Tnet-t)/('2026'!Tau_j))),Resal+(Salim-Resal)*(1-EXP((Tnet-t)/(Tau_j))))*Salcycl</f>
        <v>4.6088880511343445E-2</v>
      </c>
      <c r="P133" s="169">
        <f>(INDEX(Models!$BJ133:$BT133,,T133)*(1-R133)+INDEX(Models!$BJ133:$BT133,,T133+1)*R133-ERP_i)*Q133*Ramure*Pc/MaxiM</f>
        <v>4.6810292053181179E-9</v>
      </c>
      <c r="Q133" s="304">
        <f t="shared" si="28"/>
        <v>0.6</v>
      </c>
      <c r="R133" s="177">
        <f t="shared" si="29"/>
        <v>4.9106580548956336E-2</v>
      </c>
      <c r="S133" s="799">
        <f t="shared" si="30"/>
        <v>-1</v>
      </c>
      <c r="T133" s="176">
        <f t="shared" si="31"/>
        <v>5</v>
      </c>
      <c r="U133" s="250">
        <f t="shared" si="32"/>
        <v>-0.95089341945104366</v>
      </c>
      <c r="V133" s="382">
        <f t="shared" si="33"/>
        <v>56.072462102123524</v>
      </c>
      <c r="W133" s="400">
        <f t="shared" si="34"/>
        <v>41.295668538900408</v>
      </c>
      <c r="X133" s="157">
        <f t="shared" si="35"/>
        <v>46506</v>
      </c>
      <c r="Y133" s="383">
        <f t="shared" si="36"/>
        <v>40.236348725593579</v>
      </c>
      <c r="Z133" s="383">
        <f t="shared" si="37"/>
        <v>42.625697551907791</v>
      </c>
      <c r="AA133" s="384">
        <f t="shared" si="38"/>
        <v>45.86163302316146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7.0558662174533243E-2</v>
      </c>
      <c r="AD133" s="230">
        <f>(INDEX(Models!$BJ133:$BT133,,AH133)*(1-AF133)+INDEX(Models!$BJ133:$BT133,,AH133+1)*AF133-ERP_i)*AE133*Ramure*Pc/MaxiM</f>
        <v>4.4636648607954627E-8</v>
      </c>
      <c r="AE133" s="304">
        <f t="shared" si="40"/>
        <v>0.6</v>
      </c>
      <c r="AF133" s="177">
        <f t="shared" si="41"/>
        <v>0.57409414692293526</v>
      </c>
      <c r="AG133" s="799">
        <f t="shared" si="49"/>
        <v>2</v>
      </c>
      <c r="AH133" s="176">
        <f t="shared" si="42"/>
        <v>8</v>
      </c>
      <c r="AI133" s="224">
        <f t="shared" si="43"/>
        <v>2.5740941469229353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46507</v>
      </c>
      <c r="B134" s="409">
        <f>IF(t&gt;Tmaj,'2026'!Wh/'2026'!Env_an*'2027'!Env_an,0.001*'[6]mon-tableau'!$B$264)</f>
        <v>43.965127131998024</v>
      </c>
      <c r="C134" s="829"/>
      <c r="D134" s="391">
        <f t="shared" si="25"/>
        <v>46.576794058993926</v>
      </c>
      <c r="E134" s="383">
        <f t="shared" si="47"/>
        <v>47.004515123169291</v>
      </c>
      <c r="F134" s="383">
        <f t="shared" si="26"/>
        <v>47.004515171345382</v>
      </c>
      <c r="G134" s="110">
        <f t="shared" si="48"/>
        <v>0.7538755129562954</v>
      </c>
      <c r="H134" s="412" t="b">
        <f>Wh_hp&gt;='2026'!Maxi_hp</f>
        <v>0</v>
      </c>
      <c r="I134" s="388">
        <f>IF(H134,Wh_hp,'2026'!Maxi_hp)</f>
        <v>62.303261019981171</v>
      </c>
      <c r="J134" s="85">
        <f>IF(H134,An,'2026'!An_max)</f>
        <v>2018</v>
      </c>
      <c r="K134" s="197">
        <f t="shared" si="27"/>
        <v>46507</v>
      </c>
      <c r="L134" s="147">
        <f>IF(t&lt;Tvie,1-EXP((T0-t)*PertePVj)+'2026'!Pspv,1-EXP((T0-t)*PertePVj)+Pspv)</f>
        <v>5.6072277617218114E-2</v>
      </c>
      <c r="M134" s="832"/>
      <c r="N134" s="832"/>
      <c r="O134" s="48">
        <f>IF(t&lt;Tnet,'2026'!Resal+('2026'!Salim-'2026'!Resal)*(1-EXP(('2026'!Tnet-t)/('2026'!Tau_j))),Resal+(Salim-Resal)*(1-EXP((Tnet-t)/(Tau_j))))*Salcycl</f>
        <v>9.099574010168537E-3</v>
      </c>
      <c r="P134" s="169">
        <f>(INDEX(Models!$BJ134:$BT134,,T134)*(1-R134)+INDEX(Models!$BJ134:$BT134,,T134+1)*R134-ERP_i)*Q134*Ramure*Pc/MaxiM</f>
        <v>1.5807140010967735E-9</v>
      </c>
      <c r="Q134" s="304">
        <f t="shared" si="28"/>
        <v>0.6</v>
      </c>
      <c r="R134" s="177">
        <f t="shared" si="29"/>
        <v>5.178475620623546E-2</v>
      </c>
      <c r="S134" s="799">
        <f t="shared" si="30"/>
        <v>-1</v>
      </c>
      <c r="T134" s="176">
        <f t="shared" si="31"/>
        <v>5</v>
      </c>
      <c r="U134" s="250">
        <f t="shared" si="32"/>
        <v>-0.94821524379376454</v>
      </c>
      <c r="V134" s="382">
        <f t="shared" si="33"/>
        <v>58.318815708915956</v>
      </c>
      <c r="W134" s="400">
        <f t="shared" si="34"/>
        <v>43.965127131998024</v>
      </c>
      <c r="X134" s="157">
        <f t="shared" si="35"/>
        <v>46507</v>
      </c>
      <c r="Y134" s="383">
        <f t="shared" si="36"/>
        <v>42.319293087794399</v>
      </c>
      <c r="Z134" s="383">
        <f t="shared" si="37"/>
        <v>44.833192292484725</v>
      </c>
      <c r="AA134" s="384">
        <f t="shared" si="38"/>
        <v>47.004514714443168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4.6193912119919384E-2</v>
      </c>
      <c r="AD134" s="230">
        <f>(INDEX(Models!$BJ134:$BT134,,AH134)*(1-AF134)+INDEX(Models!$BJ134:$BT134,,AH134+1)*AF134-ERP_i)*AE134*Ramure*Pc/MaxiM</f>
        <v>1.4991495814343207E-8</v>
      </c>
      <c r="AE134" s="304">
        <f t="shared" si="40"/>
        <v>0.6</v>
      </c>
      <c r="AF134" s="177">
        <f t="shared" si="41"/>
        <v>0.57677232258021416</v>
      </c>
      <c r="AG134" s="799">
        <f t="shared" si="49"/>
        <v>2</v>
      </c>
      <c r="AH134" s="176">
        <f t="shared" si="42"/>
        <v>8</v>
      </c>
      <c r="AI134" s="224">
        <f t="shared" si="43"/>
        <v>2.5767723225802142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46508</v>
      </c>
      <c r="B135" s="409">
        <f>IF(t&gt;Tmaj,'2026'!Wh/'2026'!Env_an*'2027'!Env_an,0.001*[7]mois!$B$242)</f>
        <v>47.652257331389613</v>
      </c>
      <c r="C135" s="829"/>
      <c r="D135" s="391">
        <f t="shared" si="25"/>
        <v>50.483918909850892</v>
      </c>
      <c r="E135" s="383">
        <f t="shared" si="47"/>
        <v>50.954149693561234</v>
      </c>
      <c r="F135" s="383">
        <f t="shared" si="26"/>
        <v>50.954149693561234</v>
      </c>
      <c r="G135" s="110">
        <f t="shared" si="48"/>
        <v>0.81624045075881102</v>
      </c>
      <c r="H135" s="412" t="b">
        <f>Wh_hp&gt;='2026'!Maxi_hp</f>
        <v>0</v>
      </c>
      <c r="I135" s="388">
        <f>IF(H135,Wh_hp,'2026'!Maxi_hp)</f>
        <v>58.712576893324226</v>
      </c>
      <c r="J135" s="85">
        <f>IF(H135,An,'2026'!An_max)</f>
        <v>2018</v>
      </c>
      <c r="K135" s="197">
        <f t="shared" si="27"/>
        <v>46508</v>
      </c>
      <c r="L135" s="147">
        <f>IF(t&lt;Tvie,1-EXP((T0-t)*PertePVj)+'2026'!Pspv,1-EXP((T0-t)*PertePVj)+Pspv)</f>
        <v>5.6090367776673089E-2</v>
      </c>
      <c r="M135" s="832"/>
      <c r="N135" s="832"/>
      <c r="O135" s="48">
        <f>IF(t&lt;Tnet,'2026'!Resal+('2026'!Salim-'2026'!Resal)*(1-EXP(('2026'!Tnet-t)/('2026'!Tau_j))),Resal+(Salim-Resal)*(1-EXP((Tnet-t)/(Tau_j))))*Salcycl</f>
        <v>9.2285081104938309E-3</v>
      </c>
      <c r="P135" s="169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5.4539628964295428E-2</v>
      </c>
      <c r="S135" s="799">
        <f t="shared" si="30"/>
        <v>-1</v>
      </c>
      <c r="T135" s="176">
        <f t="shared" si="31"/>
        <v>5</v>
      </c>
      <c r="U135" s="250">
        <f t="shared" si="32"/>
        <v>-0.94546037103570457</v>
      </c>
      <c r="V135" s="382">
        <f t="shared" si="33"/>
        <v>58.380171292772978</v>
      </c>
      <c r="W135" s="400">
        <f t="shared" si="34"/>
        <v>47.652257331389613</v>
      </c>
      <c r="X135" s="157">
        <f t="shared" si="35"/>
        <v>46508</v>
      </c>
      <c r="Y135" s="383">
        <f t="shared" si="36"/>
        <v>45.869283938896174</v>
      </c>
      <c r="Z135" s="383">
        <f t="shared" si="37"/>
        <v>48.594995085338425</v>
      </c>
      <c r="AA135" s="384">
        <f t="shared" si="38"/>
        <v>50.954149693561234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4.6299557983221953E-2</v>
      </c>
      <c r="AD135" s="230">
        <f>(INDEX(Models!$BJ135:$BT135,,AH135)*(1-AF135)+INDEX(Models!$BJ135:$BT135,,AH135+1)*AF135-ERP_i)*AE135*Ramure*Pc/MaxiM</f>
        <v>0</v>
      </c>
      <c r="AE135" s="304">
        <f t="shared" si="40"/>
        <v>0.6</v>
      </c>
      <c r="AF135" s="177">
        <f t="shared" si="41"/>
        <v>0.57952719533827413</v>
      </c>
      <c r="AG135" s="799">
        <f t="shared" si="49"/>
        <v>2</v>
      </c>
      <c r="AH135" s="176">
        <f t="shared" si="42"/>
        <v>8</v>
      </c>
      <c r="AI135" s="224">
        <f t="shared" si="43"/>
        <v>2.5795271953382741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46509</v>
      </c>
      <c r="B136" s="409">
        <f>IF(t&gt;Tmaj,'2026'!Wh/'2026'!Env_an*'2027'!Env_an,0.001*[7]mois!$B$243)</f>
        <v>29.525776432464642</v>
      </c>
      <c r="C136" s="829"/>
      <c r="D136" s="391">
        <f t="shared" si="25"/>
        <v>31.280899452769731</v>
      </c>
      <c r="E136" s="383">
        <f t="shared" si="47"/>
        <v>31.576377064141163</v>
      </c>
      <c r="F136" s="383">
        <f t="shared" si="26"/>
        <v>31.576377064141163</v>
      </c>
      <c r="G136" s="110">
        <f t="shared" si="48"/>
        <v>0.5052582348550011</v>
      </c>
      <c r="H136" s="412" t="b">
        <f>Wh_hp&gt;='2026'!Maxi_hp</f>
        <v>0</v>
      </c>
      <c r="I136" s="388">
        <f>IF(H136,Wh_hp,'2026'!Maxi_hp)</f>
        <v>48.58732792238655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5.610845758943428E-2</v>
      </c>
      <c r="M136" s="832"/>
      <c r="N136" s="832"/>
      <c r="O136" s="48">
        <f>IF(t&lt;Tnet,'2026'!Resal+('2026'!Salim-'2026'!Resal)*(1-EXP(('2026'!Tnet-t)/('2026'!Tau_j))),Resal+(Salim-Resal)*(1-EXP((Tnet-t)/(Tau_j))))*Salcycl</f>
        <v>9.3575526657547672E-3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5.7372114399730556E-2</v>
      </c>
      <c r="S136" s="799">
        <f t="shared" si="30"/>
        <v>-1</v>
      </c>
      <c r="T136" s="176">
        <f t="shared" si="31"/>
        <v>5</v>
      </c>
      <c r="U136" s="250">
        <f t="shared" si="32"/>
        <v>-0.94262788560026944</v>
      </c>
      <c r="V136" s="382">
        <f t="shared" si="33"/>
        <v>58.437001904457716</v>
      </c>
      <c r="W136" s="400">
        <f t="shared" si="34"/>
        <v>29.525776432464642</v>
      </c>
      <c r="X136" s="157">
        <f t="shared" si="35"/>
        <v>46509</v>
      </c>
      <c r="Y136" s="383">
        <f t="shared" si="36"/>
        <v>28.421565068235385</v>
      </c>
      <c r="Z136" s="383">
        <f t="shared" si="37"/>
        <v>30.111049618741916</v>
      </c>
      <c r="AA136" s="384">
        <f t="shared" si="38"/>
        <v>31.576377064141163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4.6405812877858867E-2</v>
      </c>
      <c r="AD136" s="230">
        <f>(INDEX(Models!$BJ136:$BT136,,AH136)*(1-AF136)+INDEX(Models!$BJ136:$BT136,,AH136+1)*AF136-ERP_i)*AE136*Ramure*Pc/MaxiM</f>
        <v>0</v>
      </c>
      <c r="AE136" s="304">
        <f t="shared" si="40"/>
        <v>0.6</v>
      </c>
      <c r="AF136" s="177">
        <f t="shared" si="41"/>
        <v>0.58235968077370925</v>
      </c>
      <c r="AG136" s="799">
        <f t="shared" si="49"/>
        <v>2</v>
      </c>
      <c r="AH136" s="176">
        <f t="shared" si="42"/>
        <v>8</v>
      </c>
      <c r="AI136" s="224">
        <f t="shared" si="43"/>
        <v>2.5823596807737093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46510</v>
      </c>
      <c r="B137" s="409">
        <f>IF(t&gt;Tmaj,'2026'!Wh/'2026'!Env_an*'2027'!Env_an,0.001*[7]mois!$B$244)</f>
        <v>38.633421851534116</v>
      </c>
      <c r="C137" s="829"/>
      <c r="D137" s="391">
        <f t="shared" si="25"/>
        <v>40.930721942665031</v>
      </c>
      <c r="E137" s="383">
        <f t="shared" si="47"/>
        <v>41.322738805069307</v>
      </c>
      <c r="F137" s="383">
        <f t="shared" si="26"/>
        <v>41.322738805069307</v>
      </c>
      <c r="G137" s="110">
        <f t="shared" si="48"/>
        <v>0.6605188059649213</v>
      </c>
      <c r="H137" s="412" t="b">
        <f>Wh_hp&gt;='2026'!Maxi_hp</f>
        <v>0</v>
      </c>
      <c r="I137" s="388">
        <f>IF(H137,Wh_hp,'2026'!Maxi_hp)</f>
        <v>60.66641025918041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5.6126547055508236E-2</v>
      </c>
      <c r="M137" s="832"/>
      <c r="N137" s="832"/>
      <c r="O137" s="48">
        <f>IF(t&lt;Tnet,'2026'!Resal+('2026'!Salim-'2026'!Resal)*(1-EXP(('2026'!Tnet-t)/('2026'!Tau_j))),Resal+(Salim-Resal)*(1-EXP((Tnet-t)/(Tau_j))))*Salcycl</f>
        <v>9.4867105555013296E-3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6.0283045665294299E-2</v>
      </c>
      <c r="S137" s="799">
        <f t="shared" si="30"/>
        <v>-1</v>
      </c>
      <c r="T137" s="176">
        <f t="shared" si="31"/>
        <v>5</v>
      </c>
      <c r="U137" s="250">
        <f t="shared" si="32"/>
        <v>-0.9397169543347057</v>
      </c>
      <c r="V137" s="382">
        <f t="shared" si="33"/>
        <v>58.489510824898232</v>
      </c>
      <c r="W137" s="400">
        <f t="shared" si="34"/>
        <v>38.633421851534116</v>
      </c>
      <c r="X137" s="157">
        <f t="shared" si="35"/>
        <v>46510</v>
      </c>
      <c r="Y137" s="383">
        <f t="shared" si="36"/>
        <v>37.189282201486577</v>
      </c>
      <c r="Z137" s="383">
        <f t="shared" si="37"/>
        <v>39.400707886710364</v>
      </c>
      <c r="AA137" s="384">
        <f t="shared" si="38"/>
        <v>41.322738805069307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4.6512670116704645E-2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0.585270612039273</v>
      </c>
      <c r="AG137" s="799">
        <f t="shared" si="49"/>
        <v>2</v>
      </c>
      <c r="AH137" s="176">
        <f t="shared" si="42"/>
        <v>8</v>
      </c>
      <c r="AI137" s="224">
        <f t="shared" si="43"/>
        <v>2.585270612039273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46511</v>
      </c>
      <c r="B138" s="409">
        <f>IF(t&gt;Tmaj,'2026'!Wh/'2026'!Env_an*'2027'!Env_an,0.001*[7]mois!$B$245)</f>
        <v>20.667816335522389</v>
      </c>
      <c r="C138" s="829"/>
      <c r="D138" s="391">
        <f t="shared" si="25"/>
        <v>21.897228248789457</v>
      </c>
      <c r="E138" s="383">
        <f t="shared" si="47"/>
        <v>22.109836084282307</v>
      </c>
      <c r="F138" s="383">
        <f t="shared" si="26"/>
        <v>22.109836084282307</v>
      </c>
      <c r="G138" s="110">
        <f t="shared" si="48"/>
        <v>0.35306725952179019</v>
      </c>
      <c r="H138" s="412" t="b">
        <f>Wh_hp&gt;='2026'!Maxi_hp</f>
        <v>0</v>
      </c>
      <c r="I138" s="388">
        <f>IF(H138,Wh_hp,'2026'!Maxi_hp)</f>
        <v>53.762353847555971</v>
      </c>
      <c r="J138" s="85">
        <f>IF(H138,An,'2026'!An_max)</f>
        <v>2021</v>
      </c>
      <c r="K138" s="197">
        <f t="shared" si="27"/>
        <v>46511</v>
      </c>
      <c r="L138" s="147">
        <f>IF(t&lt;Tvie,1-EXP((T0-t)*PertePVj)+'2026'!Pspv,1-EXP((T0-t)*PertePVj)+Pspv)</f>
        <v>5.6144636174901841E-2</v>
      </c>
      <c r="M138" s="832"/>
      <c r="N138" s="832"/>
      <c r="O138" s="48">
        <f>IF(t&lt;Tnet,'2026'!Resal+('2026'!Salim-'2026'!Resal)*(1-EXP(('2026'!Tnet-t)/('2026'!Tau_j))),Resal+(Salim-Resal)*(1-EXP((Tnet-t)/(Tau_j))))*Salcycl</f>
        <v>9.6159842471193503E-3</v>
      </c>
      <c r="P138" s="169">
        <f>(INDEX(Models!$BJ138:$BT138,,T138)*(1-R138)+INDEX(Models!$BJ138:$BT138,,T138+1)*R138-ERP_i)*Q138*Ramure*Pc/MaxiM</f>
        <v>0</v>
      </c>
      <c r="Q138" s="304">
        <f t="shared" si="28"/>
        <v>0.6</v>
      </c>
      <c r="R138" s="177">
        <f t="shared" si="29"/>
        <v>6.3273166581584772E-2</v>
      </c>
      <c r="S138" s="799">
        <f t="shared" si="30"/>
        <v>-1</v>
      </c>
      <c r="T138" s="176">
        <f t="shared" si="31"/>
        <v>5</v>
      </c>
      <c r="U138" s="250">
        <f t="shared" si="32"/>
        <v>-0.93672683341841523</v>
      </c>
      <c r="V138" s="382">
        <f t="shared" si="33"/>
        <v>58.537901145282589</v>
      </c>
      <c r="W138" s="400">
        <f t="shared" si="34"/>
        <v>20.667816335522389</v>
      </c>
      <c r="X138" s="157">
        <f t="shared" si="35"/>
        <v>46511</v>
      </c>
      <c r="Y138" s="383">
        <f t="shared" si="36"/>
        <v>19.895595964113085</v>
      </c>
      <c r="Z138" s="383">
        <f t="shared" si="37"/>
        <v>21.079072839596485</v>
      </c>
      <c r="AA138" s="384">
        <f t="shared" si="38"/>
        <v>22.109836084282307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4.6620121504138259E-2</v>
      </c>
      <c r="AD138" s="230">
        <f>(INDEX(Models!$BJ138:$BT138,,AH138)*(1-AF138)+INDEX(Models!$BJ138:$BT138,,AH138+1)*AF138-ERP_i)*AE138*Ramure*Pc/MaxiM</f>
        <v>0</v>
      </c>
      <c r="AE138" s="304">
        <f t="shared" si="40"/>
        <v>0.6</v>
      </c>
      <c r="AF138" s="177">
        <f t="shared" si="41"/>
        <v>0.58826073295556336</v>
      </c>
      <c r="AG138" s="799">
        <f t="shared" si="49"/>
        <v>2</v>
      </c>
      <c r="AH138" s="176">
        <f t="shared" si="42"/>
        <v>8</v>
      </c>
      <c r="AI138" s="224">
        <f t="shared" si="43"/>
        <v>2.5882607329555634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46512</v>
      </c>
      <c r="B139" s="409">
        <f>IF(t&gt;Tmaj,'2026'!Wh/'2026'!Env_an*'2027'!Env_an,0.001*[7]mois!$B$246)</f>
        <v>43.282798844707727</v>
      </c>
      <c r="C139" s="829"/>
      <c r="D139" s="391">
        <f t="shared" si="25"/>
        <v>45.858327477377642</v>
      </c>
      <c r="E139" s="383">
        <f t="shared" si="47"/>
        <v>46.309632245425455</v>
      </c>
      <c r="F139" s="383">
        <f t="shared" si="26"/>
        <v>46.309632245425455</v>
      </c>
      <c r="G139" s="110">
        <f t="shared" si="48"/>
        <v>0.73883652213561535</v>
      </c>
      <c r="H139" s="412" t="b">
        <f>Wh_hp&gt;='2026'!Maxi_hp</f>
        <v>0</v>
      </c>
      <c r="I139" s="388">
        <f>IF(H139,Wh_hp,'2026'!Maxi_hp)</f>
        <v>62.195002367063097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5.6162724947621534E-2</v>
      </c>
      <c r="M139" s="832"/>
      <c r="N139" s="832"/>
      <c r="O139" s="48">
        <f>IF(t&lt;Tnet,'2026'!Resal+('2026'!Salim-'2026'!Resal)*(1-EXP(('2026'!Tnet-t)/('2026'!Tau_j))),Resal+(Salim-Resal)*(1-EXP((Tnet-t)/(Tau_j))))*Salcycl</f>
        <v>9.7453757709854132E-3</v>
      </c>
      <c r="P139" s="169">
        <f>(INDEX(Models!$BJ139:$BT139,,T139)*(1-R139)+INDEX(Models!$BJ139:$BT139,,T139+1)*R139-ERP_i)*Q139*Ramure*Pc/MaxiM</f>
        <v>0</v>
      </c>
      <c r="Q139" s="304">
        <f t="shared" si="28"/>
        <v>0.6</v>
      </c>
      <c r="R139" s="177">
        <f t="shared" si="29"/>
        <v>6.6343124648161167E-2</v>
      </c>
      <c r="S139" s="799">
        <f t="shared" si="30"/>
        <v>-1</v>
      </c>
      <c r="T139" s="176">
        <f t="shared" si="31"/>
        <v>5</v>
      </c>
      <c r="U139" s="250">
        <f t="shared" si="32"/>
        <v>-0.93365687535183883</v>
      </c>
      <c r="V139" s="382">
        <f t="shared" si="33"/>
        <v>58.582375867936662</v>
      </c>
      <c r="W139" s="400">
        <f t="shared" si="34"/>
        <v>43.282798844707727</v>
      </c>
      <c r="X139" s="157">
        <f t="shared" si="35"/>
        <v>46512</v>
      </c>
      <c r="Y139" s="383">
        <f t="shared" si="36"/>
        <v>41.666327429959196</v>
      </c>
      <c r="Z139" s="383">
        <f t="shared" si="37"/>
        <v>44.145668465622862</v>
      </c>
      <c r="AA139" s="384">
        <f t="shared" si="38"/>
        <v>46.309632245425455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4.6728157294238855E-2</v>
      </c>
      <c r="AD139" s="230">
        <f>(INDEX(Models!$BJ139:$BT139,,AH139)*(1-AF139)+INDEX(Models!$BJ139:$BT139,,AH139+1)*AF139-ERP_i)*AE139*Ramure*Pc/MaxiM</f>
        <v>-1.1917496236971569E-20</v>
      </c>
      <c r="AE139" s="304">
        <f t="shared" si="40"/>
        <v>0.6</v>
      </c>
      <c r="AF139" s="177">
        <f t="shared" si="41"/>
        <v>0.59133069102213964</v>
      </c>
      <c r="AG139" s="799">
        <f t="shared" si="49"/>
        <v>2</v>
      </c>
      <c r="AH139" s="176">
        <f t="shared" si="42"/>
        <v>8</v>
      </c>
      <c r="AI139" s="224">
        <f t="shared" si="43"/>
        <v>2.5913306910221396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46513</v>
      </c>
      <c r="B140" s="409">
        <f>IF(t&gt;Tmaj,'2026'!Wh/'2026'!Env_an*'2027'!Env_an,0.001*[7]mois!$B$247)</f>
        <v>41.154684800623585</v>
      </c>
      <c r="C140" s="829"/>
      <c r="D140" s="391">
        <f t="shared" si="25"/>
        <v>43.604416379508741</v>
      </c>
      <c r="E140" s="383">
        <f t="shared" si="47"/>
        <v>44.039299471966494</v>
      </c>
      <c r="F140" s="383">
        <f t="shared" si="26"/>
        <v>44.039299471966494</v>
      </c>
      <c r="G140" s="110">
        <f t="shared" si="48"/>
        <v>0.70202118603639385</v>
      </c>
      <c r="H140" s="412" t="b">
        <f>Wh_hp&gt;='2026'!Maxi_hp</f>
        <v>0</v>
      </c>
      <c r="I140" s="388">
        <f>IF(H140,Wh_hp,'2026'!Maxi_hp)</f>
        <v>64.219243698545085</v>
      </c>
      <c r="J140" s="85">
        <f>IF(H140,An,'2026'!An_max)</f>
        <v>2018</v>
      </c>
      <c r="K140" s="197">
        <f t="shared" si="27"/>
        <v>46513</v>
      </c>
      <c r="L140" s="147">
        <f>IF(t&lt;Tvie,1-EXP((T0-t)*PertePVj)+'2026'!Pspv,1-EXP((T0-t)*PertePVj)+Pspv)</f>
        <v>5.6180813373673977E-2</v>
      </c>
      <c r="M140" s="832"/>
      <c r="N140" s="832"/>
      <c r="O140" s="48">
        <f>IF(t&lt;Tnet,'2026'!Resal+('2026'!Salim-'2026'!Resal)*(1-EXP(('2026'!Tnet-t)/('2026'!Tau_j))),Resal+(Salim-Resal)*(1-EXP((Tnet-t)/(Tau_j))))*Salcycl</f>
        <v>9.8748866960197343E-3</v>
      </c>
      <c r="P140" s="169">
        <f>(INDEX(Models!$BJ140:$BT140,,T140)*(1-R140)+INDEX(Models!$BJ140:$BT140,,T140+1)*R140-ERP_i)*Q140*Ramure*Pc/MaxiM</f>
        <v>1.2016492217106695E-20</v>
      </c>
      <c r="Q140" s="304">
        <f t="shared" si="28"/>
        <v>0.6</v>
      </c>
      <c r="R140" s="177">
        <f t="shared" si="29"/>
        <v>6.9493464009502515E-2</v>
      </c>
      <c r="S140" s="799">
        <f t="shared" si="30"/>
        <v>-1</v>
      </c>
      <c r="T140" s="176">
        <f t="shared" si="31"/>
        <v>5</v>
      </c>
      <c r="U140" s="250">
        <f t="shared" si="32"/>
        <v>-0.93050653599049749</v>
      </c>
      <c r="V140" s="382">
        <f t="shared" si="33"/>
        <v>58.623137904117421</v>
      </c>
      <c r="W140" s="400">
        <f t="shared" si="34"/>
        <v>41.154684800623585</v>
      </c>
      <c r="X140" s="157">
        <f t="shared" si="35"/>
        <v>46513</v>
      </c>
      <c r="Y140" s="383">
        <f t="shared" si="36"/>
        <v>39.618359261323896</v>
      </c>
      <c r="Z140" s="383">
        <f t="shared" si="37"/>
        <v>41.976641101077206</v>
      </c>
      <c r="AA140" s="384">
        <f t="shared" si="38"/>
        <v>44.039299471966494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4.6836766152519992E-2</v>
      </c>
      <c r="AD140" s="230">
        <f>(INDEX(Models!$BJ140:$BT140,,AH140)*(1-AF140)+INDEX(Models!$BJ140:$BT140,,AH140+1)*AF140-ERP_i)*AE140*Ramure*Pc/MaxiM</f>
        <v>-1.2016492217106695E-20</v>
      </c>
      <c r="AE140" s="304">
        <f t="shared" si="40"/>
        <v>0.6</v>
      </c>
      <c r="AF140" s="177">
        <f t="shared" si="41"/>
        <v>0.5944810303834811</v>
      </c>
      <c r="AG140" s="799">
        <f t="shared" si="49"/>
        <v>2</v>
      </c>
      <c r="AH140" s="176">
        <f t="shared" si="42"/>
        <v>8</v>
      </c>
      <c r="AI140" s="224">
        <f t="shared" si="43"/>
        <v>2.5944810303834811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46514</v>
      </c>
      <c r="B141" s="409">
        <f>IF(t&gt;Tmaj,'2026'!Wh/'2026'!Env_an*'2027'!Env_an,0.001*[7]mois!$B$248)</f>
        <v>51.157029147407883</v>
      </c>
      <c r="C141" s="829"/>
      <c r="D141" s="391">
        <f t="shared" si="25"/>
        <v>54.203188814008257</v>
      </c>
      <c r="E141" s="383">
        <f t="shared" si="47"/>
        <v>54.750945640984497</v>
      </c>
      <c r="F141" s="383">
        <f t="shared" si="26"/>
        <v>54.750945640984497</v>
      </c>
      <c r="G141" s="110">
        <f t="shared" si="48"/>
        <v>0.87208811746012593</v>
      </c>
      <c r="H141" s="412" t="b">
        <f>Wh_hp&gt;='2026'!Maxi_hp</f>
        <v>0</v>
      </c>
      <c r="I141" s="388">
        <f>IF(H141,Wh_hp,'2026'!Maxi_hp)</f>
        <v>60.265273662889911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5.6198901453065941E-2</v>
      </c>
      <c r="M141" s="832"/>
      <c r="N141" s="832"/>
      <c r="O141" s="48">
        <f>IF(t&lt;Tnet,'2026'!Resal+('2026'!Salim-'2026'!Resal)*(1-EXP(('2026'!Tnet-t)/('2026'!Tau_j))),Resal+(Salim-Resal)*(1-EXP((Tnet-t)/(Tau_j))))*Salcycl</f>
        <v>1.0004518105824445E-2</v>
      </c>
      <c r="P141" s="169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7.2724618414654829E-2</v>
      </c>
      <c r="S141" s="799">
        <f t="shared" si="30"/>
        <v>-1</v>
      </c>
      <c r="T141" s="176">
        <f t="shared" si="31"/>
        <v>5</v>
      </c>
      <c r="U141" s="250">
        <f t="shared" si="32"/>
        <v>-0.92727538158534517</v>
      </c>
      <c r="V141" s="382">
        <f t="shared" si="33"/>
        <v>58.66039007204671</v>
      </c>
      <c r="W141" s="400">
        <f t="shared" si="34"/>
        <v>51.157029147407883</v>
      </c>
      <c r="X141" s="157">
        <f t="shared" si="35"/>
        <v>46514</v>
      </c>
      <c r="Y141" s="383">
        <f t="shared" si="36"/>
        <v>49.248118266909124</v>
      </c>
      <c r="Z141" s="383">
        <f t="shared" si="37"/>
        <v>52.180611299066079</v>
      </c>
      <c r="AA141" s="384">
        <f t="shared" si="38"/>
        <v>54.750945640984497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4.694593512179205E-2</v>
      </c>
      <c r="AD141" s="230">
        <f>(INDEX(Models!$BJ141:$BT141,,AH141)*(1-AF141)+INDEX(Models!$BJ141:$BT141,,AH141+1)*AF141-ERP_i)*AE141*Ramure*Pc/MaxiM</f>
        <v>-1.2118296531897426E-20</v>
      </c>
      <c r="AE141" s="304">
        <f t="shared" si="40"/>
        <v>0.6</v>
      </c>
      <c r="AF141" s="177">
        <f t="shared" si="41"/>
        <v>0.59771218478863375</v>
      </c>
      <c r="AG141" s="799">
        <f t="shared" si="49"/>
        <v>2</v>
      </c>
      <c r="AH141" s="176">
        <f t="shared" si="42"/>
        <v>8</v>
      </c>
      <c r="AI141" s="224">
        <f t="shared" si="43"/>
        <v>2.5977121847886337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46515</v>
      </c>
      <c r="B142" s="409">
        <f>IF(t&gt;Tmaj,'2026'!Wh/'2026'!Env_an*'2027'!Env_an,0.001*[7]mois!$B$249)</f>
        <v>50.341349986492887</v>
      </c>
      <c r="C142" s="829"/>
      <c r="D142" s="391">
        <f t="shared" si="25"/>
        <v>53.339962056599958</v>
      </c>
      <c r="E142" s="383">
        <f t="shared" si="47"/>
        <v>53.886057948098731</v>
      </c>
      <c r="F142" s="383">
        <f t="shared" si="26"/>
        <v>53.886057948098731</v>
      </c>
      <c r="G142" s="110">
        <f t="shared" si="48"/>
        <v>0.85768668978985596</v>
      </c>
      <c r="H142" s="412" t="b">
        <f>Wh_hp&gt;='2026'!Maxi_hp</f>
        <v>0</v>
      </c>
      <c r="I142" s="388">
        <f>IF(H142,Wh_hp,'2026'!Maxi_hp)</f>
        <v>60.80360190588106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5.6216989185803978E-2</v>
      </c>
      <c r="M142" s="832"/>
      <c r="N142" s="832"/>
      <c r="O142" s="48">
        <f>IF(t&lt;Tnet,'2026'!Resal+('2026'!Salim-'2026'!Resal)*(1-EXP(('2026'!Tnet-t)/('2026'!Tau_j))),Resal+(Salim-Resal)*(1-EXP((Tnet-t)/(Tau_j))))*Salcycl</f>
        <v>1.0134270575605283E-2</v>
      </c>
      <c r="P142" s="169">
        <f>(INDEX(Models!$BJ142:$BT142,,T142)*(1-R142)+INDEX(Models!$BJ142:$BT142,,T142+1)*R142-ERP_i)*Q142*Ramure*Pc/MaxiM</f>
        <v>0</v>
      </c>
      <c r="Q142" s="304">
        <f t="shared" si="28"/>
        <v>0.6</v>
      </c>
      <c r="R142" s="177">
        <f t="shared" si="29"/>
        <v>7.6036904212787748E-2</v>
      </c>
      <c r="S142" s="799">
        <f t="shared" si="30"/>
        <v>-1</v>
      </c>
      <c r="T142" s="176">
        <f t="shared" si="31"/>
        <v>5</v>
      </c>
      <c r="U142" s="250">
        <f t="shared" si="32"/>
        <v>-0.92396309578721225</v>
      </c>
      <c r="V142" s="382">
        <f t="shared" si="33"/>
        <v>58.694335106013064</v>
      </c>
      <c r="W142" s="400">
        <f t="shared" si="34"/>
        <v>50.341349986492887</v>
      </c>
      <c r="X142" s="157">
        <f t="shared" si="35"/>
        <v>46515</v>
      </c>
      <c r="Y142" s="383">
        <f t="shared" si="36"/>
        <v>48.463648791436242</v>
      </c>
      <c r="Z142" s="383">
        <f t="shared" si="37"/>
        <v>51.350414487358634</v>
      </c>
      <c r="AA142" s="384">
        <f t="shared" si="38"/>
        <v>53.886057948098731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4.7055649592745177E-2</v>
      </c>
      <c r="AD142" s="230">
        <f>(INDEX(Models!$BJ142:$BT142,,AH142)*(1-AF142)+INDEX(Models!$BJ142:$BT142,,AH142+1)*AF142-ERP_i)*AE142*Ramure*Pc/MaxiM</f>
        <v>0</v>
      </c>
      <c r="AE142" s="304">
        <f t="shared" si="40"/>
        <v>0.6</v>
      </c>
      <c r="AF142" s="177">
        <f t="shared" si="41"/>
        <v>0.60102447058676667</v>
      </c>
      <c r="AG142" s="799">
        <f t="shared" si="49"/>
        <v>2</v>
      </c>
      <c r="AH142" s="176">
        <f t="shared" si="42"/>
        <v>8</v>
      </c>
      <c r="AI142" s="224">
        <f t="shared" si="43"/>
        <v>2.6010244705867667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46516</v>
      </c>
      <c r="B143" s="409">
        <f>IF(t&gt;Tmaj,'2026'!Wh/'2026'!Env_an*'2027'!Env_an,0.001*[7]mois!$B$250)</f>
        <v>55.498704660793138</v>
      </c>
      <c r="C143" s="829"/>
      <c r="D143" s="391">
        <f t="shared" ref="D143:D206" si="50">Wh/(1-Ppv)</f>
        <v>58.805644587002874</v>
      </c>
      <c r="E143" s="383">
        <f t="shared" si="47"/>
        <v>59.415493779908196</v>
      </c>
      <c r="F143" s="383">
        <f t="shared" ref="F143:F206" si="51">Wh_sa/(1-Pvg*MEDIAN((-Sdif+Wh/Env_an)/Csdif,0,1))</f>
        <v>59.415493779908196</v>
      </c>
      <c r="G143" s="110">
        <f t="shared" si="48"/>
        <v>0.94505812960057012</v>
      </c>
      <c r="H143" s="412" t="b">
        <f>Wh_hp&gt;='2026'!Maxi_hp</f>
        <v>1</v>
      </c>
      <c r="I143" s="388">
        <f>IF(H143,Wh_hp,'2026'!Maxi_hp)</f>
        <v>59.415493779908196</v>
      </c>
      <c r="J143" s="85">
        <f>IF(H143,An,'2026'!An_max)</f>
        <v>2027</v>
      </c>
      <c r="K143" s="197">
        <f t="shared" ref="K143:K206" si="52">t</f>
        <v>46516</v>
      </c>
      <c r="L143" s="147">
        <f>IF(t&lt;Tvie,1-EXP((T0-t)*PertePVj)+'2026'!Pspv,1-EXP((T0-t)*PertePVj)+Pspv)</f>
        <v>5.6235076571894749E-2</v>
      </c>
      <c r="M143" s="832"/>
      <c r="N143" s="832"/>
      <c r="O143" s="48">
        <f>IF(t&lt;Tnet,'2026'!Resal+('2026'!Salim-'2026'!Resal)*(1-EXP(('2026'!Tnet-t)/('2026'!Tau_j))),Resal+(Salim-Resal)*(1-EXP((Tnet-t)/(Tau_j))))*Salcycl</f>
        <v>1.0264144150082671E-2</v>
      </c>
      <c r="P143" s="169">
        <f>(INDEX(Models!$BJ143:$BT143,,T143)*(1-R143)+INDEX(Models!$BJ143:$BT143,,T143+1)*R143-ERP_i)*Q143*Ramure*Pc/MaxiM</f>
        <v>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7.9430513430133187E-2</v>
      </c>
      <c r="S143" s="799">
        <f t="shared" ref="S143:S206" si="55">INDEX(Echel_vg,T143)</f>
        <v>-1</v>
      </c>
      <c r="T143" s="176">
        <f t="shared" ref="T143:T206" si="56">MIN(MATCH(Hp_vg,Echel_vg),10)</f>
        <v>5</v>
      </c>
      <c r="U143" s="250">
        <f t="shared" ref="U143:U206" si="57">IF(OR(t&lt;Ttai,Notai),Hdd+PousH*Croivg,Hdtf+PousH*(Croivg-Croi_tai))</f>
        <v>-0.92056948656986681</v>
      </c>
      <c r="V143" s="382">
        <f t="shared" ref="V143:V206" si="58">MaxiM*(1-Ppv)*(1-Pvg)*(1-Psa)</f>
        <v>58.725175650570542</v>
      </c>
      <c r="W143" s="400">
        <f t="shared" ref="W143:W206" si="59">Wh*(A143&gt;Tmaj)</f>
        <v>55.498704660793138</v>
      </c>
      <c r="X143" s="157">
        <f t="shared" ref="X143:X206" si="60">t</f>
        <v>46516</v>
      </c>
      <c r="Y143" s="383">
        <f t="shared" ref="Y143:Y206" si="61">Wh_pvt_s*(1-Ppv)</f>
        <v>53.429466424839319</v>
      </c>
      <c r="Z143" s="383">
        <f t="shared" ref="Z143:Z206" si="62">Wh_sa_s*(1-Psa_s)</f>
        <v>56.613108941115996</v>
      </c>
      <c r="AA143" s="384">
        <f t="shared" ref="AA143:AA206" si="63">Wh_hp*(1-Pvg_s*MEDIAN((-Sdif+Wh/Env_an)/Csdif,0,1))</f>
        <v>59.415493779908196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4.7165893279840894E-2</v>
      </c>
      <c r="AD143" s="230">
        <f>(INDEX(Models!$BJ143:$BT143,,AH143)*(1-AF143)+INDEX(Models!$BJ143:$BT143,,AH143+1)*AF143-ERP_i)*AE143*Ramure*Pc/MaxiM</f>
        <v>-1.2329921231475895E-20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0.60441807980411166</v>
      </c>
      <c r="AG143" s="799">
        <f t="shared" si="49"/>
        <v>2</v>
      </c>
      <c r="AH143" s="176">
        <f t="shared" ref="AH143:AH206" si="67">MIN(MATCH(Hp_vg_s,Echel_vg),10)</f>
        <v>8</v>
      </c>
      <c r="AI143" s="224">
        <f t="shared" ref="AI143:AI206" si="68">IF(OR(t&lt;Ttai,Notai),Hdd_s+PousH*Croivg,Hdtai_s+PousH*(Croivg-Croi_tai))</f>
        <v>2.6044180798041117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46517</v>
      </c>
      <c r="B144" s="409">
        <f>IF(t&gt;Tmaj,'2026'!Wh/'2026'!Env_an*'2027'!Env_an,0.001*[7]mois!$B$251)</f>
        <v>53.494932937255506</v>
      </c>
      <c r="C144" s="829"/>
      <c r="D144" s="391">
        <f t="shared" si="50"/>
        <v>56.683562661740297</v>
      </c>
      <c r="E144" s="383">
        <f t="shared" ref="E144:E169" si="72">Wh_pvt/(1-Psa)</f>
        <v>57.278927759846646</v>
      </c>
      <c r="F144" s="383">
        <f t="shared" si="51"/>
        <v>57.278927759846646</v>
      </c>
      <c r="G144" s="110">
        <f t="shared" ref="G144:G169" si="73">+Wh_hp/MaxiM</f>
        <v>0.91050378534553278</v>
      </c>
      <c r="H144" s="412" t="b">
        <f>Wh_hp&gt;='2026'!Maxi_hp</f>
        <v>1</v>
      </c>
      <c r="I144" s="388">
        <f>IF(H144,Wh_hp,'2026'!Maxi_hp)</f>
        <v>57.278927759846646</v>
      </c>
      <c r="J144" s="85">
        <f>IF(H144,An,'2026'!An_max)</f>
        <v>2027</v>
      </c>
      <c r="K144" s="197">
        <f t="shared" si="52"/>
        <v>46517</v>
      </c>
      <c r="L144" s="147">
        <f>IF(t&lt;Tvie,1-EXP((T0-t)*PertePVj)+'2026'!Pspv,1-EXP((T0-t)*PertePVj)+Pspv)</f>
        <v>5.6253163611344803E-2</v>
      </c>
      <c r="M144" s="832"/>
      <c r="N144" s="832"/>
      <c r="O144" s="48">
        <f>IF(t&lt;Tnet,'2026'!Resal+('2026'!Salim-'2026'!Resal)*(1-EXP(('2026'!Tnet-t)/('2026'!Tau_j))),Resal+(Salim-Resal)*(1-EXP((Tnet-t)/(Tau_j))))*Salcycl</f>
        <v>1.0394138322605087E-2</v>
      </c>
      <c r="P144" s="169">
        <f>(INDEX(Models!$BJ144:$BT144,,T144)*(1-R144)+INDEX(Models!$BJ144:$BT144,,T144+1)*R144-ERP_i)*Q144*Ramure*Pc/MaxiM</f>
        <v>0</v>
      </c>
      <c r="Q144" s="304">
        <f t="shared" si="53"/>
        <v>0.6</v>
      </c>
      <c r="R144" s="177">
        <f t="shared" si="54"/>
        <v>8.2905506976851395E-2</v>
      </c>
      <c r="S144" s="799">
        <f t="shared" si="55"/>
        <v>-1</v>
      </c>
      <c r="T144" s="176">
        <f t="shared" si="56"/>
        <v>5</v>
      </c>
      <c r="U144" s="250">
        <f t="shared" si="57"/>
        <v>-0.9170944930231486</v>
      </c>
      <c r="V144" s="382">
        <f t="shared" si="58"/>
        <v>58.753114262951009</v>
      </c>
      <c r="W144" s="400">
        <f t="shared" si="59"/>
        <v>53.494932937255506</v>
      </c>
      <c r="X144" s="157">
        <f t="shared" si="60"/>
        <v>46517</v>
      </c>
      <c r="Y144" s="383">
        <f t="shared" si="61"/>
        <v>51.501182223946394</v>
      </c>
      <c r="Z144" s="383">
        <f t="shared" si="62"/>
        <v>54.570972042694194</v>
      </c>
      <c r="AA144" s="384">
        <f t="shared" si="63"/>
        <v>57.278927759846646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4.7276648203089619E-2</v>
      </c>
      <c r="AD144" s="230">
        <f>(INDEX(Models!$BJ144:$BT144,,AH144)*(1-AF144)+INDEX(Models!$BJ144:$BT144,,AH144+1)*AF144-ERP_i)*AE144*Ramure*Pc/MaxiM</f>
        <v>-1.2439520968745455E-20</v>
      </c>
      <c r="AE144" s="304">
        <f t="shared" si="65"/>
        <v>0.6</v>
      </c>
      <c r="AF144" s="177">
        <f t="shared" si="66"/>
        <v>0.60789307335083009</v>
      </c>
      <c r="AG144" s="799">
        <f t="shared" ref="AG144:AG207" si="74">INDEX(Echel_vg,AH144)</f>
        <v>2</v>
      </c>
      <c r="AH144" s="176">
        <f t="shared" si="67"/>
        <v>8</v>
      </c>
      <c r="AI144" s="224">
        <f t="shared" si="68"/>
        <v>2.6078930733508301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46518</v>
      </c>
      <c r="B145" s="409">
        <f>IF(t&gt;Tmaj,'2026'!Wh/'2026'!Env_an*'2027'!Env_an,0.001*[7]mois!$B$252)</f>
        <v>57.331600213495371</v>
      </c>
      <c r="C145" s="829"/>
      <c r="D145" s="391">
        <f t="shared" si="50"/>
        <v>60.750083360259161</v>
      </c>
      <c r="E145" s="383">
        <f t="shared" si="72"/>
        <v>61.396232786922219</v>
      </c>
      <c r="F145" s="383">
        <f t="shared" si="51"/>
        <v>61.396232786922219</v>
      </c>
      <c r="G145" s="110">
        <f t="shared" si="73"/>
        <v>0.97538629238634744</v>
      </c>
      <c r="H145" s="412" t="b">
        <f>Wh_hp&gt;='2026'!Maxi_hp</f>
        <v>1</v>
      </c>
      <c r="I145" s="388">
        <f>IF(H145,Wh_hp,'2026'!Maxi_hp)</f>
        <v>61.396232786922219</v>
      </c>
      <c r="J145" s="85">
        <f>IF(H145,An,'2026'!An_max)</f>
        <v>2027</v>
      </c>
      <c r="K145" s="197">
        <f t="shared" si="52"/>
        <v>46518</v>
      </c>
      <c r="L145" s="147">
        <f>IF(t&lt;Tvie,1-EXP((T0-t)*PertePVj)+'2026'!Pspv,1-EXP((T0-t)*PertePVj)+Pspv)</f>
        <v>5.6271250304161025E-2</v>
      </c>
      <c r="M145" s="832"/>
      <c r="N145" s="832"/>
      <c r="O145" s="48">
        <f>IF(t&lt;Tnet,'2026'!Resal+('2026'!Salim-'2026'!Resal)*(1-EXP(('2026'!Tnet-t)/('2026'!Tau_j))),Resal+(Salim-Resal)*(1-EXP((Tnet-t)/(Tau_j))))*Salcycl</f>
        <v>1.0524252015682165E-2</v>
      </c>
      <c r="P145" s="169">
        <f>(INDEX(Models!$BJ145:$BT145,,T145)*(1-R145)+INDEX(Models!$BJ145:$BT145,,T145+1)*R145-ERP_i)*Q145*Ramure*Pc/MaxiM</f>
        <v>1.2551487480609722E-20</v>
      </c>
      <c r="Q145" s="304">
        <f t="shared" si="53"/>
        <v>0.6</v>
      </c>
      <c r="R145" s="177">
        <f t="shared" si="54"/>
        <v>8.6461808035215637E-2</v>
      </c>
      <c r="S145" s="799">
        <f t="shared" si="55"/>
        <v>-1</v>
      </c>
      <c r="T145" s="176">
        <f t="shared" si="56"/>
        <v>5</v>
      </c>
      <c r="U145" s="250">
        <f t="shared" si="57"/>
        <v>-0.91353819196478436</v>
      </c>
      <c r="V145" s="382">
        <f t="shared" si="58"/>
        <v>58.778353418551532</v>
      </c>
      <c r="W145" s="400">
        <f t="shared" si="59"/>
        <v>57.331600213495371</v>
      </c>
      <c r="X145" s="157">
        <f t="shared" si="60"/>
        <v>46518</v>
      </c>
      <c r="Y145" s="383">
        <f t="shared" si="61"/>
        <v>55.195669517128678</v>
      </c>
      <c r="Z145" s="383">
        <f t="shared" si="62"/>
        <v>58.486794574095661</v>
      </c>
      <c r="AA145" s="384">
        <f t="shared" si="63"/>
        <v>61.396232786922219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4.7387894676272163E-2</v>
      </c>
      <c r="AD145" s="230">
        <f>(INDEX(Models!$BJ145:$BT145,,AH145)*(1-AF145)+INDEX(Models!$BJ145:$BT145,,AH145+1)*AF145-ERP_i)*AE145*Ramure*Pc/MaxiM</f>
        <v>0</v>
      </c>
      <c r="AE145" s="304">
        <f t="shared" si="65"/>
        <v>0.6</v>
      </c>
      <c r="AF145" s="177">
        <f t="shared" si="66"/>
        <v>0.61144937440919422</v>
      </c>
      <c r="AG145" s="799">
        <f t="shared" si="74"/>
        <v>2</v>
      </c>
      <c r="AH145" s="176">
        <f t="shared" si="67"/>
        <v>8</v>
      </c>
      <c r="AI145" s="224">
        <f t="shared" si="68"/>
        <v>2.6114493744091942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46519</v>
      </c>
      <c r="B146" s="409">
        <f>IF(t&gt;Tmaj,'2026'!Wh/'2026'!Env_an*'2027'!Env_an,0.001*[7]mois!$B$253)</f>
        <v>40.984499481502709</v>
      </c>
      <c r="C146" s="829"/>
      <c r="D146" s="391">
        <f t="shared" si="50"/>
        <v>43.429094396401574</v>
      </c>
      <c r="E146" s="383">
        <f t="shared" si="72"/>
        <v>43.896792045728127</v>
      </c>
      <c r="F146" s="383">
        <f t="shared" si="51"/>
        <v>43.896792045728127</v>
      </c>
      <c r="G146" s="110">
        <f t="shared" si="73"/>
        <v>0.69700231141390234</v>
      </c>
      <c r="H146" s="412" t="b">
        <f>Wh_hp&gt;='2026'!Maxi_hp</f>
        <v>0</v>
      </c>
      <c r="I146" s="388">
        <f>IF(H146,Wh_hp,'2026'!Maxi_hp)</f>
        <v>54.191031708919418</v>
      </c>
      <c r="J146" s="85">
        <f>IF(H146,An,'2026'!An_max)</f>
        <v>2018</v>
      </c>
      <c r="K146" s="197">
        <f t="shared" si="52"/>
        <v>46519</v>
      </c>
      <c r="L146" s="147">
        <f>IF(t&lt;Tvie,1-EXP((T0-t)*PertePVj)+'2026'!Pspv,1-EXP((T0-t)*PertePVj)+Pspv)</f>
        <v>5.6289336650349742E-2</v>
      </c>
      <c r="M146" s="832"/>
      <c r="N146" s="832"/>
      <c r="O146" s="48">
        <f>IF(t&lt;Tnet,'2026'!Resal+('2026'!Salim-'2026'!Resal)*(1-EXP(('2026'!Tnet-t)/('2026'!Tau_j))),Resal+(Salim-Resal)*(1-EXP((Tnet-t)/(Tau_j))))*Salcycl</f>
        <v>1.0654483563157466E-2</v>
      </c>
      <c r="P146" s="169">
        <f>(INDEX(Models!$BJ146:$BT146,,T146)*(1-R146)+INDEX(Models!$BJ146:$BT146,,T146+1)*R146-ERP_i)*Q146*Ramure*Pc/MaxiM</f>
        <v>0</v>
      </c>
      <c r="Q146" s="304">
        <f t="shared" si="53"/>
        <v>0.6</v>
      </c>
      <c r="R146" s="177">
        <f t="shared" si="54"/>
        <v>9.0099195683044364E-2</v>
      </c>
      <c r="S146" s="799">
        <f t="shared" si="55"/>
        <v>-1</v>
      </c>
      <c r="T146" s="176">
        <f t="shared" si="56"/>
        <v>5</v>
      </c>
      <c r="U146" s="250">
        <f t="shared" si="57"/>
        <v>-0.90990080431695564</v>
      </c>
      <c r="V146" s="382">
        <f t="shared" si="58"/>
        <v>58.801095506216761</v>
      </c>
      <c r="W146" s="400">
        <f t="shared" si="59"/>
        <v>40.984499481502709</v>
      </c>
      <c r="X146" s="157">
        <f t="shared" si="60"/>
        <v>46519</v>
      </c>
      <c r="Y146" s="383">
        <f t="shared" si="61"/>
        <v>39.458157982374296</v>
      </c>
      <c r="Z146" s="383">
        <f t="shared" si="62"/>
        <v>41.811711486145221</v>
      </c>
      <c r="AA146" s="384">
        <f t="shared" si="63"/>
        <v>43.896792045728127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4.7499611302138749E-2</v>
      </c>
      <c r="AD146" s="230">
        <f>(INDEX(Models!$BJ146:$BT146,,AH146)*(1-AF146)+INDEX(Models!$BJ146:$BT146,,AH146+1)*AF146-ERP_i)*AE146*Ramure*Pc/MaxiM</f>
        <v>0</v>
      </c>
      <c r="AE146" s="304">
        <f t="shared" si="65"/>
        <v>0.6</v>
      </c>
      <c r="AF146" s="177">
        <f t="shared" si="66"/>
        <v>0.61508676205702306</v>
      </c>
      <c r="AG146" s="799">
        <f t="shared" si="74"/>
        <v>2</v>
      </c>
      <c r="AH146" s="176">
        <f t="shared" si="67"/>
        <v>8</v>
      </c>
      <c r="AI146" s="224">
        <f t="shared" si="68"/>
        <v>2.6150867620570231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46520</v>
      </c>
      <c r="B147" s="409">
        <f>IF(t&gt;Tmaj,'2026'!Wh/'2026'!Env_an*'2027'!Env_an,0.001*[7]mois!$B$254)</f>
        <v>42.068394723140869</v>
      </c>
      <c r="C147" s="829"/>
      <c r="D147" s="391">
        <f t="shared" si="50"/>
        <v>44.57849487517452</v>
      </c>
      <c r="E147" s="383">
        <f t="shared" si="72"/>
        <v>45.064507963884289</v>
      </c>
      <c r="F147" s="383">
        <f t="shared" si="51"/>
        <v>45.064507963884289</v>
      </c>
      <c r="G147" s="110">
        <f t="shared" si="73"/>
        <v>0.71518686347729143</v>
      </c>
      <c r="H147" s="412" t="b">
        <f>Wh_hp&gt;='2026'!Maxi_hp</f>
        <v>0</v>
      </c>
      <c r="I147" s="388">
        <f>IF(H147,Wh_hp,'2026'!Maxi_hp)</f>
        <v>65.060121509053133</v>
      </c>
      <c r="J147" s="85">
        <f>IF(H147,An,'2026'!An_max)</f>
        <v>2018</v>
      </c>
      <c r="K147" s="197">
        <f t="shared" si="52"/>
        <v>46520</v>
      </c>
      <c r="L147" s="147">
        <f>IF(t&lt;Tvie,1-EXP((T0-t)*PertePVj)+'2026'!Pspv,1-EXP((T0-t)*PertePVj)+Pspv)</f>
        <v>5.6307422649917838E-2</v>
      </c>
      <c r="M147" s="832"/>
      <c r="N147" s="832"/>
      <c r="O147" s="48">
        <f>IF(t&lt;Tnet,'2026'!Resal+('2026'!Salim-'2026'!Resal)*(1-EXP(('2026'!Tnet-t)/('2026'!Tau_j))),Resal+(Salim-Resal)*(1-EXP((Tnet-t)/(Tau_j))))*Salcycl</f>
        <v>1.0784830694241025E-2</v>
      </c>
      <c r="P147" s="169">
        <f>(INDEX(Models!$BJ147:$BT147,,T147)*(1-R147)+INDEX(Models!$BJ147:$BT147,,T147+1)*R147-ERP_i)*Q147*Ramure*Pc/MaxiM</f>
        <v>-1.2782005825439509E-20</v>
      </c>
      <c r="Q147" s="304">
        <f t="shared" si="53"/>
        <v>0.6</v>
      </c>
      <c r="R147" s="177">
        <f t="shared" si="54"/>
        <v>9.3817298808496541E-2</v>
      </c>
      <c r="S147" s="799">
        <f t="shared" si="55"/>
        <v>-1</v>
      </c>
      <c r="T147" s="176">
        <f t="shared" si="56"/>
        <v>5</v>
      </c>
      <c r="U147" s="250">
        <f t="shared" si="57"/>
        <v>-0.90618270119150346</v>
      </c>
      <c r="V147" s="382">
        <f t="shared" si="58"/>
        <v>58.821542832318293</v>
      </c>
      <c r="W147" s="400">
        <f t="shared" si="59"/>
        <v>42.068394723140869</v>
      </c>
      <c r="X147" s="157">
        <f t="shared" si="60"/>
        <v>46520</v>
      </c>
      <c r="Y147" s="383">
        <f t="shared" si="61"/>
        <v>40.502253729224492</v>
      </c>
      <c r="Z147" s="383">
        <f t="shared" si="62"/>
        <v>42.918906751344878</v>
      </c>
      <c r="AA147" s="384">
        <f t="shared" si="63"/>
        <v>45.064507963884289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4.7611774975085473E-2</v>
      </c>
      <c r="AD147" s="230">
        <f>(INDEX(Models!$BJ147:$BT147,,AH147)*(1-AF147)+INDEX(Models!$BJ147:$BT147,,AH147+1)*AF147-ERP_i)*AE147*Ramure*Pc/MaxiM</f>
        <v>-1.2782005825439509E-20</v>
      </c>
      <c r="AE147" s="304">
        <f t="shared" si="65"/>
        <v>0.6</v>
      </c>
      <c r="AF147" s="177">
        <f t="shared" si="66"/>
        <v>0.61880486518247535</v>
      </c>
      <c r="AG147" s="799">
        <f t="shared" si="74"/>
        <v>2</v>
      </c>
      <c r="AH147" s="176">
        <f t="shared" si="67"/>
        <v>8</v>
      </c>
      <c r="AI147" s="224">
        <f t="shared" si="68"/>
        <v>2.6188048651824753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46521</v>
      </c>
      <c r="B148" s="409">
        <f>IF(t&gt;Tmaj,'2026'!Wh/'2026'!Env_an*'2027'!Env_an,0.001*[7]mois!$B$255)</f>
        <v>52.177864937876912</v>
      </c>
      <c r="C148" s="829"/>
      <c r="D148" s="391">
        <f t="shared" si="50"/>
        <v>55.292227772352852</v>
      </c>
      <c r="E148" s="383">
        <f t="shared" si="72"/>
        <v>55.902418915565733</v>
      </c>
      <c r="F148" s="383">
        <f t="shared" si="51"/>
        <v>55.902418915565733</v>
      </c>
      <c r="G148" s="110">
        <f t="shared" si="73"/>
        <v>0.88677694978913102</v>
      </c>
      <c r="H148" s="412" t="b">
        <f>Wh_hp&gt;='2026'!Maxi_hp</f>
        <v>0</v>
      </c>
      <c r="I148" s="388">
        <f>IF(H148,Wh_hp,'2026'!Maxi_hp)</f>
        <v>63.419199758926844</v>
      </c>
      <c r="J148" s="85">
        <f>IF(H148,An,'2026'!An_max)</f>
        <v>2018</v>
      </c>
      <c r="K148" s="197">
        <f t="shared" si="52"/>
        <v>46521</v>
      </c>
      <c r="L148" s="147">
        <f>IF(t&lt;Tvie,1-EXP((T0-t)*PertePVj)+'2026'!Pspv,1-EXP((T0-t)*PertePVj)+Pspv)</f>
        <v>5.6325508302871863E-2</v>
      </c>
      <c r="M148" s="832"/>
      <c r="N148" s="832"/>
      <c r="O148" s="48">
        <f>IF(t&lt;Tnet,'2026'!Resal+('2026'!Salim-'2026'!Resal)*(1-EXP(('2026'!Tnet-t)/('2026'!Tau_j))),Resal+(Salim-Resal)*(1-EXP((Tnet-t)/(Tau_j))))*Salcycl</f>
        <v>1.091529051961955E-2</v>
      </c>
      <c r="P148" s="169">
        <f>(INDEX(Models!$BJ148:$BT148,,T148)*(1-R148)+INDEX(Models!$BJ148:$BT148,,T148+1)*R148-ERP_i)*Q148*Ramure*Pc/MaxiM</f>
        <v>0</v>
      </c>
      <c r="Q148" s="304">
        <f t="shared" si="53"/>
        <v>0.6</v>
      </c>
      <c r="R148" s="177">
        <f t="shared" si="54"/>
        <v>9.7615590374098948E-2</v>
      </c>
      <c r="S148" s="799">
        <f t="shared" si="55"/>
        <v>-1</v>
      </c>
      <c r="T148" s="176">
        <f t="shared" si="56"/>
        <v>5</v>
      </c>
      <c r="U148" s="250">
        <f t="shared" si="57"/>
        <v>-0.90238440962590105</v>
      </c>
      <c r="V148" s="382">
        <f t="shared" si="58"/>
        <v>58.839897620573495</v>
      </c>
      <c r="W148" s="400">
        <f t="shared" si="59"/>
        <v>52.177864937876912</v>
      </c>
      <c r="X148" s="157">
        <f t="shared" si="60"/>
        <v>46521</v>
      </c>
      <c r="Y148" s="383">
        <f t="shared" si="61"/>
        <v>50.236050769729658</v>
      </c>
      <c r="Z148" s="383">
        <f t="shared" si="62"/>
        <v>53.234511700516428</v>
      </c>
      <c r="AA148" s="384">
        <f t="shared" si="63"/>
        <v>55.902418915565733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4.7724360891768951E-2</v>
      </c>
      <c r="AD148" s="230">
        <f>(INDEX(Models!$BJ148:$BT148,,AH148)*(1-AF148)+INDEX(Models!$BJ148:$BT148,,AH148+1)*AF148-ERP_i)*AE148*Ramure*Pc/MaxiM</f>
        <v>-1.2900283095774275E-20</v>
      </c>
      <c r="AE148" s="304">
        <f t="shared" si="65"/>
        <v>0.6</v>
      </c>
      <c r="AF148" s="177">
        <f t="shared" si="66"/>
        <v>0.62260315674807742</v>
      </c>
      <c r="AG148" s="799">
        <f t="shared" si="74"/>
        <v>2</v>
      </c>
      <c r="AH148" s="176">
        <f t="shared" si="67"/>
        <v>8</v>
      </c>
      <c r="AI148" s="224">
        <f t="shared" si="68"/>
        <v>2.6226031567480774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46522</v>
      </c>
      <c r="B149" s="409">
        <f>IF(t&gt;Tmaj,'2026'!Wh/'2026'!Env_an*'2027'!Env_an,0.001*[7]mois!$B$256)</f>
        <v>54.420015129208736</v>
      </c>
      <c r="C149" s="829"/>
      <c r="D149" s="391">
        <f t="shared" si="50"/>
        <v>57.669311372928497</v>
      </c>
      <c r="E149" s="383">
        <f t="shared" si="72"/>
        <v>58.313433366010024</v>
      </c>
      <c r="F149" s="383">
        <f t="shared" si="51"/>
        <v>58.313433366010024</v>
      </c>
      <c r="G149" s="110">
        <f t="shared" si="73"/>
        <v>0.92463548941580376</v>
      </c>
      <c r="H149" s="412" t="b">
        <f>Wh_hp&gt;='2026'!Maxi_hp</f>
        <v>0</v>
      </c>
      <c r="I149" s="388">
        <f>IF(H149,Wh_hp,'2026'!Maxi_hp)</f>
        <v>63.720230232595142</v>
      </c>
      <c r="J149" s="85">
        <f>IF(H149,An,'2026'!An_max)</f>
        <v>2018</v>
      </c>
      <c r="K149" s="197">
        <f t="shared" si="52"/>
        <v>46522</v>
      </c>
      <c r="L149" s="147">
        <f>IF(t&lt;Tvie,1-EXP((T0-t)*PertePVj)+'2026'!Pspv,1-EXP((T0-t)*PertePVj)+Pspv)</f>
        <v>5.6343593609218479E-2</v>
      </c>
      <c r="M149" s="832"/>
      <c r="N149" s="832"/>
      <c r="O149" s="48">
        <f>IF(t&lt;Tnet,'2026'!Resal+('2026'!Salim-'2026'!Resal)*(1-EXP(('2026'!Tnet-t)/('2026'!Tau_j))),Resal+(Salim-Resal)*(1-EXP((Tnet-t)/(Tau_j))))*Salcycl</f>
        <v>1.1045859519857619E-2</v>
      </c>
      <c r="P149" s="169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0.1014933820891385</v>
      </c>
      <c r="S149" s="799">
        <f t="shared" si="55"/>
        <v>-1</v>
      </c>
      <c r="T149" s="176">
        <f t="shared" si="56"/>
        <v>5</v>
      </c>
      <c r="U149" s="250">
        <f t="shared" si="57"/>
        <v>-0.8985066179108615</v>
      </c>
      <c r="V149" s="382">
        <f t="shared" si="58"/>
        <v>58.855641766023908</v>
      </c>
      <c r="W149" s="400">
        <f t="shared" si="59"/>
        <v>54.420015129208736</v>
      </c>
      <c r="X149" s="157">
        <f t="shared" si="60"/>
        <v>46522</v>
      </c>
      <c r="Y149" s="383">
        <f t="shared" si="61"/>
        <v>52.39545910354034</v>
      </c>
      <c r="Z149" s="383">
        <f t="shared" si="62"/>
        <v>55.523873677643046</v>
      </c>
      <c r="AA149" s="384">
        <f t="shared" si="63"/>
        <v>58.313433366010024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4.7837342570073507E-2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0.6264809484631173</v>
      </c>
      <c r="AG149" s="799">
        <f t="shared" si="74"/>
        <v>2</v>
      </c>
      <c r="AH149" s="176">
        <f t="shared" si="67"/>
        <v>8</v>
      </c>
      <c r="AI149" s="224">
        <f t="shared" si="68"/>
        <v>2.6264809484631173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46523</v>
      </c>
      <c r="B150" s="409">
        <f>IF(t&gt;Tmaj,'2026'!Wh/'2026'!Env_an*'2027'!Env_an,0.001*[7]mois!$B$257)</f>
        <v>52.039527990080131</v>
      </c>
      <c r="C150" s="829"/>
      <c r="D150" s="391">
        <f t="shared" si="50"/>
        <v>55.147747614956693</v>
      </c>
      <c r="E150" s="383">
        <f t="shared" si="72"/>
        <v>55.771074903976242</v>
      </c>
      <c r="F150" s="383">
        <f t="shared" si="51"/>
        <v>55.771074903976242</v>
      </c>
      <c r="G150" s="110">
        <f t="shared" si="73"/>
        <v>0.88400080795457259</v>
      </c>
      <c r="H150" s="412" t="b">
        <f>Wh_hp&gt;='2026'!Maxi_hp</f>
        <v>0</v>
      </c>
      <c r="I150" s="388">
        <f>IF(H150,Wh_hp,'2026'!Maxi_hp)</f>
        <v>57.127425816284799</v>
      </c>
      <c r="J150" s="85">
        <f>IF(H150,An,'2026'!An_max)</f>
        <v>2018</v>
      </c>
      <c r="K150" s="197">
        <f t="shared" si="52"/>
        <v>46523</v>
      </c>
      <c r="L150" s="147">
        <f>IF(t&lt;Tvie,1-EXP((T0-t)*PertePVj)+'2026'!Pspv,1-EXP((T0-t)*PertePVj)+Pspv)</f>
        <v>5.6361678568964346E-2</v>
      </c>
      <c r="M150" s="832"/>
      <c r="N150" s="832"/>
      <c r="O150" s="48">
        <f>IF(t&lt;Tnet,'2026'!Resal+('2026'!Salim-'2026'!Resal)*(1-EXP(('2026'!Tnet-t)/('2026'!Tau_j))),Resal+(Salim-Resal)*(1-EXP((Tnet-t)/(Tau_j))))*Salcycl</f>
        <v>1.1176533536295614E-2</v>
      </c>
      <c r="P150" s="169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0.10544981955026467</v>
      </c>
      <c r="S150" s="799">
        <f t="shared" si="55"/>
        <v>-1</v>
      </c>
      <c r="T150" s="176">
        <f t="shared" si="56"/>
        <v>5</v>
      </c>
      <c r="U150" s="250">
        <f t="shared" si="57"/>
        <v>-0.89455018044973533</v>
      </c>
      <c r="V150" s="382">
        <f t="shared" si="58"/>
        <v>58.868190528570608</v>
      </c>
      <c r="W150" s="400">
        <f t="shared" si="59"/>
        <v>52.039527990080131</v>
      </c>
      <c r="X150" s="157">
        <f t="shared" si="60"/>
        <v>46523</v>
      </c>
      <c r="Y150" s="383">
        <f t="shared" si="61"/>
        <v>50.104187752741474</v>
      </c>
      <c r="Z150" s="383">
        <f t="shared" si="62"/>
        <v>53.096813275618182</v>
      </c>
      <c r="AA150" s="384">
        <f t="shared" si="63"/>
        <v>55.771074903976242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4.7950691876792115E-2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0.63043738592424337</v>
      </c>
      <c r="AG150" s="799">
        <f t="shared" si="74"/>
        <v>2</v>
      </c>
      <c r="AH150" s="176">
        <f t="shared" si="67"/>
        <v>8</v>
      </c>
      <c r="AI150" s="224">
        <f t="shared" si="68"/>
        <v>2.6304373859242434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46524</v>
      </c>
      <c r="B151" s="409">
        <f>IF(t&gt;Tmaj,'2026'!Wh/'2026'!Env_an*'2027'!Env_an,0.001*[7]mois!$B$258)</f>
        <v>55.237600081525827</v>
      </c>
      <c r="C151" s="829"/>
      <c r="D151" s="391">
        <f t="shared" si="50"/>
        <v>58.537956188604433</v>
      </c>
      <c r="E151" s="383">
        <f t="shared" si="72"/>
        <v>59.207432853837076</v>
      </c>
      <c r="F151" s="383">
        <f t="shared" si="51"/>
        <v>59.207432853837076</v>
      </c>
      <c r="G151" s="110">
        <f t="shared" si="73"/>
        <v>0.93817609463648954</v>
      </c>
      <c r="H151" s="412" t="b">
        <f>Wh_hp&gt;='2026'!Maxi_hp</f>
        <v>1</v>
      </c>
      <c r="I151" s="388">
        <f>IF(H151,Wh_hp,'2026'!Maxi_hp)</f>
        <v>59.207432853837076</v>
      </c>
      <c r="J151" s="85">
        <f>IF(H151,An,'2026'!An_max)</f>
        <v>2027</v>
      </c>
      <c r="K151" s="197">
        <f t="shared" si="52"/>
        <v>46524</v>
      </c>
      <c r="L151" s="147">
        <f>IF(t&lt;Tvie,1-EXP((T0-t)*PertePVj)+'2026'!Pspv,1-EXP((T0-t)*PertePVj)+Pspv)</f>
        <v>5.6379763182116127E-2</v>
      </c>
      <c r="M151" s="832"/>
      <c r="N151" s="832"/>
      <c r="O151" s="48">
        <f>IF(t&lt;Tnet,'2026'!Resal+('2026'!Salim-'2026'!Resal)*(1-EXP(('2026'!Tnet-t)/('2026'!Tau_j))),Resal+(Salim-Resal)*(1-EXP((Tnet-t)/(Tau_j))))*Salcycl</f>
        <v>1.1307307764640855E-2</v>
      </c>
      <c r="P151" s="169">
        <f>(INDEX(Models!$BJ151:$BT151,,T151)*(1-R151)+INDEX(Models!$BJ151:$BT151,,T151+1)*R151-ERP_i)*Q151*Ramure*Pc/MaxiM</f>
        <v>0</v>
      </c>
      <c r="Q151" s="304">
        <f t="shared" si="53"/>
        <v>0.6</v>
      </c>
      <c r="R151" s="177">
        <f t="shared" si="54"/>
        <v>0.1094838779102385</v>
      </c>
      <c r="S151" s="799">
        <f t="shared" si="55"/>
        <v>-1</v>
      </c>
      <c r="T151" s="176">
        <f t="shared" si="56"/>
        <v>5</v>
      </c>
      <c r="U151" s="250">
        <f t="shared" si="57"/>
        <v>-0.8905161220897615</v>
      </c>
      <c r="V151" s="382">
        <f t="shared" si="58"/>
        <v>58.877646102172825</v>
      </c>
      <c r="W151" s="400">
        <f t="shared" si="59"/>
        <v>55.237600081525827</v>
      </c>
      <c r="X151" s="157">
        <f t="shared" si="60"/>
        <v>46524</v>
      </c>
      <c r="Y151" s="383">
        <f t="shared" si="61"/>
        <v>53.18400706868632</v>
      </c>
      <c r="Z151" s="383">
        <f t="shared" si="62"/>
        <v>56.361664357724756</v>
      </c>
      <c r="AA151" s="384">
        <f t="shared" si="63"/>
        <v>59.207432853837076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4.8064379064323676E-2</v>
      </c>
      <c r="AD151" s="230">
        <f>(INDEX(Models!$BJ151:$BT151,,AH151)*(1-AF151)+INDEX(Models!$BJ151:$BT151,,AH151+1)*AF151-ERP_i)*AE151*Ramure*Pc/MaxiM</f>
        <v>1.326692502046981E-20</v>
      </c>
      <c r="AE151" s="304">
        <f t="shared" si="65"/>
        <v>0.6</v>
      </c>
      <c r="AF151" s="177">
        <f t="shared" si="66"/>
        <v>0.63447144428421698</v>
      </c>
      <c r="AG151" s="799">
        <f t="shared" si="74"/>
        <v>2</v>
      </c>
      <c r="AH151" s="176">
        <f t="shared" si="67"/>
        <v>8</v>
      </c>
      <c r="AI151" s="224">
        <f t="shared" si="68"/>
        <v>2.634471444284217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46525</v>
      </c>
      <c r="B152" s="409">
        <f>IF(t&gt;Tmaj,'2026'!Wh/'2026'!Env_an*'2027'!Env_an,0.001*[7]mois!$B$259)</f>
        <v>52.342099675104052</v>
      </c>
      <c r="C152" s="829"/>
      <c r="D152" s="391">
        <f t="shared" si="50"/>
        <v>55.470517456516006</v>
      </c>
      <c r="E152" s="383">
        <f t="shared" si="72"/>
        <v>56.112340323067968</v>
      </c>
      <c r="F152" s="383">
        <f t="shared" si="51"/>
        <v>56.112340323067968</v>
      </c>
      <c r="G152" s="110">
        <f t="shared" si="73"/>
        <v>0.88890023282259134</v>
      </c>
      <c r="H152" s="412" t="b">
        <f>Wh_hp&gt;='2026'!Maxi_hp</f>
        <v>0</v>
      </c>
      <c r="I152" s="388">
        <f>IF(H152,Wh_hp,'2026'!Maxi_hp)</f>
        <v>64.598562640471044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5.6397847448680372E-2</v>
      </c>
      <c r="M152" s="832"/>
      <c r="N152" s="832"/>
      <c r="O152" s="48">
        <f>IF(t&lt;Tnet,'2026'!Resal+('2026'!Salim-'2026'!Resal)*(1-EXP(('2026'!Tnet-t)/('2026'!Tau_j))),Resal+(Salim-Resal)*(1-EXP((Tnet-t)/(Tau_j))))*Salcycl</f>
        <v>1.1438176751435686E-2</v>
      </c>
      <c r="P152" s="169">
        <f>(INDEX(Models!$BJ152:$BT152,,T152)*(1-R152)+INDEX(Models!$BJ152:$BT152,,T152+1)*R152-ERP_i)*Q152*Ramure*Pc/MaxiM</f>
        <v>0</v>
      </c>
      <c r="Q152" s="304">
        <f t="shared" si="53"/>
        <v>0.6</v>
      </c>
      <c r="R152" s="177">
        <f t="shared" si="54"/>
        <v>0.11359435813419561</v>
      </c>
      <c r="S152" s="799">
        <f t="shared" si="55"/>
        <v>-1</v>
      </c>
      <c r="T152" s="176">
        <f t="shared" si="56"/>
        <v>5</v>
      </c>
      <c r="U152" s="250">
        <f t="shared" si="57"/>
        <v>-0.88640564186580439</v>
      </c>
      <c r="V152" s="382">
        <f t="shared" si="58"/>
        <v>58.88411065986368</v>
      </c>
      <c r="W152" s="400">
        <f t="shared" si="59"/>
        <v>52.342099675104052</v>
      </c>
      <c r="X152" s="157">
        <f t="shared" si="60"/>
        <v>46525</v>
      </c>
      <c r="Y152" s="383">
        <f t="shared" si="61"/>
        <v>50.396789873226879</v>
      </c>
      <c r="Z152" s="383">
        <f t="shared" si="62"/>
        <v>53.408939071369865</v>
      </c>
      <c r="AA152" s="384">
        <f t="shared" si="63"/>
        <v>56.112340323067968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4.8178372816624862E-2</v>
      </c>
      <c r="AD152" s="230">
        <f>(INDEX(Models!$BJ152:$BT152,,AH152)*(1-AF152)+INDEX(Models!$BJ152:$BT152,,AH152+1)*AF152-ERP_i)*AE152*Ramure*Pc/MaxiM</f>
        <v>0</v>
      </c>
      <c r="AE152" s="304">
        <f t="shared" si="65"/>
        <v>0.6</v>
      </c>
      <c r="AF152" s="177">
        <f t="shared" si="66"/>
        <v>0.6385819245081743</v>
      </c>
      <c r="AG152" s="799">
        <f t="shared" si="74"/>
        <v>2</v>
      </c>
      <c r="AH152" s="176">
        <f t="shared" si="67"/>
        <v>8</v>
      </c>
      <c r="AI152" s="224">
        <f t="shared" si="68"/>
        <v>2.6385819245081743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46526</v>
      </c>
      <c r="B153" s="409">
        <f>IF(t&gt;Tmaj,'2026'!Wh/'2026'!Env_an*'2027'!Env_an,0.001*[7]mois!$B$260)</f>
        <v>55.784934457306164</v>
      </c>
      <c r="C153" s="829"/>
      <c r="D153" s="391">
        <f t="shared" si="50"/>
        <v>59.120258927455104</v>
      </c>
      <c r="E153" s="383">
        <f t="shared" si="72"/>
        <v>59.81223470918551</v>
      </c>
      <c r="F153" s="383">
        <f t="shared" si="51"/>
        <v>59.81223470918551</v>
      </c>
      <c r="G153" s="110">
        <f t="shared" si="73"/>
        <v>0.94731068427701792</v>
      </c>
      <c r="H153" s="412" t="b">
        <f>Wh_hp&gt;='2026'!Maxi_hp</f>
        <v>0</v>
      </c>
      <c r="I153" s="388">
        <f>IF(H153,Wh_hp,'2026'!Maxi_hp)</f>
        <v>63.301181056084516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5.6415931368663741E-2</v>
      </c>
      <c r="M153" s="832"/>
      <c r="N153" s="832"/>
      <c r="O153" s="48">
        <f>IF(t&lt;Tnet,'2026'!Resal+('2026'!Salim-'2026'!Resal)*(1-EXP(('2026'!Tnet-t)/('2026'!Tau_j))),Resal+(Salim-Resal)*(1-EXP((Tnet-t)/(Tau_j))))*Salcycl</f>
        <v>1.1569134393571481E-2</v>
      </c>
      <c r="P153" s="169">
        <f>(INDEX(Models!$BJ153:$BT153,,T153)*(1-R153)+INDEX(Models!$BJ153:$BT153,,T153+1)*R153-ERP_i)*Q153*Ramure*Pc/MaxiM</f>
        <v>0</v>
      </c>
      <c r="Q153" s="304">
        <f t="shared" si="53"/>
        <v>0.6</v>
      </c>
      <c r="R153" s="177">
        <f t="shared" si="54"/>
        <v>0.11777988390149208</v>
      </c>
      <c r="S153" s="799">
        <f t="shared" si="55"/>
        <v>-1</v>
      </c>
      <c r="T153" s="176">
        <f t="shared" si="56"/>
        <v>5</v>
      </c>
      <c r="U153" s="250">
        <f t="shared" si="57"/>
        <v>-0.88222011609850792</v>
      </c>
      <c r="V153" s="382">
        <f t="shared" si="58"/>
        <v>58.887686355908585</v>
      </c>
      <c r="W153" s="400">
        <f t="shared" si="59"/>
        <v>55.784934457306164</v>
      </c>
      <c r="X153" s="157">
        <f t="shared" si="60"/>
        <v>46526</v>
      </c>
      <c r="Y153" s="383">
        <f t="shared" si="61"/>
        <v>53.712337939358008</v>
      </c>
      <c r="Z153" s="383">
        <f t="shared" si="62"/>
        <v>56.923743972561418</v>
      </c>
      <c r="AA153" s="384">
        <f t="shared" si="63"/>
        <v>59.81223470918551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4.8292640304584744E-2</v>
      </c>
      <c r="AD153" s="230">
        <f>(INDEX(Models!$BJ153:$BT153,,AH153)*(1-AF153)+INDEX(Models!$BJ153:$BT153,,AH153+1)*AF153-ERP_i)*AE153*Ramure*Pc/MaxiM</f>
        <v>0</v>
      </c>
      <c r="AE153" s="304">
        <f t="shared" si="65"/>
        <v>0.6</v>
      </c>
      <c r="AF153" s="177">
        <f t="shared" si="66"/>
        <v>0.64276745027547078</v>
      </c>
      <c r="AG153" s="799">
        <f t="shared" si="74"/>
        <v>2</v>
      </c>
      <c r="AH153" s="176">
        <f t="shared" si="67"/>
        <v>8</v>
      </c>
      <c r="AI153" s="224">
        <f t="shared" si="68"/>
        <v>2.6427674502754708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46527</v>
      </c>
      <c r="B154" s="409">
        <f>IF(t&gt;Tmaj,'2026'!Wh/'2026'!Env_an*'2027'!Env_an,0.001*[7]mois!$B$261)</f>
        <v>50.750020665223936</v>
      </c>
      <c r="C154" s="829"/>
      <c r="D154" s="391">
        <f t="shared" si="50"/>
        <v>53.785343546597126</v>
      </c>
      <c r="E154" s="383">
        <f t="shared" si="72"/>
        <v>54.422091483183408</v>
      </c>
      <c r="F154" s="383">
        <f t="shared" si="51"/>
        <v>54.422091483183408</v>
      </c>
      <c r="G154" s="110">
        <f t="shared" si="73"/>
        <v>0.86179885603103068</v>
      </c>
      <c r="H154" s="412" t="b">
        <f>Wh_hp&gt;='2026'!Maxi_hp</f>
        <v>0</v>
      </c>
      <c r="I154" s="388">
        <f>IF(H154,Wh_hp,'2026'!Maxi_hp)</f>
        <v>62.450618114879568</v>
      </c>
      <c r="J154" s="85">
        <f>IF(H154,An,'2026'!An_max)</f>
        <v>2020</v>
      </c>
      <c r="K154" s="197">
        <f t="shared" si="52"/>
        <v>46527</v>
      </c>
      <c r="L154" s="147">
        <f>IF(t&lt;Tvie,1-EXP((T0-t)*PertePVj)+'2026'!Pspv,1-EXP((T0-t)*PertePVj)+Pspv)</f>
        <v>5.6434014942073008E-2</v>
      </c>
      <c r="M154" s="832"/>
      <c r="N154" s="832"/>
      <c r="O154" s="48">
        <f>IF(t&lt;Tnet,'2026'!Resal+('2026'!Salim-'2026'!Resal)*(1-EXP(('2026'!Tnet-t)/('2026'!Tau_j))),Resal+(Salim-Resal)*(1-EXP((Tnet-t)/(Tau_j))))*Salcycl</f>
        <v>1.1700173941000471E-2</v>
      </c>
      <c r="P154" s="169">
        <f>(INDEX(Models!$BJ154:$BT154,,T154)*(1-R154)+INDEX(Models!$BJ154:$BT154,,T154+1)*R154-ERP_i)*Q154*Ramure*Pc/MaxiM</f>
        <v>0</v>
      </c>
      <c r="Q154" s="304">
        <f t="shared" si="53"/>
        <v>0.6</v>
      </c>
      <c r="R154" s="177">
        <f t="shared" si="54"/>
        <v>0.12203889920915267</v>
      </c>
      <c r="S154" s="799">
        <f t="shared" si="55"/>
        <v>-1</v>
      </c>
      <c r="T154" s="176">
        <f t="shared" si="56"/>
        <v>5</v>
      </c>
      <c r="U154" s="250">
        <f t="shared" si="57"/>
        <v>-0.87796110079084733</v>
      </c>
      <c r="V154" s="382">
        <f t="shared" si="58"/>
        <v>58.888475321202542</v>
      </c>
      <c r="W154" s="400">
        <f t="shared" si="59"/>
        <v>50.750020665223936</v>
      </c>
      <c r="X154" s="157">
        <f t="shared" si="60"/>
        <v>46527</v>
      </c>
      <c r="Y154" s="383">
        <f t="shared" si="61"/>
        <v>48.865086958957257</v>
      </c>
      <c r="Z154" s="383">
        <f t="shared" si="62"/>
        <v>51.787673287054062</v>
      </c>
      <c r="AA154" s="384">
        <f t="shared" si="63"/>
        <v>54.422091483183408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4.8407147250917222E-2</v>
      </c>
      <c r="AD154" s="230">
        <f>(INDEX(Models!$BJ154:$BT154,,AH154)*(1-AF154)+INDEX(Models!$BJ154:$BT154,,AH154+1)*AF154-ERP_i)*AE154*Ramure*Pc/MaxiM</f>
        <v>-1.3649188508928938E-20</v>
      </c>
      <c r="AE154" s="304">
        <f t="shared" si="65"/>
        <v>0.6</v>
      </c>
      <c r="AF154" s="177">
        <f t="shared" si="66"/>
        <v>0.64702646558313148</v>
      </c>
      <c r="AG154" s="799">
        <f t="shared" si="74"/>
        <v>2</v>
      </c>
      <c r="AH154" s="176">
        <f t="shared" si="67"/>
        <v>8</v>
      </c>
      <c r="AI154" s="224">
        <f t="shared" si="68"/>
        <v>2.6470264655831315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46528</v>
      </c>
      <c r="B155" s="409">
        <f>IF(t&gt;Tmaj,'2026'!Wh/'2026'!Env_an*'2027'!Env_an,0.001*[7]mois!$B$262)</f>
        <v>51.761785057598743</v>
      </c>
      <c r="C155" s="829"/>
      <c r="D155" s="391">
        <f t="shared" si="50"/>
        <v>54.858672206411384</v>
      </c>
      <c r="E155" s="383">
        <f t="shared" si="72"/>
        <v>55.515491980650324</v>
      </c>
      <c r="F155" s="383">
        <f t="shared" si="51"/>
        <v>55.515491980650324</v>
      </c>
      <c r="G155" s="110">
        <f t="shared" si="73"/>
        <v>0.87900817723197344</v>
      </c>
      <c r="H155" s="412" t="b">
        <f>Wh_hp&gt;='2026'!Maxi_hp</f>
        <v>0</v>
      </c>
      <c r="I155" s="388">
        <f>IF(H155,Wh_hp,'2026'!Maxi_hp)</f>
        <v>60.873954388671315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5.6452098168914611E-2</v>
      </c>
      <c r="M155" s="832"/>
      <c r="N155" s="832"/>
      <c r="O155" s="48">
        <f>IF(t&lt;Tnet,'2026'!Resal+('2026'!Salim-'2026'!Resal)*(1-EXP(('2026'!Tnet-t)/('2026'!Tau_j))),Resal+(Salim-Resal)*(1-EXP((Tnet-t)/(Tau_j))))*Salcycl</f>
        <v>1.1831288002777272E-2</v>
      </c>
      <c r="P155" s="169">
        <f>(INDEX(Models!$BJ155:$BT155,,T155)*(1-R155)+INDEX(Models!$BJ155:$BT155,,T155+1)*R155-ERP_i)*Q155*Ramure*Pc/MaxiM</f>
        <v>0</v>
      </c>
      <c r="Q155" s="304">
        <f t="shared" si="53"/>
        <v>0.6</v>
      </c>
      <c r="R155" s="177">
        <f t="shared" si="54"/>
        <v>0.12636966673009553</v>
      </c>
      <c r="S155" s="799">
        <f t="shared" si="55"/>
        <v>-1</v>
      </c>
      <c r="T155" s="176">
        <f t="shared" si="56"/>
        <v>5</v>
      </c>
      <c r="U155" s="250">
        <f t="shared" si="57"/>
        <v>-0.87363033326990447</v>
      </c>
      <c r="V155" s="382">
        <f t="shared" si="58"/>
        <v>58.886579668232841</v>
      </c>
      <c r="W155" s="400">
        <f t="shared" si="59"/>
        <v>51.761785057598743</v>
      </c>
      <c r="X155" s="157">
        <f t="shared" si="60"/>
        <v>46528</v>
      </c>
      <c r="Y155" s="383">
        <f t="shared" si="61"/>
        <v>49.839877011920954</v>
      </c>
      <c r="Z155" s="383">
        <f t="shared" si="62"/>
        <v>52.821777161710358</v>
      </c>
      <c r="AA155" s="384">
        <f t="shared" si="63"/>
        <v>55.515491980650324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4.8521858004588025E-2</v>
      </c>
      <c r="AD155" s="230">
        <f>(INDEX(Models!$BJ155:$BT155,,AH155)*(1-AF155)+INDEX(Models!$BJ155:$BT155,,AH155+1)*AF155-ERP_i)*AE155*Ramure*Pc/MaxiM</f>
        <v>-1.3779418004803794E-20</v>
      </c>
      <c r="AE155" s="304">
        <f t="shared" si="65"/>
        <v>0.6</v>
      </c>
      <c r="AF155" s="177">
        <f t="shared" si="66"/>
        <v>0.65135723310407423</v>
      </c>
      <c r="AG155" s="799">
        <f t="shared" si="74"/>
        <v>2</v>
      </c>
      <c r="AH155" s="176">
        <f t="shared" si="67"/>
        <v>8</v>
      </c>
      <c r="AI155" s="224">
        <f t="shared" si="68"/>
        <v>2.6513572331040742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46529</v>
      </c>
      <c r="B156" s="409">
        <f>IF(t&gt;Tmaj,'2026'!Wh/'2026'!Env_an*'2027'!Env_an,0.001*[7]mois!$B$263)</f>
        <v>41.164674137247211</v>
      </c>
      <c r="C156" s="829"/>
      <c r="D156" s="391">
        <f t="shared" si="50"/>
        <v>43.628376454516193</v>
      </c>
      <c r="E156" s="383">
        <f t="shared" si="72"/>
        <v>44.156598374130517</v>
      </c>
      <c r="F156" s="383">
        <f t="shared" si="51"/>
        <v>44.156598374130517</v>
      </c>
      <c r="G156" s="110">
        <f t="shared" si="73"/>
        <v>0.69910334547496089</v>
      </c>
      <c r="H156" s="412" t="b">
        <f>Wh_hp&gt;='2026'!Maxi_hp</f>
        <v>0</v>
      </c>
      <c r="I156" s="388">
        <f>IF(H156,Wh_hp,'2026'!Maxi_hp)</f>
        <v>60.177941095555454</v>
      </c>
      <c r="J156" s="85">
        <f>IF(H156,An,'2026'!An_max)</f>
        <v>2018</v>
      </c>
      <c r="K156" s="197">
        <f t="shared" si="52"/>
        <v>46529</v>
      </c>
      <c r="L156" s="147">
        <f>IF(t&lt;Tvie,1-EXP((T0-t)*PertePVj)+'2026'!Pspv,1-EXP((T0-t)*PertePVj)+Pspv)</f>
        <v>5.6470181049195323E-2</v>
      </c>
      <c r="M156" s="832"/>
      <c r="N156" s="832"/>
      <c r="O156" s="48">
        <f>IF(t&lt;Tnet,'2026'!Resal+('2026'!Salim-'2026'!Resal)*(1-EXP(('2026'!Tnet-t)/('2026'!Tau_j))),Resal+(Salim-Resal)*(1-EXP((Tnet-t)/(Tau_j))))*Salcycl</f>
        <v>1.1962468556540496E-2</v>
      </c>
      <c r="P156" s="169">
        <f>(INDEX(Models!$BJ156:$BT156,,T156)*(1-R156)+INDEX(Models!$BJ156:$BT156,,T156+1)*R156-ERP_i)*Q156*Ramure*Pc/MaxiM</f>
        <v>0</v>
      </c>
      <c r="Q156" s="304">
        <f t="shared" si="53"/>
        <v>0.6</v>
      </c>
      <c r="R156" s="177">
        <f t="shared" si="54"/>
        <v>0.13077026697565119</v>
      </c>
      <c r="S156" s="799">
        <f t="shared" si="55"/>
        <v>-1</v>
      </c>
      <c r="T156" s="176">
        <f t="shared" si="56"/>
        <v>5</v>
      </c>
      <c r="U156" s="250">
        <f t="shared" si="57"/>
        <v>-0.86922973302434881</v>
      </c>
      <c r="V156" s="382">
        <f t="shared" si="58"/>
        <v>58.882101485697397</v>
      </c>
      <c r="W156" s="400">
        <f t="shared" si="59"/>
        <v>41.164674137247211</v>
      </c>
      <c r="X156" s="157">
        <f t="shared" si="60"/>
        <v>46529</v>
      </c>
      <c r="Y156" s="383">
        <f t="shared" si="61"/>
        <v>39.636711681329039</v>
      </c>
      <c r="Z156" s="383">
        <f t="shared" si="62"/>
        <v>42.008965572921319</v>
      </c>
      <c r="AA156" s="384">
        <f t="shared" si="63"/>
        <v>44.156598374130517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4.8636735624712657E-2</v>
      </c>
      <c r="AD156" s="230">
        <f>(INDEX(Models!$BJ156:$BT156,,AH156)*(1-AF156)+INDEX(Models!$BJ156:$BT156,,AH156+1)*AF156-ERP_i)*AE156*Ramure*Pc/MaxiM</f>
        <v>0</v>
      </c>
      <c r="AE156" s="304">
        <f t="shared" si="65"/>
        <v>0.6</v>
      </c>
      <c r="AF156" s="177">
        <f t="shared" si="66"/>
        <v>0.65575783334962967</v>
      </c>
      <c r="AG156" s="799">
        <f t="shared" si="74"/>
        <v>2</v>
      </c>
      <c r="AH156" s="176">
        <f t="shared" si="67"/>
        <v>8</v>
      </c>
      <c r="AI156" s="224">
        <f t="shared" si="68"/>
        <v>2.6557578333496297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46530</v>
      </c>
      <c r="B157" s="409">
        <f>IF(t&gt;Tmaj,'2026'!Wh/'2026'!Env_an*'2027'!Env_an,0.001*[7]mois!$B$264)</f>
        <v>19.29383268667755</v>
      </c>
      <c r="C157" s="829"/>
      <c r="D157" s="391">
        <f t="shared" si="50"/>
        <v>20.448958865042389</v>
      </c>
      <c r="E157" s="383">
        <f t="shared" si="72"/>
        <v>20.699290012768344</v>
      </c>
      <c r="F157" s="383">
        <f t="shared" si="51"/>
        <v>20.699290012768344</v>
      </c>
      <c r="G157" s="110">
        <f t="shared" si="73"/>
        <v>0.3277076157383686</v>
      </c>
      <c r="H157" s="412" t="b">
        <f>Wh_hp&gt;='2026'!Maxi_hp</f>
        <v>0</v>
      </c>
      <c r="I157" s="388">
        <f>IF(H157,Wh_hp,'2026'!Maxi_hp)</f>
        <v>58.544637750972903</v>
      </c>
      <c r="J157" s="85">
        <f>IF(H157,An,'2026'!An_max)</f>
        <v>2020</v>
      </c>
      <c r="K157" s="197">
        <f t="shared" si="52"/>
        <v>46530</v>
      </c>
      <c r="L157" s="147">
        <f>IF(t&lt;Tvie,1-EXP((T0-t)*PertePVj)+'2026'!Pspv,1-EXP((T0-t)*PertePVj)+Pspv)</f>
        <v>5.6488263582921805E-2</v>
      </c>
      <c r="M157" s="832"/>
      <c r="N157" s="832"/>
      <c r="O157" s="48">
        <f>IF(t&lt;Tnet,'2026'!Resal+('2026'!Salim-'2026'!Resal)*(1-EXP(('2026'!Tnet-t)/('2026'!Tau_j))),Resal+(Salim-Resal)*(1-EXP((Tnet-t)/(Tau_j))))*Salcycl</f>
        <v>1.2093706961520841E-2</v>
      </c>
      <c r="P157" s="169">
        <f>(INDEX(Models!$BJ157:$BT157,,T157)*(1-R157)+INDEX(Models!$BJ157:$BT157,,T157+1)*R157-ERP_i)*Q157*Ramure*Pc/MaxiM</f>
        <v>0</v>
      </c>
      <c r="Q157" s="304">
        <f t="shared" si="53"/>
        <v>0.6</v>
      </c>
      <c r="R157" s="177">
        <f t="shared" si="54"/>
        <v>0.13523859830742346</v>
      </c>
      <c r="S157" s="799">
        <f t="shared" si="55"/>
        <v>-1</v>
      </c>
      <c r="T157" s="176">
        <f t="shared" si="56"/>
        <v>5</v>
      </c>
      <c r="U157" s="250">
        <f t="shared" si="57"/>
        <v>-0.86476140169257654</v>
      </c>
      <c r="V157" s="382">
        <f t="shared" si="58"/>
        <v>58.875142840992545</v>
      </c>
      <c r="W157" s="400">
        <f t="shared" si="59"/>
        <v>19.29383268667755</v>
      </c>
      <c r="X157" s="157">
        <f t="shared" si="60"/>
        <v>46530</v>
      </c>
      <c r="Y157" s="383">
        <f t="shared" si="61"/>
        <v>18.577900417460469</v>
      </c>
      <c r="Z157" s="383">
        <f t="shared" si="62"/>
        <v>19.690163567025447</v>
      </c>
      <c r="AA157" s="384">
        <f t="shared" si="63"/>
        <v>20.699290012768344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4.8751741973778642E-2</v>
      </c>
      <c r="AD157" s="230">
        <f>(INDEX(Models!$BJ157:$BT157,,AH157)*(1-AF157)+INDEX(Models!$BJ157:$BT157,,AH157+1)*AF157-ERP_i)*AE157*Ramure*Pc/MaxiM</f>
        <v>0</v>
      </c>
      <c r="AE157" s="304">
        <f t="shared" si="65"/>
        <v>0.6</v>
      </c>
      <c r="AF157" s="177">
        <f t="shared" si="66"/>
        <v>0.66022616468140205</v>
      </c>
      <c r="AG157" s="799">
        <f t="shared" si="74"/>
        <v>2</v>
      </c>
      <c r="AH157" s="176">
        <f t="shared" si="67"/>
        <v>8</v>
      </c>
      <c r="AI157" s="224">
        <f t="shared" si="68"/>
        <v>2.6602261646814021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46531</v>
      </c>
      <c r="B158" s="409">
        <f>IF(t&gt;Tmaj,'2026'!Wh/'2026'!Env_an*'2027'!Env_an,0.001*[7]mois!$B$265)</f>
        <v>16.852845797898983</v>
      </c>
      <c r="C158" s="829"/>
      <c r="D158" s="391">
        <f t="shared" si="50"/>
        <v>17.862171857058915</v>
      </c>
      <c r="E158" s="383">
        <f t="shared" si="72"/>
        <v>18.083239349153256</v>
      </c>
      <c r="F158" s="383">
        <f t="shared" si="51"/>
        <v>18.083239349153256</v>
      </c>
      <c r="G158" s="110">
        <f t="shared" si="73"/>
        <v>0.28629262057704186</v>
      </c>
      <c r="H158" s="412" t="b">
        <f>Wh_hp&gt;='2026'!Maxi_hp</f>
        <v>0</v>
      </c>
      <c r="I158" s="388">
        <f>IF(H158,Wh_hp,'2026'!Maxi_hp)</f>
        <v>26.742649720256367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5.6506345770100608E-2</v>
      </c>
      <c r="M158" s="832"/>
      <c r="N158" s="832"/>
      <c r="O158" s="48">
        <f>IF(t&lt;Tnet,'2026'!Resal+('2026'!Salim-'2026'!Resal)*(1-EXP(('2026'!Tnet-t)/('2026'!Tau_j))),Resal+(Salim-Resal)*(1-EXP((Tnet-t)/(Tau_j))))*Salcycl</f>
        <v>1.2224993975135965E-2</v>
      </c>
      <c r="P158" s="169">
        <f>(INDEX(Models!$BJ158:$BT158,,T158)*(1-R158)+INDEX(Models!$BJ158:$BT158,,T158+1)*R158-ERP_i)*Q158*Ramure*Pc/MaxiM</f>
        <v>1.4176377305478259E-20</v>
      </c>
      <c r="Q158" s="304">
        <f t="shared" si="53"/>
        <v>0.6</v>
      </c>
      <c r="R158" s="177">
        <f t="shared" si="54"/>
        <v>0.13977237783825303</v>
      </c>
      <c r="S158" s="799">
        <f t="shared" si="55"/>
        <v>-1</v>
      </c>
      <c r="T158" s="176">
        <f t="shared" si="56"/>
        <v>5</v>
      </c>
      <c r="U158" s="250">
        <f t="shared" si="57"/>
        <v>-0.86022762216174697</v>
      </c>
      <c r="V158" s="382">
        <f t="shared" si="58"/>
        <v>58.865805775681366</v>
      </c>
      <c r="W158" s="400">
        <f t="shared" si="59"/>
        <v>16.852845797898983</v>
      </c>
      <c r="X158" s="157">
        <f t="shared" si="60"/>
        <v>46531</v>
      </c>
      <c r="Y158" s="383">
        <f t="shared" si="61"/>
        <v>16.227683852819375</v>
      </c>
      <c r="Z158" s="383">
        <f t="shared" si="62"/>
        <v>17.199568624618649</v>
      </c>
      <c r="AA158" s="384">
        <f t="shared" si="63"/>
        <v>18.083239349153256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4.8866837819960936E-2</v>
      </c>
      <c r="AD158" s="230">
        <f>(INDEX(Models!$BJ158:$BT158,,AH158)*(1-AF158)+INDEX(Models!$BJ158:$BT158,,AH158+1)*AF158-ERP_i)*AE158*Ramure*Pc/MaxiM</f>
        <v>-1.4176377305478259E-20</v>
      </c>
      <c r="AE158" s="304">
        <f t="shared" si="65"/>
        <v>0.6</v>
      </c>
      <c r="AF158" s="177">
        <f t="shared" si="66"/>
        <v>0.66475994421223161</v>
      </c>
      <c r="AG158" s="799">
        <f t="shared" si="74"/>
        <v>2</v>
      </c>
      <c r="AH158" s="176">
        <f t="shared" si="67"/>
        <v>8</v>
      </c>
      <c r="AI158" s="224">
        <f t="shared" si="68"/>
        <v>2.6647599442122316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46532</v>
      </c>
      <c r="B159" s="409">
        <f>IF(t&gt;Tmaj,'2026'!Wh/'2026'!Env_an*'2027'!Env_an,0.001*[7]mois!$B$266)</f>
        <v>42.862920809744026</v>
      </c>
      <c r="C159" s="829"/>
      <c r="D159" s="391">
        <f t="shared" si="50"/>
        <v>45.430875015871138</v>
      </c>
      <c r="E159" s="383">
        <f t="shared" si="72"/>
        <v>45.999256538996697</v>
      </c>
      <c r="F159" s="383">
        <f t="shared" si="51"/>
        <v>45.999256538996697</v>
      </c>
      <c r="G159" s="110">
        <f t="shared" si="73"/>
        <v>0.72829001861801534</v>
      </c>
      <c r="H159" s="412" t="b">
        <f>Wh_hp&gt;='2026'!Maxi_hp</f>
        <v>0</v>
      </c>
      <c r="I159" s="388">
        <f>IF(H159,Wh_hp,'2026'!Maxi_hp)</f>
        <v>59.02247557748224</v>
      </c>
      <c r="J159" s="85">
        <f>IF(H159,An,'2026'!An_max)</f>
        <v>2020</v>
      </c>
      <c r="K159" s="197">
        <f t="shared" si="52"/>
        <v>46532</v>
      </c>
      <c r="L159" s="147">
        <f>IF(t&lt;Tvie,1-EXP((T0-t)*PertePVj)+'2026'!Pspv,1-EXP((T0-t)*PertePVj)+Pspv)</f>
        <v>5.6524427610738393E-2</v>
      </c>
      <c r="M159" s="832"/>
      <c r="N159" s="832"/>
      <c r="O159" s="48">
        <f>IF(t&lt;Tnet,'2026'!Resal+('2026'!Salim-'2026'!Resal)*(1-EXP(('2026'!Tnet-t)/('2026'!Tau_j))),Resal+(Salim-Resal)*(1-EXP((Tnet-t)/(Tau_j))))*Salcycl</f>
        <v>1.2356319773205482E-2</v>
      </c>
      <c r="P159" s="169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0.14436914325597006</v>
      </c>
      <c r="S159" s="799">
        <f t="shared" si="55"/>
        <v>-1</v>
      </c>
      <c r="T159" s="176">
        <f t="shared" si="56"/>
        <v>5</v>
      </c>
      <c r="U159" s="250">
        <f t="shared" si="57"/>
        <v>-0.85563085674402994</v>
      </c>
      <c r="V159" s="382">
        <f t="shared" si="58"/>
        <v>58.854192305257207</v>
      </c>
      <c r="W159" s="400">
        <f t="shared" si="59"/>
        <v>42.862920809744026</v>
      </c>
      <c r="X159" s="157">
        <f t="shared" si="60"/>
        <v>46532</v>
      </c>
      <c r="Y159" s="383">
        <f t="shared" si="61"/>
        <v>41.273397248053968</v>
      </c>
      <c r="Z159" s="383">
        <f t="shared" si="62"/>
        <v>43.746121739573013</v>
      </c>
      <c r="AA159" s="384">
        <f t="shared" si="63"/>
        <v>45.999256538996697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4.8981982948214507E-2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0.66935670962994864</v>
      </c>
      <c r="AG159" s="799">
        <f t="shared" si="74"/>
        <v>2</v>
      </c>
      <c r="AH159" s="176">
        <f t="shared" si="67"/>
        <v>8</v>
      </c>
      <c r="AI159" s="224">
        <f t="shared" si="68"/>
        <v>2.6693567096299486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46533</v>
      </c>
      <c r="B160" s="409">
        <f>IF(t&gt;Tmaj,'2026'!Wh/'2026'!Env_an*'2027'!Env_an,0.001*[7]mois!$B$267)</f>
        <v>27.963638342913061</v>
      </c>
      <c r="C160" s="829"/>
      <c r="D160" s="391">
        <f t="shared" si="50"/>
        <v>29.639531841949758</v>
      </c>
      <c r="E160" s="383">
        <f t="shared" si="72"/>
        <v>30.014341148753513</v>
      </c>
      <c r="F160" s="383">
        <f t="shared" si="51"/>
        <v>30.014341148753513</v>
      </c>
      <c r="G160" s="110">
        <f t="shared" si="73"/>
        <v>0.47524551570704998</v>
      </c>
      <c r="H160" s="412" t="b">
        <f>Wh_hp&gt;='2026'!Maxi_hp</f>
        <v>0</v>
      </c>
      <c r="I160" s="388">
        <f>IF(H160,Wh_hp,'2026'!Maxi_hp)</f>
        <v>61.793070992258549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5.6542509104841931E-2</v>
      </c>
      <c r="M160" s="832"/>
      <c r="N160" s="832"/>
      <c r="O160" s="48">
        <f>IF(t&lt;Tnet,'2026'!Resal+('2026'!Salim-'2026'!Resal)*(1-EXP(('2026'!Tnet-t)/('2026'!Tau_j))),Resal+(Salim-Resal)*(1-EXP((Tnet-t)/(Tau_j))))*Salcycl</f>
        <v>1.2487673973790372E-2</v>
      </c>
      <c r="P160" s="169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0.14902625559680238</v>
      </c>
      <c r="S160" s="799">
        <f t="shared" si="55"/>
        <v>-1</v>
      </c>
      <c r="T160" s="176">
        <f t="shared" si="56"/>
        <v>5</v>
      </c>
      <c r="U160" s="250">
        <f t="shared" si="57"/>
        <v>-0.85097374440319762</v>
      </c>
      <c r="V160" s="382">
        <f t="shared" si="58"/>
        <v>58.840404419829092</v>
      </c>
      <c r="W160" s="400">
        <f t="shared" si="59"/>
        <v>27.963638342913061</v>
      </c>
      <c r="X160" s="157">
        <f t="shared" si="60"/>
        <v>46533</v>
      </c>
      <c r="Y160" s="383">
        <f t="shared" si="61"/>
        <v>26.92695886370927</v>
      </c>
      <c r="Z160" s="383">
        <f t="shared" si="62"/>
        <v>28.540722951026453</v>
      </c>
      <c r="AA160" s="384">
        <f t="shared" si="63"/>
        <v>30.014341148753513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4.9097136279743277E-2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0.67401382197078119</v>
      </c>
      <c r="AG160" s="799">
        <f t="shared" si="74"/>
        <v>2</v>
      </c>
      <c r="AH160" s="176">
        <f t="shared" si="67"/>
        <v>8</v>
      </c>
      <c r="AI160" s="224">
        <f t="shared" si="68"/>
        <v>2.6740138219707812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46534</v>
      </c>
      <c r="B161" s="409">
        <f>IF(t&gt;Tmaj,'2026'!Wh/'2026'!Env_an*'2027'!Env_an,0.001*[7]mois!$B$268)</f>
        <v>44.358109263253013</v>
      </c>
      <c r="C161" s="829"/>
      <c r="D161" s="391">
        <f t="shared" si="50"/>
        <v>47.017443626953259</v>
      </c>
      <c r="E161" s="383">
        <f t="shared" si="72"/>
        <v>47.618341654768791</v>
      </c>
      <c r="F161" s="383">
        <f t="shared" si="51"/>
        <v>47.618341654768791</v>
      </c>
      <c r="G161" s="110">
        <f t="shared" si="73"/>
        <v>0.75407485018699716</v>
      </c>
      <c r="H161" s="412" t="b">
        <f>Wh_hp&gt;='2026'!Maxi_hp</f>
        <v>0</v>
      </c>
      <c r="I161" s="388">
        <f>IF(H161,Wh_hp,'2026'!Maxi_hp)</f>
        <v>61.558653979625923</v>
      </c>
      <c r="J161" s="85">
        <f>IF(H161,An,'2026'!An_max)</f>
        <v>2020</v>
      </c>
      <c r="K161" s="197">
        <f t="shared" si="52"/>
        <v>46534</v>
      </c>
      <c r="L161" s="147">
        <f>IF(t&lt;Tvie,1-EXP((T0-t)*PertePVj)+'2026'!Pspv,1-EXP((T0-t)*PertePVj)+Pspv)</f>
        <v>5.6560590252417664E-2</v>
      </c>
      <c r="M161" s="832"/>
      <c r="N161" s="832"/>
      <c r="O161" s="48">
        <f>IF(t&lt;Tnet,'2026'!Resal+('2026'!Salim-'2026'!Resal)*(1-EXP(('2026'!Tnet-t)/('2026'!Tau_j))),Resal+(Salim-Resal)*(1-EXP((Tnet-t)/(Tau_j))))*Salcycl</f>
        <v>1.2619045664631099E-2</v>
      </c>
      <c r="P161" s="169">
        <f>(INDEX(Models!$BJ161:$BT161,,T161)*(1-R161)+INDEX(Models!$BJ161:$BT161,,T161+1)*R161-ERP_i)*Q161*Ramure*Pc/MaxiM</f>
        <v>0</v>
      </c>
      <c r="Q161" s="304">
        <f t="shared" si="53"/>
        <v>0.6</v>
      </c>
      <c r="R161" s="177">
        <f t="shared" si="54"/>
        <v>0.15374090298777832</v>
      </c>
      <c r="S161" s="799">
        <f t="shared" si="55"/>
        <v>-1</v>
      </c>
      <c r="T161" s="176">
        <f t="shared" si="56"/>
        <v>5</v>
      </c>
      <c r="U161" s="250">
        <f t="shared" si="57"/>
        <v>-0.84625909701222168</v>
      </c>
      <c r="V161" s="382">
        <f t="shared" si="58"/>
        <v>58.824544078420047</v>
      </c>
      <c r="W161" s="400">
        <f t="shared" si="59"/>
        <v>44.358109263253013</v>
      </c>
      <c r="X161" s="157">
        <f t="shared" si="60"/>
        <v>46534</v>
      </c>
      <c r="Y161" s="383">
        <f t="shared" si="61"/>
        <v>42.714158551834061</v>
      </c>
      <c r="Z161" s="383">
        <f t="shared" si="62"/>
        <v>45.274935634989269</v>
      </c>
      <c r="AA161" s="384">
        <f t="shared" si="63"/>
        <v>47.618341654768791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4.9212255999361028E-2</v>
      </c>
      <c r="AD161" s="230">
        <f>(INDEX(Models!$BJ161:$BT161,,AH161)*(1-AF161)+INDEX(Models!$BJ161:$BT161,,AH161+1)*AF161-ERP_i)*AE161*Ramure*Pc/MaxiM</f>
        <v>-1.4579306235209561E-20</v>
      </c>
      <c r="AE161" s="304">
        <f t="shared" si="65"/>
        <v>0.6</v>
      </c>
      <c r="AF161" s="177">
        <f t="shared" si="66"/>
        <v>0.67872846936175701</v>
      </c>
      <c r="AG161" s="799">
        <f t="shared" si="74"/>
        <v>2</v>
      </c>
      <c r="AH161" s="176">
        <f t="shared" si="67"/>
        <v>8</v>
      </c>
      <c r="AI161" s="224">
        <f t="shared" si="68"/>
        <v>2.678728469361757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46535</v>
      </c>
      <c r="B162" s="409">
        <f>IF(t&gt;Tmaj,'2026'!Wh/'2026'!Env_an*'2027'!Env_an,0.001*[7]mois!$B$269)</f>
        <v>55.197551065956652</v>
      </c>
      <c r="C162" s="829"/>
      <c r="D162" s="391">
        <f t="shared" si="50"/>
        <v>58.507847313133205</v>
      </c>
      <c r="E162" s="383">
        <f t="shared" si="72"/>
        <v>59.263481800267343</v>
      </c>
      <c r="F162" s="383">
        <f t="shared" si="51"/>
        <v>59.263481800267343</v>
      </c>
      <c r="G162" s="110">
        <f t="shared" si="73"/>
        <v>0.93862669846152225</v>
      </c>
      <c r="H162" s="412" t="b">
        <f>Wh_hp&gt;='2026'!Maxi_hp</f>
        <v>0</v>
      </c>
      <c r="I162" s="388">
        <f>IF(H162,Wh_hp,'2026'!Maxi_hp)</f>
        <v>60.976736931549574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5.6578671053472362E-2</v>
      </c>
      <c r="M162" s="832"/>
      <c r="N162" s="832"/>
      <c r="O162" s="48">
        <f>IF(t&lt;Tnet,'2026'!Resal+('2026'!Salim-'2026'!Resal)*(1-EXP(('2026'!Tnet-t)/('2026'!Tau_j))),Resal+(Salim-Resal)*(1-EXP((Tnet-t)/(Tau_j))))*Salcycl</f>
        <v>1.2750423434127835E-2</v>
      </c>
      <c r="P162" s="169">
        <f>(INDEX(Models!$BJ162:$BT162,,T162)*(1-R162)+INDEX(Models!$BJ162:$BT162,,T162+1)*R162-ERP_i)*Q162*Ramure*Pc/MaxiM</f>
        <v>0</v>
      </c>
      <c r="Q162" s="304">
        <f t="shared" si="53"/>
        <v>0.6</v>
      </c>
      <c r="R162" s="177">
        <f t="shared" si="54"/>
        <v>0.15851010536932064</v>
      </c>
      <c r="S162" s="799">
        <f t="shared" si="55"/>
        <v>-1</v>
      </c>
      <c r="T162" s="176">
        <f t="shared" si="56"/>
        <v>5</v>
      </c>
      <c r="U162" s="250">
        <f t="shared" si="57"/>
        <v>-0.84148989463067936</v>
      </c>
      <c r="V162" s="382">
        <f t="shared" si="58"/>
        <v>58.806713208168361</v>
      </c>
      <c r="W162" s="400">
        <f t="shared" si="59"/>
        <v>55.197551065956652</v>
      </c>
      <c r="X162" s="157">
        <f t="shared" si="60"/>
        <v>46535</v>
      </c>
      <c r="Y162" s="383">
        <f t="shared" si="61"/>
        <v>53.15252208554481</v>
      </c>
      <c r="Z162" s="383">
        <f t="shared" si="62"/>
        <v>56.340174272822118</v>
      </c>
      <c r="AA162" s="384">
        <f t="shared" si="63"/>
        <v>59.263481800267343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4.9327299690178433E-2</v>
      </c>
      <c r="AD162" s="230">
        <f>(INDEX(Models!$BJ162:$BT162,,AH162)*(1-AF162)+INDEX(Models!$BJ162:$BT162,,AH162+1)*AF162-ERP_i)*AE162*Ramure*Pc/MaxiM</f>
        <v>1.4714150153140091E-20</v>
      </c>
      <c r="AE162" s="304">
        <f t="shared" si="65"/>
        <v>0.6</v>
      </c>
      <c r="AF162" s="177">
        <f t="shared" si="66"/>
        <v>0.68349767174329923</v>
      </c>
      <c r="AG162" s="799">
        <f t="shared" si="74"/>
        <v>2</v>
      </c>
      <c r="AH162" s="176">
        <f t="shared" si="67"/>
        <v>8</v>
      </c>
      <c r="AI162" s="224">
        <f t="shared" si="68"/>
        <v>2.6834976717432992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46536</v>
      </c>
      <c r="B163" s="409">
        <f>IF(t&gt;Tmaj,'2026'!Wh/'2026'!Env_an*'2027'!Env_an,0.001*[7]mois!$B$270)</f>
        <v>59.713117936292839</v>
      </c>
      <c r="C163" s="829"/>
      <c r="D163" s="391">
        <f t="shared" si="50"/>
        <v>63.295433879142507</v>
      </c>
      <c r="E163" s="383">
        <f t="shared" si="72"/>
        <v>64.121433060958893</v>
      </c>
      <c r="F163" s="383">
        <f t="shared" si="51"/>
        <v>64.121433060958893</v>
      </c>
      <c r="G163" s="110">
        <f t="shared" si="73"/>
        <v>1.0157616376594198</v>
      </c>
      <c r="H163" s="412" t="b">
        <f>Wh_hp&gt;='2026'!Maxi_hp</f>
        <v>1</v>
      </c>
      <c r="I163" s="388">
        <f>IF(H163,Wh_hp,'2026'!Maxi_hp)</f>
        <v>64.121433060958893</v>
      </c>
      <c r="J163" s="85">
        <f>IF(H163,An,'2026'!An_max)</f>
        <v>2027</v>
      </c>
      <c r="K163" s="197">
        <f t="shared" si="52"/>
        <v>46536</v>
      </c>
      <c r="L163" s="147">
        <f>IF(t&lt;Tvie,1-EXP((T0-t)*PertePVj)+'2026'!Pspv,1-EXP((T0-t)*PertePVj)+Pspv)</f>
        <v>5.6596751508012577E-2</v>
      </c>
      <c r="M163" s="832"/>
      <c r="N163" s="832"/>
      <c r="O163" s="48">
        <f>IF(t&lt;Tnet,'2026'!Resal+('2026'!Salim-'2026'!Resal)*(1-EXP(('2026'!Tnet-t)/('2026'!Tau_j))),Resal+(Salim-Resal)*(1-EXP((Tnet-t)/(Tau_j))))*Salcycl</f>
        <v>1.2881795405775201E-2</v>
      </c>
      <c r="P163" s="169">
        <f>(INDEX(Models!$BJ163:$BT163,,T163)*(1-R163)+INDEX(Models!$BJ163:$BT163,,T163+1)*R163-ERP_i)*Q163*Ramure*Pc/MaxiM</f>
        <v>-1.4849088892227716E-20</v>
      </c>
      <c r="Q163" s="304">
        <f t="shared" si="53"/>
        <v>0.6</v>
      </c>
      <c r="R163" s="177">
        <f t="shared" si="54"/>
        <v>0.16333072020054262</v>
      </c>
      <c r="S163" s="799">
        <f t="shared" si="55"/>
        <v>-1</v>
      </c>
      <c r="T163" s="176">
        <f t="shared" si="56"/>
        <v>5</v>
      </c>
      <c r="U163" s="250">
        <f t="shared" si="57"/>
        <v>-0.83666927979945738</v>
      </c>
      <c r="V163" s="382">
        <f t="shared" si="58"/>
        <v>58.786545703662782</v>
      </c>
      <c r="W163" s="400">
        <f t="shared" si="59"/>
        <v>59.713117936292839</v>
      </c>
      <c r="X163" s="157">
        <f t="shared" si="60"/>
        <v>46536</v>
      </c>
      <c r="Y163" s="383">
        <f t="shared" si="61"/>
        <v>57.501490997746188</v>
      </c>
      <c r="Z163" s="383">
        <f t="shared" si="62"/>
        <v>60.951126773902097</v>
      </c>
      <c r="AA163" s="384">
        <f t="shared" si="63"/>
        <v>64.121433060958893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4.9442224474971617E-2</v>
      </c>
      <c r="AD163" s="230">
        <f>(INDEX(Models!$BJ163:$BT163,,AH163)*(1-AF163)+INDEX(Models!$BJ163:$BT163,,AH163+1)*AF163-ERP_i)*AE163*Ramure*Pc/MaxiM</f>
        <v>-1.4849088892227716E-20</v>
      </c>
      <c r="AE163" s="304">
        <f t="shared" si="65"/>
        <v>0.6</v>
      </c>
      <c r="AF163" s="177">
        <f t="shared" si="66"/>
        <v>0.68831828657452121</v>
      </c>
      <c r="AG163" s="799">
        <f t="shared" si="74"/>
        <v>2</v>
      </c>
      <c r="AH163" s="176">
        <f t="shared" si="67"/>
        <v>8</v>
      </c>
      <c r="AI163" s="224">
        <f t="shared" si="68"/>
        <v>2.6883182865745212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46537</v>
      </c>
      <c r="B164" s="409">
        <f>IF(t&gt;Tmaj,'2026'!Wh/'2026'!Env_an*'2027'!Env_an,0.001*[7]mois!$B$271)</f>
        <v>48.189560524500642</v>
      </c>
      <c r="C164" s="829"/>
      <c r="D164" s="391">
        <f t="shared" si="50"/>
        <v>51.081532908823128</v>
      </c>
      <c r="E164" s="383">
        <f t="shared" si="72"/>
        <v>51.755028824699082</v>
      </c>
      <c r="F164" s="383">
        <f t="shared" si="51"/>
        <v>51.755028824699082</v>
      </c>
      <c r="G164" s="110">
        <f t="shared" si="73"/>
        <v>0.82005694752332359</v>
      </c>
      <c r="H164" s="412" t="b">
        <f>Wh_hp&gt;='2026'!Maxi_hp</f>
        <v>0</v>
      </c>
      <c r="I164" s="388">
        <f>IF(H164,Wh_hp,'2026'!Maxi_hp)</f>
        <v>59.216456207612119</v>
      </c>
      <c r="J164" s="85">
        <f>IF(H164,An,'2026'!An_max)</f>
        <v>2020</v>
      </c>
      <c r="K164" s="197">
        <f t="shared" si="52"/>
        <v>46537</v>
      </c>
      <c r="L164" s="147">
        <f>IF(t&lt;Tvie,1-EXP((T0-t)*PertePVj)+'2026'!Pspv,1-EXP((T0-t)*PertePVj)+Pspv)</f>
        <v>5.661483161604508E-2</v>
      </c>
      <c r="M164" s="832"/>
      <c r="N164" s="832"/>
      <c r="O164" s="48">
        <f>IF(t&lt;Tnet,'2026'!Resal+('2026'!Salim-'2026'!Resal)*(1-EXP(('2026'!Tnet-t)/('2026'!Tau_j))),Resal+(Salim-Resal)*(1-EXP((Tnet-t)/(Tau_j))))*Salcycl</f>
        <v>1.3013149275931618E-2</v>
      </c>
      <c r="P164" s="169">
        <f>(INDEX(Models!$BJ164:$BT164,,T164)*(1-R164)+INDEX(Models!$BJ164:$BT164,,T164+1)*R164-ERP_i)*Q164*Ramure*Pc/MaxiM</f>
        <v>0</v>
      </c>
      <c r="Q164" s="304">
        <f t="shared" si="53"/>
        <v>0.6</v>
      </c>
      <c r="R164" s="177">
        <f t="shared" si="54"/>
        <v>0.16819944914063023</v>
      </c>
      <c r="S164" s="799">
        <f t="shared" si="55"/>
        <v>-1</v>
      </c>
      <c r="T164" s="176">
        <f t="shared" si="56"/>
        <v>5</v>
      </c>
      <c r="U164" s="250">
        <f t="shared" si="57"/>
        <v>-0.83180055085936977</v>
      </c>
      <c r="V164" s="382">
        <f t="shared" si="58"/>
        <v>58.763675705741221</v>
      </c>
      <c r="W164" s="400">
        <f t="shared" si="59"/>
        <v>48.189560524500642</v>
      </c>
      <c r="X164" s="157">
        <f t="shared" si="60"/>
        <v>46537</v>
      </c>
      <c r="Y164" s="383">
        <f t="shared" si="61"/>
        <v>46.405310322596513</v>
      </c>
      <c r="Z164" s="383">
        <f t="shared" si="62"/>
        <v>49.190205525586229</v>
      </c>
      <c r="AA164" s="384">
        <f t="shared" si="63"/>
        <v>51.755028824699082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4.9556987163512922E-2</v>
      </c>
      <c r="AD164" s="230">
        <f>(INDEX(Models!$BJ164:$BT164,,AH164)*(1-AF164)+INDEX(Models!$BJ164:$BT164,,AH164+1)*AF164-ERP_i)*AE164*Ramure*Pc/MaxiM</f>
        <v>1.4984068661935007E-20</v>
      </c>
      <c r="AE164" s="304">
        <f t="shared" si="65"/>
        <v>0.6</v>
      </c>
      <c r="AF164" s="177">
        <f t="shared" si="66"/>
        <v>0.69318701551460871</v>
      </c>
      <c r="AG164" s="799">
        <f t="shared" si="74"/>
        <v>2</v>
      </c>
      <c r="AH164" s="176">
        <f t="shared" si="67"/>
        <v>8</v>
      </c>
      <c r="AI164" s="224">
        <f t="shared" si="68"/>
        <v>2.6931870155146087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46538</v>
      </c>
      <c r="B165" s="409">
        <f>IF(t&gt;Tmaj,'2026'!Wh/'2026'!Env_an*'2027'!Env_an,0.001*[7]mois!$B$272)</f>
        <v>53.984584849633684</v>
      </c>
      <c r="C165" s="829"/>
      <c r="D165" s="391">
        <f t="shared" si="50"/>
        <v>57.225427408609391</v>
      </c>
      <c r="E165" s="383">
        <f t="shared" si="72"/>
        <v>57.987644397308195</v>
      </c>
      <c r="F165" s="383">
        <f t="shared" si="51"/>
        <v>57.987644397308195</v>
      </c>
      <c r="G165" s="110">
        <f t="shared" si="73"/>
        <v>0.91907106159188356</v>
      </c>
      <c r="H165" s="412" t="b">
        <f>Wh_hp&gt;='2026'!Maxi_hp</f>
        <v>0</v>
      </c>
      <c r="I165" s="388">
        <f>IF(H165,Wh_hp,'2026'!Maxi_hp)</f>
        <v>62.494074168087401</v>
      </c>
      <c r="J165" s="85">
        <f>IF(H165,An,'2026'!An_max)</f>
        <v>2020</v>
      </c>
      <c r="K165" s="197">
        <f t="shared" si="52"/>
        <v>46538</v>
      </c>
      <c r="L165" s="147">
        <f>IF(t&lt;Tvie,1-EXP((T0-t)*PertePVj)+'2026'!Pspv,1-EXP((T0-t)*PertePVj)+Pspv)</f>
        <v>5.6632911377576423E-2</v>
      </c>
      <c r="M165" s="832"/>
      <c r="N165" s="832"/>
      <c r="O165" s="48">
        <f>IF(t&lt;Tnet,'2026'!Resal+('2026'!Salim-'2026'!Resal)*(1-EXP(('2026'!Tnet-t)/('2026'!Tau_j))),Resal+(Salim-Resal)*(1-EXP((Tnet-t)/(Tau_j))))*Salcycl</f>
        <v>1.3144472354772655E-2</v>
      </c>
      <c r="P165" s="169">
        <f>(INDEX(Models!$BJ165:$BT165,,T165)*(1-R165)+INDEX(Models!$BJ165:$BT165,,T165+1)*R165-ERP_i)*Q165*Ramure*Pc/MaxiM</f>
        <v>0</v>
      </c>
      <c r="Q165" s="304">
        <f t="shared" si="53"/>
        <v>0.6</v>
      </c>
      <c r="R165" s="177">
        <f t="shared" si="54"/>
        <v>0.17311284569025687</v>
      </c>
      <c r="S165" s="799">
        <f t="shared" si="55"/>
        <v>-1</v>
      </c>
      <c r="T165" s="176">
        <f t="shared" si="56"/>
        <v>5</v>
      </c>
      <c r="U165" s="250">
        <f t="shared" si="57"/>
        <v>-0.82688715430974313</v>
      </c>
      <c r="V165" s="382">
        <f t="shared" si="58"/>
        <v>58.73820546164221</v>
      </c>
      <c r="W165" s="400">
        <f t="shared" si="59"/>
        <v>53.984584849633684</v>
      </c>
      <c r="X165" s="157">
        <f t="shared" si="60"/>
        <v>46538</v>
      </c>
      <c r="Y165" s="383">
        <f t="shared" si="61"/>
        <v>51.986421222670558</v>
      </c>
      <c r="Z165" s="383">
        <f t="shared" si="62"/>
        <v>55.10730854368164</v>
      </c>
      <c r="AA165" s="384">
        <f t="shared" si="63"/>
        <v>57.987644397308195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4.9671544405074368E-2</v>
      </c>
      <c r="AD165" s="230">
        <f>(INDEX(Models!$BJ165:$BT165,,AH165)*(1-AF165)+INDEX(Models!$BJ165:$BT165,,AH165+1)*AF165-ERP_i)*AE165*Ramure*Pc/MaxiM</f>
        <v>1.5118919028189246E-20</v>
      </c>
      <c r="AE165" s="304">
        <f t="shared" si="65"/>
        <v>0.6</v>
      </c>
      <c r="AF165" s="177">
        <f t="shared" si="66"/>
        <v>0.69810041206423534</v>
      </c>
      <c r="AG165" s="799">
        <f t="shared" si="74"/>
        <v>2</v>
      </c>
      <c r="AH165" s="176">
        <f t="shared" si="67"/>
        <v>8</v>
      </c>
      <c r="AI165" s="224">
        <f t="shared" si="68"/>
        <v>2.6981004120642353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46539</v>
      </c>
      <c r="B166" s="409">
        <f>IF(t&gt;Tmaj,'2026'!Wh/'2026'!Env_an*'2027'!Env_an,0.001*'[8]mon-tableau'!$B$235)</f>
        <v>55.981175114917242</v>
      </c>
      <c r="C166" s="829"/>
      <c r="D166" s="391">
        <f t="shared" si="50"/>
        <v>59.343015754003183</v>
      </c>
      <c r="E166" s="383">
        <f t="shared" si="72"/>
        <v>60.141438553725301</v>
      </c>
      <c r="F166" s="383">
        <f t="shared" si="51"/>
        <v>60.141438553725301</v>
      </c>
      <c r="G166" s="110">
        <f t="shared" si="73"/>
        <v>0.95351641909032658</v>
      </c>
      <c r="H166" s="412" t="b">
        <f>Wh_hp&gt;='2026'!Maxi_hp</f>
        <v>0</v>
      </c>
      <c r="I166" s="388">
        <f>IF(H166,Wh_hp,'2026'!Maxi_hp)</f>
        <v>63.527407036379969</v>
      </c>
      <c r="J166" s="85">
        <f>IF(H166,An,'2026'!An_max)</f>
        <v>2018</v>
      </c>
      <c r="K166" s="197">
        <f t="shared" si="52"/>
        <v>46539</v>
      </c>
      <c r="L166" s="147">
        <f>IF(t&lt;Tvie,1-EXP((T0-t)*PertePVj)+'2026'!Pspv,1-EXP((T0-t)*PertePVj)+Pspv)</f>
        <v>5.6650990792613265E-2</v>
      </c>
      <c r="M166" s="832"/>
      <c r="N166" s="832"/>
      <c r="O166" s="48">
        <f>IF(t&lt;Tnet,'2026'!Resal+('2026'!Salim-'2026'!Resal)*(1-EXP(('2026'!Tnet-t)/('2026'!Tau_j))),Resal+(Salim-Resal)*(1-EXP((Tnet-t)/(Tau_j))))*Salcycl</f>
        <v>1.3275751610245854E-2</v>
      </c>
      <c r="P166" s="169">
        <f>(INDEX(Models!$BJ166:$BT166,,T166)*(1-R166)+INDEX(Models!$BJ166:$BT166,,T166+1)*R166-ERP_i)*Q166*Ramure*Pc/MaxiM</f>
        <v>1.5253469461685042E-20</v>
      </c>
      <c r="Q166" s="304">
        <f t="shared" si="53"/>
        <v>0.6</v>
      </c>
      <c r="R166" s="177">
        <f t="shared" si="54"/>
        <v>0.17806732376733914</v>
      </c>
      <c r="S166" s="799">
        <f t="shared" si="55"/>
        <v>-1</v>
      </c>
      <c r="T166" s="176">
        <f t="shared" si="56"/>
        <v>5</v>
      </c>
      <c r="U166" s="250">
        <f t="shared" si="57"/>
        <v>-0.82193267623266086</v>
      </c>
      <c r="V166" s="382">
        <f t="shared" si="58"/>
        <v>58.710237174861007</v>
      </c>
      <c r="W166" s="400">
        <f t="shared" si="59"/>
        <v>55.981175114917242</v>
      </c>
      <c r="X166" s="157">
        <f t="shared" si="60"/>
        <v>46539</v>
      </c>
      <c r="Y166" s="383">
        <f t="shared" si="61"/>
        <v>53.909797651522062</v>
      </c>
      <c r="Z166" s="383">
        <f t="shared" si="62"/>
        <v>57.147245743987931</v>
      </c>
      <c r="AA166" s="384">
        <f t="shared" si="63"/>
        <v>60.141438553725301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4.9785852845249251E-2</v>
      </c>
      <c r="AD166" s="230">
        <f>(INDEX(Models!$BJ166:$BT166,,AH166)*(1-AF166)+INDEX(Models!$BJ166:$BT166,,AH166+1)*AF166-ERP_i)*AE166*Ramure*Pc/MaxiM</f>
        <v>0</v>
      </c>
      <c r="AE166" s="304">
        <f t="shared" si="65"/>
        <v>0.6</v>
      </c>
      <c r="AF166" s="177">
        <f t="shared" si="66"/>
        <v>0.70305489014131783</v>
      </c>
      <c r="AG166" s="799">
        <f t="shared" si="74"/>
        <v>2</v>
      </c>
      <c r="AH166" s="176">
        <f t="shared" si="67"/>
        <v>8</v>
      </c>
      <c r="AI166" s="224">
        <f t="shared" si="68"/>
        <v>2.7030548901413178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46540</v>
      </c>
      <c r="B167" s="409">
        <f>IF(t&gt;Tmaj,'2026'!Wh/'2026'!Env_an*'2027'!Env_an,0.001*'[8]mon-tableau'!$B$236)</f>
        <v>42.338026644988773</v>
      </c>
      <c r="C167" s="829"/>
      <c r="D167" s="391">
        <f t="shared" si="50"/>
        <v>44.881414668294127</v>
      </c>
      <c r="E167" s="383">
        <f t="shared" si="72"/>
        <v>45.491315539991128</v>
      </c>
      <c r="F167" s="383">
        <f t="shared" si="51"/>
        <v>45.491315539991128</v>
      </c>
      <c r="G167" s="110">
        <f t="shared" si="73"/>
        <v>0.72150849137454043</v>
      </c>
      <c r="H167" s="412" t="b">
        <f>Wh_hp&gt;='2026'!Maxi_hp</f>
        <v>0</v>
      </c>
      <c r="I167" s="388">
        <f>IF(H167,Wh_hp,'2026'!Maxi_hp)</f>
        <v>63.013679668505368</v>
      </c>
      <c r="J167" s="85">
        <f>IF(H167,An,'2026'!An_max)</f>
        <v>2018</v>
      </c>
      <c r="K167" s="197">
        <f t="shared" si="52"/>
        <v>46540</v>
      </c>
      <c r="L167" s="147">
        <f>IF(t&lt;Tvie,1-EXP((T0-t)*PertePVj)+'2026'!Pspv,1-EXP((T0-t)*PertePVj)+Pspv)</f>
        <v>5.6669069861162269E-2</v>
      </c>
      <c r="M167" s="832"/>
      <c r="N167" s="832"/>
      <c r="O167" s="48">
        <f>IF(t&lt;Tnet,'2026'!Resal+('2026'!Salim-'2026'!Resal)*(1-EXP(('2026'!Tnet-t)/('2026'!Tau_j))),Resal+(Salim-Resal)*(1-EXP((Tnet-t)/(Tau_j))))*Salcycl</f>
        <v>1.3406973714814708E-2</v>
      </c>
      <c r="P167" s="169">
        <f>(INDEX(Models!$BJ167:$BT167,,T167)*(1-R167)+INDEX(Models!$BJ167:$BT167,,T167+1)*R167-ERP_i)*Q167*Ramure*Pc/MaxiM</f>
        <v>0</v>
      </c>
      <c r="Q167" s="304">
        <f t="shared" si="53"/>
        <v>0.6</v>
      </c>
      <c r="R167" s="177">
        <f t="shared" si="54"/>
        <v>0.18305916718175175</v>
      </c>
      <c r="S167" s="799">
        <f t="shared" si="55"/>
        <v>-1</v>
      </c>
      <c r="T167" s="176">
        <f t="shared" si="56"/>
        <v>5</v>
      </c>
      <c r="U167" s="250">
        <f t="shared" si="57"/>
        <v>-0.81694083281824825</v>
      </c>
      <c r="V167" s="382">
        <f t="shared" si="58"/>
        <v>58.679873003754842</v>
      </c>
      <c r="W167" s="400">
        <f t="shared" si="59"/>
        <v>42.338026644988773</v>
      </c>
      <c r="X167" s="157">
        <f t="shared" si="60"/>
        <v>46540</v>
      </c>
      <c r="Y167" s="383">
        <f t="shared" si="61"/>
        <v>40.771993697370291</v>
      </c>
      <c r="Z167" s="383">
        <f t="shared" si="62"/>
        <v>43.221304840889232</v>
      </c>
      <c r="AA167" s="384">
        <f t="shared" si="63"/>
        <v>45.491315539991128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4.9899869286179267E-2</v>
      </c>
      <c r="AD167" s="230">
        <f>(INDEX(Models!$BJ167:$BT167,,AH167)*(1-AF167)+INDEX(Models!$BJ167:$BT167,,AH167+1)*AF167-ERP_i)*AE167*Ramure*Pc/MaxiM</f>
        <v>0</v>
      </c>
      <c r="AE167" s="304">
        <f t="shared" si="65"/>
        <v>0.6</v>
      </c>
      <c r="AF167" s="177">
        <f t="shared" si="66"/>
        <v>0.70804673355573033</v>
      </c>
      <c r="AG167" s="799">
        <f t="shared" si="74"/>
        <v>2</v>
      </c>
      <c r="AH167" s="176">
        <f t="shared" si="67"/>
        <v>8</v>
      </c>
      <c r="AI167" s="224">
        <f t="shared" si="68"/>
        <v>2.7080467335557303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46541</v>
      </c>
      <c r="B168" s="409">
        <f>IF(t&gt;Tmaj,'2026'!Wh/'2026'!Env_an*'2027'!Env_an,0.001*'[8]mon-tableau'!$B$237)</f>
        <v>55.57460572578745</v>
      </c>
      <c r="C168" s="829"/>
      <c r="D168" s="391">
        <f t="shared" si="50"/>
        <v>58.914288766785539</v>
      </c>
      <c r="E168" s="383">
        <f t="shared" si="72"/>
        <v>59.722823826763985</v>
      </c>
      <c r="F168" s="383">
        <f t="shared" si="51"/>
        <v>59.722823826763985</v>
      </c>
      <c r="G168" s="110">
        <f t="shared" si="73"/>
        <v>0.94760860629198485</v>
      </c>
      <c r="H168" s="412" t="b">
        <f>Wh_hp&gt;='2026'!Maxi_hp</f>
        <v>1</v>
      </c>
      <c r="I168" s="388">
        <f>IF(H168,Wh_hp,'2026'!Maxi_hp)</f>
        <v>59.722823826763985</v>
      </c>
      <c r="J168" s="85">
        <f>IF(H168,An,'2026'!An_max)</f>
        <v>2027</v>
      </c>
      <c r="K168" s="197">
        <f t="shared" si="52"/>
        <v>46541</v>
      </c>
      <c r="L168" s="147">
        <f>IF(t&lt;Tvie,1-EXP((T0-t)*PertePVj)+'2026'!Pspv,1-EXP((T0-t)*PertePVj)+Pspv)</f>
        <v>5.6687148583229985E-2</v>
      </c>
      <c r="M168" s="832"/>
      <c r="N168" s="832"/>
      <c r="O168" s="48">
        <f>IF(t&lt;Tnet,'2026'!Resal+('2026'!Salim-'2026'!Resal)*(1-EXP(('2026'!Tnet-t)/('2026'!Tau_j))),Resal+(Salim-Resal)*(1-EXP((Tnet-t)/(Tau_j))))*Salcycl</f>
        <v>1.3538125094749982E-2</v>
      </c>
      <c r="P168" s="169">
        <f>(INDEX(Models!$BJ168:$BT168,,T168)*(1-R168)+INDEX(Models!$BJ168:$BT168,,T168+1)*R168-ERP_i)*Q168*Ramure*Pc/MaxiM</f>
        <v>0</v>
      </c>
      <c r="Q168" s="304">
        <f t="shared" si="53"/>
        <v>0.6</v>
      </c>
      <c r="R168" s="177">
        <f t="shared" si="54"/>
        <v>0.18808453996402363</v>
      </c>
      <c r="S168" s="799">
        <f t="shared" si="55"/>
        <v>-1</v>
      </c>
      <c r="T168" s="176">
        <f t="shared" si="56"/>
        <v>5</v>
      </c>
      <c r="U168" s="250">
        <f t="shared" si="57"/>
        <v>-0.81191546003597637</v>
      </c>
      <c r="V168" s="382">
        <f t="shared" si="58"/>
        <v>58.647215059867612</v>
      </c>
      <c r="W168" s="400">
        <f t="shared" si="59"/>
        <v>55.57460572578745</v>
      </c>
      <c r="X168" s="157">
        <f t="shared" si="60"/>
        <v>46541</v>
      </c>
      <c r="Y168" s="383">
        <f t="shared" si="61"/>
        <v>53.519678458395859</v>
      </c>
      <c r="Z168" s="383">
        <f t="shared" si="62"/>
        <v>56.735873340444982</v>
      </c>
      <c r="AA168" s="384">
        <f t="shared" si="63"/>
        <v>59.722823826763985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5.0013550849222238E-2</v>
      </c>
      <c r="AD168" s="230">
        <f>(INDEX(Models!$BJ168:$BT168,,AH168)*(1-AF168)+INDEX(Models!$BJ168:$BT168,,AH168+1)*AF168-ERP_i)*AE168*Ramure*Pc/MaxiM</f>
        <v>0</v>
      </c>
      <c r="AE168" s="304">
        <f t="shared" si="65"/>
        <v>0.6</v>
      </c>
      <c r="AF168" s="177">
        <f t="shared" si="66"/>
        <v>0.71307210633800233</v>
      </c>
      <c r="AG168" s="799">
        <f t="shared" si="74"/>
        <v>2</v>
      </c>
      <c r="AH168" s="176">
        <f t="shared" si="67"/>
        <v>8</v>
      </c>
      <c r="AI168" s="224">
        <f t="shared" si="68"/>
        <v>2.7130721063380023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46542</v>
      </c>
      <c r="B169" s="409">
        <f>IF(t&gt;Tmaj,'2026'!Wh/'2026'!Env_an*'2027'!Env_an,0.001*'[8]mon-tableau'!$B$238)</f>
        <v>25.146050524095408</v>
      </c>
      <c r="C169" s="829"/>
      <c r="D169" s="391">
        <f t="shared" si="50"/>
        <v>26.657680337848884</v>
      </c>
      <c r="E169" s="383">
        <f t="shared" si="72"/>
        <v>27.02711921916795</v>
      </c>
      <c r="F169" s="383">
        <f t="shared" si="51"/>
        <v>27.02711921916795</v>
      </c>
      <c r="G169" s="110">
        <f t="shared" si="73"/>
        <v>0.42902296046229349</v>
      </c>
      <c r="H169" s="412" t="b">
        <f>Wh_hp&gt;='2026'!Maxi_hp</f>
        <v>0</v>
      </c>
      <c r="I169" s="388">
        <f>IF(H169,Wh_hp,'2026'!Maxi_hp)</f>
        <v>59.234814387524935</v>
      </c>
      <c r="J169" s="85">
        <f>IF(H169,An,'2026'!An_max)</f>
        <v>2018</v>
      </c>
      <c r="K169" s="197">
        <f t="shared" si="52"/>
        <v>46542</v>
      </c>
      <c r="L169" s="147">
        <f>IF(t&lt;Tvie,1-EXP((T0-t)*PertePVj)+'2026'!Pspv,1-EXP((T0-t)*PertePVj)+Pspv)</f>
        <v>5.6705226958823074E-2</v>
      </c>
      <c r="M169" s="832"/>
      <c r="N169" s="832"/>
      <c r="O169" s="48">
        <f>IF(t&lt;Tnet,'2026'!Resal+('2026'!Salim-'2026'!Resal)*(1-EXP(('2026'!Tnet-t)/('2026'!Tau_j))),Resal+(Salim-Resal)*(1-EXP((Tnet-t)/(Tau_j))))*Salcycl</f>
        <v>1.366919198169872E-2</v>
      </c>
      <c r="P169" s="169">
        <f>(INDEX(Models!$BJ169:$BT169,,T169)*(1-R169)+INDEX(Models!$BJ169:$BT169,,T169+1)*R169-ERP_i)*Q169*Ramure*Pc/MaxiM</f>
        <v>0</v>
      </c>
      <c r="Q169" s="304">
        <f t="shared" si="53"/>
        <v>0.6</v>
      </c>
      <c r="R169" s="177">
        <f t="shared" si="54"/>
        <v>0.19313949749368342</v>
      </c>
      <c r="S169" s="799">
        <f t="shared" si="55"/>
        <v>-1</v>
      </c>
      <c r="T169" s="176">
        <f t="shared" si="56"/>
        <v>5</v>
      </c>
      <c r="U169" s="250">
        <f t="shared" si="57"/>
        <v>-0.80686050250631658</v>
      </c>
      <c r="V169" s="382">
        <f t="shared" si="58"/>
        <v>58.61236540114146</v>
      </c>
      <c r="W169" s="400">
        <f t="shared" si="59"/>
        <v>25.146050524095408</v>
      </c>
      <c r="X169" s="157">
        <f t="shared" si="60"/>
        <v>46542</v>
      </c>
      <c r="Y169" s="383">
        <f t="shared" si="61"/>
        <v>24.216579161858245</v>
      </c>
      <c r="Z169" s="383">
        <f t="shared" si="62"/>
        <v>25.672334729242834</v>
      </c>
      <c r="AA169" s="384">
        <f t="shared" si="63"/>
        <v>27.02711921916795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5.0126855139051942E-2</v>
      </c>
      <c r="AD169" s="230">
        <f>(INDEX(Models!$BJ169:$BT169,,AH169)*(1-AF169)+INDEX(Models!$BJ169:$BT169,,AH169+1)*AF169-ERP_i)*AE169*Ramure*Pc/MaxiM</f>
        <v>1.5653625717230827E-20</v>
      </c>
      <c r="AE169" s="304">
        <f t="shared" si="65"/>
        <v>0.6</v>
      </c>
      <c r="AF169" s="177">
        <f t="shared" si="66"/>
        <v>0.71812706386766223</v>
      </c>
      <c r="AG169" s="799">
        <f t="shared" si="74"/>
        <v>2</v>
      </c>
      <c r="AH169" s="176">
        <f t="shared" si="67"/>
        <v>8</v>
      </c>
      <c r="AI169" s="224">
        <f t="shared" si="68"/>
        <v>2.7181270638676622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46543</v>
      </c>
      <c r="B170" s="409">
        <f>IF(t&gt;Tmaj,'2026'!Wh/'2026'!Env_an*'2027'!Env_an,0.001*'[8]mon-tableau'!$B$239)</f>
        <v>34.80181384040457</v>
      </c>
      <c r="C170" s="829"/>
      <c r="D170" s="391">
        <f t="shared" si="50"/>
        <v>36.894597337592366</v>
      </c>
      <c r="E170" s="383">
        <f t="shared" ref="E170:E232" si="75">Wh_pvt/(1-Psa)</f>
        <v>37.410873393606138</v>
      </c>
      <c r="F170" s="383">
        <f t="shared" si="51"/>
        <v>37.410873393606138</v>
      </c>
      <c r="G170" s="110">
        <f t="shared" ref="G170:G232" si="76">+Wh_hp/MaxiM</f>
        <v>0.5941367600411972</v>
      </c>
      <c r="H170" s="412" t="b">
        <f>Wh_hp&gt;='2026'!Maxi_hp</f>
        <v>0</v>
      </c>
      <c r="I170" s="388">
        <f>IF(H170,Wh_hp,'2026'!Maxi_hp)</f>
        <v>42.628678562631272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5.6723304987948309E-2</v>
      </c>
      <c r="M170" s="832"/>
      <c r="N170" s="832"/>
      <c r="O170" s="48">
        <f>IF(t&lt;Tnet,'2026'!Resal+('2026'!Salim-'2026'!Resal)*(1-EXP(('2026'!Tnet-t)/('2026'!Tau_j))),Resal+(Salim-Resal)*(1-EXP((Tnet-t)/(Tau_j))))*Salcycl</f>
        <v>1.3800160466235228E-2</v>
      </c>
      <c r="P170" s="169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0.19821999836395543</v>
      </c>
      <c r="S170" s="799">
        <f t="shared" si="55"/>
        <v>-1</v>
      </c>
      <c r="T170" s="176">
        <f t="shared" si="56"/>
        <v>5</v>
      </c>
      <c r="U170" s="250">
        <f t="shared" si="57"/>
        <v>-0.80178000163604457</v>
      </c>
      <c r="V170" s="382">
        <f t="shared" si="58"/>
        <v>58.575426031527527</v>
      </c>
      <c r="W170" s="400">
        <f t="shared" si="59"/>
        <v>34.80181384040457</v>
      </c>
      <c r="X170" s="157">
        <f t="shared" si="60"/>
        <v>46543</v>
      </c>
      <c r="Y170" s="383">
        <f t="shared" si="61"/>
        <v>33.515904609106755</v>
      </c>
      <c r="Z170" s="383">
        <f t="shared" si="62"/>
        <v>35.531360825869385</v>
      </c>
      <c r="AA170" s="384">
        <f t="shared" si="63"/>
        <v>37.410873393606138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5.0239740408145099E-2</v>
      </c>
      <c r="AD170" s="230">
        <f>(INDEX(Models!$BJ170:$BT170,,AH170)*(1-AF170)+INDEX(Models!$BJ170:$BT170,,AH170+1)*AF170-ERP_i)*AE170*Ramure*Pc/MaxiM</f>
        <v>-1.5785288094062871E-20</v>
      </c>
      <c r="AE170" s="304">
        <f t="shared" si="65"/>
        <v>0.6</v>
      </c>
      <c r="AF170" s="177">
        <f t="shared" si="66"/>
        <v>0.72320756473793413</v>
      </c>
      <c r="AG170" s="799">
        <f t="shared" si="74"/>
        <v>2</v>
      </c>
      <c r="AH170" s="176">
        <f t="shared" si="67"/>
        <v>8</v>
      </c>
      <c r="AI170" s="224">
        <f t="shared" si="68"/>
        <v>2.7232075647379341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46544</v>
      </c>
      <c r="B171" s="409">
        <f>IF(t&gt;Tmaj,'2026'!Wh/'2026'!Env_an*'2027'!Env_an,0.001*'[8]mon-tableau'!$B$240)</f>
        <v>49.872550079559545</v>
      </c>
      <c r="C171" s="829"/>
      <c r="D171" s="391">
        <f t="shared" si="50"/>
        <v>52.872615381730412</v>
      </c>
      <c r="E171" s="383">
        <f t="shared" si="75"/>
        <v>53.619590788575124</v>
      </c>
      <c r="F171" s="383">
        <f t="shared" si="51"/>
        <v>53.619590788575124</v>
      </c>
      <c r="G171" s="110">
        <f t="shared" si="76"/>
        <v>0.85199065576218946</v>
      </c>
      <c r="H171" s="412" t="b">
        <f>Wh_hp&gt;='2026'!Maxi_hp</f>
        <v>0</v>
      </c>
      <c r="I171" s="388">
        <f>IF(H171,Wh_hp,'2026'!Maxi_hp)</f>
        <v>54.411394736000254</v>
      </c>
      <c r="J171" s="85">
        <f>IF(H171,An,'2026'!An_max)</f>
        <v>2018</v>
      </c>
      <c r="K171" s="197">
        <f t="shared" si="52"/>
        <v>46544</v>
      </c>
      <c r="L171" s="147">
        <f>IF(t&lt;Tvie,1-EXP((T0-t)*PertePVj)+'2026'!Pspv,1-EXP((T0-t)*PertePVj)+Pspv)</f>
        <v>5.6741382670612239E-2</v>
      </c>
      <c r="M171" s="832"/>
      <c r="N171" s="832"/>
      <c r="O171" s="48">
        <f>IF(t&lt;Tnet,'2026'!Resal+('2026'!Salim-'2026'!Resal)*(1-EXP(('2026'!Tnet-t)/('2026'!Tau_j))),Resal+(Salim-Resal)*(1-EXP((Tnet-t)/(Tau_j))))*Salcycl</f>
        <v>1.3931016553074431E-2</v>
      </c>
      <c r="P171" s="169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0.20332191691109536</v>
      </c>
      <c r="S171" s="799">
        <f t="shared" si="55"/>
        <v>-1</v>
      </c>
      <c r="T171" s="176">
        <f t="shared" si="56"/>
        <v>5</v>
      </c>
      <c r="U171" s="250">
        <f t="shared" si="57"/>
        <v>-0.79667808308890464</v>
      </c>
      <c r="V171" s="382">
        <f t="shared" si="58"/>
        <v>58.536498894983353</v>
      </c>
      <c r="W171" s="400">
        <f t="shared" si="59"/>
        <v>49.872550079559545</v>
      </c>
      <c r="X171" s="157">
        <f t="shared" si="60"/>
        <v>46544</v>
      </c>
      <c r="Y171" s="383">
        <f t="shared" si="61"/>
        <v>48.030472480219366</v>
      </c>
      <c r="Z171" s="383">
        <f t="shared" si="62"/>
        <v>50.919728267318902</v>
      </c>
      <c r="AA171" s="384">
        <f t="shared" si="63"/>
        <v>53.619590788575124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5.0352165720583777E-2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0.72830948328507406</v>
      </c>
      <c r="AG171" s="799">
        <f t="shared" si="74"/>
        <v>2</v>
      </c>
      <c r="AH171" s="176">
        <f t="shared" si="67"/>
        <v>8</v>
      </c>
      <c r="AI171" s="224">
        <f t="shared" si="68"/>
        <v>2.7283094832850741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46545</v>
      </c>
      <c r="B172" s="409">
        <f>IF(t&gt;Tmaj,'2026'!Wh/'2026'!Env_an*'2027'!Env_an,0.001*'[8]mon-tableau'!$B$241)</f>
        <v>25.654864666649551</v>
      </c>
      <c r="C172" s="829"/>
      <c r="D172" s="391">
        <f t="shared" si="50"/>
        <v>27.198645073965</v>
      </c>
      <c r="E172" s="383">
        <f t="shared" si="75"/>
        <v>27.586560283690954</v>
      </c>
      <c r="F172" s="383">
        <f t="shared" si="51"/>
        <v>27.586560283690954</v>
      </c>
      <c r="G172" s="110">
        <f t="shared" si="76"/>
        <v>0.43857703834635142</v>
      </c>
      <c r="H172" s="412" t="b">
        <f>Wh_hp&gt;='2026'!Maxi_hp</f>
        <v>0</v>
      </c>
      <c r="I172" s="388">
        <f>IF(H172,Wh_hp,'2026'!Maxi_hp)</f>
        <v>54.292344061536546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5.6759460006821527E-2</v>
      </c>
      <c r="M172" s="832"/>
      <c r="N172" s="832"/>
      <c r="O172" s="48">
        <f>IF(t&lt;Tnet,'2026'!Resal+('2026'!Salim-'2026'!Resal)*(1-EXP(('2026'!Tnet-t)/('2026'!Tau_j))),Resal+(Salim-Resal)*(1-EXP((Tnet-t)/(Tau_j))))*Salcycl</f>
        <v>1.4061746217606011E-2</v>
      </c>
      <c r="P172" s="169">
        <f>(INDEX(Models!$BJ172:$BT172,,T172)*(1-R172)+INDEX(Models!$BJ172:$BT172,,T172+1)*R172-ERP_i)*Q172*Ramure*Pc/MaxiM</f>
        <v>1.6045048105090494E-20</v>
      </c>
      <c r="Q172" s="304">
        <f t="shared" si="53"/>
        <v>0.6</v>
      </c>
      <c r="R172" s="177">
        <f t="shared" si="54"/>
        <v>0.2084410563289214</v>
      </c>
      <c r="S172" s="799">
        <f t="shared" si="55"/>
        <v>-1</v>
      </c>
      <c r="T172" s="176">
        <f t="shared" si="56"/>
        <v>5</v>
      </c>
      <c r="U172" s="250">
        <f t="shared" si="57"/>
        <v>-0.7915589436710786</v>
      </c>
      <c r="V172" s="382">
        <f t="shared" si="58"/>
        <v>58.495685873982048</v>
      </c>
      <c r="W172" s="400">
        <f t="shared" si="59"/>
        <v>25.654864666649551</v>
      </c>
      <c r="X172" s="157">
        <f t="shared" si="60"/>
        <v>46545</v>
      </c>
      <c r="Y172" s="383">
        <f t="shared" si="61"/>
        <v>24.707647913181411</v>
      </c>
      <c r="Z172" s="383">
        <f t="shared" si="62"/>
        <v>26.194429592010643</v>
      </c>
      <c r="AA172" s="384">
        <f t="shared" si="63"/>
        <v>27.586560283690954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5.0464091114082531E-2</v>
      </c>
      <c r="AD172" s="230">
        <f>(INDEX(Models!$BJ172:$BT172,,AH172)*(1-AF172)+INDEX(Models!$BJ172:$BT172,,AH172+1)*AF172-ERP_i)*AE172*Ramure*Pc/MaxiM</f>
        <v>0</v>
      </c>
      <c r="AE172" s="304">
        <f t="shared" si="65"/>
        <v>0.6</v>
      </c>
      <c r="AF172" s="177">
        <f t="shared" si="66"/>
        <v>0.73342862270289988</v>
      </c>
      <c r="AG172" s="799">
        <f t="shared" si="74"/>
        <v>2</v>
      </c>
      <c r="AH172" s="176">
        <f t="shared" si="67"/>
        <v>8</v>
      </c>
      <c r="AI172" s="224">
        <f t="shared" si="68"/>
        <v>2.7334286227028999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46546</v>
      </c>
      <c r="B173" s="409">
        <f>IF(t&gt;Tmaj,'2026'!Wh/'2026'!Env_an*'2027'!Env_an,0.001*'[8]mon-tableau'!$B$242)</f>
        <v>21.183157077537714</v>
      </c>
      <c r="C173" s="829"/>
      <c r="D173" s="391">
        <f t="shared" si="50"/>
        <v>22.458283075750888</v>
      </c>
      <c r="E173" s="383">
        <f t="shared" si="75"/>
        <v>22.781607288788571</v>
      </c>
      <c r="F173" s="383">
        <f t="shared" si="51"/>
        <v>22.781607288788571</v>
      </c>
      <c r="G173" s="110">
        <f t="shared" si="76"/>
        <v>0.36239585482329345</v>
      </c>
      <c r="H173" s="412" t="b">
        <f>Wh_hp&gt;='2026'!Maxi_hp</f>
        <v>0</v>
      </c>
      <c r="I173" s="388">
        <f>IF(H173,Wh_hp,'2026'!Maxi_hp)</f>
        <v>63.783632046651569</v>
      </c>
      <c r="J173" s="85">
        <f>IF(H173,An,'2026'!An_max)</f>
        <v>2018</v>
      </c>
      <c r="K173" s="197">
        <f t="shared" si="52"/>
        <v>46546</v>
      </c>
      <c r="L173" s="147">
        <f>IF(t&lt;Tvie,1-EXP((T0-t)*PertePVj)+'2026'!Pspv,1-EXP((T0-t)*PertePVj)+Pspv)</f>
        <v>5.6777536996582723E-2</v>
      </c>
      <c r="M173" s="832"/>
      <c r="N173" s="832"/>
      <c r="O173" s="48">
        <f>IF(t&lt;Tnet,'2026'!Resal+('2026'!Salim-'2026'!Resal)*(1-EXP(('2026'!Tnet-t)/('2026'!Tau_j))),Resal+(Salim-Resal)*(1-EXP((Tnet-t)/(Tau_j))))*Salcycl</f>
        <v>1.4192335463389216E-2</v>
      </c>
      <c r="P173" s="169">
        <f>(INDEX(Models!$BJ173:$BT173,,T173)*(1-R173)+INDEX(Models!$BJ173:$BT173,,T173+1)*R173-ERP_i)*Q173*Ramure*Pc/MaxiM</f>
        <v>0</v>
      </c>
      <c r="Q173" s="304">
        <f t="shared" si="53"/>
        <v>0.6</v>
      </c>
      <c r="R173" s="177">
        <f t="shared" si="54"/>
        <v>0.21357316228218781</v>
      </c>
      <c r="S173" s="799">
        <f t="shared" si="55"/>
        <v>-1</v>
      </c>
      <c r="T173" s="176">
        <f t="shared" si="56"/>
        <v>5</v>
      </c>
      <c r="U173" s="250">
        <f t="shared" si="57"/>
        <v>-0.78642683771781219</v>
      </c>
      <c r="V173" s="382">
        <f t="shared" si="58"/>
        <v>58.453088785650593</v>
      </c>
      <c r="W173" s="400">
        <f t="shared" si="59"/>
        <v>21.183157077537714</v>
      </c>
      <c r="X173" s="157">
        <f t="shared" si="60"/>
        <v>46546</v>
      </c>
      <c r="Y173" s="383">
        <f t="shared" si="61"/>
        <v>20.401351613905412</v>
      </c>
      <c r="Z173" s="383">
        <f t="shared" si="62"/>
        <v>21.629416616036952</v>
      </c>
      <c r="AA173" s="384">
        <f t="shared" si="63"/>
        <v>22.781607288788571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5.0575477759141375E-2</v>
      </c>
      <c r="AD173" s="230">
        <f>(INDEX(Models!$BJ173:$BT173,,AH173)*(1-AF173)+INDEX(Models!$BJ173:$BT173,,AH173+1)*AF173-ERP_i)*AE173*Ramure*Pc/MaxiM</f>
        <v>1.6172830190142663E-20</v>
      </c>
      <c r="AE173" s="304">
        <f t="shared" si="65"/>
        <v>0.6</v>
      </c>
      <c r="AF173" s="177">
        <f t="shared" si="66"/>
        <v>0.73856072865616662</v>
      </c>
      <c r="AG173" s="799">
        <f t="shared" si="74"/>
        <v>2</v>
      </c>
      <c r="AH173" s="176">
        <f t="shared" si="67"/>
        <v>8</v>
      </c>
      <c r="AI173" s="224">
        <f t="shared" si="68"/>
        <v>2.7385607286561666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46547</v>
      </c>
      <c r="B174" s="409">
        <f>IF(t&gt;Tmaj,'2026'!Wh/'2026'!Env_an*'2027'!Env_an,0.001*'[8]mon-tableau'!$B$243)</f>
        <v>49.968681182947108</v>
      </c>
      <c r="C174" s="829"/>
      <c r="D174" s="391">
        <f t="shared" si="50"/>
        <v>52.977575068093479</v>
      </c>
      <c r="E174" s="383">
        <f t="shared" si="75"/>
        <v>53.747386544102199</v>
      </c>
      <c r="F174" s="383">
        <f t="shared" si="51"/>
        <v>53.747386544102199</v>
      </c>
      <c r="G174" s="110">
        <f t="shared" si="76"/>
        <v>0.85549905425975226</v>
      </c>
      <c r="H174" s="412" t="b">
        <f>Wh_hp&gt;='2026'!Maxi_hp</f>
        <v>0</v>
      </c>
      <c r="I174" s="388">
        <f>IF(H174,Wh_hp,'2026'!Maxi_hp)</f>
        <v>60.032633975701692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5.6795613639902598E-2</v>
      </c>
      <c r="M174" s="832"/>
      <c r="N174" s="832"/>
      <c r="O174" s="48">
        <f>IF(t&lt;Tnet,'2026'!Resal+('2026'!Salim-'2026'!Resal)*(1-EXP(('2026'!Tnet-t)/('2026'!Tau_j))),Resal+(Salim-Resal)*(1-EXP((Tnet-t)/(Tau_j))))*Salcycl</f>
        <v>1.4322770380231492E-2</v>
      </c>
      <c r="P174" s="169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0.21871393692649366</v>
      </c>
      <c r="S174" s="799">
        <f t="shared" si="55"/>
        <v>-1</v>
      </c>
      <c r="T174" s="176">
        <f t="shared" si="56"/>
        <v>5</v>
      </c>
      <c r="U174" s="250">
        <f t="shared" si="57"/>
        <v>-0.78128606307350634</v>
      </c>
      <c r="V174" s="382">
        <f t="shared" si="58"/>
        <v>58.408809377567458</v>
      </c>
      <c r="W174" s="400">
        <f t="shared" si="59"/>
        <v>49.968681182947108</v>
      </c>
      <c r="X174" s="157">
        <f t="shared" si="60"/>
        <v>46547</v>
      </c>
      <c r="Y174" s="383">
        <f t="shared" si="61"/>
        <v>48.125240987984554</v>
      </c>
      <c r="Z174" s="383">
        <f t="shared" si="62"/>
        <v>51.023131024341161</v>
      </c>
      <c r="AA174" s="384">
        <f t="shared" si="63"/>
        <v>53.747386544102199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5.0686288114226E-2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0.74370150330047258</v>
      </c>
      <c r="AG174" s="799">
        <f t="shared" si="74"/>
        <v>2</v>
      </c>
      <c r="AH174" s="176">
        <f t="shared" si="67"/>
        <v>8</v>
      </c>
      <c r="AI174" s="224">
        <f t="shared" si="68"/>
        <v>2.7437015033004726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46548</v>
      </c>
      <c r="B175" s="409">
        <f>IF(t&gt;Tmaj,'2026'!Wh/'2026'!Env_an*'2027'!Env_an,0.001*'[8]mon-tableau'!$B$244)</f>
        <v>57.708266180757462</v>
      </c>
      <c r="C175" s="829"/>
      <c r="D175" s="391">
        <f t="shared" si="50"/>
        <v>61.184376368747181</v>
      </c>
      <c r="E175" s="383">
        <f t="shared" si="75"/>
        <v>62.081644689027705</v>
      </c>
      <c r="F175" s="383">
        <f t="shared" si="51"/>
        <v>62.081644689027705</v>
      </c>
      <c r="G175" s="110">
        <f t="shared" si="76"/>
        <v>0.98878255555832684</v>
      </c>
      <c r="H175" s="412" t="b">
        <f>Wh_hp&gt;='2026'!Maxi_hp</f>
        <v>1</v>
      </c>
      <c r="I175" s="388">
        <f>IF(H175,Wh_hp,'2026'!Maxi_hp)</f>
        <v>62.081644689027705</v>
      </c>
      <c r="J175" s="85">
        <f>IF(H175,An,'2026'!An_max)</f>
        <v>2027</v>
      </c>
      <c r="K175" s="197">
        <f t="shared" si="52"/>
        <v>46548</v>
      </c>
      <c r="L175" s="147">
        <f>IF(t&lt;Tvie,1-EXP((T0-t)*PertePVj)+'2026'!Pspv,1-EXP((T0-t)*PertePVj)+Pspv)</f>
        <v>5.6813689936787592E-2</v>
      </c>
      <c r="M175" s="832"/>
      <c r="N175" s="832"/>
      <c r="O175" s="48">
        <f>IF(t&lt;Tnet,'2026'!Resal+('2026'!Salim-'2026'!Resal)*(1-EXP(('2026'!Tnet-t)/('2026'!Tau_j))),Resal+(Salim-Resal)*(1-EXP((Tnet-t)/(Tau_j))))*Salcycl</f>
        <v>1.4453037202461766E-2</v>
      </c>
      <c r="P175" s="169">
        <f>(INDEX(Models!$BJ175:$BT175,,T175)*(1-R175)+INDEX(Models!$BJ175:$BT175,,T175+1)*R175-ERP_i)*Q175*Ramure*Pc/MaxiM</f>
        <v>0</v>
      </c>
      <c r="Q175" s="304">
        <f t="shared" si="53"/>
        <v>0.6</v>
      </c>
      <c r="R175" s="177">
        <f t="shared" si="54"/>
        <v>0.22385905323750521</v>
      </c>
      <c r="S175" s="799">
        <f t="shared" si="55"/>
        <v>-1</v>
      </c>
      <c r="T175" s="176">
        <f t="shared" si="56"/>
        <v>5</v>
      </c>
      <c r="U175" s="250">
        <f t="shared" si="57"/>
        <v>-0.77614094676249479</v>
      </c>
      <c r="V175" s="382">
        <f t="shared" si="58"/>
        <v>58.362949322231785</v>
      </c>
      <c r="W175" s="400">
        <f t="shared" si="59"/>
        <v>57.708266180757462</v>
      </c>
      <c r="X175" s="157">
        <f t="shared" si="60"/>
        <v>46548</v>
      </c>
      <c r="Y175" s="383">
        <f t="shared" si="61"/>
        <v>55.580191618424031</v>
      </c>
      <c r="Z175" s="383">
        <f t="shared" si="62"/>
        <v>58.928115289013306</v>
      </c>
      <c r="AA175" s="384">
        <f t="shared" si="63"/>
        <v>62.081644689027705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5.0796486075887624E-2</v>
      </c>
      <c r="AD175" s="230">
        <f>(INDEX(Models!$BJ175:$BT175,,AH175)*(1-AF175)+INDEX(Models!$BJ175:$BT175,,AH175+1)*AF175-ERP_i)*AE175*Ramure*Pc/MaxiM</f>
        <v>0</v>
      </c>
      <c r="AE175" s="304">
        <f t="shared" si="65"/>
        <v>0.6</v>
      </c>
      <c r="AF175" s="177">
        <f t="shared" si="66"/>
        <v>0.7488466196114838</v>
      </c>
      <c r="AG175" s="799">
        <f t="shared" si="74"/>
        <v>2</v>
      </c>
      <c r="AH175" s="176">
        <f t="shared" si="67"/>
        <v>8</v>
      </c>
      <c r="AI175" s="224">
        <f t="shared" si="68"/>
        <v>2.7488466196114838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46549</v>
      </c>
      <c r="B176" s="409">
        <f>IF(t&gt;Tmaj,'2026'!Wh/'2026'!Env_an*'2027'!Env_an,0.001*'[8]mon-tableau'!$B$245)</f>
        <v>56.057833595165697</v>
      </c>
      <c r="C176" s="829"/>
      <c r="D176" s="391">
        <f t="shared" si="50"/>
        <v>59.435667538039674</v>
      </c>
      <c r="E176" s="383">
        <f t="shared" si="75"/>
        <v>60.315252242082359</v>
      </c>
      <c r="F176" s="383">
        <f t="shared" si="51"/>
        <v>60.315252242082359</v>
      </c>
      <c r="G176" s="110">
        <f t="shared" si="76"/>
        <v>0.96128349484104125</v>
      </c>
      <c r="H176" s="412" t="b">
        <f>Wh_hp&gt;='2026'!Maxi_hp</f>
        <v>1</v>
      </c>
      <c r="I176" s="388">
        <f>IF(H176,Wh_hp,'2026'!Maxi_hp)</f>
        <v>60.315252242082359</v>
      </c>
      <c r="J176" s="85">
        <f>IF(H176,An,'2026'!An_max)</f>
        <v>2027</v>
      </c>
      <c r="K176" s="197">
        <f t="shared" si="52"/>
        <v>46549</v>
      </c>
      <c r="L176" s="147">
        <f>IF(t&lt;Tvie,1-EXP((T0-t)*PertePVj)+'2026'!Pspv,1-EXP((T0-t)*PertePVj)+Pspv)</f>
        <v>5.683176588724459E-2</v>
      </c>
      <c r="M176" s="832"/>
      <c r="N176" s="832"/>
      <c r="O176" s="48">
        <f>IF(t&lt;Tnet,'2026'!Resal+('2026'!Salim-'2026'!Resal)*(1-EXP(('2026'!Tnet-t)/('2026'!Tau_j))),Resal+(Salim-Resal)*(1-EXP((Tnet-t)/(Tau_j))))*Salcycl</f>
        <v>1.4583122366998809E-2</v>
      </c>
      <c r="P176" s="169">
        <f>(INDEX(Models!$BJ176:$BT176,,T176)*(1-R176)+INDEX(Models!$BJ176:$BT176,,T176+1)*R176-ERP_i)*Q176*Ramure*Pc/MaxiM</f>
        <v>0</v>
      </c>
      <c r="Q176" s="304">
        <f t="shared" si="53"/>
        <v>0.6</v>
      </c>
      <c r="R176" s="177">
        <f t="shared" si="54"/>
        <v>0.22900416954851677</v>
      </c>
      <c r="S176" s="799">
        <f t="shared" si="55"/>
        <v>-1</v>
      </c>
      <c r="T176" s="176">
        <f t="shared" si="56"/>
        <v>5</v>
      </c>
      <c r="U176" s="250">
        <f t="shared" si="57"/>
        <v>-0.77099583045148323</v>
      </c>
      <c r="V176" s="382">
        <f t="shared" si="58"/>
        <v>58.315610219059757</v>
      </c>
      <c r="W176" s="400">
        <f t="shared" si="59"/>
        <v>56.057833595165697</v>
      </c>
      <c r="X176" s="157">
        <f t="shared" si="60"/>
        <v>46549</v>
      </c>
      <c r="Y176" s="383">
        <f t="shared" si="61"/>
        <v>53.991516326518415</v>
      </c>
      <c r="Z176" s="383">
        <f t="shared" si="62"/>
        <v>57.244841772378592</v>
      </c>
      <c r="AA176" s="384">
        <f t="shared" si="63"/>
        <v>60.315252242082359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5.0906037122754912E-2</v>
      </c>
      <c r="AD176" s="230">
        <f>(INDEX(Models!$BJ176:$BT176,,AH176)*(1-AF176)+INDEX(Models!$BJ176:$BT176,,AH176+1)*AF176-ERP_i)*AE176*Ramure*Pc/MaxiM</f>
        <v>1.6545981072515534E-20</v>
      </c>
      <c r="AE176" s="304">
        <f t="shared" si="65"/>
        <v>0.6</v>
      </c>
      <c r="AF176" s="177">
        <f t="shared" si="66"/>
        <v>0.75399173592249547</v>
      </c>
      <c r="AG176" s="799">
        <f t="shared" si="74"/>
        <v>2</v>
      </c>
      <c r="AH176" s="176">
        <f t="shared" si="67"/>
        <v>8</v>
      </c>
      <c r="AI176" s="224">
        <f t="shared" si="68"/>
        <v>2.7539917359224955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46550</v>
      </c>
      <c r="B177" s="409">
        <f>IF(t&gt;Tmaj,'2026'!Wh/'2026'!Env_an*'2027'!Env_an,0.001*'[8]mon-tableau'!$B$246)</f>
        <v>44.153055443957612</v>
      </c>
      <c r="C177" s="829"/>
      <c r="D177" s="391">
        <f t="shared" si="50"/>
        <v>46.814449476179988</v>
      </c>
      <c r="E177" s="383">
        <f t="shared" si="75"/>
        <v>47.513516440857693</v>
      </c>
      <c r="F177" s="383">
        <f t="shared" si="51"/>
        <v>47.513516440857693</v>
      </c>
      <c r="G177" s="110">
        <f t="shared" si="76"/>
        <v>0.7577758536505671</v>
      </c>
      <c r="H177" s="412" t="b">
        <f>Wh_hp&gt;='2026'!Maxi_hp</f>
        <v>0</v>
      </c>
      <c r="I177" s="388">
        <f>IF(H177,Wh_hp,'2026'!Maxi_hp)</f>
        <v>58.629383345992608</v>
      </c>
      <c r="J177" s="85">
        <f>IF(H177,An,'2026'!An_max)</f>
        <v>2018</v>
      </c>
      <c r="K177" s="197">
        <f t="shared" si="52"/>
        <v>46550</v>
      </c>
      <c r="L177" s="147">
        <f>IF(t&lt;Tvie,1-EXP((T0-t)*PertePVj)+'2026'!Pspv,1-EXP((T0-t)*PertePVj)+Pspv)</f>
        <v>5.684984149128014E-2</v>
      </c>
      <c r="M177" s="832"/>
      <c r="N177" s="832"/>
      <c r="O177" s="48">
        <f>IF(t&lt;Tnet,'2026'!Resal+('2026'!Salim-'2026'!Resal)*(1-EXP(('2026'!Tnet-t)/('2026'!Tau_j))),Resal+(Salim-Resal)*(1-EXP((Tnet-t)/(Tau_j))))*Salcycl</f>
        <v>1.4713012570809581E-2</v>
      </c>
      <c r="P177" s="169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0.23414494419282272</v>
      </c>
      <c r="S177" s="799">
        <f t="shared" si="55"/>
        <v>-1</v>
      </c>
      <c r="T177" s="176">
        <f t="shared" si="56"/>
        <v>5</v>
      </c>
      <c r="U177" s="250">
        <f t="shared" si="57"/>
        <v>-0.76585505580717728</v>
      </c>
      <c r="V177" s="382">
        <f t="shared" si="58"/>
        <v>58.26664340286289</v>
      </c>
      <c r="W177" s="400">
        <f t="shared" si="59"/>
        <v>44.153055443957612</v>
      </c>
      <c r="X177" s="157">
        <f t="shared" si="60"/>
        <v>46550</v>
      </c>
      <c r="Y177" s="383">
        <f t="shared" si="61"/>
        <v>42.526281070573219</v>
      </c>
      <c r="Z177" s="383">
        <f t="shared" si="62"/>
        <v>45.089618749377586</v>
      </c>
      <c r="AA177" s="384">
        <f t="shared" si="63"/>
        <v>47.513516440857693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5.1014908452360987E-2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0.75913251056680142</v>
      </c>
      <c r="AG177" s="799">
        <f t="shared" si="74"/>
        <v>2</v>
      </c>
      <c r="AH177" s="176">
        <f t="shared" si="67"/>
        <v>8</v>
      </c>
      <c r="AI177" s="224">
        <f t="shared" si="68"/>
        <v>2.7591325105668014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46551</v>
      </c>
      <c r="B178" s="409">
        <f>IF(t&gt;Tmaj,'2026'!Wh/'2026'!Env_an*'2027'!Env_an,0.001*'[8]mon-tableau'!$B$247)</f>
        <v>53.124553286702486</v>
      </c>
      <c r="C178" s="829"/>
      <c r="D178" s="391">
        <f t="shared" si="50"/>
        <v>56.327797802801093</v>
      </c>
      <c r="E178" s="383">
        <f t="shared" si="75"/>
        <v>57.176450407510849</v>
      </c>
      <c r="F178" s="383">
        <f t="shared" si="51"/>
        <v>57.176450407510849</v>
      </c>
      <c r="G178" s="110">
        <f t="shared" si="76"/>
        <v>0.91254474988575518</v>
      </c>
      <c r="H178" s="412" t="b">
        <f>Wh_hp&gt;='2026'!Maxi_hp</f>
        <v>0</v>
      </c>
      <c r="I178" s="388">
        <f>IF(H178,Wh_hp,'2026'!Maxi_hp)</f>
        <v>65.55404847482302</v>
      </c>
      <c r="J178" s="85">
        <f>IF(H178,An,'2026'!An_max)</f>
        <v>2018</v>
      </c>
      <c r="K178" s="197">
        <f t="shared" si="52"/>
        <v>46551</v>
      </c>
      <c r="L178" s="147">
        <f>IF(t&lt;Tvie,1-EXP((T0-t)*PertePVj)+'2026'!Pspv,1-EXP((T0-t)*PertePVj)+Pspv)</f>
        <v>5.6867916748900793E-2</v>
      </c>
      <c r="M178" s="832"/>
      <c r="N178" s="832"/>
      <c r="O178" s="48">
        <f>IF(t&lt;Tnet,'2026'!Resal+('2026'!Salim-'2026'!Resal)*(1-EXP(('2026'!Tnet-t)/('2026'!Tau_j))),Resal+(Salim-Resal)*(1-EXP((Tnet-t)/(Tau_j))))*Salcycl</f>
        <v>1.4842694827349318E-2</v>
      </c>
      <c r="P178" s="169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0.23927705014608924</v>
      </c>
      <c r="S178" s="799">
        <f t="shared" si="55"/>
        <v>-1</v>
      </c>
      <c r="T178" s="176">
        <f t="shared" si="56"/>
        <v>5</v>
      </c>
      <c r="U178" s="250">
        <f t="shared" si="57"/>
        <v>-0.76072294985391076</v>
      </c>
      <c r="V178" s="382">
        <f t="shared" si="58"/>
        <v>58.215833572384632</v>
      </c>
      <c r="W178" s="400">
        <f t="shared" si="59"/>
        <v>53.124553286702486</v>
      </c>
      <c r="X178" s="157">
        <f t="shared" si="60"/>
        <v>46551</v>
      </c>
      <c r="Y178" s="383">
        <f t="shared" si="61"/>
        <v>51.16813610671494</v>
      </c>
      <c r="Z178" s="383">
        <f t="shared" si="62"/>
        <v>54.253414781874142</v>
      </c>
      <c r="AA178" s="384">
        <f t="shared" si="63"/>
        <v>57.176450407510849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5.1123069109808406E-2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0.76426461652006772</v>
      </c>
      <c r="AG178" s="799">
        <f t="shared" si="74"/>
        <v>2</v>
      </c>
      <c r="AH178" s="176">
        <f t="shared" si="67"/>
        <v>8</v>
      </c>
      <c r="AI178" s="224">
        <f t="shared" si="68"/>
        <v>2.7642646165200677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46552</v>
      </c>
      <c r="B179" s="409">
        <f>IF(t&gt;Tmaj,'2026'!Wh/'2026'!Env_an*'2027'!Env_an,0.001*'[8]mon-tableau'!$B$248)</f>
        <v>51.087107093425338</v>
      </c>
      <c r="C179" s="829"/>
      <c r="D179" s="391">
        <f t="shared" si="50"/>
        <v>54.168538100023824</v>
      </c>
      <c r="E179" s="383">
        <f t="shared" si="75"/>
        <v>54.991885212847144</v>
      </c>
      <c r="F179" s="383">
        <f t="shared" si="51"/>
        <v>54.991885212847144</v>
      </c>
      <c r="G179" s="110">
        <f t="shared" si="76"/>
        <v>0.87834098966709884</v>
      </c>
      <c r="H179" s="412" t="b">
        <f>Wh_hp&gt;='2026'!Maxi_hp</f>
        <v>0</v>
      </c>
      <c r="I179" s="388">
        <f>IF(H179,Wh_hp,'2026'!Maxi_hp)</f>
        <v>57.93177367847553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5.6885991660113322E-2</v>
      </c>
      <c r="M179" s="832"/>
      <c r="N179" s="832"/>
      <c r="O179" s="48">
        <f>IF(t&lt;Tnet,'2026'!Resal+('2026'!Salim-'2026'!Resal)*(1-EXP(('2026'!Tnet-t)/('2026'!Tau_j))),Resal+(Salim-Resal)*(1-EXP((Tnet-t)/(Tau_j))))*Salcycl</f>
        <v>1.4972156521576553E-2</v>
      </c>
      <c r="P179" s="169">
        <f>(INDEX(Models!$BJ179:$BT179,,T179)*(1-R179)+INDEX(Models!$BJ179:$BT179,,T179+1)*R179-ERP_i)*Q179*Ramure*Pc/MaxiM</f>
        <v>0</v>
      </c>
      <c r="Q179" s="304">
        <f t="shared" si="53"/>
        <v>0.6</v>
      </c>
      <c r="R179" s="177">
        <f t="shared" si="54"/>
        <v>0.24439618956391507</v>
      </c>
      <c r="S179" s="799">
        <f t="shared" si="55"/>
        <v>-1</v>
      </c>
      <c r="T179" s="176">
        <f t="shared" si="56"/>
        <v>5</v>
      </c>
      <c r="U179" s="250">
        <f t="shared" si="57"/>
        <v>-0.75560381043608493</v>
      </c>
      <c r="V179" s="382">
        <f t="shared" si="58"/>
        <v>58.163182288450329</v>
      </c>
      <c r="W179" s="400">
        <f t="shared" si="59"/>
        <v>51.087107093425338</v>
      </c>
      <c r="X179" s="157">
        <f t="shared" si="60"/>
        <v>46552</v>
      </c>
      <c r="Y179" s="383">
        <f t="shared" si="61"/>
        <v>49.206618756787989</v>
      </c>
      <c r="Z179" s="383">
        <f t="shared" si="62"/>
        <v>52.174623981467285</v>
      </c>
      <c r="AA179" s="384">
        <f t="shared" si="63"/>
        <v>54.991885212847144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5.1230490107323973E-2</v>
      </c>
      <c r="AD179" s="230">
        <f>(INDEX(Models!$BJ179:$BT179,,AH179)*(1-AF179)+INDEX(Models!$BJ179:$BT179,,AH179+1)*AF179-ERP_i)*AE179*Ramure*Pc/MaxiM</f>
        <v>0</v>
      </c>
      <c r="AE179" s="304">
        <f t="shared" si="65"/>
        <v>0.6</v>
      </c>
      <c r="AF179" s="177">
        <f t="shared" si="66"/>
        <v>0.76938375593789399</v>
      </c>
      <c r="AG179" s="799">
        <f t="shared" si="74"/>
        <v>2</v>
      </c>
      <c r="AH179" s="176">
        <f t="shared" si="67"/>
        <v>8</v>
      </c>
      <c r="AI179" s="224">
        <f t="shared" si="68"/>
        <v>2.769383755937894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46553</v>
      </c>
      <c r="B180" s="409">
        <f>IF(t&gt;Tmaj,'2026'!Wh/'2026'!Env_an*'2027'!Env_an,0.001*'[8]mon-tableau'!$B$249)</f>
        <v>54.311360112618779</v>
      </c>
      <c r="C180" s="829"/>
      <c r="D180" s="391">
        <f t="shared" si="50"/>
        <v>57.588372685712166</v>
      </c>
      <c r="E180" s="383">
        <f t="shared" si="75"/>
        <v>58.471371403840045</v>
      </c>
      <c r="F180" s="383">
        <f t="shared" si="51"/>
        <v>58.471371403840045</v>
      </c>
      <c r="G180" s="110">
        <f t="shared" si="76"/>
        <v>0.93465123890441126</v>
      </c>
      <c r="H180" s="412" t="b">
        <f>Wh_hp&gt;='2026'!Maxi_hp</f>
        <v>1</v>
      </c>
      <c r="I180" s="388">
        <f>IF(H180,Wh_hp,'2026'!Maxi_hp)</f>
        <v>58.471371403840045</v>
      </c>
      <c r="J180" s="85">
        <f>IF(H180,An,'2026'!An_max)</f>
        <v>2027</v>
      </c>
      <c r="K180" s="197">
        <f t="shared" si="52"/>
        <v>46553</v>
      </c>
      <c r="L180" s="147">
        <f>IF(t&lt;Tvie,1-EXP((T0-t)*PertePVj)+'2026'!Pspv,1-EXP((T0-t)*PertePVj)+Pspv)</f>
        <v>5.6904066224924277E-2</v>
      </c>
      <c r="M180" s="832"/>
      <c r="N180" s="832"/>
      <c r="O180" s="48">
        <f>IF(t&lt;Tnet,'2026'!Resal+('2026'!Salim-'2026'!Resal)*(1-EXP(('2026'!Tnet-t)/('2026'!Tau_j))),Resal+(Salim-Resal)*(1-EXP((Tnet-t)/(Tau_j))))*Salcycl</f>
        <v>1.5101385463141168E-2</v>
      </c>
      <c r="P180" s="169">
        <f>(INDEX(Models!$BJ180:$BT180,,T180)*(1-R180)+INDEX(Models!$BJ180:$BT180,,T180+1)*R180-ERP_i)*Q180*Ramure*Pc/MaxiM</f>
        <v>0</v>
      </c>
      <c r="Q180" s="304">
        <f t="shared" si="53"/>
        <v>0.6</v>
      </c>
      <c r="R180" s="177">
        <f t="shared" si="54"/>
        <v>0.24949810811105522</v>
      </c>
      <c r="S180" s="799">
        <f t="shared" si="55"/>
        <v>-1</v>
      </c>
      <c r="T180" s="176">
        <f t="shared" si="56"/>
        <v>5</v>
      </c>
      <c r="U180" s="250">
        <f t="shared" si="57"/>
        <v>-0.75050189188894478</v>
      </c>
      <c r="V180" s="382">
        <f t="shared" si="58"/>
        <v>58.108691083833591</v>
      </c>
      <c r="W180" s="400">
        <f t="shared" si="59"/>
        <v>54.311360112618779</v>
      </c>
      <c r="X180" s="157">
        <f t="shared" si="60"/>
        <v>46553</v>
      </c>
      <c r="Y180" s="383">
        <f t="shared" si="61"/>
        <v>52.313171333800312</v>
      </c>
      <c r="Z180" s="383">
        <f t="shared" si="62"/>
        <v>55.469618158990784</v>
      </c>
      <c r="AA180" s="384">
        <f t="shared" si="63"/>
        <v>58.471371403840045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5.1337144533814154E-2</v>
      </c>
      <c r="AD180" s="230">
        <f>(INDEX(Models!$BJ180:$BT180,,AH180)*(1-AF180)+INDEX(Models!$BJ180:$BT180,,AH180+1)*AF180-ERP_i)*AE180*Ramure*Pc/MaxiM</f>
        <v>0</v>
      </c>
      <c r="AE180" s="304">
        <f t="shared" si="65"/>
        <v>0.6</v>
      </c>
      <c r="AF180" s="177">
        <f t="shared" si="66"/>
        <v>0.77448567448503391</v>
      </c>
      <c r="AG180" s="799">
        <f t="shared" si="74"/>
        <v>2</v>
      </c>
      <c r="AH180" s="176">
        <f t="shared" si="67"/>
        <v>8</v>
      </c>
      <c r="AI180" s="224">
        <f t="shared" si="68"/>
        <v>2.7744856744850339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46554</v>
      </c>
      <c r="B181" s="409">
        <f>IF(t&gt;Tmaj,'2026'!Wh/'2026'!Env_an*'2027'!Env_an,0.001*'[8]mon-tableau'!$B$250)</f>
        <v>52.376177269804188</v>
      </c>
      <c r="C181" s="829"/>
      <c r="D181" s="391">
        <f t="shared" si="50"/>
        <v>55.537490080009086</v>
      </c>
      <c r="E181" s="383">
        <f t="shared" si="75"/>
        <v>56.396428549970572</v>
      </c>
      <c r="F181" s="383">
        <f t="shared" si="51"/>
        <v>56.396428549970572</v>
      </c>
      <c r="G181" s="110">
        <f t="shared" si="76"/>
        <v>0.90222302685284872</v>
      </c>
      <c r="H181" s="412" t="b">
        <f>Wh_hp&gt;='2026'!Maxi_hp</f>
        <v>0</v>
      </c>
      <c r="I181" s="388">
        <f>IF(H181,Wh_hp,'2026'!Maxi_hp)</f>
        <v>62.896396798110899</v>
      </c>
      <c r="J181" s="85">
        <f>IF(H181,An,'2026'!An_max)</f>
        <v>2018</v>
      </c>
      <c r="K181" s="197">
        <f t="shared" si="52"/>
        <v>46554</v>
      </c>
      <c r="L181" s="147">
        <f>IF(t&lt;Tvie,1-EXP((T0-t)*PertePVj)+'2026'!Pspv,1-EXP((T0-t)*PertePVj)+Pspv)</f>
        <v>5.6922140443340319E-2</v>
      </c>
      <c r="M181" s="832"/>
      <c r="N181" s="832"/>
      <c r="O181" s="48">
        <f>IF(t&lt;Tnet,'2026'!Resal+('2026'!Salim-'2026'!Resal)*(1-EXP(('2026'!Tnet-t)/('2026'!Tau_j))),Resal+(Salim-Resal)*(1-EXP((Tnet-t)/(Tau_j))))*Salcycl</f>
        <v>1.5230369937351895E-2</v>
      </c>
      <c r="P181" s="169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0.25457860898132711</v>
      </c>
      <c r="S181" s="799">
        <f t="shared" si="55"/>
        <v>-1</v>
      </c>
      <c r="T181" s="176">
        <f t="shared" si="56"/>
        <v>5</v>
      </c>
      <c r="U181" s="250">
        <f t="shared" si="57"/>
        <v>-0.74542139101867289</v>
      </c>
      <c r="V181" s="382">
        <f t="shared" si="58"/>
        <v>58.052361457126352</v>
      </c>
      <c r="W181" s="400">
        <f t="shared" si="59"/>
        <v>52.376177269804188</v>
      </c>
      <c r="X181" s="157">
        <f t="shared" si="60"/>
        <v>46554</v>
      </c>
      <c r="Y181" s="383">
        <f t="shared" si="61"/>
        <v>50.450163840335755</v>
      </c>
      <c r="Z181" s="383">
        <f t="shared" si="62"/>
        <v>53.495226644438823</v>
      </c>
      <c r="AA181" s="384">
        <f t="shared" si="63"/>
        <v>56.396428549970572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5.1443007653598327E-2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0.77956617535530581</v>
      </c>
      <c r="AG181" s="799">
        <f t="shared" si="74"/>
        <v>2</v>
      </c>
      <c r="AH181" s="176">
        <f t="shared" si="67"/>
        <v>8</v>
      </c>
      <c r="AI181" s="224">
        <f t="shared" si="68"/>
        <v>2.7795661753553058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46555</v>
      </c>
      <c r="B182" s="409">
        <f>IF(t&gt;Tmaj,'2026'!Wh/'2026'!Env_an*'2027'!Env_an,0.001*'[8]mon-tableau'!$B$251)</f>
        <v>52.290249711988906</v>
      </c>
      <c r="C182" s="829"/>
      <c r="D182" s="391">
        <f t="shared" si="50"/>
        <v>55.447438758114174</v>
      </c>
      <c r="E182" s="383">
        <f t="shared" si="75"/>
        <v>56.31234563577771</v>
      </c>
      <c r="F182" s="383">
        <f t="shared" si="51"/>
        <v>56.31234563577771</v>
      </c>
      <c r="G182" s="110">
        <f t="shared" si="76"/>
        <v>0.90164627386345508</v>
      </c>
      <c r="H182" s="412" t="b">
        <f>Wh_hp&gt;='2026'!Maxi_hp</f>
        <v>0</v>
      </c>
      <c r="I182" s="388">
        <f>IF(H182,Wh_hp,'2026'!Maxi_hp)</f>
        <v>61.724084548861946</v>
      </c>
      <c r="J182" s="85">
        <f>IF(H182,An,'2026'!An_max)</f>
        <v>2018</v>
      </c>
      <c r="K182" s="197">
        <f t="shared" si="52"/>
        <v>46555</v>
      </c>
      <c r="L182" s="147">
        <f>IF(t&lt;Tvie,1-EXP((T0-t)*PertePVj)+'2026'!Pspv,1-EXP((T0-t)*PertePVj)+Pspv)</f>
        <v>5.694021431536811E-2</v>
      </c>
      <c r="M182" s="832"/>
      <c r="N182" s="832"/>
      <c r="O182" s="48">
        <f>IF(t&lt;Tnet,'2026'!Resal+('2026'!Salim-'2026'!Resal)*(1-EXP(('2026'!Tnet-t)/('2026'!Tau_j))),Resal+(Salim-Resal)*(1-EXP((Tnet-t)/(Tau_j))))*Salcycl</f>
        <v>1.5359098753542735E-2</v>
      </c>
      <c r="P182" s="169">
        <f>(INDEX(Models!$BJ182:$BT182,,T182)*(1-R182)+INDEX(Models!$BJ182:$BT182,,T182+1)*R182-ERP_i)*Q182*Ramure*Pc/MaxiM</f>
        <v>0</v>
      </c>
      <c r="Q182" s="304">
        <f t="shared" si="53"/>
        <v>0.6</v>
      </c>
      <c r="R182" s="177">
        <f t="shared" si="54"/>
        <v>0.25963356651098679</v>
      </c>
      <c r="S182" s="799">
        <f t="shared" si="55"/>
        <v>-1</v>
      </c>
      <c r="T182" s="176">
        <f t="shared" si="56"/>
        <v>5</v>
      </c>
      <c r="U182" s="250">
        <f t="shared" si="57"/>
        <v>-0.74036643348901321</v>
      </c>
      <c r="V182" s="382">
        <f t="shared" si="58"/>
        <v>57.994194871932358</v>
      </c>
      <c r="W182" s="400">
        <f t="shared" si="59"/>
        <v>52.290249711988906</v>
      </c>
      <c r="X182" s="157">
        <f t="shared" si="60"/>
        <v>46555</v>
      </c>
      <c r="Y182" s="383">
        <f t="shared" si="61"/>
        <v>50.368402203123082</v>
      </c>
      <c r="Z182" s="383">
        <f t="shared" si="62"/>
        <v>53.409553633502881</v>
      </c>
      <c r="AA182" s="384">
        <f t="shared" si="63"/>
        <v>56.31234563577771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5.1548056993572525E-2</v>
      </c>
      <c r="AD182" s="230">
        <f>(INDEX(Models!$BJ182:$BT182,,AH182)*(1-AF182)+INDEX(Models!$BJ182:$BT182,,AH182+1)*AF182-ERP_i)*AE182*Ramure*Pc/MaxiM</f>
        <v>0</v>
      </c>
      <c r="AE182" s="304">
        <f t="shared" si="65"/>
        <v>0.6</v>
      </c>
      <c r="AF182" s="177">
        <f t="shared" si="66"/>
        <v>0.78462113288496571</v>
      </c>
      <c r="AG182" s="799">
        <f t="shared" si="74"/>
        <v>2</v>
      </c>
      <c r="AH182" s="176">
        <f t="shared" si="67"/>
        <v>8</v>
      </c>
      <c r="AI182" s="224">
        <f t="shared" si="68"/>
        <v>2.7846211328849657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46556</v>
      </c>
      <c r="B183" s="409">
        <f>IF(t&gt;Tmaj,'2026'!Wh/'2026'!Env_an*'2027'!Env_an,0.001*'[8]mon-tableau'!$B$252)</f>
        <v>55.75881261837818</v>
      </c>
      <c r="C183" s="829"/>
      <c r="D183" s="391">
        <f t="shared" si="50"/>
        <v>59.126560256518005</v>
      </c>
      <c r="E183" s="383">
        <f t="shared" si="75"/>
        <v>60.056691954059573</v>
      </c>
      <c r="F183" s="383">
        <f t="shared" si="51"/>
        <v>60.056691954059573</v>
      </c>
      <c r="G183" s="110">
        <f t="shared" si="76"/>
        <v>0.96245084241538437</v>
      </c>
      <c r="H183" s="412" t="b">
        <f>Wh_hp&gt;='2026'!Maxi_hp</f>
        <v>1</v>
      </c>
      <c r="I183" s="388">
        <f>IF(H183,Wh_hp,'2026'!Maxi_hp)</f>
        <v>60.056691954059573</v>
      </c>
      <c r="J183" s="85">
        <f>IF(H183,An,'2026'!An_max)</f>
        <v>2027</v>
      </c>
      <c r="K183" s="197">
        <f t="shared" si="52"/>
        <v>46556</v>
      </c>
      <c r="L183" s="147">
        <f>IF(t&lt;Tvie,1-EXP((T0-t)*PertePVj)+'2026'!Pspv,1-EXP((T0-t)*PertePVj)+Pspv)</f>
        <v>5.6958287841014199E-2</v>
      </c>
      <c r="M183" s="832"/>
      <c r="N183" s="832"/>
      <c r="O183" s="48">
        <f>IF(t&lt;Tnet,'2026'!Resal+('2026'!Salim-'2026'!Resal)*(1-EXP(('2026'!Tnet-t)/('2026'!Tau_j))),Resal+(Salim-Resal)*(1-EXP((Tnet-t)/(Tau_j))))*Salcycl</f>
        <v>1.5487561290473191E-2</v>
      </c>
      <c r="P183" s="169">
        <f>(INDEX(Models!$BJ183:$BT183,,T183)*(1-R183)+INDEX(Models!$BJ183:$BT183,,T183+1)*R183-ERP_i)*Q183*Ramure*Pc/MaxiM</f>
        <v>1.734538328033208E-20</v>
      </c>
      <c r="Q183" s="304">
        <f t="shared" si="53"/>
        <v>0.6</v>
      </c>
      <c r="R183" s="177">
        <f t="shared" si="54"/>
        <v>0.26465893929325879</v>
      </c>
      <c r="S183" s="799">
        <f t="shared" si="55"/>
        <v>-1</v>
      </c>
      <c r="T183" s="176">
        <f t="shared" si="56"/>
        <v>5</v>
      </c>
      <c r="U183" s="250">
        <f t="shared" si="57"/>
        <v>-0.73534106070674121</v>
      </c>
      <c r="V183" s="382">
        <f t="shared" si="58"/>
        <v>57.934192751543385</v>
      </c>
      <c r="W183" s="400">
        <f t="shared" si="59"/>
        <v>55.75881261837818</v>
      </c>
      <c r="X183" s="157">
        <f t="shared" si="60"/>
        <v>46556</v>
      </c>
      <c r="Y183" s="383">
        <f t="shared" si="61"/>
        <v>53.710589282766044</v>
      </c>
      <c r="Z183" s="383">
        <f t="shared" si="62"/>
        <v>56.954627340716257</v>
      </c>
      <c r="AA183" s="384">
        <f t="shared" si="63"/>
        <v>60.056691954059573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5.1652272418138544E-2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0.78964650566723726</v>
      </c>
      <c r="AG183" s="799">
        <f t="shared" si="74"/>
        <v>2</v>
      </c>
      <c r="AH183" s="176">
        <f t="shared" si="67"/>
        <v>8</v>
      </c>
      <c r="AI183" s="224">
        <f t="shared" si="68"/>
        <v>2.7896465056672373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46557</v>
      </c>
      <c r="B184" s="409">
        <f>IF(t&gt;Tmaj,'2026'!Wh/'2026'!Env_an*'2027'!Env_an,0.001*'[8]mon-tableau'!$B$253)</f>
        <v>56.844374136719203</v>
      </c>
      <c r="C184" s="829"/>
      <c r="D184" s="391">
        <f t="shared" si="50"/>
        <v>60.27884327292243</v>
      </c>
      <c r="E184" s="383">
        <f t="shared" si="75"/>
        <v>61.235074740567256</v>
      </c>
      <c r="F184" s="383">
        <f t="shared" si="51"/>
        <v>61.235074740567256</v>
      </c>
      <c r="G184" s="110">
        <f t="shared" si="76"/>
        <v>0.98223707474016986</v>
      </c>
      <c r="H184" s="412" t="b">
        <f>Wh_hp&gt;='2026'!Maxi_hp</f>
        <v>1</v>
      </c>
      <c r="I184" s="388">
        <f>IF(H184,Wh_hp,'2026'!Maxi_hp)</f>
        <v>61.235074740567256</v>
      </c>
      <c r="J184" s="85">
        <f>IF(H184,An,'2026'!An_max)</f>
        <v>2027</v>
      </c>
      <c r="K184" s="197">
        <f t="shared" si="52"/>
        <v>46557</v>
      </c>
      <c r="L184" s="147">
        <f>IF(t&lt;Tvie,1-EXP((T0-t)*PertePVj)+'2026'!Pspv,1-EXP((T0-t)*PertePVj)+Pspv)</f>
        <v>5.697636102028536E-2</v>
      </c>
      <c r="M184" s="832"/>
      <c r="N184" s="832"/>
      <c r="O184" s="48">
        <f>IF(t&lt;Tnet,'2026'!Resal+('2026'!Salim-'2026'!Resal)*(1-EXP(('2026'!Tnet-t)/('2026'!Tau_j))),Resal+(Salim-Resal)*(1-EXP((Tnet-t)/(Tau_j))))*Salcycl</f>
        <v>1.5615747538417555E-2</v>
      </c>
      <c r="P184" s="169">
        <f>(INDEX(Models!$BJ184:$BT184,,T184)*(1-R184)+INDEX(Models!$BJ184:$BT184,,T184+1)*R184-ERP_i)*Q184*Ramure*Pc/MaxiM</f>
        <v>-1.7450418606199531E-20</v>
      </c>
      <c r="Q184" s="304">
        <f t="shared" si="53"/>
        <v>0.6</v>
      </c>
      <c r="R184" s="177">
        <f t="shared" si="54"/>
        <v>0.26965078270767129</v>
      </c>
      <c r="S184" s="799">
        <f t="shared" si="55"/>
        <v>-1</v>
      </c>
      <c r="T184" s="176">
        <f t="shared" si="56"/>
        <v>5</v>
      </c>
      <c r="U184" s="250">
        <f t="shared" si="57"/>
        <v>-0.73034921729232871</v>
      </c>
      <c r="V184" s="382">
        <f t="shared" si="58"/>
        <v>57.872356479474348</v>
      </c>
      <c r="W184" s="400">
        <f t="shared" si="59"/>
        <v>56.844374136719203</v>
      </c>
      <c r="X184" s="157">
        <f t="shared" si="60"/>
        <v>46557</v>
      </c>
      <c r="Y184" s="383">
        <f t="shared" si="61"/>
        <v>54.757435680818517</v>
      </c>
      <c r="Z184" s="383">
        <f t="shared" si="62"/>
        <v>58.065814490145989</v>
      </c>
      <c r="AA184" s="384">
        <f t="shared" si="63"/>
        <v>61.235074740567256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5.1755636191322958E-2</v>
      </c>
      <c r="AD184" s="230">
        <f>(INDEX(Models!$BJ184:$BT184,,AH184)*(1-AF184)+INDEX(Models!$BJ184:$BT184,,AH184+1)*AF184-ERP_i)*AE184*Ramure*Pc/MaxiM</f>
        <v>-1.7450418606199531E-20</v>
      </c>
      <c r="AE184" s="304">
        <f t="shared" si="65"/>
        <v>0.6</v>
      </c>
      <c r="AF184" s="177">
        <f t="shared" si="66"/>
        <v>0.79463834908164976</v>
      </c>
      <c r="AG184" s="799">
        <f t="shared" si="74"/>
        <v>2</v>
      </c>
      <c r="AH184" s="176">
        <f t="shared" si="67"/>
        <v>8</v>
      </c>
      <c r="AI184" s="224">
        <f t="shared" si="68"/>
        <v>2.7946383490816498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46558</v>
      </c>
      <c r="B185" s="409">
        <f>IF(t&gt;Tmaj,'2026'!Wh/'2026'!Env_an*'2027'!Env_an,0.001*'[8]mon-tableau'!$B$254)</f>
        <v>30.046407924762512</v>
      </c>
      <c r="C185" s="829"/>
      <c r="D185" s="391">
        <f t="shared" si="50"/>
        <v>31.862386610859872</v>
      </c>
      <c r="E185" s="383">
        <f t="shared" si="75"/>
        <v>32.372040628003937</v>
      </c>
      <c r="F185" s="383">
        <f t="shared" si="51"/>
        <v>32.372040628003937</v>
      </c>
      <c r="G185" s="110">
        <f t="shared" si="76"/>
        <v>0.51975592732939868</v>
      </c>
      <c r="H185" s="412" t="b">
        <f>Wh_hp&gt;='2026'!Maxi_hp</f>
        <v>0</v>
      </c>
      <c r="I185" s="388">
        <f>IF(H185,Wh_hp,'2026'!Maxi_hp)</f>
        <v>58.11759070939933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5.6994433853188142E-2</v>
      </c>
      <c r="M185" s="832"/>
      <c r="N185" s="832"/>
      <c r="O185" s="48">
        <f>IF(t&lt;Tnet,'2026'!Resal+('2026'!Salim-'2026'!Resal)*(1-EXP(('2026'!Tnet-t)/('2026'!Tau_j))),Resal+(Salim-Resal)*(1-EXP((Tnet-t)/(Tau_j))))*Salcycl</f>
        <v>1.5743648137621132E-2</v>
      </c>
      <c r="P185" s="169">
        <f>(INDEX(Models!$BJ185:$BT185,,T185)*(1-R185)+INDEX(Models!$BJ185:$BT185,,T185+1)*R185-ERP_i)*Q185*Ramure*Pc/MaxiM</f>
        <v>0</v>
      </c>
      <c r="Q185" s="304">
        <f t="shared" si="53"/>
        <v>0.6</v>
      </c>
      <c r="R185" s="177">
        <f t="shared" si="54"/>
        <v>0.27460526078475356</v>
      </c>
      <c r="S185" s="799">
        <f t="shared" si="55"/>
        <v>-1</v>
      </c>
      <c r="T185" s="176">
        <f t="shared" si="56"/>
        <v>5</v>
      </c>
      <c r="U185" s="250">
        <f t="shared" si="57"/>
        <v>-0.72539473921524644</v>
      </c>
      <c r="V185" s="382">
        <f t="shared" si="58"/>
        <v>57.808687395151928</v>
      </c>
      <c r="W185" s="400">
        <f t="shared" si="59"/>
        <v>30.046407924762512</v>
      </c>
      <c r="X185" s="157">
        <f t="shared" si="60"/>
        <v>46558</v>
      </c>
      <c r="Y185" s="383">
        <f t="shared" si="61"/>
        <v>28.943940520936437</v>
      </c>
      <c r="Z185" s="383">
        <f t="shared" si="62"/>
        <v>30.693287038806616</v>
      </c>
      <c r="AA185" s="384">
        <f t="shared" si="63"/>
        <v>32.372040628003937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5.185813302560506E-2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0.79959282715873226</v>
      </c>
      <c r="AG185" s="799">
        <f t="shared" si="74"/>
        <v>2</v>
      </c>
      <c r="AH185" s="176">
        <f t="shared" si="67"/>
        <v>8</v>
      </c>
      <c r="AI185" s="224">
        <f t="shared" si="68"/>
        <v>2.7995928271587323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46559</v>
      </c>
      <c r="B186" s="409">
        <f>IF(t&gt;Tmaj,'2026'!Wh/'2026'!Env_an*'2027'!Env_an,0.001*'[8]mon-tableau'!$B$255)</f>
        <v>22.399511765967308</v>
      </c>
      <c r="C186" s="829"/>
      <c r="D186" s="391">
        <f t="shared" si="50"/>
        <v>23.753773954119012</v>
      </c>
      <c r="E186" s="383">
        <f t="shared" si="75"/>
        <v>24.136856138620903</v>
      </c>
      <c r="F186" s="383">
        <f t="shared" si="51"/>
        <v>24.136856138620903</v>
      </c>
      <c r="G186" s="110">
        <f t="shared" si="76"/>
        <v>0.38791609902370316</v>
      </c>
      <c r="H186" s="412" t="b">
        <f>Wh_hp&gt;='2026'!Maxi_hp</f>
        <v>0</v>
      </c>
      <c r="I186" s="388">
        <f>IF(H186,Wh_hp,'2026'!Maxi_hp)</f>
        <v>54.852267304881771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5.7012506339729208E-2</v>
      </c>
      <c r="M186" s="832"/>
      <c r="N186" s="832"/>
      <c r="O186" s="48">
        <f>IF(t&lt;Tnet,'2026'!Resal+('2026'!Salim-'2026'!Resal)*(1-EXP(('2026'!Tnet-t)/('2026'!Tau_j))),Resal+(Salim-Resal)*(1-EXP((Tnet-t)/(Tau_j))))*Salcycl</f>
        <v>1.5871254412828332E-2</v>
      </c>
      <c r="P186" s="169">
        <f>(INDEX(Models!$BJ186:$BT186,,T186)*(1-R186)+INDEX(Models!$BJ186:$BT186,,T186+1)*R186-ERP_i)*Q186*Ramure*Pc/MaxiM</f>
        <v>1.7653110497562951E-20</v>
      </c>
      <c r="Q186" s="304">
        <f t="shared" si="53"/>
        <v>0.6</v>
      </c>
      <c r="R186" s="177">
        <f t="shared" si="54"/>
        <v>0.2795186573343803</v>
      </c>
      <c r="S186" s="799">
        <f t="shared" si="55"/>
        <v>-1</v>
      </c>
      <c r="T186" s="176">
        <f t="shared" si="56"/>
        <v>5</v>
      </c>
      <c r="U186" s="250">
        <f t="shared" si="57"/>
        <v>-0.7204813426656197</v>
      </c>
      <c r="V186" s="382">
        <f t="shared" si="58"/>
        <v>57.743186793076646</v>
      </c>
      <c r="W186" s="400">
        <f t="shared" si="59"/>
        <v>22.399511765967308</v>
      </c>
      <c r="X186" s="157">
        <f t="shared" si="60"/>
        <v>46559</v>
      </c>
      <c r="Y186" s="383">
        <f t="shared" si="61"/>
        <v>21.5781104119595</v>
      </c>
      <c r="Z186" s="383">
        <f t="shared" si="62"/>
        <v>22.882711125046399</v>
      </c>
      <c r="AA186" s="384">
        <f t="shared" si="63"/>
        <v>24.136856138620903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5.1959750117073995E-2</v>
      </c>
      <c r="AD186" s="230">
        <f>(INDEX(Models!$BJ186:$BT186,,AH186)*(1-AF186)+INDEX(Models!$BJ186:$BT186,,AH186+1)*AF186-ERP_i)*AE186*Ramure*Pc/MaxiM</f>
        <v>1.7653110497562951E-20</v>
      </c>
      <c r="AE186" s="304">
        <f t="shared" si="65"/>
        <v>0.6</v>
      </c>
      <c r="AF186" s="177">
        <f t="shared" si="66"/>
        <v>0.80450622370835889</v>
      </c>
      <c r="AG186" s="799">
        <f t="shared" si="74"/>
        <v>2</v>
      </c>
      <c r="AH186" s="176">
        <f t="shared" si="67"/>
        <v>8</v>
      </c>
      <c r="AI186" s="224">
        <f t="shared" si="68"/>
        <v>2.8045062237083589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46560</v>
      </c>
      <c r="B187" s="409">
        <f>IF(t&gt;Tmaj,'2026'!Wh/'2026'!Env_an*'2027'!Env_an,0.001*'[8]mon-tableau'!$B$256)</f>
        <v>42.350253647289918</v>
      </c>
      <c r="C187" s="829"/>
      <c r="D187" s="391">
        <f t="shared" si="50"/>
        <v>44.911587460620403</v>
      </c>
      <c r="E187" s="383">
        <f t="shared" si="75"/>
        <v>45.641790308516818</v>
      </c>
      <c r="F187" s="383">
        <f t="shared" si="51"/>
        <v>45.641790308516818</v>
      </c>
      <c r="G187" s="110">
        <f t="shared" si="76"/>
        <v>0.73428045362943584</v>
      </c>
      <c r="H187" s="412" t="b">
        <f>Wh_hp&gt;='2026'!Maxi_hp</f>
        <v>0</v>
      </c>
      <c r="I187" s="388">
        <f>IF(H187,Wh_hp,'2026'!Maxi_hp)</f>
        <v>62.350039866865146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5.7030578479915217E-2</v>
      </c>
      <c r="M187" s="832"/>
      <c r="N187" s="832"/>
      <c r="O187" s="48">
        <f>IF(t&lt;Tnet,'2026'!Resal+('2026'!Salim-'2026'!Resal)*(1-EXP(('2026'!Tnet-t)/('2026'!Tau_j))),Resal+(Salim-Resal)*(1-EXP((Tnet-t)/(Tau_j))))*Salcycl</f>
        <v>1.5998558403616307E-2</v>
      </c>
      <c r="P187" s="169">
        <f>(INDEX(Models!$BJ187:$BT187,,T187)*(1-R187)+INDEX(Models!$BJ187:$BT187,,T187+1)*R187-ERP_i)*Q187*Ramure*Pc/MaxiM</f>
        <v>1.7750714904130314E-20</v>
      </c>
      <c r="Q187" s="304">
        <f t="shared" si="53"/>
        <v>0.6</v>
      </c>
      <c r="R187" s="177">
        <f t="shared" si="54"/>
        <v>0.28438738627446791</v>
      </c>
      <c r="S187" s="799">
        <f t="shared" si="55"/>
        <v>-1</v>
      </c>
      <c r="T187" s="176">
        <f t="shared" si="56"/>
        <v>5</v>
      </c>
      <c r="U187" s="250">
        <f t="shared" si="57"/>
        <v>-0.71561261372553209</v>
      </c>
      <c r="V187" s="382">
        <f t="shared" si="58"/>
        <v>57.675855918483315</v>
      </c>
      <c r="W187" s="400">
        <f t="shared" si="59"/>
        <v>42.350253647289918</v>
      </c>
      <c r="X187" s="157">
        <f t="shared" si="60"/>
        <v>46560</v>
      </c>
      <c r="Y187" s="383">
        <f t="shared" si="61"/>
        <v>40.798191483494421</v>
      </c>
      <c r="Z187" s="383">
        <f t="shared" si="62"/>
        <v>43.265656926315756</v>
      </c>
      <c r="AA187" s="384">
        <f t="shared" si="63"/>
        <v>45.641790308516818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5.2060477166638947E-2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0.80937495264844639</v>
      </c>
      <c r="AG187" s="799">
        <f t="shared" si="74"/>
        <v>2</v>
      </c>
      <c r="AH187" s="176">
        <f t="shared" si="67"/>
        <v>8</v>
      </c>
      <c r="AI187" s="224">
        <f t="shared" si="68"/>
        <v>2.8093749526484464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46561</v>
      </c>
      <c r="B188" s="409">
        <f>IF(t&gt;Tmaj,'2026'!Wh/'2026'!Env_an*'2027'!Env_an,0.001*'[8]mon-tableau'!$B$257)</f>
        <v>43.011353166783664</v>
      </c>
      <c r="C188" s="829"/>
      <c r="D188" s="391">
        <f t="shared" si="50"/>
        <v>45.613544303500383</v>
      </c>
      <c r="E188" s="383">
        <f t="shared" si="75"/>
        <v>46.361143373016787</v>
      </c>
      <c r="F188" s="383">
        <f t="shared" si="51"/>
        <v>46.361143373016787</v>
      </c>
      <c r="G188" s="110">
        <f t="shared" si="76"/>
        <v>0.74663808507722496</v>
      </c>
      <c r="H188" s="412" t="b">
        <f>Wh_hp&gt;='2026'!Maxi_hp</f>
        <v>0</v>
      </c>
      <c r="I188" s="388">
        <f>IF(H188,Wh_hp,'2026'!Maxi_hp)</f>
        <v>54.242625495320887</v>
      </c>
      <c r="J188" s="85">
        <f>IF(H188,An,'2026'!An_max)</f>
        <v>2018</v>
      </c>
      <c r="K188" s="197">
        <f t="shared" si="52"/>
        <v>46561</v>
      </c>
      <c r="L188" s="147">
        <f>IF(t&lt;Tvie,1-EXP((T0-t)*PertePVj)+'2026'!Pspv,1-EXP((T0-t)*PertePVj)+Pspv)</f>
        <v>5.7048650273752721E-2</v>
      </c>
      <c r="M188" s="832"/>
      <c r="N188" s="832"/>
      <c r="O188" s="48">
        <f>IF(t&lt;Tnet,'2026'!Resal+('2026'!Salim-'2026'!Resal)*(1-EXP(('2026'!Tnet-t)/('2026'!Tau_j))),Resal+(Salim-Resal)*(1-EXP((Tnet-t)/(Tau_j))))*Salcycl</f>
        <v>1.6125552890300775E-2</v>
      </c>
      <c r="P188" s="169">
        <f>(INDEX(Models!$BJ188:$BT188,,T188)*(1-R188)+INDEX(Models!$BJ188:$BT188,,T188+1)*R188-ERP_i)*Q188*Ramure*Pc/MaxiM</f>
        <v>0</v>
      </c>
      <c r="Q188" s="304">
        <f t="shared" si="53"/>
        <v>0.6</v>
      </c>
      <c r="R188" s="177">
        <f t="shared" si="54"/>
        <v>0.28920800110568989</v>
      </c>
      <c r="S188" s="799">
        <f t="shared" si="55"/>
        <v>-1</v>
      </c>
      <c r="T188" s="176">
        <f t="shared" si="56"/>
        <v>5</v>
      </c>
      <c r="U188" s="250">
        <f t="shared" si="57"/>
        <v>-0.71079199889431011</v>
      </c>
      <c r="V188" s="382">
        <f t="shared" si="58"/>
        <v>57.606695970156665</v>
      </c>
      <c r="W188" s="400">
        <f t="shared" si="59"/>
        <v>43.011353166783664</v>
      </c>
      <c r="X188" s="157">
        <f t="shared" si="60"/>
        <v>46561</v>
      </c>
      <c r="Y188" s="383">
        <f t="shared" si="61"/>
        <v>41.436046974532211</v>
      </c>
      <c r="Z188" s="383">
        <f t="shared" si="62"/>
        <v>43.942931930222812</v>
      </c>
      <c r="AA188" s="384">
        <f t="shared" si="63"/>
        <v>46.361143373016787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5.2160306387124752E-2</v>
      </c>
      <c r="AD188" s="230">
        <f>(INDEX(Models!$BJ188:$BT188,,AH188)*(1-AF188)+INDEX(Models!$BJ188:$BT188,,AH188+1)*AF188-ERP_i)*AE188*Ramure*Pc/MaxiM</f>
        <v>0</v>
      </c>
      <c r="AE188" s="304">
        <f t="shared" si="65"/>
        <v>0.6</v>
      </c>
      <c r="AF188" s="177">
        <f t="shared" si="66"/>
        <v>0.81419556747966837</v>
      </c>
      <c r="AG188" s="799">
        <f t="shared" si="74"/>
        <v>2</v>
      </c>
      <c r="AH188" s="176">
        <f t="shared" si="67"/>
        <v>8</v>
      </c>
      <c r="AI188" s="224">
        <f t="shared" si="68"/>
        <v>2.8141955674796684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46562</v>
      </c>
      <c r="B189" s="409">
        <f>IF(t&gt;Tmaj,'2026'!Wh/'2026'!Env_an*'2027'!Env_an,0.001*'[8]mon-tableau'!$B$258)</f>
        <v>39.524410953112884</v>
      </c>
      <c r="C189" s="829"/>
      <c r="D189" s="391">
        <f t="shared" si="50"/>
        <v>41.916445058829083</v>
      </c>
      <c r="E189" s="383">
        <f t="shared" si="75"/>
        <v>42.608935336270086</v>
      </c>
      <c r="F189" s="383">
        <f t="shared" si="51"/>
        <v>42.608935336270086</v>
      </c>
      <c r="G189" s="110">
        <f t="shared" si="76"/>
        <v>0.68695445422333945</v>
      </c>
      <c r="H189" s="412" t="b">
        <f>Wh_hp&gt;='2026'!Maxi_hp</f>
        <v>0</v>
      </c>
      <c r="I189" s="388">
        <f>IF(H189,Wh_hp,'2026'!Maxi_hp)</f>
        <v>61.322953896057307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5.7066721721248492E-2</v>
      </c>
      <c r="M189" s="832"/>
      <c r="N189" s="832"/>
      <c r="O189" s="48">
        <f>IF(t&lt;Tnet,'2026'!Resal+('2026'!Salim-'2026'!Resal)*(1-EXP(('2026'!Tnet-t)/('2026'!Tau_j))),Resal+(Salim-Resal)*(1-EXP((Tnet-t)/(Tau_j))))*Salcycl</f>
        <v>1.6252231415215115E-2</v>
      </c>
      <c r="P189" s="169">
        <f>(INDEX(Models!$BJ189:$BT189,,T189)*(1-R189)+INDEX(Models!$BJ189:$BT189,,T189+1)*R189-ERP_i)*Q189*Ramure*Pc/MaxiM</f>
        <v>0</v>
      </c>
      <c r="Q189" s="304">
        <f t="shared" si="53"/>
        <v>0.6</v>
      </c>
      <c r="R189" s="177">
        <f t="shared" si="54"/>
        <v>0.29397720348723222</v>
      </c>
      <c r="S189" s="799">
        <f t="shared" si="55"/>
        <v>-1</v>
      </c>
      <c r="T189" s="176">
        <f t="shared" si="56"/>
        <v>5</v>
      </c>
      <c r="U189" s="250">
        <f t="shared" si="57"/>
        <v>-0.70602279651276778</v>
      </c>
      <c r="V189" s="382">
        <f t="shared" si="58"/>
        <v>57.535708095522288</v>
      </c>
      <c r="W189" s="400">
        <f t="shared" si="59"/>
        <v>39.524410953112884</v>
      </c>
      <c r="X189" s="157">
        <f t="shared" si="60"/>
        <v>46562</v>
      </c>
      <c r="Y189" s="383">
        <f t="shared" si="61"/>
        <v>38.077743877098918</v>
      </c>
      <c r="Z189" s="383">
        <f t="shared" si="62"/>
        <v>40.382225078116619</v>
      </c>
      <c r="AA189" s="384">
        <f t="shared" si="63"/>
        <v>42.608935336270086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5.2259232496194845E-2</v>
      </c>
      <c r="AD189" s="230">
        <f>(INDEX(Models!$BJ189:$BT189,,AH189)*(1-AF189)+INDEX(Models!$BJ189:$BT189,,AH189+1)*AF189-ERP_i)*AE189*Ramure*Pc/MaxiM</f>
        <v>0</v>
      </c>
      <c r="AE189" s="304">
        <f t="shared" si="65"/>
        <v>0.6</v>
      </c>
      <c r="AF189" s="177">
        <f t="shared" si="66"/>
        <v>0.81896476986121103</v>
      </c>
      <c r="AG189" s="799">
        <f t="shared" si="74"/>
        <v>2</v>
      </c>
      <c r="AH189" s="176">
        <f t="shared" si="67"/>
        <v>8</v>
      </c>
      <c r="AI189" s="224">
        <f t="shared" si="68"/>
        <v>2.818964769861211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46563</v>
      </c>
      <c r="B190" s="409">
        <f>IF(t&gt;Tmaj,'2026'!Wh/'2026'!Env_an*'2027'!Env_an,0.001*'[8]mon-tableau'!$B$259)</f>
        <v>37.398843761879462</v>
      </c>
      <c r="C190" s="829"/>
      <c r="D190" s="391">
        <f t="shared" si="50"/>
        <v>39.662997772434558</v>
      </c>
      <c r="E190" s="383">
        <f t="shared" si="75"/>
        <v>40.32343877493728</v>
      </c>
      <c r="F190" s="383">
        <f t="shared" si="51"/>
        <v>40.32343877493728</v>
      </c>
      <c r="G190" s="110">
        <f t="shared" si="76"/>
        <v>0.65083467876413281</v>
      </c>
      <c r="H190" s="412" t="b">
        <f>Wh_hp&gt;='2026'!Maxi_hp</f>
        <v>0</v>
      </c>
      <c r="I190" s="388">
        <f>IF(H190,Wh_hp,'2026'!Maxi_hp)</f>
        <v>60.963352971258608</v>
      </c>
      <c r="J190" s="85">
        <f>IF(H190,An,'2026'!An_max)</f>
        <v>2020</v>
      </c>
      <c r="K190" s="197">
        <f t="shared" si="52"/>
        <v>46563</v>
      </c>
      <c r="L190" s="147">
        <f>IF(t&lt;Tvie,1-EXP((T0-t)*PertePVj)+'2026'!Pspv,1-EXP((T0-t)*PertePVj)+Pspv)</f>
        <v>5.708479282240897E-2</v>
      </c>
      <c r="M190" s="832"/>
      <c r="N190" s="832"/>
      <c r="O190" s="48">
        <f>IF(t&lt;Tnet,'2026'!Resal+('2026'!Salim-'2026'!Resal)*(1-EXP(('2026'!Tnet-t)/('2026'!Tau_j))),Resal+(Salim-Resal)*(1-EXP((Tnet-t)/(Tau_j))))*Salcycl</f>
        <v>1.6378588299200629E-2</v>
      </c>
      <c r="P190" s="169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0.29869185087820815</v>
      </c>
      <c r="S190" s="799">
        <f t="shared" si="55"/>
        <v>-1</v>
      </c>
      <c r="T190" s="176">
        <f t="shared" si="56"/>
        <v>5</v>
      </c>
      <c r="U190" s="250">
        <f t="shared" si="57"/>
        <v>-0.70130814912179185</v>
      </c>
      <c r="V190" s="382">
        <f t="shared" si="58"/>
        <v>57.462893392368045</v>
      </c>
      <c r="W190" s="400">
        <f t="shared" si="59"/>
        <v>37.398843761879462</v>
      </c>
      <c r="X190" s="157">
        <f t="shared" si="60"/>
        <v>46563</v>
      </c>
      <c r="Y190" s="383">
        <f t="shared" si="61"/>
        <v>36.030877964775939</v>
      </c>
      <c r="Z190" s="383">
        <f t="shared" si="62"/>
        <v>38.212214301460293</v>
      </c>
      <c r="AA190" s="384">
        <f t="shared" si="63"/>
        <v>40.32343877493728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5.2357252695154656E-2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0.82367941725218685</v>
      </c>
      <c r="AG190" s="799">
        <f t="shared" si="74"/>
        <v>2</v>
      </c>
      <c r="AH190" s="176">
        <f t="shared" si="67"/>
        <v>8</v>
      </c>
      <c r="AI190" s="224">
        <f t="shared" si="68"/>
        <v>2.8236794172521869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46564</v>
      </c>
      <c r="B191" s="409">
        <f>IF(t&gt;Tmaj,'2026'!Wh/'2026'!Env_an*'2027'!Env_an,0.001*'[8]mon-tableau'!$B$260)</f>
        <v>12.118384429513014</v>
      </c>
      <c r="C191" s="829"/>
      <c r="D191" s="391">
        <f t="shared" si="50"/>
        <v>12.852286809872753</v>
      </c>
      <c r="E191" s="383">
        <f t="shared" si="75"/>
        <v>13.067968648996214</v>
      </c>
      <c r="F191" s="383">
        <f t="shared" si="51"/>
        <v>13.067968648996214</v>
      </c>
      <c r="G191" s="110">
        <f t="shared" si="76"/>
        <v>0.21116648786525158</v>
      </c>
      <c r="H191" s="412" t="b">
        <f>Wh_hp&gt;='2026'!Maxi_hp</f>
        <v>0</v>
      </c>
      <c r="I191" s="388">
        <f>IF(H191,Wh_hp,'2026'!Maxi_hp)</f>
        <v>60.568355603676984</v>
      </c>
      <c r="J191" s="85">
        <f>IF(H191,An,'2026'!An_max)</f>
        <v>2018</v>
      </c>
      <c r="K191" s="197">
        <f t="shared" si="52"/>
        <v>46564</v>
      </c>
      <c r="L191" s="147">
        <f>IF(t&lt;Tvie,1-EXP((T0-t)*PertePVj)+'2026'!Pspv,1-EXP((T0-t)*PertePVj)+Pspv)</f>
        <v>5.7102863577241036E-2</v>
      </c>
      <c r="M191" s="832"/>
      <c r="N191" s="832"/>
      <c r="O191" s="48">
        <f>IF(t&lt;Tnet,'2026'!Resal+('2026'!Salim-'2026'!Resal)*(1-EXP(('2026'!Tnet-t)/('2026'!Tau_j))),Resal+(Salim-Resal)*(1-EXP((Tnet-t)/(Tau_j))))*Salcycl</f>
        <v>1.6504618653185081E-2</v>
      </c>
      <c r="P191" s="169">
        <f>(INDEX(Models!$BJ191:$BT191,,T191)*(1-R191)+INDEX(Models!$BJ191:$BT191,,T191+1)*R191-ERP_i)*Q191*Ramure*Pc/MaxiM</f>
        <v>0</v>
      </c>
      <c r="Q191" s="304">
        <f t="shared" si="53"/>
        <v>0.6</v>
      </c>
      <c r="R191" s="177">
        <f t="shared" si="54"/>
        <v>0.30334896321904037</v>
      </c>
      <c r="S191" s="799">
        <f t="shared" si="55"/>
        <v>-1</v>
      </c>
      <c r="T191" s="176">
        <f t="shared" si="56"/>
        <v>5</v>
      </c>
      <c r="U191" s="250">
        <f t="shared" si="57"/>
        <v>-0.69665103678095963</v>
      </c>
      <c r="V191" s="382">
        <f t="shared" si="58"/>
        <v>57.387820160393694</v>
      </c>
      <c r="W191" s="400">
        <f t="shared" si="59"/>
        <v>12.118384429513014</v>
      </c>
      <c r="X191" s="157">
        <f t="shared" si="60"/>
        <v>46564</v>
      </c>
      <c r="Y191" s="383">
        <f t="shared" si="61"/>
        <v>11.675420614495792</v>
      </c>
      <c r="Z191" s="383">
        <f t="shared" si="62"/>
        <v>12.382496630322759</v>
      </c>
      <c r="AA191" s="384">
        <f t="shared" si="63"/>
        <v>13.067968648996214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5.2454366633800258E-2</v>
      </c>
      <c r="AD191" s="230">
        <f>(INDEX(Models!$BJ191:$BT191,,AH191)*(1-AF191)+INDEX(Models!$BJ191:$BT191,,AH191+1)*AF191-ERP_i)*AE191*Ramure*Pc/MaxiM</f>
        <v>0</v>
      </c>
      <c r="AE191" s="304">
        <f t="shared" si="65"/>
        <v>0.6</v>
      </c>
      <c r="AF191" s="177">
        <f t="shared" si="66"/>
        <v>0.82833652959301896</v>
      </c>
      <c r="AG191" s="799">
        <f t="shared" si="74"/>
        <v>2</v>
      </c>
      <c r="AH191" s="176">
        <f t="shared" si="67"/>
        <v>8</v>
      </c>
      <c r="AI191" s="224">
        <f t="shared" si="68"/>
        <v>2.828336529593019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46565</v>
      </c>
      <c r="B192" s="409">
        <f>IF(t&gt;Tmaj,'2026'!Wh/'2026'!Env_an*'2027'!Env_an,0.001*'[8]mon-tableau'!$B$261)</f>
        <v>14.922719185259167</v>
      </c>
      <c r="C192" s="829"/>
      <c r="D192" s="391">
        <f t="shared" si="50"/>
        <v>15.82675840746013</v>
      </c>
      <c r="E192" s="383">
        <f t="shared" si="75"/>
        <v>16.094413630348956</v>
      </c>
      <c r="F192" s="383">
        <f t="shared" si="51"/>
        <v>16.094413630348956</v>
      </c>
      <c r="G192" s="110">
        <f t="shared" si="76"/>
        <v>0.2603850933963755</v>
      </c>
      <c r="H192" s="412" t="b">
        <f>Wh_hp&gt;='2026'!Maxi_hp</f>
        <v>0</v>
      </c>
      <c r="I192" s="388">
        <f>IF(H192,Wh_hp,'2026'!Maxi_hp)</f>
        <v>60.063496146867578</v>
      </c>
      <c r="J192" s="85">
        <f>IF(H192,An,'2026'!An_max)</f>
        <v>2018</v>
      </c>
      <c r="K192" s="197">
        <f t="shared" si="52"/>
        <v>46565</v>
      </c>
      <c r="L192" s="147">
        <f>IF(t&lt;Tvie,1-EXP((T0-t)*PertePVj)+'2026'!Pspv,1-EXP((T0-t)*PertePVj)+Pspv)</f>
        <v>5.7120933985751132E-2</v>
      </c>
      <c r="M192" s="832"/>
      <c r="N192" s="832"/>
      <c r="O192" s="48">
        <f>IF(t&lt;Tnet,'2026'!Resal+('2026'!Salim-'2026'!Resal)*(1-EXP(('2026'!Tnet-t)/('2026'!Tau_j))),Resal+(Salim-Resal)*(1-EXP((Tnet-t)/(Tau_j))))*Salcycl</f>
        <v>1.6630318384766505E-2</v>
      </c>
      <c r="P192" s="169">
        <f>(INDEX(Models!$BJ192:$BT192,,T192)*(1-R192)+INDEX(Models!$BJ192:$BT192,,T192+1)*R192-ERP_i)*Q192*Ramure*Pc/MaxiM</f>
        <v>0</v>
      </c>
      <c r="Q192" s="304">
        <f t="shared" si="53"/>
        <v>0.6</v>
      </c>
      <c r="R192" s="177">
        <f t="shared" si="54"/>
        <v>0.30794572863675751</v>
      </c>
      <c r="S192" s="799">
        <f t="shared" si="55"/>
        <v>-1</v>
      </c>
      <c r="T192" s="176">
        <f t="shared" si="56"/>
        <v>5</v>
      </c>
      <c r="U192" s="250">
        <f t="shared" si="57"/>
        <v>-0.69205427136324249</v>
      </c>
      <c r="V192" s="382">
        <f t="shared" si="58"/>
        <v>57.310190036657779</v>
      </c>
      <c r="W192" s="400">
        <f t="shared" si="59"/>
        <v>14.922719185259167</v>
      </c>
      <c r="X192" s="157">
        <f t="shared" si="60"/>
        <v>46565</v>
      </c>
      <c r="Y192" s="383">
        <f t="shared" si="61"/>
        <v>14.377626192388258</v>
      </c>
      <c r="Z192" s="383">
        <f t="shared" si="62"/>
        <v>15.248642917872335</v>
      </c>
      <c r="AA192" s="384">
        <f t="shared" si="63"/>
        <v>16.094413630348956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5.2550576361587067E-2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0.83293329501073643</v>
      </c>
      <c r="AG192" s="799">
        <f t="shared" si="74"/>
        <v>2</v>
      </c>
      <c r="AH192" s="176">
        <f t="shared" si="67"/>
        <v>8</v>
      </c>
      <c r="AI192" s="224">
        <f t="shared" si="68"/>
        <v>2.8329332950107364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46566</v>
      </c>
      <c r="B193" s="409">
        <f>IF(t&gt;Tmaj,'2026'!Wh/'2026'!Env_an*'2027'!Env_an,0.001*'[8]mon-tableau'!$B$262)</f>
        <v>57.268124497529236</v>
      </c>
      <c r="C193" s="829"/>
      <c r="D193" s="391">
        <f t="shared" si="50"/>
        <v>60.738671706005555</v>
      </c>
      <c r="E193" s="383">
        <f t="shared" si="75"/>
        <v>61.773732865744343</v>
      </c>
      <c r="F193" s="383">
        <f t="shared" si="51"/>
        <v>61.773732865744343</v>
      </c>
      <c r="G193" s="110">
        <f t="shared" si="76"/>
        <v>1.0006625966645875</v>
      </c>
      <c r="H193" s="412" t="b">
        <f>Wh_hp&gt;='2026'!Maxi_hp</f>
        <v>1</v>
      </c>
      <c r="I193" s="388">
        <f>IF(H193,Wh_hp,'2026'!Maxi_hp)</f>
        <v>61.773732865744343</v>
      </c>
      <c r="J193" s="85">
        <f>IF(H193,An,'2026'!An_max)</f>
        <v>2027</v>
      </c>
      <c r="K193" s="197">
        <f t="shared" si="52"/>
        <v>46566</v>
      </c>
      <c r="L193" s="147">
        <f>IF(t&lt;Tvie,1-EXP((T0-t)*PertePVj)+'2026'!Pspv,1-EXP((T0-t)*PertePVj)+Pspv)</f>
        <v>5.7139004047946029E-2</v>
      </c>
      <c r="M193" s="832"/>
      <c r="N193" s="832"/>
      <c r="O193" s="48">
        <f>IF(t&lt;Tnet,'2026'!Resal+('2026'!Salim-'2026'!Resal)*(1-EXP(('2026'!Tnet-t)/('2026'!Tau_j))),Resal+(Salim-Resal)*(1-EXP((Tnet-t)/(Tau_j))))*Salcycl</f>
        <v>1.6755684199760701E-2</v>
      </c>
      <c r="P193" s="169">
        <f>(INDEX(Models!$BJ193:$BT193,,T193)*(1-R193)+INDEX(Models!$BJ193:$BT193,,T193+1)*R193-ERP_i)*Q193*Ramure*Pc/MaxiM</f>
        <v>0</v>
      </c>
      <c r="Q193" s="304">
        <f t="shared" si="53"/>
        <v>0.6</v>
      </c>
      <c r="R193" s="177">
        <f t="shared" si="54"/>
        <v>0.31247950816758707</v>
      </c>
      <c r="S193" s="799">
        <f t="shared" si="55"/>
        <v>-1</v>
      </c>
      <c r="T193" s="176">
        <f t="shared" si="56"/>
        <v>5</v>
      </c>
      <c r="U193" s="250">
        <f t="shared" si="57"/>
        <v>-0.68752049183241293</v>
      </c>
      <c r="V193" s="382">
        <f t="shared" si="58"/>
        <v>57.23020395527481</v>
      </c>
      <c r="W193" s="400">
        <f t="shared" si="59"/>
        <v>57.268124497529236</v>
      </c>
      <c r="X193" s="157">
        <f t="shared" si="60"/>
        <v>46566</v>
      </c>
      <c r="Y193" s="383">
        <f t="shared" si="61"/>
        <v>55.177734014600738</v>
      </c>
      <c r="Z193" s="383">
        <f t="shared" si="62"/>
        <v>58.521599951098857</v>
      </c>
      <c r="AA193" s="384">
        <f t="shared" si="63"/>
        <v>61.773732865744343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5.2645886265502186E-2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0.83746707454156555</v>
      </c>
      <c r="AG193" s="799">
        <f t="shared" si="74"/>
        <v>2</v>
      </c>
      <c r="AH193" s="176">
        <f t="shared" si="67"/>
        <v>8</v>
      </c>
      <c r="AI193" s="224">
        <f t="shared" si="68"/>
        <v>2.8374670745415655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46567</v>
      </c>
      <c r="B194" s="409">
        <f>IF(t&gt;Tmaj,'2026'!Wh/'2026'!Env_an*'2027'!Env_an,0.001*'[8]mon-tableau'!$B$263)</f>
        <v>56.807432797107786</v>
      </c>
      <c r="C194" s="829"/>
      <c r="D194" s="391">
        <f t="shared" si="50"/>
        <v>60.251215994039704</v>
      </c>
      <c r="E194" s="383">
        <f t="shared" si="75"/>
        <v>61.285763413908377</v>
      </c>
      <c r="F194" s="383">
        <f t="shared" si="51"/>
        <v>61.285763413908377</v>
      </c>
      <c r="G194" s="110">
        <f t="shared" si="76"/>
        <v>0.99403951999911422</v>
      </c>
      <c r="H194" s="412" t="b">
        <f>Wh_hp&gt;='2026'!Maxi_hp</f>
        <v>1</v>
      </c>
      <c r="I194" s="388">
        <f>IF(H194,Wh_hp,'2026'!Maxi_hp)</f>
        <v>61.285763413908377</v>
      </c>
      <c r="J194" s="85">
        <f>IF(H194,An,'2026'!An_max)</f>
        <v>2027</v>
      </c>
      <c r="K194" s="197">
        <f t="shared" si="52"/>
        <v>46567</v>
      </c>
      <c r="L194" s="147">
        <f>IF(t&lt;Tvie,1-EXP((T0-t)*PertePVj)+'2026'!Pspv,1-EXP((T0-t)*PertePVj)+Pspv)</f>
        <v>5.7157073763832278E-2</v>
      </c>
      <c r="M194" s="832"/>
      <c r="N194" s="832"/>
      <c r="O194" s="48">
        <f>IF(t&lt;Tnet,'2026'!Resal+('2026'!Salim-'2026'!Resal)*(1-EXP(('2026'!Tnet-t)/('2026'!Tau_j))),Resal+(Salim-Resal)*(1-EXP((Tnet-t)/(Tau_j))))*Salcycl</f>
        <v>1.6880713598713029E-2</v>
      </c>
      <c r="P194" s="169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0.31694783949935934</v>
      </c>
      <c r="S194" s="799">
        <f t="shared" si="55"/>
        <v>-1</v>
      </c>
      <c r="T194" s="176">
        <f t="shared" si="56"/>
        <v>5</v>
      </c>
      <c r="U194" s="250">
        <f t="shared" si="57"/>
        <v>-0.68305216050064066</v>
      </c>
      <c r="V194" s="382">
        <f t="shared" si="58"/>
        <v>57.148062681812092</v>
      </c>
      <c r="W194" s="400">
        <f t="shared" si="59"/>
        <v>56.807432797107786</v>
      </c>
      <c r="X194" s="157">
        <f t="shared" si="60"/>
        <v>46567</v>
      </c>
      <c r="Y194" s="383">
        <f t="shared" si="61"/>
        <v>54.735363575248073</v>
      </c>
      <c r="Z194" s="383">
        <f t="shared" si="62"/>
        <v>58.053533682171043</v>
      </c>
      <c r="AA194" s="384">
        <f t="shared" si="63"/>
        <v>61.285763413908377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5.2740302995129211E-2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0.84193540587333793</v>
      </c>
      <c r="AG194" s="799">
        <f t="shared" si="74"/>
        <v>2</v>
      </c>
      <c r="AH194" s="176">
        <f t="shared" si="67"/>
        <v>8</v>
      </c>
      <c r="AI194" s="224">
        <f t="shared" si="68"/>
        <v>2.8419354058733379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46568</v>
      </c>
      <c r="B195" s="409">
        <f>IF(t&gt;Tmaj,'2026'!Wh/'2026'!Env_an*'2027'!Env_an,0.001*'[8]mon-tableau'!$B$264)</f>
        <v>13.976182196155477</v>
      </c>
      <c r="C195" s="829"/>
      <c r="D195" s="391">
        <f t="shared" si="50"/>
        <v>14.823731146211401</v>
      </c>
      <c r="E195" s="383">
        <f t="shared" si="75"/>
        <v>15.080175638429733</v>
      </c>
      <c r="F195" s="383">
        <f t="shared" si="51"/>
        <v>15.080175638429733</v>
      </c>
      <c r="G195" s="110">
        <f t="shared" si="76"/>
        <v>0.24492132210197964</v>
      </c>
      <c r="H195" s="412" t="b">
        <f>Wh_hp&gt;='2026'!Maxi_hp</f>
        <v>0</v>
      </c>
      <c r="I195" s="388">
        <f>IF(H195,Wh_hp,'2026'!Maxi_hp)</f>
        <v>48.567329624942467</v>
      </c>
      <c r="J195" s="85">
        <f>IF(H195,An,'2026'!An_max)</f>
        <v>2018</v>
      </c>
      <c r="K195" s="197">
        <f t="shared" si="52"/>
        <v>46568</v>
      </c>
      <c r="L195" s="147">
        <f>IF(t&lt;Tvie,1-EXP((T0-t)*PertePVj)+'2026'!Pspv,1-EXP((T0-t)*PertePVj)+Pspv)</f>
        <v>5.717514313341665E-2</v>
      </c>
      <c r="M195" s="832"/>
      <c r="N195" s="832"/>
      <c r="O195" s="48">
        <f>IF(t&lt;Tnet,'2026'!Resal+('2026'!Salim-'2026'!Resal)*(1-EXP(('2026'!Tnet-t)/('2026'!Tau_j))),Resal+(Salim-Resal)*(1-EXP((Tnet-t)/(Tau_j))))*Salcycl</f>
        <v>1.7005404868416785E-2</v>
      </c>
      <c r="P195" s="169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0.32134843974491489</v>
      </c>
      <c r="S195" s="799">
        <f t="shared" si="55"/>
        <v>-1</v>
      </c>
      <c r="T195" s="176">
        <f t="shared" si="56"/>
        <v>5</v>
      </c>
      <c r="U195" s="250">
        <f t="shared" si="57"/>
        <v>-0.67865156025508511</v>
      </c>
      <c r="V195" s="382">
        <f t="shared" si="58"/>
        <v>57.06396681272247</v>
      </c>
      <c r="W195" s="400">
        <f t="shared" si="59"/>
        <v>13.976182196155477</v>
      </c>
      <c r="X195" s="157">
        <f t="shared" si="60"/>
        <v>46568</v>
      </c>
      <c r="Y195" s="383">
        <f t="shared" si="61"/>
        <v>13.466774845342728</v>
      </c>
      <c r="Z195" s="383">
        <f t="shared" si="62"/>
        <v>14.283432121315375</v>
      </c>
      <c r="AA195" s="384">
        <f t="shared" si="63"/>
        <v>15.080175638429733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5.2833835375495679E-2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0.84633600611889381</v>
      </c>
      <c r="AG195" s="799">
        <f t="shared" si="74"/>
        <v>2</v>
      </c>
      <c r="AH195" s="176">
        <f t="shared" si="67"/>
        <v>8</v>
      </c>
      <c r="AI195" s="224">
        <f t="shared" si="68"/>
        <v>2.8463360061188938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46569</v>
      </c>
      <c r="B196" s="409">
        <f>IF(t&gt;Tmaj,'2026'!Wh/'2026'!Env_an*'2027'!Env_an,0.001*[9]mois!$B$242)</f>
        <v>47.476905593994488</v>
      </c>
      <c r="C196" s="829"/>
      <c r="D196" s="391">
        <f t="shared" si="50"/>
        <v>50.356983218798916</v>
      </c>
      <c r="E196" s="383">
        <f t="shared" si="75"/>
        <v>51.234619809636136</v>
      </c>
      <c r="F196" s="383">
        <f t="shared" si="51"/>
        <v>51.234619809636136</v>
      </c>
      <c r="G196" s="110">
        <f t="shared" si="76"/>
        <v>0.83324806571576493</v>
      </c>
      <c r="H196" s="412" t="b">
        <f>Wh_hp&gt;='2026'!Maxi_hp</f>
        <v>0</v>
      </c>
      <c r="I196" s="388">
        <f>IF(H196,Wh_hp,'2026'!Maxi_hp)</f>
        <v>60.829668831248355</v>
      </c>
      <c r="J196" s="85">
        <f>IF(H196,An,'2026'!An_max)</f>
        <v>2020</v>
      </c>
      <c r="K196" s="197">
        <f t="shared" si="52"/>
        <v>46569</v>
      </c>
      <c r="L196" s="147">
        <f>IF(t&lt;Tvie,1-EXP((T0-t)*PertePVj)+'2026'!Pspv,1-EXP((T0-t)*PertePVj)+Pspv)</f>
        <v>5.7193212156705586E-2</v>
      </c>
      <c r="M196" s="832"/>
      <c r="N196" s="832"/>
      <c r="O196" s="48">
        <f>IF(t&lt;Tnet,'2026'!Resal+('2026'!Salim-'2026'!Resal)*(1-EXP(('2026'!Tnet-t)/('2026'!Tau_j))),Resal+(Salim-Resal)*(1-EXP((Tnet-t)/(Tau_j))))*Salcycl</f>
        <v>1.7129757068523419E-2</v>
      </c>
      <c r="P196" s="169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0.32567920726585786</v>
      </c>
      <c r="S196" s="799">
        <f t="shared" si="55"/>
        <v>-1</v>
      </c>
      <c r="T196" s="176">
        <f t="shared" si="56"/>
        <v>5</v>
      </c>
      <c r="U196" s="250">
        <f t="shared" si="57"/>
        <v>-0.67432079273414214</v>
      </c>
      <c r="V196" s="382">
        <f t="shared" si="58"/>
        <v>56.978116778718892</v>
      </c>
      <c r="W196" s="400">
        <f t="shared" si="59"/>
        <v>47.476905593994488</v>
      </c>
      <c r="X196" s="157">
        <f t="shared" si="60"/>
        <v>46569</v>
      </c>
      <c r="Y196" s="383">
        <f t="shared" si="61"/>
        <v>45.747767565111602</v>
      </c>
      <c r="Z196" s="383">
        <f t="shared" si="62"/>
        <v>48.522950995888905</v>
      </c>
      <c r="AA196" s="384">
        <f t="shared" si="63"/>
        <v>51.234619809636136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5.2926494308390019E-2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0.85066677363983656</v>
      </c>
      <c r="AG196" s="799">
        <f t="shared" si="74"/>
        <v>2</v>
      </c>
      <c r="AH196" s="176">
        <f t="shared" si="67"/>
        <v>8</v>
      </c>
      <c r="AI196" s="224">
        <f t="shared" si="68"/>
        <v>2.8506667736398366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46570</v>
      </c>
      <c r="B197" s="409">
        <f>IF(t&gt;Tmaj,'2026'!Wh/'2026'!Env_an*'2027'!Env_an,0.001*[9]mois!$B$243)</f>
        <v>34.722012172368572</v>
      </c>
      <c r="C197" s="829"/>
      <c r="D197" s="391">
        <f t="shared" si="50"/>
        <v>36.829049251960889</v>
      </c>
      <c r="E197" s="383">
        <f t="shared" si="75"/>
        <v>37.47564541912508</v>
      </c>
      <c r="F197" s="383">
        <f t="shared" si="51"/>
        <v>37.47564541912508</v>
      </c>
      <c r="G197" s="110">
        <f t="shared" si="76"/>
        <v>0.61032830202047483</v>
      </c>
      <c r="H197" s="412" t="b">
        <f>Wh_hp&gt;='2026'!Maxi_hp</f>
        <v>0</v>
      </c>
      <c r="I197" s="388">
        <f>IF(H197,Wh_hp,'2026'!Maxi_hp)</f>
        <v>55.982473400012779</v>
      </c>
      <c r="J197" s="85">
        <f>IF(H197,An,'2026'!An_max)</f>
        <v>2021</v>
      </c>
      <c r="K197" s="197">
        <f t="shared" si="52"/>
        <v>46570</v>
      </c>
      <c r="L197" s="147">
        <f>IF(t&lt;Tvie,1-EXP((T0-t)*PertePVj)+'2026'!Pspv,1-EXP((T0-t)*PertePVj)+Pspv)</f>
        <v>5.7211280833705747E-2</v>
      </c>
      <c r="M197" s="832"/>
      <c r="N197" s="832"/>
      <c r="O197" s="48">
        <f>IF(t&lt;Tnet,'2026'!Resal+('2026'!Salim-'2026'!Resal)*(1-EXP(('2026'!Tnet-t)/('2026'!Tau_j))),Resal+(Salim-Resal)*(1-EXP((Tnet-t)/(Tau_j))))*Salcycl</f>
        <v>1.7253770013370136E-2</v>
      </c>
      <c r="P197" s="169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0.32993822257351846</v>
      </c>
      <c r="S197" s="799">
        <f t="shared" si="55"/>
        <v>-1</v>
      </c>
      <c r="T197" s="176">
        <f t="shared" si="56"/>
        <v>5</v>
      </c>
      <c r="U197" s="250">
        <f t="shared" si="57"/>
        <v>-0.67006177742648154</v>
      </c>
      <c r="V197" s="382">
        <f t="shared" si="58"/>
        <v>56.890712846548851</v>
      </c>
      <c r="W197" s="400">
        <f t="shared" si="59"/>
        <v>34.722012172368572</v>
      </c>
      <c r="X197" s="157">
        <f t="shared" si="60"/>
        <v>46570</v>
      </c>
      <c r="Y197" s="383">
        <f t="shared" si="61"/>
        <v>33.458393800824496</v>
      </c>
      <c r="Z197" s="383">
        <f t="shared" si="62"/>
        <v>35.488750682561914</v>
      </c>
      <c r="AA197" s="384">
        <f t="shared" si="63"/>
        <v>37.47564541912508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5.3018292662924536E-2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0.85492578894749727</v>
      </c>
      <c r="AG197" s="799">
        <f t="shared" si="74"/>
        <v>2</v>
      </c>
      <c r="AH197" s="176">
        <f t="shared" si="67"/>
        <v>8</v>
      </c>
      <c r="AI197" s="224">
        <f t="shared" si="68"/>
        <v>2.8549257889474973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46571</v>
      </c>
      <c r="B198" s="409">
        <f>IF(t&gt;Tmaj,'2026'!Wh/'2026'!Env_an*'2027'!Env_an,0.001*[9]mois!$B$244)</f>
        <v>49.339428152175159</v>
      </c>
      <c r="C198" s="829"/>
      <c r="D198" s="391">
        <f t="shared" si="50"/>
        <v>52.334497375841842</v>
      </c>
      <c r="E198" s="383">
        <f t="shared" si="75"/>
        <v>53.260020411249151</v>
      </c>
      <c r="F198" s="383">
        <f t="shared" si="51"/>
        <v>53.260020411249151</v>
      </c>
      <c r="G198" s="110">
        <f t="shared" si="76"/>
        <v>0.86862200511697973</v>
      </c>
      <c r="H198" s="412" t="b">
        <f>Wh_hp&gt;='2026'!Maxi_hp</f>
        <v>1</v>
      </c>
      <c r="I198" s="388">
        <f>IF(H198,Wh_hp,'2026'!Maxi_hp)</f>
        <v>53.260020411249151</v>
      </c>
      <c r="J198" s="85">
        <f>IF(H198,An,'2026'!An_max)</f>
        <v>2027</v>
      </c>
      <c r="K198" s="197">
        <f t="shared" si="52"/>
        <v>46571</v>
      </c>
      <c r="L198" s="147">
        <f>IF(t&lt;Tvie,1-EXP((T0-t)*PertePVj)+'2026'!Pspv,1-EXP((T0-t)*PertePVj)+Pspv)</f>
        <v>5.7229349164423904E-2</v>
      </c>
      <c r="M198" s="832"/>
      <c r="N198" s="832"/>
      <c r="O198" s="48">
        <f>IF(t&lt;Tnet,'2026'!Resal+('2026'!Salim-'2026'!Resal)*(1-EXP(('2026'!Tnet-t)/('2026'!Tau_j))),Resal+(Salim-Resal)*(1-EXP((Tnet-t)/(Tau_j))))*Salcycl</f>
        <v>1.7377444249191958E-2</v>
      </c>
      <c r="P198" s="169">
        <f>(INDEX(Models!$BJ198:$BT198,,T198)*(1-R198)+INDEX(Models!$BJ198:$BT198,,T198+1)*R198-ERP_i)*Q198*Ramure*Pc/MaxiM</f>
        <v>0</v>
      </c>
      <c r="Q198" s="304">
        <f t="shared" si="53"/>
        <v>0.6</v>
      </c>
      <c r="R198" s="177">
        <f t="shared" si="54"/>
        <v>0.33412374834081493</v>
      </c>
      <c r="S198" s="799">
        <f t="shared" si="55"/>
        <v>-1</v>
      </c>
      <c r="T198" s="176">
        <f t="shared" si="56"/>
        <v>5</v>
      </c>
      <c r="U198" s="250">
        <f t="shared" si="57"/>
        <v>-0.66587625165918507</v>
      </c>
      <c r="V198" s="382">
        <f t="shared" si="58"/>
        <v>56.801955121469071</v>
      </c>
      <c r="W198" s="400">
        <f t="shared" si="59"/>
        <v>49.339428152175159</v>
      </c>
      <c r="X198" s="157">
        <f t="shared" si="60"/>
        <v>46571</v>
      </c>
      <c r="Y198" s="383">
        <f t="shared" si="61"/>
        <v>47.545263532930967</v>
      </c>
      <c r="Z198" s="383">
        <f t="shared" si="62"/>
        <v>50.431420930203629</v>
      </c>
      <c r="AA198" s="384">
        <f t="shared" si="63"/>
        <v>53.260020411249151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5.3109245156205236E-2</v>
      </c>
      <c r="AD198" s="230">
        <f>(INDEX(Models!$BJ198:$BT198,,AH198)*(1-AF198)+INDEX(Models!$BJ198:$BT198,,AH198+1)*AF198-ERP_i)*AE198*Ramure*Pc/MaxiM</f>
        <v>0</v>
      </c>
      <c r="AE198" s="304">
        <f t="shared" si="65"/>
        <v>0.6</v>
      </c>
      <c r="AF198" s="177">
        <f t="shared" si="66"/>
        <v>0.85911131471479374</v>
      </c>
      <c r="AG198" s="799">
        <f t="shared" si="74"/>
        <v>2</v>
      </c>
      <c r="AH198" s="176">
        <f t="shared" si="67"/>
        <v>8</v>
      </c>
      <c r="AI198" s="224">
        <f t="shared" si="68"/>
        <v>2.8591113147147937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46572</v>
      </c>
      <c r="B199" s="409">
        <f>IF(t&gt;Tmaj,'2026'!Wh/'2026'!Env_an*'2027'!Env_an,0.001*[9]mois!$B$245)</f>
        <v>44.678867020266459</v>
      </c>
      <c r="C199" s="829"/>
      <c r="D199" s="391">
        <f t="shared" si="50"/>
        <v>47.391932764740602</v>
      </c>
      <c r="E199" s="383">
        <f t="shared" si="75"/>
        <v>48.236102227414882</v>
      </c>
      <c r="F199" s="383">
        <f t="shared" si="51"/>
        <v>48.236102227414882</v>
      </c>
      <c r="G199" s="110">
        <f t="shared" si="76"/>
        <v>0.78781973324448795</v>
      </c>
      <c r="H199" s="412" t="b">
        <f>Wh_hp&gt;='2026'!Maxi_hp</f>
        <v>0</v>
      </c>
      <c r="I199" s="388">
        <f>IF(H199,Wh_hp,'2026'!Maxi_hp)</f>
        <v>58.038793817867159</v>
      </c>
      <c r="J199" s="85">
        <f>IF(H199,An,'2026'!An_max)</f>
        <v>2018</v>
      </c>
      <c r="K199" s="197">
        <f t="shared" si="52"/>
        <v>46572</v>
      </c>
      <c r="L199" s="147">
        <f>IF(t&lt;Tvie,1-EXP((T0-t)*PertePVj)+'2026'!Pspv,1-EXP((T0-t)*PertePVj)+Pspv)</f>
        <v>5.7247417148866608E-2</v>
      </c>
      <c r="M199" s="832"/>
      <c r="N199" s="832"/>
      <c r="O199" s="48">
        <f>IF(t&lt;Tnet,'2026'!Resal+('2026'!Salim-'2026'!Resal)*(1-EXP(('2026'!Tnet-t)/('2026'!Tau_j))),Resal+(Salim-Resal)*(1-EXP((Tnet-t)/(Tau_j))))*Salcycl</f>
        <v>1.7500781026923439E-2</v>
      </c>
      <c r="P199" s="169">
        <f>(INDEX(Models!$BJ199:$BT199,,T199)*(1-R199)+INDEX(Models!$BJ199:$BT199,,T199+1)*R199-ERP_i)*Q199*Ramure*Pc/MaxiM</f>
        <v>0</v>
      </c>
      <c r="Q199" s="304">
        <f t="shared" si="53"/>
        <v>0.6</v>
      </c>
      <c r="R199" s="177">
        <f t="shared" si="54"/>
        <v>0.33823422856477203</v>
      </c>
      <c r="S199" s="799">
        <f t="shared" si="55"/>
        <v>-1</v>
      </c>
      <c r="T199" s="176">
        <f t="shared" si="56"/>
        <v>5</v>
      </c>
      <c r="U199" s="250">
        <f t="shared" si="57"/>
        <v>-0.66176577143522797</v>
      </c>
      <c r="V199" s="382">
        <f t="shared" si="58"/>
        <v>56.712043548674409</v>
      </c>
      <c r="W199" s="400">
        <f t="shared" si="59"/>
        <v>44.678867020266459</v>
      </c>
      <c r="X199" s="157">
        <f t="shared" si="60"/>
        <v>46572</v>
      </c>
      <c r="Y199" s="383">
        <f t="shared" si="61"/>
        <v>43.055484121394215</v>
      </c>
      <c r="Z199" s="383">
        <f t="shared" si="62"/>
        <v>45.669972063277761</v>
      </c>
      <c r="AA199" s="384">
        <f t="shared" si="63"/>
        <v>48.236102227414882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5.3199368225044272E-2</v>
      </c>
      <c r="AD199" s="230">
        <f>(INDEX(Models!$BJ199:$BT199,,AH199)*(1-AF199)+INDEX(Models!$BJ199:$BT199,,AH199+1)*AF199-ERP_i)*AE199*Ramure*Pc/MaxiM</f>
        <v>0</v>
      </c>
      <c r="AE199" s="304">
        <f t="shared" si="65"/>
        <v>0.6</v>
      </c>
      <c r="AF199" s="177">
        <f t="shared" si="66"/>
        <v>0.86322179493875062</v>
      </c>
      <c r="AG199" s="799">
        <f t="shared" si="74"/>
        <v>2</v>
      </c>
      <c r="AH199" s="176">
        <f t="shared" si="67"/>
        <v>8</v>
      </c>
      <c r="AI199" s="224">
        <f t="shared" si="68"/>
        <v>2.8632217949387506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46573</v>
      </c>
      <c r="B200" s="409">
        <f>IF(t&gt;Tmaj,'2026'!Wh/'2026'!Env_an*'2027'!Env_an,0.001*[9]mois!$B$246)</f>
        <v>55.695483554018061</v>
      </c>
      <c r="C200" s="829"/>
      <c r="D200" s="391">
        <f t="shared" si="50"/>
        <v>59.078651152850497</v>
      </c>
      <c r="E200" s="383">
        <f t="shared" si="75"/>
        <v>60.138519323498095</v>
      </c>
      <c r="F200" s="383">
        <f t="shared" si="51"/>
        <v>60.138519323498095</v>
      </c>
      <c r="G200" s="110">
        <f t="shared" si="76"/>
        <v>0.98365109316285049</v>
      </c>
      <c r="H200" s="412" t="b">
        <f>Wh_hp&gt;='2026'!Maxi_hp</f>
        <v>1</v>
      </c>
      <c r="I200" s="388">
        <f>IF(H200,Wh_hp,'2026'!Maxi_hp)</f>
        <v>60.138519323498095</v>
      </c>
      <c r="J200" s="85">
        <f>IF(H200,An,'2026'!An_max)</f>
        <v>2027</v>
      </c>
      <c r="K200" s="197">
        <f t="shared" si="52"/>
        <v>46573</v>
      </c>
      <c r="L200" s="147">
        <f>IF(t&lt;Tvie,1-EXP((T0-t)*PertePVj)+'2026'!Pspv,1-EXP((T0-t)*PertePVj)+Pspv)</f>
        <v>5.7265484787040521E-2</v>
      </c>
      <c r="M200" s="832"/>
      <c r="N200" s="832"/>
      <c r="O200" s="48">
        <f>IF(t&lt;Tnet,'2026'!Resal+('2026'!Salim-'2026'!Resal)*(1-EXP(('2026'!Tnet-t)/('2026'!Tau_j))),Resal+(Salim-Resal)*(1-EXP((Tnet-t)/(Tau_j))))*Salcycl</f>
        <v>1.7623782270832701E-2</v>
      </c>
      <c r="P200" s="169">
        <f>(INDEX(Models!$BJ200:$BT200,,T200)*(1-R200)+INDEX(Models!$BJ200:$BT200,,T200+1)*R200-ERP_i)*Q200*Ramure*Pc/MaxiM</f>
        <v>0</v>
      </c>
      <c r="Q200" s="304">
        <f t="shared" si="53"/>
        <v>0.6</v>
      </c>
      <c r="R200" s="177">
        <f t="shared" si="54"/>
        <v>0.34226828692474587</v>
      </c>
      <c r="S200" s="799">
        <f t="shared" si="55"/>
        <v>-1</v>
      </c>
      <c r="T200" s="176">
        <f t="shared" si="56"/>
        <v>5</v>
      </c>
      <c r="U200" s="250">
        <f t="shared" si="57"/>
        <v>-0.65773171307525413</v>
      </c>
      <c r="V200" s="382">
        <f t="shared" si="58"/>
        <v>56.621177916789321</v>
      </c>
      <c r="W200" s="400">
        <f t="shared" si="59"/>
        <v>55.695483554018061</v>
      </c>
      <c r="X200" s="157">
        <f t="shared" si="60"/>
        <v>46573</v>
      </c>
      <c r="Y200" s="383">
        <f t="shared" si="61"/>
        <v>53.673474385901145</v>
      </c>
      <c r="Z200" s="383">
        <f t="shared" si="62"/>
        <v>56.933817018226549</v>
      </c>
      <c r="AA200" s="384">
        <f t="shared" si="63"/>
        <v>60.138519323498095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5.3288679889718645E-2</v>
      </c>
      <c r="AD200" s="230">
        <f>(INDEX(Models!$BJ200:$BT200,,AH200)*(1-AF200)+INDEX(Models!$BJ200:$BT200,,AH200+1)*AF200-ERP_i)*AE200*Ramure*Pc/MaxiM</f>
        <v>0</v>
      </c>
      <c r="AE200" s="304">
        <f t="shared" si="65"/>
        <v>0.6</v>
      </c>
      <c r="AF200" s="177">
        <f t="shared" si="66"/>
        <v>0.86725585329872468</v>
      </c>
      <c r="AG200" s="799">
        <f t="shared" si="74"/>
        <v>2</v>
      </c>
      <c r="AH200" s="176">
        <f t="shared" si="67"/>
        <v>8</v>
      </c>
      <c r="AI200" s="224">
        <f t="shared" si="68"/>
        <v>2.8672558532987247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46574</v>
      </c>
      <c r="B201" s="409">
        <f>IF(t&gt;Tmaj,'2026'!Wh/'2026'!Env_an*'2027'!Env_an,0.001*[9]mois!$B$247)</f>
        <v>45.416799679340755</v>
      </c>
      <c r="C201" s="829"/>
      <c r="D201" s="391">
        <f t="shared" si="50"/>
        <v>48.176521985478715</v>
      </c>
      <c r="E201" s="383">
        <f t="shared" si="75"/>
        <v>49.046930919337697</v>
      </c>
      <c r="F201" s="383">
        <f t="shared" si="51"/>
        <v>49.046930919337697</v>
      </c>
      <c r="G201" s="110">
        <f t="shared" si="76"/>
        <v>0.80341685655393902</v>
      </c>
      <c r="H201" s="412" t="b">
        <f>Wh_hp&gt;='2026'!Maxi_hp</f>
        <v>0</v>
      </c>
      <c r="I201" s="388">
        <f>IF(H201,Wh_hp,'2026'!Maxi_hp)</f>
        <v>59.81714469792518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5.7283552078952304E-2</v>
      </c>
      <c r="M201" s="832"/>
      <c r="N201" s="832"/>
      <c r="O201" s="48">
        <f>IF(t&lt;Tnet,'2026'!Resal+('2026'!Salim-'2026'!Resal)*(1-EXP(('2026'!Tnet-t)/('2026'!Tau_j))),Resal+(Salim-Resal)*(1-EXP((Tnet-t)/(Tau_j))))*Salcycl</f>
        <v>1.7746450543265412E-2</v>
      </c>
      <c r="P201" s="169">
        <f>(INDEX(Models!$BJ201:$BT201,,T201)*(1-R201)+INDEX(Models!$BJ201:$BT201,,T201+1)*R201-ERP_i)*Q201*Ramure*Pc/MaxiM</f>
        <v>0</v>
      </c>
      <c r="Q201" s="304">
        <f t="shared" si="53"/>
        <v>0.6</v>
      </c>
      <c r="R201" s="177">
        <f t="shared" si="54"/>
        <v>0.34622472438587204</v>
      </c>
      <c r="S201" s="799">
        <f t="shared" si="55"/>
        <v>-1</v>
      </c>
      <c r="T201" s="176">
        <f t="shared" si="56"/>
        <v>5</v>
      </c>
      <c r="U201" s="250">
        <f t="shared" si="57"/>
        <v>-0.65377527561412796</v>
      </c>
      <c r="V201" s="382">
        <f t="shared" si="58"/>
        <v>56.529557861338702</v>
      </c>
      <c r="W201" s="400">
        <f t="shared" si="59"/>
        <v>45.416799679340755</v>
      </c>
      <c r="X201" s="157">
        <f t="shared" si="60"/>
        <v>46574</v>
      </c>
      <c r="Y201" s="383">
        <f t="shared" si="61"/>
        <v>43.769328317469117</v>
      </c>
      <c r="Z201" s="383">
        <f t="shared" si="62"/>
        <v>46.428943097357298</v>
      </c>
      <c r="AA201" s="384">
        <f t="shared" si="63"/>
        <v>49.046930919337697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5.3377199610836555E-2</v>
      </c>
      <c r="AD201" s="230">
        <f>(INDEX(Models!$BJ201:$BT201,,AH201)*(1-AF201)+INDEX(Models!$BJ201:$BT201,,AH201+1)*AF201-ERP_i)*AE201*Ramure*Pc/MaxiM</f>
        <v>0</v>
      </c>
      <c r="AE201" s="304">
        <f t="shared" si="65"/>
        <v>0.6</v>
      </c>
      <c r="AF201" s="177">
        <f t="shared" si="66"/>
        <v>0.87121229075985074</v>
      </c>
      <c r="AG201" s="799">
        <f t="shared" si="74"/>
        <v>2</v>
      </c>
      <c r="AH201" s="176">
        <f t="shared" si="67"/>
        <v>8</v>
      </c>
      <c r="AI201" s="224">
        <f t="shared" si="68"/>
        <v>2.8712122907598507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46575</v>
      </c>
      <c r="B202" s="409">
        <f>IF(t&gt;Tmaj,'2026'!Wh/'2026'!Env_an*'2027'!Env_an,0.001*[9]mois!$B$248)</f>
        <v>55.383073397100695</v>
      </c>
      <c r="C202" s="829"/>
      <c r="D202" s="391">
        <f t="shared" si="50"/>
        <v>58.749515767489612</v>
      </c>
      <c r="E202" s="383">
        <f t="shared" si="75"/>
        <v>59.818398101836763</v>
      </c>
      <c r="F202" s="383">
        <f t="shared" si="51"/>
        <v>59.818398101836763</v>
      </c>
      <c r="G202" s="110">
        <f t="shared" si="76"/>
        <v>0.98131895178301876</v>
      </c>
      <c r="H202" s="412" t="b">
        <f>Wh_hp&gt;='2026'!Maxi_hp</f>
        <v>1</v>
      </c>
      <c r="I202" s="388">
        <f>IF(H202,Wh_hp,'2026'!Maxi_hp)</f>
        <v>59.818398101836763</v>
      </c>
      <c r="J202" s="85">
        <f>IF(H202,An,'2026'!An_max)</f>
        <v>2027</v>
      </c>
      <c r="K202" s="197">
        <f t="shared" si="52"/>
        <v>46575</v>
      </c>
      <c r="L202" s="147">
        <f>IF(t&lt;Tvie,1-EXP((T0-t)*PertePVj)+'2026'!Pspv,1-EXP((T0-t)*PertePVj)+Pspv)</f>
        <v>5.7301619024608508E-2</v>
      </c>
      <c r="M202" s="832"/>
      <c r="N202" s="832"/>
      <c r="O202" s="48">
        <f>IF(t&lt;Tnet,'2026'!Resal+('2026'!Salim-'2026'!Resal)*(1-EXP(('2026'!Tnet-t)/('2026'!Tau_j))),Resal+(Salim-Resal)*(1-EXP((Tnet-t)/(Tau_j))))*Salcycl</f>
        <v>1.78687890058081E-2</v>
      </c>
      <c r="P202" s="169">
        <f>(INDEX(Models!$BJ202:$BT202,,T202)*(1-R202)+INDEX(Models!$BJ202:$BT202,,T202+1)*R202-ERP_i)*Q202*Ramure*Pc/MaxiM</f>
        <v>0</v>
      </c>
      <c r="Q202" s="304">
        <f t="shared" si="53"/>
        <v>0.6</v>
      </c>
      <c r="R202" s="177">
        <f t="shared" si="54"/>
        <v>0.35010251610091159</v>
      </c>
      <c r="S202" s="799">
        <f t="shared" si="55"/>
        <v>-1</v>
      </c>
      <c r="T202" s="176">
        <f t="shared" si="56"/>
        <v>5</v>
      </c>
      <c r="U202" s="250">
        <f t="shared" si="57"/>
        <v>-0.64989748389908841</v>
      </c>
      <c r="V202" s="382">
        <f t="shared" si="58"/>
        <v>56.437382867692278</v>
      </c>
      <c r="W202" s="400">
        <f t="shared" si="59"/>
        <v>55.383073397100695</v>
      </c>
      <c r="X202" s="157">
        <f t="shared" si="60"/>
        <v>46575</v>
      </c>
      <c r="Y202" s="383">
        <f t="shared" si="61"/>
        <v>53.375780815479608</v>
      </c>
      <c r="Z202" s="383">
        <f t="shared" si="62"/>
        <v>56.620210549478969</v>
      </c>
      <c r="AA202" s="384">
        <f t="shared" si="63"/>
        <v>59.818398101836763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5.3464948140421527E-2</v>
      </c>
      <c r="AD202" s="230">
        <f>(INDEX(Models!$BJ202:$BT202,,AH202)*(1-AF202)+INDEX(Models!$BJ202:$BT202,,AH202+1)*AF202-ERP_i)*AE202*Ramure*Pc/MaxiM</f>
        <v>-1.8929411117052292E-20</v>
      </c>
      <c r="AE202" s="304">
        <f t="shared" si="65"/>
        <v>0.6</v>
      </c>
      <c r="AF202" s="177">
        <f t="shared" si="66"/>
        <v>0.87509008247489017</v>
      </c>
      <c r="AG202" s="799">
        <f t="shared" si="74"/>
        <v>2</v>
      </c>
      <c r="AH202" s="176">
        <f t="shared" si="67"/>
        <v>8</v>
      </c>
      <c r="AI202" s="224">
        <f t="shared" si="68"/>
        <v>2.8750900824748902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46576</v>
      </c>
      <c r="B203" s="409">
        <f>IF(t&gt;Tmaj,'2026'!Wh/'2026'!Env_an*'2027'!Env_an,0.001*[9]mois!$B$249)</f>
        <v>57.201551360280796</v>
      </c>
      <c r="C203" s="829"/>
      <c r="D203" s="391">
        <f t="shared" si="50"/>
        <v>60.679692243436619</v>
      </c>
      <c r="E203" s="383">
        <f t="shared" si="75"/>
        <v>61.791368480597036</v>
      </c>
      <c r="F203" s="383">
        <f t="shared" si="51"/>
        <v>61.791368480597036</v>
      </c>
      <c r="G203" s="110">
        <f t="shared" si="76"/>
        <v>1.0152045670878949</v>
      </c>
      <c r="H203" s="412" t="b">
        <f>Wh_hp&gt;='2026'!Maxi_hp</f>
        <v>0</v>
      </c>
      <c r="I203" s="388">
        <f>IF(H203,Wh_hp,'2026'!Maxi_hp)</f>
        <v>63.269155638139843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5.7319685624015904E-2</v>
      </c>
      <c r="M203" s="832"/>
      <c r="N203" s="832"/>
      <c r="O203" s="48">
        <f>IF(t&lt;Tnet,'2026'!Resal+('2026'!Salim-'2026'!Resal)*(1-EXP(('2026'!Tnet-t)/('2026'!Tau_j))),Resal+(Salim-Resal)*(1-EXP((Tnet-t)/(Tau_j))))*Salcycl</f>
        <v>1.7990801377209993E-2</v>
      </c>
      <c r="P203" s="169">
        <f>(INDEX(Models!$BJ203:$BT203,,T203)*(1-R203)+INDEX(Models!$BJ203:$BT203,,T203+1)*R203-ERP_i)*Q203*Ramure*Pc/MaxiM</f>
        <v>0</v>
      </c>
      <c r="Q203" s="304">
        <f t="shared" si="53"/>
        <v>0.6</v>
      </c>
      <c r="R203" s="177">
        <f t="shared" si="54"/>
        <v>0.35390080766651399</v>
      </c>
      <c r="S203" s="799">
        <f t="shared" si="55"/>
        <v>-1</v>
      </c>
      <c r="T203" s="176">
        <f t="shared" si="56"/>
        <v>5</v>
      </c>
      <c r="U203" s="250">
        <f t="shared" si="57"/>
        <v>-0.64609919233348601</v>
      </c>
      <c r="V203" s="382">
        <f t="shared" si="58"/>
        <v>56.344852273825886</v>
      </c>
      <c r="W203" s="400">
        <f t="shared" si="59"/>
        <v>57.201551360280796</v>
      </c>
      <c r="X203" s="157">
        <f t="shared" si="60"/>
        <v>46576</v>
      </c>
      <c r="Y203" s="383">
        <f t="shared" si="61"/>
        <v>55.130132149853729</v>
      </c>
      <c r="Z203" s="383">
        <f t="shared" si="62"/>
        <v>58.482320367905025</v>
      </c>
      <c r="AA203" s="384">
        <f t="shared" si="63"/>
        <v>61.791368480597036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5.3551947368362225E-2</v>
      </c>
      <c r="AD203" s="230">
        <f>(INDEX(Models!$BJ203:$BT203,,AH203)*(1-AF203)+INDEX(Models!$BJ203:$BT203,,AH203+1)*AF203-ERP_i)*AE203*Ramure*Pc/MaxiM</f>
        <v>0</v>
      </c>
      <c r="AE203" s="304">
        <f t="shared" si="65"/>
        <v>0.6</v>
      </c>
      <c r="AF203" s="177">
        <f t="shared" si="66"/>
        <v>0.87888837404049269</v>
      </c>
      <c r="AG203" s="799">
        <f t="shared" si="74"/>
        <v>2</v>
      </c>
      <c r="AH203" s="176">
        <f t="shared" si="67"/>
        <v>8</v>
      </c>
      <c r="AI203" s="224">
        <f t="shared" si="68"/>
        <v>2.8788883740404927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46577</v>
      </c>
      <c r="B204" s="409">
        <f>IF(t&gt;Tmaj,'2026'!Wh/'2026'!Env_an*'2027'!Env_an,0.001*[9]mois!$B$250)</f>
        <v>56.523505446120616</v>
      </c>
      <c r="C204" s="829"/>
      <c r="D204" s="391">
        <f t="shared" si="50"/>
        <v>59.961566890664528</v>
      </c>
      <c r="E204" s="383">
        <f t="shared" si="75"/>
        <v>61.067654283520113</v>
      </c>
      <c r="F204" s="383">
        <f t="shared" si="51"/>
        <v>61.067654283520113</v>
      </c>
      <c r="G204" s="110">
        <f t="shared" si="76"/>
        <v>1.0048236395791403</v>
      </c>
      <c r="H204" s="412" t="b">
        <f>Wh_hp&gt;='2026'!Maxi_hp</f>
        <v>1</v>
      </c>
      <c r="I204" s="388">
        <f>IF(H204,Wh_hp,'2026'!Maxi_hp)</f>
        <v>61.067654283520113</v>
      </c>
      <c r="J204" s="85">
        <f>IF(H204,An,'2026'!An_max)</f>
        <v>2027</v>
      </c>
      <c r="K204" s="197">
        <f t="shared" si="52"/>
        <v>46577</v>
      </c>
      <c r="L204" s="147">
        <f>IF(t&lt;Tvie,1-EXP((T0-t)*PertePVj)+'2026'!Pspv,1-EXP((T0-t)*PertePVj)+Pspv)</f>
        <v>5.7337751877180931E-2</v>
      </c>
      <c r="M204" s="832"/>
      <c r="N204" s="832"/>
      <c r="O204" s="48">
        <f>IF(t&lt;Tnet,'2026'!Resal+('2026'!Salim-'2026'!Resal)*(1-EXP(('2026'!Tnet-t)/('2026'!Tau_j))),Resal+(Salim-Resal)*(1-EXP((Tnet-t)/(Tau_j))))*Salcycl</f>
        <v>1.8112491888427982E-2</v>
      </c>
      <c r="P204" s="169">
        <f>(INDEX(Models!$BJ204:$BT204,,T204)*(1-R204)+INDEX(Models!$BJ204:$BT204,,T204+1)*R204-ERP_i)*Q204*Ramure*Pc/MaxiM</f>
        <v>0</v>
      </c>
      <c r="Q204" s="304">
        <f t="shared" si="53"/>
        <v>0.6</v>
      </c>
      <c r="R204" s="177">
        <f t="shared" si="54"/>
        <v>0.35761891079196606</v>
      </c>
      <c r="S204" s="799">
        <f t="shared" si="55"/>
        <v>-1</v>
      </c>
      <c r="T204" s="176">
        <f t="shared" si="56"/>
        <v>5</v>
      </c>
      <c r="U204" s="250">
        <f t="shared" si="57"/>
        <v>-0.64238108920803394</v>
      </c>
      <c r="V204" s="382">
        <f t="shared" si="58"/>
        <v>56.252165275286401</v>
      </c>
      <c r="W204" s="400">
        <f t="shared" si="59"/>
        <v>56.523505446120616</v>
      </c>
      <c r="X204" s="157">
        <f t="shared" si="60"/>
        <v>46577</v>
      </c>
      <c r="Y204" s="383">
        <f t="shared" si="61"/>
        <v>54.478425251951499</v>
      </c>
      <c r="Z204" s="383">
        <f t="shared" si="62"/>
        <v>57.792093998075892</v>
      </c>
      <c r="AA204" s="384">
        <f t="shared" si="63"/>
        <v>61.067654283520113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5.3638220165403892E-2</v>
      </c>
      <c r="AD204" s="230">
        <f>(INDEX(Models!$BJ204:$BT204,,AH204)*(1-AF204)+INDEX(Models!$BJ204:$BT204,,AH204+1)*AF204-ERP_i)*AE204*Ramure*Pc/MaxiM</f>
        <v>0</v>
      </c>
      <c r="AE204" s="304">
        <f t="shared" si="65"/>
        <v>0.6</v>
      </c>
      <c r="AF204" s="177">
        <f t="shared" si="66"/>
        <v>0.88260647716594498</v>
      </c>
      <c r="AG204" s="799">
        <f t="shared" si="74"/>
        <v>2</v>
      </c>
      <c r="AH204" s="176">
        <f t="shared" si="67"/>
        <v>8</v>
      </c>
      <c r="AI204" s="224">
        <f t="shared" si="68"/>
        <v>2.882606477165945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46578</v>
      </c>
      <c r="B205" s="409">
        <f>IF(t&gt;Tmaj,'2026'!Wh/'2026'!Env_an*'2027'!Env_an,0.001*[9]mois!$B$251)</f>
        <v>55.821448475666017</v>
      </c>
      <c r="C205" s="829"/>
      <c r="D205" s="391">
        <f t="shared" si="50"/>
        <v>59.217941964533843</v>
      </c>
      <c r="E205" s="383">
        <f t="shared" si="75"/>
        <v>60.317768017858462</v>
      </c>
      <c r="F205" s="383">
        <f t="shared" si="51"/>
        <v>60.317768017858462</v>
      </c>
      <c r="G205" s="110">
        <f t="shared" si="76"/>
        <v>0.99398895981519897</v>
      </c>
      <c r="H205" s="412" t="b">
        <f>Wh_hp&gt;='2026'!Maxi_hp</f>
        <v>1</v>
      </c>
      <c r="I205" s="388">
        <f>IF(H205,Wh_hp,'2026'!Maxi_hp)</f>
        <v>60.317768017858462</v>
      </c>
      <c r="J205" s="85">
        <f>IF(H205,An,'2026'!An_max)</f>
        <v>2027</v>
      </c>
      <c r="K205" s="197">
        <f t="shared" si="52"/>
        <v>46578</v>
      </c>
      <c r="L205" s="147">
        <f>IF(t&lt;Tvie,1-EXP((T0-t)*PertePVj)+'2026'!Pspv,1-EXP((T0-t)*PertePVj)+Pspv)</f>
        <v>5.7355817784110363E-2</v>
      </c>
      <c r="M205" s="832"/>
      <c r="N205" s="832"/>
      <c r="O205" s="48">
        <f>IF(t&lt;Tnet,'2026'!Resal+('2026'!Salim-'2026'!Resal)*(1-EXP(('2026'!Tnet-t)/('2026'!Tau_j))),Resal+(Salim-Resal)*(1-EXP((Tnet-t)/(Tau_j))))*Salcycl</f>
        <v>1.8233865235182334E-2</v>
      </c>
      <c r="P205" s="169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0.36125629843979479</v>
      </c>
      <c r="S205" s="799">
        <f t="shared" si="55"/>
        <v>-1</v>
      </c>
      <c r="T205" s="176">
        <f t="shared" si="56"/>
        <v>5</v>
      </c>
      <c r="U205" s="250">
        <f t="shared" si="57"/>
        <v>-0.63874370156020521</v>
      </c>
      <c r="V205" s="382">
        <f t="shared" si="58"/>
        <v>56.159022617358104</v>
      </c>
      <c r="W205" s="400">
        <f t="shared" si="59"/>
        <v>55.821448475666017</v>
      </c>
      <c r="X205" s="157">
        <f t="shared" si="60"/>
        <v>46578</v>
      </c>
      <c r="Y205" s="383">
        <f t="shared" si="61"/>
        <v>53.803555467331527</v>
      </c>
      <c r="Z205" s="383">
        <f t="shared" si="62"/>
        <v>57.077268902094744</v>
      </c>
      <c r="AA205" s="384">
        <f t="shared" si="63"/>
        <v>60.317768017858462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5.3723790223873878E-2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0.88624386481377337</v>
      </c>
      <c r="AG205" s="799">
        <f t="shared" si="74"/>
        <v>2</v>
      </c>
      <c r="AH205" s="176">
        <f t="shared" si="67"/>
        <v>8</v>
      </c>
      <c r="AI205" s="224">
        <f t="shared" si="68"/>
        <v>2.8862438648137734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46579</v>
      </c>
      <c r="B206" s="409">
        <f>IF(t&gt;Tmaj,'2026'!Wh/'2026'!Env_an*'2027'!Env_an,0.001*[9]mois!$B$252)</f>
        <v>54.85760418119159</v>
      </c>
      <c r="C206" s="829"/>
      <c r="D206" s="391">
        <f t="shared" si="50"/>
        <v>58.196567241154</v>
      </c>
      <c r="E206" s="383">
        <f t="shared" si="75"/>
        <v>59.284734181309368</v>
      </c>
      <c r="F206" s="383">
        <f t="shared" si="51"/>
        <v>59.284734181309368</v>
      </c>
      <c r="G206" s="110">
        <f t="shared" si="76"/>
        <v>0.97846449096408616</v>
      </c>
      <c r="H206" s="412" t="b">
        <f>Wh_hp&gt;='2026'!Maxi_hp</f>
        <v>0</v>
      </c>
      <c r="I206" s="388">
        <f>IF(H206,Wh_hp,'2026'!Maxi_hp)</f>
        <v>60.058702365360794</v>
      </c>
      <c r="J206" s="85">
        <f>IF(H206,An,'2026'!An_max)</f>
        <v>2018</v>
      </c>
      <c r="K206" s="197">
        <f t="shared" si="52"/>
        <v>46579</v>
      </c>
      <c r="L206" s="147">
        <f>IF(t&lt;Tvie,1-EXP((T0-t)*PertePVj)+'2026'!Pspv,1-EXP((T0-t)*PertePVj)+Pspv)</f>
        <v>5.7373883344810861E-2</v>
      </c>
      <c r="M206" s="832"/>
      <c r="N206" s="832"/>
      <c r="O206" s="48">
        <f>IF(t&lt;Tnet,'2026'!Resal+('2026'!Salim-'2026'!Resal)*(1-EXP(('2026'!Tnet-t)/('2026'!Tau_j))),Resal+(Salim-Resal)*(1-EXP((Tnet-t)/(Tau_j))))*Salcycl</f>
        <v>1.8354926528428822E-2</v>
      </c>
      <c r="P206" s="169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0.36481259949815903</v>
      </c>
      <c r="S206" s="799">
        <f t="shared" si="55"/>
        <v>-1</v>
      </c>
      <c r="T206" s="176">
        <f t="shared" si="56"/>
        <v>5</v>
      </c>
      <c r="U206" s="250">
        <f t="shared" si="57"/>
        <v>-0.63518740050184097</v>
      </c>
      <c r="V206" s="382">
        <f t="shared" si="58"/>
        <v>56.064992330115224</v>
      </c>
      <c r="W206" s="400">
        <f t="shared" si="59"/>
        <v>54.85760418119159</v>
      </c>
      <c r="X206" s="157">
        <f t="shared" si="60"/>
        <v>46579</v>
      </c>
      <c r="Y206" s="383">
        <f t="shared" si="61"/>
        <v>52.876329959658179</v>
      </c>
      <c r="Z206" s="383">
        <f t="shared" si="62"/>
        <v>56.094700778378964</v>
      </c>
      <c r="AA206" s="384">
        <f t="shared" si="63"/>
        <v>59.284734181309368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5.3808681897339485E-2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0.88980016587213795</v>
      </c>
      <c r="AG206" s="799">
        <f t="shared" si="74"/>
        <v>2</v>
      </c>
      <c r="AH206" s="176">
        <f t="shared" si="67"/>
        <v>8</v>
      </c>
      <c r="AI206" s="224">
        <f t="shared" si="68"/>
        <v>2.8898001658721379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46580</v>
      </c>
      <c r="B207" s="409">
        <f>IF(t&gt;Tmaj,'2026'!Wh/'2026'!Env_an*'2027'!Env_an,0.001*[9]mois!$B$253)</f>
        <v>54.456976863158637</v>
      </c>
      <c r="C207" s="829"/>
      <c r="D207" s="391">
        <f t="shared" ref="D207:D270" si="77">Wh/(1-Ppv)</f>
        <v>57.772662539774537</v>
      </c>
      <c r="E207" s="383">
        <f t="shared" si="75"/>
        <v>58.860143794447765</v>
      </c>
      <c r="F207" s="383">
        <f t="shared" ref="F207:F270" si="78">Wh_sa/(1-Pvg*MEDIAN((-Sdif+Wh/Env_an)/Csdif,0,1))</f>
        <v>58.860143794447765</v>
      </c>
      <c r="G207" s="110">
        <f t="shared" si="76"/>
        <v>0.97296595427046195</v>
      </c>
      <c r="H207" s="412" t="b">
        <f>Wh_hp&gt;='2026'!Maxi_hp</f>
        <v>0</v>
      </c>
      <c r="I207" s="388">
        <f>IF(H207,Wh_hp,'2026'!Maxi_hp)</f>
        <v>60.040514635762435</v>
      </c>
      <c r="J207" s="85">
        <f>IF(H207,An,'2026'!An_max)</f>
        <v>2018</v>
      </c>
      <c r="K207" s="197">
        <f t="shared" ref="K207:K270" si="79">t</f>
        <v>46580</v>
      </c>
      <c r="L207" s="147">
        <f>IF(t&lt;Tvie,1-EXP((T0-t)*PertePVj)+'2026'!Pspv,1-EXP((T0-t)*PertePVj)+Pspv)</f>
        <v>5.7391948559288974E-2</v>
      </c>
      <c r="M207" s="832"/>
      <c r="N207" s="832"/>
      <c r="O207" s="48">
        <f>IF(t&lt;Tnet,'2026'!Resal+('2026'!Salim-'2026'!Resal)*(1-EXP(('2026'!Tnet-t)/('2026'!Tau_j))),Resal+(Salim-Resal)*(1-EXP((Tnet-t)/(Tau_j))))*Salcycl</f>
        <v>1.8475681243167643E-2</v>
      </c>
      <c r="P207" s="169">
        <f>(INDEX(Models!$BJ207:$BT207,,T207)*(1-R207)+INDEX(Models!$BJ207:$BT207,,T207+1)*R207-ERP_i)*Q207*Ramure*Pc/MaxiM</f>
        <v>1.9209594084307871E-20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0.36828759304487724</v>
      </c>
      <c r="S207" s="799">
        <f t="shared" ref="S207:S270" si="82">INDEX(Echel_vg,T207)</f>
        <v>-1</v>
      </c>
      <c r="T207" s="176">
        <f t="shared" ref="T207:T270" si="83">MIN(MATCH(Hp_vg,Echel_vg),10)</f>
        <v>5</v>
      </c>
      <c r="U207" s="250">
        <f t="shared" ref="U207:U270" si="84">IF(OR(t&lt;Ttai,Notai),Hdd+PousH*Croivg,Hdtf+PousH*(Croivg-Croi_tai))</f>
        <v>-0.63171240695512276</v>
      </c>
      <c r="V207" s="382">
        <f t="shared" ref="V207:V270" si="85">MaxiM*(1-Ppv)*(1-Pvg)*(1-Psa)</f>
        <v>55.970074414362152</v>
      </c>
      <c r="W207" s="400">
        <f t="shared" ref="W207:W270" si="86">Wh*(A207&gt;Tmaj)</f>
        <v>54.456976863158637</v>
      </c>
      <c r="X207" s="157">
        <f t="shared" ref="X207:X270" si="87">t</f>
        <v>46580</v>
      </c>
      <c r="Y207" s="383">
        <f t="shared" ref="Y207:Y270" si="88">Wh_pvt_s*(1-Ppv)</f>
        <v>52.491956010511622</v>
      </c>
      <c r="Z207" s="383">
        <f t="shared" ref="Z207:Z270" si="89">Wh_sa_s*(1-Psa_s)</f>
        <v>55.687998771367702</v>
      </c>
      <c r="AA207" s="384">
        <f t="shared" ref="AA207:AA270" si="90">Wh_hp*(1-Pvg_s*MEDIAN((-Sdif+Wh/Env_an)/Csdif,0,1))</f>
        <v>58.860143794447765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5.3892920040390632E-2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0.89327515941885594</v>
      </c>
      <c r="AG207" s="799">
        <f t="shared" si="74"/>
        <v>2</v>
      </c>
      <c r="AH207" s="176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2.8932751594188559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46581</v>
      </c>
      <c r="B208" s="409">
        <f>IF(t&gt;Tmaj,'2026'!Wh/'2026'!Env_an*'2027'!Env_an,0.001*[9]mois!$B$254)</f>
        <v>53.948573849095119</v>
      </c>
      <c r="C208" s="829"/>
      <c r="D208" s="391">
        <f t="shared" si="77"/>
        <v>57.234401614289339</v>
      </c>
      <c r="E208" s="383">
        <f t="shared" si="75"/>
        <v>58.31890790849031</v>
      </c>
      <c r="F208" s="383">
        <f t="shared" si="78"/>
        <v>58.31890790849031</v>
      </c>
      <c r="G208" s="110">
        <f t="shared" si="76"/>
        <v>0.96553520888761091</v>
      </c>
      <c r="H208" s="412" t="b">
        <f>Wh_hp&gt;='2026'!Maxi_hp</f>
        <v>1</v>
      </c>
      <c r="I208" s="388">
        <f>IF(H208,Wh_hp,'2026'!Maxi_hp)</f>
        <v>58.31890790849031</v>
      </c>
      <c r="J208" s="85">
        <f>IF(H208,An,'2026'!An_max)</f>
        <v>2027</v>
      </c>
      <c r="K208" s="197">
        <f t="shared" si="79"/>
        <v>46581</v>
      </c>
      <c r="L208" s="147">
        <f>IF(t&lt;Tvie,1-EXP((T0-t)*PertePVj)+'2026'!Pspv,1-EXP((T0-t)*PertePVj)+Pspv)</f>
        <v>5.7410013427551365E-2</v>
      </c>
      <c r="M208" s="832"/>
      <c r="N208" s="832"/>
      <c r="O208" s="48">
        <f>IF(t&lt;Tnet,'2026'!Resal+('2026'!Salim-'2026'!Resal)*(1-EXP(('2026'!Tnet-t)/('2026'!Tau_j))),Resal+(Salim-Resal)*(1-EXP((Tnet-t)/(Tau_j))))*Salcycl</f>
        <v>1.8596135166020232E-2</v>
      </c>
      <c r="P208" s="169">
        <f>(INDEX(Models!$BJ208:$BT208,,T208)*(1-R208)+INDEX(Models!$BJ208:$BT208,,T208+1)*R208-ERP_i)*Q208*Ramure*Pc/MaxiM</f>
        <v>-1.9260290932651752E-20</v>
      </c>
      <c r="Q208" s="304">
        <f t="shared" si="80"/>
        <v>0.6</v>
      </c>
      <c r="R208" s="177">
        <f t="shared" si="81"/>
        <v>0.37168120226222268</v>
      </c>
      <c r="S208" s="799">
        <f t="shared" si="82"/>
        <v>-1</v>
      </c>
      <c r="T208" s="176">
        <f t="shared" si="83"/>
        <v>5</v>
      </c>
      <c r="U208" s="250">
        <f t="shared" si="84"/>
        <v>-0.62831879773777732</v>
      </c>
      <c r="V208" s="382">
        <f t="shared" si="85"/>
        <v>55.874268853695192</v>
      </c>
      <c r="W208" s="400">
        <f t="shared" si="86"/>
        <v>53.948573849095119</v>
      </c>
      <c r="X208" s="157">
        <f t="shared" si="87"/>
        <v>46581</v>
      </c>
      <c r="Y208" s="383">
        <f t="shared" si="88"/>
        <v>52.003684590148879</v>
      </c>
      <c r="Z208" s="383">
        <f t="shared" si="89"/>
        <v>55.171055634964368</v>
      </c>
      <c r="AA208" s="384">
        <f t="shared" si="90"/>
        <v>58.31890790849031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5.3976529849724071E-2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0.89666876863620137</v>
      </c>
      <c r="AG208" s="799">
        <f t="shared" ref="AG208:AG271" si="99">INDEX(Echel_vg,AH208)</f>
        <v>2</v>
      </c>
      <c r="AH208" s="176">
        <f t="shared" si="94"/>
        <v>8</v>
      </c>
      <c r="AI208" s="224">
        <f t="shared" si="95"/>
        <v>2.8966687686362014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46582</v>
      </c>
      <c r="B209" s="409">
        <f>IF(t&gt;Tmaj,'2026'!Wh/'2026'!Env_an*'2027'!Env_an,0.001*[9]mois!$B$255)</f>
        <v>53.634650300238341</v>
      </c>
      <c r="C209" s="829"/>
      <c r="D209" s="391">
        <f t="shared" si="77"/>
        <v>56.90244855115759</v>
      </c>
      <c r="E209" s="383">
        <f t="shared" si="75"/>
        <v>57.987764622059281</v>
      </c>
      <c r="F209" s="383">
        <f t="shared" si="78"/>
        <v>57.987764622059281</v>
      </c>
      <c r="G209" s="110">
        <f t="shared" si="76"/>
        <v>0.96158088096967798</v>
      </c>
      <c r="H209" s="412" t="b">
        <f>Wh_hp&gt;='2026'!Maxi_hp</f>
        <v>0</v>
      </c>
      <c r="I209" s="388">
        <f>IF(H209,Wh_hp,'2026'!Maxi_hp)</f>
        <v>60.412493272450547</v>
      </c>
      <c r="J209" s="85">
        <f>IF(H209,An,'2026'!An_max)</f>
        <v>2018</v>
      </c>
      <c r="K209" s="197">
        <f t="shared" si="79"/>
        <v>46582</v>
      </c>
      <c r="L209" s="147">
        <f>IF(t&lt;Tvie,1-EXP((T0-t)*PertePVj)+'2026'!Pspv,1-EXP((T0-t)*PertePVj)+Pspv)</f>
        <v>5.7428077949604694E-2</v>
      </c>
      <c r="M209" s="832"/>
      <c r="N209" s="832"/>
      <c r="O209" s="48">
        <f>IF(t&lt;Tnet,'2026'!Resal+('2026'!Salim-'2026'!Resal)*(1-EXP(('2026'!Tnet-t)/('2026'!Tau_j))),Resal+(Salim-Resal)*(1-EXP((Tnet-t)/(Tau_j))))*Salcycl</f>
        <v>1.871629434201063E-2</v>
      </c>
      <c r="P209" s="169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0.3749934880603556</v>
      </c>
      <c r="S209" s="799">
        <f t="shared" si="82"/>
        <v>-1</v>
      </c>
      <c r="T209" s="176">
        <f t="shared" si="83"/>
        <v>5</v>
      </c>
      <c r="U209" s="250">
        <f t="shared" si="84"/>
        <v>-0.6250065119396444</v>
      </c>
      <c r="V209" s="382">
        <f t="shared" si="85"/>
        <v>55.777575617094264</v>
      </c>
      <c r="W209" s="400">
        <f t="shared" si="86"/>
        <v>53.634650300238341</v>
      </c>
      <c r="X209" s="157">
        <f t="shared" si="87"/>
        <v>46582</v>
      </c>
      <c r="Y209" s="383">
        <f t="shared" si="88"/>
        <v>51.70287212657751</v>
      </c>
      <c r="Z209" s="383">
        <f t="shared" si="89"/>
        <v>54.852972931876891</v>
      </c>
      <c r="AA209" s="384">
        <f t="shared" si="90"/>
        <v>57.987764622059281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5.4059536707677755E-2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0.89998105443433429</v>
      </c>
      <c r="AG209" s="799">
        <f t="shared" si="99"/>
        <v>2</v>
      </c>
      <c r="AH209" s="176">
        <f t="shared" si="94"/>
        <v>8</v>
      </c>
      <c r="AI209" s="224">
        <f t="shared" si="95"/>
        <v>2.8999810544343343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46583</v>
      </c>
      <c r="B210" s="409">
        <f>IF(t&gt;Tmaj,'2026'!Wh/'2026'!Env_an*'2027'!Env_an,0.001*[9]mois!$B$256)</f>
        <v>51.446727080727825</v>
      </c>
      <c r="C210" s="829"/>
      <c r="D210" s="391">
        <f t="shared" si="77"/>
        <v>54.582267793948681</v>
      </c>
      <c r="E210" s="383">
        <f t="shared" si="75"/>
        <v>55.630126027949622</v>
      </c>
      <c r="F210" s="383">
        <f t="shared" si="78"/>
        <v>55.630126027949622</v>
      </c>
      <c r="G210" s="110">
        <f t="shared" si="76"/>
        <v>0.92397148011035002</v>
      </c>
      <c r="H210" s="412" t="b">
        <f>Wh_hp&gt;='2026'!Maxi_hp</f>
        <v>0</v>
      </c>
      <c r="I210" s="388">
        <f>IF(H210,Wh_hp,'2026'!Maxi_hp)</f>
        <v>62.029169256698459</v>
      </c>
      <c r="J210" s="85">
        <f>IF(H210,An,'2026'!An_max)</f>
        <v>2018</v>
      </c>
      <c r="K210" s="197">
        <f t="shared" si="79"/>
        <v>46583</v>
      </c>
      <c r="L210" s="147">
        <f>IF(t&lt;Tvie,1-EXP((T0-t)*PertePVj)+'2026'!Pspv,1-EXP((T0-t)*PertePVj)+Pspv)</f>
        <v>5.7446142125455624E-2</v>
      </c>
      <c r="M210" s="832"/>
      <c r="N210" s="832"/>
      <c r="O210" s="48">
        <f>IF(t&lt;Tnet,'2026'!Resal+('2026'!Salim-'2026'!Resal)*(1-EXP(('2026'!Tnet-t)/('2026'!Tau_j))),Resal+(Salim-Resal)*(1-EXP((Tnet-t)/(Tau_j))))*Salcycl</f>
        <v>1.8836165020990135E-2</v>
      </c>
      <c r="P210" s="169">
        <f>(INDEX(Models!$BJ210:$BT210,,T210)*(1-R210)+INDEX(Models!$BJ210:$BT210,,T210+1)*R210-ERP_i)*Q210*Ramure*Pc/MaxiM</f>
        <v>-1.9357241086780245E-20</v>
      </c>
      <c r="Q210" s="304">
        <f t="shared" si="80"/>
        <v>0.6</v>
      </c>
      <c r="R210" s="177">
        <f t="shared" si="81"/>
        <v>0.37822464246550802</v>
      </c>
      <c r="S210" s="799">
        <f t="shared" si="82"/>
        <v>-1</v>
      </c>
      <c r="T210" s="176">
        <f t="shared" si="83"/>
        <v>5</v>
      </c>
      <c r="U210" s="250">
        <f t="shared" si="84"/>
        <v>-0.62177535753449198</v>
      </c>
      <c r="V210" s="382">
        <f t="shared" si="85"/>
        <v>55.679994662371548</v>
      </c>
      <c r="W210" s="400">
        <f t="shared" si="86"/>
        <v>51.446727080727825</v>
      </c>
      <c r="X210" s="157">
        <f t="shared" si="87"/>
        <v>46583</v>
      </c>
      <c r="Y210" s="383">
        <f t="shared" si="88"/>
        <v>49.595488944865195</v>
      </c>
      <c r="Z210" s="383">
        <f t="shared" si="89"/>
        <v>52.618201634337211</v>
      </c>
      <c r="AA210" s="384">
        <f t="shared" si="90"/>
        <v>55.630126027949622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5.4141966029326666E-2</v>
      </c>
      <c r="AD210" s="230">
        <f>(INDEX(Models!$BJ210:$BT210,,AH210)*(1-AF210)+INDEX(Models!$BJ210:$BT210,,AH210+1)*AF210-ERP_i)*AE210*Ramure*Pc/MaxiM</f>
        <v>0</v>
      </c>
      <c r="AE210" s="304">
        <f t="shared" si="92"/>
        <v>0.6</v>
      </c>
      <c r="AF210" s="177">
        <f t="shared" si="93"/>
        <v>0.90321220883948694</v>
      </c>
      <c r="AG210" s="799">
        <f t="shared" si="99"/>
        <v>2</v>
      </c>
      <c r="AH210" s="176">
        <f t="shared" si="94"/>
        <v>8</v>
      </c>
      <c r="AI210" s="224">
        <f t="shared" si="95"/>
        <v>2.9032122088394869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46584</v>
      </c>
      <c r="B211" s="409">
        <f>IF(t&gt;Tmaj,'2026'!Wh/'2026'!Env_an*'2027'!Env_an,0.001*[9]mois!$B$257)</f>
        <v>52.85770198151728</v>
      </c>
      <c r="C211" s="829"/>
      <c r="D211" s="391">
        <f t="shared" si="77"/>
        <v>56.080312615692421</v>
      </c>
      <c r="E211" s="383">
        <f t="shared" si="75"/>
        <v>57.163897369276832</v>
      </c>
      <c r="F211" s="383">
        <f t="shared" si="78"/>
        <v>57.163897369276832</v>
      </c>
      <c r="G211" s="110">
        <f t="shared" si="76"/>
        <v>0.9509940773932033</v>
      </c>
      <c r="H211" s="412" t="b">
        <f>Wh_hp&gt;='2026'!Maxi_hp</f>
        <v>0</v>
      </c>
      <c r="I211" s="388">
        <f>IF(H211,Wh_hp,'2026'!Maxi_hp)</f>
        <v>60.446549664611396</v>
      </c>
      <c r="J211" s="85">
        <f>IF(H211,An,'2026'!An_max)</f>
        <v>2018</v>
      </c>
      <c r="K211" s="197">
        <f t="shared" si="79"/>
        <v>46584</v>
      </c>
      <c r="L211" s="147">
        <f>IF(t&lt;Tvie,1-EXP((T0-t)*PertePVj)+'2026'!Pspv,1-EXP((T0-t)*PertePVj)+Pspv)</f>
        <v>5.7464205955110703E-2</v>
      </c>
      <c r="M211" s="832"/>
      <c r="N211" s="832"/>
      <c r="O211" s="48">
        <f>IF(t&lt;Tnet,'2026'!Resal+('2026'!Salim-'2026'!Resal)*(1-EXP(('2026'!Tnet-t)/('2026'!Tau_j))),Resal+(Salim-Resal)*(1-EXP((Tnet-t)/(Tau_j))))*Salcycl</f>
        <v>1.8955753604140965E-2</v>
      </c>
      <c r="P211" s="169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0.38137498182684948</v>
      </c>
      <c r="S211" s="799">
        <f t="shared" si="82"/>
        <v>-1</v>
      </c>
      <c r="T211" s="176">
        <f t="shared" si="83"/>
        <v>5</v>
      </c>
      <c r="U211" s="250">
        <f t="shared" si="84"/>
        <v>-0.61862501817315052</v>
      </c>
      <c r="V211" s="382">
        <f t="shared" si="85"/>
        <v>55.581525940105763</v>
      </c>
      <c r="W211" s="400">
        <f t="shared" si="86"/>
        <v>52.85770198151728</v>
      </c>
      <c r="X211" s="157">
        <f t="shared" si="87"/>
        <v>46584</v>
      </c>
      <c r="Y211" s="383">
        <f t="shared" si="88"/>
        <v>50.957491902686535</v>
      </c>
      <c r="Z211" s="383">
        <f t="shared" si="89"/>
        <v>54.064251166528777</v>
      </c>
      <c r="AA211" s="384">
        <f t="shared" si="90"/>
        <v>57.163897369276832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5.4223843114202738E-2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0.90636254820082796</v>
      </c>
      <c r="AG211" s="799">
        <f t="shared" si="99"/>
        <v>2</v>
      </c>
      <c r="AH211" s="176">
        <f t="shared" si="94"/>
        <v>8</v>
      </c>
      <c r="AI211" s="224">
        <f t="shared" si="95"/>
        <v>2.906362548200828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46585</v>
      </c>
      <c r="B212" s="409">
        <f>IF(t&gt;Tmaj,'2026'!Wh/'2026'!Env_an*'2027'!Env_an,0.001*[9]mois!$B$258)</f>
        <v>52.999105422002536</v>
      </c>
      <c r="C212" s="829"/>
      <c r="D212" s="391">
        <f t="shared" si="77"/>
        <v>56.231414755914358</v>
      </c>
      <c r="E212" s="383">
        <f t="shared" si="75"/>
        <v>57.324890866514231</v>
      </c>
      <c r="F212" s="383">
        <f t="shared" si="78"/>
        <v>57.324890866514231</v>
      </c>
      <c r="G212" s="110">
        <f t="shared" si="76"/>
        <v>0.95524573029177517</v>
      </c>
      <c r="H212" s="412" t="b">
        <f>Wh_hp&gt;='2026'!Maxi_hp</f>
        <v>0</v>
      </c>
      <c r="I212" s="388">
        <f>IF(H212,Wh_hp,'2026'!Maxi_hp)</f>
        <v>60.566791048252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5.7482269438576594E-2</v>
      </c>
      <c r="M212" s="832"/>
      <c r="N212" s="832"/>
      <c r="O212" s="48">
        <f>IF(t&lt;Tnet,'2026'!Resal+('2026'!Salim-'2026'!Resal)*(1-EXP(('2026'!Tnet-t)/('2026'!Tau_j))),Resal+(Salim-Resal)*(1-EXP((Tnet-t)/(Tau_j))))*Salcycl</f>
        <v>1.9075066590987937E-2</v>
      </c>
      <c r="P212" s="169">
        <f>(INDEX(Models!$BJ212:$BT212,,T212)*(1-R212)+INDEX(Models!$BJ212:$BT212,,T212+1)*R212-ERP_i)*Q212*Ramure*Pc/MaxiM</f>
        <v>0</v>
      </c>
      <c r="Q212" s="304">
        <f t="shared" si="80"/>
        <v>0.6</v>
      </c>
      <c r="R212" s="177">
        <f t="shared" si="81"/>
        <v>0.38444493989342576</v>
      </c>
      <c r="S212" s="799">
        <f t="shared" si="82"/>
        <v>-1</v>
      </c>
      <c r="T212" s="176">
        <f t="shared" si="83"/>
        <v>5</v>
      </c>
      <c r="U212" s="250">
        <f t="shared" si="84"/>
        <v>-0.61555506010657424</v>
      </c>
      <c r="V212" s="382">
        <f t="shared" si="85"/>
        <v>55.482169395108649</v>
      </c>
      <c r="W212" s="400">
        <f t="shared" si="86"/>
        <v>52.999105422002536</v>
      </c>
      <c r="X212" s="157">
        <f t="shared" si="87"/>
        <v>46585</v>
      </c>
      <c r="Y212" s="383">
        <f t="shared" si="88"/>
        <v>51.095631343424593</v>
      </c>
      <c r="Z212" s="383">
        <f t="shared" si="89"/>
        <v>54.21185160409533</v>
      </c>
      <c r="AA212" s="384">
        <f t="shared" si="90"/>
        <v>57.324890866514231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5.4305193003644357E-2</v>
      </c>
      <c r="AD212" s="230">
        <f>(INDEX(Models!$BJ212:$BT212,,AH212)*(1-AF212)+INDEX(Models!$BJ212:$BT212,,AH212+1)*AF212-ERP_i)*AE212*Ramure*Pc/MaxiM</f>
        <v>0</v>
      </c>
      <c r="AE212" s="304">
        <f t="shared" si="92"/>
        <v>0.6</v>
      </c>
      <c r="AF212" s="177">
        <f t="shared" si="93"/>
        <v>0.90943250626740468</v>
      </c>
      <c r="AG212" s="799">
        <f t="shared" si="99"/>
        <v>2</v>
      </c>
      <c r="AH212" s="176">
        <f t="shared" si="94"/>
        <v>8</v>
      </c>
      <c r="AI212" s="224">
        <f t="shared" si="95"/>
        <v>2.9094325062674047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46586</v>
      </c>
      <c r="B213" s="409">
        <f>IF(t&gt;Tmaj,'2026'!Wh/'2026'!Env_an*'2027'!Env_an,0.001*[9]mois!$B$259)</f>
        <v>55.196212619602221</v>
      </c>
      <c r="C213" s="829"/>
      <c r="D213" s="391">
        <f t="shared" si="77"/>
        <v>58.563641481650556</v>
      </c>
      <c r="E213" s="383">
        <f t="shared" si="75"/>
        <v>59.709716377353317</v>
      </c>
      <c r="F213" s="383">
        <f t="shared" si="78"/>
        <v>59.709716377353317</v>
      </c>
      <c r="G213" s="110">
        <f t="shared" si="76"/>
        <v>0.99664669742893386</v>
      </c>
      <c r="H213" s="412" t="b">
        <f>Wh_hp&gt;='2026'!Maxi_hp</f>
        <v>1</v>
      </c>
      <c r="I213" s="388">
        <f>IF(H213,Wh_hp,'2026'!Maxi_hp)</f>
        <v>59.709716377353317</v>
      </c>
      <c r="J213" s="85">
        <f>IF(H213,An,'2026'!An_max)</f>
        <v>2027</v>
      </c>
      <c r="K213" s="197">
        <f t="shared" si="79"/>
        <v>46586</v>
      </c>
      <c r="L213" s="147">
        <f>IF(t&lt;Tvie,1-EXP((T0-t)*PertePVj)+'2026'!Pspv,1-EXP((T0-t)*PertePVj)+Pspv)</f>
        <v>5.7500332575859958E-2</v>
      </c>
      <c r="M213" s="832"/>
      <c r="N213" s="832"/>
      <c r="O213" s="48">
        <f>IF(t&lt;Tnet,'2026'!Resal+('2026'!Salim-'2026'!Resal)*(1-EXP(('2026'!Tnet-t)/('2026'!Tau_j))),Resal+(Salim-Resal)*(1-EXP((Tnet-t)/(Tau_j))))*Salcycl</f>
        <v>1.9194110527335256E-2</v>
      </c>
      <c r="P213" s="169">
        <f>(INDEX(Models!$BJ213:$BT213,,T213)*(1-R213)+INDEX(Models!$BJ213:$BT213,,T213+1)*R213-ERP_i)*Q213*Ramure*Pc/MaxiM</f>
        <v>-1.9493036937755797E-20</v>
      </c>
      <c r="Q213" s="304">
        <f t="shared" si="80"/>
        <v>0.6</v>
      </c>
      <c r="R213" s="177">
        <f t="shared" si="81"/>
        <v>0.38743506080971613</v>
      </c>
      <c r="S213" s="799">
        <f t="shared" si="82"/>
        <v>-1</v>
      </c>
      <c r="T213" s="176">
        <f t="shared" si="83"/>
        <v>5</v>
      </c>
      <c r="U213" s="250">
        <f t="shared" si="84"/>
        <v>-0.61256493919028387</v>
      </c>
      <c r="V213" s="382">
        <f t="shared" si="85"/>
        <v>55.381924970998064</v>
      </c>
      <c r="W213" s="400">
        <f t="shared" si="86"/>
        <v>55.196212619602221</v>
      </c>
      <c r="X213" s="157">
        <f t="shared" si="87"/>
        <v>46586</v>
      </c>
      <c r="Y213" s="383">
        <f t="shared" si="88"/>
        <v>53.215737928796187</v>
      </c>
      <c r="Z213" s="383">
        <f t="shared" si="89"/>
        <v>56.462341333483195</v>
      </c>
      <c r="AA213" s="384">
        <f t="shared" si="90"/>
        <v>59.709716377353317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5.4386040344713137E-2</v>
      </c>
      <c r="AD213" s="230">
        <f>(INDEX(Models!$BJ213:$BT213,,AH213)*(1-AF213)+INDEX(Models!$BJ213:$BT213,,AH213+1)*AF213-ERP_i)*AE213*Ramure*Pc/MaxiM</f>
        <v>0</v>
      </c>
      <c r="AE213" s="304">
        <f t="shared" si="92"/>
        <v>0.6</v>
      </c>
      <c r="AF213" s="177">
        <f t="shared" si="93"/>
        <v>0.91242262718369505</v>
      </c>
      <c r="AG213" s="799">
        <f t="shared" si="99"/>
        <v>2</v>
      </c>
      <c r="AH213" s="176">
        <f t="shared" si="94"/>
        <v>8</v>
      </c>
      <c r="AI213" s="224">
        <f t="shared" si="95"/>
        <v>2.912422627183695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46587</v>
      </c>
      <c r="B214" s="409">
        <f>IF(t&gt;Tmaj,'2026'!Wh/'2026'!Env_an*'2027'!Env_an,0.001*[9]mois!$B$260)</f>
        <v>43.269342463798523</v>
      </c>
      <c r="C214" s="829"/>
      <c r="D214" s="391">
        <f t="shared" si="77"/>
        <v>45.910012727140703</v>
      </c>
      <c r="E214" s="383">
        <f t="shared" si="75"/>
        <v>46.814128941330054</v>
      </c>
      <c r="F214" s="383">
        <f t="shared" si="78"/>
        <v>46.814128941330054</v>
      </c>
      <c r="G214" s="110">
        <f t="shared" si="76"/>
        <v>0.78271928492841247</v>
      </c>
      <c r="H214" s="412" t="b">
        <f>Wh_hp&gt;='2026'!Maxi_hp</f>
        <v>0</v>
      </c>
      <c r="I214" s="388">
        <f>IF(H214,Wh_hp,'2026'!Maxi_hp)</f>
        <v>60.093272883435894</v>
      </c>
      <c r="J214" s="85">
        <f>IF(H214,An,'2026'!An_max)</f>
        <v>2020</v>
      </c>
      <c r="K214" s="197">
        <f t="shared" si="79"/>
        <v>46587</v>
      </c>
      <c r="L214" s="147">
        <f>IF(t&lt;Tvie,1-EXP((T0-t)*PertePVj)+'2026'!Pspv,1-EXP((T0-t)*PertePVj)+Pspv)</f>
        <v>5.7518395366967345E-2</v>
      </c>
      <c r="M214" s="832"/>
      <c r="N214" s="832"/>
      <c r="O214" s="48">
        <f>IF(t&lt;Tnet,'2026'!Resal+('2026'!Salim-'2026'!Resal)*(1-EXP(('2026'!Tnet-t)/('2026'!Tau_j))),Resal+(Salim-Resal)*(1-EXP((Tnet-t)/(Tau_j))))*Salcycl</f>
        <v>1.9312891954530214E-2</v>
      </c>
      <c r="P214" s="169">
        <f>(INDEX(Models!$BJ214:$BT214,,T214)*(1-R214)+INDEX(Models!$BJ214:$BT214,,T214+1)*R214-ERP_i)*Q214*Ramure*Pc/MaxiM</f>
        <v>0</v>
      </c>
      <c r="Q214" s="304">
        <f t="shared" si="80"/>
        <v>0.6</v>
      </c>
      <c r="R214" s="177">
        <f t="shared" si="81"/>
        <v>0.39034599207527987</v>
      </c>
      <c r="S214" s="799">
        <f t="shared" si="82"/>
        <v>-1</v>
      </c>
      <c r="T214" s="176">
        <f t="shared" si="83"/>
        <v>5</v>
      </c>
      <c r="U214" s="250">
        <f t="shared" si="84"/>
        <v>-0.60965400792472013</v>
      </c>
      <c r="V214" s="382">
        <f t="shared" si="85"/>
        <v>55.280792612329634</v>
      </c>
      <c r="W214" s="400">
        <f t="shared" si="86"/>
        <v>43.269342463798523</v>
      </c>
      <c r="X214" s="157">
        <f t="shared" si="87"/>
        <v>46587</v>
      </c>
      <c r="Y214" s="383">
        <f t="shared" si="88"/>
        <v>41.718318119045342</v>
      </c>
      <c r="Z214" s="383">
        <f t="shared" si="89"/>
        <v>44.264331435189028</v>
      </c>
      <c r="AA214" s="384">
        <f t="shared" si="90"/>
        <v>46.814128941330054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5.4466409261540928E-2</v>
      </c>
      <c r="AD214" s="230">
        <f>(INDEX(Models!$BJ214:$BT214,,AH214)*(1-AF214)+INDEX(Models!$BJ214:$BT214,,AH214+1)*AF214-ERP_i)*AE214*Ramure*Pc/MaxiM</f>
        <v>1.953612006557277E-20</v>
      </c>
      <c r="AE214" s="304">
        <f t="shared" si="92"/>
        <v>0.6</v>
      </c>
      <c r="AF214" s="177">
        <f t="shared" si="93"/>
        <v>0.91533355844925879</v>
      </c>
      <c r="AG214" s="799">
        <f t="shared" si="99"/>
        <v>2</v>
      </c>
      <c r="AH214" s="176">
        <f t="shared" si="94"/>
        <v>8</v>
      </c>
      <c r="AI214" s="224">
        <f t="shared" si="95"/>
        <v>2.9153335584492588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46588</v>
      </c>
      <c r="B215" s="409">
        <f>IF(t&gt;Tmaj,'2026'!Wh/'2026'!Env_an*'2027'!Env_an,0.001*[9]mois!$B$261)</f>
        <v>43.366834826337289</v>
      </c>
      <c r="C215" s="829"/>
      <c r="D215" s="391">
        <f t="shared" si="77"/>
        <v>46.014336772808818</v>
      </c>
      <c r="E215" s="383">
        <f t="shared" si="75"/>
        <v>46.926178940940737</v>
      </c>
      <c r="F215" s="383">
        <f t="shared" si="78"/>
        <v>46.926178940940737</v>
      </c>
      <c r="G215" s="110">
        <f t="shared" si="76"/>
        <v>0.78593330449409482</v>
      </c>
      <c r="H215" s="412" t="b">
        <f>Wh_hp&gt;='2026'!Maxi_hp</f>
        <v>0</v>
      </c>
      <c r="I215" s="388">
        <f>IF(H215,Wh_hp,'2026'!Maxi_hp)</f>
        <v>59.221861562396249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5.7536457811905528E-2</v>
      </c>
      <c r="M215" s="832"/>
      <c r="N215" s="832"/>
      <c r="O215" s="48">
        <f>IF(t&lt;Tnet,'2026'!Resal+('2026'!Salim-'2026'!Resal)*(1-EXP(('2026'!Tnet-t)/('2026'!Tau_j))),Resal+(Salim-Resal)*(1-EXP((Tnet-t)/(Tau_j))))*Salcycl</f>
        <v>1.9431417360435976E-2</v>
      </c>
      <c r="P215" s="169">
        <f>(INDEX(Models!$BJ215:$BT215,,T215)*(1-R215)+INDEX(Models!$BJ215:$BT215,,T215+1)*R215-ERP_i)*Q215*Ramure*Pc/MaxiM</f>
        <v>1.9578266917535816E-20</v>
      </c>
      <c r="Q215" s="304">
        <f t="shared" si="80"/>
        <v>0.6</v>
      </c>
      <c r="R215" s="177">
        <f t="shared" si="81"/>
        <v>0.393178477510715</v>
      </c>
      <c r="S215" s="799">
        <f t="shared" si="82"/>
        <v>-1</v>
      </c>
      <c r="T215" s="176">
        <f t="shared" si="83"/>
        <v>5</v>
      </c>
      <c r="U215" s="250">
        <f t="shared" si="84"/>
        <v>-0.606821522489285</v>
      </c>
      <c r="V215" s="382">
        <f t="shared" si="85"/>
        <v>55.17877226777216</v>
      </c>
      <c r="W215" s="400">
        <f t="shared" si="86"/>
        <v>43.366834826337289</v>
      </c>
      <c r="X215" s="157">
        <f t="shared" si="87"/>
        <v>46588</v>
      </c>
      <c r="Y215" s="383">
        <f t="shared" si="88"/>
        <v>41.813835525767765</v>
      </c>
      <c r="Z215" s="383">
        <f t="shared" si="89"/>
        <v>44.366528416250041</v>
      </c>
      <c r="AA215" s="384">
        <f t="shared" si="90"/>
        <v>46.926178940940737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5.4546323234886986E-2</v>
      </c>
      <c r="AD215" s="230">
        <f>(INDEX(Models!$BJ215:$BT215,,AH215)*(1-AF215)+INDEX(Models!$BJ215:$BT215,,AH215+1)*AF215-ERP_i)*AE215*Ramure*Pc/MaxiM</f>
        <v>0</v>
      </c>
      <c r="AE215" s="304">
        <f t="shared" si="92"/>
        <v>0.6</v>
      </c>
      <c r="AF215" s="177">
        <f t="shared" si="93"/>
        <v>0.91816604388469392</v>
      </c>
      <c r="AG215" s="799">
        <f t="shared" si="99"/>
        <v>2</v>
      </c>
      <c r="AH215" s="176">
        <f t="shared" si="94"/>
        <v>8</v>
      </c>
      <c r="AI215" s="224">
        <f t="shared" si="95"/>
        <v>2.9181660438846939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46589</v>
      </c>
      <c r="B216" s="409">
        <f>IF(t&gt;Tmaj,'2026'!Wh/'2026'!Env_an*'2027'!Env_an,0.001*[9]mois!$B$262)</f>
        <v>52.459927969598112</v>
      </c>
      <c r="C216" s="829"/>
      <c r="D216" s="391">
        <f t="shared" si="77"/>
        <v>55.663620949857282</v>
      </c>
      <c r="E216" s="383">
        <f t="shared" si="75"/>
        <v>56.773525960432146</v>
      </c>
      <c r="F216" s="383">
        <f t="shared" si="78"/>
        <v>56.773525960432146</v>
      </c>
      <c r="G216" s="110">
        <f t="shared" si="76"/>
        <v>0.95250304329432034</v>
      </c>
      <c r="H216" s="412" t="b">
        <f>Wh_hp&gt;='2026'!Maxi_hp</f>
        <v>1</v>
      </c>
      <c r="I216" s="388">
        <f>IF(H216,Wh_hp,'2026'!Maxi_hp)</f>
        <v>56.773525960432146</v>
      </c>
      <c r="J216" s="85">
        <f>IF(H216,An,'2026'!An_max)</f>
        <v>2027</v>
      </c>
      <c r="K216" s="197">
        <f t="shared" si="79"/>
        <v>46589</v>
      </c>
      <c r="L216" s="147">
        <f>IF(t&lt;Tvie,1-EXP((T0-t)*PertePVj)+'2026'!Pspv,1-EXP((T0-t)*PertePVj)+Pspv)</f>
        <v>5.7554519910681168E-2</v>
      </c>
      <c r="M216" s="832"/>
      <c r="N216" s="832"/>
      <c r="O216" s="48">
        <f>IF(t&lt;Tnet,'2026'!Resal+('2026'!Salim-'2026'!Resal)*(1-EXP(('2026'!Tnet-t)/('2026'!Tau_j))),Resal+(Salim-Resal)*(1-EXP((Tnet-t)/(Tau_j))))*Salcycl</f>
        <v>1.9549693132471697E-2</v>
      </c>
      <c r="P216" s="169">
        <f>(INDEX(Models!$BJ216:$BT216,,T216)*(1-R216)+INDEX(Models!$BJ216:$BT216,,T216+1)*R216-ERP_i)*Q216*Ramure*Pc/MaxiM</f>
        <v>0</v>
      </c>
      <c r="Q216" s="304">
        <f t="shared" si="80"/>
        <v>0.6</v>
      </c>
      <c r="R216" s="177">
        <f t="shared" si="81"/>
        <v>0.39593335026877496</v>
      </c>
      <c r="S216" s="799">
        <f t="shared" si="82"/>
        <v>-1</v>
      </c>
      <c r="T216" s="176">
        <f t="shared" si="83"/>
        <v>5</v>
      </c>
      <c r="U216" s="250">
        <f t="shared" si="84"/>
        <v>-0.60406664973122504</v>
      </c>
      <c r="V216" s="382">
        <f t="shared" si="85"/>
        <v>55.075863892424508</v>
      </c>
      <c r="W216" s="400">
        <f t="shared" si="86"/>
        <v>52.459927969598112</v>
      </c>
      <c r="X216" s="157">
        <f t="shared" si="87"/>
        <v>46589</v>
      </c>
      <c r="Y216" s="383">
        <f t="shared" si="88"/>
        <v>50.583147179544945</v>
      </c>
      <c r="Z216" s="383">
        <f t="shared" si="89"/>
        <v>53.672226402689105</v>
      </c>
      <c r="AA216" s="384">
        <f t="shared" si="90"/>
        <v>56.773525960432146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5.4625804990594926E-2</v>
      </c>
      <c r="AD216" s="230">
        <f>(INDEX(Models!$BJ216:$BT216,,AH216)*(1-AF216)+INDEX(Models!$BJ216:$BT216,,AH216+1)*AF216-ERP_i)*AE216*Ramure*Pc/MaxiM</f>
        <v>0</v>
      </c>
      <c r="AE216" s="304">
        <f t="shared" si="92"/>
        <v>0.6</v>
      </c>
      <c r="AF216" s="177">
        <f t="shared" si="93"/>
        <v>0.92092091664275388</v>
      </c>
      <c r="AG216" s="799">
        <f t="shared" si="99"/>
        <v>2</v>
      </c>
      <c r="AH216" s="176">
        <f t="shared" si="94"/>
        <v>8</v>
      </c>
      <c r="AI216" s="224">
        <f t="shared" si="95"/>
        <v>2.9209209166427539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46590</v>
      </c>
      <c r="B217" s="409">
        <f>IF(t&gt;Tmaj,'2026'!Wh/'2026'!Env_an*'2027'!Env_an,0.001*[9]mois!$B$263)</f>
        <v>44.092978012677982</v>
      </c>
      <c r="C217" s="829"/>
      <c r="D217" s="391">
        <f t="shared" si="77"/>
        <v>46.786603567305136</v>
      </c>
      <c r="E217" s="383">
        <f t="shared" si="75"/>
        <v>47.725250698076486</v>
      </c>
      <c r="F217" s="383">
        <f t="shared" si="78"/>
        <v>47.725250698076486</v>
      </c>
      <c r="G217" s="110">
        <f t="shared" si="76"/>
        <v>0.80209786637045499</v>
      </c>
      <c r="H217" s="412" t="b">
        <f>Wh_hp&gt;='2026'!Maxi_hp</f>
        <v>0</v>
      </c>
      <c r="I217" s="388">
        <f>IF(H217,Wh_hp,'2026'!Maxi_hp)</f>
        <v>55.683659624670192</v>
      </c>
      <c r="J217" s="85">
        <f>IF(H217,An,'2026'!An_max)</f>
        <v>2021</v>
      </c>
      <c r="K217" s="197">
        <f t="shared" si="79"/>
        <v>46590</v>
      </c>
      <c r="L217" s="147">
        <f>IF(t&lt;Tvie,1-EXP((T0-t)*PertePVj)+'2026'!Pspv,1-EXP((T0-t)*PertePVj)+Pspv)</f>
        <v>5.7572581663300704E-2</v>
      </c>
      <c r="M217" s="832"/>
      <c r="N217" s="832"/>
      <c r="O217" s="48">
        <f>IF(t&lt;Tnet,'2026'!Resal+('2026'!Salim-'2026'!Resal)*(1-EXP(('2026'!Tnet-t)/('2026'!Tau_j))),Resal+(Salim-Resal)*(1-EXP((Tnet-t)/(Tau_j))))*Salcycl</f>
        <v>1.9667725513051706E-2</v>
      </c>
      <c r="P217" s="169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0.39861152592605409</v>
      </c>
      <c r="S217" s="799">
        <f t="shared" si="82"/>
        <v>-1</v>
      </c>
      <c r="T217" s="176">
        <f t="shared" si="83"/>
        <v>5</v>
      </c>
      <c r="U217" s="250">
        <f t="shared" si="84"/>
        <v>-0.60138847407394591</v>
      </c>
      <c r="V217" s="382">
        <f t="shared" si="85"/>
        <v>54.972067451321841</v>
      </c>
      <c r="W217" s="400">
        <f t="shared" si="86"/>
        <v>44.092978012677982</v>
      </c>
      <c r="X217" s="157">
        <f t="shared" si="87"/>
        <v>46590</v>
      </c>
      <c r="Y217" s="383">
        <f t="shared" si="88"/>
        <v>42.517091587450047</v>
      </c>
      <c r="Z217" s="383">
        <f t="shared" si="89"/>
        <v>45.114446757596397</v>
      </c>
      <c r="AA217" s="384">
        <f t="shared" si="90"/>
        <v>47.725250698076486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5.4704876397544296E-2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0.92359909230003279</v>
      </c>
      <c r="AG217" s="799">
        <f t="shared" si="99"/>
        <v>2</v>
      </c>
      <c r="AH217" s="176">
        <f t="shared" si="94"/>
        <v>8</v>
      </c>
      <c r="AI217" s="224">
        <f t="shared" si="95"/>
        <v>2.9235990923000328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46591</v>
      </c>
      <c r="B218" s="409">
        <f>IF(t&gt;Tmaj,'2026'!Wh/'2026'!Env_an*'2027'!Env_an,0.001*[9]mois!$B$264)</f>
        <v>44.046103213027337</v>
      </c>
      <c r="C218" s="829"/>
      <c r="D218" s="391">
        <f t="shared" si="77"/>
        <v>46.737760920054477</v>
      </c>
      <c r="E218" s="383">
        <f t="shared" si="75"/>
        <v>47.681157440815845</v>
      </c>
      <c r="F218" s="383">
        <f t="shared" si="78"/>
        <v>47.681157440815845</v>
      </c>
      <c r="G218" s="110">
        <f t="shared" si="76"/>
        <v>0.80277390443400365</v>
      </c>
      <c r="H218" s="412" t="b">
        <f>Wh_hp&gt;='2026'!Maxi_hp</f>
        <v>0</v>
      </c>
      <c r="I218" s="388">
        <f>IF(H218,Wh_hp,'2026'!Maxi_hp)</f>
        <v>57.020157721480658</v>
      </c>
      <c r="J218" s="85">
        <f>IF(H218,An,'2026'!An_max)</f>
        <v>2018</v>
      </c>
      <c r="K218" s="197">
        <f t="shared" si="79"/>
        <v>46591</v>
      </c>
      <c r="L218" s="147">
        <f>IF(t&lt;Tvie,1-EXP((T0-t)*PertePVj)+'2026'!Pspv,1-EXP((T0-t)*PertePVj)+Pspv)</f>
        <v>5.7590643069770797E-2</v>
      </c>
      <c r="M218" s="832"/>
      <c r="N218" s="832"/>
      <c r="O218" s="48">
        <f>IF(t&lt;Tnet,'2026'!Resal+('2026'!Salim-'2026'!Resal)*(1-EXP(('2026'!Tnet-t)/('2026'!Tau_j))),Resal+(Salim-Resal)*(1-EXP((Tnet-t)/(Tau_j))))*Salcycl</f>
        <v>1.9785520557724662E-2</v>
      </c>
      <c r="P218" s="169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0.4012139956871863</v>
      </c>
      <c r="S218" s="799">
        <f t="shared" si="82"/>
        <v>-1</v>
      </c>
      <c r="T218" s="176">
        <f t="shared" si="83"/>
        <v>5</v>
      </c>
      <c r="U218" s="250">
        <f t="shared" si="84"/>
        <v>-0.5987860043128137</v>
      </c>
      <c r="V218" s="382">
        <f t="shared" si="85"/>
        <v>54.867382920328083</v>
      </c>
      <c r="W218" s="400">
        <f t="shared" si="86"/>
        <v>44.046103213027337</v>
      </c>
      <c r="X218" s="157">
        <f t="shared" si="87"/>
        <v>46591</v>
      </c>
      <c r="Y218" s="383">
        <f t="shared" si="88"/>
        <v>42.473460471760902</v>
      </c>
      <c r="Z218" s="383">
        <f t="shared" si="89"/>
        <v>45.069013968741189</v>
      </c>
      <c r="AA218" s="384">
        <f t="shared" si="90"/>
        <v>47.681157440815845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5.4783558375590451E-2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0.926201562061165</v>
      </c>
      <c r="AG218" s="799">
        <f t="shared" si="99"/>
        <v>2</v>
      </c>
      <c r="AH218" s="176">
        <f t="shared" si="94"/>
        <v>8</v>
      </c>
      <c r="AI218" s="224">
        <f t="shared" si="95"/>
        <v>2.926201562061165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46592</v>
      </c>
      <c r="B219" s="409">
        <f>IF(t&gt;Tmaj,'2026'!Wh/'2026'!Env_an*'2027'!Env_an,0.001*[9]mois!$B$265)</f>
        <v>52.707096160945767</v>
      </c>
      <c r="C219" s="829"/>
      <c r="D219" s="391">
        <f t="shared" si="77"/>
        <v>55.929099082237329</v>
      </c>
      <c r="E219" s="383">
        <f t="shared" si="75"/>
        <v>57.064865907333974</v>
      </c>
      <c r="F219" s="383">
        <f t="shared" si="78"/>
        <v>57.064865907333974</v>
      </c>
      <c r="G219" s="110">
        <f t="shared" si="76"/>
        <v>0.96247528086777845</v>
      </c>
      <c r="H219" s="412" t="b">
        <f>Wh_hp&gt;='2026'!Maxi_hp</f>
        <v>0</v>
      </c>
      <c r="I219" s="388">
        <f>IF(H219,Wh_hp,'2026'!Maxi_hp)</f>
        <v>57.130225133334037</v>
      </c>
      <c r="J219" s="85">
        <f>IF(H219,An,'2026'!An_max)</f>
        <v>2018</v>
      </c>
      <c r="K219" s="197">
        <f t="shared" si="79"/>
        <v>46592</v>
      </c>
      <c r="L219" s="147">
        <f>IF(t&lt;Tvie,1-EXP((T0-t)*PertePVj)+'2026'!Pspv,1-EXP((T0-t)*PertePVj)+Pspv)</f>
        <v>5.7608704130098332E-2</v>
      </c>
      <c r="M219" s="832"/>
      <c r="N219" s="832"/>
      <c r="O219" s="48">
        <f>IF(t&lt;Tnet,'2026'!Resal+('2026'!Salim-'2026'!Resal)*(1-EXP(('2026'!Tnet-t)/('2026'!Tau_j))),Resal+(Salim-Resal)*(1-EXP((Tnet-t)/(Tau_j))))*Salcycl</f>
        <v>1.99030840962806E-2</v>
      </c>
      <c r="P219" s="169">
        <f>(INDEX(Models!$BJ219:$BT219,,T219)*(1-R219)+INDEX(Models!$BJ219:$BT219,,T219+1)*R219-ERP_i)*Q219*Ramure*Pc/MaxiM</f>
        <v>0</v>
      </c>
      <c r="Q219" s="304">
        <f t="shared" si="80"/>
        <v>0.6</v>
      </c>
      <c r="R219" s="177">
        <f t="shared" si="81"/>
        <v>0.40374181973006351</v>
      </c>
      <c r="S219" s="799">
        <f t="shared" si="82"/>
        <v>-1</v>
      </c>
      <c r="T219" s="176">
        <f t="shared" si="83"/>
        <v>5</v>
      </c>
      <c r="U219" s="250">
        <f t="shared" si="84"/>
        <v>-0.59625818026993649</v>
      </c>
      <c r="V219" s="382">
        <f t="shared" si="85"/>
        <v>54.762025798132143</v>
      </c>
      <c r="W219" s="400">
        <f t="shared" si="86"/>
        <v>52.707096160945767</v>
      </c>
      <c r="X219" s="157">
        <f t="shared" si="87"/>
        <v>46592</v>
      </c>
      <c r="Y219" s="383">
        <f t="shared" si="88"/>
        <v>50.827102352888886</v>
      </c>
      <c r="Z219" s="383">
        <f t="shared" si="89"/>
        <v>53.934180605914293</v>
      </c>
      <c r="AA219" s="384">
        <f t="shared" si="90"/>
        <v>57.064865907333974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5.4861870813882545E-2</v>
      </c>
      <c r="AD219" s="230">
        <f>(INDEX(Models!$BJ219:$BT219,,AH219)*(1-AF219)+INDEX(Models!$BJ219:$BT219,,AH219+1)*AF219-ERP_i)*AE219*Ramure*Pc/MaxiM</f>
        <v>0</v>
      </c>
      <c r="AE219" s="304">
        <f t="shared" si="92"/>
        <v>0.6</v>
      </c>
      <c r="AF219" s="177">
        <f t="shared" si="93"/>
        <v>0.92872938610404221</v>
      </c>
      <c r="AG219" s="799">
        <f t="shared" si="99"/>
        <v>2</v>
      </c>
      <c r="AH219" s="176">
        <f t="shared" si="94"/>
        <v>8</v>
      </c>
      <c r="AI219" s="224">
        <f t="shared" si="95"/>
        <v>2.9287293861040422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46593</v>
      </c>
      <c r="B220" s="409">
        <f>IF(t&gt;Tmaj,'2026'!Wh/'2026'!Env_an*'2027'!Env_an,0.001*[9]mois!$B$266)</f>
        <v>25.884956488347036</v>
      </c>
      <c r="C220" s="829"/>
      <c r="D220" s="391">
        <f t="shared" si="77"/>
        <v>27.467839198627079</v>
      </c>
      <c r="E220" s="383">
        <f t="shared" si="75"/>
        <v>28.028991426733494</v>
      </c>
      <c r="F220" s="383">
        <f t="shared" si="78"/>
        <v>28.028991426733494</v>
      </c>
      <c r="G220" s="110">
        <f t="shared" si="76"/>
        <v>0.47359645295049035</v>
      </c>
      <c r="H220" s="412" t="b">
        <f>Wh_hp&gt;='2026'!Maxi_hp</f>
        <v>0</v>
      </c>
      <c r="I220" s="388">
        <f>IF(H220,Wh_hp,'2026'!Maxi_hp)</f>
        <v>58.039813998105629</v>
      </c>
      <c r="J220" s="85">
        <f>IF(H220,An,'2026'!An_max)</f>
        <v>2018</v>
      </c>
      <c r="K220" s="197">
        <f t="shared" si="79"/>
        <v>46593</v>
      </c>
      <c r="L220" s="147">
        <f>IF(t&lt;Tvie,1-EXP((T0-t)*PertePVj)+'2026'!Pspv,1-EXP((T0-t)*PertePVj)+Pspv)</f>
        <v>5.7626764844289635E-2</v>
      </c>
      <c r="M220" s="832"/>
      <c r="N220" s="832"/>
      <c r="O220" s="48">
        <f>IF(t&lt;Tnet,'2026'!Resal+('2026'!Salim-'2026'!Resal)*(1-EXP(('2026'!Tnet-t)/('2026'!Tau_j))),Resal+(Salim-Resal)*(1-EXP((Tnet-t)/(Tau_j))))*Salcycl</f>
        <v>2.002042169705754E-2</v>
      </c>
      <c r="P220" s="169">
        <f>(INDEX(Models!$BJ220:$BT220,,T220)*(1-R220)+INDEX(Models!$BJ220:$BT220,,T220+1)*R220-ERP_i)*Q220*Ramure*Pc/MaxiM</f>
        <v>-1.977765749232536E-20</v>
      </c>
      <c r="Q220" s="304">
        <f t="shared" si="80"/>
        <v>0.6</v>
      </c>
      <c r="R220" s="177">
        <f t="shared" si="81"/>
        <v>0.40619612071719846</v>
      </c>
      <c r="S220" s="799">
        <f t="shared" si="82"/>
        <v>-1</v>
      </c>
      <c r="T220" s="176">
        <f t="shared" si="83"/>
        <v>5</v>
      </c>
      <c r="U220" s="250">
        <f t="shared" si="84"/>
        <v>-0.59380387928280154</v>
      </c>
      <c r="V220" s="382">
        <f t="shared" si="85"/>
        <v>54.656145178209435</v>
      </c>
      <c r="W220" s="400">
        <f t="shared" si="86"/>
        <v>25.884956488347036</v>
      </c>
      <c r="X220" s="157">
        <f t="shared" si="87"/>
        <v>46593</v>
      </c>
      <c r="Y220" s="383">
        <f t="shared" si="88"/>
        <v>24.962603156460169</v>
      </c>
      <c r="Z220" s="383">
        <f t="shared" si="89"/>
        <v>26.489083332609233</v>
      </c>
      <c r="AA220" s="384">
        <f t="shared" si="90"/>
        <v>28.028991426733494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5.4939832499842564E-2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0.93118368709117716</v>
      </c>
      <c r="AG220" s="799">
        <f t="shared" si="99"/>
        <v>2</v>
      </c>
      <c r="AH220" s="176">
        <f t="shared" si="94"/>
        <v>8</v>
      </c>
      <c r="AI220" s="224">
        <f t="shared" si="95"/>
        <v>2.9311836870911772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46594</v>
      </c>
      <c r="B221" s="409">
        <f>IF(t&gt;Tmaj,'2026'!Wh/'2026'!Env_an*'2027'!Env_an,0.001*[9]mois!$B$267)</f>
        <v>54.961272622489929</v>
      </c>
      <c r="C221" s="829"/>
      <c r="D221" s="391">
        <f t="shared" si="77"/>
        <v>58.323309610810988</v>
      </c>
      <c r="E221" s="383">
        <f t="shared" si="75"/>
        <v>59.521934873943657</v>
      </c>
      <c r="F221" s="383">
        <f t="shared" si="78"/>
        <v>59.521934873943657</v>
      </c>
      <c r="G221" s="110">
        <f t="shared" si="76"/>
        <v>1.0075459914600895</v>
      </c>
      <c r="H221" s="412" t="b">
        <f>Wh_hp&gt;='2026'!Maxi_hp</f>
        <v>1</v>
      </c>
      <c r="I221" s="388">
        <f>IF(H221,Wh_hp,'2026'!Maxi_hp)</f>
        <v>59.521934873943657</v>
      </c>
      <c r="J221" s="85">
        <f>IF(H221,An,'2026'!An_max)</f>
        <v>2027</v>
      </c>
      <c r="K221" s="197">
        <f t="shared" si="79"/>
        <v>46594</v>
      </c>
      <c r="L221" s="147">
        <f>IF(t&lt;Tvie,1-EXP((T0-t)*PertePVj)+'2026'!Pspv,1-EXP((T0-t)*PertePVj)+Pspv)</f>
        <v>5.764482521235148E-2</v>
      </c>
      <c r="M221" s="832"/>
      <c r="N221" s="832"/>
      <c r="O221" s="48">
        <f>IF(t&lt;Tnet,'2026'!Resal+('2026'!Salim-'2026'!Resal)*(1-EXP(('2026'!Tnet-t)/('2026'!Tau_j))),Resal+(Salim-Resal)*(1-EXP((Tnet-t)/(Tau_j))))*Salcycl</f>
        <v>2.0137538634641784E-2</v>
      </c>
      <c r="P221" s="169">
        <f>(INDEX(Models!$BJ221:$BT221,,T221)*(1-R221)+INDEX(Models!$BJ221:$BT221,,T221+1)*R221-ERP_i)*Q221*Ramure*Pc/MaxiM</f>
        <v>0</v>
      </c>
      <c r="Q221" s="304">
        <f t="shared" si="80"/>
        <v>0.6</v>
      </c>
      <c r="R221" s="177">
        <f t="shared" si="81"/>
        <v>0.40857807749505737</v>
      </c>
      <c r="S221" s="799">
        <f t="shared" si="82"/>
        <v>-1</v>
      </c>
      <c r="T221" s="176">
        <f t="shared" si="83"/>
        <v>5</v>
      </c>
      <c r="U221" s="250">
        <f t="shared" si="84"/>
        <v>-0.59142192250494263</v>
      </c>
      <c r="V221" s="382">
        <f t="shared" si="85"/>
        <v>54.549641493628059</v>
      </c>
      <c r="W221" s="400">
        <f t="shared" si="86"/>
        <v>54.961272622489929</v>
      </c>
      <c r="X221" s="157">
        <f t="shared" si="87"/>
        <v>46594</v>
      </c>
      <c r="Y221" s="383">
        <f t="shared" si="88"/>
        <v>53.00482975320795</v>
      </c>
      <c r="Z221" s="383">
        <f t="shared" si="89"/>
        <v>56.247189139861334</v>
      </c>
      <c r="AA221" s="384">
        <f t="shared" si="90"/>
        <v>59.521934873943657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5.5017461058979707E-2</v>
      </c>
      <c r="AD221" s="230">
        <f>(INDEX(Models!$BJ221:$BT221,,AH221)*(1-AF221)+INDEX(Models!$BJ221:$BT221,,AH221+1)*AF221-ERP_i)*AE221*Ramure*Pc/MaxiM</f>
        <v>0</v>
      </c>
      <c r="AE221" s="304">
        <f t="shared" si="92"/>
        <v>0.6</v>
      </c>
      <c r="AF221" s="177">
        <f t="shared" si="93"/>
        <v>0.93356564386903607</v>
      </c>
      <c r="AG221" s="799">
        <f t="shared" si="99"/>
        <v>2</v>
      </c>
      <c r="AH221" s="176">
        <f t="shared" si="94"/>
        <v>8</v>
      </c>
      <c r="AI221" s="224">
        <f t="shared" si="95"/>
        <v>2.9335656438690361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46595</v>
      </c>
      <c r="B222" s="409">
        <f>IF(t&gt;Tmaj,'2026'!Wh/'2026'!Env_an*'2027'!Env_an,0.001*[9]mois!$B$268)</f>
        <v>56.356181874300951</v>
      </c>
      <c r="C222" s="829"/>
      <c r="D222" s="391">
        <f t="shared" si="77"/>
        <v>59.804693024653524</v>
      </c>
      <c r="E222" s="383">
        <f t="shared" si="75"/>
        <v>61.041045203793388</v>
      </c>
      <c r="F222" s="383">
        <f t="shared" si="78"/>
        <v>61.041045203793388</v>
      </c>
      <c r="G222" s="110">
        <f t="shared" si="76"/>
        <v>1.035152125673189</v>
      </c>
      <c r="H222" s="412" t="b">
        <f>Wh_hp&gt;='2026'!Maxi_hp</f>
        <v>1</v>
      </c>
      <c r="I222" s="388">
        <f>IF(H222,Wh_hp,'2026'!Maxi_hp)</f>
        <v>61.041045203793388</v>
      </c>
      <c r="J222" s="85">
        <f>IF(H222,An,'2026'!An_max)</f>
        <v>2027</v>
      </c>
      <c r="K222" s="197">
        <f t="shared" si="79"/>
        <v>46595</v>
      </c>
      <c r="L222" s="147">
        <f>IF(t&lt;Tvie,1-EXP((T0-t)*PertePVj)+'2026'!Pspv,1-EXP((T0-t)*PertePVj)+Pspv)</f>
        <v>5.7662885234290528E-2</v>
      </c>
      <c r="M222" s="832"/>
      <c r="N222" s="832"/>
      <c r="O222" s="48">
        <f>IF(t&lt;Tnet,'2026'!Resal+('2026'!Salim-'2026'!Resal)*(1-EXP(('2026'!Tnet-t)/('2026'!Tau_j))),Resal+(Salim-Resal)*(1-EXP((Tnet-t)/(Tau_j))))*Salcycl</f>
        <v>2.0254439861115466E-2</v>
      </c>
      <c r="P222" s="169">
        <f>(INDEX(Models!$BJ222:$BT222,,T222)*(1-R222)+INDEX(Models!$BJ222:$BT222,,T222+1)*R222-ERP_i)*Q222*Ramure*Pc/MaxiM</f>
        <v>-1.9853125481685476E-20</v>
      </c>
      <c r="Q222" s="304">
        <f t="shared" si="80"/>
        <v>0.6</v>
      </c>
      <c r="R222" s="177">
        <f t="shared" si="81"/>
        <v>0.41088891900002333</v>
      </c>
      <c r="S222" s="799">
        <f t="shared" si="82"/>
        <v>-1</v>
      </c>
      <c r="T222" s="176">
        <f t="shared" si="83"/>
        <v>5</v>
      </c>
      <c r="U222" s="250">
        <f t="shared" si="84"/>
        <v>-0.58911108099997667</v>
      </c>
      <c r="V222" s="382">
        <f t="shared" si="85"/>
        <v>54.442415251430724</v>
      </c>
      <c r="W222" s="400">
        <f t="shared" si="86"/>
        <v>56.356181874300951</v>
      </c>
      <c r="X222" s="157">
        <f t="shared" si="87"/>
        <v>46595</v>
      </c>
      <c r="Y222" s="383">
        <f t="shared" si="88"/>
        <v>54.352122631268344</v>
      </c>
      <c r="Z222" s="383">
        <f t="shared" si="89"/>
        <v>57.678002680369595</v>
      </c>
      <c r="AA222" s="384">
        <f t="shared" si="90"/>
        <v>61.041045203793388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5.5094772905605452E-2</v>
      </c>
      <c r="AD222" s="230">
        <f>(INDEX(Models!$BJ222:$BT222,,AH222)*(1-AF222)+INDEX(Models!$BJ222:$BT222,,AH222+1)*AF222-ERP_i)*AE222*Ramure*Pc/MaxiM</f>
        <v>0</v>
      </c>
      <c r="AE222" s="304">
        <f t="shared" si="92"/>
        <v>0.6</v>
      </c>
      <c r="AF222" s="177">
        <f t="shared" si="93"/>
        <v>0.93587648537400181</v>
      </c>
      <c r="AG222" s="799">
        <f t="shared" si="99"/>
        <v>2</v>
      </c>
      <c r="AH222" s="176">
        <f t="shared" si="94"/>
        <v>8</v>
      </c>
      <c r="AI222" s="224">
        <f t="shared" si="95"/>
        <v>2.9358764853740018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46596</v>
      </c>
      <c r="B223" s="409">
        <f>IF(t&gt;Tmaj,'2026'!Wh/'2026'!Env_an*'2027'!Env_an,0.001*[9]mois!$B$269)</f>
        <v>42.676605909449464</v>
      </c>
      <c r="C223" s="829"/>
      <c r="D223" s="391">
        <f t="shared" si="77"/>
        <v>45.288913217804549</v>
      </c>
      <c r="E223" s="383">
        <f t="shared" si="75"/>
        <v>46.230684500880955</v>
      </c>
      <c r="F223" s="383">
        <f t="shared" si="78"/>
        <v>46.230684500880955</v>
      </c>
      <c r="G223" s="110">
        <f t="shared" si="76"/>
        <v>0.78544406126196087</v>
      </c>
      <c r="H223" s="412" t="b">
        <f>Wh_hp&gt;='2026'!Maxi_hp</f>
        <v>0</v>
      </c>
      <c r="I223" s="388">
        <f>IF(H223,Wh_hp,'2026'!Maxi_hp)</f>
        <v>56.607198272356136</v>
      </c>
      <c r="J223" s="85">
        <f>IF(H223,An,'2026'!An_max)</f>
        <v>2020</v>
      </c>
      <c r="K223" s="197">
        <f t="shared" si="79"/>
        <v>46596</v>
      </c>
      <c r="L223" s="147">
        <f>IF(t&lt;Tvie,1-EXP((T0-t)*PertePVj)+'2026'!Pspv,1-EXP((T0-t)*PertePVj)+Pspv)</f>
        <v>5.768094491011333E-2</v>
      </c>
      <c r="M223" s="832"/>
      <c r="N223" s="832"/>
      <c r="O223" s="48">
        <f>IF(t&lt;Tnet,'2026'!Resal+('2026'!Salim-'2026'!Resal)*(1-EXP(('2026'!Tnet-t)/('2026'!Tau_j))),Resal+(Salim-Resal)*(1-EXP((Tnet-t)/(Tau_j))))*Salcycl</f>
        <v>2.0371129980964443E-2</v>
      </c>
      <c r="P223" s="169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0.41312991838660484</v>
      </c>
      <c r="S223" s="799">
        <f t="shared" si="82"/>
        <v>-1</v>
      </c>
      <c r="T223" s="176">
        <f t="shared" si="83"/>
        <v>5</v>
      </c>
      <c r="U223" s="250">
        <f t="shared" si="84"/>
        <v>-0.58687008161339516</v>
      </c>
      <c r="V223" s="382">
        <f t="shared" si="85"/>
        <v>54.334367034211979</v>
      </c>
      <c r="W223" s="400">
        <f t="shared" si="86"/>
        <v>42.676605909449464</v>
      </c>
      <c r="X223" s="157">
        <f t="shared" si="87"/>
        <v>46596</v>
      </c>
      <c r="Y223" s="383">
        <f t="shared" si="88"/>
        <v>41.160548340648546</v>
      </c>
      <c r="Z223" s="383">
        <f t="shared" si="89"/>
        <v>43.680055198207036</v>
      </c>
      <c r="AA223" s="384">
        <f t="shared" si="90"/>
        <v>46.230684500880955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5.5171783204406466E-2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0.93811748476058332</v>
      </c>
      <c r="AG223" s="799">
        <f t="shared" si="99"/>
        <v>2</v>
      </c>
      <c r="AH223" s="176">
        <f t="shared" si="94"/>
        <v>8</v>
      </c>
      <c r="AI223" s="224">
        <f t="shared" si="95"/>
        <v>2.9381174847605833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46597</v>
      </c>
      <c r="B224" s="409">
        <f>IF(t&gt;Tmaj,'2026'!Wh/'2026'!Env_an*'2027'!Env_an,0.001*[9]mois!$B$270)</f>
        <v>29.542547144340496</v>
      </c>
      <c r="C224" s="829"/>
      <c r="D224" s="391">
        <f t="shared" si="77"/>
        <v>31.351497321201411</v>
      </c>
      <c r="E224" s="383">
        <f t="shared" si="75"/>
        <v>32.007249468866618</v>
      </c>
      <c r="F224" s="383">
        <f t="shared" si="78"/>
        <v>32.007249468866618</v>
      </c>
      <c r="G224" s="110">
        <f t="shared" si="76"/>
        <v>0.54481015365298768</v>
      </c>
      <c r="H224" s="412" t="b">
        <f>Wh_hp&gt;='2026'!Maxi_hp</f>
        <v>0</v>
      </c>
      <c r="I224" s="388">
        <f>IF(H224,Wh_hp,'2026'!Maxi_hp)</f>
        <v>59.144534762584179</v>
      </c>
      <c r="J224" s="85">
        <f>IF(H224,An,'2026'!An_max)</f>
        <v>2018</v>
      </c>
      <c r="K224" s="197">
        <f t="shared" si="79"/>
        <v>46597</v>
      </c>
      <c r="L224" s="147">
        <f>IF(t&lt;Tvie,1-EXP((T0-t)*PertePVj)+'2026'!Pspv,1-EXP((T0-t)*PertePVj)+Pspv)</f>
        <v>5.7699004239826657E-2</v>
      </c>
      <c r="M224" s="832"/>
      <c r="N224" s="832"/>
      <c r="O224" s="48">
        <f>IF(t&lt;Tnet,'2026'!Resal+('2026'!Salim-'2026'!Resal)*(1-EXP(('2026'!Tnet-t)/('2026'!Tau_j))),Resal+(Salim-Resal)*(1-EXP((Tnet-t)/(Tau_j))))*Salcycl</f>
        <v>2.0487613229717198E-2</v>
      </c>
      <c r="P224" s="169">
        <f>(INDEX(Models!$BJ224:$BT224,,T224)*(1-R224)+INDEX(Models!$BJ224:$BT224,,T224+1)*R224-ERP_i)*Q224*Ramure*Pc/MaxiM</f>
        <v>-1.9927150967186139E-20</v>
      </c>
      <c r="Q224" s="304">
        <f t="shared" si="80"/>
        <v>0.6</v>
      </c>
      <c r="R224" s="177">
        <f t="shared" si="81"/>
        <v>0.41530238739063818</v>
      </c>
      <c r="S224" s="799">
        <f t="shared" si="82"/>
        <v>-1</v>
      </c>
      <c r="T224" s="176">
        <f t="shared" si="83"/>
        <v>5</v>
      </c>
      <c r="U224" s="250">
        <f t="shared" si="84"/>
        <v>-0.58469761260936182</v>
      </c>
      <c r="V224" s="382">
        <f t="shared" si="85"/>
        <v>54.225397500864815</v>
      </c>
      <c r="W224" s="400">
        <f t="shared" si="86"/>
        <v>29.542547144340496</v>
      </c>
      <c r="X224" s="157">
        <f t="shared" si="87"/>
        <v>46597</v>
      </c>
      <c r="Y224" s="383">
        <f t="shared" si="88"/>
        <v>28.494142527237866</v>
      </c>
      <c r="Z224" s="383">
        <f t="shared" si="89"/>
        <v>30.238896759576342</v>
      </c>
      <c r="AA224" s="384">
        <f t="shared" si="90"/>
        <v>32.007249468866618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5.5248505842726385E-2</v>
      </c>
      <c r="AD224" s="230">
        <f>(INDEX(Models!$BJ224:$BT224,,AH224)*(1-AF224)+INDEX(Models!$BJ224:$BT224,,AH224+1)*AF224-ERP_i)*AE224*Ramure*Pc/MaxiM</f>
        <v>0</v>
      </c>
      <c r="AE224" s="304">
        <f t="shared" si="92"/>
        <v>0.6</v>
      </c>
      <c r="AF224" s="177">
        <f t="shared" si="93"/>
        <v>0.94028995376461699</v>
      </c>
      <c r="AG224" s="799">
        <f t="shared" si="99"/>
        <v>2</v>
      </c>
      <c r="AH224" s="176">
        <f t="shared" si="94"/>
        <v>8</v>
      </c>
      <c r="AI224" s="224">
        <f t="shared" si="95"/>
        <v>2.940289953764617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46598</v>
      </c>
      <c r="B225" s="409">
        <f>IF(t&gt;Tmaj,'2026'!Wh/'2026'!Env_an*'2027'!Env_an,0.001*[9]mois!$B$271)</f>
        <v>47.514135485072892</v>
      </c>
      <c r="C225" s="829"/>
      <c r="D225" s="391">
        <f t="shared" si="77"/>
        <v>50.42448889885776</v>
      </c>
      <c r="E225" s="383">
        <f t="shared" si="75"/>
        <v>51.485286251349898</v>
      </c>
      <c r="F225" s="383">
        <f t="shared" si="78"/>
        <v>51.485286251349898</v>
      </c>
      <c r="G225" s="110">
        <f t="shared" si="76"/>
        <v>0.87801492734352826</v>
      </c>
      <c r="H225" s="412" t="b">
        <f>Wh_hp&gt;='2026'!Maxi_hp</f>
        <v>1</v>
      </c>
      <c r="I225" s="388">
        <f>IF(H225,Wh_hp,'2026'!Maxi_hp)</f>
        <v>51.485286251349898</v>
      </c>
      <c r="J225" s="85">
        <f>IF(H225,An,'2026'!An_max)</f>
        <v>2027</v>
      </c>
      <c r="K225" s="197">
        <f t="shared" si="79"/>
        <v>46598</v>
      </c>
      <c r="L225" s="147">
        <f>IF(t&lt;Tvie,1-EXP((T0-t)*PertePVj)+'2026'!Pspv,1-EXP((T0-t)*PertePVj)+Pspv)</f>
        <v>5.7717063223436949E-2</v>
      </c>
      <c r="M225" s="832"/>
      <c r="N225" s="832"/>
      <c r="O225" s="48">
        <f>IF(t&lt;Tnet,'2026'!Resal+('2026'!Salim-'2026'!Resal)*(1-EXP(('2026'!Tnet-t)/('2026'!Tau_j))),Resal+(Salim-Resal)*(1-EXP((Tnet-t)/(Tau_j))))*Salcycl</f>
        <v>2.0603893456343052E-2</v>
      </c>
      <c r="P225" s="169">
        <f>(INDEX(Models!$BJ225:$BT225,,T225)*(1-R225)+INDEX(Models!$BJ225:$BT225,,T225+1)*R225-ERP_i)*Q225*Ramure*Pc/MaxiM</f>
        <v>0</v>
      </c>
      <c r="Q225" s="304">
        <f t="shared" si="80"/>
        <v>0.6</v>
      </c>
      <c r="R225" s="177">
        <f t="shared" si="81"/>
        <v>0.41740767093752063</v>
      </c>
      <c r="S225" s="799">
        <f t="shared" si="82"/>
        <v>-1</v>
      </c>
      <c r="T225" s="176">
        <f t="shared" si="83"/>
        <v>5</v>
      </c>
      <c r="U225" s="250">
        <f t="shared" si="84"/>
        <v>-0.58259232906247937</v>
      </c>
      <c r="V225" s="382">
        <f t="shared" si="85"/>
        <v>54.115407387012134</v>
      </c>
      <c r="W225" s="400">
        <f t="shared" si="86"/>
        <v>47.514135485072892</v>
      </c>
      <c r="X225" s="157">
        <f t="shared" si="87"/>
        <v>46598</v>
      </c>
      <c r="Y225" s="383">
        <f t="shared" si="88"/>
        <v>45.829688164976446</v>
      </c>
      <c r="Z225" s="383">
        <f t="shared" si="89"/>
        <v>48.636865188023371</v>
      </c>
      <c r="AA225" s="384">
        <f t="shared" si="90"/>
        <v>51.485286251349898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5.5324953413303499E-2</v>
      </c>
      <c r="AD225" s="230">
        <f>(INDEX(Models!$BJ225:$BT225,,AH225)*(1-AF225)+INDEX(Models!$BJ225:$BT225,,AH225+1)*AF225-ERP_i)*AE225*Ramure*Pc/MaxiM</f>
        <v>0</v>
      </c>
      <c r="AE225" s="304">
        <f t="shared" si="92"/>
        <v>0.6</v>
      </c>
      <c r="AF225" s="177">
        <f t="shared" si="93"/>
        <v>0.94239523731149921</v>
      </c>
      <c r="AG225" s="799">
        <f t="shared" si="99"/>
        <v>2</v>
      </c>
      <c r="AH225" s="176">
        <f t="shared" si="94"/>
        <v>8</v>
      </c>
      <c r="AI225" s="224">
        <f t="shared" si="95"/>
        <v>2.9423952373114992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46599</v>
      </c>
      <c r="B226" s="409">
        <f>IF(t&gt;Tmaj,'2026'!Wh/'2026'!Env_an*'2027'!Env_an,0.001*[9]mois!$B$272)</f>
        <v>54.024750543001254</v>
      </c>
      <c r="C226" s="829"/>
      <c r="D226" s="391">
        <f t="shared" si="77"/>
        <v>57.334993372244618</v>
      </c>
      <c r="E226" s="383">
        <f t="shared" si="75"/>
        <v>58.548108667999671</v>
      </c>
      <c r="F226" s="383">
        <f t="shared" si="78"/>
        <v>58.548108667999671</v>
      </c>
      <c r="G226" s="110">
        <f t="shared" si="76"/>
        <v>1.00037872980777</v>
      </c>
      <c r="H226" s="412" t="b">
        <f>Wh_hp&gt;='2026'!Maxi_hp</f>
        <v>1</v>
      </c>
      <c r="I226" s="388">
        <f>IF(H226,Wh_hp,'2026'!Maxi_hp)</f>
        <v>58.548108667999671</v>
      </c>
      <c r="J226" s="85">
        <f>IF(H226,An,'2026'!An_max)</f>
        <v>2027</v>
      </c>
      <c r="K226" s="197">
        <f t="shared" si="79"/>
        <v>46599</v>
      </c>
      <c r="L226" s="147">
        <f>IF(t&lt;Tvie,1-EXP((T0-t)*PertePVj)+'2026'!Pspv,1-EXP((T0-t)*PertePVj)+Pspv)</f>
        <v>5.7735121860951089E-2</v>
      </c>
      <c r="M226" s="832"/>
      <c r="N226" s="832"/>
      <c r="O226" s="48">
        <f>IF(t&lt;Tnet,'2026'!Resal+('2026'!Salim-'2026'!Resal)*(1-EXP(('2026'!Tnet-t)/('2026'!Tau_j))),Resal+(Salim-Resal)*(1-EXP((Tnet-t)/(Tau_j))))*Salcycl</f>
        <v>2.0719974109396001E-2</v>
      </c>
      <c r="P226" s="169">
        <f>(INDEX(Models!$BJ226:$BT226,,T226)*(1-R226)+INDEX(Models!$BJ226:$BT226,,T226+1)*R226-ERP_i)*Q226*Ramure*Pc/MaxiM</f>
        <v>2.0000452082313129E-20</v>
      </c>
      <c r="Q226" s="304">
        <f t="shared" si="80"/>
        <v>0.6</v>
      </c>
      <c r="R226" s="177">
        <f t="shared" si="81"/>
        <v>0.41944714200299371</v>
      </c>
      <c r="S226" s="799">
        <f t="shared" si="82"/>
        <v>-1</v>
      </c>
      <c r="T226" s="176">
        <f t="shared" si="83"/>
        <v>5</v>
      </c>
      <c r="U226" s="250">
        <f t="shared" si="84"/>
        <v>-0.58055285799700629</v>
      </c>
      <c r="V226" s="382">
        <f t="shared" si="85"/>
        <v>54.004297505788131</v>
      </c>
      <c r="W226" s="400">
        <f t="shared" si="86"/>
        <v>54.024750543001254</v>
      </c>
      <c r="X226" s="157">
        <f t="shared" si="87"/>
        <v>46599</v>
      </c>
      <c r="Y226" s="383">
        <f t="shared" si="88"/>
        <v>52.111466155125278</v>
      </c>
      <c r="Z226" s="383">
        <f t="shared" si="89"/>
        <v>55.304476866466892</v>
      </c>
      <c r="AA226" s="384">
        <f t="shared" si="90"/>
        <v>58.548108667999671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5.5401137207112532E-2</v>
      </c>
      <c r="AD226" s="230">
        <f>(INDEX(Models!$BJ226:$BT226,,AH226)*(1-AF226)+INDEX(Models!$BJ226:$BT226,,AH226+1)*AF226-ERP_i)*AE226*Ramure*Pc/MaxiM</f>
        <v>2.0000452082313129E-20</v>
      </c>
      <c r="AE226" s="304">
        <f t="shared" si="92"/>
        <v>0.6</v>
      </c>
      <c r="AF226" s="177">
        <f t="shared" si="93"/>
        <v>0.94443470837697241</v>
      </c>
      <c r="AG226" s="799">
        <f t="shared" si="99"/>
        <v>2</v>
      </c>
      <c r="AH226" s="176">
        <f t="shared" si="94"/>
        <v>8</v>
      </c>
      <c r="AI226" s="224">
        <f t="shared" si="95"/>
        <v>2.9444347083769724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46600</v>
      </c>
      <c r="B227" s="409">
        <f>IF(t&gt;Tmaj,'2026'!Wh/'2026'!Env_an*'2027'!Env_an,0.001*'[10]mon-tableau (1)'!$B$242)</f>
        <v>53.675512638308817</v>
      </c>
      <c r="C227" s="829"/>
      <c r="D227" s="391">
        <f t="shared" si="77"/>
        <v>56.965448444802341</v>
      </c>
      <c r="E227" s="383">
        <f t="shared" si="75"/>
        <v>58.177629280464245</v>
      </c>
      <c r="F227" s="383">
        <f t="shared" si="78"/>
        <v>58.177629280464245</v>
      </c>
      <c r="G227" s="110">
        <f t="shared" si="76"/>
        <v>0.99598351824544606</v>
      </c>
      <c r="H227" s="412" t="b">
        <f>Wh_hp&gt;='2026'!Maxi_hp</f>
        <v>0</v>
      </c>
      <c r="I227" s="388">
        <f>IF(H227,Wh_hp,'2026'!Maxi_hp)</f>
        <v>58.177629280464252</v>
      </c>
      <c r="J227" s="85">
        <f>IF(H227,An,'2026'!An_max)</f>
        <v>2026</v>
      </c>
      <c r="K227" s="197">
        <f t="shared" si="79"/>
        <v>46600</v>
      </c>
      <c r="L227" s="147">
        <f>IF(t&lt;Tvie,1-EXP((T0-t)*PertePVj)+'2026'!Pspv,1-EXP((T0-t)*PertePVj)+Pspv)</f>
        <v>5.7753180152375405E-2</v>
      </c>
      <c r="M227" s="832"/>
      <c r="N227" s="832"/>
      <c r="O227" s="48">
        <f>IF(t&lt;Tnet,'2026'!Resal+('2026'!Salim-'2026'!Resal)*(1-EXP(('2026'!Tnet-t)/('2026'!Tau_j))),Resal+(Salim-Resal)*(1-EXP((Tnet-t)/(Tau_j))))*Salcycl</f>
        <v>2.0835858226848476E-2</v>
      </c>
      <c r="P227" s="169">
        <f>(INDEX(Models!$BJ227:$BT227,,T227)*(1-R227)+INDEX(Models!$BJ227:$BT227,,T227+1)*R227-ERP_i)*Q227*Ramure*Pc/MaxiM</f>
        <v>-2.0037036623249356E-20</v>
      </c>
      <c r="Q227" s="304">
        <f t="shared" si="80"/>
        <v>0.6</v>
      </c>
      <c r="R227" s="177">
        <f t="shared" si="81"/>
        <v>0.42142219673166292</v>
      </c>
      <c r="S227" s="799">
        <f t="shared" si="82"/>
        <v>-1</v>
      </c>
      <c r="T227" s="176">
        <f t="shared" si="83"/>
        <v>5</v>
      </c>
      <c r="U227" s="250">
        <f t="shared" si="84"/>
        <v>-0.57857780326833708</v>
      </c>
      <c r="V227" s="382">
        <f t="shared" si="85"/>
        <v>53.891968747500144</v>
      </c>
      <c r="W227" s="400">
        <f t="shared" si="86"/>
        <v>53.675512638308817</v>
      </c>
      <c r="X227" s="157">
        <f t="shared" si="87"/>
        <v>46600</v>
      </c>
      <c r="Y227" s="383">
        <f t="shared" si="88"/>
        <v>51.776561715198945</v>
      </c>
      <c r="Z227" s="383">
        <f t="shared" si="89"/>
        <v>54.950105030412296</v>
      </c>
      <c r="AA227" s="384">
        <f t="shared" si="90"/>
        <v>58.177629280464245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5.5477067215864311E-2</v>
      </c>
      <c r="AD227" s="230">
        <f>(INDEX(Models!$BJ227:$BT227,,AH227)*(1-AF227)+INDEX(Models!$BJ227:$BT227,,AH227+1)*AF227-ERP_i)*AE227*Ramure*Pc/MaxiM</f>
        <v>0</v>
      </c>
      <c r="AE227" s="304">
        <f t="shared" si="92"/>
        <v>0.6</v>
      </c>
      <c r="AF227" s="177">
        <f t="shared" si="93"/>
        <v>0.94640976310564184</v>
      </c>
      <c r="AG227" s="799">
        <f t="shared" si="99"/>
        <v>2</v>
      </c>
      <c r="AH227" s="176">
        <f t="shared" si="94"/>
        <v>8</v>
      </c>
      <c r="AI227" s="224">
        <f t="shared" si="95"/>
        <v>2.9464097631056418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46601</v>
      </c>
      <c r="B228" s="409">
        <f>IF(t&gt;Tmaj,'2026'!Wh/'2026'!Env_an*'2027'!Env_an,0.001*'[10]mon-tableau (1)'!$B$243)</f>
        <v>53.744719113400329</v>
      </c>
      <c r="C228" s="829"/>
      <c r="D228" s="391">
        <f t="shared" si="77"/>
        <v>57.039989954131855</v>
      </c>
      <c r="E228" s="383">
        <f t="shared" si="75"/>
        <v>58.260640586923572</v>
      </c>
      <c r="F228" s="383">
        <f t="shared" si="78"/>
        <v>58.260640586923572</v>
      </c>
      <c r="G228" s="110">
        <f t="shared" si="76"/>
        <v>0.99937515778508601</v>
      </c>
      <c r="H228" s="412" t="b">
        <f>Wh_hp&gt;='2026'!Maxi_hp</f>
        <v>1</v>
      </c>
      <c r="I228" s="388">
        <f>IF(H228,Wh_hp,'2026'!Maxi_hp)</f>
        <v>58.260640586923572</v>
      </c>
      <c r="J228" s="85">
        <f>IF(H228,An,'2026'!An_max)</f>
        <v>2027</v>
      </c>
      <c r="K228" s="197">
        <f t="shared" si="79"/>
        <v>46601</v>
      </c>
      <c r="L228" s="147">
        <f>IF(t&lt;Tvie,1-EXP((T0-t)*PertePVj)+'2026'!Pspv,1-EXP((T0-t)*PertePVj)+Pspv)</f>
        <v>5.7771238097716782E-2</v>
      </c>
      <c r="M228" s="832"/>
      <c r="N228" s="832"/>
      <c r="O228" s="48">
        <f>IF(t&lt;Tnet,'2026'!Resal+('2026'!Salim-'2026'!Resal)*(1-EXP(('2026'!Tnet-t)/('2026'!Tau_j))),Resal+(Salim-Resal)*(1-EXP((Tnet-t)/(Tau_j))))*Salcycl</f>
        <v>2.0951548429518792E-2</v>
      </c>
      <c r="P228" s="169">
        <f>(INDEX(Models!$BJ228:$BT228,,T228)*(1-R228)+INDEX(Models!$BJ228:$BT228,,T228+1)*R228-ERP_i)*Q228*Ramure*Pc/MaxiM</f>
        <v>0</v>
      </c>
      <c r="Q228" s="304">
        <f t="shared" si="80"/>
        <v>0.6</v>
      </c>
      <c r="R228" s="177">
        <f t="shared" si="81"/>
        <v>0.42333424981629975</v>
      </c>
      <c r="S228" s="799">
        <f t="shared" si="82"/>
        <v>-1</v>
      </c>
      <c r="T228" s="176">
        <f t="shared" si="83"/>
        <v>5</v>
      </c>
      <c r="U228" s="250">
        <f t="shared" si="84"/>
        <v>-0.57666575018370025</v>
      </c>
      <c r="V228" s="382">
        <f t="shared" si="85"/>
        <v>53.778322079282709</v>
      </c>
      <c r="W228" s="400">
        <f t="shared" si="86"/>
        <v>53.744719113400329</v>
      </c>
      <c r="X228" s="157">
        <f t="shared" si="87"/>
        <v>46601</v>
      </c>
      <c r="Y228" s="383">
        <f t="shared" si="88"/>
        <v>51.845291182517684</v>
      </c>
      <c r="Z228" s="383">
        <f t="shared" si="89"/>
        <v>55.024101660669174</v>
      </c>
      <c r="AA228" s="384">
        <f t="shared" si="90"/>
        <v>58.260640586923572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5.5552752143628613E-2</v>
      </c>
      <c r="AD228" s="230">
        <f>(INDEX(Models!$BJ228:$BT228,,AH228)*(1-AF228)+INDEX(Models!$BJ228:$BT228,,AH228+1)*AF228-ERP_i)*AE228*Ramure*Pc/MaxiM</f>
        <v>0</v>
      </c>
      <c r="AE228" s="304">
        <f t="shared" si="92"/>
        <v>0.6</v>
      </c>
      <c r="AF228" s="177">
        <f t="shared" si="93"/>
        <v>0.94832181619027844</v>
      </c>
      <c r="AG228" s="799">
        <f t="shared" si="99"/>
        <v>2</v>
      </c>
      <c r="AH228" s="176">
        <f t="shared" si="94"/>
        <v>8</v>
      </c>
      <c r="AI228" s="224">
        <f t="shared" si="95"/>
        <v>2.9483218161902784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46602</v>
      </c>
      <c r="B229" s="409">
        <f>IF(t&gt;Tmaj,'2026'!Wh/'2026'!Env_an*'2027'!Env_an,0.001*'[10]mon-tableau (1)'!$B$244)</f>
        <v>53.111781537474421</v>
      </c>
      <c r="C229" s="829"/>
      <c r="D229" s="391">
        <f t="shared" si="77"/>
        <v>56.369325135997904</v>
      </c>
      <c r="E229" s="383">
        <f t="shared" si="75"/>
        <v>57.582416608335066</v>
      </c>
      <c r="F229" s="383">
        <f t="shared" si="78"/>
        <v>57.582416608335066</v>
      </c>
      <c r="G229" s="110">
        <f t="shared" si="76"/>
        <v>0.98972337826311507</v>
      </c>
      <c r="H229" s="412" t="b">
        <f>Wh_hp&gt;='2026'!Maxi_hp</f>
        <v>1</v>
      </c>
      <c r="I229" s="388">
        <f>IF(H229,Wh_hp,'2026'!Maxi_hp)</f>
        <v>57.582416608335066</v>
      </c>
      <c r="J229" s="85">
        <f>IF(H229,An,'2026'!An_max)</f>
        <v>2027</v>
      </c>
      <c r="K229" s="197">
        <f t="shared" si="79"/>
        <v>46602</v>
      </c>
      <c r="L229" s="147">
        <f>IF(t&lt;Tvie,1-EXP((T0-t)*PertePVj)+'2026'!Pspv,1-EXP((T0-t)*PertePVj)+Pspv)</f>
        <v>5.7789295696981657E-2</v>
      </c>
      <c r="M229" s="832"/>
      <c r="N229" s="832"/>
      <c r="O229" s="48">
        <f>IF(t&lt;Tnet,'2026'!Resal+('2026'!Salim-'2026'!Resal)*(1-EXP(('2026'!Tnet-t)/('2026'!Tau_j))),Resal+(Salim-Resal)*(1-EXP((Tnet-t)/(Tau_j))))*Salcycl</f>
        <v>2.1067046917957341E-2</v>
      </c>
      <c r="P229" s="169">
        <f>(INDEX(Models!$BJ229:$BT229,,T229)*(1-R229)+INDEX(Models!$BJ229:$BT229,,T229+1)*R229-ERP_i)*Q229*Ramure*Pc/MaxiM</f>
        <v>0</v>
      </c>
      <c r="Q229" s="304">
        <f t="shared" si="80"/>
        <v>0.6</v>
      </c>
      <c r="R229" s="177">
        <f t="shared" si="81"/>
        <v>0.42518473013902269</v>
      </c>
      <c r="S229" s="799">
        <f t="shared" si="82"/>
        <v>-1</v>
      </c>
      <c r="T229" s="176">
        <f t="shared" si="83"/>
        <v>5</v>
      </c>
      <c r="U229" s="250">
        <f t="shared" si="84"/>
        <v>-0.57481526986097731</v>
      </c>
      <c r="V229" s="382">
        <f t="shared" si="85"/>
        <v>53.663258546727803</v>
      </c>
      <c r="W229" s="400">
        <f t="shared" si="86"/>
        <v>53.111781537474421</v>
      </c>
      <c r="X229" s="157">
        <f t="shared" si="87"/>
        <v>46602</v>
      </c>
      <c r="Y229" s="383">
        <f t="shared" si="88"/>
        <v>51.236674181079287</v>
      </c>
      <c r="Z229" s="383">
        <f t="shared" si="89"/>
        <v>54.379210453760024</v>
      </c>
      <c r="AA229" s="384">
        <f t="shared" si="90"/>
        <v>57.582416608335066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5.5628199426964925E-2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0.9501722965130015</v>
      </c>
      <c r="AG229" s="799">
        <f t="shared" si="99"/>
        <v>2</v>
      </c>
      <c r="AH229" s="176">
        <f t="shared" si="94"/>
        <v>8</v>
      </c>
      <c r="AI229" s="224">
        <f t="shared" si="95"/>
        <v>2.9501722965130015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46603</v>
      </c>
      <c r="B230" s="409">
        <f>IF(t&gt;Tmaj,'2026'!Wh/'2026'!Env_an*'2027'!Env_an,0.001*'[10]mon-tableau (1)'!$B$245)</f>
        <v>51.6171176256778</v>
      </c>
      <c r="C230" s="829"/>
      <c r="D230" s="391">
        <f t="shared" si="77"/>
        <v>54.784037836954468</v>
      </c>
      <c r="E230" s="383">
        <f t="shared" si="75"/>
        <v>55.969605925327137</v>
      </c>
      <c r="F230" s="383">
        <f t="shared" si="78"/>
        <v>55.969605925327137</v>
      </c>
      <c r="G230" s="110">
        <f t="shared" si="76"/>
        <v>0.96396486819482441</v>
      </c>
      <c r="H230" s="412" t="b">
        <f>Wh_hp&gt;='2026'!Maxi_hp</f>
        <v>1</v>
      </c>
      <c r="I230" s="388">
        <f>IF(H230,Wh_hp,'2026'!Maxi_hp)</f>
        <v>55.969605925327137</v>
      </c>
      <c r="J230" s="85">
        <f>IF(H230,An,'2026'!An_max)</f>
        <v>2027</v>
      </c>
      <c r="K230" s="197">
        <f t="shared" si="79"/>
        <v>46603</v>
      </c>
      <c r="L230" s="147">
        <f>IF(t&lt;Tvie,1-EXP((T0-t)*PertePVj)+'2026'!Pspv,1-EXP((T0-t)*PertePVj)+Pspv)</f>
        <v>5.7807352950176805E-2</v>
      </c>
      <c r="M230" s="832"/>
      <c r="N230" s="832"/>
      <c r="O230" s="48">
        <f>IF(t&lt;Tnet,'2026'!Resal+('2026'!Salim-'2026'!Resal)*(1-EXP(('2026'!Tnet-t)/('2026'!Tau_j))),Resal+(Salim-Resal)*(1-EXP((Tnet-t)/(Tau_j))))*Salcycl</f>
        <v>2.1182355472618805E-2</v>
      </c>
      <c r="P230" s="169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0.42697507667369949</v>
      </c>
      <c r="S230" s="799">
        <f t="shared" si="82"/>
        <v>-1</v>
      </c>
      <c r="T230" s="176">
        <f t="shared" si="83"/>
        <v>5</v>
      </c>
      <c r="U230" s="250">
        <f t="shared" si="84"/>
        <v>-0.57302492332630051</v>
      </c>
      <c r="V230" s="382">
        <f t="shared" si="85"/>
        <v>53.546679270935421</v>
      </c>
      <c r="W230" s="400">
        <f t="shared" si="86"/>
        <v>51.6171176256778</v>
      </c>
      <c r="X230" s="157">
        <f t="shared" si="87"/>
        <v>46603</v>
      </c>
      <c r="Y230" s="383">
        <f t="shared" si="88"/>
        <v>49.796678840456543</v>
      </c>
      <c r="Z230" s="383">
        <f t="shared" si="89"/>
        <v>52.85190772436934</v>
      </c>
      <c r="AA230" s="384">
        <f t="shared" si="90"/>
        <v>55.969605925327137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5.5703415262871897E-2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0.95196264304767819</v>
      </c>
      <c r="AG230" s="799">
        <f t="shared" si="99"/>
        <v>2</v>
      </c>
      <c r="AH230" s="176">
        <f t="shared" si="94"/>
        <v>8</v>
      </c>
      <c r="AI230" s="224">
        <f t="shared" si="95"/>
        <v>2.9519626430476782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46604</v>
      </c>
      <c r="B231" s="409">
        <f>IF(t&gt;Tmaj,'2026'!Wh/'2026'!Env_an*'2027'!Env_an,0.001*'[10]mon-tableau (1)'!$B$246)</f>
        <v>42.526518570463097</v>
      </c>
      <c r="C231" s="829"/>
      <c r="D231" s="391">
        <f t="shared" si="77"/>
        <v>45.136558569280147</v>
      </c>
      <c r="E231" s="383">
        <f t="shared" si="75"/>
        <v>46.118771983715561</v>
      </c>
      <c r="F231" s="383">
        <f t="shared" si="78"/>
        <v>46.118771983715561</v>
      </c>
      <c r="G231" s="110">
        <f t="shared" si="76"/>
        <v>0.79595216320881068</v>
      </c>
      <c r="H231" s="412" t="b">
        <f>Wh_hp&gt;='2026'!Maxi_hp</f>
        <v>0</v>
      </c>
      <c r="I231" s="388">
        <f>IF(H231,Wh_hp,'2026'!Maxi_hp)</f>
        <v>54.752335956396053</v>
      </c>
      <c r="J231" s="85">
        <f>IF(H231,An,'2026'!An_max)</f>
        <v>2020</v>
      </c>
      <c r="K231" s="197">
        <f t="shared" si="79"/>
        <v>46604</v>
      </c>
      <c r="L231" s="147">
        <f>IF(t&lt;Tvie,1-EXP((T0-t)*PertePVj)+'2026'!Pspv,1-EXP((T0-t)*PertePVj)+Pspv)</f>
        <v>5.7825409857308885E-2</v>
      </c>
      <c r="M231" s="832"/>
      <c r="N231" s="832"/>
      <c r="O231" s="48">
        <f>IF(t&lt;Tnet,'2026'!Resal+('2026'!Salim-'2026'!Resal)*(1-EXP(('2026'!Tnet-t)/('2026'!Tau_j))),Resal+(Salim-Resal)*(1-EXP((Tnet-t)/(Tau_j))))*Salcycl</f>
        <v>2.1297475457113867E-2</v>
      </c>
      <c r="P231" s="169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0.42870673464734188</v>
      </c>
      <c r="S231" s="799">
        <f t="shared" si="82"/>
        <v>-1</v>
      </c>
      <c r="T231" s="176">
        <f t="shared" si="83"/>
        <v>5</v>
      </c>
      <c r="U231" s="250">
        <f t="shared" si="84"/>
        <v>-0.57129326535265812</v>
      </c>
      <c r="V231" s="382">
        <f t="shared" si="85"/>
        <v>53.428485449453653</v>
      </c>
      <c r="W231" s="400">
        <f t="shared" si="86"/>
        <v>42.526518570463097</v>
      </c>
      <c r="X231" s="157">
        <f t="shared" si="87"/>
        <v>46604</v>
      </c>
      <c r="Y231" s="383">
        <f t="shared" si="88"/>
        <v>41.028255473543624</v>
      </c>
      <c r="Z231" s="383">
        <f t="shared" si="89"/>
        <v>43.546340458332622</v>
      </c>
      <c r="AA231" s="384">
        <f t="shared" si="90"/>
        <v>46.118771983715561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5.5778404643802251E-2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0.95369430102132036</v>
      </c>
      <c r="AG231" s="799">
        <f t="shared" si="99"/>
        <v>2</v>
      </c>
      <c r="AH231" s="176">
        <f t="shared" si="94"/>
        <v>8</v>
      </c>
      <c r="AI231" s="224">
        <f t="shared" si="95"/>
        <v>2.9536943010213204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46605</v>
      </c>
      <c r="B232" s="409">
        <f>IF(t&gt;Tmaj,'2026'!Wh/'2026'!Env_an*'2027'!Env_an,0.001*'[10]mon-tableau (1)'!$B$247)</f>
        <v>50.066880551512462</v>
      </c>
      <c r="C232" s="829"/>
      <c r="D232" s="391">
        <f t="shared" si="77"/>
        <v>53.140724250123078</v>
      </c>
      <c r="E232" s="383">
        <f t="shared" si="75"/>
        <v>54.303492783895869</v>
      </c>
      <c r="F232" s="383">
        <f t="shared" si="78"/>
        <v>54.303492783895869</v>
      </c>
      <c r="G232" s="110">
        <f t="shared" si="76"/>
        <v>0.93918994082779927</v>
      </c>
      <c r="H232" s="412" t="b">
        <f>Wh_hp&gt;='2026'!Maxi_hp</f>
        <v>0</v>
      </c>
      <c r="I232" s="388">
        <f>IF(H232,Wh_hp,'2026'!Maxi_hp)</f>
        <v>57.804553829679008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5.7843466418384337E-2</v>
      </c>
      <c r="M232" s="832"/>
      <c r="N232" s="832"/>
      <c r="O232" s="48">
        <f>IF(t&lt;Tnet,'2026'!Resal+('2026'!Salim-'2026'!Resal)*(1-EXP(('2026'!Tnet-t)/('2026'!Tau_j))),Resal+(Salim-Resal)*(1-EXP((Tnet-t)/(Tau_j))))*Salcycl</f>
        <v>2.1412407824301507E-2</v>
      </c>
      <c r="P232" s="169">
        <f>(INDEX(Models!$BJ232:$BT232,,T232)*(1-R232)+INDEX(Models!$BJ232:$BT232,,T232+1)*R232-ERP_i)*Q232*Ramure*Pc/MaxiM</f>
        <v>0</v>
      </c>
      <c r="Q232" s="304">
        <f t="shared" si="80"/>
        <v>0.6</v>
      </c>
      <c r="R232" s="177">
        <f t="shared" si="81"/>
        <v>0.43038115195687343</v>
      </c>
      <c r="S232" s="799">
        <f t="shared" si="82"/>
        <v>-1</v>
      </c>
      <c r="T232" s="176">
        <f t="shared" si="83"/>
        <v>5</v>
      </c>
      <c r="U232" s="250">
        <f t="shared" si="84"/>
        <v>-0.56961884804312657</v>
      </c>
      <c r="V232" s="382">
        <f t="shared" si="85"/>
        <v>53.308578355709024</v>
      </c>
      <c r="W232" s="400">
        <f t="shared" si="86"/>
        <v>50.066880551512462</v>
      </c>
      <c r="X232" s="157">
        <f t="shared" si="87"/>
        <v>46605</v>
      </c>
      <c r="Y232" s="383">
        <f t="shared" si="88"/>
        <v>48.304808755608853</v>
      </c>
      <c r="Z232" s="383">
        <f t="shared" si="89"/>
        <v>51.27047049387614</v>
      </c>
      <c r="AA232" s="384">
        <f t="shared" si="90"/>
        <v>54.303492783895869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5.5853171398934254E-2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0.95536871833085213</v>
      </c>
      <c r="AG232" s="799">
        <f t="shared" si="99"/>
        <v>2</v>
      </c>
      <c r="AH232" s="176">
        <f t="shared" si="94"/>
        <v>8</v>
      </c>
      <c r="AI232" s="224">
        <f t="shared" si="95"/>
        <v>2.9553687183308521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46606</v>
      </c>
      <c r="B233" s="409">
        <f>IF(t&gt;Tmaj,'2026'!Wh/'2026'!Env_an*'2027'!Env_an,0.001*'[10]mon-tableau (1)'!$B$248)</f>
        <v>52.481805187863841</v>
      </c>
      <c r="C233" s="829"/>
      <c r="D233" s="391">
        <f t="shared" si="77"/>
        <v>55.704980158073894</v>
      </c>
      <c r="E233" s="383">
        <f t="shared" ref="E233:E296" si="100">Wh_pvt/(1-Psa)</f>
        <v>56.930532447557667</v>
      </c>
      <c r="F233" s="383">
        <f t="shared" si="78"/>
        <v>56.930532447557667</v>
      </c>
      <c r="G233" s="110">
        <f t="shared" ref="G233:G296" si="101">+Wh_hp/MaxiM</f>
        <v>0.98674321419123123</v>
      </c>
      <c r="H233" s="412" t="b">
        <f>Wh_hp&gt;='2026'!Maxi_hp</f>
        <v>1</v>
      </c>
      <c r="I233" s="388">
        <f>IF(H233,Wh_hp,'2026'!Maxi_hp)</f>
        <v>56.930532447557667</v>
      </c>
      <c r="J233" s="85">
        <f>IF(H233,An,'2026'!An_max)</f>
        <v>2027</v>
      </c>
      <c r="K233" s="197">
        <f t="shared" si="79"/>
        <v>46606</v>
      </c>
      <c r="L233" s="147">
        <f>IF(t&lt;Tvie,1-EXP((T0-t)*PertePVj)+'2026'!Pspv,1-EXP((T0-t)*PertePVj)+Pspv)</f>
        <v>5.7861522633410045E-2</v>
      </c>
      <c r="M233" s="832"/>
      <c r="N233" s="832"/>
      <c r="O233" s="48">
        <f>IF(t&lt;Tnet,'2026'!Resal+('2026'!Salim-'2026'!Resal)*(1-EXP(('2026'!Tnet-t)/('2026'!Tau_j))),Resal+(Salim-Resal)*(1-EXP((Tnet-t)/(Tau_j))))*Salcycl</f>
        <v>2.1527153124954665E-2</v>
      </c>
      <c r="P233" s="169">
        <f>(INDEX(Models!$BJ233:$BT233,,T233)*(1-R233)+INDEX(Models!$BJ233:$BT233,,T233+1)*R233-ERP_i)*Q233*Ramure*Pc/MaxiM</f>
        <v>0</v>
      </c>
      <c r="Q233" s="304">
        <f t="shared" si="80"/>
        <v>0.6</v>
      </c>
      <c r="R233" s="177">
        <f t="shared" si="81"/>
        <v>0.43199977583643689</v>
      </c>
      <c r="S233" s="799">
        <f t="shared" si="82"/>
        <v>-1</v>
      </c>
      <c r="T233" s="176">
        <f t="shared" si="83"/>
        <v>5</v>
      </c>
      <c r="U233" s="250">
        <f t="shared" si="84"/>
        <v>-0.56800022416356311</v>
      </c>
      <c r="V233" s="382">
        <f t="shared" si="85"/>
        <v>53.186892428624134</v>
      </c>
      <c r="W233" s="400">
        <f t="shared" si="86"/>
        <v>52.481805187863841</v>
      </c>
      <c r="X233" s="157">
        <f t="shared" si="87"/>
        <v>46606</v>
      </c>
      <c r="Y233" s="383">
        <f t="shared" si="88"/>
        <v>50.636681163696451</v>
      </c>
      <c r="Z233" s="383">
        <f t="shared" si="89"/>
        <v>53.746537669529346</v>
      </c>
      <c r="AA233" s="384">
        <f t="shared" si="90"/>
        <v>56.930532447557667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5.592771824084547E-2</v>
      </c>
      <c r="AD233" s="230">
        <f>(INDEX(Models!$BJ233:$BT233,,AH233)*(1-AF233)+INDEX(Models!$BJ233:$BT233,,AH233+1)*AF233-ERP_i)*AE233*Ramure*Pc/MaxiM</f>
        <v>0</v>
      </c>
      <c r="AE233" s="304">
        <f t="shared" si="92"/>
        <v>0.6</v>
      </c>
      <c r="AF233" s="177">
        <f t="shared" si="93"/>
        <v>0.95698734221041581</v>
      </c>
      <c r="AG233" s="799">
        <f t="shared" si="99"/>
        <v>2</v>
      </c>
      <c r="AH233" s="176">
        <f t="shared" si="94"/>
        <v>8</v>
      </c>
      <c r="AI233" s="224">
        <f t="shared" si="95"/>
        <v>2.9569873422104158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46607</v>
      </c>
      <c r="B234" s="409">
        <f>IF(t&gt;Tmaj,'2026'!Wh/'2026'!Env_an*'2027'!Env_an,0.001*'[10]mon-tableau (1)'!$B$249)</f>
        <v>53.224224672155664</v>
      </c>
      <c r="C234" s="829"/>
      <c r="D234" s="391">
        <f t="shared" si="77"/>
        <v>56.494078100493468</v>
      </c>
      <c r="E234" s="383">
        <f t="shared" si="100"/>
        <v>57.743751717164187</v>
      </c>
      <c r="F234" s="383">
        <f t="shared" si="78"/>
        <v>57.743751717164187</v>
      </c>
      <c r="G234" s="110">
        <f t="shared" si="101"/>
        <v>1.0030290157698138</v>
      </c>
      <c r="H234" s="412" t="b">
        <f>Wh_hp&gt;='2026'!Maxi_hp</f>
        <v>1</v>
      </c>
      <c r="I234" s="388">
        <f>IF(H234,Wh_hp,'2026'!Maxi_hp)</f>
        <v>57.743751717164187</v>
      </c>
      <c r="J234" s="85">
        <f>IF(H234,An,'2026'!An_max)</f>
        <v>2027</v>
      </c>
      <c r="K234" s="197">
        <f t="shared" si="79"/>
        <v>46607</v>
      </c>
      <c r="L234" s="147">
        <f>IF(t&lt;Tvie,1-EXP((T0-t)*PertePVj)+'2026'!Pspv,1-EXP((T0-t)*PertePVj)+Pspv)</f>
        <v>5.7879578502392448E-2</v>
      </c>
      <c r="M234" s="832"/>
      <c r="N234" s="832"/>
      <c r="O234" s="48">
        <f>IF(t&lt;Tnet,'2026'!Resal+('2026'!Salim-'2026'!Resal)*(1-EXP(('2026'!Tnet-t)/('2026'!Tau_j))),Resal+(Salim-Resal)*(1-EXP((Tnet-t)/(Tau_j))))*Salcycl</f>
        <v>2.1641711518707182E-2</v>
      </c>
      <c r="P234" s="169">
        <f>(INDEX(Models!$BJ234:$BT234,,T234)*(1-R234)+INDEX(Models!$BJ234:$BT234,,T234+1)*R234-ERP_i)*Q234*Ramure*Pc/MaxiM</f>
        <v>0</v>
      </c>
      <c r="Q234" s="304">
        <f t="shared" si="80"/>
        <v>0.6</v>
      </c>
      <c r="R234" s="177">
        <f t="shared" si="81"/>
        <v>0.43356404976935847</v>
      </c>
      <c r="S234" s="799">
        <f t="shared" si="82"/>
        <v>-1</v>
      </c>
      <c r="T234" s="176">
        <f t="shared" si="83"/>
        <v>5</v>
      </c>
      <c r="U234" s="250">
        <f t="shared" si="84"/>
        <v>-0.56643595023064153</v>
      </c>
      <c r="V234" s="382">
        <f t="shared" si="85"/>
        <v>53.063494510481981</v>
      </c>
      <c r="W234" s="400">
        <f t="shared" si="86"/>
        <v>53.224224672155664</v>
      </c>
      <c r="X234" s="157">
        <f t="shared" si="87"/>
        <v>46607</v>
      </c>
      <c r="Y234" s="383">
        <f t="shared" si="88"/>
        <v>51.35496856501949</v>
      </c>
      <c r="Z234" s="383">
        <f t="shared" si="89"/>
        <v>54.509983430127676</v>
      </c>
      <c r="AA234" s="384">
        <f t="shared" si="90"/>
        <v>57.743751717164187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5.600204681669977E-2</v>
      </c>
      <c r="AD234" s="230">
        <f>(INDEX(Models!$BJ234:$BT234,,AH234)*(1-AF234)+INDEX(Models!$BJ234:$BT234,,AH234+1)*AF234-ERP_i)*AE234*Ramure*Pc/MaxiM</f>
        <v>0</v>
      </c>
      <c r="AE234" s="304">
        <f t="shared" si="92"/>
        <v>0.6</v>
      </c>
      <c r="AF234" s="177">
        <f t="shared" si="93"/>
        <v>0.95855161614333717</v>
      </c>
      <c r="AG234" s="799">
        <f t="shared" si="99"/>
        <v>2</v>
      </c>
      <c r="AH234" s="176">
        <f t="shared" si="94"/>
        <v>8</v>
      </c>
      <c r="AI234" s="224">
        <f t="shared" si="95"/>
        <v>2.9585516161433372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46608</v>
      </c>
      <c r="B235" s="409">
        <f>IF(t&gt;Tmaj,'2026'!Wh/'2026'!Env_an*'2027'!Env_an,0.001*'[10]mon-tableau (1)'!$B$250)</f>
        <v>51.111518457942374</v>
      </c>
      <c r="C235" s="829"/>
      <c r="D235" s="391">
        <f t="shared" si="77"/>
        <v>54.252616598690338</v>
      </c>
      <c r="E235" s="383">
        <f t="shared" si="100"/>
        <v>55.459191357154928</v>
      </c>
      <c r="F235" s="383">
        <f t="shared" si="78"/>
        <v>55.459191357154928</v>
      </c>
      <c r="G235" s="110">
        <f t="shared" si="101"/>
        <v>0.96548888644004538</v>
      </c>
      <c r="H235" s="412" t="b">
        <f>Wh_hp&gt;='2026'!Maxi_hp</f>
        <v>0</v>
      </c>
      <c r="I235" s="388">
        <f>IF(H235,Wh_hp,'2026'!Maxi_hp)</f>
        <v>56.250511188466319</v>
      </c>
      <c r="J235" s="85">
        <f>IF(H235,An,'2026'!An_max)</f>
        <v>2021</v>
      </c>
      <c r="K235" s="197">
        <f t="shared" si="79"/>
        <v>46608</v>
      </c>
      <c r="L235" s="147">
        <f>IF(t&lt;Tvie,1-EXP((T0-t)*PertePVj)+'2026'!Pspv,1-EXP((T0-t)*PertePVj)+Pspv)</f>
        <v>5.7897634025338207E-2</v>
      </c>
      <c r="M235" s="832"/>
      <c r="N235" s="832"/>
      <c r="O235" s="48">
        <f>IF(t&lt;Tnet,'2026'!Resal+('2026'!Salim-'2026'!Resal)*(1-EXP(('2026'!Tnet-t)/('2026'!Tau_j))),Resal+(Salim-Resal)*(1-EXP((Tnet-t)/(Tau_j))))*Salcycl</f>
        <v>2.1756082786968525E-2</v>
      </c>
      <c r="P235" s="169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0.43507541063798683</v>
      </c>
      <c r="S235" s="799">
        <f t="shared" si="82"/>
        <v>-1</v>
      </c>
      <c r="T235" s="176">
        <f t="shared" si="83"/>
        <v>5</v>
      </c>
      <c r="U235" s="250">
        <f t="shared" si="84"/>
        <v>-0.56492458936201317</v>
      </c>
      <c r="V235" s="382">
        <f t="shared" si="85"/>
        <v>52.938484508507379</v>
      </c>
      <c r="W235" s="400">
        <f t="shared" si="86"/>
        <v>51.111518457942374</v>
      </c>
      <c r="X235" s="157">
        <f t="shared" si="87"/>
        <v>46608</v>
      </c>
      <c r="Y235" s="383">
        <f t="shared" si="88"/>
        <v>49.318355101900643</v>
      </c>
      <c r="Z235" s="383">
        <f t="shared" si="89"/>
        <v>52.349252993200828</v>
      </c>
      <c r="AA235" s="384">
        <f t="shared" si="90"/>
        <v>55.459191357154928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5.607615776303379E-2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0.9600629770119653</v>
      </c>
      <c r="AG235" s="799">
        <f t="shared" si="99"/>
        <v>2</v>
      </c>
      <c r="AH235" s="176">
        <f t="shared" si="94"/>
        <v>8</v>
      </c>
      <c r="AI235" s="224">
        <f t="shared" si="95"/>
        <v>2.9600629770119653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46609</v>
      </c>
      <c r="B236" s="409">
        <f>IF(t&gt;Tmaj,'2026'!Wh/'2026'!Env_an*'2027'!Env_an,0.001*'[10]mon-tableau (1)'!$B$251)</f>
        <v>49.227827993034992</v>
      </c>
      <c r="C236" s="829"/>
      <c r="D236" s="391">
        <f t="shared" si="77"/>
        <v>52.25416390954377</v>
      </c>
      <c r="E236" s="383">
        <f t="shared" si="100"/>
        <v>53.422528844324894</v>
      </c>
      <c r="F236" s="383">
        <f t="shared" si="78"/>
        <v>53.422528844324894</v>
      </c>
      <c r="G236" s="110">
        <f t="shared" si="101"/>
        <v>0.93213404417001</v>
      </c>
      <c r="H236" s="412" t="b">
        <f>Wh_hp&gt;='2026'!Maxi_hp</f>
        <v>0</v>
      </c>
      <c r="I236" s="388">
        <f>IF(H236,Wh_hp,'2026'!Maxi_hp)</f>
        <v>54.321267794225101</v>
      </c>
      <c r="J236" s="85">
        <f>IF(H236,An,'2026'!An_max)</f>
        <v>2021</v>
      </c>
      <c r="K236" s="197">
        <f t="shared" si="79"/>
        <v>46609</v>
      </c>
      <c r="L236" s="147">
        <f>IF(t&lt;Tvie,1-EXP((T0-t)*PertePVj)+'2026'!Pspv,1-EXP((T0-t)*PertePVj)+Pspv)</f>
        <v>5.7915689202254095E-2</v>
      </c>
      <c r="M236" s="832"/>
      <c r="N236" s="832"/>
      <c r="O236" s="48">
        <f>IF(t&lt;Tnet,'2026'!Resal+('2026'!Salim-'2026'!Resal)*(1-EXP(('2026'!Tnet-t)/('2026'!Tau_j))),Resal+(Salim-Resal)*(1-EXP((Tnet-t)/(Tau_j))))*Salcycl</f>
        <v>2.1870266347476328E-2</v>
      </c>
      <c r="P236" s="169">
        <f>(INDEX(Models!$BJ236:$BT236,,T236)*(1-R236)+INDEX(Models!$BJ236:$BT236,,T236+1)*R236-ERP_i)*Q236*Ramure*Pc/MaxiM</f>
        <v>0</v>
      </c>
      <c r="Q236" s="304">
        <f t="shared" si="80"/>
        <v>0.6</v>
      </c>
      <c r="R236" s="177">
        <f t="shared" si="81"/>
        <v>0.43653528610388392</v>
      </c>
      <c r="S236" s="799">
        <f t="shared" si="82"/>
        <v>-1</v>
      </c>
      <c r="T236" s="176">
        <f t="shared" si="83"/>
        <v>5</v>
      </c>
      <c r="U236" s="250">
        <f t="shared" si="84"/>
        <v>-0.56346471389611608</v>
      </c>
      <c r="V236" s="382">
        <f t="shared" si="85"/>
        <v>52.811962293329167</v>
      </c>
      <c r="W236" s="400">
        <f t="shared" si="86"/>
        <v>49.227827993034992</v>
      </c>
      <c r="X236" s="157">
        <f t="shared" si="87"/>
        <v>46609</v>
      </c>
      <c r="Y236" s="383">
        <f t="shared" si="88"/>
        <v>47.502576962627337</v>
      </c>
      <c r="Z236" s="383">
        <f t="shared" si="89"/>
        <v>50.42285113781665</v>
      </c>
      <c r="AA236" s="384">
        <f t="shared" si="90"/>
        <v>53.422528844324894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5.6150050763216552E-2</v>
      </c>
      <c r="AD236" s="230">
        <f>(INDEX(Models!$BJ236:$BT236,,AH236)*(1-AF236)+INDEX(Models!$BJ236:$BT236,,AH236+1)*AF236-ERP_i)*AE236*Ramure*Pc/MaxiM</f>
        <v>0</v>
      </c>
      <c r="AE236" s="304">
        <f t="shared" si="92"/>
        <v>0.6</v>
      </c>
      <c r="AF236" s="177">
        <f t="shared" si="93"/>
        <v>0.96152285247786251</v>
      </c>
      <c r="AG236" s="799">
        <f t="shared" si="99"/>
        <v>2</v>
      </c>
      <c r="AH236" s="176">
        <f t="shared" si="94"/>
        <v>8</v>
      </c>
      <c r="AI236" s="224">
        <f t="shared" si="95"/>
        <v>2.9615228524778625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46610</v>
      </c>
      <c r="B237" s="409">
        <f>IF(t&gt;Tmaj,'2026'!Wh/'2026'!Env_an*'2027'!Env_an,0.001*'[10]mon-tableau (1)'!$B$252)</f>
        <v>47.721208118065874</v>
      </c>
      <c r="C237" s="829"/>
      <c r="D237" s="391">
        <f t="shared" si="77"/>
        <v>50.655893697295262</v>
      </c>
      <c r="E237" s="383">
        <f t="shared" si="100"/>
        <v>51.794558810558399</v>
      </c>
      <c r="F237" s="383">
        <f t="shared" si="78"/>
        <v>51.794558810558399</v>
      </c>
      <c r="G237" s="110">
        <f t="shared" si="101"/>
        <v>0.90580030045709492</v>
      </c>
      <c r="H237" s="412" t="b">
        <f>Wh_hp&gt;='2026'!Maxi_hp</f>
        <v>0</v>
      </c>
      <c r="I237" s="388">
        <f>IF(H237,Wh_hp,'2026'!Maxi_hp)</f>
        <v>52.572729783905686</v>
      </c>
      <c r="J237" s="85">
        <f>IF(H237,An,'2026'!An_max)</f>
        <v>2021</v>
      </c>
      <c r="K237" s="197">
        <f t="shared" si="79"/>
        <v>46610</v>
      </c>
      <c r="L237" s="147">
        <f>IF(t&lt;Tvie,1-EXP((T0-t)*PertePVj)+'2026'!Pspv,1-EXP((T0-t)*PertePVj)+Pspv)</f>
        <v>5.793374403314655E-2</v>
      </c>
      <c r="M237" s="832"/>
      <c r="N237" s="832"/>
      <c r="O237" s="48">
        <f>IF(t&lt;Tnet,'2026'!Resal+('2026'!Salim-'2026'!Resal)*(1-EXP(('2026'!Tnet-t)/('2026'!Tau_j))),Resal+(Salim-Resal)*(1-EXP((Tnet-t)/(Tau_j))))*Salcycl</f>
        <v>2.198426127014361E-2</v>
      </c>
      <c r="P237" s="169">
        <f>(INDEX(Models!$BJ237:$BT237,,T237)*(1-R237)+INDEX(Models!$BJ237:$BT237,,T237+1)*R237-ERP_i)*Q237*Ramure*Pc/MaxiM</f>
        <v>0</v>
      </c>
      <c r="Q237" s="304">
        <f t="shared" si="80"/>
        <v>0.6</v>
      </c>
      <c r="R237" s="177">
        <f t="shared" si="81"/>
        <v>0.43794509221022637</v>
      </c>
      <c r="S237" s="799">
        <f t="shared" si="82"/>
        <v>-1</v>
      </c>
      <c r="T237" s="176">
        <f t="shared" si="83"/>
        <v>5</v>
      </c>
      <c r="U237" s="250">
        <f t="shared" si="84"/>
        <v>-0.56205490778977363</v>
      </c>
      <c r="V237" s="382">
        <f t="shared" si="85"/>
        <v>52.684027697920037</v>
      </c>
      <c r="W237" s="400">
        <f t="shared" si="86"/>
        <v>47.721208118065874</v>
      </c>
      <c r="X237" s="157">
        <f t="shared" si="87"/>
        <v>46610</v>
      </c>
      <c r="Y237" s="383">
        <f t="shared" si="88"/>
        <v>46.05053095917431</v>
      </c>
      <c r="Z237" s="383">
        <f t="shared" si="89"/>
        <v>48.882475799870484</v>
      </c>
      <c r="AA237" s="384">
        <f t="shared" si="90"/>
        <v>51.794558810558399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5.6223724606652654E-2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0.96293265858420529</v>
      </c>
      <c r="AG237" s="799">
        <f t="shared" si="99"/>
        <v>2</v>
      </c>
      <c r="AH237" s="176">
        <f t="shared" si="94"/>
        <v>8</v>
      </c>
      <c r="AI237" s="224">
        <f t="shared" si="95"/>
        <v>2.9629326585842053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46611</v>
      </c>
      <c r="B238" s="409">
        <f>IF(t&gt;Tmaj,'2026'!Wh/'2026'!Env_an*'2027'!Env_an,0.001*'[10]mon-tableau (1)'!$B$253)</f>
        <v>47.979097106479912</v>
      </c>
      <c r="C238" s="829"/>
      <c r="D238" s="391">
        <f t="shared" si="77"/>
        <v>50.930618020396267</v>
      </c>
      <c r="E238" s="383">
        <f t="shared" si="100"/>
        <v>52.081518877229691</v>
      </c>
      <c r="F238" s="383">
        <f t="shared" si="78"/>
        <v>52.081518877229691</v>
      </c>
      <c r="G238" s="110">
        <f t="shared" si="101"/>
        <v>0.91293497250078726</v>
      </c>
      <c r="H238" s="412" t="b">
        <f>Wh_hp&gt;='2026'!Maxi_hp</f>
        <v>1</v>
      </c>
      <c r="I238" s="388">
        <f>IF(H238,Wh_hp,'2026'!Maxi_hp)</f>
        <v>52.081518877229691</v>
      </c>
      <c r="J238" s="85">
        <f>IF(H238,An,'2026'!An_max)</f>
        <v>2027</v>
      </c>
      <c r="K238" s="197">
        <f t="shared" si="79"/>
        <v>46611</v>
      </c>
      <c r="L238" s="147">
        <f>IF(t&lt;Tvie,1-EXP((T0-t)*PertePVj)+'2026'!Pspv,1-EXP((T0-t)*PertePVj)+Pspv)</f>
        <v>5.7951798518022235E-2</v>
      </c>
      <c r="M238" s="832"/>
      <c r="N238" s="832"/>
      <c r="O238" s="48">
        <f>IF(t&lt;Tnet,'2026'!Resal+('2026'!Salim-'2026'!Resal)*(1-EXP(('2026'!Tnet-t)/('2026'!Tau_j))),Resal+(Salim-Resal)*(1-EXP((Tnet-t)/(Tau_j))))*Salcycl</f>
        <v>2.2098066293850038E-2</v>
      </c>
      <c r="P238" s="169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0.43930623119779244</v>
      </c>
      <c r="S238" s="799">
        <f t="shared" si="82"/>
        <v>-1</v>
      </c>
      <c r="T238" s="176">
        <f t="shared" si="83"/>
        <v>5</v>
      </c>
      <c r="U238" s="250">
        <f t="shared" si="84"/>
        <v>-0.56069376880220756</v>
      </c>
      <c r="V238" s="382">
        <f t="shared" si="85"/>
        <v>52.554780517446481</v>
      </c>
      <c r="W238" s="400">
        <f t="shared" si="86"/>
        <v>47.979097106479912</v>
      </c>
      <c r="X238" s="157">
        <f t="shared" si="87"/>
        <v>46611</v>
      </c>
      <c r="Y238" s="383">
        <f t="shared" si="88"/>
        <v>46.301175825309464</v>
      </c>
      <c r="Z238" s="383">
        <f t="shared" si="89"/>
        <v>49.149476377611073</v>
      </c>
      <c r="AA238" s="384">
        <f t="shared" si="90"/>
        <v>52.081518877229691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5.6297177248809449E-2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0.96429379757177136</v>
      </c>
      <c r="AG238" s="799">
        <f t="shared" si="99"/>
        <v>2</v>
      </c>
      <c r="AH238" s="176">
        <f t="shared" si="94"/>
        <v>8</v>
      </c>
      <c r="AI238" s="224">
        <f t="shared" si="95"/>
        <v>2.9642937975717714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46612</v>
      </c>
      <c r="B239" s="409">
        <f>IF(t&gt;Tmaj,'2026'!Wh/'2026'!Env_an*'2027'!Env_an,0.001*'[10]mon-tableau (1)'!$B$254)</f>
        <v>37.476940729243871</v>
      </c>
      <c r="C239" s="829"/>
      <c r="D239" s="391">
        <f t="shared" si="77"/>
        <v>39.783164938981287</v>
      </c>
      <c r="E239" s="383">
        <f t="shared" si="100"/>
        <v>40.686889093364222</v>
      </c>
      <c r="F239" s="383">
        <f t="shared" si="78"/>
        <v>40.686889093364222</v>
      </c>
      <c r="G239" s="110">
        <f t="shared" si="101"/>
        <v>0.71487699537572402</v>
      </c>
      <c r="H239" s="412" t="b">
        <f>Wh_hp&gt;='2026'!Maxi_hp</f>
        <v>0</v>
      </c>
      <c r="I239" s="388">
        <f>IF(H239,Wh_hp,'2026'!Maxi_hp)</f>
        <v>50.157042918193603</v>
      </c>
      <c r="J239" s="85">
        <f>IF(H239,An,'2026'!An_max)</f>
        <v>2018</v>
      </c>
      <c r="K239" s="197">
        <f t="shared" si="79"/>
        <v>46612</v>
      </c>
      <c r="L239" s="147">
        <f>IF(t&lt;Tvie,1-EXP((T0-t)*PertePVj)+'2026'!Pspv,1-EXP((T0-t)*PertePVj)+Pspv)</f>
        <v>5.7969852656887921E-2</v>
      </c>
      <c r="M239" s="832"/>
      <c r="N239" s="832"/>
      <c r="O239" s="48">
        <f>IF(t&lt;Tnet,'2026'!Resal+('2026'!Salim-'2026'!Resal)*(1-EXP(('2026'!Tnet-t)/('2026'!Tau_j))),Resal+(Salim-Resal)*(1-EXP((Tnet-t)/(Tau_j))))*Salcycl</f>
        <v>2.2211679843822881E-2</v>
      </c>
      <c r="P239" s="169">
        <f>(INDEX(Models!$BJ239:$BT239,,T239)*(1-R239)+INDEX(Models!$BJ239:$BT239,,T239+1)*R239-ERP_i)*Q239*Ramure*Pc/MaxiM</f>
        <v>0</v>
      </c>
      <c r="Q239" s="304">
        <f t="shared" si="80"/>
        <v>0.6</v>
      </c>
      <c r="R239" s="177">
        <f t="shared" si="81"/>
        <v>0.44062008952553611</v>
      </c>
      <c r="S239" s="799">
        <f t="shared" si="82"/>
        <v>-1</v>
      </c>
      <c r="T239" s="176">
        <f t="shared" si="83"/>
        <v>5</v>
      </c>
      <c r="U239" s="250">
        <f t="shared" si="84"/>
        <v>-0.55937991047446389</v>
      </c>
      <c r="V239" s="382">
        <f t="shared" si="85"/>
        <v>52.424320507819381</v>
      </c>
      <c r="W239" s="400">
        <f t="shared" si="86"/>
        <v>37.476940729243871</v>
      </c>
      <c r="X239" s="157">
        <f t="shared" si="87"/>
        <v>46612</v>
      </c>
      <c r="Y239" s="383">
        <f t="shared" si="88"/>
        <v>36.167695645902313</v>
      </c>
      <c r="Z239" s="383">
        <f t="shared" si="89"/>
        <v>38.393352641536097</v>
      </c>
      <c r="AA239" s="384">
        <f t="shared" si="90"/>
        <v>40.686889093364222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5.6370405871167671E-2</v>
      </c>
      <c r="AD239" s="230">
        <f>(INDEX(Models!$BJ239:$BT239,,AH239)*(1-AF239)+INDEX(Models!$BJ239:$BT239,,AH239+1)*AF239-ERP_i)*AE239*Ramure*Pc/MaxiM</f>
        <v>0</v>
      </c>
      <c r="AE239" s="304">
        <f t="shared" si="92"/>
        <v>0.6</v>
      </c>
      <c r="AF239" s="177">
        <f t="shared" si="93"/>
        <v>0.96560765589951458</v>
      </c>
      <c r="AG239" s="799">
        <f t="shared" si="99"/>
        <v>2</v>
      </c>
      <c r="AH239" s="176">
        <f t="shared" si="94"/>
        <v>8</v>
      </c>
      <c r="AI239" s="224">
        <f t="shared" si="95"/>
        <v>2.9656076558995146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46613</v>
      </c>
      <c r="B240" s="409">
        <f>IF(t&gt;Tmaj,'2026'!Wh/'2026'!Env_an*'2027'!Env_an,0.001*'[10]mon-tableau (1)'!$B$255)</f>
        <v>33.778798650859741</v>
      </c>
      <c r="C240" s="829"/>
      <c r="D240" s="391">
        <f t="shared" si="77"/>
        <v>35.858136941272583</v>
      </c>
      <c r="E240" s="383">
        <f t="shared" si="100"/>
        <v>36.676953599892045</v>
      </c>
      <c r="F240" s="383">
        <f t="shared" si="78"/>
        <v>36.676953693123977</v>
      </c>
      <c r="G240" s="110">
        <f t="shared" si="101"/>
        <v>0.64595570947062964</v>
      </c>
      <c r="H240" s="412" t="b">
        <f>Wh_hp&gt;='2026'!Maxi_hp</f>
        <v>0</v>
      </c>
      <c r="I240" s="388">
        <f>IF(H240,Wh_hp,'2026'!Maxi_hp)</f>
        <v>57.247327740538942</v>
      </c>
      <c r="J240" s="85">
        <f>IF(H240,An,'2026'!An_max)</f>
        <v>2018</v>
      </c>
      <c r="K240" s="197">
        <f t="shared" si="79"/>
        <v>46613</v>
      </c>
      <c r="L240" s="147">
        <f>IF(t&lt;Tvie,1-EXP((T0-t)*PertePVj)+'2026'!Pspv,1-EXP((T0-t)*PertePVj)+Pspv)</f>
        <v>5.798790644975016E-2</v>
      </c>
      <c r="M240" s="832"/>
      <c r="N240" s="832"/>
      <c r="O240" s="48">
        <f>IF(t&lt;Tnet,'2026'!Resal+('2026'!Salim-'2026'!Resal)*(1-EXP(('2026'!Tnet-t)/('2026'!Tau_j))),Resal+(Salim-Resal)*(1-EXP((Tnet-t)/(Tau_j))))*Salcycl</f>
        <v>2.2325100049254535E-2</v>
      </c>
      <c r="P240" s="169">
        <f>(INDEX(Models!$BJ240:$BT240,,T240)*(1-R240)+INDEX(Models!$BJ240:$BT240,,T240+1)*R240-ERP_i)*Q240*Ramure*Pc/MaxiM</f>
        <v>5.1433840385268702E-9</v>
      </c>
      <c r="Q240" s="304">
        <f t="shared" si="80"/>
        <v>0.6</v>
      </c>
      <c r="R240" s="177">
        <f t="shared" si="81"/>
        <v>0.44188803608648497</v>
      </c>
      <c r="S240" s="799">
        <f t="shared" si="82"/>
        <v>-1</v>
      </c>
      <c r="T240" s="176">
        <f t="shared" si="83"/>
        <v>5</v>
      </c>
      <c r="U240" s="250">
        <f t="shared" si="84"/>
        <v>-0.55811196391351503</v>
      </c>
      <c r="V240" s="382">
        <f t="shared" si="85"/>
        <v>52.292747115231059</v>
      </c>
      <c r="W240" s="400">
        <f t="shared" si="86"/>
        <v>33.778798650859741</v>
      </c>
      <c r="X240" s="157">
        <f t="shared" si="87"/>
        <v>46613</v>
      </c>
      <c r="Y240" s="383">
        <f t="shared" si="88"/>
        <v>32.600006205352244</v>
      </c>
      <c r="Z240" s="383">
        <f t="shared" si="89"/>
        <v>34.606780983553541</v>
      </c>
      <c r="AA240" s="384">
        <f t="shared" si="90"/>
        <v>36.676953177053598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5.6443406940226135E-2</v>
      </c>
      <c r="AD240" s="230">
        <f>(INDEX(Models!$BJ240:$BT240,,AH240)*(1-AF240)+INDEX(Models!$BJ240:$BT240,,AH240+1)*AF240-ERP_i)*AE240*Ramure*Pc/MaxiM</f>
        <v>2.8470376738847157E-8</v>
      </c>
      <c r="AE240" s="304">
        <f t="shared" si="92"/>
        <v>0.6</v>
      </c>
      <c r="AF240" s="177">
        <f t="shared" si="93"/>
        <v>0.96687560246046367</v>
      </c>
      <c r="AG240" s="799">
        <f t="shared" si="99"/>
        <v>2</v>
      </c>
      <c r="AH240" s="176">
        <f t="shared" si="94"/>
        <v>8</v>
      </c>
      <c r="AI240" s="224">
        <f t="shared" si="95"/>
        <v>2.9668756024604637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46614</v>
      </c>
      <c r="B241" s="409">
        <f>IF(t&gt;Tmaj,'2026'!Wh/'2026'!Env_an*'2027'!Env_an,0.001*'[10]mon-tableau (1)'!$B$256)</f>
        <v>36.113838331742436</v>
      </c>
      <c r="C241" s="829"/>
      <c r="D241" s="391">
        <f t="shared" si="77"/>
        <v>38.337650552204039</v>
      </c>
      <c r="E241" s="383">
        <f t="shared" si="100"/>
        <v>39.217628435386004</v>
      </c>
      <c r="F241" s="383">
        <f t="shared" si="78"/>
        <v>39.217628775733495</v>
      </c>
      <c r="G241" s="110">
        <f t="shared" si="101"/>
        <v>0.69236440372784236</v>
      </c>
      <c r="H241" s="412" t="b">
        <f>Wh_hp&gt;='2026'!Maxi_hp</f>
        <v>0</v>
      </c>
      <c r="I241" s="388">
        <f>IF(H241,Wh_hp,'2026'!Maxi_hp)</f>
        <v>50.015473109752712</v>
      </c>
      <c r="J241" s="85">
        <f>IF(H241,An,'2026'!An_max)</f>
        <v>2020</v>
      </c>
      <c r="K241" s="197">
        <f t="shared" si="79"/>
        <v>46614</v>
      </c>
      <c r="L241" s="147">
        <f>IF(t&lt;Tvie,1-EXP((T0-t)*PertePVj)+'2026'!Pspv,1-EXP((T0-t)*PertePVj)+Pspv)</f>
        <v>5.80059598966155E-2</v>
      </c>
      <c r="M241" s="832"/>
      <c r="N241" s="832"/>
      <c r="O241" s="48">
        <f>IF(t&lt;Tnet,'2026'!Resal+('2026'!Salim-'2026'!Resal)*(1-EXP(('2026'!Tnet-t)/('2026'!Tau_j))),Resal+(Salim-Resal)*(1-EXP((Tnet-t)/(Tau_j))))*Salcycl</f>
        <v>2.2438324760809945E-2</v>
      </c>
      <c r="P241" s="169">
        <f>(INDEX(Models!$BJ241:$BT241,,T241)*(1-R241)+INDEX(Models!$BJ241:$BT241,,T241+1)*R241-ERP_i)*Q241*Ramure*Pc/MaxiM</f>
        <v>1.5482805297239522E-8</v>
      </c>
      <c r="Q241" s="304">
        <f t="shared" si="80"/>
        <v>0.6</v>
      </c>
      <c r="R241" s="177">
        <f t="shared" si="81"/>
        <v>0.44311142060952524</v>
      </c>
      <c r="S241" s="799">
        <f t="shared" si="82"/>
        <v>-1</v>
      </c>
      <c r="T241" s="176">
        <f t="shared" si="83"/>
        <v>5</v>
      </c>
      <c r="U241" s="250">
        <f t="shared" si="84"/>
        <v>-0.55688857939047476</v>
      </c>
      <c r="V241" s="382">
        <f t="shared" si="85"/>
        <v>52.16016001337664</v>
      </c>
      <c r="W241" s="400">
        <f t="shared" si="86"/>
        <v>36.113838331742436</v>
      </c>
      <c r="X241" s="157">
        <f t="shared" si="87"/>
        <v>46614</v>
      </c>
      <c r="Y241" s="383">
        <f t="shared" si="88"/>
        <v>34.854906654856336</v>
      </c>
      <c r="Z241" s="383">
        <f t="shared" si="89"/>
        <v>37.001196579790445</v>
      </c>
      <c r="AA241" s="384">
        <f t="shared" si="90"/>
        <v>39.217626894017208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5.65161762647318E-2</v>
      </c>
      <c r="AD241" s="230">
        <f>(INDEX(Models!$BJ241:$BT241,,AH241)*(1-AF241)+INDEX(Models!$BJ241:$BT241,,AH241+1)*AF241-ERP_i)*AE241*Ramure*Pc/MaxiM</f>
        <v>8.5601474816535048E-8</v>
      </c>
      <c r="AE241" s="304">
        <f t="shared" si="92"/>
        <v>0.6</v>
      </c>
      <c r="AF241" s="177">
        <f t="shared" si="93"/>
        <v>0.96809898698350416</v>
      </c>
      <c r="AG241" s="799">
        <f t="shared" si="99"/>
        <v>2</v>
      </c>
      <c r="AH241" s="176">
        <f t="shared" si="94"/>
        <v>8</v>
      </c>
      <c r="AI241" s="224">
        <f t="shared" si="95"/>
        <v>2.9680989869835042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46615</v>
      </c>
      <c r="B242" s="409">
        <f>IF(t&gt;Tmaj,'2026'!Wh/'2026'!Env_an*'2027'!Env_an,0.001*'[10]mon-tableau (1)'!$B$257)</f>
        <v>37.38638161035491</v>
      </c>
      <c r="C242" s="829"/>
      <c r="D242" s="391">
        <f t="shared" si="77"/>
        <v>39.689314936066751</v>
      </c>
      <c r="E242" s="383">
        <f t="shared" si="100"/>
        <v>40.605012856401935</v>
      </c>
      <c r="F242" s="383">
        <f t="shared" si="78"/>
        <v>40.605013610831769</v>
      </c>
      <c r="G242" s="110">
        <f t="shared" si="101"/>
        <v>0.71860046332501959</v>
      </c>
      <c r="H242" s="412" t="b">
        <f>Wh_hp&gt;='2026'!Maxi_hp</f>
        <v>0</v>
      </c>
      <c r="I242" s="388">
        <f>IF(H242,Wh_hp,'2026'!Maxi_hp)</f>
        <v>56.868065915870055</v>
      </c>
      <c r="J242" s="85">
        <f>IF(H242,An,'2026'!An_max)</f>
        <v>2018</v>
      </c>
      <c r="K242" s="197">
        <f t="shared" si="79"/>
        <v>46615</v>
      </c>
      <c r="L242" s="147">
        <f>IF(t&lt;Tvie,1-EXP((T0-t)*PertePVj)+'2026'!Pspv,1-EXP((T0-t)*PertePVj)+Pspv)</f>
        <v>5.8024012997490715E-2</v>
      </c>
      <c r="M242" s="832"/>
      <c r="N242" s="832"/>
      <c r="O242" s="48">
        <f>IF(t&lt;Tnet,'2026'!Resal+('2026'!Salim-'2026'!Resal)*(1-EXP(('2026'!Tnet-t)/('2026'!Tau_j))),Resal+(Salim-Resal)*(1-EXP((Tnet-t)/(Tau_j))))*Salcycl</f>
        <v>2.2551351567687283E-2</v>
      </c>
      <c r="P242" s="169">
        <f>(INDEX(Models!$BJ242:$BT242,,T242)*(1-R242)+INDEX(Models!$BJ242:$BT242,,T242+1)*R242-ERP_i)*Q242*Ramure*Pc/MaxiM</f>
        <v>3.1069733097750696E-8</v>
      </c>
      <c r="Q242" s="304">
        <f t="shared" si="80"/>
        <v>0.6</v>
      </c>
      <c r="R242" s="177">
        <f t="shared" si="81"/>
        <v>0.44429157223754401</v>
      </c>
      <c r="S242" s="799">
        <f t="shared" si="82"/>
        <v>-1</v>
      </c>
      <c r="T242" s="176">
        <f t="shared" si="83"/>
        <v>5</v>
      </c>
      <c r="U242" s="250">
        <f t="shared" si="84"/>
        <v>-0.55570842776245599</v>
      </c>
      <c r="V242" s="382">
        <f t="shared" si="85"/>
        <v>52.026658834046522</v>
      </c>
      <c r="W242" s="400">
        <f t="shared" si="86"/>
        <v>37.38638161035491</v>
      </c>
      <c r="X242" s="157">
        <f t="shared" si="87"/>
        <v>46615</v>
      </c>
      <c r="Y242" s="383">
        <f t="shared" si="88"/>
        <v>36.084485493765058</v>
      </c>
      <c r="Z242" s="383">
        <f t="shared" si="89"/>
        <v>38.307224379031794</v>
      </c>
      <c r="AA242" s="384">
        <f t="shared" si="90"/>
        <v>40.605009444472046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5.6588709050357566E-2</v>
      </c>
      <c r="AD242" s="230">
        <f>(INDEX(Models!$BJ242:$BT242,,AH242)*(1-AF242)+INDEX(Models!$BJ242:$BT242,,AH242+1)*AF242-ERP_i)*AE242*Ramure*Pc/MaxiM</f>
        <v>1.715834633666444E-7</v>
      </c>
      <c r="AE242" s="304">
        <f t="shared" si="92"/>
        <v>0.6</v>
      </c>
      <c r="AF242" s="177">
        <f t="shared" si="93"/>
        <v>0.96927913861152248</v>
      </c>
      <c r="AG242" s="799">
        <f t="shared" si="99"/>
        <v>2</v>
      </c>
      <c r="AH242" s="176">
        <f t="shared" si="94"/>
        <v>8</v>
      </c>
      <c r="AI242" s="224">
        <f t="shared" si="95"/>
        <v>2.9692791386115225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46616</v>
      </c>
      <c r="B243" s="409">
        <f>IF(t&gt;Tmaj,'2026'!Wh/'2026'!Env_an*'2027'!Env_an,0.001*'[10]mon-tableau (1)'!$B$258)</f>
        <v>28.911691523408997</v>
      </c>
      <c r="C243" s="829"/>
      <c r="D243" s="391">
        <f t="shared" si="77"/>
        <v>30.693187532309508</v>
      </c>
      <c r="E243" s="383">
        <f t="shared" si="100"/>
        <v>31.404955017053901</v>
      </c>
      <c r="F243" s="383">
        <f t="shared" si="78"/>
        <v>31.404955616437118</v>
      </c>
      <c r="G243" s="110">
        <f t="shared" si="101"/>
        <v>0.55714752522525079</v>
      </c>
      <c r="H243" s="412" t="b">
        <f>Wh_hp&gt;='2026'!Maxi_hp</f>
        <v>0</v>
      </c>
      <c r="I243" s="388">
        <f>IF(H243,Wh_hp,'2026'!Maxi_hp)</f>
        <v>54.878692753943</v>
      </c>
      <c r="J243" s="85">
        <f>IF(H243,An,'2026'!An_max)</f>
        <v>2018</v>
      </c>
      <c r="K243" s="197">
        <f t="shared" si="79"/>
        <v>46616</v>
      </c>
      <c r="L243" s="147">
        <f>IF(t&lt;Tvie,1-EXP((T0-t)*PertePVj)+'2026'!Pspv,1-EXP((T0-t)*PertePVj)+Pspv)</f>
        <v>5.8042065752382355E-2</v>
      </c>
      <c r="M243" s="832"/>
      <c r="N243" s="832"/>
      <c r="O243" s="48">
        <f>IF(t&lt;Tnet,'2026'!Resal+('2026'!Salim-'2026'!Resal)*(1-EXP(('2026'!Tnet-t)/('2026'!Tau_j))),Resal+(Salim-Resal)*(1-EXP((Tnet-t)/(Tau_j))))*Salcycl</f>
        <v>2.2664177813911154E-2</v>
      </c>
      <c r="P243" s="169">
        <f>(INDEX(Models!$BJ243:$BT243,,T243)*(1-R243)+INDEX(Models!$BJ243:$BT243,,T243+1)*R243-ERP_i)*Q243*Ramure*Pc/MaxiM</f>
        <v>5.1954366365640864E-8</v>
      </c>
      <c r="Q243" s="304">
        <f t="shared" si="80"/>
        <v>0.6</v>
      </c>
      <c r="R243" s="177">
        <f t="shared" si="81"/>
        <v>0.4454297982723967</v>
      </c>
      <c r="S243" s="799">
        <f t="shared" si="82"/>
        <v>-1</v>
      </c>
      <c r="T243" s="176">
        <f t="shared" si="83"/>
        <v>5</v>
      </c>
      <c r="U243" s="250">
        <f t="shared" si="84"/>
        <v>-0.5545702017276033</v>
      </c>
      <c r="V243" s="382">
        <f t="shared" si="85"/>
        <v>51.892343166074888</v>
      </c>
      <c r="W243" s="400">
        <f t="shared" si="86"/>
        <v>28.911691523408997</v>
      </c>
      <c r="X243" s="157">
        <f t="shared" si="87"/>
        <v>46616</v>
      </c>
      <c r="Y243" s="383">
        <f t="shared" si="88"/>
        <v>27.905990143114263</v>
      </c>
      <c r="Z243" s="383">
        <f t="shared" si="89"/>
        <v>29.625516308649154</v>
      </c>
      <c r="AA243" s="384">
        <f t="shared" si="90"/>
        <v>31.404952309947721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5.6660999951110257E-2</v>
      </c>
      <c r="AD243" s="230">
        <f>(INDEX(Models!$BJ243:$BT243,,AH243)*(1-AF243)+INDEX(Models!$BJ243:$BT243,,AH243+1)*AF243-ERP_i)*AE243*Ramure*Pc/MaxiM</f>
        <v>2.8660555936154758E-7</v>
      </c>
      <c r="AE243" s="304">
        <f t="shared" si="92"/>
        <v>0.6</v>
      </c>
      <c r="AF243" s="177">
        <f t="shared" si="93"/>
        <v>0.97041736464637518</v>
      </c>
      <c r="AG243" s="799">
        <f t="shared" si="99"/>
        <v>2</v>
      </c>
      <c r="AH243" s="176">
        <f t="shared" si="94"/>
        <v>8</v>
      </c>
      <c r="AI243" s="224">
        <f t="shared" si="95"/>
        <v>2.9704173646463752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46617</v>
      </c>
      <c r="B244" s="409">
        <f>IF(t&gt;Tmaj,'2026'!Wh/'2026'!Env_an*'2027'!Env_an,0.001*'[10]mon-tableau (1)'!$B$259)</f>
        <v>36.700215656093675</v>
      </c>
      <c r="C244" s="829"/>
      <c r="D244" s="391">
        <f t="shared" si="77"/>
        <v>38.962375798817902</v>
      </c>
      <c r="E244" s="383">
        <f t="shared" si="100"/>
        <v>39.870498186372075</v>
      </c>
      <c r="F244" s="383">
        <f t="shared" si="78"/>
        <v>39.87050000813214</v>
      </c>
      <c r="G244" s="110">
        <f t="shared" si="101"/>
        <v>0.70908269096351417</v>
      </c>
      <c r="H244" s="412" t="b">
        <f>Wh_hp&gt;='2026'!Maxi_hp</f>
        <v>0</v>
      </c>
      <c r="I244" s="388">
        <f>IF(H244,Wh_hp,'2026'!Maxi_hp)</f>
        <v>51.155268788996608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5.8060118161297081E-2</v>
      </c>
      <c r="M244" s="832"/>
      <c r="N244" s="832"/>
      <c r="O244" s="48">
        <f>IF(t&lt;Tnet,'2026'!Resal+('2026'!Salim-'2026'!Resal)*(1-EXP(('2026'!Tnet-t)/('2026'!Tau_j))),Resal+(Salim-Resal)*(1-EXP((Tnet-t)/(Tau_j))))*Salcycl</f>
        <v>2.2776800613556785E-2</v>
      </c>
      <c r="P244" s="169">
        <f>(INDEX(Models!$BJ244:$BT244,,T244)*(1-R244)+INDEX(Models!$BJ244:$BT244,,T244+1)*R244-ERP_i)*Q244*Ramure*Pc/MaxiM</f>
        <v>7.8185534049773734E-8</v>
      </c>
      <c r="Q244" s="304">
        <f t="shared" si="80"/>
        <v>0.6</v>
      </c>
      <c r="R244" s="177">
        <f t="shared" si="81"/>
        <v>0.44652738307721029</v>
      </c>
      <c r="S244" s="799">
        <f t="shared" si="82"/>
        <v>-1</v>
      </c>
      <c r="T244" s="176">
        <f t="shared" si="83"/>
        <v>5</v>
      </c>
      <c r="U244" s="250">
        <f t="shared" si="84"/>
        <v>-0.55347261692278971</v>
      </c>
      <c r="V244" s="382">
        <f t="shared" si="85"/>
        <v>51.757312555045452</v>
      </c>
      <c r="W244" s="400">
        <f t="shared" si="86"/>
        <v>36.700215656093675</v>
      </c>
      <c r="X244" s="157">
        <f t="shared" si="87"/>
        <v>46617</v>
      </c>
      <c r="Y244" s="383">
        <f t="shared" si="88"/>
        <v>35.424960874620872</v>
      </c>
      <c r="Z244" s="383">
        <f t="shared" si="89"/>
        <v>37.60851574250151</v>
      </c>
      <c r="AA244" s="384">
        <f t="shared" si="90"/>
        <v>39.870489969001632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5.6733043116820252E-2</v>
      </c>
      <c r="AD244" s="230">
        <f>(INDEX(Models!$BJ244:$BT244,,AH244)*(1-AF244)+INDEX(Models!$BJ244:$BT244,,AH244+1)*AF244-ERP_i)*AE244*Ramure*Pc/MaxiM</f>
        <v>4.3085519060150293E-7</v>
      </c>
      <c r="AE244" s="304">
        <f t="shared" si="92"/>
        <v>0.6</v>
      </c>
      <c r="AF244" s="177">
        <f t="shared" si="93"/>
        <v>0.97151494945118877</v>
      </c>
      <c r="AG244" s="799">
        <f t="shared" si="99"/>
        <v>2</v>
      </c>
      <c r="AH244" s="176">
        <f t="shared" si="94"/>
        <v>8</v>
      </c>
      <c r="AI244" s="224">
        <f t="shared" si="95"/>
        <v>2.9715149494511888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46618</v>
      </c>
      <c r="B245" s="409">
        <f>IF(t&gt;Tmaj,'2026'!Wh/'2026'!Env_an*'2027'!Env_an,0.001*'[10]mon-tableau (1)'!$B$260)</f>
        <v>38.316749326727503</v>
      </c>
      <c r="C245" s="829"/>
      <c r="D245" s="391">
        <f t="shared" si="77"/>
        <v>40.679330402449111</v>
      </c>
      <c r="E245" s="383">
        <f t="shared" si="100"/>
        <v>41.632260235545118</v>
      </c>
      <c r="F245" s="383">
        <f t="shared" si="78"/>
        <v>41.632263123928333</v>
      </c>
      <c r="G245" s="110">
        <f t="shared" si="101"/>
        <v>0.7422609608427464</v>
      </c>
      <c r="H245" s="412" t="b">
        <f>Wh_hp&gt;='2026'!Maxi_hp</f>
        <v>0</v>
      </c>
      <c r="I245" s="388">
        <f>IF(H245,Wh_hp,'2026'!Maxi_hp)</f>
        <v>45.575246648150426</v>
      </c>
      <c r="J245" s="85">
        <f>IF(H245,An,'2026'!An_max)</f>
        <v>2021</v>
      </c>
      <c r="K245" s="197">
        <f t="shared" si="79"/>
        <v>46618</v>
      </c>
      <c r="L245" s="147">
        <f>IF(t&lt;Tvie,1-EXP((T0-t)*PertePVj)+'2026'!Pspv,1-EXP((T0-t)*PertePVj)+Pspv)</f>
        <v>5.8078170224241554E-2</v>
      </c>
      <c r="M245" s="832"/>
      <c r="N245" s="832"/>
      <c r="O245" s="48">
        <f>IF(t&lt;Tnet,'2026'!Resal+('2026'!Salim-'2026'!Resal)*(1-EXP(('2026'!Tnet-t)/('2026'!Tau_j))),Resal+(Salim-Resal)*(1-EXP((Tnet-t)/(Tau_j))))*Salcycl</f>
        <v>2.2889216864627762E-2</v>
      </c>
      <c r="P245" s="169">
        <f>(INDEX(Models!$BJ245:$BT245,,T245)*(1-R245)+INDEX(Models!$BJ245:$BT245,,T245+1)*R245-ERP_i)*Q245*Ramure*Pc/MaxiM</f>
        <v>1.0981058312247747E-7</v>
      </c>
      <c r="Q245" s="304">
        <f t="shared" si="80"/>
        <v>0.6</v>
      </c>
      <c r="R245" s="177">
        <f t="shared" si="81"/>
        <v>0.44758558712664964</v>
      </c>
      <c r="S245" s="799">
        <f t="shared" si="82"/>
        <v>-1</v>
      </c>
      <c r="T245" s="176">
        <f t="shared" si="83"/>
        <v>5</v>
      </c>
      <c r="U245" s="250">
        <f t="shared" si="84"/>
        <v>-0.55241441287335036</v>
      </c>
      <c r="V245" s="382">
        <f t="shared" si="85"/>
        <v>51.621666501221803</v>
      </c>
      <c r="W245" s="400">
        <f t="shared" si="86"/>
        <v>38.316749326727503</v>
      </c>
      <c r="X245" s="157">
        <f t="shared" si="87"/>
        <v>46618</v>
      </c>
      <c r="Y245" s="383">
        <f t="shared" si="88"/>
        <v>36.986759472229473</v>
      </c>
      <c r="Z245" s="383">
        <f t="shared" si="89"/>
        <v>39.267334403997026</v>
      </c>
      <c r="AA245" s="384">
        <f t="shared" si="90"/>
        <v>41.632247223119876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5.6804832236140544E-2</v>
      </c>
      <c r="AD245" s="230">
        <f>(INDEX(Models!$BJ245:$BT245,,AH245)*(1-AF245)+INDEX(Models!$BJ245:$BT245,,AH245+1)*AF245-ERP_i)*AE245*Ramure*Pc/MaxiM</f>
        <v>6.0451710218125932E-7</v>
      </c>
      <c r="AE245" s="304">
        <f t="shared" si="92"/>
        <v>0.6</v>
      </c>
      <c r="AF245" s="177">
        <f t="shared" si="93"/>
        <v>0.97257315350062834</v>
      </c>
      <c r="AG245" s="799">
        <f t="shared" si="99"/>
        <v>2</v>
      </c>
      <c r="AH245" s="176">
        <f t="shared" si="94"/>
        <v>8</v>
      </c>
      <c r="AI245" s="224">
        <f t="shared" si="95"/>
        <v>2.9725731535006283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46619</v>
      </c>
      <c r="B246" s="409">
        <f>IF(t&gt;Tmaj,'2026'!Wh/'2026'!Env_an*'2027'!Env_an,0.001*'[10]mon-tableau (1)'!$B$261)</f>
        <v>50.108953831750341</v>
      </c>
      <c r="C246" s="829"/>
      <c r="D246" s="391">
        <f t="shared" si="77"/>
        <v>53.199652659874339</v>
      </c>
      <c r="E246" s="383">
        <f t="shared" si="100"/>
        <v>54.452129129462108</v>
      </c>
      <c r="F246" s="383">
        <f t="shared" si="78"/>
        <v>54.452136821660638</v>
      </c>
      <c r="G246" s="110">
        <f t="shared" si="101"/>
        <v>0.97326333062159742</v>
      </c>
      <c r="H246" s="412" t="b">
        <f>Wh_hp&gt;='2026'!Maxi_hp</f>
        <v>0</v>
      </c>
      <c r="I246" s="388">
        <f>IF(H246,Wh_hp,'2026'!Maxi_hp)</f>
        <v>54.452137000554892</v>
      </c>
      <c r="J246" s="85">
        <f>IF(H246,An,'2026'!An_max)</f>
        <v>2026</v>
      </c>
      <c r="K246" s="197">
        <f t="shared" si="79"/>
        <v>46619</v>
      </c>
      <c r="L246" s="147">
        <f>IF(t&lt;Tvie,1-EXP((T0-t)*PertePVj)+'2026'!Pspv,1-EXP((T0-t)*PertePVj)+Pspv)</f>
        <v>5.8096221941222326E-2</v>
      </c>
      <c r="M246" s="832"/>
      <c r="N246" s="832"/>
      <c r="O246" s="48">
        <f>IF(t&lt;Tnet,'2026'!Resal+('2026'!Salim-'2026'!Resal)*(1-EXP(('2026'!Tnet-t)/('2026'!Tau_j))),Resal+(Salim-Resal)*(1-EXP((Tnet-t)/(Tau_j))))*Salcycl</f>
        <v>2.3001423261337531E-2</v>
      </c>
      <c r="P246" s="169">
        <f>(INDEX(Models!$BJ246:$BT246,,T246)*(1-R246)+INDEX(Models!$BJ246:$BT246,,T246+1)*R246-ERP_i)*Q246*Ramure*Pc/MaxiM</f>
        <v>1.4687525468796682E-7</v>
      </c>
      <c r="Q246" s="304">
        <f t="shared" si="80"/>
        <v>0.6</v>
      </c>
      <c r="R246" s="177">
        <f t="shared" si="81"/>
        <v>0.4486056461959349</v>
      </c>
      <c r="S246" s="799">
        <f t="shared" si="82"/>
        <v>-1</v>
      </c>
      <c r="T246" s="176">
        <f t="shared" si="83"/>
        <v>5</v>
      </c>
      <c r="U246" s="250">
        <f t="shared" si="84"/>
        <v>-0.5513943538040651</v>
      </c>
      <c r="V246" s="382">
        <f t="shared" si="85"/>
        <v>51.485504461201764</v>
      </c>
      <c r="W246" s="400">
        <f t="shared" si="86"/>
        <v>50.108953831750341</v>
      </c>
      <c r="X246" s="157">
        <f t="shared" si="87"/>
        <v>46619</v>
      </c>
      <c r="Y246" s="383">
        <f t="shared" si="88"/>
        <v>48.371522733449503</v>
      </c>
      <c r="Z246" s="383">
        <f t="shared" si="89"/>
        <v>51.355057554967118</v>
      </c>
      <c r="AA246" s="384">
        <f t="shared" si="90"/>
        <v>54.452094516741717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5.6876360574566895E-2</v>
      </c>
      <c r="AD246" s="230">
        <f>(INDEX(Models!$BJ246:$BT246,,AH246)*(1-AF246)+INDEX(Models!$BJ246:$BT246,,AH246+1)*AF246-ERP_i)*AE246*Ramure*Pc/MaxiM</f>
        <v>8.0777240955364836E-7</v>
      </c>
      <c r="AE246" s="304">
        <f t="shared" si="92"/>
        <v>0.6</v>
      </c>
      <c r="AF246" s="177">
        <f t="shared" si="93"/>
        <v>0.97359321256991338</v>
      </c>
      <c r="AG246" s="799">
        <f t="shared" si="99"/>
        <v>2</v>
      </c>
      <c r="AH246" s="176">
        <f t="shared" si="94"/>
        <v>8</v>
      </c>
      <c r="AI246" s="224">
        <f t="shared" si="95"/>
        <v>2.9735932125699134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46620</v>
      </c>
      <c r="B247" s="409">
        <f>IF(t&gt;Tmaj,'2026'!Wh/'2026'!Env_an*'2027'!Env_an,0.001*'[10]mon-tableau (1)'!$B$262)</f>
        <v>37.425868484518958</v>
      </c>
      <c r="C247" s="829"/>
      <c r="D247" s="391">
        <f t="shared" si="77"/>
        <v>39.735041549181545</v>
      </c>
      <c r="E247" s="383">
        <f t="shared" si="100"/>
        <v>40.675184010481047</v>
      </c>
      <c r="F247" s="383">
        <f t="shared" si="78"/>
        <v>40.675188730687445</v>
      </c>
      <c r="G247" s="110">
        <f t="shared" si="101"/>
        <v>0.72884524402316053</v>
      </c>
      <c r="H247" s="412" t="b">
        <f>Wh_hp&gt;='2026'!Maxi_hp</f>
        <v>0</v>
      </c>
      <c r="I247" s="388">
        <f>IF(H247,Wh_hp,'2026'!Maxi_hp)</f>
        <v>55.472998221971906</v>
      </c>
      <c r="J247" s="85">
        <f>IF(H247,An,'2026'!An_max)</f>
        <v>2020</v>
      </c>
      <c r="K247" s="197">
        <f t="shared" si="79"/>
        <v>46620</v>
      </c>
      <c r="L247" s="147">
        <f>IF(t&lt;Tvie,1-EXP((T0-t)*PertePVj)+'2026'!Pspv,1-EXP((T0-t)*PertePVj)+Pspv)</f>
        <v>5.8114273312245945E-2</v>
      </c>
      <c r="M247" s="832"/>
      <c r="N247" s="832"/>
      <c r="O247" s="48">
        <f>IF(t&lt;Tnet,'2026'!Resal+('2026'!Salim-'2026'!Resal)*(1-EXP(('2026'!Tnet-t)/('2026'!Tau_j))),Resal+(Salim-Resal)*(1-EXP((Tnet-t)/(Tau_j))))*Salcycl</f>
        <v>2.3113416304576511E-2</v>
      </c>
      <c r="P247" s="169">
        <f>(INDEX(Models!$BJ247:$BT247,,T247)*(1-R247)+INDEX(Models!$BJ247:$BT247,,T247+1)*R247-ERP_i)*Q247*Ramure*Pc/MaxiM</f>
        <v>1.8942129458253449E-7</v>
      </c>
      <c r="Q247" s="304">
        <f t="shared" si="80"/>
        <v>0.6</v>
      </c>
      <c r="R247" s="177">
        <f t="shared" si="81"/>
        <v>0.44958877067959913</v>
      </c>
      <c r="S247" s="799">
        <f t="shared" si="82"/>
        <v>-1</v>
      </c>
      <c r="T247" s="176">
        <f t="shared" si="83"/>
        <v>5</v>
      </c>
      <c r="U247" s="250">
        <f t="shared" si="84"/>
        <v>-0.55041122932040087</v>
      </c>
      <c r="V247" s="382">
        <f t="shared" si="85"/>
        <v>51.349536880846564</v>
      </c>
      <c r="W247" s="400">
        <f t="shared" si="86"/>
        <v>37.425868484518958</v>
      </c>
      <c r="X247" s="157">
        <f t="shared" si="87"/>
        <v>46620</v>
      </c>
      <c r="Y247" s="383">
        <f t="shared" si="88"/>
        <v>36.129614727517428</v>
      </c>
      <c r="Z247" s="383">
        <f t="shared" si="89"/>
        <v>38.358809040000253</v>
      </c>
      <c r="AA247" s="384">
        <f t="shared" si="90"/>
        <v>40.675162795266374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5.6947621007080264E-2</v>
      </c>
      <c r="AD247" s="230">
        <f>(INDEX(Models!$BJ247:$BT247,,AH247)*(1-AF247)+INDEX(Models!$BJ247:$BT247,,AH247+1)*AF247-ERP_i)*AE247*Ramure*Pc/MaxiM</f>
        <v>1.0407852156934728E-6</v>
      </c>
      <c r="AE247" s="304">
        <f t="shared" si="92"/>
        <v>0.6</v>
      </c>
      <c r="AF247" s="177">
        <f t="shared" si="93"/>
        <v>0.97457633705357782</v>
      </c>
      <c r="AG247" s="799">
        <f t="shared" si="99"/>
        <v>2</v>
      </c>
      <c r="AH247" s="176">
        <f t="shared" si="94"/>
        <v>8</v>
      </c>
      <c r="AI247" s="224">
        <f t="shared" si="95"/>
        <v>2.9745763370535778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46621</v>
      </c>
      <c r="B248" s="409">
        <f>IF(t&gt;Tmaj,'2026'!Wh/'2026'!Env_an*'2027'!Env_an,0.001*'[10]mon-tableau (1)'!$B$263)</f>
        <v>27.032256231048045</v>
      </c>
      <c r="C248" s="829"/>
      <c r="D248" s="391">
        <f t="shared" si="77"/>
        <v>28.700694300851389</v>
      </c>
      <c r="E248" s="383">
        <f t="shared" si="100"/>
        <v>29.38312298280665</v>
      </c>
      <c r="F248" s="383">
        <f t="shared" si="78"/>
        <v>29.383125359844303</v>
      </c>
      <c r="G248" s="110">
        <f t="shared" si="101"/>
        <v>0.52782786363337064</v>
      </c>
      <c r="H248" s="412" t="b">
        <f>Wh_hp&gt;='2026'!Maxi_hp</f>
        <v>0</v>
      </c>
      <c r="I248" s="388">
        <f>IF(H248,Wh_hp,'2026'!Maxi_hp)</f>
        <v>56.932210607769058</v>
      </c>
      <c r="J248" s="85">
        <f>IF(H248,An,'2026'!An_max)</f>
        <v>2018</v>
      </c>
      <c r="K248" s="197">
        <f t="shared" si="79"/>
        <v>46621</v>
      </c>
      <c r="L248" s="147">
        <f>IF(t&lt;Tvie,1-EXP((T0-t)*PertePVj)+'2026'!Pspv,1-EXP((T0-t)*PertePVj)+Pspv)</f>
        <v>5.8132324337319297E-2</v>
      </c>
      <c r="M248" s="832"/>
      <c r="N248" s="832"/>
      <c r="O248" s="48">
        <f>IF(t&lt;Tnet,'2026'!Resal+('2026'!Salim-'2026'!Resal)*(1-EXP(('2026'!Tnet-t)/('2026'!Tau_j))),Resal+(Salim-Resal)*(1-EXP((Tnet-t)/(Tau_j))))*Salcycl</f>
        <v>2.3225192310381025E-2</v>
      </c>
      <c r="P248" s="169">
        <f>(INDEX(Models!$BJ248:$BT248,,T248)*(1-R248)+INDEX(Models!$BJ248:$BT248,,T248+1)*R248-ERP_i)*Q248*Ramure*Pc/MaxiM</f>
        <v>2.4855877880395959E-7</v>
      </c>
      <c r="Q248" s="304">
        <f t="shared" si="80"/>
        <v>0.6</v>
      </c>
      <c r="R248" s="177">
        <f t="shared" si="81"/>
        <v>0.45053614503121753</v>
      </c>
      <c r="S248" s="799">
        <f t="shared" si="82"/>
        <v>-1</v>
      </c>
      <c r="T248" s="176">
        <f t="shared" si="83"/>
        <v>5</v>
      </c>
      <c r="U248" s="250">
        <f t="shared" si="84"/>
        <v>-0.54946385496878247</v>
      </c>
      <c r="V248" s="382">
        <f t="shared" si="85"/>
        <v>51.214143021401014</v>
      </c>
      <c r="W248" s="400">
        <f t="shared" si="86"/>
        <v>27.032256231048045</v>
      </c>
      <c r="X248" s="157">
        <f t="shared" si="87"/>
        <v>46621</v>
      </c>
      <c r="Y248" s="383">
        <f t="shared" si="88"/>
        <v>26.097013547530938</v>
      </c>
      <c r="Z248" s="383">
        <f t="shared" si="89"/>
        <v>27.707728189280477</v>
      </c>
      <c r="AA248" s="384">
        <f t="shared" si="90"/>
        <v>29.383112293524061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5.7018606045106827E-2</v>
      </c>
      <c r="AD248" s="230">
        <f>(INDEX(Models!$BJ248:$BT248,,AH248)*(1-AF248)+INDEX(Models!$BJ248:$BT248,,AH248+1)*AF248-ERP_i)*AE248*Ramure*Pc/MaxiM</f>
        <v>1.3663008660657407E-6</v>
      </c>
      <c r="AE248" s="304">
        <f t="shared" si="92"/>
        <v>0.6</v>
      </c>
      <c r="AF248" s="177">
        <f t="shared" si="93"/>
        <v>0.975523711405196</v>
      </c>
      <c r="AG248" s="799">
        <f t="shared" si="99"/>
        <v>2</v>
      </c>
      <c r="AH248" s="176">
        <f t="shared" si="94"/>
        <v>8</v>
      </c>
      <c r="AI248" s="224">
        <f t="shared" si="95"/>
        <v>2.975523711405196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46622</v>
      </c>
      <c r="B249" s="409">
        <f>IF(t&gt;Tmaj,'2026'!Wh/'2026'!Env_an*'2027'!Env_an,0.001*'[10]mon-tableau (1)'!$B$264)</f>
        <v>48.431245557996974</v>
      </c>
      <c r="C249" s="829"/>
      <c r="D249" s="391">
        <f t="shared" si="77"/>
        <v>51.421420440489953</v>
      </c>
      <c r="E249" s="383">
        <f t="shared" si="100"/>
        <v>52.650102585979027</v>
      </c>
      <c r="F249" s="383">
        <f t="shared" si="78"/>
        <v>52.650118402152465</v>
      </c>
      <c r="G249" s="110">
        <f t="shared" si="101"/>
        <v>0.94816488269172983</v>
      </c>
      <c r="H249" s="412" t="b">
        <f>Wh_hp&gt;='2026'!Maxi_hp</f>
        <v>0</v>
      </c>
      <c r="I249" s="388">
        <f>IF(H249,Wh_hp,'2026'!Maxi_hp)</f>
        <v>54.337170768740876</v>
      </c>
      <c r="J249" s="85">
        <f>IF(H249,An,'2026'!An_max)</f>
        <v>2018</v>
      </c>
      <c r="K249" s="197">
        <f t="shared" si="79"/>
        <v>46622</v>
      </c>
      <c r="L249" s="147">
        <f>IF(t&lt;Tvie,1-EXP((T0-t)*PertePVj)+'2026'!Pspv,1-EXP((T0-t)*PertePVj)+Pspv)</f>
        <v>5.8150375016448819E-2</v>
      </c>
      <c r="M249" s="832"/>
      <c r="N249" s="832"/>
      <c r="O249" s="48">
        <f>IF(t&lt;Tnet,'2026'!Resal+('2026'!Salim-'2026'!Resal)*(1-EXP(('2026'!Tnet-t)/('2026'!Tau_j))),Resal+(Salim-Resal)*(1-EXP((Tnet-t)/(Tau_j))))*Salcycl</f>
        <v>2.3336747416258168E-2</v>
      </c>
      <c r="P249" s="169">
        <f>(INDEX(Models!$BJ249:$BT249,,T249)*(1-R249)+INDEX(Models!$BJ249:$BT249,,T249+1)*R249-ERP_i)*Q249*Ramure*Pc/MaxiM</f>
        <v>3.2442520961578606E-7</v>
      </c>
      <c r="Q249" s="304">
        <f t="shared" si="80"/>
        <v>0.6</v>
      </c>
      <c r="R249" s="177">
        <f t="shared" si="81"/>
        <v>0.45144892731560371</v>
      </c>
      <c r="S249" s="799">
        <f t="shared" si="82"/>
        <v>-1</v>
      </c>
      <c r="T249" s="176">
        <f t="shared" si="83"/>
        <v>5</v>
      </c>
      <c r="U249" s="250">
        <f t="shared" si="84"/>
        <v>-0.54855107268439629</v>
      </c>
      <c r="V249" s="382">
        <f t="shared" si="85"/>
        <v>51.078926543879973</v>
      </c>
      <c r="W249" s="400">
        <f t="shared" si="86"/>
        <v>48.431245557996974</v>
      </c>
      <c r="X249" s="157">
        <f t="shared" si="87"/>
        <v>46622</v>
      </c>
      <c r="Y249" s="383">
        <f t="shared" si="88"/>
        <v>46.757444180504862</v>
      </c>
      <c r="Z249" s="383">
        <f t="shared" si="89"/>
        <v>49.644277536683681</v>
      </c>
      <c r="AA249" s="384">
        <f t="shared" si="90"/>
        <v>52.650031387262892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5.7089307857589706E-2</v>
      </c>
      <c r="AD249" s="230">
        <f>(INDEX(Models!$BJ249:$BT249,,AH249)*(1-AF249)+INDEX(Models!$BJ249:$BT249,,AH249+1)*AF249-ERP_i)*AE249*Ramure*Pc/MaxiM</f>
        <v>1.7848706513770497E-6</v>
      </c>
      <c r="AE249" s="304">
        <f t="shared" si="92"/>
        <v>0.6</v>
      </c>
      <c r="AF249" s="177">
        <f t="shared" si="93"/>
        <v>0.97643649368958263</v>
      </c>
      <c r="AG249" s="799">
        <f t="shared" si="99"/>
        <v>2</v>
      </c>
      <c r="AH249" s="176">
        <f t="shared" si="94"/>
        <v>8</v>
      </c>
      <c r="AI249" s="224">
        <f t="shared" si="95"/>
        <v>2.9764364936895826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46623</v>
      </c>
      <c r="B250" s="409">
        <f>IF(t&gt;Tmaj,'2026'!Wh/'2026'!Env_an*'2027'!Env_an,0.001*'[10]mon-tableau (1)'!$B$265)</f>
        <v>48.971611094897973</v>
      </c>
      <c r="C250" s="829"/>
      <c r="D250" s="391">
        <f t="shared" si="77"/>
        <v>51.996144972181426</v>
      </c>
      <c r="E250" s="383">
        <f t="shared" si="100"/>
        <v>53.244629167908975</v>
      </c>
      <c r="F250" s="383">
        <f t="shared" si="78"/>
        <v>53.244650150954584</v>
      </c>
      <c r="G250" s="110">
        <f t="shared" si="101"/>
        <v>0.9612927714466053</v>
      </c>
      <c r="H250" s="412" t="b">
        <f>Wh_hp&gt;='2026'!Maxi_hp</f>
        <v>0</v>
      </c>
      <c r="I250" s="388">
        <f>IF(H250,Wh_hp,'2026'!Maxi_hp)</f>
        <v>54.747664261265655</v>
      </c>
      <c r="J250" s="85">
        <f>IF(H250,An,'2026'!An_max)</f>
        <v>2018</v>
      </c>
      <c r="K250" s="197">
        <f t="shared" si="79"/>
        <v>46623</v>
      </c>
      <c r="L250" s="147">
        <f>IF(t&lt;Tvie,1-EXP((T0-t)*PertePVj)+'2026'!Pspv,1-EXP((T0-t)*PertePVj)+Pspv)</f>
        <v>5.8168425349641173E-2</v>
      </c>
      <c r="M250" s="832"/>
      <c r="N250" s="832"/>
      <c r="O250" s="48">
        <f>IF(t&lt;Tnet,'2026'!Resal+('2026'!Salim-'2026'!Resal)*(1-EXP(('2026'!Tnet-t)/('2026'!Tau_j))),Resal+(Salim-Resal)*(1-EXP((Tnet-t)/(Tau_j))))*Salcycl</f>
        <v>2.3448077585260411E-2</v>
      </c>
      <c r="P250" s="169">
        <f>(INDEX(Models!$BJ250:$BT250,,T250)*(1-R250)+INDEX(Models!$BJ250:$BT250,,T250+1)*R250-ERP_i)*Q250*Ramure*Pc/MaxiM</f>
        <v>4.1715436926567074E-7</v>
      </c>
      <c r="Q250" s="304">
        <f t="shared" si="80"/>
        <v>0.6</v>
      </c>
      <c r="R250" s="177">
        <f t="shared" si="81"/>
        <v>0.45232824886526801</v>
      </c>
      <c r="S250" s="799">
        <f t="shared" si="82"/>
        <v>-1</v>
      </c>
      <c r="T250" s="176">
        <f t="shared" si="83"/>
        <v>5</v>
      </c>
      <c r="U250" s="250">
        <f t="shared" si="84"/>
        <v>-0.54767175113473199</v>
      </c>
      <c r="V250" s="382">
        <f t="shared" si="85"/>
        <v>50.943491327387839</v>
      </c>
      <c r="W250" s="400">
        <f t="shared" si="86"/>
        <v>48.971611094897973</v>
      </c>
      <c r="X250" s="157">
        <f t="shared" si="87"/>
        <v>46623</v>
      </c>
      <c r="Y250" s="383">
        <f t="shared" si="88"/>
        <v>47.280973537262533</v>
      </c>
      <c r="Z250" s="383">
        <f t="shared" si="89"/>
        <v>50.201092010336247</v>
      </c>
      <c r="AA250" s="384">
        <f t="shared" si="90"/>
        <v>53.244534608850927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5.7159718286067231E-2</v>
      </c>
      <c r="AD250" s="230">
        <f>(INDEX(Models!$BJ250:$BT250,,AH250)*(1-AF250)+INDEX(Models!$BJ250:$BT250,,AH250+1)*AF250-ERP_i)*AE250*Ramure*Pc/MaxiM</f>
        <v>2.2970399187914362E-6</v>
      </c>
      <c r="AE250" s="304">
        <f t="shared" si="92"/>
        <v>0.6</v>
      </c>
      <c r="AF250" s="177">
        <f t="shared" si="93"/>
        <v>0.97731581523924671</v>
      </c>
      <c r="AG250" s="799">
        <f t="shared" si="99"/>
        <v>2</v>
      </c>
      <c r="AH250" s="176">
        <f t="shared" si="94"/>
        <v>8</v>
      </c>
      <c r="AI250" s="224">
        <f t="shared" si="95"/>
        <v>2.9773158152392467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46624</v>
      </c>
      <c r="B251" s="409">
        <f>IF(t&gt;Tmaj,'2026'!Wh/'2026'!Env_an*'2027'!Env_an,0.001*'[10]mon-tableau (1)'!$B$266)</f>
        <v>29.456131966481053</v>
      </c>
      <c r="C251" s="829"/>
      <c r="D251" s="391">
        <f t="shared" si="77"/>
        <v>31.275970449689627</v>
      </c>
      <c r="E251" s="383">
        <f t="shared" si="100"/>
        <v>32.030584715922586</v>
      </c>
      <c r="F251" s="383">
        <f t="shared" si="78"/>
        <v>32.030591460622453</v>
      </c>
      <c r="G251" s="110">
        <f t="shared" si="101"/>
        <v>0.57976000753817702</v>
      </c>
      <c r="H251" s="412" t="b">
        <f>Wh_hp&gt;='2026'!Maxi_hp</f>
        <v>0</v>
      </c>
      <c r="I251" s="388">
        <f>IF(H251,Wh_hp,'2026'!Maxi_hp)</f>
        <v>52.804588122486173</v>
      </c>
      <c r="J251" s="85">
        <f>IF(H251,An,'2026'!An_max)</f>
        <v>2021</v>
      </c>
      <c r="K251" s="197">
        <f t="shared" si="79"/>
        <v>46624</v>
      </c>
      <c r="L251" s="147">
        <f>IF(t&lt;Tvie,1-EXP((T0-t)*PertePVj)+'2026'!Pspv,1-EXP((T0-t)*PertePVj)+Pspv)</f>
        <v>5.8186475336903021E-2</v>
      </c>
      <c r="M251" s="832"/>
      <c r="N251" s="832"/>
      <c r="O251" s="48">
        <f>IF(t&lt;Tnet,'2026'!Resal+('2026'!Salim-'2026'!Resal)*(1-EXP(('2026'!Tnet-t)/('2026'!Tau_j))),Resal+(Salim-Resal)*(1-EXP((Tnet-t)/(Tau_j))))*Salcycl</f>
        <v>2.3559178607745895E-2</v>
      </c>
      <c r="P251" s="169">
        <f>(INDEX(Models!$BJ251:$BT251,,T251)*(1-R251)+INDEX(Models!$BJ251:$BT251,,T251+1)*R251-ERP_i)*Q251*Ramure*Pc/MaxiM</f>
        <v>5.2687767238127048E-7</v>
      </c>
      <c r="Q251" s="304">
        <f t="shared" si="80"/>
        <v>0.6</v>
      </c>
      <c r="R251" s="177">
        <f t="shared" si="81"/>
        <v>0.45317521403323258</v>
      </c>
      <c r="S251" s="799">
        <f t="shared" si="82"/>
        <v>-1</v>
      </c>
      <c r="T251" s="176">
        <f t="shared" si="83"/>
        <v>5</v>
      </c>
      <c r="U251" s="250">
        <f t="shared" si="84"/>
        <v>-0.54682478596676742</v>
      </c>
      <c r="V251" s="382">
        <f t="shared" si="85"/>
        <v>50.807441469400828</v>
      </c>
      <c r="W251" s="400">
        <f t="shared" si="86"/>
        <v>29.456131966481053</v>
      </c>
      <c r="X251" s="157">
        <f t="shared" si="87"/>
        <v>46624</v>
      </c>
      <c r="Y251" s="383">
        <f t="shared" si="88"/>
        <v>28.440367906884429</v>
      </c>
      <c r="Z251" s="383">
        <f t="shared" si="89"/>
        <v>30.197451153675079</v>
      </c>
      <c r="AA251" s="384">
        <f t="shared" si="90"/>
        <v>32.030554294012319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5.7229828853755237E-2</v>
      </c>
      <c r="AD251" s="230">
        <f>(INDEX(Models!$BJ251:$BT251,,AH251)*(1-AF251)+INDEX(Models!$BJ251:$BT251,,AH251+1)*AF251-ERP_i)*AE251*Ramure*Pc/MaxiM</f>
        <v>2.9033548457093647E-6</v>
      </c>
      <c r="AE251" s="304">
        <f t="shared" si="92"/>
        <v>0.6</v>
      </c>
      <c r="AF251" s="177">
        <f t="shared" si="93"/>
        <v>0.9781627804072115</v>
      </c>
      <c r="AG251" s="799">
        <f t="shared" si="99"/>
        <v>2</v>
      </c>
      <c r="AH251" s="176">
        <f t="shared" si="94"/>
        <v>8</v>
      </c>
      <c r="AI251" s="224">
        <f t="shared" si="95"/>
        <v>2.9781627804072115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46625</v>
      </c>
      <c r="B252" s="409">
        <f>IF(t&gt;Tmaj,'2026'!Wh/'2026'!Env_an*'2027'!Env_an,0.001*'[10]mon-tableau (1)'!$B$267)</f>
        <v>39.360604451619011</v>
      </c>
      <c r="C252" s="829"/>
      <c r="D252" s="391">
        <f t="shared" si="77"/>
        <v>41.793155197214801</v>
      </c>
      <c r="E252" s="383">
        <f t="shared" si="100"/>
        <v>42.806384286689457</v>
      </c>
      <c r="F252" s="383">
        <f t="shared" si="78"/>
        <v>42.806403347414737</v>
      </c>
      <c r="G252" s="110">
        <f t="shared" si="101"/>
        <v>0.7767969225510738</v>
      </c>
      <c r="H252" s="412" t="b">
        <f>Wh_hp&gt;='2026'!Maxi_hp</f>
        <v>0</v>
      </c>
      <c r="I252" s="388">
        <f>IF(H252,Wh_hp,'2026'!Maxi_hp)</f>
        <v>54.205725811203237</v>
      </c>
      <c r="J252" s="85">
        <f>IF(H252,An,'2026'!An_max)</f>
        <v>2020</v>
      </c>
      <c r="K252" s="197">
        <f t="shared" si="79"/>
        <v>46625</v>
      </c>
      <c r="L252" s="147">
        <f>IF(t&lt;Tvie,1-EXP((T0-t)*PertePVj)+'2026'!Pspv,1-EXP((T0-t)*PertePVj)+Pspv)</f>
        <v>5.8204524978241023E-2</v>
      </c>
      <c r="M252" s="832"/>
      <c r="N252" s="832"/>
      <c r="O252" s="48">
        <f>IF(t&lt;Tnet,'2026'!Resal+('2026'!Salim-'2026'!Resal)*(1-EXP(('2026'!Tnet-t)/('2026'!Tau_j))),Resal+(Salim-Resal)*(1-EXP((Tnet-t)/(Tau_j))))*Salcycl</f>
        <v>2.3670046100803626E-2</v>
      </c>
      <c r="P252" s="169">
        <f>(INDEX(Models!$BJ252:$BT252,,T252)*(1-R252)+INDEX(Models!$BJ252:$BT252,,T252+1)*R252-ERP_i)*Q252*Ramure*Pc/MaxiM</f>
        <v>6.5372505667728249E-7</v>
      </c>
      <c r="Q252" s="304">
        <f t="shared" si="80"/>
        <v>0.6</v>
      </c>
      <c r="R252" s="177">
        <f t="shared" si="81"/>
        <v>0.45399090003463627</v>
      </c>
      <c r="S252" s="799">
        <f t="shared" si="82"/>
        <v>-1</v>
      </c>
      <c r="T252" s="176">
        <f t="shared" si="83"/>
        <v>5</v>
      </c>
      <c r="U252" s="250">
        <f t="shared" si="84"/>
        <v>-0.54600909996536373</v>
      </c>
      <c r="V252" s="382">
        <f t="shared" si="85"/>
        <v>50.670381285403273</v>
      </c>
      <c r="W252" s="400">
        <f t="shared" si="86"/>
        <v>39.360604451619011</v>
      </c>
      <c r="X252" s="157">
        <f t="shared" si="87"/>
        <v>46625</v>
      </c>
      <c r="Y252" s="383">
        <f t="shared" si="88"/>
        <v>38.004756104720421</v>
      </c>
      <c r="Z252" s="383">
        <f t="shared" si="89"/>
        <v>40.353513169982442</v>
      </c>
      <c r="AA252" s="384">
        <f t="shared" si="90"/>
        <v>42.806298254544103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5.7299630768733595E-2</v>
      </c>
      <c r="AD252" s="230">
        <f>(INDEX(Models!$BJ252:$BT252,,AH252)*(1-AF252)+INDEX(Models!$BJ252:$BT252,,AH252+1)*AF252-ERP_i)*AE252*Ramure*Pc/MaxiM</f>
        <v>3.6043666662272697E-6</v>
      </c>
      <c r="AE252" s="304">
        <f t="shared" si="92"/>
        <v>0.6</v>
      </c>
      <c r="AF252" s="177">
        <f t="shared" si="93"/>
        <v>0.97897846640861497</v>
      </c>
      <c r="AG252" s="799">
        <f t="shared" si="99"/>
        <v>2</v>
      </c>
      <c r="AH252" s="176">
        <f t="shared" si="94"/>
        <v>8</v>
      </c>
      <c r="AI252" s="224">
        <f t="shared" si="95"/>
        <v>2.978978466408615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46626</v>
      </c>
      <c r="B253" s="409">
        <f>IF(t&gt;Tmaj,'2026'!Wh/'2026'!Env_an*'2027'!Env_an,0.001*'[10]mon-tableau (1)'!$B$268)</f>
        <v>47.656615123175172</v>
      </c>
      <c r="C253" s="829"/>
      <c r="D253" s="391">
        <f t="shared" si="77"/>
        <v>50.602842902525921</v>
      </c>
      <c r="E253" s="383">
        <f t="shared" si="100"/>
        <v>51.835526743666847</v>
      </c>
      <c r="F253" s="383">
        <f t="shared" si="78"/>
        <v>51.835564737775798</v>
      </c>
      <c r="G253" s="110">
        <f t="shared" si="101"/>
        <v>0.94309926201033734</v>
      </c>
      <c r="H253" s="412" t="b">
        <f>Wh_hp&gt;='2026'!Maxi_hp</f>
        <v>0</v>
      </c>
      <c r="I253" s="388">
        <f>IF(H253,Wh_hp,'2026'!Maxi_hp)</f>
        <v>51.835566700482502</v>
      </c>
      <c r="J253" s="85">
        <f>IF(H253,An,'2026'!An_max)</f>
        <v>2026</v>
      </c>
      <c r="K253" s="197">
        <f t="shared" si="79"/>
        <v>46626</v>
      </c>
      <c r="L253" s="147">
        <f>IF(t&lt;Tvie,1-EXP((T0-t)*PertePVj)+'2026'!Pspv,1-EXP((T0-t)*PertePVj)+Pspv)</f>
        <v>5.8222574273661731E-2</v>
      </c>
      <c r="M253" s="832"/>
      <c r="N253" s="832"/>
      <c r="O253" s="48">
        <f>IF(t&lt;Tnet,'2026'!Resal+('2026'!Salim-'2026'!Resal)*(1-EXP(('2026'!Tnet-t)/('2026'!Tau_j))),Resal+(Salim-Resal)*(1-EXP((Tnet-t)/(Tau_j))))*Salcycl</f>
        <v>2.3780675505367242E-2</v>
      </c>
      <c r="P253" s="169">
        <f>(INDEX(Models!$BJ253:$BT253,,T253)*(1-R253)+INDEX(Models!$BJ253:$BT253,,T253+1)*R253-ERP_i)*Q253*Ramure*Pc/MaxiM</f>
        <v>7.9782642546197722E-7</v>
      </c>
      <c r="Q253" s="304">
        <f t="shared" si="80"/>
        <v>0.6</v>
      </c>
      <c r="R253" s="177">
        <f t="shared" si="81"/>
        <v>0.45477635686988349</v>
      </c>
      <c r="S253" s="799">
        <f t="shared" si="82"/>
        <v>-1</v>
      </c>
      <c r="T253" s="176">
        <f t="shared" si="83"/>
        <v>5</v>
      </c>
      <c r="U253" s="250">
        <f t="shared" si="84"/>
        <v>-0.54522364313011651</v>
      </c>
      <c r="V253" s="382">
        <f t="shared" si="85"/>
        <v>50.531915305424313</v>
      </c>
      <c r="W253" s="400">
        <f t="shared" si="86"/>
        <v>47.656615123175172</v>
      </c>
      <c r="X253" s="157">
        <f t="shared" si="87"/>
        <v>46626</v>
      </c>
      <c r="Y253" s="383">
        <f t="shared" si="88"/>
        <v>46.016758196135783</v>
      </c>
      <c r="Z253" s="383">
        <f t="shared" si="89"/>
        <v>48.861606722677308</v>
      </c>
      <c r="AA253" s="384">
        <f t="shared" si="90"/>
        <v>51.835355170444139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5.7369114921439264E-2</v>
      </c>
      <c r="AD253" s="230">
        <f>(INDEX(Models!$BJ253:$BT253,,AH253)*(1-AF253)+INDEX(Models!$BJ253:$BT253,,AH253+1)*AF253-ERP_i)*AE253*Ramure*Pc/MaxiM</f>
        <v>4.400638933726265E-6</v>
      </c>
      <c r="AE253" s="304">
        <f t="shared" si="92"/>
        <v>0.6</v>
      </c>
      <c r="AF253" s="177">
        <f t="shared" si="93"/>
        <v>0.97976392324386197</v>
      </c>
      <c r="AG253" s="799">
        <f t="shared" si="99"/>
        <v>2</v>
      </c>
      <c r="AH253" s="176">
        <f t="shared" si="94"/>
        <v>8</v>
      </c>
      <c r="AI253" s="224">
        <f t="shared" si="95"/>
        <v>2.979763923243862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46627</v>
      </c>
      <c r="B254" s="409">
        <f>IF(t&gt;Tmaj,'2026'!Wh/'2026'!Env_an*'2027'!Env_an,0.001*'[10]mon-tableau (1)'!$B$269)</f>
        <v>48.724528688845297</v>
      </c>
      <c r="C254" s="829"/>
      <c r="D254" s="391">
        <f t="shared" si="77"/>
        <v>51.737768574818986</v>
      </c>
      <c r="E254" s="383">
        <f t="shared" si="100"/>
        <v>53.004092642697273</v>
      </c>
      <c r="F254" s="383">
        <f t="shared" si="78"/>
        <v>53.004141377441236</v>
      </c>
      <c r="G254" s="110">
        <f t="shared" si="101"/>
        <v>0.96691670967546828</v>
      </c>
      <c r="H254" s="412" t="b">
        <f>Wh_hp&gt;='2026'!Maxi_hp</f>
        <v>0</v>
      </c>
      <c r="I254" s="388">
        <f>IF(H254,Wh_hp,'2026'!Maxi_hp)</f>
        <v>55.753732502644198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5.8240623223171806E-2</v>
      </c>
      <c r="M254" s="832"/>
      <c r="N254" s="832"/>
      <c r="O254" s="48">
        <f>IF(t&lt;Tnet,'2026'!Resal+('2026'!Salim-'2026'!Resal)*(1-EXP(('2026'!Tnet-t)/('2026'!Tau_j))),Resal+(Salim-Resal)*(1-EXP((Tnet-t)/(Tau_j))))*Salcycl</f>
        <v>2.3891062081085483E-2</v>
      </c>
      <c r="P254" s="169">
        <f>(INDEX(Models!$BJ254:$BT254,,T254)*(1-R254)+INDEX(Models!$BJ254:$BT254,,T254+1)*R254-ERP_i)*Q254*Ramure*Pc/MaxiM</f>
        <v>9.6506218258626762E-7</v>
      </c>
      <c r="Q254" s="304">
        <f t="shared" si="80"/>
        <v>0.6</v>
      </c>
      <c r="R254" s="177">
        <f t="shared" si="81"/>
        <v>0.45553260732244327</v>
      </c>
      <c r="S254" s="799">
        <f t="shared" si="82"/>
        <v>-1</v>
      </c>
      <c r="T254" s="176">
        <f t="shared" si="83"/>
        <v>5</v>
      </c>
      <c r="U254" s="250">
        <f t="shared" si="84"/>
        <v>-0.54446739267755673</v>
      </c>
      <c r="V254" s="382">
        <f t="shared" si="85"/>
        <v>50.39164798676822</v>
      </c>
      <c r="W254" s="400">
        <f t="shared" si="86"/>
        <v>48.724528688845297</v>
      </c>
      <c r="X254" s="157">
        <f t="shared" si="87"/>
        <v>46627</v>
      </c>
      <c r="Y254" s="383">
        <f t="shared" si="88"/>
        <v>47.049753558832265</v>
      </c>
      <c r="Z254" s="383">
        <f t="shared" si="89"/>
        <v>49.959421396854111</v>
      </c>
      <c r="AA254" s="384">
        <f t="shared" si="90"/>
        <v>53.003872219944761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5.7438271876767824E-2</v>
      </c>
      <c r="AD254" s="230">
        <f>(INDEX(Models!$BJ254:$BT254,,AH254)*(1-AF254)+INDEX(Models!$BJ254:$BT254,,AH254+1)*AF254-ERP_i)*AE254*Ramure*Pc/MaxiM</f>
        <v>5.3299494345716447E-6</v>
      </c>
      <c r="AE254" s="304">
        <f t="shared" si="92"/>
        <v>0.6</v>
      </c>
      <c r="AF254" s="177">
        <f t="shared" si="93"/>
        <v>0.98052017369642197</v>
      </c>
      <c r="AG254" s="799">
        <f t="shared" si="99"/>
        <v>2</v>
      </c>
      <c r="AH254" s="176">
        <f t="shared" si="94"/>
        <v>8</v>
      </c>
      <c r="AI254" s="224">
        <f t="shared" si="95"/>
        <v>2.980520173696422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46628</v>
      </c>
      <c r="B255" s="409">
        <f>IF(t&gt;Tmaj,'2026'!Wh/'2026'!Env_an*'2027'!Env_an,0.001*'[10]mon-tableau (1)'!$B$270)</f>
        <v>33.502418033562684</v>
      </c>
      <c r="C255" s="829"/>
      <c r="D255" s="391">
        <f t="shared" si="77"/>
        <v>35.574968445475626</v>
      </c>
      <c r="E255" s="383">
        <f t="shared" si="100"/>
        <v>36.449807600425615</v>
      </c>
      <c r="F255" s="383">
        <f t="shared" si="78"/>
        <v>36.449829565058003</v>
      </c>
      <c r="G255" s="110">
        <f t="shared" si="101"/>
        <v>0.66672524103079622</v>
      </c>
      <c r="H255" s="412" t="b">
        <f>Wh_hp&gt;='2026'!Maxi_hp</f>
        <v>0</v>
      </c>
      <c r="I255" s="388">
        <f>IF(H255,Wh_hp,'2026'!Maxi_hp)</f>
        <v>55.057615254458725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5.8258671826777908E-2</v>
      </c>
      <c r="M255" s="832"/>
      <c r="N255" s="832"/>
      <c r="O255" s="48">
        <f>IF(t&lt;Tnet,'2026'!Resal+('2026'!Salim-'2026'!Resal)*(1-EXP(('2026'!Tnet-t)/('2026'!Tau_j))),Resal+(Salim-Resal)*(1-EXP((Tnet-t)/(Tau_j))))*Salcycl</f>
        <v>2.4001200899062426E-2</v>
      </c>
      <c r="P255" s="169">
        <f>(INDEX(Models!$BJ255:$BT255,,T255)*(1-R255)+INDEX(Models!$BJ255:$BT255,,T255+1)*R255-ERP_i)*Q255*Ramure*Pc/MaxiM</f>
        <v>1.15023146064556E-6</v>
      </c>
      <c r="Q255" s="304">
        <f t="shared" si="80"/>
        <v>0.6</v>
      </c>
      <c r="R255" s="177">
        <f t="shared" si="81"/>
        <v>0.4562606470247379</v>
      </c>
      <c r="S255" s="799">
        <f t="shared" si="82"/>
        <v>-1</v>
      </c>
      <c r="T255" s="176">
        <f t="shared" si="83"/>
        <v>5</v>
      </c>
      <c r="U255" s="250">
        <f t="shared" si="84"/>
        <v>-0.5437393529752621</v>
      </c>
      <c r="V255" s="382">
        <f t="shared" si="85"/>
        <v>50.24918455876179</v>
      </c>
      <c r="W255" s="400">
        <f t="shared" si="86"/>
        <v>33.502418033562684</v>
      </c>
      <c r="X255" s="157">
        <f t="shared" si="87"/>
        <v>46628</v>
      </c>
      <c r="Y255" s="383">
        <f t="shared" si="88"/>
        <v>32.352196731466094</v>
      </c>
      <c r="Z255" s="383">
        <f t="shared" si="89"/>
        <v>34.353591335130716</v>
      </c>
      <c r="AA255" s="384">
        <f t="shared" si="90"/>
        <v>36.449708043926044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5.7507091861182205E-2</v>
      </c>
      <c r="AD255" s="230">
        <f>(INDEX(Models!$BJ255:$BT255,,AH255)*(1-AF255)+INDEX(Models!$BJ255:$BT255,,AH255+1)*AF255-ERP_i)*AE255*Ramure*Pc/MaxiM</f>
        <v>6.3637499888450825E-6</v>
      </c>
      <c r="AE255" s="304">
        <f t="shared" si="92"/>
        <v>0.6</v>
      </c>
      <c r="AF255" s="177">
        <f t="shared" si="93"/>
        <v>0.98124821339871682</v>
      </c>
      <c r="AG255" s="799">
        <f t="shared" si="99"/>
        <v>2</v>
      </c>
      <c r="AH255" s="176">
        <f t="shared" si="94"/>
        <v>8</v>
      </c>
      <c r="AI255" s="224">
        <f t="shared" si="95"/>
        <v>2.9812482133987168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46629</v>
      </c>
      <c r="B256" s="409">
        <f>IF(t&gt;Tmaj,'2026'!Wh/'2026'!Env_an*'2027'!Env_an,0.001*'[10]mon-tableau (1)'!$B$271)</f>
        <v>48.076384398259066</v>
      </c>
      <c r="C256" s="829"/>
      <c r="D256" s="391">
        <f t="shared" si="77"/>
        <v>51.05149827300886</v>
      </c>
      <c r="E256" s="383">
        <f t="shared" si="100"/>
        <v>52.312817149766047</v>
      </c>
      <c r="F256" s="383">
        <f t="shared" si="78"/>
        <v>52.312883860408334</v>
      </c>
      <c r="G256" s="110">
        <f t="shared" si="101"/>
        <v>0.9595292932395747</v>
      </c>
      <c r="H256" s="412" t="b">
        <f>Wh_hp&gt;='2026'!Maxi_hp</f>
        <v>0</v>
      </c>
      <c r="I256" s="388">
        <f>IF(H256,Wh_hp,'2026'!Maxi_hp)</f>
        <v>53.730779388968067</v>
      </c>
      <c r="J256" s="85">
        <f>IF(H256,An,'2026'!An_max)</f>
        <v>2021</v>
      </c>
      <c r="K256" s="197">
        <f t="shared" si="79"/>
        <v>46629</v>
      </c>
      <c r="L256" s="147">
        <f>IF(t&lt;Tvie,1-EXP((T0-t)*PertePVj)+'2026'!Pspv,1-EXP((T0-t)*PertePVj)+Pspv)</f>
        <v>5.8276720084486699E-2</v>
      </c>
      <c r="M256" s="832"/>
      <c r="N256" s="832"/>
      <c r="O256" s="48">
        <f>IF(t&lt;Tnet,'2026'!Resal+('2026'!Salim-'2026'!Resal)*(1-EXP(('2026'!Tnet-t)/('2026'!Tau_j))),Resal+(Salim-Resal)*(1-EXP((Tnet-t)/(Tau_j))))*Salcycl</f>
        <v>2.4111086832623974E-2</v>
      </c>
      <c r="P256" s="169">
        <f>(INDEX(Models!$BJ256:$BT256,,T256)*(1-R256)+INDEX(Models!$BJ256:$BT256,,T256+1)*R256-ERP_i)*Q256*Ramure*Pc/MaxiM</f>
        <v>1.353475381747943E-6</v>
      </c>
      <c r="Q256" s="304">
        <f t="shared" si="80"/>
        <v>0.6</v>
      </c>
      <c r="R256" s="177">
        <f t="shared" si="81"/>
        <v>0.4569614445859127</v>
      </c>
      <c r="S256" s="799">
        <f t="shared" si="82"/>
        <v>-1</v>
      </c>
      <c r="T256" s="176">
        <f t="shared" si="83"/>
        <v>5</v>
      </c>
      <c r="U256" s="250">
        <f t="shared" si="84"/>
        <v>-0.5430385554140873</v>
      </c>
      <c r="V256" s="382">
        <f t="shared" si="85"/>
        <v>50.104130196892875</v>
      </c>
      <c r="W256" s="400">
        <f t="shared" si="86"/>
        <v>48.076384398259066</v>
      </c>
      <c r="X256" s="157">
        <f t="shared" si="87"/>
        <v>46629</v>
      </c>
      <c r="Y256" s="383">
        <f t="shared" si="88"/>
        <v>46.427514750122718</v>
      </c>
      <c r="Z256" s="383">
        <f t="shared" si="89"/>
        <v>49.3005915222654</v>
      </c>
      <c r="AA256" s="384">
        <f t="shared" si="90"/>
        <v>52.31251406267112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5.7575564745318775E-2</v>
      </c>
      <c r="AD256" s="230">
        <f>(INDEX(Models!$BJ256:$BT256,,AH256)*(1-AF256)+INDEX(Models!$BJ256:$BT256,,AH256+1)*AF256-ERP_i)*AE256*Ramure*Pc/MaxiM</f>
        <v>7.5027329433071036E-6</v>
      </c>
      <c r="AE256" s="304">
        <f t="shared" si="92"/>
        <v>0.6</v>
      </c>
      <c r="AF256" s="177">
        <f t="shared" si="93"/>
        <v>0.9819490109598914</v>
      </c>
      <c r="AG256" s="799">
        <f t="shared" si="99"/>
        <v>2</v>
      </c>
      <c r="AH256" s="176">
        <f t="shared" si="94"/>
        <v>8</v>
      </c>
      <c r="AI256" s="224">
        <f t="shared" si="95"/>
        <v>2.9819490109598914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46630</v>
      </c>
      <c r="B257" s="409">
        <f>IF(t&gt;Tmaj,'2026'!Wh/'2026'!Env_an*'2027'!Env_an,0.001*'[10]mon-tableau (1)'!$B$272)</f>
        <v>24.911764609094323</v>
      </c>
      <c r="C257" s="829"/>
      <c r="D257" s="391">
        <f t="shared" si="77"/>
        <v>26.453887864771431</v>
      </c>
      <c r="E257" s="383">
        <f t="shared" si="100"/>
        <v>27.110524130947969</v>
      </c>
      <c r="F257" s="383">
        <f t="shared" si="78"/>
        <v>27.110536249299752</v>
      </c>
      <c r="G257" s="110">
        <f t="shared" si="101"/>
        <v>0.49867266167290719</v>
      </c>
      <c r="H257" s="412" t="b">
        <f>Wh_hp&gt;='2026'!Maxi_hp</f>
        <v>0</v>
      </c>
      <c r="I257" s="388">
        <f>IF(H257,Wh_hp,'2026'!Maxi_hp)</f>
        <v>53.216072891494655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5.8294767996304619E-2</v>
      </c>
      <c r="M257" s="832"/>
      <c r="N257" s="832"/>
      <c r="O257" s="48">
        <f>IF(t&lt;Tnet,'2026'!Resal+('2026'!Salim-'2026'!Resal)*(1-EXP(('2026'!Tnet-t)/('2026'!Tau_j))),Resal+(Salim-Resal)*(1-EXP((Tnet-t)/(Tau_j))))*Salcycl</f>
        <v>2.4220714546309936E-2</v>
      </c>
      <c r="P257" s="169">
        <f>(INDEX(Models!$BJ257:$BT257,,T257)*(1-R257)+INDEX(Models!$BJ257:$BT257,,T257+1)*R257-ERP_i)*Q257*Ramure*Pc/MaxiM</f>
        <v>1.574940487109256E-6</v>
      </c>
      <c r="Q257" s="304">
        <f t="shared" si="80"/>
        <v>0.6</v>
      </c>
      <c r="R257" s="177">
        <f t="shared" si="81"/>
        <v>0.45763594177561284</v>
      </c>
      <c r="S257" s="799">
        <f t="shared" si="82"/>
        <v>-1</v>
      </c>
      <c r="T257" s="176">
        <f t="shared" si="83"/>
        <v>5</v>
      </c>
      <c r="U257" s="250">
        <f t="shared" si="84"/>
        <v>-0.54236405822438716</v>
      </c>
      <c r="V257" s="382">
        <f t="shared" si="85"/>
        <v>49.956090286699755</v>
      </c>
      <c r="W257" s="400">
        <f t="shared" si="86"/>
        <v>24.911764609094323</v>
      </c>
      <c r="X257" s="157">
        <f t="shared" si="87"/>
        <v>46630</v>
      </c>
      <c r="Y257" s="383">
        <f t="shared" si="88"/>
        <v>24.058423232019496</v>
      </c>
      <c r="Z257" s="383">
        <f t="shared" si="89"/>
        <v>25.547721743915179</v>
      </c>
      <c r="AA257" s="384">
        <f t="shared" si="90"/>
        <v>27.110468940803326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5.7643680022668072E-2</v>
      </c>
      <c r="AD257" s="230">
        <f>(INDEX(Models!$BJ257:$BT257,,AH257)*(1-AF257)+INDEX(Models!$BJ257:$BT257,,AH257+1)*AF257-ERP_i)*AE257*Ramure*Pc/MaxiM</f>
        <v>8.747631531682917E-6</v>
      </c>
      <c r="AE257" s="304">
        <f t="shared" si="92"/>
        <v>0.6</v>
      </c>
      <c r="AF257" s="177">
        <f t="shared" si="93"/>
        <v>0.98262350814959154</v>
      </c>
      <c r="AG257" s="799">
        <f t="shared" si="99"/>
        <v>2</v>
      </c>
      <c r="AH257" s="176">
        <f t="shared" si="94"/>
        <v>8</v>
      </c>
      <c r="AI257" s="224">
        <f t="shared" si="95"/>
        <v>2.9826235081495915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46631</v>
      </c>
      <c r="B258" s="409">
        <f>IF(t&gt;Tmaj,'2026'!Wh/'2026'!Env_an*'2027'!Env_an,0.001*'[11]mon-tableau (3)'!$B$235)</f>
        <v>39.073788098088308</v>
      </c>
      <c r="C258" s="829"/>
      <c r="D258" s="391">
        <f t="shared" si="77"/>
        <v>41.493384155394963</v>
      </c>
      <c r="E258" s="383">
        <f t="shared" si="100"/>
        <v>42.528096070537813</v>
      </c>
      <c r="F258" s="383">
        <f t="shared" si="78"/>
        <v>42.528149494079294</v>
      </c>
      <c r="G258" s="110">
        <f t="shared" si="101"/>
        <v>0.78454020347228859</v>
      </c>
      <c r="H258" s="412" t="b">
        <f>Wh_hp&gt;='2026'!Maxi_hp</f>
        <v>0</v>
      </c>
      <c r="I258" s="388">
        <f>IF(H258,Wh_hp,'2026'!Maxi_hp)</f>
        <v>44.616826041056136</v>
      </c>
      <c r="J258" s="85">
        <f>IF(H258,An,'2026'!An_max)</f>
        <v>2020</v>
      </c>
      <c r="K258" s="197">
        <f t="shared" si="79"/>
        <v>46631</v>
      </c>
      <c r="L258" s="147">
        <f>IF(t&lt;Tvie,1-EXP((T0-t)*PertePVj)+'2026'!Pspv,1-EXP((T0-t)*PertePVj)+Pspv)</f>
        <v>5.831281556223844E-2</v>
      </c>
      <c r="M258" s="832"/>
      <c r="N258" s="832"/>
      <c r="O258" s="48">
        <f>IF(t&lt;Tnet,'2026'!Resal+('2026'!Salim-'2026'!Resal)*(1-EXP(('2026'!Tnet-t)/('2026'!Tau_j))),Resal+(Salim-Resal)*(1-EXP((Tnet-t)/(Tau_j))))*Salcycl</f>
        <v>2.4330078483331592E-2</v>
      </c>
      <c r="P258" s="169">
        <f>(INDEX(Models!$BJ258:$BT258,,T258)*(1-R258)+INDEX(Models!$BJ258:$BT258,,T258+1)*R258-ERP_i)*Q258*Ramure*Pc/MaxiM</f>
        <v>1.8147801414434148E-6</v>
      </c>
      <c r="Q258" s="304">
        <f t="shared" si="80"/>
        <v>0.6</v>
      </c>
      <c r="R258" s="177">
        <f t="shared" si="81"/>
        <v>0.45828505375823436</v>
      </c>
      <c r="S258" s="799">
        <f t="shared" si="82"/>
        <v>-1</v>
      </c>
      <c r="T258" s="176">
        <f t="shared" si="83"/>
        <v>5</v>
      </c>
      <c r="U258" s="250">
        <f t="shared" si="84"/>
        <v>-0.54171494624176564</v>
      </c>
      <c r="V258" s="382">
        <f t="shared" si="85"/>
        <v>49.804670428600964</v>
      </c>
      <c r="W258" s="400">
        <f t="shared" si="86"/>
        <v>39.073788098088308</v>
      </c>
      <c r="X258" s="157">
        <f t="shared" si="87"/>
        <v>46631</v>
      </c>
      <c r="Y258" s="383">
        <f t="shared" si="88"/>
        <v>37.736710015785405</v>
      </c>
      <c r="Z258" s="383">
        <f t="shared" si="89"/>
        <v>40.073509164634402</v>
      </c>
      <c r="AA258" s="384">
        <f t="shared" si="90"/>
        <v>42.527852192780806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5.7711426784986627E-2</v>
      </c>
      <c r="AD258" s="230">
        <f>(INDEX(Models!$BJ258:$BT258,,AH258)*(1-AF258)+INDEX(Models!$BJ258:$BT258,,AH258+1)*AF258-ERP_i)*AE258*Ramure*Pc/MaxiM</f>
        <v>1.0099227373990845E-5</v>
      </c>
      <c r="AE258" s="304">
        <f t="shared" si="92"/>
        <v>0.6</v>
      </c>
      <c r="AF258" s="177">
        <f t="shared" si="93"/>
        <v>0.98327262013221306</v>
      </c>
      <c r="AG258" s="799">
        <f t="shared" si="99"/>
        <v>2</v>
      </c>
      <c r="AH258" s="176">
        <f t="shared" si="94"/>
        <v>8</v>
      </c>
      <c r="AI258" s="224">
        <f t="shared" si="95"/>
        <v>2.9832726201322131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46632</v>
      </c>
      <c r="B259" s="409">
        <f>IF(t&gt;Tmaj,'2026'!Wh/'2026'!Env_an*'2027'!Env_an,0.001*'[11]mon-tableau (3)'!$B$236)</f>
        <v>37.223844874949229</v>
      </c>
      <c r="C259" s="829"/>
      <c r="D259" s="391">
        <f t="shared" si="77"/>
        <v>39.529643060122318</v>
      </c>
      <c r="E259" s="383">
        <f t="shared" si="100"/>
        <v>40.519916298480247</v>
      </c>
      <c r="F259" s="383">
        <f t="shared" si="78"/>
        <v>40.519970269135491</v>
      </c>
      <c r="G259" s="110">
        <f t="shared" si="101"/>
        <v>0.74973232267484813</v>
      </c>
      <c r="H259" s="412" t="b">
        <f>Wh_hp&gt;='2026'!Maxi_hp</f>
        <v>0</v>
      </c>
      <c r="I259" s="388">
        <f>IF(H259,Wh_hp,'2026'!Maxi_hp)</f>
        <v>52.82794412076764</v>
      </c>
      <c r="J259" s="85">
        <f>IF(H259,An,'2026'!An_max)</f>
        <v>2018</v>
      </c>
      <c r="K259" s="197">
        <f t="shared" si="79"/>
        <v>46632</v>
      </c>
      <c r="L259" s="147">
        <f>IF(t&lt;Tvie,1-EXP((T0-t)*PertePVj)+'2026'!Pspv,1-EXP((T0-t)*PertePVj)+Pspv)</f>
        <v>5.8330862782294823E-2</v>
      </c>
      <c r="M259" s="832"/>
      <c r="N259" s="832"/>
      <c r="O259" s="48">
        <f>IF(t&lt;Tnet,'2026'!Resal+('2026'!Salim-'2026'!Resal)*(1-EXP(('2026'!Tnet-t)/('2026'!Tau_j))),Resal+(Salim-Resal)*(1-EXP((Tnet-t)/(Tau_j))))*Salcycl</f>
        <v>2.4439172851772932E-2</v>
      </c>
      <c r="P259" s="169">
        <f>(INDEX(Models!$BJ259:$BT259,,T259)*(1-R259)+INDEX(Models!$BJ259:$BT259,,T259+1)*R259-ERP_i)*Q259*Ramure*Pc/MaxiM</f>
        <v>2.0731559588080233E-6</v>
      </c>
      <c r="Q259" s="304">
        <f t="shared" si="80"/>
        <v>0.6</v>
      </c>
      <c r="R259" s="177">
        <f t="shared" si="81"/>
        <v>0.45890966937244093</v>
      </c>
      <c r="S259" s="799">
        <f t="shared" si="82"/>
        <v>-1</v>
      </c>
      <c r="T259" s="176">
        <f t="shared" si="83"/>
        <v>5</v>
      </c>
      <c r="U259" s="250">
        <f t="shared" si="84"/>
        <v>-0.54109033062755907</v>
      </c>
      <c r="V259" s="382">
        <f t="shared" si="85"/>
        <v>49.649476431329937</v>
      </c>
      <c r="W259" s="400">
        <f t="shared" si="86"/>
        <v>37.223844874949229</v>
      </c>
      <c r="X259" s="157">
        <f t="shared" si="87"/>
        <v>46632</v>
      </c>
      <c r="Y259" s="383">
        <f t="shared" si="88"/>
        <v>35.9515073886352</v>
      </c>
      <c r="Z259" s="383">
        <f t="shared" si="89"/>
        <v>38.178491752271952</v>
      </c>
      <c r="AA259" s="384">
        <f t="shared" si="90"/>
        <v>40.519669369360678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5.7778793695168459E-2</v>
      </c>
      <c r="AD259" s="230">
        <f>(INDEX(Models!$BJ259:$BT259,,AH259)*(1-AF259)+INDEX(Models!$BJ259:$BT259,,AH259+1)*AF259-ERP_i)*AE259*Ramure*Pc/MaxiM</f>
        <v>1.1558358116894095E-5</v>
      </c>
      <c r="AE259" s="304">
        <f t="shared" si="92"/>
        <v>0.6</v>
      </c>
      <c r="AF259" s="177">
        <f t="shared" si="93"/>
        <v>0.98389723574641952</v>
      </c>
      <c r="AG259" s="799">
        <f t="shared" si="99"/>
        <v>2</v>
      </c>
      <c r="AH259" s="176">
        <f t="shared" si="94"/>
        <v>8</v>
      </c>
      <c r="AI259" s="224">
        <f t="shared" si="95"/>
        <v>2.9838972357464195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46633</v>
      </c>
      <c r="B260" s="409">
        <f>IF(t&gt;Tmaj,'2026'!Wh/'2026'!Env_an*'2027'!Env_an,0.001*'[11]mon-tableau (3)'!$B$237)</f>
        <v>38.720432077333456</v>
      </c>
      <c r="C260" s="829"/>
      <c r="D260" s="391">
        <f t="shared" si="77"/>
        <v>41.119723084702237</v>
      </c>
      <c r="E260" s="383">
        <f t="shared" si="100"/>
        <v>42.154532187149513</v>
      </c>
      <c r="F260" s="383">
        <f t="shared" si="78"/>
        <v>42.154600461061818</v>
      </c>
      <c r="G260" s="110">
        <f t="shared" si="101"/>
        <v>0.78238663054836166</v>
      </c>
      <c r="H260" s="412" t="b">
        <f>Wh_hp&gt;='2026'!Maxi_hp</f>
        <v>0</v>
      </c>
      <c r="I260" s="388">
        <f>IF(H260,Wh_hp,'2026'!Maxi_hp)</f>
        <v>55.63834028982383</v>
      </c>
      <c r="J260" s="85">
        <f>IF(H260,An,'2026'!An_max)</f>
        <v>2020</v>
      </c>
      <c r="K260" s="197">
        <f t="shared" si="79"/>
        <v>46633</v>
      </c>
      <c r="L260" s="147">
        <f>IF(t&lt;Tvie,1-EXP((T0-t)*PertePVj)+'2026'!Pspv,1-EXP((T0-t)*PertePVj)+Pspv)</f>
        <v>5.834890965648043E-2</v>
      </c>
      <c r="M260" s="832"/>
      <c r="N260" s="832"/>
      <c r="O260" s="48">
        <f>IF(t&lt;Tnet,'2026'!Resal+('2026'!Salim-'2026'!Resal)*(1-EXP(('2026'!Tnet-t)/('2026'!Tau_j))),Resal+(Salim-Resal)*(1-EXP((Tnet-t)/(Tau_j))))*Salcycl</f>
        <v>2.4547991609849409E-2</v>
      </c>
      <c r="P260" s="169">
        <f>(INDEX(Models!$BJ260:$BT260,,T260)*(1-R260)+INDEX(Models!$BJ260:$BT260,,T260+1)*R260-ERP_i)*Q260*Ramure*Pc/MaxiM</f>
        <v>2.3502392516628687E-6</v>
      </c>
      <c r="Q260" s="304">
        <f t="shared" si="80"/>
        <v>0.6</v>
      </c>
      <c r="R260" s="177">
        <f t="shared" si="81"/>
        <v>0.4595106514510664</v>
      </c>
      <c r="S260" s="799">
        <f t="shared" si="82"/>
        <v>-1</v>
      </c>
      <c r="T260" s="176">
        <f t="shared" si="83"/>
        <v>5</v>
      </c>
      <c r="U260" s="250">
        <f t="shared" si="84"/>
        <v>-0.5404893485489336</v>
      </c>
      <c r="V260" s="382">
        <f t="shared" si="85"/>
        <v>49.490114318258286</v>
      </c>
      <c r="W260" s="400">
        <f t="shared" si="86"/>
        <v>38.720432077333456</v>
      </c>
      <c r="X260" s="157">
        <f t="shared" si="87"/>
        <v>46633</v>
      </c>
      <c r="Y260" s="383">
        <f t="shared" si="88"/>
        <v>37.398403712112206</v>
      </c>
      <c r="Z260" s="383">
        <f t="shared" si="89"/>
        <v>39.715775934023569</v>
      </c>
      <c r="AA260" s="384">
        <f t="shared" si="90"/>
        <v>42.154219155938407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5.7845768958368349E-2</v>
      </c>
      <c r="AD260" s="230">
        <f>(INDEX(Models!$BJ260:$BT260,,AH260)*(1-AF260)+INDEX(Models!$BJ260:$BT260,,AH260+1)*AF260-ERP_i)*AE260*Ramure*Pc/MaxiM</f>
        <v>1.3125925226458137E-5</v>
      </c>
      <c r="AE260" s="304">
        <f t="shared" si="92"/>
        <v>0.6</v>
      </c>
      <c r="AF260" s="177">
        <f t="shared" si="93"/>
        <v>0.98449821782504499</v>
      </c>
      <c r="AG260" s="799">
        <f t="shared" si="99"/>
        <v>2</v>
      </c>
      <c r="AH260" s="176">
        <f t="shared" si="94"/>
        <v>8</v>
      </c>
      <c r="AI260" s="224">
        <f t="shared" si="95"/>
        <v>2.984498217825045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46634</v>
      </c>
      <c r="B261" s="409">
        <f>IF(t&gt;Tmaj,'2026'!Wh/'2026'!Env_an*'2027'!Env_an,0.001*'[11]mon-tableau (3)'!$B$238)</f>
        <v>48.146937545722707</v>
      </c>
      <c r="C261" s="829"/>
      <c r="D261" s="391">
        <f t="shared" si="77"/>
        <v>51.131316877588105</v>
      </c>
      <c r="E261" s="383">
        <f t="shared" si="100"/>
        <v>52.423908468224965</v>
      </c>
      <c r="F261" s="383">
        <f t="shared" si="78"/>
        <v>52.424042444642879</v>
      </c>
      <c r="G261" s="110">
        <f t="shared" si="101"/>
        <v>0.97606038565272701</v>
      </c>
      <c r="H261" s="412" t="b">
        <f>Wh_hp&gt;='2026'!Maxi_hp</f>
        <v>0</v>
      </c>
      <c r="I261" s="388">
        <f>IF(H261,Wh_hp,'2026'!Maxi_hp)</f>
        <v>54.520522140500951</v>
      </c>
      <c r="J261" s="85">
        <f>IF(H261,An,'2026'!An_max)</f>
        <v>2018</v>
      </c>
      <c r="K261" s="197">
        <f t="shared" si="79"/>
        <v>46634</v>
      </c>
      <c r="L261" s="147">
        <f>IF(t&lt;Tvie,1-EXP((T0-t)*PertePVj)+'2026'!Pspv,1-EXP((T0-t)*PertePVj)+Pspv)</f>
        <v>5.8366956184801699E-2</v>
      </c>
      <c r="M261" s="832"/>
      <c r="N261" s="832"/>
      <c r="O261" s="48">
        <f>IF(t&lt;Tnet,'2026'!Resal+('2026'!Salim-'2026'!Resal)*(1-EXP(('2026'!Tnet-t)/('2026'!Tau_j))),Resal+(Salim-Resal)*(1-EXP((Tnet-t)/(Tau_j))))*Salcycl</f>
        <v>2.4656528450569891E-2</v>
      </c>
      <c r="P261" s="169">
        <f>(INDEX(Models!$BJ261:$BT261,,T261)*(1-R261)+INDEX(Models!$BJ261:$BT261,,T261+1)*R261-ERP_i)*Q261*Ramure*Pc/MaxiM</f>
        <v>2.6461249632351308E-6</v>
      </c>
      <c r="Q261" s="304">
        <f t="shared" si="80"/>
        <v>0.6</v>
      </c>
      <c r="R261" s="177">
        <f t="shared" si="81"/>
        <v>0.46008883717683058</v>
      </c>
      <c r="S261" s="799">
        <f t="shared" si="82"/>
        <v>-1</v>
      </c>
      <c r="T261" s="176">
        <f t="shared" si="83"/>
        <v>5</v>
      </c>
      <c r="U261" s="250">
        <f t="shared" si="84"/>
        <v>-0.53991116282316942</v>
      </c>
      <c r="V261" s="382">
        <f t="shared" si="85"/>
        <v>49.327822229383912</v>
      </c>
      <c r="W261" s="400">
        <f t="shared" si="86"/>
        <v>48.146937545722707</v>
      </c>
      <c r="X261" s="157">
        <f t="shared" si="87"/>
        <v>46634</v>
      </c>
      <c r="Y261" s="383">
        <f t="shared" si="88"/>
        <v>46.504748840710732</v>
      </c>
      <c r="Z261" s="383">
        <f t="shared" si="89"/>
        <v>49.387337398747441</v>
      </c>
      <c r="AA261" s="384">
        <f t="shared" si="90"/>
        <v>52.423292981108283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5.791234029222276E-2</v>
      </c>
      <c r="AD261" s="230">
        <f>(INDEX(Models!$BJ261:$BT261,,AH261)*(1-AF261)+INDEX(Models!$BJ261:$BT261,,AH261+1)*AF261-ERP_i)*AE261*Ramure*Pc/MaxiM</f>
        <v>1.4802412236788584E-5</v>
      </c>
      <c r="AE261" s="304">
        <f t="shared" si="92"/>
        <v>0.6</v>
      </c>
      <c r="AF261" s="177">
        <f t="shared" si="93"/>
        <v>0.9850764035508095</v>
      </c>
      <c r="AG261" s="799">
        <f t="shared" si="99"/>
        <v>2</v>
      </c>
      <c r="AH261" s="176">
        <f t="shared" si="94"/>
        <v>8</v>
      </c>
      <c r="AI261" s="224">
        <f t="shared" si="95"/>
        <v>2.9850764035508095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46635</v>
      </c>
      <c r="B262" s="409">
        <f>IF(t&gt;Tmaj,'2026'!Wh/'2026'!Env_an*'2027'!Env_an,0.001*'[11]mon-tableau (3)'!$B$239)</f>
        <v>42.537607561242936</v>
      </c>
      <c r="C262" s="829"/>
      <c r="D262" s="391">
        <f t="shared" si="77"/>
        <v>45.17515934663799</v>
      </c>
      <c r="E262" s="383">
        <f t="shared" si="100"/>
        <v>46.322321293693847</v>
      </c>
      <c r="F262" s="383">
        <f t="shared" si="78"/>
        <v>46.32243181446799</v>
      </c>
      <c r="G262" s="110">
        <f t="shared" si="101"/>
        <v>0.86521980541640586</v>
      </c>
      <c r="H262" s="412" t="b">
        <f>Wh_hp&gt;='2026'!Maxi_hp</f>
        <v>0</v>
      </c>
      <c r="I262" s="388">
        <f>IF(H262,Wh_hp,'2026'!Maxi_hp)</f>
        <v>54.53002186266891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5.8385002367265404E-2</v>
      </c>
      <c r="M262" s="832"/>
      <c r="N262" s="832"/>
      <c r="O262" s="48">
        <f>IF(t&lt;Tnet,'2026'!Resal+('2026'!Salim-'2026'!Resal)*(1-EXP(('2026'!Tnet-t)/('2026'!Tau_j))),Resal+(Salim-Resal)*(1-EXP((Tnet-t)/(Tau_j))))*Salcycl</f>
        <v>2.4764776786175946E-2</v>
      </c>
      <c r="P262" s="169">
        <f>(INDEX(Models!$BJ262:$BT262,,T262)*(1-R262)+INDEX(Models!$BJ262:$BT262,,T262+1)*R262-ERP_i)*Q262*Ramure*Pc/MaxiM</f>
        <v>2.9548324387726154E-6</v>
      </c>
      <c r="Q262" s="304">
        <f t="shared" si="80"/>
        <v>0.6</v>
      </c>
      <c r="R262" s="177">
        <f t="shared" si="81"/>
        <v>0.46064503846960259</v>
      </c>
      <c r="S262" s="799">
        <f t="shared" si="82"/>
        <v>-1</v>
      </c>
      <c r="T262" s="176">
        <f t="shared" si="83"/>
        <v>5</v>
      </c>
      <c r="U262" s="250">
        <f t="shared" si="84"/>
        <v>-0.53935496153039741</v>
      </c>
      <c r="V262" s="382">
        <f t="shared" si="85"/>
        <v>49.163903893491508</v>
      </c>
      <c r="W262" s="400">
        <f t="shared" si="86"/>
        <v>42.537607561242936</v>
      </c>
      <c r="X262" s="157">
        <f t="shared" si="87"/>
        <v>46635</v>
      </c>
      <c r="Y262" s="383">
        <f t="shared" si="88"/>
        <v>41.088447089527534</v>
      </c>
      <c r="Z262" s="383">
        <f t="shared" si="89"/>
        <v>43.636143426799556</v>
      </c>
      <c r="AA262" s="384">
        <f t="shared" si="90"/>
        <v>46.321812390080318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5.7978494897058148E-2</v>
      </c>
      <c r="AD262" s="230">
        <f>(INDEX(Models!$BJ262:$BT262,,AH262)*(1-AF262)+INDEX(Models!$BJ262:$BT262,,AH262+1)*AF262-ERP_i)*AE262*Ramure*Pc/MaxiM</f>
        <v>1.6560644712890663E-5</v>
      </c>
      <c r="AE262" s="304">
        <f t="shared" si="92"/>
        <v>0.6</v>
      </c>
      <c r="AF262" s="177">
        <f t="shared" si="93"/>
        <v>0.98563260484358128</v>
      </c>
      <c r="AG262" s="799">
        <f t="shared" si="99"/>
        <v>2</v>
      </c>
      <c r="AH262" s="176">
        <f t="shared" si="94"/>
        <v>8</v>
      </c>
      <c r="AI262" s="224">
        <f t="shared" si="95"/>
        <v>2.9856326048435813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46636</v>
      </c>
      <c r="B263" s="409">
        <f>IF(t&gt;Tmaj,'2026'!Wh/'2026'!Env_an*'2027'!Env_an,0.001*'[11]mon-tableau (3)'!$B$240)</f>
        <v>43.771607626583211</v>
      </c>
      <c r="C263" s="829"/>
      <c r="D263" s="391">
        <f t="shared" si="77"/>
        <v>46.486564705936729</v>
      </c>
      <c r="E263" s="383">
        <f t="shared" si="100"/>
        <v>47.672305065570164</v>
      </c>
      <c r="F263" s="383">
        <f t="shared" si="78"/>
        <v>47.672436994303958</v>
      </c>
      <c r="G263" s="110">
        <f t="shared" si="101"/>
        <v>0.89333296426342346</v>
      </c>
      <c r="H263" s="412" t="b">
        <f>Wh_hp&gt;='2026'!Maxi_hp</f>
        <v>0</v>
      </c>
      <c r="I263" s="388">
        <f>IF(H263,Wh_hp,'2026'!Maxi_hp)</f>
        <v>55.510997901314788</v>
      </c>
      <c r="J263" s="85">
        <f>IF(H263,An,'2026'!An_max)</f>
        <v>2018</v>
      </c>
      <c r="K263" s="197">
        <f t="shared" si="79"/>
        <v>46636</v>
      </c>
      <c r="L263" s="147">
        <f>IF(t&lt;Tvie,1-EXP((T0-t)*PertePVj)+'2026'!Pspv,1-EXP((T0-t)*PertePVj)+Pspv)</f>
        <v>5.8403048203878094E-2</v>
      </c>
      <c r="M263" s="832"/>
      <c r="N263" s="832"/>
      <c r="O263" s="48">
        <f>IF(t&lt;Tnet,'2026'!Resal+('2026'!Salim-'2026'!Resal)*(1-EXP(('2026'!Tnet-t)/('2026'!Tau_j))),Resal+(Salim-Resal)*(1-EXP((Tnet-t)/(Tau_j))))*Salcycl</f>
        <v>2.4872729732756206E-2</v>
      </c>
      <c r="P263" s="169">
        <f>(INDEX(Models!$BJ263:$BT263,,T263)*(1-R263)+INDEX(Models!$BJ263:$BT263,,T263+1)*R263-ERP_i)*Q263*Ramure*Pc/MaxiM</f>
        <v>3.264910481111692E-6</v>
      </c>
      <c r="Q263" s="304">
        <f t="shared" si="80"/>
        <v>0.6</v>
      </c>
      <c r="R263" s="177">
        <f t="shared" si="81"/>
        <v>0.46118004240123422</v>
      </c>
      <c r="S263" s="799">
        <f t="shared" si="82"/>
        <v>-1</v>
      </c>
      <c r="T263" s="176">
        <f t="shared" si="83"/>
        <v>5</v>
      </c>
      <c r="U263" s="250">
        <f t="shared" si="84"/>
        <v>-0.53881995759876578</v>
      </c>
      <c r="V263" s="382">
        <f t="shared" si="85"/>
        <v>48.99806410458531</v>
      </c>
      <c r="W263" s="400">
        <f t="shared" si="86"/>
        <v>43.771607626583211</v>
      </c>
      <c r="X263" s="157">
        <f t="shared" si="87"/>
        <v>46636</v>
      </c>
      <c r="Y263" s="383">
        <f t="shared" si="88"/>
        <v>42.282062411599767</v>
      </c>
      <c r="Z263" s="383">
        <f t="shared" si="89"/>
        <v>44.904629662347119</v>
      </c>
      <c r="AA263" s="384">
        <f t="shared" si="90"/>
        <v>47.671696048228142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5.8044219427008922E-2</v>
      </c>
      <c r="AD263" s="230">
        <f>(INDEX(Models!$BJ263:$BT263,,AH263)*(1-AF263)+INDEX(Models!$BJ263:$BT263,,AH263+1)*AF263-ERP_i)*AE263*Ramure*Pc/MaxiM</f>
        <v>1.8336586270767033E-5</v>
      </c>
      <c r="AE263" s="304">
        <f t="shared" si="92"/>
        <v>0.6</v>
      </c>
      <c r="AF263" s="177">
        <f t="shared" si="93"/>
        <v>0.98616760877521292</v>
      </c>
      <c r="AG263" s="799">
        <f t="shared" si="99"/>
        <v>2</v>
      </c>
      <c r="AH263" s="176">
        <f t="shared" si="94"/>
        <v>8</v>
      </c>
      <c r="AI263" s="224">
        <f t="shared" si="95"/>
        <v>2.9861676087752129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46637</v>
      </c>
      <c r="B264" s="409">
        <f>IF(t&gt;Tmaj,'2026'!Wh/'2026'!Env_an*'2027'!Env_an,0.001*'[11]mon-tableau (3)'!$B$241)</f>
        <v>36.618086452228184</v>
      </c>
      <c r="C264" s="829"/>
      <c r="D264" s="391">
        <f t="shared" si="77"/>
        <v>38.890087922544176</v>
      </c>
      <c r="E264" s="383">
        <f t="shared" si="100"/>
        <v>39.886467029608568</v>
      </c>
      <c r="F264" s="383">
        <f t="shared" si="78"/>
        <v>39.886558713794891</v>
      </c>
      <c r="G264" s="110">
        <f t="shared" si="101"/>
        <v>0.74990854441839416</v>
      </c>
      <c r="H264" s="412" t="b">
        <f>Wh_hp&gt;='2026'!Maxi_hp</f>
        <v>0</v>
      </c>
      <c r="I264" s="388">
        <f>IF(H264,Wh_hp,'2026'!Maxi_hp)</f>
        <v>52.173352901498127</v>
      </c>
      <c r="J264" s="85">
        <f>IF(H264,An,'2026'!An_max)</f>
        <v>2018</v>
      </c>
      <c r="K264" s="197">
        <f t="shared" si="79"/>
        <v>46637</v>
      </c>
      <c r="L264" s="147">
        <f>IF(t&lt;Tvie,1-EXP((T0-t)*PertePVj)+'2026'!Pspv,1-EXP((T0-t)*PertePVj)+Pspv)</f>
        <v>5.8421093694646542E-2</v>
      </c>
      <c r="M264" s="832"/>
      <c r="N264" s="832"/>
      <c r="O264" s="48">
        <f>IF(t&lt;Tnet,'2026'!Resal+('2026'!Salim-'2026'!Resal)*(1-EXP(('2026'!Tnet-t)/('2026'!Tau_j))),Resal+(Salim-Resal)*(1-EXP((Tnet-t)/(Tau_j))))*Salcycl</f>
        <v>2.4980380095453454E-2</v>
      </c>
      <c r="P264" s="169">
        <f>(INDEX(Models!$BJ264:$BT264,,T264)*(1-R264)+INDEX(Models!$BJ264:$BT264,,T264+1)*R264-ERP_i)*Q264*Ramure*Pc/MaxiM</f>
        <v>3.5763559797454024E-6</v>
      </c>
      <c r="Q264" s="304">
        <f t="shared" si="80"/>
        <v>0.6</v>
      </c>
      <c r="R264" s="177">
        <f t="shared" si="81"/>
        <v>0.46169461163427172</v>
      </c>
      <c r="S264" s="799">
        <f t="shared" si="82"/>
        <v>-1</v>
      </c>
      <c r="T264" s="176">
        <f t="shared" si="83"/>
        <v>5</v>
      </c>
      <c r="U264" s="250">
        <f t="shared" si="84"/>
        <v>-0.53830538836572828</v>
      </c>
      <c r="V264" s="382">
        <f t="shared" si="85"/>
        <v>48.830007254293591</v>
      </c>
      <c r="W264" s="400">
        <f t="shared" si="86"/>
        <v>36.618086452228184</v>
      </c>
      <c r="X264" s="157">
        <f t="shared" si="87"/>
        <v>46637</v>
      </c>
      <c r="Y264" s="383">
        <f t="shared" si="88"/>
        <v>35.373504376047961</v>
      </c>
      <c r="Z264" s="383">
        <f t="shared" si="89"/>
        <v>37.568284653751959</v>
      </c>
      <c r="AA264" s="384">
        <f t="shared" si="90"/>
        <v>39.886042647500688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5.8109499962989329E-2</v>
      </c>
      <c r="AD264" s="230">
        <f>(INDEX(Models!$BJ264:$BT264,,AH264)*(1-AF264)+INDEX(Models!$BJ264:$BT264,,AH264+1)*AF264-ERP_i)*AE264*Ramure*Pc/MaxiM</f>
        <v>2.0130372000683965E-5</v>
      </c>
      <c r="AE264" s="304">
        <f t="shared" si="92"/>
        <v>0.6</v>
      </c>
      <c r="AF264" s="177">
        <f t="shared" si="93"/>
        <v>0.98668217800825042</v>
      </c>
      <c r="AG264" s="799">
        <f t="shared" si="99"/>
        <v>2</v>
      </c>
      <c r="AH264" s="176">
        <f t="shared" si="94"/>
        <v>8</v>
      </c>
      <c r="AI264" s="224">
        <f t="shared" si="95"/>
        <v>2.9866821780082504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46638</v>
      </c>
      <c r="B265" s="409">
        <f>IF(t&gt;Tmaj,'2026'!Wh/'2026'!Env_an*'2027'!Env_an,0.001*'[11]mon-tableau (3)'!$B$242)</f>
        <v>36.421849538469054</v>
      </c>
      <c r="C265" s="829"/>
      <c r="D265" s="391">
        <f t="shared" si="77"/>
        <v>38.682416656084342</v>
      </c>
      <c r="E265" s="383">
        <f t="shared" si="100"/>
        <v>39.677843292893904</v>
      </c>
      <c r="F265" s="383">
        <f t="shared" si="78"/>
        <v>39.67794216546595</v>
      </c>
      <c r="G265" s="110">
        <f t="shared" si="101"/>
        <v>0.74850430301794013</v>
      </c>
      <c r="H265" s="412" t="b">
        <f>Wh_hp&gt;='2026'!Maxi_hp</f>
        <v>0</v>
      </c>
      <c r="I265" s="388">
        <f>IF(H265,Wh_hp,'2026'!Maxi_hp)</f>
        <v>51.203240442877672</v>
      </c>
      <c r="J265" s="85">
        <f>IF(H265,An,'2026'!An_max)</f>
        <v>2020</v>
      </c>
      <c r="K265" s="197">
        <f t="shared" si="79"/>
        <v>46638</v>
      </c>
      <c r="L265" s="147">
        <f>IF(t&lt;Tvie,1-EXP((T0-t)*PertePVj)+'2026'!Pspv,1-EXP((T0-t)*PertePVj)+Pspv)</f>
        <v>5.8439138839577187E-2</v>
      </c>
      <c r="M265" s="832"/>
      <c r="N265" s="832"/>
      <c r="O265" s="48">
        <f>IF(t&lt;Tnet,'2026'!Resal+('2026'!Salim-'2026'!Resal)*(1-EXP(('2026'!Tnet-t)/('2026'!Tau_j))),Resal+(Salim-Resal)*(1-EXP((Tnet-t)/(Tau_j))))*Salcycl</f>
        <v>2.5087720354695777E-2</v>
      </c>
      <c r="P265" s="169">
        <f>(INDEX(Models!$BJ265:$BT265,,T265)*(1-R265)+INDEX(Models!$BJ265:$BT265,,T265+1)*R265-ERP_i)*Q265*Ramure*Pc/MaxiM</f>
        <v>3.8891715938607953E-6</v>
      </c>
      <c r="Q265" s="304">
        <f t="shared" si="80"/>
        <v>0.6</v>
      </c>
      <c r="R265" s="177">
        <f t="shared" si="81"/>
        <v>0.46218948488111766</v>
      </c>
      <c r="S265" s="799">
        <f t="shared" si="82"/>
        <v>-1</v>
      </c>
      <c r="T265" s="176">
        <f t="shared" si="83"/>
        <v>5</v>
      </c>
      <c r="U265" s="250">
        <f t="shared" si="84"/>
        <v>-0.53781051511888234</v>
      </c>
      <c r="V265" s="382">
        <f t="shared" si="85"/>
        <v>48.659437894286476</v>
      </c>
      <c r="W265" s="400">
        <f t="shared" si="86"/>
        <v>36.421849538469054</v>
      </c>
      <c r="X265" s="157">
        <f t="shared" si="87"/>
        <v>46638</v>
      </c>
      <c r="Y265" s="383">
        <f t="shared" si="88"/>
        <v>35.18535674413819</v>
      </c>
      <c r="Z265" s="383">
        <f t="shared" si="89"/>
        <v>37.369179407876132</v>
      </c>
      <c r="AA265" s="384">
        <f t="shared" si="90"/>
        <v>39.677384340139817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5.8174321988472895E-2</v>
      </c>
      <c r="AD265" s="230">
        <f>(INDEX(Models!$BJ265:$BT265,,AH265)*(1-AF265)+INDEX(Models!$BJ265:$BT265,,AH265+1)*AF265-ERP_i)*AE265*Ramure*Pc/MaxiM</f>
        <v>2.1942166243482042E-5</v>
      </c>
      <c r="AE265" s="304">
        <f t="shared" si="92"/>
        <v>0.6</v>
      </c>
      <c r="AF265" s="177">
        <f t="shared" si="93"/>
        <v>0.98717705125509614</v>
      </c>
      <c r="AG265" s="799">
        <f t="shared" si="99"/>
        <v>2</v>
      </c>
      <c r="AH265" s="176">
        <f t="shared" si="94"/>
        <v>8</v>
      </c>
      <c r="AI265" s="224">
        <f t="shared" si="95"/>
        <v>2.9871770512550961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46639</v>
      </c>
      <c r="B266" s="409">
        <f>IF(t&gt;Tmaj,'2026'!Wh/'2026'!Env_an*'2027'!Env_an,0.001*'[11]mon-tableau (3)'!$B$243)</f>
        <v>20.111794684846561</v>
      </c>
      <c r="C266" s="829"/>
      <c r="D266" s="391">
        <f t="shared" si="77"/>
        <v>21.360467453376575</v>
      </c>
      <c r="E266" s="383">
        <f t="shared" si="100"/>
        <v>21.912548473045916</v>
      </c>
      <c r="F266" s="383">
        <f t="shared" si="78"/>
        <v>21.912563577908948</v>
      </c>
      <c r="G266" s="110">
        <f t="shared" si="101"/>
        <v>0.41479393675643528</v>
      </c>
      <c r="H266" s="412" t="b">
        <f>Wh_hp&gt;='2026'!Maxi_hp</f>
        <v>0</v>
      </c>
      <c r="I266" s="388">
        <f>IF(H266,Wh_hp,'2026'!Maxi_hp)</f>
        <v>51.228956112547721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5.8457183638676802E-2</v>
      </c>
      <c r="M266" s="832"/>
      <c r="N266" s="832"/>
      <c r="O266" s="48">
        <f>IF(t&lt;Tnet,'2026'!Resal+('2026'!Salim-'2026'!Resal)*(1-EXP(('2026'!Tnet-t)/('2026'!Tau_j))),Resal+(Salim-Resal)*(1-EXP((Tnet-t)/(Tau_j))))*Salcycl</f>
        <v>2.51947426538928E-2</v>
      </c>
      <c r="P266" s="169">
        <f>(INDEX(Models!$BJ266:$BT266,,T266)*(1-R266)+INDEX(Models!$BJ266:$BT266,,T266+1)*R266-ERP_i)*Q266*Ramure*Pc/MaxiM</f>
        <v>4.2033657192044434E-6</v>
      </c>
      <c r="Q266" s="304">
        <f t="shared" si="80"/>
        <v>0.6</v>
      </c>
      <c r="R266" s="177">
        <f t="shared" si="81"/>
        <v>0.46266537738047275</v>
      </c>
      <c r="S266" s="799">
        <f t="shared" si="82"/>
        <v>-1</v>
      </c>
      <c r="T266" s="176">
        <f t="shared" si="83"/>
        <v>5</v>
      </c>
      <c r="U266" s="250">
        <f t="shared" si="84"/>
        <v>-0.53733462261952725</v>
      </c>
      <c r="V266" s="382">
        <f t="shared" si="85"/>
        <v>48.486060737498789</v>
      </c>
      <c r="W266" s="400">
        <f t="shared" si="86"/>
        <v>20.111794684846561</v>
      </c>
      <c r="X266" s="157">
        <f t="shared" si="87"/>
        <v>46639</v>
      </c>
      <c r="Y266" s="383">
        <f t="shared" si="88"/>
        <v>19.42998314573552</v>
      </c>
      <c r="Z266" s="383">
        <f t="shared" si="89"/>
        <v>20.63632456017713</v>
      </c>
      <c r="AA266" s="384">
        <f t="shared" si="90"/>
        <v>21.912478152254895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5.8238670369030944E-2</v>
      </c>
      <c r="AD266" s="230">
        <f>(INDEX(Models!$BJ266:$BT266,,AH266)*(1-AF266)+INDEX(Models!$BJ266:$BT266,,AH266+1)*AF266-ERP_i)*AE266*Ramure*Pc/MaxiM</f>
        <v>2.3772162980296717E-5</v>
      </c>
      <c r="AE266" s="304">
        <f t="shared" si="92"/>
        <v>0.6</v>
      </c>
      <c r="AF266" s="177">
        <f t="shared" si="93"/>
        <v>0.98765294375445167</v>
      </c>
      <c r="AG266" s="799">
        <f t="shared" si="99"/>
        <v>2</v>
      </c>
      <c r="AH266" s="176">
        <f t="shared" si="94"/>
        <v>8</v>
      </c>
      <c r="AI266" s="224">
        <f t="shared" si="95"/>
        <v>2.9876529437544517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46640</v>
      </c>
      <c r="B267" s="409">
        <f>IF(t&gt;Tmaj,'2026'!Wh/'2026'!Env_an*'2027'!Env_an,0.001*'[11]mon-tableau (3)'!$B$244)</f>
        <v>46.713669694715072</v>
      </c>
      <c r="C267" s="829"/>
      <c r="D267" s="391">
        <f t="shared" si="77"/>
        <v>49.614913052205132</v>
      </c>
      <c r="E267" s="383">
        <f t="shared" si="100"/>
        <v>50.902827834857895</v>
      </c>
      <c r="F267" s="383">
        <f t="shared" si="78"/>
        <v>50.903047007580582</v>
      </c>
      <c r="G267" s="110">
        <f t="shared" si="101"/>
        <v>0.96696471173041731</v>
      </c>
      <c r="H267" s="412" t="b">
        <f>Wh_hp&gt;='2026'!Maxi_hp</f>
        <v>0</v>
      </c>
      <c r="I267" s="388">
        <f>IF(H267,Wh_hp,'2026'!Maxi_hp)</f>
        <v>50.903053344609674</v>
      </c>
      <c r="J267" s="85">
        <f>IF(H267,An,'2026'!An_max)</f>
        <v>2026</v>
      </c>
      <c r="K267" s="197">
        <f t="shared" si="79"/>
        <v>46640</v>
      </c>
      <c r="L267" s="147">
        <f>IF(t&lt;Tvie,1-EXP((T0-t)*PertePVj)+'2026'!Pspv,1-EXP((T0-t)*PertePVj)+Pspv)</f>
        <v>5.8475228091951936E-2</v>
      </c>
      <c r="M267" s="832"/>
      <c r="N267" s="832"/>
      <c r="O267" s="48">
        <f>IF(t&lt;Tnet,'2026'!Resal+('2026'!Salim-'2026'!Resal)*(1-EXP(('2026'!Tnet-t)/('2026'!Tau_j))),Resal+(Salim-Resal)*(1-EXP((Tnet-t)/(Tau_j))))*Salcycl</f>
        <v>2.5301438789041241E-2</v>
      </c>
      <c r="P267" s="169">
        <f>(INDEX(Models!$BJ267:$BT267,,T267)*(1-R267)+INDEX(Models!$BJ267:$BT267,,T267+1)*R267-ERP_i)*Q267*Ramure*Pc/MaxiM</f>
        <v>4.5189524581347405E-6</v>
      </c>
      <c r="Q267" s="304">
        <f t="shared" si="80"/>
        <v>0.6</v>
      </c>
      <c r="R267" s="177">
        <f t="shared" si="81"/>
        <v>0.46312298138813768</v>
      </c>
      <c r="S267" s="799">
        <f t="shared" si="82"/>
        <v>-1</v>
      </c>
      <c r="T267" s="176">
        <f t="shared" si="83"/>
        <v>5</v>
      </c>
      <c r="U267" s="250">
        <f t="shared" si="84"/>
        <v>-0.53687701861186232</v>
      </c>
      <c r="V267" s="382">
        <f t="shared" si="85"/>
        <v>48.30958065552165</v>
      </c>
      <c r="W267" s="400">
        <f t="shared" si="86"/>
        <v>46.713669694715072</v>
      </c>
      <c r="X267" s="157">
        <f t="shared" si="87"/>
        <v>46640</v>
      </c>
      <c r="Y267" s="383">
        <f t="shared" si="88"/>
        <v>45.131142988529831</v>
      </c>
      <c r="Z267" s="383">
        <f t="shared" si="89"/>
        <v>47.934100445460679</v>
      </c>
      <c r="AA267" s="384">
        <f t="shared" si="90"/>
        <v>50.901804389142882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5.8302529336567106E-2</v>
      </c>
      <c r="AD267" s="230">
        <f>(INDEX(Models!$BJ267:$BT267,,AH267)*(1-AF267)+INDEX(Models!$BJ267:$BT267,,AH267+1)*AF267-ERP_i)*AE267*Ramure*Pc/MaxiM</f>
        <v>2.5620586242313421E-5</v>
      </c>
      <c r="AE267" s="304">
        <f t="shared" si="92"/>
        <v>0.6</v>
      </c>
      <c r="AF267" s="177">
        <f t="shared" si="93"/>
        <v>0.98811054776211638</v>
      </c>
      <c r="AG267" s="799">
        <f t="shared" si="99"/>
        <v>2</v>
      </c>
      <c r="AH267" s="176">
        <f t="shared" si="94"/>
        <v>8</v>
      </c>
      <c r="AI267" s="224">
        <f t="shared" si="95"/>
        <v>2.9881105477621164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46641</v>
      </c>
      <c r="B268" s="409">
        <f>IF(t&gt;Tmaj,'2026'!Wh/'2026'!Env_an*'2027'!Env_an,0.001*'[11]mon-tableau (3)'!$B$245)</f>
        <v>47.116493282660137</v>
      </c>
      <c r="C268" s="829"/>
      <c r="D268" s="391">
        <f t="shared" si="77"/>
        <v>50.043713859301612</v>
      </c>
      <c r="E268" s="383">
        <f t="shared" si="100"/>
        <v>51.348362802007145</v>
      </c>
      <c r="F268" s="383">
        <f t="shared" si="78"/>
        <v>51.348604186774132</v>
      </c>
      <c r="G268" s="110">
        <f t="shared" si="101"/>
        <v>0.97894822318298513</v>
      </c>
      <c r="H268" s="412" t="b">
        <f>Wh_hp&gt;='2026'!Maxi_hp</f>
        <v>0</v>
      </c>
      <c r="I268" s="388">
        <f>IF(H268,Wh_hp,'2026'!Maxi_hp)</f>
        <v>51.348608556862466</v>
      </c>
      <c r="J268" s="85">
        <f>IF(H268,An,'2026'!An_max)</f>
        <v>2026</v>
      </c>
      <c r="K268" s="197">
        <f t="shared" si="79"/>
        <v>46641</v>
      </c>
      <c r="L268" s="147">
        <f>IF(t&lt;Tvie,1-EXP((T0-t)*PertePVj)+'2026'!Pspv,1-EXP((T0-t)*PertePVj)+Pspv)</f>
        <v>5.8493272199409141E-2</v>
      </c>
      <c r="M268" s="832"/>
      <c r="N268" s="832"/>
      <c r="O268" s="48">
        <f>IF(t&lt;Tnet,'2026'!Resal+('2026'!Salim-'2026'!Resal)*(1-EXP(('2026'!Tnet-t)/('2026'!Tau_j))),Resal+(Salim-Resal)*(1-EXP((Tnet-t)/(Tau_j))))*Salcycl</f>
        <v>2.5407800200682146E-2</v>
      </c>
      <c r="P268" s="169">
        <f>(INDEX(Models!$BJ268:$BT268,,T268)*(1-R268)+INDEX(Models!$BJ268:$BT268,,T268+1)*R268-ERP_i)*Q268*Ramure*Pc/MaxiM</f>
        <v>4.8466595010965652E-6</v>
      </c>
      <c r="Q268" s="304">
        <f t="shared" si="80"/>
        <v>0.6</v>
      </c>
      <c r="R268" s="177">
        <f t="shared" si="81"/>
        <v>0.46356296667947439</v>
      </c>
      <c r="S268" s="799">
        <f t="shared" si="82"/>
        <v>-1</v>
      </c>
      <c r="T268" s="176">
        <f t="shared" si="83"/>
        <v>5</v>
      </c>
      <c r="U268" s="250">
        <f t="shared" si="84"/>
        <v>-0.53643703332052561</v>
      </c>
      <c r="V268" s="382">
        <f t="shared" si="85"/>
        <v>48.129702163265975</v>
      </c>
      <c r="W268" s="400">
        <f t="shared" si="86"/>
        <v>47.116493282660137</v>
      </c>
      <c r="X268" s="157">
        <f t="shared" si="87"/>
        <v>46641</v>
      </c>
      <c r="Y268" s="383">
        <f t="shared" si="88"/>
        <v>45.522139414239923</v>
      </c>
      <c r="Z268" s="383">
        <f t="shared" si="89"/>
        <v>48.350307087642413</v>
      </c>
      <c r="AA268" s="384">
        <f t="shared" si="90"/>
        <v>51.347233695121766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5.8365882479158276E-2</v>
      </c>
      <c r="AD268" s="230">
        <f>(INDEX(Models!$BJ268:$BT268,,AH268)*(1-AF268)+INDEX(Models!$BJ268:$BT268,,AH268+1)*AF268-ERP_i)*AE268*Ramure*Pc/MaxiM</f>
        <v>2.7517504401402845E-5</v>
      </c>
      <c r="AE268" s="304">
        <f t="shared" si="92"/>
        <v>0.6</v>
      </c>
      <c r="AF268" s="177">
        <f t="shared" si="93"/>
        <v>0.98855053305345297</v>
      </c>
      <c r="AG268" s="799">
        <f t="shared" si="99"/>
        <v>2</v>
      </c>
      <c r="AH268" s="176">
        <f t="shared" si="94"/>
        <v>8</v>
      </c>
      <c r="AI268" s="224">
        <f t="shared" si="95"/>
        <v>2.988550533053453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46642</v>
      </c>
      <c r="B269" s="409">
        <f>IF(t&gt;Tmaj,'2026'!Wh/'2026'!Env_an*'2027'!Env_an,0.001*'[11]mon-tableau (3)'!$B$246)</f>
        <v>36.938534462924324</v>
      </c>
      <c r="C269" s="829"/>
      <c r="D269" s="391">
        <f t="shared" si="77"/>
        <v>39.234177838930201</v>
      </c>
      <c r="E269" s="383">
        <f t="shared" si="100"/>
        <v>40.261399866281309</v>
      </c>
      <c r="F269" s="383">
        <f t="shared" si="78"/>
        <v>40.261540036846966</v>
      </c>
      <c r="G269" s="110">
        <f t="shared" si="101"/>
        <v>0.77041611349852668</v>
      </c>
      <c r="H269" s="412" t="b">
        <f>Wh_hp&gt;='2026'!Maxi_hp</f>
        <v>0</v>
      </c>
      <c r="I269" s="388">
        <f>IF(H269,Wh_hp,'2026'!Maxi_hp)</f>
        <v>51.806611892360216</v>
      </c>
      <c r="J269" s="85">
        <f>IF(H269,An,'2026'!An_max)</f>
        <v>2018</v>
      </c>
      <c r="K269" s="197">
        <f t="shared" si="79"/>
        <v>46642</v>
      </c>
      <c r="L269" s="147">
        <f>IF(t&lt;Tvie,1-EXP((T0-t)*PertePVj)+'2026'!Pspv,1-EXP((T0-t)*PertePVj)+Pspv)</f>
        <v>5.8511315961055299E-2</v>
      </c>
      <c r="M269" s="832"/>
      <c r="N269" s="832"/>
      <c r="O269" s="48">
        <f>IF(t&lt;Tnet,'2026'!Resal+('2026'!Salim-'2026'!Resal)*(1-EXP(('2026'!Tnet-t)/('2026'!Tau_j))),Resal+(Salim-Resal)*(1-EXP((Tnet-t)/(Tau_j))))*Salcycl</f>
        <v>2.5513817968644537E-2</v>
      </c>
      <c r="P269" s="169">
        <f>(INDEX(Models!$BJ269:$BT269,,T269)*(1-R269)+INDEX(Models!$BJ269:$BT269,,T269+1)*R269-ERP_i)*Q269*Ramure*Pc/MaxiM</f>
        <v>5.1806122115583492E-6</v>
      </c>
      <c r="Q269" s="304">
        <f t="shared" si="80"/>
        <v>0.6</v>
      </c>
      <c r="R269" s="177">
        <f t="shared" si="81"/>
        <v>0.46398598106106137</v>
      </c>
      <c r="S269" s="799">
        <f t="shared" si="82"/>
        <v>-1</v>
      </c>
      <c r="T269" s="176">
        <f t="shared" si="83"/>
        <v>5</v>
      </c>
      <c r="U269" s="250">
        <f t="shared" si="84"/>
        <v>-0.53601401893893863</v>
      </c>
      <c r="V269" s="382">
        <f t="shared" si="85"/>
        <v>47.946130737404843</v>
      </c>
      <c r="W269" s="400">
        <f t="shared" si="86"/>
        <v>36.938534462924324</v>
      </c>
      <c r="X269" s="157">
        <f t="shared" si="87"/>
        <v>46642</v>
      </c>
      <c r="Y269" s="383">
        <f t="shared" si="88"/>
        <v>35.690292396827324</v>
      </c>
      <c r="Z269" s="383">
        <f t="shared" si="89"/>
        <v>37.908360452849578</v>
      </c>
      <c r="AA269" s="384">
        <f t="shared" si="90"/>
        <v>40.260743892327341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5.8428712737373621E-2</v>
      </c>
      <c r="AD269" s="230">
        <f>(INDEX(Models!$BJ269:$BT269,,AH269)*(1-AF269)+INDEX(Models!$BJ269:$BT269,,AH269+1)*AF269-ERP_i)*AE269*Ramure*Pc/MaxiM</f>
        <v>2.9424979497693429E-5</v>
      </c>
      <c r="AE269" s="304">
        <f t="shared" si="92"/>
        <v>0.6</v>
      </c>
      <c r="AF269" s="177">
        <f t="shared" si="93"/>
        <v>0.98897354743504007</v>
      </c>
      <c r="AG269" s="799">
        <f t="shared" si="99"/>
        <v>2</v>
      </c>
      <c r="AH269" s="176">
        <f t="shared" si="94"/>
        <v>8</v>
      </c>
      <c r="AI269" s="224">
        <f t="shared" si="95"/>
        <v>2.9889735474350401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46643</v>
      </c>
      <c r="B270" s="409">
        <f>IF(t&gt;Tmaj,'2026'!Wh/'2026'!Env_an*'2027'!Env_an,0.001*'[11]mon-tableau (3)'!$B$247)</f>
        <v>14.684449630331502</v>
      </c>
      <c r="C270" s="829"/>
      <c r="D270" s="391">
        <f t="shared" si="77"/>
        <v>15.597352691330599</v>
      </c>
      <c r="E270" s="383">
        <f t="shared" si="100"/>
        <v>16.007455420302829</v>
      </c>
      <c r="F270" s="383">
        <f t="shared" si="78"/>
        <v>16.007456363714208</v>
      </c>
      <c r="G270" s="110">
        <f t="shared" si="101"/>
        <v>0.30747086639776344</v>
      </c>
      <c r="H270" s="412" t="b">
        <f>Wh_hp&gt;='2026'!Maxi_hp</f>
        <v>0</v>
      </c>
      <c r="I270" s="388">
        <f>IF(H270,Wh_hp,'2026'!Maxi_hp)</f>
        <v>49.476808548086147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5.852935937689685E-2</v>
      </c>
      <c r="M270" s="832"/>
      <c r="N270" s="832"/>
      <c r="O270" s="48">
        <f>IF(t&lt;Tnet,'2026'!Resal+('2026'!Salim-'2026'!Resal)*(1-EXP(('2026'!Tnet-t)/('2026'!Tau_j))),Resal+(Salim-Resal)*(1-EXP((Tnet-t)/(Tau_j))))*Salcycl</f>
        <v>2.5619482809996361E-2</v>
      </c>
      <c r="P270" s="169">
        <f>(INDEX(Models!$BJ270:$BT270,,T270)*(1-R270)+INDEX(Models!$BJ270:$BT270,,T270+1)*R270-ERP_i)*Q270*Ramure*Pc/MaxiM</f>
        <v>5.5208791272070014E-6</v>
      </c>
      <c r="Q270" s="304">
        <f t="shared" si="80"/>
        <v>0.6</v>
      </c>
      <c r="R270" s="177">
        <f t="shared" si="81"/>
        <v>0.46439265088927151</v>
      </c>
      <c r="S270" s="799">
        <f t="shared" si="82"/>
        <v>-1</v>
      </c>
      <c r="T270" s="176">
        <f t="shared" si="83"/>
        <v>5</v>
      </c>
      <c r="U270" s="250">
        <f t="shared" si="84"/>
        <v>-0.53560734911072849</v>
      </c>
      <c r="V270" s="382">
        <f t="shared" si="85"/>
        <v>47.758571720085151</v>
      </c>
      <c r="W270" s="400">
        <f t="shared" si="86"/>
        <v>14.684449630331502</v>
      </c>
      <c r="X270" s="157">
        <f t="shared" si="87"/>
        <v>46643</v>
      </c>
      <c r="Y270" s="383">
        <f t="shared" si="88"/>
        <v>14.189053862066512</v>
      </c>
      <c r="Z270" s="383">
        <f t="shared" si="89"/>
        <v>15.071159152318998</v>
      </c>
      <c r="AA270" s="384">
        <f t="shared" si="90"/>
        <v>16.007451007757997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5.8491002407892741E-2</v>
      </c>
      <c r="AD270" s="230">
        <f>(INDEX(Models!$BJ270:$BT270,,AH270)*(1-AF270)+INDEX(Models!$BJ270:$BT270,,AH270+1)*AF270-ERP_i)*AE270*Ramure*Pc/MaxiM</f>
        <v>3.1343258593733579E-5</v>
      </c>
      <c r="AE270" s="304">
        <f t="shared" si="92"/>
        <v>0.6</v>
      </c>
      <c r="AF270" s="177">
        <f t="shared" si="93"/>
        <v>0.98938021726325021</v>
      </c>
      <c r="AG270" s="799">
        <f t="shared" si="99"/>
        <v>2</v>
      </c>
      <c r="AH270" s="176">
        <f t="shared" si="94"/>
        <v>8</v>
      </c>
      <c r="AI270" s="224">
        <f t="shared" si="95"/>
        <v>2.9893802172632502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46644</v>
      </c>
      <c r="B271" s="409">
        <f>IF(t&gt;Tmaj,'2026'!Wh/'2026'!Env_an*'2027'!Env_an,0.001*'[11]mon-tableau (3)'!$B$248)</f>
        <v>36.982194374016792</v>
      </c>
      <c r="C271" s="829"/>
      <c r="D271" s="391">
        <f t="shared" ref="D271:D334" si="102">Wh/(1-Ppv)</f>
        <v>39.282056760093539</v>
      </c>
      <c r="E271" s="383">
        <f t="shared" si="100"/>
        <v>40.319261086143364</v>
      </c>
      <c r="F271" s="383">
        <f t="shared" ref="F271:F334" si="103">Wh_sa/(1-Pvg*MEDIAN((-Sdif+Wh/Env_an)/Csdif,0,1))</f>
        <v>40.319422457848816</v>
      </c>
      <c r="G271" s="110">
        <f t="shared" si="101"/>
        <v>0.77747881597922786</v>
      </c>
      <c r="H271" s="412" t="b">
        <f>Wh_hp&gt;='2026'!Maxi_hp</f>
        <v>0</v>
      </c>
      <c r="I271" s="388">
        <f>IF(H271,Wh_hp,'2026'!Maxi_hp)</f>
        <v>49.421570563132221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5.8547402446940344E-2</v>
      </c>
      <c r="M271" s="832"/>
      <c r="N271" s="832"/>
      <c r="O271" s="48">
        <f>IF(t&lt;Tnet,'2026'!Resal+('2026'!Salim-'2026'!Resal)*(1-EXP(('2026'!Tnet-t)/('2026'!Tau_j))),Resal+(Salim-Resal)*(1-EXP((Tnet-t)/(Tau_j))))*Salcycl</f>
        <v>2.5724785080604658E-2</v>
      </c>
      <c r="P271" s="169">
        <f>(INDEX(Models!$BJ271:$BT271,,T271)*(1-R271)+INDEX(Models!$BJ271:$BT271,,T271+1)*R271-ERP_i)*Q271*Ramure*Pc/MaxiM</f>
        <v>5.8675351374898781E-6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0.46478358159370703</v>
      </c>
      <c r="S271" s="799">
        <f t="shared" ref="S271:S334" si="107">INDEX(Echel_vg,T271)</f>
        <v>-1</v>
      </c>
      <c r="T271" s="176">
        <f t="shared" ref="T271:T334" si="108">MIN(MATCH(Hp_vg,Echel_vg),10)</f>
        <v>5</v>
      </c>
      <c r="U271" s="250">
        <f t="shared" ref="U271:U334" si="109">IF(OR(t&lt;Ttai,Notai),Hdd+PousH*Croivg,Hdtf+PousH*(Croivg-Croi_tai))</f>
        <v>-0.53521641840629297</v>
      </c>
      <c r="V271" s="382">
        <f t="shared" ref="V271:V334" si="110">MaxiM*(1-Ppv)*(1-Pvg)*(1-Psa)</f>
        <v>47.56673060969328</v>
      </c>
      <c r="W271" s="400">
        <f t="shared" ref="W271:W334" si="111">Wh*(A271&gt;Tmaj)</f>
        <v>36.982194374016792</v>
      </c>
      <c r="X271" s="157">
        <f t="shared" ref="X271:X334" si="112">t</f>
        <v>46644</v>
      </c>
      <c r="Y271" s="383">
        <f t="shared" ref="Y271:Y334" si="113">Wh_pvt_s*(1-Ppv)</f>
        <v>35.735420993056096</v>
      </c>
      <c r="Z271" s="383">
        <f t="shared" ref="Z271:Z334" si="114">Wh_sa_s*(1-Psa_s)</f>
        <v>37.957748574847464</v>
      </c>
      <c r="AA271" s="384">
        <f t="shared" ref="AA271:AA334" si="115">Wh_hp*(1-Pvg_s*MEDIAN((-Sdif+Wh/Env_an)/Csdif,0,1))</f>
        <v>40.318507378602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5.8552733155182377E-2</v>
      </c>
      <c r="AD271" s="230">
        <f>(INDEX(Models!$BJ271:$BT271,,AH271)*(1-AF271)+INDEX(Models!$BJ271:$BT271,,AH271+1)*AF271-ERP_i)*AE271*Ramure*Pc/MaxiM</f>
        <v>3.3272621239194814E-5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0.98977114796768584</v>
      </c>
      <c r="AG271" s="799">
        <f t="shared" si="99"/>
        <v>2</v>
      </c>
      <c r="AH271" s="176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2.9897711479676858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46645</v>
      </c>
      <c r="B272" s="409">
        <f>IF(t&gt;Tmaj,'2026'!Wh/'2026'!Env_an*'2027'!Env_an,0.001*'[11]mon-tableau (3)'!$B$249)</f>
        <v>40.660253207120881</v>
      </c>
      <c r="C272" s="829"/>
      <c r="D272" s="391">
        <f t="shared" si="102"/>
        <v>43.189675796969908</v>
      </c>
      <c r="E272" s="383">
        <f t="shared" si="100"/>
        <v>44.334831858730382</v>
      </c>
      <c r="F272" s="383">
        <f t="shared" si="103"/>
        <v>44.335051842877967</v>
      </c>
      <c r="G272" s="110">
        <f t="shared" si="101"/>
        <v>0.85834775837047472</v>
      </c>
      <c r="H272" s="412" t="b">
        <f>Wh_hp&gt;='2026'!Maxi_hp</f>
        <v>0</v>
      </c>
      <c r="I272" s="388">
        <f>IF(H272,Wh_hp,'2026'!Maxi_hp)</f>
        <v>51.00676090295368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5.8565445171192665E-2</v>
      </c>
      <c r="M272" s="832"/>
      <c r="N272" s="832"/>
      <c r="O272" s="48">
        <f>IF(t&lt;Tnet,'2026'!Resal+('2026'!Salim-'2026'!Resal)*(1-EXP(('2026'!Tnet-t)/('2026'!Tau_j))),Resal+(Salim-Resal)*(1-EXP((Tnet-t)/(Tau_j))))*Salcycl</f>
        <v>2.5829714780681468E-2</v>
      </c>
      <c r="P272" s="169">
        <f>(INDEX(Models!$BJ272:$BT272,,T272)*(1-R272)+INDEX(Models!$BJ272:$BT272,,T272+1)*R272-ERP_i)*Q272*Ramure*Pc/MaxiM</f>
        <v>6.220661763167903E-6</v>
      </c>
      <c r="Q272" s="304">
        <f t="shared" si="105"/>
        <v>0.6</v>
      </c>
      <c r="R272" s="177">
        <f t="shared" si="106"/>
        <v>0.4651593582036051</v>
      </c>
      <c r="S272" s="799">
        <f t="shared" si="107"/>
        <v>-1</v>
      </c>
      <c r="T272" s="176">
        <f t="shared" si="108"/>
        <v>5</v>
      </c>
      <c r="U272" s="250">
        <f t="shared" si="109"/>
        <v>-0.5348406417963949</v>
      </c>
      <c r="V272" s="382">
        <f t="shared" si="110"/>
        <v>47.370313054351278</v>
      </c>
      <c r="W272" s="400">
        <f t="shared" si="111"/>
        <v>40.660253207120881</v>
      </c>
      <c r="X272" s="157">
        <f t="shared" si="112"/>
        <v>46645</v>
      </c>
      <c r="Y272" s="383">
        <f t="shared" si="113"/>
        <v>39.290987571975833</v>
      </c>
      <c r="Z272" s="383">
        <f t="shared" si="114"/>
        <v>41.735229889793665</v>
      </c>
      <c r="AA272" s="384">
        <f t="shared" si="115"/>
        <v>44.333806575787989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5.8613886031917785E-2</v>
      </c>
      <c r="AD272" s="230">
        <f>(INDEX(Models!$BJ272:$BT272,,AH272)*(1-AF272)+INDEX(Models!$BJ272:$BT272,,AH272+1)*AF272-ERP_i)*AE272*Ramure*Pc/MaxiM</f>
        <v>3.5213379948269349E-5</v>
      </c>
      <c r="AE272" s="304">
        <f t="shared" si="117"/>
        <v>0.6</v>
      </c>
      <c r="AF272" s="177">
        <f t="shared" si="118"/>
        <v>0.99014692457758358</v>
      </c>
      <c r="AG272" s="799">
        <f t="shared" ref="AG272:AG335" si="124">INDEX(Echel_vg,AH272)</f>
        <v>2</v>
      </c>
      <c r="AH272" s="176">
        <f t="shared" si="119"/>
        <v>8</v>
      </c>
      <c r="AI272" s="224">
        <f t="shared" si="120"/>
        <v>2.9901469245775836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46646</v>
      </c>
      <c r="B273" s="409">
        <f>IF(t&gt;Tmaj,'2026'!Wh/'2026'!Env_an*'2027'!Env_an,0.001*'[11]mon-tableau (3)'!$B$250)</f>
        <v>29.410180765629267</v>
      </c>
      <c r="C273" s="829"/>
      <c r="D273" s="391">
        <f t="shared" si="102"/>
        <v>31.240349384864508</v>
      </c>
      <c r="E273" s="383">
        <f t="shared" si="100"/>
        <v>32.072116030943178</v>
      </c>
      <c r="F273" s="383">
        <f t="shared" si="103"/>
        <v>32.072213566365328</v>
      </c>
      <c r="G273" s="110">
        <f t="shared" si="101"/>
        <v>0.62350402129226457</v>
      </c>
      <c r="H273" s="412" t="b">
        <f>Wh_hp&gt;='2026'!Maxi_hp</f>
        <v>0</v>
      </c>
      <c r="I273" s="388">
        <f>IF(H273,Wh_hp,'2026'!Maxi_hp)</f>
        <v>45.030086079266795</v>
      </c>
      <c r="J273" s="85">
        <f>IF(H273,An,'2026'!An_max)</f>
        <v>2018</v>
      </c>
      <c r="K273" s="197">
        <f t="shared" si="104"/>
        <v>46646</v>
      </c>
      <c r="L273" s="147">
        <f>IF(t&lt;Tvie,1-EXP((T0-t)*PertePVj)+'2026'!Pspv,1-EXP((T0-t)*PertePVj)+Pspv)</f>
        <v>5.858348754966014E-2</v>
      </c>
      <c r="M273" s="832"/>
      <c r="N273" s="832"/>
      <c r="O273" s="48">
        <f>IF(t&lt;Tnet,'2026'!Resal+('2026'!Salim-'2026'!Resal)*(1-EXP(('2026'!Tnet-t)/('2026'!Tau_j))),Resal+(Salim-Resal)*(1-EXP((Tnet-t)/(Tau_j))))*Salcycl</f>
        <v>2.5934261564662092E-2</v>
      </c>
      <c r="P273" s="169">
        <f>(INDEX(Models!$BJ273:$BT273,,T273)*(1-R273)+INDEX(Models!$BJ273:$BT273,,T273+1)*R273-ERP_i)*Q273*Ramure*Pc/MaxiM</f>
        <v>6.5803474710772497E-6</v>
      </c>
      <c r="Q273" s="304">
        <f t="shared" si="105"/>
        <v>0.6</v>
      </c>
      <c r="R273" s="177">
        <f t="shared" si="106"/>
        <v>0.46552054587550074</v>
      </c>
      <c r="S273" s="799">
        <f t="shared" si="107"/>
        <v>-1</v>
      </c>
      <c r="T273" s="176">
        <f t="shared" si="108"/>
        <v>5</v>
      </c>
      <c r="U273" s="250">
        <f t="shared" si="109"/>
        <v>-0.53447945412449926</v>
      </c>
      <c r="V273" s="382">
        <f t="shared" si="110"/>
        <v>47.169024852498161</v>
      </c>
      <c r="W273" s="400">
        <f t="shared" si="111"/>
        <v>29.410180765629267</v>
      </c>
      <c r="X273" s="157">
        <f t="shared" si="112"/>
        <v>46646</v>
      </c>
      <c r="Y273" s="383">
        <f t="shared" si="113"/>
        <v>28.421247576431114</v>
      </c>
      <c r="Z273" s="383">
        <f t="shared" si="114"/>
        <v>30.189875788831937</v>
      </c>
      <c r="AA273" s="384">
        <f t="shared" si="115"/>
        <v>32.0716626851396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5.8674441508752492E-2</v>
      </c>
      <c r="AD273" s="230">
        <f>(INDEX(Models!$BJ273:$BT273,,AH273)*(1-AF273)+INDEX(Models!$BJ273:$BT273,,AH273+1)*AF273-ERP_i)*AE273*Ramure*Pc/MaxiM</f>
        <v>3.716588087384249E-5</v>
      </c>
      <c r="AE273" s="304">
        <f t="shared" si="117"/>
        <v>0.6</v>
      </c>
      <c r="AF273" s="177">
        <f t="shared" si="118"/>
        <v>0.99050811224947921</v>
      </c>
      <c r="AG273" s="799">
        <f t="shared" si="124"/>
        <v>2</v>
      </c>
      <c r="AH273" s="176">
        <f t="shared" si="119"/>
        <v>8</v>
      </c>
      <c r="AI273" s="224">
        <f t="shared" si="120"/>
        <v>2.9905081122494792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46647</v>
      </c>
      <c r="B274" s="409">
        <f>IF(t&gt;Tmaj,'2026'!Wh/'2026'!Env_an*'2027'!Env_an,0.001*'[11]mon-tableau (3)'!$B$251)</f>
        <v>47.453868363052855</v>
      </c>
      <c r="C274" s="829"/>
      <c r="D274" s="391">
        <f t="shared" si="102"/>
        <v>50.407845194394675</v>
      </c>
      <c r="E274" s="383">
        <f t="shared" si="100"/>
        <v>51.755475737528343</v>
      </c>
      <c r="F274" s="383">
        <f t="shared" si="103"/>
        <v>51.755835269169893</v>
      </c>
      <c r="G274" s="110">
        <f t="shared" si="101"/>
        <v>1.0104614460927128</v>
      </c>
      <c r="H274" s="412" t="b">
        <f>Wh_hp&gt;='2026'!Maxi_hp</f>
        <v>1</v>
      </c>
      <c r="I274" s="388">
        <f>IF(H274,Wh_hp,'2026'!Maxi_hp)</f>
        <v>51.755835269169893</v>
      </c>
      <c r="J274" s="85">
        <f>IF(H274,An,'2026'!An_max)</f>
        <v>2027</v>
      </c>
      <c r="K274" s="197">
        <f t="shared" si="104"/>
        <v>46647</v>
      </c>
      <c r="L274" s="147">
        <f>IF(t&lt;Tvie,1-EXP((T0-t)*PertePVj)+'2026'!Pspv,1-EXP((T0-t)*PertePVj)+Pspv)</f>
        <v>5.8601529582349654E-2</v>
      </c>
      <c r="M274" s="832"/>
      <c r="N274" s="832"/>
      <c r="O274" s="48">
        <f>IF(t&lt;Tnet,'2026'!Resal+('2026'!Salim-'2026'!Resal)*(1-EXP(('2026'!Tnet-t)/('2026'!Tau_j))),Resal+(Salim-Resal)*(1-EXP((Tnet-t)/(Tau_j))))*Salcycl</f>
        <v>2.6038414755725867E-2</v>
      </c>
      <c r="P274" s="169">
        <f>(INDEX(Models!$BJ274:$BT274,,T274)*(1-R274)+INDEX(Models!$BJ274:$BT274,,T274+1)*R274-ERP_i)*Q274*Ramure*Pc/MaxiM</f>
        <v>6.9466880338853985E-6</v>
      </c>
      <c r="Q274" s="304">
        <f t="shared" si="105"/>
        <v>0.6</v>
      </c>
      <c r="R274" s="177">
        <f t="shared" si="106"/>
        <v>0.46586769042059906</v>
      </c>
      <c r="S274" s="799">
        <f t="shared" si="107"/>
        <v>-1</v>
      </c>
      <c r="T274" s="176">
        <f t="shared" si="108"/>
        <v>5</v>
      </c>
      <c r="U274" s="250">
        <f t="shared" si="109"/>
        <v>-0.53413230957940094</v>
      </c>
      <c r="V274" s="382">
        <f t="shared" si="110"/>
        <v>46.96257194824117</v>
      </c>
      <c r="W274" s="400">
        <f t="shared" si="111"/>
        <v>47.453868363052855</v>
      </c>
      <c r="X274" s="157">
        <f t="shared" si="112"/>
        <v>46647</v>
      </c>
      <c r="Y274" s="383">
        <f t="shared" si="113"/>
        <v>45.859362392927054</v>
      </c>
      <c r="Z274" s="383">
        <f t="shared" si="114"/>
        <v>48.714082117194856</v>
      </c>
      <c r="AA274" s="384">
        <f t="shared" si="115"/>
        <v>51.753810037213263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5.8734379513947145E-2</v>
      </c>
      <c r="AD274" s="230">
        <f>(INDEX(Models!$BJ274:$BT274,,AH274)*(1-AF274)+INDEX(Models!$BJ274:$BT274,,AH274+1)*AF274-ERP_i)*AE274*Ramure*Pc/MaxiM</f>
        <v>3.9130504726571464E-5</v>
      </c>
      <c r="AE274" s="304">
        <f t="shared" si="117"/>
        <v>0.6</v>
      </c>
      <c r="AF274" s="177">
        <f t="shared" si="118"/>
        <v>0.99085525679457787</v>
      </c>
      <c r="AG274" s="799">
        <f t="shared" si="124"/>
        <v>2</v>
      </c>
      <c r="AH274" s="176">
        <f t="shared" si="119"/>
        <v>8</v>
      </c>
      <c r="AI274" s="224">
        <f t="shared" si="120"/>
        <v>2.9908552567945779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46648</v>
      </c>
      <c r="B275" s="409">
        <f>IF(t&gt;Tmaj,'2026'!Wh/'2026'!Env_an*'2027'!Env_an,0.001*'[11]mon-tableau (3)'!$B$252)</f>
        <v>45.867829201378044</v>
      </c>
      <c r="C275" s="829"/>
      <c r="D275" s="391">
        <f t="shared" si="102"/>
        <v>48.724009764279735</v>
      </c>
      <c r="E275" s="383">
        <f t="shared" si="100"/>
        <v>50.031953259881071</v>
      </c>
      <c r="F275" s="383">
        <f t="shared" si="103"/>
        <v>50.032309596298425</v>
      </c>
      <c r="G275" s="110">
        <f t="shared" si="101"/>
        <v>0.98110493252241882</v>
      </c>
      <c r="H275" s="412" t="b">
        <f>Wh_hp&gt;='2026'!Maxi_hp</f>
        <v>0</v>
      </c>
      <c r="I275" s="388">
        <f>IF(H275,Wh_hp,'2026'!Maxi_hp)</f>
        <v>50.032315383017725</v>
      </c>
      <c r="J275" s="85">
        <f>IF(H275,An,'2026'!An_max)</f>
        <v>2026</v>
      </c>
      <c r="K275" s="197">
        <f t="shared" si="104"/>
        <v>46648</v>
      </c>
      <c r="L275" s="147">
        <f>IF(t&lt;Tvie,1-EXP((T0-t)*PertePVj)+'2026'!Pspv,1-EXP((T0-t)*PertePVj)+Pspv)</f>
        <v>5.8619571269267756E-2</v>
      </c>
      <c r="M275" s="832"/>
      <c r="N275" s="832"/>
      <c r="O275" s="48">
        <f>IF(t&lt;Tnet,'2026'!Resal+('2026'!Salim-'2026'!Resal)*(1-EXP(('2026'!Tnet-t)/('2026'!Tau_j))),Resal+(Salim-Resal)*(1-EXP((Tnet-t)/(Tau_j))))*Salcycl</f>
        <v>2.6142163365229416E-2</v>
      </c>
      <c r="P275" s="169">
        <f>(INDEX(Models!$BJ275:$BT275,,T275)*(1-R275)+INDEX(Models!$BJ275:$BT275,,T275+1)*R275-ERP_i)*Q275*Ramure*Pc/MaxiM</f>
        <v>7.3197045032205592E-6</v>
      </c>
      <c r="Q275" s="304">
        <f t="shared" si="105"/>
        <v>0.6</v>
      </c>
      <c r="R275" s="177">
        <f t="shared" si="106"/>
        <v>0.4662013188304569</v>
      </c>
      <c r="S275" s="799">
        <f t="shared" si="107"/>
        <v>-1</v>
      </c>
      <c r="T275" s="176">
        <f t="shared" si="108"/>
        <v>5</v>
      </c>
      <c r="U275" s="250">
        <f t="shared" si="109"/>
        <v>-0.5337986811695431</v>
      </c>
      <c r="V275" s="382">
        <f t="shared" si="110"/>
        <v>46.751186971300164</v>
      </c>
      <c r="W275" s="400">
        <f t="shared" si="111"/>
        <v>45.867829201378044</v>
      </c>
      <c r="X275" s="157">
        <f t="shared" si="112"/>
        <v>46648</v>
      </c>
      <c r="Y275" s="383">
        <f t="shared" si="113"/>
        <v>44.328514746281371</v>
      </c>
      <c r="Z275" s="383">
        <f t="shared" si="114"/>
        <v>47.088842505521093</v>
      </c>
      <c r="AA275" s="384">
        <f t="shared" si="115"/>
        <v>50.03030842341645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5.8793679483267254E-2</v>
      </c>
      <c r="AD275" s="230">
        <f>(INDEX(Models!$BJ275:$BT275,,AH275)*(1-AF275)+INDEX(Models!$BJ275:$BT275,,AH275+1)*AF275-ERP_i)*AE275*Ramure*Pc/MaxiM</f>
        <v>4.1107204996917808E-5</v>
      </c>
      <c r="AE275" s="304">
        <f t="shared" si="117"/>
        <v>0.6</v>
      </c>
      <c r="AF275" s="177">
        <f t="shared" si="118"/>
        <v>0.99118888520443571</v>
      </c>
      <c r="AG275" s="799">
        <f t="shared" si="124"/>
        <v>2</v>
      </c>
      <c r="AH275" s="176">
        <f t="shared" si="119"/>
        <v>8</v>
      </c>
      <c r="AI275" s="224">
        <f t="shared" si="120"/>
        <v>2.9911888852044357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46649</v>
      </c>
      <c r="B276" s="409">
        <f>IF(t&gt;Tmaj,'2026'!Wh/'2026'!Env_an*'2027'!Env_an,0.001*'[11]mon-tableau (3)'!$B$253)</f>
        <v>46.419460978702958</v>
      </c>
      <c r="C276" s="829"/>
      <c r="D276" s="391">
        <f t="shared" si="102"/>
        <v>49.310936575047641</v>
      </c>
      <c r="E276" s="383">
        <f t="shared" si="100"/>
        <v>50.640008727483668</v>
      </c>
      <c r="F276" s="383">
        <f t="shared" si="103"/>
        <v>50.640398285694566</v>
      </c>
      <c r="G276" s="110">
        <f t="shared" si="101"/>
        <v>0.99750931367748485</v>
      </c>
      <c r="H276" s="412" t="b">
        <f>Wh_hp&gt;='2026'!Maxi_hp</f>
        <v>0</v>
      </c>
      <c r="I276" s="388">
        <f>IF(H276,Wh_hp,'2026'!Maxi_hp)</f>
        <v>50.640399100158128</v>
      </c>
      <c r="J276" s="85">
        <f>IF(H276,An,'2026'!An_max)</f>
        <v>2026</v>
      </c>
      <c r="K276" s="197">
        <f t="shared" si="104"/>
        <v>46649</v>
      </c>
      <c r="L276" s="147">
        <f>IF(t&lt;Tvie,1-EXP((T0-t)*PertePVj)+'2026'!Pspv,1-EXP((T0-t)*PertePVj)+Pspv)</f>
        <v>5.8637612610420997E-2</v>
      </c>
      <c r="M276" s="832"/>
      <c r="N276" s="832"/>
      <c r="O276" s="48">
        <f>IF(t&lt;Tnet,'2026'!Resal+('2026'!Salim-'2026'!Resal)*(1-EXP(('2026'!Tnet-t)/('2026'!Tau_j))),Resal+(Salim-Resal)*(1-EXP((Tnet-t)/(Tau_j))))*Salcycl</f>
        <v>2.6245496117276657E-2</v>
      </c>
      <c r="P276" s="169">
        <f>(INDEX(Models!$BJ276:$BT276,,T276)*(1-R276)+INDEX(Models!$BJ276:$BT276,,T276+1)*R276-ERP_i)*Q276*Ramure*Pc/MaxiM</f>
        <v>7.7201059714777399E-6</v>
      </c>
      <c r="Q276" s="304">
        <f t="shared" si="105"/>
        <v>0.6</v>
      </c>
      <c r="R276" s="177">
        <f t="shared" si="106"/>
        <v>0.46652193979971845</v>
      </c>
      <c r="S276" s="799">
        <f t="shared" si="107"/>
        <v>-1</v>
      </c>
      <c r="T276" s="176">
        <f t="shared" si="108"/>
        <v>5</v>
      </c>
      <c r="U276" s="250">
        <f t="shared" si="109"/>
        <v>-0.53347806020028155</v>
      </c>
      <c r="V276" s="382">
        <f t="shared" si="110"/>
        <v>46.535364699978352</v>
      </c>
      <c r="W276" s="400">
        <f t="shared" si="111"/>
        <v>46.419460978702958</v>
      </c>
      <c r="X276" s="157">
        <f t="shared" si="112"/>
        <v>46649</v>
      </c>
      <c r="Y276" s="383">
        <f t="shared" si="113"/>
        <v>44.863490405493607</v>
      </c>
      <c r="Z276" s="383">
        <f t="shared" si="114"/>
        <v>47.65804434772582</v>
      </c>
      <c r="AA276" s="384">
        <f t="shared" si="115"/>
        <v>50.638221165265705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5.8852320420451028E-2</v>
      </c>
      <c r="AD276" s="230">
        <f>(INDEX(Models!$BJ276:$BT276,,AH276)*(1-AF276)+INDEX(Models!$BJ276:$BT276,,AH276+1)*AF276-ERP_i)*AE276*Ramure*Pc/MaxiM</f>
        <v>4.3145286001937873E-5</v>
      </c>
      <c r="AE276" s="304">
        <f t="shared" si="117"/>
        <v>0.6</v>
      </c>
      <c r="AF276" s="177">
        <f t="shared" si="118"/>
        <v>0.99150950617369737</v>
      </c>
      <c r="AG276" s="799">
        <f t="shared" si="124"/>
        <v>2</v>
      </c>
      <c r="AH276" s="176">
        <f t="shared" si="119"/>
        <v>8</v>
      </c>
      <c r="AI276" s="224">
        <f t="shared" si="120"/>
        <v>2.9915095061736974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46650</v>
      </c>
      <c r="B277" s="409">
        <f>IF(t&gt;Tmaj,'2026'!Wh/'2026'!Env_an*'2027'!Env_an,0.001*'[11]mon-tableau (3)'!$B$254)</f>
        <v>47.886172375182056</v>
      </c>
      <c r="C277" s="829"/>
      <c r="D277" s="391">
        <f t="shared" si="102"/>
        <v>50.869984568994184</v>
      </c>
      <c r="E277" s="383">
        <f t="shared" si="100"/>
        <v>52.246598933587755</v>
      </c>
      <c r="F277" s="383">
        <f t="shared" si="103"/>
        <v>52.247024974226619</v>
      </c>
      <c r="G277" s="110">
        <f t="shared" si="101"/>
        <v>1.0339190299948386</v>
      </c>
      <c r="H277" s="412" t="b">
        <f>Wh_hp&gt;='2026'!Maxi_hp</f>
        <v>1</v>
      </c>
      <c r="I277" s="388">
        <f>IF(H277,Wh_hp,'2026'!Maxi_hp)</f>
        <v>52.247024974226619</v>
      </c>
      <c r="J277" s="85">
        <f>IF(H277,An,'2026'!An_max)</f>
        <v>2027</v>
      </c>
      <c r="K277" s="197">
        <f t="shared" si="104"/>
        <v>46650</v>
      </c>
      <c r="L277" s="147">
        <f>IF(t&lt;Tvie,1-EXP((T0-t)*PertePVj)+'2026'!Pspv,1-EXP((T0-t)*PertePVj)+Pspv)</f>
        <v>5.8655653605816038E-2</v>
      </c>
      <c r="M277" s="832"/>
      <c r="N277" s="832"/>
      <c r="O277" s="48">
        <f>IF(t&lt;Tnet,'2026'!Resal+('2026'!Salim-'2026'!Resal)*(1-EXP(('2026'!Tnet-t)/('2026'!Tau_j))),Resal+(Salim-Resal)*(1-EXP((Tnet-t)/(Tau_j))))*Salcycl</f>
        <v>2.6348401478600063E-2</v>
      </c>
      <c r="P277" s="169">
        <f>(INDEX(Models!$BJ277:$BT277,,T277)*(1-R277)+INDEX(Models!$BJ277:$BT277,,T277+1)*R277-ERP_i)*Q277*Ramure*Pc/MaxiM</f>
        <v>8.1543521200485547E-6</v>
      </c>
      <c r="Q277" s="304">
        <f t="shared" si="105"/>
        <v>0.6</v>
      </c>
      <c r="R277" s="177">
        <f t="shared" si="106"/>
        <v>0.46683004424477725</v>
      </c>
      <c r="S277" s="799">
        <f t="shared" si="107"/>
        <v>-1</v>
      </c>
      <c r="T277" s="176">
        <f t="shared" si="108"/>
        <v>5</v>
      </c>
      <c r="U277" s="250">
        <f t="shared" si="109"/>
        <v>-0.53316995575522275</v>
      </c>
      <c r="V277" s="382">
        <f t="shared" si="110"/>
        <v>46.315205529606224</v>
      </c>
      <c r="W277" s="400">
        <f t="shared" si="111"/>
        <v>47.886172375182056</v>
      </c>
      <c r="X277" s="157">
        <f t="shared" si="112"/>
        <v>46650</v>
      </c>
      <c r="Y277" s="383">
        <f t="shared" si="113"/>
        <v>46.282994639971584</v>
      </c>
      <c r="Z277" s="383">
        <f t="shared" si="114"/>
        <v>49.166911999055841</v>
      </c>
      <c r="AA277" s="384">
        <f t="shared" si="115"/>
        <v>52.244659573639055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5.8910280968433086E-2</v>
      </c>
      <c r="AD277" s="230">
        <f>(INDEX(Models!$BJ277:$BT277,,AH277)*(1-AF277)+INDEX(Models!$BJ277:$BT277,,AH277+1)*AF277-ERP_i)*AE277*Ramure*Pc/MaxiM</f>
        <v>4.5273402432498314E-5</v>
      </c>
      <c r="AE277" s="304">
        <f t="shared" si="117"/>
        <v>0.6</v>
      </c>
      <c r="AF277" s="177">
        <f t="shared" si="118"/>
        <v>0.99181761061875573</v>
      </c>
      <c r="AG277" s="799">
        <f t="shared" si="124"/>
        <v>2</v>
      </c>
      <c r="AH277" s="176">
        <f t="shared" si="119"/>
        <v>8</v>
      </c>
      <c r="AI277" s="224">
        <f t="shared" si="120"/>
        <v>2.9918176106187557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46651</v>
      </c>
      <c r="B278" s="409">
        <f>IF(t&gt;Tmaj,'2026'!Wh/'2026'!Env_an*'2027'!Env_an,0.001*'[11]mon-tableau (3)'!$B$255)</f>
        <v>46.665173508143234</v>
      </c>
      <c r="C278" s="829"/>
      <c r="D278" s="391">
        <f t="shared" si="102"/>
        <v>49.573854701992516</v>
      </c>
      <c r="E278" s="383">
        <f t="shared" si="100"/>
        <v>50.920752797101123</v>
      </c>
      <c r="F278" s="383">
        <f t="shared" si="103"/>
        <v>50.921191873462099</v>
      </c>
      <c r="G278" s="110">
        <f t="shared" si="101"/>
        <v>1.0124615605457437</v>
      </c>
      <c r="H278" s="412" t="b">
        <f>Wh_hp&gt;='2026'!Maxi_hp</f>
        <v>1</v>
      </c>
      <c r="I278" s="388">
        <f>IF(H278,Wh_hp,'2026'!Maxi_hp)</f>
        <v>50.921191873462099</v>
      </c>
      <c r="J278" s="85">
        <f>IF(H278,An,'2026'!An_max)</f>
        <v>2027</v>
      </c>
      <c r="K278" s="197">
        <f t="shared" si="104"/>
        <v>46651</v>
      </c>
      <c r="L278" s="147">
        <f>IF(t&lt;Tvie,1-EXP((T0-t)*PertePVj)+'2026'!Pspv,1-EXP((T0-t)*PertePVj)+Pspv)</f>
        <v>5.8673694255459541E-2</v>
      </c>
      <c r="M278" s="832"/>
      <c r="N278" s="832"/>
      <c r="O278" s="48">
        <f>IF(t&lt;Tnet,'2026'!Resal+('2026'!Salim-'2026'!Resal)*(1-EXP(('2026'!Tnet-t)/('2026'!Tau_j))),Resal+(Salim-Resal)*(1-EXP((Tnet-t)/(Tau_j))))*Salcycl</f>
        <v>2.6450867693874412E-2</v>
      </c>
      <c r="P278" s="169">
        <f>(INDEX(Models!$BJ278:$BT278,,T278)*(1-R278)+INDEX(Models!$BJ278:$BT278,,T278+1)*R278-ERP_i)*Q278*Ramure*Pc/MaxiM</f>
        <v>8.6226646475047493E-6</v>
      </c>
      <c r="Q278" s="304">
        <f t="shared" si="105"/>
        <v>0.6</v>
      </c>
      <c r="R278" s="177">
        <f t="shared" si="106"/>
        <v>0.46712610581736491</v>
      </c>
      <c r="S278" s="799">
        <f t="shared" si="107"/>
        <v>-1</v>
      </c>
      <c r="T278" s="176">
        <f t="shared" si="108"/>
        <v>5</v>
      </c>
      <c r="U278" s="250">
        <f t="shared" si="109"/>
        <v>-0.53287389418263509</v>
      </c>
      <c r="V278" s="382">
        <f t="shared" si="110"/>
        <v>46.090810087633812</v>
      </c>
      <c r="W278" s="400">
        <f t="shared" si="111"/>
        <v>46.665173508143234</v>
      </c>
      <c r="X278" s="157">
        <f t="shared" si="112"/>
        <v>46651</v>
      </c>
      <c r="Y278" s="383">
        <f t="shared" si="113"/>
        <v>45.104797168506849</v>
      </c>
      <c r="Z278" s="383">
        <f t="shared" si="114"/>
        <v>47.916218736531839</v>
      </c>
      <c r="AA278" s="384">
        <f t="shared" si="115"/>
        <v>50.918773525234187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5.8967539491389186E-2</v>
      </c>
      <c r="AD278" s="230">
        <f>(INDEX(Models!$BJ278:$BT278,,AH278)*(1-AF278)+INDEX(Models!$BJ278:$BT278,,AH278+1)*AF278-ERP_i)*AE278*Ramure*Pc/MaxiM</f>
        <v>4.7491980036969719E-5</v>
      </c>
      <c r="AE278" s="304">
        <f t="shared" si="117"/>
        <v>0.6</v>
      </c>
      <c r="AF278" s="177">
        <f t="shared" si="118"/>
        <v>0.99211367219134372</v>
      </c>
      <c r="AG278" s="799">
        <f t="shared" si="124"/>
        <v>2</v>
      </c>
      <c r="AH278" s="176">
        <f t="shared" si="119"/>
        <v>8</v>
      </c>
      <c r="AI278" s="224">
        <f t="shared" si="120"/>
        <v>2.9921136721913437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46652</v>
      </c>
      <c r="B279" s="409">
        <f>IF(t&gt;Tmaj,'2026'!Wh/'2026'!Env_an*'2027'!Env_an,0.001*'[11]mon-tableau (3)'!$B$256)</f>
        <v>45.389530052263801</v>
      </c>
      <c r="C279" s="829"/>
      <c r="D279" s="391">
        <f t="shared" si="102"/>
        <v>48.219623388748438</v>
      </c>
      <c r="E279" s="383">
        <f t="shared" si="100"/>
        <v>49.534918269376817</v>
      </c>
      <c r="F279" s="383">
        <f t="shared" si="103"/>
        <v>49.535363635942389</v>
      </c>
      <c r="G279" s="110">
        <f t="shared" si="101"/>
        <v>0.98969185572037488</v>
      </c>
      <c r="H279" s="412" t="b">
        <f>Wh_hp&gt;='2026'!Maxi_hp</f>
        <v>0</v>
      </c>
      <c r="I279" s="388">
        <f>IF(H279,Wh_hp,'2026'!Maxi_hp)</f>
        <v>49.535367531214938</v>
      </c>
      <c r="J279" s="85">
        <f>IF(H279,An,'2026'!An_max)</f>
        <v>2026</v>
      </c>
      <c r="K279" s="197">
        <f t="shared" si="104"/>
        <v>46652</v>
      </c>
      <c r="L279" s="147">
        <f>IF(t&lt;Tvie,1-EXP((T0-t)*PertePVj)+'2026'!Pspv,1-EXP((T0-t)*PertePVj)+Pspv)</f>
        <v>5.8691734559358055E-2</v>
      </c>
      <c r="M279" s="832"/>
      <c r="N279" s="832"/>
      <c r="O279" s="48">
        <f>IF(t&lt;Tnet,'2026'!Resal+('2026'!Salim-'2026'!Resal)*(1-EXP(('2026'!Tnet-t)/('2026'!Tau_j))),Resal+(Salim-Resal)*(1-EXP((Tnet-t)/(Tau_j))))*Salcycl</f>
        <v>2.6552882826527471E-2</v>
      </c>
      <c r="P279" s="169">
        <f>(INDEX(Models!$BJ279:$BT279,,T279)*(1-R279)+INDEX(Models!$BJ279:$BT279,,T279+1)*R279-ERP_i)*Q279*Ramure*Pc/MaxiM</f>
        <v>9.12525719510318E-6</v>
      </c>
      <c r="Q279" s="304">
        <f t="shared" si="105"/>
        <v>0.6</v>
      </c>
      <c r="R279" s="177">
        <f t="shared" si="106"/>
        <v>0.46741058141217506</v>
      </c>
      <c r="S279" s="799">
        <f t="shared" si="107"/>
        <v>-1</v>
      </c>
      <c r="T279" s="176">
        <f t="shared" si="108"/>
        <v>5</v>
      </c>
      <c r="U279" s="250">
        <f t="shared" si="109"/>
        <v>-0.53258941858782494</v>
      </c>
      <c r="V279" s="382">
        <f t="shared" si="110"/>
        <v>45.862278941260897</v>
      </c>
      <c r="W279" s="400">
        <f t="shared" si="111"/>
        <v>45.389530052263801</v>
      </c>
      <c r="X279" s="157">
        <f t="shared" si="112"/>
        <v>46652</v>
      </c>
      <c r="Y279" s="383">
        <f t="shared" si="113"/>
        <v>43.873717001414633</v>
      </c>
      <c r="Z279" s="383">
        <f t="shared" si="114"/>
        <v>46.609297519422739</v>
      </c>
      <c r="AA279" s="384">
        <f t="shared" si="115"/>
        <v>49.532933032467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5.902407416754276E-2</v>
      </c>
      <c r="AD279" s="230">
        <f>(INDEX(Models!$BJ279:$BT279,,AH279)*(1-AF279)+INDEX(Models!$BJ279:$BT279,,AH279+1)*AF279-ERP_i)*AE279*Ramure*Pc/MaxiM</f>
        <v>4.9801407574564254E-5</v>
      </c>
      <c r="AE279" s="304">
        <f t="shared" si="117"/>
        <v>0.6</v>
      </c>
      <c r="AF279" s="177">
        <f t="shared" si="118"/>
        <v>0.99239814778615365</v>
      </c>
      <c r="AG279" s="799">
        <f t="shared" si="124"/>
        <v>2</v>
      </c>
      <c r="AH279" s="176">
        <f t="shared" si="119"/>
        <v>8</v>
      </c>
      <c r="AI279" s="224">
        <f t="shared" si="120"/>
        <v>2.9923981477861537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46653</v>
      </c>
      <c r="B280" s="409">
        <f>IF(t&gt;Tmaj,'2026'!Wh/'2026'!Env_an*'2027'!Env_an,0.001*'[11]mon-tableau (3)'!$B$257)</f>
        <v>32.126534093613813</v>
      </c>
      <c r="C280" s="829"/>
      <c r="D280" s="391">
        <f t="shared" si="102"/>
        <v>34.130317328161524</v>
      </c>
      <c r="E280" s="383">
        <f t="shared" si="100"/>
        <v>35.064953854621706</v>
      </c>
      <c r="F280" s="383">
        <f t="shared" si="103"/>
        <v>35.065149432229475</v>
      </c>
      <c r="G280" s="110">
        <f t="shared" si="101"/>
        <v>0.70406761378769611</v>
      </c>
      <c r="H280" s="412" t="b">
        <f>Wh_hp&gt;='2026'!Maxi_hp</f>
        <v>0</v>
      </c>
      <c r="I280" s="388">
        <f>IF(H280,Wh_hp,'2026'!Maxi_hp)</f>
        <v>43.314137814675796</v>
      </c>
      <c r="J280" s="85">
        <f>IF(H280,An,'2026'!An_max)</f>
        <v>2021</v>
      </c>
      <c r="K280" s="197">
        <f t="shared" si="104"/>
        <v>46653</v>
      </c>
      <c r="L280" s="147">
        <f>IF(t&lt;Tvie,1-EXP((T0-t)*PertePVj)+'2026'!Pspv,1-EXP((T0-t)*PertePVj)+Pspv)</f>
        <v>5.8709774517518354E-2</v>
      </c>
      <c r="M280" s="832"/>
      <c r="N280" s="832"/>
      <c r="O280" s="48">
        <f>IF(t&lt;Tnet,'2026'!Resal+('2026'!Salim-'2026'!Resal)*(1-EXP(('2026'!Tnet-t)/('2026'!Tau_j))),Resal+(Salim-Resal)*(1-EXP((Tnet-t)/(Tau_j))))*Salcycl</f>
        <v>2.6654434805052314E-2</v>
      </c>
      <c r="P280" s="169">
        <f>(INDEX(Models!$BJ280:$BT280,,T280)*(1-R280)+INDEX(Models!$BJ280:$BT280,,T280+1)*R280-ERP_i)*Q280*Ramure*Pc/MaxiM</f>
        <v>9.6623850791590912E-6</v>
      </c>
      <c r="Q280" s="304">
        <f t="shared" si="105"/>
        <v>0.6</v>
      </c>
      <c r="R280" s="177">
        <f t="shared" si="106"/>
        <v>0.46768391166774026</v>
      </c>
      <c r="S280" s="799">
        <f t="shared" si="107"/>
        <v>-1</v>
      </c>
      <c r="T280" s="176">
        <f t="shared" si="108"/>
        <v>5</v>
      </c>
      <c r="U280" s="250">
        <f t="shared" si="109"/>
        <v>-0.53231608833225974</v>
      </c>
      <c r="V280" s="382">
        <f t="shared" si="110"/>
        <v>45.629712590303463</v>
      </c>
      <c r="W280" s="400">
        <f t="shared" si="111"/>
        <v>32.126534093613813</v>
      </c>
      <c r="X280" s="157">
        <f t="shared" si="112"/>
        <v>46653</v>
      </c>
      <c r="Y280" s="383">
        <f t="shared" si="113"/>
        <v>31.055528115050407</v>
      </c>
      <c r="Z280" s="383">
        <f t="shared" si="114"/>
        <v>32.992510996416783</v>
      </c>
      <c r="AA280" s="384">
        <f t="shared" si="115"/>
        <v>35.064092798411245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5.9079863092545863E-2</v>
      </c>
      <c r="AD280" s="230">
        <f>(INDEX(Models!$BJ280:$BT280,,AH280)*(1-AF280)+INDEX(Models!$BJ280:$BT280,,AH280+1)*AF280-ERP_i)*AE280*Ramure*Pc/MaxiM</f>
        <v>5.2202309639540786E-5</v>
      </c>
      <c r="AE280" s="304">
        <f t="shared" si="117"/>
        <v>0.6</v>
      </c>
      <c r="AF280" s="177">
        <f t="shared" si="118"/>
        <v>0.99267147804171918</v>
      </c>
      <c r="AG280" s="799">
        <f t="shared" si="124"/>
        <v>2</v>
      </c>
      <c r="AH280" s="176">
        <f t="shared" si="119"/>
        <v>8</v>
      </c>
      <c r="AI280" s="224">
        <f t="shared" si="120"/>
        <v>2.9926714780417192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46654</v>
      </c>
      <c r="B281" s="409">
        <f>IF(t&gt;Tmaj,'2026'!Wh/'2026'!Env_an*'2027'!Env_an,0.001*'[11]mon-tableau (3)'!$B$258)</f>
        <v>18.262388881224094</v>
      </c>
      <c r="C281" s="829"/>
      <c r="D281" s="391">
        <f t="shared" si="102"/>
        <v>19.401815070466025</v>
      </c>
      <c r="E281" s="383">
        <f t="shared" si="100"/>
        <v>19.935191310320953</v>
      </c>
      <c r="F281" s="383">
        <f t="shared" si="103"/>
        <v>19.935221131257386</v>
      </c>
      <c r="G281" s="110">
        <f t="shared" si="101"/>
        <v>0.40231190317565274</v>
      </c>
      <c r="H281" s="412" t="b">
        <f>Wh_hp&gt;='2026'!Maxi_hp</f>
        <v>0</v>
      </c>
      <c r="I281" s="388">
        <f>IF(H281,Wh_hp,'2026'!Maxi_hp)</f>
        <v>43.384541721518524</v>
      </c>
      <c r="J281" s="85">
        <f>IF(H281,An,'2026'!An_max)</f>
        <v>2021</v>
      </c>
      <c r="K281" s="197">
        <f t="shared" si="104"/>
        <v>46654</v>
      </c>
      <c r="L281" s="147">
        <f>IF(t&lt;Tvie,1-EXP((T0-t)*PertePVj)+'2026'!Pspv,1-EXP((T0-t)*PertePVj)+Pspv)</f>
        <v>5.8727814129946876E-2</v>
      </c>
      <c r="M281" s="832"/>
      <c r="N281" s="832"/>
      <c r="O281" s="48">
        <f>IF(t&lt;Tnet,'2026'!Resal+('2026'!Salim-'2026'!Resal)*(1-EXP(('2026'!Tnet-t)/('2026'!Tau_j))),Resal+(Salim-Resal)*(1-EXP((Tnet-t)/(Tau_j))))*Salcycl</f>
        <v>2.6755511474764931E-2</v>
      </c>
      <c r="P281" s="169">
        <f>(INDEX(Models!$BJ281:$BT281,,T281)*(1-R281)+INDEX(Models!$BJ281:$BT281,,T281+1)*R281-ERP_i)*Q281*Ramure*Pc/MaxiM</f>
        <v>1.023427714285812E-5</v>
      </c>
      <c r="Q281" s="304">
        <f t="shared" si="105"/>
        <v>0.6</v>
      </c>
      <c r="R281" s="177">
        <f t="shared" si="106"/>
        <v>0.46794652145987636</v>
      </c>
      <c r="S281" s="799">
        <f t="shared" si="107"/>
        <v>-1</v>
      </c>
      <c r="T281" s="176">
        <f t="shared" si="108"/>
        <v>5</v>
      </c>
      <c r="U281" s="250">
        <f t="shared" si="109"/>
        <v>-0.53205347854012364</v>
      </c>
      <c r="V281" s="382">
        <f t="shared" si="110"/>
        <v>45.393211468622638</v>
      </c>
      <c r="W281" s="400">
        <f t="shared" si="111"/>
        <v>18.262388881224094</v>
      </c>
      <c r="X281" s="157">
        <f t="shared" si="112"/>
        <v>46654</v>
      </c>
      <c r="Y281" s="383">
        <f t="shared" si="113"/>
        <v>17.654693313143092</v>
      </c>
      <c r="Z281" s="383">
        <f t="shared" si="114"/>
        <v>18.756204186384405</v>
      </c>
      <c r="AA281" s="384">
        <f t="shared" si="115"/>
        <v>19.935061758864538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5.9134884393118654E-2</v>
      </c>
      <c r="AD281" s="230">
        <f>(INDEX(Models!$BJ281:$BT281,,AH281)*(1-AF281)+INDEX(Models!$BJ281:$BT281,,AH281+1)*AF281-ERP_i)*AE281*Ramure*Pc/MaxiM</f>
        <v>5.4695171663969962E-5</v>
      </c>
      <c r="AE281" s="304">
        <f t="shared" si="117"/>
        <v>0.6</v>
      </c>
      <c r="AF281" s="177">
        <f t="shared" si="118"/>
        <v>0.99293408783385484</v>
      </c>
      <c r="AG281" s="799">
        <f t="shared" si="124"/>
        <v>2</v>
      </c>
      <c r="AH281" s="176">
        <f t="shared" si="119"/>
        <v>8</v>
      </c>
      <c r="AI281" s="224">
        <f t="shared" si="120"/>
        <v>2.9929340878338548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46655</v>
      </c>
      <c r="B282" s="409">
        <f>IF(t&gt;Tmaj,'2026'!Wh/'2026'!Env_an*'2027'!Env_an,0.001*'[11]mon-tableau (3)'!$B$259)</f>
        <v>35.696995807462464</v>
      </c>
      <c r="C282" s="829"/>
      <c r="D282" s="391">
        <f t="shared" si="102"/>
        <v>37.92492807206235</v>
      </c>
      <c r="E282" s="383">
        <f t="shared" si="100"/>
        <v>38.971551995120464</v>
      </c>
      <c r="F282" s="383">
        <f t="shared" si="103"/>
        <v>38.971847226769903</v>
      </c>
      <c r="G282" s="110">
        <f t="shared" si="101"/>
        <v>0.79057819657668393</v>
      </c>
      <c r="H282" s="412" t="b">
        <f>Wh_hp&gt;='2026'!Maxi_hp</f>
        <v>0</v>
      </c>
      <c r="I282" s="388">
        <f>IF(H282,Wh_hp,'2026'!Maxi_hp)</f>
        <v>38.971920850327507</v>
      </c>
      <c r="J282" s="85">
        <f>IF(H282,An,'2026'!An_max)</f>
        <v>2026</v>
      </c>
      <c r="K282" s="197">
        <f t="shared" si="104"/>
        <v>46655</v>
      </c>
      <c r="L282" s="147">
        <f>IF(t&lt;Tvie,1-EXP((T0-t)*PertePVj)+'2026'!Pspv,1-EXP((T0-t)*PertePVj)+Pspv)</f>
        <v>5.8745853396650394E-2</v>
      </c>
      <c r="M282" s="832"/>
      <c r="N282" s="832"/>
      <c r="O282" s="48">
        <f>IF(t&lt;Tnet,'2026'!Resal+('2026'!Salim-'2026'!Resal)*(1-EXP(('2026'!Tnet-t)/('2026'!Tau_j))),Resal+(Salim-Resal)*(1-EXP((Tnet-t)/(Tau_j))))*Salcycl</f>
        <v>2.6856100654886833E-2</v>
      </c>
      <c r="P282" s="169">
        <f>(INDEX(Models!$BJ282:$BT282,,T282)*(1-R282)+INDEX(Models!$BJ282:$BT282,,T282+1)*R282-ERP_i)*Q282*Ramure*Pc/MaxiM</f>
        <v>1.0809346928289435E-5</v>
      </c>
      <c r="Q282" s="304">
        <f t="shared" si="105"/>
        <v>0.6</v>
      </c>
      <c r="R282" s="177">
        <f t="shared" si="106"/>
        <v>0.46819882038709459</v>
      </c>
      <c r="S282" s="799">
        <f t="shared" si="107"/>
        <v>-1</v>
      </c>
      <c r="T282" s="176">
        <f t="shared" si="108"/>
        <v>5</v>
      </c>
      <c r="U282" s="250">
        <f t="shared" si="109"/>
        <v>-0.53180117961290541</v>
      </c>
      <c r="V282" s="382">
        <f t="shared" si="110"/>
        <v>45.152877378766192</v>
      </c>
      <c r="W282" s="400">
        <f t="shared" si="111"/>
        <v>35.696995807462464</v>
      </c>
      <c r="X282" s="157">
        <f t="shared" si="112"/>
        <v>46655</v>
      </c>
      <c r="Y282" s="383">
        <f t="shared" si="113"/>
        <v>34.509829547837654</v>
      </c>
      <c r="Z282" s="383">
        <f t="shared" si="114"/>
        <v>36.663668013969783</v>
      </c>
      <c r="AA282" s="384">
        <f t="shared" si="115"/>
        <v>38.970284731132992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5.918911635050169E-2</v>
      </c>
      <c r="AD282" s="230">
        <f>(INDEX(Models!$BJ282:$BT282,,AH282)*(1-AF282)+INDEX(Models!$BJ282:$BT282,,AH282+1)*AF282-ERP_i)*AE282*Ramure*Pc/MaxiM</f>
        <v>5.7207814424987204E-5</v>
      </c>
      <c r="AE282" s="304">
        <f t="shared" si="117"/>
        <v>0.6</v>
      </c>
      <c r="AF282" s="177">
        <f t="shared" si="118"/>
        <v>0.99318638676107351</v>
      </c>
      <c r="AG282" s="799">
        <f t="shared" si="124"/>
        <v>2</v>
      </c>
      <c r="AH282" s="176">
        <f t="shared" si="119"/>
        <v>8</v>
      </c>
      <c r="AI282" s="224">
        <f t="shared" si="120"/>
        <v>2.9931863867610735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46656</v>
      </c>
      <c r="B283" s="409">
        <f>IF(t&gt;Tmaj,'2026'!Wh/'2026'!Env_an*'2027'!Env_an,0.001*'[11]mon-tableau (3)'!$B$260)</f>
        <v>35.560511187695255</v>
      </c>
      <c r="C283" s="829"/>
      <c r="D283" s="391">
        <f t="shared" si="102"/>
        <v>37.780649188286056</v>
      </c>
      <c r="E283" s="383">
        <f t="shared" si="100"/>
        <v>38.827284864061134</v>
      </c>
      <c r="F283" s="383">
        <f t="shared" si="103"/>
        <v>38.827595225959556</v>
      </c>
      <c r="G283" s="110">
        <f t="shared" si="101"/>
        <v>0.79183549982385082</v>
      </c>
      <c r="H283" s="412" t="b">
        <f>Wh_hp&gt;='2026'!Maxi_hp</f>
        <v>0</v>
      </c>
      <c r="I283" s="388">
        <f>IF(H283,Wh_hp,'2026'!Maxi_hp)</f>
        <v>41.572893006475333</v>
      </c>
      <c r="J283" s="85">
        <f>IF(H283,An,'2026'!An_max)</f>
        <v>2021</v>
      </c>
      <c r="K283" s="197">
        <f t="shared" si="104"/>
        <v>46656</v>
      </c>
      <c r="L283" s="147">
        <f>IF(t&lt;Tvie,1-EXP((T0-t)*PertePVj)+'2026'!Pspv,1-EXP((T0-t)*PertePVj)+Pspv)</f>
        <v>5.8763892317635458E-2</v>
      </c>
      <c r="M283" s="832"/>
      <c r="N283" s="832"/>
      <c r="O283" s="48">
        <f>IF(t&lt;Tnet,'2026'!Resal+('2026'!Salim-'2026'!Resal)*(1-EXP(('2026'!Tnet-t)/('2026'!Tau_j))),Resal+(Salim-Resal)*(1-EXP((Tnet-t)/(Tau_j))))*Salcycl</f>
        <v>2.6956190200769233E-2</v>
      </c>
      <c r="P283" s="169">
        <f>(INDEX(Models!$BJ283:$BT283,,T283)*(1-R283)+INDEX(Models!$BJ283:$BT283,,T283+1)*R283-ERP_i)*Q283*Ramure*Pc/MaxiM</f>
        <v>1.1376370005700494E-5</v>
      </c>
      <c r="Q283" s="304">
        <f t="shared" si="105"/>
        <v>0.6</v>
      </c>
      <c r="R283" s="177">
        <f t="shared" si="106"/>
        <v>0.46844120324747252</v>
      </c>
      <c r="S283" s="799">
        <f t="shared" si="107"/>
        <v>-1</v>
      </c>
      <c r="T283" s="176">
        <f t="shared" si="108"/>
        <v>5</v>
      </c>
      <c r="U283" s="250">
        <f t="shared" si="109"/>
        <v>-0.53155879675252748</v>
      </c>
      <c r="V283" s="382">
        <f t="shared" si="110"/>
        <v>44.908811100435841</v>
      </c>
      <c r="W283" s="400">
        <f t="shared" si="111"/>
        <v>35.560511187695255</v>
      </c>
      <c r="X283" s="157">
        <f t="shared" si="112"/>
        <v>46656</v>
      </c>
      <c r="Y283" s="383">
        <f t="shared" si="113"/>
        <v>34.379418312691122</v>
      </c>
      <c r="Z283" s="383">
        <f t="shared" si="114"/>
        <v>36.525817520265612</v>
      </c>
      <c r="AA283" s="384">
        <f t="shared" si="115"/>
        <v>38.825966285175873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5.9242537533147822E-2</v>
      </c>
      <c r="AD283" s="230">
        <f>(INDEX(Models!$BJ283:$BT283,,AH283)*(1-AF283)+INDEX(Models!$BJ283:$BT283,,AH283+1)*AF283-ERP_i)*AE283*Ramure*Pc/MaxiM</f>
        <v>5.9709111095701188E-5</v>
      </c>
      <c r="AE283" s="304">
        <f t="shared" si="117"/>
        <v>0.6</v>
      </c>
      <c r="AF283" s="177">
        <f t="shared" si="118"/>
        <v>0.99342876962145121</v>
      </c>
      <c r="AG283" s="799">
        <f t="shared" si="124"/>
        <v>2</v>
      </c>
      <c r="AH283" s="176">
        <f t="shared" si="119"/>
        <v>8</v>
      </c>
      <c r="AI283" s="224">
        <f t="shared" si="120"/>
        <v>2.9934287696214512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46657</v>
      </c>
      <c r="B284" s="409">
        <f>IF(t&gt;Tmaj,'2026'!Wh/'2026'!Env_an*'2027'!Env_an,0.001*'[11]mon-tableau (3)'!$B$261)</f>
        <v>16.969438836256707</v>
      </c>
      <c r="C284" s="829"/>
      <c r="D284" s="391">
        <f t="shared" si="102"/>
        <v>18.029231899845659</v>
      </c>
      <c r="E284" s="383">
        <f t="shared" si="100"/>
        <v>18.530591279728693</v>
      </c>
      <c r="F284" s="383">
        <f t="shared" si="103"/>
        <v>18.530616543209113</v>
      </c>
      <c r="G284" s="110">
        <f t="shared" si="101"/>
        <v>0.37995603691710067</v>
      </c>
      <c r="H284" s="412" t="b">
        <f>Wh_hp&gt;='2026'!Maxi_hp</f>
        <v>0</v>
      </c>
      <c r="I284" s="388">
        <f>IF(H284,Wh_hp,'2026'!Maxi_hp)</f>
        <v>41.366659117573256</v>
      </c>
      <c r="J284" s="85">
        <f>IF(H284,An,'2026'!An_max)</f>
        <v>2018</v>
      </c>
      <c r="K284" s="197">
        <f t="shared" si="104"/>
        <v>46657</v>
      </c>
      <c r="L284" s="147">
        <f>IF(t&lt;Tvie,1-EXP((T0-t)*PertePVj)+'2026'!Pspv,1-EXP((T0-t)*PertePVj)+Pspv)</f>
        <v>5.8781930892908729E-2</v>
      </c>
      <c r="M284" s="832"/>
      <c r="N284" s="832"/>
      <c r="O284" s="48">
        <f>IF(t&lt;Tnet,'2026'!Resal+('2026'!Salim-'2026'!Resal)*(1-EXP(('2026'!Tnet-t)/('2026'!Tau_j))),Resal+(Salim-Resal)*(1-EXP((Tnet-t)/(Tau_j))))*Salcycl</f>
        <v>2.7055768071010854E-2</v>
      </c>
      <c r="P284" s="169">
        <f>(INDEX(Models!$BJ284:$BT284,,T284)*(1-R284)+INDEX(Models!$BJ284:$BT284,,T284+1)*R284-ERP_i)*Q284*Ramure*Pc/MaxiM</f>
        <v>1.1935160786343E-5</v>
      </c>
      <c r="Q284" s="304">
        <f t="shared" si="105"/>
        <v>0.6</v>
      </c>
      <c r="R284" s="177">
        <f t="shared" si="106"/>
        <v>0.46867405050654187</v>
      </c>
      <c r="S284" s="799">
        <f t="shared" si="107"/>
        <v>-1</v>
      </c>
      <c r="T284" s="176">
        <f t="shared" si="108"/>
        <v>5</v>
      </c>
      <c r="U284" s="250">
        <f t="shared" si="109"/>
        <v>-0.53132594949345813</v>
      </c>
      <c r="V284" s="382">
        <f t="shared" si="110"/>
        <v>44.661112837647003</v>
      </c>
      <c r="W284" s="400">
        <f t="shared" si="111"/>
        <v>16.969438836256707</v>
      </c>
      <c r="X284" s="157">
        <f t="shared" si="112"/>
        <v>46657</v>
      </c>
      <c r="Y284" s="383">
        <f t="shared" si="113"/>
        <v>16.407047423024039</v>
      </c>
      <c r="Z284" s="383">
        <f t="shared" si="114"/>
        <v>17.43171743248509</v>
      </c>
      <c r="AA284" s="384">
        <f t="shared" si="115"/>
        <v>18.530484886023729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5.9295126937955252E-2</v>
      </c>
      <c r="AD284" s="230">
        <f>(INDEX(Models!$BJ284:$BT284,,AH284)*(1-AF284)+INDEX(Models!$BJ284:$BT284,,AH284+1)*AF284-ERP_i)*AE284*Ramure*Pc/MaxiM</f>
        <v>6.2198463951334683E-5</v>
      </c>
      <c r="AE284" s="304">
        <f t="shared" si="117"/>
        <v>0.6</v>
      </c>
      <c r="AF284" s="177">
        <f t="shared" si="118"/>
        <v>0.99366161688052035</v>
      </c>
      <c r="AG284" s="799">
        <f t="shared" si="124"/>
        <v>2</v>
      </c>
      <c r="AH284" s="176">
        <f t="shared" si="119"/>
        <v>8</v>
      </c>
      <c r="AI284" s="224">
        <f t="shared" si="120"/>
        <v>2.9936616168805203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46658</v>
      </c>
      <c r="B285" s="409">
        <f>IF(t&gt;Tmaj,'2026'!Wh/'2026'!Env_an*'2027'!Env_an,0.001*'[11]mon-tableau (3)'!$B$262)</f>
        <v>19.359305702739917</v>
      </c>
      <c r="C285" s="829"/>
      <c r="D285" s="391">
        <f t="shared" si="102"/>
        <v>20.568747415669296</v>
      </c>
      <c r="E285" s="383">
        <f t="shared" si="100"/>
        <v>21.142878527079091</v>
      </c>
      <c r="F285" s="383">
        <f t="shared" si="103"/>
        <v>21.142929785818652</v>
      </c>
      <c r="G285" s="110">
        <f t="shared" si="101"/>
        <v>0.43591898342996727</v>
      </c>
      <c r="H285" s="412" t="b">
        <f>Wh_hp&gt;='2026'!Maxi_hp</f>
        <v>0</v>
      </c>
      <c r="I285" s="388">
        <f>IF(H285,Wh_hp,'2026'!Maxi_hp)</f>
        <v>36.836006686533622</v>
      </c>
      <c r="J285" s="85">
        <f>IF(H285,An,'2026'!An_max)</f>
        <v>2018</v>
      </c>
      <c r="K285" s="197">
        <f t="shared" si="104"/>
        <v>46658</v>
      </c>
      <c r="L285" s="147">
        <f>IF(t&lt;Tvie,1-EXP((T0-t)*PertePVj)+'2026'!Pspv,1-EXP((T0-t)*PertePVj)+Pspv)</f>
        <v>5.8799969122476758E-2</v>
      </c>
      <c r="M285" s="832"/>
      <c r="N285" s="832"/>
      <c r="O285" s="48">
        <f>IF(t&lt;Tnet,'2026'!Resal+('2026'!Salim-'2026'!Resal)*(1-EXP(('2026'!Tnet-t)/('2026'!Tau_j))),Resal+(Salim-Resal)*(1-EXP((Tnet-t)/(Tau_j))))*Salcycl</f>
        <v>2.7154822399157546E-2</v>
      </c>
      <c r="P285" s="169">
        <f>(INDEX(Models!$BJ285:$BT285,,T285)*(1-R285)+INDEX(Models!$BJ285:$BT285,,T285+1)*R285-ERP_i)*Q285*Ramure*Pc/MaxiM</f>
        <v>1.2485520837967595E-5</v>
      </c>
      <c r="Q285" s="304">
        <f t="shared" si="105"/>
        <v>0.6</v>
      </c>
      <c r="R285" s="177">
        <f t="shared" si="106"/>
        <v>0.46889772875582847</v>
      </c>
      <c r="S285" s="799">
        <f t="shared" si="107"/>
        <v>-1</v>
      </c>
      <c r="T285" s="176">
        <f t="shared" si="108"/>
        <v>5</v>
      </c>
      <c r="U285" s="250">
        <f t="shared" si="109"/>
        <v>-0.53110227124417153</v>
      </c>
      <c r="V285" s="382">
        <f t="shared" si="110"/>
        <v>44.409882711381293</v>
      </c>
      <c r="W285" s="400">
        <f t="shared" si="111"/>
        <v>19.359305702739917</v>
      </c>
      <c r="X285" s="157">
        <f t="shared" si="112"/>
        <v>46658</v>
      </c>
      <c r="Y285" s="383">
        <f t="shared" si="113"/>
        <v>18.718504744778446</v>
      </c>
      <c r="Z285" s="383">
        <f t="shared" si="114"/>
        <v>19.88791344102097</v>
      </c>
      <c r="AA285" s="384">
        <f t="shared" si="115"/>
        <v>21.142664264677979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5.9346864139221092E-2</v>
      </c>
      <c r="AD285" s="230">
        <f>(INDEX(Models!$BJ285:$BT285,,AH285)*(1-AF285)+INDEX(Models!$BJ285:$BT285,,AH285+1)*AF285-ERP_i)*AE285*Ramure*Pc/MaxiM</f>
        <v>6.4675209792408055E-5</v>
      </c>
      <c r="AE285" s="304">
        <f t="shared" si="117"/>
        <v>0.6</v>
      </c>
      <c r="AF285" s="177">
        <f t="shared" si="118"/>
        <v>0.99388529512980739</v>
      </c>
      <c r="AG285" s="799">
        <f t="shared" si="124"/>
        <v>2</v>
      </c>
      <c r="AH285" s="176">
        <f t="shared" si="119"/>
        <v>8</v>
      </c>
      <c r="AI285" s="224">
        <f t="shared" si="120"/>
        <v>2.9938852951298074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46659</v>
      </c>
      <c r="B286" s="409">
        <f>IF(t&gt;Tmaj,'2026'!Wh/'2026'!Env_an*'2027'!Env_an,0.001*'[11]mon-tableau (3)'!$B$263)</f>
        <v>23.282095503447167</v>
      </c>
      <c r="C286" s="829"/>
      <c r="D286" s="391">
        <f t="shared" si="102"/>
        <v>24.737081326208667</v>
      </c>
      <c r="E286" s="383">
        <f t="shared" si="100"/>
        <v>25.43013755104959</v>
      </c>
      <c r="F286" s="383">
        <f t="shared" si="103"/>
        <v>25.430245114105521</v>
      </c>
      <c r="G286" s="110">
        <f t="shared" si="101"/>
        <v>0.52727379180777467</v>
      </c>
      <c r="H286" s="412" t="b">
        <f>Wh_hp&gt;='2026'!Maxi_hp</f>
        <v>0</v>
      </c>
      <c r="I286" s="388">
        <f>IF(H286,Wh_hp,'2026'!Maxi_hp)</f>
        <v>46.051965901147405</v>
      </c>
      <c r="J286" s="85">
        <f>IF(H286,An,'2026'!An_max)</f>
        <v>2018</v>
      </c>
      <c r="K286" s="197">
        <f t="shared" si="104"/>
        <v>46659</v>
      </c>
      <c r="L286" s="147">
        <f>IF(t&lt;Tvie,1-EXP((T0-t)*PertePVj)+'2026'!Pspv,1-EXP((T0-t)*PertePVj)+Pspv)</f>
        <v>5.8818007006346318E-2</v>
      </c>
      <c r="M286" s="832"/>
      <c r="N286" s="832"/>
      <c r="O286" s="48">
        <f>IF(t&lt;Tnet,'2026'!Resal+('2026'!Salim-'2026'!Resal)*(1-EXP(('2026'!Tnet-t)/('2026'!Tau_j))),Resal+(Salim-Resal)*(1-EXP((Tnet-t)/(Tau_j))))*Salcycl</f>
        <v>2.725334156961012E-2</v>
      </c>
      <c r="P286" s="169">
        <f>(INDEX(Models!$BJ286:$BT286,,T286)*(1-R286)+INDEX(Models!$BJ286:$BT286,,T286+1)*R286-ERP_i)*Q286*Ramure*Pc/MaxiM</f>
        <v>1.3027239703403159E-5</v>
      </c>
      <c r="Q286" s="304">
        <f t="shared" si="105"/>
        <v>0.6</v>
      </c>
      <c r="R286" s="177">
        <f t="shared" si="106"/>
        <v>0.46911259116173865</v>
      </c>
      <c r="S286" s="799">
        <f t="shared" si="107"/>
        <v>-1</v>
      </c>
      <c r="T286" s="176">
        <f t="shared" si="108"/>
        <v>5</v>
      </c>
      <c r="U286" s="250">
        <f t="shared" si="109"/>
        <v>-0.53088740883826135</v>
      </c>
      <c r="V286" s="382">
        <f t="shared" si="110"/>
        <v>44.15522075975656</v>
      </c>
      <c r="W286" s="400">
        <f t="shared" si="111"/>
        <v>23.282095503447167</v>
      </c>
      <c r="X286" s="157">
        <f t="shared" si="112"/>
        <v>46659</v>
      </c>
      <c r="Y286" s="383">
        <f t="shared" si="113"/>
        <v>22.512343737137108</v>
      </c>
      <c r="Z286" s="383">
        <f t="shared" si="114"/>
        <v>23.91922487332257</v>
      </c>
      <c r="AA286" s="384">
        <f t="shared" si="115"/>
        <v>25.429690765251216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5.9397729444380293E-2</v>
      </c>
      <c r="AD286" s="230">
        <f>(INDEX(Models!$BJ286:$BT286,,AH286)*(1-AF286)+INDEX(Models!$BJ286:$BT286,,AH286+1)*AF286-ERP_i)*AE286*Ramure*Pc/MaxiM</f>
        <v>6.7138622474418832E-5</v>
      </c>
      <c r="AE286" s="304">
        <f t="shared" si="117"/>
        <v>0.6</v>
      </c>
      <c r="AF286" s="177">
        <f t="shared" si="118"/>
        <v>0.99410015753571734</v>
      </c>
      <c r="AG286" s="799">
        <f t="shared" si="124"/>
        <v>2</v>
      </c>
      <c r="AH286" s="176">
        <f t="shared" si="119"/>
        <v>8</v>
      </c>
      <c r="AI286" s="224">
        <f t="shared" si="120"/>
        <v>2.9941001575357173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46660</v>
      </c>
      <c r="B287" s="409">
        <f>IF(t&gt;Tmaj,'2026'!Wh/'2026'!Env_an*'2027'!Env_an,0.001*'[11]mon-tableau (3)'!$B$264)</f>
        <v>25.727301836438404</v>
      </c>
      <c r="C287" s="829"/>
      <c r="D287" s="391">
        <f t="shared" si="102"/>
        <v>27.335621691958742</v>
      </c>
      <c r="E287" s="383">
        <f t="shared" si="100"/>
        <v>28.104311550279853</v>
      </c>
      <c r="F287" s="383">
        <f t="shared" si="103"/>
        <v>28.104467300294161</v>
      </c>
      <c r="G287" s="110">
        <f t="shared" si="101"/>
        <v>0.58607564402522794</v>
      </c>
      <c r="H287" s="412" t="b">
        <f>Wh_hp&gt;='2026'!Maxi_hp</f>
        <v>0</v>
      </c>
      <c r="I287" s="388">
        <f>IF(H287,Wh_hp,'2026'!Maxi_hp)</f>
        <v>37.058781916389229</v>
      </c>
      <c r="J287" s="85">
        <f>IF(H287,An,'2026'!An_max)</f>
        <v>2020</v>
      </c>
      <c r="K287" s="197">
        <f t="shared" si="104"/>
        <v>46660</v>
      </c>
      <c r="L287" s="147">
        <f>IF(t&lt;Tvie,1-EXP((T0-t)*PertePVj)+'2026'!Pspv,1-EXP((T0-t)*PertePVj)+Pspv)</f>
        <v>5.8836044544523958E-2</v>
      </c>
      <c r="M287" s="832"/>
      <c r="N287" s="832"/>
      <c r="O287" s="48">
        <f>IF(t&lt;Tnet,'2026'!Resal+('2026'!Salim-'2026'!Resal)*(1-EXP(('2026'!Tnet-t)/('2026'!Tau_j))),Resal+(Salim-Resal)*(1-EXP((Tnet-t)/(Tau_j))))*Salcycl</f>
        <v>2.7351314297305973E-2</v>
      </c>
      <c r="P287" s="169">
        <f>(INDEX(Models!$BJ287:$BT287,,T287)*(1-R287)+INDEX(Models!$BJ287:$BT287,,T287+1)*R287-ERP_i)*Q287*Ramure*Pc/MaxiM</f>
        <v>1.3560095833520419E-5</v>
      </c>
      <c r="Q287" s="304">
        <f t="shared" si="105"/>
        <v>0.6</v>
      </c>
      <c r="R287" s="177">
        <f t="shared" si="106"/>
        <v>0.46931897790454769</v>
      </c>
      <c r="S287" s="799">
        <f t="shared" si="107"/>
        <v>-1</v>
      </c>
      <c r="T287" s="176">
        <f t="shared" si="108"/>
        <v>5</v>
      </c>
      <c r="U287" s="250">
        <f t="shared" si="109"/>
        <v>-0.53068102209545231</v>
      </c>
      <c r="V287" s="382">
        <f t="shared" si="110"/>
        <v>43.897226934908673</v>
      </c>
      <c r="W287" s="400">
        <f t="shared" si="111"/>
        <v>25.727301836438404</v>
      </c>
      <c r="X287" s="157">
        <f t="shared" si="112"/>
        <v>46660</v>
      </c>
      <c r="Y287" s="383">
        <f t="shared" si="113"/>
        <v>24.87775811076563</v>
      </c>
      <c r="Z287" s="383">
        <f t="shared" si="114"/>
        <v>26.432969480568396</v>
      </c>
      <c r="AA287" s="384">
        <f t="shared" si="115"/>
        <v>28.1036680198883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5.9447704055484461E-2</v>
      </c>
      <c r="AD287" s="230">
        <f>(INDEX(Models!$BJ287:$BT287,,AH287)*(1-AF287)+INDEX(Models!$BJ287:$BT287,,AH287+1)*AF287-ERP_i)*AE287*Ramure*Pc/MaxiM</f>
        <v>6.9587915927457275E-5</v>
      </c>
      <c r="AE287" s="304">
        <f t="shared" si="117"/>
        <v>0.6</v>
      </c>
      <c r="AF287" s="177">
        <f t="shared" si="118"/>
        <v>0.99430654427852616</v>
      </c>
      <c r="AG287" s="799">
        <f t="shared" si="124"/>
        <v>2</v>
      </c>
      <c r="AH287" s="176">
        <f t="shared" si="119"/>
        <v>8</v>
      </c>
      <c r="AI287" s="224">
        <f t="shared" si="120"/>
        <v>2.9943065442785262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46661</v>
      </c>
      <c r="B288" s="409">
        <f>IF(t&gt;Tmaj,'2026'!Wh/'2026'!Env_an*'2027'!Env_an,0.001*'[12]mon-tableau (1)'!$B$242)</f>
        <v>37.165746618096833</v>
      </c>
      <c r="C288" s="829"/>
      <c r="D288" s="391">
        <f t="shared" si="102"/>
        <v>39.489887696364242</v>
      </c>
      <c r="E288" s="383">
        <f t="shared" si="100"/>
        <v>40.604427656154982</v>
      </c>
      <c r="F288" s="383">
        <f t="shared" si="103"/>
        <v>40.604878392089624</v>
      </c>
      <c r="G288" s="110">
        <f t="shared" si="101"/>
        <v>0.85171956185576925</v>
      </c>
      <c r="H288" s="412" t="b">
        <f>Wh_hp&gt;='2026'!Maxi_hp</f>
        <v>0</v>
      </c>
      <c r="I288" s="388">
        <f>IF(H288,Wh_hp,'2026'!Maxi_hp)</f>
        <v>45.618686630492995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5.8854081737016228E-2</v>
      </c>
      <c r="M288" s="832"/>
      <c r="N288" s="832"/>
      <c r="O288" s="48">
        <f>IF(t&lt;Tnet,'2026'!Resal+('2026'!Salim-'2026'!Resal)*(1-EXP(('2026'!Tnet-t)/('2026'!Tau_j))),Resal+(Salim-Resal)*(1-EXP((Tnet-t)/(Tau_j))))*Salcycl</f>
        <v>2.7448729710681973E-2</v>
      </c>
      <c r="P288" s="169">
        <f>(INDEX(Models!$BJ288:$BT288,,T288)*(1-R288)+INDEX(Models!$BJ288:$BT288,,T288+1)*R288-ERP_i)*Q288*Ramure*Pc/MaxiM</f>
        <v>1.4083857633153184E-5</v>
      </c>
      <c r="Q288" s="304">
        <f t="shared" si="105"/>
        <v>0.6</v>
      </c>
      <c r="R288" s="177">
        <f t="shared" si="106"/>
        <v>0.46951721660729595</v>
      </c>
      <c r="S288" s="799">
        <f t="shared" si="107"/>
        <v>-1</v>
      </c>
      <c r="T288" s="176">
        <f t="shared" si="108"/>
        <v>5</v>
      </c>
      <c r="U288" s="250">
        <f t="shared" si="109"/>
        <v>-0.53048278339270405</v>
      </c>
      <c r="V288" s="382">
        <f t="shared" si="110"/>
        <v>43.636001101736269</v>
      </c>
      <c r="W288" s="400">
        <f t="shared" si="111"/>
        <v>37.165746618096833</v>
      </c>
      <c r="X288" s="157">
        <f t="shared" si="112"/>
        <v>46661</v>
      </c>
      <c r="Y288" s="383">
        <f t="shared" si="113"/>
        <v>35.939399355129048</v>
      </c>
      <c r="Z288" s="383">
        <f t="shared" si="114"/>
        <v>38.186851430498926</v>
      </c>
      <c r="AA288" s="384">
        <f t="shared" si="115"/>
        <v>40.602573411737971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5.9496770235274589E-2</v>
      </c>
      <c r="AD288" s="230">
        <f>(INDEX(Models!$BJ288:$BT288,,AH288)*(1-AF288)+INDEX(Models!$BJ288:$BT288,,AH288+1)*AF288-ERP_i)*AE288*Ramure*Pc/MaxiM</f>
        <v>7.2022247672915213E-5</v>
      </c>
      <c r="AE288" s="304">
        <f t="shared" si="117"/>
        <v>0.6</v>
      </c>
      <c r="AF288" s="177">
        <f t="shared" si="118"/>
        <v>0.99450478298127454</v>
      </c>
      <c r="AG288" s="799">
        <f t="shared" si="124"/>
        <v>2</v>
      </c>
      <c r="AH288" s="176">
        <f t="shared" si="119"/>
        <v>8</v>
      </c>
      <c r="AI288" s="224">
        <f t="shared" si="120"/>
        <v>2.9945047829812745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46662</v>
      </c>
      <c r="B289" s="409">
        <f>IF(t&gt;Tmaj,'2026'!Wh/'2026'!Env_an*'2027'!Env_an,0.001*'[12]mon-tableau (1)'!$B$243)</f>
        <v>40.239107946714292</v>
      </c>
      <c r="C289" s="829"/>
      <c r="D289" s="391">
        <f t="shared" si="102"/>
        <v>42.756259527838189</v>
      </c>
      <c r="E289" s="383">
        <f t="shared" si="100"/>
        <v>43.967366013068457</v>
      </c>
      <c r="F289" s="383">
        <f t="shared" si="103"/>
        <v>43.967941665520378</v>
      </c>
      <c r="G289" s="110">
        <f t="shared" si="101"/>
        <v>0.92778759071512984</v>
      </c>
      <c r="H289" s="412" t="b">
        <f>Wh_hp&gt;='2026'!Maxi_hp</f>
        <v>0</v>
      </c>
      <c r="I289" s="388">
        <f>IF(H289,Wh_hp,'2026'!Maxi_hp)</f>
        <v>43.967980094291583</v>
      </c>
      <c r="J289" s="85">
        <f>IF(H289,An,'2026'!An_max)</f>
        <v>2026</v>
      </c>
      <c r="K289" s="197">
        <f t="shared" si="104"/>
        <v>46662</v>
      </c>
      <c r="L289" s="147">
        <f>IF(t&lt;Tvie,1-EXP((T0-t)*PertePVj)+'2026'!Pspv,1-EXP((T0-t)*PertePVj)+Pspv)</f>
        <v>5.8872118583829902E-2</v>
      </c>
      <c r="M289" s="832"/>
      <c r="N289" s="832"/>
      <c r="O289" s="48">
        <f>IF(t&lt;Tnet,'2026'!Resal+('2026'!Salim-'2026'!Resal)*(1-EXP(('2026'!Tnet-t)/('2026'!Tau_j))),Resal+(Salim-Resal)*(1-EXP((Tnet-t)/(Tau_j))))*Salcycl</f>
        <v>2.7545577437372244E-2</v>
      </c>
      <c r="P289" s="169">
        <f>(INDEX(Models!$BJ289:$BT289,,T289)*(1-R289)+INDEX(Models!$BJ289:$BT289,,T289+1)*R289-ERP_i)*Q289*Ramure*Pc/MaxiM</f>
        <v>1.4598511305602516E-5</v>
      </c>
      <c r="Q289" s="304">
        <f t="shared" si="105"/>
        <v>0.6</v>
      </c>
      <c r="R289" s="177">
        <f t="shared" si="106"/>
        <v>0.46970762275445233</v>
      </c>
      <c r="S289" s="799">
        <f t="shared" si="107"/>
        <v>-1</v>
      </c>
      <c r="T289" s="176">
        <f t="shared" si="108"/>
        <v>5</v>
      </c>
      <c r="U289" s="250">
        <f t="shared" si="109"/>
        <v>-0.53029237724554767</v>
      </c>
      <c r="V289" s="382">
        <f t="shared" si="110"/>
        <v>43.370969551710296</v>
      </c>
      <c r="W289" s="400">
        <f t="shared" si="111"/>
        <v>40.239107946714292</v>
      </c>
      <c r="X289" s="157">
        <f t="shared" si="112"/>
        <v>46662</v>
      </c>
      <c r="Y289" s="383">
        <f t="shared" si="113"/>
        <v>38.912921658232435</v>
      </c>
      <c r="Z289" s="383">
        <f t="shared" si="114"/>
        <v>41.347113847777933</v>
      </c>
      <c r="AA289" s="384">
        <f t="shared" si="115"/>
        <v>43.965006253192882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5.954491147660932E-2</v>
      </c>
      <c r="AD289" s="230">
        <f>(INDEX(Models!$BJ289:$BT289,,AH289)*(1-AF289)+INDEX(Models!$BJ289:$BT289,,AH289+1)*AF289-ERP_i)*AE289*Ramure*Pc/MaxiM</f>
        <v>7.4441878787310012E-5</v>
      </c>
      <c r="AE289" s="304">
        <f t="shared" si="117"/>
        <v>0.6</v>
      </c>
      <c r="AF289" s="177">
        <f t="shared" si="118"/>
        <v>0.99469518912843125</v>
      </c>
      <c r="AG289" s="799">
        <f t="shared" si="124"/>
        <v>2</v>
      </c>
      <c r="AH289" s="176">
        <f t="shared" si="119"/>
        <v>8</v>
      </c>
      <c r="AI289" s="224">
        <f t="shared" si="120"/>
        <v>2.9946951891284312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46663</v>
      </c>
      <c r="B290" s="409">
        <f>IF(t&gt;Tmaj,'2026'!Wh/'2026'!Env_an*'2027'!Env_an,0.001*'[12]mon-tableau (1)'!$B$244)</f>
        <v>36.467595233377395</v>
      </c>
      <c r="C290" s="829"/>
      <c r="D290" s="391">
        <f t="shared" si="102"/>
        <v>38.749563008418001</v>
      </c>
      <c r="E290" s="383">
        <f t="shared" si="100"/>
        <v>39.851121643237455</v>
      </c>
      <c r="F290" s="383">
        <f t="shared" si="103"/>
        <v>39.851590539317051</v>
      </c>
      <c r="G290" s="110">
        <f t="shared" si="101"/>
        <v>0.84608118439903168</v>
      </c>
      <c r="H290" s="412" t="b">
        <f>Wh_hp&gt;='2026'!Maxi_hp</f>
        <v>0</v>
      </c>
      <c r="I290" s="388">
        <f>IF(H290,Wh_hp,'2026'!Maxi_hp)</f>
        <v>39.851667186484065</v>
      </c>
      <c r="J290" s="85">
        <f>IF(H290,An,'2026'!An_max)</f>
        <v>2026</v>
      </c>
      <c r="K290" s="197">
        <f t="shared" si="104"/>
        <v>46663</v>
      </c>
      <c r="L290" s="147">
        <f>IF(t&lt;Tvie,1-EXP((T0-t)*PertePVj)+'2026'!Pspv,1-EXP((T0-t)*PertePVj)+Pspv)</f>
        <v>5.8890155084971418E-2</v>
      </c>
      <c r="M290" s="832"/>
      <c r="N290" s="832"/>
      <c r="O290" s="48">
        <f>IF(t&lt;Tnet,'2026'!Resal+('2026'!Salim-'2026'!Resal)*(1-EXP(('2026'!Tnet-t)/('2026'!Tau_j))),Resal+(Salim-Resal)*(1-EXP((Tnet-t)/(Tau_j))))*Salcycl</f>
        <v>2.7641847692043156E-2</v>
      </c>
      <c r="P290" s="169">
        <f>(INDEX(Models!$BJ290:$BT290,,T290)*(1-R290)+INDEX(Models!$BJ290:$BT290,,T290+1)*R290-ERP_i)*Q290*Ramure*Pc/MaxiM</f>
        <v>1.5082368164421879E-5</v>
      </c>
      <c r="Q290" s="304">
        <f t="shared" si="105"/>
        <v>0.6</v>
      </c>
      <c r="R290" s="177">
        <f t="shared" si="106"/>
        <v>0.46989050010024047</v>
      </c>
      <c r="S290" s="799">
        <f t="shared" si="107"/>
        <v>-1</v>
      </c>
      <c r="T290" s="176">
        <f t="shared" si="108"/>
        <v>5</v>
      </c>
      <c r="U290" s="250">
        <f t="shared" si="109"/>
        <v>-0.53010949989975953</v>
      </c>
      <c r="V290" s="382">
        <f t="shared" si="110"/>
        <v>43.101625430848244</v>
      </c>
      <c r="W290" s="400">
        <f t="shared" si="111"/>
        <v>36.467595233377395</v>
      </c>
      <c r="X290" s="157">
        <f t="shared" si="112"/>
        <v>46663</v>
      </c>
      <c r="Y290" s="383">
        <f t="shared" si="113"/>
        <v>35.267618590461836</v>
      </c>
      <c r="Z290" s="383">
        <f t="shared" si="114"/>
        <v>37.474497563720732</v>
      </c>
      <c r="AA290" s="384">
        <f t="shared" si="115"/>
        <v>39.849195300003977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5.9592112673929144E-2</v>
      </c>
      <c r="AD290" s="230">
        <f>(INDEX(Models!$BJ290:$BT290,,AH290)*(1-AF290)+INDEX(Models!$BJ290:$BT290,,AH290+1)*AF290-ERP_i)*AE290*Ramure*Pc/MaxiM</f>
        <v>7.7044536590891352E-5</v>
      </c>
      <c r="AE290" s="304">
        <f t="shared" si="117"/>
        <v>0.6</v>
      </c>
      <c r="AF290" s="177">
        <f t="shared" si="118"/>
        <v>0.99487806647421895</v>
      </c>
      <c r="AG290" s="799">
        <f t="shared" si="124"/>
        <v>2</v>
      </c>
      <c r="AH290" s="176">
        <f t="shared" si="119"/>
        <v>8</v>
      </c>
      <c r="AI290" s="224">
        <f t="shared" si="120"/>
        <v>2.9948780664742189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46664</v>
      </c>
      <c r="B291" s="409">
        <f>IF(t&gt;Tmaj,'2026'!Wh/'2026'!Env_an*'2027'!Env_an,0.001*'[12]mon-tableau (1)'!$B$245)</f>
        <v>42.831069488678452</v>
      </c>
      <c r="C291" s="829"/>
      <c r="D291" s="391">
        <f t="shared" si="102"/>
        <v>45.51210529091081</v>
      </c>
      <c r="E291" s="383">
        <f t="shared" si="100"/>
        <v>46.810513373863913</v>
      </c>
      <c r="F291" s="383">
        <f t="shared" si="103"/>
        <v>46.811239580800581</v>
      </c>
      <c r="G291" s="110">
        <f t="shared" si="101"/>
        <v>1.0000677422919388</v>
      </c>
      <c r="H291" s="412" t="b">
        <f>Wh_hp&gt;='2026'!Maxi_hp</f>
        <v>1</v>
      </c>
      <c r="I291" s="388">
        <f>IF(H291,Wh_hp,'2026'!Maxi_hp)</f>
        <v>46.811239580800581</v>
      </c>
      <c r="J291" s="85">
        <f>IF(H291,An,'2026'!An_max)</f>
        <v>2027</v>
      </c>
      <c r="K291" s="197">
        <f t="shared" si="104"/>
        <v>46664</v>
      </c>
      <c r="L291" s="147">
        <f>IF(t&lt;Tvie,1-EXP((T0-t)*PertePVj)+'2026'!Pspv,1-EXP((T0-t)*PertePVj)+Pspv)</f>
        <v>5.8908191240447549E-2</v>
      </c>
      <c r="M291" s="832"/>
      <c r="N291" s="832"/>
      <c r="O291" s="48">
        <f>IF(t&lt;Tnet,'2026'!Resal+('2026'!Salim-'2026'!Resal)*(1-EXP(('2026'!Tnet-t)/('2026'!Tau_j))),Resal+(Salim-Resal)*(1-EXP((Tnet-t)/(Tau_j))))*Salcycl</f>
        <v>2.773753136572198E-2</v>
      </c>
      <c r="P291" s="169">
        <f>(INDEX(Models!$BJ291:$BT291,,T291)*(1-R291)+INDEX(Models!$BJ291:$BT291,,T291+1)*R291-ERP_i)*Q291*Ramure*Pc/MaxiM</f>
        <v>1.5513516479615476E-5</v>
      </c>
      <c r="Q291" s="304">
        <f t="shared" si="105"/>
        <v>0.6</v>
      </c>
      <c r="R291" s="177">
        <f t="shared" si="106"/>
        <v>0.47006614106657085</v>
      </c>
      <c r="S291" s="799">
        <f t="shared" si="107"/>
        <v>-1</v>
      </c>
      <c r="T291" s="176">
        <f t="shared" si="108"/>
        <v>5</v>
      </c>
      <c r="U291" s="250">
        <f t="shared" si="109"/>
        <v>-0.52993385893342915</v>
      </c>
      <c r="V291" s="382">
        <f t="shared" si="110"/>
        <v>42.828168210404343</v>
      </c>
      <c r="W291" s="400">
        <f t="shared" si="111"/>
        <v>42.831069488678452</v>
      </c>
      <c r="X291" s="157">
        <f t="shared" si="112"/>
        <v>46664</v>
      </c>
      <c r="Y291" s="383">
        <f t="shared" si="113"/>
        <v>41.42308027156367</v>
      </c>
      <c r="Z291" s="383">
        <f t="shared" si="114"/>
        <v>44.015982166674249</v>
      </c>
      <c r="AA291" s="384">
        <f t="shared" si="115"/>
        <v>46.807505015304102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5.9638360295366004E-2</v>
      </c>
      <c r="AD291" s="230">
        <f>(INDEX(Models!$BJ291:$BT291,,AH291)*(1-AF291)+INDEX(Models!$BJ291:$BT291,,AH291+1)*AF291-ERP_i)*AE291*Ramure*Pc/MaxiM</f>
        <v>7.9779248101942551E-5</v>
      </c>
      <c r="AE291" s="304">
        <f t="shared" si="117"/>
        <v>0.6</v>
      </c>
      <c r="AF291" s="177">
        <f t="shared" si="118"/>
        <v>0.99505370744054966</v>
      </c>
      <c r="AG291" s="799">
        <f t="shared" si="124"/>
        <v>2</v>
      </c>
      <c r="AH291" s="176">
        <f t="shared" si="119"/>
        <v>8</v>
      </c>
      <c r="AI291" s="224">
        <f t="shared" si="120"/>
        <v>2.9950537074405497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46665</v>
      </c>
      <c r="B292" s="409">
        <f>IF(t&gt;Tmaj,'2026'!Wh/'2026'!Env_an*'2027'!Env_an,0.001*'[12]mon-tableau (1)'!$B$246)</f>
        <v>44.588121470606637</v>
      </c>
      <c r="C292" s="829"/>
      <c r="D292" s="391">
        <f t="shared" si="102"/>
        <v>47.380048995359886</v>
      </c>
      <c r="E292" s="383">
        <f t="shared" si="100"/>
        <v>48.73651387172665</v>
      </c>
      <c r="F292" s="383">
        <f t="shared" si="103"/>
        <v>48.737288376896331</v>
      </c>
      <c r="G292" s="110">
        <f t="shared" si="101"/>
        <v>1.0478798370423081</v>
      </c>
      <c r="H292" s="412" t="b">
        <f>Wh_hp&gt;='2026'!Maxi_hp</f>
        <v>1</v>
      </c>
      <c r="I292" s="388">
        <f>IF(H292,Wh_hp,'2026'!Maxi_hp)</f>
        <v>48.737288376896331</v>
      </c>
      <c r="J292" s="85">
        <f>IF(H292,An,'2026'!An_max)</f>
        <v>2027</v>
      </c>
      <c r="K292" s="197">
        <f t="shared" si="104"/>
        <v>46665</v>
      </c>
      <c r="L292" s="147">
        <f>IF(t&lt;Tvie,1-EXP((T0-t)*PertePVj)+'2026'!Pspv,1-EXP((T0-t)*PertePVj)+Pspv)</f>
        <v>5.8926227050264846E-2</v>
      </c>
      <c r="M292" s="832"/>
      <c r="N292" s="832"/>
      <c r="O292" s="48">
        <f>IF(t&lt;Tnet,'2026'!Resal+('2026'!Salim-'2026'!Resal)*(1-EXP(('2026'!Tnet-t)/('2026'!Tau_j))),Resal+(Salim-Resal)*(1-EXP((Tnet-t)/(Tau_j))))*Salcycl</f>
        <v>2.7832620115934965E-2</v>
      </c>
      <c r="P292" s="169">
        <f>(INDEX(Models!$BJ292:$BT292,,T292)*(1-R292)+INDEX(Models!$BJ292:$BT292,,T292+1)*R292-ERP_i)*Q292*Ramure*Pc/MaxiM</f>
        <v>1.5891429241894494E-5</v>
      </c>
      <c r="Q292" s="304">
        <f t="shared" si="105"/>
        <v>0.6</v>
      </c>
      <c r="R292" s="177">
        <f t="shared" si="106"/>
        <v>0.47023482713055254</v>
      </c>
      <c r="S292" s="799">
        <f t="shared" si="107"/>
        <v>-1</v>
      </c>
      <c r="T292" s="176">
        <f t="shared" si="108"/>
        <v>5</v>
      </c>
      <c r="U292" s="250">
        <f t="shared" si="109"/>
        <v>-0.52976517286944746</v>
      </c>
      <c r="V292" s="382">
        <f t="shared" si="110"/>
        <v>42.550796278759194</v>
      </c>
      <c r="W292" s="400">
        <f t="shared" si="111"/>
        <v>44.588121470606637</v>
      </c>
      <c r="X292" s="157">
        <f t="shared" si="112"/>
        <v>46665</v>
      </c>
      <c r="Y292" s="383">
        <f t="shared" si="113"/>
        <v>43.124406327585007</v>
      </c>
      <c r="Z292" s="383">
        <f t="shared" si="114"/>
        <v>45.8246819400931</v>
      </c>
      <c r="AA292" s="384">
        <f t="shared" si="115"/>
        <v>48.733260436477252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5.9683642554050363E-2</v>
      </c>
      <c r="AD292" s="230">
        <f>(INDEX(Models!$BJ292:$BT292,,AH292)*(1-AF292)+INDEX(Models!$BJ292:$BT292,,AH292+1)*AF292-ERP_i)*AE292*Ramure*Pc/MaxiM</f>
        <v>8.2645968892006833E-5</v>
      </c>
      <c r="AE292" s="304">
        <f t="shared" si="117"/>
        <v>0.6</v>
      </c>
      <c r="AF292" s="177">
        <f t="shared" si="118"/>
        <v>0.99522239350453123</v>
      </c>
      <c r="AG292" s="799">
        <f t="shared" si="124"/>
        <v>2</v>
      </c>
      <c r="AH292" s="176">
        <f t="shared" si="119"/>
        <v>8</v>
      </c>
      <c r="AI292" s="224">
        <f t="shared" si="120"/>
        <v>2.9952223935045312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46666</v>
      </c>
      <c r="B293" s="409">
        <f>IF(t&gt;Tmaj,'2026'!Wh/'2026'!Env_an*'2027'!Env_an,0.001*'[12]mon-tableau (1)'!$B$247)</f>
        <v>11.943300603352768</v>
      </c>
      <c r="C293" s="829"/>
      <c r="D293" s="391">
        <f t="shared" si="102"/>
        <v>12.691384928234291</v>
      </c>
      <c r="E293" s="383">
        <f t="shared" si="100"/>
        <v>13.05600126547715</v>
      </c>
      <c r="F293" s="383">
        <f t="shared" si="103"/>
        <v>13.05600126547715</v>
      </c>
      <c r="G293" s="110">
        <f t="shared" si="101"/>
        <v>0.28254529164497277</v>
      </c>
      <c r="H293" s="412" t="b">
        <f>Wh_hp&gt;='2026'!Maxi_hp</f>
        <v>0</v>
      </c>
      <c r="I293" s="388">
        <f>IF(H293,Wh_hp,'2026'!Maxi_hp)</f>
        <v>32.037742700397558</v>
      </c>
      <c r="J293" s="85">
        <f>IF(H293,An,'2026'!An_max)</f>
        <v>2020</v>
      </c>
      <c r="K293" s="197">
        <f t="shared" si="104"/>
        <v>46666</v>
      </c>
      <c r="L293" s="147">
        <f>IF(t&lt;Tvie,1-EXP((T0-t)*PertePVj)+'2026'!Pspv,1-EXP((T0-t)*PertePVj)+Pspv)</f>
        <v>5.8944262514430079E-2</v>
      </c>
      <c r="M293" s="832"/>
      <c r="N293" s="832"/>
      <c r="O293" s="48">
        <f>IF(t&lt;Tnet,'2026'!Resal+('2026'!Salim-'2026'!Resal)*(1-EXP(('2026'!Tnet-t)/('2026'!Tau_j))),Resal+(Salim-Resal)*(1-EXP((Tnet-t)/(Tau_j))))*Salcycl</f>
        <v>2.7927106456935049E-2</v>
      </c>
      <c r="P293" s="169">
        <f>(INDEX(Models!$BJ293:$BT293,,T293)*(1-R293)+INDEX(Models!$BJ293:$BT293,,T293+1)*R293-ERP_i)*Q293*Ramure*Pc/MaxiM</f>
        <v>1.6215584413680616E-5</v>
      </c>
      <c r="Q293" s="304">
        <f t="shared" si="105"/>
        <v>0.6</v>
      </c>
      <c r="R293" s="177">
        <f t="shared" si="106"/>
        <v>0.47039682920159165</v>
      </c>
      <c r="S293" s="799">
        <f t="shared" si="107"/>
        <v>-1</v>
      </c>
      <c r="T293" s="176">
        <f t="shared" si="108"/>
        <v>5</v>
      </c>
      <c r="U293" s="250">
        <f t="shared" si="109"/>
        <v>-0.52960317079840835</v>
      </c>
      <c r="V293" s="382">
        <f t="shared" si="110"/>
        <v>42.26970786248512</v>
      </c>
      <c r="W293" s="400">
        <f t="shared" si="111"/>
        <v>11.943300603352768</v>
      </c>
      <c r="X293" s="157">
        <f t="shared" si="112"/>
        <v>46666</v>
      </c>
      <c r="Y293" s="383">
        <f t="shared" si="113"/>
        <v>11.552581932615933</v>
      </c>
      <c r="Z293" s="383">
        <f t="shared" si="114"/>
        <v>12.27619308021389</v>
      </c>
      <c r="AA293" s="384">
        <f t="shared" si="115"/>
        <v>13.05600126547715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5.9727949577122047E-2</v>
      </c>
      <c r="AD293" s="230">
        <f>(INDEX(Models!$BJ293:$BT293,,AH293)*(1-AF293)+INDEX(Models!$BJ293:$BT293,,AH293+1)*AF293-ERP_i)*AE293*Ramure*Pc/MaxiM</f>
        <v>8.5644550608841936E-5</v>
      </c>
      <c r="AE293" s="304">
        <f t="shared" si="117"/>
        <v>0.6</v>
      </c>
      <c r="AF293" s="177">
        <f t="shared" si="118"/>
        <v>0.99538439557557057</v>
      </c>
      <c r="AG293" s="799">
        <f t="shared" si="124"/>
        <v>2</v>
      </c>
      <c r="AH293" s="176">
        <f t="shared" si="119"/>
        <v>8</v>
      </c>
      <c r="AI293" s="224">
        <f t="shared" si="120"/>
        <v>2.9953843955755706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46667</v>
      </c>
      <c r="B294" s="409">
        <f>IF(t&gt;Tmaj,'2026'!Wh/'2026'!Env_an*'2027'!Env_an,0.001*'[12]mon-tableau (1)'!$B$248)</f>
        <v>32.603164010841958</v>
      </c>
      <c r="C294" s="829"/>
      <c r="D294" s="391">
        <f t="shared" si="102"/>
        <v>34.645970006125367</v>
      </c>
      <c r="E294" s="383">
        <f t="shared" si="100"/>
        <v>35.644771574731855</v>
      </c>
      <c r="F294" s="383">
        <f t="shared" si="103"/>
        <v>35.645171615747365</v>
      </c>
      <c r="G294" s="110">
        <f t="shared" si="101"/>
        <v>0.77653719127425735</v>
      </c>
      <c r="H294" s="412" t="b">
        <f>Wh_hp&gt;='2026'!Maxi_hp</f>
        <v>0</v>
      </c>
      <c r="I294" s="388">
        <f>IF(H294,Wh_hp,'2026'!Maxi_hp)</f>
        <v>45.95674728395548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5.896229763294969E-2</v>
      </c>
      <c r="M294" s="832"/>
      <c r="N294" s="832"/>
      <c r="O294" s="48">
        <f>IF(t&lt;Tnet,'2026'!Resal+('2026'!Salim-'2026'!Resal)*(1-EXP(('2026'!Tnet-t)/('2026'!Tau_j))),Resal+(Salim-Resal)*(1-EXP((Tnet-t)/(Tau_j))))*Salcycl</f>
        <v>2.8020983849270344E-2</v>
      </c>
      <c r="P294" s="169">
        <f>(INDEX(Models!$BJ294:$BT294,,T294)*(1-R294)+INDEX(Models!$BJ294:$BT294,,T294+1)*R294-ERP_i)*Q294*Ramure*Pc/MaxiM</f>
        <v>1.6485469718324287E-5</v>
      </c>
      <c r="Q294" s="304">
        <f t="shared" si="105"/>
        <v>0.6</v>
      </c>
      <c r="R294" s="177">
        <f t="shared" si="106"/>
        <v>0.47055240798811448</v>
      </c>
      <c r="S294" s="799">
        <f t="shared" si="107"/>
        <v>-1</v>
      </c>
      <c r="T294" s="176">
        <f t="shared" si="108"/>
        <v>5</v>
      </c>
      <c r="U294" s="250">
        <f t="shared" si="109"/>
        <v>-0.52944759201188552</v>
      </c>
      <c r="V294" s="382">
        <f t="shared" si="110"/>
        <v>41.985101032846408</v>
      </c>
      <c r="W294" s="400">
        <f t="shared" si="111"/>
        <v>32.603164010841958</v>
      </c>
      <c r="X294" s="157">
        <f t="shared" si="112"/>
        <v>46667</v>
      </c>
      <c r="Y294" s="383">
        <f t="shared" si="113"/>
        <v>31.536609602631032</v>
      </c>
      <c r="Z294" s="383">
        <f t="shared" si="114"/>
        <v>33.512588840282433</v>
      </c>
      <c r="AA294" s="384">
        <f t="shared" si="115"/>
        <v>35.643017383185921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5.9771273570920713E-2</v>
      </c>
      <c r="AD294" s="230">
        <f>(INDEX(Models!$BJ294:$BT294,,AH294)*(1-AF294)+INDEX(Models!$BJ294:$BT294,,AH294+1)*AF294-ERP_i)*AE294*Ramure*Pc/MaxiM</f>
        <v>8.8774736292661322E-5</v>
      </c>
      <c r="AE294" s="304">
        <f t="shared" si="117"/>
        <v>0.6</v>
      </c>
      <c r="AF294" s="177">
        <f t="shared" si="118"/>
        <v>0.99553997436209318</v>
      </c>
      <c r="AG294" s="799">
        <f t="shared" si="124"/>
        <v>2</v>
      </c>
      <c r="AH294" s="176">
        <f t="shared" si="119"/>
        <v>8</v>
      </c>
      <c r="AI294" s="224">
        <f t="shared" si="120"/>
        <v>2.9955399743620932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46668</v>
      </c>
      <c r="B295" s="409">
        <f>IF(t&gt;Tmaj,'2026'!Wh/'2026'!Env_an*'2027'!Env_an,0.001*'[12]mon-tableau (1)'!$B$249)</f>
        <v>15.277571166648414</v>
      </c>
      <c r="C295" s="829"/>
      <c r="D295" s="391">
        <f t="shared" si="102"/>
        <v>16.235124187900738</v>
      </c>
      <c r="E295" s="383">
        <f t="shared" si="100"/>
        <v>16.704766104702877</v>
      </c>
      <c r="F295" s="383">
        <f t="shared" si="103"/>
        <v>16.704792565322187</v>
      </c>
      <c r="G295" s="110">
        <f t="shared" si="101"/>
        <v>0.36638790751934441</v>
      </c>
      <c r="H295" s="412" t="b">
        <f>Wh_hp&gt;='2026'!Maxi_hp</f>
        <v>0</v>
      </c>
      <c r="I295" s="388">
        <f>IF(H295,Wh_hp,'2026'!Maxi_hp)</f>
        <v>44.08585911576052</v>
      </c>
      <c r="J295" s="85">
        <f>IF(H295,An,'2026'!An_max)</f>
        <v>2021</v>
      </c>
      <c r="K295" s="197">
        <f t="shared" si="104"/>
        <v>46668</v>
      </c>
      <c r="L295" s="147">
        <f>IF(t&lt;Tvie,1-EXP((T0-t)*PertePVj)+'2026'!Pspv,1-EXP((T0-t)*PertePVj)+Pspv)</f>
        <v>5.8980332405830338E-2</v>
      </c>
      <c r="M295" s="832"/>
      <c r="N295" s="832"/>
      <c r="O295" s="48">
        <f>IF(t&lt;Tnet,'2026'!Resal+('2026'!Salim-'2026'!Resal)*(1-EXP(('2026'!Tnet-t)/('2026'!Tau_j))),Resal+(Salim-Resal)*(1-EXP((Tnet-t)/(Tau_j))))*Salcycl</f>
        <v>2.811424678792239E-2</v>
      </c>
      <c r="P295" s="169">
        <f>(INDEX(Models!$BJ295:$BT295,,T295)*(1-R295)+INDEX(Models!$BJ295:$BT295,,T295+1)*R295-ERP_i)*Q295*Ramure*Pc/MaxiM</f>
        <v>1.6700587389440994E-5</v>
      </c>
      <c r="Q295" s="304">
        <f t="shared" si="105"/>
        <v>0.6</v>
      </c>
      <c r="R295" s="177">
        <f t="shared" si="106"/>
        <v>0.47070181435397573</v>
      </c>
      <c r="S295" s="799">
        <f t="shared" si="107"/>
        <v>-1</v>
      </c>
      <c r="T295" s="176">
        <f t="shared" si="108"/>
        <v>5</v>
      </c>
      <c r="U295" s="250">
        <f t="shared" si="109"/>
        <v>-0.52929818564602427</v>
      </c>
      <c r="V295" s="382">
        <f t="shared" si="110"/>
        <v>41.697173700921795</v>
      </c>
      <c r="W295" s="400">
        <f t="shared" si="111"/>
        <v>15.277571166648414</v>
      </c>
      <c r="X295" s="157">
        <f t="shared" si="112"/>
        <v>46668</v>
      </c>
      <c r="Y295" s="383">
        <f t="shared" si="113"/>
        <v>14.779167012241231</v>
      </c>
      <c r="Z295" s="383">
        <f t="shared" si="114"/>
        <v>15.705481533692016</v>
      </c>
      <c r="AA295" s="384">
        <f t="shared" si="115"/>
        <v>16.704646742085764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5.9813608980814073E-2</v>
      </c>
      <c r="AD295" s="230">
        <f>(INDEX(Models!$BJ295:$BT295,,AH295)*(1-AF295)+INDEX(Models!$BJ295:$BT295,,AH295+1)*AF295-ERP_i)*AE295*Ramure*Pc/MaxiM</f>
        <v>9.2036156629610158E-5</v>
      </c>
      <c r="AE295" s="304">
        <f t="shared" si="117"/>
        <v>0.6</v>
      </c>
      <c r="AF295" s="177">
        <f t="shared" si="118"/>
        <v>0.99568938072795454</v>
      </c>
      <c r="AG295" s="799">
        <f t="shared" si="124"/>
        <v>2</v>
      </c>
      <c r="AH295" s="176">
        <f t="shared" si="119"/>
        <v>8</v>
      </c>
      <c r="AI295" s="224">
        <f t="shared" si="120"/>
        <v>2.9956893807279545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46669</v>
      </c>
      <c r="B296" s="409">
        <f>IF(t&gt;Tmaj,'2026'!Wh/'2026'!Env_an*'2027'!Env_an,0.001*'[12]mon-tableau (1)'!$B$250)</f>
        <v>40.700921068226165</v>
      </c>
      <c r="C296" s="829"/>
      <c r="D296" s="391">
        <f t="shared" si="102"/>
        <v>43.252763474222746</v>
      </c>
      <c r="E296" s="383">
        <f t="shared" si="100"/>
        <v>44.508201456332763</v>
      </c>
      <c r="F296" s="383">
        <f t="shared" si="103"/>
        <v>44.508935209480875</v>
      </c>
      <c r="G296" s="110">
        <f t="shared" si="101"/>
        <v>0.98296827257278274</v>
      </c>
      <c r="H296" s="412" t="b">
        <f>Wh_hp&gt;='2026'!Maxi_hp</f>
        <v>0</v>
      </c>
      <c r="I296" s="388">
        <f>IF(H296,Wh_hp,'2026'!Maxi_hp)</f>
        <v>44.508945867347734</v>
      </c>
      <c r="J296" s="85">
        <f>IF(H296,An,'2026'!An_max)</f>
        <v>2026</v>
      </c>
      <c r="K296" s="197">
        <f t="shared" si="104"/>
        <v>46669</v>
      </c>
      <c r="L296" s="147">
        <f>IF(t&lt;Tvie,1-EXP((T0-t)*PertePVj)+'2026'!Pspv,1-EXP((T0-t)*PertePVj)+Pspv)</f>
        <v>5.8998366833078686E-2</v>
      </c>
      <c r="M296" s="832"/>
      <c r="N296" s="832"/>
      <c r="O296" s="48">
        <f>IF(t&lt;Tnet,'2026'!Resal+('2026'!Salim-'2026'!Resal)*(1-EXP(('2026'!Tnet-t)/('2026'!Tau_j))),Resal+(Salim-Resal)*(1-EXP((Tnet-t)/(Tau_j))))*Salcycl</f>
        <v>2.820689088822724E-2</v>
      </c>
      <c r="P296" s="169">
        <f>(INDEX(Models!$BJ296:$BT296,,T296)*(1-R296)+INDEX(Models!$BJ296:$BT296,,T296+1)*R296-ERP_i)*Q296*Ramure*Pc/MaxiM</f>
        <v>1.6896627389050121E-5</v>
      </c>
      <c r="Q296" s="304">
        <f t="shared" si="105"/>
        <v>0.6</v>
      </c>
      <c r="R296" s="177">
        <f t="shared" si="106"/>
        <v>0.47084528966463823</v>
      </c>
      <c r="S296" s="799">
        <f t="shared" si="107"/>
        <v>-1</v>
      </c>
      <c r="T296" s="176">
        <f t="shared" si="108"/>
        <v>5</v>
      </c>
      <c r="U296" s="250">
        <f t="shared" si="109"/>
        <v>-0.52915471033536177</v>
      </c>
      <c r="V296" s="382">
        <f t="shared" si="110"/>
        <v>41.406122121480934</v>
      </c>
      <c r="W296" s="400">
        <f t="shared" si="111"/>
        <v>40.700921068226165</v>
      </c>
      <c r="X296" s="157">
        <f t="shared" si="112"/>
        <v>46669</v>
      </c>
      <c r="Y296" s="383">
        <f t="shared" si="113"/>
        <v>39.37240392819843</v>
      </c>
      <c r="Z296" s="383">
        <f t="shared" si="114"/>
        <v>41.840951748076598</v>
      </c>
      <c r="AA296" s="384">
        <f t="shared" si="115"/>
        <v>44.504783454162315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5.9854952644120329E-2</v>
      </c>
      <c r="AD296" s="230">
        <f>(INDEX(Models!$BJ296:$BT296,,AH296)*(1-AF296)+INDEX(Models!$BJ296:$BT296,,AH296+1)*AF296-ERP_i)*AE296*Ramure*Pc/MaxiM</f>
        <v>9.5605262898826505E-5</v>
      </c>
      <c r="AE296" s="304">
        <f t="shared" si="117"/>
        <v>0.6</v>
      </c>
      <c r="AF296" s="177">
        <f t="shared" si="118"/>
        <v>0.99583285603861693</v>
      </c>
      <c r="AG296" s="799">
        <f t="shared" si="124"/>
        <v>2</v>
      </c>
      <c r="AH296" s="176">
        <f t="shared" si="119"/>
        <v>8</v>
      </c>
      <c r="AI296" s="224">
        <f t="shared" si="120"/>
        <v>2.9958328560386169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46670</v>
      </c>
      <c r="B297" s="409">
        <f>IF(t&gt;Tmaj,'2026'!Wh/'2026'!Env_an*'2027'!Env_an,0.001*'[12]mon-tableau (1)'!$B$251)</f>
        <v>34.517662185176</v>
      </c>
      <c r="C297" s="829"/>
      <c r="D297" s="391">
        <f t="shared" si="102"/>
        <v>36.682533275531654</v>
      </c>
      <c r="E297" s="383">
        <f t="shared" ref="E297:E360" si="125">Wh_pvt/(1-Psa)</f>
        <v>37.750841040639123</v>
      </c>
      <c r="F297" s="383">
        <f t="shared" si="103"/>
        <v>37.751338844357761</v>
      </c>
      <c r="G297" s="110">
        <f t="shared" ref="G297:G360" si="126">+Wh_hp/MaxiM</f>
        <v>0.83959445399156107</v>
      </c>
      <c r="H297" s="412" t="b">
        <f>Wh_hp&gt;='2026'!Maxi_hp</f>
        <v>0</v>
      </c>
      <c r="I297" s="388">
        <f>IF(H297,Wh_hp,'2026'!Maxi_hp)</f>
        <v>37.751425199479691</v>
      </c>
      <c r="J297" s="85">
        <f>IF(H297,An,'2026'!An_max)</f>
        <v>2026</v>
      </c>
      <c r="K297" s="197">
        <f t="shared" si="104"/>
        <v>46670</v>
      </c>
      <c r="L297" s="147">
        <f>IF(t&lt;Tvie,1-EXP((T0-t)*PertePVj)+'2026'!Pspv,1-EXP((T0-t)*PertePVj)+Pspv)</f>
        <v>5.9016400914701395E-2</v>
      </c>
      <c r="M297" s="832"/>
      <c r="N297" s="832"/>
      <c r="O297" s="48">
        <f>IF(t&lt;Tnet,'2026'!Resal+('2026'!Salim-'2026'!Resal)*(1-EXP(('2026'!Tnet-t)/('2026'!Tau_j))),Resal+(Salim-Resal)*(1-EXP((Tnet-t)/(Tau_j))))*Salcycl</f>
        <v>2.8298912968784614E-2</v>
      </c>
      <c r="P297" s="169">
        <f>(INDEX(Models!$BJ297:$BT297,,T297)*(1-R297)+INDEX(Models!$BJ297:$BT297,,T297+1)*R297-ERP_i)*Q297*Ramure*Pc/MaxiM</f>
        <v>1.7106205774331519E-5</v>
      </c>
      <c r="Q297" s="304">
        <f t="shared" si="105"/>
        <v>0.6</v>
      </c>
      <c r="R297" s="177">
        <f t="shared" si="106"/>
        <v>0.47098306612322938</v>
      </c>
      <c r="S297" s="799">
        <f t="shared" si="107"/>
        <v>-1</v>
      </c>
      <c r="T297" s="176">
        <f t="shared" si="108"/>
        <v>5</v>
      </c>
      <c r="U297" s="250">
        <f t="shared" si="109"/>
        <v>-0.52901693387677062</v>
      </c>
      <c r="V297" s="382">
        <f t="shared" si="110"/>
        <v>41.112142554382828</v>
      </c>
      <c r="W297" s="400">
        <f t="shared" si="111"/>
        <v>34.517662185176</v>
      </c>
      <c r="X297" s="157">
        <f t="shared" si="112"/>
        <v>46670</v>
      </c>
      <c r="Y297" s="383">
        <f t="shared" si="113"/>
        <v>33.393143496833403</v>
      </c>
      <c r="Z297" s="383">
        <f t="shared" si="114"/>
        <v>35.487487273204188</v>
      </c>
      <c r="AA297" s="384">
        <f t="shared" si="115"/>
        <v>37.748441659454492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5.989530393459374E-2</v>
      </c>
      <c r="AD297" s="230">
        <f>(INDEX(Models!$BJ297:$BT297,,AH297)*(1-AF297)+INDEX(Models!$BJ297:$BT297,,AH297+1)*AF297-ERP_i)*AE297*Ramure*Pc/MaxiM</f>
        <v>9.955699257746993E-5</v>
      </c>
      <c r="AE297" s="304">
        <f t="shared" si="117"/>
        <v>0.6</v>
      </c>
      <c r="AF297" s="177">
        <f t="shared" si="118"/>
        <v>0.99597063249720819</v>
      </c>
      <c r="AG297" s="799">
        <f t="shared" si="124"/>
        <v>2</v>
      </c>
      <c r="AH297" s="176">
        <f t="shared" si="119"/>
        <v>8</v>
      </c>
      <c r="AI297" s="224">
        <f t="shared" si="120"/>
        <v>2.9959706324972082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46671</v>
      </c>
      <c r="B298" s="409">
        <f>IF(t&gt;Tmaj,'2026'!Wh/'2026'!Env_an*'2027'!Env_an,0.001*'[12]mon-tableau (1)'!$B$252)</f>
        <v>23.582721162924894</v>
      </c>
      <c r="C298" s="829"/>
      <c r="D298" s="391">
        <f t="shared" si="102"/>
        <v>25.062257357069992</v>
      </c>
      <c r="E298" s="383">
        <f t="shared" si="125"/>
        <v>25.794573319078658</v>
      </c>
      <c r="F298" s="383">
        <f t="shared" si="103"/>
        <v>25.794750708903184</v>
      </c>
      <c r="G298" s="110">
        <f t="shared" si="126"/>
        <v>0.5777832853523126</v>
      </c>
      <c r="H298" s="412" t="b">
        <f>Wh_hp&gt;='2026'!Maxi_hp</f>
        <v>0</v>
      </c>
      <c r="I298" s="388">
        <f>IF(H298,Wh_hp,'2026'!Maxi_hp)</f>
        <v>44.857995782913029</v>
      </c>
      <c r="J298" s="85">
        <f>IF(H298,An,'2026'!An_max)</f>
        <v>2021</v>
      </c>
      <c r="K298" s="197">
        <f t="shared" si="104"/>
        <v>46671</v>
      </c>
      <c r="L298" s="147">
        <f>IF(t&lt;Tvie,1-EXP((T0-t)*PertePVj)+'2026'!Pspv,1-EXP((T0-t)*PertePVj)+Pspv)</f>
        <v>5.9034434650704903E-2</v>
      </c>
      <c r="M298" s="832"/>
      <c r="N298" s="832"/>
      <c r="O298" s="48">
        <f>IF(t&lt;Tnet,'2026'!Resal+('2026'!Salim-'2026'!Resal)*(1-EXP(('2026'!Tnet-t)/('2026'!Tau_j))),Resal+(Salim-Resal)*(1-EXP((Tnet-t)/(Tau_j))))*Salcycl</f>
        <v>2.8390311130559256E-2</v>
      </c>
      <c r="P298" s="169">
        <f>(INDEX(Models!$BJ298:$BT298,,T298)*(1-R298)+INDEX(Models!$BJ298:$BT298,,T298+1)*R298-ERP_i)*Q298*Ramure*Pc/MaxiM</f>
        <v>1.7329253596008657E-5</v>
      </c>
      <c r="Q298" s="304">
        <f t="shared" si="105"/>
        <v>0.6</v>
      </c>
      <c r="R298" s="177">
        <f t="shared" si="106"/>
        <v>0.47111536709659574</v>
      </c>
      <c r="S298" s="799">
        <f t="shared" si="107"/>
        <v>-1</v>
      </c>
      <c r="T298" s="176">
        <f t="shared" si="108"/>
        <v>5</v>
      </c>
      <c r="U298" s="250">
        <f t="shared" si="109"/>
        <v>-0.52888463290340426</v>
      </c>
      <c r="V298" s="382">
        <f t="shared" si="110"/>
        <v>40.815432474218717</v>
      </c>
      <c r="W298" s="400">
        <f t="shared" si="111"/>
        <v>23.582721162924894</v>
      </c>
      <c r="X298" s="157">
        <f t="shared" si="112"/>
        <v>46671</v>
      </c>
      <c r="Y298" s="383">
        <f t="shared" si="113"/>
        <v>22.816298941199879</v>
      </c>
      <c r="Z298" s="383">
        <f t="shared" si="114"/>
        <v>24.247751226401423</v>
      </c>
      <c r="AA298" s="384">
        <f t="shared" si="115"/>
        <v>25.793687226796745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5.9934664896970219E-2</v>
      </c>
      <c r="AD298" s="230">
        <f>(INDEX(Models!$BJ298:$BT298,,AH298)*(1-AF298)+INDEX(Models!$BJ298:$BT298,,AH298+1)*AF298-ERP_i)*AE298*Ramure*Pc/MaxiM</f>
        <v>1.0389181660655867E-4</v>
      </c>
      <c r="AE298" s="304">
        <f t="shared" si="117"/>
        <v>0.6</v>
      </c>
      <c r="AF298" s="177">
        <f t="shared" si="118"/>
        <v>0.99610293347057421</v>
      </c>
      <c r="AG298" s="799">
        <f t="shared" si="124"/>
        <v>2</v>
      </c>
      <c r="AH298" s="176">
        <f t="shared" si="119"/>
        <v>8</v>
      </c>
      <c r="AI298" s="224">
        <f t="shared" si="120"/>
        <v>2.9961029334705742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46672</v>
      </c>
      <c r="B299" s="409">
        <f>IF(t&gt;Tmaj,'2026'!Wh/'2026'!Env_an*'2027'!Env_an,0.001*'[12]mon-tableau (1)'!$B$253)</f>
        <v>27.807136633833988</v>
      </c>
      <c r="C299" s="829"/>
      <c r="D299" s="391">
        <f t="shared" si="102"/>
        <v>29.552271183435625</v>
      </c>
      <c r="E299" s="383">
        <f t="shared" si="125"/>
        <v>30.41862667008045</v>
      </c>
      <c r="F299" s="383">
        <f t="shared" si="103"/>
        <v>30.418921560141701</v>
      </c>
      <c r="G299" s="110">
        <f t="shared" si="126"/>
        <v>0.68631621831898892</v>
      </c>
      <c r="H299" s="412" t="b">
        <f>Wh_hp&gt;='2026'!Maxi_hp</f>
        <v>0</v>
      </c>
      <c r="I299" s="388">
        <f>IF(H299,Wh_hp,'2026'!Maxi_hp)</f>
        <v>43.06156480177809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5.9052468041096096E-2</v>
      </c>
      <c r="M299" s="832"/>
      <c r="N299" s="832"/>
      <c r="O299" s="48">
        <f>IF(t&lt;Tnet,'2026'!Resal+('2026'!Salim-'2026'!Resal)*(1-EXP(('2026'!Tnet-t)/('2026'!Tau_j))),Resal+(Salim-Resal)*(1-EXP((Tnet-t)/(Tau_j))))*Salcycl</f>
        <v>2.8481084831386169E-2</v>
      </c>
      <c r="P299" s="169">
        <f>(INDEX(Models!$BJ299:$BT299,,T299)*(1-R299)+INDEX(Models!$BJ299:$BT299,,T299+1)*R299-ERP_i)*Q299*Ramure*Pc/MaxiM</f>
        <v>1.7565695433304986E-5</v>
      </c>
      <c r="Q299" s="304">
        <f t="shared" si="105"/>
        <v>0.6</v>
      </c>
      <c r="R299" s="177">
        <f t="shared" si="106"/>
        <v>0.47124240743149715</v>
      </c>
      <c r="S299" s="799">
        <f t="shared" si="107"/>
        <v>-1</v>
      </c>
      <c r="T299" s="176">
        <f t="shared" si="108"/>
        <v>5</v>
      </c>
      <c r="U299" s="250">
        <f t="shared" si="109"/>
        <v>-0.52875759256850285</v>
      </c>
      <c r="V299" s="382">
        <f t="shared" si="110"/>
        <v>40.516189197407606</v>
      </c>
      <c r="W299" s="400">
        <f t="shared" si="111"/>
        <v>27.807136633833988</v>
      </c>
      <c r="X299" s="157">
        <f t="shared" si="112"/>
        <v>46672</v>
      </c>
      <c r="Y299" s="383">
        <f t="shared" si="113"/>
        <v>26.90441151034095</v>
      </c>
      <c r="Z299" s="383">
        <f t="shared" si="114"/>
        <v>28.592892373425137</v>
      </c>
      <c r="AA299" s="384">
        <f t="shared" si="115"/>
        <v>30.417098233738841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5.9973040370112779E-2</v>
      </c>
      <c r="AD299" s="230">
        <f>(INDEX(Models!$BJ299:$BT299,,AH299)*(1-AF299)+INDEX(Models!$BJ299:$BT299,,AH299+1)*AF299-ERP_i)*AE299*Ramure*Pc/MaxiM</f>
        <v>1.0860995495232242E-4</v>
      </c>
      <c r="AE299" s="304">
        <f t="shared" si="117"/>
        <v>0.6</v>
      </c>
      <c r="AF299" s="177">
        <f t="shared" si="118"/>
        <v>0.99622997380547584</v>
      </c>
      <c r="AG299" s="799">
        <f t="shared" si="124"/>
        <v>2</v>
      </c>
      <c r="AH299" s="176">
        <f t="shared" si="119"/>
        <v>8</v>
      </c>
      <c r="AI299" s="224">
        <f t="shared" si="120"/>
        <v>2.9962299738054758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46673</v>
      </c>
      <c r="B300" s="409">
        <f>IF(t&gt;Tmaj,'2026'!Wh/'2026'!Env_an*'2027'!Env_an,0.001*'[12]mon-tableau (1)'!$B$254)</f>
        <v>24.46320820032626</v>
      </c>
      <c r="C300" s="829"/>
      <c r="D300" s="391">
        <f t="shared" si="102"/>
        <v>25.998981037960945</v>
      </c>
      <c r="E300" s="383">
        <f t="shared" si="125"/>
        <v>26.763651616554103</v>
      </c>
      <c r="F300" s="383">
        <f t="shared" si="103"/>
        <v>26.763861628596572</v>
      </c>
      <c r="G300" s="110">
        <f t="shared" si="126"/>
        <v>0.60831037295143542</v>
      </c>
      <c r="H300" s="412" t="b">
        <f>Wh_hp&gt;='2026'!Maxi_hp</f>
        <v>0</v>
      </c>
      <c r="I300" s="388">
        <f>IF(H300,Wh_hp,'2026'!Maxi_hp)</f>
        <v>42.186291422825811</v>
      </c>
      <c r="J300" s="85">
        <f>IF(H300,An,'2026'!An_max)</f>
        <v>2021</v>
      </c>
      <c r="K300" s="197">
        <f t="shared" si="104"/>
        <v>46673</v>
      </c>
      <c r="L300" s="147">
        <f>IF(t&lt;Tvie,1-EXP((T0-t)*PertePVj)+'2026'!Pspv,1-EXP((T0-t)*PertePVj)+Pspv)</f>
        <v>5.9070501085881522E-2</v>
      </c>
      <c r="M300" s="832"/>
      <c r="N300" s="832"/>
      <c r="O300" s="48">
        <f>IF(t&lt;Tnet,'2026'!Resal+('2026'!Salim-'2026'!Resal)*(1-EXP(('2026'!Tnet-t)/('2026'!Tau_j))),Resal+(Salim-Resal)*(1-EXP((Tnet-t)/(Tau_j))))*Salcycl</f>
        <v>2.8571234955105544E-2</v>
      </c>
      <c r="P300" s="169">
        <f>(INDEX(Models!$BJ300:$BT300,,T300)*(1-R300)+INDEX(Models!$BJ300:$BT300,,T300+1)*R300-ERP_i)*Q300*Ramure*Pc/MaxiM</f>
        <v>1.7815449490221192E-5</v>
      </c>
      <c r="Q300" s="304">
        <f t="shared" si="105"/>
        <v>0.6</v>
      </c>
      <c r="R300" s="177">
        <f t="shared" si="106"/>
        <v>0.47136439376109129</v>
      </c>
      <c r="S300" s="799">
        <f t="shared" si="107"/>
        <v>-1</v>
      </c>
      <c r="T300" s="176">
        <f t="shared" si="108"/>
        <v>5</v>
      </c>
      <c r="U300" s="250">
        <f t="shared" si="109"/>
        <v>-0.52863560623890871</v>
      </c>
      <c r="V300" s="382">
        <f t="shared" si="110"/>
        <v>40.214609880526808</v>
      </c>
      <c r="W300" s="400">
        <f t="shared" si="111"/>
        <v>24.46320820032626</v>
      </c>
      <c r="X300" s="157">
        <f t="shared" si="112"/>
        <v>46673</v>
      </c>
      <c r="Y300" s="383">
        <f t="shared" si="113"/>
        <v>23.670484053432038</v>
      </c>
      <c r="Z300" s="383">
        <f t="shared" si="114"/>
        <v>25.156490556145815</v>
      </c>
      <c r="AA300" s="384">
        <f t="shared" si="115"/>
        <v>26.762521176539686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6.0010438097354381E-2</v>
      </c>
      <c r="AD300" s="230">
        <f>(INDEX(Models!$BJ300:$BT300,,AH300)*(1-AF300)+INDEX(Models!$BJ300:$BT300,,AH300+1)*AF300-ERP_i)*AE300*Ramure*Pc/MaxiM</f>
        <v>1.1371136451398553E-4</v>
      </c>
      <c r="AE300" s="304">
        <f t="shared" si="117"/>
        <v>0.6</v>
      </c>
      <c r="AF300" s="177">
        <f t="shared" si="118"/>
        <v>0.99635196013506988</v>
      </c>
      <c r="AG300" s="799">
        <f t="shared" si="124"/>
        <v>2</v>
      </c>
      <c r="AH300" s="176">
        <f t="shared" si="119"/>
        <v>8</v>
      </c>
      <c r="AI300" s="224">
        <f t="shared" si="120"/>
        <v>2.9963519601350699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46674</v>
      </c>
      <c r="B301" s="409">
        <f>IF(t&gt;Tmaj,'2026'!Wh/'2026'!Env_an*'2027'!Env_an,0.001*'[12]mon-tableau (1)'!$B$255)</f>
        <v>17.53751288286896</v>
      </c>
      <c r="C301" s="829"/>
      <c r="D301" s="391">
        <f t="shared" si="102"/>
        <v>18.638855527415654</v>
      </c>
      <c r="E301" s="383">
        <f t="shared" si="125"/>
        <v>19.188821818589567</v>
      </c>
      <c r="F301" s="383">
        <f t="shared" si="103"/>
        <v>19.188890910522272</v>
      </c>
      <c r="G301" s="110">
        <f t="shared" si="126"/>
        <v>0.43941035412070117</v>
      </c>
      <c r="H301" s="412" t="b">
        <f>Wh_hp&gt;='2026'!Maxi_hp</f>
        <v>0</v>
      </c>
      <c r="I301" s="388">
        <f>IF(H301,Wh_hp,'2026'!Maxi_hp)</f>
        <v>45.549482417186574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5.9088533785067621E-2</v>
      </c>
      <c r="M301" s="832"/>
      <c r="N301" s="832"/>
      <c r="O301" s="48">
        <f>IF(t&lt;Tnet,'2026'!Resal+('2026'!Salim-'2026'!Resal)*(1-EXP(('2026'!Tnet-t)/('2026'!Tau_j))),Resal+(Salim-Resal)*(1-EXP((Tnet-t)/(Tau_j))))*Salcycl</f>
        <v>2.8660763874576261E-2</v>
      </c>
      <c r="P301" s="169">
        <f>(INDEX(Models!$BJ301:$BT301,,T301)*(1-R301)+INDEX(Models!$BJ301:$BT301,,T301+1)*R301-ERP_i)*Q301*Ramure*Pc/MaxiM</f>
        <v>1.8078427798609036E-5</v>
      </c>
      <c r="Q301" s="304">
        <f t="shared" si="105"/>
        <v>0.6</v>
      </c>
      <c r="R301" s="177">
        <f t="shared" si="106"/>
        <v>0.47148152480187211</v>
      </c>
      <c r="S301" s="799">
        <f t="shared" si="107"/>
        <v>-1</v>
      </c>
      <c r="T301" s="176">
        <f t="shared" si="108"/>
        <v>5</v>
      </c>
      <c r="U301" s="250">
        <f t="shared" si="109"/>
        <v>-0.52851847519812789</v>
      </c>
      <c r="V301" s="382">
        <f t="shared" si="110"/>
        <v>39.910891522648427</v>
      </c>
      <c r="W301" s="400">
        <f t="shared" si="111"/>
        <v>17.53751288286896</v>
      </c>
      <c r="X301" s="157">
        <f t="shared" si="112"/>
        <v>46674</v>
      </c>
      <c r="Y301" s="383">
        <f t="shared" si="113"/>
        <v>16.970495527787385</v>
      </c>
      <c r="Z301" s="383">
        <f t="shared" si="114"/>
        <v>18.036229908065351</v>
      </c>
      <c r="AA301" s="384">
        <f t="shared" si="115"/>
        <v>19.188435369617814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6.0046868822708523E-2</v>
      </c>
      <c r="AD301" s="230">
        <f>(INDEX(Models!$BJ301:$BT301,,AH301)*(1-AF301)+INDEX(Models!$BJ301:$BT301,,AH301+1)*AF301-ERP_i)*AE301*Ramure*Pc/MaxiM</f>
        <v>1.1919572992246302E-4</v>
      </c>
      <c r="AE301" s="304">
        <f t="shared" si="117"/>
        <v>0.6</v>
      </c>
      <c r="AF301" s="177">
        <f t="shared" si="118"/>
        <v>0.9964690911758507</v>
      </c>
      <c r="AG301" s="799">
        <f t="shared" si="124"/>
        <v>2</v>
      </c>
      <c r="AH301" s="176">
        <f t="shared" si="119"/>
        <v>8</v>
      </c>
      <c r="AI301" s="224">
        <f t="shared" si="120"/>
        <v>2.9964690911758507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46675</v>
      </c>
      <c r="B302" s="409">
        <f>IF(t&gt;Tmaj,'2026'!Wh/'2026'!Env_an*'2027'!Env_an,0.001*'[12]mon-tableau (1)'!$B$256)</f>
        <v>40.022245167221875</v>
      </c>
      <c r="C302" s="829"/>
      <c r="D302" s="391">
        <f t="shared" si="102"/>
        <v>42.536427322034037</v>
      </c>
      <c r="E302" s="383">
        <f t="shared" si="125"/>
        <v>43.795534734338908</v>
      </c>
      <c r="F302" s="383">
        <f t="shared" si="103"/>
        <v>43.796338595835707</v>
      </c>
      <c r="G302" s="110">
        <f t="shared" si="126"/>
        <v>1.0105292707627349</v>
      </c>
      <c r="H302" s="412" t="b">
        <f>Wh_hp&gt;='2026'!Maxi_hp</f>
        <v>1</v>
      </c>
      <c r="I302" s="388">
        <f>IF(H302,Wh_hp,'2026'!Maxi_hp)</f>
        <v>43.796338595835707</v>
      </c>
      <c r="J302" s="85">
        <f>IF(H302,An,'2026'!An_max)</f>
        <v>2027</v>
      </c>
      <c r="K302" s="197">
        <f t="shared" si="104"/>
        <v>46675</v>
      </c>
      <c r="L302" s="147">
        <f>IF(t&lt;Tvie,1-EXP((T0-t)*PertePVj)+'2026'!Pspv,1-EXP((T0-t)*PertePVj)+Pspv)</f>
        <v>5.9106566138661276E-2</v>
      </c>
      <c r="M302" s="832"/>
      <c r="N302" s="832"/>
      <c r="O302" s="48">
        <f>IF(t&lt;Tnet,'2026'!Resal+('2026'!Salim-'2026'!Resal)*(1-EXP(('2026'!Tnet-t)/('2026'!Tau_j))),Resal+(Salim-Resal)*(1-EXP((Tnet-t)/(Tau_j))))*Salcycl</f>
        <v>2.8749675507846708E-2</v>
      </c>
      <c r="P302" s="169">
        <f>(INDEX(Models!$BJ302:$BT302,,T302)*(1-R302)+INDEX(Models!$BJ302:$BT302,,T302+1)*R302-ERP_i)*Q302*Ramure*Pc/MaxiM</f>
        <v>1.8354536533682718E-5</v>
      </c>
      <c r="Q302" s="304">
        <f t="shared" si="105"/>
        <v>0.6</v>
      </c>
      <c r="R302" s="177">
        <f t="shared" si="106"/>
        <v>0.47159399164123816</v>
      </c>
      <c r="S302" s="799">
        <f t="shared" si="107"/>
        <v>-1</v>
      </c>
      <c r="T302" s="176">
        <f t="shared" si="108"/>
        <v>5</v>
      </c>
      <c r="U302" s="250">
        <f t="shared" si="109"/>
        <v>-0.52840600835876184</v>
      </c>
      <c r="V302" s="382">
        <f t="shared" si="110"/>
        <v>39.605230966752281</v>
      </c>
      <c r="W302" s="400">
        <f t="shared" si="111"/>
        <v>40.022245167221875</v>
      </c>
      <c r="X302" s="157">
        <f t="shared" si="112"/>
        <v>46675</v>
      </c>
      <c r="Y302" s="383">
        <f t="shared" si="113"/>
        <v>38.726988965526019</v>
      </c>
      <c r="Z302" s="383">
        <f t="shared" si="114"/>
        <v>41.159803620473866</v>
      </c>
      <c r="AA302" s="384">
        <f t="shared" si="115"/>
        <v>43.790861318103396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6.0082346371703746E-2</v>
      </c>
      <c r="AD302" s="230">
        <f>(INDEX(Models!$BJ302:$BT302,,AH302)*(1-AF302)+INDEX(Models!$BJ302:$BT302,,AH302+1)*AF302-ERP_i)*AE302*Ramure*Pc/MaxiM</f>
        <v>1.2506245745461597E-4</v>
      </c>
      <c r="AE302" s="304">
        <f t="shared" si="117"/>
        <v>0.6</v>
      </c>
      <c r="AF302" s="177">
        <f t="shared" si="118"/>
        <v>0.99658155801521664</v>
      </c>
      <c r="AG302" s="799">
        <f t="shared" si="124"/>
        <v>2</v>
      </c>
      <c r="AH302" s="176">
        <f t="shared" si="119"/>
        <v>8</v>
      </c>
      <c r="AI302" s="224">
        <f t="shared" si="120"/>
        <v>2.9965815580152166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46676</v>
      </c>
      <c r="B303" s="409">
        <f>IF(t&gt;Tmaj,'2026'!Wh/'2026'!Env_an*'2027'!Env_an,0.001*'[12]mon-tableau (1)'!$B$257)</f>
        <v>34.437875684677365</v>
      </c>
      <c r="C303" s="829"/>
      <c r="D303" s="391">
        <f t="shared" si="102"/>
        <v>36.601951349606793</v>
      </c>
      <c r="E303" s="383">
        <f t="shared" si="125"/>
        <v>37.688820630554453</v>
      </c>
      <c r="F303" s="383">
        <f t="shared" si="103"/>
        <v>37.689399263606617</v>
      </c>
      <c r="G303" s="110">
        <f t="shared" si="126"/>
        <v>0.87639071364999088</v>
      </c>
      <c r="H303" s="412" t="b">
        <f>Wh_hp&gt;='2026'!Maxi_hp</f>
        <v>0</v>
      </c>
      <c r="I303" s="388">
        <f>IF(H303,Wh_hp,'2026'!Maxi_hp)</f>
        <v>41.812215939762069</v>
      </c>
      <c r="J303" s="85">
        <f>IF(H303,An,'2026'!An_max)</f>
        <v>2021</v>
      </c>
      <c r="K303" s="197">
        <f t="shared" si="104"/>
        <v>46676</v>
      </c>
      <c r="L303" s="147">
        <f>IF(t&lt;Tvie,1-EXP((T0-t)*PertePVj)+'2026'!Pspv,1-EXP((T0-t)*PertePVj)+Pspv)</f>
        <v>5.9124598146668927E-2</v>
      </c>
      <c r="M303" s="832"/>
      <c r="N303" s="832"/>
      <c r="O303" s="48">
        <f>IF(t&lt;Tnet,'2026'!Resal+('2026'!Salim-'2026'!Resal)*(1-EXP(('2026'!Tnet-t)/('2026'!Tau_j))),Resal+(Salim-Resal)*(1-EXP((Tnet-t)/(Tau_j))))*Salcycl</f>
        <v>2.8837975366799676E-2</v>
      </c>
      <c r="P303" s="169">
        <f>(INDEX(Models!$BJ303:$BT303,,T303)*(1-R303)+INDEX(Models!$BJ303:$BT303,,T303+1)*R303-ERP_i)*Q303*Ramure*Pc/MaxiM</f>
        <v>1.8645022548371294E-5</v>
      </c>
      <c r="Q303" s="304">
        <f t="shared" si="105"/>
        <v>0.6</v>
      </c>
      <c r="R303" s="177">
        <f t="shared" si="106"/>
        <v>0.4717019780158711</v>
      </c>
      <c r="S303" s="799">
        <f t="shared" si="107"/>
        <v>-1</v>
      </c>
      <c r="T303" s="176">
        <f t="shared" si="108"/>
        <v>5</v>
      </c>
      <c r="U303" s="250">
        <f t="shared" si="109"/>
        <v>-0.5282980219841289</v>
      </c>
      <c r="V303" s="382">
        <f t="shared" si="110"/>
        <v>39.294987686499965</v>
      </c>
      <c r="W303" s="400">
        <f t="shared" si="111"/>
        <v>34.437875684677365</v>
      </c>
      <c r="X303" s="157">
        <f t="shared" si="112"/>
        <v>46676</v>
      </c>
      <c r="Y303" s="383">
        <f t="shared" si="113"/>
        <v>33.325618057509274</v>
      </c>
      <c r="Z303" s="383">
        <f t="shared" si="114"/>
        <v>35.419799467458347</v>
      </c>
      <c r="AA303" s="384">
        <f t="shared" si="115"/>
        <v>37.685323849870777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6.0116887715698807E-2</v>
      </c>
      <c r="AD303" s="230">
        <f>(INDEX(Models!$BJ303:$BT303,,AH303)*(1-AF303)+INDEX(Models!$BJ303:$BT303,,AH303+1)*AF303-ERP_i)*AE303*Ramure*Pc/MaxiM</f>
        <v>1.3132015309898269E-4</v>
      </c>
      <c r="AE303" s="304">
        <f t="shared" si="117"/>
        <v>0.6</v>
      </c>
      <c r="AF303" s="177">
        <f t="shared" si="118"/>
        <v>0.99668954438984958</v>
      </c>
      <c r="AG303" s="799">
        <f t="shared" si="124"/>
        <v>2</v>
      </c>
      <c r="AH303" s="176">
        <f t="shared" si="119"/>
        <v>8</v>
      </c>
      <c r="AI303" s="224">
        <f t="shared" si="120"/>
        <v>2.9966895443898496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46677</v>
      </c>
      <c r="B304" s="409">
        <f>IF(t&gt;Tmaj,'2026'!Wh/'2026'!Env_an*'2027'!Env_an,0.001*'[12]mon-tableau (1)'!$B$258)</f>
        <v>19.250594170591196</v>
      </c>
      <c r="C304" s="829"/>
      <c r="D304" s="391">
        <f t="shared" si="102"/>
        <v>20.460693385103838</v>
      </c>
      <c r="E304" s="383">
        <f t="shared" si="125"/>
        <v>21.070161949081758</v>
      </c>
      <c r="F304" s="383">
        <f t="shared" si="103"/>
        <v>21.070272445558423</v>
      </c>
      <c r="G304" s="110">
        <f t="shared" si="126"/>
        <v>0.49387538361586558</v>
      </c>
      <c r="H304" s="412" t="b">
        <f>Wh_hp&gt;='2026'!Maxi_hp</f>
        <v>0</v>
      </c>
      <c r="I304" s="388">
        <f>IF(H304,Wh_hp,'2026'!Maxi_hp)</f>
        <v>39.356868501239063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5.9142629809097236E-2</v>
      </c>
      <c r="M304" s="832"/>
      <c r="N304" s="832"/>
      <c r="O304" s="48">
        <f>IF(t&lt;Tnet,'2026'!Resal+('2026'!Salim-'2026'!Resal)*(1-EXP(('2026'!Tnet-t)/('2026'!Tau_j))),Resal+(Salim-Resal)*(1-EXP((Tnet-t)/(Tau_j))))*Salcycl</f>
        <v>2.8925670597633058E-2</v>
      </c>
      <c r="P304" s="169">
        <f>(INDEX(Models!$BJ304:$BT304,,T304)*(1-R304)+INDEX(Models!$BJ304:$BT304,,T304+1)*R304-ERP_i)*Q304*Ramure*Pc/MaxiM</f>
        <v>1.893383132028928E-5</v>
      </c>
      <c r="Q304" s="304">
        <f t="shared" si="105"/>
        <v>0.6</v>
      </c>
      <c r="R304" s="177">
        <f t="shared" si="106"/>
        <v>0.47180566058111595</v>
      </c>
      <c r="S304" s="799">
        <f t="shared" si="107"/>
        <v>-1</v>
      </c>
      <c r="T304" s="176">
        <f t="shared" si="108"/>
        <v>5</v>
      </c>
      <c r="U304" s="250">
        <f t="shared" si="109"/>
        <v>-0.52819433941888405</v>
      </c>
      <c r="V304" s="382">
        <f t="shared" si="110"/>
        <v>38.978113252998803</v>
      </c>
      <c r="W304" s="400">
        <f t="shared" si="111"/>
        <v>19.250594170591196</v>
      </c>
      <c r="X304" s="157">
        <f t="shared" si="112"/>
        <v>46677</v>
      </c>
      <c r="Y304" s="383">
        <f t="shared" si="113"/>
        <v>18.630979190188334</v>
      </c>
      <c r="Z304" s="383">
        <f t="shared" si="114"/>
        <v>19.802129186072118</v>
      </c>
      <c r="AA304" s="384">
        <f t="shared" si="115"/>
        <v>21.069468527001504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6.0150513018647503E-2</v>
      </c>
      <c r="AD304" s="230">
        <f>(INDEX(Models!$BJ304:$BT304,,AH304)*(1-AF304)+INDEX(Models!$BJ304:$BT304,,AH304+1)*AF304-ERP_i)*AE304*Ramure*Pc/MaxiM</f>
        <v>1.3775333668117351E-4</v>
      </c>
      <c r="AE304" s="304">
        <f t="shared" si="117"/>
        <v>0.6</v>
      </c>
      <c r="AF304" s="177">
        <f t="shared" si="118"/>
        <v>0.99679322695509454</v>
      </c>
      <c r="AG304" s="799">
        <f t="shared" si="124"/>
        <v>2</v>
      </c>
      <c r="AH304" s="176">
        <f t="shared" si="119"/>
        <v>8</v>
      </c>
      <c r="AI304" s="224">
        <f t="shared" si="120"/>
        <v>2.9967932269550945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46678</v>
      </c>
      <c r="B305" s="409">
        <f>IF(t&gt;Tmaj,'2026'!Wh/'2026'!Env_an*'2027'!Env_an,0.001*'[12]mon-tableau (1)'!$B$259)</f>
        <v>37.113743760440848</v>
      </c>
      <c r="C305" s="829"/>
      <c r="D305" s="391">
        <f t="shared" si="102"/>
        <v>39.44748293035542</v>
      </c>
      <c r="E305" s="383">
        <f t="shared" si="125"/>
        <v>40.626160377893868</v>
      </c>
      <c r="F305" s="383">
        <f t="shared" si="103"/>
        <v>40.6268976031119</v>
      </c>
      <c r="G305" s="110">
        <f t="shared" si="126"/>
        <v>0.9601096974290988</v>
      </c>
      <c r="H305" s="412" t="b">
        <f>Wh_hp&gt;='2026'!Maxi_hp</f>
        <v>0</v>
      </c>
      <c r="I305" s="388">
        <f>IF(H305,Wh_hp,'2026'!Maxi_hp)</f>
        <v>40.626924180604306</v>
      </c>
      <c r="J305" s="85">
        <f>IF(H305,An,'2026'!An_max)</f>
        <v>2026</v>
      </c>
      <c r="K305" s="197">
        <f t="shared" si="104"/>
        <v>46678</v>
      </c>
      <c r="L305" s="147">
        <f>IF(t&lt;Tvie,1-EXP((T0-t)*PertePVj)+'2026'!Pspv,1-EXP((T0-t)*PertePVj)+Pspv)</f>
        <v>5.9160661125952974E-2</v>
      </c>
      <c r="M305" s="832"/>
      <c r="N305" s="832"/>
      <c r="O305" s="48">
        <f>IF(t&lt;Tnet,'2026'!Resal+('2026'!Salim-'2026'!Resal)*(1-EXP(('2026'!Tnet-t)/('2026'!Tau_j))),Resal+(Salim-Resal)*(1-EXP((Tnet-t)/(Tau_j))))*Salcycl</f>
        <v>2.9012770012590412E-2</v>
      </c>
      <c r="P305" s="169">
        <f>(INDEX(Models!$BJ305:$BT305,,T305)*(1-R305)+INDEX(Models!$BJ305:$BT305,,T305+1)*R305-ERP_i)*Q305*Ramure*Pc/MaxiM</f>
        <v>1.9242777470076911E-5</v>
      </c>
      <c r="Q305" s="304">
        <f t="shared" si="105"/>
        <v>0.6</v>
      </c>
      <c r="R305" s="177">
        <f t="shared" si="106"/>
        <v>0.47190520917155643</v>
      </c>
      <c r="S305" s="799">
        <f t="shared" si="107"/>
        <v>-1</v>
      </c>
      <c r="T305" s="176">
        <f t="shared" si="108"/>
        <v>5</v>
      </c>
      <c r="U305" s="250">
        <f t="shared" si="109"/>
        <v>-0.52809479082844357</v>
      </c>
      <c r="V305" s="382">
        <f t="shared" si="110"/>
        <v>38.655690242764955</v>
      </c>
      <c r="W305" s="400">
        <f t="shared" si="111"/>
        <v>37.113743760440848</v>
      </c>
      <c r="X305" s="157">
        <f t="shared" si="112"/>
        <v>46678</v>
      </c>
      <c r="Y305" s="383">
        <f t="shared" si="113"/>
        <v>35.918092744582559</v>
      </c>
      <c r="Z305" s="383">
        <f t="shared" si="114"/>
        <v>38.176648510007745</v>
      </c>
      <c r="AA305" s="384">
        <f t="shared" si="115"/>
        <v>40.621374681745777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6.0183245665406573E-2</v>
      </c>
      <c r="AD305" s="230">
        <f>(INDEX(Models!$BJ305:$BT305,,AH305)*(1-AF305)+INDEX(Models!$BJ305:$BT305,,AH305+1)*AF305-ERP_i)*AE305*Ramure*Pc/MaxiM</f>
        <v>1.4415723205513391E-4</v>
      </c>
      <c r="AE305" s="304">
        <f t="shared" si="117"/>
        <v>0.6</v>
      </c>
      <c r="AF305" s="177">
        <f t="shared" si="118"/>
        <v>0.99689277554553524</v>
      </c>
      <c r="AG305" s="799">
        <f t="shared" si="124"/>
        <v>2</v>
      </c>
      <c r="AH305" s="176">
        <f t="shared" si="119"/>
        <v>8</v>
      </c>
      <c r="AI305" s="224">
        <f t="shared" si="120"/>
        <v>2.9968927755455352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46679</v>
      </c>
      <c r="B306" s="409">
        <f>IF(t&gt;Tmaj,'2026'!Wh/'2026'!Env_an*'2027'!Env_an,0.001*'[12]mon-tableau (1)'!$B$260)</f>
        <v>17.432417333886946</v>
      </c>
      <c r="C306" s="829"/>
      <c r="D306" s="391">
        <f t="shared" si="102"/>
        <v>18.5289355029029</v>
      </c>
      <c r="E306" s="383">
        <f t="shared" si="125"/>
        <v>19.084274220525177</v>
      </c>
      <c r="F306" s="383">
        <f t="shared" si="103"/>
        <v>19.084356826092428</v>
      </c>
      <c r="G306" s="110">
        <f t="shared" si="126"/>
        <v>0.45480554827515929</v>
      </c>
      <c r="H306" s="412" t="b">
        <f>Wh_hp&gt;='2026'!Maxi_hp</f>
        <v>0</v>
      </c>
      <c r="I306" s="388">
        <f>IF(H306,Wh_hp,'2026'!Maxi_hp)</f>
        <v>40.405295591154072</v>
      </c>
      <c r="J306" s="85">
        <f>IF(H306,An,'2026'!An_max)</f>
        <v>2020</v>
      </c>
      <c r="K306" s="197">
        <f t="shared" si="104"/>
        <v>46679</v>
      </c>
      <c r="L306" s="147">
        <f>IF(t&lt;Tvie,1-EXP((T0-t)*PertePVj)+'2026'!Pspv,1-EXP((T0-t)*PertePVj)+Pspv)</f>
        <v>5.9178692097242469E-2</v>
      </c>
      <c r="M306" s="832"/>
      <c r="N306" s="832"/>
      <c r="O306" s="48">
        <f>IF(t&lt;Tnet,'2026'!Resal+('2026'!Salim-'2026'!Resal)*(1-EXP(('2026'!Tnet-t)/('2026'!Tau_j))),Resal+(Salim-Resal)*(1-EXP((Tnet-t)/(Tau_j))))*Salcycl</f>
        <v>2.9099284112413915E-2</v>
      </c>
      <c r="P306" s="169">
        <f>(INDEX(Models!$BJ306:$BT306,,T306)*(1-R306)+INDEX(Models!$BJ306:$BT306,,T306+1)*R306-ERP_i)*Q306*Ramure*Pc/MaxiM</f>
        <v>1.9571488593210395E-5</v>
      </c>
      <c r="Q306" s="304">
        <f t="shared" si="105"/>
        <v>0.6</v>
      </c>
      <c r="R306" s="177">
        <f t="shared" si="106"/>
        <v>0.47200078705298654</v>
      </c>
      <c r="S306" s="799">
        <f t="shared" si="107"/>
        <v>-1</v>
      </c>
      <c r="T306" s="176">
        <f t="shared" si="108"/>
        <v>5</v>
      </c>
      <c r="U306" s="250">
        <f t="shared" si="109"/>
        <v>-0.52799921294701346</v>
      </c>
      <c r="V306" s="382">
        <f t="shared" si="110"/>
        <v>38.328801563065213</v>
      </c>
      <c r="W306" s="400">
        <f t="shared" si="111"/>
        <v>17.432417333886946</v>
      </c>
      <c r="X306" s="157">
        <f t="shared" si="112"/>
        <v>46679</v>
      </c>
      <c r="Y306" s="383">
        <f t="shared" si="113"/>
        <v>16.873247297696683</v>
      </c>
      <c r="Z306" s="383">
        <f t="shared" si="114"/>
        <v>17.93459305817581</v>
      </c>
      <c r="AA306" s="384">
        <f t="shared" si="115"/>
        <v>19.083721490256583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6.0215112270815448E-2</v>
      </c>
      <c r="AD306" s="230">
        <f>(INDEX(Models!$BJ306:$BT306,,AH306)*(1-AF306)+INDEX(Models!$BJ306:$BT306,,AH306+1)*AF306-ERP_i)*AE306*Ramure*Pc/MaxiM</f>
        <v>1.5052820866426364E-4</v>
      </c>
      <c r="AE306" s="304">
        <f t="shared" si="117"/>
        <v>0.6</v>
      </c>
      <c r="AF306" s="177">
        <f t="shared" si="118"/>
        <v>0.99698835342696501</v>
      </c>
      <c r="AG306" s="799">
        <f t="shared" si="124"/>
        <v>2</v>
      </c>
      <c r="AH306" s="176">
        <f t="shared" si="119"/>
        <v>8</v>
      </c>
      <c r="AI306" s="224">
        <f t="shared" si="120"/>
        <v>2.996988353426965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46680</v>
      </c>
      <c r="B307" s="409">
        <f>IF(t&gt;Tmaj,'2026'!Wh/'2026'!Env_an*'2027'!Env_an,0.001*'[12]mon-tableau (1)'!$B$261)</f>
        <v>6.9919641301526632</v>
      </c>
      <c r="C307" s="829"/>
      <c r="D307" s="391">
        <f t="shared" si="102"/>
        <v>7.4319087730960582</v>
      </c>
      <c r="E307" s="383">
        <f t="shared" si="125"/>
        <v>7.6553313415057742</v>
      </c>
      <c r="F307" s="383">
        <f t="shared" si="103"/>
        <v>7.6553313415057742</v>
      </c>
      <c r="G307" s="110">
        <f t="shared" si="126"/>
        <v>0.18400251089627406</v>
      </c>
      <c r="H307" s="412" t="b">
        <f>Wh_hp&gt;='2026'!Maxi_hp</f>
        <v>0</v>
      </c>
      <c r="I307" s="388">
        <f>IF(H307,Wh_hp,'2026'!Maxi_hp)</f>
        <v>35.276334723455363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5.9196722722972606E-2</v>
      </c>
      <c r="M307" s="832"/>
      <c r="N307" s="832"/>
      <c r="O307" s="48">
        <f>IF(t&lt;Tnet,'2026'!Resal+('2026'!Salim-'2026'!Resal)*(1-EXP(('2026'!Tnet-t)/('2026'!Tau_j))),Resal+(Salim-Resal)*(1-EXP((Tnet-t)/(Tau_j))))*Salcycl</f>
        <v>2.9185225099057546E-2</v>
      </c>
      <c r="P307" s="169">
        <f>(INDEX(Models!$BJ307:$BT307,,T307)*(1-R307)+INDEX(Models!$BJ307:$BT307,,T307+1)*R307-ERP_i)*Q307*Ramure*Pc/MaxiM</f>
        <v>1.9919557918102891E-5</v>
      </c>
      <c r="Q307" s="304">
        <f t="shared" si="105"/>
        <v>0.6</v>
      </c>
      <c r="R307" s="177">
        <f t="shared" si="106"/>
        <v>0.47209255116597992</v>
      </c>
      <c r="S307" s="799">
        <f t="shared" si="107"/>
        <v>-1</v>
      </c>
      <c r="T307" s="176">
        <f t="shared" si="108"/>
        <v>5</v>
      </c>
      <c r="U307" s="250">
        <f t="shared" si="109"/>
        <v>-0.52790744883402008</v>
      </c>
      <c r="V307" s="382">
        <f t="shared" si="110"/>
        <v>37.998529581260144</v>
      </c>
      <c r="W307" s="400">
        <f t="shared" si="111"/>
        <v>6.9919641301526632</v>
      </c>
      <c r="X307" s="157">
        <f t="shared" si="112"/>
        <v>46680</v>
      </c>
      <c r="Y307" s="383">
        <f t="shared" si="113"/>
        <v>6.7682584067614293</v>
      </c>
      <c r="Z307" s="383">
        <f t="shared" si="114"/>
        <v>7.1941271573275554</v>
      </c>
      <c r="AA307" s="384">
        <f t="shared" si="115"/>
        <v>7.6553313415057742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6.0246142668920886E-2</v>
      </c>
      <c r="AD307" s="230">
        <f>(INDEX(Models!$BJ307:$BT307,,AH307)*(1-AF307)+INDEX(Models!$BJ307:$BT307,,AH307+1)*AF307-ERP_i)*AE307*Ramure*Pc/MaxiM</f>
        <v>1.5686204043605619E-4</v>
      </c>
      <c r="AE307" s="304">
        <f t="shared" si="117"/>
        <v>0.6</v>
      </c>
      <c r="AF307" s="177">
        <f t="shared" si="118"/>
        <v>0.99708011753995862</v>
      </c>
      <c r="AG307" s="799">
        <f t="shared" si="124"/>
        <v>2</v>
      </c>
      <c r="AH307" s="176">
        <f t="shared" si="119"/>
        <v>8</v>
      </c>
      <c r="AI307" s="224">
        <f t="shared" si="120"/>
        <v>2.9970801175399586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46681</v>
      </c>
      <c r="B308" s="409">
        <f>IF(t&gt;Tmaj,'2026'!Wh/'2026'!Env_an*'2027'!Env_an,0.001*'[12]mon-tableau (1)'!$B$262)</f>
        <v>18.056967084498815</v>
      </c>
      <c r="C308" s="829"/>
      <c r="D308" s="391">
        <f t="shared" si="102"/>
        <v>19.193505789062691</v>
      </c>
      <c r="E308" s="383">
        <f t="shared" si="125"/>
        <v>19.772251592525731</v>
      </c>
      <c r="F308" s="383">
        <f t="shared" si="103"/>
        <v>19.772354390560004</v>
      </c>
      <c r="G308" s="110">
        <f t="shared" si="126"/>
        <v>0.47939031695392709</v>
      </c>
      <c r="H308" s="412" t="b">
        <f>Wh_hp&gt;='2026'!Maxi_hp</f>
        <v>0</v>
      </c>
      <c r="I308" s="388">
        <f>IF(H308,Wh_hp,'2026'!Maxi_hp)</f>
        <v>23.212774519208907</v>
      </c>
      <c r="J308" s="85">
        <f>IF(H308,An,'2026'!An_max)</f>
        <v>2018</v>
      </c>
      <c r="K308" s="197">
        <f t="shared" si="104"/>
        <v>46681</v>
      </c>
      <c r="L308" s="147">
        <f>IF(t&lt;Tvie,1-EXP((T0-t)*PertePVj)+'2026'!Pspv,1-EXP((T0-t)*PertePVj)+Pspv)</f>
        <v>5.9214753003149934E-2</v>
      </c>
      <c r="M308" s="832"/>
      <c r="N308" s="832"/>
      <c r="O308" s="48">
        <f>IF(t&lt;Tnet,'2026'!Resal+('2026'!Salim-'2026'!Resal)*(1-EXP(('2026'!Tnet-t)/('2026'!Tau_j))),Resal+(Salim-Resal)*(1-EXP((Tnet-t)/(Tau_j))))*Salcycl</f>
        <v>2.9270606878268563E-2</v>
      </c>
      <c r="P308" s="169">
        <f>(INDEX(Models!$BJ308:$BT308,,T308)*(1-R308)+INDEX(Models!$BJ308:$BT308,,T308+1)*R308-ERP_i)*Q308*Ramure*Pc/MaxiM</f>
        <v>2.0286538837641992E-5</v>
      </c>
      <c r="Q308" s="304">
        <f t="shared" si="105"/>
        <v>0.6</v>
      </c>
      <c r="R308" s="177">
        <f t="shared" si="106"/>
        <v>0.47218065236126527</v>
      </c>
      <c r="S308" s="799">
        <f t="shared" si="107"/>
        <v>-1</v>
      </c>
      <c r="T308" s="176">
        <f t="shared" si="108"/>
        <v>5</v>
      </c>
      <c r="U308" s="250">
        <f t="shared" si="109"/>
        <v>-0.52781934763873473</v>
      </c>
      <c r="V308" s="382">
        <f t="shared" si="110"/>
        <v>37.665956133723355</v>
      </c>
      <c r="W308" s="400">
        <f t="shared" si="111"/>
        <v>18.056967084498815</v>
      </c>
      <c r="X308" s="157">
        <f t="shared" si="112"/>
        <v>46681</v>
      </c>
      <c r="Y308" s="383">
        <f t="shared" si="113"/>
        <v>17.479575133475201</v>
      </c>
      <c r="Z308" s="383">
        <f t="shared" si="114"/>
        <v>18.579771727153503</v>
      </c>
      <c r="AA308" s="384">
        <f t="shared" si="115"/>
        <v>19.771527640331822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6.0276369881873175E-2</v>
      </c>
      <c r="AD308" s="230">
        <f>(INDEX(Models!$BJ308:$BT308,,AH308)*(1-AF308)+INDEX(Models!$BJ308:$BT308,,AH308+1)*AF308-ERP_i)*AE308*Ramure*Pc/MaxiM</f>
        <v>1.6315390397774151E-4</v>
      </c>
      <c r="AE308" s="304">
        <f t="shared" si="117"/>
        <v>0.6</v>
      </c>
      <c r="AF308" s="177">
        <f t="shared" si="118"/>
        <v>0.99716821873524397</v>
      </c>
      <c r="AG308" s="799">
        <f t="shared" si="124"/>
        <v>2</v>
      </c>
      <c r="AH308" s="176">
        <f t="shared" si="119"/>
        <v>8</v>
      </c>
      <c r="AI308" s="224">
        <f t="shared" si="120"/>
        <v>2.997168218735244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46682</v>
      </c>
      <c r="B309" s="409">
        <f>IF(t&gt;Tmaj,'2026'!Wh/'2026'!Env_an*'2027'!Env_an,0.001*'[12]mon-tableau (1)'!$B$263)</f>
        <v>35.192004051075536</v>
      </c>
      <c r="C309" s="829"/>
      <c r="D309" s="391">
        <f t="shared" si="102"/>
        <v>37.407770395073257</v>
      </c>
      <c r="E309" s="383">
        <f t="shared" si="125"/>
        <v>38.539102912977818</v>
      </c>
      <c r="F309" s="383">
        <f t="shared" si="103"/>
        <v>38.53983435981079</v>
      </c>
      <c r="G309" s="110">
        <f t="shared" si="126"/>
        <v>0.94267093245887967</v>
      </c>
      <c r="H309" s="412" t="b">
        <f>Wh_hp&gt;='2026'!Maxi_hp</f>
        <v>0</v>
      </c>
      <c r="I309" s="388">
        <f>IF(H309,Wh_hp,'2026'!Maxi_hp)</f>
        <v>38.53987356239567</v>
      </c>
      <c r="J309" s="85">
        <f>IF(H309,An,'2026'!An_max)</f>
        <v>2026</v>
      </c>
      <c r="K309" s="197">
        <f t="shared" si="104"/>
        <v>46682</v>
      </c>
      <c r="L309" s="147">
        <f>IF(t&lt;Tvie,1-EXP((T0-t)*PertePVj)+'2026'!Pspv,1-EXP((T0-t)*PertePVj)+Pspv)</f>
        <v>5.9232782937781003E-2</v>
      </c>
      <c r="M309" s="832"/>
      <c r="N309" s="832"/>
      <c r="O309" s="48">
        <f>IF(t&lt;Tnet,'2026'!Resal+('2026'!Salim-'2026'!Resal)*(1-EXP(('2026'!Tnet-t)/('2026'!Tau_j))),Resal+(Salim-Resal)*(1-EXP((Tnet-t)/(Tau_j))))*Salcycl</f>
        <v>2.9355445051721517E-2</v>
      </c>
      <c r="P309" s="169">
        <f>(INDEX(Models!$BJ309:$BT309,,T309)*(1-R309)+INDEX(Models!$BJ309:$BT309,,T309+1)*R309-ERP_i)*Q309*Ramure*Pc/MaxiM</f>
        <v>2.0671939442752884E-5</v>
      </c>
      <c r="Q309" s="304">
        <f t="shared" si="105"/>
        <v>0.6</v>
      </c>
      <c r="R309" s="177">
        <f t="shared" si="106"/>
        <v>0.47226523562711109</v>
      </c>
      <c r="S309" s="799">
        <f t="shared" si="107"/>
        <v>-1</v>
      </c>
      <c r="T309" s="176">
        <f t="shared" si="108"/>
        <v>5</v>
      </c>
      <c r="U309" s="250">
        <f t="shared" si="109"/>
        <v>-0.52773476437288891</v>
      </c>
      <c r="V309" s="382">
        <f t="shared" si="110"/>
        <v>37.332162539046116</v>
      </c>
      <c r="W309" s="400">
        <f t="shared" si="111"/>
        <v>35.192004051075536</v>
      </c>
      <c r="X309" s="157">
        <f t="shared" si="112"/>
        <v>46682</v>
      </c>
      <c r="Y309" s="383">
        <f t="shared" si="113"/>
        <v>34.06520464507517</v>
      </c>
      <c r="Z309" s="383">
        <f t="shared" si="114"/>
        <v>36.210025208416909</v>
      </c>
      <c r="AA309" s="384">
        <f t="shared" si="115"/>
        <v>38.53384044198566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6.0305830068180098E-2</v>
      </c>
      <c r="AD309" s="230">
        <f>(INDEX(Models!$BJ309:$BT309,,AH309)*(1-AF309)+INDEX(Models!$BJ309:$BT309,,AH309+1)*AF309-ERP_i)*AE309*Ramure*Pc/MaxiM</f>
        <v>1.6939837691562189E-4</v>
      </c>
      <c r="AE309" s="304">
        <f t="shared" si="117"/>
        <v>0.6</v>
      </c>
      <c r="AF309" s="177">
        <f t="shared" si="118"/>
        <v>0.99725280200109001</v>
      </c>
      <c r="AG309" s="799">
        <f t="shared" si="124"/>
        <v>2</v>
      </c>
      <c r="AH309" s="176">
        <f t="shared" si="119"/>
        <v>8</v>
      </c>
      <c r="AI309" s="224">
        <f t="shared" si="120"/>
        <v>2.99725280200109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46683</v>
      </c>
      <c r="B310" s="409">
        <f>IF(t&gt;Tmaj,'2026'!Wh/'2026'!Env_an*'2027'!Env_an,0.001*'[12]mon-tableau (1)'!$B$264)</f>
        <v>17.108204188797259</v>
      </c>
      <c r="C310" s="829"/>
      <c r="D310" s="391">
        <f t="shared" si="102"/>
        <v>18.185723056269932</v>
      </c>
      <c r="E310" s="383">
        <f t="shared" si="125"/>
        <v>18.737345966444558</v>
      </c>
      <c r="F310" s="383">
        <f t="shared" si="103"/>
        <v>18.737437444070903</v>
      </c>
      <c r="G310" s="110">
        <f t="shared" si="126"/>
        <v>0.46239853459003655</v>
      </c>
      <c r="H310" s="412" t="b">
        <f>Wh_hp&gt;='2026'!Maxi_hp</f>
        <v>0</v>
      </c>
      <c r="I310" s="388">
        <f>IF(H310,Wh_hp,'2026'!Maxi_hp)</f>
        <v>37.731513799556055</v>
      </c>
      <c r="J310" s="85">
        <f>IF(H310,An,'2026'!An_max)</f>
        <v>2021</v>
      </c>
      <c r="K310" s="197">
        <f t="shared" si="104"/>
        <v>46683</v>
      </c>
      <c r="L310" s="147">
        <f>IF(t&lt;Tvie,1-EXP((T0-t)*PertePVj)+'2026'!Pspv,1-EXP((T0-t)*PertePVj)+Pspv)</f>
        <v>5.9250812526872476E-2</v>
      </c>
      <c r="M310" s="832"/>
      <c r="N310" s="832"/>
      <c r="O310" s="48">
        <f>IF(t&lt;Tnet,'2026'!Resal+('2026'!Salim-'2026'!Resal)*(1-EXP(('2026'!Tnet-t)/('2026'!Tau_j))),Resal+(Salim-Resal)*(1-EXP((Tnet-t)/(Tau_j))))*Salcycl</f>
        <v>2.9439756898468429E-2</v>
      </c>
      <c r="P310" s="169">
        <f>(INDEX(Models!$BJ310:$BT310,,T310)*(1-R310)+INDEX(Models!$BJ310:$BT310,,T310+1)*R310-ERP_i)*Q310*Ramure*Pc/MaxiM</f>
        <v>2.1042660161669867E-5</v>
      </c>
      <c r="Q310" s="304">
        <f t="shared" si="105"/>
        <v>0.6</v>
      </c>
      <c r="R310" s="177">
        <f t="shared" si="106"/>
        <v>0.47234644030893291</v>
      </c>
      <c r="S310" s="799">
        <f t="shared" si="107"/>
        <v>-1</v>
      </c>
      <c r="T310" s="176">
        <f t="shared" si="108"/>
        <v>5</v>
      </c>
      <c r="U310" s="250">
        <f t="shared" si="109"/>
        <v>-0.52765355969106709</v>
      </c>
      <c r="V310" s="382">
        <f t="shared" si="110"/>
        <v>36.998230809861006</v>
      </c>
      <c r="W310" s="400">
        <f t="shared" si="111"/>
        <v>17.108204188797259</v>
      </c>
      <c r="X310" s="157">
        <f t="shared" si="112"/>
        <v>46683</v>
      </c>
      <c r="Y310" s="383">
        <f t="shared" si="113"/>
        <v>16.563020854883483</v>
      </c>
      <c r="Z310" s="383">
        <f t="shared" si="114"/>
        <v>17.606202668505208</v>
      </c>
      <c r="AA310" s="384">
        <f t="shared" si="115"/>
        <v>18.736671548134467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6.0334562450170874E-2</v>
      </c>
      <c r="AD310" s="230">
        <f>(INDEX(Models!$BJ310:$BT310,,AH310)*(1-AF310)+INDEX(Models!$BJ310:$BT310,,AH310+1)*AF310-ERP_i)*AE310*Ramure*Pc/MaxiM</f>
        <v>1.7617955946134804E-4</v>
      </c>
      <c r="AE310" s="304">
        <f t="shared" si="117"/>
        <v>0.6</v>
      </c>
      <c r="AF310" s="177">
        <f t="shared" si="118"/>
        <v>0.9973340066829115</v>
      </c>
      <c r="AG310" s="799">
        <f t="shared" si="124"/>
        <v>2</v>
      </c>
      <c r="AH310" s="176">
        <f t="shared" si="119"/>
        <v>8</v>
      </c>
      <c r="AI310" s="224">
        <f t="shared" si="120"/>
        <v>2.9973340066829115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46684</v>
      </c>
      <c r="B311" s="409">
        <f>IF(t&gt;Tmaj,'2026'!Wh/'2026'!Env_an*'2027'!Env_an,0.001*'[12]mon-tableau (1)'!$B$265)</f>
        <v>29.054583855934219</v>
      </c>
      <c r="C311" s="829"/>
      <c r="D311" s="391">
        <f t="shared" si="102"/>
        <v>30.885108462458255</v>
      </c>
      <c r="E311" s="383">
        <f t="shared" si="125"/>
        <v>31.82468654806301</v>
      </c>
      <c r="F311" s="383">
        <f t="shared" si="103"/>
        <v>31.825164787078453</v>
      </c>
      <c r="G311" s="110">
        <f t="shared" si="126"/>
        <v>0.79242349913749122</v>
      </c>
      <c r="H311" s="412" t="b">
        <f>Wh_hp&gt;='2026'!Maxi_hp</f>
        <v>0</v>
      </c>
      <c r="I311" s="388">
        <f>IF(H311,Wh_hp,'2026'!Maxi_hp)</f>
        <v>41.981963629803325</v>
      </c>
      <c r="J311" s="85">
        <f>IF(H311,An,'2026'!An_max)</f>
        <v>2021</v>
      </c>
      <c r="K311" s="197">
        <f t="shared" si="104"/>
        <v>46684</v>
      </c>
      <c r="L311" s="147">
        <f>IF(t&lt;Tvie,1-EXP((T0-t)*PertePVj)+'2026'!Pspv,1-EXP((T0-t)*PertePVj)+Pspv)</f>
        <v>5.9268841770431013E-2</v>
      </c>
      <c r="M311" s="832"/>
      <c r="N311" s="832"/>
      <c r="O311" s="48">
        <f>IF(t&lt;Tnet,'2026'!Resal+('2026'!Salim-'2026'!Resal)*(1-EXP(('2026'!Tnet-t)/('2026'!Tau_j))),Resal+(Salim-Resal)*(1-EXP((Tnet-t)/(Tau_j))))*Salcycl</f>
        <v>2.9523561345553666E-2</v>
      </c>
      <c r="P311" s="169">
        <f>(INDEX(Models!$BJ311:$BT311,,T311)*(1-R311)+INDEX(Models!$BJ311:$BT311,,T311+1)*R311-ERP_i)*Q311*Ramure*Pc/MaxiM</f>
        <v>2.1361374091457086E-5</v>
      </c>
      <c r="Q311" s="304">
        <f t="shared" si="105"/>
        <v>0.6</v>
      </c>
      <c r="R311" s="177">
        <f t="shared" si="106"/>
        <v>0.4724244003213256</v>
      </c>
      <c r="S311" s="799">
        <f t="shared" si="107"/>
        <v>-1</v>
      </c>
      <c r="T311" s="176">
        <f t="shared" si="108"/>
        <v>5</v>
      </c>
      <c r="U311" s="250">
        <f t="shared" si="109"/>
        <v>-0.5275755996786744</v>
      </c>
      <c r="V311" s="382">
        <f t="shared" si="110"/>
        <v>36.665242568218304</v>
      </c>
      <c r="W311" s="400">
        <f t="shared" si="111"/>
        <v>29.054583855934219</v>
      </c>
      <c r="X311" s="157">
        <f t="shared" si="112"/>
        <v>46684</v>
      </c>
      <c r="Y311" s="383">
        <f t="shared" si="113"/>
        <v>28.128104801569112</v>
      </c>
      <c r="Z311" s="383">
        <f t="shared" si="114"/>
        <v>29.900258490965108</v>
      </c>
      <c r="AA311" s="384">
        <f t="shared" si="115"/>
        <v>31.821060745748628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6.0362609220691768E-2</v>
      </c>
      <c r="AD311" s="230">
        <f>(INDEX(Models!$BJ311:$BT311,,AH311)*(1-AF311)+INDEX(Models!$BJ311:$BT311,,AH311+1)*AF311-ERP_i)*AE311*Ramure*Pc/MaxiM</f>
        <v>1.8331411554182422E-4</v>
      </c>
      <c r="AE311" s="304">
        <f t="shared" si="117"/>
        <v>0.6</v>
      </c>
      <c r="AF311" s="177">
        <f t="shared" si="118"/>
        <v>0.9974119666953043</v>
      </c>
      <c r="AG311" s="799">
        <f t="shared" si="124"/>
        <v>2</v>
      </c>
      <c r="AH311" s="176">
        <f t="shared" si="119"/>
        <v>8</v>
      </c>
      <c r="AI311" s="224">
        <f t="shared" si="120"/>
        <v>2.9974119666953043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46685</v>
      </c>
      <c r="B312" s="409">
        <f>IF(t&gt;Tmaj,'2026'!Wh/'2026'!Env_an*'2027'!Env_an,0.001*'[12]mon-tableau (1)'!$B$266)</f>
        <v>23.6474693645015</v>
      </c>
      <c r="C312" s="829"/>
      <c r="D312" s="391">
        <f t="shared" si="102"/>
        <v>25.137811546550015</v>
      </c>
      <c r="E312" s="383">
        <f t="shared" si="125"/>
        <v>25.904770964135693</v>
      </c>
      <c r="F312" s="383">
        <f t="shared" si="103"/>
        <v>25.90505175984568</v>
      </c>
      <c r="G312" s="110">
        <f t="shared" si="126"/>
        <v>0.65082384561885886</v>
      </c>
      <c r="H312" s="412" t="b">
        <f>Wh_hp&gt;='2026'!Maxi_hp</f>
        <v>0</v>
      </c>
      <c r="I312" s="388">
        <f>IF(H312,Wh_hp,'2026'!Maxi_hp)</f>
        <v>38.701357747255933</v>
      </c>
      <c r="J312" s="85">
        <f>IF(H312,An,'2026'!An_max)</f>
        <v>2021</v>
      </c>
      <c r="K312" s="197">
        <f t="shared" si="104"/>
        <v>46685</v>
      </c>
      <c r="L312" s="147">
        <f>IF(t&lt;Tvie,1-EXP((T0-t)*PertePVj)+'2026'!Pspv,1-EXP((T0-t)*PertePVj)+Pspv)</f>
        <v>5.9286870668463276E-2</v>
      </c>
      <c r="M312" s="832"/>
      <c r="N312" s="832"/>
      <c r="O312" s="48">
        <f>IF(t&lt;Tnet,'2026'!Resal+('2026'!Salim-'2026'!Resal)*(1-EXP(('2026'!Tnet-t)/('2026'!Tau_j))),Resal+(Salim-Resal)*(1-EXP((Tnet-t)/(Tau_j))))*Salcycl</f>
        <v>2.9606878927727526E-2</v>
      </c>
      <c r="P312" s="169">
        <f>(INDEX(Models!$BJ312:$BT312,,T312)*(1-R312)+INDEX(Models!$BJ312:$BT312,,T312+1)*R312-ERP_i)*Q312*Ramure*Pc/MaxiM</f>
        <v>2.1627496348894265E-5</v>
      </c>
      <c r="Q312" s="304">
        <f t="shared" si="105"/>
        <v>0.6</v>
      </c>
      <c r="R312" s="177">
        <f t="shared" si="106"/>
        <v>0.47249924435273383</v>
      </c>
      <c r="S312" s="799">
        <f t="shared" si="107"/>
        <v>-1</v>
      </c>
      <c r="T312" s="176">
        <f t="shared" si="108"/>
        <v>5</v>
      </c>
      <c r="U312" s="250">
        <f t="shared" si="109"/>
        <v>-0.52750075564726617</v>
      </c>
      <c r="V312" s="382">
        <f t="shared" si="110"/>
        <v>36.3342775624971</v>
      </c>
      <c r="W312" s="400">
        <f t="shared" si="111"/>
        <v>23.6474693645015</v>
      </c>
      <c r="X312" s="157">
        <f t="shared" si="112"/>
        <v>46685</v>
      </c>
      <c r="Y312" s="383">
        <f t="shared" si="113"/>
        <v>22.89537501452137</v>
      </c>
      <c r="Z312" s="383">
        <f t="shared" si="114"/>
        <v>24.338317708811655</v>
      </c>
      <c r="AA312" s="384">
        <f t="shared" si="115"/>
        <v>25.902574587827253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6.0390015429227277E-2</v>
      </c>
      <c r="AD312" s="230">
        <f>(INDEX(Models!$BJ312:$BT312,,AH312)*(1-AF312)+INDEX(Models!$BJ312:$BT312,,AH312+1)*AF312-ERP_i)*AE312*Ramure*Pc/MaxiM</f>
        <v>1.9079717701668336E-4</v>
      </c>
      <c r="AE312" s="304">
        <f t="shared" si="117"/>
        <v>0.6</v>
      </c>
      <c r="AF312" s="177">
        <f t="shared" si="118"/>
        <v>0.99748681072671275</v>
      </c>
      <c r="AG312" s="799">
        <f t="shared" si="124"/>
        <v>2</v>
      </c>
      <c r="AH312" s="176">
        <f t="shared" si="119"/>
        <v>8</v>
      </c>
      <c r="AI312" s="224">
        <f t="shared" si="120"/>
        <v>2.9974868107267127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46686</v>
      </c>
      <c r="B313" s="409">
        <f>IF(t&gt;Tmaj,'2026'!Wh/'2026'!Env_an*'2027'!Env_an,0.001*'[12]mon-tableau (1)'!$B$267)</f>
        <v>13.056027097347874</v>
      </c>
      <c r="C313" s="829"/>
      <c r="D313" s="391">
        <f t="shared" si="102"/>
        <v>13.879127345869769</v>
      </c>
      <c r="E313" s="383">
        <f t="shared" si="125"/>
        <v>14.303803432591947</v>
      </c>
      <c r="F313" s="383">
        <f t="shared" si="103"/>
        <v>14.30383137130274</v>
      </c>
      <c r="G313" s="110">
        <f t="shared" si="126"/>
        <v>0.36259559381927636</v>
      </c>
      <c r="H313" s="412" t="b">
        <f>Wh_hp&gt;='2026'!Maxi_hp</f>
        <v>0</v>
      </c>
      <c r="I313" s="388">
        <f>IF(H313,Wh_hp,'2026'!Maxi_hp)</f>
        <v>38.488384875395617</v>
      </c>
      <c r="J313" s="85">
        <f>IF(H313,An,'2026'!An_max)</f>
        <v>2018</v>
      </c>
      <c r="K313" s="197">
        <f t="shared" si="104"/>
        <v>46686</v>
      </c>
      <c r="L313" s="147">
        <f>IF(t&lt;Tvie,1-EXP((T0-t)*PertePVj)+'2026'!Pspv,1-EXP((T0-t)*PertePVj)+Pspv)</f>
        <v>5.9304899220975704E-2</v>
      </c>
      <c r="M313" s="832"/>
      <c r="N313" s="832"/>
      <c r="O313" s="48">
        <f>IF(t&lt;Tnet,'2026'!Resal+('2026'!Salim-'2026'!Resal)*(1-EXP(('2026'!Tnet-t)/('2026'!Tau_j))),Resal+(Salim-Resal)*(1-EXP((Tnet-t)/(Tau_j))))*Salcycl</f>
        <v>2.9689731736283011E-2</v>
      </c>
      <c r="P313" s="169">
        <f>(INDEX(Models!$BJ313:$BT313,,T313)*(1-R313)+INDEX(Models!$BJ313:$BT313,,T313+1)*R313-ERP_i)*Q313*Ramure*Pc/MaxiM</f>
        <v>2.1840281327029615E-5</v>
      </c>
      <c r="Q313" s="304">
        <f t="shared" si="105"/>
        <v>0.6</v>
      </c>
      <c r="R313" s="177">
        <f t="shared" si="106"/>
        <v>0.47257109606296333</v>
      </c>
      <c r="S313" s="799">
        <f t="shared" si="107"/>
        <v>-1</v>
      </c>
      <c r="T313" s="176">
        <f t="shared" si="108"/>
        <v>5</v>
      </c>
      <c r="U313" s="250">
        <f t="shared" si="109"/>
        <v>-0.52742890393703667</v>
      </c>
      <c r="V313" s="382">
        <f t="shared" si="110"/>
        <v>36.006415062787077</v>
      </c>
      <c r="W313" s="400">
        <f t="shared" si="111"/>
        <v>13.056027097347874</v>
      </c>
      <c r="X313" s="157">
        <f t="shared" si="112"/>
        <v>46686</v>
      </c>
      <c r="Y313" s="383">
        <f t="shared" si="113"/>
        <v>12.642378215432654</v>
      </c>
      <c r="Z313" s="383">
        <f t="shared" si="114"/>
        <v>13.439400508159375</v>
      </c>
      <c r="AA313" s="384">
        <f t="shared" si="115"/>
        <v>14.303577289149393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6.0416828847813984E-2</v>
      </c>
      <c r="AD313" s="230">
        <f>(INDEX(Models!$BJ313:$BT313,,AH313)*(1-AF313)+INDEX(Models!$BJ313:$BT313,,AH313+1)*AF313-ERP_i)*AE313*Ramure*Pc/MaxiM</f>
        <v>1.9862139488984273E-4</v>
      </c>
      <c r="AE313" s="304">
        <f t="shared" si="117"/>
        <v>0.6</v>
      </c>
      <c r="AF313" s="177">
        <f t="shared" si="118"/>
        <v>0.99755866243694191</v>
      </c>
      <c r="AG313" s="799">
        <f t="shared" si="124"/>
        <v>2</v>
      </c>
      <c r="AH313" s="176">
        <f t="shared" si="119"/>
        <v>8</v>
      </c>
      <c r="AI313" s="224">
        <f t="shared" si="120"/>
        <v>2.9975586624369419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46687</v>
      </c>
      <c r="B314" s="409">
        <f>IF(t&gt;Tmaj,'2026'!Wh/'2026'!Env_an*'2027'!Env_an,0.001*'[12]mon-tableau (1)'!$B$268)</f>
        <v>16.842607497992486</v>
      </c>
      <c r="C314" s="829"/>
      <c r="D314" s="391">
        <f t="shared" si="102"/>
        <v>17.904770924139747</v>
      </c>
      <c r="E314" s="383">
        <f t="shared" si="125"/>
        <v>18.454191766965813</v>
      </c>
      <c r="F314" s="383">
        <f t="shared" si="103"/>
        <v>18.454291526889641</v>
      </c>
      <c r="G314" s="110">
        <f t="shared" si="126"/>
        <v>0.47200217572597986</v>
      </c>
      <c r="H314" s="412" t="b">
        <f>Wh_hp&gt;='2026'!Maxi_hp</f>
        <v>0</v>
      </c>
      <c r="I314" s="388">
        <f>IF(H314,Wh_hp,'2026'!Maxi_hp)</f>
        <v>29.983519029323368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5.9322927427975181E-2</v>
      </c>
      <c r="M314" s="832"/>
      <c r="N314" s="832"/>
      <c r="O314" s="48">
        <f>IF(t&lt;Tnet,'2026'!Resal+('2026'!Salim-'2026'!Resal)*(1-EXP(('2026'!Tnet-t)/('2026'!Tau_j))),Resal+(Salim-Resal)*(1-EXP((Tnet-t)/(Tau_j))))*Salcycl</f>
        <v>2.9772143357129573E-2</v>
      </c>
      <c r="P314" s="169">
        <f>(INDEX(Models!$BJ314:$BT314,,T314)*(1-R314)+INDEX(Models!$BJ314:$BT314,,T314+1)*R314-ERP_i)*Q314*Ramure*Pc/MaxiM</f>
        <v>2.1999005890952338E-5</v>
      </c>
      <c r="Q314" s="304">
        <f t="shared" si="105"/>
        <v>0.6</v>
      </c>
      <c r="R314" s="177">
        <f t="shared" si="106"/>
        <v>0.47264007427374066</v>
      </c>
      <c r="S314" s="799">
        <f t="shared" si="107"/>
        <v>-1</v>
      </c>
      <c r="T314" s="176">
        <f t="shared" si="108"/>
        <v>5</v>
      </c>
      <c r="U314" s="250">
        <f t="shared" si="109"/>
        <v>-0.52735992572625934</v>
      </c>
      <c r="V314" s="382">
        <f t="shared" si="110"/>
        <v>35.682733871856449</v>
      </c>
      <c r="W314" s="400">
        <f t="shared" si="111"/>
        <v>16.842607497992486</v>
      </c>
      <c r="X314" s="157">
        <f t="shared" si="112"/>
        <v>46687</v>
      </c>
      <c r="Y314" s="383">
        <f t="shared" si="113"/>
        <v>16.309436443833526</v>
      </c>
      <c r="Z314" s="383">
        <f t="shared" si="114"/>
        <v>17.337975931782648</v>
      </c>
      <c r="AA314" s="384">
        <f t="shared" si="115"/>
        <v>18.453353839890884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6.0443099817286627E-2</v>
      </c>
      <c r="AD314" s="230">
        <f>(INDEX(Models!$BJ314:$BT314,,AH314)*(1-AF314)+INDEX(Models!$BJ314:$BT314,,AH314+1)*AF314-ERP_i)*AE314*Ramure*Pc/MaxiM</f>
        <v>2.0677824338462936E-4</v>
      </c>
      <c r="AE314" s="304">
        <f t="shared" si="117"/>
        <v>0.6</v>
      </c>
      <c r="AF314" s="177">
        <f t="shared" si="118"/>
        <v>0.99762764064771936</v>
      </c>
      <c r="AG314" s="799">
        <f t="shared" si="124"/>
        <v>2</v>
      </c>
      <c r="AH314" s="176">
        <f t="shared" si="119"/>
        <v>8</v>
      </c>
      <c r="AI314" s="224">
        <f t="shared" si="120"/>
        <v>2.9976276406477194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46688</v>
      </c>
      <c r="B315" s="409">
        <f>IF(t&gt;Tmaj,'2026'!Wh/'2026'!Env_an*'2027'!Env_an,0.001*'[12]mon-tableau (1)'!$B$269)</f>
        <v>17.556750503275669</v>
      </c>
      <c r="C315" s="829"/>
      <c r="D315" s="391">
        <f t="shared" si="102"/>
        <v>18.664308393141948</v>
      </c>
      <c r="E315" s="383">
        <f t="shared" si="125"/>
        <v>19.238662081208101</v>
      </c>
      <c r="F315" s="383">
        <f t="shared" si="103"/>
        <v>19.238781422580832</v>
      </c>
      <c r="G315" s="110">
        <f t="shared" si="126"/>
        <v>0.49644599872454503</v>
      </c>
      <c r="H315" s="412" t="b">
        <f>Wh_hp&gt;='2026'!Maxi_hp</f>
        <v>0</v>
      </c>
      <c r="I315" s="388">
        <f>IF(H315,Wh_hp,'2026'!Maxi_hp)</f>
        <v>39.257780539476109</v>
      </c>
      <c r="J315" s="85">
        <f>IF(H315,An,'2026'!An_max)</f>
        <v>2021</v>
      </c>
      <c r="K315" s="197">
        <f t="shared" si="104"/>
        <v>46688</v>
      </c>
      <c r="L315" s="147">
        <f>IF(t&lt;Tvie,1-EXP((T0-t)*PertePVj)+'2026'!Pspv,1-EXP((T0-t)*PertePVj)+Pspv)</f>
        <v>5.9340955289468034E-2</v>
      </c>
      <c r="M315" s="832"/>
      <c r="N315" s="832"/>
      <c r="O315" s="48">
        <f>IF(t&lt;Tnet,'2026'!Resal+('2026'!Salim-'2026'!Resal)*(1-EXP(('2026'!Tnet-t)/('2026'!Tau_j))),Resal+(Salim-Resal)*(1-EXP((Tnet-t)/(Tau_j))))*Salcycl</f>
        <v>2.9854138798309199E-2</v>
      </c>
      <c r="P315" s="169">
        <f>(INDEX(Models!$BJ315:$BT315,,T315)*(1-R315)+INDEX(Models!$BJ315:$BT315,,T315+1)*R315-ERP_i)*Q315*Ramure*Pc/MaxiM</f>
        <v>2.2102982035582308E-5</v>
      </c>
      <c r="Q315" s="304">
        <f t="shared" si="105"/>
        <v>0.6</v>
      </c>
      <c r="R315" s="177">
        <f t="shared" si="106"/>
        <v>0.47270629315252277</v>
      </c>
      <c r="S315" s="799">
        <f t="shared" si="107"/>
        <v>-1</v>
      </c>
      <c r="T315" s="176">
        <f t="shared" si="108"/>
        <v>5</v>
      </c>
      <c r="U315" s="250">
        <f t="shared" si="109"/>
        <v>-0.52729370684747723</v>
      </c>
      <c r="V315" s="382">
        <f t="shared" si="110"/>
        <v>35.36431232714699</v>
      </c>
      <c r="W315" s="400">
        <f t="shared" si="111"/>
        <v>17.556750503275669</v>
      </c>
      <c r="X315" s="157">
        <f t="shared" si="112"/>
        <v>46688</v>
      </c>
      <c r="Y315" s="383">
        <f t="shared" si="113"/>
        <v>17.001793154668636</v>
      </c>
      <c r="Z315" s="383">
        <f t="shared" si="114"/>
        <v>18.074341867302813</v>
      </c>
      <c r="AA315" s="384">
        <f t="shared" si="115"/>
        <v>19.237619173247719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6.0468881074565953E-2</v>
      </c>
      <c r="AD315" s="230">
        <f>(INDEX(Models!$BJ315:$BT315,,AH315)*(1-AF315)+INDEX(Models!$BJ315:$BT315,,AH315+1)*AF315-ERP_i)*AE315*Ramure*Pc/MaxiM</f>
        <v>2.1525792391278542E-4</v>
      </c>
      <c r="AE315" s="304">
        <f t="shared" si="117"/>
        <v>0.6</v>
      </c>
      <c r="AF315" s="177">
        <f t="shared" si="118"/>
        <v>0.99769385952650147</v>
      </c>
      <c r="AG315" s="799">
        <f t="shared" si="124"/>
        <v>2</v>
      </c>
      <c r="AH315" s="176">
        <f t="shared" si="119"/>
        <v>8</v>
      </c>
      <c r="AI315" s="224">
        <f t="shared" si="120"/>
        <v>2.9976938595265015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46689</v>
      </c>
      <c r="B316" s="409">
        <f>IF(t&gt;Tmaj,'2026'!Wh/'2026'!Env_an*'2027'!Env_an,0.001*'[12]mon-tableau (1)'!$B$270)</f>
        <v>28.774514467151853</v>
      </c>
      <c r="C316" s="829"/>
      <c r="D316" s="391">
        <f t="shared" si="102"/>
        <v>30.590325045543754</v>
      </c>
      <c r="E316" s="383">
        <f t="shared" si="125"/>
        <v>31.534328648004667</v>
      </c>
      <c r="F316" s="383">
        <f t="shared" si="103"/>
        <v>31.534848470315431</v>
      </c>
      <c r="G316" s="110">
        <f t="shared" si="126"/>
        <v>0.82089934844299761</v>
      </c>
      <c r="H316" s="412" t="b">
        <f>Wh_hp&gt;='2026'!Maxi_hp</f>
        <v>0</v>
      </c>
      <c r="I316" s="388">
        <f>IF(H316,Wh_hp,'2026'!Maxi_hp)</f>
        <v>31.534957261847889</v>
      </c>
      <c r="J316" s="85">
        <f>IF(H316,An,'2026'!An_max)</f>
        <v>2026</v>
      </c>
      <c r="K316" s="197">
        <f t="shared" si="104"/>
        <v>46689</v>
      </c>
      <c r="L316" s="147">
        <f>IF(t&lt;Tvie,1-EXP((T0-t)*PertePVj)+'2026'!Pspv,1-EXP((T0-t)*PertePVj)+Pspv)</f>
        <v>5.9358982805461147E-2</v>
      </c>
      <c r="M316" s="832"/>
      <c r="N316" s="832"/>
      <c r="O316" s="48">
        <f>IF(t&lt;Tnet,'2026'!Resal+('2026'!Salim-'2026'!Resal)*(1-EXP(('2026'!Tnet-t)/('2026'!Tau_j))),Resal+(Salim-Resal)*(1-EXP((Tnet-t)/(Tau_j))))*Salcycl</f>
        <v>2.9935744407250754E-2</v>
      </c>
      <c r="P316" s="169">
        <f>(INDEX(Models!$BJ316:$BT316,,T316)*(1-R316)+INDEX(Models!$BJ316:$BT316,,T316+1)*R316-ERP_i)*Q316*Ramure*Pc/MaxiM</f>
        <v>2.2151570070439701E-5</v>
      </c>
      <c r="Q316" s="304">
        <f t="shared" si="105"/>
        <v>0.6</v>
      </c>
      <c r="R316" s="177">
        <f t="shared" si="106"/>
        <v>0.47276986238975893</v>
      </c>
      <c r="S316" s="799">
        <f t="shared" si="107"/>
        <v>-1</v>
      </c>
      <c r="T316" s="176">
        <f t="shared" si="108"/>
        <v>5</v>
      </c>
      <c r="U316" s="250">
        <f t="shared" si="109"/>
        <v>-0.52723013761024107</v>
      </c>
      <c r="V316" s="382">
        <f t="shared" si="110"/>
        <v>35.052228314187396</v>
      </c>
      <c r="W316" s="400">
        <f t="shared" si="111"/>
        <v>28.774514467151853</v>
      </c>
      <c r="X316" s="157">
        <f t="shared" si="112"/>
        <v>46689</v>
      </c>
      <c r="Y316" s="383">
        <f t="shared" si="113"/>
        <v>27.863886959776277</v>
      </c>
      <c r="Z316" s="383">
        <f t="shared" si="114"/>
        <v>29.622232552520725</v>
      </c>
      <c r="AA316" s="384">
        <f t="shared" si="115"/>
        <v>31.529590792877514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6.0494227561864129E-2</v>
      </c>
      <c r="AD316" s="230">
        <f>(INDEX(Models!$BJ316:$BT316,,AH316)*(1-AF316)+INDEX(Models!$BJ316:$BT316,,AH316+1)*AF316-ERP_i)*AE316*Ramure*Pc/MaxiM</f>
        <v>2.2404927176348865E-4</v>
      </c>
      <c r="AE316" s="304">
        <f t="shared" si="117"/>
        <v>0.6</v>
      </c>
      <c r="AF316" s="177">
        <f t="shared" si="118"/>
        <v>0.99775742876373741</v>
      </c>
      <c r="AG316" s="799">
        <f t="shared" si="124"/>
        <v>2</v>
      </c>
      <c r="AH316" s="176">
        <f t="shared" si="119"/>
        <v>8</v>
      </c>
      <c r="AI316" s="224">
        <f t="shared" si="120"/>
        <v>2.9977574287637374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46690</v>
      </c>
      <c r="B317" s="409">
        <f>IF(t&gt;Tmaj,'2026'!Wh/'2026'!Env_an*'2027'!Env_an,0.001*'[12]mon-tableau (1)'!$B$271)</f>
        <v>26.409518628858532</v>
      </c>
      <c r="C317" s="829"/>
      <c r="D317" s="391">
        <f t="shared" si="102"/>
        <v>28.076624650842945</v>
      </c>
      <c r="E317" s="383">
        <f t="shared" si="125"/>
        <v>28.945480794071198</v>
      </c>
      <c r="F317" s="383">
        <f t="shared" si="103"/>
        <v>28.945902148658224</v>
      </c>
      <c r="G317" s="110">
        <f t="shared" si="126"/>
        <v>0.76010218177829103</v>
      </c>
      <c r="H317" s="412" t="b">
        <f>Wh_hp&gt;='2026'!Maxi_hp</f>
        <v>0</v>
      </c>
      <c r="I317" s="388">
        <f>IF(H317,Wh_hp,'2026'!Maxi_hp)</f>
        <v>30.400555520503801</v>
      </c>
      <c r="J317" s="85">
        <f>IF(H317,An,'2026'!An_max)</f>
        <v>2020</v>
      </c>
      <c r="K317" s="197">
        <f t="shared" si="104"/>
        <v>46690</v>
      </c>
      <c r="L317" s="147">
        <f>IF(t&lt;Tvie,1-EXP((T0-t)*PertePVj)+'2026'!Pspv,1-EXP((T0-t)*PertePVj)+Pspv)</f>
        <v>5.9377009975960959E-2</v>
      </c>
      <c r="M317" s="832"/>
      <c r="N317" s="832"/>
      <c r="O317" s="48">
        <f>IF(t&lt;Tnet,'2026'!Resal+('2026'!Salim-'2026'!Resal)*(1-EXP(('2026'!Tnet-t)/('2026'!Tau_j))),Resal+(Salim-Resal)*(1-EXP((Tnet-t)/(Tau_j))))*Salcycl</f>
        <v>3.0016987778148034E-2</v>
      </c>
      <c r="P317" s="169">
        <f>(INDEX(Models!$BJ317:$BT317,,T317)*(1-R317)+INDEX(Models!$BJ317:$BT317,,T317+1)*R317-ERP_i)*Q317*Ramure*Pc/MaxiM</f>
        <v>2.2146185765894537E-5</v>
      </c>
      <c r="Q317" s="304">
        <f t="shared" si="105"/>
        <v>0.6</v>
      </c>
      <c r="R317" s="177">
        <f t="shared" si="106"/>
        <v>0.4728308873698015</v>
      </c>
      <c r="S317" s="799">
        <f t="shared" si="107"/>
        <v>-1</v>
      </c>
      <c r="T317" s="176">
        <f t="shared" si="108"/>
        <v>5</v>
      </c>
      <c r="U317" s="250">
        <f t="shared" si="109"/>
        <v>-0.5271691126301985</v>
      </c>
      <c r="V317" s="382">
        <f t="shared" si="110"/>
        <v>34.744431501903755</v>
      </c>
      <c r="W317" s="400">
        <f t="shared" si="111"/>
        <v>26.409518628858532</v>
      </c>
      <c r="X317" s="157">
        <f t="shared" si="112"/>
        <v>46690</v>
      </c>
      <c r="Y317" s="383">
        <f t="shared" si="113"/>
        <v>25.575493722954729</v>
      </c>
      <c r="Z317" s="383">
        <f t="shared" si="114"/>
        <v>27.189951759844938</v>
      </c>
      <c r="AA317" s="384">
        <f t="shared" si="115"/>
        <v>28.941466020819959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6.0519196218844391E-2</v>
      </c>
      <c r="AD317" s="230">
        <f>(INDEX(Models!$BJ317:$BT317,,AH317)*(1-AF317)+INDEX(Models!$BJ317:$BT317,,AH317+1)*AF317-ERP_i)*AE317*Ramure*Pc/MaxiM</f>
        <v>2.3316065426239217E-4</v>
      </c>
      <c r="AE317" s="304">
        <f t="shared" si="117"/>
        <v>0.6</v>
      </c>
      <c r="AF317" s="177">
        <f t="shared" si="118"/>
        <v>0.99781845374378042</v>
      </c>
      <c r="AG317" s="799">
        <f t="shared" si="124"/>
        <v>2</v>
      </c>
      <c r="AH317" s="176">
        <f t="shared" si="119"/>
        <v>8</v>
      </c>
      <c r="AI317" s="224">
        <f t="shared" si="120"/>
        <v>2.9978184537437804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46691</v>
      </c>
      <c r="B318" s="409">
        <f>IF(t&gt;Tmaj,'2026'!Wh/'2026'!Env_an*'2027'!Env_an,0.001*'[12]mon-tableau (1)'!$B$272)</f>
        <v>24.858929936201644</v>
      </c>
      <c r="C318" s="829"/>
      <c r="D318" s="391">
        <f t="shared" si="102"/>
        <v>26.428661243350952</v>
      </c>
      <c r="E318" s="383">
        <f t="shared" si="125"/>
        <v>27.248792614547902</v>
      </c>
      <c r="F318" s="383">
        <f t="shared" si="103"/>
        <v>27.249156691447244</v>
      </c>
      <c r="G318" s="110">
        <f t="shared" si="126"/>
        <v>0.72183369350225746</v>
      </c>
      <c r="H318" s="412" t="b">
        <f>Wh_hp&gt;='2026'!Maxi_hp</f>
        <v>0</v>
      </c>
      <c r="I318" s="388">
        <f>IF(H318,Wh_hp,'2026'!Maxi_hp)</f>
        <v>35.917509171902125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5.9395036800974133E-2</v>
      </c>
      <c r="M318" s="832"/>
      <c r="N318" s="832"/>
      <c r="O318" s="48">
        <f>IF(t&lt;Tnet,'2026'!Resal+('2026'!Salim-'2026'!Resal)*(1-EXP(('2026'!Tnet-t)/('2026'!Tau_j))),Resal+(Salim-Resal)*(1-EXP((Tnet-t)/(Tau_j))))*Salcycl</f>
        <v>3.0097897649934351E-2</v>
      </c>
      <c r="P318" s="169">
        <f>(INDEX(Models!$BJ318:$BT318,,T318)*(1-R318)+INDEX(Models!$BJ318:$BT318,,T318+1)*R318-ERP_i)*Q318*Ramure*Pc/MaxiM</f>
        <v>2.2171255387412961E-5</v>
      </c>
      <c r="Q318" s="304">
        <f t="shared" si="105"/>
        <v>0.6</v>
      </c>
      <c r="R318" s="177">
        <f t="shared" si="106"/>
        <v>0.47288946933566245</v>
      </c>
      <c r="S318" s="799">
        <f t="shared" si="107"/>
        <v>-1</v>
      </c>
      <c r="T318" s="176">
        <f t="shared" si="108"/>
        <v>5</v>
      </c>
      <c r="U318" s="250">
        <f t="shared" si="109"/>
        <v>-0.52711053066433755</v>
      </c>
      <c r="V318" s="382">
        <f t="shared" si="110"/>
        <v>34.438280097426073</v>
      </c>
      <c r="W318" s="400">
        <f t="shared" si="111"/>
        <v>24.858929936201644</v>
      </c>
      <c r="X318" s="157">
        <f t="shared" si="112"/>
        <v>46691</v>
      </c>
      <c r="Y318" s="383">
        <f t="shared" si="113"/>
        <v>24.075362199872529</v>
      </c>
      <c r="Z318" s="383">
        <f t="shared" si="114"/>
        <v>25.595614675465349</v>
      </c>
      <c r="AA318" s="384">
        <f t="shared" si="115"/>
        <v>27.245140244083409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6.0543845758924811E-2</v>
      </c>
      <c r="AD318" s="230">
        <f>(INDEX(Models!$BJ318:$BT318,,AH318)*(1-AF318)+INDEX(Models!$BJ318:$BT318,,AH318+1)*AF318-ERP_i)*AE318*Ramure*Pc/MaxiM</f>
        <v>2.4459030609973897E-4</v>
      </c>
      <c r="AE318" s="304">
        <f t="shared" si="117"/>
        <v>0.6</v>
      </c>
      <c r="AF318" s="177">
        <f t="shared" si="118"/>
        <v>0.99787703570964137</v>
      </c>
      <c r="AG318" s="799">
        <f t="shared" si="124"/>
        <v>2</v>
      </c>
      <c r="AH318" s="176">
        <f t="shared" si="119"/>
        <v>8</v>
      </c>
      <c r="AI318" s="224">
        <f t="shared" si="120"/>
        <v>2.9978770357096414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46692</v>
      </c>
      <c r="B319" s="409">
        <f>IF(t&gt;Tmaj,'2026'!Wh/'2026'!Env_an*'2027'!Env_an,0.001*'[13]mon-tableau (3)'!$B$235)</f>
        <v>19.673530242783364</v>
      </c>
      <c r="C319" s="829"/>
      <c r="D319" s="391">
        <f t="shared" si="102"/>
        <v>20.916227383934551</v>
      </c>
      <c r="E319" s="383">
        <f t="shared" si="125"/>
        <v>21.567089887974781</v>
      </c>
      <c r="F319" s="383">
        <f t="shared" si="103"/>
        <v>21.567279292937833</v>
      </c>
      <c r="G319" s="110">
        <f t="shared" si="126"/>
        <v>0.57635447792681915</v>
      </c>
      <c r="H319" s="412" t="b">
        <f>Wh_hp&gt;='2026'!Maxi_hp</f>
        <v>0</v>
      </c>
      <c r="I319" s="388">
        <f>IF(H319,Wh_hp,'2026'!Maxi_hp)</f>
        <v>33.217100495865481</v>
      </c>
      <c r="J319" s="85">
        <f>IF(H319,An,'2026'!An_max)</f>
        <v>2020</v>
      </c>
      <c r="K319" s="197">
        <f t="shared" si="104"/>
        <v>46692</v>
      </c>
      <c r="L319" s="147">
        <f>IF(t&lt;Tvie,1-EXP((T0-t)*PertePVj)+'2026'!Pspv,1-EXP((T0-t)*PertePVj)+Pspv)</f>
        <v>5.9413063280507439E-2</v>
      </c>
      <c r="M319" s="832"/>
      <c r="N319" s="832"/>
      <c r="O319" s="48">
        <f>IF(t&lt;Tnet,'2026'!Resal+('2026'!Salim-'2026'!Resal)*(1-EXP(('2026'!Tnet-t)/('2026'!Tau_j))),Resal+(Salim-Resal)*(1-EXP((Tnet-t)/(Tau_j))))*Salcycl</f>
        <v>3.0178503795411583E-2</v>
      </c>
      <c r="P319" s="169">
        <f>(INDEX(Models!$BJ319:$BT319,,T319)*(1-R319)+INDEX(Models!$BJ319:$BT319,,T319+1)*R319-ERP_i)*Q319*Ramure*Pc/MaxiM</f>
        <v>2.2244125309904674E-5</v>
      </c>
      <c r="Q319" s="304">
        <f t="shared" si="105"/>
        <v>0.6</v>
      </c>
      <c r="R319" s="177">
        <f t="shared" si="106"/>
        <v>0.47294570554780413</v>
      </c>
      <c r="S319" s="799">
        <f t="shared" si="107"/>
        <v>-1</v>
      </c>
      <c r="T319" s="176">
        <f t="shared" si="108"/>
        <v>5</v>
      </c>
      <c r="U319" s="250">
        <f t="shared" si="109"/>
        <v>-0.52705429445219587</v>
      </c>
      <c r="V319" s="382">
        <f t="shared" si="110"/>
        <v>34.133968152225002</v>
      </c>
      <c r="W319" s="400">
        <f t="shared" si="111"/>
        <v>19.673530242783364</v>
      </c>
      <c r="X319" s="157">
        <f t="shared" si="112"/>
        <v>46692</v>
      </c>
      <c r="Y319" s="383">
        <f t="shared" si="113"/>
        <v>19.055274551219597</v>
      </c>
      <c r="Z319" s="383">
        <f t="shared" si="114"/>
        <v>20.258918986988199</v>
      </c>
      <c r="AA319" s="384">
        <f t="shared" si="115"/>
        <v>21.565077712535256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6.0568236431061746E-2</v>
      </c>
      <c r="AD319" s="230">
        <f>(INDEX(Models!$BJ319:$BT319,,AH319)*(1-AF319)+INDEX(Models!$BJ319:$BT319,,AH319+1)*AF319-ERP_i)*AE319*Ramure*Pc/MaxiM</f>
        <v>2.5855832690736596E-4</v>
      </c>
      <c r="AE319" s="304">
        <f t="shared" si="117"/>
        <v>0.6</v>
      </c>
      <c r="AF319" s="177">
        <f t="shared" si="118"/>
        <v>0.99793327192178261</v>
      </c>
      <c r="AG319" s="799">
        <f t="shared" si="124"/>
        <v>2</v>
      </c>
      <c r="AH319" s="176">
        <f t="shared" si="119"/>
        <v>8</v>
      </c>
      <c r="AI319" s="224">
        <f t="shared" si="120"/>
        <v>2.9979332719217826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46693</v>
      </c>
      <c r="B320" s="409">
        <f>IF(t&gt;Tmaj,'2026'!Wh/'2026'!Env_an*'2027'!Env_an,0.001*'[13]mon-tableau (3)'!$B$236)</f>
        <v>30.373179055608915</v>
      </c>
      <c r="C320" s="829"/>
      <c r="D320" s="391">
        <f t="shared" si="102"/>
        <v>32.292348507143316</v>
      </c>
      <c r="E320" s="383">
        <f t="shared" si="125"/>
        <v>33.299966770499609</v>
      </c>
      <c r="F320" s="383">
        <f t="shared" si="103"/>
        <v>33.300602768488972</v>
      </c>
      <c r="G320" s="110">
        <f t="shared" si="126"/>
        <v>0.89777009727238966</v>
      </c>
      <c r="H320" s="412" t="b">
        <f>Wh_hp&gt;='2026'!Maxi_hp</f>
        <v>0</v>
      </c>
      <c r="I320" s="388">
        <f>IF(H320,Wh_hp,'2026'!Maxi_hp)</f>
        <v>33.300670065619556</v>
      </c>
      <c r="J320" s="85">
        <f>IF(H320,An,'2026'!An_max)</f>
        <v>2026</v>
      </c>
      <c r="K320" s="197">
        <f t="shared" si="104"/>
        <v>46693</v>
      </c>
      <c r="L320" s="147">
        <f>IF(t&lt;Tvie,1-EXP((T0-t)*PertePVj)+'2026'!Pspv,1-EXP((T0-t)*PertePVj)+Pspv)</f>
        <v>5.9431089414567317E-2</v>
      </c>
      <c r="M320" s="832"/>
      <c r="N320" s="832"/>
      <c r="O320" s="48">
        <f>IF(t&lt;Tnet,'2026'!Resal+('2026'!Salim-'2026'!Resal)*(1-EXP(('2026'!Tnet-t)/('2026'!Tau_j))),Resal+(Salim-Resal)*(1-EXP((Tnet-t)/(Tau_j))))*Salcycl</f>
        <v>3.02588369021719E-2</v>
      </c>
      <c r="P320" s="169">
        <f>(INDEX(Models!$BJ320:$BT320,,T320)*(1-R320)+INDEX(Models!$BJ320:$BT320,,T320+1)*R320-ERP_i)*Q320*Ramure*Pc/MaxiM</f>
        <v>2.2364818160843898E-5</v>
      </c>
      <c r="Q320" s="304">
        <f t="shared" si="105"/>
        <v>0.6</v>
      </c>
      <c r="R320" s="177">
        <f t="shared" si="106"/>
        <v>0.4729996894371582</v>
      </c>
      <c r="S320" s="799">
        <f t="shared" si="107"/>
        <v>-1</v>
      </c>
      <c r="T320" s="176">
        <f t="shared" si="108"/>
        <v>5</v>
      </c>
      <c r="U320" s="250">
        <f t="shared" si="109"/>
        <v>-0.5270003105628418</v>
      </c>
      <c r="V320" s="382">
        <f t="shared" si="110"/>
        <v>33.831690254988352</v>
      </c>
      <c r="W320" s="400">
        <f t="shared" si="111"/>
        <v>30.373179055608915</v>
      </c>
      <c r="X320" s="157">
        <f t="shared" si="112"/>
        <v>46693</v>
      </c>
      <c r="Y320" s="383">
        <f t="shared" si="113"/>
        <v>29.416753879918577</v>
      </c>
      <c r="Z320" s="383">
        <f t="shared" si="114"/>
        <v>31.275490342976447</v>
      </c>
      <c r="AA320" s="384">
        <f t="shared" si="115"/>
        <v>33.292780827036133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6.0592429768483051E-2</v>
      </c>
      <c r="AD320" s="230">
        <f>(INDEX(Models!$BJ320:$BT320,,AH320)*(1-AF320)+INDEX(Models!$BJ320:$BT320,,AH320+1)*AF320-ERP_i)*AE320*Ramure*Pc/MaxiM</f>
        <v>2.7505794229641331E-4</v>
      </c>
      <c r="AE320" s="304">
        <f t="shared" si="117"/>
        <v>0.6</v>
      </c>
      <c r="AF320" s="177">
        <f t="shared" si="118"/>
        <v>0.9979872558111369</v>
      </c>
      <c r="AG320" s="799">
        <f t="shared" si="124"/>
        <v>2</v>
      </c>
      <c r="AH320" s="176">
        <f t="shared" si="119"/>
        <v>8</v>
      </c>
      <c r="AI320" s="224">
        <f t="shared" si="120"/>
        <v>2.9979872558111369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46694</v>
      </c>
      <c r="B321" s="409">
        <f>IF(t&gt;Tmaj,'2026'!Wh/'2026'!Env_an*'2027'!Env_an,0.001*'[13]mon-tableau (3)'!$B$237)</f>
        <v>9.603708768432357</v>
      </c>
      <c r="C321" s="829"/>
      <c r="D321" s="391">
        <f t="shared" si="102"/>
        <v>10.210727482869546</v>
      </c>
      <c r="E321" s="383">
        <f t="shared" si="125"/>
        <v>10.530202544385844</v>
      </c>
      <c r="F321" s="383">
        <f t="shared" si="103"/>
        <v>10.530202544385844</v>
      </c>
      <c r="G321" s="110">
        <f t="shared" si="126"/>
        <v>0.28640090671417889</v>
      </c>
      <c r="H321" s="412" t="b">
        <f>Wh_hp&gt;='2026'!Maxi_hp</f>
        <v>0</v>
      </c>
      <c r="I321" s="388">
        <f>IF(H321,Wh_hp,'2026'!Maxi_hp)</f>
        <v>31.680473871325951</v>
      </c>
      <c r="J321" s="85">
        <f>IF(H321,An,'2026'!An_max)</f>
        <v>2020</v>
      </c>
      <c r="K321" s="197">
        <f t="shared" si="104"/>
        <v>46694</v>
      </c>
      <c r="L321" s="147">
        <f>IF(t&lt;Tvie,1-EXP((T0-t)*PertePVj)+'2026'!Pspv,1-EXP((T0-t)*PertePVj)+Pspv)</f>
        <v>5.944911520316043E-2</v>
      </c>
      <c r="M321" s="832"/>
      <c r="N321" s="832"/>
      <c r="O321" s="48">
        <f>IF(t&lt;Tnet,'2026'!Resal+('2026'!Salim-'2026'!Resal)*(1-EXP(('2026'!Tnet-t)/('2026'!Tau_j))),Resal+(Salim-Resal)*(1-EXP((Tnet-t)/(Tau_j))))*Salcycl</f>
        <v>3.0338928446027511E-2</v>
      </c>
      <c r="P321" s="169">
        <f>(INDEX(Models!$BJ321:$BT321,,T321)*(1-R321)+INDEX(Models!$BJ321:$BT321,,T321+1)*R321-ERP_i)*Q321*Ramure*Pc/MaxiM</f>
        <v>2.253334295431268E-5</v>
      </c>
      <c r="Q321" s="304">
        <f t="shared" si="105"/>
        <v>0.6</v>
      </c>
      <c r="R321" s="177">
        <f t="shared" si="106"/>
        <v>0.47305151075255147</v>
      </c>
      <c r="S321" s="799">
        <f t="shared" si="107"/>
        <v>-1</v>
      </c>
      <c r="T321" s="176">
        <f t="shared" si="108"/>
        <v>5</v>
      </c>
      <c r="U321" s="250">
        <f t="shared" si="109"/>
        <v>-0.52694848924744853</v>
      </c>
      <c r="V321" s="382">
        <f t="shared" si="110"/>
        <v>33.531640925819744</v>
      </c>
      <c r="W321" s="400">
        <f t="shared" si="111"/>
        <v>9.603708768432357</v>
      </c>
      <c r="X321" s="157">
        <f t="shared" si="112"/>
        <v>46694</v>
      </c>
      <c r="Y321" s="383">
        <f t="shared" si="113"/>
        <v>9.3038340226722767</v>
      </c>
      <c r="Z321" s="383">
        <f t="shared" si="114"/>
        <v>9.8918986447840282</v>
      </c>
      <c r="AA321" s="384">
        <f t="shared" si="115"/>
        <v>10.530202544385844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6.0616488325965286E-2</v>
      </c>
      <c r="AD321" s="230">
        <f>(INDEX(Models!$BJ321:$BT321,,AH321)*(1-AF321)+INDEX(Models!$BJ321:$BT321,,AH321+1)*AF321-ERP_i)*AE321*Ramure*Pc/MaxiM</f>
        <v>2.9408151842040856E-4</v>
      </c>
      <c r="AE321" s="304">
        <f t="shared" si="117"/>
        <v>0.6</v>
      </c>
      <c r="AF321" s="177">
        <f t="shared" si="118"/>
        <v>0.99803907712653039</v>
      </c>
      <c r="AG321" s="799">
        <f t="shared" si="124"/>
        <v>2</v>
      </c>
      <c r="AH321" s="176">
        <f t="shared" si="119"/>
        <v>8</v>
      </c>
      <c r="AI321" s="224">
        <f t="shared" si="120"/>
        <v>2.9980390771265304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46695</v>
      </c>
      <c r="B322" s="409">
        <f>IF(t&gt;Tmaj,'2026'!Wh/'2026'!Env_an*'2027'!Env_an,0.001*'[13]mon-tableau (3)'!$B$238)</f>
        <v>17.223724441339474</v>
      </c>
      <c r="C322" s="829"/>
      <c r="D322" s="391">
        <f t="shared" si="102"/>
        <v>18.312730140204639</v>
      </c>
      <c r="E322" s="383">
        <f t="shared" si="125"/>
        <v>18.887258065246414</v>
      </c>
      <c r="F322" s="383">
        <f t="shared" si="103"/>
        <v>18.887392037723785</v>
      </c>
      <c r="G322" s="110">
        <f t="shared" si="126"/>
        <v>0.51824779432125168</v>
      </c>
      <c r="H322" s="412" t="b">
        <f>Wh_hp&gt;='2026'!Maxi_hp</f>
        <v>0</v>
      </c>
      <c r="I322" s="388">
        <f>IF(H322,Wh_hp,'2026'!Maxi_hp)</f>
        <v>18.887577500584257</v>
      </c>
      <c r="J322" s="85">
        <f>IF(H322,An,'2026'!An_max)</f>
        <v>2026</v>
      </c>
      <c r="K322" s="197">
        <f t="shared" si="104"/>
        <v>46695</v>
      </c>
      <c r="L322" s="147">
        <f>IF(t&lt;Tvie,1-EXP((T0-t)*PertePVj)+'2026'!Pspv,1-EXP((T0-t)*PertePVj)+Pspv)</f>
        <v>5.9467140646293437E-2</v>
      </c>
      <c r="M322" s="832"/>
      <c r="N322" s="832"/>
      <c r="O322" s="48">
        <f>IF(t&lt;Tnet,'2026'!Resal+('2026'!Salim-'2026'!Resal)*(1-EXP(('2026'!Tnet-t)/('2026'!Tau_j))),Resal+(Salim-Resal)*(1-EXP((Tnet-t)/(Tau_j))))*Salcycl</f>
        <v>3.0418810557734575E-2</v>
      </c>
      <c r="P322" s="169">
        <f>(INDEX(Models!$BJ322:$BT322,,T322)*(1-R322)+INDEX(Models!$BJ322:$BT322,,T322+1)*R322-ERP_i)*Q322*Ramure*Pc/MaxiM</f>
        <v>2.2749697381880358E-5</v>
      </c>
      <c r="Q322" s="304">
        <f t="shared" si="105"/>
        <v>0.6</v>
      </c>
      <c r="R322" s="177">
        <f t="shared" si="106"/>
        <v>0.47310125570272388</v>
      </c>
      <c r="S322" s="799">
        <f t="shared" si="107"/>
        <v>-1</v>
      </c>
      <c r="T322" s="176">
        <f t="shared" si="108"/>
        <v>5</v>
      </c>
      <c r="U322" s="250">
        <f t="shared" si="109"/>
        <v>-0.52689874429727612</v>
      </c>
      <c r="V322" s="382">
        <f t="shared" si="110"/>
        <v>33.234014626493575</v>
      </c>
      <c r="W322" s="400">
        <f t="shared" si="111"/>
        <v>17.223724441339474</v>
      </c>
      <c r="X322" s="157">
        <f t="shared" si="112"/>
        <v>46695</v>
      </c>
      <c r="Y322" s="383">
        <f t="shared" si="113"/>
        <v>16.685340382908201</v>
      </c>
      <c r="Z322" s="383">
        <f t="shared" si="114"/>
        <v>17.74030563309999</v>
      </c>
      <c r="AA322" s="384">
        <f t="shared" si="115"/>
        <v>18.885533354008636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6.064047540736054E-2</v>
      </c>
      <c r="AD322" s="230">
        <f>(INDEX(Models!$BJ322:$BT322,,AH322)*(1-AF322)+INDEX(Models!$BJ322:$BT322,,AH322+1)*AF322-ERP_i)*AE322*Ramure*Pc/MaxiM</f>
        <v>3.1562073701388131E-4</v>
      </c>
      <c r="AE322" s="304">
        <f t="shared" si="117"/>
        <v>0.6</v>
      </c>
      <c r="AF322" s="177">
        <f t="shared" si="118"/>
        <v>0.99808882207670235</v>
      </c>
      <c r="AG322" s="799">
        <f t="shared" si="124"/>
        <v>2</v>
      </c>
      <c r="AH322" s="176">
        <f t="shared" si="119"/>
        <v>8</v>
      </c>
      <c r="AI322" s="224">
        <f t="shared" si="120"/>
        <v>2.9980888220767024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46696</v>
      </c>
      <c r="B323" s="409">
        <f>IF(t&gt;Tmaj,'2026'!Wh/'2026'!Env_an*'2027'!Env_an,0.001*'[13]mon-tableau (3)'!$B$239)</f>
        <v>32.212187069694863</v>
      </c>
      <c r="C323" s="829"/>
      <c r="D323" s="391">
        <f t="shared" si="102"/>
        <v>34.249525787836809</v>
      </c>
      <c r="E323" s="383">
        <f t="shared" si="125"/>
        <v>35.326945186743046</v>
      </c>
      <c r="F323" s="383">
        <f t="shared" si="103"/>
        <v>35.327732586109491</v>
      </c>
      <c r="G323" s="110">
        <f t="shared" si="126"/>
        <v>0.97793369765273686</v>
      </c>
      <c r="H323" s="412" t="b">
        <f>Wh_hp&gt;='2026'!Maxi_hp</f>
        <v>0</v>
      </c>
      <c r="I323" s="388">
        <f>IF(H323,Wh_hp,'2026'!Maxi_hp)</f>
        <v>35.32774878678736</v>
      </c>
      <c r="J323" s="85">
        <f>IF(H323,An,'2026'!An_max)</f>
        <v>2026</v>
      </c>
      <c r="K323" s="197">
        <f t="shared" si="104"/>
        <v>46696</v>
      </c>
      <c r="L323" s="147">
        <f>IF(t&lt;Tvie,1-EXP((T0-t)*PertePVj)+'2026'!Pspv,1-EXP((T0-t)*PertePVj)+Pspv)</f>
        <v>5.948516574397289E-2</v>
      </c>
      <c r="M323" s="832"/>
      <c r="N323" s="832"/>
      <c r="O323" s="48">
        <f>IF(t&lt;Tnet,'2026'!Resal+('2026'!Salim-'2026'!Resal)*(1-EXP(('2026'!Tnet-t)/('2026'!Tau_j))),Resal+(Salim-Resal)*(1-EXP((Tnet-t)/(Tau_j))))*Salcycl</f>
        <v>3.0498515883862865E-2</v>
      </c>
      <c r="P323" s="169">
        <f>(INDEX(Models!$BJ323:$BT323,,T323)*(1-R323)+INDEX(Models!$BJ323:$BT323,,T323+1)*R323-ERP_i)*Q323*Ramure*Pc/MaxiM</f>
        <v>2.3013870265480063E-5</v>
      </c>
      <c r="Q323" s="304">
        <f t="shared" si="105"/>
        <v>0.6</v>
      </c>
      <c r="R323" s="177">
        <f t="shared" si="106"/>
        <v>0.47314900709311325</v>
      </c>
      <c r="S323" s="799">
        <f t="shared" si="107"/>
        <v>-1</v>
      </c>
      <c r="T323" s="176">
        <f t="shared" si="108"/>
        <v>5</v>
      </c>
      <c r="U323" s="250">
        <f t="shared" si="109"/>
        <v>-0.52685099290688675</v>
      </c>
      <c r="V323" s="382">
        <f t="shared" si="110"/>
        <v>32.939005760997482</v>
      </c>
      <c r="W323" s="400">
        <f t="shared" si="111"/>
        <v>32.212187069694863</v>
      </c>
      <c r="X323" s="157">
        <f t="shared" si="112"/>
        <v>46696</v>
      </c>
      <c r="Y323" s="383">
        <f t="shared" si="113"/>
        <v>31.200336788022668</v>
      </c>
      <c r="Z323" s="383">
        <f t="shared" si="114"/>
        <v>33.17367855521703</v>
      </c>
      <c r="AA323" s="384">
        <f t="shared" si="115"/>
        <v>35.316111185412737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6.0664454785175702E-2</v>
      </c>
      <c r="AD323" s="230">
        <f>(INDEX(Models!$BJ323:$BT323,,AH323)*(1-AF323)+INDEX(Models!$BJ323:$BT323,,AH323+1)*AF323-ERP_i)*AE323*Ramure*Pc/MaxiM</f>
        <v>3.3966678071588807E-4</v>
      </c>
      <c r="AE323" s="304">
        <f t="shared" si="117"/>
        <v>0.6</v>
      </c>
      <c r="AF323" s="177">
        <f t="shared" si="118"/>
        <v>0.99813657346709217</v>
      </c>
      <c r="AG323" s="799">
        <f t="shared" si="124"/>
        <v>2</v>
      </c>
      <c r="AH323" s="176">
        <f t="shared" si="119"/>
        <v>8</v>
      </c>
      <c r="AI323" s="224">
        <f t="shared" si="120"/>
        <v>2.9981365734670922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46697</v>
      </c>
      <c r="B324" s="409">
        <f>IF(t&gt;Tmaj,'2026'!Wh/'2026'!Env_an*'2027'!Env_an,0.001*'[13]mon-tableau (3)'!$B$240)</f>
        <v>33.55110008586275</v>
      </c>
      <c r="C324" s="829"/>
      <c r="D324" s="391">
        <f t="shared" si="102"/>
        <v>35.673805319514358</v>
      </c>
      <c r="E324" s="383">
        <f t="shared" si="125"/>
        <v>36.799049505099831</v>
      </c>
      <c r="F324" s="383">
        <f t="shared" si="103"/>
        <v>36.799919621138891</v>
      </c>
      <c r="G324" s="110">
        <f t="shared" si="126"/>
        <v>1.0276995556652959</v>
      </c>
      <c r="H324" s="412" t="b">
        <f>Wh_hp&gt;='2026'!Maxi_hp</f>
        <v>1</v>
      </c>
      <c r="I324" s="388">
        <f>IF(H324,Wh_hp,'2026'!Maxi_hp)</f>
        <v>36.799919621138891</v>
      </c>
      <c r="J324" s="85">
        <f>IF(H324,An,'2026'!An_max)</f>
        <v>2027</v>
      </c>
      <c r="K324" s="197">
        <f t="shared" si="104"/>
        <v>46697</v>
      </c>
      <c r="L324" s="147">
        <f>IF(t&lt;Tvie,1-EXP((T0-t)*PertePVj)+'2026'!Pspv,1-EXP((T0-t)*PertePVj)+Pspv)</f>
        <v>5.9503190496205449E-2</v>
      </c>
      <c r="M324" s="832"/>
      <c r="N324" s="832"/>
      <c r="O324" s="48">
        <f>IF(t&lt;Tnet,'2026'!Resal+('2026'!Salim-'2026'!Resal)*(1-EXP(('2026'!Tnet-t)/('2026'!Tau_j))),Resal+(Salim-Resal)*(1-EXP((Tnet-t)/(Tau_j))))*Salcycl</f>
        <v>3.0578077442721216E-2</v>
      </c>
      <c r="P324" s="169">
        <f>(INDEX(Models!$BJ324:$BT324,,T324)*(1-R324)+INDEX(Models!$BJ324:$BT324,,T324+1)*R324-ERP_i)*Q324*Ramure*Pc/MaxiM</f>
        <v>2.3644509227596091E-5</v>
      </c>
      <c r="Q324" s="304">
        <f t="shared" si="105"/>
        <v>0.6</v>
      </c>
      <c r="R324" s="177">
        <f t="shared" si="106"/>
        <v>0.47319484445758242</v>
      </c>
      <c r="S324" s="799">
        <f t="shared" si="107"/>
        <v>-1</v>
      </c>
      <c r="T324" s="176">
        <f t="shared" si="108"/>
        <v>5</v>
      </c>
      <c r="U324" s="250">
        <f t="shared" si="109"/>
        <v>-0.52680515554241758</v>
      </c>
      <c r="V324" s="382">
        <f t="shared" si="110"/>
        <v>32.646798279622651</v>
      </c>
      <c r="W324" s="400">
        <f t="shared" si="111"/>
        <v>33.55110008586275</v>
      </c>
      <c r="X324" s="157">
        <f t="shared" si="112"/>
        <v>46697</v>
      </c>
      <c r="Y324" s="383">
        <f t="shared" si="113"/>
        <v>32.497755356782179</v>
      </c>
      <c r="Z324" s="383">
        <f t="shared" si="114"/>
        <v>34.553817757157489</v>
      </c>
      <c r="AA324" s="384">
        <f t="shared" si="115"/>
        <v>36.786324243370927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6.0688490414090433E-2</v>
      </c>
      <c r="AD324" s="230">
        <f>(INDEX(Models!$BJ324:$BT324,,AH324)*(1-AF324)+INDEX(Models!$BJ324:$BT324,,AH324+1)*AF324-ERP_i)*AE324*Ramure*Pc/MaxiM</f>
        <v>3.6944042019457256E-4</v>
      </c>
      <c r="AE324" s="304">
        <f t="shared" si="117"/>
        <v>0.6</v>
      </c>
      <c r="AF324" s="177">
        <f t="shared" si="118"/>
        <v>0.99818241083156112</v>
      </c>
      <c r="AG324" s="799">
        <f t="shared" si="124"/>
        <v>2</v>
      </c>
      <c r="AH324" s="176">
        <f t="shared" si="119"/>
        <v>8</v>
      </c>
      <c r="AI324" s="224">
        <f t="shared" si="120"/>
        <v>2.9981824108315611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46698</v>
      </c>
      <c r="B325" s="409">
        <f>IF(t&gt;Tmaj,'2026'!Wh/'2026'!Env_an*'2027'!Env_an,0.001*'[13]mon-tableau (3)'!$B$241)</f>
        <v>32.109061443790928</v>
      </c>
      <c r="C325" s="829"/>
      <c r="D325" s="391">
        <f t="shared" si="102"/>
        <v>34.141186332532911</v>
      </c>
      <c r="E325" s="383">
        <f t="shared" si="125"/>
        <v>35.220974356840792</v>
      </c>
      <c r="F325" s="383">
        <f t="shared" si="103"/>
        <v>35.221833854065004</v>
      </c>
      <c r="G325" s="110">
        <f t="shared" si="126"/>
        <v>0.99231917368917544</v>
      </c>
      <c r="H325" s="412" t="b">
        <f>Wh_hp&gt;='2026'!Maxi_hp</f>
        <v>0</v>
      </c>
      <c r="I325" s="388">
        <f>IF(H325,Wh_hp,'2026'!Maxi_hp)</f>
        <v>35.221840033598205</v>
      </c>
      <c r="J325" s="85">
        <f>IF(H325,An,'2026'!An_max)</f>
        <v>2026</v>
      </c>
      <c r="K325" s="197">
        <f t="shared" si="104"/>
        <v>46698</v>
      </c>
      <c r="L325" s="147">
        <f>IF(t&lt;Tvie,1-EXP((T0-t)*PertePVj)+'2026'!Pspv,1-EXP((T0-t)*PertePVj)+Pspv)</f>
        <v>5.9521214902997777E-2</v>
      </c>
      <c r="M325" s="832"/>
      <c r="N325" s="832"/>
      <c r="O325" s="48">
        <f>IF(t&lt;Tnet,'2026'!Resal+('2026'!Salim-'2026'!Resal)*(1-EXP(('2026'!Tnet-t)/('2026'!Tau_j))),Resal+(Salim-Resal)*(1-EXP((Tnet-t)/(Tau_j))))*Salcycl</f>
        <v>3.0657528476300117E-2</v>
      </c>
      <c r="P325" s="169">
        <f>(INDEX(Models!$BJ325:$BT325,,T325)*(1-R325)+INDEX(Models!$BJ325:$BT325,,T325+1)*R325-ERP_i)*Q325*Ramure*Pc/MaxiM</f>
        <v>2.4673117462555476E-5</v>
      </c>
      <c r="Q325" s="304">
        <f t="shared" si="105"/>
        <v>0.6</v>
      </c>
      <c r="R325" s="177">
        <f t="shared" si="106"/>
        <v>0.47323884418525353</v>
      </c>
      <c r="S325" s="799">
        <f t="shared" si="107"/>
        <v>-1</v>
      </c>
      <c r="T325" s="176">
        <f t="shared" si="108"/>
        <v>5</v>
      </c>
      <c r="U325" s="250">
        <f t="shared" si="109"/>
        <v>-0.52676115581474647</v>
      </c>
      <c r="V325" s="382">
        <f t="shared" si="110"/>
        <v>32.357585747006098</v>
      </c>
      <c r="W325" s="400">
        <f t="shared" si="111"/>
        <v>32.109061443790928</v>
      </c>
      <c r="X325" s="157">
        <f t="shared" si="112"/>
        <v>46698</v>
      </c>
      <c r="Y325" s="383">
        <f t="shared" si="113"/>
        <v>31.10181503014396</v>
      </c>
      <c r="Z325" s="383">
        <f t="shared" si="114"/>
        <v>33.070193100566406</v>
      </c>
      <c r="AA325" s="384">
        <f t="shared" si="115"/>
        <v>35.207748688063795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6.0712646140367012E-2</v>
      </c>
      <c r="AD325" s="230">
        <f>(INDEX(Models!$BJ325:$BT325,,AH325)*(1-AF325)+INDEX(Models!$BJ325:$BT325,,AH325+1)*AF325-ERP_i)*AE325*Ramure*Pc/MaxiM</f>
        <v>4.0433516878915341E-4</v>
      </c>
      <c r="AE325" s="304">
        <f t="shared" si="117"/>
        <v>0.6</v>
      </c>
      <c r="AF325" s="177">
        <f t="shared" si="118"/>
        <v>0.99822641055923222</v>
      </c>
      <c r="AG325" s="799">
        <f t="shared" si="124"/>
        <v>2</v>
      </c>
      <c r="AH325" s="176">
        <f t="shared" si="119"/>
        <v>8</v>
      </c>
      <c r="AI325" s="224">
        <f t="shared" si="120"/>
        <v>2.9982264105592322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46699</v>
      </c>
      <c r="B326" s="409">
        <f>IF(t&gt;Tmaj,'2026'!Wh/'2026'!Env_an*'2027'!Env_an,0.001*'[13]mon-tableau (3)'!$B$242)</f>
        <v>23.790722080362354</v>
      </c>
      <c r="C326" s="829"/>
      <c r="D326" s="391">
        <f t="shared" si="102"/>
        <v>25.296879004461395</v>
      </c>
      <c r="E326" s="383">
        <f t="shared" si="125"/>
        <v>26.099083999452123</v>
      </c>
      <c r="F326" s="383">
        <f t="shared" si="103"/>
        <v>26.099513909998727</v>
      </c>
      <c r="G326" s="110">
        <f t="shared" si="126"/>
        <v>0.74179400699416009</v>
      </c>
      <c r="H326" s="412" t="b">
        <f>Wh_hp&gt;='2026'!Maxi_hp</f>
        <v>0</v>
      </c>
      <c r="I326" s="388">
        <f>IF(H326,Wh_hp,'2026'!Maxi_hp)</f>
        <v>28.580031803596686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5.9539238964356533E-2</v>
      </c>
      <c r="M326" s="832"/>
      <c r="N326" s="832"/>
      <c r="O326" s="48">
        <f>IF(t&lt;Tnet,'2026'!Resal+('2026'!Salim-'2026'!Resal)*(1-EXP(('2026'!Tnet-t)/('2026'!Tau_j))),Resal+(Salim-Resal)*(1-EXP((Tnet-t)/(Tau_j))))*Salcycl</f>
        <v>3.0736902299236517E-2</v>
      </c>
      <c r="P326" s="169">
        <f>(INDEX(Models!$BJ326:$BT326,,T326)*(1-R326)+INDEX(Models!$BJ326:$BT326,,T326+1)*R326-ERP_i)*Q326*Ramure*Pc/MaxiM</f>
        <v>2.6098580115870922E-5</v>
      </c>
      <c r="Q326" s="304">
        <f t="shared" si="105"/>
        <v>0.6</v>
      </c>
      <c r="R326" s="177">
        <f t="shared" si="106"/>
        <v>0.47328107964261956</v>
      </c>
      <c r="S326" s="799">
        <f t="shared" si="107"/>
        <v>-1</v>
      </c>
      <c r="T326" s="176">
        <f t="shared" si="108"/>
        <v>5</v>
      </c>
      <c r="U326" s="250">
        <f t="shared" si="109"/>
        <v>-0.52671892035738044</v>
      </c>
      <c r="V326" s="382">
        <f t="shared" si="110"/>
        <v>32.071562763239832</v>
      </c>
      <c r="W326" s="400">
        <f t="shared" si="111"/>
        <v>23.790722080362354</v>
      </c>
      <c r="X326" s="157">
        <f t="shared" si="112"/>
        <v>46699</v>
      </c>
      <c r="Y326" s="383">
        <f t="shared" si="113"/>
        <v>23.048279429437414</v>
      </c>
      <c r="Z326" s="383">
        <f t="shared" si="114"/>
        <v>24.507433360703377</v>
      </c>
      <c r="AA326" s="384">
        <f t="shared" si="115"/>
        <v>26.092194603637388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6.0736985409157028E-2</v>
      </c>
      <c r="AD326" s="230">
        <f>(INDEX(Models!$BJ326:$BT326,,AH326)*(1-AF326)+INDEX(Models!$BJ326:$BT326,,AH326+1)*AF326-ERP_i)*AE326*Ramure*Pc/MaxiM</f>
        <v>4.4433314086795639E-4</v>
      </c>
      <c r="AE326" s="304">
        <f t="shared" si="117"/>
        <v>0.6</v>
      </c>
      <c r="AF326" s="177">
        <f t="shared" si="118"/>
        <v>0.99826864601659837</v>
      </c>
      <c r="AG326" s="799">
        <f t="shared" si="124"/>
        <v>2</v>
      </c>
      <c r="AH326" s="176">
        <f t="shared" si="119"/>
        <v>8</v>
      </c>
      <c r="AI326" s="224">
        <f t="shared" si="120"/>
        <v>2.9982686460165984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46700</v>
      </c>
      <c r="B327" s="409">
        <f>IF(t&gt;Tmaj,'2026'!Wh/'2026'!Env_an*'2027'!Env_an,0.001*'[13]mon-tableau (3)'!$B$243)</f>
        <v>10.619780345737897</v>
      </c>
      <c r="C327" s="829"/>
      <c r="D327" s="391">
        <f t="shared" si="102"/>
        <v>11.292320015150066</v>
      </c>
      <c r="E327" s="383">
        <f t="shared" si="125"/>
        <v>11.651371380426701</v>
      </c>
      <c r="F327" s="383">
        <f t="shared" si="103"/>
        <v>11.651387214202229</v>
      </c>
      <c r="G327" s="110">
        <f t="shared" si="126"/>
        <v>0.33406284261321972</v>
      </c>
      <c r="H327" s="412" t="b">
        <f>Wh_hp&gt;='2026'!Maxi_hp</f>
        <v>0</v>
      </c>
      <c r="I327" s="388">
        <f>IF(H327,Wh_hp,'2026'!Maxi_hp)</f>
        <v>26.22479613054475</v>
      </c>
      <c r="J327" s="85">
        <f>IF(H327,An,'2026'!An_max)</f>
        <v>2020</v>
      </c>
      <c r="K327" s="197">
        <f t="shared" si="104"/>
        <v>46700</v>
      </c>
      <c r="L327" s="147">
        <f>IF(t&lt;Tvie,1-EXP((T0-t)*PertePVj)+'2026'!Pspv,1-EXP((T0-t)*PertePVj)+Pspv)</f>
        <v>5.9557262680288159E-2</v>
      </c>
      <c r="M327" s="832"/>
      <c r="N327" s="832"/>
      <c r="O327" s="48">
        <f>IF(t&lt;Tnet,'2026'!Resal+('2026'!Salim-'2026'!Resal)*(1-EXP(('2026'!Tnet-t)/('2026'!Tau_j))),Resal+(Salim-Resal)*(1-EXP((Tnet-t)/(Tau_j))))*Salcycl</f>
        <v>3.0816232145840713E-2</v>
      </c>
      <c r="P327" s="169">
        <f>(INDEX(Models!$BJ327:$BT327,,T327)*(1-R327)+INDEX(Models!$BJ327:$BT327,,T327+1)*R327-ERP_i)*Q327*Ramure*Pc/MaxiM</f>
        <v>2.7919708743408846E-5</v>
      </c>
      <c r="Q327" s="304">
        <f t="shared" si="105"/>
        <v>0.6</v>
      </c>
      <c r="R327" s="177">
        <f t="shared" si="106"/>
        <v>0.47332162129108912</v>
      </c>
      <c r="S327" s="799">
        <f t="shared" si="107"/>
        <v>-1</v>
      </c>
      <c r="T327" s="176">
        <f t="shared" si="108"/>
        <v>5</v>
      </c>
      <c r="U327" s="250">
        <f t="shared" si="109"/>
        <v>-0.52667837870891088</v>
      </c>
      <c r="V327" s="382">
        <f t="shared" si="110"/>
        <v>31.788923883217471</v>
      </c>
      <c r="W327" s="400">
        <f t="shared" si="111"/>
        <v>10.619780345737897</v>
      </c>
      <c r="X327" s="157">
        <f t="shared" si="112"/>
        <v>46700</v>
      </c>
      <c r="Y327" s="383">
        <f t="shared" si="113"/>
        <v>10.291424684866133</v>
      </c>
      <c r="Z327" s="383">
        <f t="shared" si="114"/>
        <v>10.94316993100184</v>
      </c>
      <c r="AA327" s="384">
        <f t="shared" si="115"/>
        <v>11.651109657346252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6.0761570971743589E-2</v>
      </c>
      <c r="AD327" s="230">
        <f>(INDEX(Models!$BJ327:$BT327,,AH327)*(1-AF327)+INDEX(Models!$BJ327:$BT327,,AH327+1)*AF327-ERP_i)*AE327*Ramure*Pc/MaxiM</f>
        <v>4.8941622070836793E-4</v>
      </c>
      <c r="AE327" s="304">
        <f t="shared" si="117"/>
        <v>0.6</v>
      </c>
      <c r="AF327" s="177">
        <f t="shared" si="118"/>
        <v>0.99830918766506782</v>
      </c>
      <c r="AG327" s="799">
        <f t="shared" si="124"/>
        <v>2</v>
      </c>
      <c r="AH327" s="176">
        <f t="shared" si="119"/>
        <v>8</v>
      </c>
      <c r="AI327" s="224">
        <f t="shared" si="120"/>
        <v>2.9983091876650678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46701</v>
      </c>
      <c r="B328" s="409">
        <f>IF(t&gt;Tmaj,'2026'!Wh/'2026'!Env_an*'2027'!Env_an,0.001*'[13]mon-tableau (3)'!$B$244)</f>
        <v>19.920678445708681</v>
      </c>
      <c r="C328" s="829"/>
      <c r="D328" s="391">
        <f t="shared" si="102"/>
        <v>21.182640300948904</v>
      </c>
      <c r="E328" s="383">
        <f t="shared" si="125"/>
        <v>21.857953828570384</v>
      </c>
      <c r="F328" s="383">
        <f t="shared" si="103"/>
        <v>21.858266435299022</v>
      </c>
      <c r="G328" s="110">
        <f t="shared" si="126"/>
        <v>0.63219451729422926</v>
      </c>
      <c r="H328" s="412" t="b">
        <f>Wh_hp&gt;='2026'!Maxi_hp</f>
        <v>0</v>
      </c>
      <c r="I328" s="388">
        <f>IF(H328,Wh_hp,'2026'!Maxi_hp)</f>
        <v>21.858500945297919</v>
      </c>
      <c r="J328" s="85">
        <f>IF(H328,An,'2026'!An_max)</f>
        <v>2026</v>
      </c>
      <c r="K328" s="197">
        <f t="shared" si="104"/>
        <v>46701</v>
      </c>
      <c r="L328" s="147">
        <f>IF(t&lt;Tvie,1-EXP((T0-t)*PertePVj)+'2026'!Pspv,1-EXP((T0-t)*PertePVj)+Pspv)</f>
        <v>5.9575286050799425E-2</v>
      </c>
      <c r="M328" s="832"/>
      <c r="N328" s="832"/>
      <c r="O328" s="48">
        <f>IF(t&lt;Tnet,'2026'!Resal+('2026'!Salim-'2026'!Resal)*(1-EXP(('2026'!Tnet-t)/('2026'!Tau_j))),Resal+(Salim-Resal)*(1-EXP((Tnet-t)/(Tau_j))))*Salcycl</f>
        <v>3.0895551016252219E-2</v>
      </c>
      <c r="P328" s="169">
        <f>(INDEX(Models!$BJ328:$BT328,,T328)*(1-R328)+INDEX(Models!$BJ328:$BT328,,T328+1)*R328-ERP_i)*Q328*Ramure*Pc/MaxiM</f>
        <v>3.0135270849916685E-5</v>
      </c>
      <c r="Q328" s="304">
        <f t="shared" si="105"/>
        <v>0.6</v>
      </c>
      <c r="R328" s="177">
        <f t="shared" si="106"/>
        <v>0.47336053680012424</v>
      </c>
      <c r="S328" s="799">
        <f t="shared" si="107"/>
        <v>-1</v>
      </c>
      <c r="T328" s="176">
        <f t="shared" si="108"/>
        <v>5</v>
      </c>
      <c r="U328" s="250">
        <f t="shared" si="109"/>
        <v>-0.52663946319987576</v>
      </c>
      <c r="V328" s="382">
        <f t="shared" si="110"/>
        <v>31.509863621824532</v>
      </c>
      <c r="W328" s="400">
        <f t="shared" si="111"/>
        <v>19.920678445708681</v>
      </c>
      <c r="X328" s="157">
        <f t="shared" si="112"/>
        <v>46701</v>
      </c>
      <c r="Y328" s="383">
        <f t="shared" si="113"/>
        <v>19.301580363231285</v>
      </c>
      <c r="Z328" s="383">
        <f t="shared" si="114"/>
        <v>20.524322762825552</v>
      </c>
      <c r="AA328" s="384">
        <f t="shared" si="115"/>
        <v>21.852669269688825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6.0786464594775193E-2</v>
      </c>
      <c r="AD328" s="230">
        <f>(INDEX(Models!$BJ328:$BT328,,AH328)*(1-AF328)+INDEX(Models!$BJ328:$BT328,,AH328+1)*AF328-ERP_i)*AE328*Ramure*Pc/MaxiM</f>
        <v>5.395664462830009E-4</v>
      </c>
      <c r="AE328" s="304">
        <f t="shared" si="117"/>
        <v>0.6</v>
      </c>
      <c r="AF328" s="177">
        <f t="shared" si="118"/>
        <v>0.99834810317410305</v>
      </c>
      <c r="AG328" s="799">
        <f t="shared" si="124"/>
        <v>2</v>
      </c>
      <c r="AH328" s="176">
        <f t="shared" si="119"/>
        <v>8</v>
      </c>
      <c r="AI328" s="224">
        <f t="shared" si="120"/>
        <v>2.9983481031741031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46702</v>
      </c>
      <c r="B329" s="409">
        <f>IF(t&gt;Tmaj,'2026'!Wh/'2026'!Env_an*'2027'!Env_an,0.001*'[13]mon-tableau (3)'!$B$245)</f>
        <v>31.428520474764795</v>
      </c>
      <c r="C329" s="829"/>
      <c r="D329" s="391">
        <f t="shared" si="102"/>
        <v>33.420137030162067</v>
      </c>
      <c r="E329" s="383">
        <f t="shared" si="125"/>
        <v>34.488411845882212</v>
      </c>
      <c r="F329" s="383">
        <f t="shared" si="103"/>
        <v>34.489541172073224</v>
      </c>
      <c r="G329" s="110">
        <f t="shared" si="126"/>
        <v>1.0062092732884731</v>
      </c>
      <c r="H329" s="412" t="b">
        <f>Wh_hp&gt;='2026'!Maxi_hp</f>
        <v>1</v>
      </c>
      <c r="I329" s="388">
        <f>IF(H329,Wh_hp,'2026'!Maxi_hp)</f>
        <v>34.489541172073224</v>
      </c>
      <c r="J329" s="85">
        <f>IF(H329,An,'2026'!An_max)</f>
        <v>2027</v>
      </c>
      <c r="K329" s="197">
        <f t="shared" si="104"/>
        <v>46702</v>
      </c>
      <c r="L329" s="147">
        <f>IF(t&lt;Tvie,1-EXP((T0-t)*PertePVj)+'2026'!Pspv,1-EXP((T0-t)*PertePVj)+Pspv)</f>
        <v>5.9593309075896883E-2</v>
      </c>
      <c r="M329" s="832"/>
      <c r="N329" s="832"/>
      <c r="O329" s="48">
        <f>IF(t&lt;Tnet,'2026'!Resal+('2026'!Salim-'2026'!Resal)*(1-EXP(('2026'!Tnet-t)/('2026'!Tau_j))),Resal+(Salim-Resal)*(1-EXP((Tnet-t)/(Tau_j))))*Salcycl</f>
        <v>3.0974891522808468E-2</v>
      </c>
      <c r="P329" s="169">
        <f>(INDEX(Models!$BJ329:$BT329,,T329)*(1-R329)+INDEX(Models!$BJ329:$BT329,,T329+1)*R329-ERP_i)*Q329*Ramure*Pc/MaxiM</f>
        <v>3.2744018987508787E-5</v>
      </c>
      <c r="Q329" s="304">
        <f t="shared" si="105"/>
        <v>0.6</v>
      </c>
      <c r="R329" s="177">
        <f t="shared" si="106"/>
        <v>0.47339789115612141</v>
      </c>
      <c r="S329" s="799">
        <f t="shared" si="107"/>
        <v>-1</v>
      </c>
      <c r="T329" s="176">
        <f t="shared" si="108"/>
        <v>5</v>
      </c>
      <c r="U329" s="250">
        <f t="shared" si="109"/>
        <v>-0.52660210884387859</v>
      </c>
      <c r="V329" s="382">
        <f t="shared" si="110"/>
        <v>31.234576453515214</v>
      </c>
      <c r="W329" s="400">
        <f t="shared" si="111"/>
        <v>31.428520474764795</v>
      </c>
      <c r="X329" s="157">
        <f t="shared" si="112"/>
        <v>46702</v>
      </c>
      <c r="Y329" s="383">
        <f t="shared" si="113"/>
        <v>30.443698199450726</v>
      </c>
      <c r="Z329" s="383">
        <f t="shared" si="114"/>
        <v>32.372906842607449</v>
      </c>
      <c r="AA329" s="384">
        <f t="shared" si="115"/>
        <v>34.469027952611405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6.0811726773546945E-2</v>
      </c>
      <c r="AD329" s="230">
        <f>(INDEX(Models!$BJ329:$BT329,,AH329)*(1-AF329)+INDEX(Models!$BJ329:$BT329,,AH329+1)*AF329-ERP_i)*AE329*Ramure*Pc/MaxiM</f>
        <v>5.9476637742071712E-4</v>
      </c>
      <c r="AE329" s="304">
        <f t="shared" si="117"/>
        <v>0.6</v>
      </c>
      <c r="AF329" s="177">
        <f t="shared" si="118"/>
        <v>0.99838545753009988</v>
      </c>
      <c r="AG329" s="799">
        <f t="shared" si="124"/>
        <v>2</v>
      </c>
      <c r="AH329" s="176">
        <f t="shared" si="119"/>
        <v>8</v>
      </c>
      <c r="AI329" s="224">
        <f t="shared" si="120"/>
        <v>2.9983854575300999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46703</v>
      </c>
      <c r="B330" s="409">
        <f>IF(t&gt;Tmaj,'2026'!Wh/'2026'!Env_an*'2027'!Env_an,0.001*'[13]mon-tableau (3)'!$B$246)</f>
        <v>30.693468215815461</v>
      </c>
      <c r="C330" s="829"/>
      <c r="D330" s="391">
        <f t="shared" si="102"/>
        <v>32.639130236560909</v>
      </c>
      <c r="E330" s="383">
        <f t="shared" si="125"/>
        <v>33.685200064495987</v>
      </c>
      <c r="F330" s="383">
        <f t="shared" si="103"/>
        <v>33.686389186948048</v>
      </c>
      <c r="G330" s="110">
        <f t="shared" si="126"/>
        <v>0.99128637348699788</v>
      </c>
      <c r="H330" s="412" t="b">
        <f>Wh_hp&gt;='2026'!Maxi_hp</f>
        <v>0</v>
      </c>
      <c r="I330" s="388">
        <f>IF(H330,Wh_hp,'2026'!Maxi_hp)</f>
        <v>33.686399615793086</v>
      </c>
      <c r="J330" s="85">
        <f>IF(H330,An,'2026'!An_max)</f>
        <v>2026</v>
      </c>
      <c r="K330" s="197">
        <f t="shared" si="104"/>
        <v>46703</v>
      </c>
      <c r="L330" s="147">
        <f>IF(t&lt;Tvie,1-EXP((T0-t)*PertePVj)+'2026'!Pspv,1-EXP((T0-t)*PertePVj)+Pspv)</f>
        <v>5.9611331755587194E-2</v>
      </c>
      <c r="M330" s="832"/>
      <c r="N330" s="832"/>
      <c r="O330" s="48">
        <f>IF(t&lt;Tnet,'2026'!Resal+('2026'!Salim-'2026'!Resal)*(1-EXP(('2026'!Tnet-t)/('2026'!Tau_j))),Resal+(Salim-Resal)*(1-EXP((Tnet-t)/(Tau_j))))*Salcycl</f>
        <v>3.105428573771879E-2</v>
      </c>
      <c r="P330" s="169">
        <f>(INDEX(Models!$BJ330:$BT330,,T330)*(1-R330)+INDEX(Models!$BJ330:$BT330,,T330+1)*R330-ERP_i)*Q330*Ramure*Pc/MaxiM</f>
        <v>3.5744718730938096E-5</v>
      </c>
      <c r="Q330" s="304">
        <f t="shared" si="105"/>
        <v>0.6</v>
      </c>
      <c r="R330" s="177">
        <f t="shared" si="106"/>
        <v>0.47343374676718453</v>
      </c>
      <c r="S330" s="799">
        <f t="shared" si="107"/>
        <v>-1</v>
      </c>
      <c r="T330" s="176">
        <f t="shared" si="108"/>
        <v>5</v>
      </c>
      <c r="U330" s="250">
        <f t="shared" si="109"/>
        <v>-0.52656625323281547</v>
      </c>
      <c r="V330" s="382">
        <f t="shared" si="110"/>
        <v>30.963256814423545</v>
      </c>
      <c r="W330" s="400">
        <f t="shared" si="111"/>
        <v>30.693468215815461</v>
      </c>
      <c r="X330" s="157">
        <f t="shared" si="112"/>
        <v>46703</v>
      </c>
      <c r="Y330" s="383">
        <f t="shared" si="113"/>
        <v>29.731828442930116</v>
      </c>
      <c r="Z330" s="383">
        <f t="shared" si="114"/>
        <v>31.616532022270849</v>
      </c>
      <c r="AA330" s="384">
        <f t="shared" si="115"/>
        <v>33.664599267581046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6.0837416451366512E-2</v>
      </c>
      <c r="AD330" s="230">
        <f>(INDEX(Models!$BJ330:$BT330,,AH330)*(1-AF330)+INDEX(Models!$BJ330:$BT330,,AH330+1)*AF330-ERP_i)*AE330*Ramure*Pc/MaxiM</f>
        <v>6.5499943894939861E-4</v>
      </c>
      <c r="AE330" s="304">
        <f t="shared" si="117"/>
        <v>0.6</v>
      </c>
      <c r="AF330" s="177">
        <f t="shared" si="118"/>
        <v>0.99842131314116322</v>
      </c>
      <c r="AG330" s="799">
        <f t="shared" si="124"/>
        <v>2</v>
      </c>
      <c r="AH330" s="176">
        <f t="shared" si="119"/>
        <v>8</v>
      </c>
      <c r="AI330" s="224">
        <f t="shared" si="120"/>
        <v>2.9984213131411632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46704</v>
      </c>
      <c r="B331" s="409">
        <f>IF(t&gt;Tmaj,'2026'!Wh/'2026'!Env_an*'2027'!Env_an,0.001*'[13]mon-tableau (3)'!$B$247)</f>
        <v>29.721637125182067</v>
      </c>
      <c r="C331" s="829"/>
      <c r="D331" s="391">
        <f t="shared" si="102"/>
        <v>31.6063004034079</v>
      </c>
      <c r="E331" s="383">
        <f t="shared" si="125"/>
        <v>32.62194435418121</v>
      </c>
      <c r="F331" s="383">
        <f t="shared" si="103"/>
        <v>32.623163432506033</v>
      </c>
      <c r="G331" s="110">
        <f t="shared" si="126"/>
        <v>0.96832864922599393</v>
      </c>
      <c r="H331" s="412" t="b">
        <f>Wh_hp&gt;='2026'!Maxi_hp</f>
        <v>0</v>
      </c>
      <c r="I331" s="388">
        <f>IF(H331,Wh_hp,'2026'!Maxi_hp)</f>
        <v>32.623204090205185</v>
      </c>
      <c r="J331" s="85">
        <f>IF(H331,An,'2026'!An_max)</f>
        <v>2026</v>
      </c>
      <c r="K331" s="197">
        <f t="shared" si="104"/>
        <v>46704</v>
      </c>
      <c r="L331" s="147">
        <f>IF(t&lt;Tvie,1-EXP((T0-t)*PertePVj)+'2026'!Pspv,1-EXP((T0-t)*PertePVj)+Pspv)</f>
        <v>5.9629354089877018E-2</v>
      </c>
      <c r="M331" s="832"/>
      <c r="N331" s="832"/>
      <c r="O331" s="48">
        <f>IF(t&lt;Tnet,'2026'!Resal+('2026'!Salim-'2026'!Resal)*(1-EXP(('2026'!Tnet-t)/('2026'!Tau_j))),Resal+(Salim-Resal)*(1-EXP((Tnet-t)/(Tau_j))))*Salcycl</f>
        <v>3.113376504313509E-2</v>
      </c>
      <c r="P331" s="169">
        <f>(INDEX(Models!$BJ331:$BT331,,T331)*(1-R331)+INDEX(Models!$BJ331:$BT331,,T331+1)*R331-ERP_i)*Q331*Ramure*Pc/MaxiM</f>
        <v>3.9139239709679887E-5</v>
      </c>
      <c r="Q331" s="304">
        <f t="shared" si="105"/>
        <v>0.6</v>
      </c>
      <c r="R331" s="177">
        <f t="shared" si="106"/>
        <v>0.47346816356393528</v>
      </c>
      <c r="S331" s="799">
        <f t="shared" si="107"/>
        <v>-1</v>
      </c>
      <c r="T331" s="176">
        <f t="shared" si="108"/>
        <v>5</v>
      </c>
      <c r="U331" s="250">
        <f t="shared" si="109"/>
        <v>-0.52653183643606472</v>
      </c>
      <c r="V331" s="382">
        <f t="shared" si="110"/>
        <v>30.693695283479681</v>
      </c>
      <c r="W331" s="400">
        <f t="shared" si="111"/>
        <v>29.721637125182067</v>
      </c>
      <c r="X331" s="157">
        <f t="shared" si="112"/>
        <v>46704</v>
      </c>
      <c r="Y331" s="383">
        <f t="shared" si="113"/>
        <v>28.790886586778409</v>
      </c>
      <c r="Z331" s="383">
        <f t="shared" si="114"/>
        <v>30.616530526549564</v>
      </c>
      <c r="AA331" s="384">
        <f t="shared" si="115"/>
        <v>32.600727886700227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6.0863590747007076E-2</v>
      </c>
      <c r="AD331" s="230">
        <f>(INDEX(Models!$BJ331:$BT331,,AH331)*(1-AF331)+INDEX(Models!$BJ331:$BT331,,AH331+1)*AF331-ERP_i)*AE331*Ramure*Pc/MaxiM</f>
        <v>7.2030663447279915E-4</v>
      </c>
      <c r="AE331" s="304">
        <f t="shared" si="117"/>
        <v>0.6</v>
      </c>
      <c r="AF331" s="177">
        <f t="shared" si="118"/>
        <v>0.99845572993791398</v>
      </c>
      <c r="AG331" s="799">
        <f t="shared" si="124"/>
        <v>2</v>
      </c>
      <c r="AH331" s="176">
        <f t="shared" si="119"/>
        <v>8</v>
      </c>
      <c r="AI331" s="224">
        <f t="shared" si="120"/>
        <v>2.998455729937914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46705</v>
      </c>
      <c r="B332" s="409">
        <f>IF(t&gt;Tmaj,'2026'!Wh/'2026'!Env_an*'2027'!Env_an,0.001*'[13]mon-tableau (3)'!$B$248)</f>
        <v>11.257373187723365</v>
      </c>
      <c r="C332" s="829"/>
      <c r="D332" s="391">
        <f t="shared" si="102"/>
        <v>11.971438055631342</v>
      </c>
      <c r="E332" s="383">
        <f t="shared" si="125"/>
        <v>12.357146105402805</v>
      </c>
      <c r="F332" s="383">
        <f t="shared" si="103"/>
        <v>12.35719948269006</v>
      </c>
      <c r="G332" s="110">
        <f t="shared" si="126"/>
        <v>0.37000020667358569</v>
      </c>
      <c r="H332" s="412" t="b">
        <f>Wh_hp&gt;='2026'!Maxi_hp</f>
        <v>0</v>
      </c>
      <c r="I332" s="388">
        <f>IF(H332,Wh_hp,'2026'!Maxi_hp)</f>
        <v>19.58493615154913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5.9647376078772907E-2</v>
      </c>
      <c r="M332" s="832"/>
      <c r="N332" s="832"/>
      <c r="O332" s="48">
        <f>IF(t&lt;Tnet,'2026'!Resal+('2026'!Salim-'2026'!Resal)*(1-EXP(('2026'!Tnet-t)/('2026'!Tau_j))),Resal+(Salim-Resal)*(1-EXP((Tnet-t)/(Tau_j))))*Salcycl</f>
        <v>3.1213359984699367E-2</v>
      </c>
      <c r="P332" s="169">
        <f>(INDEX(Models!$BJ332:$BT332,,T332)*(1-R332)+INDEX(Models!$BJ332:$BT332,,T332+1)*R332-ERP_i)*Q332*Ramure*Pc/MaxiM</f>
        <v>4.3186294610914084E-5</v>
      </c>
      <c r="Q332" s="304">
        <f t="shared" si="105"/>
        <v>0.6</v>
      </c>
      <c r="R332" s="177">
        <f t="shared" si="106"/>
        <v>0.47350119909649702</v>
      </c>
      <c r="S332" s="799">
        <f t="shared" si="107"/>
        <v>-1</v>
      </c>
      <c r="T332" s="176">
        <f t="shared" si="108"/>
        <v>5</v>
      </c>
      <c r="U332" s="250">
        <f t="shared" si="109"/>
        <v>-0.52649880090350298</v>
      </c>
      <c r="V332" s="382">
        <f t="shared" si="110"/>
        <v>30.424133406185941</v>
      </c>
      <c r="W332" s="400">
        <f t="shared" si="111"/>
        <v>11.257373187723365</v>
      </c>
      <c r="X332" s="157">
        <f t="shared" si="112"/>
        <v>46705</v>
      </c>
      <c r="Y332" s="383">
        <f t="shared" si="113"/>
        <v>10.91170671973093</v>
      </c>
      <c r="Z332" s="383">
        <f t="shared" si="114"/>
        <v>11.603845666139172</v>
      </c>
      <c r="AA332" s="384">
        <f t="shared" si="115"/>
        <v>12.356219645177747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6.089030469219639E-2</v>
      </c>
      <c r="AD332" s="230">
        <f>(INDEX(Models!$BJ332:$BT332,,AH332)*(1-AF332)+INDEX(Models!$BJ332:$BT332,,AH332+1)*AF332-ERP_i)*AE332*Ramure*Pc/MaxiM</f>
        <v>7.9276324543712574E-4</v>
      </c>
      <c r="AE332" s="304">
        <f t="shared" si="117"/>
        <v>0.6</v>
      </c>
      <c r="AF332" s="177">
        <f t="shared" si="118"/>
        <v>0.99848876547047549</v>
      </c>
      <c r="AG332" s="799">
        <f t="shared" si="124"/>
        <v>2</v>
      </c>
      <c r="AH332" s="176">
        <f t="shared" si="119"/>
        <v>8</v>
      </c>
      <c r="AI332" s="224">
        <f t="shared" si="120"/>
        <v>2.9984887654704755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46706</v>
      </c>
      <c r="B333" s="409">
        <f>IF(t&gt;Tmaj,'2026'!Wh/'2026'!Env_an*'2027'!Env_an,0.001*'[13]mon-tableau (3)'!$B$249)</f>
        <v>12.91591645531039</v>
      </c>
      <c r="C333" s="829"/>
      <c r="D333" s="391">
        <f t="shared" si="102"/>
        <v>13.735447386520613</v>
      </c>
      <c r="E333" s="383">
        <f t="shared" si="125"/>
        <v>14.179157171646702</v>
      </c>
      <c r="F333" s="383">
        <f t="shared" si="103"/>
        <v>14.179281417801498</v>
      </c>
      <c r="G333" s="110">
        <f t="shared" si="126"/>
        <v>0.42829437293556982</v>
      </c>
      <c r="H333" s="412" t="b">
        <f>Wh_hp&gt;='2026'!Maxi_hp</f>
        <v>0</v>
      </c>
      <c r="I333" s="388">
        <f>IF(H333,Wh_hp,'2026'!Maxi_hp)</f>
        <v>27.924813714733766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5.966539772228141E-2</v>
      </c>
      <c r="M333" s="832"/>
      <c r="N333" s="832"/>
      <c r="O333" s="48">
        <f>IF(t&lt;Tnet,'2026'!Resal+('2026'!Salim-'2026'!Resal)*(1-EXP(('2026'!Tnet-t)/('2026'!Tau_j))),Resal+(Salim-Resal)*(1-EXP((Tnet-t)/(Tau_j))))*Salcycl</f>
        <v>3.1293100129629006E-2</v>
      </c>
      <c r="P333" s="169">
        <f>(INDEX(Models!$BJ333:$BT333,,T333)*(1-R333)+INDEX(Models!$BJ333:$BT333,,T333+1)*R333-ERP_i)*Q333*Ramure*Pc/MaxiM</f>
        <v>4.7803815764217268E-5</v>
      </c>
      <c r="Q333" s="304">
        <f t="shared" si="105"/>
        <v>0.6</v>
      </c>
      <c r="R333" s="177">
        <f t="shared" si="106"/>
        <v>0.47353290862779207</v>
      </c>
      <c r="S333" s="799">
        <f t="shared" si="107"/>
        <v>-1</v>
      </c>
      <c r="T333" s="176">
        <f t="shared" si="108"/>
        <v>5</v>
      </c>
      <c r="U333" s="250">
        <f t="shared" si="109"/>
        <v>-0.52646709137220793</v>
      </c>
      <c r="V333" s="382">
        <f t="shared" si="110"/>
        <v>30.15545618351015</v>
      </c>
      <c r="W333" s="400">
        <f t="shared" si="111"/>
        <v>12.91591645531039</v>
      </c>
      <c r="X333" s="157">
        <f t="shared" si="112"/>
        <v>46706</v>
      </c>
      <c r="Y333" s="383">
        <f t="shared" si="113"/>
        <v>12.519040352616273</v>
      </c>
      <c r="Z333" s="383">
        <f t="shared" si="114"/>
        <v>13.313389002480733</v>
      </c>
      <c r="AA333" s="384">
        <f t="shared" si="115"/>
        <v>14.177019139277744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6.091761098102115E-2</v>
      </c>
      <c r="AD333" s="230">
        <f>(INDEX(Models!$BJ333:$BT333,,AH333)*(1-AF333)+INDEX(Models!$BJ333:$BT333,,AH333+1)*AF333-ERP_i)*AE333*Ramure*Pc/MaxiM</f>
        <v>8.7041362313549926E-4</v>
      </c>
      <c r="AE333" s="304">
        <f t="shared" si="117"/>
        <v>0.6</v>
      </c>
      <c r="AF333" s="177">
        <f t="shared" si="118"/>
        <v>0.99852047500177088</v>
      </c>
      <c r="AG333" s="799">
        <f t="shared" si="124"/>
        <v>2</v>
      </c>
      <c r="AH333" s="176">
        <f t="shared" si="119"/>
        <v>8</v>
      </c>
      <c r="AI333" s="224">
        <f t="shared" si="120"/>
        <v>2.9985204750017709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46707</v>
      </c>
      <c r="B334" s="409">
        <f>IF(t&gt;Tmaj,'2026'!Wh/'2026'!Env_an*'2027'!Env_an,0.001*'[13]mon-tableau (3)'!$B$250)</f>
        <v>30.273501599533372</v>
      </c>
      <c r="C334" s="829"/>
      <c r="D334" s="391">
        <f t="shared" si="102"/>
        <v>32.195009863588112</v>
      </c>
      <c r="E334" s="383">
        <f t="shared" si="125"/>
        <v>33.237779172584183</v>
      </c>
      <c r="F334" s="383">
        <f t="shared" si="103"/>
        <v>33.23954058727778</v>
      </c>
      <c r="G334" s="110">
        <f t="shared" si="126"/>
        <v>1.0128797109208914</v>
      </c>
      <c r="H334" s="412" t="b">
        <f>Wh_hp&gt;='2026'!Maxi_hp</f>
        <v>1</v>
      </c>
      <c r="I334" s="388">
        <f>IF(H334,Wh_hp,'2026'!Maxi_hp)</f>
        <v>33.23954058727778</v>
      </c>
      <c r="J334" s="85">
        <f>IF(H334,An,'2026'!An_max)</f>
        <v>2027</v>
      </c>
      <c r="K334" s="197">
        <f t="shared" si="104"/>
        <v>46707</v>
      </c>
      <c r="L334" s="147">
        <f>IF(t&lt;Tvie,1-EXP((T0-t)*PertePVj)+'2026'!Pspv,1-EXP((T0-t)*PertePVj)+Pspv)</f>
        <v>5.9683419020409301E-2</v>
      </c>
      <c r="M334" s="832"/>
      <c r="N334" s="832"/>
      <c r="O334" s="48">
        <f>IF(t&lt;Tnet,'2026'!Resal+('2026'!Salim-'2026'!Resal)*(1-EXP(('2026'!Tnet-t)/('2026'!Tau_j))),Resal+(Salim-Resal)*(1-EXP((Tnet-t)/(Tau_j))))*Salcycl</f>
        <v>3.1373013930370772E-2</v>
      </c>
      <c r="P334" s="169">
        <f>(INDEX(Models!$BJ334:$BT334,,T334)*(1-R334)+INDEX(Models!$BJ334:$BT334,,T334+1)*R334-ERP_i)*Q334*Ramure*Pc/MaxiM</f>
        <v>5.2991547490595036E-5</v>
      </c>
      <c r="Q334" s="304">
        <f t="shared" si="105"/>
        <v>0.6</v>
      </c>
      <c r="R334" s="177">
        <f t="shared" si="106"/>
        <v>0.4735633452232817</v>
      </c>
      <c r="S334" s="799">
        <f t="shared" si="107"/>
        <v>-1</v>
      </c>
      <c r="T334" s="176">
        <f t="shared" si="108"/>
        <v>5</v>
      </c>
      <c r="U334" s="250">
        <f t="shared" si="109"/>
        <v>-0.5264366547767183</v>
      </c>
      <c r="V334" s="382">
        <f t="shared" si="110"/>
        <v>29.888545770167781</v>
      </c>
      <c r="W334" s="400">
        <f t="shared" si="111"/>
        <v>30.273501599533372</v>
      </c>
      <c r="X334" s="157">
        <f t="shared" si="112"/>
        <v>46707</v>
      </c>
      <c r="Y334" s="383">
        <f t="shared" si="113"/>
        <v>29.322816549536402</v>
      </c>
      <c r="Z334" s="383">
        <f t="shared" si="114"/>
        <v>31.183983291019779</v>
      </c>
      <c r="AA334" s="384">
        <f t="shared" si="115"/>
        <v>33.207854575667227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6.0945559733040527E-2</v>
      </c>
      <c r="AD334" s="230">
        <f>(INDEX(Models!$BJ334:$BT334,,AH334)*(1-AF334)+INDEX(Models!$BJ334:$BT334,,AH334+1)*AF334-ERP_i)*AE334*Ramure*Pc/MaxiM</f>
        <v>9.5326262188714299E-4</v>
      </c>
      <c r="AE334" s="304">
        <f t="shared" si="117"/>
        <v>0.6</v>
      </c>
      <c r="AF334" s="177">
        <f t="shared" si="118"/>
        <v>0.99855091159726017</v>
      </c>
      <c r="AG334" s="799">
        <f t="shared" si="124"/>
        <v>2</v>
      </c>
      <c r="AH334" s="176">
        <f t="shared" si="119"/>
        <v>8</v>
      </c>
      <c r="AI334" s="224">
        <f t="shared" si="120"/>
        <v>2.9985509115972602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46708</v>
      </c>
      <c r="B335" s="409">
        <f>IF(t&gt;Tmaj,'2026'!Wh/'2026'!Env_an*'2027'!Env_an,0.001*'[13]mon-tableau (3)'!$B$251)</f>
        <v>13.608758045101272</v>
      </c>
      <c r="C335" s="829"/>
      <c r="D335" s="391">
        <f t="shared" ref="D335:D379" si="127">Wh/(1-Ppv)</f>
        <v>14.472805365896621</v>
      </c>
      <c r="E335" s="383">
        <f t="shared" si="125"/>
        <v>14.942803278997985</v>
      </c>
      <c r="F335" s="383">
        <f t="shared" ref="F335:F379" si="128">Wh_sa/(1-Pvg*MEDIAN((-Sdif+Wh/Env_an)/Csdif,0,1))</f>
        <v>14.943003160275911</v>
      </c>
      <c r="G335" s="110">
        <f t="shared" si="126"/>
        <v>0.45935761897581984</v>
      </c>
      <c r="H335" s="412" t="b">
        <f>Wh_hp&gt;='2026'!Maxi_hp</f>
        <v>0</v>
      </c>
      <c r="I335" s="388">
        <f>IF(H335,Wh_hp,'2026'!Maxi_hp)</f>
        <v>24.838157791635798</v>
      </c>
      <c r="J335" s="85">
        <f>IF(H335,An,'2026'!An_max)</f>
        <v>2020</v>
      </c>
      <c r="K335" s="197">
        <f t="shared" ref="K335:K379" si="129">t</f>
        <v>46708</v>
      </c>
      <c r="L335" s="147">
        <f>IF(t&lt;Tvie,1-EXP((T0-t)*PertePVj)+'2026'!Pspv,1-EXP((T0-t)*PertePVj)+Pspv)</f>
        <v>5.9701439973163017E-2</v>
      </c>
      <c r="M335" s="832"/>
      <c r="N335" s="832"/>
      <c r="O335" s="48">
        <f>IF(t&lt;Tnet,'2026'!Resal+('2026'!Salim-'2026'!Resal)*(1-EXP(('2026'!Tnet-t)/('2026'!Tau_j))),Resal+(Salim-Resal)*(1-EXP((Tnet-t)/(Tau_j))))*Salcycl</f>
        <v>3.1453128594816158E-2</v>
      </c>
      <c r="P335" s="169">
        <f>(INDEX(Models!$BJ335:$BT335,,T335)*(1-R335)+INDEX(Models!$BJ335:$BT335,,T335+1)*R335-ERP_i)*Q335*Ramure*Pc/MaxiM</f>
        <v>5.8749291805131168E-5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0.47359255983727588</v>
      </c>
      <c r="S335" s="799">
        <f t="shared" ref="S335:S379" si="132">INDEX(Echel_vg,T335)</f>
        <v>-1</v>
      </c>
      <c r="T335" s="176">
        <f t="shared" ref="T335:T379" si="133">MIN(MATCH(Hp_vg,Echel_vg),10)</f>
        <v>5</v>
      </c>
      <c r="U335" s="250">
        <f t="shared" ref="U335:U379" si="134">IF(OR(t&lt;Ttai,Notai),Hdd+PousH*Croivg,Hdtf+PousH*(Croivg-Croi_tai))</f>
        <v>-0.52640744016272412</v>
      </c>
      <c r="V335" s="382">
        <f t="shared" ref="V335:V379" si="135">MaxiM*(1-Ppv)*(1-Pvg)*(1-Psa)</f>
        <v>29.624284008552227</v>
      </c>
      <c r="W335" s="400">
        <f t="shared" ref="W335:W379" si="136">Wh*(A335&gt;Tmaj)</f>
        <v>13.608758045101272</v>
      </c>
      <c r="X335" s="157">
        <f t="shared" ref="X335:X379" si="137">t</f>
        <v>46708</v>
      </c>
      <c r="Y335" s="383">
        <f t="shared" ref="Y335:Y379" si="138">Wh_pvt_s*(1-Ppv)</f>
        <v>13.191014748483441</v>
      </c>
      <c r="Z335" s="383">
        <f t="shared" ref="Z335:Z379" si="139">Wh_sa_s*(1-Psa_s)</f>
        <v>14.028538710201746</v>
      </c>
      <c r="AA335" s="384">
        <f t="shared" ref="AA335:AA379" si="140">Wh_hp*(1-Pvg_s*MEDIAN((-Sdif+Wh/Env_an)/Csdif,0,1))</f>
        <v>14.93946032620549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6.0974198271800041E-2</v>
      </c>
      <c r="AD335" s="230">
        <f>(INDEX(Models!$BJ335:$BT335,,AH335)*(1-AF335)+INDEX(Models!$BJ335:$BT335,,AH335+1)*AF335-ERP_i)*AE335*Ramure*Pc/MaxiM</f>
        <v>1.0413130973620671E-3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0.99858012621125436</v>
      </c>
      <c r="AG335" s="799">
        <f t="shared" si="124"/>
        <v>2</v>
      </c>
      <c r="AH335" s="176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2.9985801262112544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46709</v>
      </c>
      <c r="B336" s="409">
        <f>IF(t&gt;Tmaj,'2026'!Wh/'2026'!Env_an*'2027'!Env_an,0.001*'[13]mon-tableau (3)'!$B$252)</f>
        <v>17.350626350028534</v>
      </c>
      <c r="C336" s="829"/>
      <c r="D336" s="391">
        <f t="shared" si="127"/>
        <v>18.452606028346796</v>
      </c>
      <c r="E336" s="383">
        <f t="shared" si="125"/>
        <v>19.053426686476531</v>
      </c>
      <c r="F336" s="383">
        <f t="shared" si="128"/>
        <v>19.053941964371141</v>
      </c>
      <c r="G336" s="110">
        <f t="shared" si="126"/>
        <v>0.59086741884278837</v>
      </c>
      <c r="H336" s="412" t="b">
        <f>Wh_hp&gt;='2026'!Maxi_hp</f>
        <v>0</v>
      </c>
      <c r="I336" s="388">
        <f>IF(H336,Wh_hp,'2026'!Maxi_hp)</f>
        <v>29.745287536442678</v>
      </c>
      <c r="J336" s="85">
        <f>IF(H336,An,'2026'!An_max)</f>
        <v>2020</v>
      </c>
      <c r="K336" s="197">
        <f t="shared" si="129"/>
        <v>46709</v>
      </c>
      <c r="L336" s="147">
        <f>IF(t&lt;Tvie,1-EXP((T0-t)*PertePVj)+'2026'!Pspv,1-EXP((T0-t)*PertePVj)+Pspv)</f>
        <v>5.9719460580549333E-2</v>
      </c>
      <c r="M336" s="832"/>
      <c r="N336" s="832"/>
      <c r="O336" s="48">
        <f>IF(t&lt;Tnet,'2026'!Resal+('2026'!Salim-'2026'!Resal)*(1-EXP(('2026'!Tnet-t)/('2026'!Tau_j))),Resal+(Salim-Resal)*(1-EXP((Tnet-t)/(Tau_j))))*Salcycl</f>
        <v>3.1533469964023661E-2</v>
      </c>
      <c r="P336" s="169">
        <f>(INDEX(Models!$BJ336:$BT336,,T336)*(1-R336)+INDEX(Models!$BJ336:$BT336,,T336+1)*R336-ERP_i)*Q336*Ramure*Pc/MaxiM</f>
        <v>6.507678382703862E-5</v>
      </c>
      <c r="Q336" s="304">
        <f t="shared" si="130"/>
        <v>0.6</v>
      </c>
      <c r="R336" s="177">
        <f t="shared" si="131"/>
        <v>0.4736206013959392</v>
      </c>
      <c r="S336" s="799">
        <f t="shared" si="132"/>
        <v>-1</v>
      </c>
      <c r="T336" s="176">
        <f t="shared" si="133"/>
        <v>5</v>
      </c>
      <c r="U336" s="250">
        <f t="shared" si="134"/>
        <v>-0.5263793986040608</v>
      </c>
      <c r="V336" s="382">
        <f t="shared" si="135"/>
        <v>29.363552416108249</v>
      </c>
      <c r="W336" s="400">
        <f t="shared" si="136"/>
        <v>17.350626350028534</v>
      </c>
      <c r="X336" s="157">
        <f t="shared" si="137"/>
        <v>46709</v>
      </c>
      <c r="Y336" s="383">
        <f t="shared" si="138"/>
        <v>16.815176056080038</v>
      </c>
      <c r="Z336" s="383">
        <f t="shared" si="139"/>
        <v>17.883148008638024</v>
      </c>
      <c r="AA336" s="384">
        <f t="shared" si="140"/>
        <v>19.044958484203722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6.1003570920321368E-2</v>
      </c>
      <c r="AD336" s="230">
        <f>(INDEX(Models!$BJ336:$BT336,,AH336)*(1-AF336)+INDEX(Models!$BJ336:$BT336,,AH336+1)*AF336-ERP_i)*AE336*Ramure*Pc/MaxiM</f>
        <v>1.1345644806160995E-3</v>
      </c>
      <c r="AE336" s="304">
        <f t="shared" si="142"/>
        <v>0.6</v>
      </c>
      <c r="AF336" s="177">
        <f t="shared" si="143"/>
        <v>0.9986081677699179</v>
      </c>
      <c r="AG336" s="799">
        <f t="shared" ref="AG336:AG379" si="149">INDEX(Echel_vg,AH336)</f>
        <v>2</v>
      </c>
      <c r="AH336" s="176">
        <f t="shared" si="144"/>
        <v>8</v>
      </c>
      <c r="AI336" s="224">
        <f t="shared" si="145"/>
        <v>2.9986081677699179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46710</v>
      </c>
      <c r="B337" s="409">
        <f>IF(t&gt;Tmaj,'2026'!Wh/'2026'!Env_an*'2027'!Env_an,0.001*'[13]mon-tableau (3)'!$B$253)</f>
        <v>6.8464109666760065</v>
      </c>
      <c r="C337" s="829"/>
      <c r="D337" s="391">
        <f t="shared" si="127"/>
        <v>7.2813824088310106</v>
      </c>
      <c r="E337" s="383">
        <f t="shared" si="125"/>
        <v>7.519091434624019</v>
      </c>
      <c r="F337" s="383">
        <f t="shared" si="128"/>
        <v>7.519091434624019</v>
      </c>
      <c r="G337" s="110">
        <f t="shared" si="126"/>
        <v>0.23519646802096639</v>
      </c>
      <c r="H337" s="412" t="b">
        <f>Wh_hp&gt;='2026'!Maxi_hp</f>
        <v>0</v>
      </c>
      <c r="I337" s="388">
        <f>IF(H337,Wh_hp,'2026'!Maxi_hp)</f>
        <v>31.924931644225545</v>
      </c>
      <c r="J337" s="85">
        <f>IF(H337,An,'2026'!An_max)</f>
        <v>2020</v>
      </c>
      <c r="K337" s="197">
        <f t="shared" si="129"/>
        <v>46710</v>
      </c>
      <c r="L337" s="147">
        <f>IF(t&lt;Tvie,1-EXP((T0-t)*PertePVj)+'2026'!Pspv,1-EXP((T0-t)*PertePVj)+Pspv)</f>
        <v>5.9737480842574908E-2</v>
      </c>
      <c r="M337" s="832"/>
      <c r="N337" s="832"/>
      <c r="O337" s="48">
        <f>IF(t&lt;Tnet,'2026'!Resal+('2026'!Salim-'2026'!Resal)*(1-EXP(('2026'!Tnet-t)/('2026'!Tau_j))),Resal+(Salim-Resal)*(1-EXP((Tnet-t)/(Tau_j))))*Salcycl</f>
        <v>3.1614062398337472E-2</v>
      </c>
      <c r="P337" s="169">
        <f>(INDEX(Models!$BJ337:$BT337,,T337)*(1-R337)+INDEX(Models!$BJ337:$BT337,,T337+1)*R337-ERP_i)*Q337*Ramure*Pc/MaxiM</f>
        <v>7.197355202499128E-5</v>
      </c>
      <c r="Q337" s="304">
        <f t="shared" si="130"/>
        <v>0.6</v>
      </c>
      <c r="R337" s="177">
        <f t="shared" si="131"/>
        <v>0.47364751687710971</v>
      </c>
      <c r="S337" s="799">
        <f t="shared" si="132"/>
        <v>-1</v>
      </c>
      <c r="T337" s="176">
        <f t="shared" si="133"/>
        <v>5</v>
      </c>
      <c r="U337" s="250">
        <f t="shared" si="134"/>
        <v>-0.52635248312289029</v>
      </c>
      <c r="V337" s="382">
        <f t="shared" si="135"/>
        <v>29.107232195127345</v>
      </c>
      <c r="W337" s="400">
        <f t="shared" si="136"/>
        <v>6.8464109666760065</v>
      </c>
      <c r="X337" s="157">
        <f t="shared" si="137"/>
        <v>46710</v>
      </c>
      <c r="Y337" s="383">
        <f t="shared" si="138"/>
        <v>6.63841635367511</v>
      </c>
      <c r="Z337" s="383">
        <f t="shared" si="139"/>
        <v>7.0601733222588035</v>
      </c>
      <c r="AA337" s="384">
        <f t="shared" si="140"/>
        <v>7.519091434624019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6.103371881501312E-2</v>
      </c>
      <c r="AD337" s="230">
        <f>(INDEX(Models!$BJ337:$BT337,,AH337)*(1-AF337)+INDEX(Models!$BJ337:$BT337,,AH337+1)*AF337-ERP_i)*AE337*Ramure*Pc/MaxiM</f>
        <v>1.2330111909219256E-3</v>
      </c>
      <c r="AE337" s="304">
        <f t="shared" si="142"/>
        <v>0.6</v>
      </c>
      <c r="AF337" s="177">
        <f t="shared" si="143"/>
        <v>0.99863508325108841</v>
      </c>
      <c r="AG337" s="799">
        <f t="shared" si="149"/>
        <v>2</v>
      </c>
      <c r="AH337" s="176">
        <f t="shared" si="144"/>
        <v>8</v>
      </c>
      <c r="AI337" s="224">
        <f t="shared" si="145"/>
        <v>2.9986350832510884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46711</v>
      </c>
      <c r="B338" s="409">
        <f>IF(t&gt;Tmaj,'2026'!Wh/'2026'!Env_an*'2027'!Env_an,0.001*'[13]mon-tableau (3)'!$B$254)</f>
        <v>17.613923556395857</v>
      </c>
      <c r="C338" s="829"/>
      <c r="D338" s="391">
        <f t="shared" si="127"/>
        <v>18.73334390216489</v>
      </c>
      <c r="E338" s="383">
        <f t="shared" si="125"/>
        <v>19.34653081645725</v>
      </c>
      <c r="F338" s="383">
        <f t="shared" si="128"/>
        <v>19.34721194074227</v>
      </c>
      <c r="G338" s="110">
        <f t="shared" si="126"/>
        <v>0.6103763429337139</v>
      </c>
      <c r="H338" s="412" t="b">
        <f>Wh_hp&gt;='2026'!Maxi_hp</f>
        <v>0</v>
      </c>
      <c r="I338" s="388">
        <f>IF(H338,Wh_hp,'2026'!Maxi_hp)</f>
        <v>32.554516773217912</v>
      </c>
      <c r="J338" s="85">
        <f>IF(H338,An,'2026'!An_max)</f>
        <v>2018</v>
      </c>
      <c r="K338" s="197">
        <f t="shared" si="129"/>
        <v>46711</v>
      </c>
      <c r="L338" s="147">
        <f>IF(t&lt;Tvie,1-EXP((T0-t)*PertePVj)+'2026'!Pspv,1-EXP((T0-t)*PertePVj)+Pspv)</f>
        <v>5.9755500759246183E-2</v>
      </c>
      <c r="M338" s="832"/>
      <c r="N338" s="832"/>
      <c r="O338" s="48">
        <f>IF(t&lt;Tnet,'2026'!Resal+('2026'!Salim-'2026'!Resal)*(1-EXP(('2026'!Tnet-t)/('2026'!Tau_j))),Resal+(Salim-Resal)*(1-EXP((Tnet-t)/(Tau_j))))*Salcycl</f>
        <v>3.169492867272871E-2</v>
      </c>
      <c r="P338" s="169">
        <f>(INDEX(Models!$BJ338:$BT338,,T338)*(1-R338)+INDEX(Models!$BJ338:$BT338,,T338+1)*R338-ERP_i)*Q338*Ramure*Pc/MaxiM</f>
        <v>7.9392534024073377E-5</v>
      </c>
      <c r="Q338" s="304">
        <f t="shared" si="130"/>
        <v>0.6</v>
      </c>
      <c r="R338" s="177">
        <f t="shared" si="131"/>
        <v>0.4736733513870488</v>
      </c>
      <c r="S338" s="799">
        <f t="shared" si="132"/>
        <v>-1</v>
      </c>
      <c r="T338" s="176">
        <f t="shared" si="133"/>
        <v>5</v>
      </c>
      <c r="U338" s="250">
        <f t="shared" si="134"/>
        <v>-0.5263266486129512</v>
      </c>
      <c r="V338" s="382">
        <f t="shared" si="135"/>
        <v>28.856205556183493</v>
      </c>
      <c r="W338" s="400">
        <f t="shared" si="136"/>
        <v>17.613923556395857</v>
      </c>
      <c r="X338" s="157">
        <f t="shared" si="137"/>
        <v>46711</v>
      </c>
      <c r="Y338" s="383">
        <f t="shared" si="138"/>
        <v>17.070168484261483</v>
      </c>
      <c r="Z338" s="383">
        <f t="shared" si="139"/>
        <v>18.155031481753547</v>
      </c>
      <c r="AA338" s="384">
        <f t="shared" si="140"/>
        <v>19.335763699583485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6.1064679739304746E-2</v>
      </c>
      <c r="AD338" s="230">
        <f>(INDEX(Models!$BJ338:$BT338,,AH338)*(1-AF338)+INDEX(Models!$BJ338:$BT338,,AH338+1)*AF338-ERP_i)*AE338*Ramure*Pc/MaxiM</f>
        <v>1.334418542555412E-3</v>
      </c>
      <c r="AE338" s="304">
        <f t="shared" si="142"/>
        <v>0.6</v>
      </c>
      <c r="AF338" s="177">
        <f t="shared" si="143"/>
        <v>0.99866091776102728</v>
      </c>
      <c r="AG338" s="799">
        <f t="shared" si="149"/>
        <v>2</v>
      </c>
      <c r="AH338" s="176">
        <f t="shared" si="144"/>
        <v>8</v>
      </c>
      <c r="AI338" s="224">
        <f t="shared" si="145"/>
        <v>2.9986609177610273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46712</v>
      </c>
      <c r="B339" s="409">
        <f>IF(t&gt;Tmaj,'2026'!Wh/'2026'!Env_an*'2027'!Env_an,0.001*'[13]mon-tableau (3)'!$B$255)</f>
        <v>3.1475049207143306</v>
      </c>
      <c r="C339" s="829"/>
      <c r="D339" s="391">
        <f t="shared" si="127"/>
        <v>3.3476029326688899</v>
      </c>
      <c r="E339" s="383">
        <f t="shared" si="125"/>
        <v>3.457467738285148</v>
      </c>
      <c r="F339" s="383">
        <f t="shared" si="128"/>
        <v>3.457467738285148</v>
      </c>
      <c r="G339" s="110">
        <f t="shared" si="126"/>
        <v>0.1099993432521376</v>
      </c>
      <c r="H339" s="412" t="b">
        <f>Wh_hp&gt;='2026'!Maxi_hp</f>
        <v>0</v>
      </c>
      <c r="I339" s="388">
        <f>IF(H339,Wh_hp,'2026'!Maxi_hp)</f>
        <v>29.917682231011785</v>
      </c>
      <c r="J339" s="85">
        <f>IF(H339,An,'2026'!An_max)</f>
        <v>2018</v>
      </c>
      <c r="K339" s="197">
        <f t="shared" si="129"/>
        <v>46712</v>
      </c>
      <c r="L339" s="147">
        <f>IF(t&lt;Tvie,1-EXP((T0-t)*PertePVj)+'2026'!Pspv,1-EXP((T0-t)*PertePVj)+Pspv)</f>
        <v>5.9773520330569929E-2</v>
      </c>
      <c r="M339" s="832"/>
      <c r="N339" s="832"/>
      <c r="O339" s="48">
        <f>IF(t&lt;Tnet,'2026'!Resal+('2026'!Salim-'2026'!Resal)*(1-EXP(('2026'!Tnet-t)/('2026'!Tau_j))),Resal+(Salim-Resal)*(1-EXP((Tnet-t)/(Tau_j))))*Salcycl</f>
        <v>3.1776089882114049E-2</v>
      </c>
      <c r="P339" s="169">
        <f>(INDEX(Models!$BJ339:$BT339,,T339)*(1-R339)+INDEX(Models!$BJ339:$BT339,,T339+1)*R339-ERP_i)*Q339*Ramure*Pc/MaxiM</f>
        <v>8.7017457036354411E-5</v>
      </c>
      <c r="Q339" s="304">
        <f t="shared" si="130"/>
        <v>0.6</v>
      </c>
      <c r="R339" s="177">
        <f t="shared" si="131"/>
        <v>0.47369814823423395</v>
      </c>
      <c r="S339" s="799">
        <f t="shared" si="132"/>
        <v>-1</v>
      </c>
      <c r="T339" s="176">
        <f t="shared" si="133"/>
        <v>5</v>
      </c>
      <c r="U339" s="250">
        <f t="shared" si="134"/>
        <v>-0.52630185176576605</v>
      </c>
      <c r="V339" s="382">
        <f t="shared" si="135"/>
        <v>28.611362029917942</v>
      </c>
      <c r="W339" s="400">
        <f t="shared" si="136"/>
        <v>3.1475049207143306</v>
      </c>
      <c r="X339" s="157">
        <f t="shared" si="137"/>
        <v>46712</v>
      </c>
      <c r="Y339" s="383">
        <f t="shared" si="138"/>
        <v>3.0521900908281872</v>
      </c>
      <c r="Z339" s="383">
        <f t="shared" si="139"/>
        <v>3.246228602178161</v>
      </c>
      <c r="AA339" s="384">
        <f t="shared" si="140"/>
        <v>3.457467738285148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6.1096487978152043E-2</v>
      </c>
      <c r="AD339" s="230">
        <f>(INDEX(Models!$BJ339:$BT339,,AH339)*(1-AF339)+INDEX(Models!$BJ339:$BT339,,AH339+1)*AF339-ERP_i)*AE339*Ramure*Pc/MaxiM</f>
        <v>1.4355778009548146E-3</v>
      </c>
      <c r="AE339" s="304">
        <f t="shared" si="142"/>
        <v>0.6</v>
      </c>
      <c r="AF339" s="177">
        <f t="shared" si="143"/>
        <v>0.99868571460821265</v>
      </c>
      <c r="AG339" s="799">
        <f t="shared" si="149"/>
        <v>2</v>
      </c>
      <c r="AH339" s="176">
        <f t="shared" si="144"/>
        <v>8</v>
      </c>
      <c r="AI339" s="224">
        <f t="shared" si="145"/>
        <v>2.9986857146082126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46713</v>
      </c>
      <c r="B340" s="409">
        <f>IF(t&gt;Tmaj,'2026'!Wh/'2026'!Env_an*'2027'!Env_an,0.001*'[13]mon-tableau (3)'!$B$256)</f>
        <v>8.0647477062444075</v>
      </c>
      <c r="C340" s="829"/>
      <c r="D340" s="391">
        <f t="shared" si="127"/>
        <v>8.5776166090237957</v>
      </c>
      <c r="E340" s="383">
        <f t="shared" si="125"/>
        <v>8.8598705129474915</v>
      </c>
      <c r="F340" s="383">
        <f t="shared" si="128"/>
        <v>8.8598705129474915</v>
      </c>
      <c r="G340" s="110">
        <f t="shared" si="126"/>
        <v>0.28420743335860477</v>
      </c>
      <c r="H340" s="412" t="b">
        <f>Wh_hp&gt;='2026'!Maxi_hp</f>
        <v>0</v>
      </c>
      <c r="I340" s="388">
        <f>IF(H340,Wh_hp,'2026'!Maxi_hp)</f>
        <v>32.069171926586371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5.9791539556552586E-2</v>
      </c>
      <c r="M340" s="832"/>
      <c r="N340" s="832"/>
      <c r="O340" s="48">
        <f>IF(t&lt;Tnet,'2026'!Resal+('2026'!Salim-'2026'!Resal)*(1-EXP(('2026'!Tnet-t)/('2026'!Tau_j))),Resal+(Salim-Resal)*(1-EXP((Tnet-t)/(Tau_j))))*Salcycl</f>
        <v>3.1857565357328976E-2</v>
      </c>
      <c r="P340" s="169">
        <f>(INDEX(Models!$BJ340:$BT340,,T340)*(1-R340)+INDEX(Models!$BJ340:$BT340,,T340+1)*R340-ERP_i)*Q340*Ramure*Pc/MaxiM</f>
        <v>9.4846567519748433E-5</v>
      </c>
      <c r="Q340" s="304">
        <f t="shared" si="130"/>
        <v>0.6</v>
      </c>
      <c r="R340" s="177">
        <f t="shared" si="131"/>
        <v>0.47372194900030251</v>
      </c>
      <c r="S340" s="799">
        <f t="shared" si="132"/>
        <v>-1</v>
      </c>
      <c r="T340" s="176">
        <f t="shared" si="133"/>
        <v>5</v>
      </c>
      <c r="U340" s="250">
        <f t="shared" si="134"/>
        <v>-0.52627805099969749</v>
      </c>
      <c r="V340" s="382">
        <f t="shared" si="135"/>
        <v>28.373581567909426</v>
      </c>
      <c r="W340" s="400">
        <f t="shared" si="136"/>
        <v>8.0647477062444075</v>
      </c>
      <c r="X340" s="157">
        <f t="shared" si="137"/>
        <v>46713</v>
      </c>
      <c r="Y340" s="383">
        <f t="shared" si="138"/>
        <v>7.8209115393957038</v>
      </c>
      <c r="Z340" s="383">
        <f t="shared" si="139"/>
        <v>8.3182739450217102</v>
      </c>
      <c r="AA340" s="384">
        <f t="shared" si="140"/>
        <v>8.8598705129474915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6.1129174194398291E-2</v>
      </c>
      <c r="AD340" s="230">
        <f>(INDEX(Models!$BJ340:$BT340,,AH340)*(1-AF340)+INDEX(Models!$BJ340:$BT340,,AH340+1)*AF340-ERP_i)*AE340*Ramure*Pc/MaxiM</f>
        <v>1.5364628597350559E-3</v>
      </c>
      <c r="AE340" s="304">
        <f t="shared" si="142"/>
        <v>0.6</v>
      </c>
      <c r="AF340" s="177">
        <f t="shared" si="143"/>
        <v>0.99870951537428132</v>
      </c>
      <c r="AG340" s="799">
        <f t="shared" si="149"/>
        <v>2</v>
      </c>
      <c r="AH340" s="176">
        <f t="shared" si="144"/>
        <v>8</v>
      </c>
      <c r="AI340" s="224">
        <f t="shared" si="145"/>
        <v>2.9987095153742813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46714</v>
      </c>
      <c r="B341" s="409">
        <f>IF(t&gt;Tmaj,'2026'!Wh/'2026'!Env_an*'2027'!Env_an,0.001*'[13]mon-tableau (3)'!$B$257)</f>
        <v>13.293484123927412</v>
      </c>
      <c r="C341" s="829"/>
      <c r="D341" s="391">
        <f t="shared" si="127"/>
        <v>14.139139834085931</v>
      </c>
      <c r="E341" s="383">
        <f t="shared" si="125"/>
        <v>14.605634640827018</v>
      </c>
      <c r="F341" s="383">
        <f t="shared" si="128"/>
        <v>14.606004590073315</v>
      </c>
      <c r="G341" s="110">
        <f t="shared" si="126"/>
        <v>0.47230579189744598</v>
      </c>
      <c r="H341" s="412" t="b">
        <f>Wh_hp&gt;='2026'!Maxi_hp</f>
        <v>0</v>
      </c>
      <c r="I341" s="388">
        <f>IF(H341,Wh_hp,'2026'!Maxi_hp)</f>
        <v>32.348955390885784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5.9809558437201038E-2</v>
      </c>
      <c r="M341" s="832"/>
      <c r="N341" s="832"/>
      <c r="O341" s="48">
        <f>IF(t&lt;Tnet,'2026'!Resal+('2026'!Salim-'2026'!Resal)*(1-EXP(('2026'!Tnet-t)/('2026'!Tau_j))),Resal+(Salim-Resal)*(1-EXP((Tnet-t)/(Tau_j))))*Salcycl</f>
        <v>3.1939372592348574E-2</v>
      </c>
      <c r="P341" s="169">
        <f>(INDEX(Models!$BJ341:$BT341,,T341)*(1-R341)+INDEX(Models!$BJ341:$BT341,,T341+1)*R341-ERP_i)*Q341*Ramure*Pc/MaxiM</f>
        <v>1.0287659036353194E-4</v>
      </c>
      <c r="Q341" s="304">
        <f t="shared" si="130"/>
        <v>0.6</v>
      </c>
      <c r="R341" s="177">
        <f t="shared" si="131"/>
        <v>0.47374479360825217</v>
      </c>
      <c r="S341" s="799">
        <f t="shared" si="132"/>
        <v>-1</v>
      </c>
      <c r="T341" s="176">
        <f t="shared" si="133"/>
        <v>5</v>
      </c>
      <c r="U341" s="250">
        <f t="shared" si="134"/>
        <v>-0.52625520639174783</v>
      </c>
      <c r="V341" s="382">
        <f t="shared" si="135"/>
        <v>28.143743825521373</v>
      </c>
      <c r="W341" s="400">
        <f t="shared" si="136"/>
        <v>13.293484123927412</v>
      </c>
      <c r="X341" s="157">
        <f t="shared" si="137"/>
        <v>46714</v>
      </c>
      <c r="Y341" s="383">
        <f t="shared" si="138"/>
        <v>12.887316547115804</v>
      </c>
      <c r="Z341" s="383">
        <f t="shared" si="139"/>
        <v>13.707134190488375</v>
      </c>
      <c r="AA341" s="384">
        <f t="shared" si="140"/>
        <v>14.600117767244639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6.1162765327802467E-2</v>
      </c>
      <c r="AD341" s="230">
        <f>(INDEX(Models!$BJ341:$BT341,,AH341)*(1-AF341)+INDEX(Models!$BJ341:$BT341,,AH341+1)*AF341-ERP_i)*AE341*Ramure*Pc/MaxiM</f>
        <v>1.6370252588735576E-3</v>
      </c>
      <c r="AE341" s="304">
        <f t="shared" si="142"/>
        <v>0.6</v>
      </c>
      <c r="AF341" s="177">
        <f t="shared" si="143"/>
        <v>0.99873235998223109</v>
      </c>
      <c r="AG341" s="799">
        <f t="shared" si="149"/>
        <v>2</v>
      </c>
      <c r="AH341" s="176">
        <f t="shared" si="144"/>
        <v>8</v>
      </c>
      <c r="AI341" s="224">
        <f t="shared" si="145"/>
        <v>2.9987323599822311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46715</v>
      </c>
      <c r="B342" s="409">
        <f>IF(t&gt;Tmaj,'2026'!Wh/'2026'!Env_an*'2027'!Env_an,0.001*'[13]mon-tableau (3)'!$B$258)</f>
        <v>14.253988138806353</v>
      </c>
      <c r="C342" s="829"/>
      <c r="D342" s="391">
        <f t="shared" si="127"/>
        <v>15.16103619898427</v>
      </c>
      <c r="E342" s="383">
        <f t="shared" si="125"/>
        <v>15.662575795582377</v>
      </c>
      <c r="F342" s="383">
        <f t="shared" si="128"/>
        <v>15.663099055872005</v>
      </c>
      <c r="G342" s="110">
        <f t="shared" si="126"/>
        <v>0.51044011724823335</v>
      </c>
      <c r="H342" s="412" t="b">
        <f>Wh_hp&gt;='2026'!Maxi_hp</f>
        <v>0</v>
      </c>
      <c r="I342" s="388">
        <f>IF(H342,Wh_hp,'2026'!Maxi_hp)</f>
        <v>29.959800379951087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5.9827576972521612E-2</v>
      </c>
      <c r="M342" s="832"/>
      <c r="N342" s="832"/>
      <c r="O342" s="48">
        <f>IF(t&lt;Tnet,'2026'!Resal+('2026'!Salim-'2026'!Resal)*(1-EXP(('2026'!Tnet-t)/('2026'!Tau_j))),Resal+(Salim-Resal)*(1-EXP((Tnet-t)/(Tau_j))))*Salcycl</f>
        <v>3.2021527183259742E-2</v>
      </c>
      <c r="P342" s="169">
        <f>(INDEX(Models!$BJ342:$BT342,,T342)*(1-R342)+INDEX(Models!$BJ342:$BT342,,T342+1)*R342-ERP_i)*Q342*Ramure*Pc/MaxiM</f>
        <v>1.1110349981869038E-4</v>
      </c>
      <c r="Q342" s="304">
        <f t="shared" si="130"/>
        <v>0.6</v>
      </c>
      <c r="R342" s="177">
        <f t="shared" si="131"/>
        <v>0.47376672038800027</v>
      </c>
      <c r="S342" s="799">
        <f t="shared" si="132"/>
        <v>-1</v>
      </c>
      <c r="T342" s="176">
        <f t="shared" si="133"/>
        <v>5</v>
      </c>
      <c r="U342" s="250">
        <f t="shared" si="134"/>
        <v>-0.52623327961199973</v>
      </c>
      <c r="V342" s="382">
        <f t="shared" si="135"/>
        <v>27.92272812825578</v>
      </c>
      <c r="W342" s="400">
        <f t="shared" si="136"/>
        <v>14.253988138806353</v>
      </c>
      <c r="X342" s="157">
        <f t="shared" si="137"/>
        <v>46715</v>
      </c>
      <c r="Y342" s="383">
        <f t="shared" si="138"/>
        <v>13.817600296684169</v>
      </c>
      <c r="Z342" s="383">
        <f t="shared" si="139"/>
        <v>14.696878953532465</v>
      </c>
      <c r="AA342" s="384">
        <f t="shared" si="140"/>
        <v>15.654917386958008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6.1197284517366848E-2</v>
      </c>
      <c r="AD342" s="230">
        <f>(INDEX(Models!$BJ342:$BT342,,AH342)*(1-AF342)+INDEX(Models!$BJ342:$BT342,,AH342+1)*AF342-ERP_i)*AE342*Ramure*Pc/MaxiM</f>
        <v>1.7372081710019525E-3</v>
      </c>
      <c r="AE342" s="304">
        <f t="shared" si="142"/>
        <v>0.6</v>
      </c>
      <c r="AF342" s="177">
        <f t="shared" si="143"/>
        <v>0.99875428676197897</v>
      </c>
      <c r="AG342" s="799">
        <f t="shared" si="149"/>
        <v>2</v>
      </c>
      <c r="AH342" s="176">
        <f t="shared" si="144"/>
        <v>8</v>
      </c>
      <c r="AI342" s="224">
        <f t="shared" si="145"/>
        <v>2.998754286761979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46716</v>
      </c>
      <c r="B343" s="409">
        <f>IF(t&gt;Tmaj,'2026'!Wh/'2026'!Env_an*'2027'!Env_an,0.001*'[13]mon-tableau (3)'!$B$259)</f>
        <v>4.5432524593153145</v>
      </c>
      <c r="C343" s="829"/>
      <c r="D343" s="391">
        <f t="shared" si="127"/>
        <v>4.8324535160803617</v>
      </c>
      <c r="E343" s="383">
        <f t="shared" si="125"/>
        <v>4.9927406763400048</v>
      </c>
      <c r="F343" s="383">
        <f t="shared" si="128"/>
        <v>4.9927406763400048</v>
      </c>
      <c r="G343" s="110">
        <f t="shared" si="126"/>
        <v>0.16392918547908314</v>
      </c>
      <c r="H343" s="412" t="b">
        <f>Wh_hp&gt;='2026'!Maxi_hp</f>
        <v>0</v>
      </c>
      <c r="I343" s="388">
        <f>IF(H343,Wh_hp,'2026'!Maxi_hp)</f>
        <v>29.033907399331543</v>
      </c>
      <c r="J343" s="85">
        <f>IF(H343,An,'2026'!An_max)</f>
        <v>2020</v>
      </c>
      <c r="K343" s="197">
        <f t="shared" si="129"/>
        <v>46716</v>
      </c>
      <c r="L343" s="147">
        <f>IF(t&lt;Tvie,1-EXP((T0-t)*PertePVj)+'2026'!Pspv,1-EXP((T0-t)*PertePVj)+Pspv)</f>
        <v>5.9845595162521192E-2</v>
      </c>
      <c r="M343" s="832"/>
      <c r="N343" s="832"/>
      <c r="O343" s="48">
        <f>IF(t&lt;Tnet,'2026'!Resal+('2026'!Salim-'2026'!Resal)*(1-EXP(('2026'!Tnet-t)/('2026'!Tau_j))),Resal+(Salim-Resal)*(1-EXP((Tnet-t)/(Tau_j))))*Salcycl</f>
        <v>3.2104042779394625E-2</v>
      </c>
      <c r="P343" s="169">
        <f>(INDEX(Models!$BJ343:$BT343,,T343)*(1-R343)+INDEX(Models!$BJ343:$BT343,,T343+1)*R343-ERP_i)*Q343*Ramure*Pc/MaxiM</f>
        <v>1.1952267035735932E-4</v>
      </c>
      <c r="Q343" s="304">
        <f t="shared" si="130"/>
        <v>0.6</v>
      </c>
      <c r="R343" s="177">
        <f t="shared" si="131"/>
        <v>0.47378776613939755</v>
      </c>
      <c r="S343" s="799">
        <f t="shared" si="132"/>
        <v>-1</v>
      </c>
      <c r="T343" s="176">
        <f t="shared" si="133"/>
        <v>5</v>
      </c>
      <c r="U343" s="250">
        <f t="shared" si="134"/>
        <v>-0.52621223386060245</v>
      </c>
      <c r="V343" s="382">
        <f t="shared" si="135"/>
        <v>27.711413464132082</v>
      </c>
      <c r="W343" s="400">
        <f t="shared" si="136"/>
        <v>4.5432524593153145</v>
      </c>
      <c r="X343" s="157">
        <f t="shared" si="137"/>
        <v>46716</v>
      </c>
      <c r="Y343" s="383">
        <f t="shared" si="138"/>
        <v>4.4065238424757878</v>
      </c>
      <c r="Z343" s="383">
        <f t="shared" si="139"/>
        <v>4.6870214294613959</v>
      </c>
      <c r="AA343" s="384">
        <f t="shared" si="140"/>
        <v>4.9927406763400048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6.1232751047410737E-2</v>
      </c>
      <c r="AD343" s="230">
        <f>(INDEX(Models!$BJ343:$BT343,,AH343)*(1-AF343)+INDEX(Models!$BJ343:$BT343,,AH343+1)*AF343-ERP_i)*AE343*Ramure*Pc/MaxiM</f>
        <v>1.8369494272192613E-3</v>
      </c>
      <c r="AE343" s="304">
        <f t="shared" si="142"/>
        <v>0.6</v>
      </c>
      <c r="AF343" s="177">
        <f t="shared" si="143"/>
        <v>0.99877533251337614</v>
      </c>
      <c r="AG343" s="799">
        <f t="shared" si="149"/>
        <v>2</v>
      </c>
      <c r="AH343" s="176">
        <f t="shared" si="144"/>
        <v>8</v>
      </c>
      <c r="AI343" s="224">
        <f t="shared" si="145"/>
        <v>2.9987753325133761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46717</v>
      </c>
      <c r="B344" s="409">
        <f>IF(t&gt;Tmaj,'2026'!Wh/'2026'!Env_an*'2027'!Env_an,0.001*'[13]mon-tableau (3)'!$B$260)</f>
        <v>10.57718742156595</v>
      </c>
      <c r="C344" s="829"/>
      <c r="D344" s="391">
        <f t="shared" si="127"/>
        <v>11.250694652293067</v>
      </c>
      <c r="E344" s="383">
        <f t="shared" si="125"/>
        <v>11.624863326616959</v>
      </c>
      <c r="F344" s="383">
        <f t="shared" si="128"/>
        <v>11.625043078490753</v>
      </c>
      <c r="G344" s="110">
        <f t="shared" si="126"/>
        <v>0.38443238408872998</v>
      </c>
      <c r="H344" s="412" t="b">
        <f>Wh_hp&gt;='2026'!Maxi_hp</f>
        <v>0</v>
      </c>
      <c r="I344" s="388">
        <f>IF(H344,Wh_hp,'2026'!Maxi_hp)</f>
        <v>28.857430187211506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5.9863613007206218E-2</v>
      </c>
      <c r="M344" s="832"/>
      <c r="N344" s="832"/>
      <c r="O344" s="48">
        <f>IF(t&lt;Tnet,'2026'!Resal+('2026'!Salim-'2026'!Resal)*(1-EXP(('2026'!Tnet-t)/('2026'!Tau_j))),Resal+(Salim-Resal)*(1-EXP((Tnet-t)/(Tau_j))))*Salcycl</f>
        <v>3.2186931046937491E-2</v>
      </c>
      <c r="P344" s="169">
        <f>(INDEX(Models!$BJ344:$BT344,,T344)*(1-R344)+INDEX(Models!$BJ344:$BT344,,T344+1)*R344-ERP_i)*Q344*Ramure*Pc/MaxiM</f>
        <v>1.2812830642001428E-4</v>
      </c>
      <c r="Q344" s="304">
        <f t="shared" si="130"/>
        <v>0.6</v>
      </c>
      <c r="R344" s="177">
        <f t="shared" si="131"/>
        <v>0.47380796619279586</v>
      </c>
      <c r="S344" s="799">
        <f t="shared" si="132"/>
        <v>-1</v>
      </c>
      <c r="T344" s="176">
        <f t="shared" si="133"/>
        <v>5</v>
      </c>
      <c r="U344" s="250">
        <f t="shared" si="134"/>
        <v>-0.52619203380720414</v>
      </c>
      <c r="V344" s="382">
        <f t="shared" si="135"/>
        <v>27.510678478701934</v>
      </c>
      <c r="W344" s="400">
        <f t="shared" si="136"/>
        <v>10.57718742156595</v>
      </c>
      <c r="X344" s="157">
        <f t="shared" si="137"/>
        <v>46717</v>
      </c>
      <c r="Y344" s="383">
        <f t="shared" si="138"/>
        <v>10.257110205567702</v>
      </c>
      <c r="Z344" s="383">
        <f t="shared" si="139"/>
        <v>10.910236373657478</v>
      </c>
      <c r="AA344" s="384">
        <f t="shared" si="140"/>
        <v>11.622326810735052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6.1269180317649115E-2</v>
      </c>
      <c r="AD344" s="230">
        <f>(INDEX(Models!$BJ344:$BT344,,AH344)*(1-AF344)+INDEX(Models!$BJ344:$BT344,,AH344+1)*AF344-ERP_i)*AE344*Ramure*Pc/MaxiM</f>
        <v>1.9361733481448441E-3</v>
      </c>
      <c r="AE344" s="304">
        <f t="shared" si="142"/>
        <v>0.6</v>
      </c>
      <c r="AF344" s="177">
        <f t="shared" si="143"/>
        <v>0.99879553256677456</v>
      </c>
      <c r="AG344" s="799">
        <f t="shared" si="149"/>
        <v>2</v>
      </c>
      <c r="AH344" s="176">
        <f t="shared" si="144"/>
        <v>8</v>
      </c>
      <c r="AI344" s="224">
        <f t="shared" si="145"/>
        <v>2.9987955325667746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46718</v>
      </c>
      <c r="B345" s="409">
        <f>IF(t&gt;Tmaj,'2026'!Wh/'2026'!Env_an*'2027'!Env_an,0.001*'[13]mon-tableau (3)'!$B$261)</f>
        <v>16.449968881154852</v>
      </c>
      <c r="C345" s="829"/>
      <c r="D345" s="391">
        <f t="shared" si="127"/>
        <v>17.49776348910077</v>
      </c>
      <c r="E345" s="383">
        <f t="shared" si="125"/>
        <v>18.08124904167294</v>
      </c>
      <c r="F345" s="383">
        <f t="shared" si="128"/>
        <v>18.08231778806871</v>
      </c>
      <c r="G345" s="110">
        <f t="shared" si="126"/>
        <v>0.60210671679090177</v>
      </c>
      <c r="H345" s="412" t="b">
        <f>Wh_hp&gt;='2026'!Maxi_hp</f>
        <v>0</v>
      </c>
      <c r="I345" s="388">
        <f>IF(H345,Wh_hp,'2026'!Maxi_hp)</f>
        <v>26.802315744867702</v>
      </c>
      <c r="J345" s="85">
        <f>IF(H345,An,'2026'!An_max)</f>
        <v>2020</v>
      </c>
      <c r="K345" s="197">
        <f t="shared" si="129"/>
        <v>46718</v>
      </c>
      <c r="L345" s="147">
        <f>IF(t&lt;Tvie,1-EXP((T0-t)*PertePVj)+'2026'!Pspv,1-EXP((T0-t)*PertePVj)+Pspv)</f>
        <v>5.988163050658335E-2</v>
      </c>
      <c r="M345" s="832"/>
      <c r="N345" s="832"/>
      <c r="O345" s="48">
        <f>IF(t&lt;Tnet,'2026'!Resal+('2026'!Salim-'2026'!Resal)*(1-EXP(('2026'!Tnet-t)/('2026'!Tau_j))),Resal+(Salim-Resal)*(1-EXP((Tnet-t)/(Tau_j))))*Salcycl</f>
        <v>3.2270201645216837E-2</v>
      </c>
      <c r="P345" s="169">
        <f>(INDEX(Models!$BJ345:$BT345,,T345)*(1-R345)+INDEX(Models!$BJ345:$BT345,,T345+1)*R345-ERP_i)*Q345*Ramure*Pc/MaxiM</f>
        <v>1.3692755707245171E-4</v>
      </c>
      <c r="Q345" s="304">
        <f t="shared" si="130"/>
        <v>0.6</v>
      </c>
      <c r="R345" s="177">
        <f t="shared" si="131"/>
        <v>0.47382735446725643</v>
      </c>
      <c r="S345" s="799">
        <f t="shared" si="132"/>
        <v>-1</v>
      </c>
      <c r="T345" s="176">
        <f t="shared" si="133"/>
        <v>5</v>
      </c>
      <c r="U345" s="250">
        <f t="shared" si="134"/>
        <v>-0.52617264553274357</v>
      </c>
      <c r="V345" s="382">
        <f t="shared" si="135"/>
        <v>27.318560248466468</v>
      </c>
      <c r="W345" s="400">
        <f t="shared" si="136"/>
        <v>16.449968881154852</v>
      </c>
      <c r="X345" s="157">
        <f t="shared" si="137"/>
        <v>46718</v>
      </c>
      <c r="Y345" s="383">
        <f t="shared" si="138"/>
        <v>15.943319678092443</v>
      </c>
      <c r="Z345" s="383">
        <f t="shared" si="139"/>
        <v>16.958842838783706</v>
      </c>
      <c r="AA345" s="384">
        <f t="shared" si="140"/>
        <v>18.066434201819408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6.1306583837343991E-2</v>
      </c>
      <c r="AD345" s="230">
        <f>(INDEX(Models!$BJ345:$BT345,,AH345)*(1-AF345)+INDEX(Models!$BJ345:$BT345,,AH345+1)*AF345-ERP_i)*AE345*Ramure*Pc/MaxiM</f>
        <v>2.0350016348790216E-3</v>
      </c>
      <c r="AE345" s="304">
        <f t="shared" si="142"/>
        <v>0.6</v>
      </c>
      <c r="AF345" s="177">
        <f t="shared" si="143"/>
        <v>0.99881492084123513</v>
      </c>
      <c r="AG345" s="799">
        <f t="shared" si="149"/>
        <v>2</v>
      </c>
      <c r="AH345" s="176">
        <f t="shared" si="144"/>
        <v>8</v>
      </c>
      <c r="AI345" s="224">
        <f t="shared" si="145"/>
        <v>2.9988149208412351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46719</v>
      </c>
      <c r="B346" s="409">
        <f>IF(t&gt;Tmaj,'2026'!Wh/'2026'!Env_an*'2027'!Env_an,0.001*'[13]mon-tableau (3)'!$B$262)</f>
        <v>10.211761925492942</v>
      </c>
      <c r="C346" s="829"/>
      <c r="D346" s="391">
        <f t="shared" si="127"/>
        <v>10.862416868669444</v>
      </c>
      <c r="E346" s="383">
        <f t="shared" si="125"/>
        <v>11.225608664695402</v>
      </c>
      <c r="F346" s="383">
        <f t="shared" si="128"/>
        <v>11.225787497267573</v>
      </c>
      <c r="G346" s="110">
        <f t="shared" si="126"/>
        <v>0.37631465099779937</v>
      </c>
      <c r="H346" s="412" t="b">
        <f>Wh_hp&gt;='2026'!Maxi_hp</f>
        <v>0</v>
      </c>
      <c r="I346" s="388">
        <f>IF(H346,Wh_hp,'2026'!Maxi_hp)</f>
        <v>18.703888708428419</v>
      </c>
      <c r="J346" s="85">
        <f>IF(H346,An,'2026'!An_max)</f>
        <v>2020</v>
      </c>
      <c r="K346" s="197">
        <f t="shared" si="129"/>
        <v>46719</v>
      </c>
      <c r="L346" s="147">
        <f>IF(t&lt;Tvie,1-EXP((T0-t)*PertePVj)+'2026'!Pspv,1-EXP((T0-t)*PertePVj)+Pspv)</f>
        <v>5.989964766065925E-2</v>
      </c>
      <c r="M346" s="832"/>
      <c r="N346" s="832"/>
      <c r="O346" s="48">
        <f>IF(t&lt;Tnet,'2026'!Resal+('2026'!Salim-'2026'!Resal)*(1-EXP(('2026'!Tnet-t)/('2026'!Tau_j))),Resal+(Salim-Resal)*(1-EXP((Tnet-t)/(Tau_j))))*Salcycl</f>
        <v>3.2353862215792152E-2</v>
      </c>
      <c r="P346" s="169">
        <f>(INDEX(Models!$BJ346:$BT346,,T346)*(1-R346)+INDEX(Models!$BJ346:$BT346,,T346+1)*R346-ERP_i)*Q346*Ramure*Pc/MaxiM</f>
        <v>1.4602975579371726E-4</v>
      </c>
      <c r="Q346" s="304">
        <f t="shared" si="130"/>
        <v>0.6</v>
      </c>
      <c r="R346" s="177">
        <f t="shared" si="131"/>
        <v>0.47384596352649122</v>
      </c>
      <c r="S346" s="799">
        <f t="shared" si="132"/>
        <v>-1</v>
      </c>
      <c r="T346" s="176">
        <f t="shared" si="133"/>
        <v>5</v>
      </c>
      <c r="U346" s="250">
        <f t="shared" si="134"/>
        <v>-0.52615403647350878</v>
      </c>
      <c r="V346" s="382">
        <f t="shared" si="135"/>
        <v>27.132702207522325</v>
      </c>
      <c r="W346" s="400">
        <f t="shared" si="136"/>
        <v>10.211761925492942</v>
      </c>
      <c r="X346" s="157">
        <f t="shared" si="137"/>
        <v>46719</v>
      </c>
      <c r="Y346" s="383">
        <f t="shared" si="138"/>
        <v>9.9036689603872201</v>
      </c>
      <c r="Z346" s="383">
        <f t="shared" si="139"/>
        <v>10.534693382193701</v>
      </c>
      <c r="AA346" s="384">
        <f t="shared" si="140"/>
        <v>11.223178949674734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6.1344969243405503E-2</v>
      </c>
      <c r="AD346" s="230">
        <f>(INDEX(Models!$BJ346:$BT346,,AH346)*(1-AF346)+INDEX(Models!$BJ346:$BT346,,AH346+1)*AF346-ERP_i)*AE346*Ramure*Pc/MaxiM</f>
        <v>2.1300681600389709E-3</v>
      </c>
      <c r="AE346" s="304">
        <f t="shared" si="142"/>
        <v>0.6</v>
      </c>
      <c r="AF346" s="177">
        <f t="shared" si="143"/>
        <v>0.99883352990047003</v>
      </c>
      <c r="AG346" s="799">
        <f t="shared" si="149"/>
        <v>2</v>
      </c>
      <c r="AH346" s="176">
        <f t="shared" si="144"/>
        <v>8</v>
      </c>
      <c r="AI346" s="224">
        <f t="shared" si="145"/>
        <v>2.99883352990047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46720</v>
      </c>
      <c r="B347" s="409">
        <f>IF(t&gt;Tmaj,'2026'!Wh/'2026'!Env_an*'2027'!Env_an,0.001*'[13]mon-tableau (3)'!$B$263)</f>
        <v>15.191919253974124</v>
      </c>
      <c r="C347" s="829"/>
      <c r="D347" s="391">
        <f t="shared" si="127"/>
        <v>16.160200739651359</v>
      </c>
      <c r="E347" s="383">
        <f t="shared" si="125"/>
        <v>16.701978143528176</v>
      </c>
      <c r="F347" s="383">
        <f t="shared" si="128"/>
        <v>16.702954343030616</v>
      </c>
      <c r="G347" s="110">
        <f t="shared" si="126"/>
        <v>0.56358187883988908</v>
      </c>
      <c r="H347" s="412" t="b">
        <f>Wh_hp&gt;='2026'!Maxi_hp</f>
        <v>0</v>
      </c>
      <c r="I347" s="388">
        <f>IF(H347,Wh_hp,'2026'!Maxi_hp)</f>
        <v>16.758916593732387</v>
      </c>
      <c r="J347" s="85">
        <f>IF(H347,An,'2026'!An_max)</f>
        <v>2018</v>
      </c>
      <c r="K347" s="197">
        <f t="shared" si="129"/>
        <v>46720</v>
      </c>
      <c r="L347" s="147">
        <f>IF(t&lt;Tvie,1-EXP((T0-t)*PertePVj)+'2026'!Pspv,1-EXP((T0-t)*PertePVj)+Pspv)</f>
        <v>5.9917664469440468E-2</v>
      </c>
      <c r="M347" s="832"/>
      <c r="N347" s="832"/>
      <c r="O347" s="48">
        <f>IF(t&lt;Tnet,'2026'!Resal+('2026'!Salim-'2026'!Resal)*(1-EXP(('2026'!Tnet-t)/('2026'!Tau_j))),Resal+(Salim-Resal)*(1-EXP((Tnet-t)/(Tau_j))))*Salcycl</f>
        <v>3.2437918384341298E-2</v>
      </c>
      <c r="P347" s="169">
        <f>(INDEX(Models!$BJ347:$BT347,,T347)*(1-R347)+INDEX(Models!$BJ347:$BT347,,T347+1)*R347-ERP_i)*Q347*Ramure*Pc/MaxiM</f>
        <v>1.5518078535986369E-4</v>
      </c>
      <c r="Q347" s="304">
        <f t="shared" si="130"/>
        <v>0.6</v>
      </c>
      <c r="R347" s="177">
        <f t="shared" si="131"/>
        <v>0.47386382463262033</v>
      </c>
      <c r="S347" s="799">
        <f t="shared" si="132"/>
        <v>-1</v>
      </c>
      <c r="T347" s="176">
        <f t="shared" si="133"/>
        <v>5</v>
      </c>
      <c r="U347" s="250">
        <f t="shared" si="134"/>
        <v>-0.52613617536737967</v>
      </c>
      <c r="V347" s="382">
        <f t="shared" si="135"/>
        <v>26.953403102429316</v>
      </c>
      <c r="W347" s="400">
        <f t="shared" si="136"/>
        <v>15.191919253974124</v>
      </c>
      <c r="X347" s="157">
        <f t="shared" si="137"/>
        <v>46720</v>
      </c>
      <c r="Y347" s="383">
        <f t="shared" si="138"/>
        <v>14.725966778442565</v>
      </c>
      <c r="Z347" s="383">
        <f t="shared" si="139"/>
        <v>15.664550031281664</v>
      </c>
      <c r="AA347" s="384">
        <f t="shared" si="140"/>
        <v>16.688992848245764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6.1384340342130528E-2</v>
      </c>
      <c r="AD347" s="230">
        <f>(INDEX(Models!$BJ347:$BT347,,AH347)*(1-AF347)+INDEX(Models!$BJ347:$BT347,,AH347+1)*AF347-ERP_i)*AE347*Ramure*Pc/MaxiM</f>
        <v>2.2193780268282091E-3</v>
      </c>
      <c r="AE347" s="304">
        <f t="shared" si="142"/>
        <v>0.6</v>
      </c>
      <c r="AF347" s="177">
        <f t="shared" si="143"/>
        <v>0.99885139100659925</v>
      </c>
      <c r="AG347" s="799">
        <f t="shared" si="149"/>
        <v>2</v>
      </c>
      <c r="AH347" s="176">
        <f t="shared" si="144"/>
        <v>8</v>
      </c>
      <c r="AI347" s="224">
        <f t="shared" si="145"/>
        <v>2.9988513910065993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46721</v>
      </c>
      <c r="B348" s="409">
        <f>IF(t&gt;Tmaj,'2026'!Wh/'2026'!Env_an*'2027'!Env_an,0.001*'[13]mon-tableau (3)'!$B$264)</f>
        <v>3.8921298975144754</v>
      </c>
      <c r="C348" s="829"/>
      <c r="D348" s="391">
        <f t="shared" si="127"/>
        <v>4.1402804239789486</v>
      </c>
      <c r="E348" s="383">
        <f t="shared" si="125"/>
        <v>4.2794585753212502</v>
      </c>
      <c r="F348" s="383">
        <f t="shared" si="128"/>
        <v>4.2794585753212502</v>
      </c>
      <c r="G348" s="110">
        <f t="shared" si="126"/>
        <v>0.14530811782710254</v>
      </c>
      <c r="H348" s="412" t="b">
        <f>Wh_hp&gt;='2026'!Maxi_hp</f>
        <v>0</v>
      </c>
      <c r="I348" s="388">
        <f>IF(H348,Wh_hp,'2026'!Maxi_hp)</f>
        <v>27.894604255922708</v>
      </c>
      <c r="J348" s="85">
        <f>IF(H348,An,'2026'!An_max)</f>
        <v>2020</v>
      </c>
      <c r="K348" s="197">
        <f t="shared" si="129"/>
        <v>46721</v>
      </c>
      <c r="L348" s="147">
        <f>IF(t&lt;Tvie,1-EXP((T0-t)*PertePVj)+'2026'!Pspv,1-EXP((T0-t)*PertePVj)+Pspv)</f>
        <v>5.9935680932933666E-2</v>
      </c>
      <c r="M348" s="832"/>
      <c r="N348" s="832"/>
      <c r="O348" s="48">
        <f>IF(t&lt;Tnet,'2026'!Resal+('2026'!Salim-'2026'!Resal)*(1-EXP(('2026'!Tnet-t)/('2026'!Tau_j))),Resal+(Salim-Resal)*(1-EXP((Tnet-t)/(Tau_j))))*Salcycl</f>
        <v>3.2522373775251287E-2</v>
      </c>
      <c r="P348" s="169">
        <f>(INDEX(Models!$BJ348:$BT348,,T348)*(1-R348)+INDEX(Models!$BJ348:$BT348,,T348+1)*R348-ERP_i)*Q348*Ramure*Pc/MaxiM</f>
        <v>1.6438070607368367E-4</v>
      </c>
      <c r="Q348" s="304">
        <f t="shared" si="130"/>
        <v>0.6</v>
      </c>
      <c r="R348" s="177">
        <f t="shared" si="131"/>
        <v>0.47388096779782951</v>
      </c>
      <c r="S348" s="799">
        <f t="shared" si="132"/>
        <v>-1</v>
      </c>
      <c r="T348" s="176">
        <f t="shared" si="133"/>
        <v>5</v>
      </c>
      <c r="U348" s="250">
        <f t="shared" si="134"/>
        <v>-0.52611903220217049</v>
      </c>
      <c r="V348" s="382">
        <f t="shared" si="135"/>
        <v>26.780954599413022</v>
      </c>
      <c r="W348" s="400">
        <f t="shared" si="136"/>
        <v>3.8921298975144754</v>
      </c>
      <c r="X348" s="157">
        <f t="shared" si="137"/>
        <v>46721</v>
      </c>
      <c r="Y348" s="383">
        <f t="shared" si="138"/>
        <v>3.7758568241544497</v>
      </c>
      <c r="Z348" s="383">
        <f t="shared" si="139"/>
        <v>4.0165941282631232</v>
      </c>
      <c r="AA348" s="384">
        <f t="shared" si="140"/>
        <v>4.2794585753212502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6.142469717407998E-2</v>
      </c>
      <c r="AD348" s="230">
        <f>(INDEX(Models!$BJ348:$BT348,,AH348)*(1-AF348)+INDEX(Models!$BJ348:$BT348,,AH348+1)*AF348-ERP_i)*AE348*Ramure*Pc/MaxiM</f>
        <v>2.3029367600061342E-3</v>
      </c>
      <c r="AE348" s="304">
        <f t="shared" si="142"/>
        <v>0.6</v>
      </c>
      <c r="AF348" s="177">
        <f t="shared" si="143"/>
        <v>0.99886853417180799</v>
      </c>
      <c r="AG348" s="799">
        <f t="shared" si="149"/>
        <v>2</v>
      </c>
      <c r="AH348" s="176">
        <f t="shared" si="144"/>
        <v>8</v>
      </c>
      <c r="AI348" s="224">
        <f t="shared" si="145"/>
        <v>2.998868534171808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46722</v>
      </c>
      <c r="B349" s="409">
        <f>IF(t&gt;Tmaj,'2026'!Wh/'2026'!Env_an*'2027'!Env_an,0.001*'[14]mon-tableau (2)'!$B$242)</f>
        <v>3.7032356821638008</v>
      </c>
      <c r="C349" s="829"/>
      <c r="D349" s="391">
        <f t="shared" si="127"/>
        <v>3.939418378166085</v>
      </c>
      <c r="E349" s="383">
        <f t="shared" si="125"/>
        <v>4.0722015922485442</v>
      </c>
      <c r="F349" s="383">
        <f t="shared" si="128"/>
        <v>4.0722015922485442</v>
      </c>
      <c r="G349" s="110">
        <f t="shared" si="126"/>
        <v>0.13911337628183532</v>
      </c>
      <c r="H349" s="412" t="b">
        <f>Wh_hp&gt;='2026'!Maxi_hp</f>
        <v>0</v>
      </c>
      <c r="I349" s="388">
        <f>IF(H349,Wh_hp,'2026'!Maxi_hp)</f>
        <v>28.876381708820084</v>
      </c>
      <c r="J349" s="85">
        <f>IF(H349,An,'2026'!An_max)</f>
        <v>2020</v>
      </c>
      <c r="K349" s="197">
        <f t="shared" si="129"/>
        <v>46722</v>
      </c>
      <c r="L349" s="147">
        <f>IF(t&lt;Tvie,1-EXP((T0-t)*PertePVj)+'2026'!Pspv,1-EXP((T0-t)*PertePVj)+Pspv)</f>
        <v>5.9953697051145394E-2</v>
      </c>
      <c r="M349" s="832"/>
      <c r="N349" s="832"/>
      <c r="O349" s="48">
        <f>IF(t&lt;Tnet,'2026'!Resal+('2026'!Salim-'2026'!Resal)*(1-EXP(('2026'!Tnet-t)/('2026'!Tau_j))),Resal+(Salim-Resal)*(1-EXP((Tnet-t)/(Tau_j))))*Salcycl</f>
        <v>3.2607230038712451E-2</v>
      </c>
      <c r="P349" s="169">
        <f>(INDEX(Models!$BJ349:$BT349,,T349)*(1-R349)+INDEX(Models!$BJ349:$BT349,,T349+1)*R349-ERP_i)*Q349*Ramure*Pc/MaxiM</f>
        <v>1.7362905176819153E-4</v>
      </c>
      <c r="Q349" s="304">
        <f t="shared" si="130"/>
        <v>0.6</v>
      </c>
      <c r="R349" s="177">
        <f t="shared" si="131"/>
        <v>0.47389742183400496</v>
      </c>
      <c r="S349" s="799">
        <f t="shared" si="132"/>
        <v>-1</v>
      </c>
      <c r="T349" s="176">
        <f t="shared" si="133"/>
        <v>5</v>
      </c>
      <c r="U349" s="250">
        <f t="shared" si="134"/>
        <v>-0.52610257816599504</v>
      </c>
      <c r="V349" s="382">
        <f t="shared" si="135"/>
        <v>26.615648270678179</v>
      </c>
      <c r="W349" s="400">
        <f t="shared" si="136"/>
        <v>3.7032356821638008</v>
      </c>
      <c r="X349" s="157">
        <f t="shared" si="137"/>
        <v>46722</v>
      </c>
      <c r="Y349" s="383">
        <f t="shared" si="138"/>
        <v>3.5927624972543031</v>
      </c>
      <c r="Z349" s="383">
        <f t="shared" si="139"/>
        <v>3.821899502167156</v>
      </c>
      <c r="AA349" s="384">
        <f t="shared" si="140"/>
        <v>4.0722015922485442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6.1466036101414899E-2</v>
      </c>
      <c r="AD349" s="230">
        <f>(INDEX(Models!$BJ349:$BT349,,AH349)*(1-AF349)+INDEX(Models!$BJ349:$BT349,,AH349+1)*AF349-ERP_i)*AE349*Ramure*Pc/MaxiM</f>
        <v>2.3807421219326792E-3</v>
      </c>
      <c r="AE349" s="304">
        <f t="shared" si="142"/>
        <v>0.6</v>
      </c>
      <c r="AF349" s="177">
        <f t="shared" si="143"/>
        <v>0.99888498820798377</v>
      </c>
      <c r="AG349" s="799">
        <f t="shared" si="149"/>
        <v>2</v>
      </c>
      <c r="AH349" s="176">
        <f t="shared" si="144"/>
        <v>8</v>
      </c>
      <c r="AI349" s="224">
        <f t="shared" si="145"/>
        <v>2.9988849882079838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46723</v>
      </c>
      <c r="B350" s="409">
        <f>IF(t&gt;Tmaj,'2026'!Wh/'2026'!Env_an*'2027'!Env_an,0.001*'[14]mon-tableau (2)'!$B$243)</f>
        <v>5.5504756721084902</v>
      </c>
      <c r="C350" s="829"/>
      <c r="D350" s="391">
        <f t="shared" si="127"/>
        <v>5.9045836682037738</v>
      </c>
      <c r="E350" s="383">
        <f t="shared" si="125"/>
        <v>6.1041432927776853</v>
      </c>
      <c r="F350" s="383">
        <f t="shared" si="128"/>
        <v>6.1041432927776853</v>
      </c>
      <c r="G350" s="110">
        <f t="shared" si="126"/>
        <v>0.20974780473164734</v>
      </c>
      <c r="H350" s="412" t="b">
        <f>Wh_hp&gt;='2026'!Maxi_hp</f>
        <v>0</v>
      </c>
      <c r="I350" s="388">
        <f>IF(H350,Wh_hp,'2026'!Maxi_hp)</f>
        <v>10.012976509324043</v>
      </c>
      <c r="J350" s="85">
        <f>IF(H350,An,'2026'!An_max)</f>
        <v>2021</v>
      </c>
      <c r="K350" s="197">
        <f t="shared" si="129"/>
        <v>46723</v>
      </c>
      <c r="L350" s="147">
        <f>IF(t&lt;Tvie,1-EXP((T0-t)*PertePVj)+'2026'!Pspv,1-EXP((T0-t)*PertePVj)+Pspv)</f>
        <v>5.9971712824082424E-2</v>
      </c>
      <c r="M350" s="832"/>
      <c r="N350" s="832"/>
      <c r="O350" s="48">
        <f>IF(t&lt;Tnet,'2026'!Resal+('2026'!Salim-'2026'!Resal)*(1-EXP(('2026'!Tnet-t)/('2026'!Tau_j))),Resal+(Salim-Resal)*(1-EXP((Tnet-t)/(Tau_j))))*Salcycl</f>
        <v>3.2692486890015672E-2</v>
      </c>
      <c r="P350" s="169">
        <f>(INDEX(Models!$BJ350:$BT350,,T350)*(1-R350)+INDEX(Models!$BJ350:$BT350,,T350+1)*R350-ERP_i)*Q350*Ramure*Pc/MaxiM</f>
        <v>1.8292476210167682E-4</v>
      </c>
      <c r="Q350" s="304">
        <f t="shared" si="130"/>
        <v>0.6</v>
      </c>
      <c r="R350" s="177">
        <f t="shared" si="131"/>
        <v>0.47391321440042689</v>
      </c>
      <c r="S350" s="799">
        <f t="shared" si="132"/>
        <v>-1</v>
      </c>
      <c r="T350" s="176">
        <f t="shared" si="133"/>
        <v>5</v>
      </c>
      <c r="U350" s="250">
        <f t="shared" si="134"/>
        <v>-0.52608678559957311</v>
      </c>
      <c r="V350" s="382">
        <f t="shared" si="135"/>
        <v>26.45777561184315</v>
      </c>
      <c r="W350" s="400">
        <f t="shared" si="136"/>
        <v>5.5504756721084902</v>
      </c>
      <c r="X350" s="157">
        <f t="shared" si="137"/>
        <v>46723</v>
      </c>
      <c r="Y350" s="383">
        <f t="shared" si="138"/>
        <v>5.3851283089034334</v>
      </c>
      <c r="Z350" s="383">
        <f t="shared" si="139"/>
        <v>5.7286875111830078</v>
      </c>
      <c r="AA350" s="384">
        <f t="shared" si="140"/>
        <v>6.1041432927776853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6.1508349916836097E-2</v>
      </c>
      <c r="AD350" s="230">
        <f>(INDEX(Models!$BJ350:$BT350,,AH350)*(1-AF350)+INDEX(Models!$BJ350:$BT350,,AH350+1)*AF350-ERP_i)*AE350*Ramure*Pc/MaxiM</f>
        <v>2.452784095601286E-3</v>
      </c>
      <c r="AE350" s="304">
        <f t="shared" si="142"/>
        <v>0.6</v>
      </c>
      <c r="AF350" s="177">
        <f t="shared" si="143"/>
        <v>0.99890078077440547</v>
      </c>
      <c r="AG350" s="799">
        <f t="shared" si="149"/>
        <v>2</v>
      </c>
      <c r="AH350" s="176">
        <f t="shared" si="144"/>
        <v>8</v>
      </c>
      <c r="AI350" s="224">
        <f t="shared" si="145"/>
        <v>2.9989007807744055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46724</v>
      </c>
      <c r="B351" s="409">
        <f>IF(t&gt;Tmaj,'2026'!Wh/'2026'!Env_an*'2027'!Env_an,0.001*'[14]mon-tableau (2)'!$B$244)</f>
        <v>10.751876778310201</v>
      </c>
      <c r="C351" s="829"/>
      <c r="D351" s="391">
        <f t="shared" si="127"/>
        <v>11.438041797472764</v>
      </c>
      <c r="E351" s="383">
        <f t="shared" si="125"/>
        <v>11.825665130256606</v>
      </c>
      <c r="F351" s="383">
        <f t="shared" si="128"/>
        <v>11.826018203730174</v>
      </c>
      <c r="G351" s="110">
        <f t="shared" si="126"/>
        <v>0.40863169033906704</v>
      </c>
      <c r="H351" s="412" t="b">
        <f>Wh_hp&gt;='2026'!Maxi_hp</f>
        <v>0</v>
      </c>
      <c r="I351" s="388">
        <f>IF(H351,Wh_hp,'2026'!Maxi_hp)</f>
        <v>19.179192393399582</v>
      </c>
      <c r="J351" s="85">
        <f>IF(H351,An,'2026'!An_max)</f>
        <v>2021</v>
      </c>
      <c r="K351" s="197">
        <f t="shared" si="129"/>
        <v>46724</v>
      </c>
      <c r="L351" s="147">
        <f>IF(t&lt;Tvie,1-EXP((T0-t)*PertePVj)+'2026'!Pspv,1-EXP((T0-t)*PertePVj)+Pspv)</f>
        <v>5.9989728251751195E-2</v>
      </c>
      <c r="M351" s="832"/>
      <c r="N351" s="832"/>
      <c r="O351" s="48">
        <f>IF(t&lt;Tnet,'2026'!Resal+('2026'!Salim-'2026'!Resal)*(1-EXP(('2026'!Tnet-t)/('2026'!Tau_j))),Resal+(Salim-Resal)*(1-EXP((Tnet-t)/(Tau_j))))*Salcycl</f>
        <v>3.2778142160654229E-2</v>
      </c>
      <c r="P351" s="169">
        <f>(INDEX(Models!$BJ351:$BT351,,T351)*(1-R351)+INDEX(Models!$BJ351:$BT351,,T351+1)*R351-ERP_i)*Q351*Ramure*Pc/MaxiM</f>
        <v>1.922661178883634E-4</v>
      </c>
      <c r="Q351" s="304">
        <f t="shared" si="130"/>
        <v>0.6</v>
      </c>
      <c r="R351" s="177">
        <f t="shared" si="131"/>
        <v>0.47392837204958949</v>
      </c>
      <c r="S351" s="799">
        <f t="shared" si="132"/>
        <v>-1</v>
      </c>
      <c r="T351" s="176">
        <f t="shared" si="133"/>
        <v>5</v>
      </c>
      <c r="U351" s="250">
        <f t="shared" si="134"/>
        <v>-0.52607162795041051</v>
      </c>
      <c r="V351" s="382">
        <f t="shared" si="135"/>
        <v>26.307628025442376</v>
      </c>
      <c r="W351" s="400">
        <f t="shared" si="136"/>
        <v>10.751876778310201</v>
      </c>
      <c r="X351" s="157">
        <f t="shared" si="137"/>
        <v>46724</v>
      </c>
      <c r="Y351" s="383">
        <f t="shared" si="138"/>
        <v>10.428254314122809</v>
      </c>
      <c r="Z351" s="383">
        <f t="shared" si="139"/>
        <v>11.093766342284903</v>
      </c>
      <c r="AA351" s="384">
        <f t="shared" si="140"/>
        <v>11.821392282160591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6.155162797310542E-2</v>
      </c>
      <c r="AD351" s="230">
        <f>(INDEX(Models!$BJ351:$BT351,,AH351)*(1-AF351)+INDEX(Models!$BJ351:$BT351,,AH351+1)*AF351-ERP_i)*AE351*Ramure*Pc/MaxiM</f>
        <v>2.5190450385694178E-3</v>
      </c>
      <c r="AE351" s="304">
        <f t="shared" si="142"/>
        <v>0.6</v>
      </c>
      <c r="AF351" s="177">
        <f t="shared" si="143"/>
        <v>0.99891593842356841</v>
      </c>
      <c r="AG351" s="799">
        <f t="shared" si="149"/>
        <v>2</v>
      </c>
      <c r="AH351" s="176">
        <f t="shared" si="144"/>
        <v>8</v>
      </c>
      <c r="AI351" s="224">
        <f t="shared" si="145"/>
        <v>2.9989159384235684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46725</v>
      </c>
      <c r="B352" s="409">
        <f>IF(t&gt;Tmaj,'2026'!Wh/'2026'!Env_an*'2027'!Env_an,0.001*'[14]mon-tableau (2)'!$B$245)</f>
        <v>17.418842898692649</v>
      </c>
      <c r="C352" s="829"/>
      <c r="D352" s="391">
        <f t="shared" si="127"/>
        <v>18.530836584204849</v>
      </c>
      <c r="E352" s="383">
        <f t="shared" si="125"/>
        <v>19.160531983463187</v>
      </c>
      <c r="F352" s="383">
        <f t="shared" si="128"/>
        <v>19.162550772004398</v>
      </c>
      <c r="G352" s="110">
        <f t="shared" si="126"/>
        <v>0.66565391088009407</v>
      </c>
      <c r="H352" s="412" t="b">
        <f>Wh_hp&gt;='2026'!Maxi_hp</f>
        <v>0</v>
      </c>
      <c r="I352" s="388">
        <f>IF(H352,Wh_hp,'2026'!Maxi_hp)</f>
        <v>19.163803156225448</v>
      </c>
      <c r="J352" s="85">
        <f>IF(H352,An,'2026'!An_max)</f>
        <v>2026</v>
      </c>
      <c r="K352" s="197">
        <f t="shared" si="129"/>
        <v>46725</v>
      </c>
      <c r="L352" s="147">
        <f>IF(t&lt;Tvie,1-EXP((T0-t)*PertePVj)+'2026'!Pspv,1-EXP((T0-t)*PertePVj)+Pspv)</f>
        <v>6.0007743334158481E-2</v>
      </c>
      <c r="M352" s="832"/>
      <c r="N352" s="832"/>
      <c r="O352" s="48">
        <f>IF(t&lt;Tnet,'2026'!Resal+('2026'!Salim-'2026'!Resal)*(1-EXP(('2026'!Tnet-t)/('2026'!Tau_j))),Resal+(Salim-Resal)*(1-EXP((Tnet-t)/(Tau_j))))*Salcycl</f>
        <v>3.2864191860737829E-2</v>
      </c>
      <c r="P352" s="169">
        <f>(INDEX(Models!$BJ352:$BT352,,T352)*(1-R352)+INDEX(Models!$BJ352:$BT352,,T352+1)*R352-ERP_i)*Q352*Ramure*Pc/MaxiM</f>
        <v>2.0164580388161698E-4</v>
      </c>
      <c r="Q352" s="304">
        <f t="shared" si="130"/>
        <v>0.6</v>
      </c>
      <c r="R352" s="177">
        <f t="shared" si="131"/>
        <v>0.47394292027122442</v>
      </c>
      <c r="S352" s="799">
        <f t="shared" si="132"/>
        <v>-1</v>
      </c>
      <c r="T352" s="176">
        <f t="shared" si="133"/>
        <v>5</v>
      </c>
      <c r="U352" s="250">
        <f t="shared" si="134"/>
        <v>-0.52605707972877558</v>
      </c>
      <c r="V352" s="382">
        <f t="shared" si="135"/>
        <v>26.165496947229617</v>
      </c>
      <c r="W352" s="400">
        <f t="shared" si="136"/>
        <v>17.418842898692649</v>
      </c>
      <c r="X352" s="157">
        <f t="shared" si="137"/>
        <v>46725</v>
      </c>
      <c r="Y352" s="383">
        <f t="shared" si="138"/>
        <v>16.880379017012899</v>
      </c>
      <c r="Z352" s="383">
        <f t="shared" si="139"/>
        <v>17.957997948714716</v>
      </c>
      <c r="AA352" s="384">
        <f t="shared" si="140"/>
        <v>19.13674195695743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6.1595856331969026E-2</v>
      </c>
      <c r="AD352" s="230">
        <f>(INDEX(Models!$BJ352:$BT352,,AH352)*(1-AF352)+INDEX(Models!$BJ352:$BT352,,AH352+1)*AF352-ERP_i)*AE352*Ramure*Pc/MaxiM</f>
        <v>2.577902118592797E-3</v>
      </c>
      <c r="AE352" s="304">
        <f t="shared" si="142"/>
        <v>0.6</v>
      </c>
      <c r="AF352" s="177">
        <f t="shared" si="143"/>
        <v>0.99893048664520334</v>
      </c>
      <c r="AG352" s="799">
        <f t="shared" si="149"/>
        <v>2</v>
      </c>
      <c r="AH352" s="176">
        <f t="shared" si="144"/>
        <v>8</v>
      </c>
      <c r="AI352" s="224">
        <f t="shared" si="145"/>
        <v>2.9989304866452033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46726</v>
      </c>
      <c r="B353" s="409">
        <f>IF(t&gt;Tmaj,'2026'!Wh/'2026'!Env_an*'2027'!Env_an,0.001*'[14]mon-tableau (2)'!$B$246)</f>
        <v>26.969059968864812</v>
      </c>
      <c r="C353" s="829"/>
      <c r="D353" s="391">
        <f t="shared" si="127"/>
        <v>28.691275532751046</v>
      </c>
      <c r="E353" s="383">
        <f t="shared" si="125"/>
        <v>29.668883958046166</v>
      </c>
      <c r="F353" s="383">
        <f t="shared" si="128"/>
        <v>29.67514857719684</v>
      </c>
      <c r="G353" s="110">
        <f t="shared" si="126"/>
        <v>1.0360095025616591</v>
      </c>
      <c r="H353" s="412" t="b">
        <f>Wh_hp&gt;='2026'!Maxi_hp</f>
        <v>1</v>
      </c>
      <c r="I353" s="388">
        <f>IF(H353,Wh_hp,'2026'!Maxi_hp)</f>
        <v>29.67514857719684</v>
      </c>
      <c r="J353" s="85">
        <f>IF(H353,An,'2026'!An_max)</f>
        <v>2027</v>
      </c>
      <c r="K353" s="197">
        <f t="shared" si="129"/>
        <v>46726</v>
      </c>
      <c r="L353" s="147">
        <f>IF(t&lt;Tvie,1-EXP((T0-t)*PertePVj)+'2026'!Pspv,1-EXP((T0-t)*PertePVj)+Pspv)</f>
        <v>6.0025758071310831E-2</v>
      </c>
      <c r="M353" s="832"/>
      <c r="N353" s="832"/>
      <c r="O353" s="48">
        <f>IF(t&lt;Tnet,'2026'!Resal+('2026'!Salim-'2026'!Resal)*(1-EXP(('2026'!Tnet-t)/('2026'!Tau_j))),Resal+(Salim-Resal)*(1-EXP((Tnet-t)/(Tau_j))))*Salcycl</f>
        <v>3.2950630252136411E-2</v>
      </c>
      <c r="P353" s="169">
        <f>(INDEX(Models!$BJ353:$BT353,,T353)*(1-R353)+INDEX(Models!$BJ353:$BT353,,T353+1)*R353-ERP_i)*Q353*Ramure*Pc/MaxiM</f>
        <v>2.1110658079357984E-4</v>
      </c>
      <c r="Q353" s="304">
        <f t="shared" si="130"/>
        <v>0.6</v>
      </c>
      <c r="R353" s="177">
        <f t="shared" si="131"/>
        <v>0.47395688353459342</v>
      </c>
      <c r="S353" s="799">
        <f t="shared" si="132"/>
        <v>-1</v>
      </c>
      <c r="T353" s="176">
        <f t="shared" si="133"/>
        <v>5</v>
      </c>
      <c r="U353" s="250">
        <f t="shared" si="134"/>
        <v>-0.52604311646540658</v>
      </c>
      <c r="V353" s="382">
        <f t="shared" si="135"/>
        <v>26.031672395070252</v>
      </c>
      <c r="W353" s="400">
        <f t="shared" si="136"/>
        <v>26.969059968864812</v>
      </c>
      <c r="X353" s="157">
        <f t="shared" si="137"/>
        <v>46726</v>
      </c>
      <c r="Y353" s="383">
        <f t="shared" si="138"/>
        <v>26.105589460229265</v>
      </c>
      <c r="Z353" s="383">
        <f t="shared" si="139"/>
        <v>27.77266471330579</v>
      </c>
      <c r="AA353" s="384">
        <f t="shared" si="140"/>
        <v>29.597057463098089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6.1641017931156533E-2</v>
      </c>
      <c r="AD353" s="230">
        <f>(INDEX(Models!$BJ353:$BT353,,AH353)*(1-AF353)+INDEX(Models!$BJ353:$BT353,,AH353+1)*AF353-ERP_i)*AE353*Ramure*Pc/MaxiM</f>
        <v>2.6315323711220678E-3</v>
      </c>
      <c r="AE353" s="304">
        <f t="shared" si="142"/>
        <v>0.6</v>
      </c>
      <c r="AF353" s="177">
        <f t="shared" si="143"/>
        <v>0.99894444990857201</v>
      </c>
      <c r="AG353" s="799">
        <f t="shared" si="149"/>
        <v>2</v>
      </c>
      <c r="AH353" s="176">
        <f t="shared" si="144"/>
        <v>8</v>
      </c>
      <c r="AI353" s="224">
        <f t="shared" si="145"/>
        <v>2.998944449908572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46727</v>
      </c>
      <c r="B354" s="409">
        <f>IF(t&gt;Tmaj,'2026'!Wh/'2026'!Env_an*'2027'!Env_an,0.001*'[14]mon-tableau (2)'!$B$247)</f>
        <v>12.127939304557223</v>
      </c>
      <c r="C354" s="829"/>
      <c r="D354" s="391">
        <f t="shared" si="127"/>
        <v>12.902663921211795</v>
      </c>
      <c r="E354" s="383">
        <f t="shared" si="125"/>
        <v>13.343499104800149</v>
      </c>
      <c r="F354" s="383">
        <f t="shared" si="128"/>
        <v>13.344206346973658</v>
      </c>
      <c r="G354" s="110">
        <f t="shared" si="126"/>
        <v>0.46806521627754721</v>
      </c>
      <c r="H354" s="412" t="b">
        <f>Wh_hp&gt;='2026'!Maxi_hp</f>
        <v>0</v>
      </c>
      <c r="I354" s="388">
        <f>IF(H354,Wh_hp,'2026'!Maxi_hp)</f>
        <v>22.171647596043584</v>
      </c>
      <c r="J354" s="85">
        <f>IF(H354,An,'2026'!An_max)</f>
        <v>2020</v>
      </c>
      <c r="K354" s="197">
        <f t="shared" si="129"/>
        <v>46727</v>
      </c>
      <c r="L354" s="147">
        <f>IF(t&lt;Tvie,1-EXP((T0-t)*PertePVj)+'2026'!Pspv,1-EXP((T0-t)*PertePVj)+Pspv)</f>
        <v>6.0043772463214795E-2</v>
      </c>
      <c r="M354" s="832"/>
      <c r="N354" s="832"/>
      <c r="O354" s="48">
        <f>IF(t&lt;Tnet,'2026'!Resal+('2026'!Salim-'2026'!Resal)*(1-EXP(('2026'!Tnet-t)/('2026'!Tau_j))),Resal+(Salim-Resal)*(1-EXP((Tnet-t)/(Tau_j))))*Salcycl</f>
        <v>3.303744993168755E-2</v>
      </c>
      <c r="P354" s="169">
        <f>(INDEX(Models!$BJ354:$BT354,,T354)*(1-R354)+INDEX(Models!$BJ354:$BT354,,T354+1)*R354-ERP_i)*Q354*Ramure*Pc/MaxiM</f>
        <v>2.2064436261587522E-4</v>
      </c>
      <c r="Q354" s="304">
        <f t="shared" si="130"/>
        <v>0.6</v>
      </c>
      <c r="R354" s="177">
        <f t="shared" si="131"/>
        <v>0.47397028532911634</v>
      </c>
      <c r="S354" s="799">
        <f t="shared" si="132"/>
        <v>-1</v>
      </c>
      <c r="T354" s="176">
        <f t="shared" si="133"/>
        <v>5</v>
      </c>
      <c r="U354" s="250">
        <f t="shared" si="134"/>
        <v>-0.52602971467088366</v>
      </c>
      <c r="V354" s="382">
        <f t="shared" si="135"/>
        <v>25.906445498942723</v>
      </c>
      <c r="W354" s="400">
        <f t="shared" si="136"/>
        <v>12.127939304557223</v>
      </c>
      <c r="X354" s="157">
        <f t="shared" si="137"/>
        <v>46727</v>
      </c>
      <c r="Y354" s="383">
        <f t="shared" si="138"/>
        <v>11.761654358460582</v>
      </c>
      <c r="Z354" s="383">
        <f t="shared" si="139"/>
        <v>12.512980938785567</v>
      </c>
      <c r="AA354" s="384">
        <f t="shared" si="140"/>
        <v>13.335616341139859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6.1687092767995569E-2</v>
      </c>
      <c r="AD354" s="230">
        <f>(INDEX(Models!$BJ354:$BT354,,AH354)*(1-AF354)+INDEX(Models!$BJ354:$BT354,,AH354+1)*AF354-ERP_i)*AE354*Ramure*Pc/MaxiM</f>
        <v>2.6798972587593448E-3</v>
      </c>
      <c r="AE354" s="304">
        <f t="shared" si="142"/>
        <v>0.6</v>
      </c>
      <c r="AF354" s="177">
        <f t="shared" si="143"/>
        <v>0.99895785170309503</v>
      </c>
      <c r="AG354" s="799">
        <f t="shared" si="149"/>
        <v>2</v>
      </c>
      <c r="AH354" s="176">
        <f t="shared" si="144"/>
        <v>8</v>
      </c>
      <c r="AI354" s="224">
        <f t="shared" si="145"/>
        <v>2.998957851703095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46728</v>
      </c>
      <c r="B355" s="409">
        <f>IF(t&gt;Tmaj,'2026'!Wh/'2026'!Env_an*'2027'!Env_an,0.001*'[14]mon-tableau (2)'!$B$248)</f>
        <v>22.277020891127222</v>
      </c>
      <c r="C355" s="829"/>
      <c r="D355" s="391">
        <f t="shared" si="127"/>
        <v>23.700516237561516</v>
      </c>
      <c r="E355" s="383">
        <f t="shared" si="125"/>
        <v>24.512483475343434</v>
      </c>
      <c r="F355" s="383">
        <f t="shared" si="128"/>
        <v>24.51703009128487</v>
      </c>
      <c r="G355" s="110">
        <f t="shared" si="126"/>
        <v>0.86374291857430985</v>
      </c>
      <c r="H355" s="412" t="b">
        <f>Wh_hp&gt;='2026'!Maxi_hp</f>
        <v>0</v>
      </c>
      <c r="I355" s="388">
        <f>IF(H355,Wh_hp,'2026'!Maxi_hp)</f>
        <v>24.51775693165192</v>
      </c>
      <c r="J355" s="85">
        <f>IF(H355,An,'2026'!An_max)</f>
        <v>2026</v>
      </c>
      <c r="K355" s="197">
        <f t="shared" si="129"/>
        <v>46728</v>
      </c>
      <c r="L355" s="147">
        <f>IF(t&lt;Tvie,1-EXP((T0-t)*PertePVj)+'2026'!Pspv,1-EXP((T0-t)*PertePVj)+Pspv)</f>
        <v>6.0061786509877035E-2</v>
      </c>
      <c r="M355" s="832"/>
      <c r="N355" s="832"/>
      <c r="O355" s="48">
        <f>IF(t&lt;Tnet,'2026'!Resal+('2026'!Salim-'2026'!Resal)*(1-EXP(('2026'!Tnet-t)/('2026'!Tau_j))),Resal+(Salim-Resal)*(1-EXP((Tnet-t)/(Tau_j))))*Salcycl</f>
        <v>3.3124641923722505E-2</v>
      </c>
      <c r="P355" s="169">
        <f>(INDEX(Models!$BJ355:$BT355,,T355)*(1-R355)+INDEX(Models!$BJ355:$BT355,,T355+1)*R355-ERP_i)*Q355*Ramure*Pc/MaxiM</f>
        <v>2.3025418367642972E-4</v>
      </c>
      <c r="Q355" s="304">
        <f t="shared" si="130"/>
        <v>0.6</v>
      </c>
      <c r="R355" s="177">
        <f t="shared" si="131"/>
        <v>0.47398314820340137</v>
      </c>
      <c r="S355" s="799">
        <f t="shared" si="132"/>
        <v>-1</v>
      </c>
      <c r="T355" s="176">
        <f t="shared" si="133"/>
        <v>5</v>
      </c>
      <c r="U355" s="250">
        <f t="shared" si="134"/>
        <v>-0.52601685179659863</v>
      </c>
      <c r="V355" s="382">
        <f t="shared" si="135"/>
        <v>25.79010729011565</v>
      </c>
      <c r="W355" s="400">
        <f t="shared" si="136"/>
        <v>22.277020891127222</v>
      </c>
      <c r="X355" s="157">
        <f t="shared" si="137"/>
        <v>46728</v>
      </c>
      <c r="Y355" s="383">
        <f t="shared" si="138"/>
        <v>21.574445049436019</v>
      </c>
      <c r="Z355" s="383">
        <f t="shared" si="139"/>
        <v>22.953045997914124</v>
      </c>
      <c r="AA355" s="384">
        <f t="shared" si="140"/>
        <v>24.463262464143661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6.1734058098059985E-2</v>
      </c>
      <c r="AD355" s="230">
        <f>(INDEX(Models!$BJ355:$BT355,,AH355)*(1-AF355)+INDEX(Models!$BJ355:$BT355,,AH355+1)*AF355-ERP_i)*AE355*Ramure*Pc/MaxiM</f>
        <v>2.7229529071925327E-3</v>
      </c>
      <c r="AE355" s="304">
        <f t="shared" si="142"/>
        <v>0.6</v>
      </c>
      <c r="AF355" s="177">
        <f t="shared" si="143"/>
        <v>0.99897071457738029</v>
      </c>
      <c r="AG355" s="799">
        <f t="shared" si="149"/>
        <v>2</v>
      </c>
      <c r="AH355" s="176">
        <f t="shared" si="144"/>
        <v>8</v>
      </c>
      <c r="AI355" s="224">
        <f t="shared" si="145"/>
        <v>2.9989707145773803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46729</v>
      </c>
      <c r="B356" s="409">
        <f>IF(t&gt;Tmaj,'2026'!Wh/'2026'!Env_an*'2027'!Env_an,0.001*'[14]mon-tableau (2)'!$B$249)</f>
        <v>4.0939578299414396</v>
      </c>
      <c r="C356" s="829"/>
      <c r="D356" s="391">
        <f t="shared" si="127"/>
        <v>4.3556440545291029</v>
      </c>
      <c r="E356" s="383">
        <f t="shared" si="125"/>
        <v>4.5052740999853125</v>
      </c>
      <c r="F356" s="383">
        <f t="shared" si="128"/>
        <v>4.5052740999853125</v>
      </c>
      <c r="G356" s="110">
        <f t="shared" si="126"/>
        <v>0.15936548470617076</v>
      </c>
      <c r="H356" s="412" t="b">
        <f>Wh_hp&gt;='2026'!Maxi_hp</f>
        <v>0</v>
      </c>
      <c r="I356" s="388">
        <f>IF(H356,Wh_hp,'2026'!Maxi_hp)</f>
        <v>18.001380759086484</v>
      </c>
      <c r="J356" s="85">
        <f>IF(H356,An,'2026'!An_max)</f>
        <v>2018</v>
      </c>
      <c r="K356" s="197">
        <f t="shared" si="129"/>
        <v>46729</v>
      </c>
      <c r="L356" s="147">
        <f>IF(t&lt;Tvie,1-EXP((T0-t)*PertePVj)+'2026'!Pspv,1-EXP((T0-t)*PertePVj)+Pspv)</f>
        <v>6.0079800211304213E-2</v>
      </c>
      <c r="M356" s="832"/>
      <c r="N356" s="832"/>
      <c r="O356" s="48">
        <f>IF(t&lt;Tnet,'2026'!Resal+('2026'!Salim-'2026'!Resal)*(1-EXP(('2026'!Tnet-t)/('2026'!Tau_j))),Resal+(Salim-Resal)*(1-EXP((Tnet-t)/(Tau_j))))*Salcycl</f>
        <v>3.3212195781095084E-2</v>
      </c>
      <c r="P356" s="169">
        <f>(INDEX(Models!$BJ356:$BT356,,T356)*(1-R356)+INDEX(Models!$BJ356:$BT356,,T356+1)*R356-ERP_i)*Q356*Ramure*Pc/MaxiM</f>
        <v>2.3993015756036072E-4</v>
      </c>
      <c r="Q356" s="304">
        <f t="shared" si="130"/>
        <v>0.6</v>
      </c>
      <c r="R356" s="177">
        <f t="shared" si="131"/>
        <v>0.47399549380273553</v>
      </c>
      <c r="S356" s="799">
        <f t="shared" si="132"/>
        <v>-1</v>
      </c>
      <c r="T356" s="176">
        <f t="shared" si="133"/>
        <v>5</v>
      </c>
      <c r="U356" s="250">
        <f t="shared" si="134"/>
        <v>-0.52600450619726447</v>
      </c>
      <c r="V356" s="382">
        <f t="shared" si="135"/>
        <v>25.682948685787622</v>
      </c>
      <c r="W356" s="400">
        <f t="shared" si="136"/>
        <v>4.0939578299414396</v>
      </c>
      <c r="X356" s="157">
        <f t="shared" si="137"/>
        <v>46729</v>
      </c>
      <c r="Y356" s="383">
        <f t="shared" si="138"/>
        <v>3.9729766618943705</v>
      </c>
      <c r="Z356" s="383">
        <f t="shared" si="139"/>
        <v>4.2269297572150686</v>
      </c>
      <c r="AA356" s="384">
        <f t="shared" si="140"/>
        <v>4.5052740999853125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6.178188864716392E-2</v>
      </c>
      <c r="AD356" s="230">
        <f>(INDEX(Models!$BJ356:$BT356,,AH356)*(1-AF356)+INDEX(Models!$BJ356:$BT356,,AH356+1)*AF356-ERP_i)*AE356*Ramure*Pc/MaxiM</f>
        <v>2.760651022697101E-3</v>
      </c>
      <c r="AE356" s="304">
        <f t="shared" si="142"/>
        <v>0.6</v>
      </c>
      <c r="AF356" s="177">
        <f t="shared" si="143"/>
        <v>0.99898306017671423</v>
      </c>
      <c r="AG356" s="799">
        <f t="shared" si="149"/>
        <v>2</v>
      </c>
      <c r="AH356" s="176">
        <f t="shared" si="144"/>
        <v>8</v>
      </c>
      <c r="AI356" s="224">
        <f t="shared" si="145"/>
        <v>2.9989830601767142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46730</v>
      </c>
      <c r="B357" s="409">
        <f>IF(t&gt;Tmaj,'2026'!Wh/'2026'!Env_an*'2027'!Env_an,0.001*'[14]mon-tableau (2)'!$B$250)</f>
        <v>4.9469794081441139</v>
      </c>
      <c r="C357" s="829"/>
      <c r="D357" s="391">
        <f t="shared" si="127"/>
        <v>5.2632917334950804</v>
      </c>
      <c r="E357" s="383">
        <f t="shared" si="125"/>
        <v>5.4445973686643878</v>
      </c>
      <c r="F357" s="383">
        <f t="shared" si="128"/>
        <v>5.4445973686643878</v>
      </c>
      <c r="G357" s="110">
        <f t="shared" si="126"/>
        <v>0.19330443473220485</v>
      </c>
      <c r="H357" s="412" t="b">
        <f>Wh_hp&gt;='2026'!Maxi_hp</f>
        <v>0</v>
      </c>
      <c r="I357" s="388">
        <f>IF(H357,Wh_hp,'2026'!Maxi_hp)</f>
        <v>12.508888202524682</v>
      </c>
      <c r="J357" s="85">
        <f>IF(H357,An,'2026'!An_max)</f>
        <v>2018</v>
      </c>
      <c r="K357" s="197">
        <f t="shared" si="129"/>
        <v>46730</v>
      </c>
      <c r="L357" s="147">
        <f>IF(t&lt;Tvie,1-EXP((T0-t)*PertePVj)+'2026'!Pspv,1-EXP((T0-t)*PertePVj)+Pspv)</f>
        <v>6.0097813567502878E-2</v>
      </c>
      <c r="M357" s="832"/>
      <c r="N357" s="832"/>
      <c r="O357" s="48">
        <f>IF(t&lt;Tnet,'2026'!Resal+('2026'!Salim-'2026'!Resal)*(1-EXP(('2026'!Tnet-t)/('2026'!Tau_j))),Resal+(Salim-Resal)*(1-EXP((Tnet-t)/(Tau_j))))*Salcycl</f>
        <v>3.33000996938334E-2</v>
      </c>
      <c r="P357" s="169">
        <f>(INDEX(Models!$BJ357:$BT357,,T357)*(1-R357)+INDEX(Models!$BJ357:$BT357,,T357+1)*R357-ERP_i)*Q357*Ramure*Pc/MaxiM</f>
        <v>2.4966544470412589E-4</v>
      </c>
      <c r="Q357" s="304">
        <f t="shared" si="130"/>
        <v>0.6</v>
      </c>
      <c r="R357" s="177">
        <f t="shared" si="131"/>
        <v>0.4740073429050955</v>
      </c>
      <c r="S357" s="799">
        <f t="shared" si="132"/>
        <v>-1</v>
      </c>
      <c r="T357" s="176">
        <f t="shared" si="133"/>
        <v>5</v>
      </c>
      <c r="U357" s="250">
        <f t="shared" si="134"/>
        <v>-0.5259926570949045</v>
      </c>
      <c r="V357" s="382">
        <f t="shared" si="135"/>
        <v>25.585260499490591</v>
      </c>
      <c r="W357" s="400">
        <f t="shared" si="136"/>
        <v>4.9469794081441139</v>
      </c>
      <c r="X357" s="157">
        <f t="shared" si="137"/>
        <v>46730</v>
      </c>
      <c r="Y357" s="383">
        <f t="shared" si="138"/>
        <v>4.8009779614312302</v>
      </c>
      <c r="Z357" s="383">
        <f t="shared" si="139"/>
        <v>5.1079548816179203</v>
      </c>
      <c r="AA357" s="384">
        <f t="shared" si="140"/>
        <v>5.4445973686643878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6.1830556834921564E-2</v>
      </c>
      <c r="AD357" s="230">
        <f>(INDEX(Models!$BJ357:$BT357,,AH357)*(1-AF357)+INDEX(Models!$BJ357:$BT357,,AH357+1)*AF357-ERP_i)*AE357*Ramure*Pc/MaxiM</f>
        <v>2.7929399552938565E-3</v>
      </c>
      <c r="AE357" s="304">
        <f t="shared" si="142"/>
        <v>0.6</v>
      </c>
      <c r="AF357" s="177">
        <f t="shared" si="143"/>
        <v>0.99899490927907442</v>
      </c>
      <c r="AG357" s="799">
        <f t="shared" si="149"/>
        <v>2</v>
      </c>
      <c r="AH357" s="176">
        <f t="shared" si="144"/>
        <v>8</v>
      </c>
      <c r="AI357" s="224">
        <f t="shared" si="145"/>
        <v>2.9989949092790744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46731</v>
      </c>
      <c r="B358" s="409">
        <f>IF(t&gt;Tmaj,'2026'!Wh/'2026'!Env_an*'2027'!Env_an,0.001*'[14]mon-tableau (2)'!$B$251)</f>
        <v>11.436027237655425</v>
      </c>
      <c r="C358" s="829"/>
      <c r="D358" s="391">
        <f t="shared" si="127"/>
        <v>12.167485697757975</v>
      </c>
      <c r="E358" s="383">
        <f t="shared" si="125"/>
        <v>12.587770465511474</v>
      </c>
      <c r="F358" s="383">
        <f t="shared" si="128"/>
        <v>12.588463432931869</v>
      </c>
      <c r="G358" s="110">
        <f t="shared" si="126"/>
        <v>0.44842687450478469</v>
      </c>
      <c r="H358" s="412" t="b">
        <f>Wh_hp&gt;='2026'!Maxi_hp</f>
        <v>0</v>
      </c>
      <c r="I358" s="388">
        <f>IF(H358,Wh_hp,'2026'!Maxi_hp)</f>
        <v>24.237624658257118</v>
      </c>
      <c r="J358" s="85">
        <f>IF(H358,An,'2026'!An_max)</f>
        <v>2018</v>
      </c>
      <c r="K358" s="197">
        <f t="shared" si="129"/>
        <v>46731</v>
      </c>
      <c r="L358" s="147">
        <f>IF(t&lt;Tvie,1-EXP((T0-t)*PertePVj)+'2026'!Pspv,1-EXP((T0-t)*PertePVj)+Pspv)</f>
        <v>6.0115826578479692E-2</v>
      </c>
      <c r="M358" s="832"/>
      <c r="N358" s="832"/>
      <c r="O358" s="48">
        <f>IF(t&lt;Tnet,'2026'!Resal+('2026'!Salim-'2026'!Resal)*(1-EXP(('2026'!Tnet-t)/('2026'!Tau_j))),Resal+(Salim-Resal)*(1-EXP((Tnet-t)/(Tau_j))))*Salcycl</f>
        <v>3.3388340604479004E-2</v>
      </c>
      <c r="P358" s="169">
        <f>(INDEX(Models!$BJ358:$BT358,,T358)*(1-R358)+INDEX(Models!$BJ358:$BT358,,T358+1)*R358-ERP_i)*Q358*Ramure*Pc/MaxiM</f>
        <v>2.594522302175067E-4</v>
      </c>
      <c r="Q358" s="304">
        <f t="shared" si="130"/>
        <v>0.6</v>
      </c>
      <c r="R358" s="177">
        <f t="shared" si="131"/>
        <v>0.47401871545574004</v>
      </c>
      <c r="S358" s="799">
        <f t="shared" si="132"/>
        <v>-1</v>
      </c>
      <c r="T358" s="176">
        <f t="shared" si="133"/>
        <v>5</v>
      </c>
      <c r="U358" s="250">
        <f t="shared" si="134"/>
        <v>-0.52598128454425996</v>
      </c>
      <c r="V358" s="382">
        <f t="shared" si="135"/>
        <v>25.497333421752707</v>
      </c>
      <c r="W358" s="400">
        <f t="shared" si="136"/>
        <v>11.436027237655425</v>
      </c>
      <c r="X358" s="157">
        <f t="shared" si="137"/>
        <v>46731</v>
      </c>
      <c r="Y358" s="383">
        <f t="shared" si="138"/>
        <v>11.092911207385054</v>
      </c>
      <c r="Z358" s="383">
        <f t="shared" si="139"/>
        <v>11.80242366142077</v>
      </c>
      <c r="AA358" s="384">
        <f t="shared" si="140"/>
        <v>12.58093215867097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6.1880033008018448E-2</v>
      </c>
      <c r="AD358" s="230">
        <f>(INDEX(Models!$BJ358:$BT358,,AH358)*(1-AF358)+INDEX(Models!$BJ358:$BT358,,AH358+1)*AF358-ERP_i)*AE358*Ramure*Pc/MaxiM</f>
        <v>2.8197659022049051E-3</v>
      </c>
      <c r="AE358" s="304">
        <f t="shared" si="142"/>
        <v>0.6</v>
      </c>
      <c r="AF358" s="177">
        <f t="shared" si="143"/>
        <v>0.99900628182971873</v>
      </c>
      <c r="AG358" s="799">
        <f t="shared" si="149"/>
        <v>2</v>
      </c>
      <c r="AH358" s="176">
        <f t="shared" si="144"/>
        <v>8</v>
      </c>
      <c r="AI358" s="224">
        <f t="shared" si="145"/>
        <v>2.9990062818297187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46732</v>
      </c>
      <c r="B359" s="409">
        <f>IF(t&gt;Tmaj,'2026'!Wh/'2026'!Env_an*'2027'!Env_an,0.001*'[14]mon-tableau (2)'!$B$252)</f>
        <v>17.992877446224469</v>
      </c>
      <c r="C359" s="829"/>
      <c r="D359" s="391">
        <f t="shared" si="127"/>
        <v>19.144084761766678</v>
      </c>
      <c r="E359" s="383">
        <f t="shared" si="125"/>
        <v>19.807167410188629</v>
      </c>
      <c r="F359" s="383">
        <f t="shared" si="128"/>
        <v>19.810275904390764</v>
      </c>
      <c r="G359" s="110">
        <f t="shared" si="126"/>
        <v>0.70779626703620713</v>
      </c>
      <c r="H359" s="412" t="b">
        <f>Wh_hp&gt;='2026'!Maxi_hp</f>
        <v>0</v>
      </c>
      <c r="I359" s="388">
        <f>IF(H359,Wh_hp,'2026'!Maxi_hp)</f>
        <v>19.811704894203341</v>
      </c>
      <c r="J359" s="85">
        <f>IF(H359,An,'2026'!An_max)</f>
        <v>2026</v>
      </c>
      <c r="K359" s="197">
        <f t="shared" si="129"/>
        <v>46732</v>
      </c>
      <c r="L359" s="147">
        <f>IF(t&lt;Tvie,1-EXP((T0-t)*PertePVj)+'2026'!Pspv,1-EXP((T0-t)*PertePVj)+Pspv)</f>
        <v>6.0133839244241316E-2</v>
      </c>
      <c r="M359" s="832"/>
      <c r="N359" s="832"/>
      <c r="O359" s="48">
        <f>IF(t&lt;Tnet,'2026'!Resal+('2026'!Salim-'2026'!Resal)*(1-EXP(('2026'!Tnet-t)/('2026'!Tau_j))),Resal+(Salim-Resal)*(1-EXP((Tnet-t)/(Tau_j))))*Salcycl</f>
        <v>3.3476904329130294E-2</v>
      </c>
      <c r="P359" s="169">
        <f>(INDEX(Models!$BJ359:$BT359,,T359)*(1-R359)+INDEX(Models!$BJ359:$BT359,,T359+1)*R359-ERP_i)*Q359*Ramure*Pc/MaxiM</f>
        <v>2.6929581505263017E-4</v>
      </c>
      <c r="Q359" s="304">
        <f t="shared" si="130"/>
        <v>0.6</v>
      </c>
      <c r="R359" s="177">
        <f t="shared" si="131"/>
        <v>0.47402963060043146</v>
      </c>
      <c r="S359" s="799">
        <f t="shared" si="132"/>
        <v>-1</v>
      </c>
      <c r="T359" s="176">
        <f t="shared" si="133"/>
        <v>5</v>
      </c>
      <c r="U359" s="250">
        <f t="shared" si="134"/>
        <v>-0.52597036939956854</v>
      </c>
      <c r="V359" s="382">
        <f t="shared" si="135"/>
        <v>25.418126487125701</v>
      </c>
      <c r="W359" s="400">
        <f t="shared" si="136"/>
        <v>17.992877446224469</v>
      </c>
      <c r="X359" s="157">
        <f t="shared" si="137"/>
        <v>46732</v>
      </c>
      <c r="Y359" s="383">
        <f t="shared" si="138"/>
        <v>17.437012228562015</v>
      </c>
      <c r="Z359" s="383">
        <f t="shared" si="139"/>
        <v>18.552654576414035</v>
      </c>
      <c r="AA359" s="384">
        <f t="shared" si="140"/>
        <v>19.777479534011015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6.1930285681280409E-2</v>
      </c>
      <c r="AD359" s="230">
        <f>(INDEX(Models!$BJ359:$BT359,,AH359)*(1-AF359)+INDEX(Models!$BJ359:$BT359,,AH359+1)*AF359-ERP_i)*AE359*Ramure*Pc/MaxiM</f>
        <v>2.8412230224255618E-3</v>
      </c>
      <c r="AE359" s="304">
        <f t="shared" si="142"/>
        <v>0.6</v>
      </c>
      <c r="AF359" s="177">
        <f t="shared" si="143"/>
        <v>0.99901719697440994</v>
      </c>
      <c r="AG359" s="799">
        <f t="shared" si="149"/>
        <v>2</v>
      </c>
      <c r="AH359" s="176">
        <f t="shared" si="144"/>
        <v>8</v>
      </c>
      <c r="AI359" s="224">
        <f t="shared" si="145"/>
        <v>2.9990171969744099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46733</v>
      </c>
      <c r="B360" s="409">
        <f>IF(t&gt;Tmaj,'2026'!Wh/'2026'!Env_an*'2027'!Env_an,0.001*'[14]mon-tableau (2)'!$B$253)</f>
        <v>6.9364945183528732</v>
      </c>
      <c r="C360" s="829"/>
      <c r="D360" s="391">
        <f t="shared" si="127"/>
        <v>7.380441755300307</v>
      </c>
      <c r="E360" s="383">
        <f t="shared" si="125"/>
        <v>7.6367760677324101</v>
      </c>
      <c r="F360" s="383">
        <f t="shared" si="128"/>
        <v>7.6367760677324101</v>
      </c>
      <c r="G360" s="110">
        <f t="shared" si="126"/>
        <v>0.27358940643858037</v>
      </c>
      <c r="H360" s="412" t="b">
        <f>Wh_hp&gt;='2026'!Maxi_hp</f>
        <v>0</v>
      </c>
      <c r="I360" s="388">
        <f>IF(H360,Wh_hp,'2026'!Maxi_hp)</f>
        <v>26.814406326002654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6.0151851564794301E-2</v>
      </c>
      <c r="M360" s="832"/>
      <c r="N360" s="832"/>
      <c r="O360" s="48">
        <f>IF(t&lt;Tnet,'2026'!Resal+('2026'!Salim-'2026'!Resal)*(1-EXP(('2026'!Tnet-t)/('2026'!Tau_j))),Resal+(Salim-Resal)*(1-EXP((Tnet-t)/(Tau_j))))*Salcycl</f>
        <v>3.356577568316943E-2</v>
      </c>
      <c r="P360" s="169">
        <f>(INDEX(Models!$BJ360:$BT360,,T360)*(1-R360)+INDEX(Models!$BJ360:$BT360,,T360+1)*R360-ERP_i)*Q360*Ramure*Pc/MaxiM</f>
        <v>2.792028665906336E-4</v>
      </c>
      <c r="Q360" s="304">
        <f t="shared" si="130"/>
        <v>0.6</v>
      </c>
      <c r="R360" s="177">
        <f t="shared" si="131"/>
        <v>0.47404010671734609</v>
      </c>
      <c r="S360" s="799">
        <f t="shared" si="132"/>
        <v>-1</v>
      </c>
      <c r="T360" s="176">
        <f t="shared" si="133"/>
        <v>5</v>
      </c>
      <c r="U360" s="250">
        <f t="shared" si="134"/>
        <v>-0.52595989328265391</v>
      </c>
      <c r="V360" s="382">
        <f t="shared" si="135"/>
        <v>25.346587499381254</v>
      </c>
      <c r="W360" s="400">
        <f t="shared" si="136"/>
        <v>6.9364945183528732</v>
      </c>
      <c r="X360" s="157">
        <f t="shared" si="137"/>
        <v>46733</v>
      </c>
      <c r="Y360" s="383">
        <f t="shared" si="138"/>
        <v>6.7325447850453353</v>
      </c>
      <c r="Z360" s="383">
        <f t="shared" si="139"/>
        <v>7.163438898352509</v>
      </c>
      <c r="AA360" s="384">
        <f t="shared" si="140"/>
        <v>7.6367760677324101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6.1981281784585493E-2</v>
      </c>
      <c r="AD360" s="230">
        <f>(INDEX(Models!$BJ360:$BT360,,AH360)*(1-AF360)+INDEX(Models!$BJ360:$BT360,,AH360+1)*AF360-ERP_i)*AE360*Ramure*Pc/MaxiM</f>
        <v>2.8574123082672101E-3</v>
      </c>
      <c r="AE360" s="304">
        <f t="shared" si="142"/>
        <v>0.6</v>
      </c>
      <c r="AF360" s="177">
        <f t="shared" si="143"/>
        <v>0.99902767309132479</v>
      </c>
      <c r="AG360" s="799">
        <f t="shared" si="149"/>
        <v>2</v>
      </c>
      <c r="AH360" s="176">
        <f t="shared" si="144"/>
        <v>8</v>
      </c>
      <c r="AI360" s="224">
        <f t="shared" si="145"/>
        <v>2.9990276730913248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46734</v>
      </c>
      <c r="B361" s="409">
        <f>IF(t&gt;Tmaj,'2026'!Wh/'2026'!Env_an*'2027'!Env_an,0.001*'[14]mon-tableau (2)'!$B$254)</f>
        <v>5.3836519864202135</v>
      </c>
      <c r="C361" s="829"/>
      <c r="D361" s="391">
        <f t="shared" si="127"/>
        <v>5.7283244892521896</v>
      </c>
      <c r="E361" s="383">
        <f t="shared" ref="E361:E379" si="150">Wh_pvt/(1-Psa)</f>
        <v>5.9278250783588646</v>
      </c>
      <c r="F361" s="383">
        <f t="shared" si="128"/>
        <v>5.9278250783588646</v>
      </c>
      <c r="G361" s="110">
        <f t="shared" ref="G361:G379" si="151">+Wh_hp/MaxiM</f>
        <v>0.21287415701978982</v>
      </c>
      <c r="H361" s="412" t="b">
        <f>Wh_hp&gt;='2026'!Maxi_hp</f>
        <v>0</v>
      </c>
      <c r="I361" s="388">
        <f>IF(H361,Wh_hp,'2026'!Maxi_hp)</f>
        <v>28.151976192045886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6.0169863540145196E-2</v>
      </c>
      <c r="M361" s="832"/>
      <c r="N361" s="832"/>
      <c r="O361" s="48">
        <f>IF(t&lt;Tnet,'2026'!Resal+('2026'!Salim-'2026'!Resal)*(1-EXP(('2026'!Tnet-t)/('2026'!Tau_j))),Resal+(Salim-Resal)*(1-EXP((Tnet-t)/(Tau_j))))*Salcycl</f>
        <v>3.3654938610622277E-2</v>
      </c>
      <c r="P361" s="169">
        <f>(INDEX(Models!$BJ361:$BT361,,T361)*(1-R361)+INDEX(Models!$BJ361:$BT361,,T361+1)*R361-ERP_i)*Q361*Ramure*Pc/MaxiM</f>
        <v>2.8839603192563348E-4</v>
      </c>
      <c r="Q361" s="304">
        <f t="shared" si="130"/>
        <v>0.6</v>
      </c>
      <c r="R361" s="177">
        <f t="shared" si="131"/>
        <v>0.47405016144772205</v>
      </c>
      <c r="S361" s="799">
        <f t="shared" si="132"/>
        <v>-1</v>
      </c>
      <c r="T361" s="176">
        <f t="shared" si="133"/>
        <v>5</v>
      </c>
      <c r="U361" s="250">
        <f t="shared" si="134"/>
        <v>-0.52594983855227795</v>
      </c>
      <c r="V361" s="382">
        <f t="shared" si="135"/>
        <v>25.283009633009211</v>
      </c>
      <c r="W361" s="400">
        <f t="shared" si="136"/>
        <v>5.3836519864202135</v>
      </c>
      <c r="X361" s="157">
        <f t="shared" si="137"/>
        <v>46734</v>
      </c>
      <c r="Y361" s="383">
        <f t="shared" si="138"/>
        <v>5.2255536608618351</v>
      </c>
      <c r="Z361" s="383">
        <f t="shared" si="139"/>
        <v>5.5601043828466832</v>
      </c>
      <c r="AA361" s="384">
        <f t="shared" si="140"/>
        <v>5.9278250783588646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6.2032986913639912E-2</v>
      </c>
      <c r="AD361" s="230">
        <f>(INDEX(Models!$BJ361:$BT361,,AH361)*(1-AF361)+INDEX(Models!$BJ361:$BT361,,AH361+1)*AF361-ERP_i)*AE361*Ramure*Pc/MaxiM</f>
        <v>2.871196245975339E-3</v>
      </c>
      <c r="AE361" s="304">
        <f t="shared" si="142"/>
        <v>0.6</v>
      </c>
      <c r="AF361" s="177">
        <f t="shared" si="143"/>
        <v>0.99903772782170064</v>
      </c>
      <c r="AG361" s="799">
        <f t="shared" si="149"/>
        <v>2</v>
      </c>
      <c r="AH361" s="176">
        <f t="shared" si="144"/>
        <v>8</v>
      </c>
      <c r="AI361" s="224">
        <f t="shared" si="145"/>
        <v>2.9990377278217006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46735</v>
      </c>
      <c r="B362" s="409">
        <f>IF(t&gt;Tmaj,'2026'!Wh/'2026'!Env_an*'2027'!Env_an,0.001*'[14]mon-tableau (2)'!$B$255)</f>
        <v>17.487631083149282</v>
      </c>
      <c r="C362" s="829"/>
      <c r="D362" s="391">
        <f t="shared" si="127"/>
        <v>18.607581899752748</v>
      </c>
      <c r="E362" s="383">
        <f t="shared" si="150"/>
        <v>19.257411231212323</v>
      </c>
      <c r="F362" s="383">
        <f t="shared" si="128"/>
        <v>19.260622992124627</v>
      </c>
      <c r="G362" s="110">
        <f t="shared" si="151"/>
        <v>0.69310236922552093</v>
      </c>
      <c r="H362" s="412" t="b">
        <f>Wh_hp&gt;='2026'!Maxi_hp</f>
        <v>0</v>
      </c>
      <c r="I362" s="388">
        <f>IF(H362,Wh_hp,'2026'!Maxi_hp)</f>
        <v>27.05277642016825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6.0187875170300775E-2</v>
      </c>
      <c r="M362" s="832"/>
      <c r="N362" s="832"/>
      <c r="O362" s="48">
        <f>IF(t&lt;Tnet,'2026'!Resal+('2026'!Salim-'2026'!Resal)*(1-EXP(('2026'!Tnet-t)/('2026'!Tau_j))),Resal+(Salim-Resal)*(1-EXP((Tnet-t)/(Tau_j))))*Salcycl</f>
        <v>3.3744376316082104E-2</v>
      </c>
      <c r="P362" s="169">
        <f>(INDEX(Models!$BJ362:$BT362,,T362)*(1-R362)+INDEX(Models!$BJ362:$BT362,,T362+1)*R362-ERP_i)*Q362*Ramure*Pc/MaxiM</f>
        <v>2.9686951573294209E-4</v>
      </c>
      <c r="Q362" s="304">
        <f t="shared" si="130"/>
        <v>0.6</v>
      </c>
      <c r="R362" s="177">
        <f t="shared" si="131"/>
        <v>0.47405981172529144</v>
      </c>
      <c r="S362" s="799">
        <f t="shared" si="132"/>
        <v>-1</v>
      </c>
      <c r="T362" s="176">
        <f t="shared" si="133"/>
        <v>5</v>
      </c>
      <c r="U362" s="250">
        <f t="shared" si="134"/>
        <v>-0.52594018827470856</v>
      </c>
      <c r="V362" s="382">
        <f t="shared" si="135"/>
        <v>25.227666280149286</v>
      </c>
      <c r="W362" s="400">
        <f t="shared" si="136"/>
        <v>17.487631083149282</v>
      </c>
      <c r="X362" s="157">
        <f t="shared" si="137"/>
        <v>46735</v>
      </c>
      <c r="Y362" s="383">
        <f t="shared" si="138"/>
        <v>16.950048326685547</v>
      </c>
      <c r="Z362" s="383">
        <f t="shared" si="139"/>
        <v>18.035571024109757</v>
      </c>
      <c r="AA362" s="384">
        <f t="shared" si="140"/>
        <v>19.229437693243213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6.2085365582632362E-2</v>
      </c>
      <c r="AD362" s="230">
        <f>(INDEX(Models!$BJ362:$BT362,,AH362)*(1-AF362)+INDEX(Models!$BJ362:$BT362,,AH362+1)*AF362-ERP_i)*AE362*Ramure*Pc/MaxiM</f>
        <v>2.8825198480513597E-3</v>
      </c>
      <c r="AE362" s="304">
        <f t="shared" si="142"/>
        <v>0.6</v>
      </c>
      <c r="AF362" s="177">
        <f t="shared" si="143"/>
        <v>0.99904737809927013</v>
      </c>
      <c r="AG362" s="799">
        <f t="shared" si="149"/>
        <v>2</v>
      </c>
      <c r="AH362" s="176">
        <f t="shared" si="144"/>
        <v>8</v>
      </c>
      <c r="AI362" s="224">
        <f t="shared" si="145"/>
        <v>2.9990473780992701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46736</v>
      </c>
      <c r="B363" s="409">
        <f>IF(t&gt;Tmaj,'2026'!Wh/'2026'!Env_an*'2027'!Env_an,0.001*'[14]mon-tableau (2)'!$B$256)</f>
        <v>5.856876009067034</v>
      </c>
      <c r="C363" s="829"/>
      <c r="D363" s="391">
        <f t="shared" si="127"/>
        <v>6.2320841604082435</v>
      </c>
      <c r="E363" s="383">
        <f t="shared" si="150"/>
        <v>6.4503249140927137</v>
      </c>
      <c r="F363" s="383">
        <f t="shared" si="128"/>
        <v>6.4503249140927137</v>
      </c>
      <c r="G363" s="110">
        <f t="shared" si="151"/>
        <v>0.23252179266519124</v>
      </c>
      <c r="H363" s="412" t="b">
        <f>Wh_hp&gt;='2026'!Maxi_hp</f>
        <v>0</v>
      </c>
      <c r="I363" s="388">
        <f>IF(H363,Wh_hp,'2026'!Maxi_hp)</f>
        <v>28.710535852153466</v>
      </c>
      <c r="J363" s="85">
        <f>IF(H363,An,'2026'!An_max)</f>
        <v>2018</v>
      </c>
      <c r="K363" s="197">
        <f t="shared" si="129"/>
        <v>46736</v>
      </c>
      <c r="L363" s="147">
        <f>IF(t&lt;Tvie,1-EXP((T0-t)*PertePVj)+'2026'!Pspv,1-EXP((T0-t)*PertePVj)+Pspv)</f>
        <v>6.0205886455267477E-2</v>
      </c>
      <c r="M363" s="832"/>
      <c r="N363" s="832"/>
      <c r="O363" s="48">
        <f>IF(t&lt;Tnet,'2026'!Resal+('2026'!Salim-'2026'!Resal)*(1-EXP(('2026'!Tnet-t)/('2026'!Tau_j))),Resal+(Salim-Resal)*(1-EXP((Tnet-t)/(Tau_j))))*Salcycl</f>
        <v>3.3834071398117657E-2</v>
      </c>
      <c r="P363" s="169">
        <f>(INDEX(Models!$BJ363:$BT363,,T363)*(1-R363)+INDEX(Models!$BJ363:$BT363,,T363+1)*R363-ERP_i)*Q363*Ramure*Pc/MaxiM</f>
        <v>3.046170529489513E-4</v>
      </c>
      <c r="Q363" s="304">
        <f t="shared" si="130"/>
        <v>0.6</v>
      </c>
      <c r="R363" s="177">
        <f t="shared" si="131"/>
        <v>0.47406907380454788</v>
      </c>
      <c r="S363" s="799">
        <f t="shared" si="132"/>
        <v>-1</v>
      </c>
      <c r="T363" s="176">
        <f t="shared" si="133"/>
        <v>5</v>
      </c>
      <c r="U363" s="250">
        <f t="shared" si="134"/>
        <v>-0.52593092619545212</v>
      </c>
      <c r="V363" s="382">
        <f t="shared" si="135"/>
        <v>25.18083074126487</v>
      </c>
      <c r="W363" s="400">
        <f t="shared" si="136"/>
        <v>5.856876009067034</v>
      </c>
      <c r="X363" s="157">
        <f t="shared" si="137"/>
        <v>46736</v>
      </c>
      <c r="Y363" s="383">
        <f t="shared" si="138"/>
        <v>5.6852959214801411</v>
      </c>
      <c r="Z363" s="383">
        <f t="shared" si="139"/>
        <v>6.0495121639315643</v>
      </c>
      <c r="AA363" s="384">
        <f t="shared" si="140"/>
        <v>6.4503249140927137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6.2138381476792119E-2</v>
      </c>
      <c r="AD363" s="230">
        <f>(INDEX(Models!$BJ363:$BT363,,AH363)*(1-AF363)+INDEX(Models!$BJ363:$BT363,,AH363+1)*AF363-ERP_i)*AE363*Ramure*Pc/MaxiM</f>
        <v>2.8913273598982401E-3</v>
      </c>
      <c r="AE363" s="304">
        <f t="shared" si="142"/>
        <v>0.6</v>
      </c>
      <c r="AF363" s="177">
        <f t="shared" si="143"/>
        <v>0.99905664017852658</v>
      </c>
      <c r="AG363" s="799">
        <f t="shared" si="149"/>
        <v>2</v>
      </c>
      <c r="AH363" s="176">
        <f t="shared" si="144"/>
        <v>8</v>
      </c>
      <c r="AI363" s="224">
        <f t="shared" si="145"/>
        <v>2.9990566401785266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46737</v>
      </c>
      <c r="B364" s="409">
        <f>IF(t&gt;Tmaj,'2026'!Wh/'2026'!Env_an*'2027'!Env_an,0.001*'[14]mon-tableau (2)'!$B$257)</f>
        <v>5.2289948637740169</v>
      </c>
      <c r="C364" s="829"/>
      <c r="D364" s="391">
        <f t="shared" si="127"/>
        <v>5.564085795839949</v>
      </c>
      <c r="E364" s="383">
        <f t="shared" si="150"/>
        <v>5.759470093760072</v>
      </c>
      <c r="F364" s="383">
        <f t="shared" si="128"/>
        <v>5.759470093760072</v>
      </c>
      <c r="G364" s="110">
        <f t="shared" si="151"/>
        <v>0.20790724513042882</v>
      </c>
      <c r="H364" s="412" t="b">
        <f>Wh_hp&gt;='2026'!Maxi_hp</f>
        <v>0</v>
      </c>
      <c r="I364" s="388">
        <f>IF(H364,Wh_hp,'2026'!Maxi_hp)</f>
        <v>28.36247847047073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6.0223897395052073E-2</v>
      </c>
      <c r="M364" s="832"/>
      <c r="N364" s="832"/>
      <c r="O364" s="48">
        <f>IF(t&lt;Tnet,'2026'!Resal+('2026'!Salim-'2026'!Resal)*(1-EXP(('2026'!Tnet-t)/('2026'!Tau_j))),Resal+(Salim-Resal)*(1-EXP((Tnet-t)/(Tau_j))))*Salcycl</f>
        <v>3.3924005983086189E-2</v>
      </c>
      <c r="P364" s="169">
        <f>(INDEX(Models!$BJ364:$BT364,,T364)*(1-R364)+INDEX(Models!$BJ364:$BT364,,T364+1)*R364-ERP_i)*Q364*Ramure*Pc/MaxiM</f>
        <v>3.1163208737194193E-4</v>
      </c>
      <c r="Q364" s="304">
        <f t="shared" si="130"/>
        <v>0.6</v>
      </c>
      <c r="R364" s="177">
        <f t="shared" si="131"/>
        <v>0.47407796328789309</v>
      </c>
      <c r="S364" s="799">
        <f t="shared" si="132"/>
        <v>-1</v>
      </c>
      <c r="T364" s="176">
        <f t="shared" si="133"/>
        <v>5</v>
      </c>
      <c r="U364" s="250">
        <f t="shared" si="134"/>
        <v>-0.52592203671210691</v>
      </c>
      <c r="V364" s="382">
        <f t="shared" si="135"/>
        <v>25.142776231344993</v>
      </c>
      <c r="W364" s="400">
        <f t="shared" si="136"/>
        <v>5.2289948637740169</v>
      </c>
      <c r="X364" s="157">
        <f t="shared" si="137"/>
        <v>46737</v>
      </c>
      <c r="Y364" s="383">
        <f t="shared" si="138"/>
        <v>5.075991182461606</v>
      </c>
      <c r="Z364" s="383">
        <f t="shared" si="139"/>
        <v>5.4012771429189996</v>
      </c>
      <c r="AA364" s="384">
        <f t="shared" si="140"/>
        <v>5.759470093760072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6.2191997702904331E-2</v>
      </c>
      <c r="AD364" s="230">
        <f>(INDEX(Models!$BJ364:$BT364,,AH364)*(1-AF364)+INDEX(Models!$BJ364:$BT364,,AH364+1)*AF364-ERP_i)*AE364*Ramure*Pc/MaxiM</f>
        <v>2.8975631502479401E-3</v>
      </c>
      <c r="AE364" s="304">
        <f t="shared" si="142"/>
        <v>0.6</v>
      </c>
      <c r="AF364" s="177">
        <f t="shared" si="143"/>
        <v>0.99906552966187157</v>
      </c>
      <c r="AG364" s="799">
        <f t="shared" si="149"/>
        <v>2</v>
      </c>
      <c r="AH364" s="176">
        <f t="shared" si="144"/>
        <v>8</v>
      </c>
      <c r="AI364" s="224">
        <f t="shared" si="145"/>
        <v>2.9990655296618716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46738</v>
      </c>
      <c r="B365" s="409">
        <f>IF(t&gt;Tmaj,'2026'!Wh/'2026'!Env_an*'2027'!Env_an,0.001*'[14]mon-tableau (2)'!$B$258)</f>
        <v>3.4501353454896111</v>
      </c>
      <c r="C365" s="829"/>
      <c r="D365" s="391">
        <f t="shared" si="127"/>
        <v>3.6713015560302873</v>
      </c>
      <c r="E365" s="383">
        <f t="shared" si="150"/>
        <v>3.8005749267430531</v>
      </c>
      <c r="F365" s="383">
        <f t="shared" si="128"/>
        <v>3.8005749267430531</v>
      </c>
      <c r="G365" s="110">
        <f t="shared" si="151"/>
        <v>0.13733651758134335</v>
      </c>
      <c r="H365" s="412" t="b">
        <f>Wh_hp&gt;='2026'!Maxi_hp</f>
        <v>0</v>
      </c>
      <c r="I365" s="388">
        <f>IF(H365,Wh_hp,'2026'!Maxi_hp)</f>
        <v>28.942207486281909</v>
      </c>
      <c r="J365" s="85">
        <f>IF(H365,An,'2026'!An_max)</f>
        <v>2021</v>
      </c>
      <c r="K365" s="197">
        <f t="shared" si="129"/>
        <v>46738</v>
      </c>
      <c r="L365" s="147">
        <f>IF(t&lt;Tvie,1-EXP((T0-t)*PertePVj)+'2026'!Pspv,1-EXP((T0-t)*PertePVj)+Pspv)</f>
        <v>6.0241907989661114E-2</v>
      </c>
      <c r="M365" s="832"/>
      <c r="N365" s="832"/>
      <c r="O365" s="48">
        <f>IF(t&lt;Tnet,'2026'!Resal+('2026'!Salim-'2026'!Resal)*(1-EXP(('2026'!Tnet-t)/('2026'!Tau_j))),Resal+(Salim-Resal)*(1-EXP((Tnet-t)/(Tau_j))))*Salcycl</f>
        <v>3.4014161858281849E-2</v>
      </c>
      <c r="P365" s="169">
        <f>(INDEX(Models!$BJ365:$BT365,,T365)*(1-R365)+INDEX(Models!$BJ365:$BT365,,T365+1)*R365-ERP_i)*Q365*Ramure*Pc/MaxiM</f>
        <v>3.1790796036596137E-4</v>
      </c>
      <c r="Q365" s="304">
        <f t="shared" si="130"/>
        <v>0.6</v>
      </c>
      <c r="R365" s="177">
        <f t="shared" si="131"/>
        <v>0.47408649515170553</v>
      </c>
      <c r="S365" s="799">
        <f t="shared" si="132"/>
        <v>-1</v>
      </c>
      <c r="T365" s="176">
        <f t="shared" si="133"/>
        <v>5</v>
      </c>
      <c r="U365" s="250">
        <f t="shared" si="134"/>
        <v>-0.52591350484829447</v>
      </c>
      <c r="V365" s="382">
        <f t="shared" si="135"/>
        <v>25.113775860496101</v>
      </c>
      <c r="W365" s="400">
        <f t="shared" si="136"/>
        <v>3.4501353454896111</v>
      </c>
      <c r="X365" s="157">
        <f t="shared" si="137"/>
        <v>46738</v>
      </c>
      <c r="Y365" s="383">
        <f t="shared" si="138"/>
        <v>3.349301286031749</v>
      </c>
      <c r="Z365" s="383">
        <f t="shared" si="139"/>
        <v>3.564003667014874</v>
      </c>
      <c r="AA365" s="384">
        <f t="shared" si="140"/>
        <v>3.8005749267430531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6.2246177035881103E-2</v>
      </c>
      <c r="AD365" s="230">
        <f>(INDEX(Models!$BJ365:$BT365,,AH365)*(1-AF365)+INDEX(Models!$BJ365:$BT365,,AH365+1)*AF365-ERP_i)*AE365*Ramure*Pc/MaxiM</f>
        <v>2.9011726310125847E-3</v>
      </c>
      <c r="AE365" s="304">
        <f t="shared" si="142"/>
        <v>0.6</v>
      </c>
      <c r="AF365" s="177">
        <f t="shared" si="143"/>
        <v>0.99907406152568434</v>
      </c>
      <c r="AG365" s="799">
        <f t="shared" si="149"/>
        <v>2</v>
      </c>
      <c r="AH365" s="176">
        <f t="shared" si="144"/>
        <v>8</v>
      </c>
      <c r="AI365" s="224">
        <f t="shared" si="145"/>
        <v>2.9990740615256843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46739</v>
      </c>
      <c r="B366" s="409">
        <f>IF(t&gt;Tmaj,'2026'!Wh/'2026'!Env_an*'2027'!Env_an,0.001*'[14]mon-tableau (2)'!$B$259)</f>
        <v>24.425395407507736</v>
      </c>
      <c r="C366" s="829"/>
      <c r="D366" s="391">
        <f t="shared" si="127"/>
        <v>25.991650118550943</v>
      </c>
      <c r="E366" s="383">
        <f t="shared" si="150"/>
        <v>26.909381680497386</v>
      </c>
      <c r="F366" s="383">
        <f t="shared" si="128"/>
        <v>26.917739129216145</v>
      </c>
      <c r="G366" s="110">
        <f t="shared" si="151"/>
        <v>0.97333940098695471</v>
      </c>
      <c r="H366" s="412" t="b">
        <f>Wh_hp&gt;='2026'!Maxi_hp</f>
        <v>0</v>
      </c>
      <c r="I366" s="388">
        <f>IF(H366,Wh_hp,'2026'!Maxi_hp)</f>
        <v>28.845869606100038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6.0259918239101262E-2</v>
      </c>
      <c r="M366" s="832"/>
      <c r="N366" s="832"/>
      <c r="O366" s="48">
        <f>IF(t&lt;Tnet,'2026'!Resal+('2026'!Salim-'2026'!Resal)*(1-EXP(('2026'!Tnet-t)/('2026'!Tau_j))),Resal+(Salim-Resal)*(1-EXP((Tnet-t)/(Tau_j))))*Salcycl</f>
        <v>3.4104520603368993E-2</v>
      </c>
      <c r="P366" s="169">
        <f>(INDEX(Models!$BJ366:$BT366,,T366)*(1-R366)+INDEX(Models!$BJ366:$BT366,,T366+1)*R366-ERP_i)*Q366*Ramure*Pc/MaxiM</f>
        <v>3.2276871690526516E-4</v>
      </c>
      <c r="Q366" s="304">
        <f t="shared" si="130"/>
        <v>0.6</v>
      </c>
      <c r="R366" s="177">
        <f t="shared" si="131"/>
        <v>0.47409468377137487</v>
      </c>
      <c r="S366" s="799">
        <f t="shared" si="132"/>
        <v>-1</v>
      </c>
      <c r="T366" s="176">
        <f t="shared" si="133"/>
        <v>5</v>
      </c>
      <c r="U366" s="250">
        <f t="shared" si="134"/>
        <v>-0.52590531622862513</v>
      </c>
      <c r="V366" s="382">
        <f t="shared" si="135"/>
        <v>25.094119439878526</v>
      </c>
      <c r="W366" s="400">
        <f t="shared" si="136"/>
        <v>24.425395407507736</v>
      </c>
      <c r="X366" s="157">
        <f t="shared" si="137"/>
        <v>46739</v>
      </c>
      <c r="Y366" s="383">
        <f t="shared" si="138"/>
        <v>23.653532618578005</v>
      </c>
      <c r="Z366" s="383">
        <f t="shared" si="139"/>
        <v>25.17029237941588</v>
      </c>
      <c r="AA366" s="384">
        <f t="shared" si="140"/>
        <v>26.842610705856046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6.2300882159548175E-2</v>
      </c>
      <c r="AD366" s="230">
        <f>(INDEX(Models!$BJ366:$BT366,,AH366)*(1-AF366)+INDEX(Models!$BJ366:$BT366,,AH366+1)*AF366-ERP_i)*AE366*Ramure*Pc/MaxiM</f>
        <v>2.9014960937330872E-3</v>
      </c>
      <c r="AE366" s="304">
        <f t="shared" si="142"/>
        <v>0.6</v>
      </c>
      <c r="AF366" s="177">
        <f t="shared" si="143"/>
        <v>0.99908225014535335</v>
      </c>
      <c r="AG366" s="799">
        <f t="shared" si="149"/>
        <v>2</v>
      </c>
      <c r="AH366" s="176">
        <f t="shared" si="144"/>
        <v>8</v>
      </c>
      <c r="AI366" s="224">
        <f t="shared" si="145"/>
        <v>2.9990822501453533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46740</v>
      </c>
      <c r="B367" s="409">
        <f>IF(t&gt;Tmaj,'2026'!Wh/'2026'!Env_an*'2027'!Env_an,0.001*'[14]mon-tableau (2)'!$B$260)</f>
        <v>19.672444598362883</v>
      </c>
      <c r="C367" s="829"/>
      <c r="D367" s="391">
        <f t="shared" si="127"/>
        <v>20.934322165590707</v>
      </c>
      <c r="E367" s="383">
        <f t="shared" si="150"/>
        <v>21.675517880664032</v>
      </c>
      <c r="F367" s="383">
        <f t="shared" si="128"/>
        <v>21.680410641511362</v>
      </c>
      <c r="G367" s="110">
        <f t="shared" si="151"/>
        <v>0.78418130421370158</v>
      </c>
      <c r="H367" s="412" t="b">
        <f>Wh_hp&gt;='2026'!Maxi_hp</f>
        <v>0</v>
      </c>
      <c r="I367" s="388">
        <f>IF(H367,Wh_hp,'2026'!Maxi_hp)</f>
        <v>28.572996708311734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6.0277928143379067E-2</v>
      </c>
      <c r="M367" s="832"/>
      <c r="N367" s="832"/>
      <c r="O367" s="48">
        <f>IF(t&lt;Tnet,'2026'!Resal+('2026'!Salim-'2026'!Resal)*(1-EXP(('2026'!Tnet-t)/('2026'!Tau_j))),Resal+(Salim-Resal)*(1-EXP((Tnet-t)/(Tau_j))))*Salcycl</f>
        <v>3.4195063719078093E-2</v>
      </c>
      <c r="P367" s="169">
        <f>(INDEX(Models!$BJ367:$BT367,,T367)*(1-R367)+INDEX(Models!$BJ367:$BT367,,T367+1)*R367-ERP_i)*Q367*Ramure*Pc/MaxiM</f>
        <v>3.262163869288125E-4</v>
      </c>
      <c r="Q367" s="304">
        <f t="shared" si="130"/>
        <v>0.6</v>
      </c>
      <c r="R367" s="177">
        <f t="shared" si="131"/>
        <v>0.47410254294534104</v>
      </c>
      <c r="S367" s="799">
        <f t="shared" si="132"/>
        <v>-1</v>
      </c>
      <c r="T367" s="176">
        <f t="shared" si="133"/>
        <v>5</v>
      </c>
      <c r="U367" s="250">
        <f t="shared" si="134"/>
        <v>-0.52589745705465896</v>
      </c>
      <c r="V367" s="382">
        <f t="shared" si="135"/>
        <v>25.084079641218324</v>
      </c>
      <c r="W367" s="400">
        <f t="shared" si="136"/>
        <v>19.672444598362883</v>
      </c>
      <c r="X367" s="157">
        <f t="shared" si="137"/>
        <v>46740</v>
      </c>
      <c r="Y367" s="383">
        <f t="shared" si="138"/>
        <v>19.064819179329842</v>
      </c>
      <c r="Z367" s="383">
        <f t="shared" si="139"/>
        <v>20.287720965905624</v>
      </c>
      <c r="AA367" s="384">
        <f t="shared" si="140"/>
        <v>21.636914018694608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6.2356075899883873E-2</v>
      </c>
      <c r="AD367" s="230">
        <f>(INDEX(Models!$BJ367:$BT367,,AH367)*(1-AF367)+INDEX(Models!$BJ367:$BT367,,AH367+1)*AF367-ERP_i)*AE367*Ramure*Pc/MaxiM</f>
        <v>2.9000622719232787E-3</v>
      </c>
      <c r="AE367" s="304">
        <f t="shared" si="142"/>
        <v>0.6</v>
      </c>
      <c r="AF367" s="177">
        <f t="shared" si="143"/>
        <v>0.99909010931931963</v>
      </c>
      <c r="AG367" s="799">
        <f t="shared" si="149"/>
        <v>2</v>
      </c>
      <c r="AH367" s="176">
        <f t="shared" si="144"/>
        <v>8</v>
      </c>
      <c r="AI367" s="224">
        <f t="shared" si="145"/>
        <v>2.9990901093193196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46741</v>
      </c>
      <c r="B368" s="409">
        <f>IF(t&gt;Tmaj,'2026'!Wh/'2026'!Env_an*'2027'!Env_an,0.001*'[14]mon-tableau (2)'!$B$261)</f>
        <v>4.3372514786656513</v>
      </c>
      <c r="C368" s="829"/>
      <c r="D368" s="391">
        <f t="shared" si="127"/>
        <v>4.6155504192047756</v>
      </c>
      <c r="E368" s="383">
        <f t="shared" si="150"/>
        <v>4.7794164039175344</v>
      </c>
      <c r="F368" s="383">
        <f t="shared" si="128"/>
        <v>4.7794164039175344</v>
      </c>
      <c r="G368" s="110">
        <f t="shared" si="151"/>
        <v>0.17285281542140857</v>
      </c>
      <c r="H368" s="412" t="b">
        <f>Wh_hp&gt;='2026'!Maxi_hp</f>
        <v>0</v>
      </c>
      <c r="I368" s="388">
        <f>IF(H368,Wh_hp,'2026'!Maxi_hp)</f>
        <v>25.354958891522763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6.0295937702501079E-2</v>
      </c>
      <c r="M368" s="832"/>
      <c r="N368" s="832"/>
      <c r="O368" s="48">
        <f>IF(t&lt;Tnet,'2026'!Resal+('2026'!Salim-'2026'!Resal)*(1-EXP(('2026'!Tnet-t)/('2026'!Tau_j))),Resal+(Salim-Resal)*(1-EXP((Tnet-t)/(Tau_j))))*Salcycl</f>
        <v>3.4285772752180241E-2</v>
      </c>
      <c r="P368" s="169">
        <f>(INDEX(Models!$BJ368:$BT368,,T368)*(1-R368)+INDEX(Models!$BJ368:$BT368,,T368+1)*R368-ERP_i)*Q368*Ramure*Pc/MaxiM</f>
        <v>3.2824947264253678E-4</v>
      </c>
      <c r="Q368" s="304">
        <f t="shared" si="130"/>
        <v>0.6</v>
      </c>
      <c r="R368" s="177">
        <f t="shared" si="131"/>
        <v>0.47411008591817938</v>
      </c>
      <c r="S368" s="799">
        <f t="shared" si="132"/>
        <v>-1</v>
      </c>
      <c r="T368" s="176">
        <f t="shared" si="133"/>
        <v>5</v>
      </c>
      <c r="U368" s="250">
        <f t="shared" si="134"/>
        <v>-0.52588991408182062</v>
      </c>
      <c r="V368" s="382">
        <f t="shared" si="135"/>
        <v>25.083929165888787</v>
      </c>
      <c r="W368" s="400">
        <f t="shared" si="136"/>
        <v>4.3372514786656513</v>
      </c>
      <c r="X368" s="157">
        <f t="shared" si="137"/>
        <v>46741</v>
      </c>
      <c r="Y368" s="383">
        <f t="shared" si="138"/>
        <v>4.2109311769321032</v>
      </c>
      <c r="Z368" s="383">
        <f t="shared" si="139"/>
        <v>4.4811247986272651</v>
      </c>
      <c r="AA368" s="384">
        <f t="shared" si="140"/>
        <v>4.7794164039175344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6.2411721449039129E-2</v>
      </c>
      <c r="AD368" s="230">
        <f>(INDEX(Models!$BJ368:$BT368,,AH368)*(1-AF368)+INDEX(Models!$BJ368:$BT368,,AH368+1)*AF368-ERP_i)*AE368*Ramure*Pc/MaxiM</f>
        <v>2.8968199920427172E-3</v>
      </c>
      <c r="AE368" s="304">
        <f t="shared" si="142"/>
        <v>0.6</v>
      </c>
      <c r="AF368" s="177">
        <f t="shared" si="143"/>
        <v>0.99909765229215797</v>
      </c>
      <c r="AG368" s="799">
        <f t="shared" si="149"/>
        <v>2</v>
      </c>
      <c r="AH368" s="176">
        <f t="shared" si="144"/>
        <v>8</v>
      </c>
      <c r="AI368" s="224">
        <f t="shared" si="145"/>
        <v>2.999097652292158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46742</v>
      </c>
      <c r="B369" s="409">
        <f>IF(t&gt;Tmaj,'2026'!Wh/'2026'!Env_an*'2027'!Env_an,0.001*'[14]mon-tableau (2)'!$B$262)</f>
        <v>22.359317931303128</v>
      </c>
      <c r="C369" s="829"/>
      <c r="D369" s="391">
        <f t="shared" si="127"/>
        <v>23.79445545449175</v>
      </c>
      <c r="E369" s="383">
        <f t="shared" si="150"/>
        <v>24.641548847451979</v>
      </c>
      <c r="F369" s="383">
        <f t="shared" si="128"/>
        <v>24.648392971295561</v>
      </c>
      <c r="G369" s="110">
        <f t="shared" si="151"/>
        <v>0.89097895004800387</v>
      </c>
      <c r="H369" s="412" t="b">
        <f>Wh_hp&gt;='2026'!Maxi_hp</f>
        <v>0</v>
      </c>
      <c r="I369" s="388">
        <f>IF(H369,Wh_hp,'2026'!Maxi_hp)</f>
        <v>24.64917338003707</v>
      </c>
      <c r="J369" s="85">
        <f>IF(H369,An,'2026'!An_max)</f>
        <v>2026</v>
      </c>
      <c r="K369" s="197">
        <f t="shared" si="129"/>
        <v>46742</v>
      </c>
      <c r="L369" s="147">
        <f>IF(t&lt;Tvie,1-EXP((T0-t)*PertePVj)+'2026'!Pspv,1-EXP((T0-t)*PertePVj)+Pspv)</f>
        <v>6.031394691647407E-2</v>
      </c>
      <c r="M369" s="832"/>
      <c r="N369" s="832"/>
      <c r="O369" s="48">
        <f>IF(t&lt;Tnet,'2026'!Resal+('2026'!Salim-'2026'!Resal)*(1-EXP(('2026'!Tnet-t)/('2026'!Tau_j))),Resal+(Salim-Resal)*(1-EXP((Tnet-t)/(Tau_j))))*Salcycl</f>
        <v>3.4376629415801579E-2</v>
      </c>
      <c r="P369" s="169">
        <f>(INDEX(Models!$BJ369:$BT369,,T369)*(1-R369)+INDEX(Models!$BJ369:$BT369,,T369+1)*R369-ERP_i)*Q369*Ramure*Pc/MaxiM</f>
        <v>3.2886809762462091E-4</v>
      </c>
      <c r="Q369" s="304">
        <f t="shared" si="130"/>
        <v>0.6</v>
      </c>
      <c r="R369" s="177">
        <f t="shared" si="131"/>
        <v>0.4741173254027663</v>
      </c>
      <c r="S369" s="799">
        <f t="shared" si="132"/>
        <v>-1</v>
      </c>
      <c r="T369" s="176">
        <f t="shared" si="133"/>
        <v>5</v>
      </c>
      <c r="U369" s="250">
        <f t="shared" si="134"/>
        <v>-0.5258826745972337</v>
      </c>
      <c r="V369" s="382">
        <f t="shared" si="135"/>
        <v>25.093940616383811</v>
      </c>
      <c r="W369" s="400">
        <f t="shared" si="136"/>
        <v>22.359317931303128</v>
      </c>
      <c r="X369" s="157">
        <f t="shared" si="137"/>
        <v>46742</v>
      </c>
      <c r="Y369" s="383">
        <f t="shared" si="138"/>
        <v>21.661870089925625</v>
      </c>
      <c r="Z369" s="383">
        <f t="shared" si="139"/>
        <v>23.052241776754524</v>
      </c>
      <c r="AA369" s="384">
        <f t="shared" si="140"/>
        <v>24.588212915132694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6.2467782578573043E-2</v>
      </c>
      <c r="AD369" s="230">
        <f>(INDEX(Models!$BJ369:$BT369,,AH369)*(1-AF369)+INDEX(Models!$BJ369:$BT369,,AH369+1)*AF369-ERP_i)*AE369*Ramure*Pc/MaxiM</f>
        <v>2.8917215756960276E-3</v>
      </c>
      <c r="AE369" s="304">
        <f t="shared" si="142"/>
        <v>0.6</v>
      </c>
      <c r="AF369" s="177">
        <f t="shared" si="143"/>
        <v>0.99910489177674489</v>
      </c>
      <c r="AG369" s="799">
        <f t="shared" si="149"/>
        <v>2</v>
      </c>
      <c r="AH369" s="176">
        <f t="shared" si="144"/>
        <v>8</v>
      </c>
      <c r="AI369" s="224">
        <f t="shared" si="145"/>
        <v>2.9991048917767449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46743</v>
      </c>
      <c r="B370" s="409">
        <f>IF(t&gt;Tmaj,'2026'!Wh/'2026'!Env_an*'2027'!Env_an,0.001*'[14]mon-tableau (2)'!$B$263)</f>
        <v>20.013853391675411</v>
      </c>
      <c r="C370" s="829"/>
      <c r="D370" s="391">
        <f t="shared" si="127"/>
        <v>21.298854967874853</v>
      </c>
      <c r="E370" s="383">
        <f t="shared" si="150"/>
        <v>22.059182389215032</v>
      </c>
      <c r="F370" s="383">
        <f t="shared" si="128"/>
        <v>22.064320940216575</v>
      </c>
      <c r="G370" s="110">
        <f t="shared" si="151"/>
        <v>0.79683204465786128</v>
      </c>
      <c r="H370" s="412" t="b">
        <f>Wh_hp&gt;='2026'!Maxi_hp</f>
        <v>0</v>
      </c>
      <c r="I370" s="388">
        <f>IF(H370,Wh_hp,'2026'!Maxi_hp)</f>
        <v>28.339103776749631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6.0331955785304592E-2</v>
      </c>
      <c r="M370" s="832"/>
      <c r="N370" s="832"/>
      <c r="O370" s="48">
        <f>IF(t&lt;Tnet,'2026'!Resal+('2026'!Salim-'2026'!Resal)*(1-EXP(('2026'!Tnet-t)/('2026'!Tau_j))),Resal+(Salim-Resal)*(1-EXP((Tnet-t)/(Tau_j))))*Salcycl</f>
        <v>3.4467615704193551E-2</v>
      </c>
      <c r="P370" s="169">
        <f>(INDEX(Models!$BJ370:$BT370,,T370)*(1-R370)+INDEX(Models!$BJ370:$BT370,,T370+1)*R370-ERP_i)*Q370*Ramure*Pc/MaxiM</f>
        <v>3.2807431466221662E-4</v>
      </c>
      <c r="Q370" s="304">
        <f t="shared" si="130"/>
        <v>0.6</v>
      </c>
      <c r="R370" s="177">
        <f t="shared" si="131"/>
        <v>0.47412427360156362</v>
      </c>
      <c r="S370" s="799">
        <f t="shared" si="132"/>
        <v>-1</v>
      </c>
      <c r="T370" s="176">
        <f t="shared" si="133"/>
        <v>5</v>
      </c>
      <c r="U370" s="250">
        <f t="shared" si="134"/>
        <v>-0.52587572639843638</v>
      </c>
      <c r="V370" s="382">
        <f t="shared" si="135"/>
        <v>25.114386487424252</v>
      </c>
      <c r="W370" s="400">
        <f t="shared" si="136"/>
        <v>20.013853391675411</v>
      </c>
      <c r="X370" s="157">
        <f t="shared" si="137"/>
        <v>46743</v>
      </c>
      <c r="Y370" s="383">
        <f t="shared" si="138"/>
        <v>19.397011780384478</v>
      </c>
      <c r="Z370" s="383">
        <f t="shared" si="139"/>
        <v>20.642408667408773</v>
      </c>
      <c r="AA370" s="384">
        <f t="shared" si="140"/>
        <v>22.019138192532623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6.2524223840456264E-2</v>
      </c>
      <c r="AD370" s="230">
        <f>(INDEX(Models!$BJ370:$BT370,,AH370)*(1-AF370)+INDEX(Models!$BJ370:$BT370,,AH370+1)*AF370-ERP_i)*AE370*Ramure*Pc/MaxiM</f>
        <v>2.8847235293588277E-3</v>
      </c>
      <c r="AE370" s="304">
        <f t="shared" si="142"/>
        <v>0.6</v>
      </c>
      <c r="AF370" s="177">
        <f t="shared" si="143"/>
        <v>0.99911183997554209</v>
      </c>
      <c r="AG370" s="799">
        <f t="shared" si="149"/>
        <v>2</v>
      </c>
      <c r="AH370" s="176">
        <f t="shared" si="144"/>
        <v>8</v>
      </c>
      <c r="AI370" s="224">
        <f t="shared" si="145"/>
        <v>2.9991118399755421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46744</v>
      </c>
      <c r="B371" s="409">
        <f>IF(t&gt;Tmaj,'2026'!Wh/'2026'!Env_an*'2027'!Env_an,0.001*'[14]mon-tableau (2)'!$B$264)</f>
        <v>20.361087098717533</v>
      </c>
      <c r="C371" s="829"/>
      <c r="D371" s="391">
        <f t="shared" si="127"/>
        <v>21.668798302917509</v>
      </c>
      <c r="E371" s="383">
        <f t="shared" si="150"/>
        <v>22.444449618185295</v>
      </c>
      <c r="F371" s="383">
        <f t="shared" si="128"/>
        <v>22.449776806522451</v>
      </c>
      <c r="G371" s="110">
        <f t="shared" si="151"/>
        <v>0.80965784739980817</v>
      </c>
      <c r="H371" s="412" t="b">
        <f>Wh_hp&gt;='2026'!Maxi_hp</f>
        <v>0</v>
      </c>
      <c r="I371" s="388">
        <f>IF(H371,Wh_hp,'2026'!Maxi_hp)</f>
        <v>22.451007279574906</v>
      </c>
      <c r="J371" s="85">
        <f>IF(H371,An,'2026'!An_max)</f>
        <v>2026</v>
      </c>
      <c r="K371" s="197">
        <f t="shared" si="129"/>
        <v>46744</v>
      </c>
      <c r="L371" s="147">
        <f>IF(t&lt;Tvie,1-EXP((T0-t)*PertePVj)+'2026'!Pspv,1-EXP((T0-t)*PertePVj)+Pspv)</f>
        <v>6.0349964308999193E-2</v>
      </c>
      <c r="M371" s="832"/>
      <c r="N371" s="832"/>
      <c r="O371" s="48">
        <f>IF(t&lt;Tnet,'2026'!Resal+('2026'!Salim-'2026'!Resal)*(1-EXP(('2026'!Tnet-t)/('2026'!Tau_j))),Resal+(Salim-Resal)*(1-EXP((Tnet-t)/(Tau_j))))*Salcycl</f>
        <v>3.4558714001136775E-2</v>
      </c>
      <c r="P371" s="169">
        <f>(INDEX(Models!$BJ371:$BT371,,T371)*(1-R371)+INDEX(Models!$BJ371:$BT371,,T371+1)*R371-ERP_i)*Q371*Ramure*Pc/MaxiM</f>
        <v>3.2586987986184544E-4</v>
      </c>
      <c r="Q371" s="304">
        <f t="shared" si="130"/>
        <v>0.6</v>
      </c>
      <c r="R371" s="177">
        <f t="shared" si="131"/>
        <v>0.47412427360156362</v>
      </c>
      <c r="S371" s="799">
        <f t="shared" si="132"/>
        <v>-1</v>
      </c>
      <c r="T371" s="176">
        <f t="shared" si="133"/>
        <v>5</v>
      </c>
      <c r="U371" s="250">
        <f t="shared" si="134"/>
        <v>-0.52587572639843638</v>
      </c>
      <c r="V371" s="382">
        <f t="shared" si="135"/>
        <v>25.14553922582267</v>
      </c>
      <c r="W371" s="400">
        <f t="shared" si="136"/>
        <v>20.361087098717533</v>
      </c>
      <c r="X371" s="157">
        <f t="shared" si="137"/>
        <v>46744</v>
      </c>
      <c r="Y371" s="383">
        <f t="shared" si="138"/>
        <v>19.73338088054324</v>
      </c>
      <c r="Z371" s="383">
        <f t="shared" si="139"/>
        <v>21.000777024428768</v>
      </c>
      <c r="AA371" s="384">
        <f t="shared" si="140"/>
        <v>22.402764681919045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6.2581010754525365E-2</v>
      </c>
      <c r="AD371" s="230">
        <f>(INDEX(Models!$BJ371:$BT371,,AH371)*(1-AF371)+INDEX(Models!$BJ371:$BT371,,AH371+1)*AF371-ERP_i)*AE371*Ramure*Pc/MaxiM</f>
        <v>2.8757825755317606E-3</v>
      </c>
      <c r="AE371" s="304">
        <f t="shared" si="142"/>
        <v>0.6</v>
      </c>
      <c r="AF371" s="177">
        <f t="shared" si="143"/>
        <v>0.99911183997554209</v>
      </c>
      <c r="AG371" s="799">
        <f t="shared" si="149"/>
        <v>2</v>
      </c>
      <c r="AH371" s="176">
        <f t="shared" si="144"/>
        <v>8</v>
      </c>
      <c r="AI371" s="224">
        <f t="shared" si="145"/>
        <v>2.9991118399755421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46745</v>
      </c>
      <c r="B372" s="409">
        <f>IF(t&gt;Tmaj,'2026'!Wh/'2026'!Env_an*'2027'!Env_an,0.001*'[14]mon-tableau (2)'!$B$265)</f>
        <v>22.387975948655832</v>
      </c>
      <c r="C372" s="829"/>
      <c r="D372" s="391">
        <f t="shared" si="127"/>
        <v>23.826322744580505</v>
      </c>
      <c r="E372" s="383">
        <f t="shared" si="150"/>
        <v>24.681535664443558</v>
      </c>
      <c r="F372" s="383">
        <f t="shared" si="128"/>
        <v>24.688228428013499</v>
      </c>
      <c r="G372" s="110">
        <f t="shared" si="151"/>
        <v>0.88880110985291194</v>
      </c>
      <c r="H372" s="412" t="b">
        <f>Wh_hp&gt;='2026'!Maxi_hp</f>
        <v>0</v>
      </c>
      <c r="I372" s="388">
        <f>IF(H372,Wh_hp,'2026'!Maxi_hp)</f>
        <v>24.689011173793165</v>
      </c>
      <c r="J372" s="85">
        <f>IF(H372,An,'2026'!An_max)</f>
        <v>2026</v>
      </c>
      <c r="K372" s="197">
        <f t="shared" si="129"/>
        <v>46745</v>
      </c>
      <c r="L372" s="147">
        <f>IF(t&lt;Tvie,1-EXP((T0-t)*PertePVj)+'2026'!Pspv,1-EXP((T0-t)*PertePVj)+Pspv)</f>
        <v>6.0367972487564647E-2</v>
      </c>
      <c r="M372" s="832"/>
      <c r="N372" s="832"/>
      <c r="O372" s="48">
        <f>IF(t&lt;Tnet,'2026'!Resal+('2026'!Salim-'2026'!Resal)*(1-EXP(('2026'!Tnet-t)/('2026'!Tau_j))),Resal+(Salim-Resal)*(1-EXP((Tnet-t)/(Tau_j))))*Salcycl</f>
        <v>3.4649907181224654E-2</v>
      </c>
      <c r="P372" s="169">
        <f>(INDEX(Models!$BJ372:$BT372,,T372)*(1-R372)+INDEX(Models!$BJ372:$BT372,,T372+1)*R372-ERP_i)*Q372*Ramure*Pc/MaxiM</f>
        <v>3.222637226585763E-4</v>
      </c>
      <c r="Q372" s="304">
        <f t="shared" si="130"/>
        <v>0.6</v>
      </c>
      <c r="R372" s="177">
        <f t="shared" si="131"/>
        <v>0.47412427360156362</v>
      </c>
      <c r="S372" s="799">
        <f t="shared" si="132"/>
        <v>-1</v>
      </c>
      <c r="T372" s="176">
        <f t="shared" si="133"/>
        <v>5</v>
      </c>
      <c r="U372" s="250">
        <f t="shared" si="134"/>
        <v>-0.52587572639843638</v>
      </c>
      <c r="V372" s="382">
        <f t="shared" si="135"/>
        <v>25.187671057700197</v>
      </c>
      <c r="W372" s="400">
        <f t="shared" si="136"/>
        <v>22.387975948655832</v>
      </c>
      <c r="X372" s="157">
        <f t="shared" si="137"/>
        <v>46745</v>
      </c>
      <c r="Y372" s="383">
        <f t="shared" si="138"/>
        <v>21.692376760960176</v>
      </c>
      <c r="Z372" s="383">
        <f t="shared" si="139"/>
        <v>23.086033815160789</v>
      </c>
      <c r="AA372" s="384">
        <f t="shared" si="140"/>
        <v>24.628730974648473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6.2638109981210832E-2</v>
      </c>
      <c r="AD372" s="230">
        <f>(INDEX(Models!$BJ372:$BT372,,AH372)*(1-AF372)+INDEX(Models!$BJ372:$BT372,,AH372+1)*AF372-ERP_i)*AE372*Ramure*Pc/MaxiM</f>
        <v>2.864866001876307E-3</v>
      </c>
      <c r="AE372" s="304">
        <f t="shared" si="142"/>
        <v>0.6</v>
      </c>
      <c r="AF372" s="177">
        <f t="shared" si="143"/>
        <v>0.99911183997554209</v>
      </c>
      <c r="AG372" s="799">
        <f t="shared" si="149"/>
        <v>2</v>
      </c>
      <c r="AH372" s="176">
        <f t="shared" si="144"/>
        <v>8</v>
      </c>
      <c r="AI372" s="224">
        <f t="shared" si="145"/>
        <v>2.9991118399755421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46746</v>
      </c>
      <c r="B373" s="409">
        <f>IF(t&gt;Tmaj,'2026'!Wh/'2026'!Env_an*'2027'!Env_an,0.001*'[14]mon-tableau (2)'!$B$266)</f>
        <v>13.213897875826317</v>
      </c>
      <c r="C373" s="829"/>
      <c r="D373" s="391">
        <f t="shared" si="127"/>
        <v>14.063112724031811</v>
      </c>
      <c r="E373" s="383">
        <f t="shared" si="150"/>
        <v>14.569266204830482</v>
      </c>
      <c r="F373" s="383">
        <f t="shared" si="128"/>
        <v>14.570742289558636</v>
      </c>
      <c r="G373" s="110">
        <f t="shared" si="151"/>
        <v>0.52340000574816936</v>
      </c>
      <c r="H373" s="412" t="b">
        <f>Wh_hp&gt;='2026'!Maxi_hp</f>
        <v>0</v>
      </c>
      <c r="I373" s="388">
        <f>IF(H373,Wh_hp,'2026'!Maxi_hp)</f>
        <v>14.572695556685257</v>
      </c>
      <c r="J373" s="85">
        <f>IF(H373,An,'2026'!An_max)</f>
        <v>2026</v>
      </c>
      <c r="K373" s="197">
        <f t="shared" si="129"/>
        <v>46746</v>
      </c>
      <c r="L373" s="147">
        <f>IF(t&lt;Tvie,1-EXP((T0-t)*PertePVj)+'2026'!Pspv,1-EXP((T0-t)*PertePVj)+Pspv)</f>
        <v>6.0385980321007393E-2</v>
      </c>
      <c r="M373" s="832"/>
      <c r="N373" s="832"/>
      <c r="O373" s="48">
        <f>IF(t&lt;Tnet,'2026'!Resal+('2026'!Salim-'2026'!Resal)*(1-EXP(('2026'!Tnet-t)/('2026'!Tau_j))),Resal+(Salim-Resal)*(1-EXP((Tnet-t)/(Tau_j))))*Salcycl</f>
        <v>3.4741178703348419E-2</v>
      </c>
      <c r="P373" s="169">
        <f>(INDEX(Models!$BJ373:$BT373,,T373)*(1-R373)+INDEX(Models!$BJ373:$BT373,,T373+1)*R373-ERP_i)*Q373*Ramure*Pc/MaxiM</f>
        <v>3.1726686279599271E-4</v>
      </c>
      <c r="Q373" s="304">
        <f t="shared" si="130"/>
        <v>0.6</v>
      </c>
      <c r="R373" s="177">
        <f t="shared" si="131"/>
        <v>0.47412427360156362</v>
      </c>
      <c r="S373" s="799">
        <f t="shared" si="132"/>
        <v>-1</v>
      </c>
      <c r="T373" s="176">
        <f t="shared" si="133"/>
        <v>5</v>
      </c>
      <c r="U373" s="250">
        <f t="shared" si="134"/>
        <v>-0.52587572639843638</v>
      </c>
      <c r="V373" s="382">
        <f t="shared" si="135"/>
        <v>25.240817232896056</v>
      </c>
      <c r="W373" s="400">
        <f t="shared" si="136"/>
        <v>13.213897875826317</v>
      </c>
      <c r="X373" s="157">
        <f t="shared" si="137"/>
        <v>46746</v>
      </c>
      <c r="Y373" s="383">
        <f t="shared" si="138"/>
        <v>12.820831854513374</v>
      </c>
      <c r="Z373" s="383">
        <f t="shared" si="139"/>
        <v>13.644785609833121</v>
      </c>
      <c r="AA373" s="384">
        <f t="shared" si="140"/>
        <v>14.557473538926596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6.2695489478510974E-2</v>
      </c>
      <c r="AD373" s="230">
        <f>(INDEX(Models!$BJ373:$BT373,,AH373)*(1-AF373)+INDEX(Models!$BJ373:$BT373,,AH373+1)*AF373-ERP_i)*AE373*Ramure*Pc/MaxiM</f>
        <v>2.8519601930424559E-3</v>
      </c>
      <c r="AE373" s="304">
        <f t="shared" si="142"/>
        <v>0.6</v>
      </c>
      <c r="AF373" s="177">
        <f t="shared" si="143"/>
        <v>0.99911183997554209</v>
      </c>
      <c r="AG373" s="799">
        <f t="shared" si="149"/>
        <v>2</v>
      </c>
      <c r="AH373" s="176">
        <f t="shared" si="144"/>
        <v>8</v>
      </c>
      <c r="AI373" s="224">
        <f t="shared" si="145"/>
        <v>2.9991118399755421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46747</v>
      </c>
      <c r="B374" s="409">
        <f>IF(t&gt;Tmaj,'2026'!Wh/'2026'!Env_an*'2027'!Env_an,0.001*'[14]mon-tableau (2)'!$B$267)</f>
        <v>22.124957496249138</v>
      </c>
      <c r="C374" s="829"/>
      <c r="D374" s="391">
        <f t="shared" si="127"/>
        <v>23.547308853157912</v>
      </c>
      <c r="E374" s="383">
        <f t="shared" si="150"/>
        <v>24.397121911894583</v>
      </c>
      <c r="F374" s="383">
        <f t="shared" si="128"/>
        <v>24.403346895893044</v>
      </c>
      <c r="G374" s="110">
        <f t="shared" si="151"/>
        <v>0.87429300309813329</v>
      </c>
      <c r="H374" s="412" t="b">
        <f>Wh_hp&gt;='2026'!Maxi_hp</f>
        <v>0</v>
      </c>
      <c r="I374" s="388">
        <f>IF(H374,Wh_hp,'2026'!Maxi_hp)</f>
        <v>24.404194573775538</v>
      </c>
      <c r="J374" s="85">
        <f>IF(H374,An,'2026'!An_max)</f>
        <v>2026</v>
      </c>
      <c r="K374" s="197">
        <f t="shared" si="129"/>
        <v>46747</v>
      </c>
      <c r="L374" s="147">
        <f>IF(t&lt;Tvie,1-EXP((T0-t)*PertePVj)+'2026'!Pspv,1-EXP((T0-t)*PertePVj)+Pspv)</f>
        <v>6.0403987809334092E-2</v>
      </c>
      <c r="M374" s="832"/>
      <c r="N374" s="832"/>
      <c r="O374" s="48">
        <f>IF(t&lt;Tnet,'2026'!Resal+('2026'!Salim-'2026'!Resal)*(1-EXP(('2026'!Tnet-t)/('2026'!Tau_j))),Resal+(Salim-Resal)*(1-EXP((Tnet-t)/(Tau_j))))*Salcycl</f>
        <v>3.4832512695784627E-2</v>
      </c>
      <c r="P374" s="169">
        <f>(INDEX(Models!$BJ374:$BT374,,T374)*(1-R374)+INDEX(Models!$BJ374:$BT374,,T374+1)*R374-ERP_i)*Q374*Ramure*Pc/MaxiM</f>
        <v>3.1089694300257762E-4</v>
      </c>
      <c r="Q374" s="304">
        <f t="shared" si="130"/>
        <v>0.6</v>
      </c>
      <c r="R374" s="177">
        <f t="shared" si="131"/>
        <v>0.47412427360156362</v>
      </c>
      <c r="S374" s="799">
        <f t="shared" si="132"/>
        <v>-1</v>
      </c>
      <c r="T374" s="176">
        <f t="shared" si="133"/>
        <v>5</v>
      </c>
      <c r="U374" s="250">
        <f t="shared" si="134"/>
        <v>-0.52587572639843638</v>
      </c>
      <c r="V374" s="382">
        <f t="shared" si="135"/>
        <v>25.304700274312857</v>
      </c>
      <c r="W374" s="400">
        <f t="shared" si="136"/>
        <v>22.124957496249138</v>
      </c>
      <c r="X374" s="157">
        <f t="shared" si="137"/>
        <v>46747</v>
      </c>
      <c r="Y374" s="383">
        <f t="shared" si="138"/>
        <v>21.440377745789316</v>
      </c>
      <c r="Z374" s="383">
        <f t="shared" si="139"/>
        <v>22.818719393881977</v>
      </c>
      <c r="AA374" s="384">
        <f t="shared" si="140"/>
        <v>24.346540754371613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6.2753118642339623E-2</v>
      </c>
      <c r="AD374" s="230">
        <f>(INDEX(Models!$BJ374:$BT374,,AH374)*(1-AF374)+INDEX(Models!$BJ374:$BT374,,AH374+1)*AF374-ERP_i)*AE374*Ramure*Pc/MaxiM</f>
        <v>2.8370925527111536E-3</v>
      </c>
      <c r="AE374" s="304">
        <f t="shared" si="142"/>
        <v>0.6</v>
      </c>
      <c r="AF374" s="177">
        <f t="shared" si="143"/>
        <v>0.99911183997554209</v>
      </c>
      <c r="AG374" s="799">
        <f t="shared" si="149"/>
        <v>2</v>
      </c>
      <c r="AH374" s="176">
        <f t="shared" si="144"/>
        <v>8</v>
      </c>
      <c r="AI374" s="224">
        <f t="shared" si="145"/>
        <v>2.9991118399755421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46748</v>
      </c>
      <c r="B375" s="409">
        <f>IF(t&gt;Tmaj,'2026'!Wh/'2026'!Env_an*'2027'!Env_an,0.001*'[14]mon-tableau (2)'!$B$268)</f>
        <v>7.2297436808190572</v>
      </c>
      <c r="C375" s="829"/>
      <c r="D375" s="391">
        <f t="shared" si="127"/>
        <v>7.6946710565600744</v>
      </c>
      <c r="E375" s="383">
        <f t="shared" si="150"/>
        <v>7.9731235795596263</v>
      </c>
      <c r="F375" s="383">
        <f t="shared" si="128"/>
        <v>7.9731235795596263</v>
      </c>
      <c r="G375" s="110">
        <f t="shared" si="151"/>
        <v>0.28478335182175091</v>
      </c>
      <c r="H375" s="412" t="b">
        <f>Wh_hp&gt;='2026'!Maxi_hp</f>
        <v>0</v>
      </c>
      <c r="I375" s="388">
        <f>IF(H375,Wh_hp,'2026'!Maxi_hp)</f>
        <v>23.939485558369796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6.0421994952551517E-2</v>
      </c>
      <c r="M375" s="832"/>
      <c r="N375" s="832"/>
      <c r="O375" s="48">
        <f>IF(t&lt;Tnet,'2026'!Resal+('2026'!Salim-'2026'!Resal)*(1-EXP(('2026'!Tnet-t)/('2026'!Tau_j))),Resal+(Salim-Resal)*(1-EXP((Tnet-t)/(Tau_j))))*Salcycl</f>
        <v>3.492389403237256E-2</v>
      </c>
      <c r="P375" s="169">
        <f>(INDEX(Models!$BJ375:$BT375,,T375)*(1-R375)+INDEX(Models!$BJ375:$BT375,,T375+1)*R375-ERP_i)*Q375*Ramure*Pc/MaxiM</f>
        <v>3.0316839741105045E-4</v>
      </c>
      <c r="Q375" s="304">
        <f t="shared" si="130"/>
        <v>0.6</v>
      </c>
      <c r="R375" s="177">
        <f t="shared" si="131"/>
        <v>0.47412427360156362</v>
      </c>
      <c r="S375" s="799">
        <f t="shared" si="132"/>
        <v>-1</v>
      </c>
      <c r="T375" s="176">
        <f t="shared" si="133"/>
        <v>5</v>
      </c>
      <c r="U375" s="250">
        <f t="shared" si="134"/>
        <v>-0.52587572639843638</v>
      </c>
      <c r="V375" s="382">
        <f t="shared" si="135"/>
        <v>25.37912348028496</v>
      </c>
      <c r="W375" s="400">
        <f t="shared" si="136"/>
        <v>7.2297436808190572</v>
      </c>
      <c r="X375" s="157">
        <f t="shared" si="137"/>
        <v>46748</v>
      </c>
      <c r="Y375" s="383">
        <f t="shared" si="138"/>
        <v>7.020831245154417</v>
      </c>
      <c r="Z375" s="383">
        <f t="shared" si="139"/>
        <v>7.4723239661190943</v>
      </c>
      <c r="AA375" s="384">
        <f t="shared" si="140"/>
        <v>7.9731235795596263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6.2810968429538955E-2</v>
      </c>
      <c r="AD375" s="230">
        <f>(INDEX(Models!$BJ375:$BT375,,AH375)*(1-AF375)+INDEX(Models!$BJ375:$BT375,,AH375+1)*AF375-ERP_i)*AE375*Ramure*Pc/MaxiM</f>
        <v>2.8187468437659512E-3</v>
      </c>
      <c r="AE375" s="304">
        <f t="shared" si="142"/>
        <v>0.6</v>
      </c>
      <c r="AF375" s="177">
        <f t="shared" si="143"/>
        <v>0.99911183997554209</v>
      </c>
      <c r="AG375" s="799">
        <f t="shared" si="149"/>
        <v>2</v>
      </c>
      <c r="AH375" s="176">
        <f t="shared" si="144"/>
        <v>8</v>
      </c>
      <c r="AI375" s="224">
        <f t="shared" si="145"/>
        <v>2.9991118399755421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46749</v>
      </c>
      <c r="B376" s="409">
        <f>IF(t&gt;Tmaj,'2026'!Wh/'2026'!Env_an*'2027'!Env_an,0.001*'[14]mon-tableau (2)'!$B$269)</f>
        <v>24.432349727155021</v>
      </c>
      <c r="C376" s="829"/>
      <c r="D376" s="391">
        <f t="shared" si="127"/>
        <v>26.004033561113072</v>
      </c>
      <c r="E376" s="383">
        <f t="shared" si="150"/>
        <v>26.947612524276995</v>
      </c>
      <c r="F376" s="383">
        <f t="shared" si="128"/>
        <v>26.955097841931501</v>
      </c>
      <c r="G376" s="110">
        <f t="shared" si="151"/>
        <v>0.95947432457504256</v>
      </c>
      <c r="H376" s="412" t="b">
        <f>Wh_hp&gt;='2026'!Maxi_hp</f>
        <v>0</v>
      </c>
      <c r="I376" s="388">
        <f>IF(H376,Wh_hp,'2026'!Maxi_hp)</f>
        <v>26.955386172159706</v>
      </c>
      <c r="J376" s="85">
        <f>IF(H376,An,'2026'!An_max)</f>
        <v>2026</v>
      </c>
      <c r="K376" s="197">
        <f t="shared" si="129"/>
        <v>46749</v>
      </c>
      <c r="L376" s="147">
        <f>IF(t&lt;Tvie,1-EXP((T0-t)*PertePVj)+'2026'!Pspv,1-EXP((T0-t)*PertePVj)+Pspv)</f>
        <v>6.0440001750665995E-2</v>
      </c>
      <c r="M376" s="832"/>
      <c r="N376" s="832"/>
      <c r="O376" s="48">
        <f>IF(t&lt;Tnet,'2026'!Resal+('2026'!Salim-'2026'!Resal)*(1-EXP(('2026'!Tnet-t)/('2026'!Tau_j))),Resal+(Salim-Resal)*(1-EXP((Tnet-t)/(Tau_j))))*Salcycl</f>
        <v>3.5015308399356612E-2</v>
      </c>
      <c r="P376" s="169">
        <f>(INDEX(Models!$BJ376:$BT376,,T376)*(1-R376)+INDEX(Models!$BJ376:$BT376,,T376+1)*R376-ERP_i)*Q376*Ramure*Pc/MaxiM</f>
        <v>2.947533094186639E-4</v>
      </c>
      <c r="Q376" s="304">
        <f t="shared" si="130"/>
        <v>0.6</v>
      </c>
      <c r="R376" s="177">
        <f t="shared" si="131"/>
        <v>0.47412427360156362</v>
      </c>
      <c r="S376" s="799">
        <f t="shared" si="132"/>
        <v>-1</v>
      </c>
      <c r="T376" s="176">
        <f t="shared" si="133"/>
        <v>5</v>
      </c>
      <c r="U376" s="250">
        <f t="shared" si="134"/>
        <v>-0.52587572639843638</v>
      </c>
      <c r="V376" s="382">
        <f t="shared" si="135"/>
        <v>25.463873530283585</v>
      </c>
      <c r="W376" s="400">
        <f t="shared" si="136"/>
        <v>24.432349727155021</v>
      </c>
      <c r="X376" s="157">
        <f t="shared" si="137"/>
        <v>46749</v>
      </c>
      <c r="Y376" s="383">
        <f t="shared" si="138"/>
        <v>23.671161282143153</v>
      </c>
      <c r="Z376" s="383">
        <f t="shared" si="139"/>
        <v>25.193879397004153</v>
      </c>
      <c r="AA376" s="384">
        <f t="shared" si="140"/>
        <v>26.884053248880296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6.2869011463014227E-2</v>
      </c>
      <c r="AD376" s="230">
        <f>(INDEX(Models!$BJ376:$BT376,,AH376)*(1-AF376)+INDEX(Models!$BJ376:$BT376,,AH376+1)*AF376-ERP_i)*AE376*Ramure*Pc/MaxiM</f>
        <v>2.7975604890381964E-3</v>
      </c>
      <c r="AE376" s="304">
        <f t="shared" si="142"/>
        <v>0.6</v>
      </c>
      <c r="AF376" s="177">
        <f t="shared" si="143"/>
        <v>0.99911183997554209</v>
      </c>
      <c r="AG376" s="799">
        <f t="shared" si="149"/>
        <v>2</v>
      </c>
      <c r="AH376" s="176">
        <f t="shared" si="144"/>
        <v>8</v>
      </c>
      <c r="AI376" s="224">
        <f t="shared" si="145"/>
        <v>2.9991118399755421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46750</v>
      </c>
      <c r="B377" s="409">
        <f>IF(t&gt;Tmaj,'2026'!Wh/'2026'!Env_an*'2027'!Env_an,0.001*'[14]mon-tableau (2)'!$B$270)</f>
        <v>10.840021618049235</v>
      </c>
      <c r="C377" s="829"/>
      <c r="D377" s="391">
        <f t="shared" si="127"/>
        <v>11.537559483982337</v>
      </c>
      <c r="E377" s="383">
        <f t="shared" si="150"/>
        <v>11.95734283822515</v>
      </c>
      <c r="F377" s="383">
        <f t="shared" si="128"/>
        <v>11.95794855068103</v>
      </c>
      <c r="G377" s="110">
        <f t="shared" si="151"/>
        <v>0.42402200137581358</v>
      </c>
      <c r="H377" s="412" t="b">
        <f>Wh_hp&gt;='2026'!Maxi_hp</f>
        <v>0</v>
      </c>
      <c r="I377" s="388">
        <f>IF(H377,Wh_hp,'2026'!Maxi_hp)</f>
        <v>26.417584370860784</v>
      </c>
      <c r="J377" s="85">
        <f>IF(H377,An,'2026'!An_max)</f>
        <v>2018</v>
      </c>
      <c r="K377" s="197">
        <f t="shared" si="129"/>
        <v>46750</v>
      </c>
      <c r="L377" s="147">
        <f>IF(t&lt;Tvie,1-EXP((T0-t)*PertePVj)+'2026'!Pspv,1-EXP((T0-t)*PertePVj)+Pspv)</f>
        <v>6.045800820368441E-2</v>
      </c>
      <c r="M377" s="832"/>
      <c r="N377" s="832"/>
      <c r="O377" s="48">
        <f>IF(t&lt;Tnet,'2026'!Resal+('2026'!Salim-'2026'!Resal)*(1-EXP(('2026'!Tnet-t)/('2026'!Tau_j))),Resal+(Salim-Resal)*(1-EXP((Tnet-t)/(Tau_j))))*Salcycl</f>
        <v>3.5106742352561157E-2</v>
      </c>
      <c r="P377" s="169">
        <f>(INDEX(Models!$BJ377:$BT377,,T377)*(1-R377)+INDEX(Models!$BJ377:$BT377,,T377+1)*R377-ERP_i)*Q377*Ramure*Pc/MaxiM</f>
        <v>2.8566709357378379E-4</v>
      </c>
      <c r="Q377" s="304">
        <f t="shared" si="130"/>
        <v>0.6</v>
      </c>
      <c r="R377" s="177">
        <f t="shared" si="131"/>
        <v>0.47412427360156362</v>
      </c>
      <c r="S377" s="799">
        <f t="shared" si="132"/>
        <v>-1</v>
      </c>
      <c r="T377" s="176">
        <f t="shared" si="133"/>
        <v>5</v>
      </c>
      <c r="U377" s="250">
        <f t="shared" si="134"/>
        <v>-0.52587572639843638</v>
      </c>
      <c r="V377" s="382">
        <f t="shared" si="135"/>
        <v>25.558753795469567</v>
      </c>
      <c r="W377" s="400">
        <f t="shared" si="136"/>
        <v>10.840021618049235</v>
      </c>
      <c r="X377" s="157">
        <f t="shared" si="137"/>
        <v>46750</v>
      </c>
      <c r="Y377" s="383">
        <f t="shared" si="138"/>
        <v>10.522830089207417</v>
      </c>
      <c r="Z377" s="383">
        <f t="shared" si="139"/>
        <v>11.199957193066762</v>
      </c>
      <c r="AA377" s="384">
        <f t="shared" si="140"/>
        <v>11.952067606092037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6.2927222118616608E-2</v>
      </c>
      <c r="AD377" s="230">
        <f>(INDEX(Models!$BJ377:$BT377,,AH377)*(1-AF377)+INDEX(Models!$BJ377:$BT377,,AH377+1)*AF377-ERP_i)*AE377*Ramure*Pc/MaxiM</f>
        <v>2.7735806518349726E-3</v>
      </c>
      <c r="AE377" s="304">
        <f t="shared" si="142"/>
        <v>0.6</v>
      </c>
      <c r="AF377" s="177">
        <f t="shared" si="143"/>
        <v>0.99911183997554209</v>
      </c>
      <c r="AG377" s="799">
        <f t="shared" si="149"/>
        <v>2</v>
      </c>
      <c r="AH377" s="176">
        <f t="shared" si="144"/>
        <v>8</v>
      </c>
      <c r="AI377" s="224">
        <f t="shared" si="145"/>
        <v>2.9991118399755421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46751</v>
      </c>
      <c r="B378" s="409">
        <f>IF(t&gt;Tmaj,'2026'!Wh/'2026'!Env_an*'2027'!Env_an,0.001*'[14]mon-tableau (2)'!$B$271)</f>
        <v>14.062300151260374</v>
      </c>
      <c r="C378" s="829"/>
      <c r="D378" s="391">
        <f t="shared" si="127"/>
        <v>14.967473279521398</v>
      </c>
      <c r="E378" s="383">
        <f t="shared" si="150"/>
        <v>15.513521037635599</v>
      </c>
      <c r="F378" s="383">
        <f t="shared" si="128"/>
        <v>15.515037419580452</v>
      </c>
      <c r="G378" s="110">
        <f t="shared" si="151"/>
        <v>0.5478503340333275</v>
      </c>
      <c r="H378" s="412" t="b">
        <f>Wh_hp&gt;='2026'!Maxi_hp</f>
        <v>0</v>
      </c>
      <c r="I378" s="388">
        <f>IF(H378,Wh_hp,'2026'!Maxi_hp)</f>
        <v>29.01951581106924</v>
      </c>
      <c r="J378" s="85">
        <f>IF(H378,An,'2026'!An_max)</f>
        <v>2018</v>
      </c>
      <c r="K378" s="197">
        <f t="shared" si="129"/>
        <v>46751</v>
      </c>
      <c r="L378" s="147">
        <f>IF(t&lt;Tvie,1-EXP((T0-t)*PertePVj)+'2026'!Pspv,1-EXP((T0-t)*PertePVj)+Pspv)</f>
        <v>6.0476014311613202E-2</v>
      </c>
      <c r="M378" s="832"/>
      <c r="N378" s="832"/>
      <c r="O378" s="48">
        <f>IF(t&lt;Tnet,'2026'!Resal+('2026'!Salim-'2026'!Resal)*(1-EXP(('2026'!Tnet-t)/('2026'!Tau_j))),Resal+(Salim-Resal)*(1-EXP((Tnet-t)/(Tau_j))))*Salcycl</f>
        <v>3.5198183364659512E-2</v>
      </c>
      <c r="P378" s="169">
        <f>(INDEX(Models!$BJ378:$BT378,,T378)*(1-R378)+INDEX(Models!$BJ378:$BT378,,T378+1)*R378-ERP_i)*Q378*Ramure*Pc/MaxiM</f>
        <v>2.7592638969767952E-4</v>
      </c>
      <c r="Q378" s="304">
        <f t="shared" si="130"/>
        <v>0.6</v>
      </c>
      <c r="R378" s="177">
        <f t="shared" si="131"/>
        <v>0.47412427360156362</v>
      </c>
      <c r="S378" s="799">
        <f t="shared" si="132"/>
        <v>-1</v>
      </c>
      <c r="T378" s="176">
        <f t="shared" si="133"/>
        <v>5</v>
      </c>
      <c r="U378" s="250">
        <f t="shared" si="134"/>
        <v>-0.52587572639843638</v>
      </c>
      <c r="V378" s="382">
        <f t="shared" si="135"/>
        <v>25.663567711876389</v>
      </c>
      <c r="W378" s="400">
        <f t="shared" si="136"/>
        <v>14.062300151260374</v>
      </c>
      <c r="X378" s="157">
        <f t="shared" si="137"/>
        <v>46751</v>
      </c>
      <c r="Y378" s="383">
        <f t="shared" si="138"/>
        <v>13.645335380173478</v>
      </c>
      <c r="Z378" s="383">
        <f t="shared" si="139"/>
        <v>14.523668994118948</v>
      </c>
      <c r="AA378" s="384">
        <f t="shared" si="140"/>
        <v>15.499941763243626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6.2985576593571374E-2</v>
      </c>
      <c r="AD378" s="230">
        <f>(INDEX(Models!$BJ378:$BT378,,AH378)*(1-AF378)+INDEX(Models!$BJ378:$BT378,,AH378+1)*AF378-ERP_i)*AE378*Ramure*Pc/MaxiM</f>
        <v>2.7468606885462325E-3</v>
      </c>
      <c r="AE378" s="304">
        <f t="shared" si="142"/>
        <v>0.6</v>
      </c>
      <c r="AF378" s="177">
        <f t="shared" si="143"/>
        <v>0.99911183997554209</v>
      </c>
      <c r="AG378" s="799">
        <f t="shared" si="149"/>
        <v>2</v>
      </c>
      <c r="AH378" s="176">
        <f t="shared" si="144"/>
        <v>8</v>
      </c>
      <c r="AI378" s="224">
        <f t="shared" si="145"/>
        <v>2.9991118399755421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46752</v>
      </c>
      <c r="B379" s="409">
        <f>IF(t&gt;Tmaj,'2026'!Wh/'2026'!Env_an*'2027'!Env_an,0.001*'[14]mon-tableau (2)'!$B$272)</f>
        <v>13.169929064155497</v>
      </c>
      <c r="C379" s="829"/>
      <c r="D379" s="391">
        <f t="shared" si="127"/>
        <v>14.017930003169599</v>
      </c>
      <c r="E379" s="383">
        <f t="shared" si="150"/>
        <v>14.530713353752933</v>
      </c>
      <c r="F379" s="383">
        <f t="shared" si="128"/>
        <v>14.531875968727231</v>
      </c>
      <c r="G379" s="110">
        <f t="shared" si="151"/>
        <v>0.51080086088271326</v>
      </c>
      <c r="H379" s="412" t="b">
        <f>Wh_hp&gt;='2026'!Maxi_hp</f>
        <v>0</v>
      </c>
      <c r="I379" s="388">
        <f>IF(H379,Wh_hp,'2026'!Maxi_hp)</f>
        <v>28.959989458050305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6.0494020074459032E-2</v>
      </c>
      <c r="M379" s="832"/>
      <c r="N379" s="832"/>
      <c r="O379" s="48">
        <f>IF(t&lt;Tnet,'2026'!Resal+('2026'!Salim-'2026'!Resal)*(1-EXP(('2026'!Tnet-t)/('2026'!Tau_j))),Resal+(Salim-Resal)*(1-EXP((Tnet-t)/(Tau_j))))*Salcycl</f>
        <v>3.5289619862392631E-2</v>
      </c>
      <c r="P379" s="169">
        <f>(INDEX(Models!$BJ379:$BT379,,T379)*(1-R379)+INDEX(Models!$BJ379:$BT379,,T379+1)*R379-ERP_i)*Q379*Ramure*Pc/MaxiM</f>
        <v>2.6554897076929004E-4</v>
      </c>
      <c r="Q379" s="305">
        <f t="shared" si="130"/>
        <v>0.6</v>
      </c>
      <c r="R379" s="177">
        <f t="shared" si="131"/>
        <v>0.47412427360156362</v>
      </c>
      <c r="S379" s="799">
        <f t="shared" si="132"/>
        <v>-1</v>
      </c>
      <c r="T379" s="176">
        <f t="shared" si="133"/>
        <v>5</v>
      </c>
      <c r="U379" s="306">
        <f t="shared" si="134"/>
        <v>-0.52587572639843638</v>
      </c>
      <c r="V379" s="382">
        <f t="shared" si="135"/>
        <v>25.778118771995107</v>
      </c>
      <c r="W379" s="400">
        <f t="shared" si="136"/>
        <v>13.169929064155497</v>
      </c>
      <c r="X379" s="157">
        <f t="shared" si="137"/>
        <v>46752</v>
      </c>
      <c r="Y379" s="383">
        <f t="shared" si="138"/>
        <v>12.781584462016031</v>
      </c>
      <c r="Z379" s="383">
        <f t="shared" si="139"/>
        <v>13.604580210366532</v>
      </c>
      <c r="AA379" s="384">
        <f t="shared" si="140"/>
        <v>14.519978504105383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6.3044052956416657E-2</v>
      </c>
      <c r="AD379" s="230">
        <f>(INDEX(Models!$BJ379:$BT379,,AH379)*(1-AF379)+INDEX(Models!$BJ379:$BT379,,AH379+1)*AF379-ERP_i)*AE379*Ramure*Pc/MaxiM</f>
        <v>2.7174598254289732E-3</v>
      </c>
      <c r="AE379" s="305">
        <f t="shared" si="142"/>
        <v>0.6</v>
      </c>
      <c r="AF379" s="177">
        <f t="shared" si="143"/>
        <v>0.99911183997554209</v>
      </c>
      <c r="AG379" s="799">
        <f t="shared" si="149"/>
        <v>2</v>
      </c>
      <c r="AH379" s="176">
        <f t="shared" si="144"/>
        <v>8</v>
      </c>
      <c r="AI379" s="221">
        <f t="shared" si="145"/>
        <v>2.9991118399755421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Wh_hp&gt;='2026'!Maxi_hp</f>
        <v>0</v>
      </c>
      <c r="I380" s="388">
        <f>IF(H380,Wh_hp,'2026'!Maxi_hp)</f>
        <v>18.799311780498957</v>
      </c>
      <c r="J380" s="85">
        <f>IF(H380,An,'2026'!An_max)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82">
        <f t="shared" ref="V380" si="152">MaxiM*(1-Ppv)*(1-Pvg)*(1-Psa)</f>
        <v>28.589092873434225</v>
      </c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1.5349268666582776</v>
      </c>
      <c r="C381" s="374"/>
      <c r="D381" s="372">
        <f>MIN(D15:D380)</f>
        <v>1.6224331263534402</v>
      </c>
      <c r="E381" s="372">
        <f>MIN(E15:E380)</f>
        <v>1.6821013625533678</v>
      </c>
      <c r="F381" s="373">
        <f>MIN(F15:F380)</f>
        <v>1.6821013625533678</v>
      </c>
      <c r="G381" s="125">
        <f>+MIN(G15:G380)</f>
        <v>5.8529634216744605E-2</v>
      </c>
      <c r="H381" s="94"/>
      <c r="I381" s="373">
        <f>MIN(I15:I380)</f>
        <v>10.012976509324043</v>
      </c>
      <c r="J381" s="57">
        <f>MIN(J15:J380)</f>
        <v>2018</v>
      </c>
      <c r="K381" s="200" t="s">
        <v>7</v>
      </c>
      <c r="L381" s="146">
        <f t="shared" ref="L381:T381" si="153">MIN(L15:L380)</f>
        <v>5.3917071333951405E-2</v>
      </c>
      <c r="M381" s="833"/>
      <c r="N381" s="833"/>
      <c r="O381" s="47">
        <f t="shared" si="153"/>
        <v>9.099574010168537E-3</v>
      </c>
      <c r="P381" s="168">
        <f t="shared" si="153"/>
        <v>-2.0037036623249356E-20</v>
      </c>
      <c r="Q381" s="309">
        <f t="shared" si="153"/>
        <v>0.6</v>
      </c>
      <c r="R381" s="310">
        <f t="shared" si="153"/>
        <v>1.325193483608933E-4</v>
      </c>
      <c r="S381" s="799">
        <f t="shared" si="153"/>
        <v>-2</v>
      </c>
      <c r="T381" s="176">
        <f t="shared" si="153"/>
        <v>4</v>
      </c>
      <c r="U381" s="251">
        <f>MIN(U15:U380)</f>
        <v>-1.0258744533622655</v>
      </c>
      <c r="V381" s="57">
        <f>MIN(V15:V380)</f>
        <v>25.083929165888787</v>
      </c>
      <c r="W381" s="58"/>
      <c r="X381" s="112" t="s">
        <v>7</v>
      </c>
      <c r="Y381" s="372">
        <f>MIN(Y15:Y380)</f>
        <v>1.4908634625313386</v>
      </c>
      <c r="Z381" s="372">
        <f>MIN(Z15:Z380)</f>
        <v>1.5758576652885836</v>
      </c>
      <c r="AA381" s="372">
        <f>MIN(AA15:AA380)</f>
        <v>1.6821013625533678</v>
      </c>
      <c r="AB381" s="200" t="s">
        <v>7</v>
      </c>
      <c r="AC381" s="47">
        <f t="shared" ref="AC381:AH381" si="154">MIN(AC15:AC380)</f>
        <v>4.6193912119919384E-2</v>
      </c>
      <c r="AD381" s="168">
        <f t="shared" si="154"/>
        <v>-1.8929411117052292E-20</v>
      </c>
      <c r="AE381" s="309">
        <f t="shared" si="154"/>
        <v>0.6</v>
      </c>
      <c r="AF381" s="310">
        <f t="shared" si="154"/>
        <v>0.49911311301171324</v>
      </c>
      <c r="AG381" s="799">
        <f t="shared" si="154"/>
        <v>2</v>
      </c>
      <c r="AH381" s="176">
        <f t="shared" si="154"/>
        <v>8</v>
      </c>
      <c r="AI381" s="225">
        <f>MIN(AI15:AI380)</f>
        <v>2.4991131130117132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30.93614316237019</v>
      </c>
      <c r="C382" s="374"/>
      <c r="D382" s="374">
        <f>AVERAGE(D15:D380)</f>
        <v>32.812192208917999</v>
      </c>
      <c r="E382" s="374">
        <f>AVERAGE(E15:E380)</f>
        <v>33.696527572834043</v>
      </c>
      <c r="F382" s="375">
        <f>AVERAGE(F15:F380)</f>
        <v>33.696853018888469</v>
      </c>
      <c r="G382" s="126">
        <f>AVERAGE(G15:G380)</f>
        <v>0.66670382016712115</v>
      </c>
      <c r="H382" s="94"/>
      <c r="I382" s="375">
        <f>AVERAGE(I15:I380)</f>
        <v>44.754510350737782</v>
      </c>
      <c r="J382" s="59">
        <f>AVERAGE(J15:J380)</f>
        <v>2021.7377049180327</v>
      </c>
      <c r="K382" s="200" t="s">
        <v>8</v>
      </c>
      <c r="L382" s="147">
        <f t="shared" ref="L382:V382" si="155">AVERAGE(L15:L380)</f>
        <v>5.7209358620745186E-2</v>
      </c>
      <c r="M382" s="832"/>
      <c r="N382" s="832"/>
      <c r="O382" s="48">
        <f t="shared" si="155"/>
        <v>2.9034363050070254E-2</v>
      </c>
      <c r="P382" s="169">
        <f t="shared" si="155"/>
        <v>3.501350258597735E-5</v>
      </c>
      <c r="Q382" s="311">
        <f t="shared" si="155"/>
        <v>0.59999999999999631</v>
      </c>
      <c r="R382" s="177">
        <f t="shared" si="155"/>
        <v>0.50058448610263195</v>
      </c>
      <c r="S382" s="799">
        <f t="shared" si="155"/>
        <v>-1.2465753424657535</v>
      </c>
      <c r="T382" s="176">
        <f t="shared" si="155"/>
        <v>4.7534246575342465</v>
      </c>
      <c r="U382" s="250">
        <f>AVERAGE(U15:U380)</f>
        <v>-0.74599085636312246</v>
      </c>
      <c r="V382" s="59">
        <f t="shared" si="155"/>
        <v>44.697435247404506</v>
      </c>
      <c r="X382" s="112" t="s">
        <v>8</v>
      </c>
      <c r="Y382" s="374">
        <f>AVERAGE(Y15:Y380)</f>
        <v>29.9189792315779</v>
      </c>
      <c r="Z382" s="374">
        <f>AVERAGE(Z15:Z380)</f>
        <v>31.733269803730906</v>
      </c>
      <c r="AA382" s="374">
        <f>AVERAGE(AA15:AA380)</f>
        <v>33.692902009237827</v>
      </c>
      <c r="AB382" s="200" t="s">
        <v>8</v>
      </c>
      <c r="AC382" s="48">
        <f t="shared" ref="AC382:AH382" si="156">AVERAGE(AC15:AC380)</f>
        <v>5.9768804432730291E-2</v>
      </c>
      <c r="AD382" s="169">
        <f t="shared" si="156"/>
        <v>4.5955850280842526E-4</v>
      </c>
      <c r="AE382" s="311">
        <f t="shared" si="156"/>
        <v>0.59999999999999631</v>
      </c>
      <c r="AF382" s="177">
        <f t="shared" si="156"/>
        <v>0.77899671001085768</v>
      </c>
      <c r="AG382" s="799">
        <f t="shared" si="156"/>
        <v>2</v>
      </c>
      <c r="AH382" s="176">
        <f t="shared" si="156"/>
        <v>8</v>
      </c>
      <c r="AI382" s="224">
        <f>AVERAGE(AI15:AI380)</f>
        <v>2.7789967100108552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59.713117936292839</v>
      </c>
      <c r="C383" s="376"/>
      <c r="D383" s="376">
        <f>MAX(D15:D380)</f>
        <v>63.295433879142507</v>
      </c>
      <c r="E383" s="376">
        <f>MAX(E15:E380)</f>
        <v>64.121433060958893</v>
      </c>
      <c r="F383" s="377">
        <f>MAX(F15:F380)</f>
        <v>64.121433060958893</v>
      </c>
      <c r="G383" s="127">
        <f>+MAX(G15:G380)</f>
        <v>1.0478798370423081</v>
      </c>
      <c r="H383" s="94"/>
      <c r="I383" s="377">
        <f>MAX(I15:I380)</f>
        <v>65.55404847482302</v>
      </c>
      <c r="J383" s="60">
        <f>MAX(J15:J380)</f>
        <v>2027</v>
      </c>
      <c r="K383" s="200" t="s">
        <v>9</v>
      </c>
      <c r="L383" s="148">
        <f t="shared" ref="L383:T383" si="157">MAX(L15:L380)</f>
        <v>6.0494020074459032E-2</v>
      </c>
      <c r="M383" s="834"/>
      <c r="N383" s="834"/>
      <c r="O383" s="49">
        <f t="shared" si="157"/>
        <v>4.6088880511343445E-2</v>
      </c>
      <c r="P383" s="170">
        <f t="shared" si="157"/>
        <v>3.2886809762462091E-4</v>
      </c>
      <c r="Q383" s="312">
        <f t="shared" si="157"/>
        <v>0.6</v>
      </c>
      <c r="R383" s="313">
        <f t="shared" si="157"/>
        <v>0.99911246027907574</v>
      </c>
      <c r="S383" s="800">
        <f t="shared" si="157"/>
        <v>-1</v>
      </c>
      <c r="T383" s="232">
        <f t="shared" si="157"/>
        <v>5</v>
      </c>
      <c r="U383" s="252">
        <f>MAX(U15:U380)</f>
        <v>-0.52587572639843638</v>
      </c>
      <c r="V383" s="60">
        <f>MAX(V15:V380)</f>
        <v>58.888475321202542</v>
      </c>
      <c r="X383" s="112" t="s">
        <v>9</v>
      </c>
      <c r="Y383" s="376">
        <f>MAX(Y15:Y380)</f>
        <v>57.501490997746188</v>
      </c>
      <c r="Z383" s="376">
        <f>MAX(Z15:Z380)</f>
        <v>60.951126773902097</v>
      </c>
      <c r="AA383" s="376">
        <f>MAX(AA15:AA380)</f>
        <v>64.121433060958893</v>
      </c>
      <c r="AB383" s="200" t="s">
        <v>9</v>
      </c>
      <c r="AC383" s="49">
        <f t="shared" ref="AC383:AH383" si="158">MAX(AC15:AC380)</f>
        <v>7.0558662174533243E-2</v>
      </c>
      <c r="AD383" s="170">
        <f t="shared" si="158"/>
        <v>2.9014960937330872E-3</v>
      </c>
      <c r="AE383" s="312">
        <f t="shared" si="158"/>
        <v>0.6</v>
      </c>
      <c r="AF383" s="313">
        <f t="shared" si="158"/>
        <v>0.99911183997554209</v>
      </c>
      <c r="AG383" s="800">
        <f t="shared" si="158"/>
        <v>2</v>
      </c>
      <c r="AH383" s="232">
        <f t="shared" si="158"/>
        <v>8</v>
      </c>
      <c r="AI383" s="226">
        <f>MAX(AI15:AI380)</f>
        <v>2.9991118399755421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A380" sqref="A380:G380"/>
      <selection pane="topRight" activeCell="A380" sqref="A380:G380"/>
      <selection pane="bottomLeft" activeCell="A380" sqref="A380:G380"/>
      <selection pane="bottomRight" activeCell="B14" sqref="B14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7">
        <f>'2027'!An+1</f>
        <v>2028</v>
      </c>
      <c r="K1" s="1278"/>
      <c r="L1" s="113" t="str">
        <f>"Calcul pertes et enveloppes en "&amp;TEXT(An,0)</f>
        <v>Calcul pertes et enveloppes en 2028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2028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7">
        <f>Tmaj</f>
        <v>44947</v>
      </c>
      <c r="F3" s="1287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76.829374797875005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0" t="str">
        <f>Station</f>
        <v>Esp. Berjean Escalquens</v>
      </c>
      <c r="F4" s="1221"/>
      <c r="G4" s="1221"/>
      <c r="H4" s="1221"/>
      <c r="I4" s="1222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291.46617930759135</v>
      </c>
      <c r="AK4" s="822">
        <f>AM12-AK12</f>
        <v>1.4205745208384171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88">
        <f>T0</f>
        <v>43496</v>
      </c>
      <c r="F5" s="1288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368.34787273155916</v>
      </c>
      <c r="AA5" s="236">
        <f>Wh_Pvg_s-Wh_Pvg</f>
        <v>1.4205745208384171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2870.5339440535586</v>
      </c>
      <c r="AK5" s="514">
        <f>SUMIF(AK15:AK380,"VRAI",Wh)</f>
        <v>0</v>
      </c>
      <c r="AL5" s="514">
        <f>SUMIF(AJ15:AJ380,"VRAI",Wh_s)</f>
        <v>2793.3200779134704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89">
        <f>Tservice</f>
        <v>43535</v>
      </c>
      <c r="F6" s="1289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8358.5579691624862</v>
      </c>
      <c r="AK6" s="514">
        <f>SUMIF(AK15:AK380,"FAUX",Wh)</f>
        <v>11229.091913216043</v>
      </c>
      <c r="AL6" s="514">
        <f>SUMIF(AJ15:AJ380,"FAUX",Wh_s)</f>
        <v>8065.9373317467089</v>
      </c>
      <c r="AM6" s="514">
        <f>SUMIF(AK15:AK380,"FAUX",Wh_s)</f>
        <v>10859.257409660186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AND(YEAR(Tnet)=An,Resal_2028="I")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3059.5010891165325</v>
      </c>
      <c r="AK7" s="514">
        <f>SUMIF(AK15:AK380,"VRAI",Wh_sa)</f>
        <v>0</v>
      </c>
      <c r="AL7" s="514">
        <f>SUMIF(AJ15:AJ380,"VRAI",Wh_pvt_s)</f>
        <v>2977.2062168681937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AND(YEAR(Tnet)=An,Resal_2028&lt;&gt;"I")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5" t="s">
        <v>102</v>
      </c>
      <c r="Y8" s="1276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8934.2245623388426</v>
      </c>
      <c r="AK8" s="514">
        <f>SUMIF(AK15:AK380,"FAUX",Wh_sa)</f>
        <v>12317.870268687328</v>
      </c>
      <c r="AL8" s="514">
        <f>SUMIF(AJ15:AJ380,"FAUX",Wh_pvt_s)</f>
        <v>8621.4725885012958</v>
      </c>
      <c r="AM8" s="514">
        <f>SUMIF(AK15:AK380,"FAUX",Wh_sa_s)</f>
        <v>12316.251790025124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11993.725651455376</v>
      </c>
      <c r="E9" s="184">
        <f>SUM(E$15:E$380)</f>
        <v>12317.870268687328</v>
      </c>
      <c r="F9" s="184">
        <f>SUM(F$15:F$380)</f>
        <v>12318.085609976701</v>
      </c>
      <c r="H9" s="1279">
        <f>+SUM(Wh)</f>
        <v>11229.091913216043</v>
      </c>
      <c r="I9" s="1280"/>
      <c r="J9" s="1281"/>
      <c r="K9" s="191"/>
      <c r="L9" s="231"/>
      <c r="M9" s="231"/>
      <c r="N9" s="231"/>
      <c r="O9" s="222">
        <f>Tnet_2028</f>
        <v>46873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3">
        <f>+SUM(Wh_s)</f>
        <v>10859.257409660186</v>
      </c>
      <c r="Y9" s="1274"/>
      <c r="Z9" s="514">
        <f>SUM(Z$15:Z$380)</f>
        <v>11598.678805369482</v>
      </c>
      <c r="AA9" s="514">
        <f>SUM(AA$15:AA$380)</f>
        <v>12316.251790025124</v>
      </c>
      <c r="AB9" s="514">
        <f>F9</f>
        <v>12318.085609976701</v>
      </c>
      <c r="AC9" s="324">
        <f>IF(An_Tnet,Tnet,'2027'!Tnet_s)</f>
        <v>46873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3192.3841784178849</v>
      </c>
      <c r="AK9" s="514">
        <f>SUMIF(AK15:AK380,"VRAI",Wh_hp)</f>
        <v>0</v>
      </c>
      <c r="AL9" s="514">
        <f>SUMIF(AJ15:AJ380,"VRAI",Wh_sa_s)</f>
        <v>3191.9764987397898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IF(Inflex,'2027'!Resal+('2027'!Salim-'2027'!Resal)*(1-EXP(-(Tnet-'2027'!Tnet)/('2027'!Tau_j))),IF(An_Tnet,Resal_2028,'2027'!Resal))</f>
        <v>8.9999999999999993E-3</v>
      </c>
      <c r="P10" s="419" t="b">
        <f>NOT(Acti_tai)</f>
        <v>1</v>
      </c>
      <c r="Q10" s="256">
        <f>IF(Acti_tai,'2027'!PousD,Dens-Dd)</f>
        <v>0</v>
      </c>
      <c r="R10" s="273"/>
      <c r="S10" s="274"/>
      <c r="T10" s="275"/>
      <c r="U10" s="265">
        <f>IF(Acti_tai,'2027'!PousH,Hdtf-Hdd)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IF(OR(Inflex,GainD),'2027'!Resal_s+('2027'!Salim-'2027'!Resal_s)*(1-EXP(('2027'!Tnet_s-Tnet)/('2027'!Tau_j))),IF(Acti_net,'2027'!Resal+('2027'!Salim-'2027'!Resal)*(1-EXP(('2027'!Tnet-Tnet)/'2027'!Tau_j)),'2027'!Resal_s))</f>
        <v>4.57694046414572E-2</v>
      </c>
      <c r="AD10" s="426"/>
      <c r="AE10" s="426"/>
      <c r="AF10" s="259"/>
      <c r="AG10" s="260"/>
      <c r="AH10" s="261"/>
      <c r="AI10" s="471"/>
      <c r="AJ10" s="514">
        <f>SUMIF(AJ15:AJ380,"FAUX",Wh_sa)</f>
        <v>9125.4860902694418</v>
      </c>
      <c r="AK10" s="514">
        <f>SUMIF(AK15:AK380,"FAUX",Wh_hp)</f>
        <v>12318.085609976701</v>
      </c>
      <c r="AL10" s="514">
        <f>SUMIF(AJ15:AJ380,"FAUX",Wh_sa_s)</f>
        <v>9124.2752912853321</v>
      </c>
      <c r="AM10" s="514">
        <f>SUMIF(AK15:AK380,"FAUX",Wh_hp)</f>
        <v>12318.085609976701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764.63373823933216</v>
      </c>
      <c r="E11" s="51">
        <f>(E$9-D$9)*Prod_an/D$9</f>
        <v>303.47948634544139</v>
      </c>
      <c r="F11" s="186">
        <f>(F$9-E$9)*Prod_an/E$9</f>
        <v>0.19630724129542906</v>
      </c>
      <c r="G11" s="185" t="s">
        <v>6</v>
      </c>
      <c r="K11" s="194"/>
      <c r="L11" s="211">
        <f>Tvie_2028</f>
        <v>43496</v>
      </c>
      <c r="M11" s="831"/>
      <c r="N11" s="831"/>
      <c r="O11" s="202">
        <f>IF(An_Tnet,Salim_2028,'2027'!Salim)</f>
        <v>0.11666666666666665</v>
      </c>
      <c r="P11" s="255">
        <f>Ttai_2028</f>
        <v>46112</v>
      </c>
      <c r="Q11" s="271">
        <f>Dens_2028</f>
        <v>0.6</v>
      </c>
      <c r="R11" s="276"/>
      <c r="S11" s="229"/>
      <c r="T11" s="229"/>
      <c r="U11" s="265">
        <f>Htf_2028</f>
        <v>-2.5875726398436383E-2</v>
      </c>
      <c r="V11" s="426"/>
      <c r="W11" s="517"/>
      <c r="X11" s="524" t="s">
        <v>43</v>
      </c>
      <c r="Y11" s="50">
        <f>Z$9-Prod_an_s</f>
        <v>739.42139570929612</v>
      </c>
      <c r="Z11" s="51">
        <f>(AA$9-Z$9)*Prod_an_s/Z$9</f>
        <v>671.82735907700055</v>
      </c>
      <c r="AA11" s="186">
        <f>(AB$9-AA$9)*Prod_an_s/AA$9</f>
        <v>1.616881762133846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124.6756929707056</v>
      </c>
      <c r="AK11" s="822">
        <f>IF($AK7=0,0,($AK9-$AK7)*$AK5/$AK7)</f>
        <v>0</v>
      </c>
      <c r="AL11" s="821">
        <f>IF($AL7=0,0,($AL9-$AL7)*$AL5/$AL7)</f>
        <v>201.5050677685806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4.787983704230836E-2</v>
      </c>
      <c r="K12" s="191"/>
      <c r="L12" s="212">
        <f>Pspv_2028</f>
        <v>0</v>
      </c>
      <c r="M12" s="212"/>
      <c r="N12" s="212"/>
      <c r="O12" s="205">
        <f>IF(An_Tnet,Tau_2028*365,'2027'!Tau_j)</f>
        <v>876</v>
      </c>
      <c r="P12" s="280">
        <f>INDEX(Croivg,MIN(MAX(Ttai-$A$15,0)+1,366))</f>
        <v>2.3909964587625958E-6</v>
      </c>
      <c r="Q12" s="279">
        <f>'2027'!Df</f>
        <v>0.6</v>
      </c>
      <c r="R12" s="277"/>
      <c r="S12" s="278"/>
      <c r="T12" s="278"/>
      <c r="U12" s="266">
        <f>'2027'!Hdf</f>
        <v>-0.52587572639843638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'2027'!Df_s</f>
        <v>0.6</v>
      </c>
      <c r="AF12" s="203"/>
      <c r="AG12" s="203"/>
      <c r="AH12" s="203"/>
      <c r="AI12" s="296">
        <f>'2027'!Hdf_s</f>
        <v>2.9991118399755421</v>
      </c>
      <c r="AJ12" s="821">
        <f>IF($AJ8=0,0,($AJ10-$AJ8)*$AJ6/$AJ8)</f>
        <v>178.93780902010323</v>
      </c>
      <c r="AK12" s="822">
        <f>IF($AK8=0,0,($AK10-$AK8)*$AK6/$AK8)</f>
        <v>0.19630724129542906</v>
      </c>
      <c r="AL12" s="821">
        <f>IF($AL8=0,0,($AL10-$AL8)*$AL6/$AL8)</f>
        <v>470.40398832769461</v>
      </c>
      <c r="AM12" s="822">
        <f>IF($AM8=0,0,($AM10-$AM8)*$AM6/$AM8)</f>
        <v>1.616881762133846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200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303.6135019908088</v>
      </c>
      <c r="AK13" s="73">
        <f>+AK11+AK12</f>
        <v>0.19630724129542906</v>
      </c>
      <c r="AL13" s="73">
        <f>+AL11+AL12</f>
        <v>671.90905609627521</v>
      </c>
      <c r="AM13" s="73">
        <f>+AM11+AM12</f>
        <v>1.616881762133846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414" t="s">
        <v>365</v>
      </c>
      <c r="C14" s="414"/>
      <c r="D14" s="53" t="s">
        <v>30</v>
      </c>
      <c r="E14" s="162" t="s">
        <v>29</v>
      </c>
      <c r="F14" s="162" t="str">
        <f>"Hors pertes "&amp; TEXT(An,0)</f>
        <v>Hors pertes 2028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199</v>
      </c>
      <c r="V14" s="45" t="str">
        <f>"Enveloppe "&amp; TEXT(An,0)</f>
        <v>Enveloppe 2028</v>
      </c>
      <c r="W14" s="826" t="s">
        <v>116</v>
      </c>
      <c r="X14" s="257" t="s">
        <v>2</v>
      </c>
      <c r="Y14" s="107" t="str">
        <f>"Wh / Jour "&amp; TEXT(An,0)</f>
        <v>Wh / Jour 2028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129">
        <f>DATE(An,1,1)</f>
        <v>46753</v>
      </c>
      <c r="B15" s="408">
        <f>IF(t&gt;Tmaj,'2027'!Wh/'2027'!Env_an*'2028'!Env_an,0.001*'[3]mon-tableau (2)'!$B$242)</f>
        <v>9.5178584128595674</v>
      </c>
      <c r="C15" s="829"/>
      <c r="D15" s="391">
        <f t="shared" ref="D15:D78" si="0">Wh/(1-Ppv)</f>
        <v>10.130899672075405</v>
      </c>
      <c r="E15" s="398">
        <f t="shared" ref="E15:E79" si="1">Wh_pvt/(1-Psa)</f>
        <v>10.502488656497343</v>
      </c>
      <c r="F15" s="398">
        <f t="shared" ref="F15:F78" si="2">Wh_sa/(1-Pvg*MEDIAN((-Sdif+Wh/Env_an)/Csdif,0,1))</f>
        <v>10.502746282349683</v>
      </c>
      <c r="G15" s="123">
        <f>+Wh_hp/MaxiM</f>
        <v>0.36736899377320587</v>
      </c>
      <c r="H15" s="412" t="b">
        <f>Wh_hp&gt;='2027'!Maxi_hp</f>
        <v>0</v>
      </c>
      <c r="I15" s="394">
        <f>IF(H15,Wh_hp,'2027'!Maxi_hp)</f>
        <v>28.767141164856003</v>
      </c>
      <c r="J15" s="84">
        <f>IF(H15,An,'2027'!An_max)</f>
        <v>2022</v>
      </c>
      <c r="K15" s="197">
        <f t="shared" ref="K15:K78" si="3">t</f>
        <v>46753</v>
      </c>
      <c r="L15" s="146">
        <f>IF(t&lt;Tvie,1-EXP((T0-t)*PertePVj)+'2027'!Pspv,1-EXP((T0-t)*PertePVj)+Pspv)</f>
        <v>6.0512025492228561E-2</v>
      </c>
      <c r="M15" s="832"/>
      <c r="N15" s="832"/>
      <c r="O15" s="48">
        <f>IF(t&lt;Tnet,'2027'!Resal+('2027'!Salim-'2027'!Resal)*(1-EXP(('2027'!Tnet-t)/('2027'!Tau_j))),Resal+(Salim-Resal)*(1-EXP((Tnet-t)/(Tau_j))))*Salcycl</f>
        <v>3.5381041253689453E-2</v>
      </c>
      <c r="P15" s="301">
        <f>(INDEX(Models!$BJ15:$BT15,,T15)*(1-R15)+INDEX(Models!$BJ15:$BT15,,T15+1)*R15-ERP_i)*Q15*Ramure*Pc/MaxiM</f>
        <v>2.5455404029746891E-4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0.47412546909979303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50">
        <f t="shared" ref="U15:U78" si="8">IF(OR(t&lt;Ttai,Notai),Hdd+PousH*Croivg,Hdtf+PousH*(Croivg-Croi_tai))</f>
        <v>-0.52587453090020697</v>
      </c>
      <c r="V15" s="381">
        <f t="shared" ref="V15:V78" si="9">MaxiM*(1-Ppv)*(1-Pvg)*(1-Psa)</f>
        <v>25.902210524819868</v>
      </c>
      <c r="W15" s="400">
        <f t="shared" ref="W15:W78" si="10">Wh*(A15&gt;Tmaj)</f>
        <v>9.5178584128595674</v>
      </c>
      <c r="X15" s="156">
        <f t="shared" ref="X15:X78" si="11">t</f>
        <v>46753</v>
      </c>
      <c r="Y15" s="383">
        <f t="shared" ref="Y15:Y78" si="12">Wh_pvt_s*(1-Ppv)</f>
        <v>9.2421650452036594</v>
      </c>
      <c r="Z15" s="383">
        <f>Wh_sa_s*(1-Psa_s)</f>
        <v>9.8374490105058907</v>
      </c>
      <c r="AA15" s="384">
        <f t="shared" ref="AA15:AA78" si="13">Wh_hp*(1-Pvg_s*MEDIAN((-Sdif+Wh/Env_an)/Csdif,0,1))</f>
        <v>10.500028432016084</v>
      </c>
      <c r="AB15" s="197">
        <f t="shared" ref="AB15:AB78" si="14">t</f>
        <v>46753</v>
      </c>
      <c r="AC15" s="119">
        <f>IF(OR(t&lt;Tnet,NoTnet),'2027'!Resal_s+('2027'!Salim-'2027'!Resal_s)*(1-EXP(('2027'!Tnet_s-t)/'2027'!Tau_j)),Resal_s+(Salim-Resal_s)*(1-EXP((Tnet_s-t)/Tau_j)))*Salcycl</f>
        <v>6.3102631178587401E-2</v>
      </c>
      <c r="AD15" s="230">
        <f>(INDEX(Models!$BJ15:$BT15,,AH15)*(1-AF15)+INDEX(Models!$BJ15:$BT15,,AH15+1)*AF15-ERP_i)*AE15*Ramure*Pc/MaxiM</f>
        <v>2.6854439376288713E-3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0.99911303547377139</v>
      </c>
      <c r="AG15" s="798">
        <f>INDEX(Echel_vg,AH15)</f>
        <v>2</v>
      </c>
      <c r="AH15" s="248">
        <f t="shared" ref="AH15:AH78" si="16">MIN(MATCH(Hp_vg_s,Echel_vg),10)</f>
        <v>8</v>
      </c>
      <c r="AI15" s="223">
        <f t="shared" ref="AI15:AI78" si="17">IF(OR(t&lt;Ttai,Notai),Hdd_s+PousH*Croivg,Hdtai_s+PousH*(Croivg-Croi_tai))</f>
        <v>2.9991130354737714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46754</v>
      </c>
      <c r="B16" s="409">
        <f>IF(t&gt;Tmaj,'2027'!Wh/'2027'!Env_an*'2028'!Env_an,0.001*'[3]mon-tableau (2)'!$B$243)</f>
        <v>1.5239871130875453</v>
      </c>
      <c r="C16" s="829"/>
      <c r="D16" s="391">
        <f t="shared" si="0"/>
        <v>1.6221775710446171</v>
      </c>
      <c r="E16" s="383">
        <f t="shared" si="1"/>
        <v>1.6818364086848869</v>
      </c>
      <c r="F16" s="383">
        <f t="shared" si="2"/>
        <v>1.6818364086848869</v>
      </c>
      <c r="G16" s="110">
        <f t="shared" ref="G16:G79" si="21">+Wh_hp/MaxiM</f>
        <v>5.8520415002402522E-2</v>
      </c>
      <c r="H16" s="412" t="b">
        <f>Wh_hp&gt;='2027'!Maxi_hp</f>
        <v>0</v>
      </c>
      <c r="I16" s="388">
        <f>IF(H16,Wh_hp,'2027'!Maxi_hp)</f>
        <v>27.700774451172606</v>
      </c>
      <c r="J16" s="85">
        <f>IF(H16,An,'2027'!An_max)</f>
        <v>2020</v>
      </c>
      <c r="K16" s="197">
        <f t="shared" si="3"/>
        <v>46754</v>
      </c>
      <c r="L16" s="147">
        <f>IF(t&lt;Tvie,1-EXP((T0-t)*PertePVj)+'2027'!Pspv,1-EXP((T0-t)*PertePVj)+Pspv)</f>
        <v>6.0530030564928339E-2</v>
      </c>
      <c r="M16" s="832"/>
      <c r="N16" s="832"/>
      <c r="O16" s="48">
        <f>IF(t&lt;Tnet,'2027'!Resal+('2027'!Salim-'2027'!Resal)*(1-EXP(('2027'!Tnet-t)/('2027'!Tau_j))),Resal+(Salim-Resal)*(1-EXP((Tnet-t)/(Tau_j))))*Salcycl</f>
        <v>3.5472437944734536E-2</v>
      </c>
      <c r="P16" s="169">
        <f>(INDEX(Models!$BJ16:$BT16,,T16)*(1-R16)+INDEX(Models!$BJ16:$BT16,,T16+1)*R16-ERP_i)*Q16*Ramure*Pc/MaxiM</f>
        <v>2.4369516203270343E-4</v>
      </c>
      <c r="Q16" s="304">
        <f t="shared" si="4"/>
        <v>0.6</v>
      </c>
      <c r="R16" s="177">
        <f t="shared" si="5"/>
        <v>0.47415468371378722</v>
      </c>
      <c r="S16" s="799">
        <f t="shared" si="6"/>
        <v>-1</v>
      </c>
      <c r="T16" s="176">
        <f t="shared" si="7"/>
        <v>5</v>
      </c>
      <c r="U16" s="250">
        <f t="shared" si="8"/>
        <v>-0.52584531628621278</v>
      </c>
      <c r="V16" s="382">
        <f t="shared" si="9"/>
        <v>26.035627476984473</v>
      </c>
      <c r="W16" s="400">
        <f t="shared" si="10"/>
        <v>1.5239871130875453</v>
      </c>
      <c r="X16" s="157">
        <f t="shared" si="11"/>
        <v>46754</v>
      </c>
      <c r="Y16" s="383">
        <f t="shared" si="12"/>
        <v>1.4802377583092152</v>
      </c>
      <c r="Z16" s="383">
        <f t="shared" ref="Z16:Z78" si="22">Wh_sa_s*(1-Psa_s)</f>
        <v>1.5756094462490606</v>
      </c>
      <c r="AA16" s="384">
        <f t="shared" si="13"/>
        <v>1.6818364086848869</v>
      </c>
      <c r="AB16" s="197">
        <f t="shared" si="14"/>
        <v>46754</v>
      </c>
      <c r="AC16" s="119">
        <f>IF(OR(t&lt;Tnet,NoTnet),'2027'!Resal_s+('2027'!Salim-'2027'!Resal_s)*(1-EXP(('2027'!Tnet_s-t)/'2027'!Tau_j)),Resal_s+(Salim-Resal_s)*(1-EXP((Tnet_s-t)/Tau_j)))*Salcycl</f>
        <v>6.3161293147940958E-2</v>
      </c>
      <c r="AD16" s="230">
        <f>(INDEX(Models!$BJ16:$BT16,,AH16)*(1-AF16)+INDEX(Models!$BJ16:$BT16,,AH16+1)*AF16-ERP_i)*AE16*Ramure*Pc/MaxiM</f>
        <v>2.6481701534273048E-3</v>
      </c>
      <c r="AE16" s="304">
        <f t="shared" si="15"/>
        <v>0.6</v>
      </c>
      <c r="AF16" s="177">
        <f t="shared" ref="AF16:AF78" si="23">(Hp_vg_s-AG16)/(INDEX(Echel_vg,AH16+1)-AG16)</f>
        <v>0.99914225008776558</v>
      </c>
      <c r="AG16" s="799">
        <f t="shared" ref="AG16:AG79" si="24">INDEX(Echel_vg,AH16)</f>
        <v>2</v>
      </c>
      <c r="AH16" s="176">
        <f t="shared" si="16"/>
        <v>8</v>
      </c>
      <c r="AI16" s="224">
        <f t="shared" si="17"/>
        <v>2.9991422500877656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46755</v>
      </c>
      <c r="B17" s="409">
        <f>IF(t&gt;Tmaj,'2027'!Wh/'2027'!Env_an*'2028'!Env_an,0.001*'[3]mon-tableau (2)'!$B$244)</f>
        <v>15.684677809483398</v>
      </c>
      <c r="C17" s="829"/>
      <c r="D17" s="391">
        <f t="shared" si="0"/>
        <v>16.695561240715417</v>
      </c>
      <c r="E17" s="383">
        <f t="shared" si="1"/>
        <v>17.311213809721913</v>
      </c>
      <c r="F17" s="383">
        <f t="shared" si="2"/>
        <v>17.312937522154058</v>
      </c>
      <c r="G17" s="110">
        <f t="shared" si="21"/>
        <v>0.59907101936565066</v>
      </c>
      <c r="H17" s="412" t="b">
        <f>Wh_hp&gt;='2027'!Maxi_hp</f>
        <v>0</v>
      </c>
      <c r="I17" s="388">
        <f>IF(H17,Wh_hp,'2027'!Maxi_hp)</f>
        <v>27.58667687662351</v>
      </c>
      <c r="J17" s="85">
        <f>IF(H17,An,'2027'!An_max)</f>
        <v>2021</v>
      </c>
      <c r="K17" s="197">
        <f t="shared" si="3"/>
        <v>46755</v>
      </c>
      <c r="L17" s="147">
        <f>IF(t&lt;Tvie,1-EXP((T0-t)*PertePVj)+'2027'!Pspv,1-EXP((T0-t)*PertePVj)+Pspv)</f>
        <v>6.0548035292565028E-2</v>
      </c>
      <c r="M17" s="832"/>
      <c r="N17" s="832"/>
      <c r="O17" s="48">
        <f>IF(t&lt;Tnet,'2027'!Resal+('2027'!Salim-'2027'!Resal)*(1-EXP(('2027'!Tnet-t)/('2027'!Tau_j))),Resal+(Salim-Resal)*(1-EXP((Tnet-t)/(Tau_j))))*Salcycl</f>
        <v>3.5563801347121581E-2</v>
      </c>
      <c r="P17" s="169">
        <f>(INDEX(Models!$BJ17:$BT17,,T17)*(1-R17)+INDEX(Models!$BJ17:$BT17,,T17+1)*R17-ERP_i)*Q17*Ramure*Pc/MaxiM</f>
        <v>2.3297090796998019E-4</v>
      </c>
      <c r="Q17" s="304">
        <f t="shared" si="4"/>
        <v>0.6</v>
      </c>
      <c r="R17" s="177">
        <f t="shared" si="5"/>
        <v>0.47418512030927684</v>
      </c>
      <c r="S17" s="799">
        <f t="shared" si="6"/>
        <v>-1</v>
      </c>
      <c r="T17" s="176">
        <f t="shared" si="7"/>
        <v>5</v>
      </c>
      <c r="U17" s="250">
        <f t="shared" si="8"/>
        <v>-0.52581487969072316</v>
      </c>
      <c r="V17" s="382">
        <f t="shared" si="9"/>
        <v>26.178173572110889</v>
      </c>
      <c r="W17" s="400">
        <f t="shared" si="10"/>
        <v>15.684677809483398</v>
      </c>
      <c r="X17" s="157">
        <f t="shared" si="11"/>
        <v>46755</v>
      </c>
      <c r="Y17" s="383">
        <f t="shared" si="12"/>
        <v>15.219453148211155</v>
      </c>
      <c r="Z17" s="383">
        <f t="shared" si="22"/>
        <v>16.200352673647142</v>
      </c>
      <c r="AA17" s="384">
        <f t="shared" si="13"/>
        <v>17.293658132755166</v>
      </c>
      <c r="AB17" s="197">
        <f t="shared" si="14"/>
        <v>46755</v>
      </c>
      <c r="AC17" s="119">
        <f>IF(OR(t&lt;Tnet,NoTnet),'2027'!Resal_s+('2027'!Salim-'2027'!Resal_s)*(1-EXP(('2027'!Tnet_s-t)/'2027'!Tau_j)),Resal_s+(Salim-Resal_s)*(1-EXP((Tnet_s-t)/Tau_j)))*Salcycl</f>
        <v>6.3220022664680825E-2</v>
      </c>
      <c r="AD17" s="230">
        <f>(INDEX(Models!$BJ17:$BT17,,AH17)*(1-AF17)+INDEX(Models!$BJ17:$BT17,,AH17+1)*AF17-ERP_i)*AE17*Ramure*Pc/MaxiM</f>
        <v>2.6057344424787444E-3</v>
      </c>
      <c r="AE17" s="304">
        <f t="shared" si="15"/>
        <v>0.6</v>
      </c>
      <c r="AF17" s="177">
        <f>(Hp_vg_s-AG17)/(INDEX(Echel_vg,AH17+1)-AG17)</f>
        <v>0.99917268668325532</v>
      </c>
      <c r="AG17" s="799">
        <f>INDEX(Echel_vg,AH17)</f>
        <v>2</v>
      </c>
      <c r="AH17" s="176">
        <f t="shared" si="16"/>
        <v>8</v>
      </c>
      <c r="AI17" s="224">
        <f t="shared" si="17"/>
        <v>2.9991726866832553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46756</v>
      </c>
      <c r="B18" s="409">
        <f>IF(t&gt;Tmaj,'2027'!Wh/'2027'!Env_an*'2028'!Env_an,0.001*'[3]mon-tableau (2)'!$B$245)</f>
        <v>14.049087062108683</v>
      </c>
      <c r="C18" s="829"/>
      <c r="D18" s="391">
        <f t="shared" si="0"/>
        <v>14.954842655731255</v>
      </c>
      <c r="E18" s="383">
        <f t="shared" si="1"/>
        <v>15.507774268297949</v>
      </c>
      <c r="F18" s="383">
        <f t="shared" si="2"/>
        <v>15.508925174941451</v>
      </c>
      <c r="G18" s="110">
        <f t="shared" si="21"/>
        <v>0.53350514530345916</v>
      </c>
      <c r="H18" s="412" t="b">
        <f>Wh_hp&gt;='2027'!Maxi_hp</f>
        <v>0</v>
      </c>
      <c r="I18" s="388">
        <f>IF(H18,Wh_hp,'2027'!Maxi_hp)</f>
        <v>23.787440527034882</v>
      </c>
      <c r="J18" s="85">
        <f>IF(H18,An,'2027'!An_max)</f>
        <v>2021</v>
      </c>
      <c r="K18" s="197">
        <f t="shared" si="3"/>
        <v>46756</v>
      </c>
      <c r="L18" s="147">
        <f>IF(t&lt;Tvie,1-EXP((T0-t)*PertePVj)+'2027'!Pspv,1-EXP((T0-t)*PertePVj)+Pspv)</f>
        <v>6.0566039675145178E-2</v>
      </c>
      <c r="M18" s="832"/>
      <c r="N18" s="832"/>
      <c r="O18" s="48">
        <f>IF(t&lt;Tnet,'2027'!Resal+('2027'!Salim-'2027'!Resal)*(1-EXP(('2027'!Tnet-t)/('2027'!Tau_j))),Resal+(Salim-Resal)*(1-EXP((Tnet-t)/(Tau_j))))*Salcycl</f>
        <v>3.5655123875321937E-2</v>
      </c>
      <c r="P18" s="169">
        <f>(INDEX(Models!$BJ18:$BT18,,T18)*(1-R18)+INDEX(Models!$BJ18:$BT18,,T18+1)*R18-ERP_i)*Q18*Ramure*Pc/MaxiM</f>
        <v>2.223888150914954E-4</v>
      </c>
      <c r="Q18" s="304">
        <f t="shared" si="4"/>
        <v>0.6</v>
      </c>
      <c r="R18" s="177">
        <f t="shared" si="5"/>
        <v>0.4742168298405719</v>
      </c>
      <c r="S18" s="799">
        <f t="shared" si="6"/>
        <v>-1</v>
      </c>
      <c r="T18" s="176">
        <f t="shared" si="7"/>
        <v>5</v>
      </c>
      <c r="U18" s="250">
        <f t="shared" si="8"/>
        <v>-0.5257831701594281</v>
      </c>
      <c r="V18" s="382">
        <f t="shared" si="9"/>
        <v>26.329652571313368</v>
      </c>
      <c r="W18" s="400">
        <f t="shared" si="10"/>
        <v>14.049087062108683</v>
      </c>
      <c r="X18" s="157">
        <f t="shared" si="11"/>
        <v>46756</v>
      </c>
      <c r="Y18" s="383">
        <f t="shared" si="12"/>
        <v>13.63601278344127</v>
      </c>
      <c r="Z18" s="383">
        <f>Wh_sa_s*(1-Psa_s)</f>
        <v>14.515137156342483</v>
      </c>
      <c r="AA18" s="384">
        <f t="shared" si="13"/>
        <v>15.495685632324241</v>
      </c>
      <c r="AB18" s="197">
        <f>t</f>
        <v>46756</v>
      </c>
      <c r="AC18" s="119">
        <f>IF(OR(t&lt;Tnet,NoTnet),'2027'!Resal_s+('2027'!Salim-'2027'!Resal_s)*(1-EXP(('2027'!Tnet_s-t)/'2027'!Tau_j)),Resal_s+(Salim-Resal_s)*(1-EXP((Tnet_s-t)/Tau_j)))*Salcycl</f>
        <v>6.3278805420285439E-2</v>
      </c>
      <c r="AD18" s="230">
        <f>(INDEX(Models!$BJ18:$BT18,,AH18)*(1-AF18)+INDEX(Models!$BJ18:$BT18,,AH18+1)*AF18-ERP_i)*AE18*Ramure*Pc/MaxiM</f>
        <v>2.55826674701748E-3</v>
      </c>
      <c r="AE18" s="304">
        <f t="shared" si="15"/>
        <v>0.6</v>
      </c>
      <c r="AF18" s="177">
        <f t="shared" si="23"/>
        <v>0.99920439621455026</v>
      </c>
      <c r="AG18" s="799">
        <f t="shared" si="24"/>
        <v>2</v>
      </c>
      <c r="AH18" s="176">
        <f t="shared" si="16"/>
        <v>8</v>
      </c>
      <c r="AI18" s="224">
        <f t="shared" si="17"/>
        <v>2.9992043962145503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46757</v>
      </c>
      <c r="B19" s="409">
        <f>IF(t&gt;Tmaj,'2027'!Wh/'2027'!Env_an*'2028'!Env_an,0.001*'[3]mon-tableau (2)'!$B$246)</f>
        <v>13.870381183647979</v>
      </c>
      <c r="C19" s="829"/>
      <c r="D19" s="391">
        <f t="shared" si="0"/>
        <v>14.764898435901872</v>
      </c>
      <c r="E19" s="383">
        <f t="shared" si="1"/>
        <v>15.312256464057807</v>
      </c>
      <c r="F19" s="383">
        <f t="shared" si="2"/>
        <v>15.313293297928569</v>
      </c>
      <c r="G19" s="110">
        <f t="shared" si="21"/>
        <v>0.52353526724070765</v>
      </c>
      <c r="H19" s="412" t="b">
        <f>Wh_hp&gt;='2027'!Maxi_hp</f>
        <v>0</v>
      </c>
      <c r="I19" s="388">
        <f>IF(H19,Wh_hp,'2027'!Maxi_hp)</f>
        <v>16.919002934899346</v>
      </c>
      <c r="J19" s="85">
        <f>IF(H19,An,'2027'!An_max)</f>
        <v>2022</v>
      </c>
      <c r="K19" s="197">
        <f t="shared" si="3"/>
        <v>46757</v>
      </c>
      <c r="L19" s="147">
        <f>IF(t&lt;Tvie,1-EXP((T0-t)*PertePVj)+'2027'!Pspv,1-EXP((T0-t)*PertePVj)+Pspv)</f>
        <v>6.0584043712675451E-2</v>
      </c>
      <c r="M19" s="832"/>
      <c r="N19" s="832"/>
      <c r="O19" s="48">
        <f>IF(t&lt;Tnet,'2027'!Resal+('2027'!Salim-'2027'!Resal)*(1-EXP(('2027'!Tnet-t)/('2027'!Tau_j))),Resal+(Salim-Resal)*(1-EXP((Tnet-t)/(Tau_j))))*Salcycl</f>
        <v>3.574639893478402E-2</v>
      </c>
      <c r="P19" s="169">
        <f>(INDEX(Models!$BJ19:$BT19,,T19)*(1-R19)+INDEX(Models!$BJ19:$BT19,,T19+1)*R19-ERP_i)*Q19*Ramure*Pc/MaxiM</f>
        <v>2.1195605898108869E-4</v>
      </c>
      <c r="Q19" s="304">
        <f t="shared" si="4"/>
        <v>0.6</v>
      </c>
      <c r="R19" s="177">
        <f t="shared" si="5"/>
        <v>0.47424986537313363</v>
      </c>
      <c r="S19" s="799">
        <f t="shared" si="6"/>
        <v>-1</v>
      </c>
      <c r="T19" s="176">
        <f t="shared" si="7"/>
        <v>5</v>
      </c>
      <c r="U19" s="250">
        <f t="shared" si="8"/>
        <v>-0.52575013462686637</v>
      </c>
      <c r="V19" s="382">
        <f t="shared" si="9"/>
        <v>26.489868289056975</v>
      </c>
      <c r="W19" s="400">
        <f t="shared" si="10"/>
        <v>13.870381183647979</v>
      </c>
      <c r="X19" s="157">
        <f t="shared" si="11"/>
        <v>46757</v>
      </c>
      <c r="Y19" s="383">
        <f t="shared" si="12"/>
        <v>13.463619100150085</v>
      </c>
      <c r="Z19" s="383">
        <f t="shared" si="22"/>
        <v>14.331903785581622</v>
      </c>
      <c r="AA19" s="384">
        <f t="shared" si="13"/>
        <v>15.301035067386675</v>
      </c>
      <c r="AB19" s="197">
        <f t="shared" si="14"/>
        <v>46757</v>
      </c>
      <c r="AC19" s="119">
        <f>IF(OR(t&lt;Tnet,NoTnet),'2027'!Resal_s+('2027'!Salim-'2027'!Resal_s)*(1-EXP(('2027'!Tnet_s-t)/'2027'!Tau_j)),Resal_s+(Salim-Resal_s)*(1-EXP((Tnet_s-t)/Tau_j)))*Salcycl</f>
        <v>6.3337628960193917E-2</v>
      </c>
      <c r="AD19" s="230">
        <f>(INDEX(Models!$BJ19:$BT19,,AH19)*(1-AF19)+INDEX(Models!$BJ19:$BT19,,AH19+1)*AF19-ERP_i)*AE19*Ramure*Pc/MaxiM</f>
        <v>2.5059040884069521E-3</v>
      </c>
      <c r="AE19" s="304">
        <f t="shared" si="15"/>
        <v>0.6</v>
      </c>
      <c r="AF19" s="177">
        <f t="shared" si="23"/>
        <v>0.99923743174711221</v>
      </c>
      <c r="AG19" s="799">
        <f t="shared" si="24"/>
        <v>2</v>
      </c>
      <c r="AH19" s="176">
        <f t="shared" si="16"/>
        <v>8</v>
      </c>
      <c r="AI19" s="224">
        <f t="shared" si="17"/>
        <v>2.9992374317471122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46758</v>
      </c>
      <c r="B20" s="409">
        <f>IF(t&gt;Tmaj,'2027'!Wh/'2027'!Env_an*'2028'!Env_an,0.001*'[3]mon-tableau (2)'!$B$247)</f>
        <v>4.554955121245845</v>
      </c>
      <c r="C20" s="829"/>
      <c r="D20" s="391">
        <f t="shared" si="0"/>
        <v>4.8488024789323738</v>
      </c>
      <c r="E20" s="383">
        <f t="shared" si="1"/>
        <v>5.0290309848677612</v>
      </c>
      <c r="F20" s="383">
        <f t="shared" si="2"/>
        <v>5.0290309848677612</v>
      </c>
      <c r="G20" s="110">
        <f t="shared" si="21"/>
        <v>0.17082788585859754</v>
      </c>
      <c r="H20" s="412" t="b">
        <f>Wh_hp&gt;='2027'!Maxi_hp</f>
        <v>0</v>
      </c>
      <c r="I20" s="388">
        <f>IF(H20,Wh_hp,'2027'!Maxi_hp)</f>
        <v>29.950318368832068</v>
      </c>
      <c r="J20" s="85">
        <f>IF(H20,An,'2027'!An_max)</f>
        <v>2020</v>
      </c>
      <c r="K20" s="197">
        <f t="shared" si="3"/>
        <v>46758</v>
      </c>
      <c r="L20" s="147">
        <f>IF(t&lt;Tvie,1-EXP((T0-t)*PertePVj)+'2027'!Pspv,1-EXP((T0-t)*PertePVj)+Pspv)</f>
        <v>6.0602047405162507E-2</v>
      </c>
      <c r="M20" s="832"/>
      <c r="N20" s="832"/>
      <c r="O20" s="48">
        <f>IF(t&lt;Tnet,'2027'!Resal+('2027'!Salim-'2027'!Resal)*(1-EXP(('2027'!Tnet-t)/('2027'!Tau_j))),Resal+(Salim-Resal)*(1-EXP((Tnet-t)/(Tau_j))))*Salcycl</f>
        <v>3.5837620901062364E-2</v>
      </c>
      <c r="P20" s="169">
        <f>(INDEX(Models!$BJ20:$BT20,,T20)*(1-R20)+INDEX(Models!$BJ20:$BT20,,T20+1)*R20-ERP_i)*Q20*Ramure*Pc/MaxiM</f>
        <v>2.0167941441469201E-4</v>
      </c>
      <c r="Q20" s="304">
        <f t="shared" si="4"/>
        <v>0.6</v>
      </c>
      <c r="R20" s="177">
        <f t="shared" si="5"/>
        <v>0.47428428216988427</v>
      </c>
      <c r="S20" s="799">
        <f t="shared" si="6"/>
        <v>-1</v>
      </c>
      <c r="T20" s="176">
        <f t="shared" si="7"/>
        <v>5</v>
      </c>
      <c r="U20" s="250">
        <f t="shared" si="8"/>
        <v>-0.52571571783011573</v>
      </c>
      <c r="V20" s="382">
        <f t="shared" si="9"/>
        <v>26.658624601453546</v>
      </c>
      <c r="W20" s="400">
        <f t="shared" si="10"/>
        <v>4.554955121245845</v>
      </c>
      <c r="X20" s="157">
        <f t="shared" si="11"/>
        <v>46758</v>
      </c>
      <c r="Y20" s="383">
        <f t="shared" si="12"/>
        <v>4.4247598542510795</v>
      </c>
      <c r="Z20" s="383">
        <f t="shared" si="22"/>
        <v>4.7102081093841592</v>
      </c>
      <c r="AA20" s="384">
        <f t="shared" si="13"/>
        <v>5.0290309848677612</v>
      </c>
      <c r="AB20" s="197">
        <f t="shared" si="14"/>
        <v>46758</v>
      </c>
      <c r="AC20" s="119">
        <f>IF(OR(t&lt;Tnet,NoTnet),'2027'!Resal_s+('2027'!Salim-'2027'!Resal_s)*(1-EXP(('2027'!Tnet_s-t)/'2027'!Tau_j)),Resal_s+(Salim-Resal_s)*(1-EXP((Tnet_s-t)/Tau_j)))*Salcycl</f>
        <v>6.3396482631133719E-2</v>
      </c>
      <c r="AD20" s="230">
        <f>(INDEX(Models!$BJ20:$BT20,,AH20)*(1-AF20)+INDEX(Models!$BJ20:$BT20,,AH20+1)*AF20-ERP_i)*AE20*Ramure*Pc/MaxiM</f>
        <v>2.4487897123768774E-3</v>
      </c>
      <c r="AE20" s="304">
        <f t="shared" si="15"/>
        <v>0.6</v>
      </c>
      <c r="AF20" s="177">
        <f t="shared" si="23"/>
        <v>0.99927184854386297</v>
      </c>
      <c r="AG20" s="799">
        <f t="shared" si="24"/>
        <v>2</v>
      </c>
      <c r="AH20" s="176">
        <f t="shared" si="16"/>
        <v>8</v>
      </c>
      <c r="AI20" s="224">
        <f t="shared" si="17"/>
        <v>2.999271848543863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46759</v>
      </c>
      <c r="B21" s="409">
        <f>IF(t&gt;Tmaj,'2027'!Wh/'2027'!Env_an*'2028'!Env_an,0.001*'[3]mon-tableau (2)'!$B$248)</f>
        <v>17.610939922740144</v>
      </c>
      <c r="C21" s="829"/>
      <c r="D21" s="391">
        <f t="shared" si="0"/>
        <v>18.747408795397096</v>
      </c>
      <c r="E21" s="383">
        <f t="shared" si="1"/>
        <v>19.44608292983423</v>
      </c>
      <c r="F21" s="383">
        <f t="shared" si="2"/>
        <v>19.447978970957475</v>
      </c>
      <c r="G21" s="110">
        <f t="shared" si="21"/>
        <v>0.65618807655029421</v>
      </c>
      <c r="H21" s="412" t="b">
        <f>Wh_hp&gt;='2027'!Maxi_hp</f>
        <v>0</v>
      </c>
      <c r="I21" s="388">
        <f>IF(H21,Wh_hp,'2027'!Maxi_hp)</f>
        <v>19.449209599434813</v>
      </c>
      <c r="J21" s="85">
        <f>IF(H21,An,'2027'!An_max)</f>
        <v>2027</v>
      </c>
      <c r="K21" s="197">
        <f t="shared" si="3"/>
        <v>46759</v>
      </c>
      <c r="L21" s="147">
        <f>IF(t&lt;Tvie,1-EXP((T0-t)*PertePVj)+'2027'!Pspv,1-EXP((T0-t)*PertePVj)+Pspv)</f>
        <v>6.0620050752612897E-2</v>
      </c>
      <c r="M21" s="832"/>
      <c r="N21" s="832"/>
      <c r="O21" s="48">
        <f>IF(t&lt;Tnet,'2027'!Resal+('2027'!Salim-'2027'!Resal)*(1-EXP(('2027'!Tnet-t)/('2027'!Tau_j))),Resal+(Salim-Resal)*(1-EXP((Tnet-t)/(Tau_j))))*Salcycl</f>
        <v>3.5928785090452747E-2</v>
      </c>
      <c r="P21" s="169">
        <f>(INDEX(Models!$BJ21:$BT21,,T21)*(1-R21)+INDEX(Models!$BJ21:$BT21,,T21+1)*R21-ERP_i)*Q21*Ramure*Pc/MaxiM</f>
        <v>1.9156522136215174E-4</v>
      </c>
      <c r="Q21" s="304">
        <f t="shared" si="4"/>
        <v>0.6</v>
      </c>
      <c r="R21" s="177">
        <f t="shared" si="5"/>
        <v>0.4743201377809475</v>
      </c>
      <c r="S21" s="799">
        <f t="shared" si="6"/>
        <v>-1</v>
      </c>
      <c r="T21" s="176">
        <f t="shared" si="7"/>
        <v>5</v>
      </c>
      <c r="U21" s="250">
        <f t="shared" si="8"/>
        <v>-0.5256798622190525</v>
      </c>
      <c r="V21" s="382">
        <f t="shared" si="9"/>
        <v>26.83572544158212</v>
      </c>
      <c r="W21" s="400">
        <f t="shared" si="10"/>
        <v>17.610939922740144</v>
      </c>
      <c r="X21" s="157">
        <f t="shared" si="11"/>
        <v>46759</v>
      </c>
      <c r="Y21" s="383">
        <f t="shared" si="12"/>
        <v>17.08898715480575</v>
      </c>
      <c r="Z21" s="383">
        <f t="shared" si="22"/>
        <v>18.191773380405994</v>
      </c>
      <c r="AA21" s="384">
        <f t="shared" si="13"/>
        <v>19.424352620414339</v>
      </c>
      <c r="AB21" s="197">
        <f t="shared" si="14"/>
        <v>46759</v>
      </c>
      <c r="AC21" s="119">
        <f>IF(OR(t&lt;Tnet,NoTnet),'2027'!Resal_s+('2027'!Salim-'2027'!Resal_s)*(1-EXP(('2027'!Tnet_s-t)/'2027'!Tau_j)),Resal_s+(Salim-Resal_s)*(1-EXP((Tnet_s-t)/Tau_j)))*Salcycl</f>
        <v>6.3455357514100419E-2</v>
      </c>
      <c r="AD21" s="230">
        <f>(INDEX(Models!$BJ21:$BT21,,AH21)*(1-AF21)+INDEX(Models!$BJ21:$BT21,,AH21+1)*AF21-ERP_i)*AE21*Ramure*Pc/MaxiM</f>
        <v>2.3870722086577188E-3</v>
      </c>
      <c r="AE21" s="304">
        <f t="shared" si="15"/>
        <v>0.6</v>
      </c>
      <c r="AF21" s="177">
        <f t="shared" si="23"/>
        <v>0.99930770415492587</v>
      </c>
      <c r="AG21" s="799">
        <f t="shared" si="24"/>
        <v>2</v>
      </c>
      <c r="AH21" s="176">
        <f t="shared" si="16"/>
        <v>8</v>
      </c>
      <c r="AI21" s="224">
        <f t="shared" si="17"/>
        <v>2.9993077041549259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46760</v>
      </c>
      <c r="B22" s="409">
        <f>IF(t&gt;Tmaj,'2027'!Wh/'2027'!Env_an*'2028'!Env_an,0.001*'[3]mon-tableau (2)'!$B$249)</f>
        <v>6.5761757413467867</v>
      </c>
      <c r="C22" s="829"/>
      <c r="D22" s="391">
        <f t="shared" si="0"/>
        <v>7.0006835678564432</v>
      </c>
      <c r="E22" s="383">
        <f t="shared" si="1"/>
        <v>7.2622697073261691</v>
      </c>
      <c r="F22" s="383">
        <f t="shared" si="2"/>
        <v>7.2622697073261691</v>
      </c>
      <c r="G22" s="110">
        <f t="shared" si="21"/>
        <v>0.24332880022137648</v>
      </c>
      <c r="H22" s="412" t="b">
        <f>Wh_hp&gt;='2027'!Maxi_hp</f>
        <v>0</v>
      </c>
      <c r="I22" s="388">
        <f>IF(H22,Wh_hp,'2027'!Maxi_hp)</f>
        <v>23.032683038014351</v>
      </c>
      <c r="J22" s="85">
        <f>IF(H22,An,'2027'!An_max)</f>
        <v>2021</v>
      </c>
      <c r="K22" s="197">
        <f t="shared" si="3"/>
        <v>46760</v>
      </c>
      <c r="L22" s="147">
        <f>IF(t&lt;Tvie,1-EXP((T0-t)*PertePVj)+'2027'!Pspv,1-EXP((T0-t)*PertePVj)+Pspv)</f>
        <v>6.0638053755033172E-2</v>
      </c>
      <c r="M22" s="832"/>
      <c r="N22" s="832"/>
      <c r="O22" s="48">
        <f>IF(t&lt;Tnet,'2027'!Resal+('2027'!Salim-'2027'!Resal)*(1-EXP(('2027'!Tnet-t)/('2027'!Tau_j))),Resal+(Salim-Resal)*(1-EXP((Tnet-t)/(Tau_j))))*Salcycl</f>
        <v>3.6019887722682338E-2</v>
      </c>
      <c r="P22" s="169">
        <f>(INDEX(Models!$BJ22:$BT22,,T22)*(1-R22)+INDEX(Models!$BJ22:$BT22,,T22+1)*R22-ERP_i)*Q22*Ramure*Pc/MaxiM</f>
        <v>1.8161935636586143E-4</v>
      </c>
      <c r="Q22" s="304">
        <f t="shared" si="4"/>
        <v>0.6</v>
      </c>
      <c r="R22" s="177">
        <f t="shared" si="5"/>
        <v>0.47435749213694467</v>
      </c>
      <c r="S22" s="799">
        <f t="shared" si="6"/>
        <v>-1</v>
      </c>
      <c r="T22" s="176">
        <f t="shared" si="7"/>
        <v>5</v>
      </c>
      <c r="U22" s="250">
        <f t="shared" si="8"/>
        <v>-0.52564250786305533</v>
      </c>
      <c r="V22" s="382">
        <f t="shared" si="9"/>
        <v>27.020974806761409</v>
      </c>
      <c r="W22" s="400">
        <f t="shared" si="10"/>
        <v>6.5761757413467867</v>
      </c>
      <c r="X22" s="157">
        <f t="shared" si="11"/>
        <v>46760</v>
      </c>
      <c r="Y22" s="383">
        <f t="shared" si="12"/>
        <v>6.3886119815893547</v>
      </c>
      <c r="Z22" s="383">
        <f t="shared" si="22"/>
        <v>6.801012120117683</v>
      </c>
      <c r="AA22" s="384">
        <f t="shared" si="13"/>
        <v>7.2622697073261691</v>
      </c>
      <c r="AB22" s="197">
        <f t="shared" si="14"/>
        <v>46760</v>
      </c>
      <c r="AC22" s="119">
        <f>IF(OR(t&lt;Tnet,NoTnet),'2027'!Resal_s+('2027'!Salim-'2027'!Resal_s)*(1-EXP(('2027'!Tnet_s-t)/'2027'!Tau_j)),Resal_s+(Salim-Resal_s)*(1-EXP((Tnet_s-t)/Tau_j)))*Salcycl</f>
        <v>6.3514246344110528E-2</v>
      </c>
      <c r="AD22" s="230">
        <f>(INDEX(Models!$BJ22:$BT22,,AH22)*(1-AF22)+INDEX(Models!$BJ22:$BT22,,AH22+1)*AF22-ERP_i)*AE22*Ramure*Pc/MaxiM</f>
        <v>2.3209046150829849E-3</v>
      </c>
      <c r="AE22" s="304">
        <f t="shared" si="15"/>
        <v>0.6</v>
      </c>
      <c r="AF22" s="177">
        <f t="shared" si="23"/>
        <v>0.99934505851092315</v>
      </c>
      <c r="AG22" s="799">
        <f t="shared" si="24"/>
        <v>2</v>
      </c>
      <c r="AH22" s="176">
        <f t="shared" si="16"/>
        <v>8</v>
      </c>
      <c r="AI22" s="224">
        <f t="shared" si="17"/>
        <v>2.9993450585109231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46761</v>
      </c>
      <c r="B23" s="409">
        <f>IF(t&gt;Tmaj,'2027'!Wh/'2027'!Env_an*'2028'!Env_an,0.001*'[3]mon-tableau (2)'!$B$250)</f>
        <v>8.4154651202930264</v>
      </c>
      <c r="C23" s="829"/>
      <c r="D23" s="391">
        <f t="shared" si="0"/>
        <v>8.9588751572213638</v>
      </c>
      <c r="E23" s="383">
        <f t="shared" si="1"/>
        <v>9.2945084633995432</v>
      </c>
      <c r="F23" s="383">
        <f t="shared" si="2"/>
        <v>9.2945294634427391</v>
      </c>
      <c r="G23" s="110">
        <f t="shared" si="21"/>
        <v>0.30915176351363394</v>
      </c>
      <c r="H23" s="412" t="b">
        <f>Wh_hp&gt;='2027'!Maxi_hp</f>
        <v>0</v>
      </c>
      <c r="I23" s="388">
        <f>IF(H23,Wh_hp,'2027'!Maxi_hp)</f>
        <v>29.267673438612903</v>
      </c>
      <c r="J23" s="85">
        <f>IF(H23,An,'2027'!An_max)</f>
        <v>2020</v>
      </c>
      <c r="K23" s="197">
        <f t="shared" si="3"/>
        <v>46761</v>
      </c>
      <c r="L23" s="147">
        <f>IF(t&lt;Tvie,1-EXP((T0-t)*PertePVj)+'2027'!Pspv,1-EXP((T0-t)*PertePVj)+Pspv)</f>
        <v>6.0656056412430104E-2</v>
      </c>
      <c r="M23" s="832"/>
      <c r="N23" s="832"/>
      <c r="O23" s="48">
        <f>IF(t&lt;Tnet,'2027'!Resal+('2027'!Salim-'2027'!Resal)*(1-EXP(('2027'!Tnet-t)/('2027'!Tau_j))),Resal+(Salim-Resal)*(1-EXP((Tnet-t)/(Tau_j))))*Salcycl</f>
        <v>3.6110925876269372E-2</v>
      </c>
      <c r="P23" s="169">
        <f>(INDEX(Models!$BJ23:$BT23,,T23)*(1-R23)+INDEX(Models!$BJ23:$BT23,,T23+1)*R23-ERP_i)*Q23*Ramure*Pc/MaxiM</f>
        <v>1.7183235691401816E-4</v>
      </c>
      <c r="Q23" s="304">
        <f t="shared" si="4"/>
        <v>0.6</v>
      </c>
      <c r="R23" s="177">
        <f t="shared" si="5"/>
        <v>0.47439640764597979</v>
      </c>
      <c r="S23" s="799">
        <f t="shared" si="6"/>
        <v>-1</v>
      </c>
      <c r="T23" s="176">
        <f t="shared" si="7"/>
        <v>5</v>
      </c>
      <c r="U23" s="250">
        <f t="shared" si="8"/>
        <v>-0.52560359235402021</v>
      </c>
      <c r="V23" s="382">
        <f t="shared" si="9"/>
        <v>27.216529467988487</v>
      </c>
      <c r="W23" s="400">
        <f t="shared" si="10"/>
        <v>8.4154651202930264</v>
      </c>
      <c r="X23" s="157">
        <f t="shared" si="11"/>
        <v>46761</v>
      </c>
      <c r="Y23" s="383">
        <f t="shared" si="12"/>
        <v>8.1754762001890455</v>
      </c>
      <c r="Z23" s="383">
        <f t="shared" si="22"/>
        <v>8.7033894836911685</v>
      </c>
      <c r="AA23" s="384">
        <f t="shared" si="13"/>
        <v>9.2942544551300728</v>
      </c>
      <c r="AB23" s="197">
        <f t="shared" si="14"/>
        <v>46761</v>
      </c>
      <c r="AC23" s="119">
        <f>IF(OR(t&lt;Tnet,NoTnet),'2027'!Resal_s+('2027'!Salim-'2027'!Resal_s)*(1-EXP(('2027'!Tnet_s-t)/'2027'!Tau_j)),Resal_s+(Salim-Resal_s)*(1-EXP((Tnet_s-t)/Tau_j)))*Salcycl</f>
        <v>6.3573143417949923E-2</v>
      </c>
      <c r="AD23" s="230">
        <f>(INDEX(Models!$BJ23:$BT23,,AH23)*(1-AF23)+INDEX(Models!$BJ23:$BT23,,AH23+1)*AF23-ERP_i)*AE23*Ramure*Pc/MaxiM</f>
        <v>2.2502490160607774E-3</v>
      </c>
      <c r="AE23" s="304">
        <f t="shared" si="15"/>
        <v>0.6</v>
      </c>
      <c r="AF23" s="177">
        <f t="shared" si="23"/>
        <v>0.99938397401995838</v>
      </c>
      <c r="AG23" s="799">
        <f t="shared" si="24"/>
        <v>2</v>
      </c>
      <c r="AH23" s="176">
        <f t="shared" si="16"/>
        <v>8</v>
      </c>
      <c r="AI23" s="224">
        <f t="shared" si="17"/>
        <v>2.9993839740199584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46762</v>
      </c>
      <c r="B24" s="409">
        <f>IF(t&gt;Tmaj,'2027'!Wh/'2027'!Env_an*'2028'!Env_an,0.001*'[3]mon-tableau (2)'!$B$251)</f>
        <v>23.995688257075859</v>
      </c>
      <c r="C24" s="829"/>
      <c r="D24" s="391">
        <f t="shared" si="0"/>
        <v>25.545646300899886</v>
      </c>
      <c r="E24" s="383">
        <f t="shared" si="1"/>
        <v>26.505184263149189</v>
      </c>
      <c r="F24" s="383">
        <f t="shared" si="2"/>
        <v>26.50871520193925</v>
      </c>
      <c r="G24" s="110">
        <f t="shared" si="21"/>
        <v>0.87495978130399155</v>
      </c>
      <c r="H24" s="412" t="b">
        <f>Wh_hp&gt;='2027'!Maxi_hp</f>
        <v>0</v>
      </c>
      <c r="I24" s="388">
        <f>IF(H24,Wh_hp,'2027'!Maxi_hp)</f>
        <v>26.50924564271174</v>
      </c>
      <c r="J24" s="85">
        <f>IF(H24,An,'2027'!An_max)</f>
        <v>2027</v>
      </c>
      <c r="K24" s="197">
        <f t="shared" si="3"/>
        <v>46762</v>
      </c>
      <c r="L24" s="147">
        <f>IF(t&lt;Tvie,1-EXP((T0-t)*PertePVj)+'2027'!Pspv,1-EXP((T0-t)*PertePVj)+Pspv)</f>
        <v>6.0674058724810132E-2</v>
      </c>
      <c r="M24" s="832"/>
      <c r="N24" s="832"/>
      <c r="O24" s="48">
        <f>IF(t&lt;Tnet,'2027'!Resal+('2027'!Salim-'2027'!Resal)*(1-EXP(('2027'!Tnet-t)/('2027'!Tau_j))),Resal+(Salim-Resal)*(1-EXP((Tnet-t)/(Tau_j))))*Salcycl</f>
        <v>3.6201897437226023E-2</v>
      </c>
      <c r="P24" s="169">
        <f>(INDEX(Models!$BJ24:$BT24,,T24)*(1-R24)+INDEX(Models!$BJ24:$BT24,,T24+1)*R24-ERP_i)*Q24*Ramure*Pc/MaxiM</f>
        <v>1.6215970305058218E-4</v>
      </c>
      <c r="Q24" s="304">
        <f t="shared" si="4"/>
        <v>0.6</v>
      </c>
      <c r="R24" s="177">
        <f t="shared" si="5"/>
        <v>0.47443694929444935</v>
      </c>
      <c r="S24" s="799">
        <f t="shared" si="6"/>
        <v>-1</v>
      </c>
      <c r="T24" s="176">
        <f t="shared" si="7"/>
        <v>5</v>
      </c>
      <c r="U24" s="250">
        <f t="shared" si="8"/>
        <v>-0.52556305070555065</v>
      </c>
      <c r="V24" s="382">
        <f t="shared" si="9"/>
        <v>27.424109941088179</v>
      </c>
      <c r="W24" s="400">
        <f t="shared" si="10"/>
        <v>23.995688257075859</v>
      </c>
      <c r="X24" s="157">
        <f t="shared" si="11"/>
        <v>46762</v>
      </c>
      <c r="Y24" s="383">
        <f t="shared" si="12"/>
        <v>23.274245014502149</v>
      </c>
      <c r="Z24" s="383">
        <f t="shared" si="22"/>
        <v>24.777602738093236</v>
      </c>
      <c r="AA24" s="384">
        <f t="shared" si="13"/>
        <v>26.461395429353772</v>
      </c>
      <c r="AB24" s="197">
        <f t="shared" si="14"/>
        <v>46762</v>
      </c>
      <c r="AC24" s="119">
        <f>IF(OR(t&lt;Tnet,NoTnet),'2027'!Resal_s+('2027'!Salim-'2027'!Resal_s)*(1-EXP(('2027'!Tnet_s-t)/'2027'!Tau_j)),Resal_s+(Salim-Resal_s)*(1-EXP((Tnet_s-t)/Tau_j)))*Salcycl</f>
        <v>6.3632044491224921E-2</v>
      </c>
      <c r="AD24" s="230">
        <f>(INDEX(Models!$BJ24:$BT24,,AH24)*(1-AF24)+INDEX(Models!$BJ24:$BT24,,AH24+1)*AF24-ERP_i)*AE24*Ramure*Pc/MaxiM</f>
        <v>2.1731785021271784E-3</v>
      </c>
      <c r="AE24" s="304">
        <f t="shared" si="15"/>
        <v>0.6</v>
      </c>
      <c r="AF24" s="177">
        <f t="shared" si="23"/>
        <v>0.99942451566842783</v>
      </c>
      <c r="AG24" s="799">
        <f t="shared" si="24"/>
        <v>2</v>
      </c>
      <c r="AH24" s="176">
        <f t="shared" si="16"/>
        <v>8</v>
      </c>
      <c r="AI24" s="224">
        <f t="shared" si="17"/>
        <v>2.9994245156684278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46763</v>
      </c>
      <c r="B25" s="409">
        <f>IF(t&gt;Tmaj,'2027'!Wh/'2027'!Env_an*'2028'!Env_an,0.001*'[3]mon-tableau (2)'!$B$252)</f>
        <v>4.3634467681422064</v>
      </c>
      <c r="C25" s="829"/>
      <c r="D25" s="391">
        <f t="shared" si="0"/>
        <v>4.6453847407673878</v>
      </c>
      <c r="E25" s="383">
        <f t="shared" si="1"/>
        <v>4.8203279437876461</v>
      </c>
      <c r="F25" s="383">
        <f t="shared" si="2"/>
        <v>4.8203279437876461</v>
      </c>
      <c r="G25" s="110">
        <f t="shared" si="21"/>
        <v>0.15782665530864889</v>
      </c>
      <c r="H25" s="412" t="b">
        <f>Wh_hp&gt;='2027'!Maxi_hp</f>
        <v>0</v>
      </c>
      <c r="I25" s="388">
        <f>IF(H25,Wh_hp,'2027'!Maxi_hp)</f>
        <v>29.842314321550671</v>
      </c>
      <c r="J25" s="85">
        <f>IF(H25,An,'2027'!An_max)</f>
        <v>2020</v>
      </c>
      <c r="K25" s="197">
        <f t="shared" si="3"/>
        <v>46763</v>
      </c>
      <c r="L25" s="147">
        <f>IF(t&lt;Tvie,1-EXP((T0-t)*PertePVj)+'2027'!Pspv,1-EXP((T0-t)*PertePVj)+Pspv)</f>
        <v>6.0692060692180028E-2</v>
      </c>
      <c r="M25" s="832"/>
      <c r="N25" s="832"/>
      <c r="O25" s="48">
        <f>IF(t&lt;Tnet,'2027'!Resal+('2027'!Salim-'2027'!Resal)*(1-EXP(('2027'!Tnet-t)/('2027'!Tau_j))),Resal+(Salim-Resal)*(1-EXP((Tnet-t)/(Tau_j))))*Salcycl</f>
        <v>3.6292801041829845E-2</v>
      </c>
      <c r="P25" s="169">
        <f>(INDEX(Models!$BJ25:$BT25,,T25)*(1-R25)+INDEX(Models!$BJ25:$BT25,,T25+1)*R25-ERP_i)*Q25*Ramure*Pc/MaxiM</f>
        <v>1.526195191605977E-4</v>
      </c>
      <c r="Q25" s="304">
        <f t="shared" si="4"/>
        <v>0.6</v>
      </c>
      <c r="R25" s="177">
        <f t="shared" si="5"/>
        <v>0.47447918475181539</v>
      </c>
      <c r="S25" s="799">
        <f t="shared" si="6"/>
        <v>-1</v>
      </c>
      <c r="T25" s="176">
        <f t="shared" si="7"/>
        <v>5</v>
      </c>
      <c r="U25" s="250">
        <f t="shared" si="8"/>
        <v>-0.52552081524818461</v>
      </c>
      <c r="V25" s="382">
        <f t="shared" si="9"/>
        <v>27.642864334054543</v>
      </c>
      <c r="W25" s="400">
        <f t="shared" si="10"/>
        <v>4.3634467681422064</v>
      </c>
      <c r="X25" s="157">
        <f t="shared" si="11"/>
        <v>46763</v>
      </c>
      <c r="Y25" s="383">
        <f t="shared" si="12"/>
        <v>4.2393942031032177</v>
      </c>
      <c r="Z25" s="383">
        <f t="shared" si="22"/>
        <v>4.5133166938067673</v>
      </c>
      <c r="AA25" s="384">
        <f t="shared" si="13"/>
        <v>4.8203279437876461</v>
      </c>
      <c r="AB25" s="197">
        <f t="shared" si="14"/>
        <v>46763</v>
      </c>
      <c r="AC25" s="119">
        <f>IF(OR(t&lt;Tnet,NoTnet),'2027'!Resal_s+('2027'!Salim-'2027'!Resal_s)*(1-EXP(('2027'!Tnet_s-t)/'2027'!Tau_j)),Resal_s+(Salim-Resal_s)*(1-EXP((Tnet_s-t)/Tau_j)))*Salcycl</f>
        <v>6.3690946666097689E-2</v>
      </c>
      <c r="AD25" s="230">
        <f>(INDEX(Models!$BJ25:$BT25,,AH25)*(1-AF25)+INDEX(Models!$BJ25:$BT25,,AH25+1)*AF25-ERP_i)*AE25*Ramure*Pc/MaxiM</f>
        <v>2.0914019758359213E-3</v>
      </c>
      <c r="AE25" s="304">
        <f t="shared" si="15"/>
        <v>0.6</v>
      </c>
      <c r="AF25" s="177">
        <f t="shared" si="23"/>
        <v>0.99946675112579397</v>
      </c>
      <c r="AG25" s="799">
        <f t="shared" si="24"/>
        <v>2</v>
      </c>
      <c r="AH25" s="176">
        <f t="shared" si="16"/>
        <v>8</v>
      </c>
      <c r="AI25" s="224">
        <f t="shared" si="17"/>
        <v>2.999466751125794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46764</v>
      </c>
      <c r="B26" s="409">
        <f>IF(t&gt;Tmaj,'2027'!Wh/'2027'!Env_an*'2028'!Env_an,0.001*'[3]mon-tableau (2)'!$B$253)</f>
        <v>23.324315824450284</v>
      </c>
      <c r="C26" s="829"/>
      <c r="D26" s="391">
        <f t="shared" si="0"/>
        <v>24.831859566093907</v>
      </c>
      <c r="E26" s="383">
        <f t="shared" si="1"/>
        <v>25.769445698683342</v>
      </c>
      <c r="F26" s="383">
        <f t="shared" si="2"/>
        <v>25.772276527836418</v>
      </c>
      <c r="G26" s="110">
        <f t="shared" si="21"/>
        <v>0.8368106429434311</v>
      </c>
      <c r="H26" s="412" t="b">
        <f>Wh_hp&gt;='2027'!Maxi_hp</f>
        <v>0</v>
      </c>
      <c r="I26" s="388">
        <f>IF(H26,Wh_hp,'2027'!Maxi_hp)</f>
        <v>31.06915900574295</v>
      </c>
      <c r="J26" s="85">
        <f>IF(H26,An,'2027'!An_max)</f>
        <v>2020</v>
      </c>
      <c r="K26" s="197">
        <f t="shared" si="3"/>
        <v>46764</v>
      </c>
      <c r="L26" s="147">
        <f>IF(t&lt;Tvie,1-EXP((T0-t)*PertePVj)+'2027'!Pspv,1-EXP((T0-t)*PertePVj)+Pspv)</f>
        <v>6.0710062314546231E-2</v>
      </c>
      <c r="M26" s="832"/>
      <c r="N26" s="832"/>
      <c r="O26" s="48">
        <f>IF(t&lt;Tnet,'2027'!Resal+('2027'!Salim-'2027'!Resal)*(1-EXP(('2027'!Tnet-t)/('2027'!Tau_j))),Resal+(Salim-Resal)*(1-EXP((Tnet-t)/(Tau_j))))*Salcycl</f>
        <v>3.6383636014232897E-2</v>
      </c>
      <c r="P26" s="169">
        <f>(INDEX(Models!$BJ26:$BT26,,T26)*(1-R26)+INDEX(Models!$BJ26:$BT26,,T26+1)*R26-ERP_i)*Q26*Ramure*Pc/MaxiM</f>
        <v>1.4322380118519747E-4</v>
      </c>
      <c r="Q26" s="304">
        <f t="shared" si="4"/>
        <v>0.6</v>
      </c>
      <c r="R26" s="177">
        <f t="shared" si="5"/>
        <v>0.47452318447948649</v>
      </c>
      <c r="S26" s="799">
        <f t="shared" si="6"/>
        <v>-1</v>
      </c>
      <c r="T26" s="176">
        <f t="shared" si="7"/>
        <v>5</v>
      </c>
      <c r="U26" s="250">
        <f t="shared" si="8"/>
        <v>-0.52547681552051351</v>
      </c>
      <c r="V26" s="382">
        <f t="shared" si="9"/>
        <v>27.8719412609681</v>
      </c>
      <c r="W26" s="400">
        <f t="shared" si="10"/>
        <v>23.324315824450284</v>
      </c>
      <c r="X26" s="157">
        <f t="shared" si="11"/>
        <v>46764</v>
      </c>
      <c r="Y26" s="383">
        <f t="shared" si="12"/>
        <v>22.629553298105403</v>
      </c>
      <c r="Z26" s="383">
        <f t="shared" si="22"/>
        <v>24.092191761223265</v>
      </c>
      <c r="AA26" s="384">
        <f t="shared" si="13"/>
        <v>25.732643905835662</v>
      </c>
      <c r="AB26" s="197">
        <f t="shared" si="14"/>
        <v>46764</v>
      </c>
      <c r="AC26" s="119">
        <f>IF(OR(t&lt;Tnet,NoTnet),'2027'!Resal_s+('2027'!Salim-'2027'!Resal_s)*(1-EXP(('2027'!Tnet_s-t)/'2027'!Tau_j)),Resal_s+(Salim-Resal_s)*(1-EXP((Tnet_s-t)/Tau_j)))*Salcycl</f>
        <v>6.3749848271143772E-2</v>
      </c>
      <c r="AD26" s="230">
        <f>(INDEX(Models!$BJ26:$BT26,,AH26)*(1-AF26)+INDEX(Models!$BJ26:$BT26,,AH26+1)*AF26-ERP_i)*AE26*Ramure*Pc/MaxiM</f>
        <v>2.0051845120051693E-3</v>
      </c>
      <c r="AE26" s="304">
        <f t="shared" si="15"/>
        <v>0.6</v>
      </c>
      <c r="AF26" s="177">
        <f t="shared" si="23"/>
        <v>0.99951075085346508</v>
      </c>
      <c r="AG26" s="799">
        <f t="shared" si="24"/>
        <v>2</v>
      </c>
      <c r="AH26" s="176">
        <f t="shared" si="16"/>
        <v>8</v>
      </c>
      <c r="AI26" s="224">
        <f t="shared" si="17"/>
        <v>2.9995107508534651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46765</v>
      </c>
      <c r="B27" s="409">
        <f>IF(t&gt;Tmaj,'2027'!Wh/'2027'!Env_an*'2028'!Env_an,0.001*'[3]mon-tableau (2)'!$B$254)</f>
        <v>13.187804422414697</v>
      </c>
      <c r="C27" s="829"/>
      <c r="D27" s="391">
        <f t="shared" si="0"/>
        <v>14.040454006160155</v>
      </c>
      <c r="E27" s="383">
        <f t="shared" si="1"/>
        <v>14.571957444277016</v>
      </c>
      <c r="F27" s="383">
        <f t="shared" si="2"/>
        <v>14.572429218192294</v>
      </c>
      <c r="G27" s="110">
        <f t="shared" si="21"/>
        <v>0.46909408320089119</v>
      </c>
      <c r="H27" s="412" t="b">
        <f>Wh_hp&gt;='2027'!Maxi_hp</f>
        <v>0</v>
      </c>
      <c r="I27" s="388">
        <f>IF(H27,Wh_hp,'2027'!Maxi_hp)</f>
        <v>16.623085463395078</v>
      </c>
      <c r="J27" s="85">
        <f>IF(H27,An,'2027'!An_max)</f>
        <v>2020</v>
      </c>
      <c r="K27" s="197">
        <f t="shared" si="3"/>
        <v>46765</v>
      </c>
      <c r="L27" s="147">
        <f>IF(t&lt;Tvie,1-EXP((T0-t)*PertePVj)+'2027'!Pspv,1-EXP((T0-t)*PertePVj)+Pspv)</f>
        <v>6.0728063591915515E-2</v>
      </c>
      <c r="M27" s="832"/>
      <c r="N27" s="832"/>
      <c r="O27" s="48">
        <f>IF(t&lt;Tnet,'2027'!Resal+('2027'!Salim-'2027'!Resal)*(1-EXP(('2027'!Tnet-t)/('2027'!Tau_j))),Resal+(Salim-Resal)*(1-EXP((Tnet-t)/(Tau_j))))*Salcycl</f>
        <v>3.647440229971316E-2</v>
      </c>
      <c r="P27" s="169">
        <f>(INDEX(Models!$BJ27:$BT27,,T27)*(1-R27)+INDEX(Models!$BJ27:$BT27,,T27+1)*R27-ERP_i)*Q27*Ramure*Pc/MaxiM</f>
        <v>1.3398284075372859E-4</v>
      </c>
      <c r="Q27" s="304">
        <f t="shared" si="4"/>
        <v>0.6</v>
      </c>
      <c r="R27" s="177">
        <f t="shared" si="5"/>
        <v>0.47456902184395555</v>
      </c>
      <c r="S27" s="799">
        <f t="shared" si="6"/>
        <v>-1</v>
      </c>
      <c r="T27" s="176">
        <f t="shared" si="7"/>
        <v>5</v>
      </c>
      <c r="U27" s="250">
        <f t="shared" si="8"/>
        <v>-0.52543097815604445</v>
      </c>
      <c r="V27" s="382">
        <f t="shared" si="9"/>
        <v>28.110489684812716</v>
      </c>
      <c r="W27" s="400">
        <f t="shared" si="10"/>
        <v>13.187804422414697</v>
      </c>
      <c r="X27" s="157">
        <f t="shared" si="11"/>
        <v>46765</v>
      </c>
      <c r="Y27" s="383">
        <f t="shared" si="12"/>
        <v>12.808164520443128</v>
      </c>
      <c r="Z27" s="383">
        <f t="shared" si="22"/>
        <v>13.636268714067466</v>
      </c>
      <c r="AA27" s="384">
        <f t="shared" si="13"/>
        <v>14.56568697436466</v>
      </c>
      <c r="AB27" s="197">
        <f t="shared" si="14"/>
        <v>46765</v>
      </c>
      <c r="AC27" s="119">
        <f>IF(OR(t&lt;Tnet,NoTnet),'2027'!Resal_s+('2027'!Salim-'2027'!Resal_s)*(1-EXP(('2027'!Tnet_s-t)/'2027'!Tau_j)),Resal_s+(Salim-Resal_s)*(1-EXP((Tnet_s-t)/Tau_j)))*Salcycl</f>
        <v>6.3808748734814486E-2</v>
      </c>
      <c r="AD27" s="230">
        <f>(INDEX(Models!$BJ27:$BT27,,AH27)*(1-AF27)+INDEX(Models!$BJ27:$BT27,,AH27+1)*AF27-ERP_i)*AE27*Ramure*Pc/MaxiM</f>
        <v>1.9147836534102755E-3</v>
      </c>
      <c r="AE27" s="304">
        <f t="shared" si="15"/>
        <v>0.6</v>
      </c>
      <c r="AF27" s="177">
        <f t="shared" si="23"/>
        <v>0.99955658821793403</v>
      </c>
      <c r="AG27" s="799">
        <f t="shared" si="24"/>
        <v>2</v>
      </c>
      <c r="AH27" s="176">
        <f t="shared" si="16"/>
        <v>8</v>
      </c>
      <c r="AI27" s="224">
        <f t="shared" si="17"/>
        <v>2.999556588217934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46766</v>
      </c>
      <c r="B28" s="409">
        <f>IF(t&gt;Tmaj,'2027'!Wh/'2027'!Env_an*'2028'!Env_an,0.001*'[3]mon-tableau (2)'!$B$255)</f>
        <v>17.806666833620024</v>
      </c>
      <c r="C28" s="829"/>
      <c r="D28" s="391">
        <f t="shared" si="0"/>
        <v>18.958309527445792</v>
      </c>
      <c r="E28" s="383">
        <f t="shared" si="1"/>
        <v>19.67783140843947</v>
      </c>
      <c r="F28" s="383">
        <f t="shared" si="2"/>
        <v>19.678982920595736</v>
      </c>
      <c r="G28" s="110">
        <f t="shared" si="21"/>
        <v>0.62788979162911973</v>
      </c>
      <c r="H28" s="412" t="b">
        <f>Wh_hp&gt;='2027'!Maxi_hp</f>
        <v>0</v>
      </c>
      <c r="I28" s="388">
        <f>IF(H28,Wh_hp,'2027'!Maxi_hp)</f>
        <v>31.753841494972857</v>
      </c>
      <c r="J28" s="85">
        <f>IF(H28,An,'2027'!An_max)</f>
        <v>2022</v>
      </c>
      <c r="K28" s="197">
        <f t="shared" si="3"/>
        <v>46766</v>
      </c>
      <c r="L28" s="147">
        <f>IF(t&lt;Tvie,1-EXP((T0-t)*PertePVj)+'2027'!Pspv,1-EXP((T0-t)*PertePVj)+Pspv)</f>
        <v>6.074606452429443E-2</v>
      </c>
      <c r="M28" s="832"/>
      <c r="N28" s="832"/>
      <c r="O28" s="48">
        <f>IF(t&lt;Tnet,'2027'!Resal+('2027'!Salim-'2027'!Resal)*(1-EXP(('2027'!Tnet-t)/('2027'!Tau_j))),Resal+(Salim-Resal)*(1-EXP((Tnet-t)/(Tau_j))))*Salcycl</f>
        <v>3.6565100394400522E-2</v>
      </c>
      <c r="P28" s="169">
        <f>(INDEX(Models!$BJ28:$BT28,,T28)*(1-R28)+INDEX(Models!$BJ28:$BT28,,T28+1)*R28-ERP_i)*Q28*Ramure*Pc/MaxiM</f>
        <v>1.249052824003158E-4</v>
      </c>
      <c r="Q28" s="304">
        <f t="shared" si="4"/>
        <v>0.6</v>
      </c>
      <c r="R28" s="177">
        <f t="shared" si="5"/>
        <v>0.47461677323434504</v>
      </c>
      <c r="S28" s="799">
        <f t="shared" si="6"/>
        <v>-1</v>
      </c>
      <c r="T28" s="176">
        <f t="shared" si="7"/>
        <v>5</v>
      </c>
      <c r="U28" s="250">
        <f t="shared" si="8"/>
        <v>-0.52538322676565496</v>
      </c>
      <c r="V28" s="382">
        <f t="shared" si="9"/>
        <v>28.357658953825194</v>
      </c>
      <c r="W28" s="400">
        <f t="shared" si="10"/>
        <v>17.806666833620024</v>
      </c>
      <c r="X28" s="157">
        <f t="shared" si="11"/>
        <v>46766</v>
      </c>
      <c r="Y28" s="383">
        <f t="shared" si="12"/>
        <v>17.288303909787412</v>
      </c>
      <c r="Z28" s="383">
        <f t="shared" si="22"/>
        <v>18.406421582925148</v>
      </c>
      <c r="AA28" s="384">
        <f t="shared" si="13"/>
        <v>19.662200064475559</v>
      </c>
      <c r="AB28" s="197">
        <f t="shared" si="14"/>
        <v>46766</v>
      </c>
      <c r="AC28" s="119">
        <f>IF(OR(t&lt;Tnet,NoTnet),'2027'!Resal_s+('2027'!Salim-'2027'!Resal_s)*(1-EXP(('2027'!Tnet_s-t)/'2027'!Tau_j)),Resal_s+(Salim-Resal_s)*(1-EXP((Tnet_s-t)/Tau_j)))*Salcycl</f>
        <v>6.3867648454013673E-2</v>
      </c>
      <c r="AD28" s="230">
        <f>(INDEX(Models!$BJ28:$BT28,,AH28)*(1-AF28)+INDEX(Models!$BJ28:$BT28,,AH28+1)*AF28-ERP_i)*AE28*Ramure*Pc/MaxiM</f>
        <v>1.820447462727439E-3</v>
      </c>
      <c r="AE28" s="304">
        <f t="shared" si="15"/>
        <v>0.6</v>
      </c>
      <c r="AF28" s="177">
        <f t="shared" si="23"/>
        <v>0.9996043396083234</v>
      </c>
      <c r="AG28" s="799">
        <f t="shared" si="24"/>
        <v>2</v>
      </c>
      <c r="AH28" s="176">
        <f t="shared" si="16"/>
        <v>8</v>
      </c>
      <c r="AI28" s="224">
        <f t="shared" si="17"/>
        <v>2.9996043396083234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46767</v>
      </c>
      <c r="B29" s="409">
        <f>IF(t&gt;Tmaj,'2027'!Wh/'2027'!Env_an*'2028'!Env_an,0.001*'[3]mon-tableau (2)'!$B$256)</f>
        <v>5.8025352346707502</v>
      </c>
      <c r="C29" s="829"/>
      <c r="D29" s="391">
        <f t="shared" si="0"/>
        <v>6.1779314644309906</v>
      </c>
      <c r="E29" s="383">
        <f t="shared" si="1"/>
        <v>6.4130048467412735</v>
      </c>
      <c r="F29" s="383">
        <f t="shared" si="2"/>
        <v>6.4130048467412735</v>
      </c>
      <c r="G29" s="110">
        <f t="shared" si="21"/>
        <v>0.20277298811217209</v>
      </c>
      <c r="H29" s="412" t="b">
        <f>Wh_hp&gt;='2027'!Maxi_hp</f>
        <v>0</v>
      </c>
      <c r="I29" s="388">
        <f>IF(H29,Wh_hp,'2027'!Maxi_hp)</f>
        <v>32.62432731925049</v>
      </c>
      <c r="J29" s="85">
        <f>IF(H29,An,'2027'!An_max)</f>
        <v>2022</v>
      </c>
      <c r="K29" s="197">
        <f t="shared" si="3"/>
        <v>46767</v>
      </c>
      <c r="L29" s="147">
        <f>IF(t&lt;Tvie,1-EXP((T0-t)*PertePVj)+'2027'!Pspv,1-EXP((T0-t)*PertePVj)+Pspv)</f>
        <v>6.0764065111689525E-2</v>
      </c>
      <c r="M29" s="832"/>
      <c r="N29" s="832"/>
      <c r="O29" s="48">
        <f>IF(t&lt;Tnet,'2027'!Resal+('2027'!Salim-'2027'!Resal)*(1-EXP(('2027'!Tnet-t)/('2027'!Tau_j))),Resal+(Salim-Resal)*(1-EXP((Tnet-t)/(Tau_j))))*Salcycl</f>
        <v>3.6655731272327727E-2</v>
      </c>
      <c r="P29" s="169">
        <f>(INDEX(Models!$BJ29:$BT29,,T29)*(1-R29)+INDEX(Models!$BJ29:$BT29,,T29+1)*R29-ERP_i)*Q29*Ramure*Pc/MaxiM</f>
        <v>1.1599819418190428E-4</v>
      </c>
      <c r="Q29" s="304">
        <f t="shared" si="4"/>
        <v>0.6</v>
      </c>
      <c r="R29" s="177">
        <f t="shared" si="5"/>
        <v>0.47466651818451733</v>
      </c>
      <c r="S29" s="799">
        <f t="shared" si="6"/>
        <v>-1</v>
      </c>
      <c r="T29" s="176">
        <f t="shared" si="7"/>
        <v>5</v>
      </c>
      <c r="U29" s="250">
        <f t="shared" si="8"/>
        <v>-0.52533348181548267</v>
      </c>
      <c r="V29" s="382">
        <f t="shared" si="9"/>
        <v>28.61259877401578</v>
      </c>
      <c r="W29" s="400">
        <f t="shared" si="10"/>
        <v>5.8025352346707502</v>
      </c>
      <c r="X29" s="157">
        <f t="shared" si="11"/>
        <v>46767</v>
      </c>
      <c r="Y29" s="383">
        <f t="shared" si="12"/>
        <v>5.6382742493687417</v>
      </c>
      <c r="Z29" s="383">
        <f t="shared" si="22"/>
        <v>6.003043580353661</v>
      </c>
      <c r="AA29" s="384">
        <f t="shared" si="13"/>
        <v>6.4130048467412735</v>
      </c>
      <c r="AB29" s="197">
        <f t="shared" si="14"/>
        <v>46767</v>
      </c>
      <c r="AC29" s="119">
        <f>IF(OR(t&lt;Tnet,NoTnet),'2027'!Resal_s+('2027'!Salim-'2027'!Resal_s)*(1-EXP(('2027'!Tnet_s-t)/'2027'!Tau_j)),Resal_s+(Salim-Resal_s)*(1-EXP((Tnet_s-t)/Tau_j)))*Salcycl</f>
        <v>6.3926548659312452E-2</v>
      </c>
      <c r="AD29" s="230">
        <f>(INDEX(Models!$BJ29:$BT29,,AH29)*(1-AF29)+INDEX(Models!$BJ29:$BT29,,AH29+1)*AF29-ERP_i)*AE29*Ramure*Pc/MaxiM</f>
        <v>1.7224128657151244E-3</v>
      </c>
      <c r="AE29" s="304">
        <f t="shared" si="15"/>
        <v>0.6</v>
      </c>
      <c r="AF29" s="177">
        <f t="shared" si="23"/>
        <v>0.9996540845584958</v>
      </c>
      <c r="AG29" s="799">
        <f t="shared" si="24"/>
        <v>2</v>
      </c>
      <c r="AH29" s="176">
        <f t="shared" si="16"/>
        <v>8</v>
      </c>
      <c r="AI29" s="224">
        <f t="shared" si="17"/>
        <v>2.9996540845584958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46768</v>
      </c>
      <c r="B30" s="409">
        <f>IF(t&gt;Tmaj,'2027'!Wh/'2027'!Env_an*'2028'!Env_an,0.001*'[3]mon-tableau (2)'!$B$257)</f>
        <v>3.5190831918196674</v>
      </c>
      <c r="C30" s="829"/>
      <c r="D30" s="391">
        <f t="shared" si="0"/>
        <v>3.7468228214215755</v>
      </c>
      <c r="E30" s="383">
        <f t="shared" si="1"/>
        <v>3.8897569841371675</v>
      </c>
      <c r="F30" s="383">
        <f t="shared" si="2"/>
        <v>3.8897569841371675</v>
      </c>
      <c r="G30" s="110">
        <f t="shared" si="21"/>
        <v>0.12186222022262493</v>
      </c>
      <c r="H30" s="412" t="b">
        <f>Wh_hp&gt;='2027'!Maxi_hp</f>
        <v>0</v>
      </c>
      <c r="I30" s="388">
        <f>IF(H30,Wh_hp,'2027'!Maxi_hp)</f>
        <v>31.820475310957626</v>
      </c>
      <c r="J30" s="85">
        <f>IF(H30,An,'2027'!An_max)</f>
        <v>2022</v>
      </c>
      <c r="K30" s="197">
        <f t="shared" si="3"/>
        <v>46768</v>
      </c>
      <c r="L30" s="147">
        <f>IF(t&lt;Tvie,1-EXP((T0-t)*PertePVj)+'2027'!Pspv,1-EXP((T0-t)*PertePVj)+Pspv)</f>
        <v>6.0782065354107573E-2</v>
      </c>
      <c r="M30" s="832"/>
      <c r="N30" s="832"/>
      <c r="O30" s="48">
        <f>IF(t&lt;Tnet,'2027'!Resal+('2027'!Salim-'2027'!Resal)*(1-EXP(('2027'!Tnet-t)/('2027'!Tau_j))),Resal+(Salim-Resal)*(1-EXP((Tnet-t)/(Tau_j))))*Salcycl</f>
        <v>3.6746296310667226E-2</v>
      </c>
      <c r="P30" s="169">
        <f>(INDEX(Models!$BJ30:$BT30,,T30)*(1-R30)+INDEX(Models!$BJ30:$BT30,,T30+1)*R30-ERP_i)*Q30*Ramure*Pc/MaxiM</f>
        <v>1.0748072936433003E-4</v>
      </c>
      <c r="Q30" s="304">
        <f t="shared" si="4"/>
        <v>0.6</v>
      </c>
      <c r="R30" s="177">
        <f t="shared" si="5"/>
        <v>0.4747183394999106</v>
      </c>
      <c r="S30" s="799">
        <f t="shared" si="6"/>
        <v>-1</v>
      </c>
      <c r="T30" s="176">
        <f t="shared" si="7"/>
        <v>5</v>
      </c>
      <c r="U30" s="250">
        <f t="shared" si="8"/>
        <v>-0.5252816605000894</v>
      </c>
      <c r="V30" s="382">
        <f t="shared" si="9"/>
        <v>28.874453064808307</v>
      </c>
      <c r="W30" s="400">
        <f t="shared" si="10"/>
        <v>3.5190831918196674</v>
      </c>
      <c r="X30" s="157">
        <f t="shared" si="11"/>
        <v>46768</v>
      </c>
      <c r="Y30" s="383">
        <f t="shared" si="12"/>
        <v>3.419569582851532</v>
      </c>
      <c r="Z30" s="383">
        <f t="shared" si="22"/>
        <v>3.6408691281441419</v>
      </c>
      <c r="AA30" s="384">
        <f t="shared" si="13"/>
        <v>3.8897569841371675</v>
      </c>
      <c r="AB30" s="197">
        <f t="shared" si="14"/>
        <v>46768</v>
      </c>
      <c r="AC30" s="119">
        <f>IF(OR(t&lt;Tnet,NoTnet),'2027'!Resal_s+('2027'!Salim-'2027'!Resal_s)*(1-EXP(('2027'!Tnet_s-t)/'2027'!Tau_j)),Resal_s+(Salim-Resal_s)*(1-EXP((Tnet_s-t)/Tau_j)))*Salcycl</f>
        <v>6.3985451278323155E-2</v>
      </c>
      <c r="AD30" s="230">
        <f>(INDEX(Models!$BJ30:$BT30,,AH30)*(1-AF30)+INDEX(Models!$BJ30:$BT30,,AH30+1)*AF30-ERP_i)*AE30*Ramure*Pc/MaxiM</f>
        <v>1.6225865416013715E-3</v>
      </c>
      <c r="AE30" s="304">
        <f t="shared" si="15"/>
        <v>0.6</v>
      </c>
      <c r="AF30" s="177">
        <f t="shared" si="23"/>
        <v>0.9997059058738893</v>
      </c>
      <c r="AG30" s="799">
        <f t="shared" si="24"/>
        <v>2</v>
      </c>
      <c r="AH30" s="176">
        <f t="shared" si="16"/>
        <v>8</v>
      </c>
      <c r="AI30" s="224">
        <f t="shared" si="17"/>
        <v>2.9997059058738893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46769</v>
      </c>
      <c r="B31" s="409">
        <f>IF(t&gt;Tmaj,'2027'!Wh/'2027'!Env_an*'2028'!Env_an,0.001*'[3]mon-tableau (2)'!$B$258)</f>
        <v>6.6214422051117907</v>
      </c>
      <c r="C31" s="829"/>
      <c r="D31" s="391">
        <f t="shared" si="0"/>
        <v>7.0500880165470576</v>
      </c>
      <c r="E31" s="383">
        <f t="shared" si="1"/>
        <v>7.3197231747998917</v>
      </c>
      <c r="F31" s="383">
        <f t="shared" si="2"/>
        <v>7.3197231747998917</v>
      </c>
      <c r="G31" s="110">
        <f t="shared" si="21"/>
        <v>0.22718755679444394</v>
      </c>
      <c r="H31" s="412" t="b">
        <f>Wh_hp&gt;='2027'!Maxi_hp</f>
        <v>0</v>
      </c>
      <c r="I31" s="388">
        <f>IF(H31,Wh_hp,'2027'!Maxi_hp)</f>
        <v>12.614398134606729</v>
      </c>
      <c r="J31" s="85">
        <f>IF(H31,An,'2027'!An_max)</f>
        <v>2022</v>
      </c>
      <c r="K31" s="197">
        <f t="shared" si="3"/>
        <v>46769</v>
      </c>
      <c r="L31" s="147">
        <f>IF(t&lt;Tvie,1-EXP((T0-t)*PertePVj)+'2027'!Pspv,1-EXP((T0-t)*PertePVj)+Pspv)</f>
        <v>6.0800065251555013E-2</v>
      </c>
      <c r="M31" s="832"/>
      <c r="N31" s="832"/>
      <c r="O31" s="48">
        <f>IF(t&lt;Tnet,'2027'!Resal+('2027'!Salim-'2027'!Resal)*(1-EXP(('2027'!Tnet-t)/('2027'!Tau_j))),Resal+(Salim-Resal)*(1-EXP((Tnet-t)/(Tau_j))))*Salcycl</f>
        <v>3.6836797214015511E-2</v>
      </c>
      <c r="P31" s="169">
        <f>(INDEX(Models!$BJ31:$BT31,,T31)*(1-R31)+INDEX(Models!$BJ31:$BT31,,T31+1)*R31-ERP_i)*Q31*Ramure*Pc/MaxiM</f>
        <v>9.9270205517994946E-5</v>
      </c>
      <c r="Q31" s="304">
        <f t="shared" si="4"/>
        <v>0.6</v>
      </c>
      <c r="R31" s="177">
        <f t="shared" si="5"/>
        <v>0.47477232338926478</v>
      </c>
      <c r="S31" s="799">
        <f t="shared" si="6"/>
        <v>-1</v>
      </c>
      <c r="T31" s="176">
        <f t="shared" si="7"/>
        <v>5</v>
      </c>
      <c r="U31" s="250">
        <f t="shared" si="8"/>
        <v>-0.52522767661073522</v>
      </c>
      <c r="V31" s="382">
        <f t="shared" si="9"/>
        <v>29.142374637945753</v>
      </c>
      <c r="W31" s="400">
        <f t="shared" si="10"/>
        <v>6.6214422051117907</v>
      </c>
      <c r="X31" s="157">
        <f t="shared" si="11"/>
        <v>46769</v>
      </c>
      <c r="Y31" s="383">
        <f t="shared" si="12"/>
        <v>6.4343988296442154</v>
      </c>
      <c r="Z31" s="383">
        <f t="shared" si="22"/>
        <v>6.8509361974855789</v>
      </c>
      <c r="AA31" s="384">
        <f t="shared" si="13"/>
        <v>7.3197231747998917</v>
      </c>
      <c r="AB31" s="197">
        <f t="shared" si="14"/>
        <v>46769</v>
      </c>
      <c r="AC31" s="119">
        <f>IF(OR(t&lt;Tnet,NoTnet),'2027'!Resal_s+('2027'!Salim-'2027'!Resal_s)*(1-EXP(('2027'!Tnet_s-t)/'2027'!Tau_j)),Resal_s+(Salim-Resal_s)*(1-EXP((Tnet_s-t)/Tau_j)))*Salcycl</f>
        <v>6.4044358798736739E-2</v>
      </c>
      <c r="AD31" s="230">
        <f>(INDEX(Models!$BJ31:$BT31,,AH31)*(1-AF31)+INDEX(Models!$BJ31:$BT31,,AH31+1)*AF31-ERP_i)*AE31*Ramure*Pc/MaxiM</f>
        <v>1.5240830364046999E-3</v>
      </c>
      <c r="AE31" s="304">
        <f t="shared" si="15"/>
        <v>0.6</v>
      </c>
      <c r="AF31" s="177">
        <f t="shared" si="23"/>
        <v>0.99975988976324315</v>
      </c>
      <c r="AG31" s="799">
        <f t="shared" si="24"/>
        <v>2</v>
      </c>
      <c r="AH31" s="176">
        <f t="shared" si="16"/>
        <v>8</v>
      </c>
      <c r="AI31" s="224">
        <f t="shared" si="17"/>
        <v>2.9997598897632431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46770</v>
      </c>
      <c r="B32" s="409">
        <f>IF(t&gt;Tmaj,'2027'!Wh/'2027'!Env_an*'2028'!Env_an,0.001*'[3]mon-tableau (2)'!$B$259)</f>
        <v>18.963664281292669</v>
      </c>
      <c r="C32" s="829"/>
      <c r="D32" s="391">
        <f t="shared" si="0"/>
        <v>20.191683390221808</v>
      </c>
      <c r="E32" s="383">
        <f t="shared" si="1"/>
        <v>20.965895977652295</v>
      </c>
      <c r="F32" s="383">
        <f t="shared" si="2"/>
        <v>20.966839251275267</v>
      </c>
      <c r="G32" s="110">
        <f t="shared" si="21"/>
        <v>0.64465249700147575</v>
      </c>
      <c r="H32" s="412" t="b">
        <f>Wh_hp&gt;='2027'!Maxi_hp</f>
        <v>0</v>
      </c>
      <c r="I32" s="388">
        <f>IF(H32,Wh_hp,'2027'!Maxi_hp)</f>
        <v>30.661484813289494</v>
      </c>
      <c r="J32" s="85">
        <f>IF(H32,An,'2027'!An_max)</f>
        <v>2021</v>
      </c>
      <c r="K32" s="197">
        <f t="shared" si="3"/>
        <v>46770</v>
      </c>
      <c r="L32" s="147">
        <f>IF(t&lt;Tvie,1-EXP((T0-t)*PertePVj)+'2027'!Pspv,1-EXP((T0-t)*PertePVj)+Pspv)</f>
        <v>6.0818064804038507E-2</v>
      </c>
      <c r="M32" s="832"/>
      <c r="N32" s="832"/>
      <c r="O32" s="48">
        <f>IF(t&lt;Tnet,'2027'!Resal+('2027'!Salim-'2027'!Resal)*(1-EXP(('2027'!Tnet-t)/('2027'!Tau_j))),Resal+(Salim-Resal)*(1-EXP((Tnet-t)/(Tau_j))))*Salcycl</f>
        <v>3.6927235938579731E-2</v>
      </c>
      <c r="P32" s="169">
        <f>(INDEX(Models!$BJ32:$BT32,,T32)*(1-R32)+INDEX(Models!$BJ32:$BT32,,T32+1)*R32-ERP_i)*Q32*Ramure*Pc/MaxiM</f>
        <v>9.1365799861639613E-5</v>
      </c>
      <c r="Q32" s="304">
        <f t="shared" si="4"/>
        <v>0.6</v>
      </c>
      <c r="R32" s="177">
        <f t="shared" si="5"/>
        <v>0.47482855960140646</v>
      </c>
      <c r="S32" s="799">
        <f t="shared" si="6"/>
        <v>-1</v>
      </c>
      <c r="T32" s="176">
        <f t="shared" si="7"/>
        <v>5</v>
      </c>
      <c r="U32" s="250">
        <f t="shared" si="8"/>
        <v>-0.52517144039859354</v>
      </c>
      <c r="V32" s="382">
        <f t="shared" si="9"/>
        <v>29.415514331661498</v>
      </c>
      <c r="W32" s="400">
        <f t="shared" si="10"/>
        <v>18.963664281292669</v>
      </c>
      <c r="X32" s="157">
        <f t="shared" si="11"/>
        <v>46770</v>
      </c>
      <c r="Y32" s="383">
        <f t="shared" si="12"/>
        <v>18.41642643250195</v>
      </c>
      <c r="Z32" s="383">
        <f t="shared" si="22"/>
        <v>19.609008374569449</v>
      </c>
      <c r="AA32" s="384">
        <f t="shared" si="13"/>
        <v>20.952107035520864</v>
      </c>
      <c r="AB32" s="197">
        <f t="shared" si="14"/>
        <v>46770</v>
      </c>
      <c r="AC32" s="119">
        <f>IF(OR(t&lt;Tnet,NoTnet),'2027'!Resal_s+('2027'!Salim-'2027'!Resal_s)*(1-EXP(('2027'!Tnet_s-t)/'2027'!Tau_j)),Resal_s+(Salim-Resal_s)*(1-EXP((Tnet_s-t)/Tau_j)))*Salcycl</f>
        <v>6.4103274132497098E-2</v>
      </c>
      <c r="AD32" s="230">
        <f>(INDEX(Models!$BJ32:$BT32,,AH32)*(1-AF32)+INDEX(Models!$BJ32:$BT32,,AH32+1)*AF32-ERP_i)*AE32*Ramure*Pc/MaxiM</f>
        <v>1.4269673648810448E-3</v>
      </c>
      <c r="AE32" s="304">
        <f t="shared" si="15"/>
        <v>0.6</v>
      </c>
      <c r="AF32" s="177">
        <f t="shared" si="23"/>
        <v>0.99981612597538483</v>
      </c>
      <c r="AG32" s="799">
        <f t="shared" si="24"/>
        <v>2</v>
      </c>
      <c r="AH32" s="176">
        <f t="shared" si="16"/>
        <v>8</v>
      </c>
      <c r="AI32" s="224">
        <f t="shared" si="17"/>
        <v>2.9998161259753848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46771</v>
      </c>
      <c r="B33" s="409">
        <f>IF(t&gt;Tmaj,'2027'!Wh/'2027'!Env_an*'2028'!Env_an,0.001*'[3]mon-tableau (2)'!$B$260)</f>
        <v>9.9652823096421415</v>
      </c>
      <c r="C33" s="829"/>
      <c r="D33" s="391">
        <f t="shared" si="0"/>
        <v>10.610801722442686</v>
      </c>
      <c r="E33" s="383">
        <f t="shared" si="1"/>
        <v>11.018687240290166</v>
      </c>
      <c r="F33" s="383">
        <f t="shared" si="2"/>
        <v>11.018734194408305</v>
      </c>
      <c r="G33" s="110">
        <f t="shared" si="21"/>
        <v>0.33558354456462941</v>
      </c>
      <c r="H33" s="412" t="b">
        <f>Wh_hp&gt;='2027'!Maxi_hp</f>
        <v>0</v>
      </c>
      <c r="I33" s="388">
        <f>IF(H33,Wh_hp,'2027'!Maxi_hp)</f>
        <v>33.4781759439336</v>
      </c>
      <c r="J33" s="85">
        <f>IF(H33,An,'2027'!An_max)</f>
        <v>2021</v>
      </c>
      <c r="K33" s="197">
        <f t="shared" si="3"/>
        <v>46771</v>
      </c>
      <c r="L33" s="147">
        <f>IF(t&lt;Tvie,1-EXP((T0-t)*PertePVj)+'2027'!Pspv,1-EXP((T0-t)*PertePVj)+Pspv)</f>
        <v>6.0836064011564717E-2</v>
      </c>
      <c r="M33" s="832"/>
      <c r="N33" s="832"/>
      <c r="O33" s="48">
        <f>IF(t&lt;Tnet,'2027'!Resal+('2027'!Salim-'2027'!Resal)*(1-EXP(('2027'!Tnet-t)/('2027'!Tau_j))),Resal+(Salim-Resal)*(1-EXP((Tnet-t)/(Tau_j))))*Salcycl</f>
        <v>3.7017614617105621E-2</v>
      </c>
      <c r="P33" s="169">
        <f>(INDEX(Models!$BJ33:$BT33,,T33)*(1-R33)+INDEX(Models!$BJ33:$BT33,,T33+1)*R33-ERP_i)*Q33*Ramure*Pc/MaxiM</f>
        <v>8.3765517951266453E-5</v>
      </c>
      <c r="Q33" s="304">
        <f t="shared" si="4"/>
        <v>0.6</v>
      </c>
      <c r="R33" s="177">
        <f t="shared" si="5"/>
        <v>0.4748871415672673</v>
      </c>
      <c r="S33" s="799">
        <f t="shared" si="6"/>
        <v>-1</v>
      </c>
      <c r="T33" s="176">
        <f t="shared" si="7"/>
        <v>5</v>
      </c>
      <c r="U33" s="250">
        <f t="shared" si="8"/>
        <v>-0.5251128584327327</v>
      </c>
      <c r="V33" s="382">
        <f t="shared" si="9"/>
        <v>29.693023348937437</v>
      </c>
      <c r="W33" s="400">
        <f t="shared" si="10"/>
        <v>9.9652823096421415</v>
      </c>
      <c r="X33" s="157">
        <f t="shared" si="11"/>
        <v>46771</v>
      </c>
      <c r="Y33" s="383">
        <f t="shared" si="12"/>
        <v>9.6837659247895314</v>
      </c>
      <c r="Z33" s="383">
        <f t="shared" si="22"/>
        <v>10.311049598170234</v>
      </c>
      <c r="AA33" s="384">
        <f t="shared" si="13"/>
        <v>11.017987949927713</v>
      </c>
      <c r="AB33" s="197">
        <f t="shared" si="14"/>
        <v>46771</v>
      </c>
      <c r="AC33" s="119">
        <f>IF(OR(t&lt;Tnet,NoTnet),'2027'!Resal_s+('2027'!Salim-'2027'!Resal_s)*(1-EXP(('2027'!Tnet_s-t)/'2027'!Tau_j)),Resal_s+(Salim-Resal_s)*(1-EXP((Tnet_s-t)/Tau_j)))*Salcycl</f>
        <v>6.4162200482540746E-2</v>
      </c>
      <c r="AD33" s="230">
        <f>(INDEX(Models!$BJ33:$BT33,,AH33)*(1-AF33)+INDEX(Models!$BJ33:$BT33,,AH33+1)*AF33-ERP_i)*AE33*Ramure*Pc/MaxiM</f>
        <v>1.3312901596773681E-3</v>
      </c>
      <c r="AE33" s="304">
        <f t="shared" si="15"/>
        <v>0.6</v>
      </c>
      <c r="AF33" s="177">
        <f t="shared" si="23"/>
        <v>0.99987470794124578</v>
      </c>
      <c r="AG33" s="799">
        <f t="shared" si="24"/>
        <v>2</v>
      </c>
      <c r="AH33" s="176">
        <f t="shared" si="16"/>
        <v>8</v>
      </c>
      <c r="AI33" s="224">
        <f t="shared" si="17"/>
        <v>2.9998747079412458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46772</v>
      </c>
      <c r="B34" s="409">
        <f>IF(t&gt;Tmaj,'2027'!Wh/'2027'!Env_an*'2028'!Env_an,0.001*'[3]mon-tableau (2)'!$B$261)</f>
        <v>17.865151721269893</v>
      </c>
      <c r="C34" s="829"/>
      <c r="D34" s="391">
        <f t="shared" si="0"/>
        <v>19.022764210580501</v>
      </c>
      <c r="E34" s="383">
        <f t="shared" si="1"/>
        <v>19.755863519520474</v>
      </c>
      <c r="F34" s="383">
        <f t="shared" si="2"/>
        <v>19.756502380760722</v>
      </c>
      <c r="G34" s="110">
        <f t="shared" si="21"/>
        <v>0.59599424698495818</v>
      </c>
      <c r="H34" s="412" t="b">
        <f>Wh_hp&gt;='2027'!Maxi_hp</f>
        <v>0</v>
      </c>
      <c r="I34" s="388">
        <f>IF(H34,Wh_hp,'2027'!Maxi_hp)</f>
        <v>19.757140158063468</v>
      </c>
      <c r="J34" s="85">
        <f>IF(H34,An,'2027'!An_max)</f>
        <v>2027</v>
      </c>
      <c r="K34" s="197">
        <f t="shared" si="3"/>
        <v>46772</v>
      </c>
      <c r="L34" s="147">
        <f>IF(t&lt;Tvie,1-EXP((T0-t)*PertePVj)+'2027'!Pspv,1-EXP((T0-t)*PertePVj)+Pspv)</f>
        <v>6.0854062874140191E-2</v>
      </c>
      <c r="M34" s="832"/>
      <c r="N34" s="832"/>
      <c r="O34" s="48">
        <f>IF(t&lt;Tnet,'2027'!Resal+('2027'!Salim-'2027'!Resal)*(1-EXP(('2027'!Tnet-t)/('2027'!Tau_j))),Resal+(Salim-Resal)*(1-EXP((Tnet-t)/(Tau_j))))*Salcycl</f>
        <v>3.7107935485361634E-2</v>
      </c>
      <c r="P34" s="169">
        <f>(INDEX(Models!$BJ34:$BT34,,T34)*(1-R34)+INDEX(Models!$BJ34:$BT34,,T34+1)*R34-ERP_i)*Q34*Ramure*Pc/MaxiM</f>
        <v>7.646675448403533E-5</v>
      </c>
      <c r="Q34" s="304">
        <f t="shared" si="4"/>
        <v>0.6</v>
      </c>
      <c r="R34" s="177">
        <f t="shared" si="5"/>
        <v>0.47494816654730998</v>
      </c>
      <c r="S34" s="799">
        <f t="shared" si="6"/>
        <v>-1</v>
      </c>
      <c r="T34" s="176">
        <f t="shared" si="7"/>
        <v>5</v>
      </c>
      <c r="U34" s="250">
        <f t="shared" si="8"/>
        <v>-0.52505183345269002</v>
      </c>
      <c r="V34" s="382">
        <f t="shared" si="9"/>
        <v>29.974053268247076</v>
      </c>
      <c r="W34" s="400">
        <f t="shared" si="10"/>
        <v>17.865151721269893</v>
      </c>
      <c r="X34" s="157">
        <f t="shared" si="11"/>
        <v>46772</v>
      </c>
      <c r="Y34" s="383">
        <f t="shared" si="12"/>
        <v>17.35358124864787</v>
      </c>
      <c r="Z34" s="383">
        <f t="shared" si="22"/>
        <v>18.478045384252379</v>
      </c>
      <c r="AA34" s="384">
        <f t="shared" si="13"/>
        <v>19.746166747359293</v>
      </c>
      <c r="AB34" s="197">
        <f t="shared" si="14"/>
        <v>46772</v>
      </c>
      <c r="AC34" s="119">
        <f>IF(OR(t&lt;Tnet,NoTnet),'2027'!Resal_s+('2027'!Salim-'2027'!Resal_s)*(1-EXP(('2027'!Tnet_s-t)/'2027'!Tau_j)),Resal_s+(Salim-Resal_s)*(1-EXP((Tnet_s-t)/Tau_j)))*Salcycl</f>
        <v>6.4221141213471333E-2</v>
      </c>
      <c r="AD34" s="230">
        <f>(INDEX(Models!$BJ34:$BT34,,AH34)*(1-AF34)+INDEX(Models!$BJ34:$BT34,,AH34+1)*AF34-ERP_i)*AE34*Ramure*Pc/MaxiM</f>
        <v>1.2370954629142125E-3</v>
      </c>
      <c r="AE34" s="304">
        <f t="shared" si="15"/>
        <v>0.6</v>
      </c>
      <c r="AF34" s="177">
        <f t="shared" si="23"/>
        <v>0.99993573292128834</v>
      </c>
      <c r="AG34" s="799">
        <f t="shared" si="24"/>
        <v>2</v>
      </c>
      <c r="AH34" s="176">
        <f t="shared" si="16"/>
        <v>8</v>
      </c>
      <c r="AI34" s="224">
        <f t="shared" si="17"/>
        <v>2.9999357329212883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46773</v>
      </c>
      <c r="B35" s="409">
        <f>IF(t&gt;Tmaj,'2027'!Wh/'2027'!Env_an*'2028'!Env_an,0.001*'[3]mon-tableau (2)'!$B$262)</f>
        <v>6.4977998590742381</v>
      </c>
      <c r="C35" s="829"/>
      <c r="D35" s="391">
        <f t="shared" si="0"/>
        <v>6.9189719440184758</v>
      </c>
      <c r="E35" s="383">
        <f t="shared" si="1"/>
        <v>7.1862889639864491</v>
      </c>
      <c r="F35" s="383">
        <f t="shared" si="2"/>
        <v>7.1862889639864491</v>
      </c>
      <c r="G35" s="110">
        <f t="shared" si="21"/>
        <v>0.21473332240113011</v>
      </c>
      <c r="H35" s="412" t="b">
        <f>Wh_hp&gt;='2027'!Maxi_hp</f>
        <v>0</v>
      </c>
      <c r="I35" s="388">
        <f>IF(H35,Wh_hp,'2027'!Maxi_hp)</f>
        <v>24.694624919253947</v>
      </c>
      <c r="J35" s="85">
        <f>IF(H35,An,'2027'!An_max)</f>
        <v>2022</v>
      </c>
      <c r="K35" s="197">
        <f t="shared" si="3"/>
        <v>46773</v>
      </c>
      <c r="L35" s="147">
        <f>IF(t&lt;Tvie,1-EXP((T0-t)*PertePVj)+'2027'!Pspv,1-EXP((T0-t)*PertePVj)+Pspv)</f>
        <v>6.0872061391771592E-2</v>
      </c>
      <c r="M35" s="832"/>
      <c r="N35" s="832"/>
      <c r="O35" s="48">
        <f>IF(t&lt;Tnet,'2027'!Resal+('2027'!Salim-'2027'!Resal)*(1-EXP(('2027'!Tnet-t)/('2027'!Tau_j))),Resal+(Salim-Resal)*(1-EXP((Tnet-t)/(Tau_j))))*Salcycl</f>
        <v>3.7198200810962728E-2</v>
      </c>
      <c r="P35" s="169">
        <f>(INDEX(Models!$BJ35:$BT35,,T35)*(1-R35)+INDEX(Models!$BJ35:$BT35,,T35+1)*R35-ERP_i)*Q35*Ramure*Pc/MaxiM</f>
        <v>6.9466015389832517E-5</v>
      </c>
      <c r="Q35" s="304">
        <f t="shared" si="4"/>
        <v>0.6</v>
      </c>
      <c r="R35" s="177">
        <f t="shared" si="5"/>
        <v>0.47501173578454614</v>
      </c>
      <c r="S35" s="799">
        <f t="shared" si="6"/>
        <v>-1</v>
      </c>
      <c r="T35" s="176">
        <f t="shared" si="7"/>
        <v>5</v>
      </c>
      <c r="U35" s="250">
        <f t="shared" si="8"/>
        <v>-0.52498826421545386</v>
      </c>
      <c r="V35" s="382">
        <f t="shared" si="9"/>
        <v>30.257756039707385</v>
      </c>
      <c r="W35" s="400">
        <f t="shared" si="10"/>
        <v>6.4977998590742381</v>
      </c>
      <c r="X35" s="157">
        <f t="shared" si="11"/>
        <v>46773</v>
      </c>
      <c r="Y35" s="383">
        <f t="shared" si="12"/>
        <v>6.315028327995508</v>
      </c>
      <c r="Z35" s="383">
        <f t="shared" si="22"/>
        <v>6.7243535927109912</v>
      </c>
      <c r="AA35" s="384">
        <f t="shared" si="13"/>
        <v>7.1862889639864491</v>
      </c>
      <c r="AB35" s="197">
        <f t="shared" si="14"/>
        <v>46773</v>
      </c>
      <c r="AC35" s="119">
        <f>IF(OR(t&lt;Tnet,NoTnet),'2027'!Resal_s+('2027'!Salim-'2027'!Resal_s)*(1-EXP(('2027'!Tnet_s-t)/'2027'!Tau_j)),Resal_s+(Salim-Resal_s)*(1-EXP((Tnet_s-t)/Tau_j)))*Salcycl</f>
        <v>6.4280099727468815E-2</v>
      </c>
      <c r="AD35" s="230">
        <f>(INDEX(Models!$BJ35:$BT35,,AH35)*(1-AF35)+INDEX(Models!$BJ35:$BT35,,AH35+1)*AF35-ERP_i)*AE35*Ramure*Pc/MaxiM</f>
        <v>1.1444155614798656E-3</v>
      </c>
      <c r="AE35" s="304">
        <f t="shared" si="15"/>
        <v>0.6</v>
      </c>
      <c r="AF35" s="177">
        <f t="shared" si="23"/>
        <v>0.99999930215852473</v>
      </c>
      <c r="AG35" s="799">
        <f t="shared" si="24"/>
        <v>2</v>
      </c>
      <c r="AH35" s="176">
        <f t="shared" si="16"/>
        <v>8</v>
      </c>
      <c r="AI35" s="224">
        <f t="shared" si="17"/>
        <v>2.9999993021585247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46774</v>
      </c>
      <c r="B36" s="409">
        <f>IF(t&gt;Tmaj,'2027'!Wh/'2027'!Env_an*'2028'!Env_an,0.001*'[3]mon-tableau (2)'!$B$263)</f>
        <v>30.629297188561537</v>
      </c>
      <c r="C36" s="829"/>
      <c r="D36" s="391">
        <f t="shared" si="0"/>
        <v>32.615241165860169</v>
      </c>
      <c r="E36" s="383">
        <f t="shared" si="1"/>
        <v>33.878517305038798</v>
      </c>
      <c r="F36" s="383">
        <f t="shared" si="2"/>
        <v>33.880643604916138</v>
      </c>
      <c r="G36" s="110">
        <f t="shared" si="21"/>
        <v>1.0028161076790945</v>
      </c>
      <c r="H36" s="412" t="b">
        <f>Wh_hp&gt;='2027'!Maxi_hp</f>
        <v>1</v>
      </c>
      <c r="I36" s="388">
        <f>IF(H36,Wh_hp,'2027'!Maxi_hp)</f>
        <v>33.880643604916138</v>
      </c>
      <c r="J36" s="85">
        <f>IF(H36,An,'2027'!An_max)</f>
        <v>2028</v>
      </c>
      <c r="K36" s="197">
        <f t="shared" si="3"/>
        <v>46774</v>
      </c>
      <c r="L36" s="147">
        <f>IF(t&lt;Tvie,1-EXP((T0-t)*PertePVj)+'2027'!Pspv,1-EXP((T0-t)*PertePVj)+Pspv)</f>
        <v>6.0890059564465471E-2</v>
      </c>
      <c r="M36" s="832"/>
      <c r="N36" s="832"/>
      <c r="O36" s="48">
        <f>IF(t&lt;Tnet,'2027'!Resal+('2027'!Salim-'2027'!Resal)*(1-EXP(('2027'!Tnet-t)/('2027'!Tau_j))),Resal+(Salim-Resal)*(1-EXP((Tnet-t)/(Tau_j))))*Salcycl</f>
        <v>3.7288412825278519E-2</v>
      </c>
      <c r="P36" s="169">
        <f>(INDEX(Models!$BJ36:$BT36,,T36)*(1-R36)+INDEX(Models!$BJ36:$BT36,,T36+1)*R36-ERP_i)*Q36*Ramure*Pc/MaxiM</f>
        <v>6.2758544440112864E-5</v>
      </c>
      <c r="Q36" s="304">
        <f t="shared" si="4"/>
        <v>0.6</v>
      </c>
      <c r="R36" s="177">
        <f t="shared" si="5"/>
        <v>0.47507795466332825</v>
      </c>
      <c r="S36" s="799">
        <f t="shared" si="6"/>
        <v>-1</v>
      </c>
      <c r="T36" s="176">
        <f t="shared" si="7"/>
        <v>5</v>
      </c>
      <c r="U36" s="250">
        <f t="shared" si="8"/>
        <v>-0.52492204533667175</v>
      </c>
      <c r="V36" s="382">
        <f t="shared" si="9"/>
        <v>30.543284011910831</v>
      </c>
      <c r="W36" s="400">
        <f t="shared" si="10"/>
        <v>30.629297188561537</v>
      </c>
      <c r="X36" s="157">
        <f t="shared" si="11"/>
        <v>46774</v>
      </c>
      <c r="Y36" s="383">
        <f t="shared" si="12"/>
        <v>29.739174326608314</v>
      </c>
      <c r="Z36" s="383">
        <f t="shared" si="22"/>
        <v>31.667404471105979</v>
      </c>
      <c r="AA36" s="384">
        <f t="shared" si="13"/>
        <v>33.844957903118747</v>
      </c>
      <c r="AB36" s="197">
        <f t="shared" si="14"/>
        <v>46774</v>
      </c>
      <c r="AC36" s="119">
        <f>IF(OR(t&lt;Tnet,NoTnet),'2027'!Resal_s+('2027'!Salim-'2027'!Resal_s)*(1-EXP(('2027'!Tnet_s-t)/'2027'!Tau_j)),Resal_s+(Salim-Resal_s)*(1-EXP((Tnet_s-t)/Tau_j)))*Salcycl</f>
        <v>6.433907934664948E-2</v>
      </c>
      <c r="AD36" s="230">
        <f>(INDEX(Models!$BJ36:$BT36,,AH36)*(1-AF36)+INDEX(Models!$BJ36:$BT36,,AH36+1)*AF36-ERP_i)*AE36*Ramure*Pc/MaxiM</f>
        <v>1.0532769747093906E-3</v>
      </c>
      <c r="AE36" s="304">
        <f t="shared" si="15"/>
        <v>0.6</v>
      </c>
      <c r="AF36" s="177">
        <f t="shared" si="23"/>
        <v>6.5521037306837115E-5</v>
      </c>
      <c r="AG36" s="799">
        <f t="shared" si="24"/>
        <v>3</v>
      </c>
      <c r="AH36" s="176">
        <f t="shared" si="16"/>
        <v>9</v>
      </c>
      <c r="AI36" s="224">
        <f t="shared" si="17"/>
        <v>3.0000655210373068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46775</v>
      </c>
      <c r="B37" s="409">
        <f>IF(t&gt;Tmaj,'2027'!Wh/'2027'!Env_an*'2028'!Env_an,0.001*'[3]mon-tableau (2)'!$B$264)</f>
        <v>30.528353869777526</v>
      </c>
      <c r="C37" s="829"/>
      <c r="D37" s="391">
        <f t="shared" si="0"/>
        <v>32.508375894487088</v>
      </c>
      <c r="E37" s="383">
        <f t="shared" si="1"/>
        <v>33.770675579140352</v>
      </c>
      <c r="F37" s="383">
        <f t="shared" si="2"/>
        <v>33.772551145677213</v>
      </c>
      <c r="G37" s="110">
        <f t="shared" si="21"/>
        <v>0.9900996197066213</v>
      </c>
      <c r="H37" s="412" t="b">
        <f>Wh_hp&gt;='2027'!Maxi_hp</f>
        <v>0</v>
      </c>
      <c r="I37" s="388">
        <f>IF(H37,Wh_hp,'2027'!Maxi_hp)</f>
        <v>33.772570832155473</v>
      </c>
      <c r="J37" s="85">
        <f>IF(H37,An,'2027'!An_max)</f>
        <v>2027</v>
      </c>
      <c r="K37" s="197">
        <f t="shared" si="3"/>
        <v>46775</v>
      </c>
      <c r="L37" s="147">
        <f>IF(t&lt;Tvie,1-EXP((T0-t)*PertePVj)+'2027'!Pspv,1-EXP((T0-t)*PertePVj)+Pspv)</f>
        <v>6.0908057392228598E-2</v>
      </c>
      <c r="M37" s="832"/>
      <c r="N37" s="832"/>
      <c r="O37" s="48">
        <f>IF(t&lt;Tnet,'2027'!Resal+('2027'!Salim-'2027'!Resal)*(1-EXP(('2027'!Tnet-t)/('2027'!Tau_j))),Resal+(Salim-Resal)*(1-EXP((Tnet-t)/(Tau_j))))*Salcycl</f>
        <v>3.7378573659123726E-2</v>
      </c>
      <c r="P37" s="169">
        <f>(INDEX(Models!$BJ37:$BT37,,T37)*(1-R37)+INDEX(Models!$BJ37:$BT37,,T37+1)*R37-ERP_i)*Q37*Ramure*Pc/MaxiM</f>
        <v>5.6331895255352571E-5</v>
      </c>
      <c r="Q37" s="304">
        <f t="shared" si="4"/>
        <v>0.6</v>
      </c>
      <c r="R37" s="177">
        <f t="shared" si="5"/>
        <v>0.47514693287410559</v>
      </c>
      <c r="S37" s="799">
        <f t="shared" si="6"/>
        <v>-1</v>
      </c>
      <c r="T37" s="176">
        <f t="shared" si="7"/>
        <v>5</v>
      </c>
      <c r="U37" s="250">
        <f t="shared" si="8"/>
        <v>-0.52485306712589441</v>
      </c>
      <c r="V37" s="382">
        <f t="shared" si="9"/>
        <v>30.833593852628287</v>
      </c>
      <c r="W37" s="400">
        <f t="shared" si="10"/>
        <v>30.528353869777526</v>
      </c>
      <c r="X37" s="157">
        <f t="shared" si="11"/>
        <v>46775</v>
      </c>
      <c r="Y37" s="383">
        <f t="shared" si="12"/>
        <v>29.644924137138464</v>
      </c>
      <c r="Z37" s="383">
        <f t="shared" si="22"/>
        <v>31.567648269686195</v>
      </c>
      <c r="AA37" s="384">
        <f t="shared" si="13"/>
        <v>33.740469854697352</v>
      </c>
      <c r="AB37" s="197">
        <f t="shared" si="14"/>
        <v>46775</v>
      </c>
      <c r="AC37" s="119">
        <f>IF(OR(t&lt;Tnet,NoTnet),'2027'!Resal_s+('2027'!Salim-'2027'!Resal_s)*(1-EXP(('2027'!Tnet_s-t)/'2027'!Tau_j)),Resal_s+(Salim-Resal_s)*(1-EXP((Tnet_s-t)/Tau_j)))*Salcycl</f>
        <v>6.4398083203001347E-2</v>
      </c>
      <c r="AD37" s="230">
        <f>(INDEX(Models!$BJ37:$BT37,,AH37)*(1-AF37)+INDEX(Models!$BJ37:$BT37,,AH37+1)*AF37-ERP_i)*AE37*Ramure*Pc/MaxiM</f>
        <v>9.6354881984511459E-4</v>
      </c>
      <c r="AE37" s="304">
        <f t="shared" si="15"/>
        <v>0.6</v>
      </c>
      <c r="AF37" s="177">
        <f t="shared" si="23"/>
        <v>1.3449924808384139E-4</v>
      </c>
      <c r="AG37" s="799">
        <f t="shared" si="24"/>
        <v>3</v>
      </c>
      <c r="AH37" s="176">
        <f t="shared" si="16"/>
        <v>9</v>
      </c>
      <c r="AI37" s="224">
        <f t="shared" si="17"/>
        <v>3.0001344992480838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46776</v>
      </c>
      <c r="B38" s="409">
        <f>IF(t&gt;Tmaj,'2027'!Wh/'2027'!Env_an*'2028'!Env_an,0.001*'[3]mon-tableau (2)'!$B$265)</f>
        <v>31.521750866890837</v>
      </c>
      <c r="C38" s="829"/>
      <c r="D38" s="391">
        <f t="shared" si="0"/>
        <v>33.566846392162695</v>
      </c>
      <c r="E38" s="383">
        <f t="shared" si="1"/>
        <v>34.873511000551332</v>
      </c>
      <c r="F38" s="383">
        <f t="shared" si="2"/>
        <v>34.875269429553484</v>
      </c>
      <c r="G38" s="110">
        <f t="shared" si="21"/>
        <v>1.012529757282697</v>
      </c>
      <c r="H38" s="412" t="b">
        <f>Wh_hp&gt;='2027'!Maxi_hp</f>
        <v>1</v>
      </c>
      <c r="I38" s="388">
        <f>IF(H38,Wh_hp,'2027'!Maxi_hp)</f>
        <v>34.875269429553484</v>
      </c>
      <c r="J38" s="85">
        <f>IF(H38,An,'2027'!An_max)</f>
        <v>2028</v>
      </c>
      <c r="K38" s="197">
        <f t="shared" si="3"/>
        <v>46776</v>
      </c>
      <c r="L38" s="147">
        <f>IF(t&lt;Tvie,1-EXP((T0-t)*PertePVj)+'2027'!Pspv,1-EXP((T0-t)*PertePVj)+Pspv)</f>
        <v>6.0926054875067304E-2</v>
      </c>
      <c r="M38" s="832"/>
      <c r="N38" s="832"/>
      <c r="O38" s="48">
        <f>IF(t&lt;Tnet,'2027'!Resal+('2027'!Salim-'2027'!Resal)*(1-EXP(('2027'!Tnet-t)/('2027'!Tau_j))),Resal+(Salim-Resal)*(1-EXP((Tnet-t)/(Tau_j))))*Salcycl</f>
        <v>3.7468685282877848E-2</v>
      </c>
      <c r="P38" s="169">
        <f>(INDEX(Models!$BJ38:$BT38,,T38)*(1-R38)+INDEX(Models!$BJ38:$BT38,,T38+1)*R38-ERP_i)*Q38*Ramure*Pc/MaxiM</f>
        <v>5.0420513759900259E-5</v>
      </c>
      <c r="Q38" s="304">
        <f t="shared" si="4"/>
        <v>0.6</v>
      </c>
      <c r="R38" s="177">
        <f t="shared" si="5"/>
        <v>0.47521878458433509</v>
      </c>
      <c r="S38" s="799">
        <f t="shared" si="6"/>
        <v>-1</v>
      </c>
      <c r="T38" s="176">
        <f t="shared" si="7"/>
        <v>5</v>
      </c>
      <c r="U38" s="250">
        <f t="shared" si="8"/>
        <v>-0.52478121541566491</v>
      </c>
      <c r="V38" s="382">
        <f t="shared" si="9"/>
        <v>31.131678491588278</v>
      </c>
      <c r="W38" s="400">
        <f t="shared" si="10"/>
        <v>31.521750866890837</v>
      </c>
      <c r="X38" s="157">
        <f t="shared" si="11"/>
        <v>46776</v>
      </c>
      <c r="Y38" s="383">
        <f t="shared" si="12"/>
        <v>30.612567160200648</v>
      </c>
      <c r="Z38" s="383">
        <f t="shared" si="22"/>
        <v>32.598675875442382</v>
      </c>
      <c r="AA38" s="384">
        <f t="shared" si="13"/>
        <v>34.844662246956773</v>
      </c>
      <c r="AB38" s="197">
        <f t="shared" si="14"/>
        <v>46776</v>
      </c>
      <c r="AC38" s="119">
        <f>IF(OR(t&lt;Tnet,NoTnet),'2027'!Resal_s+('2027'!Salim-'2027'!Resal_s)*(1-EXP(('2027'!Tnet_s-t)/'2027'!Tau_j)),Resal_s+(Salim-Resal_s)*(1-EXP((Tnet_s-t)/Tau_j)))*Salcycl</f>
        <v>6.4457114136916349E-2</v>
      </c>
      <c r="AD38" s="230">
        <f>(INDEX(Models!$BJ38:$BT38,,AH38)*(1-AF38)+INDEX(Models!$BJ38:$BT38,,AH38+1)*AF38-ERP_i)*AE38*Ramure*Pc/MaxiM</f>
        <v>8.776185273215607E-4</v>
      </c>
      <c r="AE38" s="304">
        <f t="shared" si="15"/>
        <v>0.6</v>
      </c>
      <c r="AF38" s="177">
        <f t="shared" si="23"/>
        <v>2.0635095831345041E-4</v>
      </c>
      <c r="AG38" s="799">
        <f t="shared" si="24"/>
        <v>3</v>
      </c>
      <c r="AH38" s="176">
        <f t="shared" si="16"/>
        <v>9</v>
      </c>
      <c r="AI38" s="224">
        <f t="shared" si="17"/>
        <v>3.0002063509583135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46777</v>
      </c>
      <c r="B39" s="409">
        <f>IF(t&gt;Tmaj,'2027'!Wh/'2027'!Env_an*'2028'!Env_an,0.001*'[3]mon-tableau (2)'!$B$266)</f>
        <v>29.180477925554257</v>
      </c>
      <c r="C39" s="829"/>
      <c r="D39" s="391">
        <f t="shared" si="0"/>
        <v>31.074269843140236</v>
      </c>
      <c r="E39" s="383">
        <f t="shared" si="1"/>
        <v>32.286926423233403</v>
      </c>
      <c r="F39" s="383">
        <f t="shared" si="2"/>
        <v>32.288231889137393</v>
      </c>
      <c r="G39" s="110">
        <f t="shared" si="21"/>
        <v>0.92822375101924925</v>
      </c>
      <c r="H39" s="412" t="b">
        <f>Wh_hp&gt;='2027'!Maxi_hp</f>
        <v>0</v>
      </c>
      <c r="I39" s="388">
        <f>IF(H39,Wh_hp,'2027'!Maxi_hp)</f>
        <v>32.288340093913007</v>
      </c>
      <c r="J39" s="85">
        <f>IF(H39,An,'2027'!An_max)</f>
        <v>2027</v>
      </c>
      <c r="K39" s="197">
        <f t="shared" si="3"/>
        <v>46777</v>
      </c>
      <c r="L39" s="147">
        <f>IF(t&lt;Tvie,1-EXP((T0-t)*PertePVj)+'2027'!Pspv,1-EXP((T0-t)*PertePVj)+Pspv)</f>
        <v>6.094405201298847E-2</v>
      </c>
      <c r="M39" s="832"/>
      <c r="N39" s="832"/>
      <c r="O39" s="48">
        <f>IF(t&lt;Tnet,'2027'!Resal+('2027'!Salim-'2027'!Resal)*(1-EXP(('2027'!Tnet-t)/('2027'!Tau_j))),Resal+(Salim-Resal)*(1-EXP((Tnet-t)/(Tau_j))))*Salcycl</f>
        <v>3.7558749451621722E-2</v>
      </c>
      <c r="P39" s="169">
        <f>(INDEX(Models!$BJ39:$BT39,,T39)*(1-R39)+INDEX(Models!$BJ39:$BT39,,T39+1)*R39-ERP_i)*Q39*Ramure*Pc/MaxiM</f>
        <v>4.5050746750498633E-5</v>
      </c>
      <c r="Q39" s="304">
        <f t="shared" si="4"/>
        <v>0.6</v>
      </c>
      <c r="R39" s="177">
        <f t="shared" si="5"/>
        <v>0.47529362861574331</v>
      </c>
      <c r="S39" s="799">
        <f t="shared" si="6"/>
        <v>-1</v>
      </c>
      <c r="T39" s="176">
        <f t="shared" si="7"/>
        <v>5</v>
      </c>
      <c r="U39" s="250">
        <f t="shared" si="8"/>
        <v>-0.52470637138425669</v>
      </c>
      <c r="V39" s="382">
        <f t="shared" si="9"/>
        <v>31.436755523742306</v>
      </c>
      <c r="W39" s="400">
        <f t="shared" si="10"/>
        <v>29.180477925554257</v>
      </c>
      <c r="X39" s="157">
        <f t="shared" si="11"/>
        <v>46777</v>
      </c>
      <c r="Y39" s="383">
        <f t="shared" si="12"/>
        <v>28.344003711830862</v>
      </c>
      <c r="Z39" s="383">
        <f t="shared" si="22"/>
        <v>30.183509057782892</v>
      </c>
      <c r="AA39" s="384">
        <f t="shared" si="13"/>
        <v>32.26513194393884</v>
      </c>
      <c r="AB39" s="197">
        <f t="shared" si="14"/>
        <v>46777</v>
      </c>
      <c r="AC39" s="119">
        <f>IF(OR(t&lt;Tnet,NoTnet),'2027'!Resal_s+('2027'!Salim-'2027'!Resal_s)*(1-EXP(('2027'!Tnet_s-t)/'2027'!Tau_j)),Resal_s+(Salim-Resal_s)*(1-EXP((Tnet_s-t)/Tau_j)))*Salcycl</f>
        <v>6.4516174605230167E-2</v>
      </c>
      <c r="AD39" s="230">
        <f>(INDEX(Models!$BJ39:$BT39,,AH39)*(1-AF39)+INDEX(Models!$BJ39:$BT39,,AH39+1)*AF39-ERP_i)*AE39*Ramure*Pc/MaxiM</f>
        <v>7.971635091412921E-4</v>
      </c>
      <c r="AE39" s="304">
        <f t="shared" si="15"/>
        <v>0.6</v>
      </c>
      <c r="AF39" s="177">
        <f t="shared" si="23"/>
        <v>2.8119498972190016E-4</v>
      </c>
      <c r="AG39" s="799">
        <f t="shared" si="24"/>
        <v>3</v>
      </c>
      <c r="AH39" s="176">
        <f t="shared" si="16"/>
        <v>9</v>
      </c>
      <c r="AI39" s="224">
        <f t="shared" si="17"/>
        <v>3.0002811949897219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46778</v>
      </c>
      <c r="B40" s="409">
        <f>IF(t&gt;Tmaj,'2027'!Wh/'2027'!Env_an*'2028'!Env_an,0.001*'[3]mon-tableau (2)'!$B$267)</f>
        <v>30.767071977175171</v>
      </c>
      <c r="C40" s="829"/>
      <c r="D40" s="391">
        <f t="shared" si="0"/>
        <v>32.76446062489206</v>
      </c>
      <c r="E40" s="383">
        <f t="shared" si="1"/>
        <v>34.046260371155114</v>
      </c>
      <c r="F40" s="383">
        <f t="shared" si="2"/>
        <v>34.047569034875195</v>
      </c>
      <c r="G40" s="110">
        <f t="shared" si="21"/>
        <v>0.96909961887886686</v>
      </c>
      <c r="H40" s="412" t="b">
        <f>Wh_hp&gt;='2027'!Maxi_hp</f>
        <v>0</v>
      </c>
      <c r="I40" s="388">
        <f>IF(H40,Wh_hp,'2027'!Maxi_hp)</f>
        <v>34.047612629642948</v>
      </c>
      <c r="J40" s="85">
        <f>IF(H40,An,'2027'!An_max)</f>
        <v>2027</v>
      </c>
      <c r="K40" s="197">
        <f t="shared" si="3"/>
        <v>46778</v>
      </c>
      <c r="L40" s="147">
        <f>IF(t&lt;Tvie,1-EXP((T0-t)*PertePVj)+'2027'!Pspv,1-EXP((T0-t)*PertePVj)+Pspv)</f>
        <v>6.0962048805998537E-2</v>
      </c>
      <c r="M40" s="832"/>
      <c r="N40" s="832"/>
      <c r="O40" s="48">
        <f>IF(t&lt;Tnet,'2027'!Resal+('2027'!Salim-'2027'!Resal)*(1-EXP(('2027'!Tnet-t)/('2027'!Tau_j))),Resal+(Salim-Resal)*(1-EXP((Tnet-t)/(Tau_j))))*Salcycl</f>
        <v>3.7648767655816644E-2</v>
      </c>
      <c r="P40" s="169">
        <f>(INDEX(Models!$BJ40:$BT40,,T40)*(1-R40)+INDEX(Models!$BJ40:$BT40,,T40+1)*R40-ERP_i)*Q40*Ramure*Pc/MaxiM</f>
        <v>4.0211298223324181E-5</v>
      </c>
      <c r="Q40" s="304">
        <f t="shared" si="4"/>
        <v>0.6</v>
      </c>
      <c r="R40" s="177">
        <f t="shared" si="5"/>
        <v>0.475371588628136</v>
      </c>
      <c r="S40" s="799">
        <f t="shared" si="6"/>
        <v>-1</v>
      </c>
      <c r="T40" s="176">
        <f t="shared" si="7"/>
        <v>5</v>
      </c>
      <c r="U40" s="250">
        <f t="shared" si="8"/>
        <v>-0.524628411371864</v>
      </c>
      <c r="V40" s="382">
        <f t="shared" si="9"/>
        <v>31.748044024827987</v>
      </c>
      <c r="W40" s="400">
        <f t="shared" si="10"/>
        <v>30.767071977175171</v>
      </c>
      <c r="X40" s="157">
        <f t="shared" si="11"/>
        <v>46778</v>
      </c>
      <c r="Y40" s="383">
        <f t="shared" si="12"/>
        <v>29.886719010402352</v>
      </c>
      <c r="Z40" s="383">
        <f t="shared" si="22"/>
        <v>31.826955420066803</v>
      </c>
      <c r="AA40" s="384">
        <f t="shared" si="13"/>
        <v>34.024068729046874</v>
      </c>
      <c r="AB40" s="197">
        <f t="shared" si="14"/>
        <v>46778</v>
      </c>
      <c r="AC40" s="119">
        <f>IF(OR(t&lt;Tnet,NoTnet),'2027'!Resal_s+('2027'!Salim-'2027'!Resal_s)*(1-EXP(('2027'!Tnet_s-t)/'2027'!Tau_j)),Resal_s+(Salim-Resal_s)*(1-EXP((Tnet_s-t)/Tau_j)))*Salcycl</f>
        <v>6.4575266599563447E-2</v>
      </c>
      <c r="AD40" s="230">
        <f>(INDEX(Models!$BJ40:$BT40,,AH40)*(1-AF40)+INDEX(Models!$BJ40:$BT40,,AH40+1)*AF40-ERP_i)*AE40*Ramure*Pc/MaxiM</f>
        <v>7.2209368342946779E-4</v>
      </c>
      <c r="AE40" s="304">
        <f t="shared" si="15"/>
        <v>0.6</v>
      </c>
      <c r="AF40" s="177">
        <f t="shared" si="23"/>
        <v>3.5915500211425311E-4</v>
      </c>
      <c r="AG40" s="799">
        <f t="shared" si="24"/>
        <v>3</v>
      </c>
      <c r="AH40" s="176">
        <f t="shared" si="16"/>
        <v>9</v>
      </c>
      <c r="AI40" s="224">
        <f t="shared" si="17"/>
        <v>3.0003591550021143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46779</v>
      </c>
      <c r="B41" s="409">
        <f>IF(t&gt;Tmaj,'2027'!Wh/'2027'!Env_an*'2028'!Env_an,0.001*'[3]mon-tableau (2)'!$B$268)</f>
        <v>27.15570956367959</v>
      </c>
      <c r="C41" s="829"/>
      <c r="D41" s="391">
        <f t="shared" si="0"/>
        <v>28.919203927916612</v>
      </c>
      <c r="E41" s="383">
        <f t="shared" si="1"/>
        <v>30.053380679913964</v>
      </c>
      <c r="F41" s="383">
        <f t="shared" si="2"/>
        <v>30.054223418096409</v>
      </c>
      <c r="G41" s="110">
        <f t="shared" si="21"/>
        <v>0.84689526722896213</v>
      </c>
      <c r="H41" s="412" t="b">
        <f>Wh_hp&gt;='2027'!Maxi_hp</f>
        <v>0</v>
      </c>
      <c r="I41" s="388">
        <f>IF(H41,Wh_hp,'2027'!Maxi_hp)</f>
        <v>30.054392420332221</v>
      </c>
      <c r="J41" s="85">
        <f>IF(H41,An,'2027'!An_max)</f>
        <v>2027</v>
      </c>
      <c r="K41" s="197">
        <f t="shared" si="3"/>
        <v>46779</v>
      </c>
      <c r="L41" s="147">
        <f>IF(t&lt;Tvie,1-EXP((T0-t)*PertePVj)+'2027'!Pspv,1-EXP((T0-t)*PertePVj)+Pspv)</f>
        <v>6.0980045254104165E-2</v>
      </c>
      <c r="M41" s="832"/>
      <c r="N41" s="832"/>
      <c r="O41" s="48">
        <f>IF(t&lt;Tnet,'2027'!Resal+('2027'!Salim-'2027'!Resal)*(1-EXP(('2027'!Tnet-t)/('2027'!Tau_j))),Resal+(Salim-Resal)*(1-EXP((Tnet-t)/(Tau_j))))*Salcycl</f>
        <v>3.7738741077983723E-2</v>
      </c>
      <c r="P41" s="169">
        <f>(INDEX(Models!$BJ41:$BT41,,T41)*(1-R41)+INDEX(Models!$BJ41:$BT41,,T41+1)*R41-ERP_i)*Q41*Ramure*Pc/MaxiM</f>
        <v>3.5890189910926981E-5</v>
      </c>
      <c r="Q41" s="304">
        <f t="shared" si="4"/>
        <v>0.6</v>
      </c>
      <c r="R41" s="177">
        <f t="shared" si="5"/>
        <v>0.47545279330995771</v>
      </c>
      <c r="S41" s="799">
        <f t="shared" si="6"/>
        <v>-1</v>
      </c>
      <c r="T41" s="176">
        <f t="shared" si="7"/>
        <v>5</v>
      </c>
      <c r="U41" s="250">
        <f t="shared" si="8"/>
        <v>-0.52454720669004229</v>
      </c>
      <c r="V41" s="382">
        <f t="shared" si="9"/>
        <v>32.064763433054566</v>
      </c>
      <c r="W41" s="400">
        <f t="shared" si="10"/>
        <v>27.15570956367959</v>
      </c>
      <c r="X41" s="157">
        <f t="shared" si="11"/>
        <v>46779</v>
      </c>
      <c r="Y41" s="383">
        <f t="shared" si="12"/>
        <v>26.38398181732255</v>
      </c>
      <c r="Z41" s="383">
        <f t="shared" si="22"/>
        <v>28.097360108244139</v>
      </c>
      <c r="AA41" s="384">
        <f t="shared" si="13"/>
        <v>30.038906557163731</v>
      </c>
      <c r="AB41" s="197">
        <f t="shared" si="14"/>
        <v>46779</v>
      </c>
      <c r="AC41" s="119">
        <f>IF(OR(t&lt;Tnet,NoTnet),'2027'!Resal_s+('2027'!Salim-'2027'!Resal_s)*(1-EXP(('2027'!Tnet_s-t)/'2027'!Tau_j)),Resal_s+(Salim-Resal_s)*(1-EXP((Tnet_s-t)/Tau_j)))*Salcycl</f>
        <v>6.4634391575633707E-2</v>
      </c>
      <c r="AD41" s="230">
        <f>(INDEX(Models!$BJ41:$BT41,,AH41)*(1-AF41)+INDEX(Models!$BJ41:$BT41,,AH41+1)*AF41-ERP_i)*AE41*Ramure*Pc/MaxiM</f>
        <v>6.5230822474080224E-4</v>
      </c>
      <c r="AE41" s="304">
        <f t="shared" si="15"/>
        <v>0.6</v>
      </c>
      <c r="AF41" s="177">
        <f t="shared" si="23"/>
        <v>4.4035968393618674E-4</v>
      </c>
      <c r="AG41" s="799">
        <f t="shared" si="24"/>
        <v>3</v>
      </c>
      <c r="AH41" s="176">
        <f t="shared" si="16"/>
        <v>9</v>
      </c>
      <c r="AI41" s="224">
        <f t="shared" si="17"/>
        <v>3.0004403596839362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46780</v>
      </c>
      <c r="B42" s="409">
        <f>IF(t&gt;Tmaj,'2027'!Wh/'2027'!Env_an*'2028'!Env_an,0.001*'[3]mon-tableau (2)'!$B$269)</f>
        <v>4.1460565130918736</v>
      </c>
      <c r="C42" s="829"/>
      <c r="D42" s="391">
        <f t="shared" si="0"/>
        <v>4.4153864376224847</v>
      </c>
      <c r="E42" s="383">
        <f t="shared" si="1"/>
        <v>4.5889815072466407</v>
      </c>
      <c r="F42" s="383">
        <f t="shared" si="2"/>
        <v>4.5889815072466407</v>
      </c>
      <c r="G42" s="110">
        <f t="shared" si="21"/>
        <v>0.12801539035520812</v>
      </c>
      <c r="H42" s="412" t="b">
        <f>Wh_hp&gt;='2027'!Maxi_hp</f>
        <v>0</v>
      </c>
      <c r="I42" s="388">
        <f>IF(H42,Wh_hp,'2027'!Maxi_hp)</f>
        <v>18.140123451777548</v>
      </c>
      <c r="J42" s="85">
        <f>IF(H42,An,'2027'!An_max)</f>
        <v>2021</v>
      </c>
      <c r="K42" s="197">
        <f t="shared" si="3"/>
        <v>46780</v>
      </c>
      <c r="L42" s="147">
        <f>IF(t&lt;Tvie,1-EXP((T0-t)*PertePVj)+'2027'!Pspv,1-EXP((T0-t)*PertePVj)+Pspv)</f>
        <v>6.0998041357312016E-2</v>
      </c>
      <c r="M42" s="832"/>
      <c r="N42" s="832"/>
      <c r="O42" s="48">
        <f>IF(t&lt;Tnet,'2027'!Resal+('2027'!Salim-'2027'!Resal)*(1-EXP(('2027'!Tnet-t)/('2027'!Tau_j))),Resal+(Salim-Resal)*(1-EXP((Tnet-t)/(Tau_j))))*Salcycl</f>
        <v>3.7828670555770494E-2</v>
      </c>
      <c r="P42" s="169">
        <f>(INDEX(Models!$BJ42:$BT42,,T42)*(1-R42)+INDEX(Models!$BJ42:$BT42,,T42+1)*R42-ERP_i)*Q42*Ramure*Pc/MaxiM</f>
        <v>3.2074952789144746E-5</v>
      </c>
      <c r="Q42" s="304">
        <f t="shared" si="4"/>
        <v>0.6</v>
      </c>
      <c r="R42" s="177">
        <f t="shared" si="5"/>
        <v>0.47553737657580364</v>
      </c>
      <c r="S42" s="799">
        <f t="shared" si="6"/>
        <v>-1</v>
      </c>
      <c r="T42" s="176">
        <f t="shared" si="7"/>
        <v>5</v>
      </c>
      <c r="U42" s="250">
        <f t="shared" si="8"/>
        <v>-0.52446262342419636</v>
      </c>
      <c r="V42" s="382">
        <f t="shared" si="9"/>
        <v>32.386133550201563</v>
      </c>
      <c r="W42" s="400">
        <f t="shared" si="10"/>
        <v>4.1460565130918736</v>
      </c>
      <c r="X42" s="157">
        <f t="shared" si="11"/>
        <v>46780</v>
      </c>
      <c r="Y42" s="383">
        <f t="shared" si="12"/>
        <v>4.0302940634963385</v>
      </c>
      <c r="Z42" s="383">
        <f t="shared" si="22"/>
        <v>4.2921040008500757</v>
      </c>
      <c r="AA42" s="384">
        <f t="shared" si="13"/>
        <v>4.5889815072466407</v>
      </c>
      <c r="AB42" s="197">
        <f t="shared" si="14"/>
        <v>46780</v>
      </c>
      <c r="AC42" s="119">
        <f>IF(OR(t&lt;Tnet,NoTnet),'2027'!Resal_s+('2027'!Salim-'2027'!Resal_s)*(1-EXP(('2027'!Tnet_s-t)/'2027'!Tau_j)),Resal_s+(Salim-Resal_s)*(1-EXP((Tnet_s-t)/Tau_j)))*Salcycl</f>
        <v>6.4693550394080604E-2</v>
      </c>
      <c r="AD42" s="230">
        <f>(INDEX(Models!$BJ42:$BT42,,AH42)*(1-AF42)+INDEX(Models!$BJ42:$BT42,,AH42+1)*AF42-ERP_i)*AE42*Ramure*Pc/MaxiM</f>
        <v>5.8769765782737914E-4</v>
      </c>
      <c r="AE42" s="304">
        <f t="shared" si="15"/>
        <v>0.6</v>
      </c>
      <c r="AF42" s="177">
        <f t="shared" si="23"/>
        <v>5.2494294978222555E-4</v>
      </c>
      <c r="AG42" s="799">
        <f t="shared" si="24"/>
        <v>3</v>
      </c>
      <c r="AH42" s="176">
        <f t="shared" si="16"/>
        <v>9</v>
      </c>
      <c r="AI42" s="224">
        <f t="shared" si="17"/>
        <v>3.0005249429497822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46781</v>
      </c>
      <c r="B43" s="409">
        <f>IF(t&gt;Tmaj,'2027'!Wh/'2027'!Env_an*'2028'!Env_an,0.001*'[3]mon-tableau (2)'!$B$270)</f>
        <v>7.8871166915373383</v>
      </c>
      <c r="C43" s="829"/>
      <c r="D43" s="391">
        <f t="shared" si="0"/>
        <v>8.3996287511766337</v>
      </c>
      <c r="E43" s="383">
        <f t="shared" si="1"/>
        <v>8.7306836737966531</v>
      </c>
      <c r="F43" s="383">
        <f t="shared" si="2"/>
        <v>8.7306836737966531</v>
      </c>
      <c r="G43" s="110">
        <f t="shared" si="21"/>
        <v>0.24110542666050627</v>
      </c>
      <c r="H43" s="412" t="b">
        <f>Wh_hp&gt;='2027'!Maxi_hp</f>
        <v>0</v>
      </c>
      <c r="I43" s="388">
        <f>IF(H43,Wh_hp,'2027'!Maxi_hp)</f>
        <v>22.560776300734982</v>
      </c>
      <c r="J43" s="85">
        <f>IF(H43,An,'2027'!An_max)</f>
        <v>2020</v>
      </c>
      <c r="K43" s="197">
        <f t="shared" si="3"/>
        <v>46781</v>
      </c>
      <c r="L43" s="147">
        <f>IF(t&lt;Tvie,1-EXP((T0-t)*PertePVj)+'2027'!Pspv,1-EXP((T0-t)*PertePVj)+Pspv)</f>
        <v>6.1016037115628641E-2</v>
      </c>
      <c r="M43" s="832"/>
      <c r="N43" s="832"/>
      <c r="O43" s="48">
        <f>IF(t&lt;Tnet,'2027'!Resal+('2027'!Salim-'2027'!Resal)*(1-EXP(('2027'!Tnet-t)/('2027'!Tau_j))),Resal+(Salim-Resal)*(1-EXP((Tnet-t)/(Tau_j))))*Salcycl</f>
        <v>3.7918556551717955E-2</v>
      </c>
      <c r="P43" s="169">
        <f>(INDEX(Models!$BJ43:$BT43,,T43)*(1-R43)+INDEX(Models!$BJ43:$BT43,,T43+1)*R43-ERP_i)*Q43*Ramure*Pc/MaxiM</f>
        <v>2.8752802287666642E-5</v>
      </c>
      <c r="Q43" s="304">
        <f t="shared" si="4"/>
        <v>0.6</v>
      </c>
      <c r="R43" s="177">
        <f t="shared" si="5"/>
        <v>0.47562547777108888</v>
      </c>
      <c r="S43" s="799">
        <f t="shared" si="6"/>
        <v>-1</v>
      </c>
      <c r="T43" s="176">
        <f t="shared" si="7"/>
        <v>5</v>
      </c>
      <c r="U43" s="250">
        <f t="shared" si="8"/>
        <v>-0.52437452222891112</v>
      </c>
      <c r="V43" s="382">
        <f t="shared" si="9"/>
        <v>32.711374538806197</v>
      </c>
      <c r="W43" s="400">
        <f t="shared" si="10"/>
        <v>7.8871166915373383</v>
      </c>
      <c r="X43" s="157">
        <f t="shared" si="11"/>
        <v>46781</v>
      </c>
      <c r="Y43" s="383">
        <f t="shared" si="12"/>
        <v>7.667130781367014</v>
      </c>
      <c r="Z43" s="383">
        <f t="shared" si="22"/>
        <v>8.1653479552676469</v>
      </c>
      <c r="AA43" s="384">
        <f t="shared" si="13"/>
        <v>8.7306836737966531</v>
      </c>
      <c r="AB43" s="197">
        <f t="shared" si="14"/>
        <v>46781</v>
      </c>
      <c r="AC43" s="119">
        <f>IF(OR(t&lt;Tnet,NoTnet),'2027'!Resal_s+('2027'!Salim-'2027'!Resal_s)*(1-EXP(('2027'!Tnet_s-t)/'2027'!Tau_j)),Resal_s+(Salim-Resal_s)*(1-EXP((Tnet_s-t)/Tau_j)))*Salcycl</f>
        <v>6.4752743273215257E-2</v>
      </c>
      <c r="AD43" s="230">
        <f>(INDEX(Models!$BJ43:$BT43,,AH43)*(1-AF43)+INDEX(Models!$BJ43:$BT43,,AH43+1)*AF43-ERP_i)*AE43*Ramure*Pc/MaxiM</f>
        <v>5.2814579949945453E-4</v>
      </c>
      <c r="AE43" s="304">
        <f t="shared" si="15"/>
        <v>0.6</v>
      </c>
      <c r="AF43" s="177">
        <f t="shared" si="23"/>
        <v>6.130441450675761E-4</v>
      </c>
      <c r="AG43" s="799">
        <f t="shared" si="24"/>
        <v>3</v>
      </c>
      <c r="AH43" s="176">
        <f t="shared" si="16"/>
        <v>9</v>
      </c>
      <c r="AI43" s="224">
        <f t="shared" si="17"/>
        <v>3.0006130441450676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46782</v>
      </c>
      <c r="B44" s="409">
        <f>IF(t&gt;Tmaj,'2027'!Wh/'2027'!Env_an*'2028'!Env_an,0.001*'[3]mon-tableau (2)'!$B$271)</f>
        <v>4.5636755532719393</v>
      </c>
      <c r="C44" s="829"/>
      <c r="D44" s="391">
        <f t="shared" si="0"/>
        <v>4.8603205136007057</v>
      </c>
      <c r="E44" s="383">
        <f t="shared" si="1"/>
        <v>5.0523523378010635</v>
      </c>
      <c r="F44" s="383">
        <f t="shared" si="2"/>
        <v>5.0523523378010635</v>
      </c>
      <c r="G44" s="110">
        <f t="shared" si="21"/>
        <v>0.13812341964641908</v>
      </c>
      <c r="H44" s="412" t="b">
        <f>Wh_hp&gt;='2027'!Maxi_hp</f>
        <v>0</v>
      </c>
      <c r="I44" s="388">
        <f>IF(H44,Wh_hp,'2027'!Maxi_hp)</f>
        <v>12.305895524222464</v>
      </c>
      <c r="J44" s="85">
        <f>IF(H44,An,'2027'!An_max)</f>
        <v>2020</v>
      </c>
      <c r="K44" s="197">
        <f t="shared" si="3"/>
        <v>46782</v>
      </c>
      <c r="L44" s="147">
        <f>IF(t&lt;Tvie,1-EXP((T0-t)*PertePVj)+'2027'!Pspv,1-EXP((T0-t)*PertePVj)+Pspv)</f>
        <v>6.10340325290607E-2</v>
      </c>
      <c r="M44" s="832"/>
      <c r="N44" s="832"/>
      <c r="O44" s="48">
        <f>IF(t&lt;Tnet,'2027'!Resal+('2027'!Salim-'2027'!Resal)*(1-EXP(('2027'!Tnet-t)/('2027'!Tau_j))),Resal+(Salim-Resal)*(1-EXP((Tnet-t)/(Tau_j))))*Salcycl</f>
        <v>3.8008399129965516E-2</v>
      </c>
      <c r="P44" s="169">
        <f>(INDEX(Models!$BJ44:$BT44,,T44)*(1-R44)+INDEX(Models!$BJ44:$BT44,,T44+1)*R44-ERP_i)*Q44*Ramure*Pc/MaxiM</f>
        <v>2.5970120998544162E-5</v>
      </c>
      <c r="Q44" s="304">
        <f t="shared" si="4"/>
        <v>0.6</v>
      </c>
      <c r="R44" s="177">
        <f t="shared" si="5"/>
        <v>0.47571724188408238</v>
      </c>
      <c r="S44" s="799">
        <f t="shared" si="6"/>
        <v>-1</v>
      </c>
      <c r="T44" s="176">
        <f t="shared" si="7"/>
        <v>5</v>
      </c>
      <c r="U44" s="250">
        <f t="shared" si="8"/>
        <v>-0.52428275811591762</v>
      </c>
      <c r="V44" s="382">
        <f t="shared" si="9"/>
        <v>33.039704966383198</v>
      </c>
      <c r="W44" s="400">
        <f t="shared" si="10"/>
        <v>4.5636755532719393</v>
      </c>
      <c r="X44" s="157">
        <f t="shared" si="11"/>
        <v>46782</v>
      </c>
      <c r="Y44" s="383">
        <f t="shared" si="12"/>
        <v>4.4365197653351744</v>
      </c>
      <c r="Z44" s="383">
        <f t="shared" si="22"/>
        <v>4.7248994308970875</v>
      </c>
      <c r="AA44" s="384">
        <f t="shared" si="13"/>
        <v>5.0523523378010635</v>
      </c>
      <c r="AB44" s="197">
        <f t="shared" si="14"/>
        <v>46782</v>
      </c>
      <c r="AC44" s="119">
        <f>IF(OR(t&lt;Tnet,NoTnet),'2027'!Resal_s+('2027'!Salim-'2027'!Resal_s)*(1-EXP(('2027'!Tnet_s-t)/'2027'!Tau_j)),Resal_s+(Salim-Resal_s)*(1-EXP((Tnet_s-t)/Tau_j)))*Salcycl</f>
        <v>6.4811969753972756E-2</v>
      </c>
      <c r="AD44" s="230">
        <f>(INDEX(Models!$BJ44:$BT44,,AH44)*(1-AF44)+INDEX(Models!$BJ44:$BT44,,AH44+1)*AF44-ERP_i)*AE44*Ramure*Pc/MaxiM</f>
        <v>4.7495365506216523E-4</v>
      </c>
      <c r="AE44" s="304">
        <f t="shared" si="15"/>
        <v>0.6</v>
      </c>
      <c r="AF44" s="177">
        <f t="shared" si="23"/>
        <v>7.0480825806074066E-4</v>
      </c>
      <c r="AG44" s="799">
        <f t="shared" si="24"/>
        <v>3</v>
      </c>
      <c r="AH44" s="176">
        <f t="shared" si="16"/>
        <v>9</v>
      </c>
      <c r="AI44" s="224">
        <f t="shared" si="17"/>
        <v>3.0007048082580607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46783</v>
      </c>
      <c r="B45" s="409">
        <f>IF(t&gt;Tmaj,'2027'!Wh/'2027'!Env_an*'2028'!Env_an,0.001*'[3]mon-tableau (2)'!$B$272)</f>
        <v>7.2775906884112311</v>
      </c>
      <c r="C45" s="829"/>
      <c r="D45" s="391">
        <f t="shared" si="0"/>
        <v>7.750792272111565</v>
      </c>
      <c r="E45" s="383">
        <f t="shared" si="1"/>
        <v>8.0577791366155846</v>
      </c>
      <c r="F45" s="383">
        <f t="shared" si="2"/>
        <v>8.0577791366155846</v>
      </c>
      <c r="G45" s="110">
        <f t="shared" si="21"/>
        <v>0.21808039331569359</v>
      </c>
      <c r="H45" s="412" t="b">
        <f>Wh_hp&gt;='2027'!Maxi_hp</f>
        <v>0</v>
      </c>
      <c r="I45" s="388">
        <f>IF(H45,Wh_hp,'2027'!Maxi_hp)</f>
        <v>23.230245238916424</v>
      </c>
      <c r="J45" s="85">
        <f>IF(H45,An,'2027'!An_max)</f>
        <v>2020</v>
      </c>
      <c r="K45" s="197">
        <f t="shared" si="3"/>
        <v>46783</v>
      </c>
      <c r="L45" s="147">
        <f>IF(t&lt;Tvie,1-EXP((T0-t)*PertePVj)+'2027'!Pspv,1-EXP((T0-t)*PertePVj)+Pspv)</f>
        <v>6.1052027597614633E-2</v>
      </c>
      <c r="M45" s="832"/>
      <c r="N45" s="832"/>
      <c r="O45" s="48">
        <f>IF(t&lt;Tnet,'2027'!Resal+('2027'!Salim-'2027'!Resal)*(1-EXP(('2027'!Tnet-t)/('2027'!Tau_j))),Resal+(Salim-Resal)*(1-EXP((Tnet-t)/(Tau_j))))*Salcycl</f>
        <v>3.8098197940054264E-2</v>
      </c>
      <c r="P45" s="169">
        <f>(INDEX(Models!$BJ45:$BT45,,T45)*(1-R45)+INDEX(Models!$BJ45:$BT45,,T45+1)*R45-ERP_i)*Q45*Ramure*Pc/MaxiM</f>
        <v>2.3527607727005371E-5</v>
      </c>
      <c r="Q45" s="304">
        <f t="shared" si="4"/>
        <v>0.6</v>
      </c>
      <c r="R45" s="177">
        <f t="shared" si="5"/>
        <v>0.47581281976551248</v>
      </c>
      <c r="S45" s="799">
        <f t="shared" si="6"/>
        <v>-1</v>
      </c>
      <c r="T45" s="176">
        <f t="shared" si="7"/>
        <v>5</v>
      </c>
      <c r="U45" s="250">
        <f t="shared" si="8"/>
        <v>-0.52418718023448752</v>
      </c>
      <c r="V45" s="382">
        <f t="shared" si="9"/>
        <v>33.37035188476348</v>
      </c>
      <c r="W45" s="400">
        <f t="shared" si="10"/>
        <v>7.2775906884112311</v>
      </c>
      <c r="X45" s="157">
        <f t="shared" si="11"/>
        <v>46783</v>
      </c>
      <c r="Y45" s="383">
        <f t="shared" si="12"/>
        <v>7.0750303451661773</v>
      </c>
      <c r="Z45" s="383">
        <f t="shared" si="22"/>
        <v>7.5350611036137147</v>
      </c>
      <c r="AA45" s="384">
        <f t="shared" si="13"/>
        <v>8.0577791366155846</v>
      </c>
      <c r="AB45" s="197">
        <f t="shared" si="14"/>
        <v>46783</v>
      </c>
      <c r="AC45" s="119">
        <f>IF(OR(t&lt;Tnet,NoTnet),'2027'!Resal_s+('2027'!Salim-'2027'!Resal_s)*(1-EXP(('2027'!Tnet_s-t)/'2027'!Tau_j)),Resal_s+(Salim-Resal_s)*(1-EXP((Tnet_s-t)/Tau_j)))*Salcycl</f>
        <v>6.4871228677213566E-2</v>
      </c>
      <c r="AD45" s="230">
        <f>(INDEX(Models!$BJ45:$BT45,,AH45)*(1-AF45)+INDEX(Models!$BJ45:$BT45,,AH45+1)*AF45-ERP_i)*AE45*Ramure*Pc/MaxiM</f>
        <v>4.2650330445810625E-4</v>
      </c>
      <c r="AE45" s="304">
        <f t="shared" si="15"/>
        <v>0.6</v>
      </c>
      <c r="AF45" s="177">
        <f t="shared" si="23"/>
        <v>8.003861394909606E-4</v>
      </c>
      <c r="AG45" s="799">
        <f t="shared" si="24"/>
        <v>3</v>
      </c>
      <c r="AH45" s="176">
        <f t="shared" si="16"/>
        <v>9</v>
      </c>
      <c r="AI45" s="224">
        <f t="shared" si="17"/>
        <v>3.000800386139491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46784</v>
      </c>
      <c r="B46" s="409">
        <f>IF(t&gt;Tmaj,'2027'!Wh/'2027'!Env_an*'2028'!Env_an,0.001*'[4]mon-tableau'!$B$221)</f>
        <v>15.969169316216496</v>
      </c>
      <c r="C46" s="829"/>
      <c r="D46" s="391">
        <f t="shared" si="0"/>
        <v>17.00783838609216</v>
      </c>
      <c r="E46" s="383">
        <f t="shared" si="1"/>
        <v>17.683120548484425</v>
      </c>
      <c r="F46" s="383">
        <f t="shared" si="2"/>
        <v>17.683214590457968</v>
      </c>
      <c r="G46" s="110">
        <f t="shared" si="21"/>
        <v>0.47381929900335368</v>
      </c>
      <c r="H46" s="412" t="b">
        <f>Wh_hp&gt;='2027'!Maxi_hp</f>
        <v>0</v>
      </c>
      <c r="I46" s="388">
        <f>IF(H46,Wh_hp,'2027'!Maxi_hp)</f>
        <v>17.683407304916283</v>
      </c>
      <c r="J46" s="85">
        <f>IF(H46,An,'2027'!An_max)</f>
        <v>2027</v>
      </c>
      <c r="K46" s="197">
        <f t="shared" si="3"/>
        <v>46784</v>
      </c>
      <c r="L46" s="147">
        <f>IF(t&lt;Tvie,1-EXP((T0-t)*PertePVj)+'2027'!Pspv,1-EXP((T0-t)*PertePVj)+Pspv)</f>
        <v>6.1070022321297324E-2</v>
      </c>
      <c r="M46" s="832"/>
      <c r="N46" s="832"/>
      <c r="O46" s="48">
        <f>IF(t&lt;Tnet,'2027'!Resal+('2027'!Salim-'2027'!Resal)*(1-EXP(('2027'!Tnet-t)/('2027'!Tau_j))),Resal+(Salim-Resal)*(1-EXP((Tnet-t)/(Tau_j))))*Salcycl</f>
        <v>3.8187952207911727E-2</v>
      </c>
      <c r="P46" s="169">
        <f>(INDEX(Models!$BJ46:$BT46,,T46)*(1-R46)+INDEX(Models!$BJ46:$BT46,,T46+1)*R46-ERP_i)*Q46*Ramure*Pc/MaxiM</f>
        <v>2.1416155201128431E-5</v>
      </c>
      <c r="Q46" s="304">
        <f t="shared" si="4"/>
        <v>0.6</v>
      </c>
      <c r="R46" s="177">
        <f t="shared" si="5"/>
        <v>0.47591236835595296</v>
      </c>
      <c r="S46" s="799">
        <f t="shared" si="6"/>
        <v>-1</v>
      </c>
      <c r="T46" s="176">
        <f t="shared" si="7"/>
        <v>5</v>
      </c>
      <c r="U46" s="250">
        <f t="shared" si="8"/>
        <v>-0.52408763164404704</v>
      </c>
      <c r="V46" s="382">
        <f t="shared" si="9"/>
        <v>33.70253655065418</v>
      </c>
      <c r="W46" s="400">
        <f t="shared" si="10"/>
        <v>15.969169316216496</v>
      </c>
      <c r="X46" s="157">
        <f t="shared" si="11"/>
        <v>46784</v>
      </c>
      <c r="Y46" s="383">
        <f t="shared" si="12"/>
        <v>15.5237640811572</v>
      </c>
      <c r="Z46" s="383">
        <f t="shared" si="22"/>
        <v>16.533463037932055</v>
      </c>
      <c r="AA46" s="384">
        <f t="shared" si="13"/>
        <v>17.681534216724469</v>
      </c>
      <c r="AB46" s="197">
        <f t="shared" si="14"/>
        <v>46784</v>
      </c>
      <c r="AC46" s="119">
        <f>IF(OR(t&lt;Tnet,NoTnet),'2027'!Resal_s+('2027'!Salim-'2027'!Resal_s)*(1-EXP(('2027'!Tnet_s-t)/'2027'!Tau_j)),Resal_s+(Salim-Resal_s)*(1-EXP((Tnet_s-t)/Tau_j)))*Salcycl</f>
        <v>6.4930518173388102E-2</v>
      </c>
      <c r="AD46" s="230">
        <f>(INDEX(Models!$BJ46:$BT46,,AH46)*(1-AF46)+INDEX(Models!$BJ46:$BT46,,AH46+1)*AF46-ERP_i)*AE46*Ramure*Pc/MaxiM</f>
        <v>3.8267109160629439E-4</v>
      </c>
      <c r="AE46" s="304">
        <f t="shared" si="15"/>
        <v>0.6</v>
      </c>
      <c r="AF46" s="177">
        <f t="shared" si="23"/>
        <v>8.999347299312177E-4</v>
      </c>
      <c r="AG46" s="799">
        <f t="shared" si="24"/>
        <v>3</v>
      </c>
      <c r="AH46" s="176">
        <f t="shared" si="16"/>
        <v>9</v>
      </c>
      <c r="AI46" s="224">
        <f t="shared" si="17"/>
        <v>3.0008999347299312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46785</v>
      </c>
      <c r="B47" s="409">
        <f>IF(t&gt;Tmaj,'2027'!Wh/'2027'!Env_an*'2028'!Env_an,0.001*'[4]mon-tableau'!$B$222)</f>
        <v>5.2428642972627015</v>
      </c>
      <c r="C47" s="829"/>
      <c r="D47" s="391">
        <f t="shared" si="0"/>
        <v>5.5839784671149006</v>
      </c>
      <c r="E47" s="383">
        <f t="shared" si="1"/>
        <v>5.8062272644896789</v>
      </c>
      <c r="F47" s="383">
        <f t="shared" si="2"/>
        <v>5.8062272644896789</v>
      </c>
      <c r="G47" s="110">
        <f t="shared" si="21"/>
        <v>0.15403811864767517</v>
      </c>
      <c r="H47" s="412" t="b">
        <f>Wh_hp&gt;='2027'!Maxi_hp</f>
        <v>0</v>
      </c>
      <c r="I47" s="388">
        <f>IF(H47,Wh_hp,'2027'!Maxi_hp)</f>
        <v>31.802968969314829</v>
      </c>
      <c r="J47" s="85">
        <f>IF(H47,An,'2027'!An_max)</f>
        <v>2021</v>
      </c>
      <c r="K47" s="197">
        <f t="shared" si="3"/>
        <v>46785</v>
      </c>
      <c r="L47" s="147">
        <f>IF(t&lt;Tvie,1-EXP((T0-t)*PertePVj)+'2027'!Pspv,1-EXP((T0-t)*PertePVj)+Pspv)</f>
        <v>6.1088016700115211E-2</v>
      </c>
      <c r="M47" s="832"/>
      <c r="N47" s="832"/>
      <c r="O47" s="48">
        <f>IF(t&lt;Tnet,'2027'!Resal+('2027'!Salim-'2027'!Resal)*(1-EXP(('2027'!Tnet-t)/('2027'!Tau_j))),Resal+(Salim-Resal)*(1-EXP((Tnet-t)/(Tau_j))))*Salcycl</f>
        <v>3.8277660734024381E-2</v>
      </c>
      <c r="P47" s="169">
        <f>(INDEX(Models!$BJ47:$BT47,,T47)*(1-R47)+INDEX(Models!$BJ47:$BT47,,T47+1)*R47-ERP_i)*Q47*Ramure*Pc/MaxiM</f>
        <v>1.9626741646622751E-5</v>
      </c>
      <c r="Q47" s="304">
        <f t="shared" si="4"/>
        <v>0.6</v>
      </c>
      <c r="R47" s="177">
        <f t="shared" si="5"/>
        <v>0.47601605092119781</v>
      </c>
      <c r="S47" s="799">
        <f t="shared" si="6"/>
        <v>-1</v>
      </c>
      <c r="T47" s="176">
        <f t="shared" si="7"/>
        <v>5</v>
      </c>
      <c r="U47" s="250">
        <f t="shared" si="8"/>
        <v>-0.52398394907880219</v>
      </c>
      <c r="V47" s="382">
        <f t="shared" si="9"/>
        <v>34.035480587186321</v>
      </c>
      <c r="W47" s="400">
        <f t="shared" si="10"/>
        <v>5.2428642972627015</v>
      </c>
      <c r="X47" s="157">
        <f t="shared" si="11"/>
        <v>46785</v>
      </c>
      <c r="Y47" s="383">
        <f t="shared" si="12"/>
        <v>5.0972419044711872</v>
      </c>
      <c r="Z47" s="383">
        <f t="shared" si="22"/>
        <v>5.4288815087400462</v>
      </c>
      <c r="AA47" s="384">
        <f t="shared" si="13"/>
        <v>5.8062272644896789</v>
      </c>
      <c r="AB47" s="197">
        <f t="shared" si="14"/>
        <v>46785</v>
      </c>
      <c r="AC47" s="119">
        <f>IF(OR(t&lt;Tnet,NoTnet),'2027'!Resal_s+('2027'!Salim-'2027'!Resal_s)*(1-EXP(('2027'!Tnet_s-t)/'2027'!Tau_j)),Resal_s+(Salim-Resal_s)*(1-EXP((Tnet_s-t)/Tau_j)))*Salcycl</f>
        <v>6.4989835664449769E-2</v>
      </c>
      <c r="AD47" s="230">
        <f>(INDEX(Models!$BJ47:$BT47,,AH47)*(1-AF47)+INDEX(Models!$BJ47:$BT47,,AH47+1)*AF47-ERP_i)*AE47*Ramure*Pc/MaxiM</f>
        <v>3.4333293487305474E-4</v>
      </c>
      <c r="AE47" s="304">
        <f t="shared" si="15"/>
        <v>0.6</v>
      </c>
      <c r="AF47" s="177">
        <f t="shared" si="23"/>
        <v>1.0036172951761735E-3</v>
      </c>
      <c r="AG47" s="799">
        <f t="shared" si="24"/>
        <v>3</v>
      </c>
      <c r="AH47" s="176">
        <f t="shared" si="16"/>
        <v>9</v>
      </c>
      <c r="AI47" s="224">
        <f t="shared" si="17"/>
        <v>3.0010036172951762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46786</v>
      </c>
      <c r="B48" s="409">
        <f>IF(t&gt;Tmaj,'2027'!Wh/'2027'!Env_an*'2028'!Env_an,0.001*'[4]mon-tableau'!$B$223)</f>
        <v>10.542721474458828</v>
      </c>
      <c r="C48" s="829"/>
      <c r="D48" s="391">
        <f t="shared" si="0"/>
        <v>11.228873115591741</v>
      </c>
      <c r="E48" s="383">
        <f t="shared" si="1"/>
        <v>11.67688387811755</v>
      </c>
      <c r="F48" s="383">
        <f t="shared" si="2"/>
        <v>11.67688592371416</v>
      </c>
      <c r="G48" s="110">
        <f t="shared" si="21"/>
        <v>0.30675068173690295</v>
      </c>
      <c r="H48" s="412" t="b">
        <f>Wh_hp&gt;='2027'!Maxi_hp</f>
        <v>0</v>
      </c>
      <c r="I48" s="388">
        <f>IF(H48,Wh_hp,'2027'!Maxi_hp)</f>
        <v>29.439960485046544</v>
      </c>
      <c r="J48" s="85">
        <f>IF(H48,An,'2027'!An_max)</f>
        <v>2020</v>
      </c>
      <c r="K48" s="197">
        <f t="shared" si="3"/>
        <v>46786</v>
      </c>
      <c r="L48" s="147">
        <f>IF(t&lt;Tvie,1-EXP((T0-t)*PertePVj)+'2027'!Pspv,1-EXP((T0-t)*PertePVj)+Pspv)</f>
        <v>6.1106010734074845E-2</v>
      </c>
      <c r="M48" s="832"/>
      <c r="N48" s="832"/>
      <c r="O48" s="48">
        <f>IF(t&lt;Tnet,'2027'!Resal+('2027'!Salim-'2027'!Resal)*(1-EXP(('2027'!Tnet-t)/('2027'!Tau_j))),Resal+(Salim-Resal)*(1-EXP((Tnet-t)/(Tau_j))))*Salcycl</f>
        <v>3.8367321898728442E-2</v>
      </c>
      <c r="P48" s="169">
        <f>(INDEX(Models!$BJ48:$BT48,,T48)*(1-R48)+INDEX(Models!$BJ48:$BT48,,T48+1)*R48-ERP_i)*Q48*Ramure*Pc/MaxiM</f>
        <v>1.8150507466791276E-5</v>
      </c>
      <c r="Q48" s="304">
        <f t="shared" si="4"/>
        <v>0.6</v>
      </c>
      <c r="R48" s="177">
        <f t="shared" si="5"/>
        <v>0.47612403729583075</v>
      </c>
      <c r="S48" s="799">
        <f t="shared" si="6"/>
        <v>-1</v>
      </c>
      <c r="T48" s="176">
        <f t="shared" si="7"/>
        <v>5</v>
      </c>
      <c r="U48" s="250">
        <f t="shared" si="8"/>
        <v>-0.52387596270416925</v>
      </c>
      <c r="V48" s="382">
        <f t="shared" si="9"/>
        <v>34.368405983308733</v>
      </c>
      <c r="W48" s="400">
        <f t="shared" si="10"/>
        <v>10.542721474458828</v>
      </c>
      <c r="X48" s="157">
        <f t="shared" si="11"/>
        <v>46786</v>
      </c>
      <c r="Y48" s="383">
        <f t="shared" si="12"/>
        <v>10.250170074779218</v>
      </c>
      <c r="Z48" s="383">
        <f t="shared" si="22"/>
        <v>10.917281601507876</v>
      </c>
      <c r="AA48" s="384">
        <f t="shared" si="13"/>
        <v>11.676851170339608</v>
      </c>
      <c r="AB48" s="197">
        <f t="shared" si="14"/>
        <v>46786</v>
      </c>
      <c r="AC48" s="119">
        <f>IF(OR(t&lt;Tnet,NoTnet),'2027'!Resal_s+('2027'!Salim-'2027'!Resal_s)*(1-EXP(('2027'!Tnet_s-t)/'2027'!Tau_j)),Resal_s+(Salim-Resal_s)*(1-EXP((Tnet_s-t)/Tau_j)))*Salcycl</f>
        <v>6.5049177877775574E-2</v>
      </c>
      <c r="AD48" s="230">
        <f>(INDEX(Models!$BJ48:$BT48,,AH48)*(1-AF48)+INDEX(Models!$BJ48:$BT48,,AH48+1)*AF48-ERP_i)*AE48*Ramure*Pc/MaxiM</f>
        <v>3.0836548183230003E-4</v>
      </c>
      <c r="AE48" s="304">
        <f t="shared" si="15"/>
        <v>0.6</v>
      </c>
      <c r="AF48" s="177">
        <f t="shared" si="23"/>
        <v>1.1116036698091136E-3</v>
      </c>
      <c r="AG48" s="799">
        <f t="shared" si="24"/>
        <v>3</v>
      </c>
      <c r="AH48" s="176">
        <f t="shared" si="16"/>
        <v>9</v>
      </c>
      <c r="AI48" s="224">
        <f t="shared" si="17"/>
        <v>3.0011116036698091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46787</v>
      </c>
      <c r="B49" s="409">
        <f>IF(t&gt;Tmaj,'2027'!Wh/'2027'!Env_an*'2028'!Env_an,0.001*'[4]mon-tableau'!$B$224)</f>
        <v>10.888068736503612</v>
      </c>
      <c r="C49" s="829"/>
      <c r="D49" s="391">
        <f t="shared" si="0"/>
        <v>11.596918855949994</v>
      </c>
      <c r="E49" s="383">
        <f t="shared" si="1"/>
        <v>12.060737851573183</v>
      </c>
      <c r="F49" s="383">
        <f t="shared" si="2"/>
        <v>12.060741880523127</v>
      </c>
      <c r="G49" s="110">
        <f t="shared" si="21"/>
        <v>0.3137671358097277</v>
      </c>
      <c r="H49" s="412" t="b">
        <f>Wh_hp&gt;='2027'!Maxi_hp</f>
        <v>0</v>
      </c>
      <c r="I49" s="388">
        <f>IF(H49,Wh_hp,'2027'!Maxi_hp)</f>
        <v>20.989724213200883</v>
      </c>
      <c r="J49" s="85">
        <f>IF(H49,An,'2027'!An_max)</f>
        <v>2020</v>
      </c>
      <c r="K49" s="197">
        <f t="shared" si="3"/>
        <v>46787</v>
      </c>
      <c r="L49" s="147">
        <f>IF(t&lt;Tvie,1-EXP((T0-t)*PertePVj)+'2027'!Pspv,1-EXP((T0-t)*PertePVj)+Pspv)</f>
        <v>6.1124004423182998E-2</v>
      </c>
      <c r="M49" s="832"/>
      <c r="N49" s="832"/>
      <c r="O49" s="48">
        <f>IF(t&lt;Tnet,'2027'!Resal+('2027'!Salim-'2027'!Resal)*(1-EXP(('2027'!Tnet-t)/('2027'!Tau_j))),Resal+(Salim-Resal)*(1-EXP((Tnet-t)/(Tau_j))))*Salcycl</f>
        <v>3.8456933674475752E-2</v>
      </c>
      <c r="P49" s="169">
        <f>(INDEX(Models!$BJ49:$BT49,,T49)*(1-R49)+INDEX(Models!$BJ49:$BT49,,T49+1)*R49-ERP_i)*Q49*Ramure*Pc/MaxiM</f>
        <v>1.697882258367796E-5</v>
      </c>
      <c r="Q49" s="304">
        <f t="shared" si="4"/>
        <v>0.6</v>
      </c>
      <c r="R49" s="177">
        <f t="shared" si="5"/>
        <v>0.4762365041351968</v>
      </c>
      <c r="S49" s="799">
        <f t="shared" si="6"/>
        <v>-1</v>
      </c>
      <c r="T49" s="176">
        <f t="shared" si="7"/>
        <v>5</v>
      </c>
      <c r="U49" s="250">
        <f t="shared" si="8"/>
        <v>-0.5237634958648032</v>
      </c>
      <c r="V49" s="382">
        <f t="shared" si="9"/>
        <v>34.700535092594905</v>
      </c>
      <c r="W49" s="400">
        <f t="shared" si="10"/>
        <v>10.888068736503612</v>
      </c>
      <c r="X49" s="157">
        <f t="shared" si="11"/>
        <v>46787</v>
      </c>
      <c r="Y49" s="383">
        <f t="shared" si="12"/>
        <v>10.586223976660422</v>
      </c>
      <c r="Z49" s="383">
        <f t="shared" si="22"/>
        <v>11.275422980812888</v>
      </c>
      <c r="AA49" s="384">
        <f t="shared" si="13"/>
        <v>12.060675996897633</v>
      </c>
      <c r="AB49" s="197">
        <f t="shared" si="14"/>
        <v>46787</v>
      </c>
      <c r="AC49" s="119">
        <f>IF(OR(t&lt;Tnet,NoTnet),'2027'!Resal_s+('2027'!Salim-'2027'!Resal_s)*(1-EXP(('2027'!Tnet_s-t)/'2027'!Tau_j)),Resal_s+(Salim-Resal_s)*(1-EXP((Tnet_s-t)/Tau_j)))*Salcycl</f>
        <v>6.5108540871733553E-2</v>
      </c>
      <c r="AD49" s="230">
        <f>(INDEX(Models!$BJ49:$BT49,,AH49)*(1-AF49)+INDEX(Models!$BJ49:$BT49,,AH49+1)*AF49-ERP_i)*AE49*Ramure*Pc/MaxiM</f>
        <v>2.7764712994614543E-4</v>
      </c>
      <c r="AE49" s="304">
        <f t="shared" si="15"/>
        <v>0.6</v>
      </c>
      <c r="AF49" s="177">
        <f t="shared" si="23"/>
        <v>1.224070509175057E-3</v>
      </c>
      <c r="AG49" s="799">
        <f t="shared" si="24"/>
        <v>3</v>
      </c>
      <c r="AH49" s="176">
        <f t="shared" si="16"/>
        <v>9</v>
      </c>
      <c r="AI49" s="224">
        <f t="shared" si="17"/>
        <v>3.0012240705091751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46788</v>
      </c>
      <c r="B50" s="409">
        <f>IF(t&gt;Tmaj,'2027'!Wh/'2027'!Env_an*'2028'!Env_an,0.001*'[4]mon-tableau'!$B$225)</f>
        <v>8.9834354563863901</v>
      </c>
      <c r="C50" s="829"/>
      <c r="D50" s="391">
        <f t="shared" si="0"/>
        <v>9.5684708816714181</v>
      </c>
      <c r="E50" s="383">
        <f t="shared" si="1"/>
        <v>9.9520890177470935</v>
      </c>
      <c r="F50" s="383">
        <f t="shared" si="2"/>
        <v>9.9520890177470935</v>
      </c>
      <c r="G50" s="110">
        <f t="shared" si="21"/>
        <v>0.256437656668695</v>
      </c>
      <c r="H50" s="412" t="b">
        <f>Wh_hp&gt;='2027'!Maxi_hp</f>
        <v>0</v>
      </c>
      <c r="I50" s="388">
        <f>IF(H50,Wh_hp,'2027'!Maxi_hp)</f>
        <v>38.888374306898015</v>
      </c>
      <c r="J50" s="85">
        <f>IF(H50,An,'2027'!An_max)</f>
        <v>2020</v>
      </c>
      <c r="K50" s="197">
        <f t="shared" si="3"/>
        <v>46788</v>
      </c>
      <c r="L50" s="147">
        <f>IF(t&lt;Tvie,1-EXP((T0-t)*PertePVj)+'2027'!Pspv,1-EXP((T0-t)*PertePVj)+Pspv)</f>
        <v>6.1141997767446221E-2</v>
      </c>
      <c r="M50" s="832"/>
      <c r="N50" s="832"/>
      <c r="O50" s="48">
        <f>IF(t&lt;Tnet,'2027'!Resal+('2027'!Salim-'2027'!Resal)*(1-EXP(('2027'!Tnet-t)/('2027'!Tau_j))),Resal+(Salim-Resal)*(1-EXP((Tnet-t)/(Tau_j))))*Salcycl</f>
        <v>3.8546493644860673E-2</v>
      </c>
      <c r="P50" s="169">
        <f>(INDEX(Models!$BJ50:$BT50,,T50)*(1-R50)+INDEX(Models!$BJ50:$BT50,,T50+1)*R50-ERP_i)*Q50*Ramure*Pc/MaxiM</f>
        <v>1.6103345211598688E-5</v>
      </c>
      <c r="Q50" s="304">
        <f t="shared" si="4"/>
        <v>0.6</v>
      </c>
      <c r="R50" s="177">
        <f t="shared" si="5"/>
        <v>0.47635363517597762</v>
      </c>
      <c r="S50" s="799">
        <f t="shared" si="6"/>
        <v>-1</v>
      </c>
      <c r="T50" s="176">
        <f t="shared" si="7"/>
        <v>5</v>
      </c>
      <c r="U50" s="250">
        <f t="shared" si="8"/>
        <v>-0.52364636482402238</v>
      </c>
      <c r="V50" s="382">
        <f t="shared" si="9"/>
        <v>35.031090635140316</v>
      </c>
      <c r="W50" s="400">
        <f t="shared" si="10"/>
        <v>8.9834354563863901</v>
      </c>
      <c r="X50" s="157">
        <f t="shared" si="11"/>
        <v>46788</v>
      </c>
      <c r="Y50" s="383">
        <f t="shared" si="12"/>
        <v>8.7346955386595795</v>
      </c>
      <c r="Z50" s="383">
        <f t="shared" si="22"/>
        <v>9.3035320760849292</v>
      </c>
      <c r="AA50" s="384">
        <f t="shared" si="13"/>
        <v>9.9520890177470935</v>
      </c>
      <c r="AB50" s="197">
        <f t="shared" si="14"/>
        <v>46788</v>
      </c>
      <c r="AC50" s="119">
        <f>IF(OR(t&lt;Tnet,NoTnet),'2027'!Resal_s+('2027'!Salim-'2027'!Resal_s)*(1-EXP(('2027'!Tnet_s-t)/'2027'!Tau_j)),Resal_s+(Salim-Resal_s)*(1-EXP((Tnet_s-t)/Tau_j)))*Salcycl</f>
        <v>6.5167920072421323E-2</v>
      </c>
      <c r="AD50" s="230">
        <f>(INDEX(Models!$BJ50:$BT50,,AH50)*(1-AF50)+INDEX(Models!$BJ50:$BT50,,AH50+1)*AF50-ERP_i)*AE50*Ramure*Pc/MaxiM</f>
        <v>2.5105892259035743E-4</v>
      </c>
      <c r="AE50" s="304">
        <f t="shared" si="15"/>
        <v>0.6</v>
      </c>
      <c r="AF50" s="177">
        <f t="shared" si="23"/>
        <v>1.3412015499558727E-3</v>
      </c>
      <c r="AG50" s="799">
        <f t="shared" si="24"/>
        <v>3</v>
      </c>
      <c r="AH50" s="176">
        <f t="shared" si="16"/>
        <v>9</v>
      </c>
      <c r="AI50" s="224">
        <f t="shared" si="17"/>
        <v>3.0013412015499559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46789</v>
      </c>
      <c r="B51" s="409">
        <f>IF(t&gt;Tmaj,'2027'!Wh/'2027'!Env_an*'2028'!Env_an,0.001*'[4]mon-tableau'!$B$226)</f>
        <v>24.575624516664437</v>
      </c>
      <c r="C51" s="829"/>
      <c r="D51" s="391">
        <f t="shared" si="0"/>
        <v>26.176584162341463</v>
      </c>
      <c r="E51" s="383">
        <f t="shared" si="1"/>
        <v>27.228587856351158</v>
      </c>
      <c r="F51" s="383">
        <f t="shared" si="2"/>
        <v>27.22882621422329</v>
      </c>
      <c r="G51" s="110">
        <f t="shared" si="21"/>
        <v>0.69495810942048819</v>
      </c>
      <c r="H51" s="412" t="b">
        <f>Wh_hp&gt;='2027'!Maxi_hp</f>
        <v>0</v>
      </c>
      <c r="I51" s="388">
        <f>IF(H51,Wh_hp,'2027'!Maxi_hp)</f>
        <v>41.004542581463518</v>
      </c>
      <c r="J51" s="85">
        <f>IF(H51,An,'2027'!An_max)</f>
        <v>2020</v>
      </c>
      <c r="K51" s="197">
        <f t="shared" si="3"/>
        <v>46789</v>
      </c>
      <c r="L51" s="147">
        <f>IF(t&lt;Tvie,1-EXP((T0-t)*PertePVj)+'2027'!Pspv,1-EXP((T0-t)*PertePVj)+Pspv)</f>
        <v>6.1159990766871064E-2</v>
      </c>
      <c r="M51" s="832"/>
      <c r="N51" s="832"/>
      <c r="O51" s="48">
        <f>IF(t&lt;Tnet,'2027'!Resal+('2027'!Salim-'2027'!Resal)*(1-EXP(('2027'!Tnet-t)/('2027'!Tau_j))),Resal+(Salim-Resal)*(1-EXP((Tnet-t)/(Tau_j))))*Salcycl</f>
        <v>3.8635999030126385E-2</v>
      </c>
      <c r="P51" s="169">
        <f>(INDEX(Models!$BJ51:$BT51,,T51)*(1-R51)+INDEX(Models!$BJ51:$BT51,,T51+1)*R51-ERP_i)*Q51*Ramure*Pc/MaxiM</f>
        <v>1.5514665547638317E-5</v>
      </c>
      <c r="Q51" s="304">
        <f t="shared" si="4"/>
        <v>0.6</v>
      </c>
      <c r="R51" s="177">
        <f t="shared" si="5"/>
        <v>0.47647562150557177</v>
      </c>
      <c r="S51" s="799">
        <f t="shared" si="6"/>
        <v>-1</v>
      </c>
      <c r="T51" s="176">
        <f t="shared" si="7"/>
        <v>5</v>
      </c>
      <c r="U51" s="250">
        <f t="shared" si="8"/>
        <v>-0.52352437849442823</v>
      </c>
      <c r="V51" s="382">
        <f t="shared" si="9"/>
        <v>35.362503194863507</v>
      </c>
      <c r="W51" s="400">
        <f t="shared" si="10"/>
        <v>24.575624516664437</v>
      </c>
      <c r="X51" s="157">
        <f t="shared" si="11"/>
        <v>46789</v>
      </c>
      <c r="Y51" s="383">
        <f t="shared" si="12"/>
        <v>23.892991984655922</v>
      </c>
      <c r="Z51" s="383">
        <f t="shared" si="22"/>
        <v>25.449482073279338</v>
      </c>
      <c r="AA51" s="384">
        <f t="shared" si="13"/>
        <v>27.225316223154177</v>
      </c>
      <c r="AB51" s="197">
        <f t="shared" si="14"/>
        <v>46789</v>
      </c>
      <c r="AC51" s="119">
        <f>IF(OR(t&lt;Tnet,NoTnet),'2027'!Resal_s+('2027'!Salim-'2027'!Resal_s)*(1-EXP(('2027'!Tnet_s-t)/'2027'!Tau_j)),Resal_s+(Salim-Resal_s)*(1-EXP((Tnet_s-t)/Tau_j)))*Salcycl</f>
        <v>6.5227310320992771E-2</v>
      </c>
      <c r="AD51" s="230">
        <f>(INDEX(Models!$BJ51:$BT51,,AH51)*(1-AF51)+INDEX(Models!$BJ51:$BT51,,AH51+1)*AF51-ERP_i)*AE51*Ramure*Pc/MaxiM</f>
        <v>2.2846460670813864E-4</v>
      </c>
      <c r="AE51" s="304">
        <f t="shared" si="15"/>
        <v>0.6</v>
      </c>
      <c r="AF51" s="177">
        <f t="shared" si="23"/>
        <v>1.4631878795503539E-3</v>
      </c>
      <c r="AG51" s="799">
        <f t="shared" si="24"/>
        <v>3</v>
      </c>
      <c r="AH51" s="176">
        <f t="shared" si="16"/>
        <v>9</v>
      </c>
      <c r="AI51" s="224">
        <f t="shared" si="17"/>
        <v>3.0014631878795504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46790</v>
      </c>
      <c r="B52" s="409">
        <f>IF(t&gt;Tmaj,'2027'!Wh/'2027'!Env_an*'2028'!Env_an,0.001*'[4]mon-tableau'!$B$227)</f>
        <v>8.8162694049625614</v>
      </c>
      <c r="C52" s="829"/>
      <c r="D52" s="391">
        <f t="shared" si="0"/>
        <v>9.3907782830794417</v>
      </c>
      <c r="E52" s="383">
        <f t="shared" si="1"/>
        <v>9.7690906838479759</v>
      </c>
      <c r="F52" s="383">
        <f t="shared" si="2"/>
        <v>9.7690906838479759</v>
      </c>
      <c r="G52" s="110">
        <f t="shared" si="21"/>
        <v>0.24696902832333487</v>
      </c>
      <c r="H52" s="412" t="b">
        <f>Wh_hp&gt;='2027'!Maxi_hp</f>
        <v>0</v>
      </c>
      <c r="I52" s="388">
        <f>IF(H52,Wh_hp,'2027'!Maxi_hp)</f>
        <v>27.6544109096825</v>
      </c>
      <c r="J52" s="85">
        <f>IF(H52,An,'2027'!An_max)</f>
        <v>2020</v>
      </c>
      <c r="K52" s="197">
        <f t="shared" si="3"/>
        <v>46790</v>
      </c>
      <c r="L52" s="147">
        <f>IF(t&lt;Tvie,1-EXP((T0-t)*PertePVj)+'2027'!Pspv,1-EXP((T0-t)*PertePVj)+Pspv)</f>
        <v>6.1177983421464188E-2</v>
      </c>
      <c r="M52" s="832"/>
      <c r="N52" s="832"/>
      <c r="O52" s="48">
        <f>IF(t&lt;Tnet,'2027'!Resal+('2027'!Salim-'2027'!Resal)*(1-EXP(('2027'!Tnet-t)/('2027'!Tau_j))),Resal+(Salim-Resal)*(1-EXP((Tnet-t)/(Tau_j))))*Salcycl</f>
        <v>3.8725446718805547E-2</v>
      </c>
      <c r="P52" s="169">
        <f>(INDEX(Models!$BJ52:$BT52,,T52)*(1-R52)+INDEX(Models!$BJ52:$BT52,,T52+1)*R52-ERP_i)*Q52*Ramure*Pc/MaxiM</f>
        <v>1.5182197224320122E-5</v>
      </c>
      <c r="Q52" s="304">
        <f t="shared" si="4"/>
        <v>0.6</v>
      </c>
      <c r="R52" s="177">
        <f t="shared" si="5"/>
        <v>0.47660266184047317</v>
      </c>
      <c r="S52" s="799">
        <f t="shared" si="6"/>
        <v>-1</v>
      </c>
      <c r="T52" s="176">
        <f t="shared" si="7"/>
        <v>5</v>
      </c>
      <c r="U52" s="250">
        <f t="shared" si="8"/>
        <v>-0.52339733815952683</v>
      </c>
      <c r="V52" s="382">
        <f t="shared" si="9"/>
        <v>35.697332635084436</v>
      </c>
      <c r="W52" s="400">
        <f t="shared" si="10"/>
        <v>8.8162694049625614</v>
      </c>
      <c r="X52" s="157">
        <f t="shared" si="11"/>
        <v>46790</v>
      </c>
      <c r="Y52" s="383">
        <f t="shared" si="12"/>
        <v>8.5726644784101254</v>
      </c>
      <c r="Z52" s="383">
        <f t="shared" si="22"/>
        <v>9.1312989331593837</v>
      </c>
      <c r="AA52" s="384">
        <f t="shared" si="13"/>
        <v>9.7690906838479759</v>
      </c>
      <c r="AB52" s="197">
        <f t="shared" si="14"/>
        <v>46790</v>
      </c>
      <c r="AC52" s="119">
        <f>IF(OR(t&lt;Tnet,NoTnet),'2027'!Resal_s+('2027'!Salim-'2027'!Resal_s)*(1-EXP(('2027'!Tnet_s-t)/'2027'!Tau_j)),Resal_s+(Salim-Resal_s)*(1-EXP((Tnet_s-t)/Tau_j)))*Salcycl</f>
        <v>6.5286705930891253E-2</v>
      </c>
      <c r="AD52" s="230">
        <f>(INDEX(Models!$BJ52:$BT52,,AH52)*(1-AF52)+INDEX(Models!$BJ52:$BT52,,AH52+1)*AF52-ERP_i)*AE52*Ramure*Pc/MaxiM</f>
        <v>2.1013151928379339E-4</v>
      </c>
      <c r="AE52" s="304">
        <f t="shared" si="15"/>
        <v>0.6</v>
      </c>
      <c r="AF52" s="177">
        <f t="shared" si="23"/>
        <v>1.5902282144515389E-3</v>
      </c>
      <c r="AG52" s="799">
        <f t="shared" si="24"/>
        <v>3</v>
      </c>
      <c r="AH52" s="176">
        <f t="shared" si="16"/>
        <v>9</v>
      </c>
      <c r="AI52" s="224">
        <f t="shared" si="17"/>
        <v>3.0015902282144515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46791</v>
      </c>
      <c r="B53" s="409">
        <f>IF(t&gt;Tmaj,'2027'!Wh/'2027'!Env_an*'2028'!Env_an,0.001*'[4]mon-tableau'!$B$228)</f>
        <v>35.62943015323242</v>
      </c>
      <c r="C53" s="829"/>
      <c r="D53" s="391">
        <f t="shared" si="0"/>
        <v>37.951935901621319</v>
      </c>
      <c r="E53" s="383">
        <f t="shared" si="1"/>
        <v>39.48452100246331</v>
      </c>
      <c r="F53" s="383">
        <f t="shared" si="2"/>
        <v>39.485099403141618</v>
      </c>
      <c r="G53" s="110">
        <f t="shared" si="21"/>
        <v>0.98874480708852053</v>
      </c>
      <c r="H53" s="412" t="b">
        <f>Wh_hp&gt;='2027'!Maxi_hp</f>
        <v>0</v>
      </c>
      <c r="I53" s="388">
        <f>IF(H53,Wh_hp,'2027'!Maxi_hp)</f>
        <v>39.485105277773023</v>
      </c>
      <c r="J53" s="85">
        <f>IF(H53,An,'2027'!An_max)</f>
        <v>2027</v>
      </c>
      <c r="K53" s="197">
        <f t="shared" si="3"/>
        <v>46791</v>
      </c>
      <c r="L53" s="147">
        <f>IF(t&lt;Tvie,1-EXP((T0-t)*PertePVj)+'2027'!Pspv,1-EXP((T0-t)*PertePVj)+Pspv)</f>
        <v>6.1195975731232144E-2</v>
      </c>
      <c r="M53" s="832"/>
      <c r="N53" s="832"/>
      <c r="O53" s="48">
        <f>IF(t&lt;Tnet,'2027'!Resal+('2027'!Salim-'2027'!Resal)*(1-EXP(('2027'!Tnet-t)/('2027'!Tau_j))),Resal+(Salim-Resal)*(1-EXP((Tnet-t)/(Tau_j))))*Salcycl</f>
        <v>3.8814833305091404E-2</v>
      </c>
      <c r="P53" s="169">
        <f>(INDEX(Models!$BJ53:$BT53,,T53)*(1-R53)+INDEX(Models!$BJ53:$BT53,,T53+1)*R53-ERP_i)*Q53*Ramure*Pc/MaxiM</f>
        <v>1.4887957187760863E-5</v>
      </c>
      <c r="Q53" s="304">
        <f t="shared" si="4"/>
        <v>0.6</v>
      </c>
      <c r="R53" s="177">
        <f t="shared" si="5"/>
        <v>0.47673496281383942</v>
      </c>
      <c r="S53" s="799">
        <f t="shared" si="6"/>
        <v>-1</v>
      </c>
      <c r="T53" s="176">
        <f t="shared" si="7"/>
        <v>5</v>
      </c>
      <c r="U53" s="250">
        <f t="shared" si="8"/>
        <v>-0.52326503718616058</v>
      </c>
      <c r="V53" s="382">
        <f t="shared" si="9"/>
        <v>36.035002529304563</v>
      </c>
      <c r="W53" s="400">
        <f t="shared" si="10"/>
        <v>35.62943015323242</v>
      </c>
      <c r="X53" s="157">
        <f t="shared" si="11"/>
        <v>46791</v>
      </c>
      <c r="Y53" s="383">
        <f t="shared" si="12"/>
        <v>34.639863522532842</v>
      </c>
      <c r="Z53" s="383">
        <f t="shared" si="22"/>
        <v>36.897864332775676</v>
      </c>
      <c r="AA53" s="384">
        <f t="shared" si="13"/>
        <v>39.477569571528363</v>
      </c>
      <c r="AB53" s="197">
        <f t="shared" si="14"/>
        <v>46791</v>
      </c>
      <c r="AC53" s="119">
        <f>IF(OR(t&lt;Tnet,NoTnet),'2027'!Resal_s+('2027'!Salim-'2027'!Resal_s)*(1-EXP(('2027'!Tnet_s-t)/'2027'!Tau_j)),Resal_s+(Salim-Resal_s)*(1-EXP((Tnet_s-t)/Tau_j)))*Salcycl</f>
        <v>6.5346100754216541E-2</v>
      </c>
      <c r="AD53" s="230">
        <f>(INDEX(Models!$BJ53:$BT53,,AH53)*(1-AF53)+INDEX(Models!$BJ53:$BT53,,AH53+1)*AF53-ERP_i)*AE53*Ramure*Pc/MaxiM</f>
        <v>1.9381687278928133E-4</v>
      </c>
      <c r="AE53" s="304">
        <f t="shared" si="15"/>
        <v>0.6</v>
      </c>
      <c r="AF53" s="177">
        <f t="shared" si="23"/>
        <v>1.7225291878180116E-3</v>
      </c>
      <c r="AG53" s="799">
        <f t="shared" si="24"/>
        <v>3</v>
      </c>
      <c r="AH53" s="176">
        <f t="shared" si="16"/>
        <v>9</v>
      </c>
      <c r="AI53" s="224">
        <f t="shared" si="17"/>
        <v>3.001722529187818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46792</v>
      </c>
      <c r="B54" s="409">
        <f>IF(t&gt;Tmaj,'2027'!Wh/'2027'!Env_an*'2028'!Env_an,0.001*'[4]mon-tableau'!$B$229)</f>
        <v>36.355549813916767</v>
      </c>
      <c r="C54" s="829"/>
      <c r="D54" s="391">
        <f t="shared" si="0"/>
        <v>38.726129877218987</v>
      </c>
      <c r="E54" s="383">
        <f t="shared" si="1"/>
        <v>40.29372313280254</v>
      </c>
      <c r="F54" s="383">
        <f t="shared" si="2"/>
        <v>40.294312237890054</v>
      </c>
      <c r="G54" s="110">
        <f t="shared" si="21"/>
        <v>0.99946722346615713</v>
      </c>
      <c r="H54" s="412" t="b">
        <f>Wh_hp&gt;='2027'!Maxi_hp</f>
        <v>0</v>
      </c>
      <c r="I54" s="388">
        <f>IF(H54,Wh_hp,'2027'!Maxi_hp)</f>
        <v>40.294312514962506</v>
      </c>
      <c r="J54" s="85">
        <f>IF(H54,An,'2027'!An_max)</f>
        <v>2027</v>
      </c>
      <c r="K54" s="197">
        <f t="shared" si="3"/>
        <v>46792</v>
      </c>
      <c r="L54" s="147">
        <f>IF(t&lt;Tvie,1-EXP((T0-t)*PertePVj)+'2027'!Pspv,1-EXP((T0-t)*PertePVj)+Pspv)</f>
        <v>6.1213967696181704E-2</v>
      </c>
      <c r="M54" s="832"/>
      <c r="N54" s="832"/>
      <c r="O54" s="48">
        <f>IF(t&lt;Tnet,'2027'!Resal+('2027'!Salim-'2027'!Resal)*(1-EXP(('2027'!Tnet-t)/('2027'!Tau_j))),Resal+(Salim-Resal)*(1-EXP((Tnet-t)/(Tau_j))))*Salcycl</f>
        <v>3.8904155131482321E-2</v>
      </c>
      <c r="P54" s="169">
        <f>(INDEX(Models!$BJ54:$BT54,,T54)*(1-R54)+INDEX(Models!$BJ54:$BT54,,T54+1)*R54-ERP_i)*Q54*Ramure*Pc/MaxiM</f>
        <v>1.4631191359023158E-5</v>
      </c>
      <c r="Q54" s="304">
        <f t="shared" si="4"/>
        <v>0.6</v>
      </c>
      <c r="R54" s="177">
        <f t="shared" si="5"/>
        <v>0.47687273927243057</v>
      </c>
      <c r="S54" s="799">
        <f t="shared" si="6"/>
        <v>-1</v>
      </c>
      <c r="T54" s="176">
        <f t="shared" si="7"/>
        <v>5</v>
      </c>
      <c r="U54" s="250">
        <f t="shared" si="8"/>
        <v>-0.52312726072756943</v>
      </c>
      <c r="V54" s="382">
        <f t="shared" si="9"/>
        <v>36.374929117720342</v>
      </c>
      <c r="W54" s="400">
        <f t="shared" si="10"/>
        <v>36.355549813916767</v>
      </c>
      <c r="X54" s="157">
        <f t="shared" si="11"/>
        <v>46792</v>
      </c>
      <c r="Y54" s="383">
        <f t="shared" si="12"/>
        <v>35.347255756547284</v>
      </c>
      <c r="Z54" s="383">
        <f t="shared" si="22"/>
        <v>37.652089549951775</v>
      </c>
      <c r="AA54" s="384">
        <f t="shared" si="13"/>
        <v>40.287086085821507</v>
      </c>
      <c r="AB54" s="197">
        <f t="shared" si="14"/>
        <v>46792</v>
      </c>
      <c r="AC54" s="119">
        <f>IF(OR(t&lt;Tnet,NoTnet),'2027'!Resal_s+('2027'!Salim-'2027'!Resal_s)*(1-EXP(('2027'!Tnet_s-t)/'2027'!Tau_j)),Resal_s+(Salim-Resal_s)*(1-EXP((Tnet_s-t)/Tau_j)))*Salcycl</f>
        <v>6.5405488256374003E-2</v>
      </c>
      <c r="AD54" s="230">
        <f>(INDEX(Models!$BJ54:$BT54,,AH54)*(1-AF54)+INDEX(Models!$BJ54:$BT54,,AH54+1)*AF54-ERP_i)*AE54*Ramure*Pc/MaxiM</f>
        <v>1.7947088888815559E-4</v>
      </c>
      <c r="AE54" s="304">
        <f t="shared" si="15"/>
        <v>0.6</v>
      </c>
      <c r="AF54" s="177">
        <f t="shared" si="23"/>
        <v>1.860305646409266E-3</v>
      </c>
      <c r="AG54" s="799">
        <f t="shared" si="24"/>
        <v>3</v>
      </c>
      <c r="AH54" s="176">
        <f t="shared" si="16"/>
        <v>9</v>
      </c>
      <c r="AI54" s="224">
        <f t="shared" si="17"/>
        <v>3.0018603056464093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46793</v>
      </c>
      <c r="B55" s="409">
        <f>IF(t&gt;Tmaj,'2027'!Wh/'2027'!Env_an*'2028'!Env_an,0.001*'[4]mon-tableau'!$B$230)</f>
        <v>34.085262974485794</v>
      </c>
      <c r="C55" s="829"/>
      <c r="D55" s="391">
        <f t="shared" si="0"/>
        <v>36.308503802134517</v>
      </c>
      <c r="E55" s="383">
        <f t="shared" si="1"/>
        <v>37.781742723817374</v>
      </c>
      <c r="F55" s="383">
        <f t="shared" si="2"/>
        <v>37.782231465964614</v>
      </c>
      <c r="G55" s="110">
        <f t="shared" si="21"/>
        <v>0.92833428679151098</v>
      </c>
      <c r="H55" s="412" t="b">
        <f>Wh_hp&gt;='2027'!Maxi_hp</f>
        <v>0</v>
      </c>
      <c r="I55" s="388">
        <f>IF(H55,Wh_hp,'2027'!Maxi_hp)</f>
        <v>37.782265692649183</v>
      </c>
      <c r="J55" s="85">
        <f>IF(H55,An,'2027'!An_max)</f>
        <v>2027</v>
      </c>
      <c r="K55" s="197">
        <f t="shared" si="3"/>
        <v>46793</v>
      </c>
      <c r="L55" s="147">
        <f>IF(t&lt;Tvie,1-EXP((T0-t)*PertePVj)+'2027'!Pspv,1-EXP((T0-t)*PertePVj)+Pspv)</f>
        <v>6.1231959316319307E-2</v>
      </c>
      <c r="M55" s="832"/>
      <c r="N55" s="832"/>
      <c r="O55" s="48">
        <f>IF(t&lt;Tnet,'2027'!Resal+('2027'!Salim-'2027'!Resal)*(1-EXP(('2027'!Tnet-t)/('2027'!Tau_j))),Resal+(Salim-Resal)*(1-EXP((Tnet-t)/(Tau_j))))*Salcycl</f>
        <v>3.8993408336194468E-2</v>
      </c>
      <c r="P55" s="169">
        <f>(INDEX(Models!$BJ55:$BT55,,T55)*(1-R55)+INDEX(Models!$BJ55:$BT55,,T55+1)*R55-ERP_i)*Q55*Ramure*Pc/MaxiM</f>
        <v>1.4411146153914888E-5</v>
      </c>
      <c r="Q55" s="304">
        <f t="shared" si="4"/>
        <v>0.6</v>
      </c>
      <c r="R55" s="177">
        <f t="shared" si="5"/>
        <v>0.47701621458309307</v>
      </c>
      <c r="S55" s="799">
        <f t="shared" si="6"/>
        <v>-1</v>
      </c>
      <c r="T55" s="176">
        <f t="shared" si="7"/>
        <v>5</v>
      </c>
      <c r="U55" s="250">
        <f t="shared" si="8"/>
        <v>-0.52298378541690693</v>
      </c>
      <c r="V55" s="382">
        <f t="shared" si="9"/>
        <v>36.716528916493253</v>
      </c>
      <c r="W55" s="400">
        <f t="shared" si="10"/>
        <v>34.085262974485794</v>
      </c>
      <c r="X55" s="157">
        <f t="shared" si="11"/>
        <v>46793</v>
      </c>
      <c r="Y55" s="383">
        <f t="shared" si="12"/>
        <v>33.141824388859867</v>
      </c>
      <c r="Z55" s="383">
        <f t="shared" si="22"/>
        <v>35.303528616849299</v>
      </c>
      <c r="AA55" s="384">
        <f t="shared" si="13"/>
        <v>37.776566301422754</v>
      </c>
      <c r="AB55" s="197">
        <f t="shared" si="14"/>
        <v>46793</v>
      </c>
      <c r="AC55" s="119">
        <f>IF(OR(t&lt;Tnet,NoTnet),'2027'!Resal_s+('2027'!Salim-'2027'!Resal_s)*(1-EXP(('2027'!Tnet_s-t)/'2027'!Tau_j)),Resal_s+(Salim-Resal_s)*(1-EXP((Tnet_s-t)/Tau_j)))*Salcycl</f>
        <v>6.5464861598083304E-2</v>
      </c>
      <c r="AD55" s="230">
        <f>(INDEX(Models!$BJ55:$BT55,,AH55)*(1-AF55)+INDEX(Models!$BJ55:$BT55,,AH55+1)*AF55-ERP_i)*AE55*Ramure*Pc/MaxiM</f>
        <v>1.6704414517832114E-4</v>
      </c>
      <c r="AE55" s="304">
        <f t="shared" si="15"/>
        <v>0.6</v>
      </c>
      <c r="AF55" s="177">
        <f t="shared" si="23"/>
        <v>2.0037809570716547E-3</v>
      </c>
      <c r="AG55" s="799">
        <f t="shared" si="24"/>
        <v>3</v>
      </c>
      <c r="AH55" s="176">
        <f t="shared" si="16"/>
        <v>9</v>
      </c>
      <c r="AI55" s="224">
        <f t="shared" si="17"/>
        <v>3.0020037809570717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46794</v>
      </c>
      <c r="B56" s="409">
        <f>IF(t&gt;Tmaj,'2027'!Wh/'2027'!Env_an*'2028'!Env_an,0.001*'[4]mon-tableau'!$B$231)</f>
        <v>16.847016149363718</v>
      </c>
      <c r="C56" s="829"/>
      <c r="D56" s="391">
        <f t="shared" si="0"/>
        <v>17.946221318424033</v>
      </c>
      <c r="E56" s="383">
        <f t="shared" si="1"/>
        <v>18.676132944630343</v>
      </c>
      <c r="F56" s="383">
        <f t="shared" si="2"/>
        <v>18.676191626974855</v>
      </c>
      <c r="G56" s="110">
        <f t="shared" si="21"/>
        <v>0.45459213615631505</v>
      </c>
      <c r="H56" s="412" t="b">
        <f>Wh_hp&gt;='2027'!Maxi_hp</f>
        <v>0</v>
      </c>
      <c r="I56" s="388">
        <f>IF(H56,Wh_hp,'2027'!Maxi_hp)</f>
        <v>35.249540811228528</v>
      </c>
      <c r="J56" s="85">
        <f>IF(H56,An,'2027'!An_max)</f>
        <v>2021</v>
      </c>
      <c r="K56" s="197">
        <f t="shared" si="3"/>
        <v>46794</v>
      </c>
      <c r="L56" s="147">
        <f>IF(t&lt;Tvie,1-EXP((T0-t)*PertePVj)+'2027'!Pspv,1-EXP((T0-t)*PertePVj)+Pspv)</f>
        <v>6.1249950591651614E-2</v>
      </c>
      <c r="M56" s="832"/>
      <c r="N56" s="832"/>
      <c r="O56" s="48">
        <f>IF(t&lt;Tnet,'2027'!Resal+('2027'!Salim-'2027'!Resal)*(1-EXP(('2027'!Tnet-t)/('2027'!Tau_j))),Resal+(Salim-Resal)*(1-EXP((Tnet-t)/(Tau_j))))*Salcycl</f>
        <v>3.9082588904796309E-2</v>
      </c>
      <c r="P56" s="169">
        <f>(INDEX(Models!$BJ56:$BT56,,T56)*(1-R56)+INDEX(Models!$BJ56:$BT56,,T56+1)*R56-ERP_i)*Q56*Ramure*Pc/MaxiM</f>
        <v>1.4227074990350092E-5</v>
      </c>
      <c r="Q56" s="304">
        <f t="shared" si="4"/>
        <v>0.6</v>
      </c>
      <c r="R56" s="177">
        <f t="shared" si="5"/>
        <v>0.47716562094895432</v>
      </c>
      <c r="S56" s="799">
        <f t="shared" si="6"/>
        <v>-1</v>
      </c>
      <c r="T56" s="176">
        <f t="shared" si="7"/>
        <v>5</v>
      </c>
      <c r="U56" s="250">
        <f t="shared" si="8"/>
        <v>-0.52283437905104568</v>
      </c>
      <c r="V56" s="382">
        <f t="shared" si="9"/>
        <v>37.059218714961716</v>
      </c>
      <c r="W56" s="400">
        <f t="shared" si="10"/>
        <v>16.847016149363718</v>
      </c>
      <c r="X56" s="157">
        <f t="shared" si="11"/>
        <v>46794</v>
      </c>
      <c r="Y56" s="383">
        <f t="shared" si="12"/>
        <v>16.382920998149928</v>
      </c>
      <c r="Z56" s="383">
        <f t="shared" si="22"/>
        <v>17.451845684029887</v>
      </c>
      <c r="AA56" s="384">
        <f t="shared" si="13"/>
        <v>18.675546162167837</v>
      </c>
      <c r="AB56" s="197">
        <f t="shared" si="14"/>
        <v>46794</v>
      </c>
      <c r="AC56" s="119">
        <f>IF(OR(t&lt;Tnet,NoTnet),'2027'!Resal_s+('2027'!Salim-'2027'!Resal_s)*(1-EXP(('2027'!Tnet_s-t)/'2027'!Tau_j)),Resal_s+(Salim-Resal_s)*(1-EXP((Tnet_s-t)/Tau_j)))*Salcycl</f>
        <v>6.5524213723766253E-2</v>
      </c>
      <c r="AD56" s="230">
        <f>(INDEX(Models!$BJ56:$BT56,,AH56)*(1-AF56)+INDEX(Models!$BJ56:$BT56,,AH56+1)*AF56-ERP_i)*AE56*Ramure*Pc/MaxiM</f>
        <v>1.5648788897525045E-4</v>
      </c>
      <c r="AE56" s="304">
        <f t="shared" si="15"/>
        <v>0.6</v>
      </c>
      <c r="AF56" s="177">
        <f t="shared" si="23"/>
        <v>2.1531873229330145E-3</v>
      </c>
      <c r="AG56" s="799">
        <f t="shared" si="24"/>
        <v>3</v>
      </c>
      <c r="AH56" s="176">
        <f t="shared" si="16"/>
        <v>9</v>
      </c>
      <c r="AI56" s="224">
        <f t="shared" si="17"/>
        <v>3.002153187322933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46795</v>
      </c>
      <c r="B57" s="409">
        <f>IF(t&gt;Tmaj,'2027'!Wh/'2027'!Env_an*'2028'!Env_an,0.001*'[4]mon-tableau'!$B$232)</f>
        <v>27.385209556395413</v>
      </c>
      <c r="C57" s="829"/>
      <c r="D57" s="391">
        <f t="shared" si="0"/>
        <v>29.172551751136997</v>
      </c>
      <c r="E57" s="383">
        <f t="shared" si="1"/>
        <v>30.36187790291876</v>
      </c>
      <c r="F57" s="383">
        <f t="shared" si="2"/>
        <v>30.362141806373796</v>
      </c>
      <c r="G57" s="110">
        <f t="shared" si="21"/>
        <v>0.73217362109068884</v>
      </c>
      <c r="H57" s="412" t="b">
        <f>Wh_hp&gt;='2027'!Maxi_hp</f>
        <v>0</v>
      </c>
      <c r="I57" s="388">
        <f>IF(H57,Wh_hp,'2027'!Maxi_hp)</f>
        <v>30.362241377317755</v>
      </c>
      <c r="J57" s="85">
        <f>IF(H57,An,'2027'!An_max)</f>
        <v>2027</v>
      </c>
      <c r="K57" s="197">
        <f t="shared" si="3"/>
        <v>46795</v>
      </c>
      <c r="L57" s="147">
        <f>IF(t&lt;Tvie,1-EXP((T0-t)*PertePVj)+'2027'!Pspv,1-EXP((T0-t)*PertePVj)+Pspv)</f>
        <v>6.1267941522185176E-2</v>
      </c>
      <c r="M57" s="832"/>
      <c r="N57" s="832"/>
      <c r="O57" s="48">
        <f>IF(t&lt;Tnet,'2027'!Resal+('2027'!Salim-'2027'!Resal)*(1-EXP(('2027'!Tnet-t)/('2027'!Tau_j))),Resal+(Salim-Resal)*(1-EXP((Tnet-t)/(Tau_j))))*Salcycl</f>
        <v>3.9171692725482883E-2</v>
      </c>
      <c r="P57" s="169">
        <f>(INDEX(Models!$BJ57:$BT57,,T57)*(1-R57)+INDEX(Models!$BJ57:$BT57,,T57+1)*R57-ERP_i)*Q57*Ramure*Pc/MaxiM</f>
        <v>1.4078244181968846E-5</v>
      </c>
      <c r="Q57" s="304">
        <f t="shared" si="4"/>
        <v>0.6</v>
      </c>
      <c r="R57" s="177">
        <f t="shared" si="5"/>
        <v>0.47732119973547715</v>
      </c>
      <c r="S57" s="799">
        <f t="shared" si="6"/>
        <v>-1</v>
      </c>
      <c r="T57" s="176">
        <f t="shared" si="7"/>
        <v>5</v>
      </c>
      <c r="U57" s="250">
        <f t="shared" si="8"/>
        <v>-0.52267880026452285</v>
      </c>
      <c r="V57" s="382">
        <f t="shared" si="9"/>
        <v>37.402415573278233</v>
      </c>
      <c r="W57" s="400">
        <f t="shared" si="10"/>
        <v>27.385209556395413</v>
      </c>
      <c r="X57" s="157">
        <f t="shared" si="11"/>
        <v>46795</v>
      </c>
      <c r="Y57" s="383">
        <f t="shared" si="12"/>
        <v>26.630229899086533</v>
      </c>
      <c r="Z57" s="383">
        <f t="shared" si="22"/>
        <v>28.368297064732545</v>
      </c>
      <c r="AA57" s="384">
        <f t="shared" si="13"/>
        <v>30.359372080706496</v>
      </c>
      <c r="AB57" s="197">
        <f t="shared" si="14"/>
        <v>46795</v>
      </c>
      <c r="AC57" s="119">
        <f>IF(OR(t&lt;Tnet,NoTnet),'2027'!Resal_s+('2027'!Salim-'2027'!Resal_s)*(1-EXP(('2027'!Tnet_s-t)/'2027'!Tau_j)),Resal_s+(Salim-Resal_s)*(1-EXP((Tnet_s-t)/Tau_j)))*Salcycl</f>
        <v>6.5583537455285168E-2</v>
      </c>
      <c r="AD57" s="230">
        <f>(INDEX(Models!$BJ57:$BT57,,AH57)*(1-AF57)+INDEX(Models!$BJ57:$BT57,,AH57+1)*AF57-ERP_i)*AE57*Ramure*Pc/MaxiM</f>
        <v>1.4775431513817933E-4</v>
      </c>
      <c r="AE57" s="304">
        <f t="shared" si="15"/>
        <v>0.6</v>
      </c>
      <c r="AF57" s="177">
        <f t="shared" si="23"/>
        <v>2.3087661094556289E-3</v>
      </c>
      <c r="AG57" s="799">
        <f t="shared" si="24"/>
        <v>3</v>
      </c>
      <c r="AH57" s="176">
        <f t="shared" si="16"/>
        <v>9</v>
      </c>
      <c r="AI57" s="224">
        <f t="shared" si="17"/>
        <v>3.0023087661094556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46796</v>
      </c>
      <c r="B58" s="409">
        <f>IF(t&gt;Tmaj,'2027'!Wh/'2027'!Env_an*'2028'!Env_an,0.001*'[4]mon-tableau'!$B$233)</f>
        <v>34.100231315477764</v>
      </c>
      <c r="C58" s="829"/>
      <c r="D58" s="391">
        <f t="shared" si="0"/>
        <v>36.326536995500064</v>
      </c>
      <c r="E58" s="383">
        <f t="shared" si="1"/>
        <v>37.811024892125822</v>
      </c>
      <c r="F58" s="383">
        <f t="shared" si="2"/>
        <v>37.811479688128024</v>
      </c>
      <c r="G58" s="110">
        <f t="shared" si="21"/>
        <v>0.90342244860900578</v>
      </c>
      <c r="H58" s="412" t="b">
        <f>Wh_hp&gt;='2027'!Maxi_hp</f>
        <v>0</v>
      </c>
      <c r="I58" s="388">
        <f>IF(H58,Wh_hp,'2027'!Maxi_hp)</f>
        <v>37.81152387859261</v>
      </c>
      <c r="J58" s="85">
        <f>IF(H58,An,'2027'!An_max)</f>
        <v>2027</v>
      </c>
      <c r="K58" s="197">
        <f t="shared" si="3"/>
        <v>46796</v>
      </c>
      <c r="L58" s="147">
        <f>IF(t&lt;Tvie,1-EXP((T0-t)*PertePVj)+'2027'!Pspv,1-EXP((T0-t)*PertePVj)+Pspv)</f>
        <v>6.1285932107926655E-2</v>
      </c>
      <c r="M58" s="832"/>
      <c r="N58" s="832"/>
      <c r="O58" s="48">
        <f>IF(t&lt;Tnet,'2027'!Resal+('2027'!Salim-'2027'!Resal)*(1-EXP(('2027'!Tnet-t)/('2027'!Tau_j))),Resal+(Salim-Resal)*(1-EXP((Tnet-t)/(Tau_j))))*Salcycl</f>
        <v>3.9260715647380005E-2</v>
      </c>
      <c r="P58" s="169">
        <f>(INDEX(Models!$BJ58:$BT58,,T58)*(1-R58)+INDEX(Models!$BJ58:$BT58,,T58+1)*R58-ERP_i)*Q58*Ramure*Pc/MaxiM</f>
        <v>1.395302238158095E-5</v>
      </c>
      <c r="Q58" s="304">
        <f t="shared" si="4"/>
        <v>0.6</v>
      </c>
      <c r="R58" s="177">
        <f t="shared" si="5"/>
        <v>0.47748320180651638</v>
      </c>
      <c r="S58" s="799">
        <f t="shared" si="6"/>
        <v>-1</v>
      </c>
      <c r="T58" s="176">
        <f t="shared" si="7"/>
        <v>5</v>
      </c>
      <c r="U58" s="250">
        <f t="shared" si="8"/>
        <v>-0.52251679819348362</v>
      </c>
      <c r="V58" s="382">
        <f t="shared" si="9"/>
        <v>37.745537232392984</v>
      </c>
      <c r="W58" s="400">
        <f t="shared" si="10"/>
        <v>34.100231315477764</v>
      </c>
      <c r="X58" s="157">
        <f t="shared" si="11"/>
        <v>46796</v>
      </c>
      <c r="Y58" s="383">
        <f t="shared" si="12"/>
        <v>33.160209283902944</v>
      </c>
      <c r="Z58" s="383">
        <f t="shared" si="22"/>
        <v>35.325143638643617</v>
      </c>
      <c r="AA58" s="384">
        <f t="shared" si="13"/>
        <v>37.806895056966312</v>
      </c>
      <c r="AB58" s="197">
        <f t="shared" si="14"/>
        <v>46796</v>
      </c>
      <c r="AC58" s="119">
        <f>IF(OR(t&lt;Tnet,NoTnet),'2027'!Resal_s+('2027'!Salim-'2027'!Resal_s)*(1-EXP(('2027'!Tnet_s-t)/'2027'!Tau_j)),Resal_s+(Salim-Resal_s)*(1-EXP((Tnet_s-t)/Tau_j)))*Salcycl</f>
        <v>6.5642825589968895E-2</v>
      </c>
      <c r="AD58" s="230">
        <f>(INDEX(Models!$BJ58:$BT58,,AH58)*(1-AF58)+INDEX(Models!$BJ58:$BT58,,AH58+1)*AF58-ERP_i)*AE58*Ramure*Pc/MaxiM</f>
        <v>1.4065528479013614E-4</v>
      </c>
      <c r="AE58" s="304">
        <f t="shared" si="15"/>
        <v>0.6</v>
      </c>
      <c r="AF58" s="177">
        <f t="shared" si="23"/>
        <v>2.4707681804949644E-3</v>
      </c>
      <c r="AG58" s="799">
        <f t="shared" si="24"/>
        <v>3</v>
      </c>
      <c r="AH58" s="176">
        <f t="shared" si="16"/>
        <v>9</v>
      </c>
      <c r="AI58" s="224">
        <f t="shared" si="17"/>
        <v>3.002470768180495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46797</v>
      </c>
      <c r="B59" s="409">
        <f>IF(t&gt;Tmaj,'2027'!Wh/'2027'!Env_an*'2028'!Env_an,0.001*'[4]mon-tableau'!$B$234)</f>
        <v>15.006804390905502</v>
      </c>
      <c r="C59" s="829"/>
      <c r="D59" s="391">
        <f t="shared" si="0"/>
        <v>15.986861720416226</v>
      </c>
      <c r="E59" s="383">
        <f t="shared" si="1"/>
        <v>16.641707130329589</v>
      </c>
      <c r="F59" s="383">
        <f t="shared" si="2"/>
        <v>16.64173796959215</v>
      </c>
      <c r="G59" s="110">
        <f t="shared" si="21"/>
        <v>0.39399873539099972</v>
      </c>
      <c r="H59" s="412" t="b">
        <f>Wh_hp&gt;='2027'!Maxi_hp</f>
        <v>0</v>
      </c>
      <c r="I59" s="388">
        <f>IF(H59,Wh_hp,'2027'!Maxi_hp)</f>
        <v>40.693105086860676</v>
      </c>
      <c r="J59" s="85">
        <f>IF(H59,An,'2027'!An_max)</f>
        <v>2021</v>
      </c>
      <c r="K59" s="197">
        <f t="shared" si="3"/>
        <v>46797</v>
      </c>
      <c r="L59" s="147">
        <f>IF(t&lt;Tvie,1-EXP((T0-t)*PertePVj)+'2027'!Pspv,1-EXP((T0-t)*PertePVj)+Pspv)</f>
        <v>6.1303922348882822E-2</v>
      </c>
      <c r="M59" s="832"/>
      <c r="N59" s="832"/>
      <c r="O59" s="48">
        <f>IF(t&lt;Tnet,'2027'!Resal+('2027'!Salim-'2027'!Resal)*(1-EXP(('2027'!Tnet-t)/('2027'!Tau_j))),Resal+(Salim-Resal)*(1-EXP((Tnet-t)/(Tau_j))))*Salcycl</f>
        <v>3.9349653541246712E-2</v>
      </c>
      <c r="P59" s="169">
        <f>(INDEX(Models!$BJ59:$BT59,,T59)*(1-R59)+INDEX(Models!$BJ59:$BT59,,T59+1)*R59-ERP_i)*Q59*Ramure*Pc/MaxiM</f>
        <v>1.3799380433951024E-5</v>
      </c>
      <c r="Q59" s="304">
        <f t="shared" si="4"/>
        <v>0.6</v>
      </c>
      <c r="R59" s="177">
        <f t="shared" si="5"/>
        <v>0.47765188787049806</v>
      </c>
      <c r="S59" s="799">
        <f t="shared" si="6"/>
        <v>-1</v>
      </c>
      <c r="T59" s="176">
        <f t="shared" si="7"/>
        <v>5</v>
      </c>
      <c r="U59" s="250">
        <f t="shared" si="8"/>
        <v>-0.52234811212950194</v>
      </c>
      <c r="V59" s="382">
        <f t="shared" si="9"/>
        <v>38.088003253614886</v>
      </c>
      <c r="W59" s="400">
        <f t="shared" si="10"/>
        <v>15.006804390905502</v>
      </c>
      <c r="X59" s="157">
        <f t="shared" si="11"/>
        <v>46797</v>
      </c>
      <c r="Y59" s="383">
        <f t="shared" si="12"/>
        <v>14.594904541118428</v>
      </c>
      <c r="Z59" s="383">
        <f t="shared" si="22"/>
        <v>15.54806170878971</v>
      </c>
      <c r="AA59" s="384">
        <f t="shared" si="13"/>
        <v>16.641438695536596</v>
      </c>
      <c r="AB59" s="197">
        <f t="shared" si="14"/>
        <v>46797</v>
      </c>
      <c r="AC59" s="119">
        <f>IF(OR(t&lt;Tnet,NoTnet),'2027'!Resal_s+('2027'!Salim-'2027'!Resal_s)*(1-EXP(('2027'!Tnet_s-t)/'2027'!Tau_j)),Resal_s+(Salim-Resal_s)*(1-EXP((Tnet_s-t)/Tau_j)))*Salcycl</f>
        <v>6.5702071001838364E-2</v>
      </c>
      <c r="AD59" s="230">
        <f>(INDEX(Models!$BJ59:$BT59,,AH59)*(1-AF59)+INDEX(Models!$BJ59:$BT59,,AH59+1)*AF59-ERP_i)*AE59*Ramure*Pc/MaxiM</f>
        <v>1.3391359596310318E-4</v>
      </c>
      <c r="AE59" s="304">
        <f t="shared" si="15"/>
        <v>0.6</v>
      </c>
      <c r="AF59" s="177">
        <f t="shared" si="23"/>
        <v>2.6394542444765356E-3</v>
      </c>
      <c r="AG59" s="799">
        <f t="shared" si="24"/>
        <v>3</v>
      </c>
      <c r="AH59" s="176">
        <f t="shared" si="16"/>
        <v>9</v>
      </c>
      <c r="AI59" s="224">
        <f t="shared" si="17"/>
        <v>3.0026394542444765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46798</v>
      </c>
      <c r="B60" s="409">
        <f>IF(t&gt;Tmaj,'2027'!Wh/'2027'!Env_an*'2028'!Env_an,0.001*'[4]mon-tableau'!$B$235)</f>
        <v>19.078705572676167</v>
      </c>
      <c r="C60" s="829"/>
      <c r="D60" s="391">
        <f t="shared" si="0"/>
        <v>20.325078236679825</v>
      </c>
      <c r="E60" s="383">
        <f t="shared" si="1"/>
        <v>21.159580398191348</v>
      </c>
      <c r="F60" s="383">
        <f t="shared" si="2"/>
        <v>21.159661272985108</v>
      </c>
      <c r="G60" s="110">
        <f t="shared" si="21"/>
        <v>0.49645850129470026</v>
      </c>
      <c r="H60" s="412" t="b">
        <f>Wh_hp&gt;='2027'!Maxi_hp</f>
        <v>0</v>
      </c>
      <c r="I60" s="388">
        <f>IF(H60,Wh_hp,'2027'!Maxi_hp)</f>
        <v>42.120737329566786</v>
      </c>
      <c r="J60" s="85">
        <f>IF(H60,An,'2027'!An_max)</f>
        <v>2020</v>
      </c>
      <c r="K60" s="197">
        <f t="shared" si="3"/>
        <v>46798</v>
      </c>
      <c r="L60" s="147">
        <f>IF(t&lt;Tvie,1-EXP((T0-t)*PertePVj)+'2027'!Pspv,1-EXP((T0-t)*PertePVj)+Pspv)</f>
        <v>6.1321912245060006E-2</v>
      </c>
      <c r="M60" s="832"/>
      <c r="N60" s="832"/>
      <c r="O60" s="48">
        <f>IF(t&lt;Tnet,'2027'!Resal+('2027'!Salim-'2027'!Resal)*(1-EXP(('2027'!Tnet-t)/('2027'!Tau_j))),Resal+(Salim-Resal)*(1-EXP((Tnet-t)/(Tau_j))))*Salcycl</f>
        <v>3.9438502361930243E-2</v>
      </c>
      <c r="P60" s="169">
        <f>(INDEX(Models!$BJ60:$BT60,,T60)*(1-R60)+INDEX(Models!$BJ60:$BT60,,T60+1)*R60-ERP_i)*Q60*Ramure*Pc/MaxiM</f>
        <v>1.3618238546684634E-5</v>
      </c>
      <c r="Q60" s="304">
        <f t="shared" si="4"/>
        <v>0.6</v>
      </c>
      <c r="R60" s="177">
        <f t="shared" si="5"/>
        <v>0.47782752883682844</v>
      </c>
      <c r="S60" s="799">
        <f t="shared" si="6"/>
        <v>-1</v>
      </c>
      <c r="T60" s="176">
        <f t="shared" si="7"/>
        <v>5</v>
      </c>
      <c r="U60" s="250">
        <f t="shared" si="8"/>
        <v>-0.52217247116317156</v>
      </c>
      <c r="V60" s="382">
        <f t="shared" si="9"/>
        <v>38.429231496635303</v>
      </c>
      <c r="W60" s="400">
        <f t="shared" si="10"/>
        <v>19.078705572676167</v>
      </c>
      <c r="X60" s="157">
        <f t="shared" si="11"/>
        <v>46798</v>
      </c>
      <c r="Y60" s="383">
        <f t="shared" si="12"/>
        <v>18.555288718390322</v>
      </c>
      <c r="Z60" s="383">
        <f t="shared" si="22"/>
        <v>19.767467633946236</v>
      </c>
      <c r="AA60" s="384">
        <f t="shared" si="13"/>
        <v>21.158903961381036</v>
      </c>
      <c r="AB60" s="197">
        <f t="shared" si="14"/>
        <v>46798</v>
      </c>
      <c r="AC60" s="119">
        <f>IF(OR(t&lt;Tnet,NoTnet),'2027'!Resal_s+('2027'!Salim-'2027'!Resal_s)*(1-EXP(('2027'!Tnet_s-t)/'2027'!Tau_j)),Resal_s+(Salim-Resal_s)*(1-EXP((Tnet_s-t)/Tau_j)))*Salcycl</f>
        <v>6.5761266744933058E-2</v>
      </c>
      <c r="AD60" s="230">
        <f>(INDEX(Models!$BJ60:$BT60,,AH60)*(1-AF60)+INDEX(Models!$BJ60:$BT60,,AH60+1)*AF60-ERP_i)*AE60*Ramure*Pc/MaxiM</f>
        <v>1.2752119169427733E-4</v>
      </c>
      <c r="AE60" s="304">
        <f t="shared" si="15"/>
        <v>0.6</v>
      </c>
      <c r="AF60" s="177">
        <f t="shared" si="23"/>
        <v>2.8150952108068061E-3</v>
      </c>
      <c r="AG60" s="799">
        <f t="shared" si="24"/>
        <v>3</v>
      </c>
      <c r="AH60" s="176">
        <f t="shared" si="16"/>
        <v>9</v>
      </c>
      <c r="AI60" s="224">
        <f t="shared" si="17"/>
        <v>3.0028150952108068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46799</v>
      </c>
      <c r="B61" s="409">
        <f>IF(t&gt;Tmaj,'2027'!Wh/'2027'!Env_an*'2028'!Env_an,0.001*'[4]mon-tableau'!$B$236)</f>
        <v>8.5962409300979719</v>
      </c>
      <c r="C61" s="829"/>
      <c r="D61" s="391">
        <f t="shared" si="0"/>
        <v>9.1579912116750055</v>
      </c>
      <c r="E61" s="383">
        <f t="shared" si="1"/>
        <v>9.5348788291751845</v>
      </c>
      <c r="F61" s="383">
        <f t="shared" si="2"/>
        <v>9.5348788291751845</v>
      </c>
      <c r="G61" s="110">
        <f t="shared" si="21"/>
        <v>0.22172884147052313</v>
      </c>
      <c r="H61" s="412" t="b">
        <f>Wh_hp&gt;='2027'!Maxi_hp</f>
        <v>0</v>
      </c>
      <c r="I61" s="388">
        <f>IF(H61,Wh_hp,'2027'!Maxi_hp)</f>
        <v>34.417893598161328</v>
      </c>
      <c r="J61" s="85">
        <f>IF(H61,An,'2027'!An_max)</f>
        <v>2021</v>
      </c>
      <c r="K61" s="197">
        <f t="shared" si="3"/>
        <v>46799</v>
      </c>
      <c r="L61" s="147">
        <f>IF(t&lt;Tvie,1-EXP((T0-t)*PertePVj)+'2027'!Pspv,1-EXP((T0-t)*PertePVj)+Pspv)</f>
        <v>6.1339901796464869E-2</v>
      </c>
      <c r="M61" s="832"/>
      <c r="N61" s="832"/>
      <c r="O61" s="48">
        <f>IF(t&lt;Tnet,'2027'!Resal+('2027'!Salim-'2027'!Resal)*(1-EXP(('2027'!Tnet-t)/('2027'!Tau_j))),Resal+(Salim-Resal)*(1-EXP((Tnet-t)/(Tau_j))))*Salcycl</f>
        <v>3.9527258211920109E-2</v>
      </c>
      <c r="P61" s="169">
        <f>(INDEX(Models!$BJ61:$BT61,,T61)*(1-R61)+INDEX(Models!$BJ61:$BT61,,T61+1)*R61-ERP_i)*Q61*Ramure*Pc/MaxiM</f>
        <v>1.3410467396988448E-5</v>
      </c>
      <c r="Q61" s="304">
        <f t="shared" si="4"/>
        <v>0.6</v>
      </c>
      <c r="R61" s="177">
        <f t="shared" si="5"/>
        <v>0.47801040618261659</v>
      </c>
      <c r="S61" s="799">
        <f t="shared" si="6"/>
        <v>-1</v>
      </c>
      <c r="T61" s="176">
        <f t="shared" si="7"/>
        <v>5</v>
      </c>
      <c r="U61" s="250">
        <f t="shared" si="8"/>
        <v>-0.52198959381738341</v>
      </c>
      <c r="V61" s="382">
        <f t="shared" si="9"/>
        <v>38.768640080735828</v>
      </c>
      <c r="W61" s="400">
        <f t="shared" si="10"/>
        <v>8.5962409300979719</v>
      </c>
      <c r="X61" s="157">
        <f t="shared" si="11"/>
        <v>46799</v>
      </c>
      <c r="Y61" s="383">
        <f t="shared" si="12"/>
        <v>8.3609169852129437</v>
      </c>
      <c r="Z61" s="383">
        <f t="shared" si="22"/>
        <v>8.9072892319749997</v>
      </c>
      <c r="AA61" s="384">
        <f t="shared" si="13"/>
        <v>9.5348788291751845</v>
      </c>
      <c r="AB61" s="197">
        <f t="shared" si="14"/>
        <v>46799</v>
      </c>
      <c r="AC61" s="119">
        <f>IF(OR(t&lt;Tnet,NoTnet),'2027'!Resal_s+('2027'!Salim-'2027'!Resal_s)*(1-EXP(('2027'!Tnet_s-t)/'2027'!Tau_j)),Resal_s+(Salim-Resal_s)*(1-EXP((Tnet_s-t)/Tau_j)))*Salcycl</f>
        <v>6.5820406157639025E-2</v>
      </c>
      <c r="AD61" s="230">
        <f>(INDEX(Models!$BJ61:$BT61,,AH61)*(1-AF61)+INDEX(Models!$BJ61:$BT61,,AH61+1)*AF61-ERP_i)*AE61*Ramure*Pc/MaxiM</f>
        <v>1.2147002711092384E-4</v>
      </c>
      <c r="AE61" s="304">
        <f t="shared" si="15"/>
        <v>0.6</v>
      </c>
      <c r="AF61" s="177">
        <f t="shared" si="23"/>
        <v>2.9979725565949522E-3</v>
      </c>
      <c r="AG61" s="799">
        <f t="shared" si="24"/>
        <v>3</v>
      </c>
      <c r="AH61" s="176">
        <f t="shared" si="16"/>
        <v>9</v>
      </c>
      <c r="AI61" s="224">
        <f t="shared" si="17"/>
        <v>3.002997972556595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46800</v>
      </c>
      <c r="B62" s="409">
        <f>IF(t&gt;Tmaj,'2027'!Wh/'2027'!Env_an*'2028'!Env_an,0.001*'[4]mon-tableau'!$B$237)</f>
        <v>10.841591002713006</v>
      </c>
      <c r="C62" s="829"/>
      <c r="D62" s="391">
        <f t="shared" si="0"/>
        <v>11.550292596929358</v>
      </c>
      <c r="E62" s="383">
        <f t="shared" si="1"/>
        <v>12.026743056511462</v>
      </c>
      <c r="F62" s="383">
        <f t="shared" si="2"/>
        <v>12.026743056511462</v>
      </c>
      <c r="G62" s="110">
        <f t="shared" si="21"/>
        <v>0.27723484637227236</v>
      </c>
      <c r="H62" s="412" t="b">
        <f>Wh_hp&gt;='2027'!Maxi_hp</f>
        <v>0</v>
      </c>
      <c r="I62" s="388">
        <f>IF(H62,Wh_hp,'2027'!Maxi_hp)</f>
        <v>38.835369308971607</v>
      </c>
      <c r="J62" s="85">
        <f>IF(H62,An,'2027'!An_max)</f>
        <v>2021</v>
      </c>
      <c r="K62" s="197">
        <f t="shared" si="3"/>
        <v>46800</v>
      </c>
      <c r="L62" s="147">
        <f>IF(t&lt;Tvie,1-EXP((T0-t)*PertePVj)+'2027'!Pspv,1-EXP((T0-t)*PertePVj)+Pspv)</f>
        <v>6.1357891003104181E-2</v>
      </c>
      <c r="M62" s="832"/>
      <c r="N62" s="832"/>
      <c r="O62" s="48">
        <f>IF(t&lt;Tnet,'2027'!Resal+('2027'!Salim-'2027'!Resal)*(1-EXP(('2027'!Tnet-t)/('2027'!Tau_j))),Resal+(Salim-Resal)*(1-EXP((Tnet-t)/(Tau_j))))*Salcycl</f>
        <v>3.9615917405348158E-2</v>
      </c>
      <c r="P62" s="169">
        <f>(INDEX(Models!$BJ62:$BT62,,T62)*(1-R62)+INDEX(Models!$BJ62:$BT62,,T62+1)*R62-ERP_i)*Q62*Ramure*Pc/MaxiM</f>
        <v>1.3176887132762926E-5</v>
      </c>
      <c r="Q62" s="304">
        <f t="shared" si="4"/>
        <v>0.6</v>
      </c>
      <c r="R62" s="177">
        <f t="shared" si="5"/>
        <v>0.47820081232977285</v>
      </c>
      <c r="S62" s="799">
        <f t="shared" si="6"/>
        <v>-1</v>
      </c>
      <c r="T62" s="176">
        <f t="shared" si="7"/>
        <v>5</v>
      </c>
      <c r="U62" s="250">
        <f t="shared" si="8"/>
        <v>-0.52179918767022715</v>
      </c>
      <c r="V62" s="382">
        <f t="shared" si="9"/>
        <v>39.105647382198391</v>
      </c>
      <c r="W62" s="400">
        <f t="shared" si="10"/>
        <v>10.841591002713006</v>
      </c>
      <c r="X62" s="157">
        <f t="shared" si="11"/>
        <v>46800</v>
      </c>
      <c r="Y62" s="383">
        <f t="shared" si="12"/>
        <v>10.545106667693267</v>
      </c>
      <c r="Z62" s="383">
        <f t="shared" si="22"/>
        <v>11.234427442172361</v>
      </c>
      <c r="AA62" s="384">
        <f t="shared" si="13"/>
        <v>12.026743056511462</v>
      </c>
      <c r="AB62" s="197">
        <f t="shared" si="14"/>
        <v>46800</v>
      </c>
      <c r="AC62" s="119">
        <f>IF(OR(t&lt;Tnet,NoTnet),'2027'!Resal_s+('2027'!Salim-'2027'!Resal_s)*(1-EXP(('2027'!Tnet_s-t)/'2027'!Tau_j)),Resal_s+(Salim-Resal_s)*(1-EXP((Tnet_s-t)/Tau_j)))*Salcycl</f>
        <v>6.5879482966930913E-2</v>
      </c>
      <c r="AD62" s="230">
        <f>(INDEX(Models!$BJ62:$BT62,,AH62)*(1-AF62)+INDEX(Models!$BJ62:$BT62,,AH62+1)*AF62-ERP_i)*AE62*Ramure*Pc/MaxiM</f>
        <v>1.1575211766440326E-4</v>
      </c>
      <c r="AE62" s="304">
        <f t="shared" si="15"/>
        <v>0.6</v>
      </c>
      <c r="AF62" s="177">
        <f t="shared" si="23"/>
        <v>3.1883787037512157E-3</v>
      </c>
      <c r="AG62" s="799">
        <f t="shared" si="24"/>
        <v>3</v>
      </c>
      <c r="AH62" s="176">
        <f t="shared" si="16"/>
        <v>9</v>
      </c>
      <c r="AI62" s="224">
        <f t="shared" si="17"/>
        <v>3.0031883787037512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46801</v>
      </c>
      <c r="B63" s="409">
        <f>IF(t&gt;Tmaj,'2027'!Wh/'2027'!Env_an*'2028'!Env_an,0.001*'[4]mon-tableau'!$B$238)</f>
        <v>30.756526056570369</v>
      </c>
      <c r="C63" s="829"/>
      <c r="D63" s="391">
        <f t="shared" si="0"/>
        <v>32.767670675399032</v>
      </c>
      <c r="E63" s="383">
        <f t="shared" si="1"/>
        <v>34.122486124953497</v>
      </c>
      <c r="F63" s="383">
        <f t="shared" si="2"/>
        <v>34.122788290322319</v>
      </c>
      <c r="G63" s="110">
        <f t="shared" si="21"/>
        <v>0.77983409874571774</v>
      </c>
      <c r="H63" s="412" t="b">
        <f>Wh_hp&gt;='2027'!Maxi_hp</f>
        <v>0</v>
      </c>
      <c r="I63" s="388">
        <f>IF(H63,Wh_hp,'2027'!Maxi_hp)</f>
        <v>34.122871531041717</v>
      </c>
      <c r="J63" s="85">
        <f>IF(H63,An,'2027'!An_max)</f>
        <v>2027</v>
      </c>
      <c r="K63" s="197">
        <f t="shared" si="3"/>
        <v>46801</v>
      </c>
      <c r="L63" s="147">
        <f>IF(t&lt;Tvie,1-EXP((T0-t)*PertePVj)+'2027'!Pspv,1-EXP((T0-t)*PertePVj)+Pspv)</f>
        <v>6.1375879864984384E-2</v>
      </c>
      <c r="M63" s="832"/>
      <c r="N63" s="832"/>
      <c r="O63" s="48">
        <f>IF(t&lt;Tnet,'2027'!Resal+('2027'!Salim-'2027'!Resal)*(1-EXP(('2027'!Tnet-t)/('2027'!Tau_j))),Resal+(Salim-Resal)*(1-EXP((Tnet-t)/(Tau_j))))*Salcycl</f>
        <v>3.9704476531787616E-2</v>
      </c>
      <c r="P63" s="169">
        <f>(INDEX(Models!$BJ63:$BT63,,T63)*(1-R63)+INDEX(Models!$BJ63:$BT63,,T63+1)*R63-ERP_i)*Q63*Ramure*Pc/MaxiM</f>
        <v>1.2918266559228333E-5</v>
      </c>
      <c r="Q63" s="304">
        <f t="shared" si="4"/>
        <v>0.6</v>
      </c>
      <c r="R63" s="177">
        <f t="shared" si="5"/>
        <v>0.47839905103252123</v>
      </c>
      <c r="S63" s="799">
        <f t="shared" si="6"/>
        <v>-1</v>
      </c>
      <c r="T63" s="176">
        <f t="shared" si="7"/>
        <v>5</v>
      </c>
      <c r="U63" s="250">
        <f t="shared" si="8"/>
        <v>-0.52160094896747877</v>
      </c>
      <c r="V63" s="382">
        <f t="shared" si="9"/>
        <v>39.439672027999286</v>
      </c>
      <c r="W63" s="400">
        <f t="shared" si="10"/>
        <v>30.756526056570369</v>
      </c>
      <c r="X63" s="157">
        <f t="shared" si="11"/>
        <v>46801</v>
      </c>
      <c r="Y63" s="383">
        <f t="shared" si="12"/>
        <v>29.914299828748874</v>
      </c>
      <c r="Z63" s="383">
        <f t="shared" si="22"/>
        <v>31.870371948726266</v>
      </c>
      <c r="AA63" s="384">
        <f t="shared" si="13"/>
        <v>34.12020691892473</v>
      </c>
      <c r="AB63" s="197">
        <f t="shared" si="14"/>
        <v>46801</v>
      </c>
      <c r="AC63" s="119">
        <f>IF(OR(t&lt;Tnet,NoTnet),'2027'!Resal_s+('2027'!Salim-'2027'!Resal_s)*(1-EXP(('2027'!Tnet_s-t)/'2027'!Tau_j)),Resal_s+(Salim-Resal_s)*(1-EXP((Tnet_s-t)/Tau_j)))*Salcycl</f>
        <v>6.5938491391463239E-2</v>
      </c>
      <c r="AD63" s="230">
        <f>(INDEX(Models!$BJ63:$BT63,,AH63)*(1-AF63)+INDEX(Models!$BJ63:$BT63,,AH63+1)*AF63-ERP_i)*AE63*Ramure*Pc/MaxiM</f>
        <v>1.1035958201580647E-4</v>
      </c>
      <c r="AE63" s="304">
        <f t="shared" si="15"/>
        <v>0.6</v>
      </c>
      <c r="AF63" s="177">
        <f t="shared" si="23"/>
        <v>3.3866174064995924E-3</v>
      </c>
      <c r="AG63" s="799">
        <f t="shared" si="24"/>
        <v>3</v>
      </c>
      <c r="AH63" s="176">
        <f t="shared" si="16"/>
        <v>9</v>
      </c>
      <c r="AI63" s="224">
        <f t="shared" si="17"/>
        <v>3.0033866174064996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46802</v>
      </c>
      <c r="B64" s="409">
        <f>IF(t&gt;Tmaj,'2027'!Wh/'2027'!Env_an*'2028'!Env_an,0.001*'[4]mon-tableau'!$B$239)</f>
        <v>18.509170380370048</v>
      </c>
      <c r="C64" s="829"/>
      <c r="D64" s="391">
        <f t="shared" si="0"/>
        <v>19.719848141696609</v>
      </c>
      <c r="E64" s="383">
        <f t="shared" si="1"/>
        <v>20.537078729730649</v>
      </c>
      <c r="F64" s="383">
        <f t="shared" si="2"/>
        <v>20.537140045713986</v>
      </c>
      <c r="G64" s="110">
        <f t="shared" si="21"/>
        <v>0.46539929400060071</v>
      </c>
      <c r="H64" s="412" t="b">
        <f>Wh_hp&gt;='2027'!Maxi_hp</f>
        <v>0</v>
      </c>
      <c r="I64" s="388">
        <f>IF(H64,Wh_hp,'2027'!Maxi_hp)</f>
        <v>41.255245253729655</v>
      </c>
      <c r="J64" s="85">
        <f>IF(H64,An,'2027'!An_max)</f>
        <v>2021</v>
      </c>
      <c r="K64" s="197">
        <f t="shared" si="3"/>
        <v>46802</v>
      </c>
      <c r="L64" s="147">
        <f>IF(t&lt;Tvie,1-EXP((T0-t)*PertePVj)+'2027'!Pspv,1-EXP((T0-t)*PertePVj)+Pspv)</f>
        <v>6.1393868382112249E-2</v>
      </c>
      <c r="M64" s="832"/>
      <c r="N64" s="832"/>
      <c r="O64" s="48">
        <f>IF(t&lt;Tnet,'2027'!Resal+('2027'!Salim-'2027'!Resal)*(1-EXP(('2027'!Tnet-t)/('2027'!Tau_j))),Resal+(Salim-Resal)*(1-EXP((Tnet-t)/(Tau_j))))*Salcycl</f>
        <v>3.9792932519218033E-2</v>
      </c>
      <c r="P64" s="169">
        <f>(INDEX(Models!$BJ64:$BT64,,T64)*(1-R64)+INDEX(Models!$BJ64:$BT64,,T64+1)*R64-ERP_i)*Q64*Ramure*Pc/MaxiM</f>
        <v>1.2635322447278281E-5</v>
      </c>
      <c r="Q64" s="304">
        <f t="shared" si="4"/>
        <v>0.6</v>
      </c>
      <c r="R64" s="177">
        <f t="shared" si="5"/>
        <v>0.47860543777533016</v>
      </c>
      <c r="S64" s="799">
        <f t="shared" si="6"/>
        <v>-1</v>
      </c>
      <c r="T64" s="176">
        <f t="shared" si="7"/>
        <v>5</v>
      </c>
      <c r="U64" s="250">
        <f t="shared" si="8"/>
        <v>-0.52139456222466984</v>
      </c>
      <c r="V64" s="382">
        <f t="shared" si="9"/>
        <v>39.770132895226503</v>
      </c>
      <c r="W64" s="400">
        <f t="shared" si="10"/>
        <v>18.509170380370048</v>
      </c>
      <c r="X64" s="157">
        <f t="shared" si="11"/>
        <v>46802</v>
      </c>
      <c r="Y64" s="383">
        <f t="shared" si="12"/>
        <v>18.003652434442539</v>
      </c>
      <c r="Z64" s="383">
        <f t="shared" si="22"/>
        <v>19.181264460108956</v>
      </c>
      <c r="AA64" s="384">
        <f t="shared" si="13"/>
        <v>20.536629126129867</v>
      </c>
      <c r="AB64" s="197">
        <f t="shared" si="14"/>
        <v>46802</v>
      </c>
      <c r="AC64" s="119">
        <f>IF(OR(t&lt;Tnet,NoTnet),'2027'!Resal_s+('2027'!Salim-'2027'!Resal_s)*(1-EXP(('2027'!Tnet_s-t)/'2027'!Tau_j)),Resal_s+(Salim-Resal_s)*(1-EXP((Tnet_s-t)/Tau_j)))*Salcycl</f>
        <v>6.5997426242479396E-2</v>
      </c>
      <c r="AD64" s="230">
        <f>(INDEX(Models!$BJ64:$BT64,,AH64)*(1-AF64)+INDEX(Models!$BJ64:$BT64,,AH64+1)*AF64-ERP_i)*AE64*Ramure*Pc/MaxiM</f>
        <v>1.0528468008870415E-4</v>
      </c>
      <c r="AE64" s="304">
        <f t="shared" si="15"/>
        <v>0.6</v>
      </c>
      <c r="AF64" s="177">
        <f t="shared" si="23"/>
        <v>3.5930041493084097E-3</v>
      </c>
      <c r="AG64" s="799">
        <f t="shared" si="24"/>
        <v>3</v>
      </c>
      <c r="AH64" s="176">
        <f t="shared" si="16"/>
        <v>9</v>
      </c>
      <c r="AI64" s="224">
        <f t="shared" si="17"/>
        <v>3.0035930041493084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46803</v>
      </c>
      <c r="B65" s="409">
        <f>IF(t&gt;Tmaj,'2027'!Wh/'2027'!Env_an*'2028'!Env_an,0.001*'[4]mon-tableau'!$B$240)</f>
        <v>20.123123232053199</v>
      </c>
      <c r="C65" s="829"/>
      <c r="D65" s="391">
        <f t="shared" si="0"/>
        <v>21.439779921129531</v>
      </c>
      <c r="E65" s="383">
        <f t="shared" si="1"/>
        <v>22.33034262817198</v>
      </c>
      <c r="F65" s="383">
        <f t="shared" si="2"/>
        <v>22.330422012946716</v>
      </c>
      <c r="G65" s="110">
        <f t="shared" si="21"/>
        <v>0.50184797224378741</v>
      </c>
      <c r="H65" s="412" t="b">
        <f>Wh_hp&gt;='2027'!Maxi_hp</f>
        <v>0</v>
      </c>
      <c r="I65" s="388">
        <f>IF(H65,Wh_hp,'2027'!Maxi_hp)</f>
        <v>44.665553120035945</v>
      </c>
      <c r="J65" s="85">
        <f>IF(H65,An,'2027'!An_max)</f>
        <v>2020</v>
      </c>
      <c r="K65" s="197">
        <f t="shared" si="3"/>
        <v>46803</v>
      </c>
      <c r="L65" s="147">
        <f>IF(t&lt;Tvie,1-EXP((T0-t)*PertePVj)+'2027'!Pspv,1-EXP((T0-t)*PertePVj)+Pspv)</f>
        <v>6.1411856554494215E-2</v>
      </c>
      <c r="M65" s="832"/>
      <c r="N65" s="832"/>
      <c r="O65" s="48">
        <f>IF(t&lt;Tnet,'2027'!Resal+('2027'!Salim-'2027'!Resal)*(1-EXP(('2027'!Tnet-t)/('2027'!Tau_j))),Resal+(Salim-Resal)*(1-EXP((Tnet-t)/(Tau_j))))*Salcycl</f>
        <v>3.9881282695542419E-2</v>
      </c>
      <c r="P65" s="169">
        <f>(INDEX(Models!$BJ65:$BT65,,T65)*(1-R65)+INDEX(Models!$BJ65:$BT65,,T65+1)*R65-ERP_i)*Q65*Ramure*Pc/MaxiM</f>
        <v>1.2328335993010835E-5</v>
      </c>
      <c r="Q65" s="304">
        <f t="shared" si="4"/>
        <v>0.6</v>
      </c>
      <c r="R65" s="177">
        <f t="shared" si="5"/>
        <v>0.47882030018124044</v>
      </c>
      <c r="S65" s="799">
        <f t="shared" si="6"/>
        <v>-1</v>
      </c>
      <c r="T65" s="176">
        <f t="shared" si="7"/>
        <v>5</v>
      </c>
      <c r="U65" s="250">
        <f t="shared" si="8"/>
        <v>-0.52117969981875956</v>
      </c>
      <c r="V65" s="382">
        <f t="shared" si="9"/>
        <v>40.097694516221118</v>
      </c>
      <c r="W65" s="400">
        <f t="shared" si="10"/>
        <v>20.123123232053199</v>
      </c>
      <c r="X65" s="157">
        <f t="shared" si="11"/>
        <v>46803</v>
      </c>
      <c r="Y65" s="383">
        <f t="shared" si="12"/>
        <v>19.574023752696494</v>
      </c>
      <c r="Z65" s="383">
        <f t="shared" si="22"/>
        <v>20.854752842755207</v>
      </c>
      <c r="AA65" s="384">
        <f t="shared" si="13"/>
        <v>22.329774764399883</v>
      </c>
      <c r="AB65" s="197">
        <f t="shared" si="14"/>
        <v>46803</v>
      </c>
      <c r="AC65" s="119">
        <f>IF(OR(t&lt;Tnet,NoTnet),'2027'!Resal_s+('2027'!Salim-'2027'!Resal_s)*(1-EXP(('2027'!Tnet_s-t)/'2027'!Tau_j)),Resal_s+(Salim-Resal_s)*(1-EXP((Tnet_s-t)/Tau_j)))*Salcycl</f>
        <v>6.6056283021550574E-2</v>
      </c>
      <c r="AD65" s="230">
        <f>(INDEX(Models!$BJ65:$BT65,,AH65)*(1-AF65)+INDEX(Models!$BJ65:$BT65,,AH65+1)*AF65-ERP_i)*AE65*Ramure*Pc/MaxiM</f>
        <v>1.0051672480978653E-4</v>
      </c>
      <c r="AE65" s="304">
        <f t="shared" si="15"/>
        <v>0.6</v>
      </c>
      <c r="AF65" s="177">
        <f t="shared" si="23"/>
        <v>3.8078665552188085E-3</v>
      </c>
      <c r="AG65" s="799">
        <f t="shared" si="24"/>
        <v>3</v>
      </c>
      <c r="AH65" s="176">
        <f t="shared" si="16"/>
        <v>9</v>
      </c>
      <c r="AI65" s="224">
        <f t="shared" si="17"/>
        <v>3.0038078665552188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46804</v>
      </c>
      <c r="B66" s="409">
        <f>IF(t&gt;Tmaj,'2027'!Wh/'2027'!Env_an*'2028'!Env_an,0.001*'[4]mon-tableau'!$B$241)</f>
        <v>21.181982259459442</v>
      </c>
      <c r="C66" s="829"/>
      <c r="D66" s="391">
        <f t="shared" si="0"/>
        <v>22.568352650756609</v>
      </c>
      <c r="E66" s="383">
        <f t="shared" si="1"/>
        <v>23.507954419035524</v>
      </c>
      <c r="F66" s="383">
        <f t="shared" si="2"/>
        <v>23.508044835528064</v>
      </c>
      <c r="G66" s="110">
        <f t="shared" si="21"/>
        <v>0.52399775516382163</v>
      </c>
      <c r="H66" s="412" t="b">
        <f>Wh_hp&gt;='2027'!Maxi_hp</f>
        <v>0</v>
      </c>
      <c r="I66" s="388">
        <f>IF(H66,Wh_hp,'2027'!Maxi_hp)</f>
        <v>23.508159666463104</v>
      </c>
      <c r="J66" s="85">
        <f>IF(H66,An,'2027'!An_max)</f>
        <v>2027</v>
      </c>
      <c r="K66" s="197">
        <f t="shared" si="3"/>
        <v>46804</v>
      </c>
      <c r="L66" s="147">
        <f>IF(t&lt;Tvie,1-EXP((T0-t)*PertePVj)+'2027'!Pspv,1-EXP((T0-t)*PertePVj)+Pspv)</f>
        <v>6.1429844382136944E-2</v>
      </c>
      <c r="M66" s="832"/>
      <c r="N66" s="832"/>
      <c r="O66" s="48">
        <f>IF(t&lt;Tnet,'2027'!Resal+('2027'!Salim-'2027'!Resal)*(1-EXP(('2027'!Tnet-t)/('2027'!Tau_j))),Resal+(Salim-Resal)*(1-EXP((Tnet-t)/(Tau_j))))*Salcycl</f>
        <v>3.9969524848069177E-2</v>
      </c>
      <c r="P66" s="169">
        <f>(INDEX(Models!$BJ66:$BT66,,T66)*(1-R66)+INDEX(Models!$BJ66:$BT66,,T66+1)*R66-ERP_i)*Q66*Ramure*Pc/MaxiM</f>
        <v>1.2019245778898198E-5</v>
      </c>
      <c r="Q66" s="304">
        <f t="shared" si="4"/>
        <v>0.6</v>
      </c>
      <c r="R66" s="177">
        <f t="shared" si="5"/>
        <v>0.47904397843052704</v>
      </c>
      <c r="S66" s="799">
        <f t="shared" si="6"/>
        <v>-1</v>
      </c>
      <c r="T66" s="176">
        <f t="shared" si="7"/>
        <v>5</v>
      </c>
      <c r="U66" s="250">
        <f t="shared" si="8"/>
        <v>-0.52095602156947296</v>
      </c>
      <c r="V66" s="382">
        <f t="shared" si="9"/>
        <v>40.423473056150655</v>
      </c>
      <c r="W66" s="400">
        <f t="shared" si="10"/>
        <v>21.181982259459442</v>
      </c>
      <c r="X66" s="157">
        <f t="shared" si="11"/>
        <v>46804</v>
      </c>
      <c r="Y66" s="383">
        <f t="shared" si="12"/>
        <v>20.604556020709307</v>
      </c>
      <c r="Z66" s="383">
        <f t="shared" si="22"/>
        <v>21.953133601552967</v>
      </c>
      <c r="AA66" s="384">
        <f t="shared" si="13"/>
        <v>23.507321528144956</v>
      </c>
      <c r="AB66" s="197">
        <f t="shared" si="14"/>
        <v>46804</v>
      </c>
      <c r="AC66" s="119">
        <f>IF(OR(t&lt;Tnet,NoTnet),'2027'!Resal_s+('2027'!Salim-'2027'!Resal_s)*(1-EXP(('2027'!Tnet_s-t)/'2027'!Tau_j)),Resal_s+(Salim-Resal_s)*(1-EXP((Tnet_s-t)/Tau_j)))*Salcycl</f>
        <v>6.6115058014209929E-2</v>
      </c>
      <c r="AD66" s="230">
        <f>(INDEX(Models!$BJ66:$BT66,,AH66)*(1-AF66)+INDEX(Models!$BJ66:$BT66,,AH66+1)*AF66-ERP_i)*AE66*Ramure*Pc/MaxiM</f>
        <v>9.6150701789235698E-5</v>
      </c>
      <c r="AE66" s="304">
        <f t="shared" si="15"/>
        <v>0.6</v>
      </c>
      <c r="AF66" s="177">
        <f t="shared" si="23"/>
        <v>4.0315448045054048E-3</v>
      </c>
      <c r="AG66" s="799">
        <f t="shared" si="24"/>
        <v>3</v>
      </c>
      <c r="AH66" s="176">
        <f t="shared" si="16"/>
        <v>9</v>
      </c>
      <c r="AI66" s="224">
        <f t="shared" si="17"/>
        <v>3.0040315448045054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46805</v>
      </c>
      <c r="B67" s="409">
        <f>IF(t&gt;Tmaj,'2027'!Wh/'2027'!Env_an*'2028'!Env_an,0.001*'[4]mon-tableau'!$B$242)</f>
        <v>33.476050940637407</v>
      </c>
      <c r="C67" s="829"/>
      <c r="D67" s="391">
        <f t="shared" si="0"/>
        <v>35.667757293832111</v>
      </c>
      <c r="E67" s="383">
        <f t="shared" si="1"/>
        <v>37.156145433466726</v>
      </c>
      <c r="F67" s="383">
        <f t="shared" si="2"/>
        <v>37.156470085181276</v>
      </c>
      <c r="G67" s="110">
        <f t="shared" si="21"/>
        <v>0.82154480715417555</v>
      </c>
      <c r="H67" s="412" t="b">
        <f>Wh_hp&gt;='2027'!Maxi_hp</f>
        <v>0</v>
      </c>
      <c r="I67" s="388">
        <f>IF(H67,Wh_hp,'2027'!Maxi_hp)</f>
        <v>42.383788099046349</v>
      </c>
      <c r="J67" s="85">
        <f>IF(H67,An,'2027'!An_max)</f>
        <v>2020</v>
      </c>
      <c r="K67" s="197">
        <f t="shared" si="3"/>
        <v>46805</v>
      </c>
      <c r="L67" s="147">
        <f>IF(t&lt;Tvie,1-EXP((T0-t)*PertePVj)+'2027'!Pspv,1-EXP((T0-t)*PertePVj)+Pspv)</f>
        <v>6.1447831865047098E-2</v>
      </c>
      <c r="M67" s="832"/>
      <c r="N67" s="832"/>
      <c r="O67" s="48">
        <f>IF(t&lt;Tnet,'2027'!Resal+('2027'!Salim-'2027'!Resal)*(1-EXP(('2027'!Tnet-t)/('2027'!Tau_j))),Resal+(Salim-Resal)*(1-EXP((Tnet-t)/(Tau_j))))*Salcycl</f>
        <v>4.0057657280402802E-2</v>
      </c>
      <c r="P67" s="169">
        <f>(INDEX(Models!$BJ67:$BT67,,T67)*(1-R67)+INDEX(Models!$BJ67:$BT67,,T67+1)*R67-ERP_i)*Q67*Ramure*Pc/MaxiM</f>
        <v>1.1727018796081665E-5</v>
      </c>
      <c r="Q67" s="304">
        <f t="shared" si="4"/>
        <v>0.6</v>
      </c>
      <c r="R67" s="177">
        <f t="shared" si="5"/>
        <v>0.47927682568959629</v>
      </c>
      <c r="S67" s="799">
        <f t="shared" si="6"/>
        <v>-1</v>
      </c>
      <c r="T67" s="176">
        <f t="shared" si="7"/>
        <v>5</v>
      </c>
      <c r="U67" s="250">
        <f t="shared" si="8"/>
        <v>-0.52072317431040371</v>
      </c>
      <c r="V67" s="382">
        <f t="shared" si="9"/>
        <v>40.747565523283569</v>
      </c>
      <c r="W67" s="400">
        <f t="shared" si="10"/>
        <v>33.476050940637407</v>
      </c>
      <c r="X67" s="157">
        <f t="shared" si="11"/>
        <v>46805</v>
      </c>
      <c r="Y67" s="383">
        <f t="shared" si="12"/>
        <v>32.563361406932877</v>
      </c>
      <c r="Z67" s="383">
        <f t="shared" si="22"/>
        <v>34.695313177573574</v>
      </c>
      <c r="AA67" s="384">
        <f t="shared" si="13"/>
        <v>37.153927850424552</v>
      </c>
      <c r="AB67" s="197">
        <f t="shared" si="14"/>
        <v>46805</v>
      </c>
      <c r="AC67" s="119">
        <f>IF(OR(t&lt;Tnet,NoTnet),'2027'!Resal_s+('2027'!Salim-'2027'!Resal_s)*(1-EXP(('2027'!Tnet_s-t)/'2027'!Tau_j)),Resal_s+(Salim-Resal_s)*(1-EXP((Tnet_s-t)/Tau_j)))*Salcycl</f>
        <v>6.6173748378608829E-2</v>
      </c>
      <c r="AD67" s="230">
        <f>(INDEX(Models!$BJ67:$BT67,,AH67)*(1-AF67)+INDEX(Models!$BJ67:$BT67,,AH67+1)*AF67-ERP_i)*AE67*Ramure*Pc/MaxiM</f>
        <v>9.1830208929436367E-5</v>
      </c>
      <c r="AE67" s="304">
        <f t="shared" si="15"/>
        <v>0.6</v>
      </c>
      <c r="AF67" s="177">
        <f t="shared" si="23"/>
        <v>4.2643920635749843E-3</v>
      </c>
      <c r="AG67" s="799">
        <f t="shared" si="24"/>
        <v>3</v>
      </c>
      <c r="AH67" s="176">
        <f t="shared" si="16"/>
        <v>9</v>
      </c>
      <c r="AI67" s="224">
        <f t="shared" si="17"/>
        <v>3.004264392063575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46806</v>
      </c>
      <c r="B68" s="409">
        <f>IF(t&gt;Tmaj,'2027'!Wh/'2027'!Env_an*'2028'!Env_an,0.001*'[4]mon-tableau'!$B$243)</f>
        <v>35.570979673325574</v>
      </c>
      <c r="C68" s="829"/>
      <c r="D68" s="391">
        <f t="shared" si="0"/>
        <v>37.900569199885162</v>
      </c>
      <c r="E68" s="383">
        <f t="shared" si="1"/>
        <v>39.485751499370437</v>
      </c>
      <c r="F68" s="383">
        <f t="shared" si="2"/>
        <v>39.48611717129932</v>
      </c>
      <c r="G68" s="110">
        <f t="shared" si="21"/>
        <v>0.86610278663862106</v>
      </c>
      <c r="H68" s="412" t="b">
        <f>Wh_hp&gt;='2027'!Maxi_hp</f>
        <v>0</v>
      </c>
      <c r="I68" s="388">
        <f>IF(H68,Wh_hp,'2027'!Maxi_hp)</f>
        <v>44.04907717434498</v>
      </c>
      <c r="J68" s="85">
        <f>IF(H68,An,'2027'!An_max)</f>
        <v>2020</v>
      </c>
      <c r="K68" s="197">
        <f t="shared" si="3"/>
        <v>46806</v>
      </c>
      <c r="L68" s="147">
        <f>IF(t&lt;Tvie,1-EXP((T0-t)*PertePVj)+'2027'!Pspv,1-EXP((T0-t)*PertePVj)+Pspv)</f>
        <v>6.1465819003231337E-2</v>
      </c>
      <c r="M68" s="832"/>
      <c r="N68" s="832"/>
      <c r="O68" s="48">
        <f>IF(t&lt;Tnet,'2027'!Resal+('2027'!Salim-'2027'!Resal)*(1-EXP(('2027'!Tnet-t)/('2027'!Tau_j))),Resal+(Salim-Resal)*(1-EXP((Tnet-t)/(Tau_j))))*Salcycl</f>
        <v>4.0145678866224659E-2</v>
      </c>
      <c r="P68" s="169">
        <f>(INDEX(Models!$BJ68:$BT68,,T68)*(1-R68)+INDEX(Models!$BJ68:$BT68,,T68+1)*R68-ERP_i)*Q68*Ramure*Pc/MaxiM</f>
        <v>1.1451133680386143E-5</v>
      </c>
      <c r="Q68" s="304">
        <f t="shared" si="4"/>
        <v>0.6</v>
      </c>
      <c r="R68" s="177">
        <f t="shared" si="5"/>
        <v>0.47951920854997421</v>
      </c>
      <c r="S68" s="799">
        <f t="shared" si="6"/>
        <v>-1</v>
      </c>
      <c r="T68" s="176">
        <f t="shared" si="7"/>
        <v>5</v>
      </c>
      <c r="U68" s="250">
        <f t="shared" si="8"/>
        <v>-0.52048079145002579</v>
      </c>
      <c r="V68" s="382">
        <f t="shared" si="9"/>
        <v>41.070069636129247</v>
      </c>
      <c r="W68" s="400">
        <f t="shared" si="10"/>
        <v>35.570979673325574</v>
      </c>
      <c r="X68" s="157">
        <f t="shared" si="11"/>
        <v>46806</v>
      </c>
      <c r="Y68" s="383">
        <f t="shared" si="12"/>
        <v>34.602111016254895</v>
      </c>
      <c r="Z68" s="383">
        <f t="shared" si="22"/>
        <v>36.868248079687177</v>
      </c>
      <c r="AA68" s="384">
        <f t="shared" si="13"/>
        <v>39.483321324819379</v>
      </c>
      <c r="AB68" s="197">
        <f t="shared" si="14"/>
        <v>46806</v>
      </c>
      <c r="AC68" s="119">
        <f>IF(OR(t&lt;Tnet,NoTnet),'2027'!Resal_s+('2027'!Salim-'2027'!Resal_s)*(1-EXP(('2027'!Tnet_s-t)/'2027'!Tau_j)),Resal_s+(Salim-Resal_s)*(1-EXP((Tnet_s-t)/Tau_j)))*Salcycl</f>
        <v>6.6232352228391661E-2</v>
      </c>
      <c r="AD68" s="230">
        <f>(INDEX(Models!$BJ68:$BT68,,AH68)*(1-AF68)+INDEX(Models!$BJ68:$BT68,,AH68+1)*AF68-ERP_i)*AE68*Ramure*Pc/MaxiM</f>
        <v>8.7552828813570229E-5</v>
      </c>
      <c r="AE68" s="304">
        <f t="shared" si="15"/>
        <v>0.6</v>
      </c>
      <c r="AF68" s="177">
        <f t="shared" si="23"/>
        <v>4.5067749239526833E-3</v>
      </c>
      <c r="AG68" s="799">
        <f t="shared" si="24"/>
        <v>3</v>
      </c>
      <c r="AH68" s="176">
        <f t="shared" si="16"/>
        <v>9</v>
      </c>
      <c r="AI68" s="224">
        <f t="shared" si="17"/>
        <v>3.0045067749239527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46807</v>
      </c>
      <c r="B69" s="409">
        <f>IF(t&gt;Tmaj,'2027'!Wh/'2027'!Env_an*'2028'!Env_an,0.001*'[4]mon-tableau'!$B$244)</f>
        <v>24.518953529022081</v>
      </c>
      <c r="C69" s="829"/>
      <c r="D69" s="391">
        <f t="shared" si="0"/>
        <v>26.125232234096877</v>
      </c>
      <c r="E69" s="383">
        <f t="shared" si="1"/>
        <v>27.220406900450413</v>
      </c>
      <c r="F69" s="383">
        <f t="shared" si="2"/>
        <v>27.220534136610986</v>
      </c>
      <c r="G69" s="110">
        <f t="shared" si="21"/>
        <v>0.59236898240661695</v>
      </c>
      <c r="H69" s="412" t="b">
        <f>Wh_hp&gt;='2027'!Maxi_hp</f>
        <v>0</v>
      </c>
      <c r="I69" s="388">
        <f>IF(H69,Wh_hp,'2027'!Maxi_hp)</f>
        <v>42.202501894458955</v>
      </c>
      <c r="J69" s="85">
        <f>IF(H69,An,'2027'!An_max)</f>
        <v>2021</v>
      </c>
      <c r="K69" s="197">
        <f t="shared" si="3"/>
        <v>46807</v>
      </c>
      <c r="L69" s="147">
        <f>IF(t&lt;Tvie,1-EXP((T0-t)*PertePVj)+'2027'!Pspv,1-EXP((T0-t)*PertePVj)+Pspv)</f>
        <v>6.14838057966961E-2</v>
      </c>
      <c r="M69" s="832"/>
      <c r="N69" s="832"/>
      <c r="O69" s="48">
        <f>IF(t&lt;Tnet,'2027'!Resal+('2027'!Salim-'2027'!Resal)*(1-EXP(('2027'!Tnet-t)/('2027'!Tau_j))),Resal+(Salim-Resal)*(1-EXP((Tnet-t)/(Tau_j))))*Salcycl</f>
        <v>4.0233589099486045E-2</v>
      </c>
      <c r="P69" s="169">
        <f>(INDEX(Models!$BJ69:$BT69,,T69)*(1-R69)+INDEX(Models!$BJ69:$BT69,,T69+1)*R69-ERP_i)*Q69*Ramure*Pc/MaxiM</f>
        <v>1.1191155288823494E-5</v>
      </c>
      <c r="Q69" s="304">
        <f t="shared" si="4"/>
        <v>0.6</v>
      </c>
      <c r="R69" s="177">
        <f t="shared" si="5"/>
        <v>0.47977150747719244</v>
      </c>
      <c r="S69" s="799">
        <f t="shared" si="6"/>
        <v>-1</v>
      </c>
      <c r="T69" s="176">
        <f t="shared" si="7"/>
        <v>5</v>
      </c>
      <c r="U69" s="250">
        <f t="shared" si="8"/>
        <v>-0.52022849252280756</v>
      </c>
      <c r="V69" s="382">
        <f t="shared" si="9"/>
        <v>41.39108303997655</v>
      </c>
      <c r="W69" s="400">
        <f t="shared" si="10"/>
        <v>24.518953529022081</v>
      </c>
      <c r="X69" s="157">
        <f t="shared" si="11"/>
        <v>46807</v>
      </c>
      <c r="Y69" s="383">
        <f t="shared" si="12"/>
        <v>23.852555022950053</v>
      </c>
      <c r="Z69" s="383">
        <f t="shared" si="22"/>
        <v>25.415176818763609</v>
      </c>
      <c r="AA69" s="384">
        <f t="shared" si="13"/>
        <v>27.219586878865378</v>
      </c>
      <c r="AB69" s="197">
        <f t="shared" si="14"/>
        <v>46807</v>
      </c>
      <c r="AC69" s="119">
        <f>IF(OR(t&lt;Tnet,NoTnet),'2027'!Resal_s+('2027'!Salim-'2027'!Resal_s)*(1-EXP(('2027'!Tnet_s-t)/'2027'!Tau_j)),Resal_s+(Salim-Resal_s)*(1-EXP((Tnet_s-t)/Tau_j)))*Salcycl</f>
        <v>6.629086870906202E-2</v>
      </c>
      <c r="AD69" s="230">
        <f>(INDEX(Models!$BJ69:$BT69,,AH69)*(1-AF69)+INDEX(Models!$BJ69:$BT69,,AH69+1)*AF69-ERP_i)*AE69*Ramure*Pc/MaxiM</f>
        <v>8.3316790461156369E-5</v>
      </c>
      <c r="AE69" s="304">
        <f t="shared" si="15"/>
        <v>0.6</v>
      </c>
      <c r="AF69" s="177">
        <f t="shared" si="23"/>
        <v>4.7590738511709141E-3</v>
      </c>
      <c r="AG69" s="799">
        <f t="shared" si="24"/>
        <v>3</v>
      </c>
      <c r="AH69" s="176">
        <f t="shared" si="16"/>
        <v>9</v>
      </c>
      <c r="AI69" s="224">
        <f t="shared" si="17"/>
        <v>3.0047590738511709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46808</v>
      </c>
      <c r="B70" s="409">
        <f>IF(t&gt;Tmaj,'2027'!Wh/'2027'!Env_an*'2028'!Env_an,0.001*'[4]mon-tableau'!$B$245)</f>
        <v>29.049506325649922</v>
      </c>
      <c r="C70" s="829"/>
      <c r="D70" s="391">
        <f t="shared" si="0"/>
        <v>30.953182526745241</v>
      </c>
      <c r="E70" s="383">
        <f t="shared" si="1"/>
        <v>32.253696335664031</v>
      </c>
      <c r="F70" s="383">
        <f t="shared" si="2"/>
        <v>32.253896302031031</v>
      </c>
      <c r="G70" s="110">
        <f t="shared" si="21"/>
        <v>0.69644877992789056</v>
      </c>
      <c r="H70" s="412" t="b">
        <f>Wh_hp&gt;='2027'!Maxi_hp</f>
        <v>0</v>
      </c>
      <c r="I70" s="388">
        <f>IF(H70,Wh_hp,'2027'!Maxi_hp)</f>
        <v>38.963373237809762</v>
      </c>
      <c r="J70" s="85">
        <f>IF(H70,An,'2027'!An_max)</f>
        <v>2021</v>
      </c>
      <c r="K70" s="197">
        <f t="shared" si="3"/>
        <v>46808</v>
      </c>
      <c r="L70" s="147">
        <f>IF(t&lt;Tvie,1-EXP((T0-t)*PertePVj)+'2027'!Pspv,1-EXP((T0-t)*PertePVj)+Pspv)</f>
        <v>6.150179224544805E-2</v>
      </c>
      <c r="M70" s="832"/>
      <c r="N70" s="832"/>
      <c r="O70" s="48">
        <f>IF(t&lt;Tnet,'2027'!Resal+('2027'!Salim-'2027'!Resal)*(1-EXP(('2027'!Tnet-t)/('2027'!Tau_j))),Resal+(Salim-Resal)*(1-EXP((Tnet-t)/(Tau_j))))*Salcycl</f>
        <v>4.0321388140582365E-2</v>
      </c>
      <c r="P70" s="169">
        <f>(INDEX(Models!$BJ70:$BT70,,T70)*(1-R70)+INDEX(Models!$BJ70:$BT70,,T70+1)*R70-ERP_i)*Q70*Ramure*Pc/MaxiM</f>
        <v>1.0946671962053939E-5</v>
      </c>
      <c r="Q70" s="304">
        <f t="shared" si="4"/>
        <v>0.6</v>
      </c>
      <c r="R70" s="177">
        <f t="shared" si="5"/>
        <v>0.48003411726932854</v>
      </c>
      <c r="S70" s="799">
        <f t="shared" si="6"/>
        <v>-1</v>
      </c>
      <c r="T70" s="176">
        <f t="shared" si="7"/>
        <v>5</v>
      </c>
      <c r="U70" s="250">
        <f t="shared" si="8"/>
        <v>-0.51996588273067146</v>
      </c>
      <c r="V70" s="382">
        <f t="shared" si="9"/>
        <v>41.710703308733493</v>
      </c>
      <c r="W70" s="400">
        <f t="shared" si="10"/>
        <v>29.049506325649922</v>
      </c>
      <c r="X70" s="157">
        <f t="shared" si="11"/>
        <v>46808</v>
      </c>
      <c r="Y70" s="383">
        <f t="shared" si="12"/>
        <v>28.260549335281286</v>
      </c>
      <c r="Z70" s="383">
        <f t="shared" si="22"/>
        <v>30.112523499535918</v>
      </c>
      <c r="AA70" s="384">
        <f t="shared" si="13"/>
        <v>32.252450983219127</v>
      </c>
      <c r="AB70" s="197">
        <f t="shared" si="14"/>
        <v>46808</v>
      </c>
      <c r="AC70" s="119">
        <f>IF(OR(t&lt;Tnet,NoTnet),'2027'!Resal_s+('2027'!Salim-'2027'!Resal_s)*(1-EXP(('2027'!Tnet_s-t)/'2027'!Tau_j)),Resal_s+(Salim-Resal_s)*(1-EXP((Tnet_s-t)/Tau_j)))*Salcycl</f>
        <v>6.6349298067195278E-2</v>
      </c>
      <c r="AD70" s="230">
        <f>(INDEX(Models!$BJ70:$BT70,,AH70)*(1-AF70)+INDEX(Models!$BJ70:$BT70,,AH70+1)*AF70-ERP_i)*AE70*Ramure*Pc/MaxiM</f>
        <v>7.9120459865353128E-5</v>
      </c>
      <c r="AE70" s="304">
        <f t="shared" si="15"/>
        <v>0.6</v>
      </c>
      <c r="AF70" s="177">
        <f t="shared" si="23"/>
        <v>5.0216836433070178E-3</v>
      </c>
      <c r="AG70" s="799">
        <f t="shared" si="24"/>
        <v>3</v>
      </c>
      <c r="AH70" s="176">
        <f t="shared" si="16"/>
        <v>9</v>
      </c>
      <c r="AI70" s="224">
        <f t="shared" si="17"/>
        <v>3.005021683643307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46809</v>
      </c>
      <c r="B71" s="409">
        <f>IF(t&gt;Tmaj,'2027'!Wh/'2027'!Env_an*'2028'!Env_an,0.001*'[4]mon-tableau'!$B$246)</f>
        <v>43.68699815266752</v>
      </c>
      <c r="C71" s="829"/>
      <c r="D71" s="391">
        <f t="shared" si="0"/>
        <v>46.550792595112071</v>
      </c>
      <c r="E71" s="383">
        <f t="shared" si="1"/>
        <v>48.511080578686979</v>
      </c>
      <c r="F71" s="383">
        <f t="shared" si="2"/>
        <v>48.51160049177232</v>
      </c>
      <c r="G71" s="110">
        <f t="shared" si="21"/>
        <v>1.0394482169514445</v>
      </c>
      <c r="H71" s="412" t="b">
        <f>Wh_hp&gt;='2027'!Maxi_hp</f>
        <v>1</v>
      </c>
      <c r="I71" s="388">
        <f>IF(H71,Wh_hp,'2027'!Maxi_hp)</f>
        <v>48.51160049177232</v>
      </c>
      <c r="J71" s="85">
        <f>IF(H71,An,'2027'!An_max)</f>
        <v>2028</v>
      </c>
      <c r="K71" s="197">
        <f t="shared" si="3"/>
        <v>46809</v>
      </c>
      <c r="L71" s="147">
        <f>IF(t&lt;Tvie,1-EXP((T0-t)*PertePVj)+'2027'!Pspv,1-EXP((T0-t)*PertePVj)+Pspv)</f>
        <v>6.1519778349493737E-2</v>
      </c>
      <c r="M71" s="832"/>
      <c r="N71" s="832"/>
      <c r="O71" s="48">
        <f>IF(t&lt;Tnet,'2027'!Resal+('2027'!Salim-'2027'!Resal)*(1-EXP(('2027'!Tnet-t)/('2027'!Tau_j))),Resal+(Salim-Resal)*(1-EXP((Tnet-t)/(Tau_j))))*Salcycl</f>
        <v>4.0409076858125989E-2</v>
      </c>
      <c r="P71" s="169">
        <f>(INDEX(Models!$BJ71:$BT71,,T71)*(1-R71)+INDEX(Models!$BJ71:$BT71,,T71+1)*R71-ERP_i)*Q71*Ramure*Pc/MaxiM</f>
        <v>1.0717294009451661E-5</v>
      </c>
      <c r="Q71" s="304">
        <f t="shared" si="4"/>
        <v>0.6</v>
      </c>
      <c r="R71" s="177">
        <f t="shared" si="5"/>
        <v>0.48030744752489385</v>
      </c>
      <c r="S71" s="799">
        <f t="shared" si="6"/>
        <v>-1</v>
      </c>
      <c r="T71" s="176">
        <f t="shared" si="7"/>
        <v>5</v>
      </c>
      <c r="U71" s="250">
        <f t="shared" si="8"/>
        <v>-0.51969255247510615</v>
      </c>
      <c r="V71" s="382">
        <f t="shared" si="9"/>
        <v>42.029027940223273</v>
      </c>
      <c r="W71" s="400">
        <f t="shared" si="10"/>
        <v>43.68699815266752</v>
      </c>
      <c r="X71" s="157">
        <f t="shared" si="11"/>
        <v>46809</v>
      </c>
      <c r="Y71" s="383">
        <f t="shared" si="12"/>
        <v>42.50063889940219</v>
      </c>
      <c r="Z71" s="383">
        <f t="shared" si="22"/>
        <v>45.286664459114832</v>
      </c>
      <c r="AA71" s="384">
        <f t="shared" si="13"/>
        <v>48.507963949231041</v>
      </c>
      <c r="AB71" s="197">
        <f t="shared" si="14"/>
        <v>46809</v>
      </c>
      <c r="AC71" s="119">
        <f>IF(OR(t&lt;Tnet,NoTnet),'2027'!Resal_s+('2027'!Salim-'2027'!Resal_s)*(1-EXP(('2027'!Tnet_s-t)/'2027'!Tau_j)),Resal_s+(Salim-Resal_s)*(1-EXP((Tnet_s-t)/Tau_j)))*Salcycl</f>
        <v>6.6407641711939469E-2</v>
      </c>
      <c r="AD71" s="230">
        <f>(INDEX(Models!$BJ71:$BT71,,AH71)*(1-AF71)+INDEX(Models!$BJ71:$BT71,,AH71+1)*AF71-ERP_i)*AE71*Ramure*Pc/MaxiM</f>
        <v>7.4962328688800913E-5</v>
      </c>
      <c r="AE71" s="304">
        <f t="shared" si="15"/>
        <v>0.6</v>
      </c>
      <c r="AF71" s="177">
        <f t="shared" si="23"/>
        <v>5.2950138988721029E-3</v>
      </c>
      <c r="AG71" s="799">
        <f t="shared" si="24"/>
        <v>3</v>
      </c>
      <c r="AH71" s="176">
        <f t="shared" si="16"/>
        <v>9</v>
      </c>
      <c r="AI71" s="224">
        <f t="shared" si="17"/>
        <v>3.0052950138988721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46810</v>
      </c>
      <c r="B72" s="409">
        <f>IF(t&gt;Tmaj,'2027'!Wh/'2027'!Env_an*'2028'!Env_an,0.001*'[4]mon-tableau'!$B$247)</f>
        <v>25.733654952349792</v>
      </c>
      <c r="C72" s="829"/>
      <c r="D72" s="391">
        <f t="shared" si="0"/>
        <v>27.421087357780799</v>
      </c>
      <c r="E72" s="383">
        <f t="shared" si="1"/>
        <v>28.578417734549728</v>
      </c>
      <c r="F72" s="383">
        <f t="shared" si="2"/>
        <v>28.578549512622157</v>
      </c>
      <c r="G72" s="110">
        <f t="shared" si="21"/>
        <v>0.60769398618951354</v>
      </c>
      <c r="H72" s="412" t="b">
        <f>Wh_hp&gt;='2027'!Maxi_hp</f>
        <v>0</v>
      </c>
      <c r="I72" s="388">
        <f>IF(H72,Wh_hp,'2027'!Maxi_hp)</f>
        <v>44.999579692306305</v>
      </c>
      <c r="J72" s="85">
        <f>IF(H72,An,'2027'!An_max)</f>
        <v>2021</v>
      </c>
      <c r="K72" s="197">
        <f t="shared" si="3"/>
        <v>46810</v>
      </c>
      <c r="L72" s="147">
        <f>IF(t&lt;Tvie,1-EXP((T0-t)*PertePVj)+'2027'!Pspv,1-EXP((T0-t)*PertePVj)+Pspv)</f>
        <v>6.1537764108839932E-2</v>
      </c>
      <c r="M72" s="832"/>
      <c r="N72" s="832"/>
      <c r="O72" s="48">
        <f>IF(t&lt;Tnet,'2027'!Resal+('2027'!Salim-'2027'!Resal)*(1-EXP(('2027'!Tnet-t)/('2027'!Tau_j))),Resal+(Salim-Resal)*(1-EXP((Tnet-t)/(Tau_j))))*Salcycl</f>
        <v>4.04966568659881E-2</v>
      </c>
      <c r="P72" s="169">
        <f>(INDEX(Models!$BJ72:$BT72,,T72)*(1-R72)+INDEX(Models!$BJ72:$BT72,,T72+1)*R72-ERP_i)*Q72*Ramure*Pc/MaxiM</f>
        <v>1.0490035485118382E-5</v>
      </c>
      <c r="Q72" s="304">
        <f t="shared" si="4"/>
        <v>0.6</v>
      </c>
      <c r="R72" s="177">
        <f t="shared" si="5"/>
        <v>0.480591923119704</v>
      </c>
      <c r="S72" s="799">
        <f t="shared" si="6"/>
        <v>-1</v>
      </c>
      <c r="T72" s="176">
        <f t="shared" si="7"/>
        <v>5</v>
      </c>
      <c r="U72" s="250">
        <f t="shared" si="8"/>
        <v>-0.519408076880296</v>
      </c>
      <c r="V72" s="382">
        <f t="shared" si="9"/>
        <v>42.346154889707989</v>
      </c>
      <c r="W72" s="400">
        <f t="shared" si="10"/>
        <v>25.733654952349792</v>
      </c>
      <c r="X72" s="157">
        <f t="shared" si="11"/>
        <v>46810</v>
      </c>
      <c r="Y72" s="383">
        <f t="shared" si="12"/>
        <v>25.036500410642986</v>
      </c>
      <c r="Z72" s="383">
        <f t="shared" si="22"/>
        <v>26.678218316231366</v>
      </c>
      <c r="AA72" s="384">
        <f t="shared" si="13"/>
        <v>28.577658149879205</v>
      </c>
      <c r="AB72" s="197">
        <f t="shared" si="14"/>
        <v>46810</v>
      </c>
      <c r="AC72" s="119">
        <f>IF(OR(t&lt;Tnet,NoTnet),'2027'!Resal_s+('2027'!Salim-'2027'!Resal_s)*(1-EXP(('2027'!Tnet_s-t)/'2027'!Tau_j)),Resal_s+(Salim-Resal_s)*(1-EXP((Tnet_s-t)/Tau_j)))*Salcycl</f>
        <v>6.6465902268337804E-2</v>
      </c>
      <c r="AD72" s="230">
        <f>(INDEX(Models!$BJ72:$BT72,,AH72)*(1-AF72)+INDEX(Models!$BJ72:$BT72,,AH72+1)*AF72-ERP_i)*AE72*Ramure*Pc/MaxiM</f>
        <v>7.0955862620454736E-5</v>
      </c>
      <c r="AE72" s="304">
        <f t="shared" si="15"/>
        <v>0.6</v>
      </c>
      <c r="AF72" s="177">
        <f t="shared" si="23"/>
        <v>5.5794894936824768E-3</v>
      </c>
      <c r="AG72" s="799">
        <f t="shared" si="24"/>
        <v>3</v>
      </c>
      <c r="AH72" s="176">
        <f t="shared" si="16"/>
        <v>9</v>
      </c>
      <c r="AI72" s="224">
        <f t="shared" si="17"/>
        <v>3.0055794894936825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46811</v>
      </c>
      <c r="B73" s="409">
        <f>IF(t&gt;Tmaj,'2027'!Wh/'2027'!Env_an*'2028'!Env_an,0.001*'[4]mon-tableau'!$B$248)</f>
        <v>36.791189517978182</v>
      </c>
      <c r="C73" s="829"/>
      <c r="D73" s="391">
        <f t="shared" si="0"/>
        <v>39.204448745140688</v>
      </c>
      <c r="E73" s="383">
        <f t="shared" si="1"/>
        <v>40.862831222328239</v>
      </c>
      <c r="F73" s="383">
        <f t="shared" si="2"/>
        <v>40.863168532598685</v>
      </c>
      <c r="G73" s="110">
        <f t="shared" si="21"/>
        <v>0.8623824256060233</v>
      </c>
      <c r="H73" s="412" t="b">
        <f>Wh_hp&gt;='2027'!Maxi_hp</f>
        <v>0</v>
      </c>
      <c r="I73" s="388">
        <f>IF(H73,Wh_hp,'2027'!Maxi_hp)</f>
        <v>40.863216892173391</v>
      </c>
      <c r="J73" s="85">
        <f>IF(H73,An,'2027'!An_max)</f>
        <v>2027</v>
      </c>
      <c r="K73" s="197">
        <f t="shared" si="3"/>
        <v>46811</v>
      </c>
      <c r="L73" s="147">
        <f>IF(t&lt;Tvie,1-EXP((T0-t)*PertePVj)+'2027'!Pspv,1-EXP((T0-t)*PertePVj)+Pspv)</f>
        <v>6.1555749523493186E-2</v>
      </c>
      <c r="M73" s="832"/>
      <c r="N73" s="832"/>
      <c r="O73" s="48">
        <f>IF(t&lt;Tnet,'2027'!Resal+('2027'!Salim-'2027'!Resal)*(1-EXP(('2027'!Tnet-t)/('2027'!Tau_j))),Resal+(Salim-Resal)*(1-EXP((Tnet-t)/(Tau_j))))*Salcycl</f>
        <v>4.0584130555334004E-2</v>
      </c>
      <c r="P73" s="169">
        <f>(INDEX(Models!$BJ73:$BT73,,T73)*(1-R73)+INDEX(Models!$BJ73:$BT73,,T73+1)*R73-ERP_i)*Q73*Ramure*Pc/MaxiM</f>
        <v>1.0274542200043698E-5</v>
      </c>
      <c r="Q73" s="304">
        <f t="shared" si="4"/>
        <v>0.6</v>
      </c>
      <c r="R73" s="177">
        <f t="shared" si="5"/>
        <v>0.48088798469229166</v>
      </c>
      <c r="S73" s="799">
        <f t="shared" si="6"/>
        <v>-1</v>
      </c>
      <c r="T73" s="176">
        <f t="shared" si="7"/>
        <v>5</v>
      </c>
      <c r="U73" s="250">
        <f t="shared" si="8"/>
        <v>-0.51911201530770834</v>
      </c>
      <c r="V73" s="382">
        <f t="shared" si="9"/>
        <v>42.662181081065157</v>
      </c>
      <c r="W73" s="400">
        <f t="shared" si="10"/>
        <v>36.791189517978182</v>
      </c>
      <c r="X73" s="157">
        <f t="shared" si="11"/>
        <v>46811</v>
      </c>
      <c r="Y73" s="383">
        <f t="shared" si="12"/>
        <v>35.794819656416486</v>
      </c>
      <c r="Z73" s="383">
        <f t="shared" si="22"/>
        <v>38.142723596251159</v>
      </c>
      <c r="AA73" s="384">
        <f t="shared" si="13"/>
        <v>40.860961624220138</v>
      </c>
      <c r="AB73" s="197">
        <f t="shared" si="14"/>
        <v>46811</v>
      </c>
      <c r="AC73" s="119">
        <f>IF(OR(t&lt;Tnet,NoTnet),'2027'!Resal_s+('2027'!Salim-'2027'!Resal_s)*(1-EXP(('2027'!Tnet_s-t)/'2027'!Tau_j)),Resal_s+(Salim-Resal_s)*(1-EXP((Tnet_s-t)/Tau_j)))*Salcycl</f>
        <v>6.6524083622098565E-2</v>
      </c>
      <c r="AD73" s="230">
        <f>(INDEX(Models!$BJ73:$BT73,,AH73)*(1-AF73)+INDEX(Models!$BJ73:$BT73,,AH73+1)*AF73-ERP_i)*AE73*Ramure*Pc/MaxiM</f>
        <v>6.7222896109608041E-5</v>
      </c>
      <c r="AE73" s="304">
        <f t="shared" si="15"/>
        <v>0.6</v>
      </c>
      <c r="AF73" s="177">
        <f t="shared" si="23"/>
        <v>5.8755510662700239E-3</v>
      </c>
      <c r="AG73" s="799">
        <f t="shared" si="24"/>
        <v>3</v>
      </c>
      <c r="AH73" s="176">
        <f t="shared" si="16"/>
        <v>9</v>
      </c>
      <c r="AI73" s="224">
        <f t="shared" si="17"/>
        <v>3.00587555106627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46812</v>
      </c>
      <c r="B74" s="409">
        <f>IF(t&gt;Tmaj,'2027'!Wh/'2027'!Env_an*'2028'!Env_an,0.001*'[5]mon-tableau'!$B$242)</f>
        <v>41.681905189239941</v>
      </c>
      <c r="C74" s="829"/>
      <c r="D74" s="391">
        <f t="shared" si="0"/>
        <v>44.416814326038427</v>
      </c>
      <c r="E74" s="383">
        <f t="shared" si="1"/>
        <v>46.299900793065838</v>
      </c>
      <c r="F74" s="383">
        <f t="shared" si="2"/>
        <v>46.300346986950025</v>
      </c>
      <c r="G74" s="110">
        <f t="shared" si="21"/>
        <v>0.96986037847427964</v>
      </c>
      <c r="H74" s="412" t="b">
        <f>Wh_hp&gt;='2027'!Maxi_hp</f>
        <v>0</v>
      </c>
      <c r="I74" s="388">
        <f>IF(H74,Wh_hp,'2027'!Maxi_hp)</f>
        <v>46.300358711994825</v>
      </c>
      <c r="J74" s="85">
        <f>IF(H74,An,'2027'!An_max)</f>
        <v>2027</v>
      </c>
      <c r="K74" s="197">
        <f t="shared" si="3"/>
        <v>46812</v>
      </c>
      <c r="L74" s="147">
        <f>IF(t&lt;Tvie,1-EXP((T0-t)*PertePVj)+'2027'!Pspv,1-EXP((T0-t)*PertePVj)+Pspv)</f>
        <v>6.157373459346005E-2</v>
      </c>
      <c r="M74" s="832"/>
      <c r="N74" s="832"/>
      <c r="O74" s="48">
        <f>IF(t&lt;Tnet,'2027'!Resal+('2027'!Salim-'2027'!Resal)*(1-EXP(('2027'!Tnet-t)/('2027'!Tau_j))),Resal+(Salim-Resal)*(1-EXP((Tnet-t)/(Tau_j))))*Salcycl</f>
        <v>4.067150112143296E-2</v>
      </c>
      <c r="P74" s="169">
        <f>(INDEX(Models!$BJ74:$BT74,,T74)*(1-R74)+INDEX(Models!$BJ74:$BT74,,T74+1)*R74-ERP_i)*Q74*Ramure*Pc/MaxiM</f>
        <v>1.0070541984748817E-5</v>
      </c>
      <c r="Q74" s="304">
        <f t="shared" si="4"/>
        <v>0.6</v>
      </c>
      <c r="R74" s="177">
        <f t="shared" si="5"/>
        <v>0.48119608913735046</v>
      </c>
      <c r="S74" s="799">
        <f t="shared" si="6"/>
        <v>-1</v>
      </c>
      <c r="T74" s="176">
        <f t="shared" si="7"/>
        <v>5</v>
      </c>
      <c r="U74" s="250">
        <f t="shared" si="8"/>
        <v>-0.51880391086264954</v>
      </c>
      <c r="V74" s="382">
        <f t="shared" si="9"/>
        <v>42.977203771821948</v>
      </c>
      <c r="W74" s="400">
        <f t="shared" si="10"/>
        <v>41.681905189239941</v>
      </c>
      <c r="X74" s="157">
        <f t="shared" si="11"/>
        <v>46812</v>
      </c>
      <c r="Y74" s="383">
        <f t="shared" si="12"/>
        <v>40.55402691687781</v>
      </c>
      <c r="Z74" s="383">
        <f t="shared" si="22"/>
        <v>43.214931648688683</v>
      </c>
      <c r="AA74" s="384">
        <f t="shared" si="13"/>
        <v>46.297522106341141</v>
      </c>
      <c r="AB74" s="197">
        <f t="shared" si="14"/>
        <v>46812</v>
      </c>
      <c r="AC74" s="119">
        <f>IF(OR(t&lt;Tnet,NoTnet),'2027'!Resal_s+('2027'!Salim-'2027'!Resal_s)*(1-EXP(('2027'!Tnet_s-t)/'2027'!Tau_j)),Resal_s+(Salim-Resal_s)*(1-EXP((Tnet_s-t)/Tau_j)))*Salcycl</f>
        <v>6.6582190955533971E-2</v>
      </c>
      <c r="AD74" s="230">
        <f>(INDEX(Models!$BJ74:$BT74,,AH74)*(1-AF74)+INDEX(Models!$BJ74:$BT74,,AH74+1)*AF74-ERP_i)*AE74*Ramure*Pc/MaxiM</f>
        <v>6.3757213583195637E-5</v>
      </c>
      <c r="AE74" s="304">
        <f t="shared" si="15"/>
        <v>0.6</v>
      </c>
      <c r="AF74" s="177">
        <f t="shared" si="23"/>
        <v>6.1836555113288227E-3</v>
      </c>
      <c r="AG74" s="799">
        <f t="shared" si="24"/>
        <v>3</v>
      </c>
      <c r="AH74" s="176">
        <f t="shared" si="16"/>
        <v>9</v>
      </c>
      <c r="AI74" s="224">
        <f t="shared" si="17"/>
        <v>3.0061836555113288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46813</v>
      </c>
      <c r="B75" s="409">
        <f>IF(t&gt;Tmaj,'2027'!Wh/'2027'!Env_an*'2028'!Env_an,0.001*'[5]mon-tableau'!$B$243)</f>
        <v>12.224749328834596</v>
      </c>
      <c r="C75" s="829"/>
      <c r="D75" s="391">
        <f t="shared" si="0"/>
        <v>13.027111525443742</v>
      </c>
      <c r="E75" s="383">
        <f t="shared" si="1"/>
        <v>13.580641816814728</v>
      </c>
      <c r="F75" s="383">
        <f t="shared" si="2"/>
        <v>13.580641816814728</v>
      </c>
      <c r="G75" s="110">
        <f t="shared" si="21"/>
        <v>0.28238059125724918</v>
      </c>
      <c r="H75" s="412" t="b">
        <f>Wh_hp&gt;='2027'!Maxi_hp</f>
        <v>0</v>
      </c>
      <c r="I75" s="388">
        <f>IF(H75,Wh_hp,'2027'!Maxi_hp)</f>
        <v>33.645098322767872</v>
      </c>
      <c r="J75" s="85">
        <f>IF(H75,An,'2027'!An_max)</f>
        <v>2020</v>
      </c>
      <c r="K75" s="197">
        <f t="shared" si="3"/>
        <v>46813</v>
      </c>
      <c r="L75" s="147">
        <f>IF(t&lt;Tvie,1-EXP((T0-t)*PertePVj)+'2027'!Pspv,1-EXP((T0-t)*PertePVj)+Pspv)</f>
        <v>6.1591719318747074E-2</v>
      </c>
      <c r="M75" s="832"/>
      <c r="N75" s="832"/>
      <c r="O75" s="48">
        <f>IF(t&lt;Tnet,'2027'!Resal+('2027'!Salim-'2027'!Resal)*(1-EXP(('2027'!Tnet-t)/('2027'!Tau_j))),Resal+(Salim-Resal)*(1-EXP((Tnet-t)/(Tau_j))))*Salcycl</f>
        <v>4.0758772585080497E-2</v>
      </c>
      <c r="P75" s="169">
        <f>(INDEX(Models!$BJ75:$BT75,,T75)*(1-R75)+INDEX(Models!$BJ75:$BT75,,T75+1)*R75-ERP_i)*Q75*Ramure*Pc/MaxiM</f>
        <v>9.8777780064549369E-6</v>
      </c>
      <c r="Q75" s="304">
        <f t="shared" si="4"/>
        <v>0.6</v>
      </c>
      <c r="R75" s="177">
        <f t="shared" si="5"/>
        <v>0.48151671010661201</v>
      </c>
      <c r="S75" s="799">
        <f t="shared" si="6"/>
        <v>-1</v>
      </c>
      <c r="T75" s="176">
        <f t="shared" si="7"/>
        <v>5</v>
      </c>
      <c r="U75" s="250">
        <f t="shared" si="8"/>
        <v>-0.51848328989338799</v>
      </c>
      <c r="V75" s="382">
        <f t="shared" si="9"/>
        <v>43.29132013303947</v>
      </c>
      <c r="W75" s="400">
        <f t="shared" si="10"/>
        <v>12.224749328834596</v>
      </c>
      <c r="X75" s="157">
        <f t="shared" si="11"/>
        <v>46813</v>
      </c>
      <c r="Y75" s="383">
        <f t="shared" si="12"/>
        <v>11.894911192620585</v>
      </c>
      <c r="Z75" s="383">
        <f t="shared" si="22"/>
        <v>12.67562471207658</v>
      </c>
      <c r="AA75" s="384">
        <f t="shared" si="13"/>
        <v>13.580641816814728</v>
      </c>
      <c r="AB75" s="197">
        <f t="shared" si="14"/>
        <v>46813</v>
      </c>
      <c r="AC75" s="119">
        <f>IF(OR(t&lt;Tnet,NoTnet),'2027'!Resal_s+('2027'!Salim-'2027'!Resal_s)*(1-EXP(('2027'!Tnet_s-t)/'2027'!Tau_j)),Resal_s+(Salim-Resal_s)*(1-EXP((Tnet_s-t)/Tau_j)))*Salcycl</f>
        <v>6.6640230774484513E-2</v>
      </c>
      <c r="AD75" s="230">
        <f>(INDEX(Models!$BJ75:$BT75,,AH75)*(1-AF75)+INDEX(Models!$BJ75:$BT75,,AH75+1)*AF75-ERP_i)*AE75*Ramure*Pc/MaxiM</f>
        <v>6.0552862812859359E-5</v>
      </c>
      <c r="AE75" s="304">
        <f t="shared" si="15"/>
        <v>0.6</v>
      </c>
      <c r="AF75" s="177">
        <f t="shared" si="23"/>
        <v>6.5042764805904874E-3</v>
      </c>
      <c r="AG75" s="799">
        <f t="shared" si="24"/>
        <v>3</v>
      </c>
      <c r="AH75" s="176">
        <f t="shared" si="16"/>
        <v>9</v>
      </c>
      <c r="AI75" s="224">
        <f t="shared" si="17"/>
        <v>3.0065042764805905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46814</v>
      </c>
      <c r="B76" s="409">
        <f>IF(t&gt;Tmaj,'2027'!Wh/'2027'!Env_an*'2028'!Env_an,0.001*'[5]mon-tableau'!$B$244)</f>
        <v>33.720832824402052</v>
      </c>
      <c r="C76" s="829"/>
      <c r="D76" s="391">
        <f t="shared" si="0"/>
        <v>35.93476292043696</v>
      </c>
      <c r="E76" s="383">
        <f t="shared" si="1"/>
        <v>37.465058833107641</v>
      </c>
      <c r="F76" s="383">
        <f t="shared" si="2"/>
        <v>37.46530446774905</v>
      </c>
      <c r="G76" s="110">
        <f t="shared" si="21"/>
        <v>0.77332909551452422</v>
      </c>
      <c r="H76" s="412" t="b">
        <f>Wh_hp&gt;='2027'!Maxi_hp</f>
        <v>0</v>
      </c>
      <c r="I76" s="388">
        <f>IF(H76,Wh_hp,'2027'!Maxi_hp)</f>
        <v>37.465372776486255</v>
      </c>
      <c r="J76" s="85">
        <f>IF(H76,An,'2027'!An_max)</f>
        <v>2027</v>
      </c>
      <c r="K76" s="197">
        <f t="shared" si="3"/>
        <v>46814</v>
      </c>
      <c r="L76" s="147">
        <f>IF(t&lt;Tvie,1-EXP((T0-t)*PertePVj)+'2027'!Pspv,1-EXP((T0-t)*PertePVj)+Pspv)</f>
        <v>6.1609703699361029E-2</v>
      </c>
      <c r="M76" s="832"/>
      <c r="N76" s="832"/>
      <c r="O76" s="48">
        <f>IF(t&lt;Tnet,'2027'!Resal+('2027'!Salim-'2027'!Resal)*(1-EXP(('2027'!Tnet-t)/('2027'!Tau_j))),Resal+(Salim-Resal)*(1-EXP((Tnet-t)/(Tau_j))))*Salcycl</f>
        <v>4.0845949808528556E-2</v>
      </c>
      <c r="P76" s="169">
        <f>(INDEX(Models!$BJ76:$BT76,,T76)*(1-R76)+INDEX(Models!$BJ76:$BT76,,T76+1)*R76-ERP_i)*Q76*Ramure*Pc/MaxiM</f>
        <v>9.6960078653628427E-6</v>
      </c>
      <c r="Q76" s="304">
        <f t="shared" si="4"/>
        <v>0.6</v>
      </c>
      <c r="R76" s="177">
        <f t="shared" si="5"/>
        <v>0.48185033851646986</v>
      </c>
      <c r="S76" s="799">
        <f t="shared" si="6"/>
        <v>-1</v>
      </c>
      <c r="T76" s="176">
        <f t="shared" si="7"/>
        <v>5</v>
      </c>
      <c r="U76" s="250">
        <f t="shared" si="8"/>
        <v>-0.51814966148353014</v>
      </c>
      <c r="V76" s="382">
        <f t="shared" si="9"/>
        <v>43.604627249266272</v>
      </c>
      <c r="W76" s="400">
        <f t="shared" si="10"/>
        <v>33.720832824402052</v>
      </c>
      <c r="X76" s="157">
        <f t="shared" si="11"/>
        <v>46814</v>
      </c>
      <c r="Y76" s="383">
        <f t="shared" si="12"/>
        <v>32.810885871990713</v>
      </c>
      <c r="Z76" s="383">
        <f t="shared" si="22"/>
        <v>34.965073702636467</v>
      </c>
      <c r="AA76" s="384">
        <f t="shared" si="13"/>
        <v>37.463845148452158</v>
      </c>
      <c r="AB76" s="197">
        <f t="shared" si="14"/>
        <v>46814</v>
      </c>
      <c r="AC76" s="119">
        <f>IF(OR(t&lt;Tnet,NoTnet),'2027'!Resal_s+('2027'!Salim-'2027'!Resal_s)*(1-EXP(('2027'!Tnet_s-t)/'2027'!Tau_j)),Resal_s+(Salim-Resal_s)*(1-EXP((Tnet_s-t)/Tau_j)))*Salcycl</f>
        <v>6.6698210926139562E-2</v>
      </c>
      <c r="AD76" s="230">
        <f>(INDEX(Models!$BJ76:$BT76,,AH76)*(1-AF76)+INDEX(Models!$BJ76:$BT76,,AH76+1)*AF76-ERP_i)*AE76*Ramure*Pc/MaxiM</f>
        <v>5.7604136368823473E-5</v>
      </c>
      <c r="AE76" s="304">
        <f t="shared" si="15"/>
        <v>0.6</v>
      </c>
      <c r="AF76" s="177">
        <f t="shared" si="23"/>
        <v>6.8379048904483319E-3</v>
      </c>
      <c r="AG76" s="799">
        <f t="shared" si="24"/>
        <v>3</v>
      </c>
      <c r="AH76" s="176">
        <f t="shared" si="16"/>
        <v>9</v>
      </c>
      <c r="AI76" s="224">
        <f t="shared" si="17"/>
        <v>3.0068379048904483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46815</v>
      </c>
      <c r="B77" s="409">
        <f>IF(t&gt;Tmaj,'2027'!Wh/'2027'!Env_an*'2028'!Env_an,0.001*'[5]mon-tableau'!$B$245)</f>
        <v>3.6104427928666278</v>
      </c>
      <c r="C77" s="829"/>
      <c r="D77" s="391">
        <f t="shared" si="0"/>
        <v>3.847558954668103</v>
      </c>
      <c r="E77" s="383">
        <f t="shared" si="1"/>
        <v>4.0117730139238823</v>
      </c>
      <c r="F77" s="383">
        <f t="shared" si="2"/>
        <v>4.0117730139238823</v>
      </c>
      <c r="G77" s="110">
        <f t="shared" si="21"/>
        <v>8.2209398259416672E-2</v>
      </c>
      <c r="H77" s="412" t="b">
        <f>Wh_hp&gt;='2027'!Maxi_hp</f>
        <v>0</v>
      </c>
      <c r="I77" s="388">
        <f>IF(H77,Wh_hp,'2027'!Maxi_hp)</f>
        <v>31.305227886602569</v>
      </c>
      <c r="J77" s="85">
        <f>IF(H77,An,'2027'!An_max)</f>
        <v>2021</v>
      </c>
      <c r="K77" s="197">
        <f t="shared" si="3"/>
        <v>46815</v>
      </c>
      <c r="L77" s="147">
        <f>IF(t&lt;Tvie,1-EXP((T0-t)*PertePVj)+'2027'!Pspv,1-EXP((T0-t)*PertePVj)+Pspv)</f>
        <v>6.1627687735308356E-2</v>
      </c>
      <c r="M77" s="832"/>
      <c r="N77" s="832"/>
      <c r="O77" s="48">
        <f>IF(t&lt;Tnet,'2027'!Resal+('2027'!Salim-'2027'!Resal)*(1-EXP(('2027'!Tnet-t)/('2027'!Tau_j))),Resal+(Salim-Resal)*(1-EXP((Tnet-t)/(Tau_j))))*Salcycl</f>
        <v>4.0933038505875763E-2</v>
      </c>
      <c r="P77" s="169">
        <f>(INDEX(Models!$BJ77:$BT77,,T77)*(1-R77)+INDEX(Models!$BJ77:$BT77,,T77+1)*R77-ERP_i)*Q77*Ramure*Pc/MaxiM</f>
        <v>9.5250027677333364E-6</v>
      </c>
      <c r="Q77" s="304">
        <f t="shared" si="4"/>
        <v>0.6</v>
      </c>
      <c r="R77" s="177">
        <f t="shared" si="5"/>
        <v>0.48219748306156818</v>
      </c>
      <c r="S77" s="799">
        <f t="shared" si="6"/>
        <v>-1</v>
      </c>
      <c r="T77" s="176">
        <f t="shared" si="7"/>
        <v>5</v>
      </c>
      <c r="U77" s="250">
        <f t="shared" si="8"/>
        <v>-0.51780251693843182</v>
      </c>
      <c r="V77" s="382">
        <f t="shared" si="9"/>
        <v>43.917222116091558</v>
      </c>
      <c r="W77" s="400">
        <f t="shared" si="10"/>
        <v>3.6104427928666278</v>
      </c>
      <c r="X77" s="157">
        <f t="shared" si="11"/>
        <v>46815</v>
      </c>
      <c r="Y77" s="383">
        <f t="shared" si="12"/>
        <v>3.5132307767963877</v>
      </c>
      <c r="Z77" s="383">
        <f t="shared" si="22"/>
        <v>3.7439625305199673</v>
      </c>
      <c r="AA77" s="384">
        <f t="shared" si="13"/>
        <v>4.0117730139238823</v>
      </c>
      <c r="AB77" s="197">
        <f t="shared" si="14"/>
        <v>46815</v>
      </c>
      <c r="AC77" s="119">
        <f>IF(OR(t&lt;Tnet,NoTnet),'2027'!Resal_s+('2027'!Salim-'2027'!Resal_s)*(1-EXP(('2027'!Tnet_s-t)/'2027'!Tau_j)),Resal_s+(Salim-Resal_s)*(1-EXP((Tnet_s-t)/Tau_j)))*Salcycl</f>
        <v>6.6756140607758752E-2</v>
      </c>
      <c r="AD77" s="230">
        <f>(INDEX(Models!$BJ77:$BT77,,AH77)*(1-AF77)+INDEX(Models!$BJ77:$BT77,,AH77+1)*AF77-ERP_i)*AE77*Ramure*Pc/MaxiM</f>
        <v>5.4905555253378077E-5</v>
      </c>
      <c r="AE77" s="304">
        <f t="shared" si="15"/>
        <v>0.6</v>
      </c>
      <c r="AF77" s="177">
        <f t="shared" si="23"/>
        <v>7.1850494355465422E-3</v>
      </c>
      <c r="AG77" s="799">
        <f t="shared" si="24"/>
        <v>3</v>
      </c>
      <c r="AH77" s="176">
        <f t="shared" si="16"/>
        <v>9</v>
      </c>
      <c r="AI77" s="224">
        <f t="shared" si="17"/>
        <v>3.0071850494355465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46816</v>
      </c>
      <c r="B78" s="409">
        <f>IF(t&gt;Tmaj,'2027'!Wh/'2027'!Env_an*'2028'!Env_an,0.001*'[5]mon-tableau'!$B$246)</f>
        <v>12.366847595213653</v>
      </c>
      <c r="C78" s="829"/>
      <c r="D78" s="391">
        <f t="shared" si="0"/>
        <v>13.179294024268186</v>
      </c>
      <c r="E78" s="383">
        <f t="shared" si="1"/>
        <v>13.743033896548381</v>
      </c>
      <c r="F78" s="383">
        <f t="shared" si="2"/>
        <v>13.743033896548381</v>
      </c>
      <c r="G78" s="110">
        <f t="shared" si="21"/>
        <v>0.27960558470410457</v>
      </c>
      <c r="H78" s="412" t="b">
        <f>Wh_hp&gt;='2027'!Maxi_hp</f>
        <v>0</v>
      </c>
      <c r="I78" s="388">
        <f>IF(H78,Wh_hp,'2027'!Maxi_hp)</f>
        <v>38.458441078302194</v>
      </c>
      <c r="J78" s="85">
        <f>IF(H78,An,'2027'!An_max)</f>
        <v>2021</v>
      </c>
      <c r="K78" s="197">
        <f t="shared" si="3"/>
        <v>46816</v>
      </c>
      <c r="L78" s="147">
        <f>IF(t&lt;Tvie,1-EXP((T0-t)*PertePVj)+'2027'!Pspv,1-EXP((T0-t)*PertePVj)+Pspv)</f>
        <v>6.1645671426595827E-2</v>
      </c>
      <c r="M78" s="832"/>
      <c r="N78" s="832"/>
      <c r="O78" s="48">
        <f>IF(t&lt;Tnet,'2027'!Resal+('2027'!Salim-'2027'!Resal)*(1-EXP(('2027'!Tnet-t)/('2027'!Tau_j))),Resal+(Salim-Resal)*(1-EXP((Tnet-t)/(Tau_j))))*Salcycl</f>
        <v>4.10200452479259E-2</v>
      </c>
      <c r="P78" s="169">
        <f>(INDEX(Models!$BJ78:$BT78,,T78)*(1-R78)+INDEX(Models!$BJ78:$BT78,,T78+1)*R78-ERP_i)*Q78*Ramure*Pc/MaxiM</f>
        <v>9.3645467728069206E-6</v>
      </c>
      <c r="Q78" s="304">
        <f t="shared" si="4"/>
        <v>0.6</v>
      </c>
      <c r="R78" s="177">
        <f t="shared" si="5"/>
        <v>0.48255867073346381</v>
      </c>
      <c r="S78" s="799">
        <f t="shared" si="6"/>
        <v>-1</v>
      </c>
      <c r="T78" s="176">
        <f t="shared" si="7"/>
        <v>5</v>
      </c>
      <c r="U78" s="250">
        <f t="shared" si="8"/>
        <v>-0.51744132926653619</v>
      </c>
      <c r="V78" s="382">
        <f t="shared" si="9"/>
        <v>44.229201639080749</v>
      </c>
      <c r="W78" s="400">
        <f t="shared" si="10"/>
        <v>12.366847595213653</v>
      </c>
      <c r="X78" s="157">
        <f t="shared" si="11"/>
        <v>46816</v>
      </c>
      <c r="Y78" s="383">
        <f t="shared" si="12"/>
        <v>12.034212610246016</v>
      </c>
      <c r="Z78" s="383">
        <f t="shared" si="22"/>
        <v>12.824806412458107</v>
      </c>
      <c r="AA78" s="384">
        <f t="shared" si="13"/>
        <v>13.743033896548381</v>
      </c>
      <c r="AB78" s="197">
        <f t="shared" si="14"/>
        <v>46816</v>
      </c>
      <c r="AC78" s="119">
        <f>IF(OR(t&lt;Tnet,NoTnet),'2027'!Resal_s+('2027'!Salim-'2027'!Resal_s)*(1-EXP(('2027'!Tnet_s-t)/'2027'!Tau_j)),Resal_s+(Salim-Resal_s)*(1-EXP((Tnet_s-t)/Tau_j)))*Salcycl</f>
        <v>6.6814030366387292E-2</v>
      </c>
      <c r="AD78" s="230">
        <f>(INDEX(Models!$BJ78:$BT78,,AH78)*(1-AF78)+INDEX(Models!$BJ78:$BT78,,AH78+1)*AF78-ERP_i)*AE78*Ramure*Pc/MaxiM</f>
        <v>5.2451854634430624E-5</v>
      </c>
      <c r="AE78" s="304">
        <f t="shared" si="15"/>
        <v>0.6</v>
      </c>
      <c r="AF78" s="177">
        <f t="shared" si="23"/>
        <v>7.5462371074421775E-3</v>
      </c>
      <c r="AG78" s="799">
        <f t="shared" si="24"/>
        <v>3</v>
      </c>
      <c r="AH78" s="176">
        <f t="shared" si="16"/>
        <v>9</v>
      </c>
      <c r="AI78" s="224">
        <f t="shared" si="17"/>
        <v>3.0075462371074422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46817</v>
      </c>
      <c r="B79" s="409">
        <f>IF(t&gt;Tmaj,'2027'!Wh/'2027'!Env_an*'2028'!Env_an,0.001*'[5]mon-tableau'!$B$247)</f>
        <v>15.194832426107103</v>
      </c>
      <c r="C79" s="829"/>
      <c r="D79" s="391">
        <f t="shared" ref="D79:D142" si="25">Wh/(1-Ppv)</f>
        <v>16.193375119062377</v>
      </c>
      <c r="E79" s="383">
        <f t="shared" si="1"/>
        <v>16.88757216753395</v>
      </c>
      <c r="F79" s="383">
        <f t="shared" ref="F79:F142" si="26">Wh_sa/(1-Pvg*MEDIAN((-Sdif+Wh/Env_an)/Csdif,0,1))</f>
        <v>16.887581312540082</v>
      </c>
      <c r="G79" s="110">
        <f t="shared" si="21"/>
        <v>0.34113603825651212</v>
      </c>
      <c r="H79" s="412" t="b">
        <f>Wh_hp&gt;='2027'!Maxi_hp</f>
        <v>0</v>
      </c>
      <c r="I79" s="388">
        <f>IF(H79,Wh_hp,'2027'!Maxi_hp)</f>
        <v>16.887665788674106</v>
      </c>
      <c r="J79" s="85">
        <f>IF(H79,An,'2027'!An_max)</f>
        <v>2027</v>
      </c>
      <c r="K79" s="197">
        <f t="shared" ref="K79:K142" si="27">t</f>
        <v>46817</v>
      </c>
      <c r="L79" s="147">
        <f>IF(t&lt;Tvie,1-EXP((T0-t)*PertePVj)+'2027'!Pspv,1-EXP((T0-t)*PertePVj)+Pspv)</f>
        <v>6.1663654773229881E-2</v>
      </c>
      <c r="M79" s="832"/>
      <c r="N79" s="832"/>
      <c r="O79" s="48">
        <f>IF(t&lt;Tnet,'2027'!Resal+('2027'!Salim-'2027'!Resal)*(1-EXP(('2027'!Tnet-t)/('2027'!Tau_j))),Resal+(Salim-Resal)*(1-EXP((Tnet-t)/(Tau_j))))*Salcycl</f>
        <v>4.1106977461576953E-2</v>
      </c>
      <c r="P79" s="169">
        <f>(INDEX(Models!$BJ79:$BT79,,T79)*(1-R79)+INDEX(Models!$BJ79:$BT79,,T79+1)*R79-ERP_i)*Q79*Ramure*Pc/MaxiM</f>
        <v>9.2142690715937821E-6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0.48293444734336188</v>
      </c>
      <c r="S79" s="799">
        <f t="shared" ref="S79:S142" si="30">INDEX(Echel_vg,T79)</f>
        <v>-1</v>
      </c>
      <c r="T79" s="176">
        <f t="shared" ref="T79:T142" si="31">MIN(MATCH(Hp_vg,Echel_vg),10)</f>
        <v>5</v>
      </c>
      <c r="U79" s="250">
        <f t="shared" ref="U79:U142" si="32">IF(OR(t&lt;Ttai,Notai),Hdd+PousH*Croivg,Hdtf+PousH*(Croivg-Croi_tai))</f>
        <v>-0.51706555265663812</v>
      </c>
      <c r="V79" s="382">
        <f t="shared" ref="V79:V142" si="33">MaxiM*(1-Ppv)*(1-Pvg)*(1-Psa)</f>
        <v>44.541470091413437</v>
      </c>
      <c r="W79" s="400">
        <f t="shared" ref="W79:W142" si="34">Wh*(A79&gt;Tmaj)</f>
        <v>15.194832426107103</v>
      </c>
      <c r="X79" s="157">
        <f t="shared" ref="X79:X142" si="35">t</f>
        <v>46817</v>
      </c>
      <c r="Y79" s="383">
        <f t="shared" ref="Y79:Y142" si="36">Wh_pvt_s*(1-Ppv)</f>
        <v>14.786520200776247</v>
      </c>
      <c r="Z79" s="383">
        <f t="shared" ref="Z79:Z142" si="37">Wh_sa_s*(1-Psa_s)</f>
        <v>15.758230272112876</v>
      </c>
      <c r="AA79" s="384">
        <f t="shared" ref="AA79:AA142" si="38">Wh_hp*(1-Pvg_s*MEDIAN((-Sdif+Wh/Env_an)/Csdif,0,1))</f>
        <v>16.887531453107258</v>
      </c>
      <c r="AB79" s="197">
        <f t="shared" ref="AB79:AB142" si="39">t</f>
        <v>46817</v>
      </c>
      <c r="AC79" s="119">
        <f>IF(OR(t&lt;Tnet,NoTnet),'2027'!Resal_s+('2027'!Salim-'2027'!Resal_s)*(1-EXP(('2027'!Tnet_s-t)/'2027'!Tau_j)),Resal_s+(Salim-Resal_s)*(1-EXP((Tnet_s-t)/Tau_j)))*Salcycl</f>
        <v>6.6871892089746088E-2</v>
      </c>
      <c r="AD79" s="230">
        <f>(INDEX(Models!$BJ79:$BT79,,AH79)*(1-AF79)+INDEX(Models!$BJ79:$BT79,,AH79+1)*AF79-ERP_i)*AE79*Ramure*Pc/MaxiM</f>
        <v>5.0237060881473772E-5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7.9220137173403593E-3</v>
      </c>
      <c r="AG79" s="799">
        <f t="shared" si="24"/>
        <v>3</v>
      </c>
      <c r="AH79" s="176">
        <f t="shared" ref="AH79:AH142" si="42">MIN(MATCH(Hp_vg_s,Echel_vg),10)</f>
        <v>9</v>
      </c>
      <c r="AI79" s="224">
        <f t="shared" ref="AI79:AI142" si="43">IF(OR(t&lt;Ttai,Notai),Hdd_s+PousH*Croivg,Hdtai_s+PousH*(Croivg-Croi_tai))</f>
        <v>3.0079220137173404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46818</v>
      </c>
      <c r="B80" s="409">
        <f>IF(t&gt;Tmaj,'2027'!Wh/'2027'!Env_an*'2028'!Env_an,0.001*'[5]mon-tableau'!$B$248)</f>
        <v>37.076622848332327</v>
      </c>
      <c r="C80" s="829"/>
      <c r="D80" s="391">
        <f t="shared" si="25"/>
        <v>39.513905238327077</v>
      </c>
      <c r="E80" s="383">
        <f t="shared" ref="E80:E143" si="47">Wh_pvt/(1-Psa)</f>
        <v>41.211568122830471</v>
      </c>
      <c r="F80" s="383">
        <f t="shared" si="26"/>
        <v>41.211848883604972</v>
      </c>
      <c r="G80" s="110">
        <f t="shared" ref="G80:G143" si="48">+Wh_hp/MaxiM</f>
        <v>0.82659494216600948</v>
      </c>
      <c r="H80" s="412" t="b">
        <f>Wh_hp&gt;='2027'!Maxi_hp</f>
        <v>0</v>
      </c>
      <c r="I80" s="388">
        <f>IF(H80,Wh_hp,'2027'!Maxi_hp)</f>
        <v>41.211902116299456</v>
      </c>
      <c r="J80" s="85">
        <f>IF(H80,An,'2027'!An_max)</f>
        <v>2027</v>
      </c>
      <c r="K80" s="197">
        <f t="shared" si="27"/>
        <v>46818</v>
      </c>
      <c r="L80" s="147">
        <f>IF(t&lt;Tvie,1-EXP((T0-t)*PertePVj)+'2027'!Pspv,1-EXP((T0-t)*PertePVj)+Pspv)</f>
        <v>6.1681637775217291E-2</v>
      </c>
      <c r="M80" s="832"/>
      <c r="N80" s="832"/>
      <c r="O80" s="48">
        <f>IF(t&lt;Tnet,'2027'!Resal+('2027'!Salim-'2027'!Resal)*(1-EXP(('2027'!Tnet-t)/('2027'!Tau_j))),Resal+(Salim-Resal)*(1-EXP((Tnet-t)/(Tau_j))))*Salcycl</f>
        <v>4.1193843423854619E-2</v>
      </c>
      <c r="P80" s="169">
        <f>(INDEX(Models!$BJ80:$BT80,,T80)*(1-R80)+INDEX(Models!$BJ80:$BT80,,T80+1)*R80-ERP_i)*Q80*Ramure*Pc/MaxiM</f>
        <v>9.0559530089930851E-6</v>
      </c>
      <c r="Q80" s="304">
        <f t="shared" si="28"/>
        <v>0.6</v>
      </c>
      <c r="R80" s="177">
        <f t="shared" si="29"/>
        <v>0.48332537804779752</v>
      </c>
      <c r="S80" s="799">
        <f t="shared" si="30"/>
        <v>-1</v>
      </c>
      <c r="T80" s="176">
        <f t="shared" si="31"/>
        <v>5</v>
      </c>
      <c r="U80" s="250">
        <f t="shared" si="32"/>
        <v>-0.51667462195220248</v>
      </c>
      <c r="V80" s="382">
        <f t="shared" si="33"/>
        <v>44.854544567495275</v>
      </c>
      <c r="W80" s="400">
        <f t="shared" si="34"/>
        <v>37.076622848332327</v>
      </c>
      <c r="X80" s="157">
        <f t="shared" si="35"/>
        <v>46818</v>
      </c>
      <c r="Y80" s="383">
        <f t="shared" si="36"/>
        <v>36.080363856207178</v>
      </c>
      <c r="Z80" s="383">
        <f t="shared" si="37"/>
        <v>38.452155802066464</v>
      </c>
      <c r="AA80" s="384">
        <f t="shared" si="38"/>
        <v>41.210354041703738</v>
      </c>
      <c r="AB80" s="197">
        <f t="shared" si="39"/>
        <v>46818</v>
      </c>
      <c r="AC80" s="119">
        <f>IF(OR(t&lt;Tnet,NoTnet),'2027'!Resal_s+('2027'!Salim-'2027'!Resal_s)*(1-EXP(('2027'!Tnet_s-t)/'2027'!Tau_j)),Resal_s+(Salim-Resal_s)*(1-EXP((Tnet_s-t)/Tau_j)))*Salcycl</f>
        <v>6.6929738988557461E-2</v>
      </c>
      <c r="AD80" s="230">
        <f>(INDEX(Models!$BJ80:$BT80,,AH80)*(1-AF80)+INDEX(Models!$BJ80:$BT80,,AH80+1)*AF80-ERP_i)*AE80*Ramure*Pc/MaxiM</f>
        <v>4.8216201275608729E-5</v>
      </c>
      <c r="AE80" s="304">
        <f t="shared" si="40"/>
        <v>0.6</v>
      </c>
      <c r="AF80" s="177">
        <f t="shared" si="41"/>
        <v>8.3129444217759918E-3</v>
      </c>
      <c r="AG80" s="799">
        <f t="shared" ref="AG80:AG143" si="49">INDEX(Echel_vg,AH80)</f>
        <v>3</v>
      </c>
      <c r="AH80" s="176">
        <f t="shared" si="42"/>
        <v>9</v>
      </c>
      <c r="AI80" s="224">
        <f t="shared" si="43"/>
        <v>3.008312944421776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46819</v>
      </c>
      <c r="B81" s="409">
        <f>IF(t&gt;Tmaj,'2027'!Wh/'2027'!Env_an*'2028'!Env_an,0.001*'[5]mon-tableau'!$B$249)</f>
        <v>34.786826868407026</v>
      </c>
      <c r="C81" s="829"/>
      <c r="D81" s="391">
        <f t="shared" si="25"/>
        <v>37.074296915923718</v>
      </c>
      <c r="E81" s="383">
        <f t="shared" si="47"/>
        <v>38.67064642323303</v>
      </c>
      <c r="F81" s="383">
        <f t="shared" si="26"/>
        <v>38.670876817910035</v>
      </c>
      <c r="G81" s="110">
        <f t="shared" si="48"/>
        <v>0.7701640772950934</v>
      </c>
      <c r="H81" s="412" t="b">
        <f>Wh_hp&gt;='2027'!Maxi_hp</f>
        <v>0</v>
      </c>
      <c r="I81" s="388">
        <f>IF(H81,Wh_hp,'2027'!Maxi_hp)</f>
        <v>38.670941578412148</v>
      </c>
      <c r="J81" s="85">
        <f>IF(H81,An,'2027'!An_max)</f>
        <v>2027</v>
      </c>
      <c r="K81" s="197">
        <f t="shared" si="27"/>
        <v>46819</v>
      </c>
      <c r="L81" s="147">
        <f>IF(t&lt;Tvie,1-EXP((T0-t)*PertePVj)+'2027'!Pspv,1-EXP((T0-t)*PertePVj)+Pspv)</f>
        <v>6.1699620432564495E-2</v>
      </c>
      <c r="M81" s="832"/>
      <c r="N81" s="832"/>
      <c r="O81" s="48">
        <f>IF(t&lt;Tnet,'2027'!Resal+('2027'!Salim-'2027'!Resal)*(1-EXP(('2027'!Tnet-t)/('2027'!Tau_j))),Resal+(Salim-Resal)*(1-EXP((Tnet-t)/(Tau_j))))*Salcycl</f>
        <v>4.1280652250753058E-2</v>
      </c>
      <c r="P81" s="169">
        <f>(INDEX(Models!$BJ81:$BT81,,T81)*(1-R81)+INDEX(Models!$BJ81:$BT81,,T81+1)*R81-ERP_i)*Q81*Ramure*Pc/MaxiM</f>
        <v>8.8702313245582751E-6</v>
      </c>
      <c r="Q81" s="304">
        <f t="shared" si="28"/>
        <v>0.6</v>
      </c>
      <c r="R81" s="177">
        <f t="shared" si="29"/>
        <v>0.48373204787600754</v>
      </c>
      <c r="S81" s="799">
        <f t="shared" si="30"/>
        <v>-1</v>
      </c>
      <c r="T81" s="176">
        <f t="shared" si="31"/>
        <v>5</v>
      </c>
      <c r="U81" s="250">
        <f t="shared" si="32"/>
        <v>-0.51626795212399246</v>
      </c>
      <c r="V81" s="382">
        <f t="shared" si="33"/>
        <v>45.16794093659631</v>
      </c>
      <c r="W81" s="400">
        <f t="shared" si="34"/>
        <v>34.786826868407026</v>
      </c>
      <c r="X81" s="157">
        <f t="shared" si="35"/>
        <v>46819</v>
      </c>
      <c r="Y81" s="383">
        <f t="shared" si="36"/>
        <v>33.85320805929355</v>
      </c>
      <c r="Z81" s="383">
        <f t="shared" si="37"/>
        <v>36.079286331419972</v>
      </c>
      <c r="AA81" s="384">
        <f t="shared" si="38"/>
        <v>38.66967445817599</v>
      </c>
      <c r="AB81" s="197">
        <f t="shared" si="39"/>
        <v>46819</v>
      </c>
      <c r="AC81" s="119">
        <f>IF(OR(t&lt;Tnet,NoTnet),'2027'!Resal_s+('2027'!Salim-'2027'!Resal_s)*(1-EXP(('2027'!Tnet_s-t)/'2027'!Tau_j)),Resal_s+(Salim-Resal_s)*(1-EXP((Tnet_s-t)/Tau_j)))*Salcycl</f>
        <v>6.6987585570644201E-2</v>
      </c>
      <c r="AD81" s="230">
        <f>(INDEX(Models!$BJ81:$BT81,,AH81)*(1-AF81)+INDEX(Models!$BJ81:$BT81,,AH81+1)*AF81-ERP_i)*AE81*Ramure*Pc/MaxiM</f>
        <v>4.6291038990537295E-5</v>
      </c>
      <c r="AE81" s="304">
        <f t="shared" si="40"/>
        <v>0.6</v>
      </c>
      <c r="AF81" s="177">
        <f t="shared" si="41"/>
        <v>8.7196142499861296E-3</v>
      </c>
      <c r="AG81" s="799">
        <f t="shared" si="49"/>
        <v>3</v>
      </c>
      <c r="AH81" s="176">
        <f t="shared" si="42"/>
        <v>9</v>
      </c>
      <c r="AI81" s="224">
        <f t="shared" si="43"/>
        <v>3.0087196142499861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46820</v>
      </c>
      <c r="B82" s="409">
        <f>IF(t&gt;Tmaj,'2027'!Wh/'2027'!Env_an*'2028'!Env_an,0.001*'[5]mon-tableau'!$B$250)</f>
        <v>30.403164094457047</v>
      </c>
      <c r="C82" s="829"/>
      <c r="D82" s="391">
        <f t="shared" si="25"/>
        <v>32.402999548336723</v>
      </c>
      <c r="E82" s="383">
        <f t="shared" si="47"/>
        <v>33.801270703223786</v>
      </c>
      <c r="F82" s="383">
        <f t="shared" si="26"/>
        <v>33.801424750181084</v>
      </c>
      <c r="G82" s="110">
        <f t="shared" si="48"/>
        <v>0.66847525087567505</v>
      </c>
      <c r="H82" s="412" t="b">
        <f>Wh_hp&gt;='2027'!Maxi_hp</f>
        <v>0</v>
      </c>
      <c r="I82" s="388">
        <f>IF(H82,Wh_hp,'2027'!Maxi_hp)</f>
        <v>46.982445789324288</v>
      </c>
      <c r="J82" s="85">
        <f>IF(H82,An,'2027'!An_max)</f>
        <v>2021</v>
      </c>
      <c r="K82" s="197">
        <f t="shared" si="27"/>
        <v>46820</v>
      </c>
      <c r="L82" s="147">
        <f>IF(t&lt;Tvie,1-EXP((T0-t)*PertePVj)+'2027'!Pspv,1-EXP((T0-t)*PertePVj)+Pspv)</f>
        <v>6.1717602745278155E-2</v>
      </c>
      <c r="M82" s="832"/>
      <c r="N82" s="832"/>
      <c r="O82" s="48">
        <f>IF(t&lt;Tnet,'2027'!Resal+('2027'!Salim-'2027'!Resal)*(1-EXP(('2027'!Tnet-t)/('2027'!Tau_j))),Resal+(Salim-Resal)*(1-EXP((Tnet-t)/(Tau_j))))*Salcycl</f>
        <v>4.1367413881091386E-2</v>
      </c>
      <c r="P82" s="169">
        <f>(INDEX(Models!$BJ82:$BT82,,T82)*(1-R82)+INDEX(Models!$BJ82:$BT82,,T82+1)*R82-ERP_i)*Q82*Ramure*Pc/MaxiM</f>
        <v>8.6577412960952819E-6</v>
      </c>
      <c r="Q82" s="304">
        <f t="shared" si="28"/>
        <v>0.6</v>
      </c>
      <c r="R82" s="177">
        <f t="shared" si="29"/>
        <v>0.48415506225759453</v>
      </c>
      <c r="S82" s="799">
        <f t="shared" si="30"/>
        <v>-1</v>
      </c>
      <c r="T82" s="176">
        <f t="shared" si="31"/>
        <v>5</v>
      </c>
      <c r="U82" s="250">
        <f t="shared" si="32"/>
        <v>-0.51584493774240547</v>
      </c>
      <c r="V82" s="382">
        <f t="shared" si="33"/>
        <v>45.481174345680635</v>
      </c>
      <c r="W82" s="400">
        <f t="shared" si="34"/>
        <v>30.403164094457047</v>
      </c>
      <c r="X82" s="157">
        <f t="shared" si="35"/>
        <v>46820</v>
      </c>
      <c r="Y82" s="383">
        <f t="shared" si="36"/>
        <v>29.588224084480061</v>
      </c>
      <c r="Z82" s="383">
        <f t="shared" si="37"/>
        <v>31.534455054310847</v>
      </c>
      <c r="AA82" s="384">
        <f t="shared" si="38"/>
        <v>33.800633667988414</v>
      </c>
      <c r="AB82" s="197">
        <f t="shared" si="39"/>
        <v>46820</v>
      </c>
      <c r="AC82" s="119">
        <f>IF(OR(t&lt;Tnet,NoTnet),'2027'!Resal_s+('2027'!Salim-'2027'!Resal_s)*(1-EXP(('2027'!Tnet_s-t)/'2027'!Tau_j)),Resal_s+(Salim-Resal_s)*(1-EXP((Tnet_s-t)/Tau_j)))*Salcycl</f>
        <v>6.7045447607208541E-2</v>
      </c>
      <c r="AD82" s="230">
        <f>(INDEX(Models!$BJ82:$BT82,,AH82)*(1-AF82)+INDEX(Models!$BJ82:$BT82,,AH82+1)*AF82-ERP_i)*AE82*Ramure*Pc/MaxiM</f>
        <v>4.4460371617717817E-5</v>
      </c>
      <c r="AE82" s="304">
        <f t="shared" si="40"/>
        <v>0.6</v>
      </c>
      <c r="AF82" s="177">
        <f t="shared" si="41"/>
        <v>9.1426286315727801E-3</v>
      </c>
      <c r="AG82" s="799">
        <f t="shared" si="49"/>
        <v>3</v>
      </c>
      <c r="AH82" s="176">
        <f t="shared" si="42"/>
        <v>9</v>
      </c>
      <c r="AI82" s="224">
        <f t="shared" si="43"/>
        <v>3.0091426286315728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46821</v>
      </c>
      <c r="B83" s="409">
        <f>IF(t&gt;Tmaj,'2027'!Wh/'2027'!Env_an*'2028'!Env_an,0.001*'[5]mon-tableau'!$B$251)</f>
        <v>25.710232366713463</v>
      </c>
      <c r="C83" s="829"/>
      <c r="D83" s="391">
        <f t="shared" si="25"/>
        <v>27.40190499376353</v>
      </c>
      <c r="E83" s="383">
        <f t="shared" si="47"/>
        <v>28.586952497783493</v>
      </c>
      <c r="F83" s="383">
        <f t="shared" si="26"/>
        <v>28.587042385509392</v>
      </c>
      <c r="G83" s="110">
        <f t="shared" si="48"/>
        <v>0.56143231511316594</v>
      </c>
      <c r="H83" s="412" t="b">
        <f>Wh_hp&gt;='2027'!Maxi_hp</f>
        <v>0</v>
      </c>
      <c r="I83" s="388">
        <f>IF(H83,Wh_hp,'2027'!Maxi_hp)</f>
        <v>45.805582995042379</v>
      </c>
      <c r="J83" s="85">
        <f>IF(H83,An,'2027'!An_max)</f>
        <v>2021</v>
      </c>
      <c r="K83" s="197">
        <f t="shared" si="27"/>
        <v>46821</v>
      </c>
      <c r="L83" s="147">
        <f>IF(t&lt;Tvie,1-EXP((T0-t)*PertePVj)+'2027'!Pspv,1-EXP((T0-t)*PertePVj)+Pspv)</f>
        <v>6.1735584713364933E-2</v>
      </c>
      <c r="M83" s="832"/>
      <c r="N83" s="832"/>
      <c r="O83" s="48">
        <f>IF(t&lt;Tnet,'2027'!Resal+('2027'!Salim-'2027'!Resal)*(1-EXP(('2027'!Tnet-t)/('2027'!Tau_j))),Resal+(Salim-Resal)*(1-EXP((Tnet-t)/(Tau_j))))*Salcycl</f>
        <v>4.1454139055635469E-2</v>
      </c>
      <c r="P83" s="169">
        <f>(INDEX(Models!$BJ83:$BT83,,T83)*(1-R83)+INDEX(Models!$BJ83:$BT83,,T83+1)*R83-ERP_i)*Q83*Ramure*Pc/MaxiM</f>
        <v>8.4190874241033436E-6</v>
      </c>
      <c r="Q83" s="304">
        <f t="shared" si="28"/>
        <v>0.6</v>
      </c>
      <c r="R83" s="177">
        <f t="shared" si="29"/>
        <v>0.48459504754893123</v>
      </c>
      <c r="S83" s="799">
        <f t="shared" si="30"/>
        <v>-1</v>
      </c>
      <c r="T83" s="176">
        <f t="shared" si="31"/>
        <v>5</v>
      </c>
      <c r="U83" s="250">
        <f t="shared" si="32"/>
        <v>-0.51540495245106877</v>
      </c>
      <c r="V83" s="382">
        <f t="shared" si="33"/>
        <v>45.793760101666258</v>
      </c>
      <c r="W83" s="400">
        <f t="shared" si="34"/>
        <v>25.710232366713463</v>
      </c>
      <c r="X83" s="157">
        <f t="shared" si="35"/>
        <v>46821</v>
      </c>
      <c r="Y83" s="383">
        <f t="shared" si="36"/>
        <v>25.021945777395416</v>
      </c>
      <c r="Z83" s="383">
        <f t="shared" si="37"/>
        <v>26.668330770864134</v>
      </c>
      <c r="AA83" s="384">
        <f t="shared" si="38"/>
        <v>28.5865862470345</v>
      </c>
      <c r="AB83" s="197">
        <f t="shared" si="39"/>
        <v>46821</v>
      </c>
      <c r="AC83" s="119">
        <f>IF(OR(t&lt;Tnet,NoTnet),'2027'!Resal_s+('2027'!Salim-'2027'!Resal_s)*(1-EXP(('2027'!Tnet_s-t)/'2027'!Tau_j)),Resal_s+(Salim-Resal_s)*(1-EXP((Tnet_s-t)/Tau_j)))*Salcycl</f>
        <v>6.7103342091760318E-2</v>
      </c>
      <c r="AD83" s="230">
        <f>(INDEX(Models!$BJ83:$BT83,,AH83)*(1-AF83)+INDEX(Models!$BJ83:$BT83,,AH83+1)*AF83-ERP_i)*AE83*Ramure*Pc/MaxiM</f>
        <v>4.2722959772145306E-5</v>
      </c>
      <c r="AE83" s="304">
        <f t="shared" si="40"/>
        <v>0.6</v>
      </c>
      <c r="AF83" s="177">
        <f t="shared" si="41"/>
        <v>9.5826139229098217E-3</v>
      </c>
      <c r="AG83" s="799">
        <f t="shared" si="49"/>
        <v>3</v>
      </c>
      <c r="AH83" s="176">
        <f t="shared" si="42"/>
        <v>9</v>
      </c>
      <c r="AI83" s="224">
        <f t="shared" si="43"/>
        <v>3.0095826139229098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46822</v>
      </c>
      <c r="B84" s="409">
        <f>IF(t&gt;Tmaj,'2027'!Wh/'2027'!Env_an*'2028'!Env_an,0.001*'[5]mon-tableau'!$B$252)</f>
        <v>16.376573780335146</v>
      </c>
      <c r="C84" s="829"/>
      <c r="D84" s="391">
        <f t="shared" si="25"/>
        <v>17.454448205464058</v>
      </c>
      <c r="E84" s="383">
        <f t="shared" si="47"/>
        <v>18.210946194688731</v>
      </c>
      <c r="F84" s="383">
        <f t="shared" si="26"/>
        <v>18.210957905567412</v>
      </c>
      <c r="G84" s="110">
        <f t="shared" si="48"/>
        <v>0.35519737267085927</v>
      </c>
      <c r="H84" s="412" t="b">
        <f>Wh_hp&gt;='2027'!Maxi_hp</f>
        <v>0</v>
      </c>
      <c r="I84" s="388">
        <f>IF(H84,Wh_hp,'2027'!Maxi_hp)</f>
        <v>35.092284275887017</v>
      </c>
      <c r="J84" s="85">
        <f>IF(H84,An,'2027'!An_max)</f>
        <v>2021</v>
      </c>
      <c r="K84" s="197">
        <f t="shared" si="27"/>
        <v>46822</v>
      </c>
      <c r="L84" s="147">
        <f>IF(t&lt;Tvie,1-EXP((T0-t)*PertePVj)+'2027'!Pspv,1-EXP((T0-t)*PertePVj)+Pspv)</f>
        <v>6.1753566336831378E-2</v>
      </c>
      <c r="M84" s="832"/>
      <c r="N84" s="832"/>
      <c r="O84" s="48">
        <f>IF(t&lt;Tnet,'2027'!Resal+('2027'!Salim-'2027'!Resal)*(1-EXP(('2027'!Tnet-t)/('2027'!Tau_j))),Resal+(Salim-Resal)*(1-EXP((Tnet-t)/(Tau_j))))*Salcycl</f>
        <v>4.154083929177213E-2</v>
      </c>
      <c r="P84" s="169">
        <f>(INDEX(Models!$BJ84:$BT84,,T84)*(1-R84)+INDEX(Models!$BJ84:$BT84,,T84+1)*R84-ERP_i)*Q84*Ramure*Pc/MaxiM</f>
        <v>8.1548378936877098E-6</v>
      </c>
      <c r="Q84" s="304">
        <f t="shared" si="28"/>
        <v>0.6</v>
      </c>
      <c r="R84" s="177">
        <f t="shared" si="29"/>
        <v>0.48505265155659605</v>
      </c>
      <c r="S84" s="799">
        <f t="shared" si="30"/>
        <v>-1</v>
      </c>
      <c r="T84" s="176">
        <f t="shared" si="31"/>
        <v>5</v>
      </c>
      <c r="U84" s="250">
        <f t="shared" si="32"/>
        <v>-0.51494734844340395</v>
      </c>
      <c r="V84" s="382">
        <f t="shared" si="33"/>
        <v>46.105213673334859</v>
      </c>
      <c r="W84" s="400">
        <f t="shared" si="34"/>
        <v>16.376573780335146</v>
      </c>
      <c r="X84" s="157">
        <f t="shared" si="35"/>
        <v>46822</v>
      </c>
      <c r="Y84" s="383">
        <f t="shared" si="36"/>
        <v>15.938772323782199</v>
      </c>
      <c r="Z84" s="383">
        <f t="shared" si="37"/>
        <v>16.987831503449375</v>
      </c>
      <c r="AA84" s="384">
        <f t="shared" si="38"/>
        <v>18.210898915544725</v>
      </c>
      <c r="AB84" s="197">
        <f t="shared" si="39"/>
        <v>46822</v>
      </c>
      <c r="AC84" s="119">
        <f>IF(OR(t&lt;Tnet,NoTnet),'2027'!Resal_s+('2027'!Salim-'2027'!Resal_s)*(1-EXP(('2027'!Tnet_s-t)/'2027'!Tau_j)),Resal_s+(Salim-Resal_s)*(1-EXP((Tnet_s-t)/Tau_j)))*Salcycl</f>
        <v>6.7161287192218033E-2</v>
      </c>
      <c r="AD84" s="230">
        <f>(INDEX(Models!$BJ84:$BT84,,AH84)*(1-AF84)+INDEX(Models!$BJ84:$BT84,,AH84+1)*AF84-ERP_i)*AE84*Ramure*Pc/MaxiM</f>
        <v>4.1077538705784564E-5</v>
      </c>
      <c r="AE84" s="304">
        <f t="shared" si="40"/>
        <v>0.6</v>
      </c>
      <c r="AF84" s="177">
        <f t="shared" si="41"/>
        <v>1.0040217930574524E-2</v>
      </c>
      <c r="AG84" s="799">
        <f t="shared" si="49"/>
        <v>3</v>
      </c>
      <c r="AH84" s="176">
        <f t="shared" si="42"/>
        <v>9</v>
      </c>
      <c r="AI84" s="224">
        <f t="shared" si="43"/>
        <v>3.0100402179305745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46823</v>
      </c>
      <c r="B85" s="409">
        <f>IF(t&gt;Tmaj,'2027'!Wh/'2027'!Env_an*'2028'!Env_an,0.001*'[5]mon-tableau'!$B$253)</f>
        <v>13.462907811978345</v>
      </c>
      <c r="C85" s="829"/>
      <c r="D85" s="391">
        <f t="shared" si="25"/>
        <v>14.349285376887812</v>
      </c>
      <c r="E85" s="383">
        <f t="shared" si="47"/>
        <v>14.97255584750361</v>
      </c>
      <c r="F85" s="383">
        <f t="shared" si="26"/>
        <v>14.97255584750361</v>
      </c>
      <c r="G85" s="110">
        <f t="shared" si="48"/>
        <v>0.29005250923796733</v>
      </c>
      <c r="H85" s="412" t="b">
        <f>Wh_hp&gt;='2027'!Maxi_hp</f>
        <v>0</v>
      </c>
      <c r="I85" s="388">
        <f>IF(H85,Wh_hp,'2027'!Maxi_hp)</f>
        <v>45.555962265985798</v>
      </c>
      <c r="J85" s="85">
        <f>IF(H85,An,'2027'!An_max)</f>
        <v>2018</v>
      </c>
      <c r="K85" s="197">
        <f t="shared" si="27"/>
        <v>46823</v>
      </c>
      <c r="L85" s="147">
        <f>IF(t&lt;Tvie,1-EXP((T0-t)*PertePVj)+'2027'!Pspv,1-EXP((T0-t)*PertePVj)+Pspv)</f>
        <v>6.1771547615684153E-2</v>
      </c>
      <c r="M85" s="832"/>
      <c r="N85" s="832"/>
      <c r="O85" s="48">
        <f>IF(t&lt;Tnet,'2027'!Resal+('2027'!Salim-'2027'!Resal)*(1-EXP(('2027'!Tnet-t)/('2027'!Tau_j))),Resal+(Salim-Resal)*(1-EXP((Tnet-t)/(Tau_j))))*Salcycl</f>
        <v>4.1627526854055207E-2</v>
      </c>
      <c r="P85" s="169">
        <f>(INDEX(Models!$BJ85:$BT85,,T85)*(1-R85)+INDEX(Models!$BJ85:$BT85,,T85+1)*R85-ERP_i)*Q85*Ramure*Pc/MaxiM</f>
        <v>7.865521140473374E-6</v>
      </c>
      <c r="Q85" s="304">
        <f t="shared" si="28"/>
        <v>0.6</v>
      </c>
      <c r="R85" s="177">
        <f t="shared" si="29"/>
        <v>0.48552854405595136</v>
      </c>
      <c r="S85" s="799">
        <f t="shared" si="30"/>
        <v>-1</v>
      </c>
      <c r="T85" s="176">
        <f t="shared" si="31"/>
        <v>5</v>
      </c>
      <c r="U85" s="250">
        <f t="shared" si="32"/>
        <v>-0.51447145594404864</v>
      </c>
      <c r="V85" s="382">
        <f t="shared" si="33"/>
        <v>46.415050690518498</v>
      </c>
      <c r="W85" s="400">
        <f t="shared" si="34"/>
        <v>13.462907811978345</v>
      </c>
      <c r="X85" s="157">
        <f t="shared" si="35"/>
        <v>46823</v>
      </c>
      <c r="Y85" s="383">
        <f t="shared" si="36"/>
        <v>13.103402795048313</v>
      </c>
      <c r="Z85" s="383">
        <f t="shared" si="37"/>
        <v>13.966111091332492</v>
      </c>
      <c r="AA85" s="384">
        <f t="shared" si="38"/>
        <v>14.97255584750361</v>
      </c>
      <c r="AB85" s="197">
        <f t="shared" si="39"/>
        <v>46823</v>
      </c>
      <c r="AC85" s="119">
        <f>IF(OR(t&lt;Tnet,NoTnet),'2027'!Resal_s+('2027'!Salim-'2027'!Resal_s)*(1-EXP(('2027'!Tnet_s-t)/'2027'!Tau_j)),Resal_s+(Salim-Resal_s)*(1-EXP((Tnet_s-t)/Tau_j)))*Salcycl</f>
        <v>6.7219302196753886E-2</v>
      </c>
      <c r="AD85" s="230">
        <f>(INDEX(Models!$BJ85:$BT85,,AH85)*(1-AF85)+INDEX(Models!$BJ85:$BT85,,AH85+1)*AF85-ERP_i)*AE85*Ramure*Pc/MaxiM</f>
        <v>3.9522829632395896E-5</v>
      </c>
      <c r="AE85" s="304">
        <f t="shared" si="40"/>
        <v>0.6</v>
      </c>
      <c r="AF85" s="177">
        <f t="shared" si="41"/>
        <v>1.0516110429929615E-2</v>
      </c>
      <c r="AG85" s="799">
        <f t="shared" si="49"/>
        <v>3</v>
      </c>
      <c r="AH85" s="176">
        <f t="shared" si="42"/>
        <v>9</v>
      </c>
      <c r="AI85" s="224">
        <f t="shared" si="43"/>
        <v>3.0105161104299296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46824</v>
      </c>
      <c r="B86" s="409">
        <f>IF(t&gt;Tmaj,'2027'!Wh/'2027'!Env_an*'2028'!Env_an,0.001*'[5]mon-tableau'!$B$254)</f>
        <v>7.7572922277907033</v>
      </c>
      <c r="C86" s="829"/>
      <c r="D86" s="391">
        <f t="shared" si="25"/>
        <v>8.2681791174226209</v>
      </c>
      <c r="E86" s="383">
        <f t="shared" si="47"/>
        <v>8.6280932519677584</v>
      </c>
      <c r="F86" s="383">
        <f t="shared" si="26"/>
        <v>8.6280932519677584</v>
      </c>
      <c r="G86" s="110">
        <f t="shared" si="48"/>
        <v>0.1660267752606866</v>
      </c>
      <c r="H86" s="412" t="b">
        <f>Wh_hp&gt;='2027'!Maxi_hp</f>
        <v>0</v>
      </c>
      <c r="I86" s="388">
        <f>IF(H86,Wh_hp,'2027'!Maxi_hp)</f>
        <v>42.650905420994242</v>
      </c>
      <c r="J86" s="85">
        <f>IF(H86,An,'2027'!An_max)</f>
        <v>2021</v>
      </c>
      <c r="K86" s="197">
        <f t="shared" si="27"/>
        <v>46824</v>
      </c>
      <c r="L86" s="147">
        <f>IF(t&lt;Tvie,1-EXP((T0-t)*PertePVj)+'2027'!Pspv,1-EXP((T0-t)*PertePVj)+Pspv)</f>
        <v>6.1789528549929806E-2</v>
      </c>
      <c r="M86" s="832"/>
      <c r="N86" s="832"/>
      <c r="O86" s="48">
        <f>IF(t&lt;Tnet,'2027'!Resal+('2027'!Salim-'2027'!Resal)*(1-EXP(('2027'!Tnet-t)/('2027'!Tau_j))),Resal+(Salim-Resal)*(1-EXP((Tnet-t)/(Tau_j))))*Salcycl</f>
        <v>4.1714214720970207E-2</v>
      </c>
      <c r="P86" s="169">
        <f>(INDEX(Models!$BJ86:$BT86,,T86)*(1-R86)+INDEX(Models!$BJ86:$BT86,,T86+1)*R86-ERP_i)*Q86*Ramure*Pc/MaxiM</f>
        <v>7.5630865786410132E-6</v>
      </c>
      <c r="Q86" s="304">
        <f t="shared" si="28"/>
        <v>0.6</v>
      </c>
      <c r="R86" s="177">
        <f t="shared" si="29"/>
        <v>0.48602341730279708</v>
      </c>
      <c r="S86" s="799">
        <f t="shared" si="30"/>
        <v>-1</v>
      </c>
      <c r="T86" s="176">
        <f t="shared" si="31"/>
        <v>5</v>
      </c>
      <c r="U86" s="250">
        <f t="shared" si="32"/>
        <v>-0.51397658269720292</v>
      </c>
      <c r="V86" s="382">
        <f t="shared" si="33"/>
        <v>46.72278640922805</v>
      </c>
      <c r="W86" s="400">
        <f t="shared" si="34"/>
        <v>7.7572922277907033</v>
      </c>
      <c r="X86" s="157">
        <f t="shared" si="35"/>
        <v>46824</v>
      </c>
      <c r="Y86" s="383">
        <f t="shared" si="36"/>
        <v>7.5503590150146849</v>
      </c>
      <c r="Z86" s="383">
        <f t="shared" si="37"/>
        <v>8.0476175067040927</v>
      </c>
      <c r="AA86" s="384">
        <f t="shared" si="38"/>
        <v>8.6280932519677584</v>
      </c>
      <c r="AB86" s="197">
        <f t="shared" si="39"/>
        <v>46824</v>
      </c>
      <c r="AC86" s="119">
        <f>IF(OR(t&lt;Tnet,NoTnet),'2027'!Resal_s+('2027'!Salim-'2027'!Resal_s)*(1-EXP(('2027'!Tnet_s-t)/'2027'!Tau_j)),Resal_s+(Salim-Resal_s)*(1-EXP((Tnet_s-t)/Tau_j)))*Salcycl</f>
        <v>6.7277407453990967E-2</v>
      </c>
      <c r="AD86" s="230">
        <f>(INDEX(Models!$BJ86:$BT86,,AH86)*(1-AF86)+INDEX(Models!$BJ86:$BT86,,AH86+1)*AF86-ERP_i)*AE86*Ramure*Pc/MaxiM</f>
        <v>3.8084426623828594E-5</v>
      </c>
      <c r="AE86" s="304">
        <f t="shared" si="40"/>
        <v>0.6</v>
      </c>
      <c r="AF86" s="177">
        <f t="shared" si="41"/>
        <v>1.1010983676775776E-2</v>
      </c>
      <c r="AG86" s="799">
        <f t="shared" si="49"/>
        <v>3</v>
      </c>
      <c r="AH86" s="176">
        <f t="shared" si="42"/>
        <v>9</v>
      </c>
      <c r="AI86" s="224">
        <f t="shared" si="43"/>
        <v>3.0110109836767758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46825</v>
      </c>
      <c r="B87" s="409">
        <f>IF(t&gt;Tmaj,'2027'!Wh/'2027'!Env_an*'2028'!Env_an,0.001*'[5]mon-tableau'!$B$255)</f>
        <v>13.92234648304481</v>
      </c>
      <c r="C87" s="829"/>
      <c r="D87" s="391">
        <f t="shared" si="25"/>
        <v>14.839541585199106</v>
      </c>
      <c r="E87" s="383">
        <f t="shared" si="47"/>
        <v>15.486908557397845</v>
      </c>
      <c r="F87" s="383">
        <f t="shared" si="26"/>
        <v>15.486908557397845</v>
      </c>
      <c r="G87" s="110">
        <f t="shared" si="48"/>
        <v>0.29604202373245497</v>
      </c>
      <c r="H87" s="412" t="b">
        <f>Wh_hp&gt;='2027'!Maxi_hp</f>
        <v>0</v>
      </c>
      <c r="I87" s="388">
        <f>IF(H87,Wh_hp,'2027'!Maxi_hp)</f>
        <v>42.248499261755185</v>
      </c>
      <c r="J87" s="85">
        <f>IF(H87,An,'2027'!An_max)</f>
        <v>2020</v>
      </c>
      <c r="K87" s="197">
        <f t="shared" si="27"/>
        <v>46825</v>
      </c>
      <c r="L87" s="147">
        <f>IF(t&lt;Tvie,1-EXP((T0-t)*PertePVj)+'2027'!Pspv,1-EXP((T0-t)*PertePVj)+Pspv)</f>
        <v>6.180750913957489E-2</v>
      </c>
      <c r="M87" s="832"/>
      <c r="N87" s="832"/>
      <c r="O87" s="48">
        <f>IF(t&lt;Tnet,'2027'!Resal+('2027'!Salim-'2027'!Resal)*(1-EXP(('2027'!Tnet-t)/('2027'!Tau_j))),Resal+(Salim-Resal)*(1-EXP((Tnet-t)/(Tau_j))))*Salcycl</f>
        <v>4.1800916548287027E-2</v>
      </c>
      <c r="P87" s="169">
        <f>(INDEX(Models!$BJ87:$BT87,,T87)*(1-R87)+INDEX(Models!$BJ87:$BT87,,T87+1)*R87-ERP_i)*Q87*Ramure*Pc/MaxiM</f>
        <v>7.2592336257672613E-6</v>
      </c>
      <c r="Q87" s="304">
        <f t="shared" si="28"/>
        <v>0.6</v>
      </c>
      <c r="R87" s="177">
        <f t="shared" si="29"/>
        <v>0.4865379865358348</v>
      </c>
      <c r="S87" s="799">
        <f t="shared" si="30"/>
        <v>-1</v>
      </c>
      <c r="T87" s="176">
        <f t="shared" si="31"/>
        <v>5</v>
      </c>
      <c r="U87" s="250">
        <f t="shared" si="32"/>
        <v>-0.5134620134641652</v>
      </c>
      <c r="V87" s="382">
        <f t="shared" si="33"/>
        <v>47.027936243474549</v>
      </c>
      <c r="W87" s="400">
        <f t="shared" si="34"/>
        <v>13.92234648304481</v>
      </c>
      <c r="X87" s="157">
        <f t="shared" si="35"/>
        <v>46825</v>
      </c>
      <c r="Y87" s="383">
        <f t="shared" si="36"/>
        <v>13.55133480612267</v>
      </c>
      <c r="Z87" s="383">
        <f t="shared" si="37"/>
        <v>14.444087901081593</v>
      </c>
      <c r="AA87" s="384">
        <f t="shared" si="38"/>
        <v>15.486908557397845</v>
      </c>
      <c r="AB87" s="197">
        <f t="shared" si="39"/>
        <v>46825</v>
      </c>
      <c r="AC87" s="119">
        <f>IF(OR(t&lt;Tnet,NoTnet),'2027'!Resal_s+('2027'!Salim-'2027'!Resal_s)*(1-EXP(('2027'!Tnet_s-t)/'2027'!Tau_j)),Resal_s+(Salim-Resal_s)*(1-EXP((Tnet_s-t)/Tau_j)))*Salcycl</f>
        <v>6.7335624308191191E-2</v>
      </c>
      <c r="AD87" s="230">
        <f>(INDEX(Models!$BJ87:$BT87,,AH87)*(1-AF87)+INDEX(Models!$BJ87:$BT87,,AH87+1)*AF87-ERP_i)*AE87*Ramure*Pc/MaxiM</f>
        <v>3.6656266691557573E-5</v>
      </c>
      <c r="AE87" s="304">
        <f t="shared" si="40"/>
        <v>0.6</v>
      </c>
      <c r="AF87" s="177">
        <f t="shared" si="41"/>
        <v>1.1525552909813275E-2</v>
      </c>
      <c r="AG87" s="799">
        <f t="shared" si="49"/>
        <v>3</v>
      </c>
      <c r="AH87" s="176">
        <f t="shared" si="42"/>
        <v>9</v>
      </c>
      <c r="AI87" s="224">
        <f t="shared" si="43"/>
        <v>3.0115255529098133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46826</v>
      </c>
      <c r="B88" s="409">
        <f>IF(t&gt;Tmaj,'2027'!Wh/'2027'!Env_an*'2028'!Env_an,0.001*'[5]mon-tableau'!$B$256)</f>
        <v>13.20177981137652</v>
      </c>
      <c r="C88" s="829"/>
      <c r="D88" s="391">
        <f t="shared" si="25"/>
        <v>14.071774133702608</v>
      </c>
      <c r="E88" s="383">
        <f t="shared" si="47"/>
        <v>14.686977037920954</v>
      </c>
      <c r="F88" s="383">
        <f t="shared" si="26"/>
        <v>14.686977037920954</v>
      </c>
      <c r="G88" s="110">
        <f t="shared" si="48"/>
        <v>0.27892844828621621</v>
      </c>
      <c r="H88" s="412" t="b">
        <f>Wh_hp&gt;='2027'!Maxi_hp</f>
        <v>0</v>
      </c>
      <c r="I88" s="388">
        <f>IF(H88,Wh_hp,'2027'!Maxi_hp)</f>
        <v>34.209482776257786</v>
      </c>
      <c r="J88" s="85">
        <f>IF(H88,An,'2027'!An_max)</f>
        <v>2020</v>
      </c>
      <c r="K88" s="197">
        <f t="shared" si="27"/>
        <v>46826</v>
      </c>
      <c r="L88" s="147">
        <f>IF(t&lt;Tvie,1-EXP((T0-t)*PertePVj)+'2027'!Pspv,1-EXP((T0-t)*PertePVj)+Pspv)</f>
        <v>6.1825489384626175E-2</v>
      </c>
      <c r="M88" s="832"/>
      <c r="N88" s="832"/>
      <c r="O88" s="48">
        <f>IF(t&lt;Tnet,'2027'!Resal+('2027'!Salim-'2027'!Resal)*(1-EXP(('2027'!Tnet-t)/('2027'!Tau_j))),Resal+(Salim-Resal)*(1-EXP((Tnet-t)/(Tau_j))))*Salcycl</f>
        <v>4.1887646629386481E-2</v>
      </c>
      <c r="P88" s="169">
        <f>(INDEX(Models!$BJ88:$BT88,,T88)*(1-R88)+INDEX(Models!$BJ88:$BT88,,T88+1)*R88-ERP_i)*Q88*Ramure*Pc/MaxiM</f>
        <v>6.9539858997616737E-6</v>
      </c>
      <c r="Q88" s="304">
        <f t="shared" si="28"/>
        <v>0.6</v>
      </c>
      <c r="R88" s="177">
        <f t="shared" si="29"/>
        <v>0.48707299046746633</v>
      </c>
      <c r="S88" s="799">
        <f t="shared" si="30"/>
        <v>-1</v>
      </c>
      <c r="T88" s="176">
        <f t="shared" si="31"/>
        <v>5</v>
      </c>
      <c r="U88" s="250">
        <f t="shared" si="32"/>
        <v>-0.51292700953253367</v>
      </c>
      <c r="V88" s="382">
        <f t="shared" si="33"/>
        <v>47.330016308839326</v>
      </c>
      <c r="W88" s="400">
        <f t="shared" si="34"/>
        <v>13.20177981137652</v>
      </c>
      <c r="X88" s="157">
        <f t="shared" si="35"/>
        <v>46826</v>
      </c>
      <c r="Y88" s="383">
        <f t="shared" si="36"/>
        <v>12.850329451553716</v>
      </c>
      <c r="Z88" s="383">
        <f t="shared" si="37"/>
        <v>13.697163274159772</v>
      </c>
      <c r="AA88" s="384">
        <f t="shared" si="38"/>
        <v>14.686977037920954</v>
      </c>
      <c r="AB88" s="197">
        <f t="shared" si="39"/>
        <v>46826</v>
      </c>
      <c r="AC88" s="119">
        <f>IF(OR(t&lt;Tnet,NoTnet),'2027'!Resal_s+('2027'!Salim-'2027'!Resal_s)*(1-EXP(('2027'!Tnet_s-t)/'2027'!Tau_j)),Resal_s+(Salim-Resal_s)*(1-EXP((Tnet_s-t)/Tau_j)))*Salcycl</f>
        <v>6.739397503009216E-2</v>
      </c>
      <c r="AD88" s="230">
        <f>(INDEX(Models!$BJ88:$BT88,,AH88)*(1-AF88)+INDEX(Models!$BJ88:$BT88,,AH88+1)*AF88-ERP_i)*AE88*Ramure*Pc/MaxiM</f>
        <v>3.5238347563390215E-5</v>
      </c>
      <c r="AE88" s="304">
        <f t="shared" si="40"/>
        <v>0.6</v>
      </c>
      <c r="AF88" s="177">
        <f t="shared" si="41"/>
        <v>1.2060556841444914E-2</v>
      </c>
      <c r="AG88" s="799">
        <f t="shared" si="49"/>
        <v>3</v>
      </c>
      <c r="AH88" s="176">
        <f t="shared" si="42"/>
        <v>9</v>
      </c>
      <c r="AI88" s="224">
        <f t="shared" si="43"/>
        <v>3.0120605568414449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46827</v>
      </c>
      <c r="B89" s="409">
        <f>IF(t&gt;Tmaj,'2027'!Wh/'2027'!Env_an*'2028'!Env_an,0.001*'[5]mon-tableau'!$B$257)</f>
        <v>13.273293217593105</v>
      </c>
      <c r="C89" s="829"/>
      <c r="D89" s="391">
        <f t="shared" si="25"/>
        <v>14.148271405709201</v>
      </c>
      <c r="E89" s="383">
        <f t="shared" si="47"/>
        <v>14.768156194261183</v>
      </c>
      <c r="F89" s="383">
        <f t="shared" si="26"/>
        <v>14.768156194261183</v>
      </c>
      <c r="G89" s="110">
        <f t="shared" si="48"/>
        <v>0.27868173539246111</v>
      </c>
      <c r="H89" s="412" t="b">
        <f>Wh_hp&gt;='2027'!Maxi_hp</f>
        <v>0</v>
      </c>
      <c r="I89" s="388">
        <f>IF(H89,Wh_hp,'2027'!Maxi_hp)</f>
        <v>54.475764848808986</v>
      </c>
      <c r="J89" s="85">
        <f>IF(H89,An,'2027'!An_max)</f>
        <v>2020</v>
      </c>
      <c r="K89" s="197">
        <f t="shared" si="27"/>
        <v>46827</v>
      </c>
      <c r="L89" s="147">
        <f>IF(t&lt;Tvie,1-EXP((T0-t)*PertePVj)+'2027'!Pspv,1-EXP((T0-t)*PertePVj)+Pspv)</f>
        <v>6.1843469285090102E-2</v>
      </c>
      <c r="M89" s="832"/>
      <c r="N89" s="832"/>
      <c r="O89" s="48">
        <f>IF(t&lt;Tnet,'2027'!Resal+('2027'!Salim-'2027'!Resal)*(1-EXP(('2027'!Tnet-t)/('2027'!Tau_j))),Resal+(Salim-Resal)*(1-EXP((Tnet-t)/(Tau_j))))*Salcycl</f>
        <v>4.1974419852958043E-2</v>
      </c>
      <c r="P89" s="169">
        <f>(INDEX(Models!$BJ89:$BT89,,T89)*(1-R89)+INDEX(Models!$BJ89:$BT89,,T89+1)*R89-ERP_i)*Q89*Ramure*Pc/MaxiM</f>
        <v>6.6473452536284709E-6</v>
      </c>
      <c r="Q89" s="304">
        <f t="shared" si="28"/>
        <v>0.6</v>
      </c>
      <c r="R89" s="177">
        <f t="shared" si="29"/>
        <v>0.48762919176023822</v>
      </c>
      <c r="S89" s="799">
        <f t="shared" si="30"/>
        <v>-1</v>
      </c>
      <c r="T89" s="176">
        <f t="shared" si="31"/>
        <v>5</v>
      </c>
      <c r="U89" s="250">
        <f t="shared" si="32"/>
        <v>-0.51237080823976178</v>
      </c>
      <c r="V89" s="382">
        <f t="shared" si="33"/>
        <v>47.628542885087484</v>
      </c>
      <c r="W89" s="400">
        <f t="shared" si="34"/>
        <v>13.273293217593105</v>
      </c>
      <c r="X89" s="157">
        <f t="shared" si="35"/>
        <v>46827</v>
      </c>
      <c r="Y89" s="383">
        <f t="shared" si="36"/>
        <v>12.920298677178</v>
      </c>
      <c r="Z89" s="383">
        <f t="shared" si="37"/>
        <v>13.772007393406147</v>
      </c>
      <c r="AA89" s="384">
        <f t="shared" si="38"/>
        <v>14.768156194261183</v>
      </c>
      <c r="AB89" s="197">
        <f t="shared" si="39"/>
        <v>46827</v>
      </c>
      <c r="AC89" s="119">
        <f>IF(OR(t&lt;Tnet,NoTnet),'2027'!Resal_s+('2027'!Salim-'2027'!Resal_s)*(1-EXP(('2027'!Tnet_s-t)/'2027'!Tau_j)),Resal_s+(Salim-Resal_s)*(1-EXP((Tnet_s-t)/Tau_j)))*Salcycl</f>
        <v>6.7452482744063458E-2</v>
      </c>
      <c r="AD89" s="230">
        <f>(INDEX(Models!$BJ89:$BT89,,AH89)*(1-AF89)+INDEX(Models!$BJ89:$BT89,,AH89+1)*AF89-ERP_i)*AE89*Ramure*Pc/MaxiM</f>
        <v>3.3830592393313738E-5</v>
      </c>
      <c r="AE89" s="304">
        <f t="shared" si="40"/>
        <v>0.6</v>
      </c>
      <c r="AF89" s="177">
        <f t="shared" si="41"/>
        <v>1.2616758134216699E-2</v>
      </c>
      <c r="AG89" s="799">
        <f t="shared" si="49"/>
        <v>3</v>
      </c>
      <c r="AH89" s="176">
        <f t="shared" si="42"/>
        <v>9</v>
      </c>
      <c r="AI89" s="224">
        <f t="shared" si="43"/>
        <v>3.0126167581342167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46828</v>
      </c>
      <c r="B90" s="409">
        <f>IF(t&gt;Tmaj,'2027'!Wh/'2027'!Env_an*'2028'!Env_an,0.001*'[5]mon-tableau'!$B$258)</f>
        <v>10.943675413792166</v>
      </c>
      <c r="C90" s="829"/>
      <c r="D90" s="391">
        <f t="shared" si="25"/>
        <v>11.665308285510452</v>
      </c>
      <c r="E90" s="383">
        <f t="shared" si="47"/>
        <v>12.177509580551483</v>
      </c>
      <c r="F90" s="383">
        <f t="shared" si="26"/>
        <v>12.177509580551483</v>
      </c>
      <c r="G90" s="110">
        <f t="shared" si="48"/>
        <v>0.2283579624606413</v>
      </c>
      <c r="H90" s="412" t="b">
        <f>Wh_hp&gt;='2027'!Maxi_hp</f>
        <v>0</v>
      </c>
      <c r="I90" s="388">
        <f>IF(H90,Wh_hp,'2027'!Maxi_hp)</f>
        <v>28.016167697203379</v>
      </c>
      <c r="J90" s="85">
        <f>IF(H90,An,'2027'!An_max)</f>
        <v>2021</v>
      </c>
      <c r="K90" s="197">
        <f t="shared" si="27"/>
        <v>46828</v>
      </c>
      <c r="L90" s="147">
        <f>IF(t&lt;Tvie,1-EXP((T0-t)*PertePVj)+'2027'!Pspv,1-EXP((T0-t)*PertePVj)+Pspv)</f>
        <v>6.1861448840973332E-2</v>
      </c>
      <c r="M90" s="832"/>
      <c r="N90" s="832"/>
      <c r="O90" s="48">
        <f>IF(t&lt;Tnet,'2027'!Resal+('2027'!Salim-'2027'!Resal)*(1-EXP(('2027'!Tnet-t)/('2027'!Tau_j))),Resal+(Salim-Resal)*(1-EXP((Tnet-t)/(Tau_j))))*Salcycl</f>
        <v>4.2061251658472083E-2</v>
      </c>
      <c r="P90" s="169">
        <f>(INDEX(Models!$BJ90:$BT90,,T90)*(1-R90)+INDEX(Models!$BJ90:$BT90,,T90+1)*R90-ERP_i)*Q90*Ramure*Pc/MaxiM</f>
        <v>6.3392914140480683E-6</v>
      </c>
      <c r="Q90" s="304">
        <f t="shared" si="28"/>
        <v>0.6</v>
      </c>
      <c r="R90" s="177">
        <f t="shared" si="29"/>
        <v>0.48820737748600251</v>
      </c>
      <c r="S90" s="799">
        <f t="shared" si="30"/>
        <v>-1</v>
      </c>
      <c r="T90" s="176">
        <f t="shared" si="31"/>
        <v>5</v>
      </c>
      <c r="U90" s="250">
        <f t="shared" si="32"/>
        <v>-0.51179262251399749</v>
      </c>
      <c r="V90" s="382">
        <f t="shared" si="33"/>
        <v>47.923032421217911</v>
      </c>
      <c r="W90" s="400">
        <f t="shared" si="34"/>
        <v>10.943675413792166</v>
      </c>
      <c r="X90" s="157">
        <f t="shared" si="35"/>
        <v>46828</v>
      </c>
      <c r="Y90" s="383">
        <f t="shared" si="36"/>
        <v>10.652930665322577</v>
      </c>
      <c r="Z90" s="383">
        <f t="shared" si="37"/>
        <v>11.355391644615153</v>
      </c>
      <c r="AA90" s="384">
        <f t="shared" si="38"/>
        <v>12.177509580551483</v>
      </c>
      <c r="AB90" s="197">
        <f t="shared" si="39"/>
        <v>46828</v>
      </c>
      <c r="AC90" s="119">
        <f>IF(OR(t&lt;Tnet,NoTnet),'2027'!Resal_s+('2027'!Salim-'2027'!Resal_s)*(1-EXP(('2027'!Tnet_s-t)/'2027'!Tau_j)),Resal_s+(Salim-Resal_s)*(1-EXP((Tnet_s-t)/Tau_j)))*Salcycl</f>
        <v>6.7511171352254415E-2</v>
      </c>
      <c r="AD90" s="230">
        <f>(INDEX(Models!$BJ90:$BT90,,AH90)*(1-AF90)+INDEX(Models!$BJ90:$BT90,,AH90+1)*AF90-ERP_i)*AE90*Ramure*Pc/MaxiM</f>
        <v>3.2432850602145472E-5</v>
      </c>
      <c r="AE90" s="304">
        <f t="shared" si="40"/>
        <v>0.6</v>
      </c>
      <c r="AF90" s="177">
        <f t="shared" si="41"/>
        <v>1.3194943859981212E-2</v>
      </c>
      <c r="AG90" s="799">
        <f t="shared" si="49"/>
        <v>3</v>
      </c>
      <c r="AH90" s="176">
        <f t="shared" si="42"/>
        <v>9</v>
      </c>
      <c r="AI90" s="224">
        <f t="shared" si="43"/>
        <v>3.0131949438599812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46829</v>
      </c>
      <c r="B91" s="409">
        <f>IF(t&gt;Tmaj,'2027'!Wh/'2027'!Env_an*'2028'!Env_an,0.001*'[5]mon-tableau'!$B$259)</f>
        <v>13.716219764946777</v>
      </c>
      <c r="C91" s="829"/>
      <c r="D91" s="391">
        <f t="shared" si="25"/>
        <v>14.620956170345231</v>
      </c>
      <c r="E91" s="383">
        <f t="shared" si="47"/>
        <v>15.264319103527907</v>
      </c>
      <c r="F91" s="383">
        <f t="shared" si="26"/>
        <v>15.264319103527907</v>
      </c>
      <c r="G91" s="110">
        <f t="shared" si="48"/>
        <v>0.28449042007021669</v>
      </c>
      <c r="H91" s="412" t="b">
        <f>Wh_hp&gt;='2027'!Maxi_hp</f>
        <v>0</v>
      </c>
      <c r="I91" s="388">
        <f>IF(H91,Wh_hp,'2027'!Maxi_hp)</f>
        <v>36.161356704838056</v>
      </c>
      <c r="J91" s="85">
        <f>IF(H91,An,'2027'!An_max)</f>
        <v>2018</v>
      </c>
      <c r="K91" s="197">
        <f t="shared" si="27"/>
        <v>46829</v>
      </c>
      <c r="L91" s="147">
        <f>IF(t&lt;Tvie,1-EXP((T0-t)*PertePVj)+'2027'!Pspv,1-EXP((T0-t)*PertePVj)+Pspv)</f>
        <v>6.1879428052282526E-2</v>
      </c>
      <c r="M91" s="832"/>
      <c r="N91" s="832"/>
      <c r="O91" s="48">
        <f>IF(t&lt;Tnet,'2027'!Resal+('2027'!Salim-'2027'!Resal)*(1-EXP(('2027'!Tnet-t)/('2027'!Tau_j))),Resal+(Salim-Resal)*(1-EXP((Tnet-t)/(Tau_j))))*Salcycl</f>
        <v>4.2148157989830036E-2</v>
      </c>
      <c r="P91" s="169">
        <f>(INDEX(Models!$BJ91:$BT91,,T91)*(1-R91)+INDEX(Models!$BJ91:$BT91,,T91+1)*R91-ERP_i)*Q91*Ramure*Pc/MaxiM</f>
        <v>6.029781615360184E-6</v>
      </c>
      <c r="Q91" s="304">
        <f t="shared" si="28"/>
        <v>0.6</v>
      </c>
      <c r="R91" s="177">
        <f t="shared" si="29"/>
        <v>0.48880835956462798</v>
      </c>
      <c r="S91" s="799">
        <f t="shared" si="30"/>
        <v>-1</v>
      </c>
      <c r="T91" s="176">
        <f t="shared" si="31"/>
        <v>5</v>
      </c>
      <c r="U91" s="250">
        <f t="shared" si="32"/>
        <v>-0.51119164043537202</v>
      </c>
      <c r="V91" s="382">
        <f t="shared" si="33"/>
        <v>48.213001533589946</v>
      </c>
      <c r="W91" s="400">
        <f t="shared" si="34"/>
        <v>13.716219764946777</v>
      </c>
      <c r="X91" s="157">
        <f t="shared" si="35"/>
        <v>46829</v>
      </c>
      <c r="Y91" s="383">
        <f t="shared" si="36"/>
        <v>13.35218385212351</v>
      </c>
      <c r="Z91" s="383">
        <f t="shared" si="37"/>
        <v>14.232908062555142</v>
      </c>
      <c r="AA91" s="384">
        <f t="shared" si="38"/>
        <v>15.264319103527907</v>
      </c>
      <c r="AB91" s="197">
        <f t="shared" si="39"/>
        <v>46829</v>
      </c>
      <c r="AC91" s="119">
        <f>IF(OR(t&lt;Tnet,NoTnet),'2027'!Resal_s+('2027'!Salim-'2027'!Resal_s)*(1-EXP(('2027'!Tnet_s-t)/'2027'!Tau_j)),Resal_s+(Salim-Resal_s)*(1-EXP((Tnet_s-t)/Tau_j)))*Salcycl</f>
        <v>6.7570065456400527E-2</v>
      </c>
      <c r="AD91" s="230">
        <f>(INDEX(Models!$BJ91:$BT91,,AH91)*(1-AF91)+INDEX(Models!$BJ91:$BT91,,AH91+1)*AF91-ERP_i)*AE91*Ramure*Pc/MaxiM</f>
        <v>3.1044898726259032E-5</v>
      </c>
      <c r="AE91" s="304">
        <f t="shared" si="40"/>
        <v>0.6</v>
      </c>
      <c r="AF91" s="177">
        <f t="shared" si="41"/>
        <v>1.3795925938606235E-2</v>
      </c>
      <c r="AG91" s="799">
        <f t="shared" si="49"/>
        <v>3</v>
      </c>
      <c r="AH91" s="176">
        <f t="shared" si="42"/>
        <v>9</v>
      </c>
      <c r="AI91" s="224">
        <f t="shared" si="43"/>
        <v>3.0137959259386062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46830</v>
      </c>
      <c r="B92" s="409">
        <f>IF(t&gt;Tmaj,'2027'!Wh/'2027'!Env_an*'2028'!Env_an,0.001*'[5]mon-tableau'!$B$260)</f>
        <v>27.564125767453394</v>
      </c>
      <c r="C92" s="829"/>
      <c r="D92" s="391">
        <f t="shared" si="25"/>
        <v>29.38284785774395</v>
      </c>
      <c r="E92" s="383">
        <f t="shared" si="47"/>
        <v>30.678561672766023</v>
      </c>
      <c r="F92" s="383">
        <f t="shared" si="26"/>
        <v>30.678628931835231</v>
      </c>
      <c r="G92" s="110">
        <f t="shared" si="48"/>
        <v>0.56835430975544121</v>
      </c>
      <c r="H92" s="412" t="b">
        <f>Wh_hp&gt;='2027'!Maxi_hp</f>
        <v>0</v>
      </c>
      <c r="I92" s="388">
        <f>IF(H92,Wh_hp,'2027'!Maxi_hp)</f>
        <v>48.151919129153704</v>
      </c>
      <c r="J92" s="85">
        <f>IF(H92,An,'2027'!An_max)</f>
        <v>2020</v>
      </c>
      <c r="K92" s="197">
        <f t="shared" si="27"/>
        <v>46830</v>
      </c>
      <c r="L92" s="147">
        <f>IF(t&lt;Tvie,1-EXP((T0-t)*PertePVj)+'2027'!Pspv,1-EXP((T0-t)*PertePVj)+Pspv)</f>
        <v>6.1897406919024234E-2</v>
      </c>
      <c r="M92" s="832"/>
      <c r="N92" s="832"/>
      <c r="O92" s="48">
        <f>IF(t&lt;Tnet,'2027'!Resal+('2027'!Salim-'2027'!Resal)*(1-EXP(('2027'!Tnet-t)/('2027'!Tau_j))),Resal+(Salim-Resal)*(1-EXP((Tnet-t)/(Tau_j))))*Salcycl</f>
        <v>4.2235155247591145E-2</v>
      </c>
      <c r="P92" s="169">
        <f>(INDEX(Models!$BJ92:$BT92,,T92)*(1-R92)+INDEX(Models!$BJ92:$BT92,,T92+1)*R92-ERP_i)*Q92*Ramure*Pc/MaxiM</f>
        <v>5.7187502231610165E-6</v>
      </c>
      <c r="Q92" s="304">
        <f t="shared" si="28"/>
        <v>0.6</v>
      </c>
      <c r="R92" s="177">
        <f t="shared" si="29"/>
        <v>0.48943297517883455</v>
      </c>
      <c r="S92" s="799">
        <f t="shared" si="30"/>
        <v>-1</v>
      </c>
      <c r="T92" s="176">
        <f t="shared" si="31"/>
        <v>5</v>
      </c>
      <c r="U92" s="250">
        <f t="shared" si="32"/>
        <v>-0.51056702482116545</v>
      </c>
      <c r="V92" s="382">
        <f t="shared" si="33"/>
        <v>48.497967012267083</v>
      </c>
      <c r="W92" s="400">
        <f t="shared" si="34"/>
        <v>27.564125767453394</v>
      </c>
      <c r="X92" s="157">
        <f t="shared" si="35"/>
        <v>46830</v>
      </c>
      <c r="Y92" s="383">
        <f t="shared" si="36"/>
        <v>26.833048275497177</v>
      </c>
      <c r="Z92" s="383">
        <f t="shared" si="37"/>
        <v>28.603532783520389</v>
      </c>
      <c r="AA92" s="384">
        <f t="shared" si="38"/>
        <v>30.678280020421393</v>
      </c>
      <c r="AB92" s="197">
        <f t="shared" si="39"/>
        <v>46830</v>
      </c>
      <c r="AC92" s="119">
        <f>IF(OR(t&lt;Tnet,NoTnet),'2027'!Resal_s+('2027'!Salim-'2027'!Resal_s)*(1-EXP(('2027'!Tnet_s-t)/'2027'!Tau_j)),Resal_s+(Salim-Resal_s)*(1-EXP((Tnet_s-t)/Tau_j)))*Salcycl</f>
        <v>6.7629190277940052E-2</v>
      </c>
      <c r="AD92" s="230">
        <f>(INDEX(Models!$BJ92:$BT92,,AH92)*(1-AF92)+INDEX(Models!$BJ92:$BT92,,AH92+1)*AF92-ERP_i)*AE92*Ramure*Pc/MaxiM</f>
        <v>2.9666441257812458E-5</v>
      </c>
      <c r="AE92" s="304">
        <f t="shared" si="40"/>
        <v>0.6</v>
      </c>
      <c r="AF92" s="177">
        <f t="shared" si="41"/>
        <v>1.4420541552813138E-2</v>
      </c>
      <c r="AG92" s="799">
        <f t="shared" si="49"/>
        <v>3</v>
      </c>
      <c r="AH92" s="176">
        <f t="shared" si="42"/>
        <v>9</v>
      </c>
      <c r="AI92" s="224">
        <f t="shared" si="43"/>
        <v>3.0144205415528131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46831</v>
      </c>
      <c r="B93" s="409">
        <f>IF(t&gt;Tmaj,'2027'!Wh/'2027'!Env_an*'2028'!Env_an,0.001*'[5]mon-tableau'!$B$261)</f>
        <v>30.501392295317476</v>
      </c>
      <c r="C93" s="829"/>
      <c r="D93" s="391">
        <f t="shared" si="25"/>
        <v>32.514542741608714</v>
      </c>
      <c r="E93" s="383">
        <f t="shared" si="47"/>
        <v>33.951444616184382</v>
      </c>
      <c r="F93" s="383">
        <f t="shared" si="26"/>
        <v>33.951529903393826</v>
      </c>
      <c r="G93" s="110">
        <f t="shared" si="48"/>
        <v>0.6252814155708718</v>
      </c>
      <c r="H93" s="412" t="b">
        <f>Wh_hp&gt;='2027'!Maxi_hp</f>
        <v>0</v>
      </c>
      <c r="I93" s="388">
        <f>IF(H93,Wh_hp,'2027'!Maxi_hp)</f>
        <v>53.213779784597463</v>
      </c>
      <c r="J93" s="85">
        <f>IF(H93,An,'2027'!An_max)</f>
        <v>2018</v>
      </c>
      <c r="K93" s="197">
        <f t="shared" si="27"/>
        <v>46831</v>
      </c>
      <c r="L93" s="147">
        <f>IF(t&lt;Tvie,1-EXP((T0-t)*PertePVj)+'2027'!Pspv,1-EXP((T0-t)*PertePVj)+Pspv)</f>
        <v>6.1915385441205006E-2</v>
      </c>
      <c r="M93" s="832"/>
      <c r="N93" s="832"/>
      <c r="O93" s="48">
        <f>IF(t&lt;Tnet,'2027'!Resal+('2027'!Salim-'2027'!Resal)*(1-EXP(('2027'!Tnet-t)/('2027'!Tau_j))),Resal+(Salim-Resal)*(1-EXP((Tnet-t)/(Tau_j))))*Salcycl</f>
        <v>4.232226024016382E-2</v>
      </c>
      <c r="P93" s="169">
        <f>(INDEX(Models!$BJ93:$BT93,,T93)*(1-R93)+INDEX(Models!$BJ93:$BT93,,T93+1)*R93-ERP_i)*Q93*Ramure*Pc/MaxiM</f>
        <v>5.4058118838508522E-6</v>
      </c>
      <c r="Q93" s="304">
        <f t="shared" si="28"/>
        <v>0.6</v>
      </c>
      <c r="R93" s="177">
        <f t="shared" si="29"/>
        <v>0.49008208716145596</v>
      </c>
      <c r="S93" s="799">
        <f t="shared" si="30"/>
        <v>-1</v>
      </c>
      <c r="T93" s="176">
        <f t="shared" si="31"/>
        <v>5</v>
      </c>
      <c r="U93" s="250">
        <f t="shared" si="32"/>
        <v>-0.50991791283854404</v>
      </c>
      <c r="V93" s="382">
        <f t="shared" si="33"/>
        <v>48.780122471455819</v>
      </c>
      <c r="W93" s="400">
        <f t="shared" si="34"/>
        <v>30.501392295317476</v>
      </c>
      <c r="X93" s="157">
        <f t="shared" si="35"/>
        <v>46831</v>
      </c>
      <c r="Y93" s="383">
        <f t="shared" si="36"/>
        <v>29.693176489637274</v>
      </c>
      <c r="Z93" s="383">
        <f t="shared" si="37"/>
        <v>31.652983141187885</v>
      </c>
      <c r="AA93" s="384">
        <f t="shared" si="38"/>
        <v>33.951083485838119</v>
      </c>
      <c r="AB93" s="197">
        <f t="shared" si="39"/>
        <v>46831</v>
      </c>
      <c r="AC93" s="119">
        <f>IF(OR(t&lt;Tnet,NoTnet),'2027'!Resal_s+('2027'!Salim-'2027'!Resal_s)*(1-EXP(('2027'!Tnet_s-t)/'2027'!Tau_j)),Resal_s+(Salim-Resal_s)*(1-EXP((Tnet_s-t)/Tau_j)))*Salcycl</f>
        <v>6.7688571577070006E-2</v>
      </c>
      <c r="AD93" s="230">
        <f>(INDEX(Models!$BJ93:$BT93,,AH93)*(1-AF93)+INDEX(Models!$BJ93:$BT93,,AH93+1)*AF93-ERP_i)*AE93*Ramure*Pc/MaxiM</f>
        <v>2.8295559715540134E-5</v>
      </c>
      <c r="AE93" s="304">
        <f t="shared" si="40"/>
        <v>0.6</v>
      </c>
      <c r="AF93" s="177">
        <f t="shared" si="41"/>
        <v>1.5069653535434657E-2</v>
      </c>
      <c r="AG93" s="799">
        <f t="shared" si="49"/>
        <v>3</v>
      </c>
      <c r="AH93" s="176">
        <f t="shared" si="42"/>
        <v>9</v>
      </c>
      <c r="AI93" s="224">
        <f t="shared" si="43"/>
        <v>3.0150696535354347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46832</v>
      </c>
      <c r="B94" s="409">
        <f>IF(t&gt;Tmaj,'2027'!Wh/'2027'!Env_an*'2028'!Env_an,0.001*'[5]mon-tableau'!$B$262)</f>
        <v>44.67979058656222</v>
      </c>
      <c r="C94" s="829"/>
      <c r="D94" s="391">
        <f t="shared" si="25"/>
        <v>47.629655350419362</v>
      </c>
      <c r="E94" s="383">
        <f t="shared" si="47"/>
        <v>49.739063680884932</v>
      </c>
      <c r="F94" s="383">
        <f t="shared" si="26"/>
        <v>49.73928483424509</v>
      </c>
      <c r="G94" s="110">
        <f t="shared" si="48"/>
        <v>0.91068828037759153</v>
      </c>
      <c r="H94" s="412" t="b">
        <f>Wh_hp&gt;='2027'!Maxi_hp</f>
        <v>0</v>
      </c>
      <c r="I94" s="388">
        <f>IF(H94,Wh_hp,'2027'!Maxi_hp)</f>
        <v>53.458089214511951</v>
      </c>
      <c r="J94" s="85">
        <f>IF(H94,An,'2027'!An_max)</f>
        <v>2020</v>
      </c>
      <c r="K94" s="197">
        <f t="shared" si="27"/>
        <v>46832</v>
      </c>
      <c r="L94" s="147">
        <f>IF(t&lt;Tvie,1-EXP((T0-t)*PertePVj)+'2027'!Pspv,1-EXP((T0-t)*PertePVj)+Pspv)</f>
        <v>6.1933363618831505E-2</v>
      </c>
      <c r="M94" s="832"/>
      <c r="N94" s="832"/>
      <c r="O94" s="48">
        <f>IF(t&lt;Tnet,'2027'!Resal+('2027'!Salim-'2027'!Resal)*(1-EXP(('2027'!Tnet-t)/('2027'!Tau_j))),Resal+(Salim-Resal)*(1-EXP((Tnet-t)/(Tau_j))))*Salcycl</f>
        <v>4.2409490134335349E-2</v>
      </c>
      <c r="P94" s="169">
        <f>(INDEX(Models!$BJ94:$BT94,,T94)*(1-R94)+INDEX(Models!$BJ94:$BT94,,T94+1)*R94-ERP_i)*Q94*Ramure*Pc/MaxiM</f>
        <v>5.0965001232954628E-6</v>
      </c>
      <c r="Q94" s="304">
        <f t="shared" si="28"/>
        <v>0.6</v>
      </c>
      <c r="R94" s="177">
        <f t="shared" si="29"/>
        <v>0.49075658435115621</v>
      </c>
      <c r="S94" s="799">
        <f t="shared" si="30"/>
        <v>-1</v>
      </c>
      <c r="T94" s="176">
        <f t="shared" si="31"/>
        <v>5</v>
      </c>
      <c r="U94" s="250">
        <f t="shared" si="32"/>
        <v>-0.50924341564884379</v>
      </c>
      <c r="V94" s="382">
        <f t="shared" si="33"/>
        <v>49.061531257354979</v>
      </c>
      <c r="W94" s="400">
        <f t="shared" si="34"/>
        <v>44.67979058656222</v>
      </c>
      <c r="X94" s="157">
        <f t="shared" si="35"/>
        <v>46832</v>
      </c>
      <c r="Y94" s="383">
        <f t="shared" si="36"/>
        <v>43.496692152044723</v>
      </c>
      <c r="Z94" s="383">
        <f t="shared" si="37"/>
        <v>46.368445977190184</v>
      </c>
      <c r="AA94" s="384">
        <f t="shared" si="38"/>
        <v>49.738115546080643</v>
      </c>
      <c r="AB94" s="197">
        <f t="shared" si="39"/>
        <v>46832</v>
      </c>
      <c r="AC94" s="119">
        <f>IF(OR(t&lt;Tnet,NoTnet),'2027'!Resal_s+('2027'!Salim-'2027'!Resal_s)*(1-EXP(('2027'!Tnet_s-t)/'2027'!Tau_j)),Resal_s+(Salim-Resal_s)*(1-EXP((Tnet_s-t)/Tau_j)))*Salcycl</f>
        <v>6.7748235571341284E-2</v>
      </c>
      <c r="AD94" s="230">
        <f>(INDEX(Models!$BJ94:$BT94,,AH94)*(1-AF94)+INDEX(Models!$BJ94:$BT94,,AH94+1)*AF94-ERP_i)*AE94*Ramure*Pc/MaxiM</f>
        <v>2.694635645600225E-5</v>
      </c>
      <c r="AE94" s="304">
        <f t="shared" si="40"/>
        <v>0.6</v>
      </c>
      <c r="AF94" s="177">
        <f t="shared" si="41"/>
        <v>1.5744150725134798E-2</v>
      </c>
      <c r="AG94" s="799">
        <f t="shared" si="49"/>
        <v>3</v>
      </c>
      <c r="AH94" s="176">
        <f t="shared" si="42"/>
        <v>9</v>
      </c>
      <c r="AI94" s="224">
        <f t="shared" si="43"/>
        <v>3.0157441507251348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46833</v>
      </c>
      <c r="B95" s="409">
        <f>IF(t&gt;Tmaj,'2027'!Wh/'2027'!Env_an*'2028'!Env_an,0.001*'[5]mon-tableau'!$B$263)</f>
        <v>42.059874510881443</v>
      </c>
      <c r="C95" s="829"/>
      <c r="D95" s="391">
        <f t="shared" si="25"/>
        <v>44.837625561963556</v>
      </c>
      <c r="E95" s="383">
        <f t="shared" si="47"/>
        <v>46.827653927701114</v>
      </c>
      <c r="F95" s="383">
        <f t="shared" si="26"/>
        <v>46.827831585320411</v>
      </c>
      <c r="G95" s="110">
        <f t="shared" si="48"/>
        <v>0.85242279537883447</v>
      </c>
      <c r="H95" s="412" t="b">
        <f>Wh_hp&gt;='2027'!Maxi_hp</f>
        <v>0</v>
      </c>
      <c r="I95" s="388">
        <f>IF(H95,Wh_hp,'2027'!Maxi_hp)</f>
        <v>53.132913238257949</v>
      </c>
      <c r="J95" s="85">
        <f>IF(H95,An,'2027'!An_max)</f>
        <v>2020</v>
      </c>
      <c r="K95" s="197">
        <f t="shared" si="27"/>
        <v>46833</v>
      </c>
      <c r="L95" s="147">
        <f>IF(t&lt;Tvie,1-EXP((T0-t)*PertePVj)+'2027'!Pspv,1-EXP((T0-t)*PertePVj)+Pspv)</f>
        <v>6.1951341451910391E-2</v>
      </c>
      <c r="M95" s="832"/>
      <c r="N95" s="832"/>
      <c r="O95" s="48">
        <f>IF(t&lt;Tnet,'2027'!Resal+('2027'!Salim-'2027'!Resal)*(1-EXP(('2027'!Tnet-t)/('2027'!Tau_j))),Resal+(Salim-Resal)*(1-EXP((Tnet-t)/(Tau_j))))*Salcycl</f>
        <v>4.2496862405492969E-2</v>
      </c>
      <c r="P95" s="169">
        <f>(INDEX(Models!$BJ95:$BT95,,T95)*(1-R95)+INDEX(Models!$BJ95:$BT95,,T95+1)*R95-ERP_i)*Q95*Ramure*Pc/MaxiM</f>
        <v>4.8073479828784463E-6</v>
      </c>
      <c r="Q95" s="304">
        <f t="shared" si="28"/>
        <v>0.6</v>
      </c>
      <c r="R95" s="177">
        <f t="shared" si="29"/>
        <v>0.4914573819123309</v>
      </c>
      <c r="S95" s="799">
        <f t="shared" si="30"/>
        <v>-1</v>
      </c>
      <c r="T95" s="176">
        <f t="shared" si="31"/>
        <v>5</v>
      </c>
      <c r="U95" s="250">
        <f t="shared" si="32"/>
        <v>-0.5085426180876691</v>
      </c>
      <c r="V95" s="382">
        <f t="shared" si="33"/>
        <v>49.341514693181274</v>
      </c>
      <c r="W95" s="400">
        <f t="shared" si="34"/>
        <v>42.059874510881443</v>
      </c>
      <c r="X95" s="157">
        <f t="shared" si="35"/>
        <v>46833</v>
      </c>
      <c r="Y95" s="383">
        <f t="shared" si="36"/>
        <v>40.947358971041986</v>
      </c>
      <c r="Z95" s="383">
        <f t="shared" si="37"/>
        <v>43.651636402764275</v>
      </c>
      <c r="AA95" s="384">
        <f t="shared" si="38"/>
        <v>46.82688349906757</v>
      </c>
      <c r="AB95" s="197">
        <f t="shared" si="39"/>
        <v>46833</v>
      </c>
      <c r="AC95" s="119">
        <f>IF(OR(t&lt;Tnet,NoTnet),'2027'!Resal_s+('2027'!Salim-'2027'!Resal_s)*(1-EXP(('2027'!Tnet_s-t)/'2027'!Tau_j)),Resal_s+(Salim-Resal_s)*(1-EXP((Tnet_s-t)/Tau_j)))*Salcycl</f>
        <v>6.7808208854354374E-2</v>
      </c>
      <c r="AD95" s="230">
        <f>(INDEX(Models!$BJ95:$BT95,,AH95)*(1-AF95)+INDEX(Models!$BJ95:$BT95,,AH95+1)*AF95-ERP_i)*AE95*Ramure*Pc/MaxiM</f>
        <v>2.565485540772263E-5</v>
      </c>
      <c r="AE95" s="304">
        <f t="shared" si="40"/>
        <v>0.6</v>
      </c>
      <c r="AF95" s="177">
        <f t="shared" si="41"/>
        <v>1.644494828630938E-2</v>
      </c>
      <c r="AG95" s="799">
        <f t="shared" si="49"/>
        <v>3</v>
      </c>
      <c r="AH95" s="176">
        <f t="shared" si="42"/>
        <v>9</v>
      </c>
      <c r="AI95" s="224">
        <f t="shared" si="43"/>
        <v>3.0164449482863094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46834</v>
      </c>
      <c r="B96" s="409">
        <f>IF(t&gt;Tmaj,'2027'!Wh/'2027'!Env_an*'2028'!Env_an,0.001*'[5]mon-tableau'!$B$264)</f>
        <v>47.829036392905515</v>
      </c>
      <c r="C96" s="829"/>
      <c r="D96" s="391">
        <f t="shared" si="25"/>
        <v>50.988776122845216</v>
      </c>
      <c r="E96" s="383">
        <f t="shared" si="47"/>
        <v>53.256679591667677</v>
      </c>
      <c r="F96" s="383">
        <f t="shared" si="26"/>
        <v>53.256908817494853</v>
      </c>
      <c r="G96" s="110">
        <f t="shared" si="48"/>
        <v>0.96391794032230504</v>
      </c>
      <c r="H96" s="412" t="b">
        <f>Wh_hp&gt;='2027'!Maxi_hp</f>
        <v>0</v>
      </c>
      <c r="I96" s="388">
        <f>IF(H96,Wh_hp,'2027'!Maxi_hp)</f>
        <v>53.726378247452473</v>
      </c>
      <c r="J96" s="85">
        <f>IF(H96,An,'2027'!An_max)</f>
        <v>2021</v>
      </c>
      <c r="K96" s="197">
        <f t="shared" si="27"/>
        <v>46834</v>
      </c>
      <c r="L96" s="147">
        <f>IF(t&lt;Tvie,1-EXP((T0-t)*PertePVj)+'2027'!Pspv,1-EXP((T0-t)*PertePVj)+Pspv)</f>
        <v>6.1969318940448104E-2</v>
      </c>
      <c r="M96" s="832"/>
      <c r="N96" s="832"/>
      <c r="O96" s="48">
        <f>IF(t&lt;Tnet,'2027'!Resal+('2027'!Salim-'2027'!Resal)*(1-EXP(('2027'!Tnet-t)/('2027'!Tau_j))),Resal+(Salim-Resal)*(1-EXP((Tnet-t)/(Tau_j))))*Salcycl</f>
        <v>4.2584394787866055E-2</v>
      </c>
      <c r="P96" s="169">
        <f>(INDEX(Models!$BJ96:$BT96,,T96)*(1-R96)+INDEX(Models!$BJ96:$BT96,,T96+1)*R96-ERP_i)*Q96*Ramure*Pc/MaxiM</f>
        <v>4.538068861848596E-6</v>
      </c>
      <c r="Q96" s="304">
        <f t="shared" si="28"/>
        <v>0.6</v>
      </c>
      <c r="R96" s="177">
        <f t="shared" si="29"/>
        <v>0.49218542161462553</v>
      </c>
      <c r="S96" s="799">
        <f t="shared" si="30"/>
        <v>-1</v>
      </c>
      <c r="T96" s="176">
        <f t="shared" si="31"/>
        <v>5</v>
      </c>
      <c r="U96" s="250">
        <f t="shared" si="32"/>
        <v>-0.50781457838537447</v>
      </c>
      <c r="V96" s="382">
        <f t="shared" si="33"/>
        <v>49.619395183000336</v>
      </c>
      <c r="W96" s="400">
        <f t="shared" si="34"/>
        <v>47.829036392905515</v>
      </c>
      <c r="X96" s="157">
        <f t="shared" si="35"/>
        <v>46834</v>
      </c>
      <c r="Y96" s="383">
        <f t="shared" si="36"/>
        <v>46.565054506919381</v>
      </c>
      <c r="Z96" s="383">
        <f t="shared" si="37"/>
        <v>49.641291534645603</v>
      </c>
      <c r="AA96" s="384">
        <f t="shared" si="38"/>
        <v>53.255675309789716</v>
      </c>
      <c r="AB96" s="197">
        <f t="shared" si="39"/>
        <v>46834</v>
      </c>
      <c r="AC96" s="119">
        <f>IF(OR(t&lt;Tnet,NoTnet),'2027'!Resal_s+('2027'!Salim-'2027'!Resal_s)*(1-EXP(('2027'!Tnet_s-t)/'2027'!Tau_j)),Resal_s+(Salim-Resal_s)*(1-EXP((Tnet_s-t)/Tau_j)))*Salcycl</f>
        <v>6.7868518315074372E-2</v>
      </c>
      <c r="AD96" s="230">
        <f>(INDEX(Models!$BJ96:$BT96,,AH96)*(1-AF96)+INDEX(Models!$BJ96:$BT96,,AH96+1)*AF96-ERP_i)*AE96*Ramure*Pc/MaxiM</f>
        <v>2.4420210307108266E-5</v>
      </c>
      <c r="AE96" s="304">
        <f t="shared" si="40"/>
        <v>0.6</v>
      </c>
      <c r="AF96" s="177">
        <f t="shared" si="41"/>
        <v>1.7172987988604227E-2</v>
      </c>
      <c r="AG96" s="799">
        <f t="shared" si="49"/>
        <v>3</v>
      </c>
      <c r="AH96" s="176">
        <f t="shared" si="42"/>
        <v>9</v>
      </c>
      <c r="AI96" s="224">
        <f t="shared" si="43"/>
        <v>3.0171729879886042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46835</v>
      </c>
      <c r="B97" s="409">
        <f>IF(t&gt;Tmaj,'2027'!Wh/'2027'!Env_an*'2028'!Env_an,0.001*'[5]mon-tableau'!$B$265)</f>
        <v>47.196816852890919</v>
      </c>
      <c r="C97" s="829"/>
      <c r="D97" s="391">
        <f t="shared" si="25"/>
        <v>50.315754419825176</v>
      </c>
      <c r="E97" s="383">
        <f t="shared" si="47"/>
        <v>52.55853787866031</v>
      </c>
      <c r="F97" s="383">
        <f t="shared" si="26"/>
        <v>52.558745861300885</v>
      </c>
      <c r="G97" s="110">
        <f t="shared" si="48"/>
        <v>0.94593202798831932</v>
      </c>
      <c r="H97" s="412" t="b">
        <f>Wh_hp&gt;='2027'!Maxi_hp</f>
        <v>0</v>
      </c>
      <c r="I97" s="388">
        <f>IF(H97,Wh_hp,'2027'!Maxi_hp)</f>
        <v>52.931336323355495</v>
      </c>
      <c r="J97" s="85">
        <f>IF(H97,An,'2027'!An_max)</f>
        <v>2018</v>
      </c>
      <c r="K97" s="197">
        <f t="shared" si="27"/>
        <v>46835</v>
      </c>
      <c r="L97" s="147">
        <f>IF(t&lt;Tvie,1-EXP((T0-t)*PertePVj)+'2027'!Pspv,1-EXP((T0-t)*PertePVj)+Pspv)</f>
        <v>6.1987296084451526E-2</v>
      </c>
      <c r="M97" s="832"/>
      <c r="N97" s="832"/>
      <c r="O97" s="48">
        <f>IF(t&lt;Tnet,'2027'!Resal+('2027'!Salim-'2027'!Resal)*(1-EXP(('2027'!Tnet-t)/('2027'!Tau_j))),Resal+(Salim-Resal)*(1-EXP((Tnet-t)/(Tau_j))))*Salcycl</f>
        <v>4.267210522509126E-2</v>
      </c>
      <c r="P97" s="169">
        <f>(INDEX(Models!$BJ97:$BT97,,T97)*(1-R97)+INDEX(Models!$BJ97:$BT97,,T97+1)*R97-ERP_i)*Q97*Ramure*Pc/MaxiM</f>
        <v>4.2883784431585969E-6</v>
      </c>
      <c r="Q97" s="304">
        <f t="shared" si="28"/>
        <v>0.6</v>
      </c>
      <c r="R97" s="177">
        <f t="shared" si="29"/>
        <v>0.49294167206718542</v>
      </c>
      <c r="S97" s="799">
        <f t="shared" si="30"/>
        <v>-1</v>
      </c>
      <c r="T97" s="176">
        <f t="shared" si="31"/>
        <v>5</v>
      </c>
      <c r="U97" s="250">
        <f t="shared" si="32"/>
        <v>-0.50705832793281458</v>
      </c>
      <c r="V97" s="382">
        <f t="shared" si="33"/>
        <v>49.89449540057602</v>
      </c>
      <c r="W97" s="400">
        <f t="shared" si="34"/>
        <v>47.196816852890919</v>
      </c>
      <c r="X97" s="157">
        <f t="shared" si="35"/>
        <v>46835</v>
      </c>
      <c r="Y97" s="383">
        <f t="shared" si="36"/>
        <v>45.9508243059989</v>
      </c>
      <c r="Z97" s="383">
        <f t="shared" si="37"/>
        <v>48.987422147041585</v>
      </c>
      <c r="AA97" s="384">
        <f t="shared" si="38"/>
        <v>52.557618667040884</v>
      </c>
      <c r="AB97" s="197">
        <f t="shared" si="39"/>
        <v>46835</v>
      </c>
      <c r="AC97" s="119">
        <f>IF(OR(t&lt;Tnet,NoTnet),'2027'!Resal_s+('2027'!Salim-'2027'!Resal_s)*(1-EXP(('2027'!Tnet_s-t)/'2027'!Tau_j)),Resal_s+(Salim-Resal_s)*(1-EXP((Tnet_s-t)/Tau_j)))*Salcycl</f>
        <v>6.7929191058235402E-2</v>
      </c>
      <c r="AD97" s="230">
        <f>(INDEX(Models!$BJ97:$BT97,,AH97)*(1-AF97)+INDEX(Models!$BJ97:$BT97,,AH97+1)*AF97-ERP_i)*AE97*Ramure*Pc/MaxiM</f>
        <v>2.3241533776241228E-5</v>
      </c>
      <c r="AE97" s="304">
        <f t="shared" si="40"/>
        <v>0.6</v>
      </c>
      <c r="AF97" s="177">
        <f t="shared" si="41"/>
        <v>1.7929238441163786E-2</v>
      </c>
      <c r="AG97" s="799">
        <f t="shared" si="49"/>
        <v>3</v>
      </c>
      <c r="AH97" s="176">
        <f t="shared" si="42"/>
        <v>9</v>
      </c>
      <c r="AI97" s="224">
        <f t="shared" si="43"/>
        <v>3.0179292384411638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46836</v>
      </c>
      <c r="B98" s="409">
        <f>IF(t&gt;Tmaj,'2027'!Wh/'2027'!Env_an*'2028'!Env_an,0.001*'[5]mon-tableau'!$B$266)</f>
        <v>39.622052578930671</v>
      </c>
      <c r="C98" s="829"/>
      <c r="D98" s="391">
        <f t="shared" si="25"/>
        <v>42.241231675951205</v>
      </c>
      <c r="E98" s="383">
        <f t="shared" si="47"/>
        <v>44.128151976104697</v>
      </c>
      <c r="F98" s="383">
        <f t="shared" si="26"/>
        <v>44.128277279941067</v>
      </c>
      <c r="G98" s="110">
        <f t="shared" si="48"/>
        <v>0.7898157133339081</v>
      </c>
      <c r="H98" s="412" t="b">
        <f>Wh_hp&gt;='2027'!Maxi_hp</f>
        <v>0</v>
      </c>
      <c r="I98" s="388">
        <f>IF(H98,Wh_hp,'2027'!Maxi_hp)</f>
        <v>46.534768311108202</v>
      </c>
      <c r="J98" s="85">
        <f>IF(H98,An,'2027'!An_max)</f>
        <v>2020</v>
      </c>
      <c r="K98" s="197">
        <f t="shared" si="27"/>
        <v>46836</v>
      </c>
      <c r="L98" s="147">
        <f>IF(t&lt;Tvie,1-EXP((T0-t)*PertePVj)+'2027'!Pspv,1-EXP((T0-t)*PertePVj)+Pspv)</f>
        <v>6.2005272883926987E-2</v>
      </c>
      <c r="M98" s="832"/>
      <c r="N98" s="832"/>
      <c r="O98" s="48">
        <f>IF(t&lt;Tnet,'2027'!Resal+('2027'!Salim-'2027'!Resal)*(1-EXP(('2027'!Tnet-t)/('2027'!Tau_j))),Resal+(Salim-Resal)*(1-EXP((Tnet-t)/(Tau_j))))*Salcycl</f>
        <v>4.2760011821370902E-2</v>
      </c>
      <c r="P98" s="169">
        <f>(INDEX(Models!$BJ98:$BT98,,T98)*(1-R98)+INDEX(Models!$BJ98:$BT98,,T98+1)*R98-ERP_i)*Q98*Ramure*Pc/MaxiM</f>
        <v>4.0579983667853962E-6</v>
      </c>
      <c r="Q98" s="304">
        <f t="shared" si="28"/>
        <v>0.6</v>
      </c>
      <c r="R98" s="177">
        <f t="shared" si="29"/>
        <v>0.49372712890243264</v>
      </c>
      <c r="S98" s="799">
        <f t="shared" si="30"/>
        <v>-1</v>
      </c>
      <c r="T98" s="176">
        <f t="shared" si="31"/>
        <v>5</v>
      </c>
      <c r="U98" s="250">
        <f t="shared" si="32"/>
        <v>-0.50627287109756736</v>
      </c>
      <c r="V98" s="382">
        <f t="shared" si="33"/>
        <v>50.166138292650935</v>
      </c>
      <c r="W98" s="400">
        <f t="shared" si="34"/>
        <v>39.622052578930671</v>
      </c>
      <c r="X98" s="157">
        <f t="shared" si="35"/>
        <v>46836</v>
      </c>
      <c r="Y98" s="383">
        <f t="shared" si="36"/>
        <v>38.57723552436137</v>
      </c>
      <c r="Z98" s="383">
        <f t="shared" si="37"/>
        <v>41.127347957455626</v>
      </c>
      <c r="AA98" s="384">
        <f t="shared" si="38"/>
        <v>44.127594317937763</v>
      </c>
      <c r="AB98" s="197">
        <f t="shared" si="39"/>
        <v>46836</v>
      </c>
      <c r="AC98" s="119">
        <f>IF(OR(t&lt;Tnet,NoTnet),'2027'!Resal_s+('2027'!Salim-'2027'!Resal_s)*(1-EXP(('2027'!Tnet_s-t)/'2027'!Tau_j)),Resal_s+(Salim-Resal_s)*(1-EXP((Tnet_s-t)/Tau_j)))*Salcycl</f>
        <v>6.7990254326249222E-2</v>
      </c>
      <c r="AD98" s="230">
        <f>(INDEX(Models!$BJ98:$BT98,,AH98)*(1-AF98)+INDEX(Models!$BJ98:$BT98,,AH98+1)*AF98-ERP_i)*AE98*Ramure*Pc/MaxiM</f>
        <v>2.2117907753847125E-5</v>
      </c>
      <c r="AE98" s="304">
        <f t="shared" si="40"/>
        <v>0.6</v>
      </c>
      <c r="AF98" s="177">
        <f t="shared" si="41"/>
        <v>1.8714695276411231E-2</v>
      </c>
      <c r="AG98" s="799">
        <f t="shared" si="49"/>
        <v>3</v>
      </c>
      <c r="AH98" s="176">
        <f t="shared" si="42"/>
        <v>9</v>
      </c>
      <c r="AI98" s="224">
        <f t="shared" si="43"/>
        <v>3.0187146952764112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46837</v>
      </c>
      <c r="B99" s="409">
        <f>IF(t&gt;Tmaj,'2027'!Wh/'2027'!Env_an*'2028'!Env_an,0.001*'[5]mon-tableau'!$B$267)</f>
        <v>45.826894067426302</v>
      </c>
      <c r="C99" s="829"/>
      <c r="D99" s="391">
        <f t="shared" si="25"/>
        <v>48.857174802174896</v>
      </c>
      <c r="E99" s="383">
        <f t="shared" si="47"/>
        <v>51.044328989050861</v>
      </c>
      <c r="F99" s="383">
        <f t="shared" si="26"/>
        <v>51.044499718097427</v>
      </c>
      <c r="G99" s="110">
        <f t="shared" si="48"/>
        <v>0.90865669480005551</v>
      </c>
      <c r="H99" s="412" t="b">
        <f>Wh_hp&gt;='2027'!Maxi_hp</f>
        <v>0</v>
      </c>
      <c r="I99" s="388">
        <f>IF(H99,Wh_hp,'2027'!Maxi_hp)</f>
        <v>56.562989488883829</v>
      </c>
      <c r="J99" s="85">
        <f>IF(H99,An,'2027'!An_max)</f>
        <v>2020</v>
      </c>
      <c r="K99" s="197">
        <f t="shared" si="27"/>
        <v>46837</v>
      </c>
      <c r="L99" s="147">
        <f>IF(t&lt;Tvie,1-EXP((T0-t)*PertePVj)+'2027'!Pspv,1-EXP((T0-t)*PertePVj)+Pspv)</f>
        <v>6.2023249338881148E-2</v>
      </c>
      <c r="M99" s="832"/>
      <c r="N99" s="832"/>
      <c r="O99" s="48">
        <f>IF(t&lt;Tnet,'2027'!Resal+('2027'!Salim-'2027'!Resal)*(1-EXP(('2027'!Tnet-t)/('2027'!Tau_j))),Resal+(Salim-Resal)*(1-EXP((Tnet-t)/(Tau_j))))*Salcycl</f>
        <v>4.2848132793461134E-2</v>
      </c>
      <c r="P99" s="169">
        <f>(INDEX(Models!$BJ99:$BT99,,T99)*(1-R99)+INDEX(Models!$BJ99:$BT99,,T99+1)*R99-ERP_i)*Q99*Ramure*Pc/MaxiM</f>
        <v>3.8466597622265316E-6</v>
      </c>
      <c r="Q99" s="304">
        <f t="shared" si="28"/>
        <v>0.6</v>
      </c>
      <c r="R99" s="177">
        <f t="shared" si="29"/>
        <v>0.49454281490383623</v>
      </c>
      <c r="S99" s="799">
        <f t="shared" si="30"/>
        <v>-1</v>
      </c>
      <c r="T99" s="176">
        <f t="shared" si="31"/>
        <v>5</v>
      </c>
      <c r="U99" s="250">
        <f t="shared" si="32"/>
        <v>-0.50545718509616377</v>
      </c>
      <c r="V99" s="382">
        <f t="shared" si="33"/>
        <v>50.433647082337117</v>
      </c>
      <c r="W99" s="400">
        <f t="shared" si="34"/>
        <v>45.826894067426302</v>
      </c>
      <c r="X99" s="157">
        <f t="shared" si="35"/>
        <v>46837</v>
      </c>
      <c r="Y99" s="383">
        <f t="shared" si="36"/>
        <v>44.61951866435507</v>
      </c>
      <c r="Z99" s="383">
        <f t="shared" si="37"/>
        <v>47.569962296939309</v>
      </c>
      <c r="AA99" s="384">
        <f t="shared" si="38"/>
        <v>51.043565512222465</v>
      </c>
      <c r="AB99" s="197">
        <f t="shared" si="39"/>
        <v>46837</v>
      </c>
      <c r="AC99" s="119">
        <f>IF(OR(t&lt;Tnet,NoTnet),'2027'!Resal_s+('2027'!Salim-'2027'!Resal_s)*(1-EXP(('2027'!Tnet_s-t)/'2027'!Tau_j)),Resal_s+(Salim-Resal_s)*(1-EXP((Tnet_s-t)/Tau_j)))*Salcycl</f>
        <v>6.8051735422977003E-2</v>
      </c>
      <c r="AD99" s="230">
        <f>(INDEX(Models!$BJ99:$BT99,,AH99)*(1-AF99)+INDEX(Models!$BJ99:$BT99,,AH99+1)*AF99-ERP_i)*AE99*Ramure*Pc/MaxiM</f>
        <v>2.104839347005962E-5</v>
      </c>
      <c r="AE99" s="304">
        <f t="shared" si="40"/>
        <v>0.6</v>
      </c>
      <c r="AF99" s="177">
        <f t="shared" si="41"/>
        <v>1.9530381277814701E-2</v>
      </c>
      <c r="AG99" s="799">
        <f t="shared" si="49"/>
        <v>3</v>
      </c>
      <c r="AH99" s="176">
        <f t="shared" si="42"/>
        <v>9</v>
      </c>
      <c r="AI99" s="224">
        <f t="shared" si="43"/>
        <v>3.0195303812778147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46838</v>
      </c>
      <c r="B100" s="409">
        <f>IF(t&gt;Tmaj,'2027'!Wh/'2027'!Env_an*'2028'!Env_an,0.001*'[5]mon-tableau'!$B$268)</f>
        <v>45.022998059169325</v>
      </c>
      <c r="C100" s="829"/>
      <c r="D100" s="391">
        <f t="shared" si="25"/>
        <v>48.001041496452963</v>
      </c>
      <c r="E100" s="383">
        <f t="shared" si="47"/>
        <v>50.154499482573463</v>
      </c>
      <c r="F100" s="383">
        <f t="shared" si="26"/>
        <v>50.154653315935597</v>
      </c>
      <c r="G100" s="110">
        <f t="shared" si="48"/>
        <v>0.88809107224386363</v>
      </c>
      <c r="H100" s="412" t="b">
        <f>Wh_hp&gt;='2027'!Maxi_hp</f>
        <v>0</v>
      </c>
      <c r="I100" s="388">
        <f>IF(H100,Wh_hp,'2027'!Maxi_hp)</f>
        <v>55.827090198915265</v>
      </c>
      <c r="J100" s="85">
        <f>IF(H100,An,'2027'!An_max)</f>
        <v>2018</v>
      </c>
      <c r="K100" s="197">
        <f t="shared" si="27"/>
        <v>46838</v>
      </c>
      <c r="L100" s="147">
        <f>IF(t&lt;Tvie,1-EXP((T0-t)*PertePVj)+'2027'!Pspv,1-EXP((T0-t)*PertePVj)+Pspv)</f>
        <v>6.2041225449320669E-2</v>
      </c>
      <c r="M100" s="832"/>
      <c r="N100" s="832"/>
      <c r="O100" s="48">
        <f>IF(t&lt;Tnet,'2027'!Resal+('2027'!Salim-'2027'!Resal)*(1-EXP(('2027'!Tnet-t)/('2027'!Tau_j))),Resal+(Salim-Resal)*(1-EXP((Tnet-t)/(Tau_j))))*Salcycl</f>
        <v>4.2936486423690447E-2</v>
      </c>
      <c r="P100" s="169">
        <f>(INDEX(Models!$BJ100:$BT100,,T100)*(1-R100)+INDEX(Models!$BJ100:$BT100,,T100+1)*R100-ERP_i)*Q100*Ramure*Pc/MaxiM</f>
        <v>3.6508363832219254E-6</v>
      </c>
      <c r="Q100" s="304">
        <f t="shared" si="28"/>
        <v>0.6</v>
      </c>
      <c r="R100" s="177">
        <f t="shared" si="29"/>
        <v>0.49538978007180079</v>
      </c>
      <c r="S100" s="799">
        <f t="shared" si="30"/>
        <v>-1</v>
      </c>
      <c r="T100" s="176">
        <f t="shared" si="31"/>
        <v>5</v>
      </c>
      <c r="U100" s="250">
        <f t="shared" si="32"/>
        <v>-0.50461021992819921</v>
      </c>
      <c r="V100" s="382">
        <f t="shared" si="33"/>
        <v>50.696345440546004</v>
      </c>
      <c r="W100" s="400">
        <f t="shared" si="34"/>
        <v>45.022998059169325</v>
      </c>
      <c r="X100" s="157">
        <f t="shared" si="35"/>
        <v>46838</v>
      </c>
      <c r="Y100" s="383">
        <f t="shared" si="36"/>
        <v>43.837989115517637</v>
      </c>
      <c r="Z100" s="383">
        <f t="shared" si="37"/>
        <v>46.737650209112687</v>
      </c>
      <c r="AA100" s="384">
        <f t="shared" si="38"/>
        <v>50.153809842676665</v>
      </c>
      <c r="AB100" s="197">
        <f t="shared" si="39"/>
        <v>46838</v>
      </c>
      <c r="AC100" s="119">
        <f>IF(OR(t&lt;Tnet,NoTnet),'2027'!Resal_s+('2027'!Salim-'2027'!Resal_s)*(1-EXP(('2027'!Tnet_s-t)/'2027'!Tau_j)),Resal_s+(Salim-Resal_s)*(1-EXP((Tnet_s-t)/Tau_j)))*Salcycl</f>
        <v>6.8113661639661052E-2</v>
      </c>
      <c r="AD100" s="230">
        <f>(INDEX(Models!$BJ100:$BT100,,AH100)*(1-AF100)+INDEX(Models!$BJ100:$BT100,,AH100+1)*AF100-ERP_i)*AE100*Ramure*Pc/MaxiM</f>
        <v>2.0017652992789566E-5</v>
      </c>
      <c r="AE100" s="304">
        <f t="shared" si="40"/>
        <v>0.6</v>
      </c>
      <c r="AF100" s="177">
        <f t="shared" si="41"/>
        <v>2.0377346445779487E-2</v>
      </c>
      <c r="AG100" s="799">
        <f t="shared" si="49"/>
        <v>3</v>
      </c>
      <c r="AH100" s="176">
        <f t="shared" si="42"/>
        <v>9</v>
      </c>
      <c r="AI100" s="224">
        <f t="shared" si="43"/>
        <v>3.0203773464457795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46839</v>
      </c>
      <c r="B101" s="409">
        <f>IF(t&gt;Tmaj,'2027'!Wh/'2027'!Env_an*'2028'!Env_an,0.001*'[5]mon-tableau'!$B$269)</f>
        <v>35.91515483559396</v>
      </c>
      <c r="C101" s="829"/>
      <c r="D101" s="391">
        <f t="shared" si="25"/>
        <v>38.29149439082699</v>
      </c>
      <c r="E101" s="383">
        <f t="shared" si="47"/>
        <v>40.013059936343616</v>
      </c>
      <c r="F101" s="383">
        <f t="shared" si="26"/>
        <v>40.013139998417799</v>
      </c>
      <c r="G101" s="110">
        <f t="shared" si="48"/>
        <v>0.70485956355666035</v>
      </c>
      <c r="H101" s="412" t="b">
        <f>Wh_hp&gt;='2027'!Maxi_hp</f>
        <v>0</v>
      </c>
      <c r="I101" s="388">
        <f>IF(H101,Wh_hp,'2027'!Maxi_hp)</f>
        <v>54.360653644959861</v>
      </c>
      <c r="J101" s="85">
        <f>IF(H101,An,'2027'!An_max)</f>
        <v>2018</v>
      </c>
      <c r="K101" s="197">
        <f t="shared" si="27"/>
        <v>46839</v>
      </c>
      <c r="L101" s="147">
        <f>IF(t&lt;Tvie,1-EXP((T0-t)*PertePVj)+'2027'!Pspv,1-EXP((T0-t)*PertePVj)+Pspv)</f>
        <v>6.2059201215252102E-2</v>
      </c>
      <c r="M101" s="832"/>
      <c r="N101" s="832"/>
      <c r="O101" s="48">
        <f>IF(t&lt;Tnet,'2027'!Resal+('2027'!Salim-'2027'!Resal)*(1-EXP(('2027'!Tnet-t)/('2027'!Tau_j))),Resal+(Salim-Resal)*(1-EXP((Tnet-t)/(Tau_j))))*Salcycl</f>
        <v>4.3025091014170062E-2</v>
      </c>
      <c r="P101" s="169">
        <f>(INDEX(Models!$BJ101:$BT101,,T101)*(1-R101)+INDEX(Models!$BJ101:$BT101,,T101+1)*R101-ERP_i)*Q101*Ramure*Pc/MaxiM</f>
        <v>3.4595271095114805E-6</v>
      </c>
      <c r="Q101" s="304">
        <f t="shared" si="28"/>
        <v>0.6</v>
      </c>
      <c r="R101" s="177">
        <f t="shared" si="29"/>
        <v>0.49626910162146509</v>
      </c>
      <c r="S101" s="799">
        <f t="shared" si="30"/>
        <v>-1</v>
      </c>
      <c r="T101" s="176">
        <f t="shared" si="31"/>
        <v>5</v>
      </c>
      <c r="U101" s="250">
        <f t="shared" si="32"/>
        <v>-0.50373089837853491</v>
      </c>
      <c r="V101" s="382">
        <f t="shared" si="33"/>
        <v>50.953557709071582</v>
      </c>
      <c r="W101" s="400">
        <f t="shared" si="34"/>
        <v>35.91515483559396</v>
      </c>
      <c r="X101" s="157">
        <f t="shared" si="35"/>
        <v>46839</v>
      </c>
      <c r="Y101" s="383">
        <f t="shared" si="36"/>
        <v>34.97092762007469</v>
      </c>
      <c r="Z101" s="383">
        <f t="shared" si="37"/>
        <v>37.284792030995035</v>
      </c>
      <c r="AA101" s="384">
        <f t="shared" si="38"/>
        <v>40.012700294357536</v>
      </c>
      <c r="AB101" s="197">
        <f t="shared" si="39"/>
        <v>46839</v>
      </c>
      <c r="AC101" s="119">
        <f>IF(OR(t&lt;Tnet,NoTnet),'2027'!Resal_s+('2027'!Salim-'2027'!Resal_s)*(1-EXP(('2027'!Tnet_s-t)/'2027'!Tau_j)),Resal_s+(Salim-Resal_s)*(1-EXP((Tnet_s-t)/Tau_j)))*Salcycl</f>
        <v>6.817606018325098E-2</v>
      </c>
      <c r="AD101" s="230">
        <f>(INDEX(Models!$BJ101:$BT101,,AH101)*(1-AF101)+INDEX(Models!$BJ101:$BT101,,AH101+1)*AF101-ERP_i)*AE101*Ramure*Pc/MaxiM</f>
        <v>1.8999858949411207E-5</v>
      </c>
      <c r="AE101" s="304">
        <f t="shared" si="40"/>
        <v>0.6</v>
      </c>
      <c r="AF101" s="177">
        <f t="shared" si="41"/>
        <v>2.1256667995443568E-2</v>
      </c>
      <c r="AG101" s="799">
        <f t="shared" si="49"/>
        <v>3</v>
      </c>
      <c r="AH101" s="176">
        <f t="shared" si="42"/>
        <v>9</v>
      </c>
      <c r="AI101" s="224">
        <f t="shared" si="43"/>
        <v>3.0212566679954436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46840</v>
      </c>
      <c r="B102" s="409">
        <f>IF(t&gt;Tmaj,'2027'!Wh/'2027'!Env_an*'2028'!Env_an,0.001*'[5]mon-tableau'!$B$270)</f>
        <v>26.916657492252476</v>
      </c>
      <c r="C102" s="829"/>
      <c r="D102" s="391">
        <f t="shared" si="25"/>
        <v>28.698158123214711</v>
      </c>
      <c r="E102" s="383">
        <f t="shared" si="47"/>
        <v>29.991197560413433</v>
      </c>
      <c r="F102" s="383">
        <f t="shared" si="26"/>
        <v>29.991229202087112</v>
      </c>
      <c r="G102" s="110">
        <f t="shared" si="48"/>
        <v>0.52566749100878973</v>
      </c>
      <c r="H102" s="412" t="b">
        <f>Wh_hp&gt;='2027'!Maxi_hp</f>
        <v>0</v>
      </c>
      <c r="I102" s="388">
        <f>IF(H102,Wh_hp,'2027'!Maxi_hp)</f>
        <v>56.601597113397979</v>
      </c>
      <c r="J102" s="85">
        <f>IF(H102,An,'2027'!An_max)</f>
        <v>2021</v>
      </c>
      <c r="K102" s="197">
        <f t="shared" si="27"/>
        <v>46840</v>
      </c>
      <c r="L102" s="147">
        <f>IF(t&lt;Tvie,1-EXP((T0-t)*PertePVj)+'2027'!Pspv,1-EXP((T0-t)*PertePVj)+Pspv)</f>
        <v>6.2077176636682219E-2</v>
      </c>
      <c r="M102" s="832"/>
      <c r="N102" s="832"/>
      <c r="O102" s="48">
        <f>IF(t&lt;Tnet,'2027'!Resal+('2027'!Salim-'2027'!Resal)*(1-EXP(('2027'!Tnet-t)/('2027'!Tau_j))),Resal+(Salim-Resal)*(1-EXP((Tnet-t)/(Tau_j))))*Salcycl</f>
        <v>4.3113964842319406E-2</v>
      </c>
      <c r="P102" s="169">
        <f>(INDEX(Models!$BJ102:$BT102,,T102)*(1-R102)+INDEX(Models!$BJ102:$BT102,,T102+1)*R102-ERP_i)*Q102*Ramure*Pc/MaxiM</f>
        <v>3.2725928540926031E-6</v>
      </c>
      <c r="Q102" s="304">
        <f t="shared" si="28"/>
        <v>0.6</v>
      </c>
      <c r="R102" s="177">
        <f t="shared" si="29"/>
        <v>0.4971818839058515</v>
      </c>
      <c r="S102" s="799">
        <f t="shared" si="30"/>
        <v>-1</v>
      </c>
      <c r="T102" s="176">
        <f t="shared" si="31"/>
        <v>5</v>
      </c>
      <c r="U102" s="250">
        <f t="shared" si="32"/>
        <v>-0.5028181160941485</v>
      </c>
      <c r="V102" s="382">
        <f t="shared" si="33"/>
        <v>51.204607976002777</v>
      </c>
      <c r="W102" s="400">
        <f t="shared" si="34"/>
        <v>26.916657492252476</v>
      </c>
      <c r="X102" s="157">
        <f t="shared" si="35"/>
        <v>46840</v>
      </c>
      <c r="Y102" s="383">
        <f t="shared" si="36"/>
        <v>26.209781391612484</v>
      </c>
      <c r="Z102" s="383">
        <f t="shared" si="37"/>
        <v>27.944496859161887</v>
      </c>
      <c r="AA102" s="384">
        <f t="shared" si="38"/>
        <v>29.991055219906663</v>
      </c>
      <c r="AB102" s="197">
        <f t="shared" si="39"/>
        <v>46840</v>
      </c>
      <c r="AC102" s="119">
        <f>IF(OR(t&lt;Tnet,NoTnet),'2027'!Resal_s+('2027'!Salim-'2027'!Resal_s)*(1-EXP(('2027'!Tnet_s-t)/'2027'!Tau_j)),Resal_s+(Salim-Resal_s)*(1-EXP((Tnet_s-t)/Tau_j)))*Salcycl</f>
        <v>6.8238958107294773E-2</v>
      </c>
      <c r="AD102" s="230">
        <f>(INDEX(Models!$BJ102:$BT102,,AH102)*(1-AF102)+INDEX(Models!$BJ102:$BT102,,AH102+1)*AF102-ERP_i)*AE102*Ramure*Pc/MaxiM</f>
        <v>1.7994397079675917E-5</v>
      </c>
      <c r="AE102" s="304">
        <f t="shared" si="40"/>
        <v>0.6</v>
      </c>
      <c r="AF102" s="177">
        <f t="shared" si="41"/>
        <v>2.216945027982975E-2</v>
      </c>
      <c r="AG102" s="799">
        <f t="shared" si="49"/>
        <v>3</v>
      </c>
      <c r="AH102" s="176">
        <f t="shared" si="42"/>
        <v>9</v>
      </c>
      <c r="AI102" s="224">
        <f t="shared" si="43"/>
        <v>3.0221694502798297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46841</v>
      </c>
      <c r="B103" s="409">
        <f>IF(t&gt;Tmaj,'2027'!Wh/'2027'!Env_an*'2028'!Env_an,0.001*'[5]mon-tableau'!$B$271)</f>
        <v>7.3175297325549922</v>
      </c>
      <c r="C103" s="829"/>
      <c r="D103" s="391">
        <f t="shared" si="25"/>
        <v>7.8019958484324157</v>
      </c>
      <c r="E103" s="383">
        <f t="shared" si="47"/>
        <v>8.1542865172372068</v>
      </c>
      <c r="F103" s="383">
        <f t="shared" si="26"/>
        <v>8.1542865172372068</v>
      </c>
      <c r="G103" s="110">
        <f t="shared" si="48"/>
        <v>0.14222886031371765</v>
      </c>
      <c r="H103" s="412" t="b">
        <f>Wh_hp&gt;='2027'!Maxi_hp</f>
        <v>0</v>
      </c>
      <c r="I103" s="388">
        <f>IF(H103,Wh_hp,'2027'!Maxi_hp)</f>
        <v>56.745534114329011</v>
      </c>
      <c r="J103" s="85">
        <f>IF(H103,An,'2027'!An_max)</f>
        <v>2018</v>
      </c>
      <c r="K103" s="197">
        <f t="shared" si="27"/>
        <v>46841</v>
      </c>
      <c r="L103" s="147">
        <f>IF(t&lt;Tvie,1-EXP((T0-t)*PertePVj)+'2027'!Pspv,1-EXP((T0-t)*PertePVj)+Pspv)</f>
        <v>6.2095151713617347E-2</v>
      </c>
      <c r="M103" s="832"/>
      <c r="N103" s="832"/>
      <c r="O103" s="48">
        <f>IF(t&lt;Tnet,'2027'!Resal+('2027'!Salim-'2027'!Resal)*(1-EXP(('2027'!Tnet-t)/('2027'!Tau_j))),Resal+(Salim-Resal)*(1-EXP((Tnet-t)/(Tau_j))))*Salcycl</f>
        <v>4.32031261177898E-2</v>
      </c>
      <c r="P103" s="169">
        <f>(INDEX(Models!$BJ103:$BT103,,T103)*(1-R103)+INDEX(Models!$BJ103:$BT103,,T103+1)*R103-ERP_i)*Q103*Ramure*Pc/MaxiM</f>
        <v>3.089887034513305E-6</v>
      </c>
      <c r="Q103" s="304">
        <f t="shared" si="28"/>
        <v>0.6</v>
      </c>
      <c r="R103" s="177">
        <f t="shared" si="29"/>
        <v>0.49812925825746979</v>
      </c>
      <c r="S103" s="799">
        <f t="shared" si="30"/>
        <v>-1</v>
      </c>
      <c r="T103" s="176">
        <f t="shared" si="31"/>
        <v>5</v>
      </c>
      <c r="U103" s="250">
        <f t="shared" si="32"/>
        <v>-0.50187074174253021</v>
      </c>
      <c r="V103" s="382">
        <f t="shared" si="33"/>
        <v>51.448820626660037</v>
      </c>
      <c r="W103" s="400">
        <f t="shared" si="34"/>
        <v>7.3175297325549922</v>
      </c>
      <c r="X103" s="157">
        <f t="shared" si="35"/>
        <v>46841</v>
      </c>
      <c r="Y103" s="383">
        <f t="shared" si="36"/>
        <v>7.1255720056925256</v>
      </c>
      <c r="Z103" s="383">
        <f t="shared" si="37"/>
        <v>7.5973293225975329</v>
      </c>
      <c r="AA103" s="384">
        <f t="shared" si="38"/>
        <v>8.1542865172372068</v>
      </c>
      <c r="AB103" s="197">
        <f t="shared" si="39"/>
        <v>46841</v>
      </c>
      <c r="AC103" s="119">
        <f>IF(OR(t&lt;Tnet,NoTnet),'2027'!Resal_s+('2027'!Salim-'2027'!Resal_s)*(1-EXP(('2027'!Tnet_s-t)/'2027'!Tau_j)),Resal_s+(Salim-Resal_s)*(1-EXP((Tnet_s-t)/Tau_j)))*Salcycl</f>
        <v>6.8302382245501364E-2</v>
      </c>
      <c r="AD103" s="230">
        <f>(INDEX(Models!$BJ103:$BT103,,AH103)*(1-AF103)+INDEX(Models!$BJ103:$BT103,,AH103+1)*AF103-ERP_i)*AE103*Ramure*Pc/MaxiM</f>
        <v>1.7000590818490116E-5</v>
      </c>
      <c r="AE103" s="304">
        <f t="shared" si="40"/>
        <v>0.6</v>
      </c>
      <c r="AF103" s="177">
        <f t="shared" si="41"/>
        <v>2.3116824631448374E-2</v>
      </c>
      <c r="AG103" s="799">
        <f t="shared" si="49"/>
        <v>3</v>
      </c>
      <c r="AH103" s="176">
        <f t="shared" si="42"/>
        <v>9</v>
      </c>
      <c r="AI103" s="224">
        <f t="shared" si="43"/>
        <v>3.0231168246314484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46842</v>
      </c>
      <c r="B104" s="409">
        <f>IF(t&gt;Tmaj,'2027'!Wh/'2027'!Env_an*'2028'!Env_an,0.001*'[5]mon-tableau'!$B$272)</f>
        <v>24.84178624126811</v>
      </c>
      <c r="C104" s="829"/>
      <c r="D104" s="391">
        <f t="shared" si="25"/>
        <v>26.486975073161119</v>
      </c>
      <c r="E104" s="383">
        <f t="shared" si="47"/>
        <v>27.685554515125595</v>
      </c>
      <c r="F104" s="383">
        <f t="shared" si="26"/>
        <v>27.685575313718708</v>
      </c>
      <c r="G104" s="110">
        <f t="shared" si="48"/>
        <v>0.48063233987896609</v>
      </c>
      <c r="H104" s="412" t="b">
        <f>Wh_hp&gt;='2027'!Maxi_hp</f>
        <v>0</v>
      </c>
      <c r="I104" s="388">
        <f>IF(H104,Wh_hp,'2027'!Maxi_hp)</f>
        <v>51.692988498313227</v>
      </c>
      <c r="J104" s="85">
        <f>IF(H104,An,'2027'!An_max)</f>
        <v>2021</v>
      </c>
      <c r="K104" s="197">
        <f t="shared" si="27"/>
        <v>46842</v>
      </c>
      <c r="L104" s="147">
        <f>IF(t&lt;Tvie,1-EXP((T0-t)*PertePVj)+'2027'!Pspv,1-EXP((T0-t)*PertePVj)+Pspv)</f>
        <v>6.211312644606426E-2</v>
      </c>
      <c r="M104" s="832"/>
      <c r="N104" s="832"/>
      <c r="O104" s="48">
        <f>IF(t&lt;Tnet,'2027'!Resal+('2027'!Salim-'2027'!Resal)*(1-EXP(('2027'!Tnet-t)/('2027'!Tau_j))),Resal+(Salim-Resal)*(1-EXP((Tnet-t)/(Tau_j))))*Salcycl</f>
        <v>4.3292592940829447E-2</v>
      </c>
      <c r="P104" s="169">
        <f>(INDEX(Models!$BJ104:$BT104,,T104)*(1-R104)+INDEX(Models!$BJ104:$BT104,,T104+1)*R104-ERP_i)*Q104*Ramure*Pc/MaxiM</f>
        <v>2.9112563064088642E-6</v>
      </c>
      <c r="Q104" s="304">
        <f t="shared" si="28"/>
        <v>0.6</v>
      </c>
      <c r="R104" s="177">
        <f t="shared" si="29"/>
        <v>0.49911238274113401</v>
      </c>
      <c r="S104" s="799">
        <f t="shared" si="30"/>
        <v>-1</v>
      </c>
      <c r="T104" s="176">
        <f t="shared" si="31"/>
        <v>5</v>
      </c>
      <c r="U104" s="250">
        <f t="shared" si="32"/>
        <v>-0.50088761725886599</v>
      </c>
      <c r="V104" s="382">
        <f t="shared" si="33"/>
        <v>51.685520347826113</v>
      </c>
      <c r="W104" s="400">
        <f t="shared" si="34"/>
        <v>24.84178624126811</v>
      </c>
      <c r="X104" s="157">
        <f t="shared" si="35"/>
        <v>46842</v>
      </c>
      <c r="Y104" s="383">
        <f t="shared" si="36"/>
        <v>24.190641064575697</v>
      </c>
      <c r="Z104" s="383">
        <f t="shared" si="37"/>
        <v>25.792706718359405</v>
      </c>
      <c r="AA104" s="384">
        <f t="shared" si="38"/>
        <v>27.685460880064252</v>
      </c>
      <c r="AB104" s="197">
        <f t="shared" si="39"/>
        <v>46842</v>
      </c>
      <c r="AC104" s="119">
        <f>IF(OR(t&lt;Tnet,NoTnet),'2027'!Resal_s+('2027'!Salim-'2027'!Resal_s)*(1-EXP(('2027'!Tnet_s-t)/'2027'!Tau_j)),Resal_s+(Salim-Resal_s)*(1-EXP((Tnet_s-t)/Tau_j)))*Salcycl</f>
        <v>6.8366359148016989E-2</v>
      </c>
      <c r="AD104" s="230">
        <f>(INDEX(Models!$BJ104:$BT104,,AH104)*(1-AF104)+INDEX(Models!$BJ104:$BT104,,AH104+1)*AF104-ERP_i)*AE104*Ramure*Pc/MaxiM</f>
        <v>1.6017703523756229E-5</v>
      </c>
      <c r="AE104" s="304">
        <f t="shared" si="40"/>
        <v>0.6</v>
      </c>
      <c r="AF104" s="177">
        <f t="shared" si="41"/>
        <v>2.4099949115112373E-2</v>
      </c>
      <c r="AG104" s="799">
        <f t="shared" si="49"/>
        <v>3</v>
      </c>
      <c r="AH104" s="176">
        <f t="shared" si="42"/>
        <v>9</v>
      </c>
      <c r="AI104" s="224">
        <f t="shared" si="43"/>
        <v>3.0240999491151124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46843</v>
      </c>
      <c r="B105" s="409">
        <f>IF(t&gt;Tmaj,'2027'!Wh/'2027'!Env_an*'2028'!Env_an,0.001*'[6]mon-tableau'!$B$235)</f>
        <v>29.519442913505291</v>
      </c>
      <c r="C105" s="829"/>
      <c r="D105" s="391">
        <f t="shared" si="25"/>
        <v>31.475020591637474</v>
      </c>
      <c r="E105" s="383">
        <f t="shared" si="47"/>
        <v>32.902405350811144</v>
      </c>
      <c r="F105" s="383">
        <f t="shared" si="26"/>
        <v>32.902439902802612</v>
      </c>
      <c r="G105" s="110">
        <f t="shared" si="48"/>
        <v>0.56862069687331074</v>
      </c>
      <c r="H105" s="412" t="b">
        <f>Wh_hp&gt;='2027'!Maxi_hp</f>
        <v>0</v>
      </c>
      <c r="I105" s="388">
        <f>IF(H105,Wh_hp,'2027'!Maxi_hp)</f>
        <v>52.356654743992351</v>
      </c>
      <c r="J105" s="85">
        <f>IF(H105,An,'2027'!An_max)</f>
        <v>2021</v>
      </c>
      <c r="K105" s="197">
        <f t="shared" si="27"/>
        <v>46843</v>
      </c>
      <c r="L105" s="147">
        <f>IF(t&lt;Tvie,1-EXP((T0-t)*PertePVj)+'2027'!Pspv,1-EXP((T0-t)*PertePVj)+Pspv)</f>
        <v>6.2131100834029507E-2</v>
      </c>
      <c r="M105" s="832"/>
      <c r="N105" s="832"/>
      <c r="O105" s="48">
        <f>IF(t&lt;Tnet,'2027'!Resal+('2027'!Salim-'2027'!Resal)*(1-EXP(('2027'!Tnet-t)/('2027'!Tau_j))),Resal+(Salim-Resal)*(1-EXP((Tnet-t)/(Tau_j))))*Salcycl</f>
        <v>4.3382383262094336E-2</v>
      </c>
      <c r="P105" s="169">
        <f>(INDEX(Models!$BJ105:$BT105,,T105)*(1-R105)+INDEX(Models!$BJ105:$BT105,,T105+1)*R105-ERP_i)*Q105*Ramure*Pc/MaxiM</f>
        <v>2.7365412404577553E-6</v>
      </c>
      <c r="Q105" s="304">
        <f t="shared" si="28"/>
        <v>0.6</v>
      </c>
      <c r="R105" s="177">
        <f t="shared" si="29"/>
        <v>0.50013244181041927</v>
      </c>
      <c r="S105" s="799">
        <f t="shared" si="30"/>
        <v>-1</v>
      </c>
      <c r="T105" s="176">
        <f t="shared" si="31"/>
        <v>5</v>
      </c>
      <c r="U105" s="250">
        <f t="shared" si="32"/>
        <v>-0.49986755818958073</v>
      </c>
      <c r="V105" s="382">
        <f t="shared" si="33"/>
        <v>51.914032137747206</v>
      </c>
      <c r="W105" s="400">
        <f t="shared" si="34"/>
        <v>29.519442913505291</v>
      </c>
      <c r="X105" s="157">
        <f t="shared" si="35"/>
        <v>46843</v>
      </c>
      <c r="Y105" s="383">
        <f t="shared" si="36"/>
        <v>28.746355968283844</v>
      </c>
      <c r="Z105" s="383">
        <f t="shared" si="37"/>
        <v>30.650718873232119</v>
      </c>
      <c r="AA105" s="384">
        <f t="shared" si="38"/>
        <v>32.902249943065925</v>
      </c>
      <c r="AB105" s="197">
        <f t="shared" si="39"/>
        <v>46843</v>
      </c>
      <c r="AC105" s="119">
        <f>IF(OR(t&lt;Tnet,NoTnet),'2027'!Resal_s+('2027'!Salim-'2027'!Resal_s)*(1-EXP(('2027'!Tnet_s-t)/'2027'!Tau_j)),Resal_s+(Salim-Resal_s)*(1-EXP((Tnet_s-t)/Tau_j)))*Salcycl</f>
        <v>6.8430915020396957E-2</v>
      </c>
      <c r="AD105" s="230">
        <f>(INDEX(Models!$BJ105:$BT105,,AH105)*(1-AF105)+INDEX(Models!$BJ105:$BT105,,AH105+1)*AF105-ERP_i)*AE105*Ramure*Pc/MaxiM</f>
        <v>1.5044940433015821E-5</v>
      </c>
      <c r="AE105" s="304">
        <f t="shared" si="40"/>
        <v>0.6</v>
      </c>
      <c r="AF105" s="177">
        <f t="shared" si="41"/>
        <v>2.5120008184397857E-2</v>
      </c>
      <c r="AG105" s="799">
        <f t="shared" si="49"/>
        <v>3</v>
      </c>
      <c r="AH105" s="176">
        <f t="shared" si="42"/>
        <v>9</v>
      </c>
      <c r="AI105" s="224">
        <f t="shared" si="43"/>
        <v>3.0251200081843979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46844</v>
      </c>
      <c r="B106" s="409">
        <f>IF(t&gt;Tmaj,'2027'!Wh/'2027'!Env_an*'2028'!Env_an,0.001*'[6]mon-tableau'!$B$236)</f>
        <v>18.962527716564569</v>
      </c>
      <c r="C106" s="829"/>
      <c r="D106" s="391">
        <f t="shared" si="25"/>
        <v>20.219127804440909</v>
      </c>
      <c r="E106" s="383">
        <f t="shared" si="47"/>
        <v>21.138052087589156</v>
      </c>
      <c r="F106" s="383">
        <f t="shared" si="26"/>
        <v>21.138057024879227</v>
      </c>
      <c r="G106" s="110">
        <f t="shared" si="48"/>
        <v>0.36372807407145191</v>
      </c>
      <c r="H106" s="412" t="b">
        <f>Wh_hp&gt;='2027'!Maxi_hp</f>
        <v>0</v>
      </c>
      <c r="I106" s="388">
        <f>IF(H106,Wh_hp,'2027'!Maxi_hp)</f>
        <v>47.319485851291006</v>
      </c>
      <c r="J106" s="85">
        <f>IF(H106,An,'2027'!An_max)</f>
        <v>2021</v>
      </c>
      <c r="K106" s="197">
        <f t="shared" si="27"/>
        <v>46844</v>
      </c>
      <c r="L106" s="147">
        <f>IF(t&lt;Tvie,1-EXP((T0-t)*PertePVj)+'2027'!Pspv,1-EXP((T0-t)*PertePVj)+Pspv)</f>
        <v>6.214907487751975E-2</v>
      </c>
      <c r="M106" s="832"/>
      <c r="N106" s="832"/>
      <c r="O106" s="48">
        <f>IF(t&lt;Tnet,'2027'!Resal+('2027'!Salim-'2027'!Resal)*(1-EXP(('2027'!Tnet-t)/('2027'!Tau_j))),Resal+(Salim-Resal)*(1-EXP((Tnet-t)/(Tau_j))))*Salcycl</f>
        <v>4.3472514843871407E-2</v>
      </c>
      <c r="P106" s="169">
        <f>(INDEX(Models!$BJ106:$BT106,,T106)*(1-R106)+INDEX(Models!$BJ106:$BT106,,T106+1)*R106-ERP_i)*Q106*Ramure*Pc/MaxiM</f>
        <v>2.565576942864343E-6</v>
      </c>
      <c r="Q106" s="304">
        <f t="shared" si="28"/>
        <v>0.6</v>
      </c>
      <c r="R106" s="177">
        <f t="shared" si="29"/>
        <v>0.50119064585985862</v>
      </c>
      <c r="S106" s="799">
        <f t="shared" si="30"/>
        <v>-1</v>
      </c>
      <c r="T106" s="176">
        <f t="shared" si="31"/>
        <v>5</v>
      </c>
      <c r="U106" s="250">
        <f t="shared" si="32"/>
        <v>-0.49880935414014138</v>
      </c>
      <c r="V106" s="382">
        <f t="shared" si="33"/>
        <v>52.133681306517374</v>
      </c>
      <c r="W106" s="400">
        <f t="shared" si="34"/>
        <v>18.962527716564569</v>
      </c>
      <c r="X106" s="157">
        <f t="shared" si="35"/>
        <v>46844</v>
      </c>
      <c r="Y106" s="383">
        <f t="shared" si="36"/>
        <v>18.466432735543457</v>
      </c>
      <c r="Z106" s="383">
        <f t="shared" si="37"/>
        <v>19.690157828795446</v>
      </c>
      <c r="AA106" s="384">
        <f t="shared" si="38"/>
        <v>21.138029926021357</v>
      </c>
      <c r="AB106" s="197">
        <f t="shared" si="39"/>
        <v>46844</v>
      </c>
      <c r="AC106" s="119">
        <f>IF(OR(t&lt;Tnet,NoTnet),'2027'!Resal_s+('2027'!Salim-'2027'!Resal_s)*(1-EXP(('2027'!Tnet_s-t)/'2027'!Tau_j)),Resal_s+(Salim-Resal_s)*(1-EXP((Tnet_s-t)/Tau_j)))*Salcycl</f>
        <v>6.8496075665194806E-2</v>
      </c>
      <c r="AD106" s="230">
        <f>(INDEX(Models!$BJ106:$BT106,,AH106)*(1-AF106)+INDEX(Models!$BJ106:$BT106,,AH106+1)*AF106-ERP_i)*AE106*Ramure*Pc/MaxiM</f>
        <v>1.4081450335046702E-5</v>
      </c>
      <c r="AE106" s="304">
        <f t="shared" si="40"/>
        <v>0.6</v>
      </c>
      <c r="AF106" s="177">
        <f t="shared" si="41"/>
        <v>2.6178212233836984E-2</v>
      </c>
      <c r="AG106" s="799">
        <f t="shared" si="49"/>
        <v>3</v>
      </c>
      <c r="AH106" s="176">
        <f t="shared" si="42"/>
        <v>9</v>
      </c>
      <c r="AI106" s="224">
        <f t="shared" si="43"/>
        <v>3.026178212233837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46845</v>
      </c>
      <c r="B107" s="409">
        <f>IF(t&gt;Tmaj,'2027'!Wh/'2027'!Env_an*'2028'!Env_an,0.001*'[6]mon-tableau'!$B$237)</f>
        <v>23.496509858513956</v>
      </c>
      <c r="C107" s="829"/>
      <c r="D107" s="391">
        <f t="shared" si="25"/>
        <v>25.054045950134896</v>
      </c>
      <c r="E107" s="383">
        <f t="shared" si="47"/>
        <v>26.195187019054103</v>
      </c>
      <c r="F107" s="383">
        <f t="shared" si="26"/>
        <v>26.195200379433505</v>
      </c>
      <c r="G107" s="110">
        <f t="shared" si="48"/>
        <v>0.44887462469969197</v>
      </c>
      <c r="H107" s="412" t="b">
        <f>Wh_hp&gt;='2027'!Maxi_hp</f>
        <v>0</v>
      </c>
      <c r="I107" s="388">
        <f>IF(H107,Wh_hp,'2027'!Maxi_hp)</f>
        <v>54.874354285186392</v>
      </c>
      <c r="J107" s="85">
        <f>IF(H107,An,'2027'!An_max)</f>
        <v>2021</v>
      </c>
      <c r="K107" s="197">
        <f t="shared" si="27"/>
        <v>46845</v>
      </c>
      <c r="L107" s="147">
        <f>IF(t&lt;Tvie,1-EXP((T0-t)*PertePVj)+'2027'!Pspv,1-EXP((T0-t)*PertePVj)+Pspv)</f>
        <v>6.2167048576541539E-2</v>
      </c>
      <c r="M107" s="832"/>
      <c r="N107" s="832"/>
      <c r="O107" s="48">
        <f>IF(t&lt;Tnet,'2027'!Resal+('2027'!Salim-'2027'!Resal)*(1-EXP(('2027'!Tnet-t)/('2027'!Tau_j))),Resal+(Salim-Resal)*(1-EXP((Tnet-t)/(Tau_j))))*Salcycl</f>
        <v>4.3563005222644627E-2</v>
      </c>
      <c r="P107" s="169">
        <f>(INDEX(Models!$BJ107:$BT107,,T107)*(1-R107)+INDEX(Models!$BJ107:$BT107,,T107+1)*R107-ERP_i)*Q107*Ramure*Pc/MaxiM</f>
        <v>2.3981257604252785E-6</v>
      </c>
      <c r="Q107" s="304">
        <f t="shared" si="28"/>
        <v>0.6</v>
      </c>
      <c r="R107" s="177">
        <f t="shared" si="29"/>
        <v>0.50228823066467221</v>
      </c>
      <c r="S107" s="799">
        <f t="shared" si="30"/>
        <v>-1</v>
      </c>
      <c r="T107" s="176">
        <f t="shared" si="31"/>
        <v>5</v>
      </c>
      <c r="U107" s="250">
        <f t="shared" si="32"/>
        <v>-0.49771176933532779</v>
      </c>
      <c r="V107" s="382">
        <f t="shared" si="33"/>
        <v>52.345274608889909</v>
      </c>
      <c r="W107" s="400">
        <f t="shared" si="34"/>
        <v>23.496509858513956</v>
      </c>
      <c r="X107" s="157">
        <f t="shared" si="35"/>
        <v>46845</v>
      </c>
      <c r="Y107" s="383">
        <f t="shared" si="36"/>
        <v>22.882317887981351</v>
      </c>
      <c r="Z107" s="383">
        <f t="shared" si="37"/>
        <v>24.399140436737895</v>
      </c>
      <c r="AA107" s="384">
        <f t="shared" si="38"/>
        <v>26.19512725243214</v>
      </c>
      <c r="AB107" s="197">
        <f t="shared" si="39"/>
        <v>46845</v>
      </c>
      <c r="AC107" s="119">
        <f>IF(OR(t&lt;Tnet,NoTnet),'2027'!Resal_s+('2027'!Salim-'2027'!Resal_s)*(1-EXP(('2027'!Tnet_s-t)/'2027'!Tau_j)),Resal_s+(Salim-Resal_s)*(1-EXP((Tnet_s-t)/Tau_j)))*Salcycl</f>
        <v>6.8561866426035165E-2</v>
      </c>
      <c r="AD107" s="230">
        <f>(INDEX(Models!$BJ107:$BT107,,AH107)*(1-AF107)+INDEX(Models!$BJ107:$BT107,,AH107+1)*AF107-ERP_i)*AE107*Ramure*Pc/MaxiM</f>
        <v>1.3125955520295475E-5</v>
      </c>
      <c r="AE107" s="304">
        <f t="shared" si="40"/>
        <v>0.6</v>
      </c>
      <c r="AF107" s="177">
        <f t="shared" si="41"/>
        <v>2.7275797038650573E-2</v>
      </c>
      <c r="AG107" s="799">
        <f t="shared" si="49"/>
        <v>3</v>
      </c>
      <c r="AH107" s="176">
        <f t="shared" si="42"/>
        <v>9</v>
      </c>
      <c r="AI107" s="224">
        <f t="shared" si="43"/>
        <v>3.0272757970386506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46846</v>
      </c>
      <c r="B108" s="409">
        <f>IF(t&gt;Tmaj,'2027'!Wh/'2027'!Env_an*'2028'!Env_an,0.001*'[6]mon-tableau'!$B$238)</f>
        <v>44.403916686000464</v>
      </c>
      <c r="C108" s="829"/>
      <c r="D108" s="391">
        <f t="shared" si="25"/>
        <v>47.348269887344706</v>
      </c>
      <c r="E108" s="383">
        <f t="shared" si="47"/>
        <v>49.509553586178356</v>
      </c>
      <c r="F108" s="383">
        <f t="shared" si="26"/>
        <v>49.509639816621693</v>
      </c>
      <c r="G108" s="110">
        <f t="shared" si="48"/>
        <v>0.84498157879189417</v>
      </c>
      <c r="H108" s="412" t="b">
        <f>Wh_hp&gt;='2027'!Maxi_hp</f>
        <v>0</v>
      </c>
      <c r="I108" s="388">
        <f>IF(H108,Wh_hp,'2027'!Maxi_hp)</f>
        <v>58.531654511187028</v>
      </c>
      <c r="J108" s="85">
        <f>IF(H108,An,'2027'!An_max)</f>
        <v>2020</v>
      </c>
      <c r="K108" s="197">
        <f t="shared" si="27"/>
        <v>46846</v>
      </c>
      <c r="L108" s="147">
        <f>IF(t&lt;Tvie,1-EXP((T0-t)*PertePVj)+'2027'!Pspv,1-EXP((T0-t)*PertePVj)+Pspv)</f>
        <v>6.2185021931101536E-2</v>
      </c>
      <c r="M108" s="832"/>
      <c r="N108" s="832"/>
      <c r="O108" s="48">
        <f>IF(t&lt;Tnet,'2027'!Resal+('2027'!Salim-'2027'!Resal)*(1-EXP(('2027'!Tnet-t)/('2027'!Tau_j))),Resal+(Salim-Resal)*(1-EXP((Tnet-t)/(Tau_j))))*Salcycl</f>
        <v>4.3653871672901016E-2</v>
      </c>
      <c r="P108" s="169">
        <f>(INDEX(Models!$BJ108:$BT108,,T108)*(1-R108)+INDEX(Models!$BJ108:$BT108,,T108+1)*R108-ERP_i)*Q108*Ramure*Pc/MaxiM</f>
        <v>2.2371068921637532E-6</v>
      </c>
      <c r="Q108" s="304">
        <f t="shared" si="28"/>
        <v>0.6</v>
      </c>
      <c r="R108" s="177">
        <f t="shared" si="29"/>
        <v>0.5034264566995249</v>
      </c>
      <c r="S108" s="799">
        <f t="shared" si="30"/>
        <v>-1</v>
      </c>
      <c r="T108" s="176">
        <f t="shared" si="31"/>
        <v>5</v>
      </c>
      <c r="U108" s="250">
        <f t="shared" si="32"/>
        <v>-0.4965735433004751</v>
      </c>
      <c r="V108" s="382">
        <f t="shared" si="33"/>
        <v>52.550133401720728</v>
      </c>
      <c r="W108" s="400">
        <f t="shared" si="34"/>
        <v>44.403916686000464</v>
      </c>
      <c r="X108" s="157">
        <f t="shared" si="35"/>
        <v>46846</v>
      </c>
      <c r="Y108" s="383">
        <f t="shared" si="36"/>
        <v>43.243998095159974</v>
      </c>
      <c r="Z108" s="383">
        <f t="shared" si="37"/>
        <v>46.111438936714194</v>
      </c>
      <c r="AA108" s="384">
        <f t="shared" si="38"/>
        <v>49.509169687524057</v>
      </c>
      <c r="AB108" s="197">
        <f t="shared" si="39"/>
        <v>46846</v>
      </c>
      <c r="AC108" s="119">
        <f>IF(OR(t&lt;Tnet,NoTnet),'2027'!Resal_s+('2027'!Salim-'2027'!Resal_s)*(1-EXP(('2027'!Tnet_s-t)/'2027'!Tau_j)),Resal_s+(Salim-Resal_s)*(1-EXP((Tnet_s-t)/Tau_j)))*Salcycl</f>
        <v>6.8628312133985667E-2</v>
      </c>
      <c r="AD108" s="230">
        <f>(INDEX(Models!$BJ108:$BT108,,AH108)*(1-AF108)+INDEX(Models!$BJ108:$BT108,,AH108+1)*AF108-ERP_i)*AE108*Ramure*Pc/MaxiM</f>
        <v>1.2196725469968173E-5</v>
      </c>
      <c r="AE108" s="304">
        <f t="shared" si="40"/>
        <v>0.6</v>
      </c>
      <c r="AF108" s="177">
        <f t="shared" si="41"/>
        <v>2.841402307350327E-2</v>
      </c>
      <c r="AG108" s="799">
        <f t="shared" si="49"/>
        <v>3</v>
      </c>
      <c r="AH108" s="176">
        <f t="shared" si="42"/>
        <v>9</v>
      </c>
      <c r="AI108" s="224">
        <f t="shared" si="43"/>
        <v>3.0284140230735033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46847</v>
      </c>
      <c r="B109" s="409">
        <f>IF(t&gt;Tmaj,'2027'!Wh/'2027'!Env_an*'2028'!Env_an,0.001*'[6]mon-tableau'!$B$239)</f>
        <v>50.976450411257879</v>
      </c>
      <c r="C109" s="829"/>
      <c r="D109" s="391">
        <f t="shared" si="25"/>
        <v>54.357659638785037</v>
      </c>
      <c r="E109" s="383">
        <f t="shared" si="47"/>
        <v>56.844321959279569</v>
      </c>
      <c r="F109" s="383">
        <f t="shared" si="26"/>
        <v>56.844434341522955</v>
      </c>
      <c r="G109" s="110">
        <f t="shared" si="48"/>
        <v>0.96640823574263057</v>
      </c>
      <c r="H109" s="412" t="b">
        <f>Wh_hp&gt;='2027'!Maxi_hp</f>
        <v>0</v>
      </c>
      <c r="I109" s="388">
        <f>IF(H109,Wh_hp,'2027'!Maxi_hp)</f>
        <v>60.630362862646294</v>
      </c>
      <c r="J109" s="85">
        <f>IF(H109,An,'2027'!An_max)</f>
        <v>2020</v>
      </c>
      <c r="K109" s="197">
        <f t="shared" si="27"/>
        <v>46847</v>
      </c>
      <c r="L109" s="147">
        <f>IF(t&lt;Tvie,1-EXP((T0-t)*PertePVj)+'2027'!Pspv,1-EXP((T0-t)*PertePVj)+Pspv)</f>
        <v>6.2202994941206291E-2</v>
      </c>
      <c r="M109" s="832"/>
      <c r="N109" s="832"/>
      <c r="O109" s="48">
        <f>IF(t&lt;Tnet,'2027'!Resal+('2027'!Salim-'2027'!Resal)*(1-EXP(('2027'!Tnet-t)/('2027'!Tau_j))),Resal+(Salim-Resal)*(1-EXP((Tnet-t)/(Tau_j))))*Salcycl</f>
        <v>4.3745131172043053E-2</v>
      </c>
      <c r="P109" s="169">
        <f>(INDEX(Models!$BJ109:$BT109,,T109)*(1-R109)+INDEX(Models!$BJ109:$BT109,,T109+1)*R109-ERP_i)*Q109*Ramure*Pc/MaxiM</f>
        <v>2.0766694294747331E-6</v>
      </c>
      <c r="Q109" s="304">
        <f t="shared" si="28"/>
        <v>0.6</v>
      </c>
      <c r="R109" s="177">
        <f t="shared" si="29"/>
        <v>0.50460660832754356</v>
      </c>
      <c r="S109" s="799">
        <f t="shared" si="30"/>
        <v>-1</v>
      </c>
      <c r="T109" s="176">
        <f t="shared" si="31"/>
        <v>5</v>
      </c>
      <c r="U109" s="250">
        <f t="shared" si="32"/>
        <v>-0.49539339167245638</v>
      </c>
      <c r="V109" s="382">
        <f t="shared" si="33"/>
        <v>52.748355659444492</v>
      </c>
      <c r="W109" s="400">
        <f t="shared" si="34"/>
        <v>50.976450411257879</v>
      </c>
      <c r="X109" s="157">
        <f t="shared" si="35"/>
        <v>46847</v>
      </c>
      <c r="Y109" s="383">
        <f t="shared" si="36"/>
        <v>49.645953766415225</v>
      </c>
      <c r="Z109" s="383">
        <f t="shared" si="37"/>
        <v>52.938912684310345</v>
      </c>
      <c r="AA109" s="384">
        <f t="shared" si="38"/>
        <v>56.843824019246668</v>
      </c>
      <c r="AB109" s="197">
        <f t="shared" si="39"/>
        <v>46847</v>
      </c>
      <c r="AC109" s="119">
        <f>IF(OR(t&lt;Tnet,NoTnet),'2027'!Resal_s+('2027'!Salim-'2027'!Resal_s)*(1-EXP(('2027'!Tnet_s-t)/'2027'!Tau_j)),Resal_s+(Salim-Resal_s)*(1-EXP((Tnet_s-t)/Tau_j)))*Salcycl</f>
        <v>6.8695437055996844E-2</v>
      </c>
      <c r="AD109" s="230">
        <f>(INDEX(Models!$BJ109:$BT109,,AH109)*(1-AF109)+INDEX(Models!$BJ109:$BT109,,AH109+1)*AF109-ERP_i)*AE109*Ramure*Pc/MaxiM</f>
        <v>1.1277917000968175E-5</v>
      </c>
      <c r="AE109" s="304">
        <f t="shared" si="40"/>
        <v>0.6</v>
      </c>
      <c r="AF109" s="177">
        <f t="shared" si="41"/>
        <v>2.9594174701522036E-2</v>
      </c>
      <c r="AG109" s="799">
        <f t="shared" si="49"/>
        <v>3</v>
      </c>
      <c r="AH109" s="176">
        <f t="shared" si="42"/>
        <v>9</v>
      </c>
      <c r="AI109" s="224">
        <f t="shared" si="43"/>
        <v>3.029594174701522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46848</v>
      </c>
      <c r="B110" s="409">
        <f>IF(t&gt;Tmaj,'2027'!Wh/'2027'!Env_an*'2028'!Env_an,0.001*'[6]mon-tableau'!$B$240)</f>
        <v>10.774592346195051</v>
      </c>
      <c r="C110" s="829"/>
      <c r="D110" s="391">
        <f t="shared" si="25"/>
        <v>11.489478836713962</v>
      </c>
      <c r="E110" s="383">
        <f t="shared" si="47"/>
        <v>12.016232000054872</v>
      </c>
      <c r="F110" s="383">
        <f t="shared" si="26"/>
        <v>12.016232000054872</v>
      </c>
      <c r="G110" s="110">
        <f t="shared" si="48"/>
        <v>0.20352406025710942</v>
      </c>
      <c r="H110" s="412" t="b">
        <f>Wh_hp&gt;='2027'!Maxi_hp</f>
        <v>0</v>
      </c>
      <c r="I110" s="388">
        <f>IF(H110,Wh_hp,'2027'!Maxi_hp)</f>
        <v>61.789879611435509</v>
      </c>
      <c r="J110" s="85">
        <f>IF(H110,An,'2027'!An_max)</f>
        <v>2020</v>
      </c>
      <c r="K110" s="197">
        <f t="shared" si="27"/>
        <v>46848</v>
      </c>
      <c r="L110" s="147">
        <f>IF(t&lt;Tvie,1-EXP((T0-t)*PertePVj)+'2027'!Pspv,1-EXP((T0-t)*PertePVj)+Pspv)</f>
        <v>6.2220967606862354E-2</v>
      </c>
      <c r="M110" s="832"/>
      <c r="N110" s="832"/>
      <c r="O110" s="48">
        <f>IF(t&lt;Tnet,'2027'!Resal+('2027'!Salim-'2027'!Resal)*(1-EXP(('2027'!Tnet-t)/('2027'!Tau_j))),Resal+(Salim-Resal)*(1-EXP((Tnet-t)/(Tau_j))))*Salcycl</f>
        <v>4.3836800366246542E-2</v>
      </c>
      <c r="P110" s="169">
        <f>(INDEX(Models!$BJ110:$BT110,,T110)*(1-R110)+INDEX(Models!$BJ110:$BT110,,T110+1)*R110-ERP_i)*Q110*Ramure*Pc/MaxiM</f>
        <v>1.9166371930846645E-6</v>
      </c>
      <c r="Q110" s="304">
        <f t="shared" si="28"/>
        <v>0.6</v>
      </c>
      <c r="R110" s="177">
        <f t="shared" si="29"/>
        <v>0.50582999285058383</v>
      </c>
      <c r="S110" s="799">
        <f t="shared" si="30"/>
        <v>-1</v>
      </c>
      <c r="T110" s="176">
        <f t="shared" si="31"/>
        <v>5</v>
      </c>
      <c r="U110" s="250">
        <f t="shared" si="32"/>
        <v>-0.49417000714941617</v>
      </c>
      <c r="V110" s="382">
        <f t="shared" si="33"/>
        <v>52.940039038132596</v>
      </c>
      <c r="W110" s="400">
        <f t="shared" si="34"/>
        <v>10.774592346195051</v>
      </c>
      <c r="X110" s="157">
        <f t="shared" si="35"/>
        <v>46848</v>
      </c>
      <c r="Y110" s="383">
        <f t="shared" si="36"/>
        <v>10.493706725942312</v>
      </c>
      <c r="Z110" s="383">
        <f t="shared" si="37"/>
        <v>11.18995665659447</v>
      </c>
      <c r="AA110" s="384">
        <f t="shared" si="38"/>
        <v>12.016232000054872</v>
      </c>
      <c r="AB110" s="197">
        <f t="shared" si="39"/>
        <v>46848</v>
      </c>
      <c r="AC110" s="119">
        <f>IF(OR(t&lt;Tnet,NoTnet),'2027'!Resal_s+('2027'!Salim-'2027'!Resal_s)*(1-EXP(('2027'!Tnet_s-t)/'2027'!Tau_j)),Resal_s+(Salim-Resal_s)*(1-EXP((Tnet_s-t)/Tau_j)))*Salcycl</f>
        <v>6.8763264845138533E-2</v>
      </c>
      <c r="AD110" s="230">
        <f>(INDEX(Models!$BJ110:$BT110,,AH110)*(1-AF110)+INDEX(Models!$BJ110:$BT110,,AH110+1)*AF110-ERP_i)*AE110*Ramure*Pc/MaxiM</f>
        <v>1.0368606426781027E-5</v>
      </c>
      <c r="AE110" s="304">
        <f t="shared" si="40"/>
        <v>0.6</v>
      </c>
      <c r="AF110" s="177">
        <f t="shared" si="41"/>
        <v>3.0817559224562086E-2</v>
      </c>
      <c r="AG110" s="799">
        <f t="shared" si="49"/>
        <v>3</v>
      </c>
      <c r="AH110" s="176">
        <f t="shared" si="42"/>
        <v>9</v>
      </c>
      <c r="AI110" s="224">
        <f t="shared" si="43"/>
        <v>3.0308175592245621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46849</v>
      </c>
      <c r="B111" s="409">
        <f>IF(t&gt;Tmaj,'2027'!Wh/'2027'!Env_an*'2028'!Env_an,0.001*'[6]mon-tableau'!$B$241)</f>
        <v>39.08467132981928</v>
      </c>
      <c r="C111" s="829"/>
      <c r="D111" s="391">
        <f t="shared" si="25"/>
        <v>41.678710061624436</v>
      </c>
      <c r="E111" s="383">
        <f t="shared" si="47"/>
        <v>43.593734678382262</v>
      </c>
      <c r="F111" s="383">
        <f t="shared" si="26"/>
        <v>43.593782349131253</v>
      </c>
      <c r="G111" s="110">
        <f t="shared" si="48"/>
        <v>0.73570707849164985</v>
      </c>
      <c r="H111" s="412" t="b">
        <f>Wh_hp&gt;='2027'!Maxi_hp</f>
        <v>0</v>
      </c>
      <c r="I111" s="388">
        <f>IF(H111,Wh_hp,'2027'!Maxi_hp)</f>
        <v>57.641590326418545</v>
      </c>
      <c r="J111" s="85">
        <f>IF(H111,An,'2027'!An_max)</f>
        <v>2021</v>
      </c>
      <c r="K111" s="197">
        <f t="shared" si="27"/>
        <v>46849</v>
      </c>
      <c r="L111" s="147">
        <f>IF(t&lt;Tvie,1-EXP((T0-t)*PertePVj)+'2027'!Pspv,1-EXP((T0-t)*PertePVj)+Pspv)</f>
        <v>6.2238939928076387E-2</v>
      </c>
      <c r="M111" s="832"/>
      <c r="N111" s="832"/>
      <c r="O111" s="48">
        <f>IF(t&lt;Tnet,'2027'!Resal+('2027'!Salim-'2027'!Resal)*(1-EXP(('2027'!Tnet-t)/('2027'!Tau_j))),Resal+(Salim-Resal)*(1-EXP((Tnet-t)/(Tau_j))))*Salcycl</f>
        <v>4.3928895537079841E-2</v>
      </c>
      <c r="P111" s="169">
        <f>(INDEX(Models!$BJ111:$BT111,,T111)*(1-R111)+INDEX(Models!$BJ111:$BT111,,T111+1)*R111-ERP_i)*Q111*Ramure*Pc/MaxiM</f>
        <v>1.7568325204932422E-6</v>
      </c>
      <c r="Q111" s="304">
        <f t="shared" si="28"/>
        <v>0.6</v>
      </c>
      <c r="R111" s="177">
        <f t="shared" si="29"/>
        <v>0.50709793941153281</v>
      </c>
      <c r="S111" s="799">
        <f t="shared" si="30"/>
        <v>-1</v>
      </c>
      <c r="T111" s="176">
        <f t="shared" si="31"/>
        <v>5</v>
      </c>
      <c r="U111" s="250">
        <f t="shared" si="32"/>
        <v>-0.49290206058846719</v>
      </c>
      <c r="V111" s="382">
        <f t="shared" si="33"/>
        <v>53.125281171194992</v>
      </c>
      <c r="W111" s="400">
        <f t="shared" si="34"/>
        <v>39.08467132981928</v>
      </c>
      <c r="X111" s="157">
        <f t="shared" si="35"/>
        <v>46849</v>
      </c>
      <c r="Y111" s="383">
        <f t="shared" si="36"/>
        <v>38.066444510429825</v>
      </c>
      <c r="Z111" s="383">
        <f t="shared" si="37"/>
        <v>40.592903812310396</v>
      </c>
      <c r="AA111" s="384">
        <f t="shared" si="38"/>
        <v>43.59352544304685</v>
      </c>
      <c r="AB111" s="197">
        <f t="shared" si="39"/>
        <v>46849</v>
      </c>
      <c r="AC111" s="119">
        <f>IF(OR(t&lt;Tnet,NoTnet),'2027'!Resal_s+('2027'!Salim-'2027'!Resal_s)*(1-EXP(('2027'!Tnet_s-t)/'2027'!Tau_j)),Resal_s+(Salim-Resal_s)*(1-EXP((Tnet_s-t)/Tau_j)))*Salcycl</f>
        <v>6.8831818492327293E-2</v>
      </c>
      <c r="AD111" s="230">
        <f>(INDEX(Models!$BJ111:$BT111,,AH111)*(1-AF111)+INDEX(Models!$BJ111:$BT111,,AH111+1)*AF111-ERP_i)*AE111*Ramure*Pc/MaxiM</f>
        <v>9.4678806884673342E-6</v>
      </c>
      <c r="AE111" s="304">
        <f t="shared" si="40"/>
        <v>0.6</v>
      </c>
      <c r="AF111" s="177">
        <f t="shared" si="41"/>
        <v>3.208550578551117E-2</v>
      </c>
      <c r="AG111" s="799">
        <f t="shared" si="49"/>
        <v>3</v>
      </c>
      <c r="AH111" s="176">
        <f t="shared" si="42"/>
        <v>9</v>
      </c>
      <c r="AI111" s="224">
        <f t="shared" si="43"/>
        <v>3.0320855057855112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46850</v>
      </c>
      <c r="B112" s="409">
        <f>IF(t&gt;Tmaj,'2027'!Wh/'2027'!Env_an*'2028'!Env_an,0.001*'[6]mon-tableau'!$B$242)</f>
        <v>33.518066096821528</v>
      </c>
      <c r="C112" s="829"/>
      <c r="D112" s="391">
        <f t="shared" si="25"/>
        <v>35.743335805233606</v>
      </c>
      <c r="E112" s="383">
        <f t="shared" si="47"/>
        <v>37.389264804622862</v>
      </c>
      <c r="F112" s="383">
        <f t="shared" si="26"/>
        <v>37.389292853565642</v>
      </c>
      <c r="G112" s="110">
        <f t="shared" si="48"/>
        <v>0.62880693248191555</v>
      </c>
      <c r="H112" s="412" t="b">
        <f>Wh_hp&gt;='2027'!Maxi_hp</f>
        <v>0</v>
      </c>
      <c r="I112" s="388">
        <f>IF(H112,Wh_hp,'2027'!Maxi_hp)</f>
        <v>59.015866902452174</v>
      </c>
      <c r="J112" s="85">
        <f>IF(H112,An,'2027'!An_max)</f>
        <v>2021</v>
      </c>
      <c r="K112" s="197">
        <f t="shared" si="27"/>
        <v>46850</v>
      </c>
      <c r="L112" s="147">
        <f>IF(t&lt;Tvie,1-EXP((T0-t)*PertePVj)+'2027'!Pspv,1-EXP((T0-t)*PertePVj)+Pspv)</f>
        <v>6.2256911904854939E-2</v>
      </c>
      <c r="M112" s="832"/>
      <c r="N112" s="832"/>
      <c r="O112" s="48">
        <f>IF(t&lt;Tnet,'2027'!Resal+('2027'!Salim-'2027'!Resal)*(1-EXP(('2027'!Tnet-t)/('2027'!Tau_j))),Resal+(Salim-Resal)*(1-EXP((Tnet-t)/(Tau_j))))*Salcycl</f>
        <v>4.4021432568680775E-2</v>
      </c>
      <c r="P112" s="169">
        <f>(INDEX(Models!$BJ112:$BT112,,T112)*(1-R112)+INDEX(Models!$BJ112:$BT112,,T112+1)*R112-ERP_i)*Q112*Ramure*Pc/MaxiM</f>
        <v>1.5970761206519381E-6</v>
      </c>
      <c r="Q112" s="304">
        <f t="shared" si="28"/>
        <v>0.6</v>
      </c>
      <c r="R112" s="177">
        <f t="shared" si="29"/>
        <v>0.50841179773927636</v>
      </c>
      <c r="S112" s="799">
        <f t="shared" si="30"/>
        <v>-1</v>
      </c>
      <c r="T112" s="176">
        <f t="shared" si="31"/>
        <v>5</v>
      </c>
      <c r="U112" s="250">
        <f t="shared" si="32"/>
        <v>-0.49158820226072358</v>
      </c>
      <c r="V112" s="382">
        <f t="shared" si="33"/>
        <v>53.304179676266472</v>
      </c>
      <c r="W112" s="400">
        <f t="shared" si="34"/>
        <v>33.518066096821528</v>
      </c>
      <c r="X112" s="157">
        <f t="shared" si="35"/>
        <v>46850</v>
      </c>
      <c r="Y112" s="383">
        <f t="shared" si="36"/>
        <v>32.645639312431044</v>
      </c>
      <c r="Z112" s="383">
        <f t="shared" si="37"/>
        <v>34.812988468669751</v>
      </c>
      <c r="AA112" s="384">
        <f t="shared" si="38"/>
        <v>37.389142256415596</v>
      </c>
      <c r="AB112" s="197">
        <f t="shared" si="39"/>
        <v>46850</v>
      </c>
      <c r="AC112" s="119">
        <f>IF(OR(t&lt;Tnet,NoTnet),'2027'!Resal_s+('2027'!Salim-'2027'!Resal_s)*(1-EXP(('2027'!Tnet_s-t)/'2027'!Tau_j)),Resal_s+(Salim-Resal_s)*(1-EXP((Tnet_s-t)/Tau_j)))*Salcycl</f>
        <v>6.8901120279211733E-2</v>
      </c>
      <c r="AD112" s="230">
        <f>(INDEX(Models!$BJ112:$BT112,,AH112)*(1-AF112)+INDEX(Models!$BJ112:$BT112,,AH112+1)*AF112-ERP_i)*AE112*Ramure*Pc/MaxiM</f>
        <v>8.5748369936250157E-6</v>
      </c>
      <c r="AE112" s="304">
        <f t="shared" si="40"/>
        <v>0.6</v>
      </c>
      <c r="AF112" s="177">
        <f t="shared" si="41"/>
        <v>3.3399364113254837E-2</v>
      </c>
      <c r="AG112" s="799">
        <f t="shared" si="49"/>
        <v>3</v>
      </c>
      <c r="AH112" s="176">
        <f t="shared" si="42"/>
        <v>9</v>
      </c>
      <c r="AI112" s="224">
        <f t="shared" si="43"/>
        <v>3.0333993641132548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46851</v>
      </c>
      <c r="B113" s="409">
        <f>IF(t&gt;Tmaj,'2027'!Wh/'2027'!Env_an*'2028'!Env_an,0.001*'[6]mon-tableau'!$B$243)</f>
        <v>33.038897311718912</v>
      </c>
      <c r="C113" s="829"/>
      <c r="D113" s="391">
        <f t="shared" si="25"/>
        <v>35.233030161701706</v>
      </c>
      <c r="E113" s="383">
        <f t="shared" si="47"/>
        <v>36.859045845834487</v>
      </c>
      <c r="F113" s="383">
        <f t="shared" si="26"/>
        <v>36.859069897034658</v>
      </c>
      <c r="G113" s="110">
        <f t="shared" si="48"/>
        <v>0.6178165395525218</v>
      </c>
      <c r="H113" s="412" t="b">
        <f>Wh_hp&gt;='2027'!Maxi_hp</f>
        <v>0</v>
      </c>
      <c r="I113" s="388">
        <f>IF(H113,Wh_hp,'2027'!Maxi_hp)</f>
        <v>41.335283844945479</v>
      </c>
      <c r="J113" s="85">
        <f>IF(H113,An,'2027'!An_max)</f>
        <v>2020</v>
      </c>
      <c r="K113" s="197">
        <f t="shared" si="27"/>
        <v>46851</v>
      </c>
      <c r="L113" s="147">
        <f>IF(t&lt;Tvie,1-EXP((T0-t)*PertePVj)+'2027'!Pspv,1-EXP((T0-t)*PertePVj)+Pspv)</f>
        <v>6.2274883537204673E-2</v>
      </c>
      <c r="M113" s="832"/>
      <c r="N113" s="832"/>
      <c r="O113" s="48">
        <f>IF(t&lt;Tnet,'2027'!Resal+('2027'!Salim-'2027'!Resal)*(1-EXP(('2027'!Tnet-t)/('2027'!Tau_j))),Resal+(Salim-Resal)*(1-EXP((Tnet-t)/(Tau_j))))*Salcycl</f>
        <v>4.4114426915273446E-2</v>
      </c>
      <c r="P113" s="169">
        <f>(INDEX(Models!$BJ113:$BT113,,T113)*(1-R113)+INDEX(Models!$BJ113:$BT113,,T113+1)*R113-ERP_i)*Q113*Ramure*Pc/MaxiM</f>
        <v>1.4371869455495901E-6</v>
      </c>
      <c r="Q113" s="304">
        <f t="shared" si="28"/>
        <v>0.6</v>
      </c>
      <c r="R113" s="177">
        <f t="shared" si="29"/>
        <v>0.50977293672684243</v>
      </c>
      <c r="S113" s="799">
        <f t="shared" si="30"/>
        <v>-1</v>
      </c>
      <c r="T113" s="176">
        <f t="shared" si="31"/>
        <v>5</v>
      </c>
      <c r="U113" s="250">
        <f t="shared" si="32"/>
        <v>-0.49022706327315757</v>
      </c>
      <c r="V113" s="382">
        <f t="shared" si="33"/>
        <v>53.476832153165176</v>
      </c>
      <c r="W113" s="400">
        <f t="shared" si="34"/>
        <v>33.038897311718912</v>
      </c>
      <c r="X113" s="157">
        <f t="shared" si="35"/>
        <v>46851</v>
      </c>
      <c r="Y113" s="383">
        <f t="shared" si="36"/>
        <v>32.179665381040387</v>
      </c>
      <c r="Z113" s="383">
        <f t="shared" si="37"/>
        <v>34.316736126708122</v>
      </c>
      <c r="AA113" s="384">
        <f t="shared" si="38"/>
        <v>36.858941229265277</v>
      </c>
      <c r="AB113" s="197">
        <f t="shared" si="39"/>
        <v>46851</v>
      </c>
      <c r="AC113" s="119">
        <f>IF(OR(t&lt;Tnet,NoTnet),'2027'!Resal_s+('2027'!Salim-'2027'!Resal_s)*(1-EXP(('2027'!Tnet_s-t)/'2027'!Tau_j)),Resal_s+(Salim-Resal_s)*(1-EXP((Tnet_s-t)/Tau_j)))*Salcycl</f>
        <v>6.8971191731863848E-2</v>
      </c>
      <c r="AD113" s="230">
        <f>(INDEX(Models!$BJ113:$BT113,,AH113)*(1-AF113)+INDEX(Models!$BJ113:$BT113,,AH113+1)*AF113-ERP_i)*AE113*Ramure*Pc/MaxiM</f>
        <v>7.6885825718520448E-6</v>
      </c>
      <c r="AE113" s="304">
        <f t="shared" si="40"/>
        <v>0.6</v>
      </c>
      <c r="AF113" s="177">
        <f t="shared" si="41"/>
        <v>3.4760503100820905E-2</v>
      </c>
      <c r="AG113" s="799">
        <f t="shared" si="49"/>
        <v>3</v>
      </c>
      <c r="AH113" s="176">
        <f t="shared" si="42"/>
        <v>9</v>
      </c>
      <c r="AI113" s="224">
        <f t="shared" si="43"/>
        <v>3.0347605031008209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46852</v>
      </c>
      <c r="B114" s="409">
        <f>IF(t&gt;Tmaj,'2027'!Wh/'2027'!Env_an*'2028'!Env_an,0.001*'[6]mon-tableau'!$B$244)</f>
        <v>53.627917893306609</v>
      </c>
      <c r="C114" s="829"/>
      <c r="D114" s="391">
        <f t="shared" si="25"/>
        <v>57.190475906319172</v>
      </c>
      <c r="E114" s="383">
        <f t="shared" si="47"/>
        <v>59.835685523560734</v>
      </c>
      <c r="F114" s="383">
        <f t="shared" si="26"/>
        <v>59.835762275069371</v>
      </c>
      <c r="G114" s="110">
        <f t="shared" si="48"/>
        <v>0.99971258332828083</v>
      </c>
      <c r="H114" s="412" t="b">
        <f>Wh_hp&gt;='2027'!Maxi_hp</f>
        <v>0</v>
      </c>
      <c r="I114" s="388">
        <f>IF(H114,Wh_hp,'2027'!Maxi_hp)</f>
        <v>59.835762306271782</v>
      </c>
      <c r="J114" s="85">
        <f>IF(H114,An,'2027'!An_max)</f>
        <v>2026</v>
      </c>
      <c r="K114" s="197">
        <f t="shared" si="27"/>
        <v>46852</v>
      </c>
      <c r="L114" s="147">
        <f>IF(t&lt;Tvie,1-EXP((T0-t)*PertePVj)+'2027'!Pspv,1-EXP((T0-t)*PertePVj)+Pspv)</f>
        <v>6.2292854825132249E-2</v>
      </c>
      <c r="M114" s="832"/>
      <c r="N114" s="832"/>
      <c r="O114" s="48">
        <f>IF(t&lt;Tnet,'2027'!Resal+('2027'!Salim-'2027'!Resal)*(1-EXP(('2027'!Tnet-t)/('2027'!Tau_j))),Resal+(Salim-Resal)*(1-EXP((Tnet-t)/(Tau_j))))*Salcycl</f>
        <v>4.4207893568796772E-2</v>
      </c>
      <c r="P114" s="169">
        <f>(INDEX(Models!$BJ114:$BT114,,T114)*(1-R114)+INDEX(Models!$BJ114:$BT114,,T114+1)*R114-ERP_i)*Q114*Ramure*Pc/MaxiM</f>
        <v>1.2832298346605272E-6</v>
      </c>
      <c r="Q114" s="304">
        <f t="shared" si="28"/>
        <v>0.6</v>
      </c>
      <c r="R114" s="177">
        <f t="shared" si="29"/>
        <v>0.51118274283318499</v>
      </c>
      <c r="S114" s="799">
        <f t="shared" si="30"/>
        <v>-1</v>
      </c>
      <c r="T114" s="176">
        <f t="shared" si="31"/>
        <v>5</v>
      </c>
      <c r="U114" s="250">
        <f t="shared" si="32"/>
        <v>-0.48881725716681501</v>
      </c>
      <c r="V114" s="382">
        <f t="shared" si="33"/>
        <v>53.643335854101807</v>
      </c>
      <c r="W114" s="400">
        <f t="shared" si="34"/>
        <v>53.627917893306609</v>
      </c>
      <c r="X114" s="157">
        <f t="shared" si="35"/>
        <v>46852</v>
      </c>
      <c r="Y114" s="383">
        <f t="shared" si="36"/>
        <v>52.234223931834137</v>
      </c>
      <c r="Z114" s="383">
        <f t="shared" si="37"/>
        <v>55.704197414527826</v>
      </c>
      <c r="AA114" s="384">
        <f t="shared" si="38"/>
        <v>59.83535306662764</v>
      </c>
      <c r="AB114" s="197">
        <f t="shared" si="39"/>
        <v>46852</v>
      </c>
      <c r="AC114" s="119">
        <f>IF(OR(t&lt;Tnet,NoTnet),'2027'!Resal_s+('2027'!Salim-'2027'!Resal_s)*(1-EXP(('2027'!Tnet_s-t)/'2027'!Tau_j)),Resal_s+(Salim-Resal_s)*(1-EXP((Tnet_s-t)/Tau_j)))*Salcycl</f>
        <v>6.9042053574910903E-2</v>
      </c>
      <c r="AD114" s="230">
        <f>(INDEX(Models!$BJ114:$BT114,,AH114)*(1-AF114)+INDEX(Models!$BJ114:$BT114,,AH114+1)*AF114-ERP_i)*AE114*Ramure*Pc/MaxiM</f>
        <v>6.8416698295019024E-6</v>
      </c>
      <c r="AE114" s="304">
        <f t="shared" si="40"/>
        <v>0.6</v>
      </c>
      <c r="AF114" s="177">
        <f t="shared" si="41"/>
        <v>3.6170309207163243E-2</v>
      </c>
      <c r="AG114" s="799">
        <f t="shared" si="49"/>
        <v>3</v>
      </c>
      <c r="AH114" s="176">
        <f t="shared" si="42"/>
        <v>9</v>
      </c>
      <c r="AI114" s="224">
        <f t="shared" si="43"/>
        <v>3.0361703092071632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46853</v>
      </c>
      <c r="B115" s="409">
        <f>IF(t&gt;Tmaj,'2027'!Wh/'2027'!Env_an*'2028'!Env_an,0.001*'[6]mon-tableau'!$B$245)</f>
        <v>44.853212911735355</v>
      </c>
      <c r="C115" s="829"/>
      <c r="D115" s="391">
        <f t="shared" si="25"/>
        <v>47.833774927072717</v>
      </c>
      <c r="E115" s="383">
        <f t="shared" si="47"/>
        <v>50.051132544560502</v>
      </c>
      <c r="F115" s="383">
        <f t="shared" si="26"/>
        <v>50.051175980344837</v>
      </c>
      <c r="G115" s="110">
        <f t="shared" si="48"/>
        <v>0.83364391802971016</v>
      </c>
      <c r="H115" s="412" t="b">
        <f>Wh_hp&gt;='2027'!Maxi_hp</f>
        <v>0</v>
      </c>
      <c r="I115" s="388">
        <f>IF(H115,Wh_hp,'2027'!Maxi_hp)</f>
        <v>61.040326499043537</v>
      </c>
      <c r="J115" s="85">
        <f>IF(H115,An,'2027'!An_max)</f>
        <v>2020</v>
      </c>
      <c r="K115" s="197">
        <f t="shared" si="27"/>
        <v>46853</v>
      </c>
      <c r="L115" s="147">
        <f>IF(t&lt;Tvie,1-EXP((T0-t)*PertePVj)+'2027'!Pspv,1-EXP((T0-t)*PertePVj)+Pspv)</f>
        <v>6.2310825768644107E-2</v>
      </c>
      <c r="M115" s="832"/>
      <c r="N115" s="832"/>
      <c r="O115" s="48">
        <f>IF(t&lt;Tnet,'2027'!Resal+('2027'!Salim-'2027'!Resal)*(1-EXP(('2027'!Tnet-t)/('2027'!Tau_j))),Resal+(Salim-Resal)*(1-EXP((Tnet-t)/(Tau_j))))*Salcycl</f>
        <v>4.4301847026411961E-2</v>
      </c>
      <c r="P115" s="169">
        <f>(INDEX(Models!$BJ115:$BT115,,T115)*(1-R115)+INDEX(Models!$BJ115:$BT115,,T115+1)*R115-ERP_i)*Q115*Ramure*Pc/MaxiM</f>
        <v>1.1383601248129011E-6</v>
      </c>
      <c r="Q115" s="304">
        <f t="shared" si="28"/>
        <v>0.6</v>
      </c>
      <c r="R115" s="177">
        <f t="shared" si="29"/>
        <v>0.51264261829908209</v>
      </c>
      <c r="S115" s="799">
        <f t="shared" si="30"/>
        <v>-1</v>
      </c>
      <c r="T115" s="176">
        <f t="shared" si="31"/>
        <v>5</v>
      </c>
      <c r="U115" s="250">
        <f t="shared" si="32"/>
        <v>-0.48735738170091791</v>
      </c>
      <c r="V115" s="382">
        <f t="shared" si="33"/>
        <v>53.803788173101687</v>
      </c>
      <c r="W115" s="400">
        <f t="shared" si="34"/>
        <v>44.853212911735355</v>
      </c>
      <c r="X115" s="157">
        <f t="shared" si="35"/>
        <v>46853</v>
      </c>
      <c r="Y115" s="383">
        <f t="shared" si="36"/>
        <v>43.688568261943551</v>
      </c>
      <c r="Z115" s="383">
        <f t="shared" si="37"/>
        <v>46.591737926116103</v>
      </c>
      <c r="AA115" s="384">
        <f t="shared" si="38"/>
        <v>50.050945224687084</v>
      </c>
      <c r="AB115" s="197">
        <f t="shared" si="39"/>
        <v>46853</v>
      </c>
      <c r="AC115" s="119">
        <f>IF(OR(t&lt;Tnet,NoTnet),'2027'!Resal_s+('2027'!Salim-'2027'!Resal_s)*(1-EXP(('2027'!Tnet_s-t)/'2027'!Tau_j)),Resal_s+(Salim-Resal_s)*(1-EXP((Tnet_s-t)/Tau_j)))*Salcycl</f>
        <v>6.9113725685739189E-2</v>
      </c>
      <c r="AD115" s="230">
        <f>(INDEX(Models!$BJ115:$BT115,,AH115)*(1-AF115)+INDEX(Models!$BJ115:$BT115,,AH115+1)*AF115-ERP_i)*AE115*Ramure*Pc/MaxiM</f>
        <v>6.047618187521898E-6</v>
      </c>
      <c r="AE115" s="304">
        <f t="shared" si="40"/>
        <v>0.6</v>
      </c>
      <c r="AF115" s="177">
        <f t="shared" si="41"/>
        <v>3.7630184673060452E-2</v>
      </c>
      <c r="AG115" s="799">
        <f t="shared" si="49"/>
        <v>3</v>
      </c>
      <c r="AH115" s="176">
        <f t="shared" si="42"/>
        <v>9</v>
      </c>
      <c r="AI115" s="224">
        <f t="shared" si="43"/>
        <v>3.0376301846730605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46854</v>
      </c>
      <c r="B116" s="409">
        <f>IF(t&gt;Tmaj,'2027'!Wh/'2027'!Env_an*'2028'!Env_an,0.001*'[6]mon-tableau'!$B$246)</f>
        <v>37.293708144973287</v>
      </c>
      <c r="C116" s="829"/>
      <c r="D116" s="391">
        <f t="shared" si="25"/>
        <v>39.772692176648711</v>
      </c>
      <c r="E116" s="383">
        <f t="shared" si="47"/>
        <v>41.62048789575951</v>
      </c>
      <c r="F116" s="383">
        <f t="shared" si="26"/>
        <v>41.62051121119076</v>
      </c>
      <c r="G116" s="110">
        <f t="shared" si="48"/>
        <v>0.69115781745096994</v>
      </c>
      <c r="H116" s="412" t="b">
        <f>Wh_hp&gt;='2027'!Maxi_hp</f>
        <v>0</v>
      </c>
      <c r="I116" s="388">
        <f>IF(H116,Wh_hp,'2027'!Maxi_hp)</f>
        <v>60.002961591028409</v>
      </c>
      <c r="J116" s="85">
        <f>IF(H116,An,'2027'!An_max)</f>
        <v>2020</v>
      </c>
      <c r="K116" s="197">
        <f t="shared" si="27"/>
        <v>46854</v>
      </c>
      <c r="L116" s="147">
        <f>IF(t&lt;Tvie,1-EXP((T0-t)*PertePVj)+'2027'!Pspv,1-EXP((T0-t)*PertePVj)+Pspv)</f>
        <v>6.2328796367747019E-2</v>
      </c>
      <c r="M116" s="832"/>
      <c r="N116" s="832"/>
      <c r="O116" s="48">
        <f>IF(t&lt;Tnet,'2027'!Resal+('2027'!Salim-'2027'!Resal)*(1-EXP(('2027'!Tnet-t)/('2027'!Tau_j))),Resal+(Salim-Resal)*(1-EXP((Tnet-t)/(Tau_j))))*Salcycl</f>
        <v>4.4396301257656791E-2</v>
      </c>
      <c r="P116" s="169">
        <f>(INDEX(Models!$BJ116:$BT116,,T116)*(1-R116)+INDEX(Models!$BJ116:$BT116,,T116+1)*R116-ERP_i)*Q116*Ramure*Pc/MaxiM</f>
        <v>1.0024938772965937E-6</v>
      </c>
      <c r="Q116" s="304">
        <f t="shared" si="28"/>
        <v>0.6</v>
      </c>
      <c r="R116" s="177">
        <f t="shared" si="29"/>
        <v>0.51415397916771033</v>
      </c>
      <c r="S116" s="799">
        <f t="shared" si="30"/>
        <v>-1</v>
      </c>
      <c r="T116" s="176">
        <f t="shared" si="31"/>
        <v>5</v>
      </c>
      <c r="U116" s="250">
        <f t="shared" si="32"/>
        <v>-0.48584602083228962</v>
      </c>
      <c r="V116" s="382">
        <f t="shared" si="33"/>
        <v>53.958286672336072</v>
      </c>
      <c r="W116" s="400">
        <f t="shared" si="34"/>
        <v>37.293708144973287</v>
      </c>
      <c r="X116" s="157">
        <f t="shared" si="35"/>
        <v>46854</v>
      </c>
      <c r="Y116" s="383">
        <f t="shared" si="36"/>
        <v>36.326160891823292</v>
      </c>
      <c r="Z116" s="383">
        <f t="shared" si="37"/>
        <v>38.740830209040006</v>
      </c>
      <c r="AA116" s="384">
        <f t="shared" si="38"/>
        <v>41.620387809898276</v>
      </c>
      <c r="AB116" s="197">
        <f t="shared" si="39"/>
        <v>46854</v>
      </c>
      <c r="AC116" s="119">
        <f>IF(OR(t&lt;Tnet,NoTnet),'2027'!Resal_s+('2027'!Salim-'2027'!Resal_s)*(1-EXP(('2027'!Tnet_s-t)/'2027'!Tau_j)),Resal_s+(Salim-Resal_s)*(1-EXP((Tnet_s-t)/Tau_j)))*Salcycl</f>
        <v>6.9186227048404436E-2</v>
      </c>
      <c r="AD116" s="230">
        <f>(INDEX(Models!$BJ116:$BT116,,AH116)*(1-AF116)+INDEX(Models!$BJ116:$BT116,,AH116+1)*AF116-ERP_i)*AE116*Ramure*Pc/MaxiM</f>
        <v>5.3058868543553484E-6</v>
      </c>
      <c r="AE116" s="304">
        <f t="shared" si="40"/>
        <v>0.6</v>
      </c>
      <c r="AF116" s="177">
        <f t="shared" si="41"/>
        <v>3.9141545541689027E-2</v>
      </c>
      <c r="AG116" s="799">
        <f t="shared" si="49"/>
        <v>3</v>
      </c>
      <c r="AH116" s="176">
        <f t="shared" si="42"/>
        <v>9</v>
      </c>
      <c r="AI116" s="224">
        <f t="shared" si="43"/>
        <v>3.039141545541689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46855</v>
      </c>
      <c r="B117" s="409">
        <f>IF(t&gt;Tmaj,'2027'!Wh/'2027'!Env_an*'2028'!Env_an,0.001*'[6]mon-tableau'!$B$247)</f>
        <v>7.5671768745093058</v>
      </c>
      <c r="C117" s="829"/>
      <c r="D117" s="391">
        <f t="shared" si="25"/>
        <v>8.0703362449370761</v>
      </c>
      <c r="E117" s="383">
        <f t="shared" si="47"/>
        <v>8.4461146076168951</v>
      </c>
      <c r="F117" s="383">
        <f t="shared" si="26"/>
        <v>8.4461146076168951</v>
      </c>
      <c r="G117" s="110">
        <f t="shared" si="48"/>
        <v>0.13985584475303225</v>
      </c>
      <c r="H117" s="412" t="b">
        <f>Wh_hp&gt;='2027'!Maxi_hp</f>
        <v>0</v>
      </c>
      <c r="I117" s="388">
        <f>IF(H117,Wh_hp,'2027'!Maxi_hp)</f>
        <v>59.530054657867453</v>
      </c>
      <c r="J117" s="85">
        <f>IF(H117,An,'2027'!An_max)</f>
        <v>2018</v>
      </c>
      <c r="K117" s="197">
        <f t="shared" si="27"/>
        <v>46855</v>
      </c>
      <c r="L117" s="147">
        <f>IF(t&lt;Tvie,1-EXP((T0-t)*PertePVj)+'2027'!Pspv,1-EXP((T0-t)*PertePVj)+Pspv)</f>
        <v>6.2346766622447425E-2</v>
      </c>
      <c r="M117" s="832"/>
      <c r="N117" s="832"/>
      <c r="O117" s="48">
        <f>IF(t&lt;Tnet,'2027'!Resal+('2027'!Salim-'2027'!Resal)*(1-EXP(('2027'!Tnet-t)/('2027'!Tau_j))),Resal+(Salim-Resal)*(1-EXP((Tnet-t)/(Tau_j))))*Salcycl</f>
        <v>4.4491269671019323E-2</v>
      </c>
      <c r="P117" s="169">
        <f>(INDEX(Models!$BJ117:$BT117,,T117)*(1-R117)+INDEX(Models!$BJ117:$BT117,,T117+1)*R117-ERP_i)*Q117*Ramure*Pc/MaxiM</f>
        <v>8.7556750310696945E-7</v>
      </c>
      <c r="Q117" s="304">
        <f t="shared" si="28"/>
        <v>0.6</v>
      </c>
      <c r="R117" s="177">
        <f t="shared" si="29"/>
        <v>0.51571825310063191</v>
      </c>
      <c r="S117" s="799">
        <f t="shared" si="30"/>
        <v>-1</v>
      </c>
      <c r="T117" s="176">
        <f t="shared" si="31"/>
        <v>5</v>
      </c>
      <c r="U117" s="250">
        <f t="shared" si="32"/>
        <v>-0.48428174689936804</v>
      </c>
      <c r="V117" s="382">
        <f t="shared" si="33"/>
        <v>54.106928904528878</v>
      </c>
      <c r="W117" s="400">
        <f t="shared" si="34"/>
        <v>7.5671768745093058</v>
      </c>
      <c r="X117" s="157">
        <f t="shared" si="35"/>
        <v>46855</v>
      </c>
      <c r="Y117" s="383">
        <f t="shared" si="36"/>
        <v>7.3710236142550354</v>
      </c>
      <c r="Z117" s="383">
        <f t="shared" si="37"/>
        <v>7.8611402935215411</v>
      </c>
      <c r="AA117" s="384">
        <f t="shared" si="38"/>
        <v>8.4461146076168951</v>
      </c>
      <c r="AB117" s="197">
        <f t="shared" si="39"/>
        <v>46855</v>
      </c>
      <c r="AC117" s="119">
        <f>IF(OR(t&lt;Tnet,NoTnet),'2027'!Resal_s+('2027'!Salim-'2027'!Resal_s)*(1-EXP(('2027'!Tnet_s-t)/'2027'!Tau_j)),Resal_s+(Salim-Resal_s)*(1-EXP((Tnet_s-t)/Tau_j)))*Salcycl</f>
        <v>6.925957570689506E-2</v>
      </c>
      <c r="AD117" s="230">
        <f>(INDEX(Models!$BJ117:$BT117,,AH117)*(1-AF117)+INDEX(Models!$BJ117:$BT117,,AH117+1)*AF117-ERP_i)*AE117*Ramure*Pc/MaxiM</f>
        <v>4.6160421677560384E-6</v>
      </c>
      <c r="AE117" s="304">
        <f t="shared" si="40"/>
        <v>0.6</v>
      </c>
      <c r="AF117" s="177">
        <f t="shared" si="41"/>
        <v>4.0705819474610383E-2</v>
      </c>
      <c r="AG117" s="799">
        <f t="shared" si="49"/>
        <v>3</v>
      </c>
      <c r="AH117" s="176">
        <f t="shared" si="42"/>
        <v>9</v>
      </c>
      <c r="AI117" s="224">
        <f t="shared" si="43"/>
        <v>3.0407058194746104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46856</v>
      </c>
      <c r="B118" s="409">
        <f>IF(t&gt;Tmaj,'2027'!Wh/'2027'!Env_an*'2028'!Env_an,0.001*'[6]mon-tableau'!$B$248)</f>
        <v>39.183083742223317</v>
      </c>
      <c r="C118" s="829"/>
      <c r="D118" s="391">
        <f t="shared" si="25"/>
        <v>41.789259927500588</v>
      </c>
      <c r="E118" s="383">
        <f t="shared" si="47"/>
        <v>43.7394609998126</v>
      </c>
      <c r="F118" s="383">
        <f t="shared" si="26"/>
        <v>43.739480987916792</v>
      </c>
      <c r="G118" s="110">
        <f t="shared" si="48"/>
        <v>0.72227110499395986</v>
      </c>
      <c r="H118" s="412" t="b">
        <f>Wh_hp&gt;='2027'!Maxi_hp</f>
        <v>0</v>
      </c>
      <c r="I118" s="388">
        <f>IF(H118,Wh_hp,'2027'!Maxi_hp)</f>
        <v>58.540655243985405</v>
      </c>
      <c r="J118" s="85">
        <f>IF(H118,An,'2027'!An_max)</f>
        <v>2021</v>
      </c>
      <c r="K118" s="197">
        <f t="shared" si="27"/>
        <v>46856</v>
      </c>
      <c r="L118" s="147">
        <f>IF(t&lt;Tvie,1-EXP((T0-t)*PertePVj)+'2027'!Pspv,1-EXP((T0-t)*PertePVj)+Pspv)</f>
        <v>6.2364736532752096E-2</v>
      </c>
      <c r="M118" s="832"/>
      <c r="N118" s="832"/>
      <c r="O118" s="48">
        <f>IF(t&lt;Tnet,'2027'!Resal+('2027'!Salim-'2027'!Resal)*(1-EXP(('2027'!Tnet-t)/('2027'!Tau_j))),Resal+(Salim-Resal)*(1-EXP((Tnet-t)/(Tau_j))))*Salcycl</f>
        <v>4.4586765079715221E-2</v>
      </c>
      <c r="P118" s="169">
        <f>(INDEX(Models!$BJ118:$BT118,,T118)*(1-R118)+INDEX(Models!$BJ118:$BT118,,T118+1)*R118-ERP_i)*Q118*Ramure*Pc/MaxiM</f>
        <v>7.5753801432087873E-7</v>
      </c>
      <c r="Q118" s="304">
        <f t="shared" si="28"/>
        <v>0.6</v>
      </c>
      <c r="R118" s="177">
        <f t="shared" si="29"/>
        <v>0.51733687698019559</v>
      </c>
      <c r="S118" s="799">
        <f t="shared" si="30"/>
        <v>-1</v>
      </c>
      <c r="T118" s="176">
        <f t="shared" si="31"/>
        <v>5</v>
      </c>
      <c r="U118" s="250">
        <f t="shared" si="32"/>
        <v>-0.48266312301980446</v>
      </c>
      <c r="V118" s="382">
        <f t="shared" si="33"/>
        <v>54.249812424364087</v>
      </c>
      <c r="W118" s="400">
        <f t="shared" si="34"/>
        <v>39.183083742223317</v>
      </c>
      <c r="X118" s="157">
        <f t="shared" si="35"/>
        <v>46856</v>
      </c>
      <c r="Y118" s="383">
        <f t="shared" si="36"/>
        <v>38.16809305230155</v>
      </c>
      <c r="Z118" s="383">
        <f t="shared" si="37"/>
        <v>40.706759375880473</v>
      </c>
      <c r="AA118" s="384">
        <f t="shared" si="38"/>
        <v>43.739376032338157</v>
      </c>
      <c r="AB118" s="197">
        <f t="shared" si="39"/>
        <v>46856</v>
      </c>
      <c r="AC118" s="119">
        <f>IF(OR(t&lt;Tnet,NoTnet),'2027'!Resal_s+('2027'!Salim-'2027'!Resal_s)*(1-EXP(('2027'!Tnet_s-t)/'2027'!Tau_j)),Resal_s+(Salim-Resal_s)*(1-EXP((Tnet_s-t)/Tau_j)))*Salcycl</f>
        <v>6.9333788717414677E-2</v>
      </c>
      <c r="AD118" s="230">
        <f>(INDEX(Models!$BJ118:$BT118,,AH118)*(1-AF118)+INDEX(Models!$BJ118:$BT118,,AH118+1)*AF118-ERP_i)*AE118*Ramure*Pc/MaxiM</f>
        <v>3.977757964220779E-6</v>
      </c>
      <c r="AE118" s="304">
        <f t="shared" si="40"/>
        <v>0.6</v>
      </c>
      <c r="AF118" s="177">
        <f t="shared" si="41"/>
        <v>4.2324443354174068E-2</v>
      </c>
      <c r="AG118" s="799">
        <f t="shared" si="49"/>
        <v>3</v>
      </c>
      <c r="AH118" s="176">
        <f t="shared" si="42"/>
        <v>9</v>
      </c>
      <c r="AI118" s="224">
        <f t="shared" si="43"/>
        <v>3.0423244433541741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46857</v>
      </c>
      <c r="B119" s="409">
        <f>IF(t&gt;Tmaj,'2027'!Wh/'2027'!Env_an*'2028'!Env_an,0.001*'[6]mon-tableau'!$B$249)</f>
        <v>42.22520569920362</v>
      </c>
      <c r="C119" s="829"/>
      <c r="D119" s="391">
        <f t="shared" si="25"/>
        <v>45.034584978172418</v>
      </c>
      <c r="E119" s="383">
        <f t="shared" si="47"/>
        <v>47.140975753864161</v>
      </c>
      <c r="F119" s="383">
        <f t="shared" si="26"/>
        <v>47.140996555112658</v>
      </c>
      <c r="G119" s="110">
        <f t="shared" si="48"/>
        <v>0.77638350983284909</v>
      </c>
      <c r="H119" s="412" t="b">
        <f>Wh_hp&gt;='2027'!Maxi_hp</f>
        <v>0</v>
      </c>
      <c r="I119" s="388">
        <f>IF(H119,Wh_hp,'2027'!Maxi_hp)</f>
        <v>59.383919600806216</v>
      </c>
      <c r="J119" s="85">
        <f>IF(H119,An,'2027'!An_max)</f>
        <v>2021</v>
      </c>
      <c r="K119" s="197">
        <f t="shared" si="27"/>
        <v>46857</v>
      </c>
      <c r="L119" s="147">
        <f>IF(t&lt;Tvie,1-EXP((T0-t)*PertePVj)+'2027'!Pspv,1-EXP((T0-t)*PertePVj)+Pspv)</f>
        <v>6.2382706098667473E-2</v>
      </c>
      <c r="M119" s="832"/>
      <c r="N119" s="832"/>
      <c r="O119" s="48">
        <f>IF(t&lt;Tnet,'2027'!Resal+('2027'!Salim-'2027'!Resal)*(1-EXP(('2027'!Tnet-t)/('2027'!Tau_j))),Resal+(Salim-Resal)*(1-EXP((Tnet-t)/(Tau_j))))*Salcycl</f>
        <v>4.468279966646814E-2</v>
      </c>
      <c r="P119" s="169">
        <f>(INDEX(Models!$BJ119:$BT119,,T119)*(1-R119)+INDEX(Models!$BJ119:$BT119,,T119+1)*R119-ERP_i)*Q119*Ramure*Pc/MaxiM</f>
        <v>6.4838329416954494E-7</v>
      </c>
      <c r="Q119" s="304">
        <f t="shared" si="28"/>
        <v>0.6</v>
      </c>
      <c r="R119" s="177">
        <f t="shared" si="29"/>
        <v>0.51901129428972703</v>
      </c>
      <c r="S119" s="799">
        <f t="shared" si="30"/>
        <v>-1</v>
      </c>
      <c r="T119" s="176">
        <f t="shared" si="31"/>
        <v>5</v>
      </c>
      <c r="U119" s="250">
        <f t="shared" si="32"/>
        <v>-0.48098870571027297</v>
      </c>
      <c r="V119" s="382">
        <f t="shared" si="33"/>
        <v>54.38703478168776</v>
      </c>
      <c r="W119" s="400">
        <f t="shared" si="34"/>
        <v>42.22520569920362</v>
      </c>
      <c r="X119" s="157">
        <f t="shared" si="35"/>
        <v>46857</v>
      </c>
      <c r="Y119" s="383">
        <f t="shared" si="36"/>
        <v>41.132231288266773</v>
      </c>
      <c r="Z119" s="383">
        <f t="shared" si="37"/>
        <v>43.868891450497507</v>
      </c>
      <c r="AA119" s="384">
        <f t="shared" si="38"/>
        <v>47.140887771918592</v>
      </c>
      <c r="AB119" s="197">
        <f t="shared" si="39"/>
        <v>46857</v>
      </c>
      <c r="AC119" s="119">
        <f>IF(OR(t&lt;Tnet,NoTnet),'2027'!Resal_s+('2027'!Salim-'2027'!Resal_s)*(1-EXP(('2027'!Tnet_s-t)/'2027'!Tau_j)),Resal_s+(Salim-Resal_s)*(1-EXP((Tnet_s-t)/Tau_j)))*Salcycl</f>
        <v>6.9408882099377595E-2</v>
      </c>
      <c r="AD119" s="230">
        <f>(INDEX(Models!$BJ119:$BT119,,AH119)*(1-AF119)+INDEX(Models!$BJ119:$BT119,,AH119+1)*AF119-ERP_i)*AE119*Ramure*Pc/MaxiM</f>
        <v>3.3908159758417943E-6</v>
      </c>
      <c r="AE119" s="304">
        <f t="shared" si="40"/>
        <v>0.6</v>
      </c>
      <c r="AF119" s="177">
        <f t="shared" si="41"/>
        <v>4.3998860663705397E-2</v>
      </c>
      <c r="AG119" s="799">
        <f t="shared" si="49"/>
        <v>3</v>
      </c>
      <c r="AH119" s="176">
        <f t="shared" si="42"/>
        <v>9</v>
      </c>
      <c r="AI119" s="224">
        <f t="shared" si="43"/>
        <v>3.0439988606637054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46858</v>
      </c>
      <c r="B120" s="409">
        <f>IF(t&gt;Tmaj,'2027'!Wh/'2027'!Env_an*'2028'!Env_an,0.001*'[6]mon-tableau'!$B$250)</f>
        <v>40.717936914003296</v>
      </c>
      <c r="C120" s="829"/>
      <c r="D120" s="391">
        <f t="shared" si="25"/>
        <v>43.427865018896966</v>
      </c>
      <c r="E120" s="383">
        <f t="shared" si="47"/>
        <v>45.463701614618692</v>
      </c>
      <c r="F120" s="383">
        <f t="shared" si="26"/>
        <v>45.463717522119559</v>
      </c>
      <c r="G120" s="110">
        <f t="shared" si="48"/>
        <v>0.74686178638089795</v>
      </c>
      <c r="H120" s="412" t="b">
        <f>Wh_hp&gt;='2027'!Maxi_hp</f>
        <v>0</v>
      </c>
      <c r="I120" s="388">
        <f>IF(H120,Wh_hp,'2027'!Maxi_hp)</f>
        <v>56.502985475141656</v>
      </c>
      <c r="J120" s="85">
        <f>IF(H120,An,'2027'!An_max)</f>
        <v>2020</v>
      </c>
      <c r="K120" s="197">
        <f t="shared" si="27"/>
        <v>46858</v>
      </c>
      <c r="L120" s="147">
        <f>IF(t&lt;Tvie,1-EXP((T0-t)*PertePVj)+'2027'!Pspv,1-EXP((T0-t)*PertePVj)+Pspv)</f>
        <v>6.2400675320200216E-2</v>
      </c>
      <c r="M120" s="832"/>
      <c r="N120" s="832"/>
      <c r="O120" s="48">
        <f>IF(t&lt;Tnet,'2027'!Resal+('2027'!Salim-'2027'!Resal)*(1-EXP(('2027'!Tnet-t)/('2027'!Tau_j))),Resal+(Salim-Resal)*(1-EXP((Tnet-t)/(Tau_j))))*Salcycl</f>
        <v>4.4779384947113782E-2</v>
      </c>
      <c r="P120" s="169">
        <f>(INDEX(Models!$BJ120:$BT120,,T120)*(1-R120)+INDEX(Models!$BJ120:$BT120,,T120+1)*R120-ERP_i)*Q120*Ramure*Pc/MaxiM</f>
        <v>5.4810238231173677E-7</v>
      </c>
      <c r="Q120" s="304">
        <f t="shared" si="28"/>
        <v>0.6</v>
      </c>
      <c r="R120" s="177">
        <f t="shared" si="29"/>
        <v>0.52074295226336942</v>
      </c>
      <c r="S120" s="799">
        <f t="shared" si="30"/>
        <v>-1</v>
      </c>
      <c r="T120" s="176">
        <f t="shared" si="31"/>
        <v>5</v>
      </c>
      <c r="U120" s="250">
        <f t="shared" si="32"/>
        <v>-0.47925704773663058</v>
      </c>
      <c r="V120" s="382">
        <f t="shared" si="33"/>
        <v>54.518693533230149</v>
      </c>
      <c r="W120" s="400">
        <f t="shared" si="34"/>
        <v>40.717936914003296</v>
      </c>
      <c r="X120" s="157">
        <f t="shared" si="35"/>
        <v>46858</v>
      </c>
      <c r="Y120" s="383">
        <f t="shared" si="36"/>
        <v>39.664764277480629</v>
      </c>
      <c r="Z120" s="383">
        <f t="shared" si="37"/>
        <v>42.304599879086489</v>
      </c>
      <c r="AA120" s="384">
        <f t="shared" si="38"/>
        <v>45.463634658759844</v>
      </c>
      <c r="AB120" s="197">
        <f t="shared" si="39"/>
        <v>46858</v>
      </c>
      <c r="AC120" s="119">
        <f>IF(OR(t&lt;Tnet,NoTnet),'2027'!Resal_s+('2027'!Salim-'2027'!Resal_s)*(1-EXP(('2027'!Tnet_s-t)/'2027'!Tau_j)),Resal_s+(Salim-Resal_s)*(1-EXP((Tnet_s-t)/Tau_j)))*Salcycl</f>
        <v>6.9484870784845637E-2</v>
      </c>
      <c r="AD120" s="230">
        <f>(INDEX(Models!$BJ120:$BT120,,AH120)*(1-AF120)+INDEX(Models!$BJ120:$BT120,,AH120+1)*AF120-ERP_i)*AE120*Ramure*Pc/MaxiM</f>
        <v>2.8551062323259397E-6</v>
      </c>
      <c r="AE120" s="304">
        <f t="shared" si="40"/>
        <v>0.6</v>
      </c>
      <c r="AF120" s="177">
        <f t="shared" si="41"/>
        <v>4.5730518637348005E-2</v>
      </c>
      <c r="AG120" s="799">
        <f t="shared" si="49"/>
        <v>3</v>
      </c>
      <c r="AH120" s="176">
        <f t="shared" si="42"/>
        <v>9</v>
      </c>
      <c r="AI120" s="224">
        <f t="shared" si="43"/>
        <v>3.045730518637348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46859</v>
      </c>
      <c r="B121" s="409">
        <f>IF(t&gt;Tmaj,'2027'!Wh/'2027'!Env_an*'2028'!Env_an,0.001*'[6]mon-tableau'!$B$251)</f>
        <v>52.570200199247338</v>
      </c>
      <c r="C121" s="829"/>
      <c r="D121" s="391">
        <f t="shared" si="25"/>
        <v>56.070014483429148</v>
      </c>
      <c r="E121" s="383">
        <f t="shared" si="47"/>
        <v>58.704467376512675</v>
      </c>
      <c r="F121" s="383">
        <f t="shared" si="26"/>
        <v>58.70449273505082</v>
      </c>
      <c r="G121" s="110">
        <f t="shared" si="48"/>
        <v>0.96205591316366545</v>
      </c>
      <c r="H121" s="412" t="b">
        <f>Wh_hp&gt;='2027'!Maxi_hp</f>
        <v>0</v>
      </c>
      <c r="I121" s="388">
        <f>IF(H121,Wh_hp,'2027'!Maxi_hp)</f>
        <v>58.704494159649528</v>
      </c>
      <c r="J121" s="85">
        <f>IF(H121,An,'2027'!An_max)</f>
        <v>2026</v>
      </c>
      <c r="K121" s="197">
        <f t="shared" si="27"/>
        <v>46859</v>
      </c>
      <c r="L121" s="147">
        <f>IF(t&lt;Tvie,1-EXP((T0-t)*PertePVj)+'2027'!Pspv,1-EXP((T0-t)*PertePVj)+Pspv)</f>
        <v>6.2418644197356876E-2</v>
      </c>
      <c r="M121" s="832"/>
      <c r="N121" s="832"/>
      <c r="O121" s="48">
        <f>IF(t&lt;Tnet,'2027'!Resal+('2027'!Salim-'2027'!Resal)*(1-EXP(('2027'!Tnet-t)/('2027'!Tau_j))),Resal+(Salim-Resal)*(1-EXP((Tnet-t)/(Tau_j))))*Salcycl</f>
        <v>4.487653173287371E-2</v>
      </c>
      <c r="P121" s="169">
        <f>(INDEX(Models!$BJ121:$BT121,,T121)*(1-R121)+INDEX(Models!$BJ121:$BT121,,T121+1)*R121-ERP_i)*Q121*Ramure*Pc/MaxiM</f>
        <v>4.5672652001961391E-7</v>
      </c>
      <c r="Q121" s="304">
        <f t="shared" si="28"/>
        <v>0.6</v>
      </c>
      <c r="R121" s="177">
        <f t="shared" si="29"/>
        <v>0.52253329879804622</v>
      </c>
      <c r="S121" s="799">
        <f t="shared" si="30"/>
        <v>-1</v>
      </c>
      <c r="T121" s="176">
        <f t="shared" si="31"/>
        <v>5</v>
      </c>
      <c r="U121" s="250">
        <f t="shared" si="32"/>
        <v>-0.47746670120195378</v>
      </c>
      <c r="V121" s="382">
        <f t="shared" si="33"/>
        <v>54.643600417028004</v>
      </c>
      <c r="W121" s="400">
        <f t="shared" si="34"/>
        <v>52.570200199247338</v>
      </c>
      <c r="X121" s="157">
        <f t="shared" si="35"/>
        <v>46859</v>
      </c>
      <c r="Y121" s="383">
        <f t="shared" si="36"/>
        <v>51.211426774872791</v>
      </c>
      <c r="Z121" s="383">
        <f t="shared" si="37"/>
        <v>54.620781927805929</v>
      </c>
      <c r="AA121" s="384">
        <f t="shared" si="38"/>
        <v>58.704361109102614</v>
      </c>
      <c r="AB121" s="197">
        <f t="shared" si="39"/>
        <v>46859</v>
      </c>
      <c r="AC121" s="119">
        <f>IF(OR(t&lt;Tnet,NoTnet),'2027'!Resal_s+('2027'!Salim-'2027'!Resal_s)*(1-EXP(('2027'!Tnet_s-t)/'2027'!Tau_j)),Resal_s+(Salim-Resal_s)*(1-EXP((Tnet_s-t)/Tau_j)))*Salcycl</f>
        <v>6.9561768566177073E-2</v>
      </c>
      <c r="AD121" s="230">
        <f>(INDEX(Models!$BJ121:$BT121,,AH121)*(1-AF121)+INDEX(Models!$BJ121:$BT121,,AH121+1)*AF121-ERP_i)*AE121*Ramure*Pc/MaxiM</f>
        <v>2.3706832360009205E-6</v>
      </c>
      <c r="AE121" s="304">
        <f t="shared" si="40"/>
        <v>0.6</v>
      </c>
      <c r="AF121" s="177">
        <f t="shared" si="41"/>
        <v>4.7520865172024696E-2</v>
      </c>
      <c r="AG121" s="799">
        <f t="shared" si="49"/>
        <v>3</v>
      </c>
      <c r="AH121" s="176">
        <f t="shared" si="42"/>
        <v>9</v>
      </c>
      <c r="AI121" s="224">
        <f t="shared" si="43"/>
        <v>3.0475208651720247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46860</v>
      </c>
      <c r="B122" s="409">
        <f>IF(t&gt;Tmaj,'2027'!Wh/'2027'!Env_an*'2028'!Env_an,0.001*'[6]mon-tableau'!$B$252)</f>
        <v>34.912427815191407</v>
      </c>
      <c r="C122" s="829"/>
      <c r="D122" s="391">
        <f t="shared" si="25"/>
        <v>37.237405266917357</v>
      </c>
      <c r="E122" s="383">
        <f t="shared" si="47"/>
        <v>38.990996075731324</v>
      </c>
      <c r="F122" s="383">
        <f t="shared" si="26"/>
        <v>38.991003171112801</v>
      </c>
      <c r="G122" s="110">
        <f t="shared" si="48"/>
        <v>0.63754373935752329</v>
      </c>
      <c r="H122" s="412" t="b">
        <f>Wh_hp&gt;='2027'!Maxi_hp</f>
        <v>0</v>
      </c>
      <c r="I122" s="388">
        <f>IF(H122,Wh_hp,'2027'!Maxi_hp)</f>
        <v>44.767493272933869</v>
      </c>
      <c r="J122" s="85">
        <f>IF(H122,An,'2027'!An_max)</f>
        <v>2021</v>
      </c>
      <c r="K122" s="197">
        <f t="shared" si="27"/>
        <v>46860</v>
      </c>
      <c r="L122" s="147">
        <f>IF(t&lt;Tvie,1-EXP((T0-t)*PertePVj)+'2027'!Pspv,1-EXP((T0-t)*PertePVj)+Pspv)</f>
        <v>6.2436612730144114E-2</v>
      </c>
      <c r="M122" s="832"/>
      <c r="N122" s="832"/>
      <c r="O122" s="48">
        <f>IF(t&lt;Tnet,'2027'!Resal+('2027'!Salim-'2027'!Resal)*(1-EXP(('2027'!Tnet-t)/('2027'!Tau_j))),Resal+(Salim-Resal)*(1-EXP((Tnet-t)/(Tau_j))))*Salcycl</f>
        <v>4.4974250091175123E-2</v>
      </c>
      <c r="P122" s="169">
        <f>(INDEX(Models!$BJ122:$BT122,,T122)*(1-R122)+INDEX(Models!$BJ122:$BT122,,T122+1)*R122-ERP_i)*Q122*Ramure*Pc/MaxiM</f>
        <v>3.7738024603144255E-7</v>
      </c>
      <c r="Q122" s="304">
        <f t="shared" si="28"/>
        <v>0.6</v>
      </c>
      <c r="R122" s="177">
        <f t="shared" si="29"/>
        <v>0.52438377912076906</v>
      </c>
      <c r="S122" s="799">
        <f t="shared" si="30"/>
        <v>-1</v>
      </c>
      <c r="T122" s="176">
        <f t="shared" si="31"/>
        <v>5</v>
      </c>
      <c r="U122" s="250">
        <f t="shared" si="32"/>
        <v>-0.47561622087923089</v>
      </c>
      <c r="V122" s="382">
        <f t="shared" si="33"/>
        <v>54.760824768345323</v>
      </c>
      <c r="W122" s="400">
        <f t="shared" si="34"/>
        <v>34.912427815191407</v>
      </c>
      <c r="X122" s="157">
        <f t="shared" si="35"/>
        <v>46860</v>
      </c>
      <c r="Y122" s="383">
        <f t="shared" si="36"/>
        <v>34.010722791294313</v>
      </c>
      <c r="Z122" s="383">
        <f t="shared" si="37"/>
        <v>36.275651601895497</v>
      </c>
      <c r="AA122" s="384">
        <f t="shared" si="38"/>
        <v>38.990966442284154</v>
      </c>
      <c r="AB122" s="197">
        <f t="shared" si="39"/>
        <v>46860</v>
      </c>
      <c r="AC122" s="119">
        <f>IF(OR(t&lt;Tnet,NoTnet),'2027'!Resal_s+('2027'!Salim-'2027'!Resal_s)*(1-EXP(('2027'!Tnet_s-t)/'2027'!Tau_j)),Resal_s+(Salim-Resal_s)*(1-EXP((Tnet_s-t)/Tau_j)))*Salcycl</f>
        <v>6.9639588041706238E-2</v>
      </c>
      <c r="AD122" s="230">
        <f>(INDEX(Models!$BJ122:$BT122,,AH122)*(1-AF122)+INDEX(Models!$BJ122:$BT122,,AH122+1)*AF122-ERP_i)*AE122*Ramure*Pc/MaxiM</f>
        <v>1.9534868476618417E-6</v>
      </c>
      <c r="AE122" s="304">
        <f t="shared" si="40"/>
        <v>0.6</v>
      </c>
      <c r="AF122" s="177">
        <f t="shared" si="41"/>
        <v>4.9371345494747754E-2</v>
      </c>
      <c r="AG122" s="799">
        <f t="shared" si="49"/>
        <v>3</v>
      </c>
      <c r="AH122" s="176">
        <f t="shared" si="42"/>
        <v>9</v>
      </c>
      <c r="AI122" s="224">
        <f t="shared" si="43"/>
        <v>3.0493713454947478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46861</v>
      </c>
      <c r="B123" s="409">
        <f>IF(t&gt;Tmaj,'2027'!Wh/'2027'!Env_an*'2028'!Env_an,0.001*'[6]mon-tableau'!$B$253)</f>
        <v>8.8104200306784133</v>
      </c>
      <c r="C123" s="829"/>
      <c r="D123" s="391">
        <f t="shared" si="25"/>
        <v>9.3973260936099514</v>
      </c>
      <c r="E123" s="383">
        <f t="shared" si="47"/>
        <v>9.8408796257452025</v>
      </c>
      <c r="F123" s="383">
        <f t="shared" si="26"/>
        <v>9.8408796257452025</v>
      </c>
      <c r="G123" s="110">
        <f t="shared" si="48"/>
        <v>0.16056644267699755</v>
      </c>
      <c r="H123" s="412" t="b">
        <f>Wh_hp&gt;='2027'!Maxi_hp</f>
        <v>0</v>
      </c>
      <c r="I123" s="388">
        <f>IF(H123,Wh_hp,'2027'!Maxi_hp)</f>
        <v>58.622323149510997</v>
      </c>
      <c r="J123" s="85">
        <f>IF(H123,An,'2027'!An_max)</f>
        <v>2021</v>
      </c>
      <c r="K123" s="197">
        <f t="shared" si="27"/>
        <v>46861</v>
      </c>
      <c r="L123" s="147">
        <f>IF(t&lt;Tvie,1-EXP((T0-t)*PertePVj)+'2027'!Pspv,1-EXP((T0-t)*PertePVj)+Pspv)</f>
        <v>6.2454580918568592E-2</v>
      </c>
      <c r="M123" s="832"/>
      <c r="N123" s="832"/>
      <c r="O123" s="48">
        <f>IF(t&lt;Tnet,'2027'!Resal+('2027'!Salim-'2027'!Resal)*(1-EXP(('2027'!Tnet-t)/('2027'!Tau_j))),Resal+(Salim-Resal)*(1-EXP((Tnet-t)/(Tau_j))))*Salcycl</f>
        <v>4.5072549304926886E-2</v>
      </c>
      <c r="P123" s="169">
        <f>(INDEX(Models!$BJ123:$BT123,,T123)*(1-R123)+INDEX(Models!$BJ123:$BT123,,T123+1)*R123-ERP_i)*Q123*Ramure*Pc/MaxiM</f>
        <v>3.0684383287224641E-7</v>
      </c>
      <c r="Q123" s="304">
        <f t="shared" si="28"/>
        <v>0.6</v>
      </c>
      <c r="R123" s="177">
        <f t="shared" si="29"/>
        <v>0.52629583220540599</v>
      </c>
      <c r="S123" s="799">
        <f t="shared" si="30"/>
        <v>-1</v>
      </c>
      <c r="T123" s="176">
        <f t="shared" si="31"/>
        <v>5</v>
      </c>
      <c r="U123" s="250">
        <f t="shared" si="32"/>
        <v>-0.47370416779459401</v>
      </c>
      <c r="V123" s="382">
        <f t="shared" si="33"/>
        <v>54.870850847575802</v>
      </c>
      <c r="W123" s="400">
        <f t="shared" si="34"/>
        <v>8.8104200306784133</v>
      </c>
      <c r="X123" s="157">
        <f t="shared" si="35"/>
        <v>46861</v>
      </c>
      <c r="Y123" s="383">
        <f t="shared" si="36"/>
        <v>8.5830312664517319</v>
      </c>
      <c r="Z123" s="383">
        <f t="shared" si="37"/>
        <v>9.1547898285941542</v>
      </c>
      <c r="AA123" s="384">
        <f t="shared" si="38"/>
        <v>9.8408796257452025</v>
      </c>
      <c r="AB123" s="197">
        <f t="shared" si="39"/>
        <v>46861</v>
      </c>
      <c r="AC123" s="119">
        <f>IF(OR(t&lt;Tnet,NoTnet),'2027'!Resal_s+('2027'!Salim-'2027'!Resal_s)*(1-EXP(('2027'!Tnet_s-t)/'2027'!Tau_j)),Resal_s+(Salim-Resal_s)*(1-EXP((Tnet_s-t)/Tau_j)))*Salcycl</f>
        <v>6.9718340559327269E-2</v>
      </c>
      <c r="AD123" s="230">
        <f>(INDEX(Models!$BJ123:$BT123,,AH123)*(1-AF123)+INDEX(Models!$BJ123:$BT123,,AH123+1)*AF123-ERP_i)*AE123*Ramure*Pc/MaxiM</f>
        <v>1.583644442575553E-6</v>
      </c>
      <c r="AE123" s="304">
        <f t="shared" si="40"/>
        <v>0.6</v>
      </c>
      <c r="AF123" s="177">
        <f t="shared" si="41"/>
        <v>5.1283398579384354E-2</v>
      </c>
      <c r="AG123" s="799">
        <f t="shared" si="49"/>
        <v>3</v>
      </c>
      <c r="AH123" s="176">
        <f t="shared" si="42"/>
        <v>9</v>
      </c>
      <c r="AI123" s="224">
        <f t="shared" si="43"/>
        <v>3.0512833985793844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46862</v>
      </c>
      <c r="B124" s="409">
        <f>IF(t&gt;Tmaj,'2027'!Wh/'2027'!Env_an*'2028'!Env_an,0.001*'[6]mon-tableau'!$B$254)</f>
        <v>9.1263662203026055</v>
      </c>
      <c r="C124" s="829"/>
      <c r="D124" s="391">
        <f t="shared" si="25"/>
        <v>9.7345055958174722</v>
      </c>
      <c r="E124" s="383">
        <f t="shared" si="47"/>
        <v>10.195029748268423</v>
      </c>
      <c r="F124" s="383">
        <f t="shared" si="26"/>
        <v>10.195029748268423</v>
      </c>
      <c r="G124" s="110">
        <f t="shared" si="48"/>
        <v>0.16601187823390987</v>
      </c>
      <c r="H124" s="412" t="b">
        <f>Wh_hp&gt;='2027'!Maxi_hp</f>
        <v>0</v>
      </c>
      <c r="I124" s="388">
        <f>IF(H124,Wh_hp,'2027'!Maxi_hp)</f>
        <v>57.174498343837172</v>
      </c>
      <c r="J124" s="85">
        <f>IF(H124,An,'2027'!An_max)</f>
        <v>2018</v>
      </c>
      <c r="K124" s="197">
        <f t="shared" si="27"/>
        <v>46862</v>
      </c>
      <c r="L124" s="147">
        <f>IF(t&lt;Tvie,1-EXP((T0-t)*PertePVj)+'2027'!Pspv,1-EXP((T0-t)*PertePVj)+Pspv)</f>
        <v>6.2472548762636748E-2</v>
      </c>
      <c r="M124" s="832"/>
      <c r="N124" s="832"/>
      <c r="O124" s="48">
        <f>IF(t&lt;Tnet,'2027'!Resal+('2027'!Salim-'2027'!Resal)*(1-EXP(('2027'!Tnet-t)/('2027'!Tau_j))),Resal+(Salim-Resal)*(1-EXP((Tnet-t)/(Tau_j))))*Salcycl</f>
        <v>4.5171437830200445E-2</v>
      </c>
      <c r="P124" s="169">
        <f>(INDEX(Models!$BJ124:$BT124,,T124)*(1-R124)+INDEX(Models!$BJ124:$BT124,,T124+1)*R124-ERP_i)*Q124*Ramure*Pc/MaxiM</f>
        <v>2.4519621550519785E-7</v>
      </c>
      <c r="Q124" s="304">
        <f t="shared" si="28"/>
        <v>0.6</v>
      </c>
      <c r="R124" s="177">
        <f t="shared" si="29"/>
        <v>0.5282708869340752</v>
      </c>
      <c r="S124" s="799">
        <f t="shared" si="30"/>
        <v>-1</v>
      </c>
      <c r="T124" s="176">
        <f t="shared" si="31"/>
        <v>5</v>
      </c>
      <c r="U124" s="250">
        <f t="shared" si="32"/>
        <v>-0.4717291130659248</v>
      </c>
      <c r="V124" s="382">
        <f t="shared" si="33"/>
        <v>54.974162569820137</v>
      </c>
      <c r="W124" s="400">
        <f t="shared" si="34"/>
        <v>9.1263662203026055</v>
      </c>
      <c r="X124" s="157">
        <f t="shared" si="35"/>
        <v>46862</v>
      </c>
      <c r="Y124" s="383">
        <f t="shared" si="36"/>
        <v>8.8909822320102165</v>
      </c>
      <c r="Z124" s="383">
        <f t="shared" si="37"/>
        <v>9.4834366932677661</v>
      </c>
      <c r="AA124" s="384">
        <f t="shared" si="38"/>
        <v>10.195029748268423</v>
      </c>
      <c r="AB124" s="197">
        <f t="shared" si="39"/>
        <v>46862</v>
      </c>
      <c r="AC124" s="119">
        <f>IF(OR(t&lt;Tnet,NoTnet),'2027'!Resal_s+('2027'!Salim-'2027'!Resal_s)*(1-EXP(('2027'!Tnet_s-t)/'2027'!Tau_j)),Resal_s+(Salim-Resal_s)*(1-EXP((Tnet_s-t)/Tau_j)))*Salcycl</f>
        <v>6.9798036157914828E-2</v>
      </c>
      <c r="AD124" s="230">
        <f>(INDEX(Models!$BJ124:$BT124,,AH124)*(1-AF124)+INDEX(Models!$BJ124:$BT124,,AH124+1)*AF124-ERP_i)*AE124*Ramure*Pc/MaxiM</f>
        <v>1.2613971573826692E-6</v>
      </c>
      <c r="AE124" s="304">
        <f t="shared" si="40"/>
        <v>0.6</v>
      </c>
      <c r="AF124" s="177">
        <f t="shared" si="41"/>
        <v>5.3258453308053788E-2</v>
      </c>
      <c r="AG124" s="799">
        <f t="shared" si="49"/>
        <v>3</v>
      </c>
      <c r="AH124" s="176">
        <f t="shared" si="42"/>
        <v>9</v>
      </c>
      <c r="AI124" s="224">
        <f t="shared" si="43"/>
        <v>3.0532584533080538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46863</v>
      </c>
      <c r="B125" s="409">
        <f>IF(t&gt;Tmaj,'2027'!Wh/'2027'!Env_an*'2028'!Env_an,0.001*'[6]mon-tableau'!$B$255)</f>
        <v>8.6848049360060813</v>
      </c>
      <c r="C125" s="829"/>
      <c r="D125" s="391">
        <f t="shared" si="25"/>
        <v>9.2636982202907099</v>
      </c>
      <c r="E125" s="383">
        <f t="shared" si="47"/>
        <v>9.7029601862003538</v>
      </c>
      <c r="F125" s="383">
        <f t="shared" si="26"/>
        <v>9.7029601862003538</v>
      </c>
      <c r="G125" s="110">
        <f t="shared" si="48"/>
        <v>0.15770123721887822</v>
      </c>
      <c r="H125" s="412" t="b">
        <f>Wh_hp&gt;='2027'!Maxi_hp</f>
        <v>0</v>
      </c>
      <c r="I125" s="388">
        <f>IF(H125,Wh_hp,'2027'!Maxi_hp)</f>
        <v>52.981756605548966</v>
      </c>
      <c r="J125" s="85">
        <f>IF(H125,An,'2027'!An_max)</f>
        <v>2021</v>
      </c>
      <c r="K125" s="197">
        <f t="shared" si="27"/>
        <v>46863</v>
      </c>
      <c r="L125" s="147">
        <f>IF(t&lt;Tvie,1-EXP((T0-t)*PertePVj)+'2027'!Pspv,1-EXP((T0-t)*PertePVj)+Pspv)</f>
        <v>6.2490516262355356E-2</v>
      </c>
      <c r="M125" s="832"/>
      <c r="N125" s="832"/>
      <c r="O125" s="48">
        <f>IF(t&lt;Tnet,'2027'!Resal+('2027'!Salim-'2027'!Resal)*(1-EXP(('2027'!Tnet-t)/('2027'!Tau_j))),Resal+(Salim-Resal)*(1-EXP((Tnet-t)/(Tau_j))))*Salcycl</f>
        <v>4.5270923252304598E-2</v>
      </c>
      <c r="P125" s="169">
        <f>(INDEX(Models!$BJ125:$BT125,,T125)*(1-R125)+INDEX(Models!$BJ125:$BT125,,T125+1)*R125-ERP_i)*Q125*Ramure*Pc/MaxiM</f>
        <v>1.9254245864499401E-7</v>
      </c>
      <c r="Q125" s="304">
        <f t="shared" si="28"/>
        <v>0.6</v>
      </c>
      <c r="R125" s="177">
        <f t="shared" si="29"/>
        <v>0.53031035799954829</v>
      </c>
      <c r="S125" s="799">
        <f t="shared" si="30"/>
        <v>-1</v>
      </c>
      <c r="T125" s="176">
        <f t="shared" si="31"/>
        <v>5</v>
      </c>
      <c r="U125" s="250">
        <f t="shared" si="32"/>
        <v>-0.46968964200045177</v>
      </c>
      <c r="V125" s="382">
        <f t="shared" si="33"/>
        <v>55.071243681864658</v>
      </c>
      <c r="W125" s="400">
        <f t="shared" si="34"/>
        <v>8.6848049360060813</v>
      </c>
      <c r="X125" s="157">
        <f t="shared" si="35"/>
        <v>46863</v>
      </c>
      <c r="Y125" s="383">
        <f t="shared" si="36"/>
        <v>8.4609575609492875</v>
      </c>
      <c r="Z125" s="383">
        <f t="shared" si="37"/>
        <v>9.0249301022719326</v>
      </c>
      <c r="AA125" s="384">
        <f t="shared" si="38"/>
        <v>9.7029601862003538</v>
      </c>
      <c r="AB125" s="197">
        <f t="shared" si="39"/>
        <v>46863</v>
      </c>
      <c r="AC125" s="119">
        <f>IF(OR(t&lt;Tnet,NoTnet),'2027'!Resal_s+('2027'!Salim-'2027'!Resal_s)*(1-EXP(('2027'!Tnet_s-t)/'2027'!Tau_j)),Resal_s+(Salim-Resal_s)*(1-EXP((Tnet_s-t)/Tau_j)))*Salcycl</f>
        <v>6.9878683506577902E-2</v>
      </c>
      <c r="AD125" s="230">
        <f>(INDEX(Models!$BJ125:$BT125,,AH125)*(1-AF125)+INDEX(Models!$BJ125:$BT125,,AH125+1)*AF125-ERP_i)*AE125*Ramure*Pc/MaxiM</f>
        <v>9.8710752799642217E-7</v>
      </c>
      <c r="AE125" s="304">
        <f t="shared" si="40"/>
        <v>0.6</v>
      </c>
      <c r="AF125" s="177">
        <f t="shared" si="41"/>
        <v>5.5297924373526541E-2</v>
      </c>
      <c r="AG125" s="799">
        <f t="shared" si="49"/>
        <v>3</v>
      </c>
      <c r="AH125" s="176">
        <f t="shared" si="42"/>
        <v>9</v>
      </c>
      <c r="AI125" s="224">
        <f t="shared" si="43"/>
        <v>3.0552979243735265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46864</v>
      </c>
      <c r="B126" s="409">
        <f>IF(t&gt;Tmaj,'2027'!Wh/'2027'!Env_an*'2028'!Env_an,0.001*'[6]mon-tableau'!$B$256)</f>
        <v>25.112583742292252</v>
      </c>
      <c r="C126" s="829"/>
      <c r="D126" s="391">
        <f t="shared" si="25"/>
        <v>26.786998386761947</v>
      </c>
      <c r="E126" s="383">
        <f t="shared" si="47"/>
        <v>28.060114170243963</v>
      </c>
      <c r="F126" s="383">
        <f t="shared" si="26"/>
        <v>28.060115097578233</v>
      </c>
      <c r="G126" s="110">
        <f t="shared" si="48"/>
        <v>0.45524668799926127</v>
      </c>
      <c r="H126" s="412" t="b">
        <f>Wh_hp&gt;='2027'!Maxi_hp</f>
        <v>0</v>
      </c>
      <c r="I126" s="388">
        <f>IF(H126,Wh_hp,'2027'!Maxi_hp)</f>
        <v>60.779702375651659</v>
      </c>
      <c r="J126" s="85">
        <f>IF(H126,An,'2027'!An_max)</f>
        <v>2021</v>
      </c>
      <c r="K126" s="197">
        <f t="shared" si="27"/>
        <v>46864</v>
      </c>
      <c r="L126" s="147">
        <f>IF(t&lt;Tvie,1-EXP((T0-t)*PertePVj)+'2027'!Pspv,1-EXP((T0-t)*PertePVj)+Pspv)</f>
        <v>6.2508483417730965E-2</v>
      </c>
      <c r="M126" s="832"/>
      <c r="N126" s="832"/>
      <c r="O126" s="48">
        <f>IF(t&lt;Tnet,'2027'!Resal+('2027'!Salim-'2027'!Resal)*(1-EXP(('2027'!Tnet-t)/('2027'!Tau_j))),Resal+(Salim-Resal)*(1-EXP((Tnet-t)/(Tau_j))))*Salcycl</f>
        <v>4.5371012240287931E-2</v>
      </c>
      <c r="P126" s="169">
        <f>(INDEX(Models!$BJ126:$BT126,,T126)*(1-R126)+INDEX(Models!$BJ126:$BT126,,T126+1)*R126-ERP_i)*Q126*Ramure*Pc/MaxiM</f>
        <v>1.490124002844328E-7</v>
      </c>
      <c r="Q126" s="304">
        <f t="shared" si="28"/>
        <v>0.6</v>
      </c>
      <c r="R126" s="177">
        <f t="shared" si="29"/>
        <v>0.53241564154643073</v>
      </c>
      <c r="S126" s="799">
        <f t="shared" si="30"/>
        <v>-1</v>
      </c>
      <c r="T126" s="176">
        <f t="shared" si="31"/>
        <v>5</v>
      </c>
      <c r="U126" s="250">
        <f t="shared" si="32"/>
        <v>-0.46758435845356927</v>
      </c>
      <c r="V126" s="382">
        <f t="shared" si="33"/>
        <v>55.162577767441988</v>
      </c>
      <c r="W126" s="400">
        <f t="shared" si="34"/>
        <v>25.112583742292252</v>
      </c>
      <c r="X126" s="157">
        <f t="shared" si="35"/>
        <v>46864</v>
      </c>
      <c r="Y126" s="383">
        <f t="shared" si="36"/>
        <v>24.46573195782663</v>
      </c>
      <c r="Z126" s="383">
        <f t="shared" si="37"/>
        <v>26.097016906370751</v>
      </c>
      <c r="AA126" s="384">
        <f t="shared" si="38"/>
        <v>28.060110360160824</v>
      </c>
      <c r="AB126" s="197">
        <f t="shared" si="39"/>
        <v>46864</v>
      </c>
      <c r="AC126" s="119">
        <f>IF(OR(t&lt;Tnet,NoTnet),'2027'!Resal_s+('2027'!Salim-'2027'!Resal_s)*(1-EXP(('2027'!Tnet_s-t)/'2027'!Tau_j)),Resal_s+(Salim-Resal_s)*(1-EXP((Tnet_s-t)/Tau_j)))*Salcycl</f>
        <v>6.9960289841811713E-2</v>
      </c>
      <c r="AD126" s="230">
        <f>(INDEX(Models!$BJ126:$BT126,,AH126)*(1-AF126)+INDEX(Models!$BJ126:$BT126,,AH126+1)*AF126-ERP_i)*AE126*Ramure*Pc/MaxiM</f>
        <v>7.6125078264860563E-7</v>
      </c>
      <c r="AE126" s="304">
        <f t="shared" si="40"/>
        <v>0.6</v>
      </c>
      <c r="AF126" s="177">
        <f t="shared" si="41"/>
        <v>5.7403207920409205E-2</v>
      </c>
      <c r="AG126" s="799">
        <f t="shared" si="49"/>
        <v>3</v>
      </c>
      <c r="AH126" s="176">
        <f t="shared" si="42"/>
        <v>9</v>
      </c>
      <c r="AI126" s="224">
        <f t="shared" si="43"/>
        <v>3.0574032079204092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46865</v>
      </c>
      <c r="B127" s="409">
        <f>IF(t&gt;Tmaj,'2027'!Wh/'2027'!Env_an*'2028'!Env_an,0.001*'[6]mon-tableau'!$B$257)</f>
        <v>8.5561032442740323</v>
      </c>
      <c r="C127" s="829"/>
      <c r="D127" s="391">
        <f t="shared" si="25"/>
        <v>9.1267676259900483</v>
      </c>
      <c r="E127" s="383">
        <f t="shared" si="47"/>
        <v>9.5615475480253451</v>
      </c>
      <c r="F127" s="383">
        <f t="shared" si="26"/>
        <v>9.5615475480253451</v>
      </c>
      <c r="G127" s="110">
        <f t="shared" si="48"/>
        <v>0.15486536836923423</v>
      </c>
      <c r="H127" s="412" t="b">
        <f>Wh_hp&gt;='2027'!Maxi_hp</f>
        <v>0</v>
      </c>
      <c r="I127" s="388">
        <f>IF(H127,Wh_hp,'2027'!Maxi_hp)</f>
        <v>61.484717168911814</v>
      </c>
      <c r="J127" s="85">
        <f>IF(H127,An,'2027'!An_max)</f>
        <v>2021</v>
      </c>
      <c r="K127" s="197">
        <f t="shared" si="27"/>
        <v>46865</v>
      </c>
      <c r="L127" s="147">
        <f>IF(t&lt;Tvie,1-EXP((T0-t)*PertePVj)+'2027'!Pspv,1-EXP((T0-t)*PertePVj)+Pspv)</f>
        <v>6.2526450228770014E-2</v>
      </c>
      <c r="M127" s="832"/>
      <c r="N127" s="832"/>
      <c r="O127" s="48">
        <f>IF(t&lt;Tnet,'2027'!Resal+('2027'!Salim-'2027'!Resal)*(1-EXP(('2027'!Tnet-t)/('2027'!Tau_j))),Resal+(Salim-Resal)*(1-EXP((Tnet-t)/(Tau_j))))*Salcycl</f>
        <v>4.5471710499948151E-2</v>
      </c>
      <c r="P127" s="169">
        <f>(INDEX(Models!$BJ127:$BT127,,T127)*(1-R127)+INDEX(Models!$BJ127:$BT127,,T127+1)*R127-ERP_i)*Q127*Ramure*Pc/MaxiM</f>
        <v>1.1476024443564424E-7</v>
      </c>
      <c r="Q127" s="304">
        <f t="shared" si="28"/>
        <v>0.6</v>
      </c>
      <c r="R127" s="177">
        <f t="shared" si="29"/>
        <v>0.53458811055046407</v>
      </c>
      <c r="S127" s="799">
        <f t="shared" si="30"/>
        <v>-1</v>
      </c>
      <c r="T127" s="176">
        <f t="shared" si="31"/>
        <v>5</v>
      </c>
      <c r="U127" s="250">
        <f t="shared" si="32"/>
        <v>-0.46541188944953593</v>
      </c>
      <c r="V127" s="382">
        <f t="shared" si="33"/>
        <v>55.248648245060444</v>
      </c>
      <c r="W127" s="400">
        <f t="shared" si="34"/>
        <v>8.5561032442740323</v>
      </c>
      <c r="X127" s="157">
        <f t="shared" si="35"/>
        <v>46865</v>
      </c>
      <c r="Y127" s="383">
        <f t="shared" si="36"/>
        <v>8.3358548744886924</v>
      </c>
      <c r="Z127" s="383">
        <f t="shared" si="37"/>
        <v>8.8918294031046283</v>
      </c>
      <c r="AA127" s="384">
        <f t="shared" si="38"/>
        <v>9.5615475480253451</v>
      </c>
      <c r="AB127" s="197">
        <f t="shared" si="39"/>
        <v>46865</v>
      </c>
      <c r="AC127" s="119">
        <f>IF(OR(t&lt;Tnet,NoTnet),'2027'!Resal_s+('2027'!Salim-'2027'!Resal_s)*(1-EXP(('2027'!Tnet_s-t)/'2027'!Tau_j)),Resal_s+(Salim-Resal_s)*(1-EXP((Tnet_s-t)/Tau_j)))*Salcycl</f>
        <v>7.0042860902681803E-2</v>
      </c>
      <c r="AD127" s="230">
        <f>(INDEX(Models!$BJ127:$BT127,,AH127)*(1-AF127)+INDEX(Models!$BJ127:$BT127,,AH127+1)*AF127-ERP_i)*AE127*Ramure*Pc/MaxiM</f>
        <v>5.8441102957581867E-7</v>
      </c>
      <c r="AE127" s="304">
        <f t="shared" si="40"/>
        <v>0.6</v>
      </c>
      <c r="AF127" s="177">
        <f t="shared" si="41"/>
        <v>5.9575676924442433E-2</v>
      </c>
      <c r="AG127" s="799">
        <f t="shared" si="49"/>
        <v>3</v>
      </c>
      <c r="AH127" s="176">
        <f t="shared" si="42"/>
        <v>9</v>
      </c>
      <c r="AI127" s="224">
        <f t="shared" si="43"/>
        <v>3.0595756769244424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46866</v>
      </c>
      <c r="B128" s="409">
        <f>IF(t&gt;Tmaj,'2027'!Wh/'2027'!Env_an*'2028'!Env_an,0.001*'[6]mon-tableau'!$B$258)</f>
        <v>28.09230470294148</v>
      </c>
      <c r="C128" s="829"/>
      <c r="D128" s="391">
        <f t="shared" si="25"/>
        <v>29.966544765690564</v>
      </c>
      <c r="E128" s="383">
        <f t="shared" si="47"/>
        <v>31.397420105688393</v>
      </c>
      <c r="F128" s="383">
        <f t="shared" si="26"/>
        <v>31.397420943903384</v>
      </c>
      <c r="G128" s="110">
        <f t="shared" si="48"/>
        <v>0.50772337282149027</v>
      </c>
      <c r="H128" s="412" t="b">
        <f>Wh_hp&gt;='2027'!Maxi_hp</f>
        <v>0</v>
      </c>
      <c r="I128" s="388">
        <f>IF(H128,Wh_hp,'2027'!Maxi_hp)</f>
        <v>60.938970338666145</v>
      </c>
      <c r="J128" s="85">
        <f>IF(H128,An,'2027'!An_max)</f>
        <v>2021</v>
      </c>
      <c r="K128" s="197">
        <f t="shared" si="27"/>
        <v>46866</v>
      </c>
      <c r="L128" s="147">
        <f>IF(t&lt;Tvie,1-EXP((T0-t)*PertePVj)+'2027'!Pspv,1-EXP((T0-t)*PertePVj)+Pspv)</f>
        <v>6.2544416695479277E-2</v>
      </c>
      <c r="M128" s="832"/>
      <c r="N128" s="832"/>
      <c r="O128" s="48">
        <f>IF(t&lt;Tnet,'2027'!Resal+('2027'!Salim-'2027'!Resal)*(1-EXP(('2027'!Tnet-t)/('2027'!Tau_j))),Resal+(Salim-Resal)*(1-EXP((Tnet-t)/(Tau_j))))*Salcycl</f>
        <v>4.5573022725475261E-2</v>
      </c>
      <c r="P128" s="169">
        <f>(INDEX(Models!$BJ128:$BT128,,T128)*(1-R128)+INDEX(Models!$BJ128:$BT128,,T128+1)*R128-ERP_i)*Q128*Ramure*Pc/MaxiM</f>
        <v>8.9965097581188037E-8</v>
      </c>
      <c r="Q128" s="304">
        <f t="shared" si="28"/>
        <v>0.6</v>
      </c>
      <c r="R128" s="177">
        <f t="shared" si="29"/>
        <v>0.53682910993704558</v>
      </c>
      <c r="S128" s="799">
        <f t="shared" si="30"/>
        <v>-1</v>
      </c>
      <c r="T128" s="176">
        <f t="shared" si="31"/>
        <v>5</v>
      </c>
      <c r="U128" s="250">
        <f t="shared" si="32"/>
        <v>-0.46317089006295442</v>
      </c>
      <c r="V128" s="382">
        <f t="shared" si="33"/>
        <v>55.329938366792383</v>
      </c>
      <c r="W128" s="400">
        <f t="shared" si="34"/>
        <v>28.09230470294148</v>
      </c>
      <c r="X128" s="157">
        <f t="shared" si="35"/>
        <v>46866</v>
      </c>
      <c r="Y128" s="383">
        <f t="shared" si="36"/>
        <v>27.369605278126429</v>
      </c>
      <c r="Z128" s="383">
        <f t="shared" si="37"/>
        <v>29.195628854914776</v>
      </c>
      <c r="AA128" s="384">
        <f t="shared" si="38"/>
        <v>31.397416683353409</v>
      </c>
      <c r="AB128" s="197">
        <f t="shared" si="39"/>
        <v>46866</v>
      </c>
      <c r="AC128" s="119">
        <f>IF(OR(t&lt;Tnet,NoTnet),'2027'!Resal_s+('2027'!Salim-'2027'!Resal_s)*(1-EXP(('2027'!Tnet_s-t)/'2027'!Tau_j)),Resal_s+(Salim-Resal_s)*(1-EXP((Tnet_s-t)/Tau_j)))*Salcycl</f>
        <v>7.0126400864246791E-2</v>
      </c>
      <c r="AD128" s="230">
        <f>(INDEX(Models!$BJ128:$BT128,,AH128)*(1-AF128)+INDEX(Models!$BJ128:$BT128,,AH128+1)*AF128-ERP_i)*AE128*Ramure*Pc/MaxiM</f>
        <v>4.5728219867109061E-7</v>
      </c>
      <c r="AE128" s="304">
        <f t="shared" si="40"/>
        <v>0.6</v>
      </c>
      <c r="AF128" s="177">
        <f t="shared" si="41"/>
        <v>6.1816676311023944E-2</v>
      </c>
      <c r="AG128" s="799">
        <f t="shared" si="49"/>
        <v>3</v>
      </c>
      <c r="AH128" s="176">
        <f t="shared" si="42"/>
        <v>9</v>
      </c>
      <c r="AI128" s="224">
        <f t="shared" si="43"/>
        <v>3.0618166763110239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46867</v>
      </c>
      <c r="B129" s="409">
        <f>IF(t&gt;Tmaj,'2027'!Wh/'2027'!Env_an*'2028'!Env_an,0.001*'[6]mon-tableau'!$B$259)</f>
        <v>42.719825968624981</v>
      </c>
      <c r="C129" s="829"/>
      <c r="D129" s="391">
        <f t="shared" si="25"/>
        <v>45.570846726886735</v>
      </c>
      <c r="E129" s="383">
        <f t="shared" si="47"/>
        <v>47.751913091508541</v>
      </c>
      <c r="F129" s="383">
        <f t="shared" si="26"/>
        <v>47.751915277451488</v>
      </c>
      <c r="G129" s="110">
        <f t="shared" si="48"/>
        <v>0.77101950578954792</v>
      </c>
      <c r="H129" s="412" t="b">
        <f>Wh_hp&gt;='2027'!Maxi_hp</f>
        <v>0</v>
      </c>
      <c r="I129" s="388">
        <f>IF(H129,Wh_hp,'2027'!Maxi_hp)</f>
        <v>53.779346350507211</v>
      </c>
      <c r="J129" s="85">
        <f>IF(H129,An,'2027'!An_max)</f>
        <v>2020</v>
      </c>
      <c r="K129" s="197">
        <f t="shared" si="27"/>
        <v>46867</v>
      </c>
      <c r="L129" s="147">
        <f>IF(t&lt;Tvie,1-EXP((T0-t)*PertePVj)+'2027'!Pspv,1-EXP((T0-t)*PertePVj)+Pspv)</f>
        <v>6.2562382817865414E-2</v>
      </c>
      <c r="M129" s="832"/>
      <c r="N129" s="832"/>
      <c r="O129" s="48">
        <f>IF(t&lt;Tnet,'2027'!Resal+('2027'!Salim-'2027'!Resal)*(1-EXP(('2027'!Tnet-t)/('2027'!Tau_j))),Resal+(Salim-Resal)*(1-EXP((Tnet-t)/(Tau_j))))*Salcycl</f>
        <v>4.5674952549904266E-2</v>
      </c>
      <c r="P129" s="169">
        <f>(INDEX(Models!$BJ129:$BT129,,T129)*(1-R129)+INDEX(Models!$BJ129:$BT129,,T129+1)*R129-ERP_i)*Q129*Ramure*Pc/MaxiM</f>
        <v>6.8031047815292645E-8</v>
      </c>
      <c r="Q129" s="304">
        <f t="shared" si="28"/>
        <v>0.6</v>
      </c>
      <c r="R129" s="177">
        <f t="shared" si="29"/>
        <v>0.53913995144201143</v>
      </c>
      <c r="S129" s="799">
        <f t="shared" si="30"/>
        <v>-1</v>
      </c>
      <c r="T129" s="176">
        <f t="shared" si="31"/>
        <v>5</v>
      </c>
      <c r="U129" s="250">
        <f t="shared" si="32"/>
        <v>-0.46086004855798857</v>
      </c>
      <c r="V129" s="382">
        <f t="shared" si="33"/>
        <v>55.406931597914124</v>
      </c>
      <c r="W129" s="400">
        <f t="shared" si="34"/>
        <v>42.719825968624981</v>
      </c>
      <c r="X129" s="157">
        <f t="shared" si="35"/>
        <v>46867</v>
      </c>
      <c r="Y129" s="383">
        <f t="shared" si="36"/>
        <v>41.621479720674536</v>
      </c>
      <c r="Z129" s="383">
        <f t="shared" si="37"/>
        <v>44.399199432369166</v>
      </c>
      <c r="AA129" s="384">
        <f t="shared" si="38"/>
        <v>47.751904188015445</v>
      </c>
      <c r="AB129" s="197">
        <f t="shared" si="39"/>
        <v>46867</v>
      </c>
      <c r="AC129" s="119">
        <f>IF(OR(t&lt;Tnet,NoTnet),'2027'!Resal_s+('2027'!Salim-'2027'!Resal_s)*(1-EXP(('2027'!Tnet_s-t)/'2027'!Tau_j)),Resal_s+(Salim-Resal_s)*(1-EXP((Tnet_s-t)/Tau_j)))*Salcycl</f>
        <v>7.0210912269499215E-2</v>
      </c>
      <c r="AD129" s="230">
        <f>(INDEX(Models!$BJ129:$BT129,,AH129)*(1-AF129)+INDEX(Models!$BJ129:$BT129,,AH129+1)*AF129-ERP_i)*AE129*Ramure*Pc/MaxiM</f>
        <v>3.4512609452383444E-7</v>
      </c>
      <c r="AE129" s="304">
        <f t="shared" si="40"/>
        <v>0.6</v>
      </c>
      <c r="AF129" s="177">
        <f t="shared" si="41"/>
        <v>6.4127517815990132E-2</v>
      </c>
      <c r="AG129" s="799">
        <f t="shared" si="49"/>
        <v>3</v>
      </c>
      <c r="AH129" s="176">
        <f t="shared" si="42"/>
        <v>9</v>
      </c>
      <c r="AI129" s="224">
        <f t="shared" si="43"/>
        <v>3.0641275178159901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46868</v>
      </c>
      <c r="B130" s="409">
        <f>IF(t&gt;Tmaj,'2027'!Wh/'2027'!Env_an*'2028'!Env_an,0.001*'[6]mon-tableau'!$B$260)</f>
        <v>52.522984864047324</v>
      </c>
      <c r="C130" s="829"/>
      <c r="D130" s="391">
        <f t="shared" si="25"/>
        <v>56.029319190587167</v>
      </c>
      <c r="E130" s="383">
        <f t="shared" si="47"/>
        <v>58.717248164933558</v>
      </c>
      <c r="F130" s="383">
        <f t="shared" si="26"/>
        <v>58.717250823576641</v>
      </c>
      <c r="G130" s="110">
        <f t="shared" si="48"/>
        <v>0.94669934573493819</v>
      </c>
      <c r="H130" s="412" t="b">
        <f>Wh_hp&gt;='2027'!Maxi_hp</f>
        <v>0</v>
      </c>
      <c r="I130" s="388">
        <f>IF(H130,Wh_hp,'2027'!Maxi_hp)</f>
        <v>58.717251034993211</v>
      </c>
      <c r="J130" s="85">
        <f>IF(H130,An,'2027'!An_max)</f>
        <v>2026</v>
      </c>
      <c r="K130" s="197">
        <f t="shared" si="27"/>
        <v>46868</v>
      </c>
      <c r="L130" s="147">
        <f>IF(t&lt;Tvie,1-EXP((T0-t)*PertePVj)+'2027'!Pspv,1-EXP((T0-t)*PertePVj)+Pspv)</f>
        <v>6.2580348595934754E-2</v>
      </c>
      <c r="M130" s="832"/>
      <c r="N130" s="832"/>
      <c r="O130" s="48">
        <f>IF(t&lt;Tnet,'2027'!Resal+('2027'!Salim-'2027'!Resal)*(1-EXP(('2027'!Tnet-t)/('2027'!Tau_j))),Resal+(Salim-Resal)*(1-EXP((Tnet-t)/(Tau_j))))*Salcycl</f>
        <v>4.5777502494601621E-2</v>
      </c>
      <c r="P130" s="169">
        <f>(INDEX(Models!$BJ130:$BT130,,T130)*(1-R130)+INDEX(Models!$BJ130:$BT130,,T130+1)*R130-ERP_i)*Q130*Ramure*Pc/MaxiM</f>
        <v>4.9010591076580176E-8</v>
      </c>
      <c r="Q130" s="304">
        <f t="shared" si="28"/>
        <v>0.6</v>
      </c>
      <c r="R130" s="177">
        <f t="shared" si="29"/>
        <v>0.54152190821987034</v>
      </c>
      <c r="S130" s="799">
        <f t="shared" si="30"/>
        <v>-1</v>
      </c>
      <c r="T130" s="176">
        <f t="shared" si="31"/>
        <v>5</v>
      </c>
      <c r="U130" s="250">
        <f t="shared" si="32"/>
        <v>-0.4584780917801296</v>
      </c>
      <c r="V130" s="382">
        <f t="shared" si="33"/>
        <v>55.4801108764524</v>
      </c>
      <c r="W130" s="400">
        <f t="shared" si="34"/>
        <v>52.522984864047324</v>
      </c>
      <c r="X130" s="157">
        <f t="shared" si="35"/>
        <v>46868</v>
      </c>
      <c r="Y130" s="383">
        <f t="shared" si="36"/>
        <v>51.17338929590229</v>
      </c>
      <c r="Z130" s="383">
        <f t="shared" si="37"/>
        <v>54.589627195520052</v>
      </c>
      <c r="AA130" s="384">
        <f t="shared" si="38"/>
        <v>58.717237362867877</v>
      </c>
      <c r="AB130" s="197">
        <f t="shared" si="39"/>
        <v>46868</v>
      </c>
      <c r="AC130" s="119">
        <f>IF(OR(t&lt;Tnet,NoTnet),'2027'!Resal_s+('2027'!Salim-'2027'!Resal_s)*(1-EXP(('2027'!Tnet_s-t)/'2027'!Tau_j)),Resal_s+(Salim-Resal_s)*(1-EXP((Tnet_s-t)/Tau_j)))*Salcycl</f>
        <v>7.0296395960176436E-2</v>
      </c>
      <c r="AD130" s="230">
        <f>(INDEX(Models!$BJ130:$BT130,,AH130)*(1-AF130)+INDEX(Models!$BJ130:$BT130,,AH130+1)*AF130-ERP_i)*AE130*Ramure*Pc/MaxiM</f>
        <v>2.481406015088776E-7</v>
      </c>
      <c r="AE130" s="304">
        <f t="shared" si="40"/>
        <v>0.6</v>
      </c>
      <c r="AF130" s="177">
        <f t="shared" si="41"/>
        <v>6.6509474593849038E-2</v>
      </c>
      <c r="AG130" s="799">
        <f t="shared" si="49"/>
        <v>3</v>
      </c>
      <c r="AH130" s="176">
        <f t="shared" si="42"/>
        <v>9</v>
      </c>
      <c r="AI130" s="224">
        <f t="shared" si="43"/>
        <v>3.066509474593849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46869</v>
      </c>
      <c r="B131" s="409">
        <f>IF(t&gt;Tmaj,'2027'!Wh/'2027'!Env_an*'2028'!Env_an,0.001*'[6]mon-tableau'!$B$261)</f>
        <v>40.110785223672877</v>
      </c>
      <c r="C131" s="829"/>
      <c r="D131" s="391">
        <f t="shared" si="25"/>
        <v>42.789324815598285</v>
      </c>
      <c r="E131" s="383">
        <f t="shared" si="47"/>
        <v>44.846932292327807</v>
      </c>
      <c r="F131" s="383">
        <f t="shared" si="26"/>
        <v>44.846933183698695</v>
      </c>
      <c r="G131" s="110">
        <f t="shared" si="48"/>
        <v>0.72206686446273005</v>
      </c>
      <c r="H131" s="412" t="b">
        <f>Wh_hp&gt;='2027'!Maxi_hp</f>
        <v>0</v>
      </c>
      <c r="I131" s="388">
        <f>IF(H131,Wh_hp,'2027'!Maxi_hp)</f>
        <v>44.84693374888743</v>
      </c>
      <c r="J131" s="85">
        <f>IF(H131,An,'2027'!An_max)</f>
        <v>2026</v>
      </c>
      <c r="K131" s="197">
        <f t="shared" si="27"/>
        <v>46869</v>
      </c>
      <c r="L131" s="147">
        <f>IF(t&lt;Tvie,1-EXP((T0-t)*PertePVj)+'2027'!Pspv,1-EXP((T0-t)*PertePVj)+Pspv)</f>
        <v>6.259831402969418E-2</v>
      </c>
      <c r="M131" s="832"/>
      <c r="N131" s="832"/>
      <c r="O131" s="48">
        <f>IF(t&lt;Tnet,'2027'!Resal+('2027'!Salim-'2027'!Resal)*(1-EXP(('2027'!Tnet-t)/('2027'!Tau_j))),Resal+(Salim-Resal)*(1-EXP((Tnet-t)/(Tau_j))))*Salcycl</f>
        <v>4.5880673918058203E-2</v>
      </c>
      <c r="P131" s="169">
        <f>(INDEX(Models!$BJ131:$BT131,,T131)*(1-R131)+INDEX(Models!$BJ131:$BT131,,T131+1)*R131-ERP_i)*Q131*Ramure*Pc/MaxiM</f>
        <v>3.2964194640285187E-8</v>
      </c>
      <c r="Q131" s="304">
        <f t="shared" si="28"/>
        <v>0.6</v>
      </c>
      <c r="R131" s="177">
        <f t="shared" si="29"/>
        <v>0.54397620920700529</v>
      </c>
      <c r="S131" s="799">
        <f t="shared" si="30"/>
        <v>-1</v>
      </c>
      <c r="T131" s="176">
        <f t="shared" si="31"/>
        <v>5</v>
      </c>
      <c r="U131" s="250">
        <f t="shared" si="32"/>
        <v>-0.45602379079299465</v>
      </c>
      <c r="V131" s="382">
        <f t="shared" si="33"/>
        <v>55.549958975799818</v>
      </c>
      <c r="W131" s="400">
        <f t="shared" si="34"/>
        <v>40.110785223672877</v>
      </c>
      <c r="X131" s="157">
        <f t="shared" si="35"/>
        <v>46869</v>
      </c>
      <c r="Y131" s="383">
        <f t="shared" si="36"/>
        <v>39.080720598217134</v>
      </c>
      <c r="Z131" s="383">
        <f t="shared" si="37"/>
        <v>41.69047398049495</v>
      </c>
      <c r="AA131" s="384">
        <f t="shared" si="38"/>
        <v>44.846928679886901</v>
      </c>
      <c r="AB131" s="197">
        <f t="shared" si="39"/>
        <v>46869</v>
      </c>
      <c r="AC131" s="119">
        <f>IF(OR(t&lt;Tnet,NoTnet),'2027'!Resal_s+('2027'!Salim-'2027'!Resal_s)*(1-EXP(('2027'!Tnet_s-t)/'2027'!Tau_j)),Resal_s+(Salim-Resal_s)*(1-EXP((Tnet_s-t)/Tau_j)))*Salcycl</f>
        <v>7.0382851006864283E-2</v>
      </c>
      <c r="AD131" s="230">
        <f>(INDEX(Models!$BJ131:$BT131,,AH131)*(1-AF131)+INDEX(Models!$BJ131:$BT131,,AH131+1)*AF131-ERP_i)*AE131*Ramure*Pc/MaxiM</f>
        <v>1.6655752433022119E-7</v>
      </c>
      <c r="AE131" s="304">
        <f t="shared" si="40"/>
        <v>0.6</v>
      </c>
      <c r="AF131" s="177">
        <f t="shared" si="41"/>
        <v>6.8963775580983988E-2</v>
      </c>
      <c r="AG131" s="799">
        <f t="shared" si="49"/>
        <v>3</v>
      </c>
      <c r="AH131" s="176">
        <f t="shared" si="42"/>
        <v>9</v>
      </c>
      <c r="AI131" s="224">
        <f t="shared" si="43"/>
        <v>3.068963775580984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46870</v>
      </c>
      <c r="B132" s="409">
        <f>IF(t&gt;Tmaj,'2027'!Wh/'2027'!Env_an*'2028'!Env_an,0.001*'[6]mon-tableau'!$B$262)</f>
        <v>22.599228098066529</v>
      </c>
      <c r="C132" s="829"/>
      <c r="D132" s="391">
        <f t="shared" si="25"/>
        <v>24.108833548795005</v>
      </c>
      <c r="E132" s="383">
        <f t="shared" si="47"/>
        <v>25.270902531408844</v>
      </c>
      <c r="F132" s="383">
        <f t="shared" si="26"/>
        <v>25.270902608034003</v>
      </c>
      <c r="G132" s="110">
        <f t="shared" si="48"/>
        <v>0.40633699363490206</v>
      </c>
      <c r="H132" s="412" t="b">
        <f>Wh_hp&gt;='2027'!Maxi_hp</f>
        <v>0</v>
      </c>
      <c r="I132" s="388">
        <f>IF(H132,Wh_hp,'2027'!Maxi_hp)</f>
        <v>48.436349706395312</v>
      </c>
      <c r="J132" s="85">
        <f>IF(H132,An,'2027'!An_max)</f>
        <v>2018</v>
      </c>
      <c r="K132" s="197">
        <f t="shared" si="27"/>
        <v>46870</v>
      </c>
      <c r="L132" s="147">
        <f>IF(t&lt;Tvie,1-EXP((T0-t)*PertePVj)+'2027'!Pspv,1-EXP((T0-t)*PertePVj)+Pspv)</f>
        <v>6.261627911915002E-2</v>
      </c>
      <c r="M132" s="832"/>
      <c r="N132" s="832"/>
      <c r="O132" s="48">
        <f>IF(t&lt;Tnet,'2027'!Resal+('2027'!Salim-'2027'!Resal)*(1-EXP(('2027'!Tnet-t)/('2027'!Tau_j))),Resal+(Salim-Resal)*(1-EXP((Tnet-t)/(Tau_j))))*Salcycl</f>
        <v>4.5984466964308801E-2</v>
      </c>
      <c r="P132" s="169">
        <f>(INDEX(Models!$BJ132:$BT132,,T132)*(1-R132)+INDEX(Models!$BJ132:$BT132,,T132+1)*R132-ERP_i)*Q132*Ramure*Pc/MaxiM</f>
        <v>1.9960172184592712E-8</v>
      </c>
      <c r="Q132" s="304">
        <f t="shared" si="28"/>
        <v>0.6</v>
      </c>
      <c r="R132" s="177">
        <f t="shared" si="29"/>
        <v>0.54650403324988273</v>
      </c>
      <c r="S132" s="799">
        <f t="shared" si="30"/>
        <v>-1</v>
      </c>
      <c r="T132" s="176">
        <f t="shared" si="31"/>
        <v>5</v>
      </c>
      <c r="U132" s="250">
        <f t="shared" si="32"/>
        <v>-0.45349596675011733</v>
      </c>
      <c r="V132" s="382">
        <f t="shared" si="33"/>
        <v>55.616958508611518</v>
      </c>
      <c r="W132" s="400">
        <f t="shared" si="34"/>
        <v>22.599228098066529</v>
      </c>
      <c r="X132" s="157">
        <f t="shared" si="35"/>
        <v>46870</v>
      </c>
      <c r="Y132" s="383">
        <f t="shared" si="36"/>
        <v>22.019194973756985</v>
      </c>
      <c r="Z132" s="383">
        <f t="shared" si="37"/>
        <v>23.490054801747327</v>
      </c>
      <c r="AA132" s="384">
        <f t="shared" si="38"/>
        <v>25.270902221681666</v>
      </c>
      <c r="AB132" s="197">
        <f t="shared" si="39"/>
        <v>46870</v>
      </c>
      <c r="AC132" s="119">
        <f>IF(OR(t&lt;Tnet,NoTnet),'2027'!Resal_s+('2027'!Salim-'2027'!Resal_s)*(1-EXP(('2027'!Tnet_s-t)/'2027'!Tau_j)),Resal_s+(Salim-Resal_s)*(1-EXP((Tnet_s-t)/Tau_j)))*Salcycl</f>
        <v>7.0470274638885944E-2</v>
      </c>
      <c r="AD132" s="230">
        <f>(INDEX(Models!$BJ132:$BT132,,AH132)*(1-AF132)+INDEX(Models!$BJ132:$BT132,,AH132+1)*AF132-ERP_i)*AE132*Ramure*Pc/MaxiM</f>
        <v>1.0064134352960134E-7</v>
      </c>
      <c r="AE132" s="304">
        <f t="shared" si="40"/>
        <v>0.6</v>
      </c>
      <c r="AF132" s="177">
        <f t="shared" si="41"/>
        <v>7.1491599623861202E-2</v>
      </c>
      <c r="AG132" s="799">
        <f t="shared" si="49"/>
        <v>3</v>
      </c>
      <c r="AH132" s="176">
        <f t="shared" si="42"/>
        <v>9</v>
      </c>
      <c r="AI132" s="224">
        <f t="shared" si="43"/>
        <v>3.0714915996238612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46871</v>
      </c>
      <c r="B133" s="409">
        <f>IF(t&gt;Tmaj,'2027'!Wh/'2027'!Env_an*'2028'!Env_an,0.001*'[6]mon-tableau'!$B$263)</f>
        <v>41.007804502938647</v>
      </c>
      <c r="C133" s="829"/>
      <c r="D133" s="391">
        <f t="shared" si="25"/>
        <v>43.747922552658785</v>
      </c>
      <c r="E133" s="383">
        <f t="shared" si="47"/>
        <v>45.861633918377876</v>
      </c>
      <c r="F133" s="383">
        <f t="shared" si="26"/>
        <v>45.861634206469617</v>
      </c>
      <c r="G133" s="110">
        <f t="shared" si="48"/>
        <v>0.73646968287328096</v>
      </c>
      <c r="H133" s="412" t="b">
        <f>Wh_hp&gt;='2027'!Maxi_hp</f>
        <v>0</v>
      </c>
      <c r="I133" s="388">
        <f>IF(H133,Wh_hp,'2027'!Maxi_hp)</f>
        <v>49.060314253198726</v>
      </c>
      <c r="J133" s="85">
        <f>IF(H133,An,'2027'!An_max)</f>
        <v>2018</v>
      </c>
      <c r="K133" s="197">
        <f t="shared" si="27"/>
        <v>46871</v>
      </c>
      <c r="L133" s="147">
        <f>IF(t&lt;Tvie,1-EXP((T0-t)*PertePVj)+'2027'!Pspv,1-EXP((T0-t)*PertePVj)+Pspv)</f>
        <v>6.2634243864309158E-2</v>
      </c>
      <c r="M133" s="832"/>
      <c r="N133" s="832"/>
      <c r="O133" s="48">
        <f>IF(t&lt;Tnet,'2027'!Resal+('2027'!Salim-'2027'!Resal)*(1-EXP(('2027'!Tnet-t)/('2027'!Tau_j))),Resal+(Salim-Resal)*(1-EXP((Tnet-t)/(Tau_j))))*Salcycl</f>
        <v>4.6088880511343445E-2</v>
      </c>
      <c r="P133" s="169">
        <f>(INDEX(Models!$BJ133:$BT133,,T133)*(1-R133)+INDEX(Models!$BJ133:$BT133,,T133+1)*R133-ERP_i)*Q133*Ramure*Pc/MaxiM</f>
        <v>1.0074540114391611E-8</v>
      </c>
      <c r="Q133" s="304">
        <f t="shared" si="28"/>
        <v>0.6</v>
      </c>
      <c r="R133" s="177">
        <f t="shared" si="29"/>
        <v>0.54910650301101471</v>
      </c>
      <c r="S133" s="799">
        <f t="shared" si="30"/>
        <v>-1</v>
      </c>
      <c r="T133" s="176">
        <f t="shared" si="31"/>
        <v>5</v>
      </c>
      <c r="U133" s="250">
        <f t="shared" si="32"/>
        <v>-0.45089349698898529</v>
      </c>
      <c r="V133" s="382">
        <f t="shared" si="33"/>
        <v>55.681591925707195</v>
      </c>
      <c r="W133" s="400">
        <f t="shared" si="34"/>
        <v>41.007804502938647</v>
      </c>
      <c r="X133" s="157">
        <f t="shared" si="35"/>
        <v>46871</v>
      </c>
      <c r="Y133" s="383">
        <f t="shared" si="36"/>
        <v>39.955868984666978</v>
      </c>
      <c r="Z133" s="383">
        <f t="shared" si="37"/>
        <v>42.625697304524813</v>
      </c>
      <c r="AA133" s="384">
        <f t="shared" si="38"/>
        <v>45.861632756998368</v>
      </c>
      <c r="AB133" s="197">
        <f t="shared" si="39"/>
        <v>46871</v>
      </c>
      <c r="AC133" s="119">
        <f>IF(OR(t&lt;Tnet,NoTnet),'2027'!Resal_s+('2027'!Salim-'2027'!Resal_s)*(1-EXP(('2027'!Tnet_s-t)/'2027'!Tau_j)),Resal_s+(Salim-Resal_s)*(1-EXP((Tnet_s-t)/Tau_j)))*Salcycl</f>
        <v>7.0558662174533243E-2</v>
      </c>
      <c r="AD133" s="230">
        <f>(INDEX(Models!$BJ133:$BT133,,AH133)*(1-AF133)+INDEX(Models!$BJ133:$BT133,,AH133+1)*AF133-ERP_i)*AE133*Ramure*Pc/MaxiM</f>
        <v>5.0687868959993408E-8</v>
      </c>
      <c r="AE133" s="304">
        <f t="shared" si="40"/>
        <v>0.6</v>
      </c>
      <c r="AF133" s="177">
        <f t="shared" si="41"/>
        <v>7.4094069384993411E-2</v>
      </c>
      <c r="AG133" s="799">
        <f t="shared" si="49"/>
        <v>3</v>
      </c>
      <c r="AH133" s="176">
        <f t="shared" si="42"/>
        <v>9</v>
      </c>
      <c r="AI133" s="224">
        <f t="shared" si="43"/>
        <v>3.0740940693849934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46872</v>
      </c>
      <c r="B134" s="409">
        <f>IF(t&gt;Tmaj,'2027'!Wh/'2027'!Env_an*'2028'!Env_an,0.001*'[6]mon-tableau'!$B$264)</f>
        <v>42.024294081134251</v>
      </c>
      <c r="C134" s="829"/>
      <c r="D134" s="391">
        <f t="shared" si="25"/>
        <v>44.833192601175966</v>
      </c>
      <c r="E134" s="383">
        <f t="shared" si="47"/>
        <v>47.004515038084683</v>
      </c>
      <c r="F134" s="383">
        <f t="shared" si="26"/>
        <v>47.004515141429096</v>
      </c>
      <c r="G134" s="110">
        <f t="shared" si="48"/>
        <v>0.7538755124764871</v>
      </c>
      <c r="H134" s="412" t="b">
        <f>Wh_hp&gt;='2027'!Maxi_hp</f>
        <v>0</v>
      </c>
      <c r="I134" s="388">
        <f>IF(H134,Wh_hp,'2027'!Maxi_hp)</f>
        <v>62.303261019981171</v>
      </c>
      <c r="J134" s="85">
        <f>IF(H134,An,'2027'!An_max)</f>
        <v>2018</v>
      </c>
      <c r="K134" s="197">
        <f t="shared" si="27"/>
        <v>46872</v>
      </c>
      <c r="L134" s="147">
        <f>IF(t&lt;Tvie,1-EXP((T0-t)*PertePVj)+'2027'!Pspv,1-EXP((T0-t)*PertePVj)+Pspv)</f>
        <v>6.2652208265178033E-2</v>
      </c>
      <c r="M134" s="832"/>
      <c r="N134" s="832"/>
      <c r="O134" s="48">
        <f>IF(t&lt;Tnet,'2027'!Resal+('2027'!Salim-'2027'!Resal)*(1-EXP(('2027'!Tnet-t)/('2027'!Tau_j))),Resal+(Salim-Resal)*(1-EXP((Tnet-t)/(Tau_j))))*Salcycl</f>
        <v>4.6193912119919384E-2</v>
      </c>
      <c r="P134" s="169">
        <f>(INDEX(Models!$BJ134:$BT134,,T134)*(1-R134)+INDEX(Models!$BJ134:$BT134,,T134+1)*R134-ERP_i)*Q134*Ramure*Pc/MaxiM</f>
        <v>3.3908510041289511E-9</v>
      </c>
      <c r="Q134" s="304">
        <f t="shared" si="28"/>
        <v>0.6</v>
      </c>
      <c r="R134" s="177">
        <f t="shared" si="29"/>
        <v>0.55178467866829384</v>
      </c>
      <c r="S134" s="799">
        <f t="shared" si="30"/>
        <v>-1</v>
      </c>
      <c r="T134" s="176">
        <f t="shared" si="31"/>
        <v>5</v>
      </c>
      <c r="U134" s="250">
        <f t="shared" si="32"/>
        <v>-0.44821532133170616</v>
      </c>
      <c r="V134" s="382">
        <f t="shared" si="33"/>
        <v>55.744341519969069</v>
      </c>
      <c r="W134" s="400">
        <f t="shared" si="34"/>
        <v>42.024294081134251</v>
      </c>
      <c r="X134" s="157">
        <f t="shared" si="35"/>
        <v>46872</v>
      </c>
      <c r="Y134" s="383">
        <f t="shared" si="36"/>
        <v>40.946856611416621</v>
      </c>
      <c r="Z134" s="383">
        <f t="shared" si="37"/>
        <v>43.683739346772356</v>
      </c>
      <c r="AA134" s="384">
        <f t="shared" si="38"/>
        <v>47.004514622618728</v>
      </c>
      <c r="AB134" s="197">
        <f t="shared" si="39"/>
        <v>46872</v>
      </c>
      <c r="AC134" s="119">
        <f>IF(OR(t&lt;Tnet,NoTnet),'2027'!Resal_s+('2027'!Salim-'2027'!Resal_s)*(1-EXP(('2027'!Tnet_s-t)/'2027'!Tau_j)),Resal_s+(Salim-Resal_s)*(1-EXP((Tnet_s-t)/Tau_j)))*Salcycl</f>
        <v>7.0648006952259867E-2</v>
      </c>
      <c r="AD134" s="230">
        <f>(INDEX(Models!$BJ134:$BT134,,AH134)*(1-AF134)+INDEX(Models!$BJ134:$BT134,,AH134+1)*AF134-ERP_i)*AE134*Ramure*Pc/MaxiM</f>
        <v>1.702277475568329E-8</v>
      </c>
      <c r="AE134" s="304">
        <f t="shared" si="40"/>
        <v>0.6</v>
      </c>
      <c r="AF134" s="177">
        <f t="shared" si="41"/>
        <v>7.6772245042272313E-2</v>
      </c>
      <c r="AG134" s="799">
        <f t="shared" si="49"/>
        <v>3</v>
      </c>
      <c r="AH134" s="176">
        <f t="shared" si="42"/>
        <v>9</v>
      </c>
      <c r="AI134" s="224">
        <f t="shared" si="43"/>
        <v>3.0767722450422723</v>
      </c>
      <c r="AJ134" s="264" t="b">
        <f t="shared" si="44"/>
        <v>1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46873</v>
      </c>
      <c r="B135" s="409">
        <f>IF(t&gt;Tmaj,'2027'!Wh/'2027'!Env_an*'2028'!Env_an,0.001*[7]mois!$B$242)</f>
        <v>47.326017768421742</v>
      </c>
      <c r="C135" s="829"/>
      <c r="D135" s="391">
        <f t="shared" si="25"/>
        <v>50.490250465674549</v>
      </c>
      <c r="E135" s="383">
        <f t="shared" si="47"/>
        <v>50.954149693561234</v>
      </c>
      <c r="F135" s="383">
        <f t="shared" si="26"/>
        <v>50.954149693561234</v>
      </c>
      <c r="G135" s="110">
        <f t="shared" si="48"/>
        <v>0.81624045075881102</v>
      </c>
      <c r="H135" s="412" t="b">
        <f>Wh_hp&gt;='2027'!Maxi_hp</f>
        <v>0</v>
      </c>
      <c r="I135" s="388">
        <f>IF(H135,Wh_hp,'2027'!Maxi_hp)</f>
        <v>58.712576893324226</v>
      </c>
      <c r="J135" s="85">
        <f>IF(H135,An,'2027'!An_max)</f>
        <v>2018</v>
      </c>
      <c r="K135" s="197">
        <f t="shared" si="27"/>
        <v>46873</v>
      </c>
      <c r="L135" s="147">
        <f>IF(t&lt;Tvie,1-EXP((T0-t)*PertePVj)+'2027'!Pspv,1-EXP((T0-t)*PertePVj)+Pspv)</f>
        <v>6.2670172321763196E-2</v>
      </c>
      <c r="M135" s="832"/>
      <c r="N135" s="832"/>
      <c r="O135" s="48">
        <f>IF(t&lt;Tnet,'2027'!Resal+('2027'!Salim-'2027'!Resal)*(1-EXP(('2027'!Tnet-t)/('2027'!Tau_j))),Resal+(Salim-Resal)*(1-EXP((Tnet-t)/(Tau_j))))*Salcycl</f>
        <v>9.1042482442858959E-3</v>
      </c>
      <c r="P135" s="169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0.55453955142635381</v>
      </c>
      <c r="S135" s="799">
        <f t="shared" si="30"/>
        <v>-1</v>
      </c>
      <c r="T135" s="176">
        <f t="shared" si="31"/>
        <v>5</v>
      </c>
      <c r="U135" s="250">
        <f t="shared" si="32"/>
        <v>-0.44546044857364614</v>
      </c>
      <c r="V135" s="382">
        <f t="shared" si="33"/>
        <v>57.980485682160825</v>
      </c>
      <c r="W135" s="400">
        <f t="shared" si="34"/>
        <v>47.326017768421742</v>
      </c>
      <c r="X135" s="157">
        <f t="shared" si="35"/>
        <v>46873</v>
      </c>
      <c r="Y135" s="383">
        <f t="shared" si="36"/>
        <v>45.549538369365031</v>
      </c>
      <c r="Z135" s="383">
        <f t="shared" si="37"/>
        <v>48.594995085338425</v>
      </c>
      <c r="AA135" s="384">
        <f t="shared" si="38"/>
        <v>50.954149693561234</v>
      </c>
      <c r="AB135" s="197">
        <f t="shared" si="39"/>
        <v>46873</v>
      </c>
      <c r="AC135" s="119">
        <f>IF(OR(t&lt;Tnet,NoTnet),'2027'!Resal_s+('2027'!Salim-'2027'!Resal_s)*(1-EXP(('2027'!Tnet_s-t)/'2027'!Tau_j)),Resal_s+(Salim-Resal_s)*(1-EXP((Tnet_s-t)/Tau_j)))*Salcycl</f>
        <v>4.6299557983221946E-2</v>
      </c>
      <c r="AD135" s="230">
        <f>(INDEX(Models!$BJ135:$BT135,,AH135)*(1-AF135)+INDEX(Models!$BJ135:$BT135,,AH135+1)*AF135-ERP_i)*AE135*Ramure*Pc/MaxiM</f>
        <v>0</v>
      </c>
      <c r="AE135" s="304">
        <f t="shared" si="40"/>
        <v>0.6</v>
      </c>
      <c r="AF135" s="177">
        <f t="shared" si="41"/>
        <v>7.9527117800332281E-2</v>
      </c>
      <c r="AG135" s="799">
        <f t="shared" si="49"/>
        <v>3</v>
      </c>
      <c r="AH135" s="176">
        <f t="shared" si="42"/>
        <v>9</v>
      </c>
      <c r="AI135" s="224">
        <f t="shared" si="43"/>
        <v>3.0795271178003323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46874</v>
      </c>
      <c r="B136" s="409">
        <f>IF(t&gt;Tmaj,'2027'!Wh/'2027'!Env_an*'2028'!Env_an,0.001*[7]mois!$B$243)</f>
        <v>29.323633620142122</v>
      </c>
      <c r="C136" s="829"/>
      <c r="D136" s="391">
        <f t="shared" si="25"/>
        <v>31.284820717054362</v>
      </c>
      <c r="E136" s="383">
        <f t="shared" si="47"/>
        <v>31.576377064141166</v>
      </c>
      <c r="F136" s="383">
        <f t="shared" si="26"/>
        <v>31.576377064141166</v>
      </c>
      <c r="G136" s="110">
        <f t="shared" si="48"/>
        <v>0.5052582348550011</v>
      </c>
      <c r="H136" s="412" t="b">
        <f>Wh_hp&gt;='2027'!Maxi_hp</f>
        <v>0</v>
      </c>
      <c r="I136" s="388">
        <f>IF(H136,Wh_hp,'2027'!Maxi_hp)</f>
        <v>48.58732792238655</v>
      </c>
      <c r="J136" s="85">
        <f>IF(H136,An,'2027'!An_max)</f>
        <v>2021</v>
      </c>
      <c r="K136" s="197">
        <f t="shared" si="27"/>
        <v>46874</v>
      </c>
      <c r="L136" s="147">
        <f>IF(t&lt;Tvie,1-EXP((T0-t)*PertePVj)+'2027'!Pspv,1-EXP((T0-t)*PertePVj)+Pspv)</f>
        <v>6.2688136034071418E-2</v>
      </c>
      <c r="M136" s="832"/>
      <c r="N136" s="832"/>
      <c r="O136" s="48">
        <f>IF(t&lt;Tnet,'2027'!Resal+('2027'!Salim-'2027'!Resal)*(1-EXP(('2027'!Tnet-t)/('2027'!Tau_j))),Resal+(Salim-Resal)*(1-EXP((Tnet-t)/(Tau_j))))*Salcycl</f>
        <v>9.2333691890796443E-3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0.55737203686178893</v>
      </c>
      <c r="S136" s="799">
        <f t="shared" si="30"/>
        <v>-1</v>
      </c>
      <c r="T136" s="176">
        <f t="shared" si="31"/>
        <v>5</v>
      </c>
      <c r="U136" s="250">
        <f t="shared" si="32"/>
        <v>-0.44262796313821107</v>
      </c>
      <c r="V136" s="382">
        <f t="shared" si="33"/>
        <v>58.03692369023419</v>
      </c>
      <c r="W136" s="400">
        <f t="shared" si="34"/>
        <v>29.323633620142122</v>
      </c>
      <c r="X136" s="157">
        <f t="shared" si="35"/>
        <v>46874</v>
      </c>
      <c r="Y136" s="383">
        <f t="shared" si="36"/>
        <v>28.223444044113553</v>
      </c>
      <c r="Z136" s="383">
        <f t="shared" si="37"/>
        <v>30.111049618741919</v>
      </c>
      <c r="AA136" s="384">
        <f t="shared" si="38"/>
        <v>31.576377064141166</v>
      </c>
      <c r="AB136" s="197">
        <f t="shared" si="39"/>
        <v>46874</v>
      </c>
      <c r="AC136" s="119">
        <f>IF(OR(t&lt;Tnet,NoTnet),'2027'!Resal_s+('2027'!Salim-'2027'!Resal_s)*(1-EXP(('2027'!Tnet_s-t)/'2027'!Tau_j)),Resal_s+(Salim-Resal_s)*(1-EXP((Tnet_s-t)/Tau_j)))*Salcycl</f>
        <v>4.6405812877858867E-2</v>
      </c>
      <c r="AD136" s="230">
        <f>(INDEX(Models!$BJ136:$BT136,,AH136)*(1-AF136)+INDEX(Models!$BJ136:$BT136,,AH136+1)*AF136-ERP_i)*AE136*Ramure*Pc/MaxiM</f>
        <v>1.1638272178221108E-20</v>
      </c>
      <c r="AE136" s="304">
        <f t="shared" si="40"/>
        <v>0.6</v>
      </c>
      <c r="AF136" s="177">
        <f t="shared" si="41"/>
        <v>8.2359603235767409E-2</v>
      </c>
      <c r="AG136" s="799">
        <f t="shared" si="49"/>
        <v>3</v>
      </c>
      <c r="AH136" s="176">
        <f t="shared" si="42"/>
        <v>9</v>
      </c>
      <c r="AI136" s="224">
        <f t="shared" si="43"/>
        <v>3.0823596032357674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46875</v>
      </c>
      <c r="B137" s="409">
        <f>IF(t&gt;Tmaj,'2027'!Wh/'2027'!Env_an*'2028'!Env_an,0.001*[7]mois!$B$244)</f>
        <v>38.36892294739409</v>
      </c>
      <c r="C137" s="829"/>
      <c r="D137" s="391">
        <f t="shared" si="25"/>
        <v>40.935850455144234</v>
      </c>
      <c r="E137" s="383">
        <f t="shared" si="47"/>
        <v>41.322738805069314</v>
      </c>
      <c r="F137" s="383">
        <f t="shared" si="26"/>
        <v>41.322738805069314</v>
      </c>
      <c r="G137" s="110">
        <f t="shared" si="48"/>
        <v>0.66051880596492141</v>
      </c>
      <c r="H137" s="412" t="b">
        <f>Wh_hp&gt;='2027'!Maxi_hp</f>
        <v>0</v>
      </c>
      <c r="I137" s="388">
        <f>IF(H137,Wh_hp,'2027'!Maxi_hp)</f>
        <v>60.66641025918041</v>
      </c>
      <c r="J137" s="85">
        <f>IF(H137,An,'2027'!An_max)</f>
        <v>2021</v>
      </c>
      <c r="K137" s="197">
        <f t="shared" si="27"/>
        <v>46875</v>
      </c>
      <c r="L137" s="147">
        <f>IF(t&lt;Tvie,1-EXP((T0-t)*PertePVj)+'2027'!Pspv,1-EXP((T0-t)*PertePVj)+Pspv)</f>
        <v>6.2706099402109028E-2</v>
      </c>
      <c r="M137" s="832"/>
      <c r="N137" s="832"/>
      <c r="O137" s="48">
        <f>IF(t&lt;Tnet,'2027'!Resal+('2027'!Salim-'2027'!Resal)*(1-EXP(('2027'!Tnet-t)/('2027'!Tau_j))),Resal+(Salim-Resal)*(1-EXP((Tnet-t)/(Tau_j))))*Salcycl</f>
        <v>9.3626018292286457E-3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0.56028296812735268</v>
      </c>
      <c r="S137" s="799">
        <f t="shared" si="30"/>
        <v>-1</v>
      </c>
      <c r="T137" s="176">
        <f t="shared" si="31"/>
        <v>5</v>
      </c>
      <c r="U137" s="250">
        <f t="shared" si="32"/>
        <v>-0.43971703187264727</v>
      </c>
      <c r="V137" s="382">
        <f t="shared" si="33"/>
        <v>58.089069684159419</v>
      </c>
      <c r="W137" s="400">
        <f t="shared" si="34"/>
        <v>38.36892294739409</v>
      </c>
      <c r="X137" s="157">
        <f t="shared" si="35"/>
        <v>46875</v>
      </c>
      <c r="Y137" s="383">
        <f t="shared" si="36"/>
        <v>36.930043181452852</v>
      </c>
      <c r="Z137" s="383">
        <f t="shared" si="37"/>
        <v>39.400707886710371</v>
      </c>
      <c r="AA137" s="384">
        <f t="shared" si="38"/>
        <v>41.322738805069314</v>
      </c>
      <c r="AB137" s="197">
        <f t="shared" si="39"/>
        <v>46875</v>
      </c>
      <c r="AC137" s="119">
        <f>IF(OR(t&lt;Tnet,NoTnet),'2027'!Resal_s+('2027'!Salim-'2027'!Resal_s)*(1-EXP(('2027'!Tnet_s-t)/'2027'!Tau_j)),Resal_s+(Salim-Resal_s)*(1-EXP((Tnet_s-t)/Tau_j)))*Salcycl</f>
        <v>4.6512670116704645E-2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8.5270534501331152E-2</v>
      </c>
      <c r="AG137" s="799">
        <f t="shared" si="49"/>
        <v>3</v>
      </c>
      <c r="AH137" s="176">
        <f t="shared" si="42"/>
        <v>9</v>
      </c>
      <c r="AI137" s="224">
        <f t="shared" si="43"/>
        <v>3.0852705345013312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46876</v>
      </c>
      <c r="B138" s="409">
        <f>IF(t&gt;Tmaj,'2027'!Wh/'2027'!Env_an*'2028'!Env_an,0.001*[7]mois!$B$245)</f>
        <v>20.526315528619023</v>
      </c>
      <c r="C138" s="829"/>
      <c r="D138" s="391">
        <f t="shared" si="25"/>
        <v>21.899970655115492</v>
      </c>
      <c r="E138" s="383">
        <f t="shared" si="47"/>
        <v>22.109836084282311</v>
      </c>
      <c r="F138" s="383">
        <f t="shared" si="26"/>
        <v>22.109836084282311</v>
      </c>
      <c r="G138" s="110">
        <f t="shared" si="48"/>
        <v>0.35306725952179024</v>
      </c>
      <c r="H138" s="412" t="b">
        <f>Wh_hp&gt;='2027'!Maxi_hp</f>
        <v>0</v>
      </c>
      <c r="I138" s="388">
        <f>IF(H138,Wh_hp,'2027'!Maxi_hp)</f>
        <v>53.762353847555971</v>
      </c>
      <c r="J138" s="85">
        <f>IF(H138,An,'2027'!An_max)</f>
        <v>2021</v>
      </c>
      <c r="K138" s="197">
        <f t="shared" si="27"/>
        <v>46876</v>
      </c>
      <c r="L138" s="147">
        <f>IF(t&lt;Tvie,1-EXP((T0-t)*PertePVj)+'2027'!Pspv,1-EXP((T0-t)*PertePVj)+Pspv)</f>
        <v>6.2724062425882909E-2</v>
      </c>
      <c r="M138" s="832"/>
      <c r="N138" s="832"/>
      <c r="O138" s="48">
        <f>IF(t&lt;Tnet,'2027'!Resal+('2027'!Salim-'2027'!Resal)*(1-EXP(('2027'!Tnet-t)/('2027'!Tau_j))),Resal+(Salim-Resal)*(1-EXP((Tnet-t)/(Tau_j))))*Salcycl</f>
        <v>9.4919486678605083E-3</v>
      </c>
      <c r="P138" s="169">
        <f>(INDEX(Models!$BJ138:$BT138,,T138)*(1-R138)+INDEX(Models!$BJ138:$BT138,,T138+1)*R138-ERP_i)*Q138*Ramure*Pc/MaxiM</f>
        <v>0</v>
      </c>
      <c r="Q138" s="304">
        <f t="shared" si="28"/>
        <v>0.6</v>
      </c>
      <c r="R138" s="177">
        <f t="shared" si="29"/>
        <v>0.56327308904364315</v>
      </c>
      <c r="S138" s="799">
        <f t="shared" si="30"/>
        <v>-1</v>
      </c>
      <c r="T138" s="176">
        <f t="shared" si="31"/>
        <v>5</v>
      </c>
      <c r="U138" s="250">
        <f t="shared" si="32"/>
        <v>-0.43672691095635685</v>
      </c>
      <c r="V138" s="382">
        <f t="shared" si="33"/>
        <v>58.137125363651002</v>
      </c>
      <c r="W138" s="400">
        <f t="shared" si="34"/>
        <v>20.526315528619023</v>
      </c>
      <c r="X138" s="157">
        <f t="shared" si="35"/>
        <v>46876</v>
      </c>
      <c r="Y138" s="383">
        <f t="shared" si="36"/>
        <v>19.756907758925905</v>
      </c>
      <c r="Z138" s="383">
        <f t="shared" si="37"/>
        <v>21.079072839596488</v>
      </c>
      <c r="AA138" s="384">
        <f t="shared" si="38"/>
        <v>22.109836084282311</v>
      </c>
      <c r="AB138" s="197">
        <f t="shared" si="39"/>
        <v>46876</v>
      </c>
      <c r="AC138" s="119">
        <f>IF(OR(t&lt;Tnet,NoTnet),'2027'!Resal_s+('2027'!Salim-'2027'!Resal_s)*(1-EXP(('2027'!Tnet_s-t)/'2027'!Tau_j)),Resal_s+(Salim-Resal_s)*(1-EXP((Tnet_s-t)/Tau_j)))*Salcycl</f>
        <v>4.6620121504138252E-2</v>
      </c>
      <c r="AD138" s="230">
        <f>(INDEX(Models!$BJ138:$BT138,,AH138)*(1-AF138)+INDEX(Models!$BJ138:$BT138,,AH138+1)*AF138-ERP_i)*AE138*Ramure*Pc/MaxiM</f>
        <v>0</v>
      </c>
      <c r="AE138" s="304">
        <f t="shared" si="40"/>
        <v>0.6</v>
      </c>
      <c r="AF138" s="177">
        <f t="shared" si="41"/>
        <v>8.8260655417621514E-2</v>
      </c>
      <c r="AG138" s="799">
        <f t="shared" si="49"/>
        <v>3</v>
      </c>
      <c r="AH138" s="176">
        <f t="shared" si="42"/>
        <v>9</v>
      </c>
      <c r="AI138" s="224">
        <f t="shared" si="43"/>
        <v>3.0882606554176215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46877</v>
      </c>
      <c r="B139" s="409">
        <f>IF(t&gt;Tmaj,'2027'!Wh/'2027'!Env_an*'2028'!Env_an,0.001*[7]mois!$B$246)</f>
        <v>42.986463685732041</v>
      </c>
      <c r="C139" s="829"/>
      <c r="D139" s="391">
        <f t="shared" si="25"/>
        <v>45.864068204451492</v>
      </c>
      <c r="E139" s="383">
        <f t="shared" si="47"/>
        <v>46.309632245425455</v>
      </c>
      <c r="F139" s="383">
        <f t="shared" si="26"/>
        <v>46.309632245425455</v>
      </c>
      <c r="G139" s="110">
        <f t="shared" si="48"/>
        <v>0.73883652213561535</v>
      </c>
      <c r="H139" s="412" t="b">
        <f>Wh_hp&gt;='2027'!Maxi_hp</f>
        <v>0</v>
      </c>
      <c r="I139" s="388">
        <f>IF(H139,Wh_hp,'2027'!Maxi_hp)</f>
        <v>62.195002367063097</v>
      </c>
      <c r="J139" s="85">
        <f>IF(H139,An,'2027'!An_max)</f>
        <v>2020</v>
      </c>
      <c r="K139" s="197">
        <f t="shared" si="27"/>
        <v>46877</v>
      </c>
      <c r="L139" s="147">
        <f>IF(t&lt;Tvie,1-EXP((T0-t)*PertePVj)+'2027'!Pspv,1-EXP((T0-t)*PertePVj)+Pspv)</f>
        <v>6.2742025105399502E-2</v>
      </c>
      <c r="M139" s="832"/>
      <c r="N139" s="832"/>
      <c r="O139" s="48">
        <f>IF(t&lt;Tnet,'2027'!Resal+('2027'!Salim-'2027'!Resal)*(1-EXP(('2027'!Tnet-t)/('2027'!Tau_j))),Resal+(Salim-Resal)*(1-EXP((Tnet-t)/(Tau_j))))*Salcycl</f>
        <v>9.6214117748252507E-3</v>
      </c>
      <c r="P139" s="169">
        <f>(INDEX(Models!$BJ139:$BT139,,T139)*(1-R139)+INDEX(Models!$BJ139:$BT139,,T139+1)*R139-ERP_i)*Q139*Ramure*Pc/MaxiM</f>
        <v>0</v>
      </c>
      <c r="Q139" s="304">
        <f t="shared" si="28"/>
        <v>0.6</v>
      </c>
      <c r="R139" s="177">
        <f t="shared" si="29"/>
        <v>0.56634304711021954</v>
      </c>
      <c r="S139" s="799">
        <f t="shared" si="30"/>
        <v>-1</v>
      </c>
      <c r="T139" s="176">
        <f t="shared" si="31"/>
        <v>5</v>
      </c>
      <c r="U139" s="250">
        <f t="shared" si="32"/>
        <v>-0.43365695288978046</v>
      </c>
      <c r="V139" s="382">
        <f t="shared" si="33"/>
        <v>58.181292339852362</v>
      </c>
      <c r="W139" s="400">
        <f t="shared" si="34"/>
        <v>42.986463685732041</v>
      </c>
      <c r="X139" s="157">
        <f t="shared" si="35"/>
        <v>46877</v>
      </c>
      <c r="Y139" s="383">
        <f t="shared" si="36"/>
        <v>41.37587982645811</v>
      </c>
      <c r="Z139" s="383">
        <f t="shared" si="37"/>
        <v>44.145668465622862</v>
      </c>
      <c r="AA139" s="384">
        <f t="shared" si="38"/>
        <v>46.309632245425455</v>
      </c>
      <c r="AB139" s="197">
        <f t="shared" si="39"/>
        <v>46877</v>
      </c>
      <c r="AC139" s="119">
        <f>IF(OR(t&lt;Tnet,NoTnet),'2027'!Resal_s+('2027'!Salim-'2027'!Resal_s)*(1-EXP(('2027'!Tnet_s-t)/'2027'!Tau_j)),Resal_s+(Salim-Resal_s)*(1-EXP((Tnet_s-t)/Tau_j)))*Salcycl</f>
        <v>4.6728157294238862E-2</v>
      </c>
      <c r="AD139" s="230">
        <f>(INDEX(Models!$BJ139:$BT139,,AH139)*(1-AF139)+INDEX(Models!$BJ139:$BT139,,AH139+1)*AF139-ERP_i)*AE139*Ramure*Pc/MaxiM</f>
        <v>0</v>
      </c>
      <c r="AE139" s="304">
        <f t="shared" si="40"/>
        <v>0.6</v>
      </c>
      <c r="AF139" s="177">
        <f t="shared" si="41"/>
        <v>9.1330613484197798E-2</v>
      </c>
      <c r="AG139" s="799">
        <f t="shared" si="49"/>
        <v>3</v>
      </c>
      <c r="AH139" s="176">
        <f t="shared" si="42"/>
        <v>9</v>
      </c>
      <c r="AI139" s="224">
        <f t="shared" si="43"/>
        <v>3.0913306134841978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46878</v>
      </c>
      <c r="B140" s="409">
        <f>IF(t&gt;Tmaj,'2027'!Wh/'2027'!Env_an*'2028'!Env_an,0.001*[7]mois!$B$247)</f>
        <v>40.872917526051175</v>
      </c>
      <c r="C140" s="829"/>
      <c r="D140" s="391">
        <f t="shared" si="25"/>
        <v>43.609872581558825</v>
      </c>
      <c r="E140" s="383">
        <f t="shared" si="47"/>
        <v>44.039299471966487</v>
      </c>
      <c r="F140" s="383">
        <f t="shared" si="26"/>
        <v>44.039299471966487</v>
      </c>
      <c r="G140" s="110">
        <f t="shared" si="48"/>
        <v>0.70202118603639374</v>
      </c>
      <c r="H140" s="412" t="b">
        <f>Wh_hp&gt;='2027'!Maxi_hp</f>
        <v>0</v>
      </c>
      <c r="I140" s="388">
        <f>IF(H140,Wh_hp,'2027'!Maxi_hp)</f>
        <v>64.219243698545085</v>
      </c>
      <c r="J140" s="85">
        <f>IF(H140,An,'2027'!An_max)</f>
        <v>2018</v>
      </c>
      <c r="K140" s="197">
        <f t="shared" si="27"/>
        <v>46878</v>
      </c>
      <c r="L140" s="147">
        <f>IF(t&lt;Tvie,1-EXP((T0-t)*PertePVj)+'2027'!Pspv,1-EXP((T0-t)*PertePVj)+Pspv)</f>
        <v>6.2759987440665466E-2</v>
      </c>
      <c r="M140" s="832"/>
      <c r="N140" s="832"/>
      <c r="O140" s="48">
        <f>IF(t&lt;Tnet,'2027'!Resal+('2027'!Salim-'2027'!Resal)*(1-EXP(('2027'!Tnet-t)/('2027'!Tau_j))),Resal+(Salim-Resal)*(1-EXP((Tnet-t)/(Tau_j))))*Salcycl</f>
        <v>9.7509927622944532E-3</v>
      </c>
      <c r="P140" s="169">
        <f>(INDEX(Models!$BJ140:$BT140,,T140)*(1-R140)+INDEX(Models!$BJ140:$BT140,,T140+1)*R140-ERP_i)*Q140*Ramure*Pc/MaxiM</f>
        <v>0</v>
      </c>
      <c r="Q140" s="304">
        <f t="shared" si="28"/>
        <v>0.6</v>
      </c>
      <c r="R140" s="177">
        <f t="shared" si="29"/>
        <v>0.56949338647156089</v>
      </c>
      <c r="S140" s="799">
        <f t="shared" si="30"/>
        <v>-1</v>
      </c>
      <c r="T140" s="176">
        <f t="shared" si="31"/>
        <v>5</v>
      </c>
      <c r="U140" s="250">
        <f t="shared" si="32"/>
        <v>-0.43050661352843911</v>
      </c>
      <c r="V140" s="382">
        <f t="shared" si="33"/>
        <v>58.221772133145087</v>
      </c>
      <c r="W140" s="400">
        <f t="shared" si="34"/>
        <v>40.872917526051175</v>
      </c>
      <c r="X140" s="157">
        <f t="shared" si="35"/>
        <v>46878</v>
      </c>
      <c r="Y140" s="383">
        <f t="shared" si="36"/>
        <v>39.342187632772273</v>
      </c>
      <c r="Z140" s="383">
        <f t="shared" si="37"/>
        <v>41.976641101077199</v>
      </c>
      <c r="AA140" s="384">
        <f t="shared" si="38"/>
        <v>44.039299471966487</v>
      </c>
      <c r="AB140" s="197">
        <f t="shared" si="39"/>
        <v>46878</v>
      </c>
      <c r="AC140" s="119">
        <f>IF(OR(t&lt;Tnet,NoTnet),'2027'!Resal_s+('2027'!Salim-'2027'!Resal_s)*(1-EXP(('2027'!Tnet_s-t)/'2027'!Tau_j)),Resal_s+(Salim-Resal_s)*(1-EXP((Tnet_s-t)/Tau_j)))*Salcycl</f>
        <v>4.6836766152519992E-2</v>
      </c>
      <c r="AD140" s="230">
        <f>(INDEX(Models!$BJ140:$BT140,,AH140)*(1-AF140)+INDEX(Models!$BJ140:$BT140,,AH140+1)*AF140-ERP_i)*AE140*Ramure*Pc/MaxiM</f>
        <v>0</v>
      </c>
      <c r="AE140" s="304">
        <f t="shared" si="40"/>
        <v>0.6</v>
      </c>
      <c r="AF140" s="177">
        <f t="shared" si="41"/>
        <v>9.4480952845539257E-2</v>
      </c>
      <c r="AG140" s="799">
        <f t="shared" si="49"/>
        <v>3</v>
      </c>
      <c r="AH140" s="176">
        <f t="shared" si="42"/>
        <v>9</v>
      </c>
      <c r="AI140" s="224">
        <f t="shared" si="43"/>
        <v>3.0944809528455393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46879</v>
      </c>
      <c r="B141" s="409">
        <f>IF(t&gt;Tmaj,'2027'!Wh/'2027'!Env_an*'2028'!Env_an,0.001*[7]mois!$B$248)</f>
        <v>50.806777715789487</v>
      </c>
      <c r="C141" s="829"/>
      <c r="D141" s="391">
        <f t="shared" si="25"/>
        <v>54.209968368735325</v>
      </c>
      <c r="E141" s="383">
        <f t="shared" si="47"/>
        <v>54.750945640984504</v>
      </c>
      <c r="F141" s="383">
        <f t="shared" si="26"/>
        <v>54.750945640984504</v>
      </c>
      <c r="G141" s="110">
        <f t="shared" si="48"/>
        <v>0.87208811746012604</v>
      </c>
      <c r="H141" s="412" t="b">
        <f>Wh_hp&gt;='2027'!Maxi_hp</f>
        <v>0</v>
      </c>
      <c r="I141" s="388">
        <f>IF(H141,Wh_hp,'2027'!Maxi_hp)</f>
        <v>60.265273662889911</v>
      </c>
      <c r="J141" s="85">
        <f>IF(H141,An,'2027'!An_max)</f>
        <v>2020</v>
      </c>
      <c r="K141" s="197">
        <f t="shared" si="27"/>
        <v>46879</v>
      </c>
      <c r="L141" s="147">
        <f>IF(t&lt;Tvie,1-EXP((T0-t)*PertePVj)+'2027'!Pspv,1-EXP((T0-t)*PertePVj)+Pspv)</f>
        <v>6.2777949431687352E-2</v>
      </c>
      <c r="M141" s="832"/>
      <c r="N141" s="832"/>
      <c r="O141" s="48">
        <f>IF(t&lt;Tnet,'2027'!Resal+('2027'!Salim-'2027'!Resal)*(1-EXP(('2027'!Tnet-t)/('2027'!Tau_j))),Resal+(Salim-Resal)*(1-EXP((Tnet-t)/(Tau_j))))*Salcycl</f>
        <v>9.8806927609341611E-3</v>
      </c>
      <c r="P141" s="169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0.57272454087671321</v>
      </c>
      <c r="S141" s="799">
        <f t="shared" si="30"/>
        <v>-1</v>
      </c>
      <c r="T141" s="176">
        <f t="shared" si="31"/>
        <v>5</v>
      </c>
      <c r="U141" s="250">
        <f t="shared" si="32"/>
        <v>-0.42727545912328679</v>
      </c>
      <c r="V141" s="382">
        <f t="shared" si="33"/>
        <v>58.258766171197713</v>
      </c>
      <c r="W141" s="400">
        <f t="shared" si="34"/>
        <v>50.806777715789487</v>
      </c>
      <c r="X141" s="157">
        <f t="shared" si="35"/>
        <v>46879</v>
      </c>
      <c r="Y141" s="383">
        <f t="shared" si="36"/>
        <v>48.904819521618784</v>
      </c>
      <c r="Z141" s="383">
        <f t="shared" si="37"/>
        <v>52.180611299066086</v>
      </c>
      <c r="AA141" s="384">
        <f t="shared" si="38"/>
        <v>54.750945640984504</v>
      </c>
      <c r="AB141" s="197">
        <f t="shared" si="39"/>
        <v>46879</v>
      </c>
      <c r="AC141" s="119">
        <f>IF(OR(t&lt;Tnet,NoTnet),'2027'!Resal_s+('2027'!Salim-'2027'!Resal_s)*(1-EXP(('2027'!Tnet_s-t)/'2027'!Tau_j)),Resal_s+(Salim-Resal_s)*(1-EXP((Tnet_s-t)/Tau_j)))*Salcycl</f>
        <v>4.694593512179205E-2</v>
      </c>
      <c r="AD141" s="230">
        <f>(INDEX(Models!$BJ141:$BT141,,AH141)*(1-AF141)+INDEX(Models!$BJ141:$BT141,,AH141+1)*AF141-ERP_i)*AE141*Ramure*Pc/MaxiM</f>
        <v>0</v>
      </c>
      <c r="AE141" s="304">
        <f t="shared" si="40"/>
        <v>0.6</v>
      </c>
      <c r="AF141" s="177">
        <f t="shared" si="41"/>
        <v>9.7712107250691904E-2</v>
      </c>
      <c r="AG141" s="799">
        <f t="shared" si="49"/>
        <v>3</v>
      </c>
      <c r="AH141" s="176">
        <f t="shared" si="42"/>
        <v>9</v>
      </c>
      <c r="AI141" s="224">
        <f t="shared" si="43"/>
        <v>3.0977121072506919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46880</v>
      </c>
      <c r="B142" s="409">
        <f>IF(t&gt;Tmaj,'2027'!Wh/'2027'!Env_an*'2028'!Env_an,0.001*[7]mois!$B$249)</f>
        <v>49.996680606848471</v>
      </c>
      <c r="C142" s="829"/>
      <c r="D142" s="391">
        <f t="shared" si="25"/>
        <v>53.346630896992039</v>
      </c>
      <c r="E142" s="383">
        <f t="shared" si="47"/>
        <v>53.886057948098731</v>
      </c>
      <c r="F142" s="383">
        <f t="shared" si="26"/>
        <v>53.886057948098731</v>
      </c>
      <c r="G142" s="110">
        <f t="shared" si="48"/>
        <v>0.85768668978985596</v>
      </c>
      <c r="H142" s="412" t="b">
        <f>Wh_hp&gt;='2027'!Maxi_hp</f>
        <v>0</v>
      </c>
      <c r="I142" s="388">
        <f>IF(H142,Wh_hp,'2027'!Maxi_hp)</f>
        <v>60.80360190588106</v>
      </c>
      <c r="J142" s="85">
        <f>IF(H142,An,'2027'!An_max)</f>
        <v>2021</v>
      </c>
      <c r="K142" s="197">
        <f t="shared" si="27"/>
        <v>46880</v>
      </c>
      <c r="L142" s="147">
        <f>IF(t&lt;Tvie,1-EXP((T0-t)*PertePVj)+'2027'!Pspv,1-EXP((T0-t)*PertePVj)+Pspv)</f>
        <v>6.2795911078471822E-2</v>
      </c>
      <c r="M142" s="832"/>
      <c r="N142" s="832"/>
      <c r="O142" s="48">
        <f>IF(t&lt;Tnet,'2027'!Resal+('2027'!Salim-'2027'!Resal)*(1-EXP(('2027'!Tnet-t)/('2027'!Tau_j))),Resal+(Salim-Resal)*(1-EXP((Tnet-t)/(Tau_j))))*Salcycl</f>
        <v>1.0010512396847656E-2</v>
      </c>
      <c r="P142" s="169">
        <f>(INDEX(Models!$BJ142:$BT142,,T142)*(1-R142)+INDEX(Models!$BJ142:$BT142,,T142+1)*R142-ERP_i)*Q142*Ramure*Pc/MaxiM</f>
        <v>-1.2222808551248918E-20</v>
      </c>
      <c r="Q142" s="304">
        <f t="shared" si="28"/>
        <v>0.6</v>
      </c>
      <c r="R142" s="177">
        <f t="shared" si="29"/>
        <v>0.57603682667484613</v>
      </c>
      <c r="S142" s="799">
        <f t="shared" si="30"/>
        <v>-1</v>
      </c>
      <c r="T142" s="176">
        <f t="shared" si="31"/>
        <v>5</v>
      </c>
      <c r="U142" s="250">
        <f t="shared" si="32"/>
        <v>-0.42396317332515382</v>
      </c>
      <c r="V142" s="382">
        <f t="shared" si="33"/>
        <v>58.292475798007636</v>
      </c>
      <c r="W142" s="400">
        <f t="shared" si="34"/>
        <v>49.996680606848471</v>
      </c>
      <c r="X142" s="157">
        <f t="shared" si="35"/>
        <v>46880</v>
      </c>
      <c r="Y142" s="383">
        <f t="shared" si="36"/>
        <v>48.12581842536779</v>
      </c>
      <c r="Z142" s="383">
        <f t="shared" si="37"/>
        <v>51.350414487358634</v>
      </c>
      <c r="AA142" s="384">
        <f t="shared" si="38"/>
        <v>53.886057948098731</v>
      </c>
      <c r="AB142" s="197">
        <f t="shared" si="39"/>
        <v>46880</v>
      </c>
      <c r="AC142" s="119">
        <f>IF(OR(t&lt;Tnet,NoTnet),'2027'!Resal_s+('2027'!Salim-'2027'!Resal_s)*(1-EXP(('2027'!Tnet_s-t)/'2027'!Tau_j)),Resal_s+(Salim-Resal_s)*(1-EXP((Tnet_s-t)/Tau_j)))*Salcycl</f>
        <v>4.7055649592745177E-2</v>
      </c>
      <c r="AD142" s="230">
        <f>(INDEX(Models!$BJ142:$BT142,,AH142)*(1-AF142)+INDEX(Models!$BJ142:$BT142,,AH142+1)*AF142-ERP_i)*AE142*Ramure*Pc/MaxiM</f>
        <v>0</v>
      </c>
      <c r="AE142" s="304">
        <f t="shared" si="40"/>
        <v>0.6</v>
      </c>
      <c r="AF142" s="177">
        <f t="shared" si="41"/>
        <v>0.10102439304882482</v>
      </c>
      <c r="AG142" s="799">
        <f t="shared" si="49"/>
        <v>3</v>
      </c>
      <c r="AH142" s="176">
        <f t="shared" si="42"/>
        <v>9</v>
      </c>
      <c r="AI142" s="224">
        <f t="shared" si="43"/>
        <v>3.1010243930488248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46881</v>
      </c>
      <c r="B143" s="409">
        <f>IF(t&gt;Tmaj,'2027'!Wh/'2027'!Env_an*'2028'!Env_an,0.001*[7]mois!$B$250)</f>
        <v>55.118721942033943</v>
      </c>
      <c r="C143" s="829"/>
      <c r="D143" s="391">
        <f t="shared" ref="D143:D206" si="50">Wh/(1-Ppv)</f>
        <v>58.812993830872401</v>
      </c>
      <c r="E143" s="383">
        <f t="shared" si="47"/>
        <v>59.415493779908196</v>
      </c>
      <c r="F143" s="383">
        <f t="shared" ref="F143:F206" si="51">Wh_sa/(1-Pvg*MEDIAN((-Sdif+Wh/Env_an)/Csdif,0,1))</f>
        <v>59.415493779908196</v>
      </c>
      <c r="G143" s="110">
        <f t="shared" si="48"/>
        <v>0.94505812960057012</v>
      </c>
      <c r="H143" s="412" t="b">
        <f>Wh_hp&gt;='2027'!Maxi_hp</f>
        <v>1</v>
      </c>
      <c r="I143" s="388">
        <f>IF(H143,Wh_hp,'2027'!Maxi_hp)</f>
        <v>59.415493779908196</v>
      </c>
      <c r="J143" s="85">
        <f>IF(H143,An,'2027'!An_max)</f>
        <v>2028</v>
      </c>
      <c r="K143" s="197">
        <f t="shared" ref="K143:K206" si="52">t</f>
        <v>46881</v>
      </c>
      <c r="L143" s="147">
        <f>IF(t&lt;Tvie,1-EXP((T0-t)*PertePVj)+'2027'!Pspv,1-EXP((T0-t)*PertePVj)+Pspv)</f>
        <v>6.2813872381025426E-2</v>
      </c>
      <c r="M143" s="832"/>
      <c r="N143" s="832"/>
      <c r="O143" s="48">
        <f>IF(t&lt;Tnet,'2027'!Resal+('2027'!Salim-'2027'!Resal)*(1-EXP(('2027'!Tnet-t)/('2027'!Tau_j))),Resal+(Salim-Resal)*(1-EXP((Tnet-t)/(Tau_j))))*Salcycl</f>
        <v>1.0140451769493372E-2</v>
      </c>
      <c r="P143" s="169">
        <f>(INDEX(Models!$BJ143:$BT143,,T143)*(1-R143)+INDEX(Models!$BJ143:$BT143,,T143+1)*R143-ERP_i)*Q143*Ramure*Pc/MaxiM</f>
        <v>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0.57943043589219156</v>
      </c>
      <c r="S143" s="799">
        <f t="shared" ref="S143:S206" si="55">INDEX(Echel_vg,T143)</f>
        <v>-1</v>
      </c>
      <c r="T143" s="176">
        <f t="shared" ref="T143:T206" si="56">MIN(MATCH(Hp_vg,Echel_vg),10)</f>
        <v>5</v>
      </c>
      <c r="U143" s="250">
        <f t="shared" ref="U143:U206" si="57">IF(OR(t&lt;Ttai,Notai),Hdd+PousH*Croivg,Hdtf+PousH*(Croivg-Croi_tai))</f>
        <v>-0.42056956410780844</v>
      </c>
      <c r="V143" s="382">
        <f t="shared" ref="V143:V206" si="58">MaxiM*(1-Ppv)*(1-Pvg)*(1-Psa)</f>
        <v>58.323102268142947</v>
      </c>
      <c r="W143" s="400">
        <f t="shared" ref="W143:W206" si="59">Wh*(A143&gt;Tmaj)</f>
        <v>55.118721942033943</v>
      </c>
      <c r="X143" s="157">
        <f t="shared" ref="X143:X206" si="60">t</f>
        <v>46881</v>
      </c>
      <c r="Y143" s="383">
        <f t="shared" ref="Y143:Y206" si="61">Wh_pvt_s*(1-Ppv)</f>
        <v>53.057020340995649</v>
      </c>
      <c r="Z143" s="383">
        <f t="shared" ref="Z143:Z206" si="62">Wh_sa_s*(1-Psa_s)</f>
        <v>56.613108941115996</v>
      </c>
      <c r="AA143" s="384">
        <f t="shared" ref="AA143:AA206" si="63">Wh_hp*(1-Pvg_s*MEDIAN((-Sdif+Wh/Env_an)/Csdif,0,1))</f>
        <v>59.415493779908196</v>
      </c>
      <c r="AB143" s="197">
        <f t="shared" ref="AB143:AB206" si="64">t</f>
        <v>46881</v>
      </c>
      <c r="AC143" s="119">
        <f>IF(OR(t&lt;Tnet,NoTnet),'2027'!Resal_s+('2027'!Salim-'2027'!Resal_s)*(1-EXP(('2027'!Tnet_s-t)/'2027'!Tau_j)),Resal_s+(Salim-Resal_s)*(1-EXP((Tnet_s-t)/Tau_j)))*Salcycl</f>
        <v>4.7165893279840887E-2</v>
      </c>
      <c r="AD143" s="230">
        <f>(INDEX(Models!$BJ143:$BT143,,AH143)*(1-AF143)+INDEX(Models!$BJ143:$BT143,,AH143+1)*AF143-ERP_i)*AE143*Ramure*Pc/MaxiM</f>
        <v>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0.10441800226617026</v>
      </c>
      <c r="AG143" s="799">
        <f t="shared" si="49"/>
        <v>3</v>
      </c>
      <c r="AH143" s="176">
        <f t="shared" ref="AH143:AH206" si="67">MIN(MATCH(Hp_vg_s,Echel_vg),10)</f>
        <v>9</v>
      </c>
      <c r="AI143" s="224">
        <f t="shared" ref="AI143:AI206" si="68">IF(OR(t&lt;Ttai,Notai),Hdd_s+PousH*Croivg,Hdtai_s+PousH*(Croivg-Croi_tai))</f>
        <v>3.1044180022661703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46882</v>
      </c>
      <c r="B144" s="409">
        <f>IF(t&gt;Tmaj,'2027'!Wh/'2027'!Env_an*'2028'!Env_an,0.001*[7]mois!$B$251)</f>
        <v>53.128666843211107</v>
      </c>
      <c r="C144" s="829"/>
      <c r="D144" s="391">
        <f t="shared" si="50"/>
        <v>56.690643934824713</v>
      </c>
      <c r="E144" s="383">
        <f t="shared" ref="E144:E169" si="72">Wh_pvt/(1-Psa)</f>
        <v>57.278927759846646</v>
      </c>
      <c r="F144" s="383">
        <f t="shared" si="51"/>
        <v>57.278927759846646</v>
      </c>
      <c r="G144" s="110">
        <f t="shared" ref="G144:G169" si="73">+Wh_hp/MaxiM</f>
        <v>0.91050378534553278</v>
      </c>
      <c r="H144" s="412" t="b">
        <f>Wh_hp&gt;='2027'!Maxi_hp</f>
        <v>1</v>
      </c>
      <c r="I144" s="388">
        <f>IF(H144,Wh_hp,'2027'!Maxi_hp)</f>
        <v>57.278927759846646</v>
      </c>
      <c r="J144" s="85">
        <f>IF(H144,An,'2027'!An_max)</f>
        <v>2028</v>
      </c>
      <c r="K144" s="197">
        <f t="shared" si="52"/>
        <v>46882</v>
      </c>
      <c r="L144" s="147">
        <f>IF(t&lt;Tvie,1-EXP((T0-t)*PertePVj)+'2027'!Pspv,1-EXP((T0-t)*PertePVj)+Pspv)</f>
        <v>6.2831833339354715E-2</v>
      </c>
      <c r="M144" s="832"/>
      <c r="N144" s="832"/>
      <c r="O144" s="48">
        <f>IF(t&lt;Tnet,'2027'!Resal+('2027'!Salim-'2027'!Resal)*(1-EXP(('2027'!Tnet-t)/('2027'!Tau_j))),Resal+(Salim-Resal)*(1-EXP((Tnet-t)/(Tau_j))))*Salcycl</f>
        <v>1.0270510430789343E-2</v>
      </c>
      <c r="P144" s="169">
        <f>(INDEX(Models!$BJ144:$BT144,,T144)*(1-R144)+INDEX(Models!$BJ144:$BT144,,T144+1)*R144-ERP_i)*Q144*Ramure*Pc/MaxiM</f>
        <v>-1.2439520968745455E-20</v>
      </c>
      <c r="Q144" s="304">
        <f t="shared" si="53"/>
        <v>0.6</v>
      </c>
      <c r="R144" s="177">
        <f t="shared" si="54"/>
        <v>0.58290542943890977</v>
      </c>
      <c r="S144" s="799">
        <f t="shared" si="55"/>
        <v>-1</v>
      </c>
      <c r="T144" s="176">
        <f t="shared" si="56"/>
        <v>5</v>
      </c>
      <c r="U144" s="250">
        <f t="shared" si="57"/>
        <v>-0.41709457056109023</v>
      </c>
      <c r="V144" s="382">
        <f t="shared" si="58"/>
        <v>58.350846749142264</v>
      </c>
      <c r="W144" s="400">
        <f t="shared" si="59"/>
        <v>53.128666843211107</v>
      </c>
      <c r="X144" s="157">
        <f t="shared" si="60"/>
        <v>46882</v>
      </c>
      <c r="Y144" s="383">
        <f t="shared" si="61"/>
        <v>51.142177822141051</v>
      </c>
      <c r="Z144" s="383">
        <f t="shared" si="62"/>
        <v>54.570972042694194</v>
      </c>
      <c r="AA144" s="384">
        <f t="shared" si="63"/>
        <v>57.278927759846646</v>
      </c>
      <c r="AB144" s="197">
        <f t="shared" si="64"/>
        <v>46882</v>
      </c>
      <c r="AC144" s="119">
        <f>IF(OR(t&lt;Tnet,NoTnet),'2027'!Resal_s+('2027'!Salim-'2027'!Resal_s)*(1-EXP(('2027'!Tnet_s-t)/'2027'!Tau_j)),Resal_s+(Salim-Resal_s)*(1-EXP((Tnet_s-t)/Tau_j)))*Salcycl</f>
        <v>4.7276648203089612E-2</v>
      </c>
      <c r="AD144" s="230">
        <f>(INDEX(Models!$BJ144:$BT144,,AH144)*(1-AF144)+INDEX(Models!$BJ144:$BT144,,AH144+1)*AF144-ERP_i)*AE144*Ramure*Pc/MaxiM</f>
        <v>0</v>
      </c>
      <c r="AE144" s="304">
        <f t="shared" si="65"/>
        <v>0.6</v>
      </c>
      <c r="AF144" s="177">
        <f t="shared" si="66"/>
        <v>0.10789299581288825</v>
      </c>
      <c r="AG144" s="799">
        <f t="shared" ref="AG144:AG207" si="74">INDEX(Echel_vg,AH144)</f>
        <v>3</v>
      </c>
      <c r="AH144" s="176">
        <f t="shared" si="67"/>
        <v>9</v>
      </c>
      <c r="AI144" s="224">
        <f t="shared" si="68"/>
        <v>3.1078929958128882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46883</v>
      </c>
      <c r="B145" s="409">
        <f>IF(t&gt;Tmaj,'2027'!Wh/'2027'!Env_an*'2028'!Env_an,0.001*[7]mois!$B$252)</f>
        <v>56.939062738500922</v>
      </c>
      <c r="C145" s="829"/>
      <c r="D145" s="391">
        <f t="shared" si="50"/>
        <v>60.757669764278582</v>
      </c>
      <c r="E145" s="383">
        <f t="shared" si="72"/>
        <v>61.396232786922219</v>
      </c>
      <c r="F145" s="383">
        <f t="shared" si="51"/>
        <v>61.396232786922219</v>
      </c>
      <c r="G145" s="110">
        <f t="shared" si="73"/>
        <v>0.97538629238634744</v>
      </c>
      <c r="H145" s="412" t="b">
        <f>Wh_hp&gt;='2027'!Maxi_hp</f>
        <v>1</v>
      </c>
      <c r="I145" s="388">
        <f>IF(H145,Wh_hp,'2027'!Maxi_hp)</f>
        <v>61.396232786922219</v>
      </c>
      <c r="J145" s="85">
        <f>IF(H145,An,'2027'!An_max)</f>
        <v>2028</v>
      </c>
      <c r="K145" s="197">
        <f t="shared" si="52"/>
        <v>46883</v>
      </c>
      <c r="L145" s="147">
        <f>IF(t&lt;Tvie,1-EXP((T0-t)*PertePVj)+'2027'!Pspv,1-EXP((T0-t)*PertePVj)+Pspv)</f>
        <v>6.2849793953466349E-2</v>
      </c>
      <c r="M145" s="832"/>
      <c r="N145" s="832"/>
      <c r="O145" s="48">
        <f>IF(t&lt;Tnet,'2027'!Resal+('2027'!Salim-'2027'!Resal)*(1-EXP(('2027'!Tnet-t)/('2027'!Tau_j))),Resal+(Salim-Resal)*(1-EXP((Tnet-t)/(Tau_j))))*Salcycl</f>
        <v>1.040068736562051E-2</v>
      </c>
      <c r="P145" s="169">
        <f>(INDEX(Models!$BJ145:$BT145,,T145)*(1-R145)+INDEX(Models!$BJ145:$BT145,,T145+1)*R145-ERP_i)*Q145*Ramure*Pc/MaxiM</f>
        <v>0</v>
      </c>
      <c r="Q145" s="304">
        <f t="shared" si="53"/>
        <v>0.6</v>
      </c>
      <c r="R145" s="177">
        <f t="shared" si="54"/>
        <v>0.58646173049727413</v>
      </c>
      <c r="S145" s="799">
        <f t="shared" si="55"/>
        <v>-1</v>
      </c>
      <c r="T145" s="176">
        <f t="shared" si="56"/>
        <v>5</v>
      </c>
      <c r="U145" s="250">
        <f t="shared" si="57"/>
        <v>-0.41353826950272593</v>
      </c>
      <c r="V145" s="382">
        <f t="shared" si="58"/>
        <v>58.375910326969759</v>
      </c>
      <c r="W145" s="400">
        <f t="shared" si="59"/>
        <v>56.939062738500922</v>
      </c>
      <c r="X145" s="157">
        <f t="shared" si="60"/>
        <v>46883</v>
      </c>
      <c r="Y145" s="383">
        <f t="shared" si="61"/>
        <v>54.810911586115033</v>
      </c>
      <c r="Z145" s="383">
        <f t="shared" si="62"/>
        <v>58.486794574095661</v>
      </c>
      <c r="AA145" s="384">
        <f t="shared" si="63"/>
        <v>61.396232786922219</v>
      </c>
      <c r="AB145" s="197">
        <f t="shared" si="64"/>
        <v>46883</v>
      </c>
      <c r="AC145" s="119">
        <f>IF(OR(t&lt;Tnet,NoTnet),'2027'!Resal_s+('2027'!Salim-'2027'!Resal_s)*(1-EXP(('2027'!Tnet_s-t)/'2027'!Tau_j)),Resal_s+(Salim-Resal_s)*(1-EXP((Tnet_s-t)/Tau_j)))*Salcycl</f>
        <v>4.7387894676272156E-2</v>
      </c>
      <c r="AD145" s="230">
        <f>(INDEX(Models!$BJ145:$BT145,,AH145)*(1-AF145)+INDEX(Models!$BJ145:$BT145,,AH145+1)*AF145-ERP_i)*AE145*Ramure*Pc/MaxiM</f>
        <v>-1.2551487480609722E-20</v>
      </c>
      <c r="AE145" s="304">
        <f t="shared" si="65"/>
        <v>0.6</v>
      </c>
      <c r="AF145" s="177">
        <f t="shared" si="66"/>
        <v>0.11144929687125238</v>
      </c>
      <c r="AG145" s="799">
        <f t="shared" si="74"/>
        <v>3</v>
      </c>
      <c r="AH145" s="176">
        <f t="shared" si="67"/>
        <v>9</v>
      </c>
      <c r="AI145" s="224">
        <f t="shared" si="68"/>
        <v>3.1114492968712524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46884</v>
      </c>
      <c r="B146" s="409">
        <f>IF(t&gt;Tmaj,'2027'!Wh/'2027'!Env_an*'2028'!Env_an,0.001*[7]mois!$B$253)</f>
        <v>40.703885302022009</v>
      </c>
      <c r="C146" s="829"/>
      <c r="D146" s="391">
        <f t="shared" si="50"/>
        <v>43.434515763876341</v>
      </c>
      <c r="E146" s="383">
        <f t="shared" si="72"/>
        <v>43.896792045728127</v>
      </c>
      <c r="F146" s="383">
        <f t="shared" si="51"/>
        <v>43.896792045728127</v>
      </c>
      <c r="G146" s="110">
        <f t="shared" si="73"/>
        <v>0.69700231141390234</v>
      </c>
      <c r="H146" s="412" t="b">
        <f>Wh_hp&gt;='2027'!Maxi_hp</f>
        <v>0</v>
      </c>
      <c r="I146" s="388">
        <f>IF(H146,Wh_hp,'2027'!Maxi_hp)</f>
        <v>54.191031708919418</v>
      </c>
      <c r="J146" s="85">
        <f>IF(H146,An,'2027'!An_max)</f>
        <v>2018</v>
      </c>
      <c r="K146" s="197">
        <f t="shared" si="52"/>
        <v>46884</v>
      </c>
      <c r="L146" s="147">
        <f>IF(t&lt;Tvie,1-EXP((T0-t)*PertePVj)+'2027'!Pspv,1-EXP((T0-t)*PertePVj)+Pspv)</f>
        <v>6.2867754223366878E-2</v>
      </c>
      <c r="M146" s="832"/>
      <c r="N146" s="832"/>
      <c r="O146" s="48">
        <f>IF(t&lt;Tnet,'2027'!Resal+('2027'!Salim-'2027'!Resal)*(1-EXP(('2027'!Tnet-t)/('2027'!Tau_j))),Resal+(Salim-Resal)*(1-EXP((Tnet-t)/(Tau_j))))*Salcycl</f>
        <v>1.0530980973967836E-2</v>
      </c>
      <c r="P146" s="169">
        <f>(INDEX(Models!$BJ146:$BT146,,T146)*(1-R146)+INDEX(Models!$BJ146:$BT146,,T146+1)*R146-ERP_i)*Q146*Ramure*Pc/MaxiM</f>
        <v>-1.2665693720788202E-20</v>
      </c>
      <c r="Q146" s="304">
        <f t="shared" si="53"/>
        <v>0.6</v>
      </c>
      <c r="R146" s="177">
        <f t="shared" si="54"/>
        <v>0.59009911814510274</v>
      </c>
      <c r="S146" s="799">
        <f t="shared" si="55"/>
        <v>-1</v>
      </c>
      <c r="T146" s="176">
        <f t="shared" si="56"/>
        <v>5</v>
      </c>
      <c r="U146" s="250">
        <f t="shared" si="57"/>
        <v>-0.4099008818548972</v>
      </c>
      <c r="V146" s="382">
        <f t="shared" si="58"/>
        <v>58.398494001335862</v>
      </c>
      <c r="W146" s="400">
        <f t="shared" si="59"/>
        <v>40.703885302022009</v>
      </c>
      <c r="X146" s="157">
        <f t="shared" si="60"/>
        <v>46884</v>
      </c>
      <c r="Y146" s="383">
        <f t="shared" si="61"/>
        <v>39.183103084775915</v>
      </c>
      <c r="Z146" s="383">
        <f t="shared" si="62"/>
        <v>41.811711486145221</v>
      </c>
      <c r="AA146" s="384">
        <f t="shared" si="63"/>
        <v>43.896792045728127</v>
      </c>
      <c r="AB146" s="197">
        <f t="shared" si="64"/>
        <v>46884</v>
      </c>
      <c r="AC146" s="119">
        <f>IF(OR(t&lt;Tnet,NoTnet),'2027'!Resal_s+('2027'!Salim-'2027'!Resal_s)*(1-EXP(('2027'!Tnet_s-t)/'2027'!Tau_j)),Resal_s+(Salim-Resal_s)*(1-EXP((Tnet_s-t)/Tau_j)))*Salcycl</f>
        <v>4.7499611302138742E-2</v>
      </c>
      <c r="AD146" s="230">
        <f>(INDEX(Models!$BJ146:$BT146,,AH146)*(1-AF146)+INDEX(Models!$BJ146:$BT146,,AH146+1)*AF146-ERP_i)*AE146*Ramure*Pc/MaxiM</f>
        <v>0</v>
      </c>
      <c r="AE146" s="304">
        <f t="shared" si="65"/>
        <v>0.6</v>
      </c>
      <c r="AF146" s="177">
        <f t="shared" si="66"/>
        <v>0.11508668451908122</v>
      </c>
      <c r="AG146" s="799">
        <f t="shared" si="74"/>
        <v>3</v>
      </c>
      <c r="AH146" s="176">
        <f t="shared" si="67"/>
        <v>9</v>
      </c>
      <c r="AI146" s="224">
        <f t="shared" si="68"/>
        <v>3.1150866845190812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46885</v>
      </c>
      <c r="B147" s="409">
        <f>IF(t&gt;Tmaj,'2027'!Wh/'2027'!Env_an*'2028'!Env_an,0.001*[7]mois!$B$254)</f>
        <v>41.780357403037861</v>
      </c>
      <c r="C147" s="829"/>
      <c r="D147" s="391">
        <f t="shared" si="50"/>
        <v>44.584057711914653</v>
      </c>
      <c r="E147" s="383">
        <f t="shared" si="72"/>
        <v>45.064507963884289</v>
      </c>
      <c r="F147" s="383">
        <f t="shared" si="51"/>
        <v>45.064507963884289</v>
      </c>
      <c r="G147" s="110">
        <f t="shared" si="73"/>
        <v>0.71518686347729143</v>
      </c>
      <c r="H147" s="412" t="b">
        <f>Wh_hp&gt;='2027'!Maxi_hp</f>
        <v>0</v>
      </c>
      <c r="I147" s="388">
        <f>IF(H147,Wh_hp,'2027'!Maxi_hp)</f>
        <v>65.060121509053133</v>
      </c>
      <c r="J147" s="85">
        <f>IF(H147,An,'2027'!An_max)</f>
        <v>2018</v>
      </c>
      <c r="K147" s="197">
        <f t="shared" si="52"/>
        <v>46885</v>
      </c>
      <c r="L147" s="147">
        <f>IF(t&lt;Tvie,1-EXP((T0-t)*PertePVj)+'2027'!Pspv,1-EXP((T0-t)*PertePVj)+Pspv)</f>
        <v>6.2885714149062966E-2</v>
      </c>
      <c r="M147" s="832"/>
      <c r="N147" s="832"/>
      <c r="O147" s="48">
        <f>IF(t&lt;Tnet,'2027'!Resal+('2027'!Salim-'2027'!Resal)*(1-EXP(('2027'!Tnet-t)/('2027'!Tau_j))),Resal+(Salim-Resal)*(1-EXP((Tnet-t)/(Tau_j))))*Salcycl</f>
        <v>1.0661389054878357E-2</v>
      </c>
      <c r="P147" s="169">
        <f>(INDEX(Models!$BJ147:$BT147,,T147)*(1-R147)+INDEX(Models!$BJ147:$BT147,,T147+1)*R147-ERP_i)*Q147*Ramure*Pc/MaxiM</f>
        <v>-1.2782005825439509E-20</v>
      </c>
      <c r="Q147" s="304">
        <f t="shared" si="53"/>
        <v>0.6</v>
      </c>
      <c r="R147" s="177">
        <f t="shared" si="54"/>
        <v>0.59381722127055492</v>
      </c>
      <c r="S147" s="799">
        <f t="shared" si="55"/>
        <v>-1</v>
      </c>
      <c r="T147" s="176">
        <f t="shared" si="56"/>
        <v>5</v>
      </c>
      <c r="U147" s="250">
        <f t="shared" si="57"/>
        <v>-0.40618277872944508</v>
      </c>
      <c r="V147" s="382">
        <f t="shared" si="58"/>
        <v>58.41879868975596</v>
      </c>
      <c r="W147" s="400">
        <f t="shared" si="59"/>
        <v>41.780357403037861</v>
      </c>
      <c r="X147" s="157">
        <f t="shared" si="60"/>
        <v>46885</v>
      </c>
      <c r="Y147" s="383">
        <f t="shared" si="61"/>
        <v>40.219920649789515</v>
      </c>
      <c r="Z147" s="383">
        <f t="shared" si="62"/>
        <v>42.918906751344878</v>
      </c>
      <c r="AA147" s="384">
        <f t="shared" si="63"/>
        <v>45.064507963884289</v>
      </c>
      <c r="AB147" s="197">
        <f t="shared" si="64"/>
        <v>46885</v>
      </c>
      <c r="AC147" s="119">
        <f>IF(OR(t&lt;Tnet,NoTnet),'2027'!Resal_s+('2027'!Salim-'2027'!Resal_s)*(1-EXP(('2027'!Tnet_s-t)/'2027'!Tau_j)),Resal_s+(Salim-Resal_s)*(1-EXP((Tnet_s-t)/Tau_j)))*Salcycl</f>
        <v>4.7611774975085466E-2</v>
      </c>
      <c r="AD147" s="230">
        <f>(INDEX(Models!$BJ147:$BT147,,AH147)*(1-AF147)+INDEX(Models!$BJ147:$BT147,,AH147+1)*AF147-ERP_i)*AE147*Ramure*Pc/MaxiM</f>
        <v>0</v>
      </c>
      <c r="AE147" s="304">
        <f t="shared" si="65"/>
        <v>0.6</v>
      </c>
      <c r="AF147" s="177">
        <f t="shared" si="66"/>
        <v>0.1188047876445335</v>
      </c>
      <c r="AG147" s="799">
        <f t="shared" si="74"/>
        <v>3</v>
      </c>
      <c r="AH147" s="176">
        <f t="shared" si="67"/>
        <v>9</v>
      </c>
      <c r="AI147" s="224">
        <f t="shared" si="68"/>
        <v>3.1188047876445335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46886</v>
      </c>
      <c r="B148" s="409">
        <f>IF(t&gt;Tmaj,'2027'!Wh/'2027'!Env_an*'2028'!Env_an,0.001*[7]mois!$B$255)</f>
        <v>51.820606985885213</v>
      </c>
      <c r="C148" s="829"/>
      <c r="D148" s="391">
        <f t="shared" si="50"/>
        <v>55.299125109349198</v>
      </c>
      <c r="E148" s="383">
        <f t="shared" si="72"/>
        <v>55.902418915565733</v>
      </c>
      <c r="F148" s="383">
        <f t="shared" si="51"/>
        <v>55.902418915565733</v>
      </c>
      <c r="G148" s="110">
        <f t="shared" si="73"/>
        <v>0.88677694978913102</v>
      </c>
      <c r="H148" s="412" t="b">
        <f>Wh_hp&gt;='2027'!Maxi_hp</f>
        <v>0</v>
      </c>
      <c r="I148" s="388">
        <f>IF(H148,Wh_hp,'2027'!Maxi_hp)</f>
        <v>63.419199758926844</v>
      </c>
      <c r="J148" s="85">
        <f>IF(H148,An,'2027'!An_max)</f>
        <v>2018</v>
      </c>
      <c r="K148" s="197">
        <f t="shared" si="52"/>
        <v>46886</v>
      </c>
      <c r="L148" s="147">
        <f>IF(t&lt;Tvie,1-EXP((T0-t)*PertePVj)+'2027'!Pspv,1-EXP((T0-t)*PertePVj)+Pspv)</f>
        <v>6.290367373056116E-2</v>
      </c>
      <c r="M148" s="832"/>
      <c r="N148" s="832"/>
      <c r="O148" s="48">
        <f>IF(t&lt;Tnet,'2027'!Resal+('2027'!Salim-'2027'!Resal)*(1-EXP(('2027'!Tnet-t)/('2027'!Tau_j))),Resal+(Salim-Resal)*(1-EXP((Tnet-t)/(Tau_j))))*Salcycl</f>
        <v>1.0791908792493282E-2</v>
      </c>
      <c r="P148" s="169">
        <f>(INDEX(Models!$BJ148:$BT148,,T148)*(1-R148)+INDEX(Models!$BJ148:$BT148,,T148+1)*R148-ERP_i)*Q148*Ramure*Pc/MaxiM</f>
        <v>1.2900283095774275E-20</v>
      </c>
      <c r="Q148" s="304">
        <f t="shared" si="53"/>
        <v>0.6</v>
      </c>
      <c r="R148" s="177">
        <f t="shared" si="54"/>
        <v>0.59761551283615733</v>
      </c>
      <c r="S148" s="799">
        <f t="shared" si="55"/>
        <v>-1</v>
      </c>
      <c r="T148" s="176">
        <f t="shared" si="56"/>
        <v>5</v>
      </c>
      <c r="U148" s="250">
        <f t="shared" si="57"/>
        <v>-0.40238448716384273</v>
      </c>
      <c r="V148" s="382">
        <f t="shared" si="58"/>
        <v>58.437025227378506</v>
      </c>
      <c r="W148" s="400">
        <f t="shared" si="59"/>
        <v>51.820606985885213</v>
      </c>
      <c r="X148" s="157">
        <f t="shared" si="60"/>
        <v>46886</v>
      </c>
      <c r="Y148" s="383">
        <f t="shared" si="61"/>
        <v>49.885865345301404</v>
      </c>
      <c r="Z148" s="383">
        <f t="shared" si="62"/>
        <v>53.234511700516428</v>
      </c>
      <c r="AA148" s="384">
        <f t="shared" si="63"/>
        <v>55.902418915565733</v>
      </c>
      <c r="AB148" s="197">
        <f t="shared" si="64"/>
        <v>46886</v>
      </c>
      <c r="AC148" s="119">
        <f>IF(OR(t&lt;Tnet,NoTnet),'2027'!Resal_s+('2027'!Salim-'2027'!Resal_s)*(1-EXP(('2027'!Tnet_s-t)/'2027'!Tau_j)),Resal_s+(Salim-Resal_s)*(1-EXP((Tnet_s-t)/Tau_j)))*Salcycl</f>
        <v>4.7724360891768951E-2</v>
      </c>
      <c r="AD148" s="230">
        <f>(INDEX(Models!$BJ148:$BT148,,AH148)*(1-AF148)+INDEX(Models!$BJ148:$BT148,,AH148+1)*AF148-ERP_i)*AE148*Ramure*Pc/MaxiM</f>
        <v>0</v>
      </c>
      <c r="AE148" s="304">
        <f t="shared" si="65"/>
        <v>0.6</v>
      </c>
      <c r="AF148" s="177">
        <f t="shared" si="66"/>
        <v>0.12260307921013558</v>
      </c>
      <c r="AG148" s="799">
        <f t="shared" si="74"/>
        <v>3</v>
      </c>
      <c r="AH148" s="176">
        <f t="shared" si="67"/>
        <v>9</v>
      </c>
      <c r="AI148" s="224">
        <f t="shared" si="68"/>
        <v>3.1226030792101356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46887</v>
      </c>
      <c r="B149" s="409">
        <f>IF(t&gt;Tmaj,'2027'!Wh/'2027'!Env_an*'2028'!Env_an,0.001*[7]mois!$B$256)</f>
        <v>54.047403010639847</v>
      </c>
      <c r="C149" s="829"/>
      <c r="D149" s="391">
        <f t="shared" si="50"/>
        <v>57.676502747380781</v>
      </c>
      <c r="E149" s="383">
        <f t="shared" si="72"/>
        <v>58.313433366010031</v>
      </c>
      <c r="F149" s="383">
        <f t="shared" si="51"/>
        <v>58.313433366010031</v>
      </c>
      <c r="G149" s="110">
        <f t="shared" si="73"/>
        <v>0.92463548941580387</v>
      </c>
      <c r="H149" s="412" t="b">
        <f>Wh_hp&gt;='2027'!Maxi_hp</f>
        <v>0</v>
      </c>
      <c r="I149" s="388">
        <f>IF(H149,Wh_hp,'2027'!Maxi_hp)</f>
        <v>63.720230232595142</v>
      </c>
      <c r="J149" s="85">
        <f>IF(H149,An,'2027'!An_max)</f>
        <v>2018</v>
      </c>
      <c r="K149" s="197">
        <f t="shared" si="52"/>
        <v>46887</v>
      </c>
      <c r="L149" s="147">
        <f>IF(t&lt;Tvie,1-EXP((T0-t)*PertePVj)+'2027'!Pspv,1-EXP((T0-t)*PertePVj)+Pspv)</f>
        <v>6.2921632967868124E-2</v>
      </c>
      <c r="M149" s="832"/>
      <c r="N149" s="832"/>
      <c r="O149" s="48">
        <f>IF(t&lt;Tnet,'2027'!Resal+('2027'!Salim-'2027'!Resal)*(1-EXP(('2027'!Tnet-t)/('2027'!Tau_j))),Resal+(Salim-Resal)*(1-EXP((Tnet-t)/(Tau_j))))*Salcycl</f>
        <v>1.0922536744346628E-2</v>
      </c>
      <c r="P149" s="169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0.60149330455119687</v>
      </c>
      <c r="S149" s="799">
        <f t="shared" si="55"/>
        <v>-1</v>
      </c>
      <c r="T149" s="176">
        <f t="shared" si="56"/>
        <v>5</v>
      </c>
      <c r="U149" s="250">
        <f t="shared" si="57"/>
        <v>-0.39850669544880313</v>
      </c>
      <c r="V149" s="382">
        <f t="shared" si="58"/>
        <v>58.452659052474473</v>
      </c>
      <c r="W149" s="400">
        <f t="shared" si="59"/>
        <v>54.047403010639847</v>
      </c>
      <c r="X149" s="157">
        <f t="shared" si="60"/>
        <v>46887</v>
      </c>
      <c r="Y149" s="383">
        <f t="shared" si="61"/>
        <v>52.030220877144124</v>
      </c>
      <c r="Z149" s="383">
        <f t="shared" si="62"/>
        <v>55.523873677643053</v>
      </c>
      <c r="AA149" s="384">
        <f t="shared" si="63"/>
        <v>58.313433366010031</v>
      </c>
      <c r="AB149" s="197">
        <f t="shared" si="64"/>
        <v>46887</v>
      </c>
      <c r="AC149" s="119">
        <f>IF(OR(t&lt;Tnet,NoTnet),'2027'!Resal_s+('2027'!Salim-'2027'!Resal_s)*(1-EXP(('2027'!Tnet_s-t)/'2027'!Tau_j)),Resal_s+(Salim-Resal_s)*(1-EXP((Tnet_s-t)/Tau_j)))*Salcycl</f>
        <v>4.78373425700735E-2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0.12648087092517546</v>
      </c>
      <c r="AG149" s="799">
        <f t="shared" si="74"/>
        <v>3</v>
      </c>
      <c r="AH149" s="176">
        <f t="shared" si="67"/>
        <v>9</v>
      </c>
      <c r="AI149" s="224">
        <f t="shared" si="68"/>
        <v>3.1264808709251755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46888</v>
      </c>
      <c r="B150" s="409">
        <f>IF(t&gt;Tmaj,'2027'!Wh/'2027'!Env_an*'2028'!Env_an,0.001*[7]mois!$B$257)</f>
        <v>51.683212808230948</v>
      </c>
      <c r="C150" s="829"/>
      <c r="D150" s="391">
        <f t="shared" si="50"/>
        <v>55.15462222000518</v>
      </c>
      <c r="E150" s="383">
        <f t="shared" si="72"/>
        <v>55.771074903976242</v>
      </c>
      <c r="F150" s="383">
        <f t="shared" si="51"/>
        <v>55.771074903976242</v>
      </c>
      <c r="G150" s="110">
        <f t="shared" si="73"/>
        <v>0.88400080795457259</v>
      </c>
      <c r="H150" s="412" t="b">
        <f>Wh_hp&gt;='2027'!Maxi_hp</f>
        <v>0</v>
      </c>
      <c r="I150" s="388">
        <f>IF(H150,Wh_hp,'2027'!Maxi_hp)</f>
        <v>57.127425816284799</v>
      </c>
      <c r="J150" s="85">
        <f>IF(H150,An,'2027'!An_max)</f>
        <v>2018</v>
      </c>
      <c r="K150" s="197">
        <f t="shared" si="52"/>
        <v>46888</v>
      </c>
      <c r="L150" s="147">
        <f>IF(t&lt;Tvie,1-EXP((T0-t)*PertePVj)+'2027'!Pspv,1-EXP((T0-t)*PertePVj)+Pspv)</f>
        <v>6.2939591860990296E-2</v>
      </c>
      <c r="M150" s="832"/>
      <c r="N150" s="832"/>
      <c r="O150" s="48">
        <f>IF(t&lt;Tnet,'2027'!Resal+('2027'!Salim-'2027'!Resal)*(1-EXP(('2027'!Tnet-t)/('2027'!Tau_j))),Resal+(Salim-Resal)*(1-EXP((Tnet-t)/(Tau_j))))*Salcycl</f>
        <v>1.1053268832140011E-2</v>
      </c>
      <c r="P150" s="169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0.60544974201232304</v>
      </c>
      <c r="S150" s="799">
        <f t="shared" si="55"/>
        <v>-1</v>
      </c>
      <c r="T150" s="176">
        <f t="shared" si="56"/>
        <v>5</v>
      </c>
      <c r="U150" s="250">
        <f t="shared" si="57"/>
        <v>-0.39455025798767696</v>
      </c>
      <c r="V150" s="382">
        <f t="shared" si="58"/>
        <v>58.465119424287757</v>
      </c>
      <c r="W150" s="400">
        <f t="shared" si="59"/>
        <v>51.683212808230948</v>
      </c>
      <c r="X150" s="157">
        <f t="shared" si="60"/>
        <v>46888</v>
      </c>
      <c r="Y150" s="383">
        <f t="shared" si="61"/>
        <v>49.75492151893156</v>
      </c>
      <c r="Z150" s="383">
        <f t="shared" si="62"/>
        <v>53.096813275618182</v>
      </c>
      <c r="AA150" s="384">
        <f t="shared" si="63"/>
        <v>55.771074903976242</v>
      </c>
      <c r="AB150" s="197">
        <f t="shared" si="64"/>
        <v>46888</v>
      </c>
      <c r="AC150" s="119">
        <f>IF(OR(t&lt;Tnet,NoTnet),'2027'!Resal_s+('2027'!Salim-'2027'!Resal_s)*(1-EXP(('2027'!Tnet_s-t)/'2027'!Tau_j)),Resal_s+(Salim-Resal_s)*(1-EXP((Tnet_s-t)/Tau_j)))*Salcycl</f>
        <v>4.7950691876792108E-2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0.13043730838630152</v>
      </c>
      <c r="AG150" s="799">
        <f t="shared" si="74"/>
        <v>3</v>
      </c>
      <c r="AH150" s="176">
        <f t="shared" si="67"/>
        <v>9</v>
      </c>
      <c r="AI150" s="224">
        <f t="shared" si="68"/>
        <v>3.1304373083863015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46889</v>
      </c>
      <c r="B151" s="409">
        <f>IF(t&gt;Tmaj,'2027'!Wh/'2027'!Env_an*'2028'!Env_an,0.001*[7]mois!$B$258)</f>
        <v>54.85938539411007</v>
      </c>
      <c r="C151" s="829"/>
      <c r="D151" s="391">
        <f t="shared" si="50"/>
        <v>58.545250984210789</v>
      </c>
      <c r="E151" s="383">
        <f t="shared" si="72"/>
        <v>59.207432853837076</v>
      </c>
      <c r="F151" s="383">
        <f t="shared" si="51"/>
        <v>59.207432853837076</v>
      </c>
      <c r="G151" s="110">
        <f t="shared" si="73"/>
        <v>0.93817609463648954</v>
      </c>
      <c r="H151" s="412" t="b">
        <f>Wh_hp&gt;='2027'!Maxi_hp</f>
        <v>1</v>
      </c>
      <c r="I151" s="388">
        <f>IF(H151,Wh_hp,'2027'!Maxi_hp)</f>
        <v>59.207432853837076</v>
      </c>
      <c r="J151" s="85">
        <f>IF(H151,An,'2027'!An_max)</f>
        <v>2028</v>
      </c>
      <c r="K151" s="197">
        <f t="shared" si="52"/>
        <v>46889</v>
      </c>
      <c r="L151" s="147">
        <f>IF(t&lt;Tvie,1-EXP((T0-t)*PertePVj)+'2027'!Pspv,1-EXP((T0-t)*PertePVj)+Pspv)</f>
        <v>6.2957550409934449E-2</v>
      </c>
      <c r="M151" s="832"/>
      <c r="N151" s="832"/>
      <c r="O151" s="48">
        <f>IF(t&lt;Tnet,'2027'!Resal+('2027'!Salim-'2027'!Resal)*(1-EXP(('2027'!Tnet-t)/('2027'!Tau_j))),Resal+(Salim-Resal)*(1-EXP((Tnet-t)/(Tau_j))))*Salcycl</f>
        <v>1.1184100335189177E-2</v>
      </c>
      <c r="P151" s="169">
        <f>(INDEX(Models!$BJ151:$BT151,,T151)*(1-R151)+INDEX(Models!$BJ151:$BT151,,T151+1)*R151-ERP_i)*Q151*Ramure*Pc/MaxiM</f>
        <v>-1.326692502046981E-20</v>
      </c>
      <c r="Q151" s="304">
        <f t="shared" si="53"/>
        <v>0.6</v>
      </c>
      <c r="R151" s="177">
        <f t="shared" si="54"/>
        <v>0.60948380037229688</v>
      </c>
      <c r="S151" s="799">
        <f t="shared" si="55"/>
        <v>-1</v>
      </c>
      <c r="T151" s="176">
        <f t="shared" si="56"/>
        <v>5</v>
      </c>
      <c r="U151" s="250">
        <f t="shared" si="57"/>
        <v>-0.39051619962770318</v>
      </c>
      <c r="V151" s="382">
        <f t="shared" si="58"/>
        <v>58.474507832526015</v>
      </c>
      <c r="W151" s="400">
        <f t="shared" si="59"/>
        <v>54.85938539411007</v>
      </c>
      <c r="X151" s="157">
        <f t="shared" si="60"/>
        <v>46889</v>
      </c>
      <c r="Y151" s="383">
        <f t="shared" si="61"/>
        <v>52.81327203273549</v>
      </c>
      <c r="Z151" s="383">
        <f t="shared" si="62"/>
        <v>56.361664357724756</v>
      </c>
      <c r="AA151" s="384">
        <f t="shared" si="63"/>
        <v>59.207432853837076</v>
      </c>
      <c r="AB151" s="197">
        <f t="shared" si="64"/>
        <v>46889</v>
      </c>
      <c r="AC151" s="119">
        <f>IF(OR(t&lt;Tnet,NoTnet),'2027'!Resal_s+('2027'!Salim-'2027'!Resal_s)*(1-EXP(('2027'!Tnet_s-t)/'2027'!Tau_j)),Resal_s+(Salim-Resal_s)*(1-EXP((Tnet_s-t)/Tau_j)))*Salcycl</f>
        <v>4.8064379064323676E-2</v>
      </c>
      <c r="AD151" s="230">
        <f>(INDEX(Models!$BJ151:$BT151,,AH151)*(1-AF151)+INDEX(Models!$BJ151:$BT151,,AH151+1)*AF151-ERP_i)*AE151*Ramure*Pc/MaxiM</f>
        <v>0</v>
      </c>
      <c r="AE151" s="304">
        <f t="shared" si="65"/>
        <v>0.6</v>
      </c>
      <c r="AF151" s="177">
        <f t="shared" si="66"/>
        <v>0.13447136674627513</v>
      </c>
      <c r="AG151" s="799">
        <f t="shared" si="74"/>
        <v>3</v>
      </c>
      <c r="AH151" s="176">
        <f t="shared" si="67"/>
        <v>9</v>
      </c>
      <c r="AI151" s="224">
        <f t="shared" si="68"/>
        <v>3.1344713667462751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46890</v>
      </c>
      <c r="B152" s="409">
        <f>IF(t&gt;Tmaj,'2027'!Wh/'2027'!Env_an*'2028'!Env_an,0.001*[7]mois!$B$259)</f>
        <v>51.983708511201378</v>
      </c>
      <c r="C152" s="829"/>
      <c r="D152" s="391">
        <f t="shared" si="50"/>
        <v>55.477427739747647</v>
      </c>
      <c r="E152" s="383">
        <f t="shared" si="72"/>
        <v>56.112340323067954</v>
      </c>
      <c r="F152" s="383">
        <f t="shared" si="51"/>
        <v>56.112340323067954</v>
      </c>
      <c r="G152" s="110">
        <f t="shared" si="73"/>
        <v>0.88890023282259112</v>
      </c>
      <c r="H152" s="412" t="b">
        <f>Wh_hp&gt;='2027'!Maxi_hp</f>
        <v>0</v>
      </c>
      <c r="I152" s="388">
        <f>IF(H152,Wh_hp,'2027'!Maxi_hp)</f>
        <v>64.598562640471044</v>
      </c>
      <c r="J152" s="85">
        <f>IF(H152,An,'2027'!An_max)</f>
        <v>2020</v>
      </c>
      <c r="K152" s="197">
        <f t="shared" si="52"/>
        <v>46890</v>
      </c>
      <c r="L152" s="147">
        <f>IF(t&lt;Tvie,1-EXP((T0-t)*PertePVj)+'2027'!Pspv,1-EXP((T0-t)*PertePVj)+Pspv)</f>
        <v>6.2975508614707132E-2</v>
      </c>
      <c r="M152" s="832"/>
      <c r="N152" s="832"/>
      <c r="O152" s="48">
        <f>IF(t&lt;Tnet,'2027'!Resal+('2027'!Salim-'2027'!Resal)*(1-EXP(('2027'!Tnet-t)/('2027'!Tau_j))),Resal+(Salim-Resal)*(1-EXP((Tnet-t)/(Tau_j))))*Salcycl</f>
        <v>1.1315025886726239E-2</v>
      </c>
      <c r="P152" s="169">
        <f>(INDEX(Models!$BJ152:$BT152,,T152)*(1-R152)+INDEX(Models!$BJ152:$BT152,,T152+1)*R152-ERP_i)*Q152*Ramure*Pc/MaxiM</f>
        <v>0</v>
      </c>
      <c r="Q152" s="304">
        <f t="shared" si="53"/>
        <v>0.6</v>
      </c>
      <c r="R152" s="177">
        <f t="shared" si="54"/>
        <v>0.61359428059625398</v>
      </c>
      <c r="S152" s="799">
        <f t="shared" si="55"/>
        <v>-1</v>
      </c>
      <c r="T152" s="176">
        <f t="shared" si="56"/>
        <v>5</v>
      </c>
      <c r="U152" s="250">
        <f t="shared" si="57"/>
        <v>-0.38640571940374607</v>
      </c>
      <c r="V152" s="382">
        <f t="shared" si="58"/>
        <v>58.480925745888975</v>
      </c>
      <c r="W152" s="400">
        <f t="shared" si="59"/>
        <v>51.983708511201378</v>
      </c>
      <c r="X152" s="157">
        <f t="shared" si="60"/>
        <v>46890</v>
      </c>
      <c r="Y152" s="383">
        <f t="shared" si="61"/>
        <v>50.045483968778434</v>
      </c>
      <c r="Z152" s="383">
        <f t="shared" si="62"/>
        <v>53.408939071369858</v>
      </c>
      <c r="AA152" s="384">
        <f t="shared" si="63"/>
        <v>56.112340323067954</v>
      </c>
      <c r="AB152" s="197">
        <f t="shared" si="64"/>
        <v>46890</v>
      </c>
      <c r="AC152" s="119">
        <f>IF(OR(t&lt;Tnet,NoTnet),'2027'!Resal_s+('2027'!Salim-'2027'!Resal_s)*(1-EXP(('2027'!Tnet_s-t)/'2027'!Tau_j)),Resal_s+(Salim-Resal_s)*(1-EXP((Tnet_s-t)/Tau_j)))*Salcycl</f>
        <v>4.8178372816624862E-2</v>
      </c>
      <c r="AD152" s="230">
        <f>(INDEX(Models!$BJ152:$BT152,,AH152)*(1-AF152)+INDEX(Models!$BJ152:$BT152,,AH152+1)*AF152-ERP_i)*AE152*Ramure*Pc/MaxiM</f>
        <v>0</v>
      </c>
      <c r="AE152" s="304">
        <f t="shared" si="65"/>
        <v>0.6</v>
      </c>
      <c r="AF152" s="177">
        <f t="shared" si="66"/>
        <v>0.13858184697023246</v>
      </c>
      <c r="AG152" s="799">
        <f t="shared" si="74"/>
        <v>3</v>
      </c>
      <c r="AH152" s="176">
        <f t="shared" si="67"/>
        <v>9</v>
      </c>
      <c r="AI152" s="224">
        <f t="shared" si="68"/>
        <v>3.1385818469702325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46891</v>
      </c>
      <c r="B153" s="409">
        <f>IF(t&gt;Tmaj,'2027'!Wh/'2027'!Env_an*'2028'!Env_an,0.001*[7]mois!$B$260)</f>
        <v>55.402967666384477</v>
      </c>
      <c r="C153" s="829"/>
      <c r="D153" s="391">
        <f t="shared" si="50"/>
        <v>59.127621509722275</v>
      </c>
      <c r="E153" s="383">
        <f t="shared" si="72"/>
        <v>59.812234709185503</v>
      </c>
      <c r="F153" s="383">
        <f t="shared" si="51"/>
        <v>59.812234709185503</v>
      </c>
      <c r="G153" s="110">
        <f t="shared" si="73"/>
        <v>0.94731068427701781</v>
      </c>
      <c r="H153" s="412" t="b">
        <f>Wh_hp&gt;='2027'!Maxi_hp</f>
        <v>0</v>
      </c>
      <c r="I153" s="388">
        <f>IF(H153,Wh_hp,'2027'!Maxi_hp)</f>
        <v>63.301181056084516</v>
      </c>
      <c r="J153" s="85">
        <f>IF(H153,An,'2027'!An_max)</f>
        <v>2020</v>
      </c>
      <c r="K153" s="197">
        <f t="shared" si="52"/>
        <v>46891</v>
      </c>
      <c r="L153" s="147">
        <f>IF(t&lt;Tvie,1-EXP((T0-t)*PertePVj)+'2027'!Pspv,1-EXP((T0-t)*PertePVj)+Pspv)</f>
        <v>6.2993466475314897E-2</v>
      </c>
      <c r="M153" s="832"/>
      <c r="N153" s="832"/>
      <c r="O153" s="48">
        <f>IF(t&lt;Tnet,'2027'!Resal+('2027'!Salim-'2027'!Resal)*(1-EXP(('2027'!Tnet-t)/('2027'!Tau_j))),Resal+(Salim-Resal)*(1-EXP((Tnet-t)/(Tau_j))))*Salcycl</f>
        <v>1.1446039473226501E-2</v>
      </c>
      <c r="P153" s="169">
        <f>(INDEX(Models!$BJ153:$BT153,,T153)*(1-R153)+INDEX(Models!$BJ153:$BT153,,T153+1)*R153-ERP_i)*Q153*Ramure*Pc/MaxiM</f>
        <v>0</v>
      </c>
      <c r="Q153" s="304">
        <f t="shared" si="53"/>
        <v>0.6</v>
      </c>
      <c r="R153" s="177">
        <f t="shared" si="54"/>
        <v>0.61777980636355045</v>
      </c>
      <c r="S153" s="799">
        <f t="shared" si="55"/>
        <v>-1</v>
      </c>
      <c r="T153" s="176">
        <f t="shared" si="56"/>
        <v>5</v>
      </c>
      <c r="U153" s="250">
        <f t="shared" si="57"/>
        <v>-0.3822201936364496</v>
      </c>
      <c r="V153" s="382">
        <f t="shared" si="58"/>
        <v>58.48447461422618</v>
      </c>
      <c r="W153" s="400">
        <f t="shared" si="59"/>
        <v>55.402967666384477</v>
      </c>
      <c r="X153" s="157">
        <f t="shared" si="60"/>
        <v>46891</v>
      </c>
      <c r="Y153" s="383">
        <f t="shared" si="61"/>
        <v>53.337920014976454</v>
      </c>
      <c r="Z153" s="383">
        <f t="shared" si="62"/>
        <v>56.923743972561411</v>
      </c>
      <c r="AA153" s="384">
        <f t="shared" si="63"/>
        <v>59.812234709185503</v>
      </c>
      <c r="AB153" s="197">
        <f t="shared" si="64"/>
        <v>46891</v>
      </c>
      <c r="AC153" s="119">
        <f>IF(OR(t&lt;Tnet,NoTnet),'2027'!Resal_s+('2027'!Salim-'2027'!Resal_s)*(1-EXP(('2027'!Tnet_s-t)/'2027'!Tau_j)),Resal_s+(Salim-Resal_s)*(1-EXP((Tnet_s-t)/Tau_j)))*Salcycl</f>
        <v>4.8292640304584744E-2</v>
      </c>
      <c r="AD153" s="230">
        <f>(INDEX(Models!$BJ153:$BT153,,AH153)*(1-AF153)+INDEX(Models!$BJ153:$BT153,,AH153+1)*AF153-ERP_i)*AE153*Ramure*Pc/MaxiM</f>
        <v>0</v>
      </c>
      <c r="AE153" s="304">
        <f t="shared" si="65"/>
        <v>0.6</v>
      </c>
      <c r="AF153" s="177">
        <f t="shared" si="66"/>
        <v>0.14276737273752893</v>
      </c>
      <c r="AG153" s="799">
        <f t="shared" si="74"/>
        <v>3</v>
      </c>
      <c r="AH153" s="176">
        <f t="shared" si="67"/>
        <v>9</v>
      </c>
      <c r="AI153" s="224">
        <f t="shared" si="68"/>
        <v>3.1427673727375289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46892</v>
      </c>
      <c r="B154" s="409">
        <f>IF(t&gt;Tmaj,'2027'!Wh/'2027'!Env_an*'2028'!Env_an,0.001*[7]mois!$B$261)</f>
        <v>50.402526598261232</v>
      </c>
      <c r="C154" s="829"/>
      <c r="D154" s="391">
        <f t="shared" si="50"/>
        <v>53.792039613744684</v>
      </c>
      <c r="E154" s="383">
        <f t="shared" si="72"/>
        <v>54.422091483183408</v>
      </c>
      <c r="F154" s="383">
        <f t="shared" si="51"/>
        <v>54.422091483183408</v>
      </c>
      <c r="G154" s="110">
        <f t="shared" si="73"/>
        <v>0.86179885603103068</v>
      </c>
      <c r="H154" s="412" t="b">
        <f>Wh_hp&gt;='2027'!Maxi_hp</f>
        <v>0</v>
      </c>
      <c r="I154" s="388">
        <f>IF(H154,Wh_hp,'2027'!Maxi_hp)</f>
        <v>62.450618114879568</v>
      </c>
      <c r="J154" s="85">
        <f>IF(H154,An,'2027'!An_max)</f>
        <v>2020</v>
      </c>
      <c r="K154" s="197">
        <f t="shared" si="52"/>
        <v>46892</v>
      </c>
      <c r="L154" s="147">
        <f>IF(t&lt;Tvie,1-EXP((T0-t)*PertePVj)+'2027'!Pspv,1-EXP((T0-t)*PertePVj)+Pspv)</f>
        <v>6.3011423991764404E-2</v>
      </c>
      <c r="M154" s="832"/>
      <c r="N154" s="832"/>
      <c r="O154" s="48">
        <f>IF(t&lt;Tnet,'2027'!Resal+('2027'!Salim-'2027'!Resal)*(1-EXP(('2027'!Tnet-t)/('2027'!Tau_j))),Resal+(Salim-Resal)*(1-EXP((Tnet-t)/(Tau_j))))*Salcycl</f>
        <v>1.1577134436911763E-2</v>
      </c>
      <c r="P154" s="169">
        <f>(INDEX(Models!$BJ154:$BT154,,T154)*(1-R154)+INDEX(Models!$BJ154:$BT154,,T154+1)*R154-ERP_i)*Q154*Ramure*Pc/MaxiM</f>
        <v>-1.3649188508928938E-20</v>
      </c>
      <c r="Q154" s="304">
        <f t="shared" si="53"/>
        <v>0.6</v>
      </c>
      <c r="R154" s="177">
        <f t="shared" si="54"/>
        <v>0.62203882167121105</v>
      </c>
      <c r="S154" s="799">
        <f t="shared" si="55"/>
        <v>-1</v>
      </c>
      <c r="T154" s="176">
        <f t="shared" si="56"/>
        <v>5</v>
      </c>
      <c r="U154" s="250">
        <f t="shared" si="57"/>
        <v>-0.37796117832878895</v>
      </c>
      <c r="V154" s="382">
        <f t="shared" si="58"/>
        <v>58.485255863981315</v>
      </c>
      <c r="W154" s="400">
        <f t="shared" si="59"/>
        <v>50.402526598261232</v>
      </c>
      <c r="X154" s="157">
        <f t="shared" si="60"/>
        <v>46892</v>
      </c>
      <c r="Y154" s="383">
        <f t="shared" si="61"/>
        <v>48.524458248016529</v>
      </c>
      <c r="Z154" s="383">
        <f t="shared" si="62"/>
        <v>51.787673287054062</v>
      </c>
      <c r="AA154" s="384">
        <f t="shared" si="63"/>
        <v>54.422091483183408</v>
      </c>
      <c r="AB154" s="197">
        <f t="shared" si="64"/>
        <v>46892</v>
      </c>
      <c r="AC154" s="119">
        <f>IF(OR(t&lt;Tnet,NoTnet),'2027'!Resal_s+('2027'!Salim-'2027'!Resal_s)*(1-EXP(('2027'!Tnet_s-t)/'2027'!Tau_j)),Resal_s+(Salim-Resal_s)*(1-EXP((Tnet_s-t)/Tau_j)))*Salcycl</f>
        <v>4.8407147250917215E-2</v>
      </c>
      <c r="AD154" s="230">
        <f>(INDEX(Models!$BJ154:$BT154,,AH154)*(1-AF154)+INDEX(Models!$BJ154:$BT154,,AH154+1)*AF154-ERP_i)*AE154*Ramure*Pc/MaxiM</f>
        <v>0</v>
      </c>
      <c r="AE154" s="304">
        <f t="shared" si="65"/>
        <v>0.6</v>
      </c>
      <c r="AF154" s="177">
        <f t="shared" si="66"/>
        <v>0.14702638804518964</v>
      </c>
      <c r="AG154" s="799">
        <f t="shared" si="74"/>
        <v>3</v>
      </c>
      <c r="AH154" s="176">
        <f t="shared" si="67"/>
        <v>9</v>
      </c>
      <c r="AI154" s="224">
        <f t="shared" si="68"/>
        <v>3.1470263880451896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46893</v>
      </c>
      <c r="B155" s="409">
        <f>IF(t&gt;Tmaj,'2027'!Wh/'2027'!Env_an*'2028'!Env_an,0.001*[7]mois!$B$262)</f>
        <v>51.407361255948445</v>
      </c>
      <c r="C155" s="829"/>
      <c r="D155" s="391">
        <f t="shared" si="50"/>
        <v>54.865499752612621</v>
      </c>
      <c r="E155" s="383">
        <f t="shared" si="72"/>
        <v>55.515491980650339</v>
      </c>
      <c r="F155" s="383">
        <f t="shared" si="51"/>
        <v>55.515491980650339</v>
      </c>
      <c r="G155" s="110">
        <f t="shared" si="73"/>
        <v>0.87900817723197366</v>
      </c>
      <c r="H155" s="412" t="b">
        <f>Wh_hp&gt;='2027'!Maxi_hp</f>
        <v>0</v>
      </c>
      <c r="I155" s="388">
        <f>IF(H155,Wh_hp,'2027'!Maxi_hp)</f>
        <v>60.873954388671315</v>
      </c>
      <c r="J155" s="85">
        <f>IF(H155,An,'2027'!An_max)</f>
        <v>2020</v>
      </c>
      <c r="K155" s="197">
        <f t="shared" si="52"/>
        <v>46893</v>
      </c>
      <c r="L155" s="147">
        <f>IF(t&lt;Tvie,1-EXP((T0-t)*PertePVj)+'2027'!Pspv,1-EXP((T0-t)*PertePVj)+Pspv)</f>
        <v>6.3029381164062093E-2</v>
      </c>
      <c r="M155" s="832"/>
      <c r="N155" s="832"/>
      <c r="O155" s="48">
        <f>IF(t&lt;Tnet,'2027'!Resal+('2027'!Salim-'2027'!Resal)*(1-EXP(('2027'!Tnet-t)/('2027'!Tau_j))),Resal+(Salim-Resal)*(1-EXP((Tnet-t)/(Tau_j))))*Salcycl</f>
        <v>1.1708303481562723E-2</v>
      </c>
      <c r="P155" s="169">
        <f>(INDEX(Models!$BJ155:$BT155,,T155)*(1-R155)+INDEX(Models!$BJ155:$BT155,,T155+1)*R155-ERP_i)*Q155*Ramure*Pc/MaxiM</f>
        <v>1.3779418004803794E-20</v>
      </c>
      <c r="Q155" s="304">
        <f t="shared" si="53"/>
        <v>0.6</v>
      </c>
      <c r="R155" s="177">
        <f t="shared" si="54"/>
        <v>0.62636958919215391</v>
      </c>
      <c r="S155" s="799">
        <f t="shared" si="55"/>
        <v>-1</v>
      </c>
      <c r="T155" s="176">
        <f t="shared" si="56"/>
        <v>5</v>
      </c>
      <c r="U155" s="250">
        <f t="shared" si="57"/>
        <v>-0.37363041080784609</v>
      </c>
      <c r="V155" s="382">
        <f t="shared" si="58"/>
        <v>58.483370903137626</v>
      </c>
      <c r="W155" s="400">
        <f t="shared" si="59"/>
        <v>51.407361255948445</v>
      </c>
      <c r="X155" s="157">
        <f t="shared" si="60"/>
        <v>46893</v>
      </c>
      <c r="Y155" s="383">
        <f t="shared" si="61"/>
        <v>49.492453235221788</v>
      </c>
      <c r="Z155" s="383">
        <f t="shared" si="62"/>
        <v>52.821777161710379</v>
      </c>
      <c r="AA155" s="384">
        <f t="shared" si="63"/>
        <v>55.515491980650339</v>
      </c>
      <c r="AB155" s="197">
        <f t="shared" si="64"/>
        <v>46893</v>
      </c>
      <c r="AC155" s="119">
        <f>IF(OR(t&lt;Tnet,NoTnet),'2027'!Resal_s+('2027'!Salim-'2027'!Resal_s)*(1-EXP(('2027'!Tnet_s-t)/'2027'!Tau_j)),Resal_s+(Salim-Resal_s)*(1-EXP((Tnet_s-t)/Tau_j)))*Salcycl</f>
        <v>4.8521858004588019E-2</v>
      </c>
      <c r="AD155" s="230">
        <f>(INDEX(Models!$BJ155:$BT155,,AH155)*(1-AF155)+INDEX(Models!$BJ155:$BT155,,AH155+1)*AF155-ERP_i)*AE155*Ramure*Pc/MaxiM</f>
        <v>0</v>
      </c>
      <c r="AE155" s="304">
        <f t="shared" si="65"/>
        <v>0.6</v>
      </c>
      <c r="AF155" s="177">
        <f t="shared" si="66"/>
        <v>0.15135715556613238</v>
      </c>
      <c r="AG155" s="799">
        <f t="shared" si="74"/>
        <v>3</v>
      </c>
      <c r="AH155" s="176">
        <f t="shared" si="67"/>
        <v>9</v>
      </c>
      <c r="AI155" s="224">
        <f t="shared" si="68"/>
        <v>3.1513571555661324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46894</v>
      </c>
      <c r="B156" s="409">
        <f>IF(t&gt;Tmaj,'2027'!Wh/'2027'!Env_an*'2028'!Env_an,0.001*[7]mois!$B$263)</f>
        <v>40.882809391885658</v>
      </c>
      <c r="C156" s="829"/>
      <c r="D156" s="391">
        <f t="shared" si="50"/>
        <v>43.633804619625444</v>
      </c>
      <c r="E156" s="383">
        <f t="shared" si="72"/>
        <v>44.15659837413051</v>
      </c>
      <c r="F156" s="383">
        <f t="shared" si="51"/>
        <v>44.15659837413051</v>
      </c>
      <c r="G156" s="110">
        <f t="shared" si="73"/>
        <v>0.69910334547496078</v>
      </c>
      <c r="H156" s="412" t="b">
        <f>Wh_hp&gt;='2027'!Maxi_hp</f>
        <v>0</v>
      </c>
      <c r="I156" s="388">
        <f>IF(H156,Wh_hp,'2027'!Maxi_hp)</f>
        <v>60.177941095555454</v>
      </c>
      <c r="J156" s="85">
        <f>IF(H156,An,'2027'!An_max)</f>
        <v>2018</v>
      </c>
      <c r="K156" s="197">
        <f t="shared" si="52"/>
        <v>46894</v>
      </c>
      <c r="L156" s="147">
        <f>IF(t&lt;Tvie,1-EXP((T0-t)*PertePVj)+'2027'!Pspv,1-EXP((T0-t)*PertePVj)+Pspv)</f>
        <v>6.3047337992214736E-2</v>
      </c>
      <c r="M156" s="832"/>
      <c r="N156" s="832"/>
      <c r="O156" s="48">
        <f>IF(t&lt;Tnet,'2027'!Resal+('2027'!Salim-'2027'!Resal)*(1-EXP(('2027'!Tnet-t)/('2027'!Tau_j))),Resal+(Salim-Resal)*(1-EXP((Tnet-t)/(Tau_j))))*Salcycl</f>
        <v>1.1839538681751135E-2</v>
      </c>
      <c r="P156" s="169">
        <f>(INDEX(Models!$BJ156:$BT156,,T156)*(1-R156)+INDEX(Models!$BJ156:$BT156,,T156+1)*R156-ERP_i)*Q156*Ramure*Pc/MaxiM</f>
        <v>1.3910798768833795E-20</v>
      </c>
      <c r="Q156" s="304">
        <f t="shared" si="53"/>
        <v>0.6</v>
      </c>
      <c r="R156" s="177">
        <f t="shared" si="54"/>
        <v>0.63077018943770957</v>
      </c>
      <c r="S156" s="799">
        <f t="shared" si="55"/>
        <v>-1</v>
      </c>
      <c r="T156" s="176">
        <f t="shared" si="56"/>
        <v>5</v>
      </c>
      <c r="U156" s="250">
        <f t="shared" si="57"/>
        <v>-0.36922981056229048</v>
      </c>
      <c r="V156" s="382">
        <f t="shared" si="58"/>
        <v>58.478921115890905</v>
      </c>
      <c r="W156" s="400">
        <f t="shared" si="59"/>
        <v>40.882809391885658</v>
      </c>
      <c r="X156" s="157">
        <f t="shared" si="60"/>
        <v>46894</v>
      </c>
      <c r="Y156" s="383">
        <f t="shared" si="61"/>
        <v>39.36041212174203</v>
      </c>
      <c r="Z156" s="383">
        <f t="shared" si="62"/>
        <v>42.008965572921312</v>
      </c>
      <c r="AA156" s="384">
        <f t="shared" si="63"/>
        <v>44.15659837413051</v>
      </c>
      <c r="AB156" s="197">
        <f t="shared" si="64"/>
        <v>46894</v>
      </c>
      <c r="AC156" s="119">
        <f>IF(OR(t&lt;Tnet,NoTnet),'2027'!Resal_s+('2027'!Salim-'2027'!Resal_s)*(1-EXP(('2027'!Tnet_s-t)/'2027'!Tau_j)),Resal_s+(Salim-Resal_s)*(1-EXP((Tnet_s-t)/Tau_j)))*Salcycl</f>
        <v>4.8636735624712657E-2</v>
      </c>
      <c r="AD156" s="230">
        <f>(INDEX(Models!$BJ156:$BT156,,AH156)*(1-AF156)+INDEX(Models!$BJ156:$BT156,,AH156+1)*AF156-ERP_i)*AE156*Ramure*Pc/MaxiM</f>
        <v>0</v>
      </c>
      <c r="AE156" s="304">
        <f t="shared" si="65"/>
        <v>0.6</v>
      </c>
      <c r="AF156" s="177">
        <f t="shared" si="66"/>
        <v>0.15575775581168783</v>
      </c>
      <c r="AG156" s="799">
        <f t="shared" si="74"/>
        <v>3</v>
      </c>
      <c r="AH156" s="176">
        <f t="shared" si="67"/>
        <v>9</v>
      </c>
      <c r="AI156" s="224">
        <f t="shared" si="68"/>
        <v>3.1557577558116878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46895</v>
      </c>
      <c r="B157" s="409">
        <f>IF(t&gt;Tmaj,'2027'!Wh/'2027'!Env_an*'2028'!Env_an,0.001*[7]mois!$B$264)</f>
        <v>19.161722284919925</v>
      </c>
      <c r="C157" s="829"/>
      <c r="D157" s="391">
        <f t="shared" si="50"/>
        <v>20.451502299947379</v>
      </c>
      <c r="E157" s="383">
        <f t="shared" si="72"/>
        <v>20.699290012768348</v>
      </c>
      <c r="F157" s="383">
        <f t="shared" si="51"/>
        <v>20.699290012768348</v>
      </c>
      <c r="G157" s="110">
        <f t="shared" si="73"/>
        <v>0.32770761573836865</v>
      </c>
      <c r="H157" s="412" t="b">
        <f>Wh_hp&gt;='2027'!Maxi_hp</f>
        <v>0</v>
      </c>
      <c r="I157" s="388">
        <f>IF(H157,Wh_hp,'2027'!Maxi_hp)</f>
        <v>58.544637750972903</v>
      </c>
      <c r="J157" s="85">
        <f>IF(H157,An,'2027'!An_max)</f>
        <v>2020</v>
      </c>
      <c r="K157" s="197">
        <f t="shared" si="52"/>
        <v>46895</v>
      </c>
      <c r="L157" s="147">
        <f>IF(t&lt;Tvie,1-EXP((T0-t)*PertePVj)+'2027'!Pspv,1-EXP((T0-t)*PertePVj)+Pspv)</f>
        <v>6.3065294476228884E-2</v>
      </c>
      <c r="M157" s="832"/>
      <c r="N157" s="832"/>
      <c r="O157" s="48">
        <f>IF(t&lt;Tnet,'2027'!Resal+('2027'!Salim-'2027'!Resal)*(1-EXP(('2027'!Tnet-t)/('2027'!Tau_j))),Resal+(Salim-Resal)*(1-EXP((Tnet-t)/(Tau_j))))*Salcycl</f>
        <v>1.1970831495578899E-2</v>
      </c>
      <c r="P157" s="169">
        <f>(INDEX(Models!$BJ157:$BT157,,T157)*(1-R157)+INDEX(Models!$BJ157:$BT157,,T157+1)*R157-ERP_i)*Q157*Ramure*Pc/MaxiM</f>
        <v>1.4043172568555057E-20</v>
      </c>
      <c r="Q157" s="304">
        <f t="shared" si="53"/>
        <v>0.6</v>
      </c>
      <c r="R157" s="177">
        <f t="shared" si="54"/>
        <v>0.63523852076948184</v>
      </c>
      <c r="S157" s="799">
        <f t="shared" si="55"/>
        <v>-1</v>
      </c>
      <c r="T157" s="176">
        <f t="shared" si="56"/>
        <v>5</v>
      </c>
      <c r="U157" s="250">
        <f t="shared" si="57"/>
        <v>-0.36476147923051816</v>
      </c>
      <c r="V157" s="382">
        <f t="shared" si="58"/>
        <v>58.472007865139254</v>
      </c>
      <c r="W157" s="400">
        <f t="shared" si="59"/>
        <v>19.161722284919925</v>
      </c>
      <c r="X157" s="157">
        <f t="shared" si="60"/>
        <v>46895</v>
      </c>
      <c r="Y157" s="383">
        <f t="shared" si="61"/>
        <v>18.448397603385878</v>
      </c>
      <c r="Z157" s="383">
        <f t="shared" si="62"/>
        <v>19.690163567025451</v>
      </c>
      <c r="AA157" s="384">
        <f t="shared" si="63"/>
        <v>20.699290012768348</v>
      </c>
      <c r="AB157" s="197">
        <f t="shared" si="64"/>
        <v>46895</v>
      </c>
      <c r="AC157" s="119">
        <f>IF(OR(t&lt;Tnet,NoTnet),'2027'!Resal_s+('2027'!Salim-'2027'!Resal_s)*(1-EXP(('2027'!Tnet_s-t)/'2027'!Tau_j)),Resal_s+(Salim-Resal_s)*(1-EXP((Tnet_s-t)/Tau_j)))*Salcycl</f>
        <v>4.8751741973778642E-2</v>
      </c>
      <c r="AD157" s="230">
        <f>(INDEX(Models!$BJ157:$BT157,,AH157)*(1-AF157)+INDEX(Models!$BJ157:$BT157,,AH157+1)*AF157-ERP_i)*AE157*Ramure*Pc/MaxiM</f>
        <v>-1.4043172568555057E-20</v>
      </c>
      <c r="AE157" s="304">
        <f t="shared" si="65"/>
        <v>0.6</v>
      </c>
      <c r="AF157" s="177">
        <f t="shared" si="66"/>
        <v>0.16022608714346021</v>
      </c>
      <c r="AG157" s="799">
        <f t="shared" si="74"/>
        <v>3</v>
      </c>
      <c r="AH157" s="176">
        <f t="shared" si="67"/>
        <v>9</v>
      </c>
      <c r="AI157" s="224">
        <f t="shared" si="68"/>
        <v>3.1602260871434602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46896</v>
      </c>
      <c r="B158" s="409">
        <f>IF(t&gt;Tmaj,'2027'!Wh/'2027'!Env_an*'2028'!Env_an,0.001*[7]mois!$B$265)</f>
        <v>16.737448890084735</v>
      </c>
      <c r="C158" s="829"/>
      <c r="D158" s="391">
        <f t="shared" si="50"/>
        <v>17.864392862109877</v>
      </c>
      <c r="E158" s="383">
        <f t="shared" si="72"/>
        <v>18.083239349153253</v>
      </c>
      <c r="F158" s="383">
        <f t="shared" si="51"/>
        <v>18.083239349153253</v>
      </c>
      <c r="G158" s="110">
        <f t="shared" si="73"/>
        <v>0.2862926205770418</v>
      </c>
      <c r="H158" s="412" t="b">
        <f>Wh_hp&gt;='2027'!Maxi_hp</f>
        <v>0</v>
      </c>
      <c r="I158" s="388">
        <f>IF(H158,Wh_hp,'2027'!Maxi_hp)</f>
        <v>26.742649720256367</v>
      </c>
      <c r="J158" s="85">
        <f>IF(H158,An,'2027'!An_max)</f>
        <v>2021</v>
      </c>
      <c r="K158" s="197">
        <f t="shared" si="52"/>
        <v>46896</v>
      </c>
      <c r="L158" s="147">
        <f>IF(t&lt;Tvie,1-EXP((T0-t)*PertePVj)+'2027'!Pspv,1-EXP((T0-t)*PertePVj)+Pspv)</f>
        <v>6.3083250616111086E-2</v>
      </c>
      <c r="M158" s="832"/>
      <c r="N158" s="832"/>
      <c r="O158" s="48">
        <f>IF(t&lt;Tnet,'2027'!Resal+('2027'!Salim-'2027'!Resal)*(1-EXP(('2027'!Tnet-t)/('2027'!Tau_j))),Resal+(Salim-Resal)*(1-EXP((Tnet-t)/(Tau_j))))*Salcycl</f>
        <v>1.2102172780985767E-2</v>
      </c>
      <c r="P158" s="169">
        <f>(INDEX(Models!$BJ158:$BT158,,T158)*(1-R158)+INDEX(Models!$BJ158:$BT158,,T158+1)*R158-ERP_i)*Q158*Ramure*Pc/MaxiM</f>
        <v>0</v>
      </c>
      <c r="Q158" s="304">
        <f t="shared" si="53"/>
        <v>0.6</v>
      </c>
      <c r="R158" s="177">
        <f t="shared" si="54"/>
        <v>0.6397723003003114</v>
      </c>
      <c r="S158" s="799">
        <f t="shared" si="55"/>
        <v>-1</v>
      </c>
      <c r="T158" s="176">
        <f t="shared" si="56"/>
        <v>5</v>
      </c>
      <c r="U158" s="250">
        <f t="shared" si="57"/>
        <v>-0.3602276996996886</v>
      </c>
      <c r="V158" s="382">
        <f t="shared" si="58"/>
        <v>58.462732488002295</v>
      </c>
      <c r="W158" s="400">
        <f t="shared" si="59"/>
        <v>16.737448890084735</v>
      </c>
      <c r="X158" s="157">
        <f t="shared" si="60"/>
        <v>46896</v>
      </c>
      <c r="Y158" s="383">
        <f t="shared" si="61"/>
        <v>16.114563926582825</v>
      </c>
      <c r="Z158" s="383">
        <f t="shared" si="62"/>
        <v>17.199568624618646</v>
      </c>
      <c r="AA158" s="384">
        <f t="shared" si="63"/>
        <v>18.083239349153253</v>
      </c>
      <c r="AB158" s="197">
        <f t="shared" si="64"/>
        <v>46896</v>
      </c>
      <c r="AC158" s="119">
        <f>IF(OR(t&lt;Tnet,NoTnet),'2027'!Resal_s+('2027'!Salim-'2027'!Resal_s)*(1-EXP(('2027'!Tnet_s-t)/'2027'!Tau_j)),Resal_s+(Salim-Resal_s)*(1-EXP((Tnet_s-t)/Tau_j)))*Salcycl</f>
        <v>4.8866837819960929E-2</v>
      </c>
      <c r="AD158" s="230">
        <f>(INDEX(Models!$BJ158:$BT158,,AH158)*(1-AF158)+INDEX(Models!$BJ158:$BT158,,AH158+1)*AF158-ERP_i)*AE158*Ramure*Pc/MaxiM</f>
        <v>0</v>
      </c>
      <c r="AE158" s="304">
        <f t="shared" si="65"/>
        <v>0.6</v>
      </c>
      <c r="AF158" s="177">
        <f t="shared" si="66"/>
        <v>0.16475986667428977</v>
      </c>
      <c r="AG158" s="799">
        <f t="shared" si="74"/>
        <v>3</v>
      </c>
      <c r="AH158" s="176">
        <f t="shared" si="67"/>
        <v>9</v>
      </c>
      <c r="AI158" s="224">
        <f t="shared" si="68"/>
        <v>3.1647598666742898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46897</v>
      </c>
      <c r="B159" s="409">
        <f>IF(t&gt;Tmaj,'2027'!Wh/'2027'!Env_an*'2028'!Env_an,0.001*[7]mois!$B$266)</f>
        <v>42.569422838373029</v>
      </c>
      <c r="C159" s="829"/>
      <c r="D159" s="391">
        <f t="shared" si="50"/>
        <v>45.436522204645811</v>
      </c>
      <c r="E159" s="383">
        <f t="shared" si="72"/>
        <v>45.999256538996704</v>
      </c>
      <c r="F159" s="383">
        <f t="shared" si="51"/>
        <v>45.999256538996704</v>
      </c>
      <c r="G159" s="110">
        <f t="shared" si="73"/>
        <v>0.72829001861801546</v>
      </c>
      <c r="H159" s="412" t="b">
        <f>Wh_hp&gt;='2027'!Maxi_hp</f>
        <v>0</v>
      </c>
      <c r="I159" s="388">
        <f>IF(H159,Wh_hp,'2027'!Maxi_hp)</f>
        <v>59.02247557748224</v>
      </c>
      <c r="J159" s="85">
        <f>IF(H159,An,'2027'!An_max)</f>
        <v>2020</v>
      </c>
      <c r="K159" s="197">
        <f t="shared" si="52"/>
        <v>46897</v>
      </c>
      <c r="L159" s="147">
        <f>IF(t&lt;Tvie,1-EXP((T0-t)*PertePVj)+'2027'!Pspv,1-EXP((T0-t)*PertePVj)+Pspv)</f>
        <v>6.3101206411868005E-2</v>
      </c>
      <c r="M159" s="832"/>
      <c r="N159" s="832"/>
      <c r="O159" s="48">
        <f>IF(t&lt;Tnet,'2027'!Resal+('2027'!Salim-'2027'!Resal)*(1-EXP(('2027'!Tnet-t)/('2027'!Tau_j))),Resal+(Salim-Resal)*(1-EXP((Tnet-t)/(Tau_j))))*Salcycl</f>
        <v>1.223355281565968E-2</v>
      </c>
      <c r="P159" s="169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0.64436906571802843</v>
      </c>
      <c r="S159" s="799">
        <f t="shared" si="55"/>
        <v>-1</v>
      </c>
      <c r="T159" s="176">
        <f t="shared" si="56"/>
        <v>5</v>
      </c>
      <c r="U159" s="250">
        <f t="shared" si="57"/>
        <v>-0.35563093428197157</v>
      </c>
      <c r="V159" s="382">
        <f t="shared" si="58"/>
        <v>58.45119629560719</v>
      </c>
      <c r="W159" s="400">
        <f t="shared" si="59"/>
        <v>42.569422838373029</v>
      </c>
      <c r="X159" s="157">
        <f t="shared" si="60"/>
        <v>46897</v>
      </c>
      <c r="Y159" s="383">
        <f t="shared" si="61"/>
        <v>40.98568868196552</v>
      </c>
      <c r="Z159" s="383">
        <f t="shared" si="62"/>
        <v>43.74612173957302</v>
      </c>
      <c r="AA159" s="384">
        <f t="shared" si="63"/>
        <v>45.999256538996704</v>
      </c>
      <c r="AB159" s="197">
        <f t="shared" si="64"/>
        <v>46897</v>
      </c>
      <c r="AC159" s="119">
        <f>IF(OR(t&lt;Tnet,NoTnet),'2027'!Resal_s+('2027'!Salim-'2027'!Resal_s)*(1-EXP(('2027'!Tnet_s-t)/'2027'!Tau_j)),Resal_s+(Salim-Resal_s)*(1-EXP((Tnet_s-t)/Tau_j)))*Salcycl</f>
        <v>4.89819829482145E-2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0.1693566320920068</v>
      </c>
      <c r="AG159" s="799">
        <f t="shared" si="74"/>
        <v>3</v>
      </c>
      <c r="AH159" s="176">
        <f t="shared" si="67"/>
        <v>9</v>
      </c>
      <c r="AI159" s="224">
        <f t="shared" si="68"/>
        <v>3.1693566320920068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46898</v>
      </c>
      <c r="B160" s="409">
        <f>IF(t&gt;Tmaj,'2027'!Wh/'2027'!Env_an*'2028'!Env_an,0.001*[7]mois!$B$267)</f>
        <v>27.772160096822329</v>
      </c>
      <c r="C160" s="829"/>
      <c r="D160" s="391">
        <f t="shared" si="50"/>
        <v>29.643214981387217</v>
      </c>
      <c r="E160" s="383">
        <f t="shared" si="72"/>
        <v>30.014341148753513</v>
      </c>
      <c r="F160" s="383">
        <f t="shared" si="51"/>
        <v>30.014341148753513</v>
      </c>
      <c r="G160" s="110">
        <f t="shared" si="73"/>
        <v>0.47524551570704998</v>
      </c>
      <c r="H160" s="412" t="b">
        <f>Wh_hp&gt;='2027'!Maxi_hp</f>
        <v>0</v>
      </c>
      <c r="I160" s="388">
        <f>IF(H160,Wh_hp,'2027'!Maxi_hp)</f>
        <v>61.793070992258549</v>
      </c>
      <c r="J160" s="85">
        <f>IF(H160,An,'2027'!An_max)</f>
        <v>2020</v>
      </c>
      <c r="K160" s="197">
        <f t="shared" si="52"/>
        <v>46898</v>
      </c>
      <c r="L160" s="147">
        <f>IF(t&lt;Tvie,1-EXP((T0-t)*PertePVj)+'2027'!Pspv,1-EXP((T0-t)*PertePVj)+Pspv)</f>
        <v>6.3119161863506079E-2</v>
      </c>
      <c r="M160" s="832"/>
      <c r="N160" s="832"/>
      <c r="O160" s="48">
        <f>IF(t&lt;Tnet,'2027'!Resal+('2027'!Salim-'2027'!Resal)*(1-EXP(('2027'!Tnet-t)/('2027'!Tau_j))),Resal+(Salim-Resal)*(1-EXP((Tnet-t)/(Tau_j))))*Salcycl</f>
        <v>1.2364961320555583E-2</v>
      </c>
      <c r="P160" s="169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0.64902617805886076</v>
      </c>
      <c r="S160" s="799">
        <f t="shared" si="55"/>
        <v>-1</v>
      </c>
      <c r="T160" s="176">
        <f t="shared" si="56"/>
        <v>5</v>
      </c>
      <c r="U160" s="250">
        <f t="shared" si="57"/>
        <v>-0.35097382194113924</v>
      </c>
      <c r="V160" s="382">
        <f t="shared" si="58"/>
        <v>58.437500573790992</v>
      </c>
      <c r="W160" s="400">
        <f t="shared" si="59"/>
        <v>27.772160096822329</v>
      </c>
      <c r="X160" s="157">
        <f t="shared" si="60"/>
        <v>46898</v>
      </c>
      <c r="Y160" s="383">
        <f t="shared" si="61"/>
        <v>26.73925643937913</v>
      </c>
      <c r="Z160" s="383">
        <f t="shared" si="62"/>
        <v>28.540722951026453</v>
      </c>
      <c r="AA160" s="384">
        <f t="shared" si="63"/>
        <v>30.014341148753513</v>
      </c>
      <c r="AB160" s="197">
        <f t="shared" si="64"/>
        <v>46898</v>
      </c>
      <c r="AC160" s="119">
        <f>IF(OR(t&lt;Tnet,NoTnet),'2027'!Resal_s+('2027'!Salim-'2027'!Resal_s)*(1-EXP(('2027'!Tnet_s-t)/'2027'!Tau_j)),Resal_s+(Salim-Resal_s)*(1-EXP((Tnet_s-t)/Tau_j)))*Salcycl</f>
        <v>4.9097136279743284E-2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0.17401374443283935</v>
      </c>
      <c r="AG160" s="799">
        <f t="shared" si="74"/>
        <v>3</v>
      </c>
      <c r="AH160" s="176">
        <f t="shared" si="67"/>
        <v>9</v>
      </c>
      <c r="AI160" s="224">
        <f t="shared" si="68"/>
        <v>3.1740137444328393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46899</v>
      </c>
      <c r="B161" s="409">
        <f>IF(t&gt;Tmaj,'2027'!Wh/'2027'!Env_an*'2028'!Env_an,0.001*[7]mois!$B$268)</f>
        <v>44.054369798061153</v>
      </c>
      <c r="C161" s="829"/>
      <c r="D161" s="391">
        <f t="shared" si="50"/>
        <v>47.023284405962521</v>
      </c>
      <c r="E161" s="383">
        <f t="shared" si="72"/>
        <v>47.618341654768798</v>
      </c>
      <c r="F161" s="383">
        <f t="shared" si="51"/>
        <v>47.618341654768798</v>
      </c>
      <c r="G161" s="110">
        <f t="shared" si="73"/>
        <v>0.75407485018699727</v>
      </c>
      <c r="H161" s="412" t="b">
        <f>Wh_hp&gt;='2027'!Maxi_hp</f>
        <v>0</v>
      </c>
      <c r="I161" s="388">
        <f>IF(H161,Wh_hp,'2027'!Maxi_hp)</f>
        <v>61.558653979625923</v>
      </c>
      <c r="J161" s="85">
        <f>IF(H161,An,'2027'!An_max)</f>
        <v>2020</v>
      </c>
      <c r="K161" s="197">
        <f t="shared" si="52"/>
        <v>46899</v>
      </c>
      <c r="L161" s="147">
        <f>IF(t&lt;Tvie,1-EXP((T0-t)*PertePVj)+'2027'!Pspv,1-EXP((T0-t)*PertePVj)+Pspv)</f>
        <v>6.3137116971032192E-2</v>
      </c>
      <c r="M161" s="832"/>
      <c r="N161" s="832"/>
      <c r="O161" s="48">
        <f>IF(t&lt;Tnet,'2027'!Resal+('2027'!Salim-'2027'!Resal)*(1-EXP(('2027'!Tnet-t)/('2027'!Tau_j))),Resal+(Salim-Resal)*(1-EXP((Tnet-t)/(Tau_j))))*Salcycl</f>
        <v>1.2496387486998599E-2</v>
      </c>
      <c r="P161" s="169">
        <f>(INDEX(Models!$BJ161:$BT161,,T161)*(1-R161)+INDEX(Models!$BJ161:$BT161,,T161+1)*R161-ERP_i)*Q161*Ramure*Pc/MaxiM</f>
        <v>0</v>
      </c>
      <c r="Q161" s="304">
        <f t="shared" si="53"/>
        <v>0.6</v>
      </c>
      <c r="R161" s="177">
        <f t="shared" si="54"/>
        <v>0.65374082544983669</v>
      </c>
      <c r="S161" s="799">
        <f t="shared" si="55"/>
        <v>-1</v>
      </c>
      <c r="T161" s="176">
        <f t="shared" si="56"/>
        <v>5</v>
      </c>
      <c r="U161" s="250">
        <f t="shared" si="57"/>
        <v>-0.34625917455016336</v>
      </c>
      <c r="V161" s="382">
        <f t="shared" si="58"/>
        <v>58.421746577460375</v>
      </c>
      <c r="W161" s="400">
        <f t="shared" si="59"/>
        <v>44.054369798061153</v>
      </c>
      <c r="X161" s="157">
        <f t="shared" si="60"/>
        <v>46899</v>
      </c>
      <c r="Y161" s="383">
        <f t="shared" si="61"/>
        <v>42.416406727947006</v>
      </c>
      <c r="Z161" s="383">
        <f t="shared" si="62"/>
        <v>45.274935634989276</v>
      </c>
      <c r="AA161" s="384">
        <f t="shared" si="63"/>
        <v>47.618341654768798</v>
      </c>
      <c r="AB161" s="197">
        <f t="shared" si="64"/>
        <v>46899</v>
      </c>
      <c r="AC161" s="119">
        <f>IF(OR(t&lt;Tnet,NoTnet),'2027'!Resal_s+('2027'!Salim-'2027'!Resal_s)*(1-EXP(('2027'!Tnet_s-t)/'2027'!Tau_j)),Resal_s+(Salim-Resal_s)*(1-EXP((Tnet_s-t)/Tau_j)))*Salcycl</f>
        <v>4.9212255999361021E-2</v>
      </c>
      <c r="AD161" s="230">
        <f>(INDEX(Models!$BJ161:$BT161,,AH161)*(1-AF161)+INDEX(Models!$BJ161:$BT161,,AH161+1)*AF161-ERP_i)*AE161*Ramure*Pc/MaxiM</f>
        <v>0</v>
      </c>
      <c r="AE161" s="304">
        <f t="shared" si="65"/>
        <v>0.6</v>
      </c>
      <c r="AF161" s="177">
        <f t="shared" si="66"/>
        <v>0.17872839182381517</v>
      </c>
      <c r="AG161" s="799">
        <f t="shared" si="74"/>
        <v>3</v>
      </c>
      <c r="AH161" s="176">
        <f t="shared" si="67"/>
        <v>9</v>
      </c>
      <c r="AI161" s="224">
        <f t="shared" si="68"/>
        <v>3.1787283918238152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46900</v>
      </c>
      <c r="B162" s="409">
        <f>IF(t&gt;Tmaj,'2027'!Wh/'2027'!Env_an*'2028'!Env_an,0.001*[7]mois!$B$269)</f>
        <v>54.819587046185632</v>
      </c>
      <c r="C162" s="829"/>
      <c r="D162" s="391">
        <f t="shared" si="50"/>
        <v>58.515113219086672</v>
      </c>
      <c r="E162" s="383">
        <f t="shared" si="72"/>
        <v>59.263481800267343</v>
      </c>
      <c r="F162" s="383">
        <f t="shared" si="51"/>
        <v>59.263481800267343</v>
      </c>
      <c r="G162" s="110">
        <f t="shared" si="73"/>
        <v>0.93862669846152225</v>
      </c>
      <c r="H162" s="412" t="b">
        <f>Wh_hp&gt;='2027'!Maxi_hp</f>
        <v>0</v>
      </c>
      <c r="I162" s="388">
        <f>IF(H162,Wh_hp,'2027'!Maxi_hp)</f>
        <v>60.976736931549574</v>
      </c>
      <c r="J162" s="85">
        <f>IF(H162,An,'2027'!An_max)</f>
        <v>2020</v>
      </c>
      <c r="K162" s="197">
        <f t="shared" si="52"/>
        <v>46900</v>
      </c>
      <c r="L162" s="147">
        <f>IF(t&lt;Tvie,1-EXP((T0-t)*PertePVj)+'2027'!Pspv,1-EXP((T0-t)*PertePVj)+Pspv)</f>
        <v>6.3155071734452672E-2</v>
      </c>
      <c r="M162" s="832"/>
      <c r="N162" s="832"/>
      <c r="O162" s="48">
        <f>IF(t&lt;Tnet,'2027'!Resal+('2027'!Salim-'2027'!Resal)*(1-EXP(('2027'!Tnet-t)/('2027'!Tau_j))),Resal+(Salim-Resal)*(1-EXP((Tnet-t)/(Tau_j))))*Salcycl</f>
        <v>1.2627820007316767E-2</v>
      </c>
      <c r="P162" s="169">
        <f>(INDEX(Models!$BJ162:$BT162,,T162)*(1-R162)+INDEX(Models!$BJ162:$BT162,,T162+1)*R162-ERP_i)*Q162*Ramure*Pc/MaxiM</f>
        <v>0</v>
      </c>
      <c r="Q162" s="304">
        <f t="shared" si="53"/>
        <v>0.6</v>
      </c>
      <c r="R162" s="177">
        <f t="shared" si="54"/>
        <v>0.65851002783137902</v>
      </c>
      <c r="S162" s="799">
        <f t="shared" si="55"/>
        <v>-1</v>
      </c>
      <c r="T162" s="176">
        <f t="shared" si="56"/>
        <v>5</v>
      </c>
      <c r="U162" s="250">
        <f t="shared" si="57"/>
        <v>-0.34148997216862098</v>
      </c>
      <c r="V162" s="382">
        <f t="shared" si="58"/>
        <v>58.404035529821329</v>
      </c>
      <c r="W162" s="400">
        <f t="shared" si="59"/>
        <v>54.819587046185632</v>
      </c>
      <c r="X162" s="157">
        <f t="shared" si="60"/>
        <v>46900</v>
      </c>
      <c r="Y162" s="383">
        <f t="shared" si="61"/>
        <v>52.782006525090473</v>
      </c>
      <c r="Z162" s="383">
        <f t="shared" si="62"/>
        <v>56.340174272822118</v>
      </c>
      <c r="AA162" s="384">
        <f t="shared" si="63"/>
        <v>59.263481800267343</v>
      </c>
      <c r="AB162" s="197">
        <f t="shared" si="64"/>
        <v>46900</v>
      </c>
      <c r="AC162" s="119">
        <f>IF(OR(t&lt;Tnet,NoTnet),'2027'!Resal_s+('2027'!Salim-'2027'!Resal_s)*(1-EXP(('2027'!Tnet_s-t)/'2027'!Tau_j)),Resal_s+(Salim-Resal_s)*(1-EXP((Tnet_s-t)/Tau_j)))*Salcycl</f>
        <v>4.9327299690178433E-2</v>
      </c>
      <c r="AD162" s="230">
        <f>(INDEX(Models!$BJ162:$BT162,,AH162)*(1-AF162)+INDEX(Models!$BJ162:$BT162,,AH162+1)*AF162-ERP_i)*AE162*Ramure*Pc/MaxiM</f>
        <v>0</v>
      </c>
      <c r="AE162" s="304">
        <f t="shared" si="65"/>
        <v>0.6</v>
      </c>
      <c r="AF162" s="177">
        <f t="shared" si="66"/>
        <v>0.18349759420535738</v>
      </c>
      <c r="AG162" s="799">
        <f t="shared" si="74"/>
        <v>3</v>
      </c>
      <c r="AH162" s="176">
        <f t="shared" si="67"/>
        <v>9</v>
      </c>
      <c r="AI162" s="224">
        <f t="shared" si="68"/>
        <v>3.1834975942053574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46901</v>
      </c>
      <c r="B163" s="409">
        <f>IF(t&gt;Tmaj,'2027'!Wh/'2027'!Env_an*'2028'!Env_an,0.001*[7]mois!$B$270)</f>
        <v>59.304231339797866</v>
      </c>
      <c r="C163" s="829"/>
      <c r="D163" s="391">
        <f t="shared" si="50"/>
        <v>63.303291851556224</v>
      </c>
      <c r="E163" s="383">
        <f t="shared" si="72"/>
        <v>64.121433060958893</v>
      </c>
      <c r="F163" s="383">
        <f t="shared" si="51"/>
        <v>64.121433060958893</v>
      </c>
      <c r="G163" s="110">
        <f t="shared" si="73"/>
        <v>1.0157616376594198</v>
      </c>
      <c r="H163" s="412" t="b">
        <f>Wh_hp&gt;='2027'!Maxi_hp</f>
        <v>1</v>
      </c>
      <c r="I163" s="388">
        <f>IF(H163,Wh_hp,'2027'!Maxi_hp)</f>
        <v>64.121433060958893</v>
      </c>
      <c r="J163" s="85">
        <f>IF(H163,An,'2027'!An_max)</f>
        <v>2028</v>
      </c>
      <c r="K163" s="197">
        <f t="shared" si="52"/>
        <v>46901</v>
      </c>
      <c r="L163" s="147">
        <f>IF(t&lt;Tvie,1-EXP((T0-t)*PertePVj)+'2027'!Pspv,1-EXP((T0-t)*PertePVj)+Pspv)</f>
        <v>6.3173026153774181E-2</v>
      </c>
      <c r="M163" s="832"/>
      <c r="N163" s="832"/>
      <c r="O163" s="48">
        <f>IF(t&lt;Tnet,'2027'!Resal+('2027'!Salim-'2027'!Resal)*(1-EXP(('2027'!Tnet-t)/('2027'!Tau_j))),Resal+(Salim-Resal)*(1-EXP((Tnet-t)/(Tau_j))))*Salcycl</f>
        <v>1.2759247108917141E-2</v>
      </c>
      <c r="P163" s="169">
        <f>(INDEX(Models!$BJ163:$BT163,,T163)*(1-R163)+INDEX(Models!$BJ163:$BT163,,T163+1)*R163-ERP_i)*Q163*Ramure*Pc/MaxiM</f>
        <v>0</v>
      </c>
      <c r="Q163" s="304">
        <f t="shared" si="53"/>
        <v>0.6</v>
      </c>
      <c r="R163" s="177">
        <f t="shared" si="54"/>
        <v>0.663330642662601</v>
      </c>
      <c r="S163" s="799">
        <f t="shared" si="55"/>
        <v>-1</v>
      </c>
      <c r="T163" s="176">
        <f t="shared" si="56"/>
        <v>5</v>
      </c>
      <c r="U163" s="250">
        <f t="shared" si="57"/>
        <v>-0.336669357337399</v>
      </c>
      <c r="V163" s="382">
        <f t="shared" si="58"/>
        <v>58.38400382638028</v>
      </c>
      <c r="W163" s="400">
        <f t="shared" si="59"/>
        <v>59.304231339797866</v>
      </c>
      <c r="X163" s="157">
        <f t="shared" si="60"/>
        <v>46901</v>
      </c>
      <c r="Y163" s="383">
        <f t="shared" si="61"/>
        <v>57.100659648112376</v>
      </c>
      <c r="Z163" s="383">
        <f t="shared" si="62"/>
        <v>60.951126773902097</v>
      </c>
      <c r="AA163" s="384">
        <f t="shared" si="63"/>
        <v>64.121433060958893</v>
      </c>
      <c r="AB163" s="197">
        <f t="shared" si="64"/>
        <v>46901</v>
      </c>
      <c r="AC163" s="119">
        <f>IF(OR(t&lt;Tnet,NoTnet),'2027'!Resal_s+('2027'!Salim-'2027'!Resal_s)*(1-EXP(('2027'!Tnet_s-t)/'2027'!Tau_j)),Resal_s+(Salim-Resal_s)*(1-EXP((Tnet_s-t)/Tau_j)))*Salcycl</f>
        <v>4.9442224474971611E-2</v>
      </c>
      <c r="AD163" s="230">
        <f>(INDEX(Models!$BJ163:$BT163,,AH163)*(1-AF163)+INDEX(Models!$BJ163:$BT163,,AH163+1)*AF163-ERP_i)*AE163*Ramure*Pc/MaxiM</f>
        <v>0</v>
      </c>
      <c r="AE163" s="304">
        <f t="shared" si="65"/>
        <v>0.6</v>
      </c>
      <c r="AF163" s="177">
        <f t="shared" si="66"/>
        <v>0.18831820903657936</v>
      </c>
      <c r="AG163" s="799">
        <f t="shared" si="74"/>
        <v>3</v>
      </c>
      <c r="AH163" s="176">
        <f t="shared" si="67"/>
        <v>9</v>
      </c>
      <c r="AI163" s="224">
        <f t="shared" si="68"/>
        <v>3.1883182090365794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46902</v>
      </c>
      <c r="B164" s="409">
        <f>IF(t&gt;Tmaj,'2027'!Wh/'2027'!Env_an*'2028'!Env_an,0.001*[7]mois!$B$271)</f>
        <v>47.859579778796274</v>
      </c>
      <c r="C164" s="829"/>
      <c r="D164" s="391">
        <f t="shared" si="50"/>
        <v>51.08787252122697</v>
      </c>
      <c r="E164" s="383">
        <f t="shared" si="72"/>
        <v>51.755028824699082</v>
      </c>
      <c r="F164" s="383">
        <f t="shared" si="51"/>
        <v>51.755028824699082</v>
      </c>
      <c r="G164" s="110">
        <f t="shared" si="73"/>
        <v>0.82005694752332359</v>
      </c>
      <c r="H164" s="412" t="b">
        <f>Wh_hp&gt;='2027'!Maxi_hp</f>
        <v>0</v>
      </c>
      <c r="I164" s="388">
        <f>IF(H164,Wh_hp,'2027'!Maxi_hp)</f>
        <v>59.216456207612119</v>
      </c>
      <c r="J164" s="85">
        <f>IF(H164,An,'2027'!An_max)</f>
        <v>2020</v>
      </c>
      <c r="K164" s="197">
        <f t="shared" si="52"/>
        <v>46902</v>
      </c>
      <c r="L164" s="147">
        <f>IF(t&lt;Tvie,1-EXP((T0-t)*PertePVj)+'2027'!Pspv,1-EXP((T0-t)*PertePVj)+Pspv)</f>
        <v>6.319098022900338E-2</v>
      </c>
      <c r="M164" s="832"/>
      <c r="N164" s="832"/>
      <c r="O164" s="48">
        <f>IF(t&lt;Tnet,'2027'!Resal+('2027'!Salim-'2027'!Resal)*(1-EXP(('2027'!Tnet-t)/('2027'!Tau_j))),Resal+(Salim-Resal)*(1-EXP((Tnet-t)/(Tau_j))))*Salcycl</f>
        <v>1.2890656591688122E-2</v>
      </c>
      <c r="P164" s="169">
        <f>(INDEX(Models!$BJ164:$BT164,,T164)*(1-R164)+INDEX(Models!$BJ164:$BT164,,T164+1)*R164-ERP_i)*Q164*Ramure*Pc/MaxiM</f>
        <v>-1.4984068661935007E-20</v>
      </c>
      <c r="Q164" s="304">
        <f t="shared" si="53"/>
        <v>0.6</v>
      </c>
      <c r="R164" s="177">
        <f t="shared" si="54"/>
        <v>0.66819937160268861</v>
      </c>
      <c r="S164" s="799">
        <f t="shared" si="55"/>
        <v>-1</v>
      </c>
      <c r="T164" s="176">
        <f t="shared" si="56"/>
        <v>5</v>
      </c>
      <c r="U164" s="250">
        <f t="shared" si="57"/>
        <v>-0.33180062839731145</v>
      </c>
      <c r="V164" s="382">
        <f t="shared" si="58"/>
        <v>58.361288107293397</v>
      </c>
      <c r="W164" s="400">
        <f t="shared" si="59"/>
        <v>47.859579778796274</v>
      </c>
      <c r="X164" s="157">
        <f t="shared" si="60"/>
        <v>46902</v>
      </c>
      <c r="Y164" s="383">
        <f t="shared" si="61"/>
        <v>46.081828220758297</v>
      </c>
      <c r="Z164" s="383">
        <f t="shared" si="62"/>
        <v>49.190205525586229</v>
      </c>
      <c r="AA164" s="384">
        <f t="shared" si="63"/>
        <v>51.755028824699082</v>
      </c>
      <c r="AB164" s="197">
        <f t="shared" si="64"/>
        <v>46902</v>
      </c>
      <c r="AC164" s="119">
        <f>IF(OR(t&lt;Tnet,NoTnet),'2027'!Resal_s+('2027'!Salim-'2027'!Resal_s)*(1-EXP(('2027'!Tnet_s-t)/'2027'!Tau_j)),Resal_s+(Salim-Resal_s)*(1-EXP((Tnet_s-t)/Tau_j)))*Salcycl</f>
        <v>4.9556987163512922E-2</v>
      </c>
      <c r="AD164" s="230">
        <f>(INDEX(Models!$BJ164:$BT164,,AH164)*(1-AF164)+INDEX(Models!$BJ164:$BT164,,AH164+1)*AF164-ERP_i)*AE164*Ramure*Pc/MaxiM</f>
        <v>1.4984068661935007E-20</v>
      </c>
      <c r="AE164" s="304">
        <f t="shared" si="65"/>
        <v>0.6</v>
      </c>
      <c r="AF164" s="177">
        <f t="shared" si="66"/>
        <v>0.19318693797666686</v>
      </c>
      <c r="AG164" s="799">
        <f t="shared" si="74"/>
        <v>3</v>
      </c>
      <c r="AH164" s="176">
        <f t="shared" si="67"/>
        <v>9</v>
      </c>
      <c r="AI164" s="224">
        <f t="shared" si="68"/>
        <v>3.1931869379766669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46903</v>
      </c>
      <c r="B165" s="409">
        <f>IF(t&gt;Tmaj,'2027'!Wh/'2027'!Env_an*'2028'!Env_an,0.001*[7]mois!$B$272)</f>
        <v>53.614920179114428</v>
      </c>
      <c r="C165" s="829"/>
      <c r="D165" s="391">
        <f t="shared" si="50"/>
        <v>57.232527212032068</v>
      </c>
      <c r="E165" s="383">
        <f t="shared" si="72"/>
        <v>57.987644397308202</v>
      </c>
      <c r="F165" s="383">
        <f t="shared" si="51"/>
        <v>57.987644397308202</v>
      </c>
      <c r="G165" s="110">
        <f t="shared" si="73"/>
        <v>0.91907106159188368</v>
      </c>
      <c r="H165" s="412" t="b">
        <f>Wh_hp&gt;='2027'!Maxi_hp</f>
        <v>0</v>
      </c>
      <c r="I165" s="388">
        <f>IF(H165,Wh_hp,'2027'!Maxi_hp)</f>
        <v>62.494074168087401</v>
      </c>
      <c r="J165" s="85">
        <f>IF(H165,An,'2027'!An_max)</f>
        <v>2020</v>
      </c>
      <c r="K165" s="197">
        <f t="shared" si="52"/>
        <v>46903</v>
      </c>
      <c r="L165" s="147">
        <f>IF(t&lt;Tvie,1-EXP((T0-t)*PertePVj)+'2027'!Pspv,1-EXP((T0-t)*PertePVj)+Pspv)</f>
        <v>6.3208933960146818E-2</v>
      </c>
      <c r="M165" s="832"/>
      <c r="N165" s="832"/>
      <c r="O165" s="48">
        <f>IF(t&lt;Tnet,'2027'!Resal+('2027'!Salim-'2027'!Resal)*(1-EXP(('2027'!Tnet-t)/('2027'!Tau_j))),Resal+(Salim-Resal)*(1-EXP((Tnet-t)/(Tau_j))))*Salcycl</f>
        <v>1.3022035868578698E-2</v>
      </c>
      <c r="P165" s="169">
        <f>(INDEX(Models!$BJ165:$BT165,,T165)*(1-R165)+INDEX(Models!$BJ165:$BT165,,T165+1)*R165-ERP_i)*Q165*Ramure*Pc/MaxiM</f>
        <v>1.5118919028189246E-20</v>
      </c>
      <c r="Q165" s="304">
        <f t="shared" si="53"/>
        <v>0.6</v>
      </c>
      <c r="R165" s="177">
        <f t="shared" si="54"/>
        <v>0.67311276815231524</v>
      </c>
      <c r="S165" s="799">
        <f t="shared" si="55"/>
        <v>-1</v>
      </c>
      <c r="T165" s="176">
        <f t="shared" si="56"/>
        <v>5</v>
      </c>
      <c r="U165" s="250">
        <f t="shared" si="57"/>
        <v>-0.32688723184768476</v>
      </c>
      <c r="V165" s="382">
        <f t="shared" si="58"/>
        <v>58.335989913827028</v>
      </c>
      <c r="W165" s="400">
        <f t="shared" si="59"/>
        <v>53.614920179114428</v>
      </c>
      <c r="X165" s="157">
        <f t="shared" si="60"/>
        <v>46903</v>
      </c>
      <c r="Y165" s="383">
        <f t="shared" si="61"/>
        <v>51.624034317222637</v>
      </c>
      <c r="Z165" s="383">
        <f t="shared" si="62"/>
        <v>55.107308543681647</v>
      </c>
      <c r="AA165" s="384">
        <f t="shared" si="63"/>
        <v>57.987644397308202</v>
      </c>
      <c r="AB165" s="197">
        <f t="shared" si="64"/>
        <v>46903</v>
      </c>
      <c r="AC165" s="119">
        <f>IF(OR(t&lt;Tnet,NoTnet),'2027'!Resal_s+('2027'!Salim-'2027'!Resal_s)*(1-EXP(('2027'!Tnet_s-t)/'2027'!Tau_j)),Resal_s+(Salim-Resal_s)*(1-EXP((Tnet_s-t)/Tau_j)))*Salcycl</f>
        <v>4.9671544405074368E-2</v>
      </c>
      <c r="AD165" s="230">
        <f>(INDEX(Models!$BJ165:$BT165,,AH165)*(1-AF165)+INDEX(Models!$BJ165:$BT165,,AH165+1)*AF165-ERP_i)*AE165*Ramure*Pc/MaxiM</f>
        <v>0</v>
      </c>
      <c r="AE165" s="304">
        <f t="shared" si="65"/>
        <v>0.6</v>
      </c>
      <c r="AF165" s="177">
        <f t="shared" si="66"/>
        <v>0.1981003345262935</v>
      </c>
      <c r="AG165" s="799">
        <f t="shared" si="74"/>
        <v>3</v>
      </c>
      <c r="AH165" s="176">
        <f t="shared" si="67"/>
        <v>9</v>
      </c>
      <c r="AI165" s="224">
        <f t="shared" si="68"/>
        <v>3.1981003345262935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46904</v>
      </c>
      <c r="B166" s="409">
        <f>IF(t&gt;Tmaj,'2027'!Wh/'2027'!Env_an*'2028'!Env_an,0.001*'[8]mon-tableau'!$B$235)</f>
        <v>55.597836312057602</v>
      </c>
      <c r="C166" s="829"/>
      <c r="D166" s="391">
        <f t="shared" si="50"/>
        <v>59.350375839261204</v>
      </c>
      <c r="E166" s="383">
        <f t="shared" si="72"/>
        <v>60.141438553725301</v>
      </c>
      <c r="F166" s="383">
        <f t="shared" si="51"/>
        <v>60.141438553725301</v>
      </c>
      <c r="G166" s="110">
        <f t="shared" si="73"/>
        <v>0.95351641909032658</v>
      </c>
      <c r="H166" s="412" t="b">
        <f>Wh_hp&gt;='2027'!Maxi_hp</f>
        <v>0</v>
      </c>
      <c r="I166" s="388">
        <f>IF(H166,Wh_hp,'2027'!Maxi_hp)</f>
        <v>63.527407036379969</v>
      </c>
      <c r="J166" s="85">
        <f>IF(H166,An,'2027'!An_max)</f>
        <v>2018</v>
      </c>
      <c r="K166" s="197">
        <f t="shared" si="52"/>
        <v>46904</v>
      </c>
      <c r="L166" s="147">
        <f>IF(t&lt;Tvie,1-EXP((T0-t)*PertePVj)+'2027'!Pspv,1-EXP((T0-t)*PertePVj)+Pspv)</f>
        <v>6.3226887347211047E-2</v>
      </c>
      <c r="M166" s="832"/>
      <c r="N166" s="832"/>
      <c r="O166" s="48">
        <f>IF(t&lt;Tnet,'2027'!Resal+('2027'!Salim-'2027'!Resal)*(1-EXP(('2027'!Tnet-t)/('2027'!Tau_j))),Resal+(Salim-Resal)*(1-EXP((Tnet-t)/(Tau_j))))*Salcycl</f>
        <v>1.315337200917507E-2</v>
      </c>
      <c r="P166" s="169">
        <f>(INDEX(Models!$BJ166:$BT166,,T166)*(1-R166)+INDEX(Models!$BJ166:$BT166,,T166+1)*R166-ERP_i)*Q166*Ramure*Pc/MaxiM</f>
        <v>1.5253469461685042E-20</v>
      </c>
      <c r="Q166" s="304">
        <f t="shared" si="53"/>
        <v>0.6</v>
      </c>
      <c r="R166" s="177">
        <f t="shared" si="54"/>
        <v>0.67806724622939751</v>
      </c>
      <c r="S166" s="799">
        <f t="shared" si="55"/>
        <v>-1</v>
      </c>
      <c r="T166" s="176">
        <f t="shared" si="56"/>
        <v>5</v>
      </c>
      <c r="U166" s="250">
        <f t="shared" si="57"/>
        <v>-0.32193275377060243</v>
      </c>
      <c r="V166" s="382">
        <f t="shared" si="58"/>
        <v>58.3082107438685</v>
      </c>
      <c r="W166" s="400">
        <f t="shared" si="59"/>
        <v>55.597836312057602</v>
      </c>
      <c r="X166" s="157">
        <f t="shared" si="60"/>
        <v>46904</v>
      </c>
      <c r="Y166" s="383">
        <f t="shared" si="61"/>
        <v>53.534003275129422</v>
      </c>
      <c r="Z166" s="383">
        <f t="shared" si="62"/>
        <v>57.147245743987931</v>
      </c>
      <c r="AA166" s="384">
        <f t="shared" si="63"/>
        <v>60.141438553725301</v>
      </c>
      <c r="AB166" s="197">
        <f t="shared" si="64"/>
        <v>46904</v>
      </c>
      <c r="AC166" s="119">
        <f>IF(OR(t&lt;Tnet,NoTnet),'2027'!Resal_s+('2027'!Salim-'2027'!Resal_s)*(1-EXP(('2027'!Tnet_s-t)/'2027'!Tau_j)),Resal_s+(Salim-Resal_s)*(1-EXP((Tnet_s-t)/Tau_j)))*Salcycl</f>
        <v>4.9785852845249244E-2</v>
      </c>
      <c r="AD166" s="230">
        <f>(INDEX(Models!$BJ166:$BT166,,AH166)*(1-AF166)+INDEX(Models!$BJ166:$BT166,,AH166+1)*AF166-ERP_i)*AE166*Ramure*Pc/MaxiM</f>
        <v>1.5253469461685042E-20</v>
      </c>
      <c r="AE166" s="304">
        <f t="shared" si="65"/>
        <v>0.6</v>
      </c>
      <c r="AF166" s="177">
        <f t="shared" si="66"/>
        <v>0.20305481260337599</v>
      </c>
      <c r="AG166" s="799">
        <f t="shared" si="74"/>
        <v>3</v>
      </c>
      <c r="AH166" s="176">
        <f t="shared" si="67"/>
        <v>9</v>
      </c>
      <c r="AI166" s="224">
        <f t="shared" si="68"/>
        <v>3.203054812603376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46905</v>
      </c>
      <c r="B167" s="409">
        <f>IF(t&gt;Tmaj,'2027'!Wh/'2027'!Env_an*'2028'!Env_an,0.001*'[8]mon-tableau'!$B$236)</f>
        <v>42.048109415250465</v>
      </c>
      <c r="C167" s="829"/>
      <c r="D167" s="391">
        <f t="shared" si="50"/>
        <v>44.886979253752372</v>
      </c>
      <c r="E167" s="383">
        <f t="shared" si="72"/>
        <v>45.491315539991128</v>
      </c>
      <c r="F167" s="383">
        <f t="shared" si="51"/>
        <v>45.491315539991128</v>
      </c>
      <c r="G167" s="110">
        <f t="shared" si="73"/>
        <v>0.72150849137454043</v>
      </c>
      <c r="H167" s="412" t="b">
        <f>Wh_hp&gt;='2027'!Maxi_hp</f>
        <v>0</v>
      </c>
      <c r="I167" s="388">
        <f>IF(H167,Wh_hp,'2027'!Maxi_hp)</f>
        <v>63.013679668505368</v>
      </c>
      <c r="J167" s="85">
        <f>IF(H167,An,'2027'!An_max)</f>
        <v>2018</v>
      </c>
      <c r="K167" s="197">
        <f t="shared" si="52"/>
        <v>46905</v>
      </c>
      <c r="L167" s="147">
        <f>IF(t&lt;Tvie,1-EXP((T0-t)*PertePVj)+'2027'!Pspv,1-EXP((T0-t)*PertePVj)+Pspv)</f>
        <v>6.3244840390202728E-2</v>
      </c>
      <c r="M167" s="832"/>
      <c r="N167" s="832"/>
      <c r="O167" s="48">
        <f>IF(t&lt;Tnet,'2027'!Resal+('2027'!Salim-'2027'!Resal)*(1-EXP(('2027'!Tnet-t)/('2027'!Tau_j))),Resal+(Salim-Resal)*(1-EXP((Tnet-t)/(Tau_j))))*Salcycl</f>
        <v>1.328465178606422E-2</v>
      </c>
      <c r="P167" s="169">
        <f>(INDEX(Models!$BJ167:$BT167,,T167)*(1-R167)+INDEX(Models!$BJ167:$BT167,,T167+1)*R167-ERP_i)*Q167*Ramure*Pc/MaxiM</f>
        <v>-1.5387549871256607E-20</v>
      </c>
      <c r="Q167" s="304">
        <f t="shared" si="53"/>
        <v>0.6</v>
      </c>
      <c r="R167" s="177">
        <f t="shared" si="54"/>
        <v>0.68305908964381012</v>
      </c>
      <c r="S167" s="799">
        <f t="shared" si="55"/>
        <v>-1</v>
      </c>
      <c r="T167" s="176">
        <f t="shared" si="56"/>
        <v>5</v>
      </c>
      <c r="U167" s="250">
        <f t="shared" si="57"/>
        <v>-0.31694091035618988</v>
      </c>
      <c r="V167" s="382">
        <f t="shared" si="58"/>
        <v>58.27805205056552</v>
      </c>
      <c r="W167" s="400">
        <f t="shared" si="59"/>
        <v>42.048109415250465</v>
      </c>
      <c r="X167" s="157">
        <f t="shared" si="60"/>
        <v>46905</v>
      </c>
      <c r="Y167" s="383">
        <f t="shared" si="61"/>
        <v>40.487780314770895</v>
      </c>
      <c r="Z167" s="383">
        <f t="shared" si="62"/>
        <v>43.221304840889232</v>
      </c>
      <c r="AA167" s="384">
        <f t="shared" si="63"/>
        <v>45.491315539991128</v>
      </c>
      <c r="AB167" s="197">
        <f t="shared" si="64"/>
        <v>46905</v>
      </c>
      <c r="AC167" s="119">
        <f>IF(OR(t&lt;Tnet,NoTnet),'2027'!Resal_s+('2027'!Salim-'2027'!Resal_s)*(1-EXP(('2027'!Tnet_s-t)/'2027'!Tau_j)),Resal_s+(Salim-Resal_s)*(1-EXP((Tnet_s-t)/Tau_j)))*Salcycl</f>
        <v>4.989986928617926E-2</v>
      </c>
      <c r="AD167" s="230">
        <f>(INDEX(Models!$BJ167:$BT167,,AH167)*(1-AF167)+INDEX(Models!$BJ167:$BT167,,AH167+1)*AF167-ERP_i)*AE167*Ramure*Pc/MaxiM</f>
        <v>0</v>
      </c>
      <c r="AE167" s="304">
        <f t="shared" si="65"/>
        <v>0.6</v>
      </c>
      <c r="AF167" s="177">
        <f t="shared" si="66"/>
        <v>0.20804665601778849</v>
      </c>
      <c r="AG167" s="799">
        <f t="shared" si="74"/>
        <v>3</v>
      </c>
      <c r="AH167" s="176">
        <f t="shared" si="67"/>
        <v>9</v>
      </c>
      <c r="AI167" s="224">
        <f t="shared" si="68"/>
        <v>3.2080466560177885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46906</v>
      </c>
      <c r="B168" s="409">
        <f>IF(t&gt;Tmaj,'2027'!Wh/'2027'!Env_an*'2028'!Env_an,0.001*'[8]mon-tableau'!$B$237)</f>
        <v>55.194046280846408</v>
      </c>
      <c r="C168" s="829"/>
      <c r="D168" s="391">
        <f t="shared" si="50"/>
        <v>58.921590680552519</v>
      </c>
      <c r="E168" s="383">
        <f t="shared" si="72"/>
        <v>59.722823826763978</v>
      </c>
      <c r="F168" s="383">
        <f t="shared" si="51"/>
        <v>59.722823826763978</v>
      </c>
      <c r="G168" s="110">
        <f t="shared" si="73"/>
        <v>0.94760860629198473</v>
      </c>
      <c r="H168" s="412" t="b">
        <f>Wh_hp&gt;='2027'!Maxi_hp</f>
        <v>1</v>
      </c>
      <c r="I168" s="388">
        <f>IF(H168,Wh_hp,'2027'!Maxi_hp)</f>
        <v>59.722823826763978</v>
      </c>
      <c r="J168" s="85">
        <f>IF(H168,An,'2027'!An_max)</f>
        <v>2028</v>
      </c>
      <c r="K168" s="197">
        <f t="shared" si="52"/>
        <v>46906</v>
      </c>
      <c r="L168" s="147">
        <f>IF(t&lt;Tvie,1-EXP((T0-t)*PertePVj)+'2027'!Pspv,1-EXP((T0-t)*PertePVj)+Pspv)</f>
        <v>6.3262793089128411E-2</v>
      </c>
      <c r="M168" s="832"/>
      <c r="N168" s="832"/>
      <c r="O168" s="48">
        <f>IF(t&lt;Tnet,'2027'!Resal+('2027'!Salim-'2027'!Resal)*(1-EXP(('2027'!Tnet-t)/('2027'!Tau_j))),Resal+(Salim-Resal)*(1-EXP((Tnet-t)/(Tau_j))))*Salcycl</f>
        <v>1.3415861723745148E-2</v>
      </c>
      <c r="P168" s="169">
        <f>(INDEX(Models!$BJ168:$BT168,,T168)*(1-R168)+INDEX(Models!$BJ168:$BT168,,T168+1)*R168-ERP_i)*Q168*Ramure*Pc/MaxiM</f>
        <v>-1.5520991147887432E-20</v>
      </c>
      <c r="Q168" s="304">
        <f t="shared" si="53"/>
        <v>0.6</v>
      </c>
      <c r="R168" s="177">
        <f t="shared" si="54"/>
        <v>0.68808446242608201</v>
      </c>
      <c r="S168" s="799">
        <f t="shared" si="55"/>
        <v>-1</v>
      </c>
      <c r="T168" s="176">
        <f t="shared" si="56"/>
        <v>5</v>
      </c>
      <c r="U168" s="250">
        <f t="shared" si="57"/>
        <v>-0.31191553757391799</v>
      </c>
      <c r="V168" s="382">
        <f t="shared" si="58"/>
        <v>58.245615240686796</v>
      </c>
      <c r="W168" s="400">
        <f t="shared" si="59"/>
        <v>55.194046280846408</v>
      </c>
      <c r="X168" s="157">
        <f t="shared" si="60"/>
        <v>46906</v>
      </c>
      <c r="Y168" s="383">
        <f t="shared" si="61"/>
        <v>53.146603524577408</v>
      </c>
      <c r="Z168" s="383">
        <f t="shared" si="62"/>
        <v>56.735873340444975</v>
      </c>
      <c r="AA168" s="384">
        <f t="shared" si="63"/>
        <v>59.722823826763978</v>
      </c>
      <c r="AB168" s="197">
        <f t="shared" si="64"/>
        <v>46906</v>
      </c>
      <c r="AC168" s="119">
        <f>IF(OR(t&lt;Tnet,NoTnet),'2027'!Resal_s+('2027'!Salim-'2027'!Resal_s)*(1-EXP(('2027'!Tnet_s-t)/'2027'!Tau_j)),Resal_s+(Salim-Resal_s)*(1-EXP((Tnet_s-t)/Tau_j)))*Salcycl</f>
        <v>5.0013550849222238E-2</v>
      </c>
      <c r="AD168" s="230">
        <f>(INDEX(Models!$BJ168:$BT168,,AH168)*(1-AF168)+INDEX(Models!$BJ168:$BT168,,AH168+1)*AF168-ERP_i)*AE168*Ramure*Pc/MaxiM</f>
        <v>0</v>
      </c>
      <c r="AE168" s="304">
        <f t="shared" si="65"/>
        <v>0.6</v>
      </c>
      <c r="AF168" s="177">
        <f t="shared" si="66"/>
        <v>0.21307202880006049</v>
      </c>
      <c r="AG168" s="799">
        <f t="shared" si="74"/>
        <v>3</v>
      </c>
      <c r="AH168" s="176">
        <f t="shared" si="67"/>
        <v>9</v>
      </c>
      <c r="AI168" s="224">
        <f t="shared" si="68"/>
        <v>3.2130720288000605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46907</v>
      </c>
      <c r="B169" s="409">
        <f>IF(t&gt;Tmaj,'2027'!Wh/'2027'!Env_an*'2028'!Env_an,0.001*'[8]mon-tableau'!$B$238)</f>
        <v>24.973856267039722</v>
      </c>
      <c r="C169" s="829"/>
      <c r="D169" s="391">
        <f t="shared" si="50"/>
        <v>26.660983155382088</v>
      </c>
      <c r="E169" s="383">
        <f t="shared" si="72"/>
        <v>27.02711921916795</v>
      </c>
      <c r="F169" s="383">
        <f t="shared" si="51"/>
        <v>27.02711921916795</v>
      </c>
      <c r="G169" s="110">
        <f t="shared" si="73"/>
        <v>0.42902296046229349</v>
      </c>
      <c r="H169" s="412" t="b">
        <f>Wh_hp&gt;='2027'!Maxi_hp</f>
        <v>0</v>
      </c>
      <c r="I169" s="388">
        <f>IF(H169,Wh_hp,'2027'!Maxi_hp)</f>
        <v>59.234814387524935</v>
      </c>
      <c r="J169" s="85">
        <f>IF(H169,An,'2027'!An_max)</f>
        <v>2018</v>
      </c>
      <c r="K169" s="197">
        <f t="shared" si="52"/>
        <v>46907</v>
      </c>
      <c r="L169" s="147">
        <f>IF(t&lt;Tvie,1-EXP((T0-t)*PertePVj)+'2027'!Pspv,1-EXP((T0-t)*PertePVj)+Pspv)</f>
        <v>6.3280745443994757E-2</v>
      </c>
      <c r="M169" s="832"/>
      <c r="N169" s="832"/>
      <c r="O169" s="48">
        <f>IF(t&lt;Tnet,'2027'!Resal+('2027'!Salim-'2027'!Resal)*(1-EXP(('2027'!Tnet-t)/('2027'!Tau_j))),Resal+(Salim-Resal)*(1-EXP((Tnet-t)/(Tau_j))))*Salcycl</f>
        <v>1.3546988149820752E-2</v>
      </c>
      <c r="P169" s="169">
        <f>(INDEX(Models!$BJ169:$BT169,,T169)*(1-R169)+INDEX(Models!$BJ169:$BT169,,T169+1)*R169-ERP_i)*Q169*Ramure*Pc/MaxiM</f>
        <v>0</v>
      </c>
      <c r="Q169" s="304">
        <f t="shared" si="53"/>
        <v>0.6</v>
      </c>
      <c r="R169" s="177">
        <f t="shared" si="54"/>
        <v>0.6931394199557418</v>
      </c>
      <c r="S169" s="799">
        <f t="shared" si="55"/>
        <v>-1</v>
      </c>
      <c r="T169" s="176">
        <f t="shared" si="56"/>
        <v>5</v>
      </c>
      <c r="U169" s="250">
        <f t="shared" si="57"/>
        <v>-0.3068605800442582</v>
      </c>
      <c r="V169" s="382">
        <f t="shared" si="58"/>
        <v>58.211001667904107</v>
      </c>
      <c r="W169" s="400">
        <f t="shared" si="59"/>
        <v>24.973856267039722</v>
      </c>
      <c r="X169" s="157">
        <f t="shared" si="60"/>
        <v>46907</v>
      </c>
      <c r="Y169" s="383">
        <f t="shared" si="61"/>
        <v>24.047770250288593</v>
      </c>
      <c r="Z169" s="383">
        <f t="shared" si="62"/>
        <v>25.672334729242834</v>
      </c>
      <c r="AA169" s="384">
        <f t="shared" si="63"/>
        <v>27.02711921916795</v>
      </c>
      <c r="AB169" s="197">
        <f t="shared" si="64"/>
        <v>46907</v>
      </c>
      <c r="AC169" s="119">
        <f>IF(OR(t&lt;Tnet,NoTnet),'2027'!Resal_s+('2027'!Salim-'2027'!Resal_s)*(1-EXP(('2027'!Tnet_s-t)/'2027'!Tau_j)),Resal_s+(Salim-Resal_s)*(1-EXP((Tnet_s-t)/Tau_j)))*Salcycl</f>
        <v>5.0126855139051935E-2</v>
      </c>
      <c r="AD169" s="230">
        <f>(INDEX(Models!$BJ169:$BT169,,AH169)*(1-AF169)+INDEX(Models!$BJ169:$BT169,,AH169+1)*AF169-ERP_i)*AE169*Ramure*Pc/MaxiM</f>
        <v>0</v>
      </c>
      <c r="AE169" s="304">
        <f t="shared" si="65"/>
        <v>0.6</v>
      </c>
      <c r="AF169" s="177">
        <f t="shared" si="66"/>
        <v>0.21812698632972038</v>
      </c>
      <c r="AG169" s="799">
        <f t="shared" si="74"/>
        <v>3</v>
      </c>
      <c r="AH169" s="176">
        <f t="shared" si="67"/>
        <v>9</v>
      </c>
      <c r="AI169" s="224">
        <f t="shared" si="68"/>
        <v>3.2181269863297204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46908</v>
      </c>
      <c r="B170" s="409">
        <f>IF(t&gt;Tmaj,'2027'!Wh/'2027'!Env_an*'2028'!Env_an,0.001*'[8]mon-tableau'!$B$239)</f>
        <v>34.563497625055021</v>
      </c>
      <c r="C170" s="829"/>
      <c r="D170" s="391">
        <f t="shared" si="50"/>
        <v>36.899166822059037</v>
      </c>
      <c r="E170" s="383">
        <f t="shared" ref="E170:E232" si="75">Wh_pvt/(1-Psa)</f>
        <v>37.410873393606145</v>
      </c>
      <c r="F170" s="383">
        <f t="shared" si="51"/>
        <v>37.410873393606145</v>
      </c>
      <c r="G170" s="110">
        <f t="shared" ref="G170:G232" si="76">+Wh_hp/MaxiM</f>
        <v>0.59413676004119731</v>
      </c>
      <c r="H170" s="412" t="b">
        <f>Wh_hp&gt;='2027'!Maxi_hp</f>
        <v>0</v>
      </c>
      <c r="I170" s="388">
        <f>IF(H170,Wh_hp,'2027'!Maxi_hp)</f>
        <v>42.628678562631272</v>
      </c>
      <c r="J170" s="85">
        <f>IF(H170,An,'2027'!An_max)</f>
        <v>2021</v>
      </c>
      <c r="K170" s="197">
        <f t="shared" si="52"/>
        <v>46908</v>
      </c>
      <c r="L170" s="147">
        <f>IF(t&lt;Tvie,1-EXP((T0-t)*PertePVj)+'2027'!Pspv,1-EXP((T0-t)*PertePVj)+Pspv)</f>
        <v>6.3298697454808317E-2</v>
      </c>
      <c r="M170" s="832"/>
      <c r="N170" s="832"/>
      <c r="O170" s="48">
        <f>IF(t&lt;Tnet,'2027'!Resal+('2027'!Salim-'2027'!Resal)*(1-EXP(('2027'!Tnet-t)/('2027'!Tau_j))),Resal+(Salim-Resal)*(1-EXP((Tnet-t)/(Tau_j))))*Salcycl</f>
        <v>1.3678017248176929E-2</v>
      </c>
      <c r="P170" s="169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0.69821992082601381</v>
      </c>
      <c r="S170" s="799">
        <f t="shared" si="55"/>
        <v>-1</v>
      </c>
      <c r="T170" s="176">
        <f t="shared" si="56"/>
        <v>5</v>
      </c>
      <c r="U170" s="250">
        <f t="shared" si="57"/>
        <v>-0.30178007917398619</v>
      </c>
      <c r="V170" s="382">
        <f t="shared" si="58"/>
        <v>58.174312632428929</v>
      </c>
      <c r="W170" s="400">
        <f t="shared" si="59"/>
        <v>34.563497625055021</v>
      </c>
      <c r="X170" s="157">
        <f t="shared" si="60"/>
        <v>46908</v>
      </c>
      <c r="Y170" s="383">
        <f t="shared" si="61"/>
        <v>33.282271966795058</v>
      </c>
      <c r="Z170" s="383">
        <f t="shared" si="62"/>
        <v>35.531360825869392</v>
      </c>
      <c r="AA170" s="384">
        <f t="shared" si="63"/>
        <v>37.410873393606145</v>
      </c>
      <c r="AB170" s="197">
        <f t="shared" si="64"/>
        <v>46908</v>
      </c>
      <c r="AC170" s="119">
        <f>IF(OR(t&lt;Tnet,NoTnet),'2027'!Resal_s+('2027'!Salim-'2027'!Resal_s)*(1-EXP(('2027'!Tnet_s-t)/'2027'!Tau_j)),Resal_s+(Salim-Resal_s)*(1-EXP((Tnet_s-t)/Tau_j)))*Salcycl</f>
        <v>5.0239740408145099E-2</v>
      </c>
      <c r="AD170" s="230">
        <f>(INDEX(Models!$BJ170:$BT170,,AH170)*(1-AF170)+INDEX(Models!$BJ170:$BT170,,AH170+1)*AF170-ERP_i)*AE170*Ramure*Pc/MaxiM</f>
        <v>0</v>
      </c>
      <c r="AE170" s="304">
        <f t="shared" si="65"/>
        <v>0.6</v>
      </c>
      <c r="AF170" s="177">
        <f t="shared" si="66"/>
        <v>0.22320748719999228</v>
      </c>
      <c r="AG170" s="799">
        <f t="shared" si="74"/>
        <v>3</v>
      </c>
      <c r="AH170" s="176">
        <f t="shared" si="67"/>
        <v>9</v>
      </c>
      <c r="AI170" s="224">
        <f t="shared" si="68"/>
        <v>3.2232074871999923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46909</v>
      </c>
      <c r="B171" s="409">
        <f>IF(t&gt;Tmaj,'2027'!Wh/'2027'!Env_an*'2028'!Env_an,0.001*'[8]mon-tableau'!$B$240)</f>
        <v>49.531030034229587</v>
      </c>
      <c r="C171" s="829"/>
      <c r="D171" s="391">
        <f t="shared" si="50"/>
        <v>52.879161338545465</v>
      </c>
      <c r="E171" s="383">
        <f t="shared" si="75"/>
        <v>53.619590788575124</v>
      </c>
      <c r="F171" s="383">
        <f t="shared" si="51"/>
        <v>53.619590788575124</v>
      </c>
      <c r="G171" s="110">
        <f t="shared" si="76"/>
        <v>0.85199065576218946</v>
      </c>
      <c r="H171" s="412" t="b">
        <f>Wh_hp&gt;='2027'!Maxi_hp</f>
        <v>0</v>
      </c>
      <c r="I171" s="388">
        <f>IF(H171,Wh_hp,'2027'!Maxi_hp)</f>
        <v>54.411394736000254</v>
      </c>
      <c r="J171" s="85">
        <f>IF(H171,An,'2027'!An_max)</f>
        <v>2018</v>
      </c>
      <c r="K171" s="197">
        <f t="shared" si="52"/>
        <v>46909</v>
      </c>
      <c r="L171" s="147">
        <f>IF(t&lt;Tvie,1-EXP((T0-t)*PertePVj)+'2027'!Pspv,1-EXP((T0-t)*PertePVj)+Pspv)</f>
        <v>6.3316649121575752E-2</v>
      </c>
      <c r="M171" s="832"/>
      <c r="N171" s="832"/>
      <c r="O171" s="48">
        <f>IF(t&lt;Tnet,'2027'!Resal+('2027'!Salim-'2027'!Resal)*(1-EXP(('2027'!Tnet-t)/('2027'!Tau_j))),Resal+(Salim-Resal)*(1-EXP((Tnet-t)/(Tau_j))))*Salcycl</f>
        <v>1.3808935113831912E-2</v>
      </c>
      <c r="P171" s="169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0.70332183937315373</v>
      </c>
      <c r="S171" s="799">
        <f t="shared" si="55"/>
        <v>-1</v>
      </c>
      <c r="T171" s="176">
        <f t="shared" si="56"/>
        <v>5</v>
      </c>
      <c r="U171" s="250">
        <f t="shared" si="57"/>
        <v>-0.29667816062684627</v>
      </c>
      <c r="V171" s="382">
        <f t="shared" si="58"/>
        <v>58.135649375073498</v>
      </c>
      <c r="W171" s="400">
        <f t="shared" si="59"/>
        <v>49.531030034229587</v>
      </c>
      <c r="X171" s="157">
        <f t="shared" si="60"/>
        <v>46909</v>
      </c>
      <c r="Y171" s="383">
        <f t="shared" si="61"/>
        <v>47.69566169925109</v>
      </c>
      <c r="Z171" s="383">
        <f t="shared" si="62"/>
        <v>50.919728267318902</v>
      </c>
      <c r="AA171" s="384">
        <f t="shared" si="63"/>
        <v>53.619590788575124</v>
      </c>
      <c r="AB171" s="197">
        <f t="shared" si="64"/>
        <v>46909</v>
      </c>
      <c r="AC171" s="119">
        <f>IF(OR(t&lt;Tnet,NoTnet),'2027'!Resal_s+('2027'!Salim-'2027'!Resal_s)*(1-EXP(('2027'!Tnet_s-t)/'2027'!Tau_j)),Resal_s+(Salim-Resal_s)*(1-EXP((Tnet_s-t)/Tau_j)))*Salcycl</f>
        <v>5.0352165720583771E-2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0.22830940574713221</v>
      </c>
      <c r="AG171" s="799">
        <f t="shared" si="74"/>
        <v>3</v>
      </c>
      <c r="AH171" s="176">
        <f t="shared" si="67"/>
        <v>9</v>
      </c>
      <c r="AI171" s="224">
        <f t="shared" si="68"/>
        <v>3.2283094057471322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46910</v>
      </c>
      <c r="B172" s="409">
        <f>IF(t&gt;Tmaj,'2027'!Wh/'2027'!Env_an*'2028'!Env_an,0.001*'[8]mon-tableau'!$B$241)</f>
        <v>25.479182635177164</v>
      </c>
      <c r="C172" s="829"/>
      <c r="D172" s="391">
        <f t="shared" si="50"/>
        <v>27.202011142146503</v>
      </c>
      <c r="E172" s="383">
        <f t="shared" si="75"/>
        <v>27.58656028369095</v>
      </c>
      <c r="F172" s="383">
        <f t="shared" si="51"/>
        <v>27.58656028369095</v>
      </c>
      <c r="G172" s="110">
        <f t="shared" si="76"/>
        <v>0.43857703834635137</v>
      </c>
      <c r="H172" s="412" t="b">
        <f>Wh_hp&gt;='2027'!Maxi_hp</f>
        <v>0</v>
      </c>
      <c r="I172" s="388">
        <f>IF(H172,Wh_hp,'2027'!Maxi_hp)</f>
        <v>54.292344061536546</v>
      </c>
      <c r="J172" s="85">
        <f>IF(H172,An,'2027'!An_max)</f>
        <v>2021</v>
      </c>
      <c r="K172" s="197">
        <f t="shared" si="52"/>
        <v>46910</v>
      </c>
      <c r="L172" s="147">
        <f>IF(t&lt;Tvie,1-EXP((T0-t)*PertePVj)+'2027'!Pspv,1-EXP((T0-t)*PertePVj)+Pspv)</f>
        <v>6.3334600444303502E-2</v>
      </c>
      <c r="M172" s="832"/>
      <c r="N172" s="832"/>
      <c r="O172" s="48">
        <f>IF(t&lt;Tnet,'2027'!Resal+('2027'!Salim-'2027'!Resal)*(1-EXP(('2027'!Tnet-t)/('2027'!Tau_j))),Resal+(Salim-Resal)*(1-EXP((Tnet-t)/(Tau_j))))*Salcycl</f>
        <v>1.3939727809116897E-2</v>
      </c>
      <c r="P172" s="169">
        <f>(INDEX(Models!$BJ172:$BT172,,T172)*(1-R172)+INDEX(Models!$BJ172:$BT172,,T172+1)*R172-ERP_i)*Q172*Ramure*Pc/MaxiM</f>
        <v>0</v>
      </c>
      <c r="Q172" s="304">
        <f t="shared" si="53"/>
        <v>0.6</v>
      </c>
      <c r="R172" s="177">
        <f t="shared" si="54"/>
        <v>0.70844097879097978</v>
      </c>
      <c r="S172" s="799">
        <f t="shared" si="55"/>
        <v>-1</v>
      </c>
      <c r="T172" s="176">
        <f t="shared" si="56"/>
        <v>5</v>
      </c>
      <c r="U172" s="250">
        <f t="shared" si="57"/>
        <v>-0.29155902120902027</v>
      </c>
      <c r="V172" s="382">
        <f t="shared" si="58"/>
        <v>58.095113075791808</v>
      </c>
      <c r="W172" s="400">
        <f t="shared" si="59"/>
        <v>25.479182635177164</v>
      </c>
      <c r="X172" s="157">
        <f t="shared" si="60"/>
        <v>46910</v>
      </c>
      <c r="Y172" s="383">
        <f t="shared" si="61"/>
        <v>24.535415859934204</v>
      </c>
      <c r="Z172" s="383">
        <f t="shared" si="62"/>
        <v>26.194429592010639</v>
      </c>
      <c r="AA172" s="384">
        <f t="shared" si="63"/>
        <v>27.58656028369095</v>
      </c>
      <c r="AB172" s="197">
        <f t="shared" si="64"/>
        <v>46910</v>
      </c>
      <c r="AC172" s="119">
        <f>IF(OR(t&lt;Tnet,NoTnet),'2027'!Resal_s+('2027'!Salim-'2027'!Resal_s)*(1-EXP(('2027'!Tnet_s-t)/'2027'!Tau_j)),Resal_s+(Salim-Resal_s)*(1-EXP((Tnet_s-t)/Tau_j)))*Salcycl</f>
        <v>5.0464091114082531E-2</v>
      </c>
      <c r="AD172" s="230">
        <f>(INDEX(Models!$BJ172:$BT172,,AH172)*(1-AF172)+INDEX(Models!$BJ172:$BT172,,AH172+1)*AF172-ERP_i)*AE172*Ramure*Pc/MaxiM</f>
        <v>0</v>
      </c>
      <c r="AE172" s="304">
        <f t="shared" si="65"/>
        <v>0.6</v>
      </c>
      <c r="AF172" s="177">
        <f t="shared" si="66"/>
        <v>0.23342854516495803</v>
      </c>
      <c r="AG172" s="799">
        <f t="shared" si="74"/>
        <v>3</v>
      </c>
      <c r="AH172" s="176">
        <f t="shared" si="67"/>
        <v>9</v>
      </c>
      <c r="AI172" s="224">
        <f t="shared" si="68"/>
        <v>3.233428545164958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46911</v>
      </c>
      <c r="B173" s="409">
        <f>IF(t&gt;Tmaj,'2027'!Wh/'2027'!Env_an*'2028'!Env_an,0.001*'[8]mon-tableau'!$B$242)</f>
        <v>21.03809583845656</v>
      </c>
      <c r="C173" s="829"/>
      <c r="D173" s="391">
        <f t="shared" si="50"/>
        <v>22.461061384855757</v>
      </c>
      <c r="E173" s="383">
        <f t="shared" si="75"/>
        <v>22.781607288788571</v>
      </c>
      <c r="F173" s="383">
        <f t="shared" si="51"/>
        <v>22.781607288788571</v>
      </c>
      <c r="G173" s="110">
        <f t="shared" si="76"/>
        <v>0.36239585482329345</v>
      </c>
      <c r="H173" s="412" t="b">
        <f>Wh_hp&gt;='2027'!Maxi_hp</f>
        <v>0</v>
      </c>
      <c r="I173" s="388">
        <f>IF(H173,Wh_hp,'2027'!Maxi_hp)</f>
        <v>63.783632046651569</v>
      </c>
      <c r="J173" s="85">
        <f>IF(H173,An,'2027'!An_max)</f>
        <v>2018</v>
      </c>
      <c r="K173" s="197">
        <f t="shared" si="52"/>
        <v>46911</v>
      </c>
      <c r="L173" s="147">
        <f>IF(t&lt;Tvie,1-EXP((T0-t)*PertePVj)+'2027'!Pspv,1-EXP((T0-t)*PertePVj)+Pspv)</f>
        <v>6.3352551422998338E-2</v>
      </c>
      <c r="M173" s="832"/>
      <c r="N173" s="832"/>
      <c r="O173" s="48">
        <f>IF(t&lt;Tnet,'2027'!Resal+('2027'!Salim-'2027'!Resal)*(1-EXP(('2027'!Tnet-t)/('2027'!Tau_j))),Resal+(Salim-Resal)*(1-EXP((Tnet-t)/(Tau_j))))*Salcycl</f>
        <v>1.4070381420829977E-2</v>
      </c>
      <c r="P173" s="169">
        <f>(INDEX(Models!$BJ173:$BT173,,T173)*(1-R173)+INDEX(Models!$BJ173:$BT173,,T173+1)*R173-ERP_i)*Q173*Ramure*Pc/MaxiM</f>
        <v>0</v>
      </c>
      <c r="Q173" s="304">
        <f t="shared" si="53"/>
        <v>0.6</v>
      </c>
      <c r="R173" s="177">
        <f t="shared" si="54"/>
        <v>0.71357308474424619</v>
      </c>
      <c r="S173" s="799">
        <f t="shared" si="55"/>
        <v>-1</v>
      </c>
      <c r="T173" s="176">
        <f t="shared" si="56"/>
        <v>5</v>
      </c>
      <c r="U173" s="250">
        <f t="shared" si="57"/>
        <v>-0.28642691525575381</v>
      </c>
      <c r="V173" s="382">
        <f t="shared" si="58"/>
        <v>58.052804849864714</v>
      </c>
      <c r="W173" s="400">
        <f t="shared" si="59"/>
        <v>21.03809583845656</v>
      </c>
      <c r="X173" s="157">
        <f t="shared" si="60"/>
        <v>46911</v>
      </c>
      <c r="Y173" s="383">
        <f t="shared" si="61"/>
        <v>20.259137887620017</v>
      </c>
      <c r="Z173" s="383">
        <f t="shared" si="62"/>
        <v>21.629416616036952</v>
      </c>
      <c r="AA173" s="384">
        <f t="shared" si="63"/>
        <v>22.781607288788571</v>
      </c>
      <c r="AB173" s="197">
        <f t="shared" si="64"/>
        <v>46911</v>
      </c>
      <c r="AC173" s="119">
        <f>IF(OR(t&lt;Tnet,NoTnet),'2027'!Resal_s+('2027'!Salim-'2027'!Resal_s)*(1-EXP(('2027'!Tnet_s-t)/'2027'!Tau_j)),Resal_s+(Salim-Resal_s)*(1-EXP((Tnet_s-t)/Tau_j)))*Salcycl</f>
        <v>5.0575477759141368E-2</v>
      </c>
      <c r="AD173" s="230">
        <f>(INDEX(Models!$BJ173:$BT173,,AH173)*(1-AF173)+INDEX(Models!$BJ173:$BT173,,AH173+1)*AF173-ERP_i)*AE173*Ramure*Pc/MaxiM</f>
        <v>0</v>
      </c>
      <c r="AE173" s="304">
        <f t="shared" si="65"/>
        <v>0.6</v>
      </c>
      <c r="AF173" s="177">
        <f t="shared" si="66"/>
        <v>0.23856065111822478</v>
      </c>
      <c r="AG173" s="799">
        <f t="shared" si="74"/>
        <v>3</v>
      </c>
      <c r="AH173" s="176">
        <f t="shared" si="67"/>
        <v>9</v>
      </c>
      <c r="AI173" s="224">
        <f t="shared" si="68"/>
        <v>3.2385606511182248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46912</v>
      </c>
      <c r="B174" s="409">
        <f>IF(t&gt;Tmaj,'2027'!Wh/'2027'!Env_an*'2028'!Env_an,0.001*'[8]mon-tableau'!$B$243)</f>
        <v>49.626495562493176</v>
      </c>
      <c r="C174" s="829"/>
      <c r="D174" s="391">
        <f t="shared" si="50"/>
        <v>52.984126243639395</v>
      </c>
      <c r="E174" s="383">
        <f t="shared" si="75"/>
        <v>53.747386544102199</v>
      </c>
      <c r="F174" s="383">
        <f t="shared" si="51"/>
        <v>53.747386544102199</v>
      </c>
      <c r="G174" s="110">
        <f t="shared" si="76"/>
        <v>0.85549905425975226</v>
      </c>
      <c r="H174" s="412" t="b">
        <f>Wh_hp&gt;='2027'!Maxi_hp</f>
        <v>0</v>
      </c>
      <c r="I174" s="388">
        <f>IF(H174,Wh_hp,'2027'!Maxi_hp)</f>
        <v>60.032633975701692</v>
      </c>
      <c r="J174" s="85">
        <f>IF(H174,An,'2027'!An_max)</f>
        <v>2021</v>
      </c>
      <c r="K174" s="197">
        <f t="shared" si="52"/>
        <v>46912</v>
      </c>
      <c r="L174" s="147">
        <f>IF(t&lt;Tvie,1-EXP((T0-t)*PertePVj)+'2027'!Pspv,1-EXP((T0-t)*PertePVj)+Pspv)</f>
        <v>6.3370502057666589E-2</v>
      </c>
      <c r="M174" s="832"/>
      <c r="N174" s="832"/>
      <c r="O174" s="48">
        <f>IF(t&lt;Tnet,'2027'!Resal+('2027'!Salim-'2027'!Resal)*(1-EXP(('2027'!Tnet-t)/('2027'!Tau_j))),Resal+(Salim-Resal)*(1-EXP((Tnet-t)/(Tau_j))))*Salcycl</f>
        <v>1.4200882117989434E-2</v>
      </c>
      <c r="P174" s="169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0.71871385938855203</v>
      </c>
      <c r="S174" s="799">
        <f t="shared" si="55"/>
        <v>-1</v>
      </c>
      <c r="T174" s="176">
        <f t="shared" si="56"/>
        <v>5</v>
      </c>
      <c r="U174" s="250">
        <f t="shared" si="57"/>
        <v>-0.28128614061144791</v>
      </c>
      <c r="V174" s="382">
        <f t="shared" si="58"/>
        <v>58.008825743745653</v>
      </c>
      <c r="W174" s="400">
        <f t="shared" si="59"/>
        <v>49.626495562493176</v>
      </c>
      <c r="X174" s="157">
        <f t="shared" si="60"/>
        <v>46912</v>
      </c>
      <c r="Y174" s="383">
        <f t="shared" si="61"/>
        <v>47.789769594774555</v>
      </c>
      <c r="Z174" s="383">
        <f t="shared" si="62"/>
        <v>51.023131024341161</v>
      </c>
      <c r="AA174" s="384">
        <f t="shared" si="63"/>
        <v>53.747386544102199</v>
      </c>
      <c r="AB174" s="197">
        <f t="shared" si="64"/>
        <v>46912</v>
      </c>
      <c r="AC174" s="119">
        <f>IF(OR(t&lt;Tnet,NoTnet),'2027'!Resal_s+('2027'!Salim-'2027'!Resal_s)*(1-EXP(('2027'!Tnet_s-t)/'2027'!Tau_j)),Resal_s+(Salim-Resal_s)*(1-EXP((Tnet_s-t)/Tau_j)))*Salcycl</f>
        <v>5.0686288114226E-2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0.24370142576253073</v>
      </c>
      <c r="AG174" s="799">
        <f t="shared" si="74"/>
        <v>3</v>
      </c>
      <c r="AH174" s="176">
        <f t="shared" si="67"/>
        <v>9</v>
      </c>
      <c r="AI174" s="224">
        <f t="shared" si="68"/>
        <v>3.2437014257625307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46913</v>
      </c>
      <c r="B175" s="409">
        <f>IF(t&gt;Tmaj,'2027'!Wh/'2027'!Env_an*'2028'!Env_an,0.001*'[8]mon-tableau'!$B$244)</f>
        <v>57.313076893214038</v>
      </c>
      <c r="C175" s="829"/>
      <c r="D175" s="391">
        <f t="shared" si="50"/>
        <v>61.191939216329324</v>
      </c>
      <c r="E175" s="383">
        <f t="shared" si="75"/>
        <v>62.081644689027705</v>
      </c>
      <c r="F175" s="383">
        <f t="shared" si="51"/>
        <v>62.081644689027705</v>
      </c>
      <c r="G175" s="110">
        <f t="shared" si="76"/>
        <v>0.98878255555832684</v>
      </c>
      <c r="H175" s="412" t="b">
        <f>Wh_hp&gt;='2027'!Maxi_hp</f>
        <v>1</v>
      </c>
      <c r="I175" s="388">
        <f>IF(H175,Wh_hp,'2027'!Maxi_hp)</f>
        <v>62.081644689027705</v>
      </c>
      <c r="J175" s="85">
        <f>IF(H175,An,'2027'!An_max)</f>
        <v>2028</v>
      </c>
      <c r="K175" s="197">
        <f t="shared" si="52"/>
        <v>46913</v>
      </c>
      <c r="L175" s="147">
        <f>IF(t&lt;Tvie,1-EXP((T0-t)*PertePVj)+'2027'!Pspv,1-EXP((T0-t)*PertePVj)+Pspv)</f>
        <v>6.3388452348315139E-2</v>
      </c>
      <c r="M175" s="832"/>
      <c r="N175" s="832"/>
      <c r="O175" s="48">
        <f>IF(t&lt;Tnet,'2027'!Resal+('2027'!Salim-'2027'!Resal)*(1-EXP(('2027'!Tnet-t)/('2027'!Tau_j))),Resal+(Salim-Resal)*(1-EXP((Tnet-t)/(Tau_j))))*Salcycl</f>
        <v>1.4331216209798991E-2</v>
      </c>
      <c r="P175" s="169">
        <f>(INDEX(Models!$BJ175:$BT175,,T175)*(1-R175)+INDEX(Models!$BJ175:$BT175,,T175+1)*R175-ERP_i)*Q175*Ramure*Pc/MaxiM</f>
        <v>0</v>
      </c>
      <c r="Q175" s="304">
        <f t="shared" si="53"/>
        <v>0.6</v>
      </c>
      <c r="R175" s="177">
        <f t="shared" si="54"/>
        <v>0.72385897569956359</v>
      </c>
      <c r="S175" s="799">
        <f t="shared" si="55"/>
        <v>-1</v>
      </c>
      <c r="T175" s="176">
        <f t="shared" si="56"/>
        <v>5</v>
      </c>
      <c r="U175" s="250">
        <f t="shared" si="57"/>
        <v>-0.27614102430043641</v>
      </c>
      <c r="V175" s="382">
        <f t="shared" si="58"/>
        <v>57.963276729585488</v>
      </c>
      <c r="W175" s="400">
        <f t="shared" si="59"/>
        <v>57.313076893214038</v>
      </c>
      <c r="X175" s="157">
        <f t="shared" si="60"/>
        <v>46913</v>
      </c>
      <c r="Y175" s="383">
        <f t="shared" si="61"/>
        <v>55.192753261039663</v>
      </c>
      <c r="Z175" s="383">
        <f t="shared" si="62"/>
        <v>58.928115289013306</v>
      </c>
      <c r="AA175" s="384">
        <f t="shared" si="63"/>
        <v>62.081644689027705</v>
      </c>
      <c r="AB175" s="197">
        <f t="shared" si="64"/>
        <v>46913</v>
      </c>
      <c r="AC175" s="119">
        <f>IF(OR(t&lt;Tnet,NoTnet),'2027'!Resal_s+('2027'!Salim-'2027'!Resal_s)*(1-EXP(('2027'!Tnet_s-t)/'2027'!Tau_j)),Resal_s+(Salim-Resal_s)*(1-EXP((Tnet_s-t)/Tau_j)))*Salcycl</f>
        <v>5.0796486075887617E-2</v>
      </c>
      <c r="AD175" s="230">
        <f>(INDEX(Models!$BJ175:$BT175,,AH175)*(1-AF175)+INDEX(Models!$BJ175:$BT175,,AH175+1)*AF175-ERP_i)*AE175*Ramure*Pc/MaxiM</f>
        <v>0</v>
      </c>
      <c r="AE175" s="304">
        <f t="shared" si="65"/>
        <v>0.6</v>
      </c>
      <c r="AF175" s="177">
        <f t="shared" si="66"/>
        <v>0.24884654207354195</v>
      </c>
      <c r="AG175" s="799">
        <f t="shared" si="74"/>
        <v>3</v>
      </c>
      <c r="AH175" s="176">
        <f t="shared" si="67"/>
        <v>9</v>
      </c>
      <c r="AI175" s="224">
        <f t="shared" si="68"/>
        <v>3.248846542073542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46914</v>
      </c>
      <c r="B176" s="409">
        <f>IF(t&gt;Tmaj,'2027'!Wh/'2027'!Env_an*'2028'!Env_an,0.001*'[8]mon-tableau'!$B$245)</f>
        <v>55.673943578205467</v>
      </c>
      <c r="C176" s="829"/>
      <c r="D176" s="391">
        <f t="shared" si="50"/>
        <v>59.443011050496438</v>
      </c>
      <c r="E176" s="383">
        <f t="shared" si="75"/>
        <v>60.315252242082359</v>
      </c>
      <c r="F176" s="383">
        <f t="shared" si="51"/>
        <v>60.315252242082359</v>
      </c>
      <c r="G176" s="110">
        <f t="shared" si="76"/>
        <v>0.96128349484104125</v>
      </c>
      <c r="H176" s="412" t="b">
        <f>Wh_hp&gt;='2027'!Maxi_hp</f>
        <v>1</v>
      </c>
      <c r="I176" s="388">
        <f>IF(H176,Wh_hp,'2027'!Maxi_hp)</f>
        <v>60.315252242082359</v>
      </c>
      <c r="J176" s="85">
        <f>IF(H176,An,'2027'!An_max)</f>
        <v>2028</v>
      </c>
      <c r="K176" s="197">
        <f t="shared" si="52"/>
        <v>46914</v>
      </c>
      <c r="L176" s="147">
        <f>IF(t&lt;Tvie,1-EXP((T0-t)*PertePVj)+'2027'!Pspv,1-EXP((T0-t)*PertePVj)+Pspv)</f>
        <v>6.3406402294950537E-2</v>
      </c>
      <c r="M176" s="832"/>
      <c r="N176" s="832"/>
      <c r="O176" s="48">
        <f>IF(t&lt;Tnet,'2027'!Resal+('2027'!Salim-'2027'!Resal)*(1-EXP(('2027'!Tnet-t)/('2027'!Tau_j))),Resal+(Salim-Resal)*(1-EXP((Tnet-t)/(Tau_j))))*Salcycl</f>
        <v>1.4461370203428371E-2</v>
      </c>
      <c r="P176" s="169">
        <f>(INDEX(Models!$BJ176:$BT176,,T176)*(1-R176)+INDEX(Models!$BJ176:$BT176,,T176+1)*R176-ERP_i)*Q176*Ramure*Pc/MaxiM</f>
        <v>0</v>
      </c>
      <c r="Q176" s="304">
        <f t="shared" si="53"/>
        <v>0.6</v>
      </c>
      <c r="R176" s="177">
        <f t="shared" si="54"/>
        <v>0.72900409201057514</v>
      </c>
      <c r="S176" s="799">
        <f t="shared" si="55"/>
        <v>-1</v>
      </c>
      <c r="T176" s="176">
        <f t="shared" si="56"/>
        <v>5</v>
      </c>
      <c r="U176" s="250">
        <f t="shared" si="57"/>
        <v>-0.27099590798942486</v>
      </c>
      <c r="V176" s="382">
        <f t="shared" si="58"/>
        <v>57.916258707231599</v>
      </c>
      <c r="W176" s="400">
        <f t="shared" si="59"/>
        <v>55.673943578205467</v>
      </c>
      <c r="X176" s="157">
        <f t="shared" si="60"/>
        <v>46914</v>
      </c>
      <c r="Y176" s="383">
        <f t="shared" si="61"/>
        <v>53.615152305648365</v>
      </c>
      <c r="Z176" s="383">
        <f t="shared" si="62"/>
        <v>57.244841772378592</v>
      </c>
      <c r="AA176" s="384">
        <f t="shared" si="63"/>
        <v>60.315252242082359</v>
      </c>
      <c r="AB176" s="197">
        <f t="shared" si="64"/>
        <v>46914</v>
      </c>
      <c r="AC176" s="119">
        <f>IF(OR(t&lt;Tnet,NoTnet),'2027'!Resal_s+('2027'!Salim-'2027'!Resal_s)*(1-EXP(('2027'!Tnet_s-t)/'2027'!Tau_j)),Resal_s+(Salim-Resal_s)*(1-EXP((Tnet_s-t)/Tau_j)))*Salcycl</f>
        <v>5.0906037122754905E-2</v>
      </c>
      <c r="AD176" s="230">
        <f>(INDEX(Models!$BJ176:$BT176,,AH176)*(1-AF176)+INDEX(Models!$BJ176:$BT176,,AH176+1)*AF176-ERP_i)*AE176*Ramure*Pc/MaxiM</f>
        <v>0</v>
      </c>
      <c r="AE176" s="304">
        <f t="shared" si="65"/>
        <v>0.6</v>
      </c>
      <c r="AF176" s="177">
        <f t="shared" si="66"/>
        <v>0.25399165838455362</v>
      </c>
      <c r="AG176" s="799">
        <f t="shared" si="74"/>
        <v>3</v>
      </c>
      <c r="AH176" s="176">
        <f t="shared" si="67"/>
        <v>9</v>
      </c>
      <c r="AI176" s="224">
        <f t="shared" si="68"/>
        <v>3.2539916583845536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46915</v>
      </c>
      <c r="B177" s="409">
        <f>IF(t&gt;Tmaj,'2027'!Wh/'2027'!Env_an*'2028'!Env_an,0.001*'[8]mon-tableau'!$B$246)</f>
        <v>43.850688195087329</v>
      </c>
      <c r="C177" s="829"/>
      <c r="D177" s="391">
        <f t="shared" si="50"/>
        <v>46.82023100208982</v>
      </c>
      <c r="E177" s="383">
        <f t="shared" si="75"/>
        <v>47.513516440857693</v>
      </c>
      <c r="F177" s="383">
        <f t="shared" si="51"/>
        <v>47.513516440857693</v>
      </c>
      <c r="G177" s="110">
        <f t="shared" si="76"/>
        <v>0.7577758536505671</v>
      </c>
      <c r="H177" s="412" t="b">
        <f>Wh_hp&gt;='2027'!Maxi_hp</f>
        <v>0</v>
      </c>
      <c r="I177" s="388">
        <f>IF(H177,Wh_hp,'2027'!Maxi_hp)</f>
        <v>58.629383345992608</v>
      </c>
      <c r="J177" s="85">
        <f>IF(H177,An,'2027'!An_max)</f>
        <v>2018</v>
      </c>
      <c r="K177" s="197">
        <f t="shared" si="52"/>
        <v>46915</v>
      </c>
      <c r="L177" s="147">
        <f>IF(t&lt;Tvie,1-EXP((T0-t)*PertePVj)+'2027'!Pspv,1-EXP((T0-t)*PertePVj)+Pspv)</f>
        <v>6.3424351897579223E-2</v>
      </c>
      <c r="M177" s="832"/>
      <c r="N177" s="832"/>
      <c r="O177" s="48">
        <f>IF(t&lt;Tnet,'2027'!Resal+('2027'!Salim-'2027'!Resal)*(1-EXP(('2027'!Tnet-t)/('2027'!Tau_j))),Resal+(Salim-Resal)*(1-EXP((Tnet-t)/(Tau_j))))*Salcycl</f>
        <v>1.4591330861205393E-2</v>
      </c>
      <c r="P177" s="169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0.7341448666548811</v>
      </c>
      <c r="S177" s="799">
        <f t="shared" si="55"/>
        <v>-1</v>
      </c>
      <c r="T177" s="176">
        <f t="shared" si="56"/>
        <v>5</v>
      </c>
      <c r="U177" s="250">
        <f t="shared" si="57"/>
        <v>-0.26585513334511895</v>
      </c>
      <c r="V177" s="382">
        <f t="shared" si="58"/>
        <v>57.867624026072725</v>
      </c>
      <c r="W177" s="400">
        <f t="shared" si="59"/>
        <v>43.850688195087329</v>
      </c>
      <c r="X177" s="157">
        <f t="shared" si="60"/>
        <v>46915</v>
      </c>
      <c r="Y177" s="383">
        <f t="shared" si="61"/>
        <v>42.229838902889377</v>
      </c>
      <c r="Z177" s="383">
        <f t="shared" si="62"/>
        <v>45.089618749377586</v>
      </c>
      <c r="AA177" s="384">
        <f t="shared" si="63"/>
        <v>47.513516440857693</v>
      </c>
      <c r="AB177" s="197">
        <f t="shared" si="64"/>
        <v>46915</v>
      </c>
      <c r="AC177" s="119">
        <f>IF(OR(t&lt;Tnet,NoTnet),'2027'!Resal_s+('2027'!Salim-'2027'!Resal_s)*(1-EXP(('2027'!Tnet_s-t)/'2027'!Tau_j)),Resal_s+(Salim-Resal_s)*(1-EXP((Tnet_s-t)/Tau_j)))*Salcycl</f>
        <v>5.1014908452360987E-2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0.25913243302885958</v>
      </c>
      <c r="AG177" s="799">
        <f t="shared" si="74"/>
        <v>3</v>
      </c>
      <c r="AH177" s="176">
        <f t="shared" si="67"/>
        <v>9</v>
      </c>
      <c r="AI177" s="224">
        <f t="shared" si="68"/>
        <v>3.2591324330288596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46916</v>
      </c>
      <c r="B178" s="409">
        <f>IF(t&gt;Tmaj,'2027'!Wh/'2027'!Env_an*'2028'!Env_an,0.001*'[8]mon-tableau'!$B$247)</f>
        <v>52.760744767473142</v>
      </c>
      <c r="C178" s="829"/>
      <c r="D178" s="391">
        <f t="shared" si="50"/>
        <v>56.334751006379875</v>
      </c>
      <c r="E178" s="383">
        <f t="shared" si="75"/>
        <v>57.176450407510849</v>
      </c>
      <c r="F178" s="383">
        <f t="shared" si="51"/>
        <v>57.176450407510849</v>
      </c>
      <c r="G178" s="110">
        <f t="shared" si="76"/>
        <v>0.91254474988575518</v>
      </c>
      <c r="H178" s="412" t="b">
        <f>Wh_hp&gt;='2027'!Maxi_hp</f>
        <v>0</v>
      </c>
      <c r="I178" s="388">
        <f>IF(H178,Wh_hp,'2027'!Maxi_hp)</f>
        <v>65.55404847482302</v>
      </c>
      <c r="J178" s="85">
        <f>IF(H178,An,'2027'!An_max)</f>
        <v>2018</v>
      </c>
      <c r="K178" s="197">
        <f t="shared" si="52"/>
        <v>46916</v>
      </c>
      <c r="L178" s="147">
        <f>IF(t&lt;Tvie,1-EXP((T0-t)*PertePVj)+'2027'!Pspv,1-EXP((T0-t)*PertePVj)+Pspv)</f>
        <v>6.3442301156207859E-2</v>
      </c>
      <c r="M178" s="832"/>
      <c r="N178" s="832"/>
      <c r="O178" s="48">
        <f>IF(t&lt;Tnet,'2027'!Resal+('2027'!Salim-'2027'!Resal)*(1-EXP(('2027'!Tnet-t)/('2027'!Tau_j))),Resal+(Salim-Resal)*(1-EXP((Tnet-t)/(Tau_j))))*Salcycl</f>
        <v>1.4721085256814103E-2</v>
      </c>
      <c r="P178" s="169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0.73927697260814762</v>
      </c>
      <c r="S178" s="799">
        <f t="shared" si="55"/>
        <v>-1</v>
      </c>
      <c r="T178" s="176">
        <f t="shared" si="56"/>
        <v>5</v>
      </c>
      <c r="U178" s="250">
        <f t="shared" si="57"/>
        <v>-0.26072302739185244</v>
      </c>
      <c r="V178" s="382">
        <f t="shared" si="58"/>
        <v>57.817158856131115</v>
      </c>
      <c r="W178" s="400">
        <f t="shared" si="59"/>
        <v>52.760744767473142</v>
      </c>
      <c r="X178" s="157">
        <f t="shared" si="60"/>
        <v>46916</v>
      </c>
      <c r="Y178" s="383">
        <f t="shared" si="61"/>
        <v>50.81145330252982</v>
      </c>
      <c r="Z178" s="383">
        <f t="shared" si="62"/>
        <v>54.253414781874142</v>
      </c>
      <c r="AA178" s="384">
        <f t="shared" si="63"/>
        <v>57.176450407510849</v>
      </c>
      <c r="AB178" s="197">
        <f t="shared" si="64"/>
        <v>46916</v>
      </c>
      <c r="AC178" s="119">
        <f>IF(OR(t&lt;Tnet,NoTnet),'2027'!Resal_s+('2027'!Salim-'2027'!Resal_s)*(1-EXP(('2027'!Tnet_s-t)/'2027'!Tau_j)),Resal_s+(Salim-Resal_s)*(1-EXP((Tnet_s-t)/Tau_j)))*Salcycl</f>
        <v>5.1123069109808392E-2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0.26426453898212587</v>
      </c>
      <c r="AG178" s="799">
        <f t="shared" si="74"/>
        <v>3</v>
      </c>
      <c r="AH178" s="176">
        <f t="shared" si="67"/>
        <v>9</v>
      </c>
      <c r="AI178" s="224">
        <f t="shared" si="68"/>
        <v>3.2642645389821259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46917</v>
      </c>
      <c r="B179" s="409">
        <f>IF(t&gt;Tmaj,'2027'!Wh/'2027'!Env_an*'2028'!Env_an,0.001*'[8]mon-tableau'!$B$248)</f>
        <v>50.737248467910852</v>
      </c>
      <c r="C179" s="829"/>
      <c r="D179" s="391">
        <f t="shared" si="50"/>
        <v>54.175221576819126</v>
      </c>
      <c r="E179" s="383">
        <f t="shared" si="75"/>
        <v>54.991885212847144</v>
      </c>
      <c r="F179" s="383">
        <f t="shared" si="51"/>
        <v>54.991885212847144</v>
      </c>
      <c r="G179" s="110">
        <f t="shared" si="76"/>
        <v>0.87834098966709884</v>
      </c>
      <c r="H179" s="412" t="b">
        <f>Wh_hp&gt;='2027'!Maxi_hp</f>
        <v>0</v>
      </c>
      <c r="I179" s="388">
        <f>IF(H179,Wh_hp,'2027'!Maxi_hp)</f>
        <v>57.93177367847553</v>
      </c>
      <c r="J179" s="85">
        <f>IF(H179,An,'2027'!An_max)</f>
        <v>2021</v>
      </c>
      <c r="K179" s="197">
        <f t="shared" si="52"/>
        <v>46917</v>
      </c>
      <c r="L179" s="147">
        <f>IF(t&lt;Tvie,1-EXP((T0-t)*PertePVj)+'2027'!Pspv,1-EXP((T0-t)*PertePVj)+Pspv)</f>
        <v>6.3460250070842994E-2</v>
      </c>
      <c r="M179" s="832"/>
      <c r="N179" s="832"/>
      <c r="O179" s="48">
        <f>IF(t&lt;Tnet,'2027'!Resal+('2027'!Salim-'2027'!Resal)*(1-EXP(('2027'!Tnet-t)/('2027'!Tau_j))),Resal+(Salim-Resal)*(1-EXP((Tnet-t)/(Tau_j))))*Salcycl</f>
        <v>1.4850620830093437E-2</v>
      </c>
      <c r="P179" s="169">
        <f>(INDEX(Models!$BJ179:$BT179,,T179)*(1-R179)+INDEX(Models!$BJ179:$BT179,,T179+1)*R179-ERP_i)*Q179*Ramure*Pc/MaxiM</f>
        <v>0</v>
      </c>
      <c r="Q179" s="304">
        <f t="shared" si="53"/>
        <v>0.6</v>
      </c>
      <c r="R179" s="177">
        <f t="shared" si="54"/>
        <v>0.74439611202597344</v>
      </c>
      <c r="S179" s="799">
        <f t="shared" si="55"/>
        <v>-1</v>
      </c>
      <c r="T179" s="176">
        <f t="shared" si="56"/>
        <v>5</v>
      </c>
      <c r="U179" s="250">
        <f t="shared" si="57"/>
        <v>-0.2556038879740265</v>
      </c>
      <c r="V179" s="382">
        <f t="shared" si="58"/>
        <v>57.764864744773945</v>
      </c>
      <c r="W179" s="400">
        <f t="shared" si="59"/>
        <v>50.737248467910852</v>
      </c>
      <c r="X179" s="157">
        <f t="shared" si="60"/>
        <v>46917</v>
      </c>
      <c r="Y179" s="383">
        <f t="shared" si="61"/>
        <v>48.86360929625117</v>
      </c>
      <c r="Z179" s="383">
        <f t="shared" si="62"/>
        <v>52.174623981467285</v>
      </c>
      <c r="AA179" s="384">
        <f t="shared" si="63"/>
        <v>54.991885212847144</v>
      </c>
      <c r="AB179" s="197">
        <f t="shared" si="64"/>
        <v>46917</v>
      </c>
      <c r="AC179" s="119">
        <f>IF(OR(t&lt;Tnet,NoTnet),'2027'!Resal_s+('2027'!Salim-'2027'!Resal_s)*(1-EXP(('2027'!Tnet_s-t)/'2027'!Tau_j)),Resal_s+(Salim-Resal_s)*(1-EXP((Tnet_s-t)/Tau_j)))*Salcycl</f>
        <v>5.1230490107323973E-2</v>
      </c>
      <c r="AD179" s="230">
        <f>(INDEX(Models!$BJ179:$BT179,,AH179)*(1-AF179)+INDEX(Models!$BJ179:$BT179,,AH179+1)*AF179-ERP_i)*AE179*Ramure*Pc/MaxiM</f>
        <v>0</v>
      </c>
      <c r="AE179" s="304">
        <f t="shared" si="65"/>
        <v>0.6</v>
      </c>
      <c r="AF179" s="177">
        <f t="shared" si="66"/>
        <v>0.26938367839995214</v>
      </c>
      <c r="AG179" s="799">
        <f t="shared" si="74"/>
        <v>3</v>
      </c>
      <c r="AH179" s="176">
        <f t="shared" si="67"/>
        <v>9</v>
      </c>
      <c r="AI179" s="224">
        <f t="shared" si="68"/>
        <v>3.2693836783999521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46918</v>
      </c>
      <c r="B180" s="409">
        <f>IF(t&gt;Tmaj,'2027'!Wh/'2027'!Env_an*'2028'!Env_an,0.001*'[8]mon-tableau'!$B$249)</f>
        <v>53.93941764106507</v>
      </c>
      <c r="C180" s="829"/>
      <c r="D180" s="391">
        <f t="shared" si="50"/>
        <v>57.595474619833851</v>
      </c>
      <c r="E180" s="383">
        <f t="shared" si="75"/>
        <v>58.471371403840045</v>
      </c>
      <c r="F180" s="383">
        <f t="shared" si="51"/>
        <v>58.471371403840045</v>
      </c>
      <c r="G180" s="110">
        <f t="shared" si="76"/>
        <v>0.93465123890441126</v>
      </c>
      <c r="H180" s="412" t="b">
        <f>Wh_hp&gt;='2027'!Maxi_hp</f>
        <v>1</v>
      </c>
      <c r="I180" s="388">
        <f>IF(H180,Wh_hp,'2027'!Maxi_hp)</f>
        <v>58.471371403840045</v>
      </c>
      <c r="J180" s="85">
        <f>IF(H180,An,'2027'!An_max)</f>
        <v>2028</v>
      </c>
      <c r="K180" s="197">
        <f t="shared" si="52"/>
        <v>46918</v>
      </c>
      <c r="L180" s="147">
        <f>IF(t&lt;Tvie,1-EXP((T0-t)*PertePVj)+'2027'!Pspv,1-EXP((T0-t)*PertePVj)+Pspv)</f>
        <v>6.347819864149129E-2</v>
      </c>
      <c r="M180" s="832"/>
      <c r="N180" s="832"/>
      <c r="O180" s="48">
        <f>IF(t&lt;Tnet,'2027'!Resal+('2027'!Salim-'2027'!Resal)*(1-EXP(('2027'!Tnet-t)/('2027'!Tau_j))),Resal+(Salim-Resal)*(1-EXP((Tnet-t)/(Tau_j))))*Salcycl</f>
        <v>1.4979925440036254E-2</v>
      </c>
      <c r="P180" s="169">
        <f>(INDEX(Models!$BJ180:$BT180,,T180)*(1-R180)+INDEX(Models!$BJ180:$BT180,,T180+1)*R180-ERP_i)*Q180*Ramure*Pc/MaxiM</f>
        <v>0</v>
      </c>
      <c r="Q180" s="304">
        <f t="shared" si="53"/>
        <v>0.6</v>
      </c>
      <c r="R180" s="177">
        <f t="shared" si="54"/>
        <v>0.74949803057311359</v>
      </c>
      <c r="S180" s="799">
        <f t="shared" si="55"/>
        <v>-1</v>
      </c>
      <c r="T180" s="176">
        <f t="shared" si="56"/>
        <v>5</v>
      </c>
      <c r="U180" s="250">
        <f t="shared" si="57"/>
        <v>-0.25050196942688646</v>
      </c>
      <c r="V180" s="382">
        <f t="shared" si="58"/>
        <v>57.710743211866188</v>
      </c>
      <c r="W180" s="400">
        <f t="shared" si="59"/>
        <v>53.93941764106507</v>
      </c>
      <c r="X180" s="157">
        <f t="shared" si="60"/>
        <v>46918</v>
      </c>
      <c r="Y180" s="383">
        <f t="shared" si="61"/>
        <v>51.948506718926694</v>
      </c>
      <c r="Z180" s="383">
        <f t="shared" si="62"/>
        <v>55.469618158990784</v>
      </c>
      <c r="AA180" s="384">
        <f t="shared" si="63"/>
        <v>58.471371403840045</v>
      </c>
      <c r="AB180" s="197">
        <f t="shared" si="64"/>
        <v>46918</v>
      </c>
      <c r="AC180" s="119">
        <f>IF(OR(t&lt;Tnet,NoTnet),'2027'!Resal_s+('2027'!Salim-'2027'!Resal_s)*(1-EXP(('2027'!Tnet_s-t)/'2027'!Tau_j)),Resal_s+(Salim-Resal_s)*(1-EXP((Tnet_s-t)/Tau_j)))*Salcycl</f>
        <v>5.133714453381414E-2</v>
      </c>
      <c r="AD180" s="230">
        <f>(INDEX(Models!$BJ180:$BT180,,AH180)*(1-AF180)+INDEX(Models!$BJ180:$BT180,,AH180+1)*AF180-ERP_i)*AE180*Ramure*Pc/MaxiM</f>
        <v>0</v>
      </c>
      <c r="AE180" s="304">
        <f t="shared" si="65"/>
        <v>0.6</v>
      </c>
      <c r="AF180" s="177">
        <f t="shared" si="66"/>
        <v>0.27448559694709207</v>
      </c>
      <c r="AG180" s="799">
        <f t="shared" si="74"/>
        <v>3</v>
      </c>
      <c r="AH180" s="176">
        <f t="shared" si="67"/>
        <v>9</v>
      </c>
      <c r="AI180" s="224">
        <f t="shared" si="68"/>
        <v>3.2744855969470921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46919</v>
      </c>
      <c r="B181" s="409">
        <f>IF(t&gt;Tmaj,'2027'!Wh/'2027'!Env_an*'2028'!Env_an,0.001*'[8]mon-tableau'!$B$250)</f>
        <v>52.017484328456604</v>
      </c>
      <c r="C181" s="829"/>
      <c r="D181" s="391">
        <f t="shared" si="50"/>
        <v>55.544335620724461</v>
      </c>
      <c r="E181" s="383">
        <f t="shared" si="75"/>
        <v>56.396428549970572</v>
      </c>
      <c r="F181" s="383">
        <f t="shared" si="51"/>
        <v>56.396428549970572</v>
      </c>
      <c r="G181" s="110">
        <f t="shared" si="76"/>
        <v>0.90222302685284872</v>
      </c>
      <c r="H181" s="412" t="b">
        <f>Wh_hp&gt;='2027'!Maxi_hp</f>
        <v>0</v>
      </c>
      <c r="I181" s="388">
        <f>IF(H181,Wh_hp,'2027'!Maxi_hp)</f>
        <v>62.896396798110899</v>
      </c>
      <c r="J181" s="85">
        <f>IF(H181,An,'2027'!An_max)</f>
        <v>2018</v>
      </c>
      <c r="K181" s="197">
        <f t="shared" si="52"/>
        <v>46919</v>
      </c>
      <c r="L181" s="147">
        <f>IF(t&lt;Tvie,1-EXP((T0-t)*PertePVj)+'2027'!Pspv,1-EXP((T0-t)*PertePVj)+Pspv)</f>
        <v>6.3496146868159409E-2</v>
      </c>
      <c r="M181" s="832"/>
      <c r="N181" s="832"/>
      <c r="O181" s="48">
        <f>IF(t&lt;Tnet,'2027'!Resal+('2027'!Salim-'2027'!Resal)*(1-EXP(('2027'!Tnet-t)/('2027'!Tau_j))),Resal+(Salim-Resal)*(1-EXP((Tnet-t)/(Tau_j))))*Salcycl</f>
        <v>1.51089874155969E-2</v>
      </c>
      <c r="P181" s="169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0.75457853144338549</v>
      </c>
      <c r="S181" s="799">
        <f t="shared" si="55"/>
        <v>-1</v>
      </c>
      <c r="T181" s="176">
        <f t="shared" si="56"/>
        <v>5</v>
      </c>
      <c r="U181" s="250">
        <f t="shared" si="57"/>
        <v>-0.24542146855661456</v>
      </c>
      <c r="V181" s="382">
        <f t="shared" si="58"/>
        <v>57.654795743692077</v>
      </c>
      <c r="W181" s="400">
        <f t="shared" si="59"/>
        <v>52.017484328456604</v>
      </c>
      <c r="X181" s="157">
        <f t="shared" si="60"/>
        <v>46919</v>
      </c>
      <c r="Y181" s="383">
        <f t="shared" si="61"/>
        <v>50.098485876678062</v>
      </c>
      <c r="Z181" s="383">
        <f t="shared" si="62"/>
        <v>53.495226644438823</v>
      </c>
      <c r="AA181" s="384">
        <f t="shared" si="63"/>
        <v>56.396428549970572</v>
      </c>
      <c r="AB181" s="197">
        <f t="shared" si="64"/>
        <v>46919</v>
      </c>
      <c r="AC181" s="119">
        <f>IF(OR(t&lt;Tnet,NoTnet),'2027'!Resal_s+('2027'!Salim-'2027'!Resal_s)*(1-EXP(('2027'!Tnet_s-t)/'2027'!Tau_j)),Resal_s+(Salim-Resal_s)*(1-EXP((Tnet_s-t)/Tau_j)))*Salcycl</f>
        <v>5.1443007653598327E-2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0.27956609781736397</v>
      </c>
      <c r="AG181" s="799">
        <f t="shared" si="74"/>
        <v>3</v>
      </c>
      <c r="AH181" s="176">
        <f t="shared" si="67"/>
        <v>9</v>
      </c>
      <c r="AI181" s="224">
        <f t="shared" si="68"/>
        <v>3.279566097817364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46920</v>
      </c>
      <c r="B182" s="409">
        <f>IF(t&gt;Tmaj,'2027'!Wh/'2027'!Env_an*'2028'!Env_an,0.001*'[8]mon-tableau'!$B$251)</f>
        <v>51.932141887827285</v>
      </c>
      <c r="C182" s="829"/>
      <c r="D182" s="391">
        <f t="shared" si="50"/>
        <v>55.454269623002027</v>
      </c>
      <c r="E182" s="383">
        <f t="shared" si="75"/>
        <v>56.312345635777717</v>
      </c>
      <c r="F182" s="383">
        <f t="shared" si="51"/>
        <v>56.312345635777717</v>
      </c>
      <c r="G182" s="110">
        <f t="shared" si="76"/>
        <v>0.90164627386345519</v>
      </c>
      <c r="H182" s="412" t="b">
        <f>Wh_hp&gt;='2027'!Maxi_hp</f>
        <v>0</v>
      </c>
      <c r="I182" s="388">
        <f>IF(H182,Wh_hp,'2027'!Maxi_hp)</f>
        <v>61.724084548861946</v>
      </c>
      <c r="J182" s="85">
        <f>IF(H182,An,'2027'!An_max)</f>
        <v>2018</v>
      </c>
      <c r="K182" s="197">
        <f t="shared" si="52"/>
        <v>46920</v>
      </c>
      <c r="L182" s="147">
        <f>IF(t&lt;Tvie,1-EXP((T0-t)*PertePVj)+'2027'!Pspv,1-EXP((T0-t)*PertePVj)+Pspv)</f>
        <v>6.3514094750853789E-2</v>
      </c>
      <c r="M182" s="832"/>
      <c r="N182" s="832"/>
      <c r="O182" s="48">
        <f>IF(t&lt;Tnet,'2027'!Resal+('2027'!Salim-'2027'!Resal)*(1-EXP(('2027'!Tnet-t)/('2027'!Tau_j))),Resal+(Salim-Resal)*(1-EXP((Tnet-t)/(Tau_j))))*Salcycl</f>
        <v>1.5237795603927363E-2</v>
      </c>
      <c r="P182" s="169">
        <f>(INDEX(Models!$BJ182:$BT182,,T182)*(1-R182)+INDEX(Models!$BJ182:$BT182,,T182+1)*R182-ERP_i)*Q182*Ramure*Pc/MaxiM</f>
        <v>0</v>
      </c>
      <c r="Q182" s="304">
        <f t="shared" si="53"/>
        <v>0.6</v>
      </c>
      <c r="R182" s="177">
        <f t="shared" si="54"/>
        <v>0.75963348897304517</v>
      </c>
      <c r="S182" s="799">
        <f t="shared" si="55"/>
        <v>-1</v>
      </c>
      <c r="T182" s="176">
        <f t="shared" si="56"/>
        <v>5</v>
      </c>
      <c r="U182" s="250">
        <f t="shared" si="57"/>
        <v>-0.24036651102695478</v>
      </c>
      <c r="V182" s="382">
        <f t="shared" si="58"/>
        <v>57.597023792161608</v>
      </c>
      <c r="W182" s="400">
        <f t="shared" si="59"/>
        <v>51.932141887827285</v>
      </c>
      <c r="X182" s="157">
        <f t="shared" si="60"/>
        <v>46920</v>
      </c>
      <c r="Y182" s="383">
        <f t="shared" si="61"/>
        <v>50.017294183423779</v>
      </c>
      <c r="Z182" s="383">
        <f t="shared" si="62"/>
        <v>53.409553633502888</v>
      </c>
      <c r="AA182" s="384">
        <f t="shared" si="63"/>
        <v>56.312345635777717</v>
      </c>
      <c r="AB182" s="197">
        <f t="shared" si="64"/>
        <v>46920</v>
      </c>
      <c r="AC182" s="119">
        <f>IF(OR(t&lt;Tnet,NoTnet),'2027'!Resal_s+('2027'!Salim-'2027'!Resal_s)*(1-EXP(('2027'!Tnet_s-t)/'2027'!Tau_j)),Resal_s+(Salim-Resal_s)*(1-EXP((Tnet_s-t)/Tau_j)))*Salcycl</f>
        <v>5.1548056993572518E-2</v>
      </c>
      <c r="AD182" s="230">
        <f>(INDEX(Models!$BJ182:$BT182,,AH182)*(1-AF182)+INDEX(Models!$BJ182:$BT182,,AH182+1)*AF182-ERP_i)*AE182*Ramure*Pc/MaxiM</f>
        <v>0</v>
      </c>
      <c r="AE182" s="304">
        <f t="shared" si="65"/>
        <v>0.6</v>
      </c>
      <c r="AF182" s="177">
        <f t="shared" si="66"/>
        <v>0.28462105534702387</v>
      </c>
      <c r="AG182" s="799">
        <f t="shared" si="74"/>
        <v>3</v>
      </c>
      <c r="AH182" s="176">
        <f t="shared" si="67"/>
        <v>9</v>
      </c>
      <c r="AI182" s="224">
        <f t="shared" si="68"/>
        <v>3.2846210553470239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46921</v>
      </c>
      <c r="B183" s="409">
        <f>IF(t&gt;Tmaj,'2027'!Wh/'2027'!Env_an*'2028'!Env_an,0.001*'[8]mon-tableau'!$B$252)</f>
        <v>55.376946789647938</v>
      </c>
      <c r="C183" s="829"/>
      <c r="D183" s="391">
        <f t="shared" si="50"/>
        <v>59.133840441310632</v>
      </c>
      <c r="E183" s="383">
        <f t="shared" si="75"/>
        <v>60.056691954059566</v>
      </c>
      <c r="F183" s="383">
        <f t="shared" si="51"/>
        <v>60.056691954059566</v>
      </c>
      <c r="G183" s="110">
        <f t="shared" si="76"/>
        <v>0.96245084241538426</v>
      </c>
      <c r="H183" s="412" t="b">
        <f>Wh_hp&gt;='2027'!Maxi_hp</f>
        <v>1</v>
      </c>
      <c r="I183" s="388">
        <f>IF(H183,Wh_hp,'2027'!Maxi_hp)</f>
        <v>60.056691954059566</v>
      </c>
      <c r="J183" s="85">
        <f>IF(H183,An,'2027'!An_max)</f>
        <v>2028</v>
      </c>
      <c r="K183" s="197">
        <f t="shared" si="52"/>
        <v>46921</v>
      </c>
      <c r="L183" s="147">
        <f>IF(t&lt;Tvie,1-EXP((T0-t)*PertePVj)+'2027'!Pspv,1-EXP((T0-t)*PertePVj)+Pspv)</f>
        <v>6.3532042289581203E-2</v>
      </c>
      <c r="M183" s="832"/>
      <c r="N183" s="832"/>
      <c r="O183" s="48">
        <f>IF(t&lt;Tnet,'2027'!Resal+('2027'!Salim-'2027'!Resal)*(1-EXP(('2027'!Tnet-t)/('2027'!Tau_j))),Resal+(Salim-Resal)*(1-EXP((Tnet-t)/(Tau_j))))*Salcycl</f>
        <v>1.5366339415678706E-2</v>
      </c>
      <c r="P183" s="169">
        <f>(INDEX(Models!$BJ183:$BT183,,T183)*(1-R183)+INDEX(Models!$BJ183:$BT183,,T183+1)*R183-ERP_i)*Q183*Ramure*Pc/MaxiM</f>
        <v>0</v>
      </c>
      <c r="Q183" s="304">
        <f t="shared" si="53"/>
        <v>0.6</v>
      </c>
      <c r="R183" s="177">
        <f t="shared" si="54"/>
        <v>0.76465886175531717</v>
      </c>
      <c r="S183" s="799">
        <f t="shared" si="55"/>
        <v>-1</v>
      </c>
      <c r="T183" s="176">
        <f t="shared" si="56"/>
        <v>5</v>
      </c>
      <c r="U183" s="250">
        <f t="shared" si="57"/>
        <v>-0.23534113824468283</v>
      </c>
      <c r="V183" s="382">
        <f t="shared" si="58"/>
        <v>57.537428769528567</v>
      </c>
      <c r="W183" s="400">
        <f t="shared" si="59"/>
        <v>55.376946789647938</v>
      </c>
      <c r="X183" s="157">
        <f t="shared" si="60"/>
        <v>46921</v>
      </c>
      <c r="Y183" s="383">
        <f t="shared" si="61"/>
        <v>53.33618354791853</v>
      </c>
      <c r="Z183" s="383">
        <f t="shared" si="62"/>
        <v>56.95462734071625</v>
      </c>
      <c r="AA183" s="384">
        <f t="shared" si="63"/>
        <v>60.056691954059566</v>
      </c>
      <c r="AB183" s="197">
        <f t="shared" si="64"/>
        <v>46921</v>
      </c>
      <c r="AC183" s="119">
        <f>IF(OR(t&lt;Tnet,NoTnet),'2027'!Resal_s+('2027'!Salim-'2027'!Resal_s)*(1-EXP(('2027'!Tnet_s-t)/'2027'!Tau_j)),Resal_s+(Salim-Resal_s)*(1-EXP((Tnet_s-t)/Tau_j)))*Salcycl</f>
        <v>5.1652272418138544E-2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0.28964642812929586</v>
      </c>
      <c r="AG183" s="799">
        <f t="shared" si="74"/>
        <v>3</v>
      </c>
      <c r="AH183" s="176">
        <f t="shared" si="67"/>
        <v>9</v>
      </c>
      <c r="AI183" s="224">
        <f t="shared" si="68"/>
        <v>3.2896464281292959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46922</v>
      </c>
      <c r="B184" s="409">
        <f>IF(t&gt;Tmaj,'2027'!Wh/'2027'!Env_an*'2028'!Env_an,0.001*'[8]mon-tableau'!$B$253)</f>
        <v>56.455069942667194</v>
      </c>
      <c r="C184" s="829"/>
      <c r="D184" s="391">
        <f t="shared" si="50"/>
        <v>60.28626120851925</v>
      </c>
      <c r="E184" s="383">
        <f t="shared" si="75"/>
        <v>61.235074740567271</v>
      </c>
      <c r="F184" s="383">
        <f t="shared" si="51"/>
        <v>61.235074740567271</v>
      </c>
      <c r="G184" s="110">
        <f t="shared" si="76"/>
        <v>0.98223707474017008</v>
      </c>
      <c r="H184" s="412" t="b">
        <f>Wh_hp&gt;='2027'!Maxi_hp</f>
        <v>1</v>
      </c>
      <c r="I184" s="388">
        <f>IF(H184,Wh_hp,'2027'!Maxi_hp)</f>
        <v>61.235074740567271</v>
      </c>
      <c r="J184" s="85">
        <f>IF(H184,An,'2027'!An_max)</f>
        <v>2028</v>
      </c>
      <c r="K184" s="197">
        <f t="shared" si="52"/>
        <v>46922</v>
      </c>
      <c r="L184" s="147">
        <f>IF(t&lt;Tvie,1-EXP((T0-t)*PertePVj)+'2027'!Pspv,1-EXP((T0-t)*PertePVj)+Pspv)</f>
        <v>6.354998948434798E-2</v>
      </c>
      <c r="M184" s="832"/>
      <c r="N184" s="832"/>
      <c r="O184" s="48">
        <f>IF(t&lt;Tnet,'2027'!Resal+('2027'!Salim-'2027'!Resal)*(1-EXP(('2027'!Tnet-t)/('2027'!Tau_j))),Resal+(Salim-Resal)*(1-EXP((Tnet-t)/(Tau_j))))*Salcycl</f>
        <v>1.5494608867023106E-2</v>
      </c>
      <c r="P184" s="169">
        <f>(INDEX(Models!$BJ184:$BT184,,T184)*(1-R184)+INDEX(Models!$BJ184:$BT184,,T184+1)*R184-ERP_i)*Q184*Ramure*Pc/MaxiM</f>
        <v>0</v>
      </c>
      <c r="Q184" s="304">
        <f t="shared" si="53"/>
        <v>0.6</v>
      </c>
      <c r="R184" s="177">
        <f t="shared" si="54"/>
        <v>0.76965070516972967</v>
      </c>
      <c r="S184" s="799">
        <f t="shared" si="55"/>
        <v>-1</v>
      </c>
      <c r="T184" s="176">
        <f t="shared" si="56"/>
        <v>5</v>
      </c>
      <c r="U184" s="250">
        <f t="shared" si="57"/>
        <v>-0.23034929483027033</v>
      </c>
      <c r="V184" s="382">
        <f t="shared" si="58"/>
        <v>57.476012048925348</v>
      </c>
      <c r="W184" s="400">
        <f t="shared" si="59"/>
        <v>56.455069942667194</v>
      </c>
      <c r="X184" s="157">
        <f t="shared" si="60"/>
        <v>46922</v>
      </c>
      <c r="Y184" s="383">
        <f t="shared" si="61"/>
        <v>54.375732589897126</v>
      </c>
      <c r="Z184" s="383">
        <f t="shared" si="62"/>
        <v>58.065814490146003</v>
      </c>
      <c r="AA184" s="384">
        <f t="shared" si="63"/>
        <v>61.235074740567271</v>
      </c>
      <c r="AB184" s="197">
        <f t="shared" si="64"/>
        <v>46922</v>
      </c>
      <c r="AC184" s="119">
        <f>IF(OR(t&lt;Tnet,NoTnet),'2027'!Resal_s+('2027'!Salim-'2027'!Resal_s)*(1-EXP(('2027'!Tnet_s-t)/'2027'!Tau_j)),Resal_s+(Salim-Resal_s)*(1-EXP((Tnet_s-t)/Tau_j)))*Salcycl</f>
        <v>5.1755636191322951E-2</v>
      </c>
      <c r="AD184" s="230">
        <f>(INDEX(Models!$BJ184:$BT184,,AH184)*(1-AF184)+INDEX(Models!$BJ184:$BT184,,AH184+1)*AF184-ERP_i)*AE184*Ramure*Pc/MaxiM</f>
        <v>0</v>
      </c>
      <c r="AE184" s="304">
        <f t="shared" si="65"/>
        <v>0.6</v>
      </c>
      <c r="AF184" s="177">
        <f t="shared" si="66"/>
        <v>0.29463827154370836</v>
      </c>
      <c r="AG184" s="799">
        <f t="shared" si="74"/>
        <v>3</v>
      </c>
      <c r="AH184" s="176">
        <f t="shared" si="67"/>
        <v>9</v>
      </c>
      <c r="AI184" s="224">
        <f t="shared" si="68"/>
        <v>3.2946382715437084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46923</v>
      </c>
      <c r="B185" s="409">
        <f>IF(t&gt;Tmaj,'2027'!Wh/'2027'!Env_an*'2028'!Env_an,0.001*'[8]mon-tableau'!$B$254)</f>
        <v>29.840630089931604</v>
      </c>
      <c r="C185" s="829"/>
      <c r="D185" s="391">
        <f t="shared" si="50"/>
        <v>31.866305360312765</v>
      </c>
      <c r="E185" s="383">
        <f t="shared" si="75"/>
        <v>32.372040628003937</v>
      </c>
      <c r="F185" s="383">
        <f t="shared" si="51"/>
        <v>32.372040628003937</v>
      </c>
      <c r="G185" s="110">
        <f t="shared" si="76"/>
        <v>0.51975592732939868</v>
      </c>
      <c r="H185" s="412" t="b">
        <f>Wh_hp&gt;='2027'!Maxi_hp</f>
        <v>0</v>
      </c>
      <c r="I185" s="388">
        <f>IF(H185,Wh_hp,'2027'!Maxi_hp)</f>
        <v>58.11759070939933</v>
      </c>
      <c r="J185" s="85">
        <f>IF(H185,An,'2027'!An_max)</f>
        <v>2020</v>
      </c>
      <c r="K185" s="197">
        <f t="shared" si="52"/>
        <v>46923</v>
      </c>
      <c r="L185" s="147">
        <f>IF(t&lt;Tvie,1-EXP((T0-t)*PertePVj)+'2027'!Pspv,1-EXP((T0-t)*PertePVj)+Pspv)</f>
        <v>6.3567936335161002E-2</v>
      </c>
      <c r="M185" s="832"/>
      <c r="N185" s="832"/>
      <c r="O185" s="48">
        <f>IF(t&lt;Tnet,'2027'!Resal+('2027'!Salim-'2027'!Resal)*(1-EXP(('2027'!Tnet-t)/('2027'!Tau_j))),Resal+(Salim-Resal)*(1-EXP((Tnet-t)/(Tau_j))))*Salcycl</f>
        <v>1.5622594618075407E-2</v>
      </c>
      <c r="P185" s="169">
        <f>(INDEX(Models!$BJ185:$BT185,,T185)*(1-R185)+INDEX(Models!$BJ185:$BT185,,T185+1)*R185-ERP_i)*Q185*Ramure*Pc/MaxiM</f>
        <v>1.7553004544543876E-20</v>
      </c>
      <c r="Q185" s="304">
        <f t="shared" si="53"/>
        <v>0.6</v>
      </c>
      <c r="R185" s="177">
        <f t="shared" si="54"/>
        <v>0.77460518324681193</v>
      </c>
      <c r="S185" s="799">
        <f t="shared" si="55"/>
        <v>-1</v>
      </c>
      <c r="T185" s="176">
        <f t="shared" si="56"/>
        <v>5</v>
      </c>
      <c r="U185" s="250">
        <f t="shared" si="57"/>
        <v>-0.22539481675318801</v>
      </c>
      <c r="V185" s="382">
        <f t="shared" si="58"/>
        <v>57.412774960082203</v>
      </c>
      <c r="W185" s="400">
        <f t="shared" si="59"/>
        <v>29.840630089931604</v>
      </c>
      <c r="X185" s="157">
        <f t="shared" si="60"/>
        <v>46923</v>
      </c>
      <c r="Y185" s="383">
        <f t="shared" si="61"/>
        <v>28.742178122406933</v>
      </c>
      <c r="Z185" s="383">
        <f t="shared" si="62"/>
        <v>30.693287038806616</v>
      </c>
      <c r="AA185" s="384">
        <f t="shared" si="63"/>
        <v>32.372040628003937</v>
      </c>
      <c r="AB185" s="197">
        <f t="shared" si="64"/>
        <v>46923</v>
      </c>
      <c r="AC185" s="119">
        <f>IF(OR(t&lt;Tnet,NoTnet),'2027'!Resal_s+('2027'!Salim-'2027'!Resal_s)*(1-EXP(('2027'!Tnet_s-t)/'2027'!Tau_j)),Resal_s+(Salim-Resal_s)*(1-EXP((Tnet_s-t)/Tau_j)))*Salcycl</f>
        <v>5.185813302560506E-2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0.29959274962079041</v>
      </c>
      <c r="AG185" s="799">
        <f t="shared" si="74"/>
        <v>3</v>
      </c>
      <c r="AH185" s="176">
        <f t="shared" si="67"/>
        <v>9</v>
      </c>
      <c r="AI185" s="224">
        <f t="shared" si="68"/>
        <v>3.2995927496207904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46924</v>
      </c>
      <c r="B186" s="409">
        <f>IF(t&gt;Tmaj,'2027'!Wh/'2027'!Env_an*'2028'!Env_an,0.001*'[8]mon-tableau'!$B$255)</f>
        <v>22.246103360341035</v>
      </c>
      <c r="C186" s="829"/>
      <c r="D186" s="391">
        <f t="shared" si="50"/>
        <v>23.756693702843982</v>
      </c>
      <c r="E186" s="383">
        <f t="shared" si="75"/>
        <v>24.1368561386209</v>
      </c>
      <c r="F186" s="383">
        <f t="shared" si="51"/>
        <v>24.1368561386209</v>
      </c>
      <c r="G186" s="110">
        <f t="shared" si="76"/>
        <v>0.38791609902370311</v>
      </c>
      <c r="H186" s="412" t="b">
        <f>Wh_hp&gt;='2027'!Maxi_hp</f>
        <v>0</v>
      </c>
      <c r="I186" s="388">
        <f>IF(H186,Wh_hp,'2027'!Maxi_hp)</f>
        <v>54.852267304881771</v>
      </c>
      <c r="J186" s="85">
        <f>IF(H186,An,'2027'!An_max)</f>
        <v>2020</v>
      </c>
      <c r="K186" s="197">
        <f t="shared" si="52"/>
        <v>46924</v>
      </c>
      <c r="L186" s="147">
        <f>IF(t&lt;Tvie,1-EXP((T0-t)*PertePVj)+'2027'!Pspv,1-EXP((T0-t)*PertePVj)+Pspv)</f>
        <v>6.3585882842026598E-2</v>
      </c>
      <c r="M186" s="832"/>
      <c r="N186" s="832"/>
      <c r="O186" s="48">
        <f>IF(t&lt;Tnet,'2027'!Resal+('2027'!Salim-'2027'!Resal)*(1-EXP(('2027'!Tnet-t)/('2027'!Tau_j))),Resal+(Salim-Resal)*(1-EXP((Tnet-t)/(Tau_j))))*Salcycl</f>
        <v>1.5750288007418976E-2</v>
      </c>
      <c r="P186" s="169">
        <f>(INDEX(Models!$BJ186:$BT186,,T186)*(1-R186)+INDEX(Models!$BJ186:$BT186,,T186+1)*R186-ERP_i)*Q186*Ramure*Pc/MaxiM</f>
        <v>0</v>
      </c>
      <c r="Q186" s="304">
        <f t="shared" si="53"/>
        <v>0.6</v>
      </c>
      <c r="R186" s="177">
        <f t="shared" si="54"/>
        <v>0.77951857979643868</v>
      </c>
      <c r="S186" s="799">
        <f t="shared" si="55"/>
        <v>-1</v>
      </c>
      <c r="T186" s="176">
        <f t="shared" si="56"/>
        <v>5</v>
      </c>
      <c r="U186" s="250">
        <f t="shared" si="57"/>
        <v>-0.22048142020356132</v>
      </c>
      <c r="V186" s="382">
        <f t="shared" si="58"/>
        <v>57.347718788494298</v>
      </c>
      <c r="W186" s="400">
        <f t="shared" si="59"/>
        <v>22.246103360341035</v>
      </c>
      <c r="X186" s="157">
        <f t="shared" si="60"/>
        <v>46924</v>
      </c>
      <c r="Y186" s="383">
        <f t="shared" si="61"/>
        <v>21.427693736341258</v>
      </c>
      <c r="Z186" s="383">
        <f t="shared" si="62"/>
        <v>22.882711125046395</v>
      </c>
      <c r="AA186" s="384">
        <f t="shared" si="63"/>
        <v>24.1368561386209</v>
      </c>
      <c r="AB186" s="197">
        <f t="shared" si="64"/>
        <v>46924</v>
      </c>
      <c r="AC186" s="119">
        <f>IF(OR(t&lt;Tnet,NoTnet),'2027'!Resal_s+('2027'!Salim-'2027'!Resal_s)*(1-EXP(('2027'!Tnet_s-t)/'2027'!Tau_j)),Resal_s+(Salim-Resal_s)*(1-EXP((Tnet_s-t)/Tau_j)))*Salcycl</f>
        <v>5.1959750117073995E-2</v>
      </c>
      <c r="AD186" s="230">
        <f>(INDEX(Models!$BJ186:$BT186,,AH186)*(1-AF186)+INDEX(Models!$BJ186:$BT186,,AH186+1)*AF186-ERP_i)*AE186*Ramure*Pc/MaxiM</f>
        <v>0</v>
      </c>
      <c r="AE186" s="304">
        <f t="shared" si="65"/>
        <v>0.6</v>
      </c>
      <c r="AF186" s="177">
        <f t="shared" si="66"/>
        <v>0.30450614617041705</v>
      </c>
      <c r="AG186" s="799">
        <f t="shared" si="74"/>
        <v>3</v>
      </c>
      <c r="AH186" s="176">
        <f t="shared" si="67"/>
        <v>9</v>
      </c>
      <c r="AI186" s="224">
        <f t="shared" si="68"/>
        <v>3.304506146170417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46925</v>
      </c>
      <c r="B187" s="409">
        <f>IF(t&gt;Tmaj,'2027'!Wh/'2027'!Env_an*'2028'!Env_an,0.001*'[8]mon-tableau'!$B$256)</f>
        <v>42.060204682807026</v>
      </c>
      <c r="C187" s="829"/>
      <c r="D187" s="391">
        <f t="shared" si="50"/>
        <v>44.917104517965221</v>
      </c>
      <c r="E187" s="383">
        <f t="shared" si="75"/>
        <v>45.641790308516825</v>
      </c>
      <c r="F187" s="383">
        <f t="shared" si="51"/>
        <v>45.641790308516825</v>
      </c>
      <c r="G187" s="110">
        <f t="shared" si="76"/>
        <v>0.73428045362943595</v>
      </c>
      <c r="H187" s="412" t="b">
        <f>Wh_hp&gt;='2027'!Maxi_hp</f>
        <v>0</v>
      </c>
      <c r="I187" s="388">
        <f>IF(H187,Wh_hp,'2027'!Maxi_hp)</f>
        <v>62.350039866865146</v>
      </c>
      <c r="J187" s="85">
        <f>IF(H187,An,'2027'!An_max)</f>
        <v>2020</v>
      </c>
      <c r="K187" s="197">
        <f t="shared" si="52"/>
        <v>46925</v>
      </c>
      <c r="L187" s="147">
        <f>IF(t&lt;Tvie,1-EXP((T0-t)*PertePVj)+'2027'!Pspv,1-EXP((T0-t)*PertePVj)+Pspv)</f>
        <v>6.360382900495154E-2</v>
      </c>
      <c r="M187" s="832"/>
      <c r="N187" s="832"/>
      <c r="O187" s="48">
        <f>IF(t&lt;Tnet,'2027'!Resal+('2027'!Salim-'2027'!Resal)*(1-EXP(('2027'!Tnet-t)/('2027'!Tau_j))),Resal+(Salim-Resal)*(1-EXP((Tnet-t)/(Tau_j))))*Salcycl</f>
        <v>1.5877681082470053E-2</v>
      </c>
      <c r="P187" s="169">
        <f>(INDEX(Models!$BJ187:$BT187,,T187)*(1-R187)+INDEX(Models!$BJ187:$BT187,,T187+1)*R187-ERP_i)*Q187*Ramure*Pc/MaxiM</f>
        <v>0</v>
      </c>
      <c r="Q187" s="304">
        <f t="shared" si="53"/>
        <v>0.6</v>
      </c>
      <c r="R187" s="177">
        <f t="shared" si="54"/>
        <v>0.78438730873652629</v>
      </c>
      <c r="S187" s="799">
        <f t="shared" si="55"/>
        <v>-1</v>
      </c>
      <c r="T187" s="176">
        <f t="shared" si="56"/>
        <v>5</v>
      </c>
      <c r="U187" s="250">
        <f t="shared" si="57"/>
        <v>-0.21561269126347371</v>
      </c>
      <c r="V187" s="382">
        <f t="shared" si="58"/>
        <v>57.280844771108733</v>
      </c>
      <c r="W187" s="400">
        <f t="shared" si="59"/>
        <v>42.060204682807026</v>
      </c>
      <c r="X187" s="157">
        <f t="shared" si="60"/>
        <v>46925</v>
      </c>
      <c r="Y187" s="383">
        <f t="shared" si="61"/>
        <v>40.513795481387476</v>
      </c>
      <c r="Z187" s="383">
        <f t="shared" si="62"/>
        <v>43.265656926315764</v>
      </c>
      <c r="AA187" s="384">
        <f t="shared" si="63"/>
        <v>45.641790308516825</v>
      </c>
      <c r="AB187" s="197">
        <f t="shared" si="64"/>
        <v>46925</v>
      </c>
      <c r="AC187" s="119">
        <f>IF(OR(t&lt;Tnet,NoTnet),'2027'!Resal_s+('2027'!Salim-'2027'!Resal_s)*(1-EXP(('2027'!Tnet_s-t)/'2027'!Tau_j)),Resal_s+(Salim-Resal_s)*(1-EXP((Tnet_s-t)/Tau_j)))*Salcycl</f>
        <v>5.206047716663894E-2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0.30937487511050499</v>
      </c>
      <c r="AG187" s="799">
        <f t="shared" si="74"/>
        <v>3</v>
      </c>
      <c r="AH187" s="176">
        <f t="shared" si="67"/>
        <v>9</v>
      </c>
      <c r="AI187" s="224">
        <f t="shared" si="68"/>
        <v>3.309374875110505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46926</v>
      </c>
      <c r="B188" s="409">
        <f>IF(t&gt;Tmaj,'2027'!Wh/'2027'!Env_an*'2028'!Env_an,0.001*'[8]mon-tableau'!$B$257)</f>
        <v>42.716773179706962</v>
      </c>
      <c r="C188" s="829"/>
      <c r="D188" s="391">
        <f t="shared" si="50"/>
        <v>45.619144092842788</v>
      </c>
      <c r="E188" s="383">
        <f t="shared" si="75"/>
        <v>46.361143373016795</v>
      </c>
      <c r="F188" s="383">
        <f t="shared" si="51"/>
        <v>46.361143373016795</v>
      </c>
      <c r="G188" s="110">
        <f t="shared" si="76"/>
        <v>0.74663808507722507</v>
      </c>
      <c r="H188" s="412" t="b">
        <f>Wh_hp&gt;='2027'!Maxi_hp</f>
        <v>0</v>
      </c>
      <c r="I188" s="388">
        <f>IF(H188,Wh_hp,'2027'!Maxi_hp)</f>
        <v>54.242625495320887</v>
      </c>
      <c r="J188" s="85">
        <f>IF(H188,An,'2027'!An_max)</f>
        <v>2018</v>
      </c>
      <c r="K188" s="197">
        <f t="shared" si="52"/>
        <v>46926</v>
      </c>
      <c r="L188" s="147">
        <f>IF(t&lt;Tvie,1-EXP((T0-t)*PertePVj)+'2027'!Pspv,1-EXP((T0-t)*PertePVj)+Pspv)</f>
        <v>6.3621774823942379E-2</v>
      </c>
      <c r="M188" s="832"/>
      <c r="N188" s="832"/>
      <c r="O188" s="48">
        <f>IF(t&lt;Tnet,'2027'!Resal+('2027'!Salim-'2027'!Resal)*(1-EXP(('2027'!Tnet-t)/('2027'!Tau_j))),Resal+(Salim-Resal)*(1-EXP((Tnet-t)/(Tau_j))))*Salcycl</f>
        <v>1.6004766625446566E-2</v>
      </c>
      <c r="P188" s="169">
        <f>(INDEX(Models!$BJ188:$BT188,,T188)*(1-R188)+INDEX(Models!$BJ188:$BT188,,T188+1)*R188-ERP_i)*Q188*Ramure*Pc/MaxiM</f>
        <v>0</v>
      </c>
      <c r="Q188" s="304">
        <f t="shared" si="53"/>
        <v>0.6</v>
      </c>
      <c r="R188" s="177">
        <f t="shared" si="54"/>
        <v>0.78920792356774827</v>
      </c>
      <c r="S188" s="799">
        <f t="shared" si="55"/>
        <v>-1</v>
      </c>
      <c r="T188" s="176">
        <f t="shared" si="56"/>
        <v>5</v>
      </c>
      <c r="U188" s="250">
        <f t="shared" si="57"/>
        <v>-0.21079207643225178</v>
      </c>
      <c r="V188" s="382">
        <f t="shared" si="58"/>
        <v>57.212154099115843</v>
      </c>
      <c r="W188" s="400">
        <f t="shared" si="59"/>
        <v>42.716773179706962</v>
      </c>
      <c r="X188" s="157">
        <f t="shared" si="60"/>
        <v>46926</v>
      </c>
      <c r="Y188" s="383">
        <f t="shared" si="61"/>
        <v>41.147204609854356</v>
      </c>
      <c r="Z188" s="383">
        <f t="shared" si="62"/>
        <v>43.942931930222819</v>
      </c>
      <c r="AA188" s="384">
        <f t="shared" si="63"/>
        <v>46.361143373016795</v>
      </c>
      <c r="AB188" s="197">
        <f t="shared" si="64"/>
        <v>46926</v>
      </c>
      <c r="AC188" s="119">
        <f>IF(OR(t&lt;Tnet,NoTnet),'2027'!Resal_s+('2027'!Salim-'2027'!Resal_s)*(1-EXP(('2027'!Tnet_s-t)/'2027'!Tau_j)),Resal_s+(Salim-Resal_s)*(1-EXP((Tnet_s-t)/Tau_j)))*Salcycl</f>
        <v>5.2160306387124752E-2</v>
      </c>
      <c r="AD188" s="230">
        <f>(INDEX(Models!$BJ188:$BT188,,AH188)*(1-AF188)+INDEX(Models!$BJ188:$BT188,,AH188+1)*AF188-ERP_i)*AE188*Ramure*Pc/MaxiM</f>
        <v>0</v>
      </c>
      <c r="AE188" s="304">
        <f t="shared" si="65"/>
        <v>0.6</v>
      </c>
      <c r="AF188" s="177">
        <f t="shared" si="66"/>
        <v>0.31419548994172652</v>
      </c>
      <c r="AG188" s="799">
        <f t="shared" si="74"/>
        <v>3</v>
      </c>
      <c r="AH188" s="176">
        <f t="shared" si="67"/>
        <v>9</v>
      </c>
      <c r="AI188" s="224">
        <f t="shared" si="68"/>
        <v>3.3141954899417265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46927</v>
      </c>
      <c r="B189" s="409">
        <f>IF(t&gt;Tmaj,'2027'!Wh/'2027'!Env_an*'2028'!Env_an,0.001*'[8]mon-tableau'!$B$258)</f>
        <v>39.253709555542919</v>
      </c>
      <c r="C189" s="829"/>
      <c r="D189" s="391">
        <f t="shared" si="50"/>
        <v>41.921587669307918</v>
      </c>
      <c r="E189" s="383">
        <f t="shared" si="75"/>
        <v>42.608935336270079</v>
      </c>
      <c r="F189" s="383">
        <f t="shared" si="51"/>
        <v>42.608935336270079</v>
      </c>
      <c r="G189" s="110">
        <f t="shared" si="76"/>
        <v>0.68695445422333934</v>
      </c>
      <c r="H189" s="412" t="b">
        <f>Wh_hp&gt;='2027'!Maxi_hp</f>
        <v>0</v>
      </c>
      <c r="I189" s="388">
        <f>IF(H189,Wh_hp,'2027'!Maxi_hp)</f>
        <v>61.322953896057307</v>
      </c>
      <c r="J189" s="85">
        <f>IF(H189,An,'2027'!An_max)</f>
        <v>2020</v>
      </c>
      <c r="K189" s="197">
        <f t="shared" si="52"/>
        <v>46927</v>
      </c>
      <c r="L189" s="147">
        <f>IF(t&lt;Tvie,1-EXP((T0-t)*PertePVj)+'2027'!Pspv,1-EXP((T0-t)*PertePVj)+Pspv)</f>
        <v>6.3639720299005664E-2</v>
      </c>
      <c r="M189" s="832"/>
      <c r="N189" s="832"/>
      <c r="O189" s="48">
        <f>IF(t&lt;Tnet,'2027'!Resal+('2027'!Salim-'2027'!Resal)*(1-EXP(('2027'!Tnet-t)/('2027'!Tau_j))),Resal+(Salim-Resal)*(1-EXP((Tnet-t)/(Tau_j))))*Salcycl</f>
        <v>1.6131538174742235E-2</v>
      </c>
      <c r="P189" s="169">
        <f>(INDEX(Models!$BJ189:$BT189,,T189)*(1-R189)+INDEX(Models!$BJ189:$BT189,,T189+1)*R189-ERP_i)*Q189*Ramure*Pc/MaxiM</f>
        <v>0</v>
      </c>
      <c r="Q189" s="304">
        <f t="shared" si="53"/>
        <v>0.6</v>
      </c>
      <c r="R189" s="177">
        <f t="shared" si="54"/>
        <v>0.7939771259492906</v>
      </c>
      <c r="S189" s="799">
        <f t="shared" si="55"/>
        <v>-1</v>
      </c>
      <c r="T189" s="176">
        <f t="shared" si="56"/>
        <v>5</v>
      </c>
      <c r="U189" s="250">
        <f t="shared" si="57"/>
        <v>-0.2060228740507094</v>
      </c>
      <c r="V189" s="382">
        <f t="shared" si="58"/>
        <v>57.141647913066642</v>
      </c>
      <c r="W189" s="400">
        <f t="shared" si="59"/>
        <v>39.253709555542919</v>
      </c>
      <c r="X189" s="157">
        <f t="shared" si="60"/>
        <v>46927</v>
      </c>
      <c r="Y189" s="383">
        <f t="shared" si="61"/>
        <v>37.812311569093779</v>
      </c>
      <c r="Z189" s="383">
        <f t="shared" si="62"/>
        <v>40.382225078116612</v>
      </c>
      <c r="AA189" s="384">
        <f t="shared" si="63"/>
        <v>42.608935336270079</v>
      </c>
      <c r="AB189" s="197">
        <f t="shared" si="64"/>
        <v>46927</v>
      </c>
      <c r="AC189" s="119">
        <f>IF(OR(t&lt;Tnet,NoTnet),'2027'!Resal_s+('2027'!Salim-'2027'!Resal_s)*(1-EXP(('2027'!Tnet_s-t)/'2027'!Tau_j)),Resal_s+(Salim-Resal_s)*(1-EXP((Tnet_s-t)/Tau_j)))*Salcycl</f>
        <v>5.2259232496194845E-2</v>
      </c>
      <c r="AD189" s="230">
        <f>(INDEX(Models!$BJ189:$BT189,,AH189)*(1-AF189)+INDEX(Models!$BJ189:$BT189,,AH189+1)*AF189-ERP_i)*AE189*Ramure*Pc/MaxiM</f>
        <v>0</v>
      </c>
      <c r="AE189" s="304">
        <f t="shared" si="65"/>
        <v>0.6</v>
      </c>
      <c r="AF189" s="177">
        <f t="shared" si="66"/>
        <v>0.31896469232326918</v>
      </c>
      <c r="AG189" s="799">
        <f t="shared" si="74"/>
        <v>3</v>
      </c>
      <c r="AH189" s="176">
        <f t="shared" si="67"/>
        <v>9</v>
      </c>
      <c r="AI189" s="224">
        <f t="shared" si="68"/>
        <v>3.3189646923232692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46928</v>
      </c>
      <c r="B190" s="409">
        <f>IF(t&gt;Tmaj,'2027'!Wh/'2027'!Env_an*'2028'!Env_an,0.001*'[8]mon-tableau'!$B$259)</f>
        <v>37.1426973035571</v>
      </c>
      <c r="C190" s="829"/>
      <c r="D190" s="391">
        <f t="shared" si="50"/>
        <v>39.667860708893564</v>
      </c>
      <c r="E190" s="383">
        <f t="shared" si="75"/>
        <v>40.323438774937273</v>
      </c>
      <c r="F190" s="383">
        <f t="shared" si="51"/>
        <v>40.323438774937273</v>
      </c>
      <c r="G190" s="110">
        <f t="shared" si="76"/>
        <v>0.6508346787641327</v>
      </c>
      <c r="H190" s="412" t="b">
        <f>Wh_hp&gt;='2027'!Maxi_hp</f>
        <v>0</v>
      </c>
      <c r="I190" s="388">
        <f>IF(H190,Wh_hp,'2027'!Maxi_hp)</f>
        <v>60.963352971258608</v>
      </c>
      <c r="J190" s="85">
        <f>IF(H190,An,'2027'!An_max)</f>
        <v>2020</v>
      </c>
      <c r="K190" s="197">
        <f t="shared" si="52"/>
        <v>46928</v>
      </c>
      <c r="L190" s="147">
        <f>IF(t&lt;Tvie,1-EXP((T0-t)*PertePVj)+'2027'!Pspv,1-EXP((T0-t)*PertePVj)+Pspv)</f>
        <v>6.3657665430148058E-2</v>
      </c>
      <c r="M190" s="832"/>
      <c r="N190" s="832"/>
      <c r="O190" s="48">
        <f>IF(t&lt;Tnet,'2027'!Resal+('2027'!Salim-'2027'!Resal)*(1-EXP(('2027'!Tnet-t)/('2027'!Tau_j))),Resal+(Salim-Resal)*(1-EXP((Tnet-t)/(Tau_j))))*Salcycl</f>
        <v>1.6257990041543238E-2</v>
      </c>
      <c r="P190" s="169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0.79869177334026653</v>
      </c>
      <c r="S190" s="799">
        <f t="shared" si="55"/>
        <v>-1</v>
      </c>
      <c r="T190" s="176">
        <f t="shared" si="56"/>
        <v>5</v>
      </c>
      <c r="U190" s="250">
        <f t="shared" si="57"/>
        <v>-0.20130822665973352</v>
      </c>
      <c r="V190" s="382">
        <f t="shared" si="58"/>
        <v>57.069327304573285</v>
      </c>
      <c r="W190" s="400">
        <f t="shared" si="59"/>
        <v>37.1426973035571</v>
      </c>
      <c r="X190" s="157">
        <f t="shared" si="60"/>
        <v>46928</v>
      </c>
      <c r="Y190" s="383">
        <f t="shared" si="61"/>
        <v>35.779713948112807</v>
      </c>
      <c r="Z190" s="383">
        <f t="shared" si="62"/>
        <v>38.212214301460286</v>
      </c>
      <c r="AA190" s="384">
        <f t="shared" si="63"/>
        <v>40.323438774937273</v>
      </c>
      <c r="AB190" s="197">
        <f t="shared" si="64"/>
        <v>46928</v>
      </c>
      <c r="AC190" s="119">
        <f>IF(OR(t&lt;Tnet,NoTnet),'2027'!Resal_s+('2027'!Salim-'2027'!Resal_s)*(1-EXP(('2027'!Tnet_s-t)/'2027'!Tau_j)),Resal_s+(Salim-Resal_s)*(1-EXP((Tnet_s-t)/Tau_j)))*Salcycl</f>
        <v>5.2357252695154649E-2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0.32367933971424501</v>
      </c>
      <c r="AG190" s="799">
        <f t="shared" si="74"/>
        <v>3</v>
      </c>
      <c r="AH190" s="176">
        <f t="shared" si="67"/>
        <v>9</v>
      </c>
      <c r="AI190" s="224">
        <f t="shared" si="68"/>
        <v>3.323679339714245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46929</v>
      </c>
      <c r="B191" s="409">
        <f>IF(t&gt;Tmaj,'2027'!Wh/'2027'!Env_an*'2028'!Env_an,0.001*'[8]mon-tableau'!$B$260)</f>
        <v>12.03538404172031</v>
      </c>
      <c r="C191" s="829"/>
      <c r="D191" s="391">
        <f t="shared" si="50"/>
        <v>12.853861517496549</v>
      </c>
      <c r="E191" s="383">
        <f t="shared" si="75"/>
        <v>13.067968648996214</v>
      </c>
      <c r="F191" s="383">
        <f t="shared" si="51"/>
        <v>13.067968648996214</v>
      </c>
      <c r="G191" s="110">
        <f t="shared" si="76"/>
        <v>0.21116648786525158</v>
      </c>
      <c r="H191" s="412" t="b">
        <f>Wh_hp&gt;='2027'!Maxi_hp</f>
        <v>0</v>
      </c>
      <c r="I191" s="388">
        <f>IF(H191,Wh_hp,'2027'!Maxi_hp)</f>
        <v>60.568355603676984</v>
      </c>
      <c r="J191" s="85">
        <f>IF(H191,An,'2027'!An_max)</f>
        <v>2018</v>
      </c>
      <c r="K191" s="197">
        <f t="shared" si="52"/>
        <v>46929</v>
      </c>
      <c r="L191" s="147">
        <f>IF(t&lt;Tvie,1-EXP((T0-t)*PertePVj)+'2027'!Pspv,1-EXP((T0-t)*PertePVj)+Pspv)</f>
        <v>6.3675610217376E-2</v>
      </c>
      <c r="M191" s="832"/>
      <c r="N191" s="832"/>
      <c r="O191" s="48">
        <f>IF(t&lt;Tnet,'2027'!Resal+('2027'!Salim-'2027'!Resal)*(1-EXP(('2027'!Tnet-t)/('2027'!Tau_j))),Resal+(Salim-Resal)*(1-EXP((Tnet-t)/(Tau_j))))*Salcycl</f>
        <v>1.6384117321563328E-2</v>
      </c>
      <c r="P191" s="169">
        <f>(INDEX(Models!$BJ191:$BT191,,T191)*(1-R191)+INDEX(Models!$BJ191:$BT191,,T191+1)*R191-ERP_i)*Q191*Ramure*Pc/MaxiM</f>
        <v>0</v>
      </c>
      <c r="Q191" s="304">
        <f t="shared" si="53"/>
        <v>0.6</v>
      </c>
      <c r="R191" s="177">
        <f t="shared" si="54"/>
        <v>0.80334888568109875</v>
      </c>
      <c r="S191" s="799">
        <f t="shared" si="55"/>
        <v>-1</v>
      </c>
      <c r="T191" s="176">
        <f t="shared" si="56"/>
        <v>5</v>
      </c>
      <c r="U191" s="250">
        <f t="shared" si="57"/>
        <v>-0.19665111431890125</v>
      </c>
      <c r="V191" s="382">
        <f t="shared" si="58"/>
        <v>56.994763531798021</v>
      </c>
      <c r="W191" s="400">
        <f t="shared" si="59"/>
        <v>12.03538404172031</v>
      </c>
      <c r="X191" s="157">
        <f t="shared" si="60"/>
        <v>46929</v>
      </c>
      <c r="Y191" s="383">
        <f t="shared" si="61"/>
        <v>11.594033601372356</v>
      </c>
      <c r="Z191" s="383">
        <f t="shared" si="62"/>
        <v>12.382496630322759</v>
      </c>
      <c r="AA191" s="384">
        <f t="shared" si="63"/>
        <v>13.067968648996214</v>
      </c>
      <c r="AB191" s="197">
        <f t="shared" si="64"/>
        <v>46929</v>
      </c>
      <c r="AC191" s="119">
        <f>IF(OR(t&lt;Tnet,NoTnet),'2027'!Resal_s+('2027'!Salim-'2027'!Resal_s)*(1-EXP(('2027'!Tnet_s-t)/'2027'!Tau_j)),Resal_s+(Salim-Resal_s)*(1-EXP((Tnet_s-t)/Tau_j)))*Salcycl</f>
        <v>5.2454366633800251E-2</v>
      </c>
      <c r="AD191" s="230">
        <f>(INDEX(Models!$BJ191:$BT191,,AH191)*(1-AF191)+INDEX(Models!$BJ191:$BT191,,AH191+1)*AF191-ERP_i)*AE191*Ramure*Pc/MaxiM</f>
        <v>0</v>
      </c>
      <c r="AE191" s="304">
        <f t="shared" si="65"/>
        <v>0.6</v>
      </c>
      <c r="AF191" s="177">
        <f t="shared" si="66"/>
        <v>0.32833645205507711</v>
      </c>
      <c r="AG191" s="799">
        <f t="shared" si="74"/>
        <v>3</v>
      </c>
      <c r="AH191" s="176">
        <f t="shared" si="67"/>
        <v>9</v>
      </c>
      <c r="AI191" s="224">
        <f t="shared" si="68"/>
        <v>3.3283364520550771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46930</v>
      </c>
      <c r="B192" s="409">
        <f>IF(t&gt;Tmaj,'2027'!Wh/'2027'!Env_an*'2028'!Env_an,0.001*'[8]mon-tableau'!$B$261)</f>
        <v>14.82051028725652</v>
      </c>
      <c r="C192" s="829"/>
      <c r="D192" s="391">
        <f t="shared" si="50"/>
        <v>15.8286962148229</v>
      </c>
      <c r="E192" s="383">
        <f t="shared" si="75"/>
        <v>16.09441363034896</v>
      </c>
      <c r="F192" s="383">
        <f t="shared" si="51"/>
        <v>16.09441363034896</v>
      </c>
      <c r="G192" s="110">
        <f t="shared" si="76"/>
        <v>0.26038509339637556</v>
      </c>
      <c r="H192" s="412" t="b">
        <f>Wh_hp&gt;='2027'!Maxi_hp</f>
        <v>0</v>
      </c>
      <c r="I192" s="388">
        <f>IF(H192,Wh_hp,'2027'!Maxi_hp)</f>
        <v>60.063496146867578</v>
      </c>
      <c r="J192" s="85">
        <f>IF(H192,An,'2027'!An_max)</f>
        <v>2018</v>
      </c>
      <c r="K192" s="197">
        <f t="shared" si="52"/>
        <v>46930</v>
      </c>
      <c r="L192" s="147">
        <f>IF(t&lt;Tvie,1-EXP((T0-t)*PertePVj)+'2027'!Pspv,1-EXP((T0-t)*PertePVj)+Pspv)</f>
        <v>6.3693554660696372E-2</v>
      </c>
      <c r="M192" s="832"/>
      <c r="N192" s="832"/>
      <c r="O192" s="48">
        <f>IF(t&lt;Tnet,'2027'!Resal+('2027'!Salim-'2027'!Resal)*(1-EXP(('2027'!Tnet-t)/('2027'!Tau_j))),Resal+(Salim-Resal)*(1-EXP((Tnet-t)/(Tau_j))))*Salcycl</f>
        <v>1.6509915901813416E-2</v>
      </c>
      <c r="P192" s="169">
        <f>(INDEX(Models!$BJ192:$BT192,,T192)*(1-R192)+INDEX(Models!$BJ192:$BT192,,T192+1)*R192-ERP_i)*Q192*Ramure*Pc/MaxiM</f>
        <v>1.8201593705481603E-20</v>
      </c>
      <c r="Q192" s="304">
        <f t="shared" si="53"/>
        <v>0.6</v>
      </c>
      <c r="R192" s="177">
        <f t="shared" si="54"/>
        <v>0.80794565109881589</v>
      </c>
      <c r="S192" s="799">
        <f t="shared" si="55"/>
        <v>-1</v>
      </c>
      <c r="T192" s="176">
        <f t="shared" si="56"/>
        <v>5</v>
      </c>
      <c r="U192" s="250">
        <f t="shared" si="57"/>
        <v>-0.19205434890118411</v>
      </c>
      <c r="V192" s="382">
        <f t="shared" si="58"/>
        <v>56.917660277486583</v>
      </c>
      <c r="W192" s="400">
        <f t="shared" si="59"/>
        <v>14.82051028725652</v>
      </c>
      <c r="X192" s="157">
        <f t="shared" si="60"/>
        <v>46930</v>
      </c>
      <c r="Y192" s="383">
        <f t="shared" si="61"/>
        <v>14.277402646681397</v>
      </c>
      <c r="Z192" s="383">
        <f t="shared" si="62"/>
        <v>15.248642917872338</v>
      </c>
      <c r="AA192" s="384">
        <f t="shared" si="63"/>
        <v>16.09441363034896</v>
      </c>
      <c r="AB192" s="197">
        <f t="shared" si="64"/>
        <v>46930</v>
      </c>
      <c r="AC192" s="119">
        <f>IF(OR(t&lt;Tnet,NoTnet),'2027'!Resal_s+('2027'!Salim-'2027'!Resal_s)*(1-EXP(('2027'!Tnet_s-t)/'2027'!Tau_j)),Resal_s+(Salim-Resal_s)*(1-EXP((Tnet_s-t)/Tau_j)))*Salcycl</f>
        <v>5.2550576361587061E-2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0.33293321747279414</v>
      </c>
      <c r="AG192" s="799">
        <f t="shared" si="74"/>
        <v>3</v>
      </c>
      <c r="AH192" s="176">
        <f t="shared" si="67"/>
        <v>9</v>
      </c>
      <c r="AI192" s="224">
        <f t="shared" si="68"/>
        <v>3.3329332174727941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46931</v>
      </c>
      <c r="B193" s="409">
        <f>IF(t&gt;Tmaj,'2027'!Wh/'2027'!Env_an*'2028'!Env_an,0.001*'[8]mon-tableau'!$B$262)</f>
        <v>56.875877915107047</v>
      </c>
      <c r="C193" s="829"/>
      <c r="D193" s="391">
        <f t="shared" si="50"/>
        <v>60.746103193394866</v>
      </c>
      <c r="E193" s="383">
        <f t="shared" si="75"/>
        <v>61.773732865744336</v>
      </c>
      <c r="F193" s="383">
        <f t="shared" si="51"/>
        <v>61.773732865744336</v>
      </c>
      <c r="G193" s="110">
        <f t="shared" si="76"/>
        <v>1.0006625966645875</v>
      </c>
      <c r="H193" s="412" t="b">
        <f>Wh_hp&gt;='2027'!Maxi_hp</f>
        <v>1</v>
      </c>
      <c r="I193" s="388">
        <f>IF(H193,Wh_hp,'2027'!Maxi_hp)</f>
        <v>61.773732865744336</v>
      </c>
      <c r="J193" s="85">
        <f>IF(H193,An,'2027'!An_max)</f>
        <v>2028</v>
      </c>
      <c r="K193" s="197">
        <f t="shared" si="52"/>
        <v>46931</v>
      </c>
      <c r="L193" s="147">
        <f>IF(t&lt;Tvie,1-EXP((T0-t)*PertePVj)+'2027'!Pspv,1-EXP((T0-t)*PertePVj)+Pspv)</f>
        <v>6.3711498760115393E-2</v>
      </c>
      <c r="M193" s="832"/>
      <c r="N193" s="832"/>
      <c r="O193" s="48">
        <f>IF(t&lt;Tnet,'2027'!Resal+('2027'!Salim-'2027'!Resal)*(1-EXP(('2027'!Tnet-t)/('2027'!Tau_j))),Resal+(Salim-Resal)*(1-EXP((Tnet-t)/(Tau_j))))*Salcycl</f>
        <v>1.663538246236251E-2</v>
      </c>
      <c r="P193" s="169">
        <f>(INDEX(Models!$BJ193:$BT193,,T193)*(1-R193)+INDEX(Models!$BJ193:$BT193,,T193+1)*R193-ERP_i)*Q193*Ramure*Pc/MaxiM</f>
        <v>1.8284779926067659E-20</v>
      </c>
      <c r="Q193" s="304">
        <f t="shared" si="53"/>
        <v>0.6</v>
      </c>
      <c r="R193" s="177">
        <f t="shared" si="54"/>
        <v>0.81247943062964545</v>
      </c>
      <c r="S193" s="799">
        <f t="shared" si="55"/>
        <v>-1</v>
      </c>
      <c r="T193" s="176">
        <f t="shared" si="56"/>
        <v>5</v>
      </c>
      <c r="U193" s="250">
        <f t="shared" si="57"/>
        <v>-0.18752056937035461</v>
      </c>
      <c r="V193" s="382">
        <f t="shared" si="58"/>
        <v>56.838217102034143</v>
      </c>
      <c r="W193" s="400">
        <f t="shared" si="59"/>
        <v>56.875877915107047</v>
      </c>
      <c r="X193" s="157">
        <f t="shared" si="60"/>
        <v>46931</v>
      </c>
      <c r="Y193" s="383">
        <f t="shared" si="61"/>
        <v>54.793101108374444</v>
      </c>
      <c r="Z193" s="383">
        <f t="shared" si="62"/>
        <v>58.52159995109885</v>
      </c>
      <c r="AA193" s="384">
        <f t="shared" si="63"/>
        <v>61.773732865744336</v>
      </c>
      <c r="AB193" s="197">
        <f t="shared" si="64"/>
        <v>46931</v>
      </c>
      <c r="AC193" s="119">
        <f>IF(OR(t&lt;Tnet,NoTnet),'2027'!Resal_s+('2027'!Salim-'2027'!Resal_s)*(1-EXP(('2027'!Tnet_s-t)/'2027'!Tau_j)),Resal_s+(Salim-Resal_s)*(1-EXP((Tnet_s-t)/Tau_j)))*Salcycl</f>
        <v>5.2645886265502186E-2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0.3374669970036237</v>
      </c>
      <c r="AG193" s="799">
        <f t="shared" si="74"/>
        <v>3</v>
      </c>
      <c r="AH193" s="176">
        <f t="shared" si="67"/>
        <v>9</v>
      </c>
      <c r="AI193" s="224">
        <f t="shared" si="68"/>
        <v>3.3374669970036237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46932</v>
      </c>
      <c r="B194" s="409">
        <f>IF(t&gt;Tmaj,'2027'!Wh/'2027'!Env_an*'2028'!Env_an,0.001*'[8]mon-tableau'!$B$263)</f>
        <v>56.418336620394868</v>
      </c>
      <c r="C194" s="829"/>
      <c r="D194" s="391">
        <f t="shared" si="50"/>
        <v>60.258582489215257</v>
      </c>
      <c r="E194" s="383">
        <f t="shared" si="75"/>
        <v>61.28576341390837</v>
      </c>
      <c r="F194" s="383">
        <f t="shared" si="51"/>
        <v>61.28576341390837</v>
      </c>
      <c r="G194" s="110">
        <f t="shared" si="76"/>
        <v>0.99403951999911411</v>
      </c>
      <c r="H194" s="412" t="b">
        <f>Wh_hp&gt;='2027'!Maxi_hp</f>
        <v>1</v>
      </c>
      <c r="I194" s="388">
        <f>IF(H194,Wh_hp,'2027'!Maxi_hp)</f>
        <v>61.28576341390837</v>
      </c>
      <c r="J194" s="85">
        <f>IF(H194,An,'2027'!An_max)</f>
        <v>2028</v>
      </c>
      <c r="K194" s="197">
        <f t="shared" si="52"/>
        <v>46932</v>
      </c>
      <c r="L194" s="147">
        <f>IF(t&lt;Tvie,1-EXP((T0-t)*PertePVj)+'2027'!Pspv,1-EXP((T0-t)*PertePVj)+Pspv)</f>
        <v>6.3729442515639945E-2</v>
      </c>
      <c r="M194" s="832"/>
      <c r="N194" s="832"/>
      <c r="O194" s="48">
        <f>IF(t&lt;Tnet,'2027'!Resal+('2027'!Salim-'2027'!Resal)*(1-EXP(('2027'!Tnet-t)/('2027'!Tau_j))),Resal+(Salim-Resal)*(1-EXP((Tnet-t)/(Tau_j))))*Salcycl</f>
        <v>1.6760514473088902E-2</v>
      </c>
      <c r="P194" s="169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0.81694776196141772</v>
      </c>
      <c r="S194" s="799">
        <f t="shared" si="55"/>
        <v>-1</v>
      </c>
      <c r="T194" s="176">
        <f t="shared" si="56"/>
        <v>5</v>
      </c>
      <c r="U194" s="250">
        <f t="shared" si="57"/>
        <v>-0.18305223803858228</v>
      </c>
      <c r="V194" s="382">
        <f t="shared" si="58"/>
        <v>56.756633398685338</v>
      </c>
      <c r="W194" s="400">
        <f t="shared" si="59"/>
        <v>56.418336620394868</v>
      </c>
      <c r="X194" s="157">
        <f t="shared" si="60"/>
        <v>46932</v>
      </c>
      <c r="Y194" s="383">
        <f t="shared" si="61"/>
        <v>54.353814344543352</v>
      </c>
      <c r="Z194" s="383">
        <f t="shared" si="62"/>
        <v>58.053533682171036</v>
      </c>
      <c r="AA194" s="384">
        <f t="shared" si="63"/>
        <v>61.28576341390837</v>
      </c>
      <c r="AB194" s="197">
        <f t="shared" si="64"/>
        <v>46932</v>
      </c>
      <c r="AC194" s="119">
        <f>IF(OR(t&lt;Tnet,NoTnet),'2027'!Resal_s+('2027'!Salim-'2027'!Resal_s)*(1-EXP(('2027'!Tnet_s-t)/'2027'!Tau_j)),Resal_s+(Salim-Resal_s)*(1-EXP((Tnet_s-t)/Tau_j)))*Salcycl</f>
        <v>5.2740302995129204E-2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0.34193532833539608</v>
      </c>
      <c r="AG194" s="799">
        <f t="shared" si="74"/>
        <v>3</v>
      </c>
      <c r="AH194" s="176">
        <f t="shared" si="67"/>
        <v>9</v>
      </c>
      <c r="AI194" s="224">
        <f t="shared" si="68"/>
        <v>3.3419353283353961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46933</v>
      </c>
      <c r="B195" s="409">
        <f>IF(t&gt;Tmaj,'2027'!Wh/'2027'!Env_an*'2028'!Env_an,0.001*'[8]mon-tableau'!$B$264)</f>
        <v>13.880452635229926</v>
      </c>
      <c r="C195" s="829"/>
      <c r="D195" s="391">
        <f t="shared" si="50"/>
        <v>14.825542195123591</v>
      </c>
      <c r="E195" s="383">
        <f t="shared" si="75"/>
        <v>15.080175638429731</v>
      </c>
      <c r="F195" s="383">
        <f t="shared" si="51"/>
        <v>15.080175638429731</v>
      </c>
      <c r="G195" s="110">
        <f t="shared" si="76"/>
        <v>0.24492132210197962</v>
      </c>
      <c r="H195" s="412" t="b">
        <f>Wh_hp&gt;='2027'!Maxi_hp</f>
        <v>0</v>
      </c>
      <c r="I195" s="388">
        <f>IF(H195,Wh_hp,'2027'!Maxi_hp)</f>
        <v>48.567329624942467</v>
      </c>
      <c r="J195" s="85">
        <f>IF(H195,An,'2027'!An_max)</f>
        <v>2018</v>
      </c>
      <c r="K195" s="197">
        <f t="shared" si="52"/>
        <v>46933</v>
      </c>
      <c r="L195" s="147">
        <f>IF(t&lt;Tvie,1-EXP((T0-t)*PertePVj)+'2027'!Pspv,1-EXP((T0-t)*PertePVj)+Pspv)</f>
        <v>6.3747385927276468E-2</v>
      </c>
      <c r="M195" s="832"/>
      <c r="N195" s="832"/>
      <c r="O195" s="48">
        <f>IF(t&lt;Tnet,'2027'!Resal+('2027'!Salim-'2027'!Resal)*(1-EXP(('2027'!Tnet-t)/('2027'!Tau_j))),Resal+(Salim-Resal)*(1-EXP((Tnet-t)/(Tau_j))))*Salcycl</f>
        <v>1.6885310185462458E-2</v>
      </c>
      <c r="P195" s="169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0.82134836220697327</v>
      </c>
      <c r="S195" s="799">
        <f t="shared" si="55"/>
        <v>-1</v>
      </c>
      <c r="T195" s="176">
        <f t="shared" si="56"/>
        <v>5</v>
      </c>
      <c r="U195" s="250">
        <f t="shared" si="57"/>
        <v>-0.17865163779302667</v>
      </c>
      <c r="V195" s="382">
        <f t="shared" si="58"/>
        <v>56.673108392949239</v>
      </c>
      <c r="W195" s="400">
        <f t="shared" si="59"/>
        <v>13.880452635229926</v>
      </c>
      <c r="X195" s="157">
        <f t="shared" si="60"/>
        <v>46933</v>
      </c>
      <c r="Y195" s="383">
        <f t="shared" si="61"/>
        <v>13.372900661511824</v>
      </c>
      <c r="Z195" s="383">
        <f t="shared" si="62"/>
        <v>14.283432121315373</v>
      </c>
      <c r="AA195" s="384">
        <f t="shared" si="63"/>
        <v>15.080175638429731</v>
      </c>
      <c r="AB195" s="197">
        <f t="shared" si="64"/>
        <v>46933</v>
      </c>
      <c r="AC195" s="119">
        <f>IF(OR(t&lt;Tnet,NoTnet),'2027'!Resal_s+('2027'!Salim-'2027'!Resal_s)*(1-EXP(('2027'!Tnet_s-t)/'2027'!Tau_j)),Resal_s+(Salim-Resal_s)*(1-EXP((Tnet_s-t)/Tau_j)))*Salcycl</f>
        <v>5.2833835375495686E-2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0.34633592858095197</v>
      </c>
      <c r="AG195" s="799">
        <f t="shared" si="74"/>
        <v>3</v>
      </c>
      <c r="AH195" s="176">
        <f t="shared" si="67"/>
        <v>9</v>
      </c>
      <c r="AI195" s="224">
        <f t="shared" si="68"/>
        <v>3.346335928580952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46934</v>
      </c>
      <c r="B196" s="409">
        <f>IF(t&gt;Tmaj,'2027'!Wh/'2027'!Env_an*'2028'!Env_an,0.001*[9]mois!$B$242)</f>
        <v>47.151709177875411</v>
      </c>
      <c r="C196" s="829"/>
      <c r="D196" s="391">
        <f t="shared" si="50"/>
        <v>50.363130781369222</v>
      </c>
      <c r="E196" s="383">
        <f t="shared" si="75"/>
        <v>51.234619809636136</v>
      </c>
      <c r="F196" s="383">
        <f t="shared" si="51"/>
        <v>51.234619809636136</v>
      </c>
      <c r="G196" s="110">
        <f t="shared" si="76"/>
        <v>0.83324806571576493</v>
      </c>
      <c r="H196" s="412" t="b">
        <f>Wh_hp&gt;='2027'!Maxi_hp</f>
        <v>0</v>
      </c>
      <c r="I196" s="388">
        <f>IF(H196,Wh_hp,'2027'!Maxi_hp)</f>
        <v>60.829668831248355</v>
      </c>
      <c r="J196" s="85">
        <f>IF(H196,An,'2027'!An_max)</f>
        <v>2020</v>
      </c>
      <c r="K196" s="197">
        <f t="shared" si="52"/>
        <v>46934</v>
      </c>
      <c r="L196" s="147">
        <f>IF(t&lt;Tvie,1-EXP((T0-t)*PertePVj)+'2027'!Pspv,1-EXP((T0-t)*PertePVj)+Pspv)</f>
        <v>6.3765328995031623E-2</v>
      </c>
      <c r="M196" s="832"/>
      <c r="N196" s="832"/>
      <c r="O196" s="48">
        <f>IF(t&lt;Tnet,'2027'!Resal+('2027'!Salim-'2027'!Resal)*(1-EXP(('2027'!Tnet-t)/('2027'!Tau_j))),Resal+(Salim-Resal)*(1-EXP((Tnet-t)/(Tau_j))))*Salcycl</f>
        <v>1.7009768619440441E-2</v>
      </c>
      <c r="P196" s="169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0.82567912972791624</v>
      </c>
      <c r="S196" s="799">
        <f t="shared" si="55"/>
        <v>-1</v>
      </c>
      <c r="T196" s="176">
        <f t="shared" si="56"/>
        <v>5</v>
      </c>
      <c r="U196" s="250">
        <f t="shared" si="57"/>
        <v>-0.17432087027208382</v>
      </c>
      <c r="V196" s="382">
        <f t="shared" si="58"/>
        <v>56.587841145927918</v>
      </c>
      <c r="W196" s="400">
        <f t="shared" si="59"/>
        <v>47.151709177875411</v>
      </c>
      <c r="X196" s="157">
        <f t="shared" si="60"/>
        <v>46934</v>
      </c>
      <c r="Y196" s="383">
        <f t="shared" si="61"/>
        <v>45.428869061826255</v>
      </c>
      <c r="Z196" s="383">
        <f t="shared" si="62"/>
        <v>48.522950995888905</v>
      </c>
      <c r="AA196" s="384">
        <f t="shared" si="63"/>
        <v>51.234619809636136</v>
      </c>
      <c r="AB196" s="197">
        <f t="shared" si="64"/>
        <v>46934</v>
      </c>
      <c r="AC196" s="119">
        <f>IF(OR(t&lt;Tnet,NoTnet),'2027'!Resal_s+('2027'!Salim-'2027'!Resal_s)*(1-EXP(('2027'!Tnet_s-t)/'2027'!Tau_j)),Resal_s+(Salim-Resal_s)*(1-EXP((Tnet_s-t)/Tau_j)))*Salcycl</f>
        <v>5.2926494308390012E-2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0.35066669610189471</v>
      </c>
      <c r="AG196" s="799">
        <f t="shared" si="74"/>
        <v>3</v>
      </c>
      <c r="AH196" s="176">
        <f t="shared" si="67"/>
        <v>9</v>
      </c>
      <c r="AI196" s="224">
        <f t="shared" si="68"/>
        <v>3.3506666961018947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46935</v>
      </c>
      <c r="B197" s="409">
        <f>IF(t&gt;Tmaj,'2027'!Wh/'2027'!Env_an*'2028'!Env_an,0.001*[9]mois!$B$243)</f>
        <v>34.484178041683897</v>
      </c>
      <c r="C197" s="829"/>
      <c r="D197" s="391">
        <f t="shared" si="50"/>
        <v>36.833541849863664</v>
      </c>
      <c r="E197" s="383">
        <f t="shared" si="75"/>
        <v>37.475645419125073</v>
      </c>
      <c r="F197" s="383">
        <f t="shared" si="51"/>
        <v>37.475645419125073</v>
      </c>
      <c r="G197" s="110">
        <f t="shared" si="76"/>
        <v>0.61032830202047472</v>
      </c>
      <c r="H197" s="412" t="b">
        <f>Wh_hp&gt;='2027'!Maxi_hp</f>
        <v>0</v>
      </c>
      <c r="I197" s="388">
        <f>IF(H197,Wh_hp,'2027'!Maxi_hp)</f>
        <v>55.982473400012779</v>
      </c>
      <c r="J197" s="85">
        <f>IF(H197,An,'2027'!An_max)</f>
        <v>2021</v>
      </c>
      <c r="K197" s="197">
        <f t="shared" si="52"/>
        <v>46935</v>
      </c>
      <c r="L197" s="147">
        <f>IF(t&lt;Tvie,1-EXP((T0-t)*PertePVj)+'2027'!Pspv,1-EXP((T0-t)*PertePVj)+Pspv)</f>
        <v>6.378327171891196E-2</v>
      </c>
      <c r="M197" s="832"/>
      <c r="N197" s="832"/>
      <c r="O197" s="48">
        <f>IF(t&lt;Tnet,'2027'!Resal+('2027'!Salim-'2027'!Resal)*(1-EXP(('2027'!Tnet-t)/('2027'!Tau_j))),Resal+(Salim-Resal)*(1-EXP((Tnet-t)/(Tau_j))))*Salcycl</f>
        <v>1.7133889545601317E-2</v>
      </c>
      <c r="P197" s="169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0.82993814503557684</v>
      </c>
      <c r="S197" s="799">
        <f t="shared" si="55"/>
        <v>-1</v>
      </c>
      <c r="T197" s="176">
        <f t="shared" si="56"/>
        <v>5</v>
      </c>
      <c r="U197" s="250">
        <f t="shared" si="57"/>
        <v>-0.17006185496442316</v>
      </c>
      <c r="V197" s="382">
        <f t="shared" si="58"/>
        <v>56.501030556054815</v>
      </c>
      <c r="W197" s="400">
        <f t="shared" si="59"/>
        <v>34.484178041683897</v>
      </c>
      <c r="X197" s="157">
        <f t="shared" si="60"/>
        <v>46935</v>
      </c>
      <c r="Y197" s="383">
        <f t="shared" si="61"/>
        <v>33.225162054811342</v>
      </c>
      <c r="Z197" s="383">
        <f t="shared" si="62"/>
        <v>35.488750682561914</v>
      </c>
      <c r="AA197" s="384">
        <f t="shared" si="63"/>
        <v>37.475645419125073</v>
      </c>
      <c r="AB197" s="197">
        <f t="shared" si="64"/>
        <v>46935</v>
      </c>
      <c r="AC197" s="119">
        <f>IF(OR(t&lt;Tnet,NoTnet),'2027'!Resal_s+('2027'!Salim-'2027'!Resal_s)*(1-EXP(('2027'!Tnet_s-t)/'2027'!Tau_j)),Resal_s+(Salim-Resal_s)*(1-EXP((Tnet_s-t)/Tau_j)))*Salcycl</f>
        <v>5.3018292662924536E-2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0.35492571140955542</v>
      </c>
      <c r="AG197" s="799">
        <f t="shared" si="74"/>
        <v>3</v>
      </c>
      <c r="AH197" s="176">
        <f t="shared" si="67"/>
        <v>9</v>
      </c>
      <c r="AI197" s="224">
        <f t="shared" si="68"/>
        <v>3.3549257114095554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46936</v>
      </c>
      <c r="B198" s="409">
        <f>IF(t&gt;Tmaj,'2027'!Wh/'2027'!Env_an*'2028'!Env_an,0.001*[9]mois!$B$244)</f>
        <v>49.001464910944442</v>
      </c>
      <c r="C198" s="829"/>
      <c r="D198" s="391">
        <f t="shared" si="50"/>
        <v>52.34087637037613</v>
      </c>
      <c r="E198" s="383">
        <f t="shared" si="75"/>
        <v>53.260020411249144</v>
      </c>
      <c r="F198" s="383">
        <f t="shared" si="51"/>
        <v>53.260020411249144</v>
      </c>
      <c r="G198" s="110">
        <f t="shared" si="76"/>
        <v>0.86862200511697962</v>
      </c>
      <c r="H198" s="412" t="b">
        <f>Wh_hp&gt;='2027'!Maxi_hp</f>
        <v>0</v>
      </c>
      <c r="I198" s="388">
        <f>IF(H198,Wh_hp,'2027'!Maxi_hp)</f>
        <v>53.260020411249151</v>
      </c>
      <c r="J198" s="85">
        <f>IF(H198,An,'2027'!An_max)</f>
        <v>2027</v>
      </c>
      <c r="K198" s="197">
        <f t="shared" si="52"/>
        <v>46936</v>
      </c>
      <c r="L198" s="147">
        <f>IF(t&lt;Tvie,1-EXP((T0-t)*PertePVj)+'2027'!Pspv,1-EXP((T0-t)*PertePVj)+Pspv)</f>
        <v>6.3801214098924142E-2</v>
      </c>
      <c r="M198" s="832"/>
      <c r="N198" s="832"/>
      <c r="O198" s="48">
        <f>IF(t&lt;Tnet,'2027'!Resal+('2027'!Salim-'2027'!Resal)*(1-EXP(('2027'!Tnet-t)/('2027'!Tau_j))),Resal+(Salim-Resal)*(1-EXP((Tnet-t)/(Tau_j))))*Salcycl</f>
        <v>1.7257673462680187E-2</v>
      </c>
      <c r="P198" s="169">
        <f>(INDEX(Models!$BJ198:$BT198,,T198)*(1-R198)+INDEX(Models!$BJ198:$BT198,,T198+1)*R198-ERP_i)*Q198*Ramure*Pc/MaxiM</f>
        <v>0</v>
      </c>
      <c r="Q198" s="304">
        <f t="shared" si="53"/>
        <v>0.6</v>
      </c>
      <c r="R198" s="177">
        <f t="shared" si="54"/>
        <v>0.83412367080287331</v>
      </c>
      <c r="S198" s="799">
        <f t="shared" si="55"/>
        <v>-1</v>
      </c>
      <c r="T198" s="176">
        <f t="shared" si="56"/>
        <v>5</v>
      </c>
      <c r="U198" s="250">
        <f t="shared" si="57"/>
        <v>-0.16587632919712669</v>
      </c>
      <c r="V198" s="382">
        <f t="shared" si="58"/>
        <v>56.412875361527689</v>
      </c>
      <c r="W198" s="400">
        <f t="shared" si="59"/>
        <v>49.001464910944442</v>
      </c>
      <c r="X198" s="157">
        <f t="shared" si="60"/>
        <v>46936</v>
      </c>
      <c r="Y198" s="383">
        <f t="shared" si="61"/>
        <v>47.213835046122739</v>
      </c>
      <c r="Z198" s="383">
        <f t="shared" si="62"/>
        <v>50.431420930203622</v>
      </c>
      <c r="AA198" s="384">
        <f t="shared" si="63"/>
        <v>53.260020411249144</v>
      </c>
      <c r="AB198" s="197">
        <f t="shared" si="64"/>
        <v>46936</v>
      </c>
      <c r="AC198" s="119">
        <f>IF(OR(t&lt;Tnet,NoTnet),'2027'!Resal_s+('2027'!Salim-'2027'!Resal_s)*(1-EXP(('2027'!Tnet_s-t)/'2027'!Tau_j)),Resal_s+(Salim-Resal_s)*(1-EXP((Tnet_s-t)/Tau_j)))*Salcycl</f>
        <v>5.3109245156205229E-2</v>
      </c>
      <c r="AD198" s="230">
        <f>(INDEX(Models!$BJ198:$BT198,,AH198)*(1-AF198)+INDEX(Models!$BJ198:$BT198,,AH198+1)*AF198-ERP_i)*AE198*Ramure*Pc/MaxiM</f>
        <v>0</v>
      </c>
      <c r="AE198" s="304">
        <f t="shared" si="65"/>
        <v>0.6</v>
      </c>
      <c r="AF198" s="177">
        <f t="shared" si="66"/>
        <v>0.35911123717685189</v>
      </c>
      <c r="AG198" s="799">
        <f t="shared" si="74"/>
        <v>3</v>
      </c>
      <c r="AH198" s="176">
        <f t="shared" si="67"/>
        <v>9</v>
      </c>
      <c r="AI198" s="224">
        <f t="shared" si="68"/>
        <v>3.3591112371768519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46937</v>
      </c>
      <c r="B199" s="409">
        <f>IF(t&gt;Tmaj,'2027'!Wh/'2027'!Env_an*'2028'!Env_an,0.001*[9]mois!$B$245)</f>
        <v>44.372823155692018</v>
      </c>
      <c r="C199" s="829"/>
      <c r="D199" s="391">
        <f t="shared" si="50"/>
        <v>47.397704670503011</v>
      </c>
      <c r="E199" s="383">
        <f t="shared" si="75"/>
        <v>48.236102227414882</v>
      </c>
      <c r="F199" s="383">
        <f t="shared" si="51"/>
        <v>48.236102227414882</v>
      </c>
      <c r="G199" s="110">
        <f t="shared" si="76"/>
        <v>0.78781973324448795</v>
      </c>
      <c r="H199" s="412" t="b">
        <f>Wh_hp&gt;='2027'!Maxi_hp</f>
        <v>0</v>
      </c>
      <c r="I199" s="388">
        <f>IF(H199,Wh_hp,'2027'!Maxi_hp)</f>
        <v>58.038793817867159</v>
      </c>
      <c r="J199" s="85">
        <f>IF(H199,An,'2027'!An_max)</f>
        <v>2018</v>
      </c>
      <c r="K199" s="197">
        <f t="shared" si="52"/>
        <v>46937</v>
      </c>
      <c r="L199" s="147">
        <f>IF(t&lt;Tvie,1-EXP((T0-t)*PertePVj)+'2027'!Pspv,1-EXP((T0-t)*PertePVj)+Pspv)</f>
        <v>6.3819156135074717E-2</v>
      </c>
      <c r="M199" s="832"/>
      <c r="N199" s="832"/>
      <c r="O199" s="48">
        <f>IF(t&lt;Tnet,'2027'!Resal+('2027'!Salim-'2027'!Resal)*(1-EXP(('2027'!Tnet-t)/('2027'!Tau_j))),Resal+(Salim-Resal)*(1-EXP((Tnet-t)/(Tau_j))))*Salcycl</f>
        <v>1.7381121570709489E-2</v>
      </c>
      <c r="P199" s="169">
        <f>(INDEX(Models!$BJ199:$BT199,,T199)*(1-R199)+INDEX(Models!$BJ199:$BT199,,T199+1)*R199-ERP_i)*Q199*Ramure*Pc/MaxiM</f>
        <v>0</v>
      </c>
      <c r="Q199" s="304">
        <f t="shared" si="53"/>
        <v>0.6</v>
      </c>
      <c r="R199" s="177">
        <f t="shared" si="54"/>
        <v>0.83823415102683041</v>
      </c>
      <c r="S199" s="799">
        <f t="shared" si="55"/>
        <v>-1</v>
      </c>
      <c r="T199" s="176">
        <f t="shared" si="56"/>
        <v>5</v>
      </c>
      <c r="U199" s="250">
        <f t="shared" si="57"/>
        <v>-0.16176584897316959</v>
      </c>
      <c r="V199" s="382">
        <f t="shared" si="58"/>
        <v>56.323574141702267</v>
      </c>
      <c r="W199" s="400">
        <f t="shared" si="59"/>
        <v>44.372823155692018</v>
      </c>
      <c r="X199" s="157">
        <f t="shared" si="60"/>
        <v>46937</v>
      </c>
      <c r="Y199" s="383">
        <f t="shared" si="61"/>
        <v>42.755352985486937</v>
      </c>
      <c r="Z199" s="383">
        <f t="shared" si="62"/>
        <v>45.669972063277761</v>
      </c>
      <c r="AA199" s="384">
        <f t="shared" si="63"/>
        <v>48.236102227414882</v>
      </c>
      <c r="AB199" s="197">
        <f t="shared" si="64"/>
        <v>46937</v>
      </c>
      <c r="AC199" s="119">
        <f>IF(OR(t&lt;Tnet,NoTnet),'2027'!Resal_s+('2027'!Salim-'2027'!Resal_s)*(1-EXP(('2027'!Tnet_s-t)/'2027'!Tau_j)),Resal_s+(Salim-Resal_s)*(1-EXP((Tnet_s-t)/Tau_j)))*Salcycl</f>
        <v>5.3199368225044265E-2</v>
      </c>
      <c r="AD199" s="230">
        <f>(INDEX(Models!$BJ199:$BT199,,AH199)*(1-AF199)+INDEX(Models!$BJ199:$BT199,,AH199+1)*AF199-ERP_i)*AE199*Ramure*Pc/MaxiM</f>
        <v>0</v>
      </c>
      <c r="AE199" s="304">
        <f t="shared" si="65"/>
        <v>0.6</v>
      </c>
      <c r="AF199" s="177">
        <f t="shared" si="66"/>
        <v>0.36322171740080877</v>
      </c>
      <c r="AG199" s="799">
        <f t="shared" si="74"/>
        <v>3</v>
      </c>
      <c r="AH199" s="176">
        <f t="shared" si="67"/>
        <v>9</v>
      </c>
      <c r="AI199" s="224">
        <f t="shared" si="68"/>
        <v>3.3632217174008088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46938</v>
      </c>
      <c r="B200" s="409">
        <f>IF(t&gt;Tmaj,'2027'!Wh/'2027'!Env_an*'2028'!Env_an,0.001*[9]mois!$B$246)</f>
        <v>55.313971923725447</v>
      </c>
      <c r="C200" s="829"/>
      <c r="D200" s="391">
        <f t="shared" si="50"/>
        <v>59.085840504204754</v>
      </c>
      <c r="E200" s="383">
        <f t="shared" si="75"/>
        <v>60.138519323498087</v>
      </c>
      <c r="F200" s="383">
        <f t="shared" si="51"/>
        <v>60.138519323498087</v>
      </c>
      <c r="G200" s="110">
        <f t="shared" si="76"/>
        <v>0.98365109316285038</v>
      </c>
      <c r="H200" s="412" t="b">
        <f>Wh_hp&gt;='2027'!Maxi_hp</f>
        <v>1</v>
      </c>
      <c r="I200" s="388">
        <f>IF(H200,Wh_hp,'2027'!Maxi_hp)</f>
        <v>60.138519323498087</v>
      </c>
      <c r="J200" s="85">
        <f>IF(H200,An,'2027'!An_max)</f>
        <v>2028</v>
      </c>
      <c r="K200" s="197">
        <f t="shared" si="52"/>
        <v>46938</v>
      </c>
      <c r="L200" s="147">
        <f>IF(t&lt;Tvie,1-EXP((T0-t)*PertePVj)+'2027'!Pspv,1-EXP((T0-t)*PertePVj)+Pspv)</f>
        <v>6.3837097827370126E-2</v>
      </c>
      <c r="M200" s="832"/>
      <c r="N200" s="832"/>
      <c r="O200" s="48">
        <f>IF(t&lt;Tnet,'2027'!Resal+('2027'!Salim-'2027'!Resal)*(1-EXP(('2027'!Tnet-t)/('2027'!Tau_j))),Resal+(Salim-Resal)*(1-EXP((Tnet-t)/(Tau_j))))*Salcycl</f>
        <v>1.7504235740004544E-2</v>
      </c>
      <c r="P200" s="169">
        <f>(INDEX(Models!$BJ200:$BT200,,T200)*(1-R200)+INDEX(Models!$BJ200:$BT200,,T200+1)*R200-ERP_i)*Q200*Ramure*Pc/MaxiM</f>
        <v>0</v>
      </c>
      <c r="Q200" s="304">
        <f t="shared" si="53"/>
        <v>0.6</v>
      </c>
      <c r="R200" s="177">
        <f t="shared" si="54"/>
        <v>0.84226820938680425</v>
      </c>
      <c r="S200" s="799">
        <f t="shared" si="55"/>
        <v>-1</v>
      </c>
      <c r="T200" s="176">
        <f t="shared" si="56"/>
        <v>5</v>
      </c>
      <c r="U200" s="250">
        <f t="shared" si="57"/>
        <v>-0.15773179061319575</v>
      </c>
      <c r="V200" s="382">
        <f t="shared" si="58"/>
        <v>56.233325320533986</v>
      </c>
      <c r="W200" s="400">
        <f t="shared" si="59"/>
        <v>55.313971923725447</v>
      </c>
      <c r="X200" s="157">
        <f t="shared" si="60"/>
        <v>46938</v>
      </c>
      <c r="Y200" s="383">
        <f t="shared" si="61"/>
        <v>53.299327371548422</v>
      </c>
      <c r="Z200" s="383">
        <f t="shared" si="62"/>
        <v>56.933817018226542</v>
      </c>
      <c r="AA200" s="384">
        <f t="shared" si="63"/>
        <v>60.138519323498087</v>
      </c>
      <c r="AB200" s="197">
        <f t="shared" si="64"/>
        <v>46938</v>
      </c>
      <c r="AC200" s="119">
        <f>IF(OR(t&lt;Tnet,NoTnet),'2027'!Resal_s+('2027'!Salim-'2027'!Resal_s)*(1-EXP(('2027'!Tnet_s-t)/'2027'!Tau_j)),Resal_s+(Salim-Resal_s)*(1-EXP((Tnet_s-t)/Tau_j)))*Salcycl</f>
        <v>5.3288679889718638E-2</v>
      </c>
      <c r="AD200" s="230">
        <f>(INDEX(Models!$BJ200:$BT200,,AH200)*(1-AF200)+INDEX(Models!$BJ200:$BT200,,AH200+1)*AF200-ERP_i)*AE200*Ramure*Pc/MaxiM</f>
        <v>0</v>
      </c>
      <c r="AE200" s="304">
        <f t="shared" si="65"/>
        <v>0.6</v>
      </c>
      <c r="AF200" s="177">
        <f t="shared" si="66"/>
        <v>0.36725577576078283</v>
      </c>
      <c r="AG200" s="799">
        <f t="shared" si="74"/>
        <v>3</v>
      </c>
      <c r="AH200" s="176">
        <f t="shared" si="67"/>
        <v>9</v>
      </c>
      <c r="AI200" s="224">
        <f t="shared" si="68"/>
        <v>3.3672557757607828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46939</v>
      </c>
      <c r="B201" s="409">
        <f>IF(t&gt;Tmaj,'2027'!Wh/'2027'!Env_an*'2028'!Env_an,0.001*[9]mois!$B$247)</f>
        <v>45.105692014543237</v>
      </c>
      <c r="C201" s="829"/>
      <c r="D201" s="391">
        <f t="shared" si="50"/>
        <v>48.182379761818247</v>
      </c>
      <c r="E201" s="383">
        <f t="shared" si="75"/>
        <v>49.046930919337704</v>
      </c>
      <c r="F201" s="383">
        <f t="shared" si="51"/>
        <v>49.046930919337704</v>
      </c>
      <c r="G201" s="110">
        <f t="shared" si="76"/>
        <v>0.80341685655393913</v>
      </c>
      <c r="H201" s="412" t="b">
        <f>Wh_hp&gt;='2027'!Maxi_hp</f>
        <v>0</v>
      </c>
      <c r="I201" s="388">
        <f>IF(H201,Wh_hp,'2027'!Maxi_hp)</f>
        <v>59.81714469792518</v>
      </c>
      <c r="J201" s="85">
        <f>IF(H201,An,'2027'!An_max)</f>
        <v>2020</v>
      </c>
      <c r="K201" s="197">
        <f t="shared" si="52"/>
        <v>46939</v>
      </c>
      <c r="L201" s="147">
        <f>IF(t&lt;Tvie,1-EXP((T0-t)*PertePVj)+'2027'!Pspv,1-EXP((T0-t)*PertePVj)+Pspv)</f>
        <v>6.3855039175817252E-2</v>
      </c>
      <c r="M201" s="832"/>
      <c r="N201" s="832"/>
      <c r="O201" s="48">
        <f>IF(t&lt;Tnet,'2027'!Resal+('2027'!Salim-'2027'!Resal)*(1-EXP(('2027'!Tnet-t)/('2027'!Tau_j))),Resal+(Salim-Resal)*(1-EXP((Tnet-t)/(Tau_j))))*Salcycl</f>
        <v>1.7627018476269064E-2</v>
      </c>
      <c r="P201" s="169">
        <f>(INDEX(Models!$BJ201:$BT201,,T201)*(1-R201)+INDEX(Models!$BJ201:$BT201,,T201+1)*R201-ERP_i)*Q201*Ramure*Pc/MaxiM</f>
        <v>0</v>
      </c>
      <c r="Q201" s="304">
        <f t="shared" si="53"/>
        <v>0.6</v>
      </c>
      <c r="R201" s="177">
        <f t="shared" si="54"/>
        <v>0.84622464684793042</v>
      </c>
      <c r="S201" s="799">
        <f t="shared" si="55"/>
        <v>-1</v>
      </c>
      <c r="T201" s="176">
        <f t="shared" si="56"/>
        <v>5</v>
      </c>
      <c r="U201" s="250">
        <f t="shared" si="57"/>
        <v>-0.15377535315206964</v>
      </c>
      <c r="V201" s="382">
        <f t="shared" si="58"/>
        <v>56.142327169998794</v>
      </c>
      <c r="W201" s="400">
        <f t="shared" si="59"/>
        <v>45.105692014543237</v>
      </c>
      <c r="X201" s="157">
        <f t="shared" si="60"/>
        <v>46939</v>
      </c>
      <c r="Y201" s="383">
        <f t="shared" si="61"/>
        <v>43.464221116983765</v>
      </c>
      <c r="Z201" s="383">
        <f t="shared" si="62"/>
        <v>46.428943097357305</v>
      </c>
      <c r="AA201" s="384">
        <f t="shared" si="63"/>
        <v>49.046930919337704</v>
      </c>
      <c r="AB201" s="197">
        <f t="shared" si="64"/>
        <v>46939</v>
      </c>
      <c r="AC201" s="119">
        <f>IF(OR(t&lt;Tnet,NoTnet),'2027'!Resal_s+('2027'!Salim-'2027'!Resal_s)*(1-EXP(('2027'!Tnet_s-t)/'2027'!Tau_j)),Resal_s+(Salim-Resal_s)*(1-EXP((Tnet_s-t)/Tau_j)))*Salcycl</f>
        <v>5.3377199610836555E-2</v>
      </c>
      <c r="AD201" s="230">
        <f>(INDEX(Models!$BJ201:$BT201,,AH201)*(1-AF201)+INDEX(Models!$BJ201:$BT201,,AH201+1)*AF201-ERP_i)*AE201*Ramure*Pc/MaxiM</f>
        <v>0</v>
      </c>
      <c r="AE201" s="304">
        <f t="shared" si="65"/>
        <v>0.6</v>
      </c>
      <c r="AF201" s="177">
        <f t="shared" si="66"/>
        <v>0.37121221322190889</v>
      </c>
      <c r="AG201" s="799">
        <f t="shared" si="74"/>
        <v>3</v>
      </c>
      <c r="AH201" s="176">
        <f t="shared" si="67"/>
        <v>9</v>
      </c>
      <c r="AI201" s="224">
        <f t="shared" si="68"/>
        <v>3.3712122132219089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46940</v>
      </c>
      <c r="B202" s="409">
        <f>IF(t&gt;Tmaj,'2027'!Wh/'2027'!Env_an*'2028'!Env_an,0.001*[9]mois!$B$248)</f>
        <v>55.003690530067388</v>
      </c>
      <c r="C202" s="829"/>
      <c r="D202" s="391">
        <f t="shared" si="50"/>
        <v>58.756653066875913</v>
      </c>
      <c r="E202" s="383">
        <f t="shared" si="75"/>
        <v>59.818398101836777</v>
      </c>
      <c r="F202" s="383">
        <f t="shared" si="51"/>
        <v>59.818398101836777</v>
      </c>
      <c r="G202" s="110">
        <f t="shared" si="76"/>
        <v>0.98131895178301898</v>
      </c>
      <c r="H202" s="412" t="b">
        <f>Wh_hp&gt;='2027'!Maxi_hp</f>
        <v>1</v>
      </c>
      <c r="I202" s="388">
        <f>IF(H202,Wh_hp,'2027'!Maxi_hp)</f>
        <v>59.818398101836777</v>
      </c>
      <c r="J202" s="85">
        <f>IF(H202,An,'2027'!An_max)</f>
        <v>2028</v>
      </c>
      <c r="K202" s="197">
        <f t="shared" si="52"/>
        <v>46940</v>
      </c>
      <c r="L202" s="147">
        <f>IF(t&lt;Tvie,1-EXP((T0-t)*PertePVj)+'2027'!Pspv,1-EXP((T0-t)*PertePVj)+Pspv)</f>
        <v>6.3872980180422423E-2</v>
      </c>
      <c r="M202" s="832"/>
      <c r="N202" s="832"/>
      <c r="O202" s="48">
        <f>IF(t&lt;Tnet,'2027'!Resal+('2027'!Salim-'2027'!Resal)*(1-EXP(('2027'!Tnet-t)/('2027'!Tau_j))),Resal+(Salim-Resal)*(1-EXP((Tnet-t)/(Tau_j))))*Salcycl</f>
        <v>1.7749472882127533E-2</v>
      </c>
      <c r="P202" s="169">
        <f>(INDEX(Models!$BJ202:$BT202,,T202)*(1-R202)+INDEX(Models!$BJ202:$BT202,,T202+1)*R202-ERP_i)*Q202*Ramure*Pc/MaxiM</f>
        <v>0</v>
      </c>
      <c r="Q202" s="304">
        <f t="shared" si="53"/>
        <v>0.6</v>
      </c>
      <c r="R202" s="177">
        <f t="shared" si="54"/>
        <v>0.85010243856296996</v>
      </c>
      <c r="S202" s="799">
        <f t="shared" si="55"/>
        <v>-1</v>
      </c>
      <c r="T202" s="176">
        <f t="shared" si="56"/>
        <v>5</v>
      </c>
      <c r="U202" s="250">
        <f t="shared" si="57"/>
        <v>-0.14989756143703004</v>
      </c>
      <c r="V202" s="382">
        <f t="shared" si="58"/>
        <v>56.050777812991171</v>
      </c>
      <c r="W202" s="400">
        <f t="shared" si="59"/>
        <v>55.003690530067388</v>
      </c>
      <c r="X202" s="157">
        <f t="shared" si="60"/>
        <v>46940</v>
      </c>
      <c r="Y202" s="383">
        <f t="shared" si="61"/>
        <v>53.003708963240769</v>
      </c>
      <c r="Z202" s="383">
        <f t="shared" si="62"/>
        <v>56.620210549478983</v>
      </c>
      <c r="AA202" s="384">
        <f t="shared" si="63"/>
        <v>59.818398101836777</v>
      </c>
      <c r="AB202" s="197">
        <f t="shared" si="64"/>
        <v>46940</v>
      </c>
      <c r="AC202" s="119">
        <f>IF(OR(t&lt;Tnet,NoTnet),'2027'!Resal_s+('2027'!Salim-'2027'!Resal_s)*(1-EXP(('2027'!Tnet_s-t)/'2027'!Tau_j)),Resal_s+(Salim-Resal_s)*(1-EXP((Tnet_s-t)/Tau_j)))*Salcycl</f>
        <v>5.3464948140421534E-2</v>
      </c>
      <c r="AD202" s="230">
        <f>(INDEX(Models!$BJ202:$BT202,,AH202)*(1-AF202)+INDEX(Models!$BJ202:$BT202,,AH202+1)*AF202-ERP_i)*AE202*Ramure*Pc/MaxiM</f>
        <v>0</v>
      </c>
      <c r="AE202" s="304">
        <f t="shared" si="65"/>
        <v>0.6</v>
      </c>
      <c r="AF202" s="177">
        <f t="shared" si="66"/>
        <v>0.37509000493694833</v>
      </c>
      <c r="AG202" s="799">
        <f t="shared" si="74"/>
        <v>3</v>
      </c>
      <c r="AH202" s="176">
        <f t="shared" si="67"/>
        <v>9</v>
      </c>
      <c r="AI202" s="224">
        <f t="shared" si="68"/>
        <v>3.3750900049369483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46941</v>
      </c>
      <c r="B203" s="409">
        <f>IF(t&gt;Tmaj,'2027'!Wh/'2027'!Env_an*'2028'!Env_an,0.001*[9]mois!$B$249)</f>
        <v>56.809705698577865</v>
      </c>
      <c r="C203" s="829"/>
      <c r="D203" s="391">
        <f t="shared" si="50"/>
        <v>60.687057698048775</v>
      </c>
      <c r="E203" s="383">
        <f t="shared" si="75"/>
        <v>61.791368480597036</v>
      </c>
      <c r="F203" s="383">
        <f t="shared" si="51"/>
        <v>61.791368480597036</v>
      </c>
      <c r="G203" s="110">
        <f t="shared" si="76"/>
        <v>1.0152045670878949</v>
      </c>
      <c r="H203" s="412" t="b">
        <f>Wh_hp&gt;='2027'!Maxi_hp</f>
        <v>0</v>
      </c>
      <c r="I203" s="388">
        <f>IF(H203,Wh_hp,'2027'!Maxi_hp)</f>
        <v>63.269155638139843</v>
      </c>
      <c r="J203" s="85">
        <f>IF(H203,An,'2027'!An_max)</f>
        <v>2020</v>
      </c>
      <c r="K203" s="197">
        <f t="shared" si="52"/>
        <v>46941</v>
      </c>
      <c r="L203" s="147">
        <f>IF(t&lt;Tvie,1-EXP((T0-t)*PertePVj)+'2027'!Pspv,1-EXP((T0-t)*PertePVj)+Pspv)</f>
        <v>6.3890920841192411E-2</v>
      </c>
      <c r="M203" s="832"/>
      <c r="N203" s="832"/>
      <c r="O203" s="48">
        <f>IF(t&lt;Tnet,'2027'!Resal+('2027'!Salim-'2027'!Resal)*(1-EXP(('2027'!Tnet-t)/('2027'!Tau_j))),Resal+(Salim-Resal)*(1-EXP((Tnet-t)/(Tau_j))))*Salcycl</f>
        <v>1.7871602615420611E-2</v>
      </c>
      <c r="P203" s="169">
        <f>(INDEX(Models!$BJ203:$BT203,,T203)*(1-R203)+INDEX(Models!$BJ203:$BT203,,T203+1)*R203-ERP_i)*Q203*Ramure*Pc/MaxiM</f>
        <v>0</v>
      </c>
      <c r="Q203" s="304">
        <f t="shared" si="53"/>
        <v>0.6</v>
      </c>
      <c r="R203" s="177">
        <f t="shared" si="54"/>
        <v>0.85390073012857237</v>
      </c>
      <c r="S203" s="799">
        <f t="shared" si="55"/>
        <v>-1</v>
      </c>
      <c r="T203" s="176">
        <f t="shared" si="56"/>
        <v>5</v>
      </c>
      <c r="U203" s="250">
        <f t="shared" si="57"/>
        <v>-0.14609926987142763</v>
      </c>
      <c r="V203" s="382">
        <f t="shared" si="58"/>
        <v>55.958875226040398</v>
      </c>
      <c r="W203" s="400">
        <f t="shared" si="59"/>
        <v>56.809705698577865</v>
      </c>
      <c r="X203" s="157">
        <f t="shared" si="60"/>
        <v>46941</v>
      </c>
      <c r="Y203" s="383">
        <f t="shared" si="61"/>
        <v>54.74583106666995</v>
      </c>
      <c r="Z203" s="383">
        <f t="shared" si="62"/>
        <v>58.482320367905025</v>
      </c>
      <c r="AA203" s="384">
        <f t="shared" si="63"/>
        <v>61.791368480597036</v>
      </c>
      <c r="AB203" s="197">
        <f t="shared" si="64"/>
        <v>46941</v>
      </c>
      <c r="AC203" s="119">
        <f>IF(OR(t&lt;Tnet,NoTnet),'2027'!Resal_s+('2027'!Salim-'2027'!Resal_s)*(1-EXP(('2027'!Tnet_s-t)/'2027'!Tau_j)),Resal_s+(Salim-Resal_s)*(1-EXP((Tnet_s-t)/Tau_j)))*Salcycl</f>
        <v>5.3551947368362218E-2</v>
      </c>
      <c r="AD203" s="230">
        <f>(INDEX(Models!$BJ203:$BT203,,AH203)*(1-AF203)+INDEX(Models!$BJ203:$BT203,,AH203+1)*AF203-ERP_i)*AE203*Ramure*Pc/MaxiM</f>
        <v>0</v>
      </c>
      <c r="AE203" s="304">
        <f t="shared" si="65"/>
        <v>0.6</v>
      </c>
      <c r="AF203" s="177">
        <f t="shared" si="66"/>
        <v>0.37888829650255085</v>
      </c>
      <c r="AG203" s="799">
        <f t="shared" si="74"/>
        <v>3</v>
      </c>
      <c r="AH203" s="176">
        <f t="shared" si="67"/>
        <v>9</v>
      </c>
      <c r="AI203" s="224">
        <f t="shared" si="68"/>
        <v>3.3788882965025508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46942</v>
      </c>
      <c r="B204" s="409">
        <f>IF(t&gt;Tmaj,'2027'!Wh/'2027'!Env_an*'2028'!Env_an,0.001*[9]mois!$B$250)</f>
        <v>56.136298635035374</v>
      </c>
      <c r="C204" s="829"/>
      <c r="D204" s="391">
        <f t="shared" si="50"/>
        <v>59.968838829611514</v>
      </c>
      <c r="E204" s="383">
        <f t="shared" si="75"/>
        <v>61.067654283520113</v>
      </c>
      <c r="F204" s="383">
        <f t="shared" si="51"/>
        <v>61.067654283520113</v>
      </c>
      <c r="G204" s="110">
        <f t="shared" si="76"/>
        <v>1.0048236395791403</v>
      </c>
      <c r="H204" s="412" t="b">
        <f>Wh_hp&gt;='2027'!Maxi_hp</f>
        <v>1</v>
      </c>
      <c r="I204" s="388">
        <f>IF(H204,Wh_hp,'2027'!Maxi_hp)</f>
        <v>61.067654283520113</v>
      </c>
      <c r="J204" s="85">
        <f>IF(H204,An,'2027'!An_max)</f>
        <v>2028</v>
      </c>
      <c r="K204" s="197">
        <f t="shared" si="52"/>
        <v>46942</v>
      </c>
      <c r="L204" s="147">
        <f>IF(t&lt;Tvie,1-EXP((T0-t)*PertePVj)+'2027'!Pspv,1-EXP((T0-t)*PertePVj)+Pspv)</f>
        <v>6.3908861158133656E-2</v>
      </c>
      <c r="M204" s="832"/>
      <c r="N204" s="832"/>
      <c r="O204" s="48">
        <f>IF(t&lt;Tnet,'2027'!Resal+('2027'!Salim-'2027'!Resal)*(1-EXP(('2027'!Tnet-t)/('2027'!Tau_j))),Resal+(Salim-Resal)*(1-EXP((Tnet-t)/(Tau_j))))*Salcycl</f>
        <v>1.7993411844625825E-2</v>
      </c>
      <c r="P204" s="169">
        <f>(INDEX(Models!$BJ204:$BT204,,T204)*(1-R204)+INDEX(Models!$BJ204:$BT204,,T204+1)*R204-ERP_i)*Q204*Ramure*Pc/MaxiM</f>
        <v>-1.9047426725438346E-20</v>
      </c>
      <c r="Q204" s="304">
        <f t="shared" si="53"/>
        <v>0.6</v>
      </c>
      <c r="R204" s="177">
        <f t="shared" si="54"/>
        <v>0.85761883325402444</v>
      </c>
      <c r="S204" s="799">
        <f t="shared" si="55"/>
        <v>-1</v>
      </c>
      <c r="T204" s="176">
        <f t="shared" si="56"/>
        <v>5</v>
      </c>
      <c r="U204" s="250">
        <f t="shared" si="57"/>
        <v>-0.14238116674597556</v>
      </c>
      <c r="V204" s="382">
        <f t="shared" si="58"/>
        <v>55.866817244215575</v>
      </c>
      <c r="W204" s="400">
        <f t="shared" si="59"/>
        <v>56.136298635035374</v>
      </c>
      <c r="X204" s="157">
        <f t="shared" si="60"/>
        <v>46942</v>
      </c>
      <c r="Y204" s="383">
        <f t="shared" si="61"/>
        <v>54.098667086715054</v>
      </c>
      <c r="Z204" s="383">
        <f t="shared" si="62"/>
        <v>57.792093998075892</v>
      </c>
      <c r="AA204" s="384">
        <f t="shared" si="63"/>
        <v>61.067654283520113</v>
      </c>
      <c r="AB204" s="197">
        <f t="shared" si="64"/>
        <v>46942</v>
      </c>
      <c r="AC204" s="119">
        <f>IF(OR(t&lt;Tnet,NoTnet),'2027'!Resal_s+('2027'!Salim-'2027'!Resal_s)*(1-EXP(('2027'!Tnet_s-t)/'2027'!Tau_j)),Resal_s+(Salim-Resal_s)*(1-EXP((Tnet_s-t)/Tau_j)))*Salcycl</f>
        <v>5.3638220165403878E-2</v>
      </c>
      <c r="AD204" s="230">
        <f>(INDEX(Models!$BJ204:$BT204,,AH204)*(1-AF204)+INDEX(Models!$BJ204:$BT204,,AH204+1)*AF204-ERP_i)*AE204*Ramure*Pc/MaxiM</f>
        <v>0</v>
      </c>
      <c r="AE204" s="304">
        <f t="shared" si="65"/>
        <v>0.6</v>
      </c>
      <c r="AF204" s="177">
        <f t="shared" si="66"/>
        <v>0.38260639962800269</v>
      </c>
      <c r="AG204" s="799">
        <f t="shared" si="74"/>
        <v>3</v>
      </c>
      <c r="AH204" s="176">
        <f t="shared" si="67"/>
        <v>9</v>
      </c>
      <c r="AI204" s="224">
        <f t="shared" si="68"/>
        <v>3.3826063996280027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46943</v>
      </c>
      <c r="B205" s="409">
        <f>IF(t&gt;Tmaj,'2027'!Wh/'2027'!Env_an*'2028'!Env_an,0.001*[9]mois!$B$251)</f>
        <v>55.439045068257471</v>
      </c>
      <c r="C205" s="829"/>
      <c r="D205" s="391">
        <f t="shared" si="50"/>
        <v>59.225117368231523</v>
      </c>
      <c r="E205" s="383">
        <f t="shared" si="75"/>
        <v>60.317768017858462</v>
      </c>
      <c r="F205" s="383">
        <f t="shared" si="51"/>
        <v>60.317768017858462</v>
      </c>
      <c r="G205" s="110">
        <f t="shared" si="76"/>
        <v>0.99398895981519897</v>
      </c>
      <c r="H205" s="412" t="b">
        <f>Wh_hp&gt;='2027'!Maxi_hp</f>
        <v>1</v>
      </c>
      <c r="I205" s="388">
        <f>IF(H205,Wh_hp,'2027'!Maxi_hp)</f>
        <v>60.317768017858462</v>
      </c>
      <c r="J205" s="85">
        <f>IF(H205,An,'2027'!An_max)</f>
        <v>2028</v>
      </c>
      <c r="K205" s="197">
        <f t="shared" si="52"/>
        <v>46943</v>
      </c>
      <c r="L205" s="147">
        <f>IF(t&lt;Tvie,1-EXP((T0-t)*PertePVj)+'2027'!Pspv,1-EXP((T0-t)*PertePVj)+Pspv)</f>
        <v>6.3926801131252931E-2</v>
      </c>
      <c r="M205" s="832"/>
      <c r="N205" s="832"/>
      <c r="O205" s="48">
        <f>IF(t&lt;Tnet,'2027'!Resal+('2027'!Salim-'2027'!Resal)*(1-EXP(('2027'!Tnet-t)/('2027'!Tau_j))),Resal+(Salim-Resal)*(1-EXP((Tnet-t)/(Tau_j))))*Salcycl</f>
        <v>1.8114905201787972E-2</v>
      </c>
      <c r="P205" s="169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0.86125622090185316</v>
      </c>
      <c r="S205" s="799">
        <f t="shared" si="55"/>
        <v>-1</v>
      </c>
      <c r="T205" s="176">
        <f t="shared" si="56"/>
        <v>5</v>
      </c>
      <c r="U205" s="250">
        <f t="shared" si="57"/>
        <v>-0.13874377909814684</v>
      </c>
      <c r="V205" s="382">
        <f t="shared" si="58"/>
        <v>55.774306666911691</v>
      </c>
      <c r="W205" s="400">
        <f t="shared" si="59"/>
        <v>55.439045068257471</v>
      </c>
      <c r="X205" s="157">
        <f t="shared" si="60"/>
        <v>46943</v>
      </c>
      <c r="Y205" s="383">
        <f t="shared" si="61"/>
        <v>53.428501683875488</v>
      </c>
      <c r="Z205" s="383">
        <f t="shared" si="62"/>
        <v>57.077268902094744</v>
      </c>
      <c r="AA205" s="384">
        <f t="shared" si="63"/>
        <v>60.317768017858462</v>
      </c>
      <c r="AB205" s="197">
        <f t="shared" si="64"/>
        <v>46943</v>
      </c>
      <c r="AC205" s="119">
        <f>IF(OR(t&lt;Tnet,NoTnet),'2027'!Resal_s+('2027'!Salim-'2027'!Resal_s)*(1-EXP(('2027'!Tnet_s-t)/'2027'!Tau_j)),Resal_s+(Salim-Resal_s)*(1-EXP((Tnet_s-t)/Tau_j)))*Salcycl</f>
        <v>5.3723790223873878E-2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0.38624378727583153</v>
      </c>
      <c r="AG205" s="799">
        <f t="shared" si="74"/>
        <v>3</v>
      </c>
      <c r="AH205" s="176">
        <f t="shared" si="67"/>
        <v>9</v>
      </c>
      <c r="AI205" s="224">
        <f t="shared" si="68"/>
        <v>3.3862437872758315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46944</v>
      </c>
      <c r="B206" s="409">
        <f>IF(t&gt;Tmaj,'2027'!Wh/'2027'!Env_an*'2028'!Env_an,0.001*[9]mois!$B$252)</f>
        <v>54.481797650571352</v>
      </c>
      <c r="C206" s="829"/>
      <c r="D206" s="391">
        <f t="shared" si="50"/>
        <v>58.203612567529923</v>
      </c>
      <c r="E206" s="383">
        <f t="shared" si="75"/>
        <v>59.284734181309368</v>
      </c>
      <c r="F206" s="383">
        <f t="shared" si="51"/>
        <v>59.284734181309368</v>
      </c>
      <c r="G206" s="110">
        <f t="shared" si="76"/>
        <v>0.97846449096408616</v>
      </c>
      <c r="H206" s="412" t="b">
        <f>Wh_hp&gt;='2027'!Maxi_hp</f>
        <v>0</v>
      </c>
      <c r="I206" s="388">
        <f>IF(H206,Wh_hp,'2027'!Maxi_hp)</f>
        <v>60.058702365360794</v>
      </c>
      <c r="J206" s="85">
        <f>IF(H206,An,'2027'!An_max)</f>
        <v>2018</v>
      </c>
      <c r="K206" s="197">
        <f t="shared" si="52"/>
        <v>46944</v>
      </c>
      <c r="L206" s="147">
        <f>IF(t&lt;Tvie,1-EXP((T0-t)*PertePVj)+'2027'!Pspv,1-EXP((T0-t)*PertePVj)+Pspv)</f>
        <v>6.3944740760556562E-2</v>
      </c>
      <c r="M206" s="832"/>
      <c r="N206" s="832"/>
      <c r="O206" s="48">
        <f>IF(t&lt;Tnet,'2027'!Resal+('2027'!Salim-'2027'!Resal)*(1-EXP(('2027'!Tnet-t)/('2027'!Tau_j))),Resal+(Salim-Resal)*(1-EXP((Tnet-t)/(Tau_j))))*Salcycl</f>
        <v>1.8236087733362744E-2</v>
      </c>
      <c r="P206" s="169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0.86481252196021741</v>
      </c>
      <c r="S206" s="799">
        <f t="shared" si="55"/>
        <v>-1</v>
      </c>
      <c r="T206" s="176">
        <f t="shared" si="56"/>
        <v>5</v>
      </c>
      <c r="U206" s="250">
        <f t="shared" si="57"/>
        <v>-0.13518747803978254</v>
      </c>
      <c r="V206" s="382">
        <f t="shared" si="58"/>
        <v>55.680914487648039</v>
      </c>
      <c r="W206" s="400">
        <f t="shared" si="59"/>
        <v>54.481797650571352</v>
      </c>
      <c r="X206" s="157">
        <f t="shared" si="60"/>
        <v>46944</v>
      </c>
      <c r="Y206" s="383">
        <f t="shared" si="61"/>
        <v>52.507739679064528</v>
      </c>
      <c r="Z206" s="383">
        <f t="shared" si="62"/>
        <v>56.094700778378964</v>
      </c>
      <c r="AA206" s="384">
        <f t="shared" si="63"/>
        <v>59.284734181309368</v>
      </c>
      <c r="AB206" s="197">
        <f t="shared" si="64"/>
        <v>46944</v>
      </c>
      <c r="AC206" s="119">
        <f>IF(OR(t&lt;Tnet,NoTnet),'2027'!Resal_s+('2027'!Salim-'2027'!Resal_s)*(1-EXP(('2027'!Tnet_s-t)/'2027'!Tau_j)),Resal_s+(Salim-Resal_s)*(1-EXP((Tnet_s-t)/Tau_j)))*Salcycl</f>
        <v>5.3808681897339478E-2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0.3898000883341961</v>
      </c>
      <c r="AG206" s="799">
        <f t="shared" si="74"/>
        <v>3</v>
      </c>
      <c r="AH206" s="176">
        <f t="shared" si="67"/>
        <v>9</v>
      </c>
      <c r="AI206" s="224">
        <f t="shared" si="68"/>
        <v>3.3898000883341961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46945</v>
      </c>
      <c r="B207" s="409">
        <f>IF(t&gt;Tmaj,'2027'!Wh/'2027'!Env_an*'2028'!Env_an,0.001*[9]mois!$B$253)</f>
        <v>54.083908924625639</v>
      </c>
      <c r="C207" s="829"/>
      <c r="D207" s="391">
        <f t="shared" ref="D207:D270" si="77">Wh/(1-Ppv)</f>
        <v>57.779650203782978</v>
      </c>
      <c r="E207" s="383">
        <f t="shared" si="75"/>
        <v>58.860143794447765</v>
      </c>
      <c r="F207" s="383">
        <f t="shared" ref="F207:F270" si="78">Wh_sa/(1-Pvg*MEDIAN((-Sdif+Wh/Env_an)/Csdif,0,1))</f>
        <v>58.860143794447765</v>
      </c>
      <c r="G207" s="110">
        <f t="shared" si="76"/>
        <v>0.97296595427046195</v>
      </c>
      <c r="H207" s="412" t="b">
        <f>Wh_hp&gt;='2027'!Maxi_hp</f>
        <v>0</v>
      </c>
      <c r="I207" s="388">
        <f>IF(H207,Wh_hp,'2027'!Maxi_hp)</f>
        <v>60.040514635762435</v>
      </c>
      <c r="J207" s="85">
        <f>IF(H207,An,'2027'!An_max)</f>
        <v>2018</v>
      </c>
      <c r="K207" s="197">
        <f t="shared" ref="K207:K270" si="79">t</f>
        <v>46945</v>
      </c>
      <c r="L207" s="147">
        <f>IF(t&lt;Tvie,1-EXP((T0-t)*PertePVj)+'2027'!Pspv,1-EXP((T0-t)*PertePVj)+Pspv)</f>
        <v>6.3962680046051434E-2</v>
      </c>
      <c r="M207" s="832"/>
      <c r="N207" s="832"/>
      <c r="O207" s="48">
        <f>IF(t&lt;Tnet,'2027'!Resal+('2027'!Salim-'2027'!Resal)*(1-EXP(('2027'!Tnet-t)/('2027'!Tau_j))),Resal+(Salim-Resal)*(1-EXP((Tnet-t)/(Tau_j))))*Salcycl</f>
        <v>1.8356964849391193E-2</v>
      </c>
      <c r="P207" s="169">
        <f>(INDEX(Models!$BJ207:$BT207,,T207)*(1-R207)+INDEX(Models!$BJ207:$BT207,,T207+1)*R207-ERP_i)*Q207*Ramure*Pc/MaxiM</f>
        <v>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0.86828751550693561</v>
      </c>
      <c r="S207" s="799">
        <f t="shared" ref="S207:S270" si="82">INDEX(Echel_vg,T207)</f>
        <v>-1</v>
      </c>
      <c r="T207" s="176">
        <f t="shared" ref="T207:T270" si="83">MIN(MATCH(Hp_vg,Echel_vg),10)</f>
        <v>5</v>
      </c>
      <c r="U207" s="250">
        <f t="shared" ref="U207:U270" si="84">IF(OR(t&lt;Ttai,Notai),Hdd+PousH*Croivg,Hdtf+PousH*(Croivg-Croi_tai))</f>
        <v>-0.13171248449306433</v>
      </c>
      <c r="V207" s="382">
        <f t="shared" ref="V207:V270" si="85">MaxiM*(1-Ppv)*(1-Pvg)*(1-Psa)</f>
        <v>55.586640711573722</v>
      </c>
      <c r="W207" s="400">
        <f t="shared" ref="W207:W270" si="86">Wh*(A207&gt;Tmaj)</f>
        <v>54.083908924625639</v>
      </c>
      <c r="X207" s="157">
        <f t="shared" ref="X207:X270" si="87">t</f>
        <v>46945</v>
      </c>
      <c r="Y207" s="383">
        <f t="shared" ref="Y207:Y270" si="88">Wh_pvt_s*(1-Ppv)</f>
        <v>52.126045123549808</v>
      </c>
      <c r="Z207" s="383">
        <f t="shared" ref="Z207:Z270" si="89">Wh_sa_s*(1-Psa_s)</f>
        <v>55.687998771367702</v>
      </c>
      <c r="AA207" s="384">
        <f t="shared" ref="AA207:AA270" si="90">Wh_hp*(1-Pvg_s*MEDIAN((-Sdif+Wh/Env_an)/Csdif,0,1))</f>
        <v>58.860143794447765</v>
      </c>
      <c r="AB207" s="197">
        <f t="shared" ref="AB207:AB270" si="91">t</f>
        <v>46945</v>
      </c>
      <c r="AC207" s="119">
        <f>IF(OR(t&lt;Tnet,NoTnet),'2027'!Resal_s+('2027'!Salim-'2027'!Resal_s)*(1-EXP(('2027'!Tnet_s-t)/'2027'!Tau_j)),Resal_s+(Salim-Resal_s)*(1-EXP((Tnet_s-t)/Tau_j)))*Salcycl</f>
        <v>5.3892920040390632E-2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0.39327508188091409</v>
      </c>
      <c r="AG207" s="799">
        <f t="shared" si="74"/>
        <v>3</v>
      </c>
      <c r="AH207" s="176">
        <f t="shared" ref="AH207:AH270" si="94">MIN(MATCH(Hp_vg_s,Echel_vg),10)</f>
        <v>9</v>
      </c>
      <c r="AI207" s="224">
        <f t="shared" ref="AI207:AI270" si="95">IF(OR(t&lt;Ttai,Notai),Hdd_s+PousH*Croivg,Hdtai_s+PousH*(Croivg-Croi_tai))</f>
        <v>3.3932750818809141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46946</v>
      </c>
      <c r="B208" s="409">
        <f>IF(t&gt;Tmaj,'2027'!Wh/'2027'!Env_an*'2028'!Env_an,0.001*[9]mois!$B$254)</f>
        <v>53.578982876436832</v>
      </c>
      <c r="C208" s="829"/>
      <c r="D208" s="391">
        <f t="shared" si="77"/>
        <v>57.241317822387352</v>
      </c>
      <c r="E208" s="383">
        <f t="shared" si="75"/>
        <v>58.31890790849031</v>
      </c>
      <c r="F208" s="383">
        <f t="shared" si="78"/>
        <v>58.31890790849031</v>
      </c>
      <c r="G208" s="110">
        <f t="shared" si="76"/>
        <v>0.96553520888761091</v>
      </c>
      <c r="H208" s="412" t="b">
        <f>Wh_hp&gt;='2027'!Maxi_hp</f>
        <v>1</v>
      </c>
      <c r="I208" s="388">
        <f>IF(H208,Wh_hp,'2027'!Maxi_hp)</f>
        <v>58.31890790849031</v>
      </c>
      <c r="J208" s="85">
        <f>IF(H208,An,'2027'!An_max)</f>
        <v>2028</v>
      </c>
      <c r="K208" s="197">
        <f t="shared" si="79"/>
        <v>46946</v>
      </c>
      <c r="L208" s="147">
        <f>IF(t&lt;Tvie,1-EXP((T0-t)*PertePVj)+'2027'!Pspv,1-EXP((T0-t)*PertePVj)+Pspv)</f>
        <v>6.3980618987743876E-2</v>
      </c>
      <c r="M208" s="832"/>
      <c r="N208" s="832"/>
      <c r="O208" s="48">
        <f>IF(t&lt;Tnet,'2027'!Resal+('2027'!Salim-'2027'!Resal)*(1-EXP(('2027'!Tnet-t)/('2027'!Tau_j))),Resal+(Salim-Resal)*(1-EXP((Tnet-t)/(Tau_j))))*Salcycl</f>
        <v>1.8477542271433365E-2</v>
      </c>
      <c r="P208" s="169">
        <f>(INDEX(Models!$BJ208:$BT208,,T208)*(1-R208)+INDEX(Models!$BJ208:$BT208,,T208+1)*R208-ERP_i)*Q208*Ramure*Pc/MaxiM</f>
        <v>0</v>
      </c>
      <c r="Q208" s="304">
        <f t="shared" si="80"/>
        <v>0.6</v>
      </c>
      <c r="R208" s="177">
        <f t="shared" si="81"/>
        <v>0.87168112472428105</v>
      </c>
      <c r="S208" s="799">
        <f t="shared" si="82"/>
        <v>-1</v>
      </c>
      <c r="T208" s="176">
        <f t="shared" si="83"/>
        <v>5</v>
      </c>
      <c r="U208" s="250">
        <f t="shared" si="84"/>
        <v>-0.12831887527571889</v>
      </c>
      <c r="V208" s="382">
        <f t="shared" si="85"/>
        <v>55.491485326739102</v>
      </c>
      <c r="W208" s="400">
        <f t="shared" si="86"/>
        <v>53.578982876436832</v>
      </c>
      <c r="X208" s="157">
        <f t="shared" si="87"/>
        <v>46946</v>
      </c>
      <c r="Y208" s="383">
        <f t="shared" si="88"/>
        <v>51.641177345232094</v>
      </c>
      <c r="Z208" s="383">
        <f t="shared" si="89"/>
        <v>55.171055634964368</v>
      </c>
      <c r="AA208" s="384">
        <f t="shared" si="90"/>
        <v>58.31890790849031</v>
      </c>
      <c r="AB208" s="197">
        <f t="shared" si="91"/>
        <v>46946</v>
      </c>
      <c r="AC208" s="119">
        <f>IF(OR(t&lt;Tnet,NoTnet),'2027'!Resal_s+('2027'!Salim-'2027'!Resal_s)*(1-EXP(('2027'!Tnet_s-t)/'2027'!Tau_j)),Resal_s+(Salim-Resal_s)*(1-EXP((Tnet_s-t)/Tau_j)))*Salcycl</f>
        <v>5.3976529849724064E-2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0.39666869109825953</v>
      </c>
      <c r="AG208" s="799">
        <f t="shared" ref="AG208:AG271" si="99">INDEX(Echel_vg,AH208)</f>
        <v>3</v>
      </c>
      <c r="AH208" s="176">
        <f t="shared" si="94"/>
        <v>9</v>
      </c>
      <c r="AI208" s="224">
        <f t="shared" si="95"/>
        <v>3.3966686910982595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46947</v>
      </c>
      <c r="B209" s="409">
        <f>IF(t&gt;Tmaj,'2027'!Wh/'2027'!Env_an*'2028'!Env_an,0.001*[9]mois!$B$255)</f>
        <v>53.26720398441784</v>
      </c>
      <c r="C209" s="829"/>
      <c r="D209" s="391">
        <f t="shared" si="77"/>
        <v>56.909318266666659</v>
      </c>
      <c r="E209" s="383">
        <f t="shared" si="75"/>
        <v>57.987764622059281</v>
      </c>
      <c r="F209" s="383">
        <f t="shared" si="78"/>
        <v>57.987764622059281</v>
      </c>
      <c r="G209" s="110">
        <f t="shared" si="76"/>
        <v>0.96158088096967798</v>
      </c>
      <c r="H209" s="412" t="b">
        <f>Wh_hp&gt;='2027'!Maxi_hp</f>
        <v>0</v>
      </c>
      <c r="I209" s="388">
        <f>IF(H209,Wh_hp,'2027'!Maxi_hp)</f>
        <v>60.412493272450547</v>
      </c>
      <c r="J209" s="85">
        <f>IF(H209,An,'2027'!An_max)</f>
        <v>2018</v>
      </c>
      <c r="K209" s="197">
        <f t="shared" si="79"/>
        <v>46947</v>
      </c>
      <c r="L209" s="147">
        <f>IF(t&lt;Tvie,1-EXP((T0-t)*PertePVj)+'2027'!Pspv,1-EXP((T0-t)*PertePVj)+Pspv)</f>
        <v>6.3998557585640659E-2</v>
      </c>
      <c r="M209" s="832"/>
      <c r="N209" s="832"/>
      <c r="O209" s="48">
        <f>IF(t&lt;Tnet,'2027'!Resal+('2027'!Salim-'2027'!Resal)*(1-EXP(('2027'!Tnet-t)/('2027'!Tau_j))),Resal+(Salim-Resal)*(1-EXP((Tnet-t)/(Tau_j))))*Salcycl</f>
        <v>1.8597825979695837E-2</v>
      </c>
      <c r="P209" s="169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0.87499341052241397</v>
      </c>
      <c r="S209" s="799">
        <f t="shared" si="82"/>
        <v>-1</v>
      </c>
      <c r="T209" s="176">
        <f t="shared" si="83"/>
        <v>5</v>
      </c>
      <c r="U209" s="250">
        <f t="shared" si="84"/>
        <v>-0.12500658947758597</v>
      </c>
      <c r="V209" s="382">
        <f t="shared" si="85"/>
        <v>55.395448306649037</v>
      </c>
      <c r="W209" s="400">
        <f t="shared" si="86"/>
        <v>53.26720398441784</v>
      </c>
      <c r="X209" s="157">
        <f t="shared" si="87"/>
        <v>46947</v>
      </c>
      <c r="Y209" s="383">
        <f t="shared" si="88"/>
        <v>51.342461784952583</v>
      </c>
      <c r="Z209" s="383">
        <f t="shared" si="89"/>
        <v>54.852972931876891</v>
      </c>
      <c r="AA209" s="384">
        <f t="shared" si="90"/>
        <v>57.987764622059281</v>
      </c>
      <c r="AB209" s="197">
        <f t="shared" si="91"/>
        <v>46947</v>
      </c>
      <c r="AC209" s="119">
        <f>IF(OR(t&lt;Tnet,NoTnet),'2027'!Resal_s+('2027'!Salim-'2027'!Resal_s)*(1-EXP(('2027'!Tnet_s-t)/'2027'!Tau_j)),Resal_s+(Salim-Resal_s)*(1-EXP((Tnet_s-t)/Tau_j)))*Salcycl</f>
        <v>5.4059536707677755E-2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0.39998097689639245</v>
      </c>
      <c r="AG209" s="799">
        <f t="shared" si="99"/>
        <v>3</v>
      </c>
      <c r="AH209" s="176">
        <f t="shared" si="94"/>
        <v>9</v>
      </c>
      <c r="AI209" s="224">
        <f t="shared" si="95"/>
        <v>3.3999809768963924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46948</v>
      </c>
      <c r="B210" s="409">
        <f>IF(t&gt;Tmaj,'2027'!Wh/'2027'!Env_an*'2028'!Env_an,0.001*[9]mois!$B$256)</f>
        <v>51.094264255067159</v>
      </c>
      <c r="C210" s="829"/>
      <c r="D210" s="391">
        <f t="shared" si="77"/>
        <v>54.588851222231796</v>
      </c>
      <c r="E210" s="383">
        <f t="shared" si="75"/>
        <v>55.630126027949622</v>
      </c>
      <c r="F210" s="383">
        <f t="shared" si="78"/>
        <v>55.630126027949622</v>
      </c>
      <c r="G210" s="110">
        <f t="shared" si="76"/>
        <v>0.92397148011035002</v>
      </c>
      <c r="H210" s="412" t="b">
        <f>Wh_hp&gt;='2027'!Maxi_hp</f>
        <v>0</v>
      </c>
      <c r="I210" s="388">
        <f>IF(H210,Wh_hp,'2027'!Maxi_hp)</f>
        <v>62.029169256698459</v>
      </c>
      <c r="J210" s="85">
        <f>IF(H210,An,'2027'!An_max)</f>
        <v>2018</v>
      </c>
      <c r="K210" s="197">
        <f t="shared" si="79"/>
        <v>46948</v>
      </c>
      <c r="L210" s="147">
        <f>IF(t&lt;Tvie,1-EXP((T0-t)*PertePVj)+'2027'!Pspv,1-EXP((T0-t)*PertePVj)+Pspv)</f>
        <v>6.4016495839748222E-2</v>
      </c>
      <c r="M210" s="832"/>
      <c r="N210" s="832"/>
      <c r="O210" s="48">
        <f>IF(t&lt;Tnet,'2027'!Resal+('2027'!Salim-'2027'!Resal)*(1-EXP(('2027'!Tnet-t)/('2027'!Tau_j))),Resal+(Salim-Resal)*(1-EXP((Tnet-t)/(Tau_j))))*Salcycl</f>
        <v>1.8717822159789236E-2</v>
      </c>
      <c r="P210" s="169">
        <f>(INDEX(Models!$BJ210:$BT210,,T210)*(1-R210)+INDEX(Models!$BJ210:$BT210,,T210+1)*R210-ERP_i)*Q210*Ramure*Pc/MaxiM</f>
        <v>0</v>
      </c>
      <c r="Q210" s="304">
        <f t="shared" si="80"/>
        <v>0.6</v>
      </c>
      <c r="R210" s="177">
        <f t="shared" si="81"/>
        <v>0.8782245649275664</v>
      </c>
      <c r="S210" s="799">
        <f t="shared" si="82"/>
        <v>-1</v>
      </c>
      <c r="T210" s="176">
        <f t="shared" si="83"/>
        <v>5</v>
      </c>
      <c r="U210" s="250">
        <f t="shared" si="84"/>
        <v>-0.1217754350724336</v>
      </c>
      <c r="V210" s="382">
        <f t="shared" si="85"/>
        <v>55.298529613668343</v>
      </c>
      <c r="W210" s="400">
        <f t="shared" si="86"/>
        <v>51.094264255067159</v>
      </c>
      <c r="X210" s="157">
        <f t="shared" si="87"/>
        <v>46948</v>
      </c>
      <c r="Y210" s="383">
        <f t="shared" si="88"/>
        <v>49.249768748317628</v>
      </c>
      <c r="Z210" s="383">
        <f t="shared" si="89"/>
        <v>52.618201634337211</v>
      </c>
      <c r="AA210" s="384">
        <f t="shared" si="90"/>
        <v>55.630126027949622</v>
      </c>
      <c r="AB210" s="197">
        <f t="shared" si="91"/>
        <v>46948</v>
      </c>
      <c r="AC210" s="119">
        <f>IF(OR(t&lt;Tnet,NoTnet),'2027'!Resal_s+('2027'!Salim-'2027'!Resal_s)*(1-EXP(('2027'!Tnet_s-t)/'2027'!Tau_j)),Resal_s+(Salim-Resal_s)*(1-EXP((Tnet_s-t)/Tau_j)))*Salcycl</f>
        <v>5.4141966029326659E-2</v>
      </c>
      <c r="AD210" s="230">
        <f>(INDEX(Models!$BJ210:$BT210,,AH210)*(1-AF210)+INDEX(Models!$BJ210:$BT210,,AH210+1)*AF210-ERP_i)*AE210*Ramure*Pc/MaxiM</f>
        <v>0</v>
      </c>
      <c r="AE210" s="304">
        <f t="shared" si="92"/>
        <v>0.6</v>
      </c>
      <c r="AF210" s="177">
        <f t="shared" si="93"/>
        <v>0.40321213130154465</v>
      </c>
      <c r="AG210" s="799">
        <f t="shared" si="99"/>
        <v>3</v>
      </c>
      <c r="AH210" s="176">
        <f t="shared" si="94"/>
        <v>9</v>
      </c>
      <c r="AI210" s="224">
        <f t="shared" si="95"/>
        <v>3.4032121313015447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46949</v>
      </c>
      <c r="B211" s="409">
        <f>IF(t&gt;Tmaj,'2027'!Wh/'2027'!Env_an*'2028'!Env_an,0.001*[9]mois!$B$257)</f>
        <v>52.495566539753909</v>
      </c>
      <c r="C211" s="829"/>
      <c r="D211" s="391">
        <f t="shared" si="77"/>
        <v>56.087070328970043</v>
      </c>
      <c r="E211" s="383">
        <f t="shared" si="75"/>
        <v>57.163897369276846</v>
      </c>
      <c r="F211" s="383">
        <f t="shared" si="78"/>
        <v>57.163897369276846</v>
      </c>
      <c r="G211" s="110">
        <f t="shared" si="76"/>
        <v>0.95099407739320352</v>
      </c>
      <c r="H211" s="412" t="b">
        <f>Wh_hp&gt;='2027'!Maxi_hp</f>
        <v>0</v>
      </c>
      <c r="I211" s="388">
        <f>IF(H211,Wh_hp,'2027'!Maxi_hp)</f>
        <v>60.446549664611396</v>
      </c>
      <c r="J211" s="85">
        <f>IF(H211,An,'2027'!An_max)</f>
        <v>2018</v>
      </c>
      <c r="K211" s="197">
        <f t="shared" si="79"/>
        <v>46949</v>
      </c>
      <c r="L211" s="147">
        <f>IF(t&lt;Tvie,1-EXP((T0-t)*PertePVj)+'2027'!Pspv,1-EXP((T0-t)*PertePVj)+Pspv)</f>
        <v>6.4034433750073338E-2</v>
      </c>
      <c r="M211" s="832"/>
      <c r="N211" s="832"/>
      <c r="O211" s="48">
        <f>IF(t&lt;Tnet,'2027'!Resal+('2027'!Salim-'2027'!Resal)*(1-EXP(('2027'!Tnet-t)/('2027'!Tau_j))),Resal+(Salim-Resal)*(1-EXP((Tnet-t)/(Tau_j))))*Salcycl</f>
        <v>1.8837537149549714E-2</v>
      </c>
      <c r="P211" s="169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0.88137490428890786</v>
      </c>
      <c r="S211" s="799">
        <f t="shared" si="82"/>
        <v>-1</v>
      </c>
      <c r="T211" s="176">
        <f t="shared" si="83"/>
        <v>5</v>
      </c>
      <c r="U211" s="250">
        <f t="shared" si="84"/>
        <v>-0.1186250957110922</v>
      </c>
      <c r="V211" s="382">
        <f t="shared" si="85"/>
        <v>55.200729202910473</v>
      </c>
      <c r="W211" s="400">
        <f t="shared" si="86"/>
        <v>52.495566539753909</v>
      </c>
      <c r="X211" s="157">
        <f t="shared" si="87"/>
        <v>46949</v>
      </c>
      <c r="Y211" s="383">
        <f t="shared" si="88"/>
        <v>50.602277456958376</v>
      </c>
      <c r="Z211" s="383">
        <f t="shared" si="89"/>
        <v>54.064251166528791</v>
      </c>
      <c r="AA211" s="384">
        <f t="shared" si="90"/>
        <v>57.163897369276846</v>
      </c>
      <c r="AB211" s="197">
        <f t="shared" si="91"/>
        <v>46949</v>
      </c>
      <c r="AC211" s="119">
        <f>IF(OR(t&lt;Tnet,NoTnet),'2027'!Resal_s+('2027'!Salim-'2027'!Resal_s)*(1-EXP(('2027'!Tnet_s-t)/'2027'!Tau_j)),Resal_s+(Salim-Resal_s)*(1-EXP((Tnet_s-t)/Tau_j)))*Salcycl</f>
        <v>5.4223843114202738E-2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0.40636247066288611</v>
      </c>
      <c r="AG211" s="799">
        <f t="shared" si="99"/>
        <v>3</v>
      </c>
      <c r="AH211" s="176">
        <f t="shared" si="94"/>
        <v>9</v>
      </c>
      <c r="AI211" s="224">
        <f t="shared" si="95"/>
        <v>3.4063624706628861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46950</v>
      </c>
      <c r="B212" s="409">
        <f>IF(t&gt;Tmaj,'2027'!Wh/'2027'!Env_an*'2028'!Env_an,0.001*[9]mois!$B$258)</f>
        <v>52.635995149703611</v>
      </c>
      <c r="C212" s="829"/>
      <c r="D212" s="391">
        <f t="shared" si="77"/>
        <v>56.238184206682661</v>
      </c>
      <c r="E212" s="383">
        <f t="shared" si="75"/>
        <v>57.32489086651421</v>
      </c>
      <c r="F212" s="383">
        <f t="shared" si="78"/>
        <v>57.32489086651421</v>
      </c>
      <c r="G212" s="110">
        <f t="shared" si="76"/>
        <v>0.95524573029177484</v>
      </c>
      <c r="H212" s="412" t="b">
        <f>Wh_hp&gt;='2027'!Maxi_hp</f>
        <v>0</v>
      </c>
      <c r="I212" s="388">
        <f>IF(H212,Wh_hp,'2027'!Maxi_hp)</f>
        <v>60.566791048252</v>
      </c>
      <c r="J212" s="85">
        <f>IF(H212,An,'2027'!An_max)</f>
        <v>2021</v>
      </c>
      <c r="K212" s="197">
        <f t="shared" si="79"/>
        <v>46950</v>
      </c>
      <c r="L212" s="147">
        <f>IF(t&lt;Tvie,1-EXP((T0-t)*PertePVj)+'2027'!Pspv,1-EXP((T0-t)*PertePVj)+Pspv)</f>
        <v>6.4052371316622447E-2</v>
      </c>
      <c r="M212" s="832"/>
      <c r="N212" s="832"/>
      <c r="O212" s="48">
        <f>IF(t&lt;Tnet,'2027'!Resal+('2027'!Salim-'2027'!Resal)*(1-EXP(('2027'!Tnet-t)/('2027'!Tau_j))),Resal+(Salim-Resal)*(1-EXP((Tnet-t)/(Tau_j))))*Salcycl</f>
        <v>1.8956977386351045E-2</v>
      </c>
      <c r="P212" s="169">
        <f>(INDEX(Models!$BJ212:$BT212,,T212)*(1-R212)+INDEX(Models!$BJ212:$BT212,,T212+1)*R212-ERP_i)*Q212*Ramure*Pc/MaxiM</f>
        <v>0</v>
      </c>
      <c r="Q212" s="304">
        <f t="shared" si="80"/>
        <v>0.6</v>
      </c>
      <c r="R212" s="177">
        <f t="shared" si="81"/>
        <v>0.88444486235548414</v>
      </c>
      <c r="S212" s="799">
        <f t="shared" si="82"/>
        <v>-1</v>
      </c>
      <c r="T212" s="176">
        <f t="shared" si="83"/>
        <v>5</v>
      </c>
      <c r="U212" s="250">
        <f t="shared" si="84"/>
        <v>-0.11555513764451586</v>
      </c>
      <c r="V212" s="382">
        <f t="shared" si="85"/>
        <v>55.102047023676526</v>
      </c>
      <c r="W212" s="400">
        <f t="shared" si="86"/>
        <v>52.635995149703611</v>
      </c>
      <c r="X212" s="157">
        <f t="shared" si="87"/>
        <v>46950</v>
      </c>
      <c r="Y212" s="383">
        <f t="shared" si="88"/>
        <v>50.739453955388164</v>
      </c>
      <c r="Z212" s="383">
        <f t="shared" si="89"/>
        <v>54.211851604095308</v>
      </c>
      <c r="AA212" s="384">
        <f t="shared" si="90"/>
        <v>57.32489086651421</v>
      </c>
      <c r="AB212" s="197">
        <f t="shared" si="91"/>
        <v>46950</v>
      </c>
      <c r="AC212" s="119">
        <f>IF(OR(t&lt;Tnet,NoTnet),'2027'!Resal_s+('2027'!Salim-'2027'!Resal_s)*(1-EXP(('2027'!Tnet_s-t)/'2027'!Tau_j)),Resal_s+(Salim-Resal_s)*(1-EXP((Tnet_s-t)/Tau_j)))*Salcycl</f>
        <v>5.4305193003644357E-2</v>
      </c>
      <c r="AD212" s="230">
        <f>(INDEX(Models!$BJ212:$BT212,,AH212)*(1-AF212)+INDEX(Models!$BJ212:$BT212,,AH212+1)*AF212-ERP_i)*AE212*Ramure*Pc/MaxiM</f>
        <v>0</v>
      </c>
      <c r="AE212" s="304">
        <f t="shared" si="92"/>
        <v>0.6</v>
      </c>
      <c r="AF212" s="177">
        <f t="shared" si="93"/>
        <v>0.40943242872946239</v>
      </c>
      <c r="AG212" s="799">
        <f t="shared" si="99"/>
        <v>3</v>
      </c>
      <c r="AH212" s="176">
        <f t="shared" si="94"/>
        <v>9</v>
      </c>
      <c r="AI212" s="224">
        <f t="shared" si="95"/>
        <v>3.4094324287294624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46951</v>
      </c>
      <c r="B213" s="409">
        <f>IF(t&gt;Tmaj,'2027'!Wh/'2027'!Env_an*'2028'!Env_an,0.001*[9]mois!$B$259)</f>
        <v>54.818043056241557</v>
      </c>
      <c r="C213" s="829"/>
      <c r="D213" s="391">
        <f t="shared" si="77"/>
        <v>58.570684909774947</v>
      </c>
      <c r="E213" s="383">
        <f t="shared" si="75"/>
        <v>59.709716377353317</v>
      </c>
      <c r="F213" s="383">
        <f t="shared" si="78"/>
        <v>59.709716377353317</v>
      </c>
      <c r="G213" s="110">
        <f t="shared" si="76"/>
        <v>0.99664669742893386</v>
      </c>
      <c r="H213" s="412" t="b">
        <f>Wh_hp&gt;='2027'!Maxi_hp</f>
        <v>1</v>
      </c>
      <c r="I213" s="388">
        <f>IF(H213,Wh_hp,'2027'!Maxi_hp)</f>
        <v>59.709716377353317</v>
      </c>
      <c r="J213" s="85">
        <f>IF(H213,An,'2027'!An_max)</f>
        <v>2028</v>
      </c>
      <c r="K213" s="197">
        <f t="shared" si="79"/>
        <v>46951</v>
      </c>
      <c r="L213" s="147">
        <f>IF(t&lt;Tvie,1-EXP((T0-t)*PertePVj)+'2027'!Pspv,1-EXP((T0-t)*PertePVj)+Pspv)</f>
        <v>6.407030853940221E-2</v>
      </c>
      <c r="M213" s="832"/>
      <c r="N213" s="832"/>
      <c r="O213" s="48">
        <f>IF(t&lt;Tnet,'2027'!Resal+('2027'!Salim-'2027'!Resal)*(1-EXP(('2027'!Tnet-t)/('2027'!Tau_j))),Resal+(Salim-Resal)*(1-EXP((Tnet-t)/(Tau_j))))*Salcycl</f>
        <v>1.9076149355323143E-2</v>
      </c>
      <c r="P213" s="169">
        <f>(INDEX(Models!$BJ213:$BT213,,T213)*(1-R213)+INDEX(Models!$BJ213:$BT213,,T213+1)*R213-ERP_i)*Q213*Ramure*Pc/MaxiM</f>
        <v>0</v>
      </c>
      <c r="Q213" s="304">
        <f t="shared" si="80"/>
        <v>0.6</v>
      </c>
      <c r="R213" s="177">
        <f t="shared" si="81"/>
        <v>0.8874349832717745</v>
      </c>
      <c r="S213" s="799">
        <f t="shared" si="82"/>
        <v>-1</v>
      </c>
      <c r="T213" s="176">
        <f t="shared" si="83"/>
        <v>5</v>
      </c>
      <c r="U213" s="250">
        <f t="shared" si="84"/>
        <v>-0.11256501672822544</v>
      </c>
      <c r="V213" s="382">
        <f t="shared" si="85"/>
        <v>55.002483023980894</v>
      </c>
      <c r="W213" s="400">
        <f t="shared" si="86"/>
        <v>54.818043056241557</v>
      </c>
      <c r="X213" s="157">
        <f t="shared" si="87"/>
        <v>46951</v>
      </c>
      <c r="Y213" s="383">
        <f t="shared" si="88"/>
        <v>52.844781703389884</v>
      </c>
      <c r="Z213" s="383">
        <f t="shared" si="89"/>
        <v>56.462341333483195</v>
      </c>
      <c r="AA213" s="384">
        <f t="shared" si="90"/>
        <v>59.709716377353317</v>
      </c>
      <c r="AB213" s="197">
        <f t="shared" si="91"/>
        <v>46951</v>
      </c>
      <c r="AC213" s="119">
        <f>IF(OR(t&lt;Tnet,NoTnet),'2027'!Resal_s+('2027'!Salim-'2027'!Resal_s)*(1-EXP(('2027'!Tnet_s-t)/'2027'!Tau_j)),Resal_s+(Salim-Resal_s)*(1-EXP((Tnet_s-t)/Tau_j)))*Salcycl</f>
        <v>5.438604034471313E-2</v>
      </c>
      <c r="AD213" s="230">
        <f>(INDEX(Models!$BJ213:$BT213,,AH213)*(1-AF213)+INDEX(Models!$BJ213:$BT213,,AH213+1)*AF213-ERP_i)*AE213*Ramure*Pc/MaxiM</f>
        <v>-1.9493036937755797E-20</v>
      </c>
      <c r="AE213" s="304">
        <f t="shared" si="92"/>
        <v>0.6</v>
      </c>
      <c r="AF213" s="177">
        <f t="shared" si="93"/>
        <v>0.4124225496457532</v>
      </c>
      <c r="AG213" s="799">
        <f t="shared" si="99"/>
        <v>3</v>
      </c>
      <c r="AH213" s="176">
        <f t="shared" si="94"/>
        <v>9</v>
      </c>
      <c r="AI213" s="224">
        <f t="shared" si="95"/>
        <v>3.4124225496457532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46952</v>
      </c>
      <c r="B214" s="409">
        <f>IF(t&gt;Tmaj,'2027'!Wh/'2027'!Env_an*'2028'!Env_an,0.001*[9]mois!$B$260)</f>
        <v>42.972883261237932</v>
      </c>
      <c r="C214" s="829"/>
      <c r="D214" s="391">
        <f t="shared" si="77"/>
        <v>45.915528949040578</v>
      </c>
      <c r="E214" s="383">
        <f t="shared" si="75"/>
        <v>46.814128941330068</v>
      </c>
      <c r="F214" s="383">
        <f t="shared" si="78"/>
        <v>46.814128941330068</v>
      </c>
      <c r="G214" s="110">
        <f t="shared" si="76"/>
        <v>0.7827192849284127</v>
      </c>
      <c r="H214" s="412" t="b">
        <f>Wh_hp&gt;='2027'!Maxi_hp</f>
        <v>0</v>
      </c>
      <c r="I214" s="388">
        <f>IF(H214,Wh_hp,'2027'!Maxi_hp)</f>
        <v>60.093272883435894</v>
      </c>
      <c r="J214" s="85">
        <f>IF(H214,An,'2027'!An_max)</f>
        <v>2020</v>
      </c>
      <c r="K214" s="197">
        <f t="shared" si="79"/>
        <v>46952</v>
      </c>
      <c r="L214" s="147">
        <f>IF(t&lt;Tvie,1-EXP((T0-t)*PertePVj)+'2027'!Pspv,1-EXP((T0-t)*PertePVj)+Pspv)</f>
        <v>6.4088245418419176E-2</v>
      </c>
      <c r="M214" s="832"/>
      <c r="N214" s="832"/>
      <c r="O214" s="48">
        <f>IF(t&lt;Tnet,'2027'!Resal+('2027'!Salim-'2027'!Resal)*(1-EXP(('2027'!Tnet-t)/('2027'!Tau_j))),Resal+(Salim-Resal)*(1-EXP((Tnet-t)/(Tau_j))))*Salcycl</f>
        <v>1.9195059538876923E-2</v>
      </c>
      <c r="P214" s="169">
        <f>(INDEX(Models!$BJ214:$BT214,,T214)*(1-R214)+INDEX(Models!$BJ214:$BT214,,T214+1)*R214-ERP_i)*Q214*Ramure*Pc/MaxiM</f>
        <v>0</v>
      </c>
      <c r="Q214" s="304">
        <f t="shared" si="80"/>
        <v>0.6</v>
      </c>
      <c r="R214" s="177">
        <f t="shared" si="81"/>
        <v>0.89034591453733825</v>
      </c>
      <c r="S214" s="799">
        <f t="shared" si="82"/>
        <v>-1</v>
      </c>
      <c r="T214" s="176">
        <f t="shared" si="83"/>
        <v>5</v>
      </c>
      <c r="U214" s="250">
        <f t="shared" si="84"/>
        <v>-0.1096540854626617</v>
      </c>
      <c r="V214" s="382">
        <f t="shared" si="85"/>
        <v>54.9020371526533</v>
      </c>
      <c r="W214" s="400">
        <f t="shared" si="86"/>
        <v>42.972883261237932</v>
      </c>
      <c r="X214" s="157">
        <f t="shared" si="87"/>
        <v>46952</v>
      </c>
      <c r="Y214" s="383">
        <f t="shared" si="88"/>
        <v>41.427508098888396</v>
      </c>
      <c r="Z214" s="383">
        <f t="shared" si="89"/>
        <v>44.264331435189035</v>
      </c>
      <c r="AA214" s="384">
        <f t="shared" si="90"/>
        <v>46.814128941330068</v>
      </c>
      <c r="AB214" s="197">
        <f t="shared" si="91"/>
        <v>46952</v>
      </c>
      <c r="AC214" s="119">
        <f>IF(OR(t&lt;Tnet,NoTnet),'2027'!Resal_s+('2027'!Salim-'2027'!Resal_s)*(1-EXP(('2027'!Tnet_s-t)/'2027'!Tau_j)),Resal_s+(Salim-Resal_s)*(1-EXP((Tnet_s-t)/Tau_j)))*Salcycl</f>
        <v>5.4466409261540928E-2</v>
      </c>
      <c r="AD214" s="230">
        <f>(INDEX(Models!$BJ214:$BT214,,AH214)*(1-AF214)+INDEX(Models!$BJ214:$BT214,,AH214+1)*AF214-ERP_i)*AE214*Ramure*Pc/MaxiM</f>
        <v>1.953612006557277E-20</v>
      </c>
      <c r="AE214" s="304">
        <f t="shared" si="92"/>
        <v>0.6</v>
      </c>
      <c r="AF214" s="177">
        <f t="shared" si="93"/>
        <v>0.41533348091131694</v>
      </c>
      <c r="AG214" s="799">
        <f t="shared" si="99"/>
        <v>3</v>
      </c>
      <c r="AH214" s="176">
        <f t="shared" si="94"/>
        <v>9</v>
      </c>
      <c r="AI214" s="224">
        <f t="shared" si="95"/>
        <v>3.4153334809113169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46953</v>
      </c>
      <c r="B215" s="409">
        <f>IF(t&gt;Tmaj,'2027'!Wh/'2027'!Env_an*'2028'!Env_an,0.001*[9]mois!$B$261)</f>
        <v>43.069702597873722</v>
      </c>
      <c r="C215" s="829"/>
      <c r="D215" s="391">
        <f t="shared" si="77"/>
        <v>46.019860124497669</v>
      </c>
      <c r="E215" s="383">
        <f t="shared" si="75"/>
        <v>46.92617894094073</v>
      </c>
      <c r="F215" s="383">
        <f t="shared" si="78"/>
        <v>46.92617894094073</v>
      </c>
      <c r="G215" s="110">
        <f t="shared" si="76"/>
        <v>0.78593330449409471</v>
      </c>
      <c r="H215" s="412" t="b">
        <f>Wh_hp&gt;='2027'!Maxi_hp</f>
        <v>0</v>
      </c>
      <c r="I215" s="388">
        <f>IF(H215,Wh_hp,'2027'!Maxi_hp)</f>
        <v>59.221861562396249</v>
      </c>
      <c r="J215" s="85">
        <f>IF(H215,An,'2027'!An_max)</f>
        <v>2020</v>
      </c>
      <c r="K215" s="197">
        <f t="shared" si="79"/>
        <v>46953</v>
      </c>
      <c r="L215" s="147">
        <f>IF(t&lt;Tvie,1-EXP((T0-t)*PertePVj)+'2027'!Pspv,1-EXP((T0-t)*PertePVj)+Pspv)</f>
        <v>6.4106181953679897E-2</v>
      </c>
      <c r="M215" s="832"/>
      <c r="N215" s="832"/>
      <c r="O215" s="48">
        <f>IF(t&lt;Tnet,'2027'!Resal+('2027'!Salim-'2027'!Resal)*(1-EXP(('2027'!Tnet-t)/('2027'!Tau_j))),Resal+(Salim-Resal)*(1-EXP((Tnet-t)/(Tau_j))))*Salcycl</f>
        <v>1.9313714367916381E-2</v>
      </c>
      <c r="P215" s="169">
        <f>(INDEX(Models!$BJ215:$BT215,,T215)*(1-R215)+INDEX(Models!$BJ215:$BT215,,T215+1)*R215-ERP_i)*Q215*Ramure*Pc/MaxiM</f>
        <v>0</v>
      </c>
      <c r="Q215" s="304">
        <f t="shared" si="80"/>
        <v>0.6</v>
      </c>
      <c r="R215" s="177">
        <f t="shared" si="81"/>
        <v>0.89317839997277337</v>
      </c>
      <c r="S215" s="799">
        <f t="shared" si="82"/>
        <v>-1</v>
      </c>
      <c r="T215" s="176">
        <f t="shared" si="83"/>
        <v>5</v>
      </c>
      <c r="U215" s="250">
        <f t="shared" si="84"/>
        <v>-0.10682160002722657</v>
      </c>
      <c r="V215" s="382">
        <f t="shared" si="85"/>
        <v>54.800709362479161</v>
      </c>
      <c r="W215" s="400">
        <f t="shared" si="86"/>
        <v>43.069702597873722</v>
      </c>
      <c r="X215" s="157">
        <f t="shared" si="87"/>
        <v>46953</v>
      </c>
      <c r="Y215" s="383">
        <f t="shared" si="88"/>
        <v>41.522359672944802</v>
      </c>
      <c r="Z215" s="383">
        <f t="shared" si="89"/>
        <v>44.366528416250034</v>
      </c>
      <c r="AA215" s="384">
        <f t="shared" si="90"/>
        <v>46.92617894094073</v>
      </c>
      <c r="AB215" s="197">
        <f t="shared" si="91"/>
        <v>46953</v>
      </c>
      <c r="AC215" s="119">
        <f>IF(OR(t&lt;Tnet,NoTnet),'2027'!Resal_s+('2027'!Salim-'2027'!Resal_s)*(1-EXP(('2027'!Tnet_s-t)/'2027'!Tau_j)),Resal_s+(Salim-Resal_s)*(1-EXP((Tnet_s-t)/Tau_j)))*Salcycl</f>
        <v>5.4546323234886979E-2</v>
      </c>
      <c r="AD215" s="230">
        <f>(INDEX(Models!$BJ215:$BT215,,AH215)*(1-AF215)+INDEX(Models!$BJ215:$BT215,,AH215+1)*AF215-ERP_i)*AE215*Ramure*Pc/MaxiM</f>
        <v>0</v>
      </c>
      <c r="AE215" s="304">
        <f t="shared" si="92"/>
        <v>0.6</v>
      </c>
      <c r="AF215" s="177">
        <f t="shared" si="93"/>
        <v>0.41816596634675207</v>
      </c>
      <c r="AG215" s="799">
        <f t="shared" si="99"/>
        <v>3</v>
      </c>
      <c r="AH215" s="176">
        <f t="shared" si="94"/>
        <v>9</v>
      </c>
      <c r="AI215" s="224">
        <f t="shared" si="95"/>
        <v>3.4181659663467521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46954</v>
      </c>
      <c r="B216" s="409">
        <f>IF(t&gt;Tmaj,'2027'!Wh/'2027'!Env_an*'2028'!Env_an,0.001*[9]mois!$B$262)</f>
        <v>52.100487344528567</v>
      </c>
      <c r="C216" s="829"/>
      <c r="D216" s="391">
        <f t="shared" si="77"/>
        <v>55.670295981205122</v>
      </c>
      <c r="E216" s="383">
        <f t="shared" si="75"/>
        <v>56.773525960432131</v>
      </c>
      <c r="F216" s="383">
        <f t="shared" si="78"/>
        <v>56.773525960432131</v>
      </c>
      <c r="G216" s="110">
        <f t="shared" si="76"/>
        <v>0.95250304329432012</v>
      </c>
      <c r="H216" s="412" t="b">
        <f>Wh_hp&gt;='2027'!Maxi_hp</f>
        <v>1</v>
      </c>
      <c r="I216" s="388">
        <f>IF(H216,Wh_hp,'2027'!Maxi_hp)</f>
        <v>56.773525960432131</v>
      </c>
      <c r="J216" s="85">
        <f>IF(H216,An,'2027'!An_max)</f>
        <v>2028</v>
      </c>
      <c r="K216" s="197">
        <f t="shared" si="79"/>
        <v>46954</v>
      </c>
      <c r="L216" s="147">
        <f>IF(t&lt;Tvie,1-EXP((T0-t)*PertePVj)+'2027'!Pspv,1-EXP((T0-t)*PertePVj)+Pspv)</f>
        <v>6.4124118145191145E-2</v>
      </c>
      <c r="M216" s="832"/>
      <c r="N216" s="832"/>
      <c r="O216" s="48">
        <f>IF(t&lt;Tnet,'2027'!Resal+('2027'!Salim-'2027'!Resal)*(1-EXP(('2027'!Tnet-t)/('2027'!Tau_j))),Resal+(Salim-Resal)*(1-EXP((Tnet-t)/(Tau_j))))*Salcycl</f>
        <v>1.9432120175095297E-2</v>
      </c>
      <c r="P216" s="169">
        <f>(INDEX(Models!$BJ216:$BT216,,T216)*(1-R216)+INDEX(Models!$BJ216:$BT216,,T216+1)*R216-ERP_i)*Q216*Ramure*Pc/MaxiM</f>
        <v>0</v>
      </c>
      <c r="Q216" s="304">
        <f t="shared" si="80"/>
        <v>0.6</v>
      </c>
      <c r="R216" s="177">
        <f t="shared" si="81"/>
        <v>0.89593327273083334</v>
      </c>
      <c r="S216" s="799">
        <f t="shared" si="82"/>
        <v>-1</v>
      </c>
      <c r="T216" s="176">
        <f t="shared" si="83"/>
        <v>5</v>
      </c>
      <c r="U216" s="250">
        <f t="shared" si="84"/>
        <v>-0.1040667272691666</v>
      </c>
      <c r="V216" s="382">
        <f t="shared" si="85"/>
        <v>54.698499612488575</v>
      </c>
      <c r="W216" s="400">
        <f t="shared" si="86"/>
        <v>52.100487344528567</v>
      </c>
      <c r="X216" s="157">
        <f t="shared" si="87"/>
        <v>46954</v>
      </c>
      <c r="Y216" s="383">
        <f t="shared" si="88"/>
        <v>50.23054221572761</v>
      </c>
      <c r="Z216" s="383">
        <f t="shared" si="89"/>
        <v>53.672226402689091</v>
      </c>
      <c r="AA216" s="384">
        <f t="shared" si="90"/>
        <v>56.773525960432131</v>
      </c>
      <c r="AB216" s="197">
        <f t="shared" si="91"/>
        <v>46954</v>
      </c>
      <c r="AC216" s="119">
        <f>IF(OR(t&lt;Tnet,NoTnet),'2027'!Resal_s+('2027'!Salim-'2027'!Resal_s)*(1-EXP(('2027'!Tnet_s-t)/'2027'!Tau_j)),Resal_s+(Salim-Resal_s)*(1-EXP((Tnet_s-t)/Tau_j)))*Salcycl</f>
        <v>5.4625804990594912E-2</v>
      </c>
      <c r="AD216" s="230">
        <f>(INDEX(Models!$BJ216:$BT216,,AH216)*(1-AF216)+INDEX(Models!$BJ216:$BT216,,AH216+1)*AF216-ERP_i)*AE216*Ramure*Pc/MaxiM</f>
        <v>-1.9619566310446586E-20</v>
      </c>
      <c r="AE216" s="304">
        <f t="shared" si="92"/>
        <v>0.6</v>
      </c>
      <c r="AF216" s="177">
        <f t="shared" si="93"/>
        <v>0.42092083910481204</v>
      </c>
      <c r="AG216" s="799">
        <f t="shared" si="99"/>
        <v>3</v>
      </c>
      <c r="AH216" s="176">
        <f t="shared" si="94"/>
        <v>9</v>
      </c>
      <c r="AI216" s="224">
        <f t="shared" si="95"/>
        <v>3.420920839104812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46955</v>
      </c>
      <c r="B217" s="409">
        <f>IF(t&gt;Tmaj,'2027'!Wh/'2027'!Env_an*'2028'!Env_an,0.001*[9]mois!$B$263)</f>
        <v>43.790860167297176</v>
      </c>
      <c r="C217" s="829"/>
      <c r="D217" s="391">
        <f t="shared" si="77"/>
        <v>46.792208533502929</v>
      </c>
      <c r="E217" s="383">
        <f t="shared" si="75"/>
        <v>47.725250698076493</v>
      </c>
      <c r="F217" s="383">
        <f t="shared" si="78"/>
        <v>47.725250698076493</v>
      </c>
      <c r="G217" s="110">
        <f t="shared" si="76"/>
        <v>0.8020978663704551</v>
      </c>
      <c r="H217" s="412" t="b">
        <f>Wh_hp&gt;='2027'!Maxi_hp</f>
        <v>0</v>
      </c>
      <c r="I217" s="388">
        <f>IF(H217,Wh_hp,'2027'!Maxi_hp)</f>
        <v>55.683659624670192</v>
      </c>
      <c r="J217" s="85">
        <f>IF(H217,An,'2027'!An_max)</f>
        <v>2021</v>
      </c>
      <c r="K217" s="197">
        <f t="shared" si="79"/>
        <v>46955</v>
      </c>
      <c r="L217" s="147">
        <f>IF(t&lt;Tvie,1-EXP((T0-t)*PertePVj)+'2027'!Pspv,1-EXP((T0-t)*PertePVj)+Pspv)</f>
        <v>6.4142053992959247E-2</v>
      </c>
      <c r="M217" s="832"/>
      <c r="N217" s="832"/>
      <c r="O217" s="48">
        <f>IF(t&lt;Tnet,'2027'!Resal+('2027'!Salim-'2027'!Resal)*(1-EXP(('2027'!Tnet-t)/('2027'!Tau_j))),Resal+(Salim-Resal)*(1-EXP((Tnet-t)/(Tau_j))))*Salcycl</f>
        <v>1.9550283150449047E-2</v>
      </c>
      <c r="P217" s="169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0.89861144838811247</v>
      </c>
      <c r="S217" s="799">
        <f t="shared" si="82"/>
        <v>-1</v>
      </c>
      <c r="T217" s="176">
        <f t="shared" si="83"/>
        <v>5</v>
      </c>
      <c r="U217" s="250">
        <f t="shared" si="84"/>
        <v>-0.10138855161188748</v>
      </c>
      <c r="V217" s="382">
        <f t="shared" si="85"/>
        <v>54.595407871428037</v>
      </c>
      <c r="W217" s="400">
        <f t="shared" si="86"/>
        <v>43.790860167297176</v>
      </c>
      <c r="X217" s="157">
        <f t="shared" si="87"/>
        <v>46955</v>
      </c>
      <c r="Y217" s="383">
        <f t="shared" si="88"/>
        <v>42.220713477808168</v>
      </c>
      <c r="Z217" s="383">
        <f t="shared" si="89"/>
        <v>45.114446757596404</v>
      </c>
      <c r="AA217" s="384">
        <f t="shared" si="90"/>
        <v>47.725250698076493</v>
      </c>
      <c r="AB217" s="197">
        <f t="shared" si="91"/>
        <v>46955</v>
      </c>
      <c r="AC217" s="119">
        <f>IF(OR(t&lt;Tnet,NoTnet),'2027'!Resal_s+('2027'!Salim-'2027'!Resal_s)*(1-EXP(('2027'!Tnet_s-t)/'2027'!Tau_j)),Resal_s+(Salim-Resal_s)*(1-EXP((Tnet_s-t)/Tau_j)))*Salcycl</f>
        <v>5.4704876397544289E-2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0.42359901476209094</v>
      </c>
      <c r="AG217" s="799">
        <f t="shared" si="99"/>
        <v>3</v>
      </c>
      <c r="AH217" s="176">
        <f t="shared" si="94"/>
        <v>9</v>
      </c>
      <c r="AI217" s="224">
        <f t="shared" si="95"/>
        <v>3.4235990147620909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46956</v>
      </c>
      <c r="B218" s="409">
        <f>IF(t&gt;Tmaj,'2027'!Wh/'2027'!Env_an*'2028'!Env_an,0.001*[9]mois!$B$264)</f>
        <v>43.744301325627099</v>
      </c>
      <c r="C218" s="829"/>
      <c r="D218" s="391">
        <f t="shared" si="77"/>
        <v>46.743354456617823</v>
      </c>
      <c r="E218" s="383">
        <f t="shared" si="75"/>
        <v>47.681157440815831</v>
      </c>
      <c r="F218" s="383">
        <f t="shared" si="78"/>
        <v>47.681157440815831</v>
      </c>
      <c r="G218" s="110">
        <f t="shared" si="76"/>
        <v>0.80277390443400343</v>
      </c>
      <c r="H218" s="412" t="b">
        <f>Wh_hp&gt;='2027'!Maxi_hp</f>
        <v>0</v>
      </c>
      <c r="I218" s="388">
        <f>IF(H218,Wh_hp,'2027'!Maxi_hp)</f>
        <v>57.020157721480658</v>
      </c>
      <c r="J218" s="85">
        <f>IF(H218,An,'2027'!An_max)</f>
        <v>2018</v>
      </c>
      <c r="K218" s="197">
        <f t="shared" si="79"/>
        <v>46956</v>
      </c>
      <c r="L218" s="147">
        <f>IF(t&lt;Tvie,1-EXP((T0-t)*PertePVj)+'2027'!Pspv,1-EXP((T0-t)*PertePVj)+Pspv)</f>
        <v>6.4159989496990977E-2</v>
      </c>
      <c r="M218" s="832"/>
      <c r="N218" s="832"/>
      <c r="O218" s="48">
        <f>IF(t&lt;Tnet,'2027'!Resal+('2027'!Salim-'2027'!Resal)*(1-EXP(('2027'!Tnet-t)/('2027'!Tau_j))),Resal+(Salim-Resal)*(1-EXP((Tnet-t)/(Tau_j))))*Salcycl</f>
        <v>1.9668209299702078E-2</v>
      </c>
      <c r="P218" s="169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0.90121391814924467</v>
      </c>
      <c r="S218" s="799">
        <f t="shared" si="82"/>
        <v>-1</v>
      </c>
      <c r="T218" s="176">
        <f t="shared" si="83"/>
        <v>5</v>
      </c>
      <c r="U218" s="250">
        <f t="shared" si="84"/>
        <v>-9.8786081850755381E-2</v>
      </c>
      <c r="V218" s="382">
        <f t="shared" si="85"/>
        <v>54.491434118637748</v>
      </c>
      <c r="W218" s="400">
        <f t="shared" si="86"/>
        <v>43.744301325627099</v>
      </c>
      <c r="X218" s="157">
        <f t="shared" si="87"/>
        <v>46956</v>
      </c>
      <c r="Y218" s="383">
        <f t="shared" si="88"/>
        <v>42.177386505866998</v>
      </c>
      <c r="Z218" s="383">
        <f t="shared" si="89"/>
        <v>45.069013968741174</v>
      </c>
      <c r="AA218" s="384">
        <f t="shared" si="90"/>
        <v>47.681157440815831</v>
      </c>
      <c r="AB218" s="197">
        <f t="shared" si="91"/>
        <v>46956</v>
      </c>
      <c r="AC218" s="119">
        <f>IF(OR(t&lt;Tnet,NoTnet),'2027'!Resal_s+('2027'!Salim-'2027'!Resal_s)*(1-EXP(('2027'!Tnet_s-t)/'2027'!Tau_j)),Resal_s+(Salim-Resal_s)*(1-EXP((Tnet_s-t)/Tau_j)))*Salcycl</f>
        <v>5.4783558375590458E-2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0.42620148452322315</v>
      </c>
      <c r="AG218" s="799">
        <f t="shared" si="99"/>
        <v>3</v>
      </c>
      <c r="AH218" s="176">
        <f t="shared" si="94"/>
        <v>9</v>
      </c>
      <c r="AI218" s="224">
        <f t="shared" si="95"/>
        <v>3.4262014845232232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46957</v>
      </c>
      <c r="B219" s="409">
        <f>IF(t&gt;Tmaj,'2027'!Wh/'2027'!Env_an*'2028'!Env_an,0.001*[9]mois!$B$265)</f>
        <v>52.345943270799559</v>
      </c>
      <c r="C219" s="829"/>
      <c r="D219" s="391">
        <f t="shared" si="77"/>
        <v>55.935785925577754</v>
      </c>
      <c r="E219" s="383">
        <f t="shared" si="75"/>
        <v>57.064865907333981</v>
      </c>
      <c r="F219" s="383">
        <f t="shared" si="78"/>
        <v>57.064865907333981</v>
      </c>
      <c r="G219" s="110">
        <f t="shared" si="76"/>
        <v>0.96247528086777856</v>
      </c>
      <c r="H219" s="412" t="b">
        <f>Wh_hp&gt;='2027'!Maxi_hp</f>
        <v>0</v>
      </c>
      <c r="I219" s="388">
        <f>IF(H219,Wh_hp,'2027'!Maxi_hp)</f>
        <v>57.130225133334037</v>
      </c>
      <c r="J219" s="85">
        <f>IF(H219,An,'2027'!An_max)</f>
        <v>2018</v>
      </c>
      <c r="K219" s="197">
        <f t="shared" si="79"/>
        <v>46957</v>
      </c>
      <c r="L219" s="147">
        <f>IF(t&lt;Tvie,1-EXP((T0-t)*PertePVj)+'2027'!Pspv,1-EXP((T0-t)*PertePVj)+Pspv)</f>
        <v>6.4177924657292884E-2</v>
      </c>
      <c r="M219" s="832"/>
      <c r="N219" s="832"/>
      <c r="O219" s="48">
        <f>IF(t&lt;Tnet,'2027'!Resal+('2027'!Salim-'2027'!Resal)*(1-EXP(('2027'!Tnet-t)/('2027'!Tau_j))),Resal+(Salim-Resal)*(1-EXP((Tnet-t)/(Tau_j))))*Salcycl</f>
        <v>1.9785904405518275E-2</v>
      </c>
      <c r="P219" s="169">
        <f>(INDEX(Models!$BJ219:$BT219,,T219)*(1-R219)+INDEX(Models!$BJ219:$BT219,,T219+1)*R219-ERP_i)*Q219*Ramure*Pc/MaxiM</f>
        <v>0</v>
      </c>
      <c r="Q219" s="304">
        <f t="shared" si="80"/>
        <v>0.6</v>
      </c>
      <c r="R219" s="177">
        <f t="shared" si="81"/>
        <v>0.90374174219212189</v>
      </c>
      <c r="S219" s="799">
        <f t="shared" si="82"/>
        <v>-1</v>
      </c>
      <c r="T219" s="176">
        <f t="shared" si="83"/>
        <v>5</v>
      </c>
      <c r="U219" s="250">
        <f t="shared" si="84"/>
        <v>-9.6258257807878111E-2</v>
      </c>
      <c r="V219" s="382">
        <f t="shared" si="85"/>
        <v>54.386792379336605</v>
      </c>
      <c r="W219" s="400">
        <f t="shared" si="86"/>
        <v>52.345943270799559</v>
      </c>
      <c r="X219" s="157">
        <f t="shared" si="87"/>
        <v>46957</v>
      </c>
      <c r="Y219" s="383">
        <f t="shared" si="88"/>
        <v>50.472796826535102</v>
      </c>
      <c r="Z219" s="383">
        <f t="shared" si="89"/>
        <v>53.9341806059143</v>
      </c>
      <c r="AA219" s="384">
        <f t="shared" si="90"/>
        <v>57.064865907333981</v>
      </c>
      <c r="AB219" s="197">
        <f t="shared" si="91"/>
        <v>46957</v>
      </c>
      <c r="AC219" s="119">
        <f>IF(OR(t&lt;Tnet,NoTnet),'2027'!Resal_s+('2027'!Salim-'2027'!Resal_s)*(1-EXP(('2027'!Tnet_s-t)/'2027'!Tau_j)),Resal_s+(Salim-Resal_s)*(1-EXP((Tnet_s-t)/Tau_j)))*Salcycl</f>
        <v>5.4861870813882538E-2</v>
      </c>
      <c r="AD219" s="230">
        <f>(INDEX(Models!$BJ219:$BT219,,AH219)*(1-AF219)+INDEX(Models!$BJ219:$BT219,,AH219+1)*AF219-ERP_i)*AE219*Ramure*Pc/MaxiM</f>
        <v>0</v>
      </c>
      <c r="AE219" s="304">
        <f t="shared" si="92"/>
        <v>0.6</v>
      </c>
      <c r="AF219" s="177">
        <f t="shared" si="93"/>
        <v>0.42872930856610036</v>
      </c>
      <c r="AG219" s="799">
        <f t="shared" si="99"/>
        <v>3</v>
      </c>
      <c r="AH219" s="176">
        <f t="shared" si="94"/>
        <v>9</v>
      </c>
      <c r="AI219" s="224">
        <f t="shared" si="95"/>
        <v>3.4287293085661004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46958</v>
      </c>
      <c r="B220" s="409">
        <f>IF(t&gt;Tmaj,'2027'!Wh/'2027'!Env_an*'2028'!Env_an,0.001*[9]mois!$B$266)</f>
        <v>25.70758777327897</v>
      </c>
      <c r="C220" s="829"/>
      <c r="D220" s="391">
        <f t="shared" si="77"/>
        <v>27.471119927750724</v>
      </c>
      <c r="E220" s="383">
        <f t="shared" si="75"/>
        <v>28.028991426733494</v>
      </c>
      <c r="F220" s="383">
        <f t="shared" si="78"/>
        <v>28.028991426733494</v>
      </c>
      <c r="G220" s="110">
        <f t="shared" si="76"/>
        <v>0.47359645295049035</v>
      </c>
      <c r="H220" s="412" t="b">
        <f>Wh_hp&gt;='2027'!Maxi_hp</f>
        <v>0</v>
      </c>
      <c r="I220" s="388">
        <f>IF(H220,Wh_hp,'2027'!Maxi_hp)</f>
        <v>58.039813998105629</v>
      </c>
      <c r="J220" s="85">
        <f>IF(H220,An,'2027'!An_max)</f>
        <v>2018</v>
      </c>
      <c r="K220" s="197">
        <f t="shared" si="79"/>
        <v>46958</v>
      </c>
      <c r="L220" s="147">
        <f>IF(t&lt;Tvie,1-EXP((T0-t)*PertePVj)+'2027'!Pspv,1-EXP((T0-t)*PertePVj)+Pspv)</f>
        <v>6.4195859473871408E-2</v>
      </c>
      <c r="M220" s="832"/>
      <c r="N220" s="832"/>
      <c r="O220" s="48">
        <f>IF(t&lt;Tnet,'2027'!Resal+('2027'!Salim-'2027'!Resal)*(1-EXP(('2027'!Tnet-t)/('2027'!Tau_j))),Resal+(Salim-Resal)*(1-EXP((Tnet-t)/(Tau_j))))*Salcycl</f>
        <v>1.9903373991926165E-2</v>
      </c>
      <c r="P220" s="169">
        <f>(INDEX(Models!$BJ220:$BT220,,T220)*(1-R220)+INDEX(Models!$BJ220:$BT220,,T220+1)*R220-ERP_i)*Q220*Ramure*Pc/MaxiM</f>
        <v>1.977765749232536E-20</v>
      </c>
      <c r="Q220" s="304">
        <f t="shared" si="80"/>
        <v>0.6</v>
      </c>
      <c r="R220" s="177">
        <f t="shared" si="81"/>
        <v>0.90619604317925684</v>
      </c>
      <c r="S220" s="799">
        <f t="shared" si="82"/>
        <v>-1</v>
      </c>
      <c r="T220" s="176">
        <f t="shared" si="83"/>
        <v>5</v>
      </c>
      <c r="U220" s="250">
        <f t="shared" si="84"/>
        <v>-9.3803956820743106E-2</v>
      </c>
      <c r="V220" s="382">
        <f t="shared" si="85"/>
        <v>54.281630728274131</v>
      </c>
      <c r="W220" s="400">
        <f t="shared" si="86"/>
        <v>25.70758777327897</v>
      </c>
      <c r="X220" s="157">
        <f t="shared" si="87"/>
        <v>46958</v>
      </c>
      <c r="Y220" s="383">
        <f t="shared" si="88"/>
        <v>24.788593861397381</v>
      </c>
      <c r="Z220" s="383">
        <f t="shared" si="89"/>
        <v>26.489083332609233</v>
      </c>
      <c r="AA220" s="384">
        <f t="shared" si="90"/>
        <v>28.028991426733494</v>
      </c>
      <c r="AB220" s="197">
        <f t="shared" si="91"/>
        <v>46958</v>
      </c>
      <c r="AC220" s="119">
        <f>IF(OR(t&lt;Tnet,NoTnet),'2027'!Resal_s+('2027'!Salim-'2027'!Resal_s)*(1-EXP(('2027'!Tnet_s-t)/'2027'!Tau_j)),Resal_s+(Salim-Resal_s)*(1-EXP((Tnet_s-t)/Tau_j)))*Salcycl</f>
        <v>5.4939832499842564E-2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0.43118360955323531</v>
      </c>
      <c r="AG220" s="799">
        <f t="shared" si="99"/>
        <v>3</v>
      </c>
      <c r="AH220" s="176">
        <f t="shared" si="94"/>
        <v>9</v>
      </c>
      <c r="AI220" s="224">
        <f t="shared" si="95"/>
        <v>3.4311836095532353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46959</v>
      </c>
      <c r="B221" s="409">
        <f>IF(t&gt;Tmaj,'2027'!Wh/'2027'!Env_an*'2028'!Env_an,0.001*[9]mois!$B$267)</f>
        <v>54.584660787022855</v>
      </c>
      <c r="C221" s="829"/>
      <c r="D221" s="391">
        <f t="shared" si="77"/>
        <v>58.33026863821479</v>
      </c>
      <c r="E221" s="383">
        <f t="shared" si="75"/>
        <v>59.521934873943671</v>
      </c>
      <c r="F221" s="383">
        <f t="shared" si="78"/>
        <v>59.521934873943671</v>
      </c>
      <c r="G221" s="110">
        <f t="shared" si="76"/>
        <v>1.0075459914600897</v>
      </c>
      <c r="H221" s="412" t="b">
        <f>Wh_hp&gt;='2027'!Maxi_hp</f>
        <v>1</v>
      </c>
      <c r="I221" s="388">
        <f>IF(H221,Wh_hp,'2027'!Maxi_hp)</f>
        <v>59.521934873943671</v>
      </c>
      <c r="J221" s="85">
        <f>IF(H221,An,'2027'!An_max)</f>
        <v>2028</v>
      </c>
      <c r="K221" s="197">
        <f t="shared" si="79"/>
        <v>46959</v>
      </c>
      <c r="L221" s="147">
        <f>IF(t&lt;Tvie,1-EXP((T0-t)*PertePVj)+'2027'!Pspv,1-EXP((T0-t)*PertePVj)+Pspv)</f>
        <v>6.4213793946733433E-2</v>
      </c>
      <c r="M221" s="832"/>
      <c r="N221" s="832"/>
      <c r="O221" s="48">
        <f>IF(t&lt;Tnet,'2027'!Resal+('2027'!Salim-'2027'!Resal)*(1-EXP(('2027'!Tnet-t)/('2027'!Tau_j))),Resal+(Salim-Resal)*(1-EXP((Tnet-t)/(Tau_j))))*Salcycl</f>
        <v>2.0020623292112471E-2</v>
      </c>
      <c r="P221" s="169">
        <f>(INDEX(Models!$BJ221:$BT221,,T221)*(1-R221)+INDEX(Models!$BJ221:$BT221,,T221+1)*R221-ERP_i)*Q221*Ramure*Pc/MaxiM</f>
        <v>0</v>
      </c>
      <c r="Q221" s="304">
        <f t="shared" si="80"/>
        <v>0.6</v>
      </c>
      <c r="R221" s="177">
        <f t="shared" si="81"/>
        <v>0.90857799995711575</v>
      </c>
      <c r="S221" s="799">
        <f t="shared" si="82"/>
        <v>-1</v>
      </c>
      <c r="T221" s="176">
        <f t="shared" si="83"/>
        <v>5</v>
      </c>
      <c r="U221" s="250">
        <f t="shared" si="84"/>
        <v>-9.1422000042884199E-2</v>
      </c>
      <c r="V221" s="382">
        <f t="shared" si="85"/>
        <v>54.175850283440909</v>
      </c>
      <c r="W221" s="400">
        <f t="shared" si="86"/>
        <v>54.584660787022855</v>
      </c>
      <c r="X221" s="157">
        <f t="shared" si="87"/>
        <v>46959</v>
      </c>
      <c r="Y221" s="383">
        <f t="shared" si="88"/>
        <v>52.635343726351351</v>
      </c>
      <c r="Z221" s="383">
        <f t="shared" si="89"/>
        <v>56.247189139861348</v>
      </c>
      <c r="AA221" s="384">
        <f t="shared" si="90"/>
        <v>59.521934873943671</v>
      </c>
      <c r="AB221" s="197">
        <f t="shared" si="91"/>
        <v>46959</v>
      </c>
      <c r="AC221" s="119">
        <f>IF(OR(t&lt;Tnet,NoTnet),'2027'!Resal_s+('2027'!Salim-'2027'!Resal_s)*(1-EXP(('2027'!Tnet_s-t)/'2027'!Tau_j)),Resal_s+(Salim-Resal_s)*(1-EXP((Tnet_s-t)/Tau_j)))*Salcycl</f>
        <v>5.5017461058979707E-2</v>
      </c>
      <c r="AD221" s="230">
        <f>(INDEX(Models!$BJ221:$BT221,,AH221)*(1-AF221)+INDEX(Models!$BJ221:$BT221,,AH221+1)*AF221-ERP_i)*AE221*Ramure*Pc/MaxiM</f>
        <v>0</v>
      </c>
      <c r="AE221" s="304">
        <f t="shared" si="92"/>
        <v>0.6</v>
      </c>
      <c r="AF221" s="177">
        <f t="shared" si="93"/>
        <v>0.43356556633109422</v>
      </c>
      <c r="AG221" s="799">
        <f t="shared" si="99"/>
        <v>3</v>
      </c>
      <c r="AH221" s="176">
        <f t="shared" si="94"/>
        <v>9</v>
      </c>
      <c r="AI221" s="224">
        <f t="shared" si="95"/>
        <v>3.4335655663310942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46960</v>
      </c>
      <c r="B222" s="409">
        <f>IF(t&gt;Tmaj,'2027'!Wh/'2027'!Env_an*'2028'!Env_an,0.001*[9]mois!$B$268)</f>
        <v>55.97000490103445</v>
      </c>
      <c r="C222" s="829"/>
      <c r="D222" s="391">
        <f t="shared" si="77"/>
        <v>59.811821559144811</v>
      </c>
      <c r="E222" s="383">
        <f t="shared" si="75"/>
        <v>61.041045203793374</v>
      </c>
      <c r="F222" s="383">
        <f t="shared" si="78"/>
        <v>61.041045203793374</v>
      </c>
      <c r="G222" s="110">
        <f t="shared" si="76"/>
        <v>1.0351521256731888</v>
      </c>
      <c r="H222" s="412" t="b">
        <f>Wh_hp&gt;='2027'!Maxi_hp</f>
        <v>1</v>
      </c>
      <c r="I222" s="388">
        <f>IF(H222,Wh_hp,'2027'!Maxi_hp)</f>
        <v>61.041045203793374</v>
      </c>
      <c r="J222" s="85">
        <f>IF(H222,An,'2027'!An_max)</f>
        <v>2028</v>
      </c>
      <c r="K222" s="197">
        <f t="shared" si="79"/>
        <v>46960</v>
      </c>
      <c r="L222" s="147">
        <f>IF(t&lt;Tvie,1-EXP((T0-t)*PertePVj)+'2027'!Pspv,1-EXP((T0-t)*PertePVj)+Pspv)</f>
        <v>6.4231728075885286E-2</v>
      </c>
      <c r="M222" s="832"/>
      <c r="N222" s="832"/>
      <c r="O222" s="48">
        <f>IF(t&lt;Tnet,'2027'!Resal+('2027'!Salim-'2027'!Resal)*(1-EXP(('2027'!Tnet-t)/('2027'!Tau_j))),Resal+(Salim-Resal)*(1-EXP((Tnet-t)/(Tau_j))))*Salcycl</f>
        <v>2.0137657219738671E-2</v>
      </c>
      <c r="P222" s="169">
        <f>(INDEX(Models!$BJ222:$BT222,,T222)*(1-R222)+INDEX(Models!$BJ222:$BT222,,T222+1)*R222-ERP_i)*Q222*Ramure*Pc/MaxiM</f>
        <v>0</v>
      </c>
      <c r="Q222" s="304">
        <f t="shared" si="80"/>
        <v>0.6</v>
      </c>
      <c r="R222" s="177">
        <f t="shared" si="81"/>
        <v>0.91088884146208171</v>
      </c>
      <c r="S222" s="799">
        <f t="shared" si="82"/>
        <v>-1</v>
      </c>
      <c r="T222" s="176">
        <f t="shared" si="83"/>
        <v>5</v>
      </c>
      <c r="U222" s="250">
        <f t="shared" si="84"/>
        <v>-8.9111158537918345E-2</v>
      </c>
      <c r="V222" s="382">
        <f t="shared" si="85"/>
        <v>54.069352236161002</v>
      </c>
      <c r="W222" s="400">
        <f t="shared" si="86"/>
        <v>55.97000490103445</v>
      </c>
      <c r="X222" s="157">
        <f t="shared" si="87"/>
        <v>46960</v>
      </c>
      <c r="Y222" s="383">
        <f t="shared" si="88"/>
        <v>53.973244896243898</v>
      </c>
      <c r="Z222" s="383">
        <f t="shared" si="89"/>
        <v>57.67800268036958</v>
      </c>
      <c r="AA222" s="384">
        <f t="shared" si="90"/>
        <v>61.041045203793374</v>
      </c>
      <c r="AB222" s="197">
        <f t="shared" si="91"/>
        <v>46960</v>
      </c>
      <c r="AC222" s="119">
        <f>IF(OR(t&lt;Tnet,NoTnet),'2027'!Resal_s+('2027'!Salim-'2027'!Resal_s)*(1-EXP(('2027'!Tnet_s-t)/'2027'!Tau_j)),Resal_s+(Salim-Resal_s)*(1-EXP((Tnet_s-t)/Tau_j)))*Salcycl</f>
        <v>5.5094772905605445E-2</v>
      </c>
      <c r="AD222" s="230">
        <f>(INDEX(Models!$BJ222:$BT222,,AH222)*(1-AF222)+INDEX(Models!$BJ222:$BT222,,AH222+1)*AF222-ERP_i)*AE222*Ramure*Pc/MaxiM</f>
        <v>0</v>
      </c>
      <c r="AE222" s="304">
        <f t="shared" si="92"/>
        <v>0.6</v>
      </c>
      <c r="AF222" s="177">
        <f t="shared" si="93"/>
        <v>0.43587640783605996</v>
      </c>
      <c r="AG222" s="799">
        <f t="shared" si="99"/>
        <v>3</v>
      </c>
      <c r="AH222" s="176">
        <f t="shared" si="94"/>
        <v>9</v>
      </c>
      <c r="AI222" s="224">
        <f t="shared" si="95"/>
        <v>3.43587640783606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46961</v>
      </c>
      <c r="B223" s="409">
        <f>IF(t&gt;Tmaj,'2027'!Wh/'2027'!Env_an*'2028'!Env_an,0.001*[9]mois!$B$269)</f>
        <v>42.384162164962873</v>
      </c>
      <c r="C223" s="829"/>
      <c r="D223" s="391">
        <f t="shared" si="77"/>
        <v>45.29430601037312</v>
      </c>
      <c r="E223" s="383">
        <f t="shared" si="75"/>
        <v>46.230684500880955</v>
      </c>
      <c r="F223" s="383">
        <f t="shared" si="78"/>
        <v>46.230684500880955</v>
      </c>
      <c r="G223" s="110">
        <f t="shared" si="76"/>
        <v>0.78544406126196087</v>
      </c>
      <c r="H223" s="412" t="b">
        <f>Wh_hp&gt;='2027'!Maxi_hp</f>
        <v>0</v>
      </c>
      <c r="I223" s="388">
        <f>IF(H223,Wh_hp,'2027'!Maxi_hp)</f>
        <v>56.607198272356136</v>
      </c>
      <c r="J223" s="85">
        <f>IF(H223,An,'2027'!An_max)</f>
        <v>2020</v>
      </c>
      <c r="K223" s="197">
        <f t="shared" si="79"/>
        <v>46961</v>
      </c>
      <c r="L223" s="147">
        <f>IF(t&lt;Tvie,1-EXP((T0-t)*PertePVj)+'2027'!Pspv,1-EXP((T0-t)*PertePVj)+Pspv)</f>
        <v>6.4249661861333629E-2</v>
      </c>
      <c r="M223" s="832"/>
      <c r="N223" s="832"/>
      <c r="O223" s="48">
        <f>IF(t&lt;Tnet,'2027'!Resal+('2027'!Salim-'2027'!Resal)*(1-EXP(('2027'!Tnet-t)/('2027'!Tau_j))),Resal+(Salim-Resal)*(1-EXP((Tnet-t)/(Tau_j))))*Salcycl</f>
        <v>2.0254480343893485E-2</v>
      </c>
      <c r="P223" s="169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0.91312984084866322</v>
      </c>
      <c r="S223" s="799">
        <f t="shared" si="82"/>
        <v>-1</v>
      </c>
      <c r="T223" s="176">
        <f t="shared" si="83"/>
        <v>5</v>
      </c>
      <c r="U223" s="250">
        <f t="shared" si="84"/>
        <v>-8.6870159151336834E-2</v>
      </c>
      <c r="V223" s="382">
        <f t="shared" si="85"/>
        <v>53.962037852657382</v>
      </c>
      <c r="W223" s="400">
        <f t="shared" si="86"/>
        <v>42.384162164962873</v>
      </c>
      <c r="X223" s="157">
        <f t="shared" si="87"/>
        <v>46961</v>
      </c>
      <c r="Y223" s="383">
        <f t="shared" si="88"/>
        <v>40.873626421637844</v>
      </c>
      <c r="Z223" s="383">
        <f t="shared" si="89"/>
        <v>43.680055198207036</v>
      </c>
      <c r="AA223" s="384">
        <f t="shared" si="90"/>
        <v>46.230684500880955</v>
      </c>
      <c r="AB223" s="197">
        <f t="shared" si="91"/>
        <v>46961</v>
      </c>
      <c r="AC223" s="119">
        <f>IF(OR(t&lt;Tnet,NoTnet),'2027'!Resal_s+('2027'!Salim-'2027'!Resal_s)*(1-EXP(('2027'!Tnet_s-t)/'2027'!Tau_j)),Resal_s+(Salim-Resal_s)*(1-EXP((Tnet_s-t)/Tau_j)))*Salcycl</f>
        <v>5.5171783204406466E-2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0.43811740722264148</v>
      </c>
      <c r="AG223" s="799">
        <f t="shared" si="99"/>
        <v>3</v>
      </c>
      <c r="AH223" s="176">
        <f t="shared" si="94"/>
        <v>9</v>
      </c>
      <c r="AI223" s="224">
        <f t="shared" si="95"/>
        <v>3.4381174072226415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46962</v>
      </c>
      <c r="B224" s="409">
        <f>IF(t&gt;Tmaj,'2027'!Wh/'2027'!Env_an*'2028'!Env_an,0.001*[9]mois!$B$270)</f>
        <v>29.340101669950904</v>
      </c>
      <c r="C224" s="829"/>
      <c r="D224" s="391">
        <f t="shared" si="77"/>
        <v>31.355226689465997</v>
      </c>
      <c r="E224" s="383">
        <f t="shared" si="75"/>
        <v>32.007249468866618</v>
      </c>
      <c r="F224" s="383">
        <f t="shared" si="78"/>
        <v>32.007249468866618</v>
      </c>
      <c r="G224" s="110">
        <f t="shared" si="76"/>
        <v>0.54481015365298768</v>
      </c>
      <c r="H224" s="412" t="b">
        <f>Wh_hp&gt;='2027'!Maxi_hp</f>
        <v>0</v>
      </c>
      <c r="I224" s="388">
        <f>IF(H224,Wh_hp,'2027'!Maxi_hp)</f>
        <v>59.144534762584179</v>
      </c>
      <c r="J224" s="85">
        <f>IF(H224,An,'2027'!An_max)</f>
        <v>2018</v>
      </c>
      <c r="K224" s="197">
        <f t="shared" si="79"/>
        <v>46962</v>
      </c>
      <c r="L224" s="147">
        <f>IF(t&lt;Tvie,1-EXP((T0-t)*PertePVj)+'2027'!Pspv,1-EXP((T0-t)*PertePVj)+Pspv)</f>
        <v>6.4267595303085123E-2</v>
      </c>
      <c r="M224" s="832"/>
      <c r="N224" s="832"/>
      <c r="O224" s="48">
        <f>IF(t&lt;Tnet,'2027'!Resal+('2027'!Salim-'2027'!Resal)*(1-EXP(('2027'!Tnet-t)/('2027'!Tau_j))),Resal+(Salim-Resal)*(1-EXP((Tnet-t)/(Tau_j))))*Salcycl</f>
        <v>2.0371096867753076E-2</v>
      </c>
      <c r="P224" s="169">
        <f>(INDEX(Models!$BJ224:$BT224,,T224)*(1-R224)+INDEX(Models!$BJ224:$BT224,,T224+1)*R224-ERP_i)*Q224*Ramure*Pc/MaxiM</f>
        <v>0</v>
      </c>
      <c r="Q224" s="304">
        <f t="shared" si="80"/>
        <v>0.6</v>
      </c>
      <c r="R224" s="177">
        <f t="shared" si="81"/>
        <v>0.91530230985269656</v>
      </c>
      <c r="S224" s="799">
        <f t="shared" si="82"/>
        <v>-1</v>
      </c>
      <c r="T224" s="176">
        <f t="shared" si="83"/>
        <v>5</v>
      </c>
      <c r="U224" s="250">
        <f t="shared" si="84"/>
        <v>-8.4697690147303439E-2</v>
      </c>
      <c r="V224" s="382">
        <f t="shared" si="85"/>
        <v>53.853808474793659</v>
      </c>
      <c r="W224" s="400">
        <f t="shared" si="86"/>
        <v>29.340101669950904</v>
      </c>
      <c r="X224" s="157">
        <f t="shared" si="87"/>
        <v>46962</v>
      </c>
      <c r="Y224" s="383">
        <f t="shared" si="88"/>
        <v>28.295515580220119</v>
      </c>
      <c r="Z224" s="383">
        <f t="shared" si="89"/>
        <v>30.238896759576342</v>
      </c>
      <c r="AA224" s="384">
        <f t="shared" si="90"/>
        <v>32.007249468866618</v>
      </c>
      <c r="AB224" s="197">
        <f t="shared" si="91"/>
        <v>46962</v>
      </c>
      <c r="AC224" s="119">
        <f>IF(OR(t&lt;Tnet,NoTnet),'2027'!Resal_s+('2027'!Salim-'2027'!Resal_s)*(1-EXP(('2027'!Tnet_s-t)/'2027'!Tau_j)),Resal_s+(Salim-Resal_s)*(1-EXP((Tnet_s-t)/Tau_j)))*Salcycl</f>
        <v>5.5248505842726385E-2</v>
      </c>
      <c r="AD224" s="230">
        <f>(INDEX(Models!$BJ224:$BT224,,AH224)*(1-AF224)+INDEX(Models!$BJ224:$BT224,,AH224+1)*AF224-ERP_i)*AE224*Ramure*Pc/MaxiM</f>
        <v>0</v>
      </c>
      <c r="AE224" s="304">
        <f t="shared" si="92"/>
        <v>0.6</v>
      </c>
      <c r="AF224" s="177">
        <f t="shared" si="93"/>
        <v>0.44028987622667515</v>
      </c>
      <c r="AG224" s="799">
        <f t="shared" si="99"/>
        <v>3</v>
      </c>
      <c r="AH224" s="176">
        <f t="shared" si="94"/>
        <v>9</v>
      </c>
      <c r="AI224" s="224">
        <f t="shared" si="95"/>
        <v>3.4402898762266751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46963</v>
      </c>
      <c r="B225" s="409">
        <f>IF(t&gt;Tmaj,'2027'!Wh/'2027'!Env_an*'2028'!Env_an,0.001*[9]mois!$B$271)</f>
        <v>47.188530790595017</v>
      </c>
      <c r="C225" s="829"/>
      <c r="D225" s="391">
        <f t="shared" si="77"/>
        <v>50.43048090296611</v>
      </c>
      <c r="E225" s="383">
        <f t="shared" si="75"/>
        <v>51.485286251349891</v>
      </c>
      <c r="F225" s="383">
        <f t="shared" si="78"/>
        <v>51.485286251349891</v>
      </c>
      <c r="G225" s="110">
        <f t="shared" si="76"/>
        <v>0.87801492734352815</v>
      </c>
      <c r="H225" s="412" t="b">
        <f>Wh_hp&gt;='2027'!Maxi_hp</f>
        <v>1</v>
      </c>
      <c r="I225" s="388">
        <f>IF(H225,Wh_hp,'2027'!Maxi_hp)</f>
        <v>51.485286251349891</v>
      </c>
      <c r="J225" s="85">
        <f>IF(H225,An,'2027'!An_max)</f>
        <v>2028</v>
      </c>
      <c r="K225" s="197">
        <f t="shared" si="79"/>
        <v>46963</v>
      </c>
      <c r="L225" s="147">
        <f>IF(t&lt;Tvie,1-EXP((T0-t)*PertePVj)+'2027'!Pspv,1-EXP((T0-t)*PertePVj)+Pspv)</f>
        <v>6.4285528401146319E-2</v>
      </c>
      <c r="M225" s="832"/>
      <c r="N225" s="832"/>
      <c r="O225" s="48">
        <f>IF(t&lt;Tnet,'2027'!Resal+('2027'!Salim-'2027'!Resal)*(1-EXP(('2027'!Tnet-t)/('2027'!Tau_j))),Resal+(Salim-Resal)*(1-EXP((Tnet-t)/(Tau_j))))*Salcycl</f>
        <v>2.048751061097823E-2</v>
      </c>
      <c r="P225" s="169">
        <f>(INDEX(Models!$BJ225:$BT225,,T225)*(1-R225)+INDEX(Models!$BJ225:$BT225,,T225+1)*R225-ERP_i)*Q225*Ramure*Pc/MaxiM</f>
        <v>0</v>
      </c>
      <c r="Q225" s="304">
        <f t="shared" si="80"/>
        <v>0.6</v>
      </c>
      <c r="R225" s="177">
        <f t="shared" si="81"/>
        <v>0.917407593399579</v>
      </c>
      <c r="S225" s="799">
        <f t="shared" si="82"/>
        <v>-1</v>
      </c>
      <c r="T225" s="176">
        <f t="shared" si="83"/>
        <v>5</v>
      </c>
      <c r="U225" s="250">
        <f t="shared" si="84"/>
        <v>-8.2592406600420998E-2</v>
      </c>
      <c r="V225" s="382">
        <f t="shared" si="85"/>
        <v>53.744565520504231</v>
      </c>
      <c r="W225" s="400">
        <f t="shared" si="86"/>
        <v>47.188530790595017</v>
      </c>
      <c r="X225" s="157">
        <f t="shared" si="87"/>
        <v>46963</v>
      </c>
      <c r="Y225" s="383">
        <f t="shared" si="88"/>
        <v>45.510218609635963</v>
      </c>
      <c r="Z225" s="383">
        <f t="shared" si="89"/>
        <v>48.636865188023364</v>
      </c>
      <c r="AA225" s="384">
        <f t="shared" si="90"/>
        <v>51.485286251349891</v>
      </c>
      <c r="AB225" s="197">
        <f t="shared" si="91"/>
        <v>46963</v>
      </c>
      <c r="AC225" s="119">
        <f>IF(OR(t&lt;Tnet,NoTnet),'2027'!Resal_s+('2027'!Salim-'2027'!Resal_s)*(1-EXP(('2027'!Tnet_s-t)/'2027'!Tau_j)),Resal_s+(Salim-Resal_s)*(1-EXP((Tnet_s-t)/Tau_j)))*Salcycl</f>
        <v>5.5324953413303499E-2</v>
      </c>
      <c r="AD225" s="230">
        <f>(INDEX(Models!$BJ225:$BT225,,AH225)*(1-AF225)+INDEX(Models!$BJ225:$BT225,,AH225+1)*AF225-ERP_i)*AE225*Ramure*Pc/MaxiM</f>
        <v>-1.9963849872836837E-20</v>
      </c>
      <c r="AE225" s="304">
        <f t="shared" si="92"/>
        <v>0.6</v>
      </c>
      <c r="AF225" s="177">
        <f t="shared" si="93"/>
        <v>0.44239515977355737</v>
      </c>
      <c r="AG225" s="799">
        <f t="shared" si="99"/>
        <v>3</v>
      </c>
      <c r="AH225" s="176">
        <f t="shared" si="94"/>
        <v>9</v>
      </c>
      <c r="AI225" s="224">
        <f t="shared" si="95"/>
        <v>3.4423951597735574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46964</v>
      </c>
      <c r="B226" s="409">
        <f>IF(t&gt;Tmaj,'2027'!Wh/'2027'!Env_an*'2028'!Env_an,0.001*[9]mois!$B$272)</f>
        <v>53.654523358799722</v>
      </c>
      <c r="C226" s="829"/>
      <c r="D226" s="391">
        <f t="shared" si="77"/>
        <v>57.341799537977906</v>
      </c>
      <c r="E226" s="383">
        <f t="shared" si="75"/>
        <v>58.548108667999671</v>
      </c>
      <c r="F226" s="383">
        <f t="shared" si="78"/>
        <v>58.548108667999671</v>
      </c>
      <c r="G226" s="110">
        <f t="shared" si="76"/>
        <v>1.00037872980777</v>
      </c>
      <c r="H226" s="412" t="b">
        <f>Wh_hp&gt;='2027'!Maxi_hp</f>
        <v>1</v>
      </c>
      <c r="I226" s="388">
        <f>IF(H226,Wh_hp,'2027'!Maxi_hp)</f>
        <v>58.548108667999671</v>
      </c>
      <c r="J226" s="85">
        <f>IF(H226,An,'2027'!An_max)</f>
        <v>2028</v>
      </c>
      <c r="K226" s="197">
        <f t="shared" si="79"/>
        <v>46964</v>
      </c>
      <c r="L226" s="147">
        <f>IF(t&lt;Tvie,1-EXP((T0-t)*PertePVj)+'2027'!Pspv,1-EXP((T0-t)*PertePVj)+Pspv)</f>
        <v>6.4303461155523656E-2</v>
      </c>
      <c r="M226" s="832"/>
      <c r="N226" s="832"/>
      <c r="O226" s="48">
        <f>IF(t&lt;Tnet,'2027'!Resal+('2027'!Salim-'2027'!Resal)*(1-EXP(('2027'!Tnet-t)/('2027'!Tau_j))),Resal+(Salim-Resal)*(1-EXP((Tnet-t)/(Tau_j))))*Salcycl</f>
        <v>2.0603724995835616E-2</v>
      </c>
      <c r="P226" s="169">
        <f>(INDEX(Models!$BJ226:$BT226,,T226)*(1-R226)+INDEX(Models!$BJ226:$BT226,,T226+1)*R226-ERP_i)*Q226*Ramure*Pc/MaxiM</f>
        <v>0</v>
      </c>
      <c r="Q226" s="304">
        <f t="shared" si="80"/>
        <v>0.6</v>
      </c>
      <c r="R226" s="177">
        <f t="shared" si="81"/>
        <v>0.91944706446505209</v>
      </c>
      <c r="S226" s="799">
        <f t="shared" si="82"/>
        <v>-1</v>
      </c>
      <c r="T226" s="176">
        <f t="shared" si="83"/>
        <v>5</v>
      </c>
      <c r="U226" s="250">
        <f t="shared" si="84"/>
        <v>-8.0552935534947911E-2</v>
      </c>
      <c r="V226" s="382">
        <f t="shared" si="85"/>
        <v>53.634210484573003</v>
      </c>
      <c r="W226" s="400">
        <f t="shared" si="86"/>
        <v>53.654523358799722</v>
      </c>
      <c r="X226" s="157">
        <f t="shared" si="87"/>
        <v>46964</v>
      </c>
      <c r="Y226" s="383">
        <f t="shared" si="88"/>
        <v>51.748207586557484</v>
      </c>
      <c r="Z226" s="383">
        <f t="shared" si="89"/>
        <v>55.304476866466892</v>
      </c>
      <c r="AA226" s="384">
        <f t="shared" si="90"/>
        <v>58.548108667999671</v>
      </c>
      <c r="AB226" s="197">
        <f t="shared" si="91"/>
        <v>46964</v>
      </c>
      <c r="AC226" s="119">
        <f>IF(OR(t&lt;Tnet,NoTnet),'2027'!Resal_s+('2027'!Salim-'2027'!Resal_s)*(1-EXP(('2027'!Tnet_s-t)/'2027'!Tau_j)),Resal_s+(Salim-Resal_s)*(1-EXP((Tnet_s-t)/Tau_j)))*Salcycl</f>
        <v>5.5401137207112525E-2</v>
      </c>
      <c r="AD226" s="230">
        <f>(INDEX(Models!$BJ226:$BT226,,AH226)*(1-AF226)+INDEX(Models!$BJ226:$BT226,,AH226+1)*AF226-ERP_i)*AE226*Ramure*Pc/MaxiM</f>
        <v>0</v>
      </c>
      <c r="AE226" s="304">
        <f t="shared" si="92"/>
        <v>0.6</v>
      </c>
      <c r="AF226" s="177">
        <f t="shared" si="93"/>
        <v>0.44443463083903056</v>
      </c>
      <c r="AG226" s="799">
        <f t="shared" si="99"/>
        <v>3</v>
      </c>
      <c r="AH226" s="176">
        <f t="shared" si="94"/>
        <v>9</v>
      </c>
      <c r="AI226" s="224">
        <f t="shared" si="95"/>
        <v>3.4444346308390306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46965</v>
      </c>
      <c r="B227" s="409">
        <f>IF(t&gt;Tmaj,'2027'!Wh/'2027'!Env_an*'2028'!Env_an,0.001*'[10]mon-tableau (1)'!$B$242)</f>
        <v>53.307672211451148</v>
      </c>
      <c r="C227" s="829"/>
      <c r="D227" s="391">
        <f t="shared" si="77"/>
        <v>56.972203751271806</v>
      </c>
      <c r="E227" s="383">
        <f t="shared" si="75"/>
        <v>58.177629280464245</v>
      </c>
      <c r="F227" s="383">
        <f t="shared" si="78"/>
        <v>58.177629280464245</v>
      </c>
      <c r="G227" s="110">
        <f t="shared" si="76"/>
        <v>0.99598351824544606</v>
      </c>
      <c r="H227" s="412" t="b">
        <f>Wh_hp&gt;='2027'!Maxi_hp</f>
        <v>0</v>
      </c>
      <c r="I227" s="388">
        <f>IF(H227,Wh_hp,'2027'!Maxi_hp)</f>
        <v>58.177629280464252</v>
      </c>
      <c r="J227" s="85">
        <f>IF(H227,An,'2027'!An_max)</f>
        <v>2026</v>
      </c>
      <c r="K227" s="197">
        <f t="shared" si="79"/>
        <v>46965</v>
      </c>
      <c r="L227" s="147">
        <f>IF(t&lt;Tvie,1-EXP((T0-t)*PertePVj)+'2027'!Pspv,1-EXP((T0-t)*PertePVj)+Pspv)</f>
        <v>6.4321393566224017E-2</v>
      </c>
      <c r="M227" s="832"/>
      <c r="N227" s="832"/>
      <c r="O227" s="48">
        <f>IF(t&lt;Tnet,'2027'!Resal+('2027'!Salim-'2027'!Resal)*(1-EXP(('2027'!Tnet-t)/('2027'!Tau_j))),Resal+(Salim-Resal)*(1-EXP((Tnet-t)/(Tau_j))))*Salcycl</f>
        <v>2.071974303698915E-2</v>
      </c>
      <c r="P227" s="169">
        <f>(INDEX(Models!$BJ227:$BT227,,T227)*(1-R227)+INDEX(Models!$BJ227:$BT227,,T227+1)*R227-ERP_i)*Q227*Ramure*Pc/MaxiM</f>
        <v>0</v>
      </c>
      <c r="Q227" s="304">
        <f t="shared" si="80"/>
        <v>0.6</v>
      </c>
      <c r="R227" s="177">
        <f t="shared" si="81"/>
        <v>0.9214221191937213</v>
      </c>
      <c r="S227" s="799">
        <f t="shared" si="82"/>
        <v>-1</v>
      </c>
      <c r="T227" s="176">
        <f t="shared" si="83"/>
        <v>5</v>
      </c>
      <c r="U227" s="250">
        <f t="shared" si="84"/>
        <v>-7.8577880806278699E-2</v>
      </c>
      <c r="V227" s="382">
        <f t="shared" si="85"/>
        <v>53.522644938301305</v>
      </c>
      <c r="W227" s="400">
        <f t="shared" si="86"/>
        <v>53.307672211451148</v>
      </c>
      <c r="X227" s="157">
        <f t="shared" si="87"/>
        <v>46965</v>
      </c>
      <c r="Y227" s="383">
        <f t="shared" si="88"/>
        <v>51.415637698245803</v>
      </c>
      <c r="Z227" s="383">
        <f t="shared" si="89"/>
        <v>54.950105030412296</v>
      </c>
      <c r="AA227" s="384">
        <f t="shared" si="90"/>
        <v>58.177629280464245</v>
      </c>
      <c r="AB227" s="197">
        <f t="shared" si="91"/>
        <v>46965</v>
      </c>
      <c r="AC227" s="119">
        <f>IF(OR(t&lt;Tnet,NoTnet),'2027'!Resal_s+('2027'!Salim-'2027'!Resal_s)*(1-EXP(('2027'!Tnet_s-t)/'2027'!Tau_j)),Resal_s+(Salim-Resal_s)*(1-EXP((Tnet_s-t)/Tau_j)))*Salcycl</f>
        <v>5.5477067215864304E-2</v>
      </c>
      <c r="AD227" s="230">
        <f>(INDEX(Models!$BJ227:$BT227,,AH227)*(1-AF227)+INDEX(Models!$BJ227:$BT227,,AH227+1)*AF227-ERP_i)*AE227*Ramure*Pc/MaxiM</f>
        <v>0</v>
      </c>
      <c r="AE227" s="304">
        <f t="shared" si="92"/>
        <v>0.6</v>
      </c>
      <c r="AF227" s="177">
        <f t="shared" si="93"/>
        <v>0.44640968556769955</v>
      </c>
      <c r="AG227" s="799">
        <f t="shared" si="99"/>
        <v>3</v>
      </c>
      <c r="AH227" s="176">
        <f t="shared" si="94"/>
        <v>9</v>
      </c>
      <c r="AI227" s="224">
        <f t="shared" si="95"/>
        <v>3.4464096855676996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46966</v>
      </c>
      <c r="B228" s="409">
        <f>IF(t&gt;Tmaj,'2027'!Wh/'2027'!Env_an*'2028'!Env_an,0.001*'[10]mon-tableau (1)'!$B$243)</f>
        <v>53.376397849853767</v>
      </c>
      <c r="C228" s="829"/>
      <c r="D228" s="391">
        <f t="shared" si="77"/>
        <v>57.046747087002267</v>
      </c>
      <c r="E228" s="383">
        <f t="shared" si="75"/>
        <v>58.260640586923564</v>
      </c>
      <c r="F228" s="383">
        <f t="shared" si="78"/>
        <v>58.260640586923564</v>
      </c>
      <c r="G228" s="110">
        <f t="shared" si="76"/>
        <v>0.9993751577850859</v>
      </c>
      <c r="H228" s="412" t="b">
        <f>Wh_hp&gt;='2027'!Maxi_hp</f>
        <v>1</v>
      </c>
      <c r="I228" s="388">
        <f>IF(H228,Wh_hp,'2027'!Maxi_hp)</f>
        <v>58.260640586923564</v>
      </c>
      <c r="J228" s="85">
        <f>IF(H228,An,'2027'!An_max)</f>
        <v>2028</v>
      </c>
      <c r="K228" s="197">
        <f t="shared" si="79"/>
        <v>46966</v>
      </c>
      <c r="L228" s="147">
        <f>IF(t&lt;Tvie,1-EXP((T0-t)*PertePVj)+'2027'!Pspv,1-EXP((T0-t)*PertePVj)+Pspv)</f>
        <v>6.4339325633253619E-2</v>
      </c>
      <c r="M228" s="832"/>
      <c r="N228" s="832"/>
      <c r="O228" s="48">
        <f>IF(t&lt;Tnet,'2027'!Resal+('2027'!Salim-'2027'!Resal)*(1-EXP(('2027'!Tnet-t)/('2027'!Tau_j))),Resal+(Salim-Resal)*(1-EXP((Tnet-t)/(Tau_j))))*Salcycl</f>
        <v>2.0835567334866512E-2</v>
      </c>
      <c r="P228" s="169">
        <f>(INDEX(Models!$BJ228:$BT228,,T228)*(1-R228)+INDEX(Models!$BJ228:$BT228,,T228+1)*R228-ERP_i)*Q228*Ramure*Pc/MaxiM</f>
        <v>0</v>
      </c>
      <c r="Q228" s="304">
        <f t="shared" si="80"/>
        <v>0.6</v>
      </c>
      <c r="R228" s="177">
        <f t="shared" si="81"/>
        <v>0.92333417227835812</v>
      </c>
      <c r="S228" s="799">
        <f t="shared" si="82"/>
        <v>-1</v>
      </c>
      <c r="T228" s="176">
        <f t="shared" si="83"/>
        <v>5</v>
      </c>
      <c r="U228" s="250">
        <f t="shared" si="84"/>
        <v>-7.6665827721641877E-2</v>
      </c>
      <c r="V228" s="382">
        <f t="shared" si="85"/>
        <v>53.409770529169265</v>
      </c>
      <c r="W228" s="400">
        <f t="shared" si="86"/>
        <v>53.376397849853767</v>
      </c>
      <c r="X228" s="157">
        <f t="shared" si="87"/>
        <v>46966</v>
      </c>
      <c r="Y228" s="383">
        <f t="shared" si="88"/>
        <v>51.483888066246124</v>
      </c>
      <c r="Z228" s="383">
        <f t="shared" si="89"/>
        <v>55.024101660669167</v>
      </c>
      <c r="AA228" s="384">
        <f t="shared" si="90"/>
        <v>58.260640586923564</v>
      </c>
      <c r="AB228" s="197">
        <f t="shared" si="91"/>
        <v>46966</v>
      </c>
      <c r="AC228" s="119">
        <f>IF(OR(t&lt;Tnet,NoTnet),'2027'!Resal_s+('2027'!Salim-'2027'!Resal_s)*(1-EXP(('2027'!Tnet_s-t)/'2027'!Tau_j)),Resal_s+(Salim-Resal_s)*(1-EXP((Tnet_s-t)/Tau_j)))*Salcycl</f>
        <v>5.5552752143628613E-2</v>
      </c>
      <c r="AD228" s="230">
        <f>(INDEX(Models!$BJ228:$BT228,,AH228)*(1-AF228)+INDEX(Models!$BJ228:$BT228,,AH228+1)*AF228-ERP_i)*AE228*Ramure*Pc/MaxiM</f>
        <v>0</v>
      </c>
      <c r="AE228" s="304">
        <f t="shared" si="92"/>
        <v>0.6</v>
      </c>
      <c r="AF228" s="177">
        <f t="shared" si="93"/>
        <v>0.4483217386523366</v>
      </c>
      <c r="AG228" s="799">
        <f t="shared" si="99"/>
        <v>3</v>
      </c>
      <c r="AH228" s="176">
        <f t="shared" si="94"/>
        <v>9</v>
      </c>
      <c r="AI228" s="224">
        <f t="shared" si="95"/>
        <v>3.4483217386523366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46967</v>
      </c>
      <c r="B229" s="409">
        <f>IF(t&gt;Tmaj,'2027'!Wh/'2027'!Env_an*'2028'!Env_an,0.001*'[10]mon-tableau (1)'!$B$244)</f>
        <v>52.747791401905417</v>
      </c>
      <c r="C229" s="829"/>
      <c r="D229" s="391">
        <f t="shared" si="77"/>
        <v>56.375995877317671</v>
      </c>
      <c r="E229" s="383">
        <f t="shared" si="75"/>
        <v>57.582416608335059</v>
      </c>
      <c r="F229" s="383">
        <f t="shared" si="78"/>
        <v>57.582416608335059</v>
      </c>
      <c r="G229" s="110">
        <f t="shared" si="76"/>
        <v>0.98972337826311496</v>
      </c>
      <c r="H229" s="412" t="b">
        <f>Wh_hp&gt;='2027'!Maxi_hp</f>
        <v>1</v>
      </c>
      <c r="I229" s="388">
        <f>IF(H229,Wh_hp,'2027'!Maxi_hp)</f>
        <v>57.582416608335059</v>
      </c>
      <c r="J229" s="85">
        <f>IF(H229,An,'2027'!An_max)</f>
        <v>2028</v>
      </c>
      <c r="K229" s="197">
        <f t="shared" si="79"/>
        <v>46967</v>
      </c>
      <c r="L229" s="147">
        <f>IF(t&lt;Tvie,1-EXP((T0-t)*PertePVj)+'2027'!Pspv,1-EXP((T0-t)*PertePVj)+Pspv)</f>
        <v>6.4357257356619457E-2</v>
      </c>
      <c r="M229" s="832"/>
      <c r="N229" s="832"/>
      <c r="O229" s="48">
        <f>IF(t&lt;Tnet,'2027'!Resal+('2027'!Salim-'2027'!Resal)*(1-EXP(('2027'!Tnet-t)/('2027'!Tau_j))),Resal+(Salim-Resal)*(1-EXP((Tnet-t)/(Tau_j))))*Salcycl</f>
        <v>2.0951200072467251E-2</v>
      </c>
      <c r="P229" s="169">
        <f>(INDEX(Models!$BJ229:$BT229,,T229)*(1-R229)+INDEX(Models!$BJ229:$BT229,,T229+1)*R229-ERP_i)*Q229*Ramure*Pc/MaxiM</f>
        <v>0</v>
      </c>
      <c r="Q229" s="304">
        <f t="shared" si="80"/>
        <v>0.6</v>
      </c>
      <c r="R229" s="177">
        <f t="shared" si="81"/>
        <v>0.92518465260108107</v>
      </c>
      <c r="S229" s="799">
        <f t="shared" si="82"/>
        <v>-1</v>
      </c>
      <c r="T229" s="176">
        <f t="shared" si="83"/>
        <v>5</v>
      </c>
      <c r="U229" s="250">
        <f t="shared" si="84"/>
        <v>-7.481534739891893E-2</v>
      </c>
      <c r="V229" s="382">
        <f t="shared" si="85"/>
        <v>53.29548898246049</v>
      </c>
      <c r="W229" s="400">
        <f t="shared" si="86"/>
        <v>52.747791401905417</v>
      </c>
      <c r="X229" s="157">
        <f t="shared" si="87"/>
        <v>46967</v>
      </c>
      <c r="Y229" s="383">
        <f t="shared" si="88"/>
        <v>50.879513611737615</v>
      </c>
      <c r="Z229" s="383">
        <f t="shared" si="89"/>
        <v>54.379210453760017</v>
      </c>
      <c r="AA229" s="384">
        <f t="shared" si="90"/>
        <v>57.582416608335059</v>
      </c>
      <c r="AB229" s="197">
        <f t="shared" si="91"/>
        <v>46967</v>
      </c>
      <c r="AC229" s="119">
        <f>IF(OR(t&lt;Tnet,NoTnet),'2027'!Resal_s+('2027'!Salim-'2027'!Resal_s)*(1-EXP(('2027'!Tnet_s-t)/'2027'!Tau_j)),Resal_s+(Salim-Resal_s)*(1-EXP((Tnet_s-t)/Tau_j)))*Salcycl</f>
        <v>5.5628199426964925E-2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0.45017221897505966</v>
      </c>
      <c r="AG229" s="799">
        <f t="shared" si="99"/>
        <v>3</v>
      </c>
      <c r="AH229" s="176">
        <f t="shared" si="94"/>
        <v>9</v>
      </c>
      <c r="AI229" s="224">
        <f t="shared" si="95"/>
        <v>3.4501722189750597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46968</v>
      </c>
      <c r="B230" s="409">
        <f>IF(t&gt;Tmaj,'2027'!Wh/'2027'!Env_an*'2028'!Env_an,0.001*'[10]mon-tableau (1)'!$B$245)</f>
        <v>51.263364523865917</v>
      </c>
      <c r="C230" s="829"/>
      <c r="D230" s="391">
        <f t="shared" si="77"/>
        <v>54.790514217583294</v>
      </c>
      <c r="E230" s="383">
        <f t="shared" si="75"/>
        <v>55.969605925327137</v>
      </c>
      <c r="F230" s="383">
        <f t="shared" si="78"/>
        <v>55.969605925327137</v>
      </c>
      <c r="G230" s="110">
        <f t="shared" si="76"/>
        <v>0.96396486819482441</v>
      </c>
      <c r="H230" s="412" t="b">
        <f>Wh_hp&gt;='2027'!Maxi_hp</f>
        <v>1</v>
      </c>
      <c r="I230" s="388">
        <f>IF(H230,Wh_hp,'2027'!Maxi_hp)</f>
        <v>55.969605925327137</v>
      </c>
      <c r="J230" s="85">
        <f>IF(H230,An,'2027'!An_max)</f>
        <v>2028</v>
      </c>
      <c r="K230" s="197">
        <f t="shared" si="79"/>
        <v>46968</v>
      </c>
      <c r="L230" s="147">
        <f>IF(t&lt;Tvie,1-EXP((T0-t)*PertePVj)+'2027'!Pspv,1-EXP((T0-t)*PertePVj)+Pspv)</f>
        <v>6.4375188736327749E-2</v>
      </c>
      <c r="M230" s="832"/>
      <c r="N230" s="832"/>
      <c r="O230" s="48">
        <f>IF(t&lt;Tnet,'2027'!Resal+('2027'!Salim-'2027'!Resal)*(1-EXP(('2027'!Tnet-t)/('2027'!Tau_j))),Resal+(Salim-Resal)*(1-EXP((Tnet-t)/(Tau_j))))*Salcycl</f>
        <v>2.1066643015442123E-2</v>
      </c>
      <c r="P230" s="169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0.92697499913575787</v>
      </c>
      <c r="S230" s="799">
        <f t="shared" si="82"/>
        <v>-1</v>
      </c>
      <c r="T230" s="176">
        <f t="shared" si="83"/>
        <v>5</v>
      </c>
      <c r="U230" s="250">
        <f t="shared" si="84"/>
        <v>-7.3025000864242129E-2</v>
      </c>
      <c r="V230" s="382">
        <f t="shared" si="85"/>
        <v>53.179702098339554</v>
      </c>
      <c r="W230" s="400">
        <f t="shared" si="86"/>
        <v>51.263364523865917</v>
      </c>
      <c r="X230" s="157">
        <f t="shared" si="87"/>
        <v>46968</v>
      </c>
      <c r="Y230" s="383">
        <f t="shared" si="88"/>
        <v>49.449556189538086</v>
      </c>
      <c r="Z230" s="383">
        <f t="shared" si="89"/>
        <v>52.85190772436934</v>
      </c>
      <c r="AA230" s="384">
        <f t="shared" si="90"/>
        <v>55.969605925327137</v>
      </c>
      <c r="AB230" s="197">
        <f t="shared" si="91"/>
        <v>46968</v>
      </c>
      <c r="AC230" s="119">
        <f>IF(OR(t&lt;Tnet,NoTnet),'2027'!Resal_s+('2027'!Salim-'2027'!Resal_s)*(1-EXP(('2027'!Tnet_s-t)/'2027'!Tau_j)),Resal_s+(Salim-Resal_s)*(1-EXP((Tnet_s-t)/Tau_j)))*Salcycl</f>
        <v>5.5703415262871897E-2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0.45196256550973635</v>
      </c>
      <c r="AG230" s="799">
        <f t="shared" si="99"/>
        <v>3</v>
      </c>
      <c r="AH230" s="176">
        <f t="shared" si="94"/>
        <v>9</v>
      </c>
      <c r="AI230" s="224">
        <f t="shared" si="95"/>
        <v>3.4519625655097363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46969</v>
      </c>
      <c r="B231" s="409">
        <f>IF(t&gt;Tmaj,'2027'!Wh/'2027'!Env_an*'2028'!Env_an,0.001*'[10]mon-tableau (1)'!$B$246)</f>
        <v>42.235061824495737</v>
      </c>
      <c r="C231" s="829"/>
      <c r="D231" s="391">
        <f t="shared" si="77"/>
        <v>45.141888882027864</v>
      </c>
      <c r="E231" s="383">
        <f t="shared" si="75"/>
        <v>46.118771983715561</v>
      </c>
      <c r="F231" s="383">
        <f t="shared" si="78"/>
        <v>46.118771983715561</v>
      </c>
      <c r="G231" s="110">
        <f t="shared" si="76"/>
        <v>0.79595216320881068</v>
      </c>
      <c r="H231" s="412" t="b">
        <f>Wh_hp&gt;='2027'!Maxi_hp</f>
        <v>0</v>
      </c>
      <c r="I231" s="388">
        <f>IF(H231,Wh_hp,'2027'!Maxi_hp)</f>
        <v>54.752335956396053</v>
      </c>
      <c r="J231" s="85">
        <f>IF(H231,An,'2027'!An_max)</f>
        <v>2020</v>
      </c>
      <c r="K231" s="197">
        <f t="shared" si="79"/>
        <v>46969</v>
      </c>
      <c r="L231" s="147">
        <f>IF(t&lt;Tvie,1-EXP((T0-t)*PertePVj)+'2027'!Pspv,1-EXP((T0-t)*PertePVj)+Pspv)</f>
        <v>6.4393119772385266E-2</v>
      </c>
      <c r="M231" s="832"/>
      <c r="N231" s="832"/>
      <c r="O231" s="48">
        <f>IF(t&lt;Tnet,'2027'!Resal+('2027'!Salim-'2027'!Resal)*(1-EXP(('2027'!Tnet-t)/('2027'!Tau_j))),Resal+(Salim-Resal)*(1-EXP((Tnet-t)/(Tau_j))))*Salcycl</f>
        <v>2.1181897515238125E-2</v>
      </c>
      <c r="P231" s="169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0.92870665710940026</v>
      </c>
      <c r="S231" s="799">
        <f t="shared" si="82"/>
        <v>-1</v>
      </c>
      <c r="T231" s="176">
        <f t="shared" si="83"/>
        <v>5</v>
      </c>
      <c r="U231" s="250">
        <f t="shared" si="84"/>
        <v>-7.1293342890599798E-2</v>
      </c>
      <c r="V231" s="382">
        <f t="shared" si="85"/>
        <v>53.062311752792816</v>
      </c>
      <c r="W231" s="400">
        <f t="shared" si="86"/>
        <v>42.235061824495737</v>
      </c>
      <c r="X231" s="157">
        <f t="shared" si="87"/>
        <v>46969</v>
      </c>
      <c r="Y231" s="383">
        <f t="shared" si="88"/>
        <v>40.742255741550146</v>
      </c>
      <c r="Z231" s="383">
        <f t="shared" si="89"/>
        <v>43.546340458332622</v>
      </c>
      <c r="AA231" s="384">
        <f t="shared" si="90"/>
        <v>46.118771983715561</v>
      </c>
      <c r="AB231" s="197">
        <f t="shared" si="91"/>
        <v>46969</v>
      </c>
      <c r="AC231" s="119">
        <f>IF(OR(t&lt;Tnet,NoTnet),'2027'!Resal_s+('2027'!Salim-'2027'!Resal_s)*(1-EXP(('2027'!Tnet_s-t)/'2027'!Tau_j)),Resal_s+(Salim-Resal_s)*(1-EXP((Tnet_s-t)/Tau_j)))*Salcycl</f>
        <v>5.5778404643802244E-2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0.45369422348337851</v>
      </c>
      <c r="AG231" s="799">
        <f t="shared" si="99"/>
        <v>3</v>
      </c>
      <c r="AH231" s="176">
        <f t="shared" si="94"/>
        <v>9</v>
      </c>
      <c r="AI231" s="224">
        <f t="shared" si="95"/>
        <v>3.4536942234833785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46970</v>
      </c>
      <c r="B232" s="409">
        <f>IF(t&gt;Tmaj,'2027'!Wh/'2027'!Env_an*'2028'!Env_an,0.001*'[10]mon-tableau (1)'!$B$247)</f>
        <v>49.723739562362823</v>
      </c>
      <c r="C232" s="829"/>
      <c r="D232" s="391">
        <f t="shared" si="77"/>
        <v>53.146993225032716</v>
      </c>
      <c r="E232" s="383">
        <f t="shared" si="75"/>
        <v>54.303492783895869</v>
      </c>
      <c r="F232" s="383">
        <f t="shared" si="78"/>
        <v>54.303492783895869</v>
      </c>
      <c r="G232" s="110">
        <f t="shared" si="76"/>
        <v>0.93918994082779927</v>
      </c>
      <c r="H232" s="412" t="b">
        <f>Wh_hp&gt;='2027'!Maxi_hp</f>
        <v>0</v>
      </c>
      <c r="I232" s="388">
        <f>IF(H232,Wh_hp,'2027'!Maxi_hp)</f>
        <v>57.804553829679008</v>
      </c>
      <c r="J232" s="85">
        <f>IF(H232,An,'2027'!An_max)</f>
        <v>2020</v>
      </c>
      <c r="K232" s="197">
        <f t="shared" si="79"/>
        <v>46970</v>
      </c>
      <c r="L232" s="147">
        <f>IF(t&lt;Tvie,1-EXP((T0-t)*PertePVj)+'2027'!Pspv,1-EXP((T0-t)*PertePVj)+Pspv)</f>
        <v>6.4411050464798669E-2</v>
      </c>
      <c r="M232" s="832"/>
      <c r="N232" s="832"/>
      <c r="O232" s="48">
        <f>IF(t&lt;Tnet,'2027'!Resal+('2027'!Salim-'2027'!Resal)*(1-EXP(('2027'!Tnet-t)/('2027'!Tau_j))),Resal+(Salim-Resal)*(1-EXP((Tnet-t)/(Tau_j))))*Salcycl</f>
        <v>2.1296964515073E-2</v>
      </c>
      <c r="P232" s="169">
        <f>(INDEX(Models!$BJ232:$BT232,,T232)*(1-R232)+INDEX(Models!$BJ232:$BT232,,T232+1)*R232-ERP_i)*Q232*Ramure*Pc/MaxiM</f>
        <v>0</v>
      </c>
      <c r="Q232" s="304">
        <f t="shared" si="80"/>
        <v>0.6</v>
      </c>
      <c r="R232" s="177">
        <f t="shared" si="81"/>
        <v>0.93038107441893181</v>
      </c>
      <c r="S232" s="799">
        <f t="shared" si="82"/>
        <v>-1</v>
      </c>
      <c r="T232" s="176">
        <f t="shared" si="83"/>
        <v>5</v>
      </c>
      <c r="U232" s="250">
        <f t="shared" si="84"/>
        <v>-6.9618925581068247E-2</v>
      </c>
      <c r="V232" s="382">
        <f t="shared" si="85"/>
        <v>52.943219897070513</v>
      </c>
      <c r="W232" s="400">
        <f t="shared" si="86"/>
        <v>49.723739562362823</v>
      </c>
      <c r="X232" s="157">
        <f t="shared" si="87"/>
        <v>46970</v>
      </c>
      <c r="Y232" s="383">
        <f t="shared" si="88"/>
        <v>47.968085631541115</v>
      </c>
      <c r="Z232" s="383">
        <f t="shared" si="89"/>
        <v>51.27047049387614</v>
      </c>
      <c r="AA232" s="384">
        <f t="shared" si="90"/>
        <v>54.303492783895869</v>
      </c>
      <c r="AB232" s="197">
        <f t="shared" si="91"/>
        <v>46970</v>
      </c>
      <c r="AC232" s="119">
        <f>IF(OR(t&lt;Tnet,NoTnet),'2027'!Resal_s+('2027'!Salim-'2027'!Resal_s)*(1-EXP(('2027'!Tnet_s-t)/'2027'!Tau_j)),Resal_s+(Salim-Resal_s)*(1-EXP((Tnet_s-t)/Tau_j)))*Salcycl</f>
        <v>5.5853171398934254E-2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0.45536864079291028</v>
      </c>
      <c r="AG232" s="799">
        <f t="shared" si="99"/>
        <v>3</v>
      </c>
      <c r="AH232" s="176">
        <f t="shared" si="94"/>
        <v>9</v>
      </c>
      <c r="AI232" s="224">
        <f t="shared" si="95"/>
        <v>3.4553686407929103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46971</v>
      </c>
      <c r="B233" s="409">
        <f>IF(t&gt;Tmaj,'2027'!Wh/'2027'!Env_an*'2028'!Env_an,0.001*'[10]mon-tableau (1)'!$B$248)</f>
        <v>52.122106689258828</v>
      </c>
      <c r="C233" s="829"/>
      <c r="D233" s="391">
        <f t="shared" si="77"/>
        <v>55.711544736159439</v>
      </c>
      <c r="E233" s="383">
        <f t="shared" ref="E233:E296" si="100">Wh_pvt/(1-Psa)</f>
        <v>56.930532447557674</v>
      </c>
      <c r="F233" s="383">
        <f t="shared" si="78"/>
        <v>56.930532447557674</v>
      </c>
      <c r="G233" s="110">
        <f t="shared" ref="G233:G296" si="101">+Wh_hp/MaxiM</f>
        <v>0.98674321419123134</v>
      </c>
      <c r="H233" s="412" t="b">
        <f>Wh_hp&gt;='2027'!Maxi_hp</f>
        <v>1</v>
      </c>
      <c r="I233" s="388">
        <f>IF(H233,Wh_hp,'2027'!Maxi_hp)</f>
        <v>56.930532447557674</v>
      </c>
      <c r="J233" s="85">
        <f>IF(H233,An,'2027'!An_max)</f>
        <v>2028</v>
      </c>
      <c r="K233" s="197">
        <f t="shared" si="79"/>
        <v>46971</v>
      </c>
      <c r="L233" s="147">
        <f>IF(t&lt;Tvie,1-EXP((T0-t)*PertePVj)+'2027'!Pspv,1-EXP((T0-t)*PertePVj)+Pspv)</f>
        <v>6.4428980813574399E-2</v>
      </c>
      <c r="M233" s="832"/>
      <c r="N233" s="832"/>
      <c r="O233" s="48">
        <f>IF(t&lt;Tnet,'2027'!Resal+('2027'!Salim-'2027'!Resal)*(1-EXP(('2027'!Tnet-t)/('2027'!Tau_j))),Resal+(Salim-Resal)*(1-EXP((Tnet-t)/(Tau_j))))*Salcycl</f>
        <v>2.1411844558473454E-2</v>
      </c>
      <c r="P233" s="169">
        <f>(INDEX(Models!$BJ233:$BT233,,T233)*(1-R233)+INDEX(Models!$BJ233:$BT233,,T233+1)*R233-ERP_i)*Q233*Ramure*Pc/MaxiM</f>
        <v>0</v>
      </c>
      <c r="Q233" s="304">
        <f t="shared" si="80"/>
        <v>0.6</v>
      </c>
      <c r="R233" s="177">
        <f t="shared" si="81"/>
        <v>0.93199969829849527</v>
      </c>
      <c r="S233" s="799">
        <f t="shared" si="82"/>
        <v>-1</v>
      </c>
      <c r="T233" s="176">
        <f t="shared" si="83"/>
        <v>5</v>
      </c>
      <c r="U233" s="250">
        <f t="shared" si="84"/>
        <v>-6.8000301701504673E-2</v>
      </c>
      <c r="V233" s="382">
        <f t="shared" si="85"/>
        <v>52.822361420524082</v>
      </c>
      <c r="W233" s="400">
        <f t="shared" si="86"/>
        <v>52.122106689258828</v>
      </c>
      <c r="X233" s="157">
        <f t="shared" si="87"/>
        <v>46971</v>
      </c>
      <c r="Y233" s="383">
        <f t="shared" si="88"/>
        <v>50.28370302522319</v>
      </c>
      <c r="Z233" s="383">
        <f t="shared" si="89"/>
        <v>53.746537669529353</v>
      </c>
      <c r="AA233" s="384">
        <f t="shared" si="90"/>
        <v>56.930532447557674</v>
      </c>
      <c r="AB233" s="197">
        <f t="shared" si="91"/>
        <v>46971</v>
      </c>
      <c r="AC233" s="119">
        <f>IF(OR(t&lt;Tnet,NoTnet),'2027'!Resal_s+('2027'!Salim-'2027'!Resal_s)*(1-EXP(('2027'!Tnet_s-t)/'2027'!Tau_j)),Resal_s+(Salim-Resal_s)*(1-EXP((Tnet_s-t)/Tau_j)))*Salcycl</f>
        <v>5.592771824084547E-2</v>
      </c>
      <c r="AD233" s="230">
        <f>(INDEX(Models!$BJ233:$BT233,,AH233)*(1-AF233)+INDEX(Models!$BJ233:$BT233,,AH233+1)*AF233-ERP_i)*AE233*Ramure*Pc/MaxiM</f>
        <v>0</v>
      </c>
      <c r="AE233" s="304">
        <f t="shared" si="92"/>
        <v>0.6</v>
      </c>
      <c r="AF233" s="177">
        <f t="shared" si="93"/>
        <v>0.45698726467247397</v>
      </c>
      <c r="AG233" s="799">
        <f t="shared" si="99"/>
        <v>3</v>
      </c>
      <c r="AH233" s="176">
        <f t="shared" si="94"/>
        <v>9</v>
      </c>
      <c r="AI233" s="224">
        <f t="shared" si="95"/>
        <v>3.456987264672474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46972</v>
      </c>
      <c r="B234" s="409">
        <f>IF(t&gt;Tmaj,'2027'!Wh/'2027'!Env_an*'2028'!Env_an,0.001*'[10]mon-tableau (1)'!$B$249)</f>
        <v>52.859431241761982</v>
      </c>
      <c r="C234" s="829"/>
      <c r="D234" s="391">
        <f t="shared" si="77"/>
        <v>56.500728663105804</v>
      </c>
      <c r="E234" s="383">
        <f t="shared" si="100"/>
        <v>57.743751717164187</v>
      </c>
      <c r="F234" s="383">
        <f t="shared" si="78"/>
        <v>57.743751717164187</v>
      </c>
      <c r="G234" s="110">
        <f t="shared" si="101"/>
        <v>1.0030290157698138</v>
      </c>
      <c r="H234" s="412" t="b">
        <f>Wh_hp&gt;='2027'!Maxi_hp</f>
        <v>1</v>
      </c>
      <c r="I234" s="388">
        <f>IF(H234,Wh_hp,'2027'!Maxi_hp)</f>
        <v>57.743751717164187</v>
      </c>
      <c r="J234" s="85">
        <f>IF(H234,An,'2027'!An_max)</f>
        <v>2028</v>
      </c>
      <c r="K234" s="197">
        <f t="shared" si="79"/>
        <v>46972</v>
      </c>
      <c r="L234" s="147">
        <f>IF(t&lt;Tvie,1-EXP((T0-t)*PertePVj)+'2027'!Pspv,1-EXP((T0-t)*PertePVj)+Pspv)</f>
        <v>6.4446910818719005E-2</v>
      </c>
      <c r="M234" s="832"/>
      <c r="N234" s="832"/>
      <c r="O234" s="48">
        <f>IF(t&lt;Tnet,'2027'!Resal+('2027'!Salim-'2027'!Resal)*(1-EXP(('2027'!Tnet-t)/('2027'!Tau_j))),Resal+(Salim-Resal)*(1-EXP((Tnet-t)/(Tau_j))))*Salcycl</f>
        <v>2.1526537800087217E-2</v>
      </c>
      <c r="P234" s="169">
        <f>(INDEX(Models!$BJ234:$BT234,,T234)*(1-R234)+INDEX(Models!$BJ234:$BT234,,T234+1)*R234-ERP_i)*Q234*Ramure*Pc/MaxiM</f>
        <v>0</v>
      </c>
      <c r="Q234" s="304">
        <f t="shared" si="80"/>
        <v>0.6</v>
      </c>
      <c r="R234" s="177">
        <f t="shared" si="81"/>
        <v>0.93356397223141685</v>
      </c>
      <c r="S234" s="799">
        <f t="shared" si="82"/>
        <v>-1</v>
      </c>
      <c r="T234" s="176">
        <f t="shared" si="83"/>
        <v>5</v>
      </c>
      <c r="U234" s="250">
        <f t="shared" si="84"/>
        <v>-6.643602776858315E-2</v>
      </c>
      <c r="V234" s="382">
        <f t="shared" si="85"/>
        <v>52.699802708292488</v>
      </c>
      <c r="W234" s="400">
        <f t="shared" si="86"/>
        <v>52.859431241761982</v>
      </c>
      <c r="X234" s="157">
        <f t="shared" si="87"/>
        <v>46972</v>
      </c>
      <c r="Y234" s="383">
        <f t="shared" si="88"/>
        <v>50.996983389276387</v>
      </c>
      <c r="Z234" s="383">
        <f t="shared" si="89"/>
        <v>54.509983430127676</v>
      </c>
      <c r="AA234" s="384">
        <f t="shared" si="90"/>
        <v>57.743751717164187</v>
      </c>
      <c r="AB234" s="197">
        <f t="shared" si="91"/>
        <v>46972</v>
      </c>
      <c r="AC234" s="119">
        <f>IF(OR(t&lt;Tnet,NoTnet),'2027'!Resal_s+('2027'!Salim-'2027'!Resal_s)*(1-EXP(('2027'!Tnet_s-t)/'2027'!Tau_j)),Resal_s+(Salim-Resal_s)*(1-EXP((Tnet_s-t)/Tau_j)))*Salcycl</f>
        <v>5.6002046816699763E-2</v>
      </c>
      <c r="AD234" s="230">
        <f>(INDEX(Models!$BJ234:$BT234,,AH234)*(1-AF234)+INDEX(Models!$BJ234:$BT234,,AH234+1)*AF234-ERP_i)*AE234*Ramure*Pc/MaxiM</f>
        <v>0</v>
      </c>
      <c r="AE234" s="304">
        <f t="shared" si="92"/>
        <v>0.6</v>
      </c>
      <c r="AF234" s="177">
        <f t="shared" si="93"/>
        <v>0.45855153860539533</v>
      </c>
      <c r="AG234" s="799">
        <f t="shared" si="99"/>
        <v>3</v>
      </c>
      <c r="AH234" s="176">
        <f t="shared" si="94"/>
        <v>9</v>
      </c>
      <c r="AI234" s="224">
        <f t="shared" si="95"/>
        <v>3.4585515386053953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46973</v>
      </c>
      <c r="B235" s="409">
        <f>IF(t&gt;Tmaj,'2027'!Wh/'2027'!Env_an*'2028'!Env_an,0.001*'[10]mon-tableau (1)'!$B$250)</f>
        <v>50.761198998181342</v>
      </c>
      <c r="C235" s="829"/>
      <c r="D235" s="391">
        <f t="shared" si="77"/>
        <v>54.258996555766686</v>
      </c>
      <c r="E235" s="383">
        <f t="shared" si="100"/>
        <v>55.459191357154928</v>
      </c>
      <c r="F235" s="383">
        <f t="shared" si="78"/>
        <v>55.459191357154928</v>
      </c>
      <c r="G235" s="110">
        <f t="shared" si="101"/>
        <v>0.96548888644004538</v>
      </c>
      <c r="H235" s="412" t="b">
        <f>Wh_hp&gt;='2027'!Maxi_hp</f>
        <v>0</v>
      </c>
      <c r="I235" s="388">
        <f>IF(H235,Wh_hp,'2027'!Maxi_hp)</f>
        <v>56.250511188466319</v>
      </c>
      <c r="J235" s="85">
        <f>IF(H235,An,'2027'!An_max)</f>
        <v>2021</v>
      </c>
      <c r="K235" s="197">
        <f t="shared" si="79"/>
        <v>46973</v>
      </c>
      <c r="L235" s="147">
        <f>IF(t&lt;Tvie,1-EXP((T0-t)*PertePVj)+'2027'!Pspv,1-EXP((T0-t)*PertePVj)+Pspv)</f>
        <v>6.4464840480239149E-2</v>
      </c>
      <c r="M235" s="832"/>
      <c r="N235" s="832"/>
      <c r="O235" s="48">
        <f>IF(t&lt;Tnet,'2027'!Resal+('2027'!Salim-'2027'!Resal)*(1-EXP(('2027'!Tnet-t)/('2027'!Tau_j))),Resal+(Salim-Resal)*(1-EXP((Tnet-t)/(Tau_j))))*Salcycl</f>
        <v>2.1641044018457439E-2</v>
      </c>
      <c r="P235" s="169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0.9350753331000452</v>
      </c>
      <c r="S235" s="799">
        <f t="shared" si="82"/>
        <v>-1</v>
      </c>
      <c r="T235" s="176">
        <f t="shared" si="83"/>
        <v>5</v>
      </c>
      <c r="U235" s="250">
        <f t="shared" si="84"/>
        <v>-6.4924666899954853E-2</v>
      </c>
      <c r="V235" s="382">
        <f t="shared" si="85"/>
        <v>52.575642983678712</v>
      </c>
      <c r="W235" s="400">
        <f t="shared" si="86"/>
        <v>50.761198998181342</v>
      </c>
      <c r="X235" s="157">
        <f t="shared" si="87"/>
        <v>46973</v>
      </c>
      <c r="Y235" s="383">
        <f t="shared" si="88"/>
        <v>48.974566749734457</v>
      </c>
      <c r="Z235" s="383">
        <f t="shared" si="89"/>
        <v>52.349252993200828</v>
      </c>
      <c r="AA235" s="384">
        <f t="shared" si="90"/>
        <v>55.459191357154928</v>
      </c>
      <c r="AB235" s="197">
        <f t="shared" si="91"/>
        <v>46973</v>
      </c>
      <c r="AC235" s="119">
        <f>IF(OR(t&lt;Tnet,NoTnet),'2027'!Resal_s+('2027'!Salim-'2027'!Resal_s)*(1-EXP(('2027'!Tnet_s-t)/'2027'!Tau_j)),Resal_s+(Salim-Resal_s)*(1-EXP((Tnet_s-t)/Tau_j)))*Salcycl</f>
        <v>5.607615776303379E-2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0.46006289947402346</v>
      </c>
      <c r="AG235" s="799">
        <f t="shared" si="99"/>
        <v>3</v>
      </c>
      <c r="AH235" s="176">
        <f t="shared" si="94"/>
        <v>9</v>
      </c>
      <c r="AI235" s="224">
        <f t="shared" si="95"/>
        <v>3.4600628994740235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46974</v>
      </c>
      <c r="B236" s="409">
        <f>IF(t&gt;Tmaj,'2027'!Wh/'2027'!Env_an*'2028'!Env_an,0.001*'[10]mon-tableau (1)'!$B$251)</f>
        <v>48.890413310234734</v>
      </c>
      <c r="C236" s="829"/>
      <c r="D236" s="391">
        <f t="shared" si="77"/>
        <v>52.260302356681926</v>
      </c>
      <c r="E236" s="383">
        <f t="shared" si="100"/>
        <v>53.422528844324894</v>
      </c>
      <c r="F236" s="383">
        <f t="shared" si="78"/>
        <v>53.422528844324894</v>
      </c>
      <c r="G236" s="110">
        <f t="shared" si="101"/>
        <v>0.93213404417001</v>
      </c>
      <c r="H236" s="412" t="b">
        <f>Wh_hp&gt;='2027'!Maxi_hp</f>
        <v>0</v>
      </c>
      <c r="I236" s="388">
        <f>IF(H236,Wh_hp,'2027'!Maxi_hp)</f>
        <v>54.321267794225101</v>
      </c>
      <c r="J236" s="85">
        <f>IF(H236,An,'2027'!An_max)</f>
        <v>2021</v>
      </c>
      <c r="K236" s="197">
        <f t="shared" si="79"/>
        <v>46974</v>
      </c>
      <c r="L236" s="147">
        <f>IF(t&lt;Tvie,1-EXP((T0-t)*PertePVj)+'2027'!Pspv,1-EXP((T0-t)*PertePVj)+Pspv)</f>
        <v>6.4482769798141493E-2</v>
      </c>
      <c r="M236" s="832"/>
      <c r="N236" s="832"/>
      <c r="O236" s="48">
        <f>IF(t&lt;Tnet,'2027'!Resal+('2027'!Salim-'2027'!Resal)*(1-EXP(('2027'!Tnet-t)/('2027'!Tau_j))),Resal+(Salim-Resal)*(1-EXP((Tnet-t)/(Tau_j))))*Salcycl</f>
        <v>2.1755362630431346E-2</v>
      </c>
      <c r="P236" s="169">
        <f>(INDEX(Models!$BJ236:$BT236,,T236)*(1-R236)+INDEX(Models!$BJ236:$BT236,,T236+1)*R236-ERP_i)*Q236*Ramure*Pc/MaxiM</f>
        <v>0</v>
      </c>
      <c r="Q236" s="304">
        <f t="shared" si="80"/>
        <v>0.6</v>
      </c>
      <c r="R236" s="177">
        <f t="shared" si="81"/>
        <v>0.9365352085659423</v>
      </c>
      <c r="S236" s="799">
        <f t="shared" si="82"/>
        <v>-1</v>
      </c>
      <c r="T236" s="176">
        <f t="shared" si="83"/>
        <v>5</v>
      </c>
      <c r="U236" s="250">
        <f t="shared" si="84"/>
        <v>-6.3464791434057699E-2</v>
      </c>
      <c r="V236" s="382">
        <f t="shared" si="85"/>
        <v>52.449981433483309</v>
      </c>
      <c r="W236" s="400">
        <f t="shared" si="86"/>
        <v>48.890413310234734</v>
      </c>
      <c r="X236" s="157">
        <f t="shared" si="87"/>
        <v>46974</v>
      </c>
      <c r="Y236" s="383">
        <f t="shared" si="88"/>
        <v>47.17144603533086</v>
      </c>
      <c r="Z236" s="383">
        <f t="shared" si="89"/>
        <v>50.42285113781665</v>
      </c>
      <c r="AA236" s="384">
        <f t="shared" si="90"/>
        <v>53.422528844324894</v>
      </c>
      <c r="AB236" s="197">
        <f t="shared" si="91"/>
        <v>46974</v>
      </c>
      <c r="AC236" s="119">
        <f>IF(OR(t&lt;Tnet,NoTnet),'2027'!Resal_s+('2027'!Salim-'2027'!Resal_s)*(1-EXP(('2027'!Tnet_s-t)/'2027'!Tau_j)),Resal_s+(Salim-Resal_s)*(1-EXP((Tnet_s-t)/Tau_j)))*Salcycl</f>
        <v>5.6150050763216552E-2</v>
      </c>
      <c r="AD236" s="230">
        <f>(INDEX(Models!$BJ236:$BT236,,AH236)*(1-AF236)+INDEX(Models!$BJ236:$BT236,,AH236+1)*AF236-ERP_i)*AE236*Ramure*Pc/MaxiM</f>
        <v>0</v>
      </c>
      <c r="AE236" s="304">
        <f t="shared" si="92"/>
        <v>0.6</v>
      </c>
      <c r="AF236" s="177">
        <f t="shared" si="93"/>
        <v>0.46152277493992067</v>
      </c>
      <c r="AG236" s="799">
        <f t="shared" si="99"/>
        <v>3</v>
      </c>
      <c r="AH236" s="176">
        <f t="shared" si="94"/>
        <v>9</v>
      </c>
      <c r="AI236" s="224">
        <f t="shared" si="95"/>
        <v>3.4615227749399207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46975</v>
      </c>
      <c r="B237" s="409">
        <f>IF(t&gt;Tmaj,'2027'!Wh/'2027'!Env_an*'2028'!Env_an,0.001*'[10]mon-tableau (1)'!$B$252)</f>
        <v>47.39411412685638</v>
      </c>
      <c r="C237" s="829"/>
      <c r="D237" s="391">
        <f t="shared" si="77"/>
        <v>50.66183808439574</v>
      </c>
      <c r="E237" s="383">
        <f t="shared" si="100"/>
        <v>51.794558810558392</v>
      </c>
      <c r="F237" s="383">
        <f t="shared" si="78"/>
        <v>51.794558810558392</v>
      </c>
      <c r="G237" s="110">
        <f t="shared" si="101"/>
        <v>0.90580030045709481</v>
      </c>
      <c r="H237" s="412" t="b">
        <f>Wh_hp&gt;='2027'!Maxi_hp</f>
        <v>0</v>
      </c>
      <c r="I237" s="388">
        <f>IF(H237,Wh_hp,'2027'!Maxi_hp)</f>
        <v>52.572729783905686</v>
      </c>
      <c r="J237" s="85">
        <f>IF(H237,An,'2027'!An_max)</f>
        <v>2021</v>
      </c>
      <c r="K237" s="197">
        <f t="shared" si="79"/>
        <v>46975</v>
      </c>
      <c r="L237" s="147">
        <f>IF(t&lt;Tvie,1-EXP((T0-t)*PertePVj)+'2027'!Pspv,1-EXP((T0-t)*PertePVj)+Pspv)</f>
        <v>6.4500698772432585E-2</v>
      </c>
      <c r="M237" s="832"/>
      <c r="N237" s="832"/>
      <c r="O237" s="48">
        <f>IF(t&lt;Tnet,'2027'!Resal+('2027'!Salim-'2027'!Resal)*(1-EXP(('2027'!Tnet-t)/('2027'!Tau_j))),Resal+(Salim-Resal)*(1-EXP((Tnet-t)/(Tau_j))))*Salcycl</f>
        <v>2.1869492706862215E-2</v>
      </c>
      <c r="P237" s="169">
        <f>(INDEX(Models!$BJ237:$BT237,,T237)*(1-R237)+INDEX(Models!$BJ237:$BT237,,T237+1)*R237-ERP_i)*Q237*Ramure*Pc/MaxiM</f>
        <v>0</v>
      </c>
      <c r="Q237" s="304">
        <f t="shared" si="80"/>
        <v>0.6</v>
      </c>
      <c r="R237" s="177">
        <f t="shared" si="81"/>
        <v>0.93794501467228475</v>
      </c>
      <c r="S237" s="799">
        <f t="shared" si="82"/>
        <v>-1</v>
      </c>
      <c r="T237" s="176">
        <f t="shared" si="83"/>
        <v>5</v>
      </c>
      <c r="U237" s="250">
        <f t="shared" si="84"/>
        <v>-6.2054985327715195E-2</v>
      </c>
      <c r="V237" s="382">
        <f t="shared" si="85"/>
        <v>52.322917206960348</v>
      </c>
      <c r="W237" s="400">
        <f t="shared" si="86"/>
        <v>47.39411412685638</v>
      </c>
      <c r="X237" s="157">
        <f t="shared" si="87"/>
        <v>46975</v>
      </c>
      <c r="Y237" s="383">
        <f t="shared" si="88"/>
        <v>45.729521953052306</v>
      </c>
      <c r="Z237" s="383">
        <f t="shared" si="89"/>
        <v>48.882475799870477</v>
      </c>
      <c r="AA237" s="384">
        <f t="shared" si="90"/>
        <v>51.794558810558392</v>
      </c>
      <c r="AB237" s="197">
        <f t="shared" si="91"/>
        <v>46975</v>
      </c>
      <c r="AC237" s="119">
        <f>IF(OR(t&lt;Tnet,NoTnet),'2027'!Resal_s+('2027'!Salim-'2027'!Resal_s)*(1-EXP(('2027'!Tnet_s-t)/'2027'!Tau_j)),Resal_s+(Salim-Resal_s)*(1-EXP((Tnet_s-t)/Tau_j)))*Salcycl</f>
        <v>5.6223724606652654E-2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0.46293258104626345</v>
      </c>
      <c r="AG237" s="799">
        <f t="shared" si="99"/>
        <v>3</v>
      </c>
      <c r="AH237" s="176">
        <f t="shared" si="94"/>
        <v>9</v>
      </c>
      <c r="AI237" s="224">
        <f t="shared" si="95"/>
        <v>3.4629325810462634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46976</v>
      </c>
      <c r="B238" s="409">
        <f>IF(t&gt;Tmaj,'2027'!Wh/'2027'!Env_an*'2028'!Env_an,0.001*'[10]mon-tableau (1)'!$B$253)</f>
        <v>47.650229535492386</v>
      </c>
      <c r="C238" s="829"/>
      <c r="D238" s="391">
        <f t="shared" si="77"/>
        <v>50.936588297013465</v>
      </c>
      <c r="E238" s="383">
        <f t="shared" si="100"/>
        <v>52.081518877229698</v>
      </c>
      <c r="F238" s="383">
        <f t="shared" si="78"/>
        <v>52.081518877229698</v>
      </c>
      <c r="G238" s="110">
        <f t="shared" si="101"/>
        <v>0.91293497250078737</v>
      </c>
      <c r="H238" s="412" t="b">
        <f>Wh_hp&gt;='2027'!Maxi_hp</f>
        <v>1</v>
      </c>
      <c r="I238" s="388">
        <f>IF(H238,Wh_hp,'2027'!Maxi_hp)</f>
        <v>52.081518877229698</v>
      </c>
      <c r="J238" s="85">
        <f>IF(H238,An,'2027'!An_max)</f>
        <v>2028</v>
      </c>
      <c r="K238" s="197">
        <f t="shared" si="79"/>
        <v>46976</v>
      </c>
      <c r="L238" s="147">
        <f>IF(t&lt;Tvie,1-EXP((T0-t)*PertePVj)+'2027'!Pspv,1-EXP((T0-t)*PertePVj)+Pspv)</f>
        <v>6.4518627403118867E-2</v>
      </c>
      <c r="M238" s="832"/>
      <c r="N238" s="832"/>
      <c r="O238" s="48">
        <f>IF(t&lt;Tnet,'2027'!Resal+('2027'!Salim-'2027'!Resal)*(1-EXP(('2027'!Tnet-t)/('2027'!Tau_j))),Resal+(Salim-Resal)*(1-EXP((Tnet-t)/(Tau_j))))*Salcycl</f>
        <v>2.1983432989255678E-2</v>
      </c>
      <c r="P238" s="169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0.93930615365985082</v>
      </c>
      <c r="S238" s="799">
        <f t="shared" si="82"/>
        <v>-1</v>
      </c>
      <c r="T238" s="176">
        <f t="shared" si="83"/>
        <v>5</v>
      </c>
      <c r="U238" s="250">
        <f t="shared" si="84"/>
        <v>-6.0693846340149127E-2</v>
      </c>
      <c r="V238" s="382">
        <f t="shared" si="85"/>
        <v>52.194549415677351</v>
      </c>
      <c r="W238" s="400">
        <f t="shared" si="86"/>
        <v>47.650229535492386</v>
      </c>
      <c r="X238" s="157">
        <f t="shared" si="87"/>
        <v>46976</v>
      </c>
      <c r="Y238" s="383">
        <f t="shared" si="88"/>
        <v>45.978419624145602</v>
      </c>
      <c r="Z238" s="383">
        <f t="shared" si="89"/>
        <v>49.14947637761108</v>
      </c>
      <c r="AA238" s="384">
        <f t="shared" si="90"/>
        <v>52.081518877229698</v>
      </c>
      <c r="AB238" s="197">
        <f t="shared" si="91"/>
        <v>46976</v>
      </c>
      <c r="AC238" s="119">
        <f>IF(OR(t&lt;Tnet,NoTnet),'2027'!Resal_s+('2027'!Salim-'2027'!Resal_s)*(1-EXP(('2027'!Tnet_s-t)/'2027'!Tau_j)),Resal_s+(Salim-Resal_s)*(1-EXP((Tnet_s-t)/Tau_j)))*Salcycl</f>
        <v>5.6297177248809449E-2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0.46429372003382952</v>
      </c>
      <c r="AG238" s="799">
        <f t="shared" si="99"/>
        <v>3</v>
      </c>
      <c r="AH238" s="176">
        <f t="shared" si="94"/>
        <v>9</v>
      </c>
      <c r="AI238" s="224">
        <f t="shared" si="95"/>
        <v>3.4642937200338295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46977</v>
      </c>
      <c r="B239" s="409">
        <f>IF(t&gt;Tmaj,'2027'!Wh/'2027'!Env_an*'2028'!Env_an,0.001*'[10]mon-tableau (1)'!$B$254)</f>
        <v>37.220054416490328</v>
      </c>
      <c r="C239" s="829"/>
      <c r="D239" s="391">
        <f t="shared" si="77"/>
        <v>39.787823503837892</v>
      </c>
      <c r="E239" s="383">
        <f t="shared" si="100"/>
        <v>40.686889093364215</v>
      </c>
      <c r="F239" s="383">
        <f t="shared" si="78"/>
        <v>40.686889093364215</v>
      </c>
      <c r="G239" s="110">
        <f t="shared" si="101"/>
        <v>0.71487699537572391</v>
      </c>
      <c r="H239" s="412" t="b">
        <f>Wh_hp&gt;='2027'!Maxi_hp</f>
        <v>0</v>
      </c>
      <c r="I239" s="388">
        <f>IF(H239,Wh_hp,'2027'!Maxi_hp)</f>
        <v>50.157042918193603</v>
      </c>
      <c r="J239" s="85">
        <f>IF(H239,An,'2027'!An_max)</f>
        <v>2018</v>
      </c>
      <c r="K239" s="197">
        <f t="shared" si="79"/>
        <v>46977</v>
      </c>
      <c r="L239" s="147">
        <f>IF(t&lt;Tvie,1-EXP((T0-t)*PertePVj)+'2027'!Pspv,1-EXP((T0-t)*PertePVj)+Pspv)</f>
        <v>6.4536555690207109E-2</v>
      </c>
      <c r="M239" s="832"/>
      <c r="N239" s="832"/>
      <c r="O239" s="48">
        <f>IF(t&lt;Tnet,'2027'!Resal+('2027'!Salim-'2027'!Resal)*(1-EXP(('2027'!Tnet-t)/('2027'!Tau_j))),Resal+(Salim-Resal)*(1-EXP((Tnet-t)/(Tau_j))))*Salcycl</f>
        <v>2.2097181907007931E-2</v>
      </c>
      <c r="P239" s="169">
        <f>(INDEX(Models!$BJ239:$BT239,,T239)*(1-R239)+INDEX(Models!$BJ239:$BT239,,T239+1)*R239-ERP_i)*Q239*Ramure*Pc/MaxiM</f>
        <v>0</v>
      </c>
      <c r="Q239" s="304">
        <f t="shared" si="80"/>
        <v>0.6</v>
      </c>
      <c r="R239" s="177">
        <f t="shared" si="81"/>
        <v>0.94062001198759448</v>
      </c>
      <c r="S239" s="799">
        <f t="shared" si="82"/>
        <v>-1</v>
      </c>
      <c r="T239" s="176">
        <f t="shared" si="83"/>
        <v>5</v>
      </c>
      <c r="U239" s="250">
        <f t="shared" si="84"/>
        <v>-5.9379988012405516E-2</v>
      </c>
      <c r="V239" s="382">
        <f t="shared" si="85"/>
        <v>52.064977132084472</v>
      </c>
      <c r="W239" s="400">
        <f t="shared" si="86"/>
        <v>37.220054416490328</v>
      </c>
      <c r="X239" s="157">
        <f t="shared" si="87"/>
        <v>46977</v>
      </c>
      <c r="Y239" s="383">
        <f t="shared" si="88"/>
        <v>35.915577900651833</v>
      </c>
      <c r="Z239" s="383">
        <f t="shared" si="89"/>
        <v>38.39335264153609</v>
      </c>
      <c r="AA239" s="384">
        <f t="shared" si="90"/>
        <v>40.686889093364215</v>
      </c>
      <c r="AB239" s="197">
        <f t="shared" si="91"/>
        <v>46977</v>
      </c>
      <c r="AC239" s="119">
        <f>IF(OR(t&lt;Tnet,NoTnet),'2027'!Resal_s+('2027'!Salim-'2027'!Resal_s)*(1-EXP(('2027'!Tnet_s-t)/'2027'!Tau_j)),Resal_s+(Salim-Resal_s)*(1-EXP((Tnet_s-t)/Tau_j)))*Salcycl</f>
        <v>5.6370405871167657E-2</v>
      </c>
      <c r="AD239" s="230">
        <f>(INDEX(Models!$BJ239:$BT239,,AH239)*(1-AF239)+INDEX(Models!$BJ239:$BT239,,AH239+1)*AF239-ERP_i)*AE239*Ramure*Pc/MaxiM</f>
        <v>0</v>
      </c>
      <c r="AE239" s="304">
        <f t="shared" si="92"/>
        <v>0.6</v>
      </c>
      <c r="AF239" s="177">
        <f t="shared" si="93"/>
        <v>0.46560757836157318</v>
      </c>
      <c r="AG239" s="799">
        <f t="shared" si="99"/>
        <v>3</v>
      </c>
      <c r="AH239" s="176">
        <f t="shared" si="94"/>
        <v>9</v>
      </c>
      <c r="AI239" s="224">
        <f t="shared" si="95"/>
        <v>3.4656075783615732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46978</v>
      </c>
      <c r="B240" s="409">
        <f>IF(t&gt;Tmaj,'2027'!Wh/'2027'!Env_an*'2028'!Env_an,0.001*'[10]mon-tableau (1)'!$B$255)</f>
        <v>33.547257017425359</v>
      </c>
      <c r="C240" s="829"/>
      <c r="D240" s="391">
        <f t="shared" si="77"/>
        <v>35.86233129614908</v>
      </c>
      <c r="E240" s="383">
        <f t="shared" si="100"/>
        <v>36.676953485802017</v>
      </c>
      <c r="F240" s="383">
        <f t="shared" si="78"/>
        <v>36.676953635419792</v>
      </c>
      <c r="G240" s="110">
        <f t="shared" si="101"/>
        <v>0.64595570845434169</v>
      </c>
      <c r="H240" s="412" t="b">
        <f>Wh_hp&gt;='2027'!Maxi_hp</f>
        <v>0</v>
      </c>
      <c r="I240" s="388">
        <f>IF(H240,Wh_hp,'2027'!Maxi_hp)</f>
        <v>57.247327740538942</v>
      </c>
      <c r="J240" s="85">
        <f>IF(H240,An,'2027'!An_max)</f>
        <v>2018</v>
      </c>
      <c r="K240" s="197">
        <f t="shared" si="79"/>
        <v>46978</v>
      </c>
      <c r="L240" s="147">
        <f>IF(t&lt;Tvie,1-EXP((T0-t)*PertePVj)+'2027'!Pspv,1-EXP((T0-t)*PertePVj)+Pspv)</f>
        <v>6.4554483633703863E-2</v>
      </c>
      <c r="M240" s="832"/>
      <c r="N240" s="832"/>
      <c r="O240" s="48">
        <f>IF(t&lt;Tnet,'2027'!Resal+('2027'!Salim-'2027'!Resal)*(1-EXP(('2027'!Tnet-t)/('2027'!Tau_j))),Resal+(Salim-Resal)*(1-EXP((Tnet-t)/(Tau_j))))*Salcycl</f>
        <v>2.2210737594884667E-2</v>
      </c>
      <c r="P240" s="169">
        <f>(INDEX(Models!$BJ240:$BT240,,T240)*(1-R240)+INDEX(Models!$BJ240:$BT240,,T240+1)*R240-ERP_i)*Q240*Ramure*Pc/MaxiM</f>
        <v>8.2540574004998627E-9</v>
      </c>
      <c r="Q240" s="304">
        <f t="shared" si="80"/>
        <v>0.6</v>
      </c>
      <c r="R240" s="177">
        <f t="shared" si="81"/>
        <v>0.94188795854854335</v>
      </c>
      <c r="S240" s="799">
        <f t="shared" si="82"/>
        <v>-1</v>
      </c>
      <c r="T240" s="176">
        <f t="shared" si="83"/>
        <v>5</v>
      </c>
      <c r="U240" s="250">
        <f t="shared" si="84"/>
        <v>-5.8112041451456597E-2</v>
      </c>
      <c r="V240" s="382">
        <f t="shared" si="85"/>
        <v>51.934298959363218</v>
      </c>
      <c r="W240" s="400">
        <f t="shared" si="86"/>
        <v>33.547257017425359</v>
      </c>
      <c r="X240" s="157">
        <f t="shared" si="87"/>
        <v>46978</v>
      </c>
      <c r="Y240" s="383">
        <f t="shared" si="88"/>
        <v>32.372757998530183</v>
      </c>
      <c r="Z240" s="383">
        <f t="shared" si="89"/>
        <v>34.606780867667183</v>
      </c>
      <c r="AA240" s="384">
        <f t="shared" si="90"/>
        <v>36.676953054234936</v>
      </c>
      <c r="AB240" s="197">
        <f t="shared" si="91"/>
        <v>46978</v>
      </c>
      <c r="AC240" s="119">
        <f>IF(OR(t&lt;Tnet,NoTnet),'2027'!Resal_s+('2027'!Salim-'2027'!Resal_s)*(1-EXP(('2027'!Tnet_s-t)/'2027'!Tau_j)),Resal_s+(Salim-Resal_s)*(1-EXP((Tnet_s-t)/Tau_j)))*Salcycl</f>
        <v>5.6443406940226135E-2</v>
      </c>
      <c r="AD240" s="230">
        <f>(INDEX(Models!$BJ240:$BT240,,AH240)*(1-AF240)+INDEX(Models!$BJ240:$BT240,,AH240+1)*AF240-ERP_i)*AE240*Ramure*Pc/MaxiM</f>
        <v>3.2062587440615843E-8</v>
      </c>
      <c r="AE240" s="304">
        <f t="shared" si="92"/>
        <v>0.6</v>
      </c>
      <c r="AF240" s="177">
        <f t="shared" si="93"/>
        <v>0.46687552492252182</v>
      </c>
      <c r="AG240" s="799">
        <f t="shared" si="99"/>
        <v>3</v>
      </c>
      <c r="AH240" s="176">
        <f t="shared" si="94"/>
        <v>9</v>
      </c>
      <c r="AI240" s="224">
        <f t="shared" si="95"/>
        <v>3.4668755249225218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46979</v>
      </c>
      <c r="B241" s="409">
        <f>IF(t&gt;Tmaj,'2027'!Wh/'2027'!Env_an*'2028'!Env_an,0.001*'[10]mon-tableau (1)'!$B$256)</f>
        <v>35.866286120413129</v>
      </c>
      <c r="C241" s="829"/>
      <c r="D241" s="391">
        <f t="shared" si="77"/>
        <v>38.342129899880952</v>
      </c>
      <c r="E241" s="383">
        <f t="shared" si="100"/>
        <v>39.217628068700073</v>
      </c>
      <c r="F241" s="383">
        <f t="shared" si="78"/>
        <v>39.217628614582573</v>
      </c>
      <c r="G241" s="110">
        <f t="shared" si="101"/>
        <v>0.69236440088281659</v>
      </c>
      <c r="H241" s="412" t="b">
        <f>Wh_hp&gt;='2027'!Maxi_hp</f>
        <v>0</v>
      </c>
      <c r="I241" s="388">
        <f>IF(H241,Wh_hp,'2027'!Maxi_hp)</f>
        <v>50.015473109752712</v>
      </c>
      <c r="J241" s="85">
        <f>IF(H241,An,'2027'!An_max)</f>
        <v>2020</v>
      </c>
      <c r="K241" s="197">
        <f t="shared" si="79"/>
        <v>46979</v>
      </c>
      <c r="L241" s="147">
        <f>IF(t&lt;Tvie,1-EXP((T0-t)*PertePVj)+'2027'!Pspv,1-EXP((T0-t)*PertePVj)+Pspv)</f>
        <v>6.4572411233615568E-2</v>
      </c>
      <c r="M241" s="832"/>
      <c r="N241" s="832"/>
      <c r="O241" s="48">
        <f>IF(t&lt;Tnet,'2027'!Resal+('2027'!Salim-'2027'!Resal)*(1-EXP(('2027'!Tnet-t)/('2027'!Tau_j))),Resal+(Salim-Resal)*(1-EXP((Tnet-t)/(Tau_j))))*Salcycl</f>
        <v>2.2324097910395156E-2</v>
      </c>
      <c r="P241" s="169">
        <f>(INDEX(Models!$BJ241:$BT241,,T241)*(1-R241)+INDEX(Models!$BJ241:$BT241,,T241+1)*R241-ERP_i)*Q241*Ramure*Pc/MaxiM</f>
        <v>2.4832833535777864E-8</v>
      </c>
      <c r="Q241" s="304">
        <f t="shared" si="80"/>
        <v>0.6</v>
      </c>
      <c r="R241" s="177">
        <f t="shared" si="81"/>
        <v>0.94311134307158362</v>
      </c>
      <c r="S241" s="799">
        <f t="shared" si="82"/>
        <v>-1</v>
      </c>
      <c r="T241" s="176">
        <f t="shared" si="83"/>
        <v>5</v>
      </c>
      <c r="U241" s="250">
        <f t="shared" si="84"/>
        <v>-5.6888656928416381E-2</v>
      </c>
      <c r="V241" s="382">
        <f t="shared" si="85"/>
        <v>51.8026138883708</v>
      </c>
      <c r="W241" s="400">
        <f t="shared" si="86"/>
        <v>35.866286120413129</v>
      </c>
      <c r="X241" s="157">
        <f t="shared" si="87"/>
        <v>46979</v>
      </c>
      <c r="Y241" s="383">
        <f t="shared" si="88"/>
        <v>34.61193974638261</v>
      </c>
      <c r="Z241" s="383">
        <f t="shared" si="89"/>
        <v>37.001196203789391</v>
      </c>
      <c r="AA241" s="384">
        <f t="shared" si="90"/>
        <v>39.217626495493093</v>
      </c>
      <c r="AB241" s="197">
        <f t="shared" si="91"/>
        <v>46979</v>
      </c>
      <c r="AC241" s="119">
        <f>IF(OR(t&lt;Tnet,NoTnet),'2027'!Resal_s+('2027'!Salim-'2027'!Resal_s)*(1-EXP(('2027'!Tnet_s-t)/'2027'!Tau_j)),Resal_s+(Salim-Resal_s)*(1-EXP((Tnet_s-t)/Tau_j)))*Salcycl</f>
        <v>5.6516176264731793E-2</v>
      </c>
      <c r="AD241" s="230">
        <f>(INDEX(Models!$BJ241:$BT241,,AH241)*(1-AF241)+INDEX(Models!$BJ241:$BT241,,AH241+1)*AF241-ERP_i)*AE241*Ramure*Pc/MaxiM</f>
        <v>9.6399859637635015E-8</v>
      </c>
      <c r="AE241" s="304">
        <f t="shared" si="92"/>
        <v>0.6</v>
      </c>
      <c r="AF241" s="177">
        <f t="shared" si="93"/>
        <v>0.46809890944556187</v>
      </c>
      <c r="AG241" s="799">
        <f t="shared" si="99"/>
        <v>3</v>
      </c>
      <c r="AH241" s="176">
        <f t="shared" si="94"/>
        <v>9</v>
      </c>
      <c r="AI241" s="224">
        <f t="shared" si="95"/>
        <v>3.4680989094455619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46980</v>
      </c>
      <c r="B242" s="409">
        <f>IF(t&gt;Tmaj,'2027'!Wh/'2027'!Env_an*'2028'!Env_an,0.001*'[10]mon-tableau (1)'!$B$257)</f>
        <v>37.130101399699349</v>
      </c>
      <c r="C242" s="829"/>
      <c r="D242" s="391">
        <f t="shared" si="77"/>
        <v>39.693946863622791</v>
      </c>
      <c r="E242" s="383">
        <f t="shared" si="100"/>
        <v>40.60501209561707</v>
      </c>
      <c r="F242" s="383">
        <f t="shared" si="78"/>
        <v>40.60501330499676</v>
      </c>
      <c r="G242" s="110">
        <f t="shared" si="101"/>
        <v>0.71860045791255545</v>
      </c>
      <c r="H242" s="412" t="b">
        <f>Wh_hp&gt;='2027'!Maxi_hp</f>
        <v>0</v>
      </c>
      <c r="I242" s="388">
        <f>IF(H242,Wh_hp,'2027'!Maxi_hp)</f>
        <v>56.868065915870055</v>
      </c>
      <c r="J242" s="85">
        <f>IF(H242,An,'2027'!An_max)</f>
        <v>2018</v>
      </c>
      <c r="K242" s="197">
        <f t="shared" si="79"/>
        <v>46980</v>
      </c>
      <c r="L242" s="147">
        <f>IF(t&lt;Tvie,1-EXP((T0-t)*PertePVj)+'2027'!Pspv,1-EXP((T0-t)*PertePVj)+Pspv)</f>
        <v>6.4590338489948995E-2</v>
      </c>
      <c r="M242" s="832"/>
      <c r="N242" s="832"/>
      <c r="O242" s="48">
        <f>IF(t&lt;Tnet,'2027'!Resal+('2027'!Salim-'2027'!Resal)*(1-EXP(('2027'!Tnet-t)/('2027'!Tau_j))),Resal+(Salim-Resal)*(1-EXP((Tnet-t)/(Tau_j))))*Salcycl</f>
        <v>2.2437260450727053E-2</v>
      </c>
      <c r="P242" s="169">
        <f>(INDEX(Models!$BJ242:$BT242,,T242)*(1-R242)+INDEX(Models!$BJ242:$BT242,,T242+1)*R242-ERP_i)*Q242*Ramure*Pc/MaxiM</f>
        <v>4.9805962623400384E-8</v>
      </c>
      <c r="Q242" s="304">
        <f t="shared" si="80"/>
        <v>0.6</v>
      </c>
      <c r="R242" s="177">
        <f t="shared" si="81"/>
        <v>0.94429149469960239</v>
      </c>
      <c r="S242" s="799">
        <f t="shared" si="82"/>
        <v>-1</v>
      </c>
      <c r="T242" s="176">
        <f t="shared" si="83"/>
        <v>5</v>
      </c>
      <c r="U242" s="250">
        <f t="shared" si="84"/>
        <v>-5.5708505300397615E-2</v>
      </c>
      <c r="V242" s="382">
        <f t="shared" si="85"/>
        <v>51.670020868258419</v>
      </c>
      <c r="W242" s="400">
        <f t="shared" si="86"/>
        <v>37.130101399699349</v>
      </c>
      <c r="X242" s="157">
        <f t="shared" si="87"/>
        <v>46980</v>
      </c>
      <c r="Y242" s="383">
        <f t="shared" si="88"/>
        <v>35.832947056174476</v>
      </c>
      <c r="Z242" s="383">
        <f t="shared" si="89"/>
        <v>38.307223594770889</v>
      </c>
      <c r="AA242" s="384">
        <f t="shared" si="90"/>
        <v>40.605008613168764</v>
      </c>
      <c r="AB242" s="197">
        <f t="shared" si="91"/>
        <v>46980</v>
      </c>
      <c r="AC242" s="119">
        <f>IF(OR(t&lt;Tnet,NoTnet),'2027'!Resal_s+('2027'!Salim-'2027'!Resal_s)*(1-EXP(('2027'!Tnet_s-t)/'2027'!Tau_j)),Resal_s+(Salim-Resal_s)*(1-EXP((Tnet_s-t)/Tau_j)))*Salcycl</f>
        <v>5.6588709050357566E-2</v>
      </c>
      <c r="AD242" s="230">
        <f>(INDEX(Models!$BJ242:$BT242,,AH242)*(1-AF242)+INDEX(Models!$BJ242:$BT242,,AH242+1)*AF242-ERP_i)*AE242*Ramure*Pc/MaxiM</f>
        <v>1.9322385909108527E-7</v>
      </c>
      <c r="AE242" s="304">
        <f t="shared" si="92"/>
        <v>0.6</v>
      </c>
      <c r="AF242" s="177">
        <f t="shared" si="93"/>
        <v>0.46927906107358108</v>
      </c>
      <c r="AG242" s="799">
        <f t="shared" si="99"/>
        <v>3</v>
      </c>
      <c r="AH242" s="176">
        <f t="shared" si="94"/>
        <v>9</v>
      </c>
      <c r="AI242" s="224">
        <f t="shared" si="95"/>
        <v>3.4692790610735811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46981</v>
      </c>
      <c r="B243" s="409">
        <f>IF(t&gt;Tmaj,'2027'!Wh/'2027'!Env_an*'2028'!Env_an,0.001*'[10]mon-tableau (1)'!$B$258)</f>
        <v>28.713500569702415</v>
      </c>
      <c r="C243" s="829"/>
      <c r="D243" s="391">
        <f t="shared" si="77"/>
        <v>30.696765331227059</v>
      </c>
      <c r="E243" s="383">
        <f t="shared" si="100"/>
        <v>31.404954034471139</v>
      </c>
      <c r="F243" s="383">
        <f t="shared" si="78"/>
        <v>31.404954994809671</v>
      </c>
      <c r="G243" s="110">
        <f t="shared" si="101"/>
        <v>0.5571475141971125</v>
      </c>
      <c r="H243" s="412" t="b">
        <f>Wh_hp&gt;='2027'!Maxi_hp</f>
        <v>0</v>
      </c>
      <c r="I243" s="388">
        <f>IF(H243,Wh_hp,'2027'!Maxi_hp)</f>
        <v>54.878692753943</v>
      </c>
      <c r="J243" s="85">
        <f>IF(H243,An,'2027'!An_max)</f>
        <v>2018</v>
      </c>
      <c r="K243" s="197">
        <f t="shared" si="79"/>
        <v>46981</v>
      </c>
      <c r="L243" s="147">
        <f>IF(t&lt;Tvie,1-EXP((T0-t)*PertePVj)+'2027'!Pspv,1-EXP((T0-t)*PertePVj)+Pspv)</f>
        <v>6.4608265402710585E-2</v>
      </c>
      <c r="M243" s="832"/>
      <c r="N243" s="832"/>
      <c r="O243" s="48">
        <f>IF(t&lt;Tnet,'2027'!Resal+('2027'!Salim-'2027'!Resal)*(1-EXP(('2027'!Tnet-t)/('2027'!Tau_j))),Resal+(Salim-Resal)*(1-EXP((Tnet-t)/(Tau_j))))*Salcycl</f>
        <v>2.2550222568921693E-2</v>
      </c>
      <c r="P243" s="169">
        <f>(INDEX(Models!$BJ243:$BT243,,T243)*(1-R243)+INDEX(Models!$BJ243:$BT243,,T243+1)*R243-ERP_i)*Q243*Ramure*Pc/MaxiM</f>
        <v>8.3241872154808358E-8</v>
      </c>
      <c r="Q243" s="304">
        <f t="shared" si="80"/>
        <v>0.6</v>
      </c>
      <c r="R243" s="177">
        <f t="shared" si="81"/>
        <v>0.94542972073445508</v>
      </c>
      <c r="S243" s="799">
        <f t="shared" si="82"/>
        <v>-1</v>
      </c>
      <c r="T243" s="176">
        <f t="shared" si="83"/>
        <v>5</v>
      </c>
      <c r="U243" s="250">
        <f t="shared" si="84"/>
        <v>-5.4570279265544974E-2</v>
      </c>
      <c r="V243" s="382">
        <f t="shared" si="85"/>
        <v>51.536618805435992</v>
      </c>
      <c r="W243" s="400">
        <f t="shared" si="86"/>
        <v>28.713500569702415</v>
      </c>
      <c r="X243" s="157">
        <f t="shared" si="87"/>
        <v>46981</v>
      </c>
      <c r="Y243" s="383">
        <f t="shared" si="88"/>
        <v>27.711462171865687</v>
      </c>
      <c r="Z243" s="383">
        <f t="shared" si="89"/>
        <v>29.625515328929218</v>
      </c>
      <c r="AA243" s="384">
        <f t="shared" si="90"/>
        <v>31.404951271381591</v>
      </c>
      <c r="AB243" s="197">
        <f t="shared" si="91"/>
        <v>46981</v>
      </c>
      <c r="AC243" s="119">
        <f>IF(OR(t&lt;Tnet,NoTnet),'2027'!Resal_s+('2027'!Salim-'2027'!Resal_s)*(1-EXP(('2027'!Tnet_s-t)/'2027'!Tau_j)),Resal_s+(Salim-Resal_s)*(1-EXP((Tnet_s-t)/Tau_j)))*Salcycl</f>
        <v>5.666099995111025E-2</v>
      </c>
      <c r="AD243" s="230">
        <f>(INDEX(Models!$BJ243:$BT243,,AH243)*(1-AF243)+INDEX(Models!$BJ243:$BT243,,AH243+1)*AF243-ERP_i)*AE243*Ramure*Pc/MaxiM</f>
        <v>3.2274569212735574E-7</v>
      </c>
      <c r="AE243" s="304">
        <f t="shared" si="92"/>
        <v>0.6</v>
      </c>
      <c r="AF243" s="177">
        <f t="shared" si="93"/>
        <v>0.47041728710843334</v>
      </c>
      <c r="AG243" s="799">
        <f t="shared" si="99"/>
        <v>3</v>
      </c>
      <c r="AH243" s="176">
        <f t="shared" si="94"/>
        <v>9</v>
      </c>
      <c r="AI243" s="224">
        <f t="shared" si="95"/>
        <v>3.4704172871084333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46982</v>
      </c>
      <c r="B244" s="409">
        <f>IF(t&gt;Tmaj,'2027'!Wh/'2027'!Env_an*'2028'!Env_an,0.001*'[10]mon-tableau (1)'!$B$259)</f>
        <v>36.448628860513729</v>
      </c>
      <c r="C244" s="829"/>
      <c r="D244" s="391">
        <f t="shared" si="77"/>
        <v>38.966911995700258</v>
      </c>
      <c r="E244" s="383">
        <f t="shared" si="100"/>
        <v>39.870496311579387</v>
      </c>
      <c r="F244" s="383">
        <f t="shared" si="78"/>
        <v>39.870499228975483</v>
      </c>
      <c r="G244" s="110">
        <f t="shared" si="101"/>
        <v>0.70908267710648964</v>
      </c>
      <c r="H244" s="412" t="b">
        <f>Wh_hp&gt;='2027'!Maxi_hp</f>
        <v>0</v>
      </c>
      <c r="I244" s="388">
        <f>IF(H244,Wh_hp,'2027'!Maxi_hp)</f>
        <v>51.155268788996608</v>
      </c>
      <c r="J244" s="85">
        <f>IF(H244,An,'2027'!An_max)</f>
        <v>2021</v>
      </c>
      <c r="K244" s="197">
        <f t="shared" si="79"/>
        <v>46982</v>
      </c>
      <c r="L244" s="147">
        <f>IF(t&lt;Tvie,1-EXP((T0-t)*PertePVj)+'2027'!Pspv,1-EXP((T0-t)*PertePVj)+Pspv)</f>
        <v>6.4626191971906999E-2</v>
      </c>
      <c r="M244" s="832"/>
      <c r="N244" s="832"/>
      <c r="O244" s="48">
        <f>IF(t&lt;Tnet,'2027'!Resal+('2027'!Salim-'2027'!Resal)*(1-EXP(('2027'!Tnet-t)/('2027'!Tau_j))),Resal+(Salim-Resal)*(1-EXP((Tnet-t)/(Tau_j))))*Salcycl</f>
        <v>2.26629813889903E-2</v>
      </c>
      <c r="P244" s="169">
        <f>(INDEX(Models!$BJ244:$BT244,,T244)*(1-R244)+INDEX(Models!$BJ244:$BT244,,T244+1)*R244-ERP_i)*Q244*Ramure*Pc/MaxiM</f>
        <v>1.2520758398008024E-7</v>
      </c>
      <c r="Q244" s="304">
        <f t="shared" si="80"/>
        <v>0.6</v>
      </c>
      <c r="R244" s="177">
        <f t="shared" si="81"/>
        <v>0.94652730553926867</v>
      </c>
      <c r="S244" s="799">
        <f t="shared" si="82"/>
        <v>-1</v>
      </c>
      <c r="T244" s="176">
        <f t="shared" si="83"/>
        <v>5</v>
      </c>
      <c r="U244" s="250">
        <f t="shared" si="84"/>
        <v>-5.3472694460731385E-2</v>
      </c>
      <c r="V244" s="382">
        <f t="shared" si="85"/>
        <v>51.402506563288519</v>
      </c>
      <c r="W244" s="400">
        <f t="shared" si="86"/>
        <v>36.448628860513729</v>
      </c>
      <c r="X244" s="157">
        <f t="shared" si="87"/>
        <v>46982</v>
      </c>
      <c r="Y244" s="383">
        <f t="shared" si="88"/>
        <v>35.178018780185177</v>
      </c>
      <c r="Z244" s="383">
        <f t="shared" si="89"/>
        <v>37.608513813686606</v>
      </c>
      <c r="AA244" s="384">
        <f t="shared" si="90"/>
        <v>39.870487924177638</v>
      </c>
      <c r="AB244" s="197">
        <f t="shared" si="91"/>
        <v>46982</v>
      </c>
      <c r="AC244" s="119">
        <f>IF(OR(t&lt;Tnet,NoTnet),'2027'!Resal_s+('2027'!Salim-'2027'!Resal_s)*(1-EXP(('2027'!Tnet_s-t)/'2027'!Tau_j)),Resal_s+(Salim-Resal_s)*(1-EXP((Tnet_s-t)/Tau_j)))*Salcycl</f>
        <v>5.6733043116820252E-2</v>
      </c>
      <c r="AD244" s="230">
        <f>(INDEX(Models!$BJ244:$BT244,,AH244)*(1-AF244)+INDEX(Models!$BJ244:$BT244,,AH244+1)*AF244-ERP_i)*AE244*Ramure*Pc/MaxiM</f>
        <v>4.8517457988076734E-7</v>
      </c>
      <c r="AE244" s="304">
        <f t="shared" si="92"/>
        <v>0.6</v>
      </c>
      <c r="AF244" s="177">
        <f t="shared" si="93"/>
        <v>0.47151487191324692</v>
      </c>
      <c r="AG244" s="799">
        <f t="shared" si="99"/>
        <v>3</v>
      </c>
      <c r="AH244" s="176">
        <f t="shared" si="94"/>
        <v>9</v>
      </c>
      <c r="AI244" s="224">
        <f t="shared" si="95"/>
        <v>3.4715148719132469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46983</v>
      </c>
      <c r="B245" s="409">
        <f>IF(t&gt;Tmaj,'2027'!Wh/'2027'!Env_an*'2028'!Env_an,0.001*'[10]mon-tableau (1)'!$B$260)</f>
        <v>38.054075378868781</v>
      </c>
      <c r="C245" s="829"/>
      <c r="D245" s="391">
        <f t="shared" si="77"/>
        <v>40.68406060112391</v>
      </c>
      <c r="E245" s="383">
        <f t="shared" si="100"/>
        <v>41.63225748956777</v>
      </c>
      <c r="F245" s="383">
        <f t="shared" si="78"/>
        <v>41.632262112863174</v>
      </c>
      <c r="G245" s="110">
        <f t="shared" si="101"/>
        <v>0.74226094281648169</v>
      </c>
      <c r="H245" s="412" t="b">
        <f>Wh_hp&gt;='2027'!Maxi_hp</f>
        <v>0</v>
      </c>
      <c r="I245" s="388">
        <f>IF(H245,Wh_hp,'2027'!Maxi_hp)</f>
        <v>45.575246648150426</v>
      </c>
      <c r="J245" s="85">
        <f>IF(H245,An,'2027'!An_max)</f>
        <v>2021</v>
      </c>
      <c r="K245" s="197">
        <f t="shared" si="79"/>
        <v>46983</v>
      </c>
      <c r="L245" s="147">
        <f>IF(t&lt;Tvie,1-EXP((T0-t)*PertePVj)+'2027'!Pspv,1-EXP((T0-t)*PertePVj)+Pspv)</f>
        <v>6.4644118197544786E-2</v>
      </c>
      <c r="M245" s="832"/>
      <c r="N245" s="832"/>
      <c r="O245" s="48">
        <f>IF(t&lt;Tnet,'2027'!Resal+('2027'!Salim-'2027'!Resal)*(1-EXP(('2027'!Tnet-t)/('2027'!Tau_j))),Resal+(Salim-Resal)*(1-EXP((Tnet-t)/(Tau_j))))*Salcycl</f>
        <v>2.2775533819693976E-2</v>
      </c>
      <c r="P245" s="169">
        <f>(INDEX(Models!$BJ245:$BT245,,T245)*(1-R245)+INDEX(Models!$BJ245:$BT245,,T245+1)*R245-ERP_i)*Q245*Ramure*Pc/MaxiM</f>
        <v>1.7576849713431975E-7</v>
      </c>
      <c r="Q245" s="304">
        <f t="shared" si="80"/>
        <v>0.6</v>
      </c>
      <c r="R245" s="177">
        <f t="shared" si="81"/>
        <v>0.94758550958870802</v>
      </c>
      <c r="S245" s="799">
        <f t="shared" si="82"/>
        <v>-1</v>
      </c>
      <c r="T245" s="176">
        <f t="shared" si="83"/>
        <v>5</v>
      </c>
      <c r="U245" s="250">
        <f t="shared" si="84"/>
        <v>-5.2414490411292036E-2</v>
      </c>
      <c r="V245" s="382">
        <f t="shared" si="85"/>
        <v>51.267782960128621</v>
      </c>
      <c r="W245" s="400">
        <f t="shared" si="86"/>
        <v>38.054075378868781</v>
      </c>
      <c r="X245" s="157">
        <f t="shared" si="87"/>
        <v>46983</v>
      </c>
      <c r="Y245" s="383">
        <f t="shared" si="88"/>
        <v>36.72892953725227</v>
      </c>
      <c r="Z245" s="383">
        <f t="shared" si="89"/>
        <v>39.267331559913501</v>
      </c>
      <c r="AA245" s="384">
        <f t="shared" si="90"/>
        <v>41.632244207748698</v>
      </c>
      <c r="AB245" s="197">
        <f t="shared" si="91"/>
        <v>46983</v>
      </c>
      <c r="AC245" s="119">
        <f>IF(OR(t&lt;Tnet,NoTnet),'2027'!Resal_s+('2027'!Salim-'2027'!Resal_s)*(1-EXP(('2027'!Tnet_s-t)/'2027'!Tau_j)),Resal_s+(Salim-Resal_s)*(1-EXP((Tnet_s-t)/Tau_j)))*Salcycl</f>
        <v>5.680483223614053E-2</v>
      </c>
      <c r="AD245" s="230">
        <f>(INDEX(Models!$BJ245:$BT245,,AH245)*(1-AF245)+INDEX(Models!$BJ245:$BT245,,AH245+1)*AF245-ERP_i)*AE245*Ramure*Pc/MaxiM</f>
        <v>6.8071684589412926E-7</v>
      </c>
      <c r="AE245" s="304">
        <f t="shared" si="92"/>
        <v>0.6</v>
      </c>
      <c r="AF245" s="177">
        <f t="shared" si="93"/>
        <v>0.4725730759626865</v>
      </c>
      <c r="AG245" s="799">
        <f t="shared" si="99"/>
        <v>3</v>
      </c>
      <c r="AH245" s="176">
        <f t="shared" si="94"/>
        <v>9</v>
      </c>
      <c r="AI245" s="224">
        <f t="shared" si="95"/>
        <v>3.4725730759626865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46984</v>
      </c>
      <c r="B246" s="409">
        <f>IF(t&gt;Tmaj,'2027'!Wh/'2027'!Env_an*'2028'!Env_an,0.001*'[10]mon-tableau (1)'!$B$261)</f>
        <v>49.765433052540359</v>
      </c>
      <c r="C246" s="829"/>
      <c r="D246" s="391">
        <f t="shared" si="77"/>
        <v>53.205830831029772</v>
      </c>
      <c r="E246" s="383">
        <f t="shared" si="100"/>
        <v>54.452124331526477</v>
      </c>
      <c r="F246" s="383">
        <f t="shared" si="78"/>
        <v>54.452136638402301</v>
      </c>
      <c r="G246" s="110">
        <f t="shared" si="101"/>
        <v>0.97326332734608556</v>
      </c>
      <c r="H246" s="412" t="b">
        <f>Wh_hp&gt;='2027'!Maxi_hp</f>
        <v>0</v>
      </c>
      <c r="I246" s="388">
        <f>IF(H246,Wh_hp,'2027'!Maxi_hp)</f>
        <v>54.452137000554892</v>
      </c>
      <c r="J246" s="85">
        <f>IF(H246,An,'2027'!An_max)</f>
        <v>2026</v>
      </c>
      <c r="K246" s="197">
        <f t="shared" si="79"/>
        <v>46984</v>
      </c>
      <c r="L246" s="147">
        <f>IF(t&lt;Tvie,1-EXP((T0-t)*PertePVj)+'2027'!Pspv,1-EXP((T0-t)*PertePVj)+Pspv)</f>
        <v>6.4662044079630498E-2</v>
      </c>
      <c r="M246" s="832"/>
      <c r="N246" s="832"/>
      <c r="O246" s="48">
        <f>IF(t&lt;Tnet,'2027'!Resal+('2027'!Salim-'2027'!Resal)*(1-EXP(('2027'!Tnet-t)/('2027'!Tau_j))),Resal+(Salim-Resal)*(1-EXP((Tnet-t)/(Tau_j))))*Salcycl</f>
        <v>2.2887876566739049E-2</v>
      </c>
      <c r="P246" s="169">
        <f>(INDEX(Models!$BJ246:$BT246,,T246)*(1-R246)+INDEX(Models!$BJ246:$BT246,,T246+1)*R246-ERP_i)*Q246*Ramure*Pc/MaxiM</f>
        <v>2.3498815328045029E-7</v>
      </c>
      <c r="Q246" s="304">
        <f t="shared" si="80"/>
        <v>0.6</v>
      </c>
      <c r="R246" s="177">
        <f t="shared" si="81"/>
        <v>0.94860556865799328</v>
      </c>
      <c r="S246" s="799">
        <f t="shared" si="82"/>
        <v>-1</v>
      </c>
      <c r="T246" s="176">
        <f t="shared" si="83"/>
        <v>5</v>
      </c>
      <c r="U246" s="250">
        <f t="shared" si="84"/>
        <v>-5.1394431342006774E-2</v>
      </c>
      <c r="V246" s="382">
        <f t="shared" si="85"/>
        <v>51.132546770847341</v>
      </c>
      <c r="W246" s="400">
        <f t="shared" si="86"/>
        <v>49.765433052540359</v>
      </c>
      <c r="X246" s="157">
        <f t="shared" si="87"/>
        <v>46984</v>
      </c>
      <c r="Y246" s="383">
        <f t="shared" si="88"/>
        <v>48.034329694735945</v>
      </c>
      <c r="Z246" s="383">
        <f t="shared" si="89"/>
        <v>51.35505235374557</v>
      </c>
      <c r="AA246" s="384">
        <f t="shared" si="90"/>
        <v>54.452089001853395</v>
      </c>
      <c r="AB246" s="197">
        <f t="shared" si="91"/>
        <v>46984</v>
      </c>
      <c r="AC246" s="119">
        <f>IF(OR(t&lt;Tnet,NoTnet),'2027'!Resal_s+('2027'!Salim-'2027'!Resal_s)*(1-EXP(('2027'!Tnet_s-t)/'2027'!Tau_j)),Resal_s+(Salim-Resal_s)*(1-EXP((Tnet_s-t)/Tau_j)))*Salcycl</f>
        <v>5.6876360574566895E-2</v>
      </c>
      <c r="AD246" s="230">
        <f>(INDEX(Models!$BJ246:$BT246,,AH246)*(1-AF246)+INDEX(Models!$BJ246:$BT246,,AH246+1)*AF246-ERP_i)*AE246*Ramure*Pc/MaxiM</f>
        <v>9.095748438575522E-7</v>
      </c>
      <c r="AE246" s="304">
        <f t="shared" si="92"/>
        <v>0.6</v>
      </c>
      <c r="AF246" s="177">
        <f t="shared" si="93"/>
        <v>0.47359313503197153</v>
      </c>
      <c r="AG246" s="799">
        <f t="shared" si="99"/>
        <v>3</v>
      </c>
      <c r="AH246" s="176">
        <f t="shared" si="94"/>
        <v>9</v>
      </c>
      <c r="AI246" s="224">
        <f t="shared" si="95"/>
        <v>3.4735931350319715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46985</v>
      </c>
      <c r="B247" s="409">
        <f>IF(t&gt;Tmaj,'2027'!Wh/'2027'!Env_an*'2028'!Env_an,0.001*'[10]mon-tableau (1)'!$B$262)</f>
        <v>37.169290662003647</v>
      </c>
      <c r="C247" s="829"/>
      <c r="D247" s="391">
        <f t="shared" si="77"/>
        <v>39.739650017791121</v>
      </c>
      <c r="E247" s="383">
        <f t="shared" si="100"/>
        <v>40.675179393721244</v>
      </c>
      <c r="F247" s="383">
        <f t="shared" si="78"/>
        <v>40.675186942320998</v>
      </c>
      <c r="G247" s="110">
        <f t="shared" si="101"/>
        <v>0.728845211978014</v>
      </c>
      <c r="H247" s="412" t="b">
        <f>Wh_hp&gt;='2027'!Maxi_hp</f>
        <v>0</v>
      </c>
      <c r="I247" s="388">
        <f>IF(H247,Wh_hp,'2027'!Maxi_hp)</f>
        <v>55.472998221971906</v>
      </c>
      <c r="J247" s="85">
        <f>IF(H247,An,'2027'!An_max)</f>
        <v>2020</v>
      </c>
      <c r="K247" s="197">
        <f t="shared" si="79"/>
        <v>46985</v>
      </c>
      <c r="L247" s="147">
        <f>IF(t&lt;Tvie,1-EXP((T0-t)*PertePVj)+'2027'!Pspv,1-EXP((T0-t)*PertePVj)+Pspv)</f>
        <v>6.4679969618170907E-2</v>
      </c>
      <c r="M247" s="832"/>
      <c r="N247" s="832"/>
      <c r="O247" s="48">
        <f>IF(t&lt;Tnet,'2027'!Resal+('2027'!Salim-'2027'!Resal)*(1-EXP(('2027'!Tnet-t)/('2027'!Tau_j))),Resal+(Salim-Resal)*(1-EXP((Tnet-t)/(Tau_j))))*Salcycl</f>
        <v>2.3000006143169729E-2</v>
      </c>
      <c r="P247" s="169">
        <f>(INDEX(Models!$BJ247:$BT247,,T247)*(1-R247)+INDEX(Models!$BJ247:$BT247,,T247+1)*R247-ERP_i)*Q247*Ramure*Pc/MaxiM</f>
        <v>3.0292438077841959E-7</v>
      </c>
      <c r="Q247" s="304">
        <f t="shared" si="80"/>
        <v>0.6</v>
      </c>
      <c r="R247" s="177">
        <f t="shared" si="81"/>
        <v>0.9495886931416575</v>
      </c>
      <c r="S247" s="799">
        <f t="shared" si="82"/>
        <v>-1</v>
      </c>
      <c r="T247" s="176">
        <f t="shared" si="83"/>
        <v>5</v>
      </c>
      <c r="U247" s="250">
        <f t="shared" si="84"/>
        <v>-5.0411306858342553E-2</v>
      </c>
      <c r="V247" s="382">
        <f t="shared" si="85"/>
        <v>50.99750357090462</v>
      </c>
      <c r="W247" s="400">
        <f t="shared" si="86"/>
        <v>37.169290662003647</v>
      </c>
      <c r="X247" s="157">
        <f t="shared" si="87"/>
        <v>46985</v>
      </c>
      <c r="Y247" s="383">
        <f t="shared" si="88"/>
        <v>35.877757976658593</v>
      </c>
      <c r="Z247" s="383">
        <f t="shared" si="89"/>
        <v>38.358804271530552</v>
      </c>
      <c r="AA247" s="384">
        <f t="shared" si="90"/>
        <v>40.675157738845535</v>
      </c>
      <c r="AB247" s="197">
        <f t="shared" si="91"/>
        <v>46985</v>
      </c>
      <c r="AC247" s="119">
        <f>IF(OR(t&lt;Tnet,NoTnet),'2027'!Resal_s+('2027'!Salim-'2027'!Resal_s)*(1-EXP(('2027'!Tnet_s-t)/'2027'!Tau_j)),Resal_s+(Salim-Resal_s)*(1-EXP((Tnet_s-t)/Tau_j)))*Salcycl</f>
        <v>5.6947621007080264E-2</v>
      </c>
      <c r="AD247" s="230">
        <f>(INDEX(Models!$BJ247:$BT247,,AH247)*(1-AF247)+INDEX(Models!$BJ247:$BT247,,AH247+1)*AF247-ERP_i)*AE247*Ramure*Pc/MaxiM</f>
        <v>1.1719318827025585E-6</v>
      </c>
      <c r="AE247" s="304">
        <f t="shared" si="92"/>
        <v>0.6</v>
      </c>
      <c r="AF247" s="177">
        <f t="shared" si="93"/>
        <v>0.47457625951563598</v>
      </c>
      <c r="AG247" s="799">
        <f t="shared" si="99"/>
        <v>3</v>
      </c>
      <c r="AH247" s="176">
        <f t="shared" si="94"/>
        <v>9</v>
      </c>
      <c r="AI247" s="224">
        <f t="shared" si="95"/>
        <v>3.474576259515636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46986</v>
      </c>
      <c r="B248" s="409">
        <f>IF(t&gt;Tmaj,'2027'!Wh/'2027'!Env_an*'2028'!Env_an,0.001*'[10]mon-tableau (1)'!$B$263)</f>
        <v>26.846928796325461</v>
      </c>
      <c r="C248" s="829"/>
      <c r="D248" s="391">
        <f t="shared" si="77"/>
        <v>28.704018356681402</v>
      </c>
      <c r="E248" s="383">
        <f t="shared" si="100"/>
        <v>29.383118610380563</v>
      </c>
      <c r="F248" s="383">
        <f t="shared" si="78"/>
        <v>29.383122410504569</v>
      </c>
      <c r="G248" s="110">
        <f t="shared" si="101"/>
        <v>0.52782781065249573</v>
      </c>
      <c r="H248" s="412" t="b">
        <f>Wh_hp&gt;='2027'!Maxi_hp</f>
        <v>0</v>
      </c>
      <c r="I248" s="388">
        <f>IF(H248,Wh_hp,'2027'!Maxi_hp)</f>
        <v>56.932210607769058</v>
      </c>
      <c r="J248" s="85">
        <f>IF(H248,An,'2027'!An_max)</f>
        <v>2018</v>
      </c>
      <c r="K248" s="197">
        <f t="shared" si="79"/>
        <v>46986</v>
      </c>
      <c r="L248" s="147">
        <f>IF(t&lt;Tvie,1-EXP((T0-t)*PertePVj)+'2027'!Pspv,1-EXP((T0-t)*PertePVj)+Pspv)</f>
        <v>6.4697894813172341E-2</v>
      </c>
      <c r="M248" s="832"/>
      <c r="N248" s="832"/>
      <c r="O248" s="48">
        <f>IF(t&lt;Tnet,'2027'!Resal+('2027'!Salim-'2027'!Resal)*(1-EXP(('2027'!Tnet-t)/('2027'!Tau_j))),Resal+(Salim-Resal)*(1-EXP((Tnet-t)/(Tau_j))))*Salcycl</f>
        <v>2.3111918877775188E-2</v>
      </c>
      <c r="P248" s="169">
        <f>(INDEX(Models!$BJ248:$BT248,,T248)*(1-R248)+INDEX(Models!$BJ248:$BT248,,T248+1)*R248-ERP_i)*Q248*Ramure*Pc/MaxiM</f>
        <v>3.9736614005879673E-7</v>
      </c>
      <c r="Q248" s="304">
        <f t="shared" si="80"/>
        <v>0.6</v>
      </c>
      <c r="R248" s="177">
        <f t="shared" si="81"/>
        <v>0.9505360674932759</v>
      </c>
      <c r="S248" s="799">
        <f t="shared" si="82"/>
        <v>-1</v>
      </c>
      <c r="T248" s="176">
        <f t="shared" si="83"/>
        <v>5</v>
      </c>
      <c r="U248" s="250">
        <f t="shared" si="84"/>
        <v>-4.9463932506724151E-2</v>
      </c>
      <c r="V248" s="382">
        <f t="shared" si="85"/>
        <v>50.863029682338684</v>
      </c>
      <c r="W248" s="400">
        <f t="shared" si="86"/>
        <v>26.846928796325461</v>
      </c>
      <c r="X248" s="157">
        <f t="shared" si="87"/>
        <v>46986</v>
      </c>
      <c r="Y248" s="383">
        <f t="shared" si="88"/>
        <v>25.915092449213933</v>
      </c>
      <c r="Z248" s="383">
        <f t="shared" si="89"/>
        <v>27.707723852537853</v>
      </c>
      <c r="AA248" s="384">
        <f t="shared" si="90"/>
        <v>29.383107694554607</v>
      </c>
      <c r="AB248" s="197">
        <f t="shared" si="91"/>
        <v>46986</v>
      </c>
      <c r="AC248" s="119">
        <f>IF(OR(t&lt;Tnet,NoTnet),'2027'!Resal_s+('2027'!Salim-'2027'!Resal_s)*(1-EXP(('2027'!Tnet_s-t)/'2027'!Tau_j)),Resal_s+(Salim-Resal_s)*(1-EXP((Tnet_s-t)/Tau_j)))*Salcycl</f>
        <v>5.7018606045106827E-2</v>
      </c>
      <c r="AD248" s="230">
        <f>(INDEX(Models!$BJ248:$BT248,,AH248)*(1-AF248)+INDEX(Models!$BJ248:$BT248,,AH248+1)*AF248-ERP_i)*AE248*Ramure*Pc/MaxiM</f>
        <v>1.5387972147202868E-6</v>
      </c>
      <c r="AE248" s="304">
        <f t="shared" si="92"/>
        <v>0.6</v>
      </c>
      <c r="AF248" s="177">
        <f t="shared" si="93"/>
        <v>0.47552363386725416</v>
      </c>
      <c r="AG248" s="799">
        <f t="shared" si="99"/>
        <v>3</v>
      </c>
      <c r="AH248" s="176">
        <f t="shared" si="94"/>
        <v>9</v>
      </c>
      <c r="AI248" s="224">
        <f t="shared" si="95"/>
        <v>3.4755236338672542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46987</v>
      </c>
      <c r="B249" s="409">
        <f>IF(t&gt;Tmaj,'2027'!Wh/'2027'!Env_an*'2028'!Env_an,0.001*'[10]mon-tableau (1)'!$B$264)</f>
        <v>48.099202892028146</v>
      </c>
      <c r="C249" s="829"/>
      <c r="D249" s="391">
        <f t="shared" si="77"/>
        <v>51.427367107590278</v>
      </c>
      <c r="E249" s="383">
        <f t="shared" si="100"/>
        <v>52.650092367711942</v>
      </c>
      <c r="F249" s="383">
        <f t="shared" si="78"/>
        <v>52.650117645487811</v>
      </c>
      <c r="G249" s="110">
        <f t="shared" si="101"/>
        <v>0.94816486906511566</v>
      </c>
      <c r="H249" s="412" t="b">
        <f>Wh_hp&gt;='2027'!Maxi_hp</f>
        <v>0</v>
      </c>
      <c r="I249" s="388">
        <f>IF(H249,Wh_hp,'2027'!Maxi_hp)</f>
        <v>54.337170768740876</v>
      </c>
      <c r="J249" s="85">
        <f>IF(H249,An,'2027'!An_max)</f>
        <v>2018</v>
      </c>
      <c r="K249" s="197">
        <f t="shared" si="79"/>
        <v>46987</v>
      </c>
      <c r="L249" s="147">
        <f>IF(t&lt;Tvie,1-EXP((T0-t)*PertePVj)+'2027'!Pspv,1-EXP((T0-t)*PertePVj)+Pspv)</f>
        <v>6.4715819664641572E-2</v>
      </c>
      <c r="M249" s="832"/>
      <c r="N249" s="832"/>
      <c r="O249" s="48">
        <f>IF(t&lt;Tnet,'2027'!Resal+('2027'!Salim-'2027'!Resal)*(1-EXP(('2027'!Tnet-t)/('2027'!Tau_j))),Resal+(Salim-Resal)*(1-EXP((Tnet-t)/(Tau_j))))*Salcycl</f>
        <v>2.3223610921364879E-2</v>
      </c>
      <c r="P249" s="169">
        <f>(INDEX(Models!$BJ249:$BT249,,T249)*(1-R249)+INDEX(Models!$BJ249:$BT249,,T249+1)*R249-ERP_i)*Q249*Ramure*Pc/MaxiM</f>
        <v>5.1850391521784936E-7</v>
      </c>
      <c r="Q249" s="304">
        <f t="shared" si="80"/>
        <v>0.6</v>
      </c>
      <c r="R249" s="177">
        <f t="shared" si="81"/>
        <v>0.95144884977766209</v>
      </c>
      <c r="S249" s="799">
        <f t="shared" si="82"/>
        <v>-1</v>
      </c>
      <c r="T249" s="176">
        <f t="shared" si="83"/>
        <v>5</v>
      </c>
      <c r="U249" s="250">
        <f t="shared" si="84"/>
        <v>-4.8551150222337858E-2</v>
      </c>
      <c r="V249" s="382">
        <f t="shared" si="85"/>
        <v>50.728731483871748</v>
      </c>
      <c r="W249" s="400">
        <f t="shared" si="86"/>
        <v>48.099202892028146</v>
      </c>
      <c r="X249" s="157">
        <f t="shared" si="87"/>
        <v>46987</v>
      </c>
      <c r="Y249" s="383">
        <f t="shared" si="88"/>
        <v>46.43149704395347</v>
      </c>
      <c r="Z249" s="383">
        <f t="shared" si="89"/>
        <v>49.64426643814808</v>
      </c>
      <c r="AA249" s="384">
        <f t="shared" si="90"/>
        <v>52.65001961675727</v>
      </c>
      <c r="AB249" s="197">
        <f t="shared" si="91"/>
        <v>46987</v>
      </c>
      <c r="AC249" s="119">
        <f>IF(OR(t&lt;Tnet,NoTnet),'2027'!Resal_s+('2027'!Salim-'2027'!Resal_s)*(1-EXP(('2027'!Tnet_s-t)/'2027'!Tau_j)),Resal_s+(Salim-Resal_s)*(1-EXP((Tnet_s-t)/Tau_j)))*Salcycl</f>
        <v>5.7089307857589706E-2</v>
      </c>
      <c r="AD249" s="230">
        <f>(INDEX(Models!$BJ249:$BT249,,AH249)*(1-AF249)+INDEX(Models!$BJ249:$BT249,,AH249+1)*AF249-ERP_i)*AE249*Ramure*Pc/MaxiM</f>
        <v>2.010789274257585E-6</v>
      </c>
      <c r="AE249" s="304">
        <f t="shared" si="92"/>
        <v>0.6</v>
      </c>
      <c r="AF249" s="177">
        <f t="shared" si="93"/>
        <v>0.47643641615164078</v>
      </c>
      <c r="AG249" s="799">
        <f t="shared" si="99"/>
        <v>3</v>
      </c>
      <c r="AH249" s="176">
        <f t="shared" si="94"/>
        <v>9</v>
      </c>
      <c r="AI249" s="224">
        <f t="shared" si="95"/>
        <v>3.4764364161516408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46988</v>
      </c>
      <c r="B250" s="409">
        <f>IF(t&gt;Tmaj,'2027'!Wh/'2027'!Env_an*'2028'!Env_an,0.001*'[10]mon-tableau (1)'!$B$265)</f>
        <v>48.635854827383667</v>
      </c>
      <c r="C250" s="829"/>
      <c r="D250" s="391">
        <f t="shared" si="77"/>
        <v>52.00214861206161</v>
      </c>
      <c r="E250" s="383">
        <f t="shared" si="100"/>
        <v>53.24461589029579</v>
      </c>
      <c r="F250" s="383">
        <f t="shared" si="78"/>
        <v>53.244649416754811</v>
      </c>
      <c r="G250" s="110">
        <f t="shared" si="101"/>
        <v>0.96129275819117155</v>
      </c>
      <c r="H250" s="412" t="b">
        <f>Wh_hp&gt;='2027'!Maxi_hp</f>
        <v>0</v>
      </c>
      <c r="I250" s="388">
        <f>IF(H250,Wh_hp,'2027'!Maxi_hp)</f>
        <v>54.747664261265655</v>
      </c>
      <c r="J250" s="85">
        <f>IF(H250,An,'2027'!An_max)</f>
        <v>2018</v>
      </c>
      <c r="K250" s="197">
        <f t="shared" si="79"/>
        <v>46988</v>
      </c>
      <c r="L250" s="147">
        <f>IF(t&lt;Tvie,1-EXP((T0-t)*PertePVj)+'2027'!Pspv,1-EXP((T0-t)*PertePVj)+Pspv)</f>
        <v>6.4733744172585039E-2</v>
      </c>
      <c r="M250" s="832"/>
      <c r="N250" s="832"/>
      <c r="O250" s="48">
        <f>IF(t&lt;Tnet,'2027'!Resal+('2027'!Salim-'2027'!Resal)*(1-EXP(('2027'!Tnet-t)/('2027'!Tau_j))),Resal+(Salim-Resal)*(1-EXP((Tnet-t)/(Tau_j))))*Salcycl</f>
        <v>2.3335078250806336E-2</v>
      </c>
      <c r="P250" s="169">
        <f>(INDEX(Models!$BJ250:$BT250,,T250)*(1-R250)+INDEX(Models!$BJ250:$BT250,,T250+1)*R250-ERP_i)*Q250*Ramure*Pc/MaxiM</f>
        <v>6.665242654081689E-7</v>
      </c>
      <c r="Q250" s="304">
        <f t="shared" si="80"/>
        <v>0.6</v>
      </c>
      <c r="R250" s="177">
        <f t="shared" si="81"/>
        <v>0.95232817132732639</v>
      </c>
      <c r="S250" s="799">
        <f t="shared" si="82"/>
        <v>-1</v>
      </c>
      <c r="T250" s="176">
        <f t="shared" si="83"/>
        <v>5</v>
      </c>
      <c r="U250" s="250">
        <f t="shared" si="84"/>
        <v>-4.7671828672673611E-2</v>
      </c>
      <c r="V250" s="382">
        <f t="shared" si="85"/>
        <v>50.59421557109129</v>
      </c>
      <c r="W250" s="400">
        <f t="shared" si="86"/>
        <v>48.635854827383667</v>
      </c>
      <c r="X250" s="157">
        <f t="shared" si="87"/>
        <v>46988</v>
      </c>
      <c r="Y250" s="383">
        <f t="shared" si="88"/>
        <v>46.951373786856614</v>
      </c>
      <c r="Z250" s="383">
        <f t="shared" si="89"/>
        <v>50.20107749457879</v>
      </c>
      <c r="AA250" s="384">
        <f t="shared" si="90"/>
        <v>53.244519213075264</v>
      </c>
      <c r="AB250" s="197">
        <f t="shared" si="91"/>
        <v>46988</v>
      </c>
      <c r="AC250" s="119">
        <f>IF(OR(t&lt;Tnet,NoTnet),'2027'!Resal_s+('2027'!Salim-'2027'!Resal_s)*(1-EXP(('2027'!Tnet_s-t)/'2027'!Tau_j)),Resal_s+(Salim-Resal_s)*(1-EXP((Tnet_s-t)/Tau_j)))*Salcycl</f>
        <v>5.7159718286067224E-2</v>
      </c>
      <c r="AD250" s="230">
        <f>(INDEX(Models!$BJ250:$BT250,,AH250)*(1-AF250)+INDEX(Models!$BJ250:$BT250,,AH250+1)*AF250-ERP_i)*AE250*Ramure*Pc/MaxiM</f>
        <v>2.588520064469525E-6</v>
      </c>
      <c r="AE250" s="304">
        <f t="shared" si="92"/>
        <v>0.6</v>
      </c>
      <c r="AF250" s="177">
        <f t="shared" si="93"/>
        <v>0.47731573770130487</v>
      </c>
      <c r="AG250" s="799">
        <f t="shared" si="99"/>
        <v>3</v>
      </c>
      <c r="AH250" s="176">
        <f t="shared" si="94"/>
        <v>9</v>
      </c>
      <c r="AI250" s="224">
        <f t="shared" si="95"/>
        <v>3.4773157377013049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46989</v>
      </c>
      <c r="B251" s="409">
        <f>IF(t&gt;Tmaj,'2027'!Wh/'2027'!Env_an*'2028'!Env_an,0.001*'[10]mon-tableau (1)'!$B$266)</f>
        <v>29.25417093127907</v>
      </c>
      <c r="C251" s="829"/>
      <c r="D251" s="391">
        <f t="shared" si="77"/>
        <v>31.27957563876263</v>
      </c>
      <c r="E251" s="383">
        <f t="shared" si="100"/>
        <v>32.030574634796508</v>
      </c>
      <c r="F251" s="383">
        <f t="shared" si="78"/>
        <v>32.030585408489856</v>
      </c>
      <c r="G251" s="110">
        <f t="shared" si="101"/>
        <v>0.57975989799338623</v>
      </c>
      <c r="H251" s="412" t="b">
        <f>Wh_hp&gt;='2027'!Maxi_hp</f>
        <v>0</v>
      </c>
      <c r="I251" s="388">
        <f>IF(H251,Wh_hp,'2027'!Maxi_hp)</f>
        <v>52.804588122486173</v>
      </c>
      <c r="J251" s="85">
        <f>IF(H251,An,'2027'!An_max)</f>
        <v>2021</v>
      </c>
      <c r="K251" s="197">
        <f t="shared" si="79"/>
        <v>46989</v>
      </c>
      <c r="L251" s="147">
        <f>IF(t&lt;Tvie,1-EXP((T0-t)*PertePVj)+'2027'!Pspv,1-EXP((T0-t)*PertePVj)+Pspv)</f>
        <v>6.4751668337009516E-2</v>
      </c>
      <c r="M251" s="832"/>
      <c r="N251" s="832"/>
      <c r="O251" s="48">
        <f>IF(t&lt;Tnet,'2027'!Resal+('2027'!Salim-'2027'!Resal)*(1-EXP(('2027'!Tnet-t)/('2027'!Tau_j))),Resal+(Salim-Resal)*(1-EXP((Tnet-t)/(Tau_j))))*Salcycl</f>
        <v>2.3446316670760903E-2</v>
      </c>
      <c r="P251" s="169">
        <f>(INDEX(Models!$BJ251:$BT251,,T251)*(1-R251)+INDEX(Models!$BJ251:$BT251,,T251+1)*R251-ERP_i)*Q251*Ramure*Pc/MaxiM</f>
        <v>8.4161188173700053E-7</v>
      </c>
      <c r="Q251" s="304">
        <f t="shared" si="80"/>
        <v>0.6</v>
      </c>
      <c r="R251" s="177">
        <f t="shared" si="81"/>
        <v>0.95317513649529095</v>
      </c>
      <c r="S251" s="799">
        <f t="shared" si="82"/>
        <v>-1</v>
      </c>
      <c r="T251" s="176">
        <f t="shared" si="83"/>
        <v>5</v>
      </c>
      <c r="U251" s="250">
        <f t="shared" si="84"/>
        <v>-4.6824863504708991E-2</v>
      </c>
      <c r="V251" s="382">
        <f t="shared" si="85"/>
        <v>50.459088756736428</v>
      </c>
      <c r="W251" s="400">
        <f t="shared" si="86"/>
        <v>29.25417093127907</v>
      </c>
      <c r="X251" s="157">
        <f t="shared" si="87"/>
        <v>46989</v>
      </c>
      <c r="Y251" s="383">
        <f t="shared" si="88"/>
        <v>28.242106307874717</v>
      </c>
      <c r="Z251" s="383">
        <f t="shared" si="89"/>
        <v>30.197440991588469</v>
      </c>
      <c r="AA251" s="384">
        <f t="shared" si="90"/>
        <v>32.030543515047391</v>
      </c>
      <c r="AB251" s="197">
        <f t="shared" si="91"/>
        <v>46989</v>
      </c>
      <c r="AC251" s="119">
        <f>IF(OR(t&lt;Tnet,NoTnet),'2027'!Resal_s+('2027'!Salim-'2027'!Resal_s)*(1-EXP(('2027'!Tnet_s-t)/'2027'!Tau_j)),Resal_s+(Salim-Resal_s)*(1-EXP((Tnet_s-t)/Tau_j)))*Salcycl</f>
        <v>5.722982885375523E-2</v>
      </c>
      <c r="AD251" s="230">
        <f>(INDEX(Models!$BJ251:$BT251,,AH251)*(1-AF251)+INDEX(Models!$BJ251:$BT251,,AH251+1)*AF251-ERP_i)*AE251*Ramure*Pc/MaxiM</f>
        <v>3.272602794180343E-6</v>
      </c>
      <c r="AE251" s="304">
        <f t="shared" si="92"/>
        <v>0.6</v>
      </c>
      <c r="AF251" s="177">
        <f t="shared" si="93"/>
        <v>0.47816270286926965</v>
      </c>
      <c r="AG251" s="799">
        <f t="shared" si="99"/>
        <v>3</v>
      </c>
      <c r="AH251" s="176">
        <f t="shared" si="94"/>
        <v>9</v>
      </c>
      <c r="AI251" s="224">
        <f t="shared" si="95"/>
        <v>3.4781627028692697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46990</v>
      </c>
      <c r="B252" s="409">
        <f>IF(t&gt;Tmaj,'2027'!Wh/'2027'!Env_an*'2028'!Env_an,0.001*'[10]mon-tableau (1)'!$B$267)</f>
        <v>39.090727111093216</v>
      </c>
      <c r="C252" s="829"/>
      <c r="D252" s="391">
        <f t="shared" si="77"/>
        <v>41.797964205729727</v>
      </c>
      <c r="E252" s="383">
        <f t="shared" si="100"/>
        <v>42.806367582520863</v>
      </c>
      <c r="F252" s="383">
        <f t="shared" si="78"/>
        <v>42.806398021095525</v>
      </c>
      <c r="G252" s="110">
        <f t="shared" si="101"/>
        <v>0.77679682589571264</v>
      </c>
      <c r="H252" s="412" t="b">
        <f>Wh_hp&gt;='2027'!Maxi_hp</f>
        <v>0</v>
      </c>
      <c r="I252" s="388">
        <f>IF(H252,Wh_hp,'2027'!Maxi_hp)</f>
        <v>54.205725811203237</v>
      </c>
      <c r="J252" s="85">
        <f>IF(H252,An,'2027'!An_max)</f>
        <v>2020</v>
      </c>
      <c r="K252" s="197">
        <f t="shared" si="79"/>
        <v>46990</v>
      </c>
      <c r="L252" s="147">
        <f>IF(t&lt;Tvie,1-EXP((T0-t)*PertePVj)+'2027'!Pspv,1-EXP((T0-t)*PertePVj)+Pspv)</f>
        <v>6.476959215792133E-2</v>
      </c>
      <c r="M252" s="832"/>
      <c r="N252" s="832"/>
      <c r="O252" s="48">
        <f>IF(t&lt;Tnet,'2027'!Resal+('2027'!Salim-'2027'!Resal)*(1-EXP(('2027'!Tnet-t)/('2027'!Tau_j))),Resal+(Salim-Resal)*(1-EXP((Tnet-t)/(Tau_j))))*Salcycl</f>
        <v>2.3557321813096329E-2</v>
      </c>
      <c r="P252" s="169">
        <f>(INDEX(Models!$BJ252:$BT252,,T252)*(1-R252)+INDEX(Models!$BJ252:$BT252,,T252+1)*R252-ERP_i)*Q252*Ramure*Pc/MaxiM</f>
        <v>1.0439509062019427E-6</v>
      </c>
      <c r="Q252" s="304">
        <f t="shared" si="80"/>
        <v>0.6</v>
      </c>
      <c r="R252" s="177">
        <f t="shared" si="81"/>
        <v>0.95399082249669465</v>
      </c>
      <c r="S252" s="799">
        <f t="shared" si="82"/>
        <v>-1</v>
      </c>
      <c r="T252" s="176">
        <f t="shared" si="83"/>
        <v>5</v>
      </c>
      <c r="U252" s="250">
        <f t="shared" si="84"/>
        <v>-4.6009177503305354E-2</v>
      </c>
      <c r="V252" s="382">
        <f t="shared" si="85"/>
        <v>50.322958070357345</v>
      </c>
      <c r="W252" s="400">
        <f t="shared" si="86"/>
        <v>39.090727111093216</v>
      </c>
      <c r="X252" s="157">
        <f t="shared" si="87"/>
        <v>46990</v>
      </c>
      <c r="Y252" s="383">
        <f t="shared" si="88"/>
        <v>37.739816077364587</v>
      </c>
      <c r="Z252" s="383">
        <f t="shared" si="89"/>
        <v>40.353495524642163</v>
      </c>
      <c r="AA252" s="384">
        <f t="shared" si="90"/>
        <v>42.806279536676946</v>
      </c>
      <c r="AB252" s="197">
        <f t="shared" si="91"/>
        <v>46990</v>
      </c>
      <c r="AC252" s="119">
        <f>IF(OR(t&lt;Tnet,NoTnet),'2027'!Resal_s+('2027'!Salim-'2027'!Resal_s)*(1-EXP(('2027'!Tnet_s-t)/'2027'!Tau_j)),Resal_s+(Salim-Resal_s)*(1-EXP((Tnet_s-t)/Tau_j)))*Salcycl</f>
        <v>5.7299630768733595E-2</v>
      </c>
      <c r="AD252" s="230">
        <f>(INDEX(Models!$BJ252:$BT252,,AH252)*(1-AF252)+INDEX(Models!$BJ252:$BT252,,AH252+1)*AF252-ERP_i)*AE252*Ramure*Pc/MaxiM</f>
        <v>4.0636566434581187E-6</v>
      </c>
      <c r="AE252" s="304">
        <f t="shared" si="92"/>
        <v>0.6</v>
      </c>
      <c r="AF252" s="177">
        <f t="shared" si="93"/>
        <v>0.47897838887067312</v>
      </c>
      <c r="AG252" s="799">
        <f t="shared" si="99"/>
        <v>3</v>
      </c>
      <c r="AH252" s="176">
        <f t="shared" si="94"/>
        <v>9</v>
      </c>
      <c r="AI252" s="224">
        <f t="shared" si="95"/>
        <v>3.4789783888706731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46991</v>
      </c>
      <c r="B253" s="409">
        <f>IF(t&gt;Tmaj,'2027'!Wh/'2027'!Env_an*'2028'!Env_an,0.001*'[10]mon-tableau (1)'!$B$268)</f>
        <v>47.329845778066804</v>
      </c>
      <c r="C253" s="829"/>
      <c r="D253" s="391">
        <f t="shared" si="77"/>
        <v>50.608654791664662</v>
      </c>
      <c r="E253" s="383">
        <f t="shared" si="100"/>
        <v>51.835502075083333</v>
      </c>
      <c r="F253" s="383">
        <f t="shared" si="78"/>
        <v>51.835562732544702</v>
      </c>
      <c r="G253" s="110">
        <f t="shared" si="101"/>
        <v>0.94309922552704684</v>
      </c>
      <c r="H253" s="412" t="b">
        <f>Wh_hp&gt;='2027'!Maxi_hp</f>
        <v>0</v>
      </c>
      <c r="I253" s="388">
        <f>IF(H253,Wh_hp,'2027'!Maxi_hp)</f>
        <v>51.835566700482502</v>
      </c>
      <c r="J253" s="85">
        <f>IF(H253,An,'2027'!An_max)</f>
        <v>2026</v>
      </c>
      <c r="K253" s="197">
        <f t="shared" si="79"/>
        <v>46991</v>
      </c>
      <c r="L253" s="147">
        <f>IF(t&lt;Tvie,1-EXP((T0-t)*PertePVj)+'2027'!Pspv,1-EXP((T0-t)*PertePVj)+Pspv)</f>
        <v>6.4787515635327364E-2</v>
      </c>
      <c r="M253" s="832"/>
      <c r="N253" s="832"/>
      <c r="O253" s="48">
        <f>IF(t&lt;Tnet,'2027'!Resal+('2027'!Salim-'2027'!Resal)*(1-EXP(('2027'!Tnet-t)/('2027'!Tau_j))),Resal+(Salim-Resal)*(1-EXP((Tnet-t)/(Tau_j))))*Salcycl</f>
        <v>2.3668089133999197E-2</v>
      </c>
      <c r="P253" s="169">
        <f>(INDEX(Models!$BJ253:$BT253,,T253)*(1-R253)+INDEX(Models!$BJ253:$BT253,,T253+1)*R253-ERP_i)*Q253*Ramure*Pc/MaxiM</f>
        <v>1.273727132609538E-6</v>
      </c>
      <c r="Q253" s="304">
        <f t="shared" si="80"/>
        <v>0.6</v>
      </c>
      <c r="R253" s="177">
        <f t="shared" si="81"/>
        <v>0.95477627933194187</v>
      </c>
      <c r="S253" s="799">
        <f t="shared" si="82"/>
        <v>-1</v>
      </c>
      <c r="T253" s="176">
        <f t="shared" si="83"/>
        <v>5</v>
      </c>
      <c r="U253" s="250">
        <f t="shared" si="84"/>
        <v>-4.5223720668058132E-2</v>
      </c>
      <c r="V253" s="382">
        <f t="shared" si="85"/>
        <v>50.185430754879825</v>
      </c>
      <c r="W253" s="400">
        <f t="shared" si="86"/>
        <v>47.329845778066804</v>
      </c>
      <c r="X253" s="157">
        <f t="shared" si="87"/>
        <v>46991</v>
      </c>
      <c r="Y253" s="383">
        <f t="shared" si="88"/>
        <v>45.695959265338402</v>
      </c>
      <c r="Z253" s="383">
        <f t="shared" si="89"/>
        <v>48.86157961886223</v>
      </c>
      <c r="AA253" s="384">
        <f t="shared" si="90"/>
        <v>51.835326417073645</v>
      </c>
      <c r="AB253" s="197">
        <f t="shared" si="91"/>
        <v>46991</v>
      </c>
      <c r="AC253" s="119">
        <f>IF(OR(t&lt;Tnet,NoTnet),'2027'!Resal_s+('2027'!Salim-'2027'!Resal_s)*(1-EXP(('2027'!Tnet_s-t)/'2027'!Tau_j)),Resal_s+(Salim-Resal_s)*(1-EXP((Tnet_s-t)/Tau_j)))*Salcycl</f>
        <v>5.7369114921439257E-2</v>
      </c>
      <c r="AD253" s="230">
        <f>(INDEX(Models!$BJ253:$BT253,,AH253)*(1-AF253)+INDEX(Models!$BJ253:$BT253,,AH253+1)*AF253-ERP_i)*AE253*Ramure*Pc/MaxiM</f>
        <v>4.9623149495631429E-6</v>
      </c>
      <c r="AE253" s="304">
        <f t="shared" si="92"/>
        <v>0.6</v>
      </c>
      <c r="AF253" s="177">
        <f t="shared" si="93"/>
        <v>0.47976384570592057</v>
      </c>
      <c r="AG253" s="799">
        <f t="shared" si="99"/>
        <v>3</v>
      </c>
      <c r="AH253" s="176">
        <f t="shared" si="94"/>
        <v>9</v>
      </c>
      <c r="AI253" s="224">
        <f t="shared" si="95"/>
        <v>3.4797638457059206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46992</v>
      </c>
      <c r="B254" s="409">
        <f>IF(t&gt;Tmaj,'2027'!Wh/'2027'!Env_an*'2028'!Env_an,0.001*'[10]mon-tableau (1)'!$B$269)</f>
        <v>48.390425898827424</v>
      </c>
      <c r="C254" s="829"/>
      <c r="D254" s="391">
        <f t="shared" si="77"/>
        <v>51.743699017178884</v>
      </c>
      <c r="E254" s="383">
        <f t="shared" si="100"/>
        <v>53.004062146562951</v>
      </c>
      <c r="F254" s="383">
        <f t="shared" si="78"/>
        <v>53.004139936136198</v>
      </c>
      <c r="G254" s="110">
        <f t="shared" si="101"/>
        <v>0.96691668338276948</v>
      </c>
      <c r="H254" s="412" t="b">
        <f>Wh_hp&gt;='2027'!Maxi_hp</f>
        <v>0</v>
      </c>
      <c r="I254" s="388">
        <f>IF(H254,Wh_hp,'2027'!Maxi_hp)</f>
        <v>55.753732502644198</v>
      </c>
      <c r="J254" s="85">
        <f>IF(H254,An,'2027'!An_max)</f>
        <v>2021</v>
      </c>
      <c r="K254" s="197">
        <f t="shared" si="79"/>
        <v>46992</v>
      </c>
      <c r="L254" s="147">
        <f>IF(t&lt;Tvie,1-EXP((T0-t)*PertePVj)+'2027'!Pspv,1-EXP((T0-t)*PertePVj)+Pspv)</f>
        <v>6.4805438769233947E-2</v>
      </c>
      <c r="M254" s="832"/>
      <c r="N254" s="832"/>
      <c r="O254" s="48">
        <f>IF(t&lt;Tnet,'2027'!Resal+('2027'!Salim-'2027'!Resal)*(1-EXP(('2027'!Tnet-t)/('2027'!Tau_j))),Resal+(Salim-Resal)*(1-EXP((Tnet-t)/(Tau_j))))*Salcycl</f>
        <v>2.3778613908854798E-2</v>
      </c>
      <c r="P254" s="169">
        <f>(INDEX(Models!$BJ254:$BT254,,T254)*(1-R254)+INDEX(Models!$BJ254:$BT254,,T254+1)*R254-ERP_i)*Q254*Ramure*Pc/MaxiM</f>
        <v>1.5404159596205515E-6</v>
      </c>
      <c r="Q254" s="304">
        <f t="shared" si="80"/>
        <v>0.6</v>
      </c>
      <c r="R254" s="177">
        <f t="shared" si="81"/>
        <v>0.95553252978450165</v>
      </c>
      <c r="S254" s="799">
        <f t="shared" si="82"/>
        <v>-1</v>
      </c>
      <c r="T254" s="176">
        <f t="shared" si="83"/>
        <v>5</v>
      </c>
      <c r="U254" s="250">
        <f t="shared" si="84"/>
        <v>-4.4467470215498295E-2</v>
      </c>
      <c r="V254" s="382">
        <f t="shared" si="85"/>
        <v>50.046113804313784</v>
      </c>
      <c r="W254" s="400">
        <f t="shared" si="86"/>
        <v>48.390425898827424</v>
      </c>
      <c r="X254" s="157">
        <f t="shared" si="87"/>
        <v>46992</v>
      </c>
      <c r="Y254" s="383">
        <f t="shared" si="88"/>
        <v>46.721747528637344</v>
      </c>
      <c r="Z254" s="383">
        <f t="shared" si="89"/>
        <v>49.959387560112653</v>
      </c>
      <c r="AA254" s="384">
        <f t="shared" si="90"/>
        <v>53.003836321243966</v>
      </c>
      <c r="AB254" s="197">
        <f t="shared" si="91"/>
        <v>46992</v>
      </c>
      <c r="AC254" s="119">
        <f>IF(OR(t&lt;Tnet,NoTnet),'2027'!Resal_s+('2027'!Salim-'2027'!Resal_s)*(1-EXP(('2027'!Tnet_s-t)/'2027'!Tau_j)),Resal_s+(Salim-Resal_s)*(1-EXP((Tnet_s-t)/Tau_j)))*Salcycl</f>
        <v>5.7438271876767824E-2</v>
      </c>
      <c r="AD254" s="230">
        <f>(INDEX(Models!$BJ254:$BT254,,AH254)*(1-AF254)+INDEX(Models!$BJ254:$BT254,,AH254+1)*AF254-ERP_i)*AE254*Ramure*Pc/MaxiM</f>
        <v>6.0122868148060135E-6</v>
      </c>
      <c r="AE254" s="304">
        <f t="shared" si="92"/>
        <v>0.6</v>
      </c>
      <c r="AF254" s="177">
        <f t="shared" si="93"/>
        <v>0.48052009615848013</v>
      </c>
      <c r="AG254" s="799">
        <f t="shared" si="99"/>
        <v>3</v>
      </c>
      <c r="AH254" s="176">
        <f t="shared" si="94"/>
        <v>9</v>
      </c>
      <c r="AI254" s="224">
        <f t="shared" si="95"/>
        <v>3.4805200961584801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46993</v>
      </c>
      <c r="B255" s="409">
        <f>IF(t&gt;Tmaj,'2027'!Wh/'2027'!Env_an*'2028'!Env_an,0.001*'[10]mon-tableau (1)'!$B$270)</f>
        <v>33.272684896924368</v>
      </c>
      <c r="C255" s="829"/>
      <c r="D255" s="391">
        <f t="shared" si="77"/>
        <v>35.57903772319969</v>
      </c>
      <c r="E255" s="383">
        <f t="shared" si="100"/>
        <v>36.449782615271019</v>
      </c>
      <c r="F255" s="383">
        <f t="shared" si="78"/>
        <v>36.449817669450468</v>
      </c>
      <c r="G255" s="110">
        <f t="shared" si="101"/>
        <v>0.66672502344125206</v>
      </c>
      <c r="H255" s="412" t="b">
        <f>Wh_hp&gt;='2027'!Maxi_hp</f>
        <v>0</v>
      </c>
      <c r="I255" s="388">
        <f>IF(H255,Wh_hp,'2027'!Maxi_hp)</f>
        <v>55.057615254458725</v>
      </c>
      <c r="J255" s="85">
        <f>IF(H255,An,'2027'!An_max)</f>
        <v>2021</v>
      </c>
      <c r="K255" s="197">
        <f t="shared" si="79"/>
        <v>46993</v>
      </c>
      <c r="L255" s="147">
        <f>IF(t&lt;Tvie,1-EXP((T0-t)*PertePVj)+'2027'!Pspv,1-EXP((T0-t)*PertePVj)+Pspv)</f>
        <v>6.4823361559647741E-2</v>
      </c>
      <c r="M255" s="832"/>
      <c r="N255" s="832"/>
      <c r="O255" s="48">
        <f>IF(t&lt;Tnet,'2027'!Resal+('2027'!Salim-'2027'!Resal)*(1-EXP(('2027'!Tnet-t)/('2027'!Tau_j))),Resal+(Salim-Resal)*(1-EXP((Tnet-t)/(Tau_j))))*Salcycl</f>
        <v>2.3888891225006138E-2</v>
      </c>
      <c r="P255" s="169">
        <f>(INDEX(Models!$BJ255:$BT255,,T255)*(1-R255)+INDEX(Models!$BJ255:$BT255,,T255+1)*R255-ERP_i)*Q255*Ramure*Pc/MaxiM</f>
        <v>1.835698065535733E-6</v>
      </c>
      <c r="Q255" s="304">
        <f t="shared" si="80"/>
        <v>0.6</v>
      </c>
      <c r="R255" s="177">
        <f t="shared" si="81"/>
        <v>0.95626056948679627</v>
      </c>
      <c r="S255" s="799">
        <f t="shared" si="82"/>
        <v>-1</v>
      </c>
      <c r="T255" s="176">
        <f t="shared" si="83"/>
        <v>5</v>
      </c>
      <c r="U255" s="250">
        <f t="shared" si="84"/>
        <v>-4.373943051320367E-2</v>
      </c>
      <c r="V255" s="382">
        <f t="shared" si="85"/>
        <v>49.904615316904753</v>
      </c>
      <c r="W255" s="400">
        <f t="shared" si="86"/>
        <v>33.272684896924368</v>
      </c>
      <c r="X255" s="157">
        <f t="shared" si="87"/>
        <v>46993</v>
      </c>
      <c r="Y255" s="383">
        <f t="shared" si="88"/>
        <v>32.126651815921029</v>
      </c>
      <c r="Z255" s="383">
        <f t="shared" si="89"/>
        <v>34.353565407173228</v>
      </c>
      <c r="AA255" s="384">
        <f t="shared" si="90"/>
        <v>36.449680533949824</v>
      </c>
      <c r="AB255" s="197">
        <f t="shared" si="91"/>
        <v>46993</v>
      </c>
      <c r="AC255" s="119">
        <f>IF(OR(t&lt;Tnet,NoTnet),'2027'!Resal_s+('2027'!Salim-'2027'!Resal_s)*(1-EXP(('2027'!Tnet_s-t)/'2027'!Tau_j)),Resal_s+(Salim-Resal_s)*(1-EXP((Tnet_s-t)/Tau_j)))*Salcycl</f>
        <v>5.7507091861182198E-2</v>
      </c>
      <c r="AD255" s="230">
        <f>(INDEX(Models!$BJ255:$BT255,,AH255)*(1-AF255)+INDEX(Models!$BJ255:$BT255,,AH255+1)*AF255-ERP_i)*AE255*Ramure*Pc/MaxiM</f>
        <v>7.1814367708029141E-6</v>
      </c>
      <c r="AE255" s="304">
        <f t="shared" si="92"/>
        <v>0.6</v>
      </c>
      <c r="AF255" s="177">
        <f t="shared" si="93"/>
        <v>0.48124813586077497</v>
      </c>
      <c r="AG255" s="799">
        <f t="shared" si="99"/>
        <v>3</v>
      </c>
      <c r="AH255" s="176">
        <f t="shared" si="94"/>
        <v>9</v>
      </c>
      <c r="AI255" s="224">
        <f t="shared" si="95"/>
        <v>3.481248135860775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46994</v>
      </c>
      <c r="B256" s="409">
        <f>IF(t&gt;Tmaj,'2027'!Wh/'2027'!Env_an*'2028'!Env_an,0.001*'[10]mon-tableau (1)'!$B$271)</f>
        <v>47.746702562717402</v>
      </c>
      <c r="C256" s="829"/>
      <c r="D256" s="391">
        <f t="shared" si="77"/>
        <v>51.057325078765693</v>
      </c>
      <c r="E256" s="383">
        <f t="shared" si="100"/>
        <v>52.312774969550745</v>
      </c>
      <c r="F256" s="383">
        <f t="shared" si="78"/>
        <v>52.312881421743185</v>
      </c>
      <c r="G256" s="110">
        <f t="shared" si="101"/>
        <v>0.95952924850928123</v>
      </c>
      <c r="H256" s="412" t="b">
        <f>Wh_hp&gt;='2027'!Maxi_hp</f>
        <v>0</v>
      </c>
      <c r="I256" s="388">
        <f>IF(H256,Wh_hp,'2027'!Maxi_hp)</f>
        <v>53.730779388968067</v>
      </c>
      <c r="J256" s="85">
        <f>IF(H256,An,'2027'!An_max)</f>
        <v>2021</v>
      </c>
      <c r="K256" s="197">
        <f t="shared" si="79"/>
        <v>46994</v>
      </c>
      <c r="L256" s="147">
        <f>IF(t&lt;Tvie,1-EXP((T0-t)*PertePVj)+'2027'!Pspv,1-EXP((T0-t)*PertePVj)+Pspv)</f>
        <v>6.4841284006575406E-2</v>
      </c>
      <c r="M256" s="832"/>
      <c r="N256" s="832"/>
      <c r="O256" s="48">
        <f>IF(t&lt;Tnet,'2027'!Resal+('2027'!Salim-'2027'!Resal)*(1-EXP(('2027'!Tnet-t)/('2027'!Tau_j))),Resal+(Salim-Resal)*(1-EXP((Tnet-t)/(Tau_j))))*Salcycl</f>
        <v>2.3998915972547826E-2</v>
      </c>
      <c r="P256" s="169">
        <f>(INDEX(Models!$BJ256:$BT256,,T256)*(1-R256)+INDEX(Models!$BJ256:$BT256,,T256+1)*R256-ERP_i)*Q256*Ramure*Pc/MaxiM</f>
        <v>2.1597817616344042E-6</v>
      </c>
      <c r="Q256" s="304">
        <f t="shared" si="80"/>
        <v>0.6</v>
      </c>
      <c r="R256" s="177">
        <f t="shared" si="81"/>
        <v>0.95696136704797108</v>
      </c>
      <c r="S256" s="799">
        <f t="shared" si="82"/>
        <v>-1</v>
      </c>
      <c r="T256" s="176">
        <f t="shared" si="83"/>
        <v>5</v>
      </c>
      <c r="U256" s="250">
        <f t="shared" si="84"/>
        <v>-4.3038632952028977E-2</v>
      </c>
      <c r="V256" s="382">
        <f t="shared" si="85"/>
        <v>49.760543177646717</v>
      </c>
      <c r="W256" s="400">
        <f t="shared" si="86"/>
        <v>47.746702562717402</v>
      </c>
      <c r="X256" s="157">
        <f t="shared" si="87"/>
        <v>46994</v>
      </c>
      <c r="Y256" s="383">
        <f t="shared" si="88"/>
        <v>46.103833675675908</v>
      </c>
      <c r="Z256" s="383">
        <f t="shared" si="89"/>
        <v>49.300544268252402</v>
      </c>
      <c r="AA256" s="384">
        <f t="shared" si="90"/>
        <v>52.312463921767268</v>
      </c>
      <c r="AB256" s="197">
        <f t="shared" si="91"/>
        <v>46994</v>
      </c>
      <c r="AC256" s="119">
        <f>IF(OR(t&lt;Tnet,NoTnet),'2027'!Resal_s+('2027'!Salim-'2027'!Resal_s)*(1-EXP(('2027'!Tnet_s-t)/'2027'!Tau_j)),Resal_s+(Salim-Resal_s)*(1-EXP((Tnet_s-t)/Tau_j)))*Salcycl</f>
        <v>5.7575564745318775E-2</v>
      </c>
      <c r="AD256" s="230">
        <f>(INDEX(Models!$BJ256:$BT256,,AH256)*(1-AF256)+INDEX(Models!$BJ256:$BT256,,AH256+1)*AF256-ERP_i)*AE256*Ramure*Pc/MaxiM</f>
        <v>8.470552017943348E-6</v>
      </c>
      <c r="AE256" s="304">
        <f t="shared" si="92"/>
        <v>0.6</v>
      </c>
      <c r="AF256" s="177">
        <f t="shared" si="93"/>
        <v>0.48194893342194955</v>
      </c>
      <c r="AG256" s="799">
        <f t="shared" si="99"/>
        <v>3</v>
      </c>
      <c r="AH256" s="176">
        <f t="shared" si="94"/>
        <v>9</v>
      </c>
      <c r="AI256" s="224">
        <f t="shared" si="95"/>
        <v>3.4819489334219496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46995</v>
      </c>
      <c r="B257" s="409">
        <f>IF(t&gt;Tmaj,'2027'!Wh/'2027'!Env_an*'2028'!Env_an,0.001*'[10]mon-tableau (1)'!$B$272)</f>
        <v>24.740926739236894</v>
      </c>
      <c r="C257" s="829"/>
      <c r="D257" s="391">
        <f t="shared" si="77"/>
        <v>26.456900288051994</v>
      </c>
      <c r="E257" s="383">
        <f t="shared" si="100"/>
        <v>27.110498702730137</v>
      </c>
      <c r="F257" s="383">
        <f t="shared" si="78"/>
        <v>27.11051803806939</v>
      </c>
      <c r="G257" s="110">
        <f t="shared" si="101"/>
        <v>0.49867232669455658</v>
      </c>
      <c r="H257" s="412" t="b">
        <f>Wh_hp&gt;='2027'!Maxi_hp</f>
        <v>0</v>
      </c>
      <c r="I257" s="388">
        <f>IF(H257,Wh_hp,'2027'!Maxi_hp)</f>
        <v>53.216072891494655</v>
      </c>
      <c r="J257" s="85">
        <f>IF(H257,An,'2027'!An_max)</f>
        <v>2021</v>
      </c>
      <c r="K257" s="197">
        <f t="shared" si="79"/>
        <v>46995</v>
      </c>
      <c r="L257" s="147">
        <f>IF(t&lt;Tvie,1-EXP((T0-t)*PertePVj)+'2027'!Pspv,1-EXP((T0-t)*PertePVj)+Pspv)</f>
        <v>6.4859206110023382E-2</v>
      </c>
      <c r="M257" s="832"/>
      <c r="N257" s="832"/>
      <c r="O257" s="48">
        <f>IF(t&lt;Tnet,'2027'!Resal+('2027'!Salim-'2027'!Resal)*(1-EXP(('2027'!Tnet-t)/('2027'!Tau_j))),Resal+(Salim-Resal)*(1-EXP((Tnet-t)/(Tau_j))))*Salcycl</f>
        <v>2.4108682833352716E-2</v>
      </c>
      <c r="P257" s="169">
        <f>(INDEX(Models!$BJ257:$BT257,,T257)*(1-R257)+INDEX(Models!$BJ257:$BT257,,T257+1)*R257-ERP_i)*Q257*Ramure*Pc/MaxiM</f>
        <v>2.5128853849581823E-6</v>
      </c>
      <c r="Q257" s="304">
        <f t="shared" si="80"/>
        <v>0.6</v>
      </c>
      <c r="R257" s="177">
        <f t="shared" si="81"/>
        <v>0.95763586423767122</v>
      </c>
      <c r="S257" s="799">
        <f t="shared" si="82"/>
        <v>-1</v>
      </c>
      <c r="T257" s="176">
        <f t="shared" si="83"/>
        <v>5</v>
      </c>
      <c r="U257" s="250">
        <f t="shared" si="84"/>
        <v>-4.2364135762328781E-2</v>
      </c>
      <c r="V257" s="382">
        <f t="shared" si="85"/>
        <v>49.61350548048857</v>
      </c>
      <c r="W257" s="400">
        <f t="shared" si="86"/>
        <v>24.740926739236894</v>
      </c>
      <c r="X257" s="157">
        <f t="shared" si="87"/>
        <v>46995</v>
      </c>
      <c r="Y257" s="383">
        <f t="shared" si="88"/>
        <v>23.890693063981242</v>
      </c>
      <c r="Z257" s="383">
        <f t="shared" si="89"/>
        <v>25.547696368373902</v>
      </c>
      <c r="AA257" s="384">
        <f t="shared" si="90"/>
        <v>27.110442013047084</v>
      </c>
      <c r="AB257" s="197">
        <f t="shared" si="91"/>
        <v>46995</v>
      </c>
      <c r="AC257" s="119">
        <f>IF(OR(t&lt;Tnet,NoTnet),'2027'!Resal_s+('2027'!Salim-'2027'!Resal_s)*(1-EXP(('2027'!Tnet_s-t)/'2027'!Tau_j)),Resal_s+(Salim-Resal_s)*(1-EXP((Tnet_s-t)/Tau_j)))*Salcycl</f>
        <v>5.7643680022668078E-2</v>
      </c>
      <c r="AD257" s="230">
        <f>(INDEX(Models!$BJ257:$BT257,,AH257)*(1-AF257)+INDEX(Models!$BJ257:$BT257,,AH257+1)*AF257-ERP_i)*AE257*Ramure*Pc/MaxiM</f>
        <v>9.8804662765685511E-6</v>
      </c>
      <c r="AE257" s="304">
        <f t="shared" si="92"/>
        <v>0.6</v>
      </c>
      <c r="AF257" s="177">
        <f t="shared" si="93"/>
        <v>0.4826234306116497</v>
      </c>
      <c r="AG257" s="799">
        <f t="shared" si="99"/>
        <v>3</v>
      </c>
      <c r="AH257" s="176">
        <f t="shared" si="94"/>
        <v>9</v>
      </c>
      <c r="AI257" s="224">
        <f t="shared" si="95"/>
        <v>3.4826234306116497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46996</v>
      </c>
      <c r="B258" s="409">
        <f>IF(t&gt;Tmaj,'2027'!Wh/'2027'!Env_an*'2028'!Env_an,0.001*'[11]mon-tableau (3)'!$B$235)</f>
        <v>38.805820478522989</v>
      </c>
      <c r="C258" s="829"/>
      <c r="D258" s="391">
        <f t="shared" si="77"/>
        <v>41.498097881117992</v>
      </c>
      <c r="E258" s="383">
        <f t="shared" si="100"/>
        <v>42.528050120577205</v>
      </c>
      <c r="F258" s="383">
        <f t="shared" si="78"/>
        <v>42.528135350677431</v>
      </c>
      <c r="G258" s="110">
        <f t="shared" si="101"/>
        <v>0.78453994256116255</v>
      </c>
      <c r="H258" s="412" t="b">
        <f>Wh_hp&gt;='2027'!Maxi_hp</f>
        <v>0</v>
      </c>
      <c r="I258" s="388">
        <f>IF(H258,Wh_hp,'2027'!Maxi_hp)</f>
        <v>44.616826041056136</v>
      </c>
      <c r="J258" s="85">
        <f>IF(H258,An,'2027'!An_max)</f>
        <v>2020</v>
      </c>
      <c r="K258" s="197">
        <f t="shared" si="79"/>
        <v>46996</v>
      </c>
      <c r="L258" s="147">
        <f>IF(t&lt;Tvie,1-EXP((T0-t)*PertePVj)+'2027'!Pspv,1-EXP((T0-t)*PertePVj)+Pspv)</f>
        <v>6.4877127869998441E-2</v>
      </c>
      <c r="M258" s="832"/>
      <c r="N258" s="832"/>
      <c r="O258" s="48">
        <f>IF(t&lt;Tnet,'2027'!Resal+('2027'!Salim-'2027'!Resal)*(1-EXP(('2027'!Tnet-t)/('2027'!Tau_j))),Resal+(Salim-Resal)*(1-EXP((Tnet-t)/(Tau_j))))*Salcycl</f>
        <v>2.4218186268569811E-2</v>
      </c>
      <c r="P258" s="169">
        <f>(INDEX(Models!$BJ258:$BT258,,T258)*(1-R258)+INDEX(Models!$BJ258:$BT258,,T258+1)*R258-ERP_i)*Q258*Ramure*Pc/MaxiM</f>
        <v>2.8952394485837804E-6</v>
      </c>
      <c r="Q258" s="304">
        <f t="shared" si="80"/>
        <v>0.6</v>
      </c>
      <c r="R258" s="177">
        <f t="shared" si="81"/>
        <v>0.95828497622029274</v>
      </c>
      <c r="S258" s="799">
        <f t="shared" si="82"/>
        <v>-1</v>
      </c>
      <c r="T258" s="176">
        <f t="shared" si="83"/>
        <v>5</v>
      </c>
      <c r="U258" s="250">
        <f t="shared" si="84"/>
        <v>-4.1715023779707316E-2</v>
      </c>
      <c r="V258" s="382">
        <f t="shared" si="85"/>
        <v>49.463110533141524</v>
      </c>
      <c r="W258" s="400">
        <f t="shared" si="86"/>
        <v>38.805820478522989</v>
      </c>
      <c r="X258" s="157">
        <f t="shared" si="87"/>
        <v>46996</v>
      </c>
      <c r="Y258" s="383">
        <f t="shared" si="88"/>
        <v>37.473608469510346</v>
      </c>
      <c r="Z258" s="383">
        <f t="shared" si="89"/>
        <v>40.073459420529211</v>
      </c>
      <c r="AA258" s="384">
        <f t="shared" si="90"/>
        <v>42.527799402047044</v>
      </c>
      <c r="AB258" s="197">
        <f t="shared" si="91"/>
        <v>46996</v>
      </c>
      <c r="AC258" s="119">
        <f>IF(OR(t&lt;Tnet,NoTnet),'2027'!Resal_s+('2027'!Salim-'2027'!Resal_s)*(1-EXP(('2027'!Tnet_s-t)/'2027'!Tau_j)),Resal_s+(Salim-Resal_s)*(1-EXP((Tnet_s-t)/Tau_j)))*Salcycl</f>
        <v>5.7711426784986627E-2</v>
      </c>
      <c r="AD258" s="230">
        <f>(INDEX(Models!$BJ258:$BT258,,AH258)*(1-AF258)+INDEX(Models!$BJ258:$BT258,,AH258+1)*AF258-ERP_i)*AE258*Ramure*Pc/MaxiM</f>
        <v>1.1412068328896083E-5</v>
      </c>
      <c r="AE258" s="304">
        <f t="shared" si="92"/>
        <v>0.6</v>
      </c>
      <c r="AF258" s="177">
        <f t="shared" si="93"/>
        <v>0.48327254259427121</v>
      </c>
      <c r="AG258" s="799">
        <f t="shared" si="99"/>
        <v>3</v>
      </c>
      <c r="AH258" s="176">
        <f t="shared" si="94"/>
        <v>9</v>
      </c>
      <c r="AI258" s="224">
        <f t="shared" si="95"/>
        <v>3.4832725425942712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46997</v>
      </c>
      <c r="B259" s="409">
        <f>IF(t&gt;Tmaj,'2027'!Wh/'2027'!Env_an*'2028'!Env_an,0.001*'[11]mon-tableau (3)'!$B$236)</f>
        <v>36.968553646850054</v>
      </c>
      <c r="C259" s="829"/>
      <c r="D259" s="391">
        <f t="shared" si="77"/>
        <v>39.534122473250441</v>
      </c>
      <c r="E259" s="383">
        <f t="shared" si="100"/>
        <v>40.519866299519983</v>
      </c>
      <c r="F259" s="383">
        <f t="shared" si="78"/>
        <v>40.519952393222447</v>
      </c>
      <c r="G259" s="110">
        <f t="shared" si="101"/>
        <v>0.74973199192066153</v>
      </c>
      <c r="H259" s="412" t="b">
        <f>Wh_hp&gt;='2027'!Maxi_hp</f>
        <v>0</v>
      </c>
      <c r="I259" s="388">
        <f>IF(H259,Wh_hp,'2027'!Maxi_hp)</f>
        <v>52.82794412076764</v>
      </c>
      <c r="J259" s="85">
        <f>IF(H259,An,'2027'!An_max)</f>
        <v>2018</v>
      </c>
      <c r="K259" s="197">
        <f t="shared" si="79"/>
        <v>46997</v>
      </c>
      <c r="L259" s="147">
        <f>IF(t&lt;Tvie,1-EXP((T0-t)*PertePVj)+'2027'!Pspv,1-EXP((T0-t)*PertePVj)+Pspv)</f>
        <v>6.4895049286506912E-2</v>
      </c>
      <c r="M259" s="832"/>
      <c r="N259" s="832"/>
      <c r="O259" s="48">
        <f>IF(t&lt;Tnet,'2027'!Resal+('2027'!Salim-'2027'!Resal)*(1-EXP(('2027'!Tnet-t)/('2027'!Tau_j))),Resal+(Salim-Resal)*(1-EXP((Tnet-t)/(Tau_j))))*Salcycl</f>
        <v>2.4327420504870256E-2</v>
      </c>
      <c r="P259" s="169">
        <f>(INDEX(Models!$BJ259:$BT259,,T259)*(1-R259)+INDEX(Models!$BJ259:$BT259,,T259+1)*R259-ERP_i)*Q259*Ramure*Pc/MaxiM</f>
        <v>3.3070888283018891E-6</v>
      </c>
      <c r="Q259" s="304">
        <f t="shared" si="80"/>
        <v>0.6</v>
      </c>
      <c r="R259" s="177">
        <f t="shared" si="81"/>
        <v>0.95890959183449931</v>
      </c>
      <c r="S259" s="799">
        <f t="shared" si="82"/>
        <v>-1</v>
      </c>
      <c r="T259" s="176">
        <f t="shared" si="83"/>
        <v>5</v>
      </c>
      <c r="U259" s="250">
        <f t="shared" si="84"/>
        <v>-4.1090408165500691E-2</v>
      </c>
      <c r="V259" s="382">
        <f t="shared" si="85"/>
        <v>49.308966850570179</v>
      </c>
      <c r="W259" s="400">
        <f t="shared" si="86"/>
        <v>36.968553646850054</v>
      </c>
      <c r="X259" s="157">
        <f t="shared" si="87"/>
        <v>46997</v>
      </c>
      <c r="Y259" s="383">
        <f t="shared" si="88"/>
        <v>35.700846310328437</v>
      </c>
      <c r="Z259" s="383">
        <f t="shared" si="89"/>
        <v>38.178437920886189</v>
      </c>
      <c r="AA259" s="384">
        <f t="shared" si="90"/>
        <v>40.519612236932112</v>
      </c>
      <c r="AB259" s="197">
        <f t="shared" si="91"/>
        <v>46997</v>
      </c>
      <c r="AC259" s="119">
        <f>IF(OR(t&lt;Tnet,NoTnet),'2027'!Resal_s+('2027'!Salim-'2027'!Resal_s)*(1-EXP(('2027'!Tnet_s-t)/'2027'!Tau_j)),Resal_s+(Salim-Resal_s)*(1-EXP((Tnet_s-t)/Tau_j)))*Salcycl</f>
        <v>5.7778793695168459E-2</v>
      </c>
      <c r="AD259" s="230">
        <f>(INDEX(Models!$BJ259:$BT259,,AH259)*(1-AF259)+INDEX(Models!$BJ259:$BT259,,AH259+1)*AF259-ERP_i)*AE259*Ramure*Pc/MaxiM</f>
        <v>1.3066310721892406E-5</v>
      </c>
      <c r="AE259" s="304">
        <f t="shared" si="92"/>
        <v>0.6</v>
      </c>
      <c r="AF259" s="177">
        <f t="shared" si="93"/>
        <v>0.48389715820847767</v>
      </c>
      <c r="AG259" s="799">
        <f t="shared" si="99"/>
        <v>3</v>
      </c>
      <c r="AH259" s="176">
        <f t="shared" si="94"/>
        <v>9</v>
      </c>
      <c r="AI259" s="224">
        <f t="shared" si="95"/>
        <v>3.4838971582084777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46998</v>
      </c>
      <c r="B260" s="409">
        <f>IF(t&gt;Tmaj,'2027'!Wh/'2027'!Env_an*'2028'!Env_an,0.001*'[11]mon-tableau (3)'!$B$237)</f>
        <v>38.454865484094107</v>
      </c>
      <c r="C260" s="829"/>
      <c r="D260" s="391">
        <f t="shared" si="77"/>
        <v>41.124370529319187</v>
      </c>
      <c r="E260" s="383">
        <f t="shared" si="100"/>
        <v>42.154473235763597</v>
      </c>
      <c r="F260" s="383">
        <f t="shared" si="78"/>
        <v>42.154582134447629</v>
      </c>
      <c r="G260" s="110">
        <f t="shared" si="101"/>
        <v>0.78238629040759966</v>
      </c>
      <c r="H260" s="412" t="b">
        <f>Wh_hp&gt;='2027'!Maxi_hp</f>
        <v>0</v>
      </c>
      <c r="I260" s="388">
        <f>IF(H260,Wh_hp,'2027'!Maxi_hp)</f>
        <v>55.63834028982383</v>
      </c>
      <c r="J260" s="85">
        <f>IF(H260,An,'2027'!An_max)</f>
        <v>2020</v>
      </c>
      <c r="K260" s="197">
        <f t="shared" si="79"/>
        <v>46998</v>
      </c>
      <c r="L260" s="147">
        <f>IF(t&lt;Tvie,1-EXP((T0-t)*PertePVj)+'2027'!Pspv,1-EXP((T0-t)*PertePVj)+Pspv)</f>
        <v>6.4912970359555677E-2</v>
      </c>
      <c r="M260" s="832"/>
      <c r="N260" s="832"/>
      <c r="O260" s="48">
        <f>IF(t&lt;Tnet,'2027'!Resal+('2027'!Salim-'2027'!Resal)*(1-EXP(('2027'!Tnet-t)/('2027'!Tau_j))),Resal+(Salim-Resal)*(1-EXP((Tnet-t)/(Tau_j))))*Salcycl</f>
        <v>2.4436379519753401E-2</v>
      </c>
      <c r="P260" s="169">
        <f>(INDEX(Models!$BJ260:$BT260,,T260)*(1-R260)+INDEX(Models!$BJ260:$BT260,,T260+1)*R260-ERP_i)*Q260*Ramure*Pc/MaxiM</f>
        <v>3.7486949886726363E-6</v>
      </c>
      <c r="Q260" s="304">
        <f t="shared" si="80"/>
        <v>0.6</v>
      </c>
      <c r="R260" s="177">
        <f t="shared" si="81"/>
        <v>0.95951057391312478</v>
      </c>
      <c r="S260" s="799">
        <f t="shared" si="82"/>
        <v>-1</v>
      </c>
      <c r="T260" s="176">
        <f t="shared" si="83"/>
        <v>5</v>
      </c>
      <c r="U260" s="250">
        <f t="shared" si="84"/>
        <v>-4.0489426086875224E-2</v>
      </c>
      <c r="V260" s="382">
        <f t="shared" si="85"/>
        <v>49.150683161284718</v>
      </c>
      <c r="W260" s="400">
        <f t="shared" si="86"/>
        <v>38.454865484094107</v>
      </c>
      <c r="X260" s="157">
        <f t="shared" si="87"/>
        <v>46998</v>
      </c>
      <c r="Y260" s="383">
        <f t="shared" si="88"/>
        <v>37.137646826665986</v>
      </c>
      <c r="Z260" s="383">
        <f t="shared" si="89"/>
        <v>39.715711639103787</v>
      </c>
      <c r="AA260" s="384">
        <f t="shared" si="90"/>
        <v>42.154150913481217</v>
      </c>
      <c r="AB260" s="197">
        <f t="shared" si="91"/>
        <v>46998</v>
      </c>
      <c r="AC260" s="119">
        <f>IF(OR(t&lt;Tnet,NoTnet),'2027'!Resal_s+('2027'!Salim-'2027'!Resal_s)*(1-EXP(('2027'!Tnet_s-t)/'2027'!Tau_j)),Resal_s+(Salim-Resal_s)*(1-EXP((Tnet_s-t)/Tau_j)))*Salcycl</f>
        <v>5.7845768958368342E-2</v>
      </c>
      <c r="AD260" s="230">
        <f>(INDEX(Models!$BJ260:$BT260,,AH260)*(1-AF260)+INDEX(Models!$BJ260:$BT260,,AH260+1)*AF260-ERP_i)*AE260*Ramure*Pc/MaxiM</f>
        <v>1.484421864406697E-5</v>
      </c>
      <c r="AE260" s="304">
        <f t="shared" si="92"/>
        <v>0.6</v>
      </c>
      <c r="AF260" s="177">
        <f t="shared" si="93"/>
        <v>0.48449814028710314</v>
      </c>
      <c r="AG260" s="799">
        <f t="shared" si="99"/>
        <v>3</v>
      </c>
      <c r="AH260" s="176">
        <f t="shared" si="94"/>
        <v>9</v>
      </c>
      <c r="AI260" s="224">
        <f t="shared" si="95"/>
        <v>3.4844981402871031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46999</v>
      </c>
      <c r="B261" s="409">
        <f>IF(t&gt;Tmaj,'2027'!Wh/'2027'!Env_an*'2028'!Env_an,0.001*'[11]mon-tableau (3)'!$B$238)</f>
        <v>47.816703969530138</v>
      </c>
      <c r="C261" s="829"/>
      <c r="D261" s="391">
        <f t="shared" si="77"/>
        <v>51.137080151461902</v>
      </c>
      <c r="E261" s="383">
        <f t="shared" si="100"/>
        <v>52.423825948912544</v>
      </c>
      <c r="F261" s="383">
        <f t="shared" si="78"/>
        <v>52.424039622519565</v>
      </c>
      <c r="G261" s="110">
        <f t="shared" si="101"/>
        <v>0.97606033310884366</v>
      </c>
      <c r="H261" s="412" t="b">
        <f>Wh_hp&gt;='2027'!Maxi_hp</f>
        <v>0</v>
      </c>
      <c r="I261" s="388">
        <f>IF(H261,Wh_hp,'2027'!Maxi_hp)</f>
        <v>54.520522140500951</v>
      </c>
      <c r="J261" s="85">
        <f>IF(H261,An,'2027'!An_max)</f>
        <v>2018</v>
      </c>
      <c r="K261" s="197">
        <f t="shared" si="79"/>
        <v>46999</v>
      </c>
      <c r="L261" s="147">
        <f>IF(t&lt;Tvie,1-EXP((T0-t)*PertePVj)+'2027'!Pspv,1-EXP((T0-t)*PertePVj)+Pspv)</f>
        <v>6.4930891089151066E-2</v>
      </c>
      <c r="M261" s="832"/>
      <c r="N261" s="832"/>
      <c r="O261" s="48">
        <f>IF(t&lt;Tnet,'2027'!Resal+('2027'!Salim-'2027'!Resal)*(1-EXP(('2027'!Tnet-t)/('2027'!Tau_j))),Resal+(Salim-Resal)*(1-EXP((Tnet-t)/(Tau_j))))*Salcycl</f>
        <v>2.4545057026257207E-2</v>
      </c>
      <c r="P261" s="169">
        <f>(INDEX(Models!$BJ261:$BT261,,T261)*(1-R261)+INDEX(Models!$BJ261:$BT261,,T261+1)*R261-ERP_i)*Q261*Ramure*Pc/MaxiM</f>
        <v>4.2201986346997455E-6</v>
      </c>
      <c r="Q261" s="304">
        <f t="shared" si="80"/>
        <v>0.6</v>
      </c>
      <c r="R261" s="177">
        <f t="shared" si="81"/>
        <v>0.96008875963888896</v>
      </c>
      <c r="S261" s="799">
        <f t="shared" si="82"/>
        <v>-1</v>
      </c>
      <c r="T261" s="176">
        <f t="shared" si="83"/>
        <v>5</v>
      </c>
      <c r="U261" s="250">
        <f t="shared" si="84"/>
        <v>-3.9911240361110989E-2</v>
      </c>
      <c r="V261" s="382">
        <f t="shared" si="85"/>
        <v>48.989489118889992</v>
      </c>
      <c r="W261" s="400">
        <f t="shared" si="86"/>
        <v>47.816703969530138</v>
      </c>
      <c r="X261" s="157">
        <f t="shared" si="87"/>
        <v>46999</v>
      </c>
      <c r="Y261" s="383">
        <f t="shared" si="88"/>
        <v>46.180484383880859</v>
      </c>
      <c r="Z261" s="383">
        <f t="shared" si="89"/>
        <v>49.387242016444141</v>
      </c>
      <c r="AA261" s="384">
        <f t="shared" si="90"/>
        <v>52.423191735430855</v>
      </c>
      <c r="AB261" s="197">
        <f t="shared" si="91"/>
        <v>46999</v>
      </c>
      <c r="AC261" s="119">
        <f>IF(OR(t&lt;Tnet,NoTnet),'2027'!Resal_s+('2027'!Salim-'2027'!Resal_s)*(1-EXP(('2027'!Tnet_s-t)/'2027'!Tau_j)),Resal_s+(Salim-Resal_s)*(1-EXP((Tnet_s-t)/Tau_j)))*Salcycl</f>
        <v>5.7912340292222766E-2</v>
      </c>
      <c r="AD261" s="230">
        <f>(INDEX(Models!$BJ261:$BT261,,AH261)*(1-AF261)+INDEX(Models!$BJ261:$BT261,,AH261+1)*AF261-ERP_i)*AE261*Ramure*Pc/MaxiM</f>
        <v>1.674634497017399E-5</v>
      </c>
      <c r="AE261" s="304">
        <f t="shared" si="92"/>
        <v>0.6</v>
      </c>
      <c r="AF261" s="177">
        <f t="shared" si="93"/>
        <v>0.48507632601286765</v>
      </c>
      <c r="AG261" s="799">
        <f t="shared" si="99"/>
        <v>3</v>
      </c>
      <c r="AH261" s="176">
        <f t="shared" si="94"/>
        <v>9</v>
      </c>
      <c r="AI261" s="224">
        <f t="shared" si="95"/>
        <v>3.4850763260128677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47000</v>
      </c>
      <c r="B262" s="409">
        <f>IF(t&gt;Tmaj,'2027'!Wh/'2027'!Env_an*'2028'!Env_an,0.001*'[11]mon-tableau (3)'!$B$239)</f>
        <v>42.245834331241333</v>
      </c>
      <c r="C262" s="829"/>
      <c r="D262" s="391">
        <f t="shared" si="77"/>
        <v>45.180237028408818</v>
      </c>
      <c r="E262" s="383">
        <f t="shared" si="100"/>
        <v>46.322239889308825</v>
      </c>
      <c r="F262" s="383">
        <f t="shared" si="78"/>
        <v>46.322416140572699</v>
      </c>
      <c r="G262" s="110">
        <f t="shared" si="101"/>
        <v>0.86521951265620078</v>
      </c>
      <c r="H262" s="412" t="b">
        <f>Wh_hp&gt;='2027'!Maxi_hp</f>
        <v>0</v>
      </c>
      <c r="I262" s="388">
        <f>IF(H262,Wh_hp,'2027'!Maxi_hp)</f>
        <v>54.53002186266891</v>
      </c>
      <c r="J262" s="85">
        <f>IF(H262,An,'2027'!An_max)</f>
        <v>2020</v>
      </c>
      <c r="K262" s="197">
        <f t="shared" si="79"/>
        <v>47000</v>
      </c>
      <c r="L262" s="147">
        <f>IF(t&lt;Tvie,1-EXP((T0-t)*PertePVj)+'2027'!Pspv,1-EXP((T0-t)*PertePVj)+Pspv)</f>
        <v>6.494881147529985E-2</v>
      </c>
      <c r="M262" s="832"/>
      <c r="N262" s="832"/>
      <c r="O262" s="48">
        <f>IF(t&lt;Tnet,'2027'!Resal+('2027'!Salim-'2027'!Resal)*(1-EXP(('2027'!Tnet-t)/('2027'!Tau_j))),Resal+(Salim-Resal)*(1-EXP((Tnet-t)/(Tau_j))))*Salcycl</f>
        <v>2.4653446457445157E-2</v>
      </c>
      <c r="P262" s="169">
        <f>(INDEX(Models!$BJ262:$BT262,,T262)*(1-R262)+INDEX(Models!$BJ262:$BT262,,T262+1)*R262-ERP_i)*Q262*Ramure*Pc/MaxiM</f>
        <v>4.7121740876297657E-6</v>
      </c>
      <c r="Q262" s="304">
        <f t="shared" si="80"/>
        <v>0.6</v>
      </c>
      <c r="R262" s="177">
        <f t="shared" si="81"/>
        <v>0.96064496093166096</v>
      </c>
      <c r="S262" s="799">
        <f t="shared" si="82"/>
        <v>-1</v>
      </c>
      <c r="T262" s="176">
        <f t="shared" si="83"/>
        <v>5</v>
      </c>
      <c r="U262" s="250">
        <f t="shared" si="84"/>
        <v>-3.9355039068339093E-2</v>
      </c>
      <c r="V262" s="382">
        <f t="shared" si="85"/>
        <v>48.826679685058068</v>
      </c>
      <c r="W262" s="400">
        <f t="shared" si="86"/>
        <v>42.245834331241333</v>
      </c>
      <c r="X262" s="157">
        <f t="shared" si="87"/>
        <v>47000</v>
      </c>
      <c r="Y262" s="383">
        <f t="shared" si="88"/>
        <v>40.801942058240591</v>
      </c>
      <c r="Z262" s="383">
        <f t="shared" si="89"/>
        <v>43.636051757355503</v>
      </c>
      <c r="AA262" s="384">
        <f t="shared" si="90"/>
        <v>46.321715078666983</v>
      </c>
      <c r="AB262" s="197">
        <f t="shared" si="91"/>
        <v>47000</v>
      </c>
      <c r="AC262" s="119">
        <f>IF(OR(t&lt;Tnet,NoTnet),'2027'!Resal_s+('2027'!Salim-'2027'!Resal_s)*(1-EXP(('2027'!Tnet_s-t)/'2027'!Tau_j)),Resal_s+(Salim-Resal_s)*(1-EXP((Tnet_s-t)/Tau_j)))*Salcycl</f>
        <v>5.7978494897058148E-2</v>
      </c>
      <c r="AD262" s="230">
        <f>(INDEX(Models!$BJ262:$BT262,,AH262)*(1-AF262)+INDEX(Models!$BJ262:$BT262,,AH262+1)*AF262-ERP_i)*AE262*Ramure*Pc/MaxiM</f>
        <v>1.8743274081140779E-5</v>
      </c>
      <c r="AE262" s="304">
        <f t="shared" si="92"/>
        <v>0.6</v>
      </c>
      <c r="AF262" s="177">
        <f t="shared" si="93"/>
        <v>0.48563252730563944</v>
      </c>
      <c r="AG262" s="799">
        <f t="shared" si="99"/>
        <v>3</v>
      </c>
      <c r="AH262" s="176">
        <f t="shared" si="94"/>
        <v>9</v>
      </c>
      <c r="AI262" s="224">
        <f t="shared" si="95"/>
        <v>3.4856325273056394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47001</v>
      </c>
      <c r="B263" s="409">
        <f>IF(t&gt;Tmaj,'2027'!Wh/'2027'!Env_an*'2028'!Env_an,0.001*'[11]mon-tableau (3)'!$B$240)</f>
        <v>43.471356400664334</v>
      </c>
      <c r="C263" s="829"/>
      <c r="D263" s="391">
        <f t="shared" si="77"/>
        <v>46.491775069393242</v>
      </c>
      <c r="E263" s="383">
        <f t="shared" si="100"/>
        <v>47.672212511730372</v>
      </c>
      <c r="F263" s="383">
        <f t="shared" si="78"/>
        <v>47.672422890770399</v>
      </c>
      <c r="G263" s="110">
        <f t="shared" si="101"/>
        <v>0.89333269997755438</v>
      </c>
      <c r="H263" s="412" t="b">
        <f>Wh_hp&gt;='2027'!Maxi_hp</f>
        <v>0</v>
      </c>
      <c r="I263" s="388">
        <f>IF(H263,Wh_hp,'2027'!Maxi_hp)</f>
        <v>55.510997901314788</v>
      </c>
      <c r="J263" s="85">
        <f>IF(H263,An,'2027'!An_max)</f>
        <v>2018</v>
      </c>
      <c r="K263" s="197">
        <f t="shared" si="79"/>
        <v>47001</v>
      </c>
      <c r="L263" s="147">
        <f>IF(t&lt;Tvie,1-EXP((T0-t)*PertePVj)+'2027'!Pspv,1-EXP((T0-t)*PertePVj)+Pspv)</f>
        <v>6.4966731518008469E-2</v>
      </c>
      <c r="M263" s="832"/>
      <c r="N263" s="832"/>
      <c r="O263" s="48">
        <f>IF(t&lt;Tnet,'2027'!Resal+('2027'!Salim-'2027'!Resal)*(1-EXP(('2027'!Tnet-t)/('2027'!Tau_j))),Resal+(Salim-Resal)*(1-EXP((Tnet-t)/(Tau_j))))*Salcycl</f>
        <v>2.4761540951066002E-2</v>
      </c>
      <c r="P263" s="169">
        <f>(INDEX(Models!$BJ263:$BT263,,T263)*(1-R263)+INDEX(Models!$BJ263:$BT263,,T263+1)*R263-ERP_i)*Q263*Ramure*Pc/MaxiM</f>
        <v>5.2063634374263304E-6</v>
      </c>
      <c r="Q263" s="304">
        <f t="shared" si="80"/>
        <v>0.6</v>
      </c>
      <c r="R263" s="177">
        <f t="shared" si="81"/>
        <v>0.9611799648632926</v>
      </c>
      <c r="S263" s="799">
        <f t="shared" si="82"/>
        <v>-1</v>
      </c>
      <c r="T263" s="176">
        <f t="shared" si="83"/>
        <v>5</v>
      </c>
      <c r="U263" s="250">
        <f t="shared" si="84"/>
        <v>-3.8820035136707454E-2</v>
      </c>
      <c r="V263" s="382">
        <f t="shared" si="85"/>
        <v>48.661962014377437</v>
      </c>
      <c r="W263" s="400">
        <f t="shared" si="86"/>
        <v>43.471356400664334</v>
      </c>
      <c r="X263" s="157">
        <f t="shared" si="87"/>
        <v>47001</v>
      </c>
      <c r="Y263" s="383">
        <f t="shared" si="88"/>
        <v>41.987223881530802</v>
      </c>
      <c r="Z263" s="383">
        <f t="shared" si="89"/>
        <v>44.904524038696771</v>
      </c>
      <c r="AA263" s="384">
        <f t="shared" si="90"/>
        <v>47.671583915947068</v>
      </c>
      <c r="AB263" s="197">
        <f t="shared" si="91"/>
        <v>47001</v>
      </c>
      <c r="AC263" s="119">
        <f>IF(OR(t&lt;Tnet,NoTnet),'2027'!Resal_s+('2027'!Salim-'2027'!Resal_s)*(1-EXP(('2027'!Tnet_s-t)/'2027'!Tau_j)),Resal_s+(Salim-Resal_s)*(1-EXP((Tnet_s-t)/Tau_j)))*Salcycl</f>
        <v>5.8044219427008922E-2</v>
      </c>
      <c r="AD263" s="230">
        <f>(INDEX(Models!$BJ263:$BT263,,AH263)*(1-AF263)+INDEX(Models!$BJ263:$BT263,,AH263+1)*AF263-ERP_i)*AE263*Ramure*Pc/MaxiM</f>
        <v>2.0762561919574272E-5</v>
      </c>
      <c r="AE263" s="304">
        <f t="shared" si="92"/>
        <v>0.6</v>
      </c>
      <c r="AF263" s="177">
        <f t="shared" si="93"/>
        <v>0.48616753123727108</v>
      </c>
      <c r="AG263" s="799">
        <f t="shared" si="99"/>
        <v>3</v>
      </c>
      <c r="AH263" s="176">
        <f t="shared" si="94"/>
        <v>9</v>
      </c>
      <c r="AI263" s="224">
        <f t="shared" si="95"/>
        <v>3.4861675312372711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47002</v>
      </c>
      <c r="B264" s="409">
        <f>IF(t&gt;Tmaj,'2027'!Wh/'2027'!Env_an*'2028'!Env_an,0.001*'[11]mon-tableau (3)'!$B$241)</f>
        <v>36.366893220299986</v>
      </c>
      <c r="C264" s="829"/>
      <c r="D264" s="391">
        <f t="shared" si="77"/>
        <v>38.894434479225971</v>
      </c>
      <c r="E264" s="383">
        <f t="shared" si="100"/>
        <v>39.886382214025886</v>
      </c>
      <c r="F264" s="383">
        <f t="shared" si="78"/>
        <v>39.886528411369511</v>
      </c>
      <c r="G264" s="110">
        <f t="shared" si="101"/>
        <v>0.74990797470146586</v>
      </c>
      <c r="H264" s="412" t="b">
        <f>Wh_hp&gt;='2027'!Maxi_hp</f>
        <v>0</v>
      </c>
      <c r="I264" s="388">
        <f>IF(H264,Wh_hp,'2027'!Maxi_hp)</f>
        <v>52.173352901498127</v>
      </c>
      <c r="J264" s="85">
        <f>IF(H264,An,'2027'!An_max)</f>
        <v>2018</v>
      </c>
      <c r="K264" s="197">
        <f t="shared" si="79"/>
        <v>47002</v>
      </c>
      <c r="L264" s="147">
        <f>IF(t&lt;Tvie,1-EXP((T0-t)*PertePVj)+'2027'!Pspv,1-EXP((T0-t)*PertePVj)+Pspv)</f>
        <v>6.4984651217283473E-2</v>
      </c>
      <c r="M264" s="832"/>
      <c r="N264" s="832"/>
      <c r="O264" s="48">
        <f>IF(t&lt;Tnet,'2027'!Resal+('2027'!Salim-'2027'!Resal)*(1-EXP(('2027'!Tnet-t)/('2027'!Tau_j))),Resal+(Salim-Resal)*(1-EXP((Tnet-t)/(Tau_j))))*Salcycl</f>
        <v>2.4869333334801687E-2</v>
      </c>
      <c r="P264" s="169">
        <f>(INDEX(Models!$BJ264:$BT264,,T264)*(1-R264)+INDEX(Models!$BJ264:$BT264,,T264+1)*R264-ERP_i)*Q264*Ramure*Pc/MaxiM</f>
        <v>5.7027734257976106E-6</v>
      </c>
      <c r="Q264" s="304">
        <f t="shared" si="80"/>
        <v>0.6</v>
      </c>
      <c r="R264" s="177">
        <f t="shared" si="81"/>
        <v>0.9616945340963301</v>
      </c>
      <c r="S264" s="799">
        <f t="shared" si="82"/>
        <v>-1</v>
      </c>
      <c r="T264" s="176">
        <f t="shared" si="83"/>
        <v>5</v>
      </c>
      <c r="U264" s="250">
        <f t="shared" si="84"/>
        <v>-3.8305465903669844E-2</v>
      </c>
      <c r="V264" s="382">
        <f t="shared" si="85"/>
        <v>48.495042527142019</v>
      </c>
      <c r="W264" s="400">
        <f t="shared" si="86"/>
        <v>36.366893220299986</v>
      </c>
      <c r="X264" s="157">
        <f t="shared" si="87"/>
        <v>47002</v>
      </c>
      <c r="Y264" s="383">
        <f t="shared" si="88"/>
        <v>35.126835720311526</v>
      </c>
      <c r="Z264" s="383">
        <f t="shared" si="89"/>
        <v>37.568191544708505</v>
      </c>
      <c r="AA264" s="384">
        <f t="shared" si="90"/>
        <v>39.885943794137745</v>
      </c>
      <c r="AB264" s="197">
        <f t="shared" si="91"/>
        <v>47002</v>
      </c>
      <c r="AC264" s="119">
        <f>IF(OR(t&lt;Tnet,NoTnet),'2027'!Resal_s+('2027'!Salim-'2027'!Resal_s)*(1-EXP(('2027'!Tnet_s-t)/'2027'!Tau_j)),Resal_s+(Salim-Resal_s)*(1-EXP((Tnet_s-t)/Tau_j)))*Salcycl</f>
        <v>5.8109499962989322E-2</v>
      </c>
      <c r="AD264" s="230">
        <f>(INDEX(Models!$BJ264:$BT264,,AH264)*(1-AF264)+INDEX(Models!$BJ264:$BT264,,AH264+1)*AF264-ERP_i)*AE264*Ramure*Pc/MaxiM</f>
        <v>2.2804378868291802E-5</v>
      </c>
      <c r="AE264" s="304">
        <f t="shared" si="92"/>
        <v>0.6</v>
      </c>
      <c r="AF264" s="177">
        <f t="shared" si="93"/>
        <v>0.48668210047030858</v>
      </c>
      <c r="AG264" s="799">
        <f t="shared" si="99"/>
        <v>3</v>
      </c>
      <c r="AH264" s="176">
        <f t="shared" si="94"/>
        <v>9</v>
      </c>
      <c r="AI264" s="224">
        <f t="shared" si="95"/>
        <v>3.4866821004703086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47003</v>
      </c>
      <c r="B265" s="409">
        <f>IF(t&gt;Tmaj,'2027'!Wh/'2027'!Env_an*'2028'!Env_an,0.001*'[11]mon-tableau (3)'!$B$242)</f>
        <v>36.171990899483887</v>
      </c>
      <c r="C265" s="829"/>
      <c r="D265" s="391">
        <f t="shared" si="77"/>
        <v>38.686727643365259</v>
      </c>
      <c r="E265" s="383">
        <f t="shared" si="100"/>
        <v>39.677751547526633</v>
      </c>
      <c r="F265" s="383">
        <f t="shared" si="78"/>
        <v>39.67790920315408</v>
      </c>
      <c r="G265" s="110">
        <f t="shared" si="101"/>
        <v>0.74850368120060473</v>
      </c>
      <c r="H265" s="412" t="b">
        <f>Wh_hp&gt;='2027'!Maxi_hp</f>
        <v>0</v>
      </c>
      <c r="I265" s="388">
        <f>IF(H265,Wh_hp,'2027'!Maxi_hp)</f>
        <v>51.203240442877672</v>
      </c>
      <c r="J265" s="85">
        <f>IF(H265,An,'2027'!An_max)</f>
        <v>2020</v>
      </c>
      <c r="K265" s="197">
        <f t="shared" si="79"/>
        <v>47003</v>
      </c>
      <c r="L265" s="147">
        <f>IF(t&lt;Tvie,1-EXP((T0-t)*PertePVj)+'2027'!Pspv,1-EXP((T0-t)*PertePVj)+Pspv)</f>
        <v>6.5002570573131635E-2</v>
      </c>
      <c r="M265" s="832"/>
      <c r="N265" s="832"/>
      <c r="O265" s="48">
        <f>IF(t&lt;Tnet,'2027'!Resal+('2027'!Salim-'2027'!Resal)*(1-EXP(('2027'!Tnet-t)/('2027'!Tau_j))),Resal+(Salim-Resal)*(1-EXP((Tnet-t)/(Tau_j))))*Salcycl</f>
        <v>2.4976816112533679E-2</v>
      </c>
      <c r="P265" s="169">
        <f>(INDEX(Models!$BJ265:$BT265,,T265)*(1-R265)+INDEX(Models!$BJ265:$BT265,,T265+1)*R265-ERP_i)*Q265*Ramure*Pc/MaxiM</f>
        <v>6.2014195097517798E-6</v>
      </c>
      <c r="Q265" s="304">
        <f t="shared" si="80"/>
        <v>0.6</v>
      </c>
      <c r="R265" s="177">
        <f t="shared" si="81"/>
        <v>0.96218940734317604</v>
      </c>
      <c r="S265" s="799">
        <f t="shared" si="82"/>
        <v>-1</v>
      </c>
      <c r="T265" s="176">
        <f t="shared" si="83"/>
        <v>5</v>
      </c>
      <c r="U265" s="250">
        <f t="shared" si="84"/>
        <v>-3.7810592656824016E-2</v>
      </c>
      <c r="V265" s="382">
        <f t="shared" si="85"/>
        <v>48.325627802813543</v>
      </c>
      <c r="W265" s="400">
        <f t="shared" si="86"/>
        <v>36.171990899483887</v>
      </c>
      <c r="X265" s="157">
        <f t="shared" si="87"/>
        <v>47003</v>
      </c>
      <c r="Y265" s="383">
        <f t="shared" si="88"/>
        <v>34.939992137860784</v>
      </c>
      <c r="Z265" s="383">
        <f t="shared" si="89"/>
        <v>37.369078286427147</v>
      </c>
      <c r="AA265" s="384">
        <f t="shared" si="90"/>
        <v>39.677276972660522</v>
      </c>
      <c r="AB265" s="197">
        <f t="shared" si="91"/>
        <v>47003</v>
      </c>
      <c r="AC265" s="119">
        <f>IF(OR(t&lt;Tnet,NoTnet),'2027'!Resal_s+('2027'!Salim-'2027'!Resal_s)*(1-EXP(('2027'!Tnet_s-t)/'2027'!Tau_j)),Resal_s+(Salim-Resal_s)*(1-EXP((Tnet_s-t)/Tau_j)))*Salcycl</f>
        <v>5.8174321988472895E-2</v>
      </c>
      <c r="AD265" s="230">
        <f>(INDEX(Models!$BJ265:$BT265,,AH265)*(1-AF265)+INDEX(Models!$BJ265:$BT265,,AH265+1)*AF265-ERP_i)*AE265*Ramure*Pc/MaxiM</f>
        <v>2.4868928441376253E-5</v>
      </c>
      <c r="AE265" s="304">
        <f t="shared" si="92"/>
        <v>0.6</v>
      </c>
      <c r="AF265" s="177">
        <f t="shared" si="93"/>
        <v>0.48717697371715429</v>
      </c>
      <c r="AG265" s="799">
        <f t="shared" si="99"/>
        <v>3</v>
      </c>
      <c r="AH265" s="176">
        <f t="shared" si="94"/>
        <v>9</v>
      </c>
      <c r="AI265" s="224">
        <f t="shared" si="95"/>
        <v>3.4871769737171543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47004</v>
      </c>
      <c r="B266" s="409">
        <f>IF(t&gt;Tmaj,'2027'!Wh/'2027'!Env_an*'2028'!Env_an,0.001*'[11]mon-tableau (3)'!$B$243)</f>
        <v>19.973818739232044</v>
      </c>
      <c r="C266" s="829"/>
      <c r="D266" s="391">
        <f t="shared" si="77"/>
        <v>21.362841128334903</v>
      </c>
      <c r="E266" s="383">
        <f t="shared" si="100"/>
        <v>21.912493714231204</v>
      </c>
      <c r="F266" s="383">
        <f t="shared" si="78"/>
        <v>21.912517799097689</v>
      </c>
      <c r="G266" s="110">
        <f t="shared" si="101"/>
        <v>0.41479307018629274</v>
      </c>
      <c r="H266" s="412" t="b">
        <f>Wh_hp&gt;='2027'!Maxi_hp</f>
        <v>0</v>
      </c>
      <c r="I266" s="388">
        <f>IF(H266,Wh_hp,'2027'!Maxi_hp)</f>
        <v>51.228956112547721</v>
      </c>
      <c r="J266" s="85">
        <f>IF(H266,An,'2027'!An_max)</f>
        <v>2020</v>
      </c>
      <c r="K266" s="197">
        <f t="shared" si="79"/>
        <v>47004</v>
      </c>
      <c r="L266" s="147">
        <f>IF(t&lt;Tvie,1-EXP((T0-t)*PertePVj)+'2027'!Pspv,1-EXP((T0-t)*PertePVj)+Pspv)</f>
        <v>6.5020489585559393E-2</v>
      </c>
      <c r="M266" s="832"/>
      <c r="N266" s="832"/>
      <c r="O266" s="48">
        <f>IF(t&lt;Tnet,'2027'!Resal+('2027'!Salim-'2027'!Resal)*(1-EXP(('2027'!Tnet-t)/('2027'!Tau_j))),Resal+(Salim-Resal)*(1-EXP((Tnet-t)/(Tau_j))))*Salcycl</f>
        <v>2.5083981452066466E-2</v>
      </c>
      <c r="P266" s="169">
        <f>(INDEX(Models!$BJ266:$BT266,,T266)*(1-R266)+INDEX(Models!$BJ266:$BT266,,T266+1)*R266-ERP_i)*Q266*Ramure*Pc/MaxiM</f>
        <v>6.7023258290884114E-6</v>
      </c>
      <c r="Q266" s="304">
        <f t="shared" si="80"/>
        <v>0.6</v>
      </c>
      <c r="R266" s="177">
        <f t="shared" si="81"/>
        <v>0.96266529984253113</v>
      </c>
      <c r="S266" s="799">
        <f t="shared" si="82"/>
        <v>-1</v>
      </c>
      <c r="T266" s="176">
        <f t="shared" si="83"/>
        <v>5</v>
      </c>
      <c r="U266" s="250">
        <f t="shared" si="84"/>
        <v>-3.7334700157468814E-2</v>
      </c>
      <c r="V266" s="382">
        <f t="shared" si="85"/>
        <v>48.153424581242682</v>
      </c>
      <c r="W266" s="400">
        <f t="shared" si="86"/>
        <v>19.973818739232044</v>
      </c>
      <c r="X266" s="157">
        <f t="shared" si="87"/>
        <v>47004</v>
      </c>
      <c r="Y266" s="383">
        <f t="shared" si="88"/>
        <v>19.294490249019283</v>
      </c>
      <c r="Z266" s="383">
        <f t="shared" si="89"/>
        <v>20.63627067128645</v>
      </c>
      <c r="AA266" s="384">
        <f t="shared" si="90"/>
        <v>21.912420930866649</v>
      </c>
      <c r="AB266" s="197">
        <f t="shared" si="91"/>
        <v>47004</v>
      </c>
      <c r="AC266" s="119">
        <f>IF(OR(t&lt;Tnet,NoTnet),'2027'!Resal_s+('2027'!Salim-'2027'!Resal_s)*(1-EXP(('2027'!Tnet_s-t)/'2027'!Tau_j)),Resal_s+(Salim-Resal_s)*(1-EXP((Tnet_s-t)/Tau_j)))*Salcycl</f>
        <v>5.8238670369030944E-2</v>
      </c>
      <c r="AD266" s="230">
        <f>(INDEX(Models!$BJ266:$BT266,,AH266)*(1-AF266)+INDEX(Models!$BJ266:$BT266,,AH266+1)*AF266-ERP_i)*AE266*Ramure*Pc/MaxiM</f>
        <v>2.6956447829594853E-5</v>
      </c>
      <c r="AE266" s="304">
        <f t="shared" si="92"/>
        <v>0.6</v>
      </c>
      <c r="AF266" s="177">
        <f t="shared" si="93"/>
        <v>0.48765286621650983</v>
      </c>
      <c r="AG266" s="799">
        <f t="shared" si="99"/>
        <v>3</v>
      </c>
      <c r="AH266" s="176">
        <f t="shared" si="94"/>
        <v>9</v>
      </c>
      <c r="AI266" s="224">
        <f t="shared" si="95"/>
        <v>3.4876528662165098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47005</v>
      </c>
      <c r="B267" s="409">
        <f>IF(t&gt;Tmaj,'2027'!Wh/'2027'!Env_an*'2028'!Env_an,0.001*'[11]mon-tableau (3)'!$B$244)</f>
        <v>46.393177976455185</v>
      </c>
      <c r="C267" s="829"/>
      <c r="D267" s="391">
        <f t="shared" si="77"/>
        <v>49.620410491779026</v>
      </c>
      <c r="E267" s="383">
        <f t="shared" si="100"/>
        <v>50.902691080091202</v>
      </c>
      <c r="F267" s="383">
        <f t="shared" si="78"/>
        <v>50.903040553644281</v>
      </c>
      <c r="G267" s="110">
        <f t="shared" si="101"/>
        <v>0.96696458913012084</v>
      </c>
      <c r="H267" s="412" t="b">
        <f>Wh_hp&gt;='2027'!Maxi_hp</f>
        <v>0</v>
      </c>
      <c r="I267" s="388">
        <f>IF(H267,Wh_hp,'2027'!Maxi_hp)</f>
        <v>50.903053344609674</v>
      </c>
      <c r="J267" s="85">
        <f>IF(H267,An,'2027'!An_max)</f>
        <v>2026</v>
      </c>
      <c r="K267" s="197">
        <f t="shared" si="79"/>
        <v>47005</v>
      </c>
      <c r="L267" s="147">
        <f>IF(t&lt;Tvie,1-EXP((T0-t)*PertePVj)+'2027'!Pspv,1-EXP((T0-t)*PertePVj)+Pspv)</f>
        <v>6.503840825457341E-2</v>
      </c>
      <c r="M267" s="832"/>
      <c r="N267" s="832"/>
      <c r="O267" s="48">
        <f>IF(t&lt;Tnet,'2027'!Resal+('2027'!Salim-'2027'!Resal)*(1-EXP(('2027'!Tnet-t)/('2027'!Tau_j))),Resal+(Salim-Resal)*(1-EXP((Tnet-t)/(Tau_j))))*Salcycl</f>
        <v>2.5190821174751118E-2</v>
      </c>
      <c r="P267" s="169">
        <f>(INDEX(Models!$BJ267:$BT267,,T267)*(1-R267)+INDEX(Models!$BJ267:$BT267,,T267+1)*R267-ERP_i)*Q267*Ramure*Pc/MaxiM</f>
        <v>7.2055251794306797E-6</v>
      </c>
      <c r="Q267" s="304">
        <f t="shared" si="80"/>
        <v>0.6</v>
      </c>
      <c r="R267" s="177">
        <f t="shared" si="81"/>
        <v>0.96312290385019605</v>
      </c>
      <c r="S267" s="799">
        <f t="shared" si="82"/>
        <v>-1</v>
      </c>
      <c r="T267" s="176">
        <f t="shared" si="83"/>
        <v>5</v>
      </c>
      <c r="U267" s="250">
        <f t="shared" si="84"/>
        <v>-3.6877096149803945E-2</v>
      </c>
      <c r="V267" s="382">
        <f t="shared" si="85"/>
        <v>47.978139760085973</v>
      </c>
      <c r="W267" s="400">
        <f t="shared" si="86"/>
        <v>46.393177976455185</v>
      </c>
      <c r="X267" s="157">
        <f t="shared" si="87"/>
        <v>47005</v>
      </c>
      <c r="Y267" s="383">
        <f t="shared" si="88"/>
        <v>44.81638998956592</v>
      </c>
      <c r="Z267" s="383">
        <f t="shared" si="89"/>
        <v>47.933936950180758</v>
      </c>
      <c r="AA267" s="384">
        <f t="shared" si="90"/>
        <v>50.901630771516189</v>
      </c>
      <c r="AB267" s="197">
        <f t="shared" si="91"/>
        <v>47005</v>
      </c>
      <c r="AC267" s="119">
        <f>IF(OR(t&lt;Tnet,NoTnet),'2027'!Resal_s+('2027'!Salim-'2027'!Resal_s)*(1-EXP(('2027'!Tnet_s-t)/'2027'!Tau_j)),Resal_s+(Salim-Resal_s)*(1-EXP((Tnet_s-t)/Tau_j)))*Salcycl</f>
        <v>5.8302529336567106E-2</v>
      </c>
      <c r="AD267" s="230">
        <f>(INDEX(Models!$BJ267:$BT267,,AH267)*(1-AF267)+INDEX(Models!$BJ267:$BT267,,AH267+1)*AF267-ERP_i)*AE267*Ramure*Pc/MaxiM</f>
        <v>2.9067208468227975E-5</v>
      </c>
      <c r="AE267" s="304">
        <f t="shared" si="92"/>
        <v>0.6</v>
      </c>
      <c r="AF267" s="177">
        <f t="shared" si="93"/>
        <v>0.48811047022417453</v>
      </c>
      <c r="AG267" s="799">
        <f t="shared" si="99"/>
        <v>3</v>
      </c>
      <c r="AH267" s="176">
        <f t="shared" si="94"/>
        <v>9</v>
      </c>
      <c r="AI267" s="224">
        <f t="shared" si="95"/>
        <v>3.4881104702241745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47006</v>
      </c>
      <c r="B268" s="409">
        <f>IF(t&gt;Tmaj,'2027'!Wh/'2027'!Env_an*'2028'!Env_an,0.001*'[11]mon-tableau (3)'!$B$245)</f>
        <v>46.793222413510883</v>
      </c>
      <c r="C268" s="829"/>
      <c r="D268" s="391">
        <f t="shared" si="77"/>
        <v>50.049242263281485</v>
      </c>
      <c r="E268" s="383">
        <f t="shared" si="100"/>
        <v>51.348214831779245</v>
      </c>
      <c r="F268" s="383">
        <f t="shared" si="78"/>
        <v>51.34859973669829</v>
      </c>
      <c r="G268" s="110">
        <f t="shared" si="101"/>
        <v>0.97894813834340855</v>
      </c>
      <c r="H268" s="412" t="b">
        <f>Wh_hp&gt;='2027'!Maxi_hp</f>
        <v>0</v>
      </c>
      <c r="I268" s="388">
        <f>IF(H268,Wh_hp,'2027'!Maxi_hp)</f>
        <v>51.348608556862466</v>
      </c>
      <c r="J268" s="85">
        <f>IF(H268,An,'2027'!An_max)</f>
        <v>2026</v>
      </c>
      <c r="K268" s="197">
        <f t="shared" si="79"/>
        <v>47006</v>
      </c>
      <c r="L268" s="147">
        <f>IF(t&lt;Tvie,1-EXP((T0-t)*PertePVj)+'2027'!Pspv,1-EXP((T0-t)*PertePVj)+Pspv)</f>
        <v>6.5056326580180235E-2</v>
      </c>
      <c r="M268" s="832"/>
      <c r="N268" s="832"/>
      <c r="O268" s="48">
        <f>IF(t&lt;Tnet,'2027'!Resal+('2027'!Salim-'2027'!Resal)*(1-EXP(('2027'!Tnet-t)/('2027'!Tau_j))),Resal+(Salim-Resal)*(1-EXP((Tnet-t)/(Tau_j))))*Salcycl</f>
        <v>2.5297326747449674E-2</v>
      </c>
      <c r="P268" s="169">
        <f>(INDEX(Models!$BJ268:$BT268,,T268)*(1-R268)+INDEX(Models!$BJ268:$BT268,,T268+1)*R268-ERP_i)*Q268*Ramure*Pc/MaxiM</f>
        <v>7.7283387341095327E-6</v>
      </c>
      <c r="Q268" s="304">
        <f t="shared" si="80"/>
        <v>0.6</v>
      </c>
      <c r="R268" s="177">
        <f t="shared" si="81"/>
        <v>0.96356288914153276</v>
      </c>
      <c r="S268" s="799">
        <f t="shared" si="82"/>
        <v>-1</v>
      </c>
      <c r="T268" s="176">
        <f t="shared" si="83"/>
        <v>5</v>
      </c>
      <c r="U268" s="250">
        <f t="shared" si="84"/>
        <v>-3.6437110858467237E-2</v>
      </c>
      <c r="V268" s="382">
        <f t="shared" si="85"/>
        <v>47.799479568879065</v>
      </c>
      <c r="W268" s="400">
        <f t="shared" si="86"/>
        <v>46.793222413510883</v>
      </c>
      <c r="X268" s="157">
        <f t="shared" si="87"/>
        <v>47006</v>
      </c>
      <c r="Y268" s="383">
        <f t="shared" si="88"/>
        <v>45.204647237816708</v>
      </c>
      <c r="Z268" s="383">
        <f t="shared" si="89"/>
        <v>48.350129021642537</v>
      </c>
      <c r="AA268" s="384">
        <f t="shared" si="90"/>
        <v>51.34704459194829</v>
      </c>
      <c r="AB268" s="197">
        <f t="shared" si="91"/>
        <v>47006</v>
      </c>
      <c r="AC268" s="119">
        <f>IF(OR(t&lt;Tnet,NoTnet),'2027'!Resal_s+('2027'!Salim-'2027'!Resal_s)*(1-EXP(('2027'!Tnet_s-t)/'2027'!Tau_j)),Resal_s+(Salim-Resal_s)*(1-EXP((Tnet_s-t)/Tau_j)))*Salcycl</f>
        <v>5.8365882479158269E-2</v>
      </c>
      <c r="AD268" s="230">
        <f>(INDEX(Models!$BJ268:$BT268,,AH268)*(1-AF268)+INDEX(Models!$BJ268:$BT268,,AH268+1)*AF268-ERP_i)*AE268*Ramure*Pc/MaxiM</f>
        <v>3.1225076152726872E-5</v>
      </c>
      <c r="AE268" s="304">
        <f t="shared" si="92"/>
        <v>0.6</v>
      </c>
      <c r="AF268" s="177">
        <f t="shared" si="93"/>
        <v>0.48855045551551113</v>
      </c>
      <c r="AG268" s="799">
        <f t="shared" si="99"/>
        <v>3</v>
      </c>
      <c r="AH268" s="176">
        <f t="shared" si="94"/>
        <v>9</v>
      </c>
      <c r="AI268" s="224">
        <f t="shared" si="95"/>
        <v>3.4885504555155111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47007</v>
      </c>
      <c r="B269" s="409">
        <f>IF(t&gt;Tmaj,'2027'!Wh/'2027'!Env_an*'2028'!Env_an,0.001*'[11]mon-tableau (3)'!$B$246)</f>
        <v>36.68508326685928</v>
      </c>
      <c r="C269" s="829"/>
      <c r="D269" s="391">
        <f t="shared" si="77"/>
        <v>39.238498943360462</v>
      </c>
      <c r="E269" s="383">
        <f t="shared" si="100"/>
        <v>40.261275832254483</v>
      </c>
      <c r="F269" s="383">
        <f t="shared" si="78"/>
        <v>40.261499356405814</v>
      </c>
      <c r="G269" s="110">
        <f t="shared" si="101"/>
        <v>0.77041533506662019</v>
      </c>
      <c r="H269" s="412" t="b">
        <f>Wh_hp&gt;='2027'!Maxi_hp</f>
        <v>0</v>
      </c>
      <c r="I269" s="388">
        <f>IF(H269,Wh_hp,'2027'!Maxi_hp)</f>
        <v>51.806611892360216</v>
      </c>
      <c r="J269" s="85">
        <f>IF(H269,An,'2027'!An_max)</f>
        <v>2018</v>
      </c>
      <c r="K269" s="197">
        <f t="shared" si="79"/>
        <v>47007</v>
      </c>
      <c r="L269" s="147">
        <f>IF(t&lt;Tvie,1-EXP((T0-t)*PertePVj)+'2027'!Pspv,1-EXP((T0-t)*PertePVj)+Pspv)</f>
        <v>6.5074244562386419E-2</v>
      </c>
      <c r="M269" s="832"/>
      <c r="N269" s="832"/>
      <c r="O269" s="48">
        <f>IF(t&lt;Tnet,'2027'!Resal+('2027'!Salim-'2027'!Resal)*(1-EXP(('2027'!Tnet-t)/('2027'!Tau_j))),Resal+(Salim-Resal)*(1-EXP((Tnet-t)/(Tau_j))))*Salcycl</f>
        <v>2.5403489277273449E-2</v>
      </c>
      <c r="P269" s="169">
        <f>(INDEX(Models!$BJ269:$BT269,,T269)*(1-R269)+INDEX(Models!$BJ269:$BT269,,T269+1)*R269-ERP_i)*Q269*Ramure*Pc/MaxiM</f>
        <v>8.2613144392333376E-6</v>
      </c>
      <c r="Q269" s="304">
        <f t="shared" si="80"/>
        <v>0.6</v>
      </c>
      <c r="R269" s="177">
        <f t="shared" si="81"/>
        <v>0.96398590352311975</v>
      </c>
      <c r="S269" s="799">
        <f t="shared" si="82"/>
        <v>-1</v>
      </c>
      <c r="T269" s="176">
        <f t="shared" si="83"/>
        <v>5</v>
      </c>
      <c r="U269" s="250">
        <f t="shared" si="84"/>
        <v>-3.6014096476880253E-2</v>
      </c>
      <c r="V269" s="382">
        <f t="shared" si="85"/>
        <v>47.61715168182581</v>
      </c>
      <c r="W269" s="400">
        <f t="shared" si="86"/>
        <v>36.68508326685928</v>
      </c>
      <c r="X269" s="157">
        <f t="shared" si="87"/>
        <v>47007</v>
      </c>
      <c r="Y269" s="383">
        <f t="shared" si="88"/>
        <v>35.441372378089611</v>
      </c>
      <c r="Z269" s="383">
        <f t="shared" si="89"/>
        <v>37.90822123784627</v>
      </c>
      <c r="AA269" s="384">
        <f t="shared" si="90"/>
        <v>40.260596038409965</v>
      </c>
      <c r="AB269" s="197">
        <f t="shared" si="91"/>
        <v>47007</v>
      </c>
      <c r="AC269" s="119">
        <f>IF(OR(t&lt;Tnet,NoTnet),'2027'!Resal_s+('2027'!Salim-'2027'!Resal_s)*(1-EXP(('2027'!Tnet_s-t)/'2027'!Tau_j)),Resal_s+(Salim-Resal_s)*(1-EXP((Tnet_s-t)/Tau_j)))*Salcycl</f>
        <v>5.8428712737373614E-2</v>
      </c>
      <c r="AD269" s="230">
        <f>(INDEX(Models!$BJ269:$BT269,,AH269)*(1-AF269)+INDEX(Models!$BJ269:$BT269,,AH269+1)*AF269-ERP_i)*AE269*Ramure*Pc/MaxiM</f>
        <v>3.3386074649988565E-5</v>
      </c>
      <c r="AE269" s="304">
        <f t="shared" si="92"/>
        <v>0.6</v>
      </c>
      <c r="AF269" s="177">
        <f t="shared" si="93"/>
        <v>0.48897346989709822</v>
      </c>
      <c r="AG269" s="799">
        <f t="shared" si="99"/>
        <v>3</v>
      </c>
      <c r="AH269" s="176">
        <f t="shared" si="94"/>
        <v>9</v>
      </c>
      <c r="AI269" s="224">
        <f t="shared" si="95"/>
        <v>3.4889734698970982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47008</v>
      </c>
      <c r="B270" s="409">
        <f>IF(t&gt;Tmaj,'2027'!Wh/'2027'!Env_an*'2028'!Env_an,0.001*'[11]mon-tableau (3)'!$B$247)</f>
        <v>14.583688339019112</v>
      </c>
      <c r="C270" s="829"/>
      <c r="D270" s="391">
        <f t="shared" si="77"/>
        <v>15.599065222680935</v>
      </c>
      <c r="E270" s="383">
        <f t="shared" si="100"/>
        <v>16.007402856517299</v>
      </c>
      <c r="F270" s="383">
        <f t="shared" si="78"/>
        <v>16.007404361042575</v>
      </c>
      <c r="G270" s="110">
        <f t="shared" si="101"/>
        <v>0.30746986753160138</v>
      </c>
      <c r="H270" s="412" t="b">
        <f>Wh_hp&gt;='2027'!Maxi_hp</f>
        <v>0</v>
      </c>
      <c r="I270" s="388">
        <f>IF(H270,Wh_hp,'2027'!Maxi_hp)</f>
        <v>49.476808548086147</v>
      </c>
      <c r="J270" s="85">
        <f>IF(H270,An,'2027'!An_max)</f>
        <v>2020</v>
      </c>
      <c r="K270" s="197">
        <f t="shared" si="79"/>
        <v>47008</v>
      </c>
      <c r="L270" s="147">
        <f>IF(t&lt;Tvie,1-EXP((T0-t)*PertePVj)+'2027'!Pspv,1-EXP((T0-t)*PertePVj)+Pspv)</f>
        <v>6.5092162201198511E-2</v>
      </c>
      <c r="M270" s="832"/>
      <c r="N270" s="832"/>
      <c r="O270" s="48">
        <f>IF(t&lt;Tnet,'2027'!Resal+('2027'!Salim-'2027'!Resal)*(1-EXP(('2027'!Tnet-t)/('2027'!Tau_j))),Resal+(Salim-Resal)*(1-EXP((Tnet-t)/(Tau_j))))*Salcycl</f>
        <v>2.5509299509515016E-2</v>
      </c>
      <c r="P270" s="169">
        <f>(INDEX(Models!$BJ270:$BT270,,T270)*(1-R270)+INDEX(Models!$BJ270:$BT270,,T270+1)*R270-ERP_i)*Q270*Ramure*Pc/MaxiM</f>
        <v>8.8045675059656359E-6</v>
      </c>
      <c r="Q270" s="304">
        <f t="shared" si="80"/>
        <v>0.6</v>
      </c>
      <c r="R270" s="177">
        <f t="shared" si="81"/>
        <v>0.96439257335132988</v>
      </c>
      <c r="S270" s="799">
        <f t="shared" si="82"/>
        <v>-1</v>
      </c>
      <c r="T270" s="176">
        <f t="shared" si="83"/>
        <v>5</v>
      </c>
      <c r="U270" s="250">
        <f t="shared" si="84"/>
        <v>-3.5607426648670171E-2</v>
      </c>
      <c r="V270" s="382">
        <f t="shared" si="85"/>
        <v>47.4308634655101</v>
      </c>
      <c r="W270" s="400">
        <f t="shared" si="86"/>
        <v>14.583688339019112</v>
      </c>
      <c r="X270" s="157">
        <f t="shared" si="87"/>
        <v>47008</v>
      </c>
      <c r="Y270" s="383">
        <f t="shared" si="88"/>
        <v>14.090098409413146</v>
      </c>
      <c r="Z270" s="383">
        <f t="shared" si="89"/>
        <v>15.071109514481824</v>
      </c>
      <c r="AA270" s="384">
        <f t="shared" si="90"/>
        <v>16.007398286183054</v>
      </c>
      <c r="AB270" s="197">
        <f t="shared" si="91"/>
        <v>47008</v>
      </c>
      <c r="AC270" s="119">
        <f>IF(OR(t&lt;Tnet,NoTnet),'2027'!Resal_s+('2027'!Salim-'2027'!Resal_s)*(1-EXP(('2027'!Tnet_s-t)/'2027'!Tau_j)),Resal_s+(Salim-Resal_s)*(1-EXP((Tnet_s-t)/Tau_j)))*Salcycl</f>
        <v>5.8491002407892741E-2</v>
      </c>
      <c r="AD270" s="230">
        <f>(INDEX(Models!$BJ270:$BT270,,AH270)*(1-AF270)+INDEX(Models!$BJ270:$BT270,,AH270+1)*AF270-ERP_i)*AE270*Ramure*Pc/MaxiM</f>
        <v>3.5550423473290495E-5</v>
      </c>
      <c r="AE270" s="304">
        <f t="shared" si="92"/>
        <v>0.6</v>
      </c>
      <c r="AF270" s="177">
        <f t="shared" si="93"/>
        <v>0.48938013972530836</v>
      </c>
      <c r="AG270" s="799">
        <f t="shared" si="99"/>
        <v>3</v>
      </c>
      <c r="AH270" s="176">
        <f t="shared" si="94"/>
        <v>9</v>
      </c>
      <c r="AI270" s="224">
        <f t="shared" si="95"/>
        <v>3.4893801397253084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47009</v>
      </c>
      <c r="B271" s="409">
        <f>IF(t&gt;Tmaj,'2027'!Wh/'2027'!Env_an*'2028'!Env_an,0.001*'[11]mon-tableau (3)'!$B$248)</f>
        <v>36.728418464945648</v>
      </c>
      <c r="C271" s="829"/>
      <c r="D271" s="391">
        <f t="shared" ref="D271:D334" si="102">Wh/(1-Ppv)</f>
        <v>39.286356243064219</v>
      </c>
      <c r="E271" s="383">
        <f t="shared" si="100"/>
        <v>40.319120343353347</v>
      </c>
      <c r="F271" s="383">
        <f t="shared" ref="F271:F334" si="103">Wh_sa/(1-Pvg*MEDIAN((-Sdif+Wh/Env_an)/Csdif,0,1))</f>
        <v>40.319377717315334</v>
      </c>
      <c r="G271" s="110">
        <f t="shared" si="101"/>
        <v>0.77747795324819458</v>
      </c>
      <c r="H271" s="412" t="b">
        <f>Wh_hp&gt;='2027'!Maxi_hp</f>
        <v>0</v>
      </c>
      <c r="I271" s="388">
        <f>IF(H271,Wh_hp,'2027'!Maxi_hp)</f>
        <v>49.421570563132221</v>
      </c>
      <c r="J271" s="85">
        <f>IF(H271,An,'2027'!An_max)</f>
        <v>2020</v>
      </c>
      <c r="K271" s="197">
        <f t="shared" ref="K271:K334" si="104">t</f>
        <v>47009</v>
      </c>
      <c r="L271" s="147">
        <f>IF(t&lt;Tvie,1-EXP((T0-t)*PertePVj)+'2027'!Pspv,1-EXP((T0-t)*PertePVj)+Pspv)</f>
        <v>6.5110079496623174E-2</v>
      </c>
      <c r="M271" s="832"/>
      <c r="N271" s="832"/>
      <c r="O271" s="48">
        <f>IF(t&lt;Tnet,'2027'!Resal+('2027'!Salim-'2027'!Resal)*(1-EXP(('2027'!Tnet-t)/('2027'!Tau_j))),Resal+(Salim-Resal)*(1-EXP((Tnet-t)/(Tau_j))))*Salcycl</f>
        <v>2.5614747829174427E-2</v>
      </c>
      <c r="P271" s="169">
        <f>(INDEX(Models!$BJ271:$BT271,,T271)*(1-R271)+INDEX(Models!$BJ271:$BT271,,T271+1)*R271-ERP_i)*Q271*Ramure*Pc/MaxiM</f>
        <v>9.3582232209996501E-6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0.96478350405576541</v>
      </c>
      <c r="S271" s="799">
        <f t="shared" ref="S271:S334" si="107">INDEX(Echel_vg,T271)</f>
        <v>-1</v>
      </c>
      <c r="T271" s="176">
        <f t="shared" ref="T271:T334" si="108">MIN(MATCH(Hp_vg,Echel_vg),10)</f>
        <v>5</v>
      </c>
      <c r="U271" s="250">
        <f t="shared" ref="U271:U334" si="109">IF(OR(t&lt;Ttai,Notai),Hdd+PousH*Croivg,Hdtf+PousH*(Croivg-Croi_tai))</f>
        <v>-3.5216495944234594E-2</v>
      </c>
      <c r="V271" s="382">
        <f t="shared" ref="V271:V334" si="110">MaxiM*(1-Ppv)*(1-Pvg)*(1-Psa)</f>
        <v>47.24032244202386</v>
      </c>
      <c r="W271" s="400">
        <f t="shared" ref="W271:W334" si="111">Wh*(A271&gt;Tmaj)</f>
        <v>36.728418464945648</v>
      </c>
      <c r="X271" s="157">
        <f t="shared" ref="X271:X334" si="112">t</f>
        <v>47009</v>
      </c>
      <c r="Y271" s="383">
        <f t="shared" ref="Y271:Y334" si="113">Wh_pvt_s*(1-Ppv)</f>
        <v>35.486169555023793</v>
      </c>
      <c r="Z271" s="383">
        <f t="shared" ref="Z271:Z334" si="114">Wh_sa_s*(1-Psa_s)</f>
        <v>37.957591344996878</v>
      </c>
      <c r="AA271" s="384">
        <f t="shared" ref="AA271:AA334" si="115">Wh_hp*(1-Pvg_s*MEDIAN((-Sdif+Wh/Env_an)/Csdif,0,1))</f>
        <v>40.318340369937658</v>
      </c>
      <c r="AB271" s="197">
        <f t="shared" ref="AB271:AB334" si="116">t</f>
        <v>47009</v>
      </c>
      <c r="AC271" s="119">
        <f>IF(OR(t&lt;Tnet,NoTnet),'2027'!Resal_s+('2027'!Salim-'2027'!Resal_s)*(1-EXP(('2027'!Tnet_s-t)/'2027'!Tau_j)),Resal_s+(Salim-Resal_s)*(1-EXP((Tnet_s-t)/Tau_j)))*Salcycl</f>
        <v>5.8552733155182377E-2</v>
      </c>
      <c r="AD271" s="230">
        <f>(INDEX(Models!$BJ271:$BT271,,AH271)*(1-AF271)+INDEX(Models!$BJ271:$BT271,,AH271+1)*AF271-ERP_i)*AE271*Ramure*Pc/MaxiM</f>
        <v>3.77183777369494E-5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0.48977107042974399</v>
      </c>
      <c r="AG271" s="799">
        <f t="shared" si="99"/>
        <v>3</v>
      </c>
      <c r="AH271" s="176">
        <f t="shared" ref="AH271:AH334" si="119">MIN(MATCH(Hp_vg_s,Echel_vg),10)</f>
        <v>9</v>
      </c>
      <c r="AI271" s="224">
        <f t="shared" ref="AI271:AI334" si="120">IF(OR(t&lt;Ttai,Notai),Hdd_s+PousH*Croivg,Hdtai_s+PousH*(Croivg-Croi_tai))</f>
        <v>3.489771070429744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47010</v>
      </c>
      <c r="B272" s="409">
        <f>IF(t&gt;Tmaj,'2027'!Wh/'2027'!Env_an*'2028'!Env_an,0.001*'[11]mon-tableau (3)'!$B$249)</f>
        <v>40.381223937478822</v>
      </c>
      <c r="C272" s="829"/>
      <c r="D272" s="391">
        <f t="shared" si="102"/>
        <v>43.194387877785587</v>
      </c>
      <c r="E272" s="383">
        <f t="shared" si="100"/>
        <v>44.334667740995684</v>
      </c>
      <c r="F272" s="383">
        <f t="shared" si="103"/>
        <v>44.335018631782212</v>
      </c>
      <c r="G272" s="110">
        <f t="shared" si="101"/>
        <v>0.85834711538781405</v>
      </c>
      <c r="H272" s="412" t="b">
        <f>Wh_hp&gt;='2027'!Maxi_hp</f>
        <v>0</v>
      </c>
      <c r="I272" s="388">
        <f>IF(H272,Wh_hp,'2027'!Maxi_hp)</f>
        <v>51.00676090295368</v>
      </c>
      <c r="J272" s="85">
        <f>IF(H272,An,'2027'!An_max)</f>
        <v>2020</v>
      </c>
      <c r="K272" s="197">
        <f t="shared" si="104"/>
        <v>47010</v>
      </c>
      <c r="L272" s="147">
        <f>IF(t&lt;Tvie,1-EXP((T0-t)*PertePVj)+'2027'!Pspv,1-EXP((T0-t)*PertePVj)+Pspv)</f>
        <v>6.5127996448666958E-2</v>
      </c>
      <c r="M272" s="832"/>
      <c r="N272" s="832"/>
      <c r="O272" s="48">
        <f>IF(t&lt;Tnet,'2027'!Resal+('2027'!Salim-'2027'!Resal)*(1-EXP(('2027'!Tnet-t)/('2027'!Tau_j))),Resal+(Salim-Resal)*(1-EXP((Tnet-t)/(Tau_j))))*Salcycl</f>
        <v>2.5719824266455346E-2</v>
      </c>
      <c r="P272" s="169">
        <f>(INDEX(Models!$BJ272:$BT272,,T272)*(1-R272)+INDEX(Models!$BJ272:$BT272,,T272+1)*R272-ERP_i)*Q272*Ramure*Pc/MaxiM</f>
        <v>9.9224174008602768E-6</v>
      </c>
      <c r="Q272" s="304">
        <f t="shared" si="105"/>
        <v>0.6</v>
      </c>
      <c r="R272" s="177">
        <f t="shared" si="106"/>
        <v>0.96515928066566348</v>
      </c>
      <c r="S272" s="799">
        <f t="shared" si="107"/>
        <v>-1</v>
      </c>
      <c r="T272" s="176">
        <f t="shared" si="108"/>
        <v>5</v>
      </c>
      <c r="U272" s="250">
        <f t="shared" si="109"/>
        <v>-3.4840719334336523E-2</v>
      </c>
      <c r="V272" s="382">
        <f t="shared" si="110"/>
        <v>47.04523628252349</v>
      </c>
      <c r="W272" s="400">
        <f t="shared" si="111"/>
        <v>40.381223937478822</v>
      </c>
      <c r="X272" s="157">
        <f t="shared" si="112"/>
        <v>47010</v>
      </c>
      <c r="Y272" s="383">
        <f t="shared" si="113"/>
        <v>39.016923203102607</v>
      </c>
      <c r="Z272" s="383">
        <f t="shared" si="114"/>
        <v>41.735042930890614</v>
      </c>
      <c r="AA272" s="384">
        <f t="shared" si="115"/>
        <v>44.333607976190784</v>
      </c>
      <c r="AB272" s="197">
        <f t="shared" si="116"/>
        <v>47010</v>
      </c>
      <c r="AC272" s="119">
        <f>IF(OR(t&lt;Tnet,NoTnet),'2027'!Resal_s+('2027'!Salim-'2027'!Resal_s)*(1-EXP(('2027'!Tnet_s-t)/'2027'!Tau_j)),Resal_s+(Salim-Resal_s)*(1-EXP((Tnet_s-t)/Tau_j)))*Salcycl</f>
        <v>5.8613886031917785E-2</v>
      </c>
      <c r="AD272" s="230">
        <f>(INDEX(Models!$BJ272:$BT272,,AH272)*(1-AF272)+INDEX(Models!$BJ272:$BT272,,AH272+1)*AF272-ERP_i)*AE272*Ramure*Pc/MaxiM</f>
        <v>3.9890228311047062E-5</v>
      </c>
      <c r="AE272" s="304">
        <f t="shared" si="117"/>
        <v>0.6</v>
      </c>
      <c r="AF272" s="177">
        <f t="shared" si="118"/>
        <v>0.49014684703964218</v>
      </c>
      <c r="AG272" s="799">
        <f t="shared" ref="AG272:AG335" si="124">INDEX(Echel_vg,AH272)</f>
        <v>3</v>
      </c>
      <c r="AH272" s="176">
        <f t="shared" si="119"/>
        <v>9</v>
      </c>
      <c r="AI272" s="224">
        <f t="shared" si="120"/>
        <v>3.4901468470396422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47011</v>
      </c>
      <c r="B273" s="409">
        <f>IF(t&gt;Tmaj,'2027'!Wh/'2027'!Env_an*'2028'!Env_an,0.001*'[11]mon-tableau (3)'!$B$250)</f>
        <v>29.208344289686213</v>
      </c>
      <c r="C273" s="829"/>
      <c r="D273" s="391">
        <f t="shared" si="102"/>
        <v>31.243746695496469</v>
      </c>
      <c r="E273" s="383">
        <f t="shared" si="100"/>
        <v>32.071990405259847</v>
      </c>
      <c r="F273" s="383">
        <f t="shared" si="103"/>
        <v>32.072145998278657</v>
      </c>
      <c r="G273" s="110">
        <f t="shared" si="101"/>
        <v>0.62350270772612537</v>
      </c>
      <c r="H273" s="412" t="b">
        <f>Wh_hp&gt;='2027'!Maxi_hp</f>
        <v>0</v>
      </c>
      <c r="I273" s="388">
        <f>IF(H273,Wh_hp,'2027'!Maxi_hp)</f>
        <v>45.030086079266795</v>
      </c>
      <c r="J273" s="85">
        <f>IF(H273,An,'2027'!An_max)</f>
        <v>2018</v>
      </c>
      <c r="K273" s="197">
        <f t="shared" si="104"/>
        <v>47011</v>
      </c>
      <c r="L273" s="147">
        <f>IF(t&lt;Tvie,1-EXP((T0-t)*PertePVj)+'2027'!Pspv,1-EXP((T0-t)*PertePVj)+Pspv)</f>
        <v>6.5145913057336413E-2</v>
      </c>
      <c r="M273" s="832"/>
      <c r="N273" s="832"/>
      <c r="O273" s="48">
        <f>IF(t&lt;Tnet,'2027'!Resal+('2027'!Salim-'2027'!Resal)*(1-EXP(('2027'!Tnet-t)/('2027'!Tau_j))),Resal+(Salim-Resal)*(1-EXP((Tnet-t)/(Tau_j))))*Salcycl</f>
        <v>2.5824518506576515E-2</v>
      </c>
      <c r="P273" s="169">
        <f>(INDEX(Models!$BJ273:$BT273,,T273)*(1-R273)+INDEX(Models!$BJ273:$BT273,,T273+1)*R273-ERP_i)*Q273*Ramure*Pc/MaxiM</f>
        <v>1.0497296903144495E-5</v>
      </c>
      <c r="Q273" s="304">
        <f t="shared" si="105"/>
        <v>0.6</v>
      </c>
      <c r="R273" s="177">
        <f t="shared" si="106"/>
        <v>0.96552046833755911</v>
      </c>
      <c r="S273" s="799">
        <f t="shared" si="107"/>
        <v>-1</v>
      </c>
      <c r="T273" s="176">
        <f t="shared" si="108"/>
        <v>5</v>
      </c>
      <c r="U273" s="250">
        <f t="shared" si="109"/>
        <v>-3.4479531662440888E-2</v>
      </c>
      <c r="V273" s="382">
        <f t="shared" si="110"/>
        <v>46.845312807823319</v>
      </c>
      <c r="W273" s="400">
        <f t="shared" si="111"/>
        <v>29.208344289686213</v>
      </c>
      <c r="X273" s="157">
        <f t="shared" si="112"/>
        <v>47011</v>
      </c>
      <c r="Y273" s="383">
        <f t="shared" si="113"/>
        <v>28.223005387483528</v>
      </c>
      <c r="Z273" s="383">
        <f t="shared" si="114"/>
        <v>30.189743813158834</v>
      </c>
      <c r="AA273" s="384">
        <f t="shared" si="115"/>
        <v>32.071522483195743</v>
      </c>
      <c r="AB273" s="197">
        <f t="shared" si="116"/>
        <v>47011</v>
      </c>
      <c r="AC273" s="119">
        <f>IF(OR(t&lt;Tnet,NoTnet),'2027'!Resal_s+('2027'!Salim-'2027'!Resal_s)*(1-EXP(('2027'!Tnet_s-t)/'2027'!Tau_j)),Resal_s+(Salim-Resal_s)*(1-EXP((Tnet_s-t)/Tau_j)))*Salcycl</f>
        <v>5.8674441508752492E-2</v>
      </c>
      <c r="AD273" s="230">
        <f>(INDEX(Models!$BJ273:$BT273,,AH273)*(1-AF273)+INDEX(Models!$BJ273:$BT273,,AH273+1)*AF273-ERP_i)*AE273*Ramure*Pc/MaxiM</f>
        <v>4.2066302195878144E-5</v>
      </c>
      <c r="AE273" s="304">
        <f t="shared" si="117"/>
        <v>0.6</v>
      </c>
      <c r="AF273" s="177">
        <f t="shared" si="118"/>
        <v>0.49050803471153781</v>
      </c>
      <c r="AG273" s="799">
        <f t="shared" si="124"/>
        <v>3</v>
      </c>
      <c r="AH273" s="176">
        <f t="shared" si="119"/>
        <v>9</v>
      </c>
      <c r="AI273" s="224">
        <f t="shared" si="120"/>
        <v>3.4905080347115378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47012</v>
      </c>
      <c r="B274" s="409">
        <f>IF(t&gt;Tmaj,'2027'!Wh/'2027'!Env_an*'2028'!Env_an,0.001*'[11]mon-tableau (3)'!$B$251)</f>
        <v>47.128184549366225</v>
      </c>
      <c r="C274" s="829"/>
      <c r="D274" s="391">
        <f t="shared" si="102"/>
        <v>50.41330879957092</v>
      </c>
      <c r="E274" s="383">
        <f t="shared" si="100"/>
        <v>51.755261658201619</v>
      </c>
      <c r="F274" s="383">
        <f t="shared" si="103"/>
        <v>51.755835269169907</v>
      </c>
      <c r="G274" s="110">
        <f t="shared" si="101"/>
        <v>1.010461446092713</v>
      </c>
      <c r="H274" s="412" t="b">
        <f>Wh_hp&gt;='2027'!Maxi_hp</f>
        <v>1</v>
      </c>
      <c r="I274" s="388">
        <f>IF(H274,Wh_hp,'2027'!Maxi_hp)</f>
        <v>51.755835269169907</v>
      </c>
      <c r="J274" s="85">
        <f>IF(H274,An,'2027'!An_max)</f>
        <v>2028</v>
      </c>
      <c r="K274" s="197">
        <f t="shared" si="104"/>
        <v>47012</v>
      </c>
      <c r="L274" s="147">
        <f>IF(t&lt;Tvie,1-EXP((T0-t)*PertePVj)+'2027'!Pspv,1-EXP((T0-t)*PertePVj)+Pspv)</f>
        <v>6.51638293226382E-2</v>
      </c>
      <c r="M274" s="832"/>
      <c r="N274" s="832"/>
      <c r="O274" s="48">
        <f>IF(t&lt;Tnet,'2027'!Resal+('2027'!Salim-'2027'!Resal)*(1-EXP(('2027'!Tnet-t)/('2027'!Tau_j))),Resal+(Salim-Resal)*(1-EXP((Tnet-t)/(Tau_j))))*Salcycl</f>
        <v>2.5928819904208464E-2</v>
      </c>
      <c r="P274" s="169">
        <f>(INDEX(Models!$BJ274:$BT274,,T274)*(1-R274)+INDEX(Models!$BJ274:$BT274,,T274+1)*R274-ERP_i)*Q274*Ramure*Pc/MaxiM</f>
        <v>1.1083020210333546E-5</v>
      </c>
      <c r="Q274" s="304">
        <f t="shared" si="105"/>
        <v>0.6</v>
      </c>
      <c r="R274" s="177">
        <f t="shared" si="106"/>
        <v>0.96586761288265743</v>
      </c>
      <c r="S274" s="799">
        <f t="shared" si="107"/>
        <v>-1</v>
      </c>
      <c r="T274" s="176">
        <f t="shared" si="108"/>
        <v>5</v>
      </c>
      <c r="U274" s="250">
        <f t="shared" si="109"/>
        <v>-3.4132387117342566E-2</v>
      </c>
      <c r="V274" s="382">
        <f t="shared" si="110"/>
        <v>46.640259983795623</v>
      </c>
      <c r="W274" s="400">
        <f t="shared" si="111"/>
        <v>47.128184549366225</v>
      </c>
      <c r="X274" s="157">
        <f t="shared" si="112"/>
        <v>47012</v>
      </c>
      <c r="Y274" s="383">
        <f t="shared" si="113"/>
        <v>45.539452973472386</v>
      </c>
      <c r="Z274" s="383">
        <f t="shared" si="114"/>
        <v>48.713832863864795</v>
      </c>
      <c r="AA274" s="384">
        <f t="shared" si="115"/>
        <v>51.753545230633023</v>
      </c>
      <c r="AB274" s="197">
        <f t="shared" si="116"/>
        <v>47012</v>
      </c>
      <c r="AC274" s="119">
        <f>IF(OR(t&lt;Tnet,NoTnet),'2027'!Resal_s+('2027'!Salim-'2027'!Resal_s)*(1-EXP(('2027'!Tnet_s-t)/'2027'!Tau_j)),Resal_s+(Salim-Resal_s)*(1-EXP((Tnet_s-t)/Tau_j)))*Salcycl</f>
        <v>5.8734379513947138E-2</v>
      </c>
      <c r="AD274" s="230">
        <f>(INDEX(Models!$BJ274:$BT274,,AH274)*(1-AF274)+INDEX(Models!$BJ274:$BT274,,AH274+1)*AF274-ERP_i)*AE274*Ramure*Pc/MaxiM</f>
        <v>4.4246963168065645E-5</v>
      </c>
      <c r="AE274" s="304">
        <f t="shared" si="117"/>
        <v>0.6</v>
      </c>
      <c r="AF274" s="177">
        <f t="shared" si="118"/>
        <v>0.49085517925663602</v>
      </c>
      <c r="AG274" s="799">
        <f t="shared" si="124"/>
        <v>3</v>
      </c>
      <c r="AH274" s="176">
        <f t="shared" si="119"/>
        <v>9</v>
      </c>
      <c r="AI274" s="224">
        <f t="shared" si="120"/>
        <v>3.490855179256636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47013</v>
      </c>
      <c r="B275" s="409">
        <f>IF(t&gt;Tmaj,'2027'!Wh/'2027'!Env_an*'2028'!Env_an,0.001*'[11]mon-tableau (3)'!$B$252)</f>
        <v>45.553014031326725</v>
      </c>
      <c r="C275" s="829"/>
      <c r="D275" s="391">
        <f t="shared" si="102"/>
        <v>48.729273096239304</v>
      </c>
      <c r="E275" s="383">
        <f t="shared" si="100"/>
        <v>50.031735122868078</v>
      </c>
      <c r="F275" s="383">
        <f t="shared" si="103"/>
        <v>50.032303708087731</v>
      </c>
      <c r="G275" s="110">
        <f t="shared" si="101"/>
        <v>0.98110481705797992</v>
      </c>
      <c r="H275" s="412" t="b">
        <f>Wh_hp&gt;='2027'!Maxi_hp</f>
        <v>0</v>
      </c>
      <c r="I275" s="388">
        <f>IF(H275,Wh_hp,'2027'!Maxi_hp)</f>
        <v>50.032315383017725</v>
      </c>
      <c r="J275" s="85">
        <f>IF(H275,An,'2027'!An_max)</f>
        <v>2026</v>
      </c>
      <c r="K275" s="197">
        <f t="shared" si="104"/>
        <v>47013</v>
      </c>
      <c r="L275" s="147">
        <f>IF(t&lt;Tvie,1-EXP((T0-t)*PertePVj)+'2027'!Pspv,1-EXP((T0-t)*PertePVj)+Pspv)</f>
        <v>6.5181745244578759E-2</v>
      </c>
      <c r="M275" s="832"/>
      <c r="N275" s="832"/>
      <c r="O275" s="48">
        <f>IF(t&lt;Tnet,'2027'!Resal+('2027'!Salim-'2027'!Resal)*(1-EXP(('2027'!Tnet-t)/('2027'!Tau_j))),Resal+(Salim-Resal)*(1-EXP((Tnet-t)/(Tau_j))))*Salcycl</f>
        <v>2.6032717502804625E-2</v>
      </c>
      <c r="P275" s="169">
        <f>(INDEX(Models!$BJ275:$BT275,,T275)*(1-R275)+INDEX(Models!$BJ275:$BT275,,T275+1)*R275-ERP_i)*Q275*Ramure*Pc/MaxiM</f>
        <v>1.1679626554874049E-5</v>
      </c>
      <c r="Q275" s="304">
        <f t="shared" si="105"/>
        <v>0.6</v>
      </c>
      <c r="R275" s="177">
        <f t="shared" si="106"/>
        <v>0.96620124129251528</v>
      </c>
      <c r="S275" s="799">
        <f t="shared" si="107"/>
        <v>-1</v>
      </c>
      <c r="T275" s="176">
        <f t="shared" si="108"/>
        <v>5</v>
      </c>
      <c r="U275" s="250">
        <f t="shared" si="109"/>
        <v>-3.3798758707484722E-2</v>
      </c>
      <c r="V275" s="382">
        <f t="shared" si="110"/>
        <v>46.430308849690064</v>
      </c>
      <c r="W275" s="400">
        <f t="shared" si="111"/>
        <v>45.553014031326725</v>
      </c>
      <c r="X275" s="157">
        <f t="shared" si="112"/>
        <v>47013</v>
      </c>
      <c r="Y275" s="383">
        <f t="shared" si="113"/>
        <v>44.01927630802755</v>
      </c>
      <c r="Z275" s="383">
        <f t="shared" si="114"/>
        <v>47.088592979545979</v>
      </c>
      <c r="AA275" s="384">
        <f t="shared" si="115"/>
        <v>50.030043310476088</v>
      </c>
      <c r="AB275" s="197">
        <f t="shared" si="116"/>
        <v>47013</v>
      </c>
      <c r="AC275" s="119">
        <f>IF(OR(t&lt;Tnet,NoTnet),'2027'!Resal_s+('2027'!Salim-'2027'!Resal_s)*(1-EXP(('2027'!Tnet_s-t)/'2027'!Tau_j)),Resal_s+(Salim-Resal_s)*(1-EXP((Tnet_s-t)/Tau_j)))*Salcycl</f>
        <v>5.8793679483267261E-2</v>
      </c>
      <c r="AD275" s="230">
        <f>(INDEX(Models!$BJ275:$BT275,,AH275)*(1-AF275)+INDEX(Models!$BJ275:$BT275,,AH275+1)*AF275-ERP_i)*AE275*Ramure*Pc/MaxiM</f>
        <v>4.6432089785324864E-5</v>
      </c>
      <c r="AE275" s="304">
        <f t="shared" si="117"/>
        <v>0.6</v>
      </c>
      <c r="AF275" s="177">
        <f t="shared" si="118"/>
        <v>0.49118880766649387</v>
      </c>
      <c r="AG275" s="799">
        <f t="shared" si="124"/>
        <v>3</v>
      </c>
      <c r="AH275" s="176">
        <f t="shared" si="119"/>
        <v>9</v>
      </c>
      <c r="AI275" s="224">
        <f t="shared" si="120"/>
        <v>3.4911888076664939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47014</v>
      </c>
      <c r="B276" s="409">
        <f>IF(t&gt;Tmaj,'2027'!Wh/'2027'!Env_an*'2028'!Env_an,0.001*'[11]mon-tableau (3)'!$B$253)</f>
        <v>46.100842109662096</v>
      </c>
      <c r="C276" s="829"/>
      <c r="D276" s="391">
        <f t="shared" si="102"/>
        <v>49.316244525817666</v>
      </c>
      <c r="E276" s="383">
        <f t="shared" si="100"/>
        <v>50.639775838066875</v>
      </c>
      <c r="F276" s="383">
        <f t="shared" si="103"/>
        <v>50.640397457037878</v>
      </c>
      <c r="G276" s="110">
        <f t="shared" si="101"/>
        <v>0.9975092973546914</v>
      </c>
      <c r="H276" s="412" t="b">
        <f>Wh_hp&gt;='2027'!Maxi_hp</f>
        <v>0</v>
      </c>
      <c r="I276" s="388">
        <f>IF(H276,Wh_hp,'2027'!Maxi_hp)</f>
        <v>50.640399100158128</v>
      </c>
      <c r="J276" s="85">
        <f>IF(H276,An,'2027'!An_max)</f>
        <v>2026</v>
      </c>
      <c r="K276" s="197">
        <f t="shared" si="104"/>
        <v>47014</v>
      </c>
      <c r="L276" s="147">
        <f>IF(t&lt;Tvie,1-EXP((T0-t)*PertePVj)+'2027'!Pspv,1-EXP((T0-t)*PertePVj)+Pspv)</f>
        <v>6.5199660823164862E-2</v>
      </c>
      <c r="M276" s="832"/>
      <c r="N276" s="832"/>
      <c r="O276" s="48">
        <f>IF(t&lt;Tnet,'2027'!Resal+('2027'!Salim-'2027'!Resal)*(1-EXP(('2027'!Tnet-t)/('2027'!Tau_j))),Resal+(Salim-Resal)*(1-EXP((Tnet-t)/(Tau_j))))*Salcycl</f>
        <v>2.6136200059050943E-2</v>
      </c>
      <c r="P276" s="169">
        <f>(INDEX(Models!$BJ276:$BT276,,T276)*(1-R276)+INDEX(Models!$BJ276:$BT276,,T276+1)*R276-ERP_i)*Q276*Ramure*Pc/MaxiM</f>
        <v>1.2318991807529403E-5</v>
      </c>
      <c r="Q276" s="304">
        <f t="shared" si="105"/>
        <v>0.6</v>
      </c>
      <c r="R276" s="177">
        <f t="shared" si="106"/>
        <v>0.96652186226177683</v>
      </c>
      <c r="S276" s="799">
        <f t="shared" si="107"/>
        <v>-1</v>
      </c>
      <c r="T276" s="176">
        <f t="shared" si="108"/>
        <v>5</v>
      </c>
      <c r="U276" s="250">
        <f t="shared" si="109"/>
        <v>-3.3478137738223113E-2</v>
      </c>
      <c r="V276" s="382">
        <f t="shared" si="110"/>
        <v>46.215950278558985</v>
      </c>
      <c r="W276" s="400">
        <f t="shared" si="111"/>
        <v>46.100842109662096</v>
      </c>
      <c r="X276" s="157">
        <f t="shared" si="112"/>
        <v>47014</v>
      </c>
      <c r="Y276" s="383">
        <f t="shared" si="113"/>
        <v>44.550509990408187</v>
      </c>
      <c r="Z276" s="383">
        <f t="shared" si="114"/>
        <v>47.657781157459141</v>
      </c>
      <c r="AA276" s="384">
        <f t="shared" si="115"/>
        <v>50.637941517052795</v>
      </c>
      <c r="AB276" s="197">
        <f t="shared" si="116"/>
        <v>47014</v>
      </c>
      <c r="AC276" s="119">
        <f>IF(OR(t&lt;Tnet,NoTnet),'2027'!Resal_s+('2027'!Salim-'2027'!Resal_s)*(1-EXP(('2027'!Tnet_s-t)/'2027'!Tau_j)),Resal_s+(Salim-Resal_s)*(1-EXP((Tnet_s-t)/Tau_j)))*Salcycl</f>
        <v>5.8852320420451028E-2</v>
      </c>
      <c r="AD276" s="230">
        <f>(INDEX(Models!$BJ276:$BT276,,AH276)*(1-AF276)+INDEX(Models!$BJ276:$BT276,,AH276+1)*AF276-ERP_i)*AE276*Ramure*Pc/MaxiM</f>
        <v>4.867081921105667E-5</v>
      </c>
      <c r="AE276" s="304">
        <f t="shared" si="117"/>
        <v>0.6</v>
      </c>
      <c r="AF276" s="177">
        <f t="shared" si="118"/>
        <v>0.49150942863575553</v>
      </c>
      <c r="AG276" s="799">
        <f t="shared" si="124"/>
        <v>3</v>
      </c>
      <c r="AH276" s="176">
        <f t="shared" si="119"/>
        <v>9</v>
      </c>
      <c r="AI276" s="224">
        <f t="shared" si="120"/>
        <v>3.4915094286357555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47015</v>
      </c>
      <c r="B277" s="409">
        <f>IF(t&gt;Tmaj,'2027'!Wh/'2027'!Env_an*'2028'!Env_an,0.001*'[11]mon-tableau (3)'!$B$254)</f>
        <v>47.557467071047412</v>
      </c>
      <c r="C277" s="829"/>
      <c r="D277" s="391">
        <f t="shared" si="102"/>
        <v>50.875439945176687</v>
      </c>
      <c r="E277" s="383">
        <f t="shared" si="100"/>
        <v>52.246345175083611</v>
      </c>
      <c r="F277" s="383">
        <f t="shared" si="103"/>
        <v>52.247024974226633</v>
      </c>
      <c r="G277" s="110">
        <f t="shared" si="101"/>
        <v>1.0339190299948389</v>
      </c>
      <c r="H277" s="412" t="b">
        <f>Wh_hp&gt;='2027'!Maxi_hp</f>
        <v>1</v>
      </c>
      <c r="I277" s="388">
        <f>IF(H277,Wh_hp,'2027'!Maxi_hp)</f>
        <v>52.247024974226633</v>
      </c>
      <c r="J277" s="85">
        <f>IF(H277,An,'2027'!An_max)</f>
        <v>2028</v>
      </c>
      <c r="K277" s="197">
        <f t="shared" si="104"/>
        <v>47015</v>
      </c>
      <c r="L277" s="147">
        <f>IF(t&lt;Tvie,1-EXP((T0-t)*PertePVj)+'2027'!Pspv,1-EXP((T0-t)*PertePVj)+Pspv)</f>
        <v>6.5217576058402948E-2</v>
      </c>
      <c r="M277" s="832"/>
      <c r="N277" s="832"/>
      <c r="O277" s="48">
        <f>IF(t&lt;Tnet,'2027'!Resal+('2027'!Salim-'2027'!Resal)*(1-EXP(('2027'!Tnet-t)/('2027'!Tau_j))),Resal+(Salim-Resal)*(1-EXP((Tnet-t)/(Tau_j))))*Salcycl</f>
        <v>2.6239256072608692E-2</v>
      </c>
      <c r="P277" s="169">
        <f>(INDEX(Models!$BJ277:$BT277,,T277)*(1-R277)+INDEX(Models!$BJ277:$BT277,,T277+1)*R277-ERP_i)*Q277*Ramure*Pc/MaxiM</f>
        <v>1.3011250752733535E-5</v>
      </c>
      <c r="Q277" s="304">
        <f t="shared" si="105"/>
        <v>0.6</v>
      </c>
      <c r="R277" s="177">
        <f t="shared" si="106"/>
        <v>0.96682996670683563</v>
      </c>
      <c r="S277" s="799">
        <f t="shared" si="107"/>
        <v>-1</v>
      </c>
      <c r="T277" s="176">
        <f t="shared" si="108"/>
        <v>5</v>
      </c>
      <c r="U277" s="250">
        <f t="shared" si="109"/>
        <v>-3.3170033293164369E-2</v>
      </c>
      <c r="V277" s="382">
        <f t="shared" si="110"/>
        <v>45.99728382142731</v>
      </c>
      <c r="W277" s="400">
        <f t="shared" si="111"/>
        <v>47.557467071047412</v>
      </c>
      <c r="X277" s="157">
        <f t="shared" si="112"/>
        <v>47015</v>
      </c>
      <c r="Y277" s="383">
        <f t="shared" si="113"/>
        <v>45.960102239764069</v>
      </c>
      <c r="Z277" s="383">
        <f t="shared" si="114"/>
        <v>49.166630718161151</v>
      </c>
      <c r="AA277" s="384">
        <f t="shared" si="115"/>
        <v>52.244360685138844</v>
      </c>
      <c r="AB277" s="197">
        <f t="shared" si="116"/>
        <v>47015</v>
      </c>
      <c r="AC277" s="119">
        <f>IF(OR(t&lt;Tnet,NoTnet),'2027'!Resal_s+('2027'!Salim-'2027'!Resal_s)*(1-EXP(('2027'!Tnet_s-t)/'2027'!Tau_j)),Resal_s+(Salim-Resal_s)*(1-EXP((Tnet_s-t)/Tau_j)))*Salcycl</f>
        <v>5.8910280968433086E-2</v>
      </c>
      <c r="AD277" s="230">
        <f>(INDEX(Models!$BJ277:$BT277,,AH277)*(1-AF277)+INDEX(Models!$BJ277:$BT277,,AH277+1)*AF277-ERP_i)*AE277*Ramure*Pc/MaxiM</f>
        <v>5.0994082229598483E-5</v>
      </c>
      <c r="AE277" s="304">
        <f t="shared" si="117"/>
        <v>0.6</v>
      </c>
      <c r="AF277" s="177">
        <f t="shared" si="118"/>
        <v>0.49181753308081433</v>
      </c>
      <c r="AG277" s="799">
        <f t="shared" si="124"/>
        <v>3</v>
      </c>
      <c r="AH277" s="176">
        <f t="shared" si="119"/>
        <v>9</v>
      </c>
      <c r="AI277" s="224">
        <f t="shared" si="120"/>
        <v>3.4918175330808143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47016</v>
      </c>
      <c r="B278" s="409">
        <f>IF(t&gt;Tmaj,'2027'!Wh/'2027'!Env_an*'2028'!Env_an,0.001*'[11]mon-tableau (3)'!$B$255)</f>
        <v>46.344830000988097</v>
      </c>
      <c r="C278" s="829"/>
      <c r="D278" s="391">
        <f t="shared" si="102"/>
        <v>49.57915020554551</v>
      </c>
      <c r="E278" s="383">
        <f t="shared" si="100"/>
        <v>50.92049136397241</v>
      </c>
      <c r="F278" s="383">
        <f t="shared" si="103"/>
        <v>50.921191873462099</v>
      </c>
      <c r="G278" s="110">
        <f t="shared" si="101"/>
        <v>1.0124615605457437</v>
      </c>
      <c r="H278" s="412" t="b">
        <f>Wh_hp&gt;='2027'!Maxi_hp</f>
        <v>1</v>
      </c>
      <c r="I278" s="388">
        <f>IF(H278,Wh_hp,'2027'!Maxi_hp)</f>
        <v>50.921191873462099</v>
      </c>
      <c r="J278" s="85">
        <f>IF(H278,An,'2027'!An_max)</f>
        <v>2028</v>
      </c>
      <c r="K278" s="197">
        <f t="shared" si="104"/>
        <v>47016</v>
      </c>
      <c r="L278" s="147">
        <f>IF(t&lt;Tvie,1-EXP((T0-t)*PertePVj)+'2027'!Pspv,1-EXP((T0-t)*PertePVj)+Pspv)</f>
        <v>6.5235490950299679E-2</v>
      </c>
      <c r="M278" s="832"/>
      <c r="N278" s="832"/>
      <c r="O278" s="48">
        <f>IF(t&lt;Tnet,'2027'!Resal+('2027'!Salim-'2027'!Resal)*(1-EXP(('2027'!Tnet-t)/('2027'!Tau_j))),Resal+(Salim-Resal)*(1-EXP((Tnet-t)/(Tau_j))))*Salcycl</f>
        <v>2.6341873821271448E-2</v>
      </c>
      <c r="P278" s="169">
        <f>(INDEX(Models!$BJ278:$BT278,,T278)*(1-R278)+INDEX(Models!$BJ278:$BT278,,T278+1)*R278-ERP_i)*Q278*Ramure*Pc/MaxiM</f>
        <v>1.3756737890776708E-5</v>
      </c>
      <c r="Q278" s="304">
        <f t="shared" si="105"/>
        <v>0.6</v>
      </c>
      <c r="R278" s="177">
        <f t="shared" si="106"/>
        <v>0.96712602827942329</v>
      </c>
      <c r="S278" s="799">
        <f t="shared" si="107"/>
        <v>-1</v>
      </c>
      <c r="T278" s="176">
        <f t="shared" si="108"/>
        <v>5</v>
      </c>
      <c r="U278" s="250">
        <f t="shared" si="109"/>
        <v>-3.2873971720576711E-2</v>
      </c>
      <c r="V278" s="382">
        <f t="shared" si="110"/>
        <v>45.774409426474428</v>
      </c>
      <c r="W278" s="400">
        <f t="shared" si="111"/>
        <v>46.344830000988097</v>
      </c>
      <c r="X278" s="157">
        <f t="shared" si="112"/>
        <v>47016</v>
      </c>
      <c r="Y278" s="383">
        <f t="shared" si="113"/>
        <v>44.790115947564509</v>
      </c>
      <c r="Z278" s="383">
        <f t="shared" si="114"/>
        <v>47.91593552594226</v>
      </c>
      <c r="AA278" s="384">
        <f t="shared" si="115"/>
        <v>50.918472567933073</v>
      </c>
      <c r="AB278" s="197">
        <f t="shared" si="116"/>
        <v>47016</v>
      </c>
      <c r="AC278" s="119">
        <f>IF(OR(t&lt;Tnet,NoTnet),'2027'!Resal_s+('2027'!Salim-'2027'!Resal_s)*(1-EXP(('2027'!Tnet_s-t)/'2027'!Tau_j)),Resal_s+(Salim-Resal_s)*(1-EXP((Tnet_s-t)/Tau_j)))*Salcycl</f>
        <v>5.8967539491389186E-2</v>
      </c>
      <c r="AD278" s="230">
        <f>(INDEX(Models!$BJ278:$BT278,,AH278)*(1-AF278)+INDEX(Models!$BJ278:$BT278,,AH278+1)*AF278-ERP_i)*AE278*Ramure*Pc/MaxiM</f>
        <v>5.3402236455559554E-5</v>
      </c>
      <c r="AE278" s="304">
        <f t="shared" si="117"/>
        <v>0.6</v>
      </c>
      <c r="AF278" s="177">
        <f t="shared" si="118"/>
        <v>0.49211359465340188</v>
      </c>
      <c r="AG278" s="799">
        <f t="shared" si="124"/>
        <v>3</v>
      </c>
      <c r="AH278" s="176">
        <f t="shared" si="119"/>
        <v>9</v>
      </c>
      <c r="AI278" s="224">
        <f t="shared" si="120"/>
        <v>3.4921135946534019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47017</v>
      </c>
      <c r="B279" s="409">
        <f>IF(t&gt;Tmaj,'2027'!Wh/'2027'!Env_an*'2028'!Env_an,0.001*'[11]mon-tableau (3)'!$B$256)</f>
        <v>45.077923591239887</v>
      </c>
      <c r="C279" s="829"/>
      <c r="D279" s="391">
        <f t="shared" si="102"/>
        <v>48.224752950608355</v>
      </c>
      <c r="E279" s="383">
        <f t="shared" si="100"/>
        <v>49.534649266628904</v>
      </c>
      <c r="F279" s="383">
        <f t="shared" si="103"/>
        <v>49.535359674588008</v>
      </c>
      <c r="G279" s="110">
        <f t="shared" si="101"/>
        <v>0.98969177657449037</v>
      </c>
      <c r="H279" s="412" t="b">
        <f>Wh_hp&gt;='2027'!Maxi_hp</f>
        <v>0</v>
      </c>
      <c r="I279" s="388">
        <f>IF(H279,Wh_hp,'2027'!Maxi_hp)</f>
        <v>49.535367531214938</v>
      </c>
      <c r="J279" s="85">
        <f>IF(H279,An,'2027'!An_max)</f>
        <v>2026</v>
      </c>
      <c r="K279" s="197">
        <f t="shared" si="104"/>
        <v>47017</v>
      </c>
      <c r="L279" s="147">
        <f>IF(t&lt;Tvie,1-EXP((T0-t)*PertePVj)+'2027'!Pspv,1-EXP((T0-t)*PertePVj)+Pspv)</f>
        <v>6.5253405498861605E-2</v>
      </c>
      <c r="M279" s="832"/>
      <c r="N279" s="832"/>
      <c r="O279" s="48">
        <f>IF(t&lt;Tnet,'2027'!Resal+('2027'!Salim-'2027'!Resal)*(1-EXP(('2027'!Tnet-t)/('2027'!Tau_j))),Resal+(Salim-Resal)*(1-EXP((Tnet-t)/(Tau_j))))*Salcycl</f>
        <v>2.6444041401601566E-2</v>
      </c>
      <c r="P279" s="169">
        <f>(INDEX(Models!$BJ279:$BT279,,T279)*(1-R279)+INDEX(Models!$BJ279:$BT279,,T279+1)*R279-ERP_i)*Q279*Ramure*Pc/MaxiM</f>
        <v>1.4555775758194133E-5</v>
      </c>
      <c r="Q279" s="304">
        <f t="shared" si="105"/>
        <v>0.6</v>
      </c>
      <c r="R279" s="177">
        <f t="shared" si="106"/>
        <v>0.96741050387423344</v>
      </c>
      <c r="S279" s="799">
        <f t="shared" si="107"/>
        <v>-1</v>
      </c>
      <c r="T279" s="176">
        <f t="shared" si="108"/>
        <v>5</v>
      </c>
      <c r="U279" s="250">
        <f t="shared" si="109"/>
        <v>-3.2589496125766559E-2</v>
      </c>
      <c r="V279" s="382">
        <f t="shared" si="110"/>
        <v>45.547426982694184</v>
      </c>
      <c r="W279" s="400">
        <f t="shared" si="111"/>
        <v>45.077923591239887</v>
      </c>
      <c r="X279" s="157">
        <f t="shared" si="112"/>
        <v>47017</v>
      </c>
      <c r="Y279" s="383">
        <f t="shared" si="113"/>
        <v>43.567617030281809</v>
      </c>
      <c r="Z279" s="383">
        <f t="shared" si="114"/>
        <v>46.609013915191909</v>
      </c>
      <c r="AA279" s="384">
        <f t="shared" si="115"/>
        <v>49.532631638751127</v>
      </c>
      <c r="AB279" s="197">
        <f t="shared" si="116"/>
        <v>47017</v>
      </c>
      <c r="AC279" s="119">
        <f>IF(OR(t&lt;Tnet,NoTnet),'2027'!Resal_s+('2027'!Salim-'2027'!Resal_s)*(1-EXP(('2027'!Tnet_s-t)/'2027'!Tau_j)),Resal_s+(Salim-Resal_s)*(1-EXP((Tnet_s-t)/Tau_j)))*Salcycl</f>
        <v>5.9024074167542753E-2</v>
      </c>
      <c r="AD279" s="230">
        <f>(INDEX(Models!$BJ279:$BT279,,AH279)*(1-AF279)+INDEX(Models!$BJ279:$BT279,,AH279+1)*AF279-ERP_i)*AE279*Ramure*Pc/MaxiM</f>
        <v>5.5895598286938071E-5</v>
      </c>
      <c r="AE279" s="304">
        <f t="shared" si="117"/>
        <v>0.6</v>
      </c>
      <c r="AF279" s="177">
        <f t="shared" si="118"/>
        <v>0.49239807024821181</v>
      </c>
      <c r="AG279" s="799">
        <f t="shared" si="124"/>
        <v>3</v>
      </c>
      <c r="AH279" s="176">
        <f t="shared" si="119"/>
        <v>9</v>
      </c>
      <c r="AI279" s="224">
        <f t="shared" si="120"/>
        <v>3.4923980702482118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47018</v>
      </c>
      <c r="B280" s="409">
        <f>IF(t&gt;Tmaj,'2027'!Wh/'2027'!Env_an*'2028'!Env_an,0.001*'[11]mon-tableau (3)'!$B$257)</f>
        <v>31.905965510521622</v>
      </c>
      <c r="C280" s="829"/>
      <c r="D280" s="391">
        <f t="shared" si="102"/>
        <v>34.13393231972001</v>
      </c>
      <c r="E280" s="383">
        <f t="shared" si="100"/>
        <v>35.064752356505693</v>
      </c>
      <c r="F280" s="383">
        <f t="shared" si="103"/>
        <v>35.065064246369836</v>
      </c>
      <c r="G280" s="110">
        <f t="shared" si="101"/>
        <v>0.70406590335423447</v>
      </c>
      <c r="H280" s="412" t="b">
        <f>Wh_hp&gt;='2027'!Maxi_hp</f>
        <v>0</v>
      </c>
      <c r="I280" s="388">
        <f>IF(H280,Wh_hp,'2027'!Maxi_hp)</f>
        <v>43.314137814675796</v>
      </c>
      <c r="J280" s="85">
        <f>IF(H280,An,'2027'!An_max)</f>
        <v>2021</v>
      </c>
      <c r="K280" s="197">
        <f t="shared" si="104"/>
        <v>47018</v>
      </c>
      <c r="L280" s="147">
        <f>IF(t&lt;Tvie,1-EXP((T0-t)*PertePVj)+'2027'!Pspv,1-EXP((T0-t)*PertePVj)+Pspv)</f>
        <v>6.5271319704095165E-2</v>
      </c>
      <c r="M280" s="832"/>
      <c r="N280" s="832"/>
      <c r="O280" s="48">
        <f>IF(t&lt;Tnet,'2027'!Resal+('2027'!Salim-'2027'!Resal)*(1-EXP(('2027'!Tnet-t)/('2027'!Tau_j))),Resal+(Salim-Resal)*(1-EXP((Tnet-t)/(Tau_j))))*Salcycl</f>
        <v>2.654574677505124E-2</v>
      </c>
      <c r="P280" s="169">
        <f>(INDEX(Models!$BJ280:$BT280,,T280)*(1-R280)+INDEX(Models!$BJ280:$BT280,,T280+1)*R280-ERP_i)*Q280*Ramure*Pc/MaxiM</f>
        <v>1.5408754228571754E-5</v>
      </c>
      <c r="Q280" s="304">
        <f t="shared" si="105"/>
        <v>0.6</v>
      </c>
      <c r="R280" s="177">
        <f t="shared" si="106"/>
        <v>0.96768383412979864</v>
      </c>
      <c r="S280" s="799">
        <f t="shared" si="107"/>
        <v>-1</v>
      </c>
      <c r="T280" s="176">
        <f t="shared" si="108"/>
        <v>5</v>
      </c>
      <c r="U280" s="250">
        <f t="shared" si="109"/>
        <v>-3.2316165870201308E-2</v>
      </c>
      <c r="V280" s="382">
        <f t="shared" si="110"/>
        <v>45.316436311461182</v>
      </c>
      <c r="W280" s="400">
        <f t="shared" si="111"/>
        <v>31.905965510521622</v>
      </c>
      <c r="X280" s="157">
        <f t="shared" si="112"/>
        <v>47018</v>
      </c>
      <c r="Y280" s="383">
        <f t="shared" si="113"/>
        <v>30.838859681382143</v>
      </c>
      <c r="Z280" s="383">
        <f t="shared" si="114"/>
        <v>32.992311385609305</v>
      </c>
      <c r="AA280" s="384">
        <f t="shared" si="115"/>
        <v>35.063880654149848</v>
      </c>
      <c r="AB280" s="197">
        <f t="shared" si="116"/>
        <v>47018</v>
      </c>
      <c r="AC280" s="119">
        <f>IF(OR(t&lt;Tnet,NoTnet),'2027'!Resal_s+('2027'!Salim-'2027'!Resal_s)*(1-EXP(('2027'!Tnet_s-t)/'2027'!Tau_j)),Resal_s+(Salim-Resal_s)*(1-EXP((Tnet_s-t)/Tau_j)))*Salcycl</f>
        <v>5.907986309254587E-2</v>
      </c>
      <c r="AD280" s="230">
        <f>(INDEX(Models!$BJ280:$BT280,,AH280)*(1-AF280)+INDEX(Models!$BJ280:$BT280,,AH280+1)*AF280-ERP_i)*AE280*Ramure*Pc/MaxiM</f>
        <v>5.8474749331371295E-5</v>
      </c>
      <c r="AE280" s="304">
        <f t="shared" si="117"/>
        <v>0.6</v>
      </c>
      <c r="AF280" s="177">
        <f t="shared" si="118"/>
        <v>0.49267140050377733</v>
      </c>
      <c r="AG280" s="799">
        <f t="shared" si="124"/>
        <v>3</v>
      </c>
      <c r="AH280" s="176">
        <f t="shared" si="119"/>
        <v>9</v>
      </c>
      <c r="AI280" s="224">
        <f t="shared" si="120"/>
        <v>3.4926714005037773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47019</v>
      </c>
      <c r="B281" s="409">
        <f>IF(t&gt;Tmaj,'2027'!Wh/'2027'!Env_an*'2028'!Env_an,0.001*'[11]mon-tableau (3)'!$B$258)</f>
        <v>18.136997505176673</v>
      </c>
      <c r="C281" s="829"/>
      <c r="D281" s="391">
        <f t="shared" si="102"/>
        <v>19.403860698396553</v>
      </c>
      <c r="E281" s="383">
        <f t="shared" si="100"/>
        <v>19.935070068337982</v>
      </c>
      <c r="F281" s="383">
        <f t="shared" si="103"/>
        <v>19.93511761019305</v>
      </c>
      <c r="G281" s="110">
        <f t="shared" si="101"/>
        <v>0.40230981402117899</v>
      </c>
      <c r="H281" s="412" t="b">
        <f>Wh_hp&gt;='2027'!Maxi_hp</f>
        <v>0</v>
      </c>
      <c r="I281" s="388">
        <f>IF(H281,Wh_hp,'2027'!Maxi_hp)</f>
        <v>43.384541721518524</v>
      </c>
      <c r="J281" s="85">
        <f>IF(H281,An,'2027'!An_max)</f>
        <v>2021</v>
      </c>
      <c r="K281" s="197">
        <f t="shared" si="104"/>
        <v>47019</v>
      </c>
      <c r="L281" s="147">
        <f>IF(t&lt;Tvie,1-EXP((T0-t)*PertePVj)+'2027'!Pspv,1-EXP((T0-t)*PertePVj)+Pspv)</f>
        <v>6.5289233566007243E-2</v>
      </c>
      <c r="M281" s="832"/>
      <c r="N281" s="832"/>
      <c r="O281" s="48">
        <f>IF(t&lt;Tnet,'2027'!Resal+('2027'!Salim-'2027'!Resal)*(1-EXP(('2027'!Tnet-t)/('2027'!Tau_j))),Resal+(Salim-Resal)*(1-EXP((Tnet-t)/(Tau_j))))*Salcycl</f>
        <v>2.664697781951253E-2</v>
      </c>
      <c r="P281" s="169">
        <f>(INDEX(Models!$BJ281:$BT281,,T281)*(1-R281)+INDEX(Models!$BJ281:$BT281,,T281+1)*R281-ERP_i)*Q281*Ramure*Pc/MaxiM</f>
        <v>1.631602174501479E-5</v>
      </c>
      <c r="Q281" s="304">
        <f t="shared" si="105"/>
        <v>0.6</v>
      </c>
      <c r="R281" s="177">
        <f t="shared" si="106"/>
        <v>0.96794644392193474</v>
      </c>
      <c r="S281" s="799">
        <f t="shared" si="107"/>
        <v>-1</v>
      </c>
      <c r="T281" s="176">
        <f t="shared" si="108"/>
        <v>5</v>
      </c>
      <c r="U281" s="250">
        <f t="shared" si="109"/>
        <v>-3.205355607806526E-2</v>
      </c>
      <c r="V281" s="382">
        <f t="shared" si="110"/>
        <v>45.081537169806552</v>
      </c>
      <c r="W281" s="400">
        <f t="shared" si="111"/>
        <v>18.136997505176673</v>
      </c>
      <c r="X281" s="157">
        <f t="shared" si="112"/>
        <v>47019</v>
      </c>
      <c r="Y281" s="383">
        <f t="shared" si="113"/>
        <v>17.531518435681743</v>
      </c>
      <c r="Z281" s="383">
        <f t="shared" si="114"/>
        <v>18.756089118953977</v>
      </c>
      <c r="AA281" s="384">
        <f t="shared" si="115"/>
        <v>19.934939459261209</v>
      </c>
      <c r="AB281" s="197">
        <f t="shared" si="116"/>
        <v>47019</v>
      </c>
      <c r="AC281" s="119">
        <f>IF(OR(t&lt;Tnet,NoTnet),'2027'!Resal_s+('2027'!Salim-'2027'!Resal_s)*(1-EXP(('2027'!Tnet_s-t)/'2027'!Tau_j)),Resal_s+(Salim-Resal_s)*(1-EXP((Tnet_s-t)/Tau_j)))*Salcycl</f>
        <v>5.9134884393118654E-2</v>
      </c>
      <c r="AD281" s="230">
        <f>(INDEX(Models!$BJ281:$BT281,,AH281)*(1-AF281)+INDEX(Models!$BJ281:$BT281,,AH281+1)*AF281-ERP_i)*AE281*Ramure*Pc/MaxiM</f>
        <v>6.1140114826753196E-5</v>
      </c>
      <c r="AE281" s="304">
        <f t="shared" si="117"/>
        <v>0.6</v>
      </c>
      <c r="AF281" s="177">
        <f t="shared" si="118"/>
        <v>0.49293401029591344</v>
      </c>
      <c r="AG281" s="799">
        <f t="shared" si="124"/>
        <v>3</v>
      </c>
      <c r="AH281" s="176">
        <f t="shared" si="119"/>
        <v>9</v>
      </c>
      <c r="AI281" s="224">
        <f t="shared" si="120"/>
        <v>3.4929340102959134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47020</v>
      </c>
      <c r="B282" s="409">
        <f>IF(t&gt;Tmaj,'2027'!Wh/'2027'!Env_an*'2028'!Env_an,0.001*'[11]mon-tableau (3)'!$B$259)</f>
        <v>35.451879515319391</v>
      </c>
      <c r="C282" s="829"/>
      <c r="D282" s="391">
        <f t="shared" si="102"/>
        <v>37.928908309014673</v>
      </c>
      <c r="E282" s="383">
        <f t="shared" si="100"/>
        <v>38.971301872529004</v>
      </c>
      <c r="F282" s="383">
        <f t="shared" si="103"/>
        <v>38.971772396035689</v>
      </c>
      <c r="G282" s="110">
        <f t="shared" si="101"/>
        <v>0.79057667856942715</v>
      </c>
      <c r="H282" s="412" t="b">
        <f>Wh_hp&gt;='2027'!Maxi_hp</f>
        <v>0</v>
      </c>
      <c r="I282" s="388">
        <f>IF(H282,Wh_hp,'2027'!Maxi_hp)</f>
        <v>38.971920850327507</v>
      </c>
      <c r="J282" s="85">
        <f>IF(H282,An,'2027'!An_max)</f>
        <v>2026</v>
      </c>
      <c r="K282" s="197">
        <f t="shared" si="104"/>
        <v>47020</v>
      </c>
      <c r="L282" s="147">
        <f>IF(t&lt;Tvie,1-EXP((T0-t)*PertePVj)+'2027'!Pspv,1-EXP((T0-t)*PertePVj)+Pspv)</f>
        <v>6.5307147084604056E-2</v>
      </c>
      <c r="M282" s="832"/>
      <c r="N282" s="832"/>
      <c r="O282" s="48">
        <f>IF(t&lt;Tnet,'2027'!Resal+('2027'!Salim-'2027'!Resal)*(1-EXP(('2027'!Tnet-t)/('2027'!Tau_j))),Resal+(Salim-Resal)*(1-EXP((Tnet-t)/(Tau_j))))*Salcycl</f>
        <v>2.6747722386177699E-2</v>
      </c>
      <c r="P282" s="169">
        <f>(INDEX(Models!$BJ282:$BT282,,T282)*(1-R282)+INDEX(Models!$BJ282:$BT282,,T282+1)*R282-ERP_i)*Q282*Ramure*Pc/MaxiM</f>
        <v>1.7227358913821135E-5</v>
      </c>
      <c r="Q282" s="304">
        <f t="shared" si="105"/>
        <v>0.6</v>
      </c>
      <c r="R282" s="177">
        <f t="shared" si="106"/>
        <v>0.96819874284915297</v>
      </c>
      <c r="S282" s="799">
        <f t="shared" si="107"/>
        <v>-1</v>
      </c>
      <c r="T282" s="176">
        <f t="shared" si="108"/>
        <v>5</v>
      </c>
      <c r="U282" s="250">
        <f t="shared" si="109"/>
        <v>-3.1801257150846973E-2</v>
      </c>
      <c r="V282" s="382">
        <f t="shared" si="110"/>
        <v>44.842831515456865</v>
      </c>
      <c r="W282" s="400">
        <f t="shared" si="111"/>
        <v>35.451879515319391</v>
      </c>
      <c r="X282" s="157">
        <f t="shared" si="112"/>
        <v>47020</v>
      </c>
      <c r="Y282" s="383">
        <f t="shared" si="113"/>
        <v>34.269042979694113</v>
      </c>
      <c r="Z282" s="383">
        <f t="shared" si="114"/>
        <v>36.663426785393412</v>
      </c>
      <c r="AA282" s="384">
        <f t="shared" si="115"/>
        <v>38.970028326173654</v>
      </c>
      <c r="AB282" s="197">
        <f t="shared" si="116"/>
        <v>47020</v>
      </c>
      <c r="AC282" s="119">
        <f>IF(OR(t&lt;Tnet,NoTnet),'2027'!Resal_s+('2027'!Salim-'2027'!Resal_s)*(1-EXP(('2027'!Tnet_s-t)/'2027'!Tau_j)),Resal_s+(Salim-Resal_s)*(1-EXP((Tnet_s-t)/Tau_j)))*Salcycl</f>
        <v>5.9189116350501683E-2</v>
      </c>
      <c r="AD282" s="230">
        <f>(INDEX(Models!$BJ282:$BT282,,AH282)*(1-AF282)+INDEX(Models!$BJ282:$BT282,,AH282+1)*AF282-ERP_i)*AE282*Ramure*Pc/MaxiM</f>
        <v>6.3855932928132646E-5</v>
      </c>
      <c r="AE282" s="304">
        <f t="shared" si="117"/>
        <v>0.6</v>
      </c>
      <c r="AF282" s="177">
        <f t="shared" si="118"/>
        <v>0.49318630922313167</v>
      </c>
      <c r="AG282" s="799">
        <f t="shared" si="124"/>
        <v>3</v>
      </c>
      <c r="AH282" s="176">
        <f t="shared" si="119"/>
        <v>9</v>
      </c>
      <c r="AI282" s="224">
        <f t="shared" si="120"/>
        <v>3.4931863092231317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47021</v>
      </c>
      <c r="B283" s="409">
        <f>IF(t&gt;Tmaj,'2027'!Wh/'2027'!Env_an*'2028'!Env_an,0.001*'[11]mon-tableau (3)'!$B$260)</f>
        <v>35.316315139907147</v>
      </c>
      <c r="C283" s="829"/>
      <c r="D283" s="391">
        <f t="shared" si="102"/>
        <v>37.784596161021582</v>
      </c>
      <c r="E283" s="383">
        <f t="shared" si="100"/>
        <v>38.827022841851914</v>
      </c>
      <c r="F283" s="383">
        <f t="shared" si="103"/>
        <v>38.827517305743982</v>
      </c>
      <c r="G283" s="110">
        <f t="shared" si="101"/>
        <v>0.79183391074802767</v>
      </c>
      <c r="H283" s="412" t="b">
        <f>Wh_hp&gt;='2027'!Maxi_hp</f>
        <v>0</v>
      </c>
      <c r="I283" s="388">
        <f>IF(H283,Wh_hp,'2027'!Maxi_hp)</f>
        <v>41.572893006475333</v>
      </c>
      <c r="J283" s="85">
        <f>IF(H283,An,'2027'!An_max)</f>
        <v>2021</v>
      </c>
      <c r="K283" s="197">
        <f t="shared" si="104"/>
        <v>47021</v>
      </c>
      <c r="L283" s="147">
        <f>IF(t&lt;Tvie,1-EXP((T0-t)*PertePVj)+'2027'!Pspv,1-EXP((T0-t)*PertePVj)+Pspv)</f>
        <v>6.5325060259892487E-2</v>
      </c>
      <c r="M283" s="832"/>
      <c r="N283" s="832"/>
      <c r="O283" s="48">
        <f>IF(t&lt;Tnet,'2027'!Resal+('2027'!Salim-'2027'!Resal)*(1-EXP(('2027'!Tnet-t)/('2027'!Tau_j))),Resal+(Salim-Resal)*(1-EXP((Tnet-t)/(Tau_j))))*Salcycl</f>
        <v>2.6847968361527089E-2</v>
      </c>
      <c r="P283" s="169">
        <f>(INDEX(Models!$BJ283:$BT283,,T283)*(1-R283)+INDEX(Models!$BJ283:$BT283,,T283+1)*R283-ERP_i)*Q283*Ramure*Pc/MaxiM</f>
        <v>1.8124697355179198E-5</v>
      </c>
      <c r="Q283" s="304">
        <f t="shared" si="105"/>
        <v>0.6</v>
      </c>
      <c r="R283" s="177">
        <f t="shared" si="106"/>
        <v>0.96844112570953089</v>
      </c>
      <c r="S283" s="799">
        <f t="shared" si="107"/>
        <v>-1</v>
      </c>
      <c r="T283" s="176">
        <f t="shared" si="108"/>
        <v>5</v>
      </c>
      <c r="U283" s="250">
        <f t="shared" si="109"/>
        <v>-3.1558874290469052E-2</v>
      </c>
      <c r="V283" s="382">
        <f t="shared" si="110"/>
        <v>44.600419746787821</v>
      </c>
      <c r="W283" s="400">
        <f t="shared" si="111"/>
        <v>35.316315139907147</v>
      </c>
      <c r="X283" s="157">
        <f t="shared" si="112"/>
        <v>47021</v>
      </c>
      <c r="Y283" s="383">
        <f t="shared" si="113"/>
        <v>34.13953252871891</v>
      </c>
      <c r="Z283" s="383">
        <f t="shared" si="114"/>
        <v>36.525567421559018</v>
      </c>
      <c r="AA283" s="384">
        <f t="shared" si="115"/>
        <v>38.825700436945517</v>
      </c>
      <c r="AB283" s="197">
        <f t="shared" si="116"/>
        <v>47021</v>
      </c>
      <c r="AC283" s="119">
        <f>IF(OR(t&lt;Tnet,NoTnet),'2027'!Resal_s+('2027'!Salim-'2027'!Resal_s)*(1-EXP(('2027'!Tnet_s-t)/'2027'!Tau_j)),Resal_s+(Salim-Resal_s)*(1-EXP((Tnet_s-t)/Tau_j)))*Salcycl</f>
        <v>5.9242537533147822E-2</v>
      </c>
      <c r="AD283" s="230">
        <f>(INDEX(Models!$BJ283:$BT283,,AH283)*(1-AF283)+INDEX(Models!$BJ283:$BT283,,AH283+1)*AF283-ERP_i)*AE283*Ramure*Pc/MaxiM</f>
        <v>6.6597779200025371E-5</v>
      </c>
      <c r="AE283" s="304">
        <f t="shared" si="117"/>
        <v>0.6</v>
      </c>
      <c r="AF283" s="177">
        <f t="shared" si="118"/>
        <v>0.49342869208350937</v>
      </c>
      <c r="AG283" s="799">
        <f t="shared" si="124"/>
        <v>3</v>
      </c>
      <c r="AH283" s="176">
        <f t="shared" si="119"/>
        <v>9</v>
      </c>
      <c r="AI283" s="224">
        <f t="shared" si="120"/>
        <v>3.4934286920835094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47022</v>
      </c>
      <c r="B284" s="409">
        <f>IF(t&gt;Tmaj,'2027'!Wh/'2027'!Env_an*'2028'!Env_an,0.001*'[11]mon-tableau (3)'!$B$261)</f>
        <v>16.852900736083434</v>
      </c>
      <c r="C284" s="829"/>
      <c r="D284" s="391">
        <f t="shared" si="102"/>
        <v>18.031106866904359</v>
      </c>
      <c r="E284" s="383">
        <f t="shared" si="100"/>
        <v>18.530460218942778</v>
      </c>
      <c r="F284" s="383">
        <f t="shared" si="103"/>
        <v>18.53050045290929</v>
      </c>
      <c r="G284" s="110">
        <f t="shared" si="101"/>
        <v>0.37995365657480917</v>
      </c>
      <c r="H284" s="412" t="b">
        <f>Wh_hp&gt;='2027'!Maxi_hp</f>
        <v>0</v>
      </c>
      <c r="I284" s="388">
        <f>IF(H284,Wh_hp,'2027'!Maxi_hp)</f>
        <v>41.366659117573256</v>
      </c>
      <c r="J284" s="85">
        <f>IF(H284,An,'2027'!An_max)</f>
        <v>2018</v>
      </c>
      <c r="K284" s="197">
        <f t="shared" si="104"/>
        <v>47022</v>
      </c>
      <c r="L284" s="147">
        <f>IF(t&lt;Tvie,1-EXP((T0-t)*PertePVj)+'2027'!Pspv,1-EXP((T0-t)*PertePVj)+Pspv)</f>
        <v>6.5342973091878975E-2</v>
      </c>
      <c r="M284" s="832"/>
      <c r="N284" s="832"/>
      <c r="O284" s="48">
        <f>IF(t&lt;Tnet,'2027'!Resal+('2027'!Salim-'2027'!Resal)*(1-EXP(('2027'!Tnet-t)/('2027'!Tau_j))),Resal+(Salim-Resal)*(1-EXP((Tnet-t)/(Tau_j))))*Salcycl</f>
        <v>2.6947703734198448E-2</v>
      </c>
      <c r="P284" s="169">
        <f>(INDEX(Models!$BJ284:$BT284,,T284)*(1-R284)+INDEX(Models!$BJ284:$BT284,,T284+1)*R284-ERP_i)*Q284*Ramure*Pc/MaxiM</f>
        <v>1.9007747931926028E-5</v>
      </c>
      <c r="Q284" s="304">
        <f t="shared" si="105"/>
        <v>0.6</v>
      </c>
      <c r="R284" s="177">
        <f t="shared" si="106"/>
        <v>0.96867397296860025</v>
      </c>
      <c r="S284" s="799">
        <f t="shared" si="107"/>
        <v>-1</v>
      </c>
      <c r="T284" s="176">
        <f t="shared" si="108"/>
        <v>5</v>
      </c>
      <c r="U284" s="250">
        <f t="shared" si="109"/>
        <v>-3.1326027031399806E-2</v>
      </c>
      <c r="V284" s="382">
        <f t="shared" si="110"/>
        <v>44.354401384667</v>
      </c>
      <c r="W284" s="400">
        <f t="shared" si="111"/>
        <v>16.852900736083434</v>
      </c>
      <c r="X284" s="157">
        <f t="shared" si="112"/>
        <v>47022</v>
      </c>
      <c r="Y284" s="383">
        <f t="shared" si="113"/>
        <v>16.292561781125727</v>
      </c>
      <c r="Z284" s="383">
        <f t="shared" si="114"/>
        <v>17.431593955937085</v>
      </c>
      <c r="AA284" s="384">
        <f t="shared" si="115"/>
        <v>18.530353626420911</v>
      </c>
      <c r="AB284" s="197">
        <f t="shared" si="116"/>
        <v>47022</v>
      </c>
      <c r="AC284" s="119">
        <f>IF(OR(t&lt;Tnet,NoTnet),'2027'!Resal_s+('2027'!Salim-'2027'!Resal_s)*(1-EXP(('2027'!Tnet_s-t)/'2027'!Tau_j)),Resal_s+(Salim-Resal_s)*(1-EXP((Tnet_s-t)/Tau_j)))*Salcycl</f>
        <v>5.9295126937955252E-2</v>
      </c>
      <c r="AD284" s="230">
        <f>(INDEX(Models!$BJ284:$BT284,,AH284)*(1-AF284)+INDEX(Models!$BJ284:$BT284,,AH284+1)*AF284-ERP_i)*AE284*Ramure*Pc/MaxiM</f>
        <v>6.9365293132343998E-5</v>
      </c>
      <c r="AE284" s="304">
        <f t="shared" si="117"/>
        <v>0.6</v>
      </c>
      <c r="AF284" s="177">
        <f t="shared" si="118"/>
        <v>0.4936615393425785</v>
      </c>
      <c r="AG284" s="799">
        <f t="shared" si="124"/>
        <v>3</v>
      </c>
      <c r="AH284" s="176">
        <f t="shared" si="119"/>
        <v>9</v>
      </c>
      <c r="AI284" s="224">
        <f t="shared" si="120"/>
        <v>3.4936615393425785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47023</v>
      </c>
      <c r="B285" s="409">
        <f>IF(t&gt;Tmaj,'2027'!Wh/'2027'!Env_an*'2028'!Env_an,0.001*'[11]mon-tableau (3)'!$B$262)</f>
        <v>19.226346091713395</v>
      </c>
      <c r="C285" s="829"/>
      <c r="D285" s="391">
        <f t="shared" si="102"/>
        <v>20.570876817686187</v>
      </c>
      <c r="E285" s="383">
        <f t="shared" si="100"/>
        <v>21.142722264885982</v>
      </c>
      <c r="F285" s="383">
        <f t="shared" si="103"/>
        <v>21.142803865239681</v>
      </c>
      <c r="G285" s="110">
        <f t="shared" si="101"/>
        <v>0.43591638723486409</v>
      </c>
      <c r="H285" s="412" t="b">
        <f>Wh_hp&gt;='2027'!Maxi_hp</f>
        <v>0</v>
      </c>
      <c r="I285" s="388">
        <f>IF(H285,Wh_hp,'2027'!Maxi_hp)</f>
        <v>36.836006686533622</v>
      </c>
      <c r="J285" s="85">
        <f>IF(H285,An,'2027'!An_max)</f>
        <v>2018</v>
      </c>
      <c r="K285" s="197">
        <f t="shared" si="104"/>
        <v>47023</v>
      </c>
      <c r="L285" s="147">
        <f>IF(t&lt;Tvie,1-EXP((T0-t)*PertePVj)+'2027'!Pspv,1-EXP((T0-t)*PertePVj)+Pspv)</f>
        <v>6.5360885580570183E-2</v>
      </c>
      <c r="M285" s="832"/>
      <c r="N285" s="832"/>
      <c r="O285" s="48">
        <f>IF(t&lt;Tnet,'2027'!Resal+('2027'!Salim-'2027'!Resal)*(1-EXP(('2027'!Tnet-t)/('2027'!Tau_j))),Resal+(Salim-Resal)*(1-EXP((Tnet-t)/(Tau_j))))*Salcycl</f>
        <v>2.7046916666427716E-2</v>
      </c>
      <c r="P285" s="169">
        <f>(INDEX(Models!$BJ285:$BT285,,T285)*(1-R285)+INDEX(Models!$BJ285:$BT285,,T285+1)*R285-ERP_i)*Q285*Ramure*Pc/MaxiM</f>
        <v>1.9876200489064035E-5</v>
      </c>
      <c r="Q285" s="304">
        <f t="shared" si="105"/>
        <v>0.6</v>
      </c>
      <c r="R285" s="177">
        <f t="shared" si="106"/>
        <v>0.96889765121788685</v>
      </c>
      <c r="S285" s="799">
        <f t="shared" si="107"/>
        <v>-1</v>
      </c>
      <c r="T285" s="176">
        <f t="shared" si="108"/>
        <v>5</v>
      </c>
      <c r="U285" s="250">
        <f t="shared" si="109"/>
        <v>-3.1102348782113154E-2</v>
      </c>
      <c r="V285" s="382">
        <f t="shared" si="110"/>
        <v>44.104875867556153</v>
      </c>
      <c r="W285" s="400">
        <f t="shared" si="111"/>
        <v>19.226346091713395</v>
      </c>
      <c r="X285" s="157">
        <f t="shared" si="112"/>
        <v>47023</v>
      </c>
      <c r="Y285" s="383">
        <f t="shared" si="113"/>
        <v>18.587884093472162</v>
      </c>
      <c r="Z285" s="383">
        <f t="shared" si="114"/>
        <v>19.887766097846661</v>
      </c>
      <c r="AA285" s="384">
        <f t="shared" si="115"/>
        <v>21.14250762545711</v>
      </c>
      <c r="AB285" s="197">
        <f t="shared" si="116"/>
        <v>47023</v>
      </c>
      <c r="AC285" s="119">
        <f>IF(OR(t&lt;Tnet,NoTnet),'2027'!Resal_s+('2027'!Salim-'2027'!Resal_s)*(1-EXP(('2027'!Tnet_s-t)/'2027'!Tau_j)),Resal_s+(Salim-Resal_s)*(1-EXP((Tnet_s-t)/Tau_j)))*Salcycl</f>
        <v>5.9346864139221085E-2</v>
      </c>
      <c r="AD285" s="230">
        <f>(INDEX(Models!$BJ285:$BT285,,AH285)*(1-AF285)+INDEX(Models!$BJ285:$BT285,,AH285+1)*AF285-ERP_i)*AE285*Ramure*Pc/MaxiM</f>
        <v>7.2158036628475653E-5</v>
      </c>
      <c r="AE285" s="304">
        <f t="shared" si="117"/>
        <v>0.6</v>
      </c>
      <c r="AF285" s="177">
        <f t="shared" si="118"/>
        <v>0.4938852175918651</v>
      </c>
      <c r="AG285" s="799">
        <f t="shared" si="124"/>
        <v>3</v>
      </c>
      <c r="AH285" s="176">
        <f t="shared" si="119"/>
        <v>9</v>
      </c>
      <c r="AI285" s="224">
        <f t="shared" si="120"/>
        <v>3.4938852175918651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47024</v>
      </c>
      <c r="B286" s="409">
        <f>IF(t&gt;Tmaj,'2027'!Wh/'2027'!Env_an*'2028'!Env_an,0.001*'[11]mon-tableau (3)'!$B$263)</f>
        <v>23.122183445855676</v>
      </c>
      <c r="C286" s="829"/>
      <c r="D286" s="391">
        <f t="shared" si="102"/>
        <v>24.739630761207938</v>
      </c>
      <c r="E286" s="383">
        <f t="shared" si="100"/>
        <v>25.429941673230232</v>
      </c>
      <c r="F286" s="383">
        <f t="shared" si="103"/>
        <v>25.430112833126849</v>
      </c>
      <c r="G286" s="110">
        <f t="shared" si="101"/>
        <v>0.52727104907789157</v>
      </c>
      <c r="H286" s="412" t="b">
        <f>Wh_hp&gt;='2027'!Maxi_hp</f>
        <v>0</v>
      </c>
      <c r="I286" s="388">
        <f>IF(H286,Wh_hp,'2027'!Maxi_hp)</f>
        <v>46.051965901147405</v>
      </c>
      <c r="J286" s="85">
        <f>IF(H286,An,'2027'!An_max)</f>
        <v>2018</v>
      </c>
      <c r="K286" s="197">
        <f t="shared" si="104"/>
        <v>47024</v>
      </c>
      <c r="L286" s="147">
        <f>IF(t&lt;Tvie,1-EXP((T0-t)*PertePVj)+'2027'!Pspv,1-EXP((T0-t)*PertePVj)+Pspv)</f>
        <v>6.5378797725972548E-2</v>
      </c>
      <c r="M286" s="832"/>
      <c r="N286" s="832"/>
      <c r="O286" s="48">
        <f>IF(t&lt;Tnet,'2027'!Resal+('2027'!Salim-'2027'!Resal)*(1-EXP(('2027'!Tnet-t)/('2027'!Tau_j))),Resal+(Salim-Resal)*(1-EXP((Tnet-t)/(Tau_j))))*Salcycl</f>
        <v>2.7145595569689231E-2</v>
      </c>
      <c r="P286" s="169">
        <f>(INDEX(Models!$BJ286:$BT286,,T286)*(1-R286)+INDEX(Models!$BJ286:$BT286,,T286+1)*R286-ERP_i)*Q286*Ramure*Pc/MaxiM</f>
        <v>2.0729725276676174E-5</v>
      </c>
      <c r="Q286" s="304">
        <f t="shared" si="105"/>
        <v>0.6</v>
      </c>
      <c r="R286" s="177">
        <f t="shared" si="106"/>
        <v>0.96911251362379702</v>
      </c>
      <c r="S286" s="799">
        <f t="shared" si="107"/>
        <v>-1</v>
      </c>
      <c r="T286" s="176">
        <f t="shared" si="108"/>
        <v>5</v>
      </c>
      <c r="U286" s="250">
        <f t="shared" si="109"/>
        <v>-3.0887486376202922E-2</v>
      </c>
      <c r="V286" s="382">
        <f t="shared" si="110"/>
        <v>43.851942551656528</v>
      </c>
      <c r="W286" s="400">
        <f t="shared" si="111"/>
        <v>23.122183445855676</v>
      </c>
      <c r="X286" s="157">
        <f t="shared" si="112"/>
        <v>47024</v>
      </c>
      <c r="Y286" s="383">
        <f t="shared" si="113"/>
        <v>22.355241537632679</v>
      </c>
      <c r="Z286" s="383">
        <f t="shared" si="114"/>
        <v>23.919039588701953</v>
      </c>
      <c r="AA286" s="384">
        <f t="shared" si="115"/>
        <v>25.429493780163664</v>
      </c>
      <c r="AB286" s="197">
        <f t="shared" si="116"/>
        <v>47024</v>
      </c>
      <c r="AC286" s="119">
        <f>IF(OR(t&lt;Tnet,NoTnet),'2027'!Resal_s+('2027'!Salim-'2027'!Resal_s)*(1-EXP(('2027'!Tnet_s-t)/'2027'!Tau_j)),Resal_s+(Salim-Resal_s)*(1-EXP((Tnet_s-t)/Tau_j)))*Salcycl</f>
        <v>5.9397729444380293E-2</v>
      </c>
      <c r="AD286" s="230">
        <f>(INDEX(Models!$BJ286:$BT286,,AH286)*(1-AF286)+INDEX(Models!$BJ286:$BT286,,AH286+1)*AF286-ERP_i)*AE286*Ramure*Pc/MaxiM</f>
        <v>7.497549433186462E-5</v>
      </c>
      <c r="AE286" s="304">
        <f t="shared" si="117"/>
        <v>0.6</v>
      </c>
      <c r="AF286" s="177">
        <f t="shared" si="118"/>
        <v>0.4941000799977755</v>
      </c>
      <c r="AG286" s="799">
        <f t="shared" si="124"/>
        <v>3</v>
      </c>
      <c r="AH286" s="176">
        <f t="shared" si="119"/>
        <v>9</v>
      </c>
      <c r="AI286" s="224">
        <f t="shared" si="120"/>
        <v>3.4941000799977755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47025</v>
      </c>
      <c r="B287" s="409">
        <f>IF(t&gt;Tmaj,'2027'!Wh/'2027'!Env_an*'2028'!Env_an,0.001*'[11]mon-tableau (3)'!$B$264)</f>
        <v>25.550583241701521</v>
      </c>
      <c r="C287" s="829"/>
      <c r="D287" s="391">
        <f t="shared" si="102"/>
        <v>27.338426369973856</v>
      </c>
      <c r="E287" s="383">
        <f t="shared" si="100"/>
        <v>28.104086491309705</v>
      </c>
      <c r="F287" s="383">
        <f t="shared" si="103"/>
        <v>28.104334217909823</v>
      </c>
      <c r="G287" s="110">
        <f t="shared" si="101"/>
        <v>0.58607286879582132</v>
      </c>
      <c r="H287" s="412" t="b">
        <f>Wh_hp&gt;='2027'!Maxi_hp</f>
        <v>0</v>
      </c>
      <c r="I287" s="388">
        <f>IF(H287,Wh_hp,'2027'!Maxi_hp)</f>
        <v>37.058781916389229</v>
      </c>
      <c r="J287" s="85">
        <f>IF(H287,An,'2027'!An_max)</f>
        <v>2020</v>
      </c>
      <c r="K287" s="197">
        <f t="shared" si="104"/>
        <v>47025</v>
      </c>
      <c r="L287" s="147">
        <f>IF(t&lt;Tvie,1-EXP((T0-t)*PertePVj)+'2027'!Pspv,1-EXP((T0-t)*PertePVj)+Pspv)</f>
        <v>6.5396709528092845E-2</v>
      </c>
      <c r="M287" s="832"/>
      <c r="N287" s="832"/>
      <c r="O287" s="48">
        <f>IF(t&lt;Tnet,'2027'!Resal+('2027'!Salim-'2027'!Resal)*(1-EXP(('2027'!Tnet-t)/('2027'!Tau_j))),Resal+(Salim-Resal)*(1-EXP((Tnet-t)/(Tau_j))))*Salcycl</f>
        <v>2.7243729184103043E-2</v>
      </c>
      <c r="P287" s="169">
        <f>(INDEX(Models!$BJ287:$BT287,,T287)*(1-R287)+INDEX(Models!$BJ287:$BT287,,T287+1)*R287-ERP_i)*Q287*Ramure*Pc/MaxiM</f>
        <v>2.1567974550892322E-5</v>
      </c>
      <c r="Q287" s="304">
        <f t="shared" si="105"/>
        <v>0.6</v>
      </c>
      <c r="R287" s="177">
        <f t="shared" si="106"/>
        <v>0.96931890036660606</v>
      </c>
      <c r="S287" s="799">
        <f t="shared" si="107"/>
        <v>-1</v>
      </c>
      <c r="T287" s="176">
        <f t="shared" si="108"/>
        <v>5</v>
      </c>
      <c r="U287" s="250">
        <f t="shared" si="109"/>
        <v>-3.0681099633393938E-2</v>
      </c>
      <c r="V287" s="382">
        <f t="shared" si="110"/>
        <v>43.595700707786172</v>
      </c>
      <c r="W287" s="400">
        <f t="shared" si="111"/>
        <v>25.550583241701521</v>
      </c>
      <c r="X287" s="157">
        <f t="shared" si="112"/>
        <v>47025</v>
      </c>
      <c r="Y287" s="383">
        <f t="shared" si="113"/>
        <v>24.704140185422606</v>
      </c>
      <c r="Z287" s="383">
        <f t="shared" si="114"/>
        <v>26.432755413207243</v>
      </c>
      <c r="AA287" s="384">
        <f t="shared" si="115"/>
        <v>28.103440422377691</v>
      </c>
      <c r="AB287" s="197">
        <f t="shared" si="116"/>
        <v>47025</v>
      </c>
      <c r="AC287" s="119">
        <f>IF(OR(t&lt;Tnet,NoTnet),'2027'!Resal_s+('2027'!Salim-'2027'!Resal_s)*(1-EXP(('2027'!Tnet_s-t)/'2027'!Tau_j)),Resal_s+(Salim-Resal_s)*(1-EXP((Tnet_s-t)/Tau_j)))*Salcycl</f>
        <v>5.9447704055484454E-2</v>
      </c>
      <c r="AD287" s="230">
        <f>(INDEX(Models!$BJ287:$BT287,,AH287)*(1-AF287)+INDEX(Models!$BJ287:$BT287,,AH287+1)*AF287-ERP_i)*AE287*Ramure*Pc/MaxiM</f>
        <v>7.781707447512613E-5</v>
      </c>
      <c r="AE287" s="304">
        <f t="shared" si="117"/>
        <v>0.6</v>
      </c>
      <c r="AF287" s="177">
        <f t="shared" si="118"/>
        <v>0.49430646674058476</v>
      </c>
      <c r="AG287" s="799">
        <f t="shared" si="124"/>
        <v>3</v>
      </c>
      <c r="AH287" s="176">
        <f t="shared" si="119"/>
        <v>9</v>
      </c>
      <c r="AI287" s="224">
        <f t="shared" si="120"/>
        <v>3.4943064667405848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47026</v>
      </c>
      <c r="B288" s="409">
        <f>IF(t&gt;Tmaj,'2027'!Wh/'2027'!Env_an*'2028'!Env_an,0.001*'[12]mon-tableau (1)'!$B$242)</f>
        <v>36.910441570659025</v>
      </c>
      <c r="C288" s="829"/>
      <c r="D288" s="391">
        <f t="shared" si="102"/>
        <v>39.493921475250396</v>
      </c>
      <c r="E288" s="383">
        <f t="shared" si="100"/>
        <v>40.604090361520534</v>
      </c>
      <c r="F288" s="383">
        <f t="shared" si="103"/>
        <v>40.604806942408274</v>
      </c>
      <c r="G288" s="110">
        <f t="shared" si="101"/>
        <v>0.85171806314197662</v>
      </c>
      <c r="H288" s="412" t="b">
        <f>Wh_hp&gt;='2027'!Maxi_hp</f>
        <v>0</v>
      </c>
      <c r="I288" s="388">
        <f>IF(H288,Wh_hp,'2027'!Maxi_hp)</f>
        <v>45.618686630492995</v>
      </c>
      <c r="J288" s="85">
        <f>IF(H288,An,'2027'!An_max)</f>
        <v>2020</v>
      </c>
      <c r="K288" s="197">
        <f t="shared" si="104"/>
        <v>47026</v>
      </c>
      <c r="L288" s="147">
        <f>IF(t&lt;Tvie,1-EXP((T0-t)*PertePVj)+'2027'!Pspv,1-EXP((T0-t)*PertePVj)+Pspv)</f>
        <v>6.54146209869374E-2</v>
      </c>
      <c r="M288" s="832"/>
      <c r="N288" s="832"/>
      <c r="O288" s="48">
        <f>IF(t&lt;Tnet,'2027'!Resal+('2027'!Salim-'2027'!Resal)*(1-EXP(('2027'!Tnet-t)/('2027'!Tau_j))),Resal+(Salim-Resal)*(1-EXP((Tnet-t)/(Tau_j))))*Salcycl</f>
        <v>2.7341306661119464E-2</v>
      </c>
      <c r="P288" s="169">
        <f>(INDEX(Models!$BJ288:$BT288,,T288)*(1-R288)+INDEX(Models!$BJ288:$BT288,,T288+1)*R288-ERP_i)*Q288*Ramure*Pc/MaxiM</f>
        <v>2.2390584350150595E-5</v>
      </c>
      <c r="Q288" s="304">
        <f t="shared" si="105"/>
        <v>0.6</v>
      </c>
      <c r="R288" s="177">
        <f t="shared" si="106"/>
        <v>0.96951713906935433</v>
      </c>
      <c r="S288" s="799">
        <f t="shared" si="107"/>
        <v>-1</v>
      </c>
      <c r="T288" s="176">
        <f t="shared" si="108"/>
        <v>5</v>
      </c>
      <c r="U288" s="250">
        <f t="shared" si="109"/>
        <v>-3.0482860930645672E-2</v>
      </c>
      <c r="V288" s="382">
        <f t="shared" si="110"/>
        <v>43.33624952010517</v>
      </c>
      <c r="W288" s="400">
        <f t="shared" si="111"/>
        <v>36.910441570659025</v>
      </c>
      <c r="X288" s="157">
        <f t="shared" si="112"/>
        <v>47026</v>
      </c>
      <c r="Y288" s="383">
        <f t="shared" si="113"/>
        <v>35.688566611000944</v>
      </c>
      <c r="Z288" s="383">
        <f t="shared" si="114"/>
        <v>38.186523577641083</v>
      </c>
      <c r="AA288" s="384">
        <f t="shared" si="115"/>
        <v>40.602224818721517</v>
      </c>
      <c r="AB288" s="197">
        <f t="shared" si="116"/>
        <v>47026</v>
      </c>
      <c r="AC288" s="119">
        <f>IF(OR(t&lt;Tnet,NoTnet),'2027'!Resal_s+('2027'!Salim-'2027'!Resal_s)*(1-EXP(('2027'!Tnet_s-t)/'2027'!Tau_j)),Resal_s+(Salim-Resal_s)*(1-EXP((Tnet_s-t)/Tau_j)))*Salcycl</f>
        <v>5.9496770235274582E-2</v>
      </c>
      <c r="AD288" s="230">
        <f>(INDEX(Models!$BJ288:$BT288,,AH288)*(1-AF288)+INDEX(Models!$BJ288:$BT288,,AH288+1)*AF288-ERP_i)*AE288*Ramure*Pc/MaxiM</f>
        <v>8.0682110282091914E-5</v>
      </c>
      <c r="AE288" s="304">
        <f t="shared" si="117"/>
        <v>0.6</v>
      </c>
      <c r="AF288" s="177">
        <f t="shared" si="118"/>
        <v>0.49450470544333269</v>
      </c>
      <c r="AG288" s="799">
        <f t="shared" si="124"/>
        <v>3</v>
      </c>
      <c r="AH288" s="176">
        <f t="shared" si="119"/>
        <v>9</v>
      </c>
      <c r="AI288" s="224">
        <f t="shared" si="120"/>
        <v>3.4945047054433327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47027</v>
      </c>
      <c r="B289" s="409">
        <f>IF(t&gt;Tmaj,'2027'!Wh/'2027'!Env_an*'2028'!Env_an,0.001*'[12]mon-tableau (1)'!$B$243)</f>
        <v>39.96267291080116</v>
      </c>
      <c r="C289" s="829"/>
      <c r="D289" s="391">
        <f t="shared" si="102"/>
        <v>42.760607750134824</v>
      </c>
      <c r="E289" s="383">
        <f t="shared" si="100"/>
        <v>43.966987931054021</v>
      </c>
      <c r="F289" s="383">
        <f t="shared" si="103"/>
        <v>43.967902661791278</v>
      </c>
      <c r="G289" s="110">
        <f t="shared" si="101"/>
        <v>0.92778676767965262</v>
      </c>
      <c r="H289" s="412" t="b">
        <f>Wh_hp&gt;='2027'!Maxi_hp</f>
        <v>0</v>
      </c>
      <c r="I289" s="388">
        <f>IF(H289,Wh_hp,'2027'!Maxi_hp)</f>
        <v>43.967980094291583</v>
      </c>
      <c r="J289" s="85">
        <f>IF(H289,An,'2027'!An_max)</f>
        <v>2026</v>
      </c>
      <c r="K289" s="197">
        <f t="shared" si="104"/>
        <v>47027</v>
      </c>
      <c r="L289" s="147">
        <f>IF(t&lt;Tvie,1-EXP((T0-t)*PertePVj)+'2027'!Pspv,1-EXP((T0-t)*PertePVj)+Pspv)</f>
        <v>6.5432532102512986E-2</v>
      </c>
      <c r="M289" s="832"/>
      <c r="N289" s="832"/>
      <c r="O289" s="48">
        <f>IF(t&lt;Tnet,'2027'!Resal+('2027'!Salim-'2027'!Resal)*(1-EXP(('2027'!Tnet-t)/('2027'!Tau_j))),Resal+(Salim-Resal)*(1-EXP((Tnet-t)/(Tau_j))))*Salcycl</f>
        <v>2.7438317648935999E-2</v>
      </c>
      <c r="P289" s="169">
        <f>(INDEX(Models!$BJ289:$BT289,,T289)*(1-R289)+INDEX(Models!$BJ289:$BT289,,T289+1)*R289-ERP_i)*Q289*Ramure*Pc/MaxiM</f>
        <v>2.3197536657467571E-5</v>
      </c>
      <c r="Q289" s="304">
        <f t="shared" si="105"/>
        <v>0.6</v>
      </c>
      <c r="R289" s="177">
        <f t="shared" si="106"/>
        <v>0.9697075452165107</v>
      </c>
      <c r="S289" s="799">
        <f t="shared" si="107"/>
        <v>-1</v>
      </c>
      <c r="T289" s="176">
        <f t="shared" si="108"/>
        <v>5</v>
      </c>
      <c r="U289" s="250">
        <f t="shared" si="109"/>
        <v>-3.0292454783489298E-2</v>
      </c>
      <c r="V289" s="382">
        <f t="shared" si="110"/>
        <v>43.073019220865717</v>
      </c>
      <c r="W289" s="400">
        <f t="shared" si="111"/>
        <v>39.96267291080116</v>
      </c>
      <c r="X289" s="157">
        <f t="shared" si="112"/>
        <v>47027</v>
      </c>
      <c r="Y289" s="383">
        <f t="shared" si="113"/>
        <v>38.641316814609567</v>
      </c>
      <c r="Z289" s="383">
        <f t="shared" si="114"/>
        <v>41.346738616465672</v>
      </c>
      <c r="AA289" s="384">
        <f t="shared" si="115"/>
        <v>43.964607264111059</v>
      </c>
      <c r="AB289" s="197">
        <f t="shared" si="116"/>
        <v>47027</v>
      </c>
      <c r="AC289" s="119">
        <f>IF(OR(t&lt;Tnet,NoTnet),'2027'!Resal_s+('2027'!Salim-'2027'!Resal_s)*(1-EXP(('2027'!Tnet_s-t)/'2027'!Tau_j)),Resal_s+(Salim-Resal_s)*(1-EXP((Tnet_s-t)/Tau_j)))*Salcycl</f>
        <v>5.954491147660932E-2</v>
      </c>
      <c r="AD289" s="230">
        <f>(INDEX(Models!$BJ289:$BT289,,AH289)*(1-AF289)+INDEX(Models!$BJ289:$BT289,,AH289+1)*AF289-ERP_i)*AE289*Ramure*Pc/MaxiM</f>
        <v>8.3571159658788865E-5</v>
      </c>
      <c r="AE289" s="304">
        <f t="shared" si="117"/>
        <v>0.6</v>
      </c>
      <c r="AF289" s="177">
        <f t="shared" si="118"/>
        <v>0.49469511159048896</v>
      </c>
      <c r="AG289" s="799">
        <f t="shared" si="124"/>
        <v>3</v>
      </c>
      <c r="AH289" s="176">
        <f t="shared" si="119"/>
        <v>9</v>
      </c>
      <c r="AI289" s="224">
        <f t="shared" si="120"/>
        <v>3.494695111590489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47028</v>
      </c>
      <c r="B290" s="409">
        <f>IF(t&gt;Tmaj,'2027'!Wh/'2027'!Env_an*'2028'!Env_an,0.001*'[12]mon-tableau (1)'!$B$244)</f>
        <v>36.217054002990288</v>
      </c>
      <c r="C290" s="829"/>
      <c r="D290" s="391">
        <f t="shared" si="102"/>
        <v>38.753486882386234</v>
      </c>
      <c r="E290" s="383">
        <f t="shared" si="100"/>
        <v>39.850767908913085</v>
      </c>
      <c r="F290" s="383">
        <f t="shared" si="103"/>
        <v>39.851512757839963</v>
      </c>
      <c r="G290" s="110">
        <f t="shared" si="101"/>
        <v>0.8460795330359776</v>
      </c>
      <c r="H290" s="412" t="b">
        <f>Wh_hp&gt;='2027'!Maxi_hp</f>
        <v>0</v>
      </c>
      <c r="I290" s="388">
        <f>IF(H290,Wh_hp,'2027'!Maxi_hp)</f>
        <v>39.851667186484065</v>
      </c>
      <c r="J290" s="85">
        <f>IF(H290,An,'2027'!An_max)</f>
        <v>2026</v>
      </c>
      <c r="K290" s="197">
        <f t="shared" si="104"/>
        <v>47028</v>
      </c>
      <c r="L290" s="147">
        <f>IF(t&lt;Tvie,1-EXP((T0-t)*PertePVj)+'2027'!Pspv,1-EXP((T0-t)*PertePVj)+Pspv)</f>
        <v>6.5450442874826154E-2</v>
      </c>
      <c r="M290" s="832"/>
      <c r="N290" s="832"/>
      <c r="O290" s="48">
        <f>IF(t&lt;Tnet,'2027'!Resal+('2027'!Salim-'2027'!Resal)*(1-EXP(('2027'!Tnet-t)/('2027'!Tau_j))),Resal+(Salim-Resal)*(1-EXP((Tnet-t)/(Tau_j))))*Salcycl</f>
        <v>2.7534752380052069E-2</v>
      </c>
      <c r="P290" s="169">
        <f>(INDEX(Models!$BJ290:$BT290,,T290)*(1-R290)+INDEX(Models!$BJ290:$BT290,,T290+1)*R290-ERP_i)*Q290*Ramure*Pc/MaxiM</f>
        <v>2.3958629976689145E-5</v>
      </c>
      <c r="Q290" s="304">
        <f t="shared" si="105"/>
        <v>0.6</v>
      </c>
      <c r="R290" s="177">
        <f t="shared" si="106"/>
        <v>0.96989042256229885</v>
      </c>
      <c r="S290" s="799">
        <f t="shared" si="107"/>
        <v>-1</v>
      </c>
      <c r="T290" s="176">
        <f t="shared" si="108"/>
        <v>5</v>
      </c>
      <c r="U290" s="250">
        <f t="shared" si="109"/>
        <v>-3.0109577437701207E-2</v>
      </c>
      <c r="V290" s="382">
        <f t="shared" si="110"/>
        <v>42.805506802843801</v>
      </c>
      <c r="W290" s="400">
        <f t="shared" si="111"/>
        <v>36.217054002990288</v>
      </c>
      <c r="X290" s="157">
        <f t="shared" si="112"/>
        <v>47028</v>
      </c>
      <c r="Y290" s="383">
        <f t="shared" si="113"/>
        <v>35.021441087846767</v>
      </c>
      <c r="Z290" s="383">
        <f t="shared" si="114"/>
        <v>37.474140157509041</v>
      </c>
      <c r="AA290" s="384">
        <f t="shared" si="115"/>
        <v>39.848815245544088</v>
      </c>
      <c r="AB290" s="197">
        <f t="shared" si="116"/>
        <v>47028</v>
      </c>
      <c r="AC290" s="119">
        <f>IF(OR(t&lt;Tnet,NoTnet),'2027'!Resal_s+('2027'!Salim-'2027'!Resal_s)*(1-EXP(('2027'!Tnet_s-t)/'2027'!Tau_j)),Resal_s+(Salim-Resal_s)*(1-EXP((Tnet_s-t)/Tau_j)))*Salcycl</f>
        <v>5.9592112673929144E-2</v>
      </c>
      <c r="AD290" s="230">
        <f>(INDEX(Models!$BJ290:$BT290,,AH290)*(1-AF290)+INDEX(Models!$BJ290:$BT290,,AH290+1)*AF290-ERP_i)*AE290*Ramure*Pc/MaxiM</f>
        <v>8.6767526436824977E-5</v>
      </c>
      <c r="AE290" s="304">
        <f t="shared" si="117"/>
        <v>0.6</v>
      </c>
      <c r="AF290" s="177">
        <f t="shared" si="118"/>
        <v>0.4948779889362771</v>
      </c>
      <c r="AG290" s="799">
        <f t="shared" si="124"/>
        <v>3</v>
      </c>
      <c r="AH290" s="176">
        <f t="shared" si="119"/>
        <v>9</v>
      </c>
      <c r="AI290" s="224">
        <f t="shared" si="120"/>
        <v>3.4948779889362771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47029</v>
      </c>
      <c r="B291" s="409">
        <f>IF(t&gt;Tmaj,'2027'!Wh/'2027'!Env_an*'2028'!Env_an,0.001*'[12]mon-tableau (1)'!$B$245)</f>
        <v>42.536792205168354</v>
      </c>
      <c r="C291" s="829"/>
      <c r="D291" s="391">
        <f t="shared" si="102"/>
        <v>45.51669529389423</v>
      </c>
      <c r="E291" s="383">
        <f t="shared" si="100"/>
        <v>46.810086142462907</v>
      </c>
      <c r="F291" s="383">
        <f t="shared" si="103"/>
        <v>46.811239580800574</v>
      </c>
      <c r="G291" s="110">
        <f t="shared" si="101"/>
        <v>1.0000677422919388</v>
      </c>
      <c r="H291" s="412" t="b">
        <f>Wh_hp&gt;='2027'!Maxi_hp</f>
        <v>1</v>
      </c>
      <c r="I291" s="388">
        <f>IF(H291,Wh_hp,'2027'!Maxi_hp)</f>
        <v>46.811239580800574</v>
      </c>
      <c r="J291" s="85">
        <f>IF(H291,An,'2027'!An_max)</f>
        <v>2028</v>
      </c>
      <c r="K291" s="197">
        <f t="shared" si="104"/>
        <v>47029</v>
      </c>
      <c r="L291" s="147">
        <f>IF(t&lt;Tvie,1-EXP((T0-t)*PertePVj)+'2027'!Pspv,1-EXP((T0-t)*PertePVj)+Pspv)</f>
        <v>6.5468353303883453E-2</v>
      </c>
      <c r="M291" s="832"/>
      <c r="N291" s="832"/>
      <c r="O291" s="48">
        <f>IF(t&lt;Tnet,'2027'!Resal+('2027'!Salim-'2027'!Resal)*(1-EXP(('2027'!Tnet-t)/('2027'!Tau_j))),Resal+(Salim-Resal)*(1-EXP((Tnet-t)/(Tau_j))))*Salcycl</f>
        <v>2.7630601760320218E-2</v>
      </c>
      <c r="P291" s="169">
        <f>(INDEX(Models!$BJ291:$BT291,,T291)*(1-R291)+INDEX(Models!$BJ291:$BT291,,T291+1)*R291-ERP_i)*Q291*Ramure*Pc/MaxiM</f>
        <v>2.4640200686658895E-5</v>
      </c>
      <c r="Q291" s="304">
        <f t="shared" si="105"/>
        <v>0.6</v>
      </c>
      <c r="R291" s="177">
        <f t="shared" si="106"/>
        <v>0.97006606352862923</v>
      </c>
      <c r="S291" s="799">
        <f t="shared" si="107"/>
        <v>-1</v>
      </c>
      <c r="T291" s="176">
        <f t="shared" si="108"/>
        <v>5</v>
      </c>
      <c r="U291" s="250">
        <f t="shared" si="109"/>
        <v>-2.993393647137077E-2</v>
      </c>
      <c r="V291" s="382">
        <f t="shared" si="110"/>
        <v>42.533910860561548</v>
      </c>
      <c r="W291" s="400">
        <f t="shared" si="111"/>
        <v>42.536792205168354</v>
      </c>
      <c r="X291" s="157">
        <f t="shared" si="112"/>
        <v>47029</v>
      </c>
      <c r="Y291" s="383">
        <f t="shared" si="113"/>
        <v>41.133898747154987</v>
      </c>
      <c r="Z291" s="383">
        <f t="shared" si="114"/>
        <v>44.015522526794193</v>
      </c>
      <c r="AA291" s="384">
        <f t="shared" si="115"/>
        <v>46.807016224757312</v>
      </c>
      <c r="AB291" s="197">
        <f t="shared" si="116"/>
        <v>47029</v>
      </c>
      <c r="AC291" s="119">
        <f>IF(OR(t&lt;Tnet,NoTnet),'2027'!Resal_s+('2027'!Salim-'2027'!Resal_s)*(1-EXP(('2027'!Tnet_s-t)/'2027'!Tau_j)),Resal_s+(Salim-Resal_s)*(1-EXP((Tnet_s-t)/Tau_j)))*Salcycl</f>
        <v>5.9638360295366004E-2</v>
      </c>
      <c r="AD291" s="230">
        <f>(INDEX(Models!$BJ291:$BT291,,AH291)*(1-AF291)+INDEX(Models!$BJ291:$BT291,,AH291+1)*AF291-ERP_i)*AE291*Ramure*Pc/MaxiM</f>
        <v>9.0220982846895748E-5</v>
      </c>
      <c r="AE291" s="304">
        <f t="shared" si="117"/>
        <v>0.6</v>
      </c>
      <c r="AF291" s="177">
        <f t="shared" si="118"/>
        <v>0.49505362990260782</v>
      </c>
      <c r="AG291" s="799">
        <f t="shared" si="124"/>
        <v>3</v>
      </c>
      <c r="AH291" s="176">
        <f t="shared" si="119"/>
        <v>9</v>
      </c>
      <c r="AI291" s="224">
        <f t="shared" si="120"/>
        <v>3.4950536299026078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47030</v>
      </c>
      <c r="B292" s="409">
        <f>IF(t&gt;Tmaj,'2027'!Wh/'2027'!Env_an*'2028'!Env_an,0.001*'[12]mon-tableau (1)'!$B$246)</f>
        <v>44.28175508028967</v>
      </c>
      <c r="C292" s="829"/>
      <c r="D292" s="391">
        <f t="shared" si="102"/>
        <v>47.38480917456554</v>
      </c>
      <c r="E292" s="383">
        <f t="shared" si="100"/>
        <v>48.736058176676451</v>
      </c>
      <c r="F292" s="383">
        <f t="shared" si="103"/>
        <v>48.737288376896338</v>
      </c>
      <c r="G292" s="110">
        <f t="shared" si="101"/>
        <v>1.0478798370423084</v>
      </c>
      <c r="H292" s="412" t="b">
        <f>Wh_hp&gt;='2027'!Maxi_hp</f>
        <v>1</v>
      </c>
      <c r="I292" s="388">
        <f>IF(H292,Wh_hp,'2027'!Maxi_hp)</f>
        <v>48.737288376896338</v>
      </c>
      <c r="J292" s="85">
        <f>IF(H292,An,'2027'!An_max)</f>
        <v>2028</v>
      </c>
      <c r="K292" s="197">
        <f t="shared" si="104"/>
        <v>47030</v>
      </c>
      <c r="L292" s="147">
        <f>IF(t&lt;Tvie,1-EXP((T0-t)*PertePVj)+'2027'!Pspv,1-EXP((T0-t)*PertePVj)+Pspv)</f>
        <v>6.5486263389691435E-2</v>
      </c>
      <c r="M292" s="832"/>
      <c r="N292" s="832"/>
      <c r="O292" s="48">
        <f>IF(t&lt;Tnet,'2027'!Resal+('2027'!Salim-'2027'!Resal)*(1-EXP(('2027'!Tnet-t)/('2027'!Tau_j))),Resal+(Salim-Resal)*(1-EXP((Tnet-t)/(Tau_j))))*Salcycl</f>
        <v>2.7725857458812134E-2</v>
      </c>
      <c r="P292" s="169">
        <f>(INDEX(Models!$BJ292:$BT292,,T292)*(1-R292)+INDEX(Models!$BJ292:$BT292,,T292+1)*R292-ERP_i)*Q292*Ramure*Pc/MaxiM</f>
        <v>2.5241458046916153E-5</v>
      </c>
      <c r="Q292" s="304">
        <f t="shared" si="105"/>
        <v>0.6</v>
      </c>
      <c r="R292" s="177">
        <f t="shared" si="106"/>
        <v>0.97023474959261091</v>
      </c>
      <c r="S292" s="799">
        <f t="shared" si="107"/>
        <v>-1</v>
      </c>
      <c r="T292" s="176">
        <f t="shared" si="108"/>
        <v>5</v>
      </c>
      <c r="U292" s="250">
        <f t="shared" si="109"/>
        <v>-2.9765250407389088E-2</v>
      </c>
      <c r="V292" s="382">
        <f t="shared" si="110"/>
        <v>42.258428414155844</v>
      </c>
      <c r="W292" s="400">
        <f t="shared" si="111"/>
        <v>44.28175508028967</v>
      </c>
      <c r="X292" s="157">
        <f t="shared" si="112"/>
        <v>47030</v>
      </c>
      <c r="Y292" s="383">
        <f t="shared" si="113"/>
        <v>42.823311392489394</v>
      </c>
      <c r="Z292" s="383">
        <f t="shared" si="114"/>
        <v>45.824164712462306</v>
      </c>
      <c r="AA292" s="384">
        <f t="shared" si="115"/>
        <v>48.732710379438792</v>
      </c>
      <c r="AB292" s="197">
        <f t="shared" si="116"/>
        <v>47030</v>
      </c>
      <c r="AC292" s="119">
        <f>IF(OR(t&lt;Tnet,NoTnet),'2027'!Resal_s+('2027'!Salim-'2027'!Resal_s)*(1-EXP(('2027'!Tnet_s-t)/'2027'!Tau_j)),Resal_s+(Salim-Resal_s)*(1-EXP((Tnet_s-t)/Tau_j)))*Salcycl</f>
        <v>5.968364255405037E-2</v>
      </c>
      <c r="AD292" s="230">
        <f>(INDEX(Models!$BJ292:$BT292,,AH292)*(1-AF292)+INDEX(Models!$BJ292:$BT292,,AH292+1)*AF292-ERP_i)*AE292*Ramure*Pc/MaxiM</f>
        <v>9.3932133075342041E-5</v>
      </c>
      <c r="AE292" s="304">
        <f t="shared" si="117"/>
        <v>0.6</v>
      </c>
      <c r="AF292" s="177">
        <f t="shared" si="118"/>
        <v>0.49522231596658939</v>
      </c>
      <c r="AG292" s="799">
        <f t="shared" si="124"/>
        <v>3</v>
      </c>
      <c r="AH292" s="176">
        <f t="shared" si="119"/>
        <v>9</v>
      </c>
      <c r="AI292" s="224">
        <f t="shared" si="120"/>
        <v>3.4952223159665894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47031</v>
      </c>
      <c r="B293" s="409">
        <f>IF(t&gt;Tmaj,'2027'!Wh/'2027'!Env_an*'2028'!Env_an,0.001*'[12]mon-tableau (1)'!$B$247)</f>
        <v>11.861233557375533</v>
      </c>
      <c r="C293" s="829"/>
      <c r="D293" s="391">
        <f t="shared" si="102"/>
        <v>12.69265545800476</v>
      </c>
      <c r="E293" s="383">
        <f t="shared" si="100"/>
        <v>13.055876630443578</v>
      </c>
      <c r="F293" s="383">
        <f t="shared" si="103"/>
        <v>13.055876630443578</v>
      </c>
      <c r="G293" s="110">
        <f t="shared" si="101"/>
        <v>0.28254259441469576</v>
      </c>
      <c r="H293" s="412" t="b">
        <f>Wh_hp&gt;='2027'!Maxi_hp</f>
        <v>0</v>
      </c>
      <c r="I293" s="388">
        <f>IF(H293,Wh_hp,'2027'!Maxi_hp)</f>
        <v>32.037742700397558</v>
      </c>
      <c r="J293" s="85">
        <f>IF(H293,An,'2027'!An_max)</f>
        <v>2020</v>
      </c>
      <c r="K293" s="197">
        <f t="shared" si="104"/>
        <v>47031</v>
      </c>
      <c r="L293" s="147">
        <f>IF(t&lt;Tvie,1-EXP((T0-t)*PertePVj)+'2027'!Pspv,1-EXP((T0-t)*PertePVj)+Pspv)</f>
        <v>6.550417313225676E-2</v>
      </c>
      <c r="M293" s="832"/>
      <c r="N293" s="832"/>
      <c r="O293" s="48">
        <f>IF(t&lt;Tnet,'2027'!Resal+('2027'!Salim-'2027'!Resal)*(1-EXP(('2027'!Tnet-t)/('2027'!Tau_j))),Resal+(Salim-Resal)*(1-EXP((Tnet-t)/(Tau_j))))*Salcycl</f>
        <v>2.7820511997782141E-2</v>
      </c>
      <c r="P293" s="169">
        <f>(INDEX(Models!$BJ293:$BT293,,T293)*(1-R293)+INDEX(Models!$BJ293:$BT293,,T293+1)*R293-ERP_i)*Q293*Ramure*Pc/MaxiM</f>
        <v>2.5761616924210112E-5</v>
      </c>
      <c r="Q293" s="304">
        <f t="shared" si="105"/>
        <v>0.6</v>
      </c>
      <c r="R293" s="177">
        <f t="shared" si="106"/>
        <v>0.97039675166365003</v>
      </c>
      <c r="S293" s="799">
        <f t="shared" si="107"/>
        <v>-1</v>
      </c>
      <c r="T293" s="176">
        <f t="shared" si="108"/>
        <v>5</v>
      </c>
      <c r="U293" s="250">
        <f t="shared" si="109"/>
        <v>-2.9603248336349919E-2</v>
      </c>
      <c r="V293" s="382">
        <f t="shared" si="110"/>
        <v>41.979256322010535</v>
      </c>
      <c r="W293" s="400">
        <f t="shared" si="111"/>
        <v>11.861233557375533</v>
      </c>
      <c r="X293" s="157">
        <f t="shared" si="112"/>
        <v>47031</v>
      </c>
      <c r="Y293" s="383">
        <f t="shared" si="113"/>
        <v>11.471941688932954</v>
      </c>
      <c r="Z293" s="383">
        <f t="shared" si="114"/>
        <v>12.276075889375319</v>
      </c>
      <c r="AA293" s="384">
        <f t="shared" si="115"/>
        <v>13.055876630443578</v>
      </c>
      <c r="AB293" s="197">
        <f t="shared" si="116"/>
        <v>47031</v>
      </c>
      <c r="AC293" s="119">
        <f>IF(OR(t&lt;Tnet,NoTnet),'2027'!Resal_s+('2027'!Salim-'2027'!Resal_s)*(1-EXP(('2027'!Tnet_s-t)/'2027'!Tau_j)),Resal_s+(Salim-Resal_s)*(1-EXP((Tnet_s-t)/Tau_j)))*Salcycl</f>
        <v>5.972794957712204E-2</v>
      </c>
      <c r="AD293" s="230">
        <f>(INDEX(Models!$BJ293:$BT293,,AH293)*(1-AF293)+INDEX(Models!$BJ293:$BT293,,AH293+1)*AF293-ERP_i)*AE293*Ramure*Pc/MaxiM</f>
        <v>9.7901424396063156E-5</v>
      </c>
      <c r="AE293" s="304">
        <f t="shared" si="117"/>
        <v>0.6</v>
      </c>
      <c r="AF293" s="177">
        <f t="shared" si="118"/>
        <v>0.49538431803762872</v>
      </c>
      <c r="AG293" s="799">
        <f t="shared" si="124"/>
        <v>3</v>
      </c>
      <c r="AH293" s="176">
        <f t="shared" si="119"/>
        <v>9</v>
      </c>
      <c r="AI293" s="224">
        <f t="shared" si="120"/>
        <v>3.4953843180376287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47032</v>
      </c>
      <c r="B294" s="409">
        <f>IF(t&gt;Tmaj,'2027'!Wh/'2027'!Env_an*'2028'!Env_an,0.001*'[12]mon-tableau (1)'!$B$248)</f>
        <v>32.379124284221042</v>
      </c>
      <c r="C294" s="829"/>
      <c r="D294" s="391">
        <f t="shared" si="102"/>
        <v>34.649426892760658</v>
      </c>
      <c r="E294" s="383">
        <f t="shared" si="100"/>
        <v>35.6444253001915</v>
      </c>
      <c r="F294" s="383">
        <f t="shared" si="103"/>
        <v>35.645061072440434</v>
      </c>
      <c r="G294" s="110">
        <f t="shared" si="101"/>
        <v>0.7765347830662116</v>
      </c>
      <c r="H294" s="412" t="b">
        <f>Wh_hp&gt;='2027'!Maxi_hp</f>
        <v>0</v>
      </c>
      <c r="I294" s="388">
        <f>IF(H294,Wh_hp,'2027'!Maxi_hp)</f>
        <v>45.95674728395548</v>
      </c>
      <c r="J294" s="85">
        <f>IF(H294,An,'2027'!An_max)</f>
        <v>2021</v>
      </c>
      <c r="K294" s="197">
        <f t="shared" si="104"/>
        <v>47032</v>
      </c>
      <c r="L294" s="147">
        <f>IF(t&lt;Tvie,1-EXP((T0-t)*PertePVj)+'2027'!Pspv,1-EXP((T0-t)*PertePVj)+Pspv)</f>
        <v>6.5522082531585868E-2</v>
      </c>
      <c r="M294" s="832"/>
      <c r="N294" s="832"/>
      <c r="O294" s="48">
        <f>IF(t&lt;Tnet,'2027'!Resal+('2027'!Salim-'2027'!Resal)*(1-EXP(('2027'!Tnet-t)/('2027'!Tau_j))),Resal+(Salim-Resal)*(1-EXP((Tnet-t)/(Tau_j))))*Salcycl</f>
        <v>2.7914558841982445E-2</v>
      </c>
      <c r="P294" s="169">
        <f>(INDEX(Models!$BJ294:$BT294,,T294)*(1-R294)+INDEX(Models!$BJ294:$BT294,,T294+1)*R294-ERP_i)*Q294*Ramure*Pc/MaxiM</f>
        <v>2.6199905147593597E-5</v>
      </c>
      <c r="Q294" s="304">
        <f t="shared" si="105"/>
        <v>0.6</v>
      </c>
      <c r="R294" s="177">
        <f t="shared" si="106"/>
        <v>0.97055233045017286</v>
      </c>
      <c r="S294" s="799">
        <f t="shared" si="107"/>
        <v>-1</v>
      </c>
      <c r="T294" s="176">
        <f t="shared" si="108"/>
        <v>5</v>
      </c>
      <c r="U294" s="250">
        <f t="shared" si="109"/>
        <v>-2.9447669549827082E-2</v>
      </c>
      <c r="V294" s="382">
        <f t="shared" si="110"/>
        <v>41.696591287153559</v>
      </c>
      <c r="W294" s="400">
        <f t="shared" si="111"/>
        <v>32.379124284221042</v>
      </c>
      <c r="X294" s="157">
        <f t="shared" si="112"/>
        <v>47032</v>
      </c>
      <c r="Y294" s="383">
        <f t="shared" si="113"/>
        <v>31.31639238137836</v>
      </c>
      <c r="Z294" s="383">
        <f t="shared" si="114"/>
        <v>33.512180219536191</v>
      </c>
      <c r="AA294" s="384">
        <f t="shared" si="115"/>
        <v>35.642582786013172</v>
      </c>
      <c r="AB294" s="197">
        <f t="shared" si="116"/>
        <v>47032</v>
      </c>
      <c r="AC294" s="119">
        <f>IF(OR(t&lt;Tnet,NoTnet),'2027'!Resal_s+('2027'!Salim-'2027'!Resal_s)*(1-EXP(('2027'!Tnet_s-t)/'2027'!Tau_j)),Resal_s+(Salim-Resal_s)*(1-EXP((Tnet_s-t)/Tau_j)))*Salcycl</f>
        <v>5.977127357092072E-2</v>
      </c>
      <c r="AD294" s="230">
        <f>(INDEX(Models!$BJ294:$BT294,,AH294)*(1-AF294)+INDEX(Models!$BJ294:$BT294,,AH294+1)*AF294-ERP_i)*AE294*Ramure*Pc/MaxiM</f>
        <v>1.0212913418590273E-4</v>
      </c>
      <c r="AE294" s="304">
        <f t="shared" si="117"/>
        <v>0.6</v>
      </c>
      <c r="AF294" s="177">
        <f t="shared" si="118"/>
        <v>0.49553989682415134</v>
      </c>
      <c r="AG294" s="799">
        <f t="shared" si="124"/>
        <v>3</v>
      </c>
      <c r="AH294" s="176">
        <f t="shared" si="119"/>
        <v>9</v>
      </c>
      <c r="AI294" s="224">
        <f t="shared" si="120"/>
        <v>3.4955398968241513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47033</v>
      </c>
      <c r="B295" s="409">
        <f>IF(t&gt;Tmaj,'2027'!Wh/'2027'!Env_an*'2028'!Env_an,0.001*'[12]mon-tableau (1)'!$B$249)</f>
        <v>15.172583378502948</v>
      </c>
      <c r="C295" s="829"/>
      <c r="D295" s="391">
        <f t="shared" si="102"/>
        <v>16.23673912410846</v>
      </c>
      <c r="E295" s="383">
        <f t="shared" si="100"/>
        <v>16.704601476760562</v>
      </c>
      <c r="F295" s="383">
        <f t="shared" si="103"/>
        <v>16.704643551363393</v>
      </c>
      <c r="G295" s="110">
        <f t="shared" si="101"/>
        <v>0.36638463918109121</v>
      </c>
      <c r="H295" s="412" t="b">
        <f>Wh_hp&gt;='2027'!Maxi_hp</f>
        <v>0</v>
      </c>
      <c r="I295" s="388">
        <f>IF(H295,Wh_hp,'2027'!Maxi_hp)</f>
        <v>44.08585911576052</v>
      </c>
      <c r="J295" s="85">
        <f>IF(H295,An,'2027'!An_max)</f>
        <v>2021</v>
      </c>
      <c r="K295" s="197">
        <f t="shared" si="104"/>
        <v>47033</v>
      </c>
      <c r="L295" s="147">
        <f>IF(t&lt;Tvie,1-EXP((T0-t)*PertePVj)+'2027'!Pspv,1-EXP((T0-t)*PertePVj)+Pspv)</f>
        <v>6.5539991587685531E-2</v>
      </c>
      <c r="M295" s="832"/>
      <c r="N295" s="832"/>
      <c r="O295" s="48">
        <f>IF(t&lt;Tnet,'2027'!Resal+('2027'!Salim-'2027'!Resal)*(1-EXP(('2027'!Tnet-t)/('2027'!Tau_j))),Resal+(Salim-Resal)*(1-EXP((Tnet-t)/(Tau_j))))*Salcycl</f>
        <v>2.8007992486560846E-2</v>
      </c>
      <c r="P295" s="169">
        <f>(INDEX(Models!$BJ295:$BT295,,T295)*(1-R295)+INDEX(Models!$BJ295:$BT295,,T295+1)*R295-ERP_i)*Q295*Ramure*Pc/MaxiM</f>
        <v>2.6555570805357169E-5</v>
      </c>
      <c r="Q295" s="304">
        <f t="shared" si="105"/>
        <v>0.6</v>
      </c>
      <c r="R295" s="177">
        <f t="shared" si="106"/>
        <v>0.97070173681603411</v>
      </c>
      <c r="S295" s="799">
        <f t="shared" si="107"/>
        <v>-1</v>
      </c>
      <c r="T295" s="176">
        <f t="shared" si="108"/>
        <v>5</v>
      </c>
      <c r="U295" s="250">
        <f t="shared" si="109"/>
        <v>-2.9298263183965889E-2</v>
      </c>
      <c r="V295" s="382">
        <f t="shared" si="110"/>
        <v>41.410629852359413</v>
      </c>
      <c r="W295" s="400">
        <f t="shared" si="111"/>
        <v>15.172583378502948</v>
      </c>
      <c r="X295" s="157">
        <f t="shared" si="112"/>
        <v>47033</v>
      </c>
      <c r="Y295" s="383">
        <f t="shared" si="113"/>
        <v>14.675993194310731</v>
      </c>
      <c r="Z295" s="383">
        <f t="shared" si="114"/>
        <v>15.705319716405885</v>
      </c>
      <c r="AA295" s="384">
        <f t="shared" si="115"/>
        <v>16.704474630164473</v>
      </c>
      <c r="AB295" s="197">
        <f t="shared" si="116"/>
        <v>47033</v>
      </c>
      <c r="AC295" s="119">
        <f>IF(OR(t&lt;Tnet,NoTnet),'2027'!Resal_s+('2027'!Salim-'2027'!Resal_s)*(1-EXP(('2027'!Tnet_s-t)/'2027'!Tau_j)),Resal_s+(Salim-Resal_s)*(1-EXP((Tnet_s-t)/Tau_j)))*Salcycl</f>
        <v>5.9813608980814066E-2</v>
      </c>
      <c r="AD295" s="230">
        <f>(INDEX(Models!$BJ295:$BT295,,AH295)*(1-AF295)+INDEX(Models!$BJ295:$BT295,,AH295+1)*AF295-ERP_i)*AE295*Ramure*Pc/MaxiM</f>
        <v>1.0661535835442188E-4</v>
      </c>
      <c r="AE295" s="304">
        <f t="shared" si="117"/>
        <v>0.6</v>
      </c>
      <c r="AF295" s="177">
        <f t="shared" si="118"/>
        <v>0.4956893031900127</v>
      </c>
      <c r="AG295" s="799">
        <f t="shared" si="124"/>
        <v>3</v>
      </c>
      <c r="AH295" s="176">
        <f t="shared" si="119"/>
        <v>9</v>
      </c>
      <c r="AI295" s="224">
        <f t="shared" si="120"/>
        <v>3.4956893031900127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47034</v>
      </c>
      <c r="B296" s="409">
        <f>IF(t&gt;Tmaj,'2027'!Wh/'2027'!Env_an*'2028'!Env_an,0.001*'[12]mon-tableau (1)'!$B$250)</f>
        <v>40.421211385997125</v>
      </c>
      <c r="C296" s="829"/>
      <c r="D296" s="391">
        <f t="shared" si="102"/>
        <v>43.257052950630715</v>
      </c>
      <c r="E296" s="383">
        <f t="shared" si="100"/>
        <v>44.507756906117102</v>
      </c>
      <c r="F296" s="383">
        <f t="shared" si="103"/>
        <v>44.508924392906756</v>
      </c>
      <c r="G296" s="110">
        <f t="shared" si="101"/>
        <v>0.98296803369155306</v>
      </c>
      <c r="H296" s="412" t="b">
        <f>Wh_hp&gt;='2027'!Maxi_hp</f>
        <v>0</v>
      </c>
      <c r="I296" s="388">
        <f>IF(H296,Wh_hp,'2027'!Maxi_hp)</f>
        <v>44.508945867347734</v>
      </c>
      <c r="J296" s="85">
        <f>IF(H296,An,'2027'!An_max)</f>
        <v>2026</v>
      </c>
      <c r="K296" s="197">
        <f t="shared" si="104"/>
        <v>47034</v>
      </c>
      <c r="L296" s="147">
        <f>IF(t&lt;Tvie,1-EXP((T0-t)*PertePVj)+'2027'!Pspv,1-EXP((T0-t)*PertePVj)+Pspv)</f>
        <v>6.5557900300562189E-2</v>
      </c>
      <c r="M296" s="832"/>
      <c r="N296" s="832"/>
      <c r="O296" s="48">
        <f>IF(t&lt;Tnet,'2027'!Resal+('2027'!Salim-'2027'!Resal)*(1-EXP(('2027'!Tnet-t)/('2027'!Tau_j))),Resal+(Salim-Resal)*(1-EXP((Tnet-t)/(Tau_j))))*Salcycl</f>
        <v>2.8100808542757438E-2</v>
      </c>
      <c r="P296" s="169">
        <f>(INDEX(Models!$BJ296:$BT296,,T296)*(1-R296)+INDEX(Models!$BJ296:$BT296,,T296+1)*R296-ERP_i)*Q296*Ramure*Pc/MaxiM</f>
        <v>2.6884510289524851E-5</v>
      </c>
      <c r="Q296" s="304">
        <f t="shared" si="105"/>
        <v>0.6</v>
      </c>
      <c r="R296" s="177">
        <f t="shared" si="106"/>
        <v>0.97084521212669661</v>
      </c>
      <c r="S296" s="799">
        <f t="shared" si="107"/>
        <v>-1</v>
      </c>
      <c r="T296" s="176">
        <f t="shared" si="108"/>
        <v>5</v>
      </c>
      <c r="U296" s="250">
        <f t="shared" si="109"/>
        <v>-2.9154787873303334E-2</v>
      </c>
      <c r="V296" s="382">
        <f t="shared" si="110"/>
        <v>41.121566073190969</v>
      </c>
      <c r="W296" s="400">
        <f t="shared" si="111"/>
        <v>40.421211385997125</v>
      </c>
      <c r="X296" s="157">
        <f t="shared" si="112"/>
        <v>47034</v>
      </c>
      <c r="Y296" s="383">
        <f t="shared" si="113"/>
        <v>39.097328344792167</v>
      </c>
      <c r="Z296" s="383">
        <f t="shared" si="114"/>
        <v>41.840289898504977</v>
      </c>
      <c r="AA296" s="384">
        <f t="shared" si="115"/>
        <v>44.504079467502507</v>
      </c>
      <c r="AB296" s="197">
        <f t="shared" si="116"/>
        <v>47034</v>
      </c>
      <c r="AC296" s="119">
        <f>IF(OR(t&lt;Tnet,NoTnet),'2027'!Resal_s+('2027'!Salim-'2027'!Resal_s)*(1-EXP(('2027'!Tnet_s-t)/'2027'!Tau_j)),Resal_s+(Salim-Resal_s)*(1-EXP((Tnet_s-t)/Tau_j)))*Salcycl</f>
        <v>5.9854952644120329E-2</v>
      </c>
      <c r="AD296" s="230">
        <f>(INDEX(Models!$BJ296:$BT296,,AH296)*(1-AF296)+INDEX(Models!$BJ296:$BT296,,AH296+1)*AF296-ERP_i)*AE296*Ramure*Pc/MaxiM</f>
        <v>1.1156738391956653E-4</v>
      </c>
      <c r="AE296" s="304">
        <f t="shared" si="117"/>
        <v>0.6</v>
      </c>
      <c r="AF296" s="177">
        <f t="shared" si="118"/>
        <v>0.49583277850067509</v>
      </c>
      <c r="AG296" s="799">
        <f t="shared" si="124"/>
        <v>3</v>
      </c>
      <c r="AH296" s="176">
        <f t="shared" si="119"/>
        <v>9</v>
      </c>
      <c r="AI296" s="224">
        <f t="shared" si="120"/>
        <v>3.4958327785006751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47035</v>
      </c>
      <c r="B297" s="409">
        <f>IF(t&gt;Tmaj,'2027'!Wh/'2027'!Env_an*'2028'!Env_an,0.001*'[12]mon-tableau (1)'!$B$251)</f>
        <v>34.280435119199005</v>
      </c>
      <c r="C297" s="829"/>
      <c r="D297" s="391">
        <f t="shared" si="102"/>
        <v>36.686159709130145</v>
      </c>
      <c r="E297" s="383">
        <f t="shared" ref="E297:E360" si="125">Wh_pvt/(1-Psa)</f>
        <v>37.750458530716301</v>
      </c>
      <c r="F297" s="383">
        <f t="shared" si="103"/>
        <v>37.751251190712722</v>
      </c>
      <c r="G297" s="110">
        <f t="shared" ref="G297:G360" si="126">+Wh_hp/MaxiM</f>
        <v>0.83959250456363355</v>
      </c>
      <c r="H297" s="412" t="b">
        <f>Wh_hp&gt;='2027'!Maxi_hp</f>
        <v>0</v>
      </c>
      <c r="I297" s="388">
        <f>IF(H297,Wh_hp,'2027'!Maxi_hp)</f>
        <v>37.751425199479691</v>
      </c>
      <c r="J297" s="85">
        <f>IF(H297,An,'2027'!An_max)</f>
        <v>2026</v>
      </c>
      <c r="K297" s="197">
        <f t="shared" si="104"/>
        <v>47035</v>
      </c>
      <c r="L297" s="147">
        <f>IF(t&lt;Tvie,1-EXP((T0-t)*PertePVj)+'2027'!Pspv,1-EXP((T0-t)*PertePVj)+Pspv)</f>
        <v>6.5575808670222391E-2</v>
      </c>
      <c r="M297" s="832"/>
      <c r="N297" s="832"/>
      <c r="O297" s="48">
        <f>IF(t&lt;Tnet,'2027'!Resal+('2027'!Salim-'2027'!Resal)*(1-EXP(('2027'!Tnet-t)/('2027'!Tau_j))),Resal+(Salim-Resal)*(1-EXP((Tnet-t)/(Tau_j))))*Salcycl</f>
        <v>2.8193003820607149E-2</v>
      </c>
      <c r="P297" s="169">
        <f>(INDEX(Models!$BJ297:$BT297,,T297)*(1-R297)+INDEX(Models!$BJ297:$BT297,,T297+1)*R297-ERP_i)*Q297*Ramure*Pc/MaxiM</f>
        <v>2.723851988930463E-5</v>
      </c>
      <c r="Q297" s="304">
        <f t="shared" si="105"/>
        <v>0.6</v>
      </c>
      <c r="R297" s="177">
        <f t="shared" si="106"/>
        <v>0.97098298858528775</v>
      </c>
      <c r="S297" s="799">
        <f t="shared" si="107"/>
        <v>-1</v>
      </c>
      <c r="T297" s="176">
        <f t="shared" si="108"/>
        <v>5</v>
      </c>
      <c r="U297" s="250">
        <f t="shared" si="109"/>
        <v>-2.9017011414712246E-2</v>
      </c>
      <c r="V297" s="382">
        <f t="shared" si="110"/>
        <v>40.829594075233715</v>
      </c>
      <c r="W297" s="400">
        <f t="shared" si="111"/>
        <v>34.280435119199005</v>
      </c>
      <c r="X297" s="157">
        <f t="shared" si="112"/>
        <v>47035</v>
      </c>
      <c r="Y297" s="383">
        <f t="shared" si="113"/>
        <v>33.159843112468678</v>
      </c>
      <c r="Z297" s="383">
        <f t="shared" si="114"/>
        <v>35.486927051063347</v>
      </c>
      <c r="AA297" s="384">
        <f t="shared" si="115"/>
        <v>37.747845744825852</v>
      </c>
      <c r="AB297" s="197">
        <f t="shared" si="116"/>
        <v>47035</v>
      </c>
      <c r="AC297" s="119">
        <f>IF(OR(t&lt;Tnet,NoTnet),'2027'!Resal_s+('2027'!Salim-'2027'!Resal_s)*(1-EXP(('2027'!Tnet_s-t)/'2027'!Tau_j)),Resal_s+(Salim-Resal_s)*(1-EXP((Tnet_s-t)/Tau_j)))*Salcycl</f>
        <v>5.989530393459374E-2</v>
      </c>
      <c r="AD297" s="230">
        <f>(INDEX(Models!$BJ297:$BT297,,AH297)*(1-AF297)+INDEX(Models!$BJ297:$BT297,,AH297+1)*AF297-ERP_i)*AE297*Ramure*Pc/MaxiM</f>
        <v>1.1702281676884724E-4</v>
      </c>
      <c r="AE297" s="304">
        <f t="shared" si="117"/>
        <v>0.6</v>
      </c>
      <c r="AF297" s="177">
        <f t="shared" si="118"/>
        <v>0.49597055495926634</v>
      </c>
      <c r="AG297" s="799">
        <f t="shared" si="124"/>
        <v>3</v>
      </c>
      <c r="AH297" s="176">
        <f t="shared" si="119"/>
        <v>9</v>
      </c>
      <c r="AI297" s="224">
        <f t="shared" si="120"/>
        <v>3.4959705549592663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47036</v>
      </c>
      <c r="B298" s="409">
        <f>IF(t&gt;Tmaj,'2027'!Wh/'2027'!Env_an*'2028'!Env_an,0.001*'[12]mon-tableau (1)'!$B$252)</f>
        <v>23.420638267264245</v>
      </c>
      <c r="C298" s="829"/>
      <c r="D298" s="391">
        <f t="shared" si="102"/>
        <v>25.064726859998469</v>
      </c>
      <c r="E298" s="383">
        <f t="shared" si="125"/>
        <v>25.794307933635125</v>
      </c>
      <c r="F298" s="383">
        <f t="shared" si="103"/>
        <v>25.794590636666086</v>
      </c>
      <c r="G298" s="110">
        <f t="shared" si="126"/>
        <v>0.57777969985291833</v>
      </c>
      <c r="H298" s="412" t="b">
        <f>Wh_hp&gt;='2027'!Maxi_hp</f>
        <v>0</v>
      </c>
      <c r="I298" s="388">
        <f>IF(H298,Wh_hp,'2027'!Maxi_hp)</f>
        <v>44.857995782913029</v>
      </c>
      <c r="J298" s="85">
        <f>IF(H298,An,'2027'!An_max)</f>
        <v>2021</v>
      </c>
      <c r="K298" s="197">
        <f t="shared" si="104"/>
        <v>47036</v>
      </c>
      <c r="L298" s="147">
        <f>IF(t&lt;Tvie,1-EXP((T0-t)*PertePVj)+'2027'!Pspv,1-EXP((T0-t)*PertePVj)+Pspv)</f>
        <v>6.5593716696672799E-2</v>
      </c>
      <c r="M298" s="832"/>
      <c r="N298" s="832"/>
      <c r="O298" s="48">
        <f>IF(t&lt;Tnet,'2027'!Resal+('2027'!Salim-'2027'!Resal)*(1-EXP(('2027'!Tnet-t)/('2027'!Tau_j))),Resal+(Salim-Resal)*(1-EXP((Tnet-t)/(Tau_j))))*Salcycl</f>
        <v>2.8284576407855505E-2</v>
      </c>
      <c r="P298" s="169">
        <f>(INDEX(Models!$BJ298:$BT298,,T298)*(1-R298)+INDEX(Models!$BJ298:$BT298,,T298+1)*R298-ERP_i)*Q298*Ramure*Pc/MaxiM</f>
        <v>2.7617496836454712E-5</v>
      </c>
      <c r="Q298" s="304">
        <f t="shared" si="105"/>
        <v>0.6</v>
      </c>
      <c r="R298" s="177">
        <f t="shared" si="106"/>
        <v>0.97111528955865412</v>
      </c>
      <c r="S298" s="799">
        <f t="shared" si="107"/>
        <v>-1</v>
      </c>
      <c r="T298" s="176">
        <f t="shared" si="108"/>
        <v>5</v>
      </c>
      <c r="U298" s="250">
        <f t="shared" si="109"/>
        <v>-2.888471044134594E-2</v>
      </c>
      <c r="V298" s="382">
        <f t="shared" si="110"/>
        <v>40.534909991789362</v>
      </c>
      <c r="W298" s="400">
        <f t="shared" si="111"/>
        <v>23.420638267264245</v>
      </c>
      <c r="X298" s="157">
        <f t="shared" si="112"/>
        <v>47036</v>
      </c>
      <c r="Y298" s="383">
        <f t="shared" si="113"/>
        <v>22.656938844758287</v>
      </c>
      <c r="Z298" s="383">
        <f t="shared" si="114"/>
        <v>24.247417049317278</v>
      </c>
      <c r="AA298" s="384">
        <f t="shared" si="115"/>
        <v>25.793331743968409</v>
      </c>
      <c r="AB298" s="197">
        <f t="shared" si="116"/>
        <v>47036</v>
      </c>
      <c r="AC298" s="119">
        <f>IF(OR(t&lt;Tnet,NoTnet),'2027'!Resal_s+('2027'!Salim-'2027'!Resal_s)*(1-EXP(('2027'!Tnet_s-t)/'2027'!Tau_j)),Resal_s+(Salim-Resal_s)*(1-EXP((Tnet_s-t)/Tau_j)))*Salcycl</f>
        <v>5.9934664896970219E-2</v>
      </c>
      <c r="AD298" s="230">
        <f>(INDEX(Models!$BJ298:$BT298,,AH298)*(1-AF298)+INDEX(Models!$BJ298:$BT298,,AH298+1)*AF298-ERP_i)*AE298*Ramure*Pc/MaxiM</f>
        <v>1.2298228631352616E-4</v>
      </c>
      <c r="AE298" s="304">
        <f t="shared" si="117"/>
        <v>0.6</v>
      </c>
      <c r="AF298" s="177">
        <f t="shared" si="118"/>
        <v>0.49610285593263237</v>
      </c>
      <c r="AG298" s="799">
        <f t="shared" si="124"/>
        <v>3</v>
      </c>
      <c r="AH298" s="176">
        <f t="shared" si="119"/>
        <v>9</v>
      </c>
      <c r="AI298" s="224">
        <f t="shared" si="120"/>
        <v>3.4961028559326324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47037</v>
      </c>
      <c r="B299" s="409">
        <f>IF(t&gt;Tmaj,'2027'!Wh/'2027'!Env_an*'2028'!Env_an,0.001*'[12]mon-tableau (1)'!$B$253)</f>
        <v>27.616010202074811</v>
      </c>
      <c r="C299" s="829"/>
      <c r="D299" s="391">
        <f t="shared" si="102"/>
        <v>29.555173119259152</v>
      </c>
      <c r="E299" s="383">
        <f t="shared" si="125"/>
        <v>30.418308618563273</v>
      </c>
      <c r="F299" s="383">
        <f t="shared" si="103"/>
        <v>30.418779033863842</v>
      </c>
      <c r="G299" s="110">
        <f t="shared" si="126"/>
        <v>0.68631300261997608</v>
      </c>
      <c r="H299" s="412" t="b">
        <f>Wh_hp&gt;='2027'!Maxi_hp</f>
        <v>0</v>
      </c>
      <c r="I299" s="388">
        <f>IF(H299,Wh_hp,'2027'!Maxi_hp)</f>
        <v>43.06156480177809</v>
      </c>
      <c r="J299" s="85">
        <f>IF(H299,An,'2027'!An_max)</f>
        <v>2021</v>
      </c>
      <c r="K299" s="197">
        <f t="shared" si="104"/>
        <v>47037</v>
      </c>
      <c r="L299" s="147">
        <f>IF(t&lt;Tvie,1-EXP((T0-t)*PertePVj)+'2027'!Pspv,1-EXP((T0-t)*PertePVj)+Pspv)</f>
        <v>6.5611624379919964E-2</v>
      </c>
      <c r="M299" s="832"/>
      <c r="N299" s="832"/>
      <c r="O299" s="48">
        <f>IF(t&lt;Tnet,'2027'!Resal+('2027'!Salim-'2027'!Resal)*(1-EXP(('2027'!Tnet-t)/('2027'!Tau_j))),Resal+(Salim-Resal)*(1-EXP((Tnet-t)/(Tau_j))))*Salcycl</f>
        <v>2.8375525744300609E-2</v>
      </c>
      <c r="P299" s="169">
        <f>(INDEX(Models!$BJ299:$BT299,,T299)*(1-R299)+INDEX(Models!$BJ299:$BT299,,T299+1)*R299-ERP_i)*Q299*Ramure*Pc/MaxiM</f>
        <v>2.8021326248793072E-5</v>
      </c>
      <c r="Q299" s="304">
        <f t="shared" si="105"/>
        <v>0.6</v>
      </c>
      <c r="R299" s="177">
        <f t="shared" si="106"/>
        <v>0.97124232989355552</v>
      </c>
      <c r="S299" s="799">
        <f t="shared" si="107"/>
        <v>-1</v>
      </c>
      <c r="T299" s="176">
        <f t="shared" si="108"/>
        <v>5</v>
      </c>
      <c r="U299" s="250">
        <f t="shared" si="109"/>
        <v>-2.8757670106444477E-2</v>
      </c>
      <c r="V299" s="382">
        <f t="shared" si="110"/>
        <v>40.237709799411689</v>
      </c>
      <c r="W299" s="400">
        <f t="shared" si="111"/>
        <v>27.616010202074811</v>
      </c>
      <c r="X299" s="157">
        <f t="shared" si="112"/>
        <v>47037</v>
      </c>
      <c r="Y299" s="383">
        <f t="shared" si="113"/>
        <v>26.716433838796721</v>
      </c>
      <c r="Z299" s="383">
        <f t="shared" si="114"/>
        <v>28.592429589106484</v>
      </c>
      <c r="AA299" s="384">
        <f t="shared" si="115"/>
        <v>30.41660592411526</v>
      </c>
      <c r="AB299" s="197">
        <f t="shared" si="116"/>
        <v>47037</v>
      </c>
      <c r="AC299" s="119">
        <f>IF(OR(t&lt;Tnet,NoTnet),'2027'!Resal_s+('2027'!Salim-'2027'!Resal_s)*(1-EXP(('2027'!Tnet_s-t)/'2027'!Tau_j)),Resal_s+(Salim-Resal_s)*(1-EXP((Tnet_s-t)/Tau_j)))*Salcycl</f>
        <v>5.9973040370112765E-2</v>
      </c>
      <c r="AD299" s="230">
        <f>(INDEX(Models!$BJ299:$BT299,,AH299)*(1-AF299)+INDEX(Models!$BJ299:$BT299,,AH299+1)*AF299-ERP_i)*AE299*Ramure*Pc/MaxiM</f>
        <v>1.2944608129424555E-4</v>
      </c>
      <c r="AE299" s="304">
        <f t="shared" si="117"/>
        <v>0.6</v>
      </c>
      <c r="AF299" s="177">
        <f t="shared" si="118"/>
        <v>0.496229896267534</v>
      </c>
      <c r="AG299" s="799">
        <f t="shared" si="124"/>
        <v>3</v>
      </c>
      <c r="AH299" s="176">
        <f t="shared" si="119"/>
        <v>9</v>
      </c>
      <c r="AI299" s="224">
        <f t="shared" si="120"/>
        <v>3.496229896267534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47038</v>
      </c>
      <c r="B300" s="409">
        <f>IF(t&gt;Tmaj,'2027'!Wh/'2027'!Env_an*'2028'!Env_an,0.001*'[12]mon-tableau (1)'!$B$254)</f>
        <v>24.295057027515149</v>
      </c>
      <c r="C300" s="829"/>
      <c r="D300" s="391">
        <f t="shared" si="102"/>
        <v>26.001524932864164</v>
      </c>
      <c r="E300" s="383">
        <f t="shared" si="125"/>
        <v>26.76336699526081</v>
      </c>
      <c r="F300" s="383">
        <f t="shared" si="103"/>
        <v>26.76370236609084</v>
      </c>
      <c r="G300" s="110">
        <f t="shared" si="126"/>
        <v>0.60830675310630233</v>
      </c>
      <c r="H300" s="412" t="b">
        <f>Wh_hp&gt;='2027'!Maxi_hp</f>
        <v>0</v>
      </c>
      <c r="I300" s="388">
        <f>IF(H300,Wh_hp,'2027'!Maxi_hp)</f>
        <v>42.186291422825811</v>
      </c>
      <c r="J300" s="85">
        <f>IF(H300,An,'2027'!An_max)</f>
        <v>2021</v>
      </c>
      <c r="K300" s="197">
        <f t="shared" si="104"/>
        <v>47038</v>
      </c>
      <c r="L300" s="147">
        <f>IF(t&lt;Tvie,1-EXP((T0-t)*PertePVj)+'2027'!Pspv,1-EXP((T0-t)*PertePVj)+Pspv)</f>
        <v>6.5629531719970546E-2</v>
      </c>
      <c r="M300" s="832"/>
      <c r="N300" s="832"/>
      <c r="O300" s="48">
        <f>IF(t&lt;Tnet,'2027'!Resal+('2027'!Salim-'2027'!Resal)*(1-EXP(('2027'!Tnet-t)/('2027'!Tau_j))),Resal+(Salim-Resal)*(1-EXP((Tnet-t)/(Tau_j))))*Salcycl</f>
        <v>2.8465852690790074E-2</v>
      </c>
      <c r="P300" s="169">
        <f>(INDEX(Models!$BJ300:$BT300,,T300)*(1-R300)+INDEX(Models!$BJ300:$BT300,,T300+1)*R300-ERP_i)*Q300*Ramure*Pc/MaxiM</f>
        <v>2.8449881095781352E-5</v>
      </c>
      <c r="Q300" s="304">
        <f t="shared" si="105"/>
        <v>0.6</v>
      </c>
      <c r="R300" s="177">
        <f t="shared" si="106"/>
        <v>0.97136431622314967</v>
      </c>
      <c r="S300" s="799">
        <f t="shared" si="107"/>
        <v>-1</v>
      </c>
      <c r="T300" s="176">
        <f t="shared" si="108"/>
        <v>5</v>
      </c>
      <c r="U300" s="250">
        <f t="shared" si="109"/>
        <v>-2.8635683776850329E-2</v>
      </c>
      <c r="V300" s="382">
        <f t="shared" si="110"/>
        <v>39.938189316217439</v>
      </c>
      <c r="W300" s="400">
        <f t="shared" si="111"/>
        <v>24.295057027515149</v>
      </c>
      <c r="X300" s="157">
        <f t="shared" si="112"/>
        <v>47038</v>
      </c>
      <c r="Y300" s="383">
        <f t="shared" si="113"/>
        <v>23.505106935212869</v>
      </c>
      <c r="Z300" s="383">
        <f t="shared" si="114"/>
        <v>25.156089295588078</v>
      </c>
      <c r="AA300" s="384">
        <f t="shared" si="115"/>
        <v>26.762094298865719</v>
      </c>
      <c r="AB300" s="197">
        <f t="shared" si="116"/>
        <v>47038</v>
      </c>
      <c r="AC300" s="119">
        <f>IF(OR(t&lt;Tnet,NoTnet),'2027'!Resal_s+('2027'!Salim-'2027'!Resal_s)*(1-EXP(('2027'!Tnet_s-t)/'2027'!Tau_j)),Resal_s+(Salim-Resal_s)*(1-EXP((Tnet_s-t)/Tau_j)))*Salcycl</f>
        <v>6.0010438097354374E-2</v>
      </c>
      <c r="AD300" s="230">
        <f>(INDEX(Models!$BJ300:$BT300,,AH300)*(1-AF300)+INDEX(Models!$BJ300:$BT300,,AH300+1)*AF300-ERP_i)*AE300*Ramure*Pc/MaxiM</f>
        <v>1.3641413400477731E-4</v>
      </c>
      <c r="AE300" s="304">
        <f t="shared" si="117"/>
        <v>0.6</v>
      </c>
      <c r="AF300" s="177">
        <f t="shared" si="118"/>
        <v>0.49635188259712804</v>
      </c>
      <c r="AG300" s="799">
        <f t="shared" si="124"/>
        <v>3</v>
      </c>
      <c r="AH300" s="176">
        <f t="shared" si="119"/>
        <v>9</v>
      </c>
      <c r="AI300" s="224">
        <f t="shared" si="120"/>
        <v>3.496351882597128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47039</v>
      </c>
      <c r="B301" s="409">
        <f>IF(t&gt;Tmaj,'2027'!Wh/'2027'!Env_an*'2028'!Env_an,0.001*'[12]mon-tableau (1)'!$B$255)</f>
        <v>17.416960085158163</v>
      </c>
      <c r="C301" s="829"/>
      <c r="D301" s="391">
        <f t="shared" si="102"/>
        <v>18.640672490091994</v>
      </c>
      <c r="E301" s="383">
        <f t="shared" si="125"/>
        <v>19.188614103618118</v>
      </c>
      <c r="F301" s="383">
        <f t="shared" si="103"/>
        <v>19.188724563907396</v>
      </c>
      <c r="G301" s="110">
        <f t="shared" si="126"/>
        <v>0.4394065449154016</v>
      </c>
      <c r="H301" s="412" t="b">
        <f>Wh_hp&gt;='2027'!Maxi_hp</f>
        <v>0</v>
      </c>
      <c r="I301" s="388">
        <f>IF(H301,Wh_hp,'2027'!Maxi_hp)</f>
        <v>45.549482417186574</v>
      </c>
      <c r="J301" s="85">
        <f>IF(H301,An,'2027'!An_max)</f>
        <v>2021</v>
      </c>
      <c r="K301" s="197">
        <f t="shared" si="104"/>
        <v>47039</v>
      </c>
      <c r="L301" s="147">
        <f>IF(t&lt;Tvie,1-EXP((T0-t)*PertePVj)+'2027'!Pspv,1-EXP((T0-t)*PertePVj)+Pspv)</f>
        <v>6.5647438716830986E-2</v>
      </c>
      <c r="M301" s="832"/>
      <c r="N301" s="832"/>
      <c r="O301" s="48">
        <f>IF(t&lt;Tnet,'2027'!Resal+('2027'!Salim-'2027'!Resal)*(1-EXP(('2027'!Tnet-t)/('2027'!Tau_j))),Resal+(Salim-Resal)*(1-EXP((Tnet-t)/(Tau_j))))*Salcycl</f>
        <v>2.8555559592123175E-2</v>
      </c>
      <c r="P301" s="169">
        <f>(INDEX(Models!$BJ301:$BT301,,T301)*(1-R301)+INDEX(Models!$BJ301:$BT301,,T301+1)*R301-ERP_i)*Q301*Ramure*Pc/MaxiM</f>
        <v>2.8903022359684597E-5</v>
      </c>
      <c r="Q301" s="304">
        <f t="shared" si="105"/>
        <v>0.6</v>
      </c>
      <c r="R301" s="177">
        <f t="shared" si="106"/>
        <v>0.97148144726393049</v>
      </c>
      <c r="S301" s="799">
        <f t="shared" si="107"/>
        <v>-1</v>
      </c>
      <c r="T301" s="176">
        <f t="shared" si="108"/>
        <v>5</v>
      </c>
      <c r="U301" s="250">
        <f t="shared" si="109"/>
        <v>-2.8518552736069513E-2</v>
      </c>
      <c r="V301" s="382">
        <f t="shared" si="110"/>
        <v>39.636544204170484</v>
      </c>
      <c r="W301" s="400">
        <f t="shared" si="111"/>
        <v>17.416960085158163</v>
      </c>
      <c r="X301" s="157">
        <f t="shared" si="112"/>
        <v>47039</v>
      </c>
      <c r="Y301" s="383">
        <f t="shared" si="113"/>
        <v>16.851968648812637</v>
      </c>
      <c r="Z301" s="383">
        <f t="shared" si="114"/>
        <v>18.035984859579578</v>
      </c>
      <c r="AA301" s="384">
        <f t="shared" si="115"/>
        <v>19.188174666740569</v>
      </c>
      <c r="AB301" s="197">
        <f t="shared" si="116"/>
        <v>47039</v>
      </c>
      <c r="AC301" s="119">
        <f>IF(OR(t&lt;Tnet,NoTnet),'2027'!Resal_s+('2027'!Salim-'2027'!Resal_s)*(1-EXP(('2027'!Tnet_s-t)/'2027'!Tau_j)),Resal_s+(Salim-Resal_s)*(1-EXP((Tnet_s-t)/Tau_j)))*Salcycl</f>
        <v>6.0046868822708516E-2</v>
      </c>
      <c r="AD301" s="230">
        <f>(INDEX(Models!$BJ301:$BT301,,AH301)*(1-AF301)+INDEX(Models!$BJ301:$BT301,,AH301+1)*AF301-ERP_i)*AE301*Ramure*Pc/MaxiM</f>
        <v>1.4388600837352252E-4</v>
      </c>
      <c r="AE301" s="304">
        <f t="shared" si="117"/>
        <v>0.6</v>
      </c>
      <c r="AF301" s="177">
        <f t="shared" si="118"/>
        <v>0.49646901363790885</v>
      </c>
      <c r="AG301" s="799">
        <f t="shared" si="124"/>
        <v>3</v>
      </c>
      <c r="AH301" s="176">
        <f t="shared" si="119"/>
        <v>9</v>
      </c>
      <c r="AI301" s="224">
        <f t="shared" si="120"/>
        <v>3.4964690136379089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47040</v>
      </c>
      <c r="B302" s="409">
        <f>IF(t&gt;Tmaj,'2027'!Wh/'2027'!Env_an*'2028'!Env_an,0.001*'[12]mon-tableau (1)'!$B$256)</f>
        <v>39.747117461164869</v>
      </c>
      <c r="C302" s="829"/>
      <c r="D302" s="391">
        <f t="shared" si="102"/>
        <v>42.540557887073639</v>
      </c>
      <c r="E302" s="383">
        <f t="shared" si="125"/>
        <v>43.795051833156094</v>
      </c>
      <c r="F302" s="383">
        <f t="shared" si="103"/>
        <v>43.796338595835714</v>
      </c>
      <c r="G302" s="110">
        <f t="shared" si="126"/>
        <v>1.0105292707627351</v>
      </c>
      <c r="H302" s="412" t="b">
        <f>Wh_hp&gt;='2027'!Maxi_hp</f>
        <v>1</v>
      </c>
      <c r="I302" s="388">
        <f>IF(H302,Wh_hp,'2027'!Maxi_hp)</f>
        <v>43.796338595835714</v>
      </c>
      <c r="J302" s="85">
        <f>IF(H302,An,'2027'!An_max)</f>
        <v>2028</v>
      </c>
      <c r="K302" s="197">
        <f t="shared" si="104"/>
        <v>47040</v>
      </c>
      <c r="L302" s="147">
        <f>IF(t&lt;Tvie,1-EXP((T0-t)*PertePVj)+'2027'!Pspv,1-EXP((T0-t)*PertePVj)+Pspv)</f>
        <v>6.5665345370507833E-2</v>
      </c>
      <c r="M302" s="832"/>
      <c r="N302" s="832"/>
      <c r="O302" s="48">
        <f>IF(t&lt;Tnet,'2027'!Resal+('2027'!Salim-'2027'!Resal)*(1-EXP(('2027'!Tnet-t)/('2027'!Tau_j))),Resal+(Salim-Resal)*(1-EXP((Tnet-t)/(Tau_j))))*Salcycl</f>
        <v>2.8644650333139045E-2</v>
      </c>
      <c r="P302" s="169">
        <f>(INDEX(Models!$BJ302:$BT302,,T302)*(1-R302)+INDEX(Models!$BJ302:$BT302,,T302+1)*R302-ERP_i)*Q302*Ramure*Pc/MaxiM</f>
        <v>2.9380599403423858E-5</v>
      </c>
      <c r="Q302" s="304">
        <f t="shared" si="105"/>
        <v>0.6</v>
      </c>
      <c r="R302" s="177">
        <f t="shared" si="106"/>
        <v>0.97159391410329654</v>
      </c>
      <c r="S302" s="799">
        <f t="shared" si="107"/>
        <v>-1</v>
      </c>
      <c r="T302" s="176">
        <f t="shared" si="108"/>
        <v>5</v>
      </c>
      <c r="U302" s="250">
        <f t="shared" si="109"/>
        <v>-2.8406085896703515E-2</v>
      </c>
      <c r="V302" s="382">
        <f t="shared" si="110"/>
        <v>39.332969970443536</v>
      </c>
      <c r="W302" s="400">
        <f t="shared" si="111"/>
        <v>39.747117461164869</v>
      </c>
      <c r="X302" s="157">
        <f t="shared" si="112"/>
        <v>47040</v>
      </c>
      <c r="Y302" s="383">
        <f t="shared" si="113"/>
        <v>38.45600018321614</v>
      </c>
      <c r="Z302" s="383">
        <f t="shared" si="114"/>
        <v>41.15870046419905</v>
      </c>
      <c r="AA302" s="384">
        <f t="shared" si="115"/>
        <v>43.78968764478153</v>
      </c>
      <c r="AB302" s="197">
        <f t="shared" si="116"/>
        <v>47040</v>
      </c>
      <c r="AC302" s="119">
        <f>IF(OR(t&lt;Tnet,NoTnet),'2027'!Resal_s+('2027'!Salim-'2027'!Resal_s)*(1-EXP(('2027'!Tnet_s-t)/'2027'!Tau_j)),Resal_s+(Salim-Resal_s)*(1-EXP((Tnet_s-t)/Tau_j)))*Salcycl</f>
        <v>6.0082346371703746E-2</v>
      </c>
      <c r="AD302" s="230">
        <f>(INDEX(Models!$BJ302:$BT302,,AH302)*(1-AF302)+INDEX(Models!$BJ302:$BT302,,AH302+1)*AF302-ERP_i)*AE302*Ramure*Pc/MaxiM</f>
        <v>1.5186089219828051E-4</v>
      </c>
      <c r="AE302" s="304">
        <f t="shared" si="117"/>
        <v>0.6</v>
      </c>
      <c r="AF302" s="177">
        <f t="shared" si="118"/>
        <v>0.49658148047727479</v>
      </c>
      <c r="AG302" s="799">
        <f t="shared" si="124"/>
        <v>3</v>
      </c>
      <c r="AH302" s="176">
        <f t="shared" si="119"/>
        <v>9</v>
      </c>
      <c r="AI302" s="224">
        <f t="shared" si="120"/>
        <v>3.4965814804772748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47041</v>
      </c>
      <c r="B303" s="409">
        <f>IF(t&gt;Tmaj,'2027'!Wh/'2027'!Env_an*'2028'!Env_an,0.001*'[12]mon-tableau (1)'!$B$257)</f>
        <v>34.201123686482831</v>
      </c>
      <c r="C303" s="829"/>
      <c r="D303" s="391">
        <f t="shared" si="102"/>
        <v>36.605491390384415</v>
      </c>
      <c r="E303" s="383">
        <f t="shared" si="125"/>
        <v>37.688397015931848</v>
      </c>
      <c r="F303" s="383">
        <f t="shared" si="103"/>
        <v>37.689324458504743</v>
      </c>
      <c r="G303" s="110">
        <f t="shared" si="126"/>
        <v>0.87638897420871842</v>
      </c>
      <c r="H303" s="412" t="b">
        <f>Wh_hp&gt;='2027'!Maxi_hp</f>
        <v>0</v>
      </c>
      <c r="I303" s="388">
        <f>IF(H303,Wh_hp,'2027'!Maxi_hp)</f>
        <v>41.812215939762069</v>
      </c>
      <c r="J303" s="85">
        <f>IF(H303,An,'2027'!An_max)</f>
        <v>2021</v>
      </c>
      <c r="K303" s="197">
        <f t="shared" si="104"/>
        <v>47041</v>
      </c>
      <c r="L303" s="147">
        <f>IF(t&lt;Tvie,1-EXP((T0-t)*PertePVj)+'2027'!Pspv,1-EXP((T0-t)*PertePVj)+Pspv)</f>
        <v>6.5683251681007859E-2</v>
      </c>
      <c r="M303" s="832"/>
      <c r="N303" s="832"/>
      <c r="O303" s="48">
        <f>IF(t&lt;Tnet,'2027'!Resal+('2027'!Salim-'2027'!Resal)*(1-EXP(('2027'!Tnet-t)/('2027'!Tau_j))),Resal+(Salim-Resal)*(1-EXP((Tnet-t)/(Tau_j))))*Salcycl</f>
        <v>2.8733130387309E-2</v>
      </c>
      <c r="P303" s="169">
        <f>(INDEX(Models!$BJ303:$BT303,,T303)*(1-R303)+INDEX(Models!$BJ303:$BT303,,T303+1)*R303-ERP_i)*Q303*Ramure*Pc/MaxiM</f>
        <v>2.9884608112852199E-5</v>
      </c>
      <c r="Q303" s="304">
        <f t="shared" si="105"/>
        <v>0.6</v>
      </c>
      <c r="R303" s="177">
        <f t="shared" si="106"/>
        <v>0.97170190047792948</v>
      </c>
      <c r="S303" s="799">
        <f t="shared" si="107"/>
        <v>-1</v>
      </c>
      <c r="T303" s="176">
        <f t="shared" si="108"/>
        <v>5</v>
      </c>
      <c r="U303" s="250">
        <f t="shared" si="109"/>
        <v>-2.8298099522070519E-2</v>
      </c>
      <c r="V303" s="382">
        <f t="shared" si="110"/>
        <v>39.024844227623731</v>
      </c>
      <c r="W303" s="400">
        <f t="shared" si="111"/>
        <v>34.201123686482831</v>
      </c>
      <c r="X303" s="157">
        <f t="shared" si="112"/>
        <v>47041</v>
      </c>
      <c r="Y303" s="383">
        <f t="shared" si="113"/>
        <v>33.092455066370789</v>
      </c>
      <c r="Z303" s="383">
        <f t="shared" si="114"/>
        <v>35.418882435651732</v>
      </c>
      <c r="AA303" s="384">
        <f t="shared" si="115"/>
        <v>37.684348162793697</v>
      </c>
      <c r="AB303" s="197">
        <f t="shared" si="116"/>
        <v>47041</v>
      </c>
      <c r="AC303" s="119">
        <f>IF(OR(t&lt;Tnet,NoTnet),'2027'!Resal_s+('2027'!Salim-'2027'!Resal_s)*(1-EXP(('2027'!Tnet_s-t)/'2027'!Tau_j)),Resal_s+(Salim-Resal_s)*(1-EXP((Tnet_s-t)/Tau_j)))*Salcycl</f>
        <v>6.01168877156988E-2</v>
      </c>
      <c r="AD303" s="230">
        <f>(INDEX(Models!$BJ303:$BT303,,AH303)*(1-AF303)+INDEX(Models!$BJ303:$BT303,,AH303+1)*AF303-ERP_i)*AE303*Ramure*Pc/MaxiM</f>
        <v>1.6034917042275949E-4</v>
      </c>
      <c r="AE303" s="304">
        <f t="shared" si="117"/>
        <v>0.6</v>
      </c>
      <c r="AF303" s="177">
        <f t="shared" si="118"/>
        <v>0.49668946685190818</v>
      </c>
      <c r="AG303" s="799">
        <f t="shared" si="124"/>
        <v>3</v>
      </c>
      <c r="AH303" s="176">
        <f t="shared" si="119"/>
        <v>9</v>
      </c>
      <c r="AI303" s="224">
        <f t="shared" si="120"/>
        <v>3.4966894668519082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47042</v>
      </c>
      <c r="B304" s="409">
        <f>IF(t&gt;Tmaj,'2027'!Wh/'2027'!Env_an*'2028'!Env_an,0.001*'[12]mon-tableau (1)'!$B$258)</f>
        <v>19.118243570357915</v>
      </c>
      <c r="C304" s="829"/>
      <c r="D304" s="391">
        <f t="shared" si="102"/>
        <v>20.462664303678935</v>
      </c>
      <c r="E304" s="383">
        <f t="shared" si="125"/>
        <v>21.069920630655641</v>
      </c>
      <c r="F304" s="383">
        <f t="shared" si="103"/>
        <v>21.070097963797391</v>
      </c>
      <c r="G304" s="110">
        <f t="shared" si="126"/>
        <v>0.49387129386112294</v>
      </c>
      <c r="H304" s="412" t="b">
        <f>Wh_hp&gt;='2027'!Maxi_hp</f>
        <v>0</v>
      </c>
      <c r="I304" s="388">
        <f>IF(H304,Wh_hp,'2027'!Maxi_hp)</f>
        <v>39.356868501239063</v>
      </c>
      <c r="J304" s="85">
        <f>IF(H304,An,'2027'!An_max)</f>
        <v>2021</v>
      </c>
      <c r="K304" s="197">
        <f t="shared" si="104"/>
        <v>47042</v>
      </c>
      <c r="L304" s="147">
        <f>IF(t&lt;Tvie,1-EXP((T0-t)*PertePVj)+'2027'!Pspv,1-EXP((T0-t)*PertePVj)+Pspv)</f>
        <v>6.5701157648337505E-2</v>
      </c>
      <c r="M304" s="832"/>
      <c r="N304" s="832"/>
      <c r="O304" s="48">
        <f>IF(t&lt;Tnet,'2027'!Resal+('2027'!Salim-'2027'!Resal)*(1-EXP(('2027'!Tnet-t)/('2027'!Tau_j))),Resal+(Salim-Resal)*(1-EXP((Tnet-t)/(Tau_j))))*Salcycl</f>
        <v>2.8821006857196265E-2</v>
      </c>
      <c r="P304" s="169">
        <f>(INDEX(Models!$BJ304:$BT304,,T304)*(1-R304)+INDEX(Models!$BJ304:$BT304,,T304+1)*R304-ERP_i)*Q304*Ramure*Pc/MaxiM</f>
        <v>3.0386702808044313E-5</v>
      </c>
      <c r="Q304" s="304">
        <f t="shared" si="105"/>
        <v>0.6</v>
      </c>
      <c r="R304" s="177">
        <f t="shared" si="106"/>
        <v>0.97180558304317433</v>
      </c>
      <c r="S304" s="799">
        <f t="shared" si="107"/>
        <v>-1</v>
      </c>
      <c r="T304" s="176">
        <f t="shared" si="108"/>
        <v>5</v>
      </c>
      <c r="U304" s="250">
        <f t="shared" si="109"/>
        <v>-2.8194416956825674E-2</v>
      </c>
      <c r="V304" s="382">
        <f t="shared" si="110"/>
        <v>38.710133125254167</v>
      </c>
      <c r="W304" s="400">
        <f t="shared" si="111"/>
        <v>19.118243570357915</v>
      </c>
      <c r="X304" s="157">
        <f t="shared" si="112"/>
        <v>47042</v>
      </c>
      <c r="Y304" s="383">
        <f t="shared" si="113"/>
        <v>18.500792384857469</v>
      </c>
      <c r="Z304" s="383">
        <f t="shared" si="114"/>
        <v>19.801793116097986</v>
      </c>
      <c r="AA304" s="384">
        <f t="shared" si="115"/>
        <v>21.069110948496874</v>
      </c>
      <c r="AB304" s="197">
        <f t="shared" si="116"/>
        <v>47042</v>
      </c>
      <c r="AC304" s="119">
        <f>IF(OR(t&lt;Tnet,NoTnet),'2027'!Resal_s+('2027'!Salim-'2027'!Resal_s)*(1-EXP(('2027'!Tnet_s-t)/'2027'!Tau_j)),Resal_s+(Salim-Resal_s)*(1-EXP((Tnet_s-t)/Tau_j)))*Salcycl</f>
        <v>6.0150513018647503E-2</v>
      </c>
      <c r="AD304" s="230">
        <f>(INDEX(Models!$BJ304:$BT304,,AH304)*(1-AF304)+INDEX(Models!$BJ304:$BT304,,AH304+1)*AF304-ERP_i)*AE304*Ramure*Pc/MaxiM</f>
        <v>1.6912879514549185E-4</v>
      </c>
      <c r="AE304" s="304">
        <f t="shared" si="117"/>
        <v>0.6</v>
      </c>
      <c r="AF304" s="177">
        <f t="shared" si="118"/>
        <v>0.49679314941715269</v>
      </c>
      <c r="AG304" s="799">
        <f t="shared" si="124"/>
        <v>3</v>
      </c>
      <c r="AH304" s="176">
        <f t="shared" si="119"/>
        <v>9</v>
      </c>
      <c r="AI304" s="224">
        <f t="shared" si="120"/>
        <v>3.4967931494171527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47043</v>
      </c>
      <c r="B305" s="409">
        <f>IF(t&gt;Tmaj,'2027'!Wh/'2027'!Env_an*'2028'!Env_an,0.001*'[12]mon-tableau (1)'!$B$259)</f>
        <v>36.858566715197796</v>
      </c>
      <c r="C305" s="829"/>
      <c r="D305" s="391">
        <f t="shared" si="102"/>
        <v>39.451267029275151</v>
      </c>
      <c r="E305" s="383">
        <f t="shared" si="125"/>
        <v>40.625686083334408</v>
      </c>
      <c r="F305" s="383">
        <f t="shared" si="103"/>
        <v>40.626870574327498</v>
      </c>
      <c r="G305" s="110">
        <f t="shared" si="126"/>
        <v>0.96010905867498408</v>
      </c>
      <c r="H305" s="412" t="b">
        <f>Wh_hp&gt;='2027'!Maxi_hp</f>
        <v>0</v>
      </c>
      <c r="I305" s="388">
        <f>IF(H305,Wh_hp,'2027'!Maxi_hp)</f>
        <v>40.626924180604306</v>
      </c>
      <c r="J305" s="85">
        <f>IF(H305,An,'2027'!An_max)</f>
        <v>2026</v>
      </c>
      <c r="K305" s="197">
        <f t="shared" si="104"/>
        <v>47043</v>
      </c>
      <c r="L305" s="147">
        <f>IF(t&lt;Tvie,1-EXP((T0-t)*PertePVj)+'2027'!Pspv,1-EXP((T0-t)*PertePVj)+Pspv)</f>
        <v>6.571906327250332E-2</v>
      </c>
      <c r="M305" s="832"/>
      <c r="N305" s="832"/>
      <c r="O305" s="48">
        <f>IF(t&lt;Tnet,'2027'!Resal+('2027'!Salim-'2027'!Resal)*(1-EXP(('2027'!Tnet-t)/('2027'!Tau_j))),Resal+(Salim-Resal)*(1-EXP((Tnet-t)/(Tau_j))))*Salcycl</f>
        <v>2.8908288506197841E-2</v>
      </c>
      <c r="P305" s="169">
        <f>(INDEX(Models!$BJ305:$BT305,,T305)*(1-R305)+INDEX(Models!$BJ305:$BT305,,T305+1)*R305-ERP_i)*Q305*Ramure*Pc/MaxiM</f>
        <v>3.0917162356553863E-5</v>
      </c>
      <c r="Q305" s="304">
        <f t="shared" si="105"/>
        <v>0.6</v>
      </c>
      <c r="R305" s="177">
        <f t="shared" si="106"/>
        <v>0.9719051316336148</v>
      </c>
      <c r="S305" s="799">
        <f t="shared" si="107"/>
        <v>-1</v>
      </c>
      <c r="T305" s="176">
        <f t="shared" si="108"/>
        <v>5</v>
      </c>
      <c r="U305" s="250">
        <f t="shared" si="109"/>
        <v>-2.8094868366385195E-2</v>
      </c>
      <c r="V305" s="382">
        <f t="shared" si="110"/>
        <v>38.389911482162169</v>
      </c>
      <c r="W305" s="400">
        <f t="shared" si="111"/>
        <v>36.858566715197796</v>
      </c>
      <c r="X305" s="157">
        <f t="shared" si="112"/>
        <v>47043</v>
      </c>
      <c r="Y305" s="383">
        <f t="shared" si="113"/>
        <v>35.666555856377947</v>
      </c>
      <c r="Z305" s="383">
        <f t="shared" si="114"/>
        <v>38.175407903865718</v>
      </c>
      <c r="AA305" s="384">
        <f t="shared" si="115"/>
        <v>40.620054630643999</v>
      </c>
      <c r="AB305" s="197">
        <f t="shared" si="116"/>
        <v>47043</v>
      </c>
      <c r="AC305" s="119">
        <f>IF(OR(t&lt;Tnet,NoTnet),'2027'!Resal_s+('2027'!Salim-'2027'!Resal_s)*(1-EXP(('2027'!Tnet_s-t)/'2027'!Tau_j)),Resal_s+(Salim-Resal_s)*(1-EXP((Tnet_s-t)/Tau_j)))*Salcycl</f>
        <v>6.018324566540656E-2</v>
      </c>
      <c r="AD305" s="230">
        <f>(INDEX(Models!$BJ305:$BT305,,AH305)*(1-AF305)+INDEX(Models!$BJ305:$BT305,,AH305+1)*AF305-ERP_i)*AE305*Ramure*Pc/MaxiM</f>
        <v>1.7790733632010102E-4</v>
      </c>
      <c r="AE305" s="304">
        <f t="shared" si="117"/>
        <v>0.6</v>
      </c>
      <c r="AF305" s="177">
        <f t="shared" si="118"/>
        <v>0.49689269800759339</v>
      </c>
      <c r="AG305" s="799">
        <f t="shared" si="124"/>
        <v>3</v>
      </c>
      <c r="AH305" s="176">
        <f t="shared" si="119"/>
        <v>9</v>
      </c>
      <c r="AI305" s="224">
        <f t="shared" si="120"/>
        <v>3.4968926980075934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47044</v>
      </c>
      <c r="B306" s="409">
        <f>IF(t&gt;Tmaj,'2027'!Wh/'2027'!Env_an*'2028'!Env_an,0.001*'[12]mon-tableau (1)'!$B$260)</f>
        <v>17.312552970625699</v>
      </c>
      <c r="C306" s="829"/>
      <c r="D306" s="391">
        <f t="shared" si="102"/>
        <v>18.530705366583174</v>
      </c>
      <c r="E306" s="383">
        <f t="shared" si="125"/>
        <v>19.08404703912742</v>
      </c>
      <c r="F306" s="383">
        <f t="shared" si="103"/>
        <v>19.08417988629115</v>
      </c>
      <c r="G306" s="110">
        <f t="shared" si="126"/>
        <v>0.45480133156489416</v>
      </c>
      <c r="H306" s="412" t="b">
        <f>Wh_hp&gt;='2027'!Maxi_hp</f>
        <v>0</v>
      </c>
      <c r="I306" s="388">
        <f>IF(H306,Wh_hp,'2027'!Maxi_hp)</f>
        <v>40.405295591154072</v>
      </c>
      <c r="J306" s="85">
        <f>IF(H306,An,'2027'!An_max)</f>
        <v>2020</v>
      </c>
      <c r="K306" s="197">
        <f t="shared" si="104"/>
        <v>47044</v>
      </c>
      <c r="L306" s="147">
        <f>IF(t&lt;Tvie,1-EXP((T0-t)*PertePVj)+'2027'!Pspv,1-EXP((T0-t)*PertePVj)+Pspv)</f>
        <v>6.5736968553511965E-2</v>
      </c>
      <c r="M306" s="832"/>
      <c r="N306" s="832"/>
      <c r="O306" s="48">
        <f>IF(t&lt;Tnet,'2027'!Resal+('2027'!Salim-'2027'!Resal)*(1-EXP(('2027'!Tnet-t)/('2027'!Tau_j))),Resal+(Salim-Resal)*(1-EXP((Tnet-t)/(Tau_j))))*Salcycl</f>
        <v>2.8994985781042513E-2</v>
      </c>
      <c r="P306" s="169">
        <f>(INDEX(Models!$BJ306:$BT306,,T306)*(1-R306)+INDEX(Models!$BJ306:$BT306,,T306+1)*R306-ERP_i)*Q306*Ramure*Pc/MaxiM</f>
        <v>3.1475370755978713E-5</v>
      </c>
      <c r="Q306" s="304">
        <f t="shared" si="105"/>
        <v>0.6</v>
      </c>
      <c r="R306" s="177">
        <f t="shared" si="106"/>
        <v>0.97200070951504491</v>
      </c>
      <c r="S306" s="799">
        <f t="shared" si="107"/>
        <v>-1</v>
      </c>
      <c r="T306" s="176">
        <f t="shared" si="108"/>
        <v>5</v>
      </c>
      <c r="U306" s="250">
        <f t="shared" si="109"/>
        <v>-2.7999290484955086E-2</v>
      </c>
      <c r="V306" s="382">
        <f t="shared" si="110"/>
        <v>38.065254786624017</v>
      </c>
      <c r="W306" s="400">
        <f t="shared" si="111"/>
        <v>17.312552970625699</v>
      </c>
      <c r="X306" s="157">
        <f t="shared" si="112"/>
        <v>47044</v>
      </c>
      <c r="Y306" s="383">
        <f t="shared" si="113"/>
        <v>16.755337957260462</v>
      </c>
      <c r="Z306" s="383">
        <f t="shared" si="114"/>
        <v>17.934283379830127</v>
      </c>
      <c r="AA306" s="384">
        <f t="shared" si="115"/>
        <v>19.083391969799589</v>
      </c>
      <c r="AB306" s="197">
        <f t="shared" si="116"/>
        <v>47044</v>
      </c>
      <c r="AC306" s="119">
        <f>IF(OR(t&lt;Tnet,NoTnet),'2027'!Resal_s+('2027'!Salim-'2027'!Resal_s)*(1-EXP(('2027'!Tnet_s-t)/'2027'!Tau_j)),Resal_s+(Salim-Resal_s)*(1-EXP((Tnet_s-t)/Tau_j)))*Salcycl</f>
        <v>6.0215112270815448E-2</v>
      </c>
      <c r="AD306" s="230">
        <f>(INDEX(Models!$BJ306:$BT306,,AH306)*(1-AF306)+INDEX(Models!$BJ306:$BT306,,AH306+1)*AF306-ERP_i)*AE306*Ramure*Pc/MaxiM</f>
        <v>1.8668041530044857E-4</v>
      </c>
      <c r="AE306" s="304">
        <f t="shared" si="117"/>
        <v>0.6</v>
      </c>
      <c r="AF306" s="177">
        <f t="shared" si="118"/>
        <v>0.49698827588902361</v>
      </c>
      <c r="AG306" s="799">
        <f t="shared" si="124"/>
        <v>3</v>
      </c>
      <c r="AH306" s="176">
        <f t="shared" si="119"/>
        <v>9</v>
      </c>
      <c r="AI306" s="224">
        <f t="shared" si="120"/>
        <v>3.4969882758890236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47045</v>
      </c>
      <c r="B307" s="409">
        <f>IF(t&gt;Tmaj,'2027'!Wh/'2027'!Env_an*'2028'!Env_an,0.001*'[12]mon-tableau (1)'!$B$261)</f>
        <v>6.9438848635514114</v>
      </c>
      <c r="C307" s="829"/>
      <c r="D307" s="391">
        <f t="shared" si="102"/>
        <v>7.4326155593676173</v>
      </c>
      <c r="E307" s="383">
        <f t="shared" si="125"/>
        <v>7.6552383955368226</v>
      </c>
      <c r="F307" s="383">
        <f t="shared" si="103"/>
        <v>7.6552383955368226</v>
      </c>
      <c r="G307" s="110">
        <f t="shared" si="126"/>
        <v>0.18400027685950912</v>
      </c>
      <c r="H307" s="412" t="b">
        <f>Wh_hp&gt;='2027'!Maxi_hp</f>
        <v>0</v>
      </c>
      <c r="I307" s="388">
        <f>IF(H307,Wh_hp,'2027'!Maxi_hp)</f>
        <v>35.276334723455363</v>
      </c>
      <c r="J307" s="85">
        <f>IF(H307,An,'2027'!An_max)</f>
        <v>2020</v>
      </c>
      <c r="K307" s="197">
        <f t="shared" si="104"/>
        <v>47045</v>
      </c>
      <c r="L307" s="147">
        <f>IF(t&lt;Tvie,1-EXP((T0-t)*PertePVj)+'2027'!Pspv,1-EXP((T0-t)*PertePVj)+Pspv)</f>
        <v>6.5754873491369992E-2</v>
      </c>
      <c r="M307" s="832"/>
      <c r="N307" s="832"/>
      <c r="O307" s="48">
        <f>IF(t&lt;Tnet,'2027'!Resal+('2027'!Salim-'2027'!Resal)*(1-EXP(('2027'!Tnet-t)/('2027'!Tau_j))),Resal+(Salim-Resal)*(1-EXP((Tnet-t)/(Tau_j))))*Salcycl</f>
        <v>2.908111082458251E-2</v>
      </c>
      <c r="P307" s="169">
        <f>(INDEX(Models!$BJ307:$BT307,,T307)*(1-R307)+INDEX(Models!$BJ307:$BT307,,T307+1)*R307-ERP_i)*Q307*Ramure*Pc/MaxiM</f>
        <v>3.2060654542333116E-5</v>
      </c>
      <c r="Q307" s="304">
        <f t="shared" si="105"/>
        <v>0.6</v>
      </c>
      <c r="R307" s="177">
        <f t="shared" si="106"/>
        <v>0.9720924736280383</v>
      </c>
      <c r="S307" s="799">
        <f t="shared" si="107"/>
        <v>-1</v>
      </c>
      <c r="T307" s="176">
        <f t="shared" si="108"/>
        <v>5</v>
      </c>
      <c r="U307" s="250">
        <f t="shared" si="109"/>
        <v>-2.7907526371961699E-2</v>
      </c>
      <c r="V307" s="382">
        <f t="shared" si="110"/>
        <v>37.7372379899154</v>
      </c>
      <c r="W307" s="400">
        <f t="shared" si="111"/>
        <v>6.9438848635514114</v>
      </c>
      <c r="X307" s="157">
        <f t="shared" si="112"/>
        <v>47045</v>
      </c>
      <c r="Y307" s="383">
        <f t="shared" si="113"/>
        <v>6.7209966333308735</v>
      </c>
      <c r="Z307" s="383">
        <f t="shared" si="114"/>
        <v>7.1940398109947097</v>
      </c>
      <c r="AA307" s="384">
        <f t="shared" si="115"/>
        <v>7.6552383955368226</v>
      </c>
      <c r="AB307" s="197">
        <f t="shared" si="116"/>
        <v>47045</v>
      </c>
      <c r="AC307" s="119">
        <f>IF(OR(t&lt;Tnet,NoTnet),'2027'!Resal_s+('2027'!Salim-'2027'!Resal_s)*(1-EXP(('2027'!Tnet_s-t)/'2027'!Tau_j)),Resal_s+(Salim-Resal_s)*(1-EXP((Tnet_s-t)/Tau_j)))*Salcycl</f>
        <v>6.0246142668920886E-2</v>
      </c>
      <c r="AD307" s="230">
        <f>(INDEX(Models!$BJ307:$BT307,,AH307)*(1-AF307)+INDEX(Models!$BJ307:$BT307,,AH307+1)*AF307-ERP_i)*AE307*Ramure*Pc/MaxiM</f>
        <v>1.9544283146379898E-4</v>
      </c>
      <c r="AE307" s="304">
        <f t="shared" si="117"/>
        <v>0.6</v>
      </c>
      <c r="AF307" s="177">
        <f t="shared" si="118"/>
        <v>0.49708004000201678</v>
      </c>
      <c r="AG307" s="799">
        <f t="shared" si="124"/>
        <v>3</v>
      </c>
      <c r="AH307" s="176">
        <f t="shared" si="119"/>
        <v>9</v>
      </c>
      <c r="AI307" s="224">
        <f t="shared" si="120"/>
        <v>3.4970800400020168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47046</v>
      </c>
      <c r="B308" s="409">
        <f>IF(t&gt;Tmaj,'2027'!Wh/'2027'!Env_an*'2028'!Env_an,0.001*'[12]mon-tableau (1)'!$B$262)</f>
        <v>17.932793234562595</v>
      </c>
      <c r="C308" s="829"/>
      <c r="D308" s="391">
        <f t="shared" si="102"/>
        <v>19.195322951331217</v>
      </c>
      <c r="E308" s="383">
        <f t="shared" si="125"/>
        <v>19.772006693667937</v>
      </c>
      <c r="F308" s="383">
        <f t="shared" si="103"/>
        <v>19.772172252451675</v>
      </c>
      <c r="G308" s="110">
        <f t="shared" si="126"/>
        <v>0.47938590092719824</v>
      </c>
      <c r="H308" s="412" t="b">
        <f>Wh_hp&gt;='2027'!Maxi_hp</f>
        <v>0</v>
      </c>
      <c r="I308" s="388">
        <f>IF(H308,Wh_hp,'2027'!Maxi_hp)</f>
        <v>23.212774519208907</v>
      </c>
      <c r="J308" s="85">
        <f>IF(H308,An,'2027'!An_max)</f>
        <v>2018</v>
      </c>
      <c r="K308" s="197">
        <f t="shared" si="104"/>
        <v>47046</v>
      </c>
      <c r="L308" s="147">
        <f>IF(t&lt;Tvie,1-EXP((T0-t)*PertePVj)+'2027'!Pspv,1-EXP((T0-t)*PertePVj)+Pspv)</f>
        <v>6.5772778086083949E-2</v>
      </c>
      <c r="M308" s="832"/>
      <c r="N308" s="832"/>
      <c r="O308" s="48">
        <f>IF(t&lt;Tnet,'2027'!Resal+('2027'!Salim-'2027'!Resal)*(1-EXP(('2027'!Tnet-t)/('2027'!Tau_j))),Resal+(Salim-Resal)*(1-EXP((Tnet-t)/(Tau_j))))*Salcycl</f>
        <v>2.916667747848815E-2</v>
      </c>
      <c r="P308" s="169">
        <f>(INDEX(Models!$BJ308:$BT308,,T308)*(1-R308)+INDEX(Models!$BJ308:$BT308,,T308+1)*R308-ERP_i)*Q308*Ramure*Pc/MaxiM</f>
        <v>3.2672274902860426E-5</v>
      </c>
      <c r="Q308" s="304">
        <f t="shared" si="105"/>
        <v>0.6</v>
      </c>
      <c r="R308" s="177">
        <f t="shared" si="106"/>
        <v>0.97218057482332365</v>
      </c>
      <c r="S308" s="799">
        <f t="shared" si="107"/>
        <v>-1</v>
      </c>
      <c r="T308" s="176">
        <f t="shared" si="108"/>
        <v>5</v>
      </c>
      <c r="U308" s="250">
        <f t="shared" si="109"/>
        <v>-2.7819425176676404E-2</v>
      </c>
      <c r="V308" s="382">
        <f t="shared" si="110"/>
        <v>37.406935515101949</v>
      </c>
      <c r="W308" s="400">
        <f t="shared" si="111"/>
        <v>17.932793234562595</v>
      </c>
      <c r="X308" s="157">
        <f t="shared" si="112"/>
        <v>47046</v>
      </c>
      <c r="Y308" s="383">
        <f t="shared" si="113"/>
        <v>17.357386081649576</v>
      </c>
      <c r="Z308" s="383">
        <f t="shared" si="114"/>
        <v>18.579405175210109</v>
      </c>
      <c r="AA308" s="384">
        <f t="shared" si="115"/>
        <v>19.771137576773086</v>
      </c>
      <c r="AB308" s="197">
        <f t="shared" si="116"/>
        <v>47046</v>
      </c>
      <c r="AC308" s="119">
        <f>IF(OR(t&lt;Tnet,NoTnet),'2027'!Resal_s+('2027'!Salim-'2027'!Resal_s)*(1-EXP(('2027'!Tnet_s-t)/'2027'!Tau_j)),Resal_s+(Salim-Resal_s)*(1-EXP((Tnet_s-t)/Tau_j)))*Salcycl</f>
        <v>6.0276369881873175E-2</v>
      </c>
      <c r="AD308" s="230">
        <f>(INDEX(Models!$BJ308:$BT308,,AH308)*(1-AF308)+INDEX(Models!$BJ308:$BT308,,AH308+1)*AF308-ERP_i)*AE308*Ramure*Pc/MaxiM</f>
        <v>2.0418855129588923E-4</v>
      </c>
      <c r="AE308" s="304">
        <f t="shared" si="117"/>
        <v>0.6</v>
      </c>
      <c r="AF308" s="177">
        <f t="shared" si="118"/>
        <v>0.49716814119730213</v>
      </c>
      <c r="AG308" s="799">
        <f t="shared" si="124"/>
        <v>3</v>
      </c>
      <c r="AH308" s="176">
        <f t="shared" si="119"/>
        <v>9</v>
      </c>
      <c r="AI308" s="224">
        <f t="shared" si="120"/>
        <v>3.4971681411973021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47047</v>
      </c>
      <c r="B309" s="409">
        <f>IF(t&gt;Tmaj,'2027'!Wh/'2027'!Env_an*'2028'!Env_an,0.001*'[12]mon-tableau (1)'!$B$263)</f>
        <v>34.949981109921417</v>
      </c>
      <c r="C309" s="829"/>
      <c r="D309" s="391">
        <f t="shared" si="102"/>
        <v>37.411295786876032</v>
      </c>
      <c r="E309" s="383">
        <f t="shared" si="125"/>
        <v>38.5386158657534</v>
      </c>
      <c r="F309" s="383">
        <f t="shared" si="103"/>
        <v>38.539794470425413</v>
      </c>
      <c r="G309" s="110">
        <f t="shared" si="126"/>
        <v>0.94266995677839915</v>
      </c>
      <c r="H309" s="412" t="b">
        <f>Wh_hp&gt;='2027'!Maxi_hp</f>
        <v>0</v>
      </c>
      <c r="I309" s="388">
        <f>IF(H309,Wh_hp,'2027'!Maxi_hp)</f>
        <v>38.53987356239567</v>
      </c>
      <c r="J309" s="85">
        <f>IF(H309,An,'2027'!An_max)</f>
        <v>2026</v>
      </c>
      <c r="K309" s="197">
        <f t="shared" si="104"/>
        <v>47047</v>
      </c>
      <c r="L309" s="147">
        <f>IF(t&lt;Tvie,1-EXP((T0-t)*PertePVj)+'2027'!Pspv,1-EXP((T0-t)*PertePVj)+Pspv)</f>
        <v>6.57906823376605E-2</v>
      </c>
      <c r="M309" s="832"/>
      <c r="N309" s="832"/>
      <c r="O309" s="48">
        <f>IF(t&lt;Tnet,'2027'!Resal+('2027'!Salim-'2027'!Resal)*(1-EXP(('2027'!Tnet-t)/('2027'!Tau_j))),Resal+(Salim-Resal)*(1-EXP((Tnet-t)/(Tau_j))))*Salcycl</f>
        <v>2.9251701275528688E-2</v>
      </c>
      <c r="P309" s="169">
        <f>(INDEX(Models!$BJ309:$BT309,,T309)*(1-R309)+INDEX(Models!$BJ309:$BT309,,T309+1)*R309-ERP_i)*Q309*Ramure*Pc/MaxiM</f>
        <v>3.3309419804276135E-5</v>
      </c>
      <c r="Q309" s="304">
        <f t="shared" si="105"/>
        <v>0.6</v>
      </c>
      <c r="R309" s="177">
        <f t="shared" si="106"/>
        <v>0.97226515808916947</v>
      </c>
      <c r="S309" s="799">
        <f t="shared" si="107"/>
        <v>-1</v>
      </c>
      <c r="T309" s="176">
        <f t="shared" si="108"/>
        <v>5</v>
      </c>
      <c r="U309" s="250">
        <f t="shared" si="109"/>
        <v>-2.7734841910830477E-2</v>
      </c>
      <c r="V309" s="382">
        <f t="shared" si="110"/>
        <v>37.075421270085407</v>
      </c>
      <c r="W309" s="400">
        <f t="shared" si="111"/>
        <v>34.949981109921417</v>
      </c>
      <c r="X309" s="157">
        <f t="shared" si="112"/>
        <v>47047</v>
      </c>
      <c r="Y309" s="383">
        <f t="shared" si="113"/>
        <v>33.826356343027818</v>
      </c>
      <c r="Z309" s="383">
        <f t="shared" si="114"/>
        <v>36.208540959183637</v>
      </c>
      <c r="AA309" s="384">
        <f t="shared" si="115"/>
        <v>38.532260939546717</v>
      </c>
      <c r="AB309" s="197">
        <f t="shared" si="116"/>
        <v>47047</v>
      </c>
      <c r="AC309" s="119">
        <f>IF(OR(t&lt;Tnet,NoTnet),'2027'!Resal_s+('2027'!Salim-'2027'!Resal_s)*(1-EXP(('2027'!Tnet_s-t)/'2027'!Tau_j)),Resal_s+(Salim-Resal_s)*(1-EXP((Tnet_s-t)/Tau_j)))*Salcycl</f>
        <v>6.0305830068180091E-2</v>
      </c>
      <c r="AD309" s="230">
        <f>(INDEX(Models!$BJ309:$BT309,,AH309)*(1-AF309)+INDEX(Models!$BJ309:$BT309,,AH309+1)*AF309-ERP_i)*AE309*Ramure*Pc/MaxiM</f>
        <v>2.1291069737414191E-4</v>
      </c>
      <c r="AE309" s="304">
        <f t="shared" si="117"/>
        <v>0.6</v>
      </c>
      <c r="AF309" s="177">
        <f t="shared" si="118"/>
        <v>0.49725272446314817</v>
      </c>
      <c r="AG309" s="799">
        <f t="shared" si="124"/>
        <v>3</v>
      </c>
      <c r="AH309" s="176">
        <f t="shared" si="119"/>
        <v>9</v>
      </c>
      <c r="AI309" s="224">
        <f t="shared" si="120"/>
        <v>3.4972527244631482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47048</v>
      </c>
      <c r="B310" s="409">
        <f>IF(t&gt;Tmaj,'2027'!Wh/'2027'!Env_an*'2028'!Env_an,0.001*'[12]mon-tableau (1)'!$B$264)</f>
        <v>16.990540154663641</v>
      </c>
      <c r="C310" s="829"/>
      <c r="D310" s="391">
        <f t="shared" si="102"/>
        <v>18.187429154791694</v>
      </c>
      <c r="E310" s="383">
        <f t="shared" si="125"/>
        <v>18.737104591668842</v>
      </c>
      <c r="F310" s="383">
        <f t="shared" si="103"/>
        <v>18.737252067950557</v>
      </c>
      <c r="G310" s="110">
        <f t="shared" si="126"/>
        <v>0.46239395991718429</v>
      </c>
      <c r="H310" s="412" t="b">
        <f>Wh_hp&gt;='2027'!Maxi_hp</f>
        <v>0</v>
      </c>
      <c r="I310" s="388">
        <f>IF(H310,Wh_hp,'2027'!Maxi_hp)</f>
        <v>37.731513799556055</v>
      </c>
      <c r="J310" s="85">
        <f>IF(H310,An,'2027'!An_max)</f>
        <v>2021</v>
      </c>
      <c r="K310" s="197">
        <f t="shared" si="104"/>
        <v>47048</v>
      </c>
      <c r="L310" s="147">
        <f>IF(t&lt;Tvie,1-EXP((T0-t)*PertePVj)+'2027'!Pspv,1-EXP((T0-t)*PertePVj)+Pspv)</f>
        <v>6.5808586246106082E-2</v>
      </c>
      <c r="M310" s="832"/>
      <c r="N310" s="832"/>
      <c r="O310" s="48">
        <f>IF(t&lt;Tnet,'2027'!Resal+('2027'!Salim-'2027'!Resal)*(1-EXP(('2027'!Tnet-t)/('2027'!Tau_j))),Resal+(Salim-Resal)*(1-EXP((Tnet-t)/(Tau_j))))*Salcycl</f>
        <v>2.9336199421203722E-2</v>
      </c>
      <c r="P310" s="169">
        <f>(INDEX(Models!$BJ310:$BT310,,T310)*(1-R310)+INDEX(Models!$BJ310:$BT310,,T310+1)*R310-ERP_i)*Q310*Ramure*Pc/MaxiM</f>
        <v>3.3924404298831551E-5</v>
      </c>
      <c r="Q310" s="304">
        <f t="shared" si="105"/>
        <v>0.6</v>
      </c>
      <c r="R310" s="177">
        <f t="shared" si="106"/>
        <v>0.97234636277099129</v>
      </c>
      <c r="S310" s="799">
        <f t="shared" si="107"/>
        <v>-1</v>
      </c>
      <c r="T310" s="176">
        <f t="shared" si="108"/>
        <v>5</v>
      </c>
      <c r="U310" s="250">
        <f t="shared" si="109"/>
        <v>-2.765363722900871E-2</v>
      </c>
      <c r="V310" s="382">
        <f t="shared" si="110"/>
        <v>36.743770374104365</v>
      </c>
      <c r="W310" s="400">
        <f t="shared" si="111"/>
        <v>16.990540154663641</v>
      </c>
      <c r="X310" s="157">
        <f t="shared" si="112"/>
        <v>47048</v>
      </c>
      <c r="Y310" s="383">
        <f t="shared" si="113"/>
        <v>16.447223656037114</v>
      </c>
      <c r="Z310" s="383">
        <f t="shared" si="114"/>
        <v>17.605839032438396</v>
      </c>
      <c r="AA310" s="384">
        <f t="shared" si="115"/>
        <v>18.736284563520282</v>
      </c>
      <c r="AB310" s="197">
        <f t="shared" si="116"/>
        <v>47048</v>
      </c>
      <c r="AC310" s="119">
        <f>IF(OR(t&lt;Tnet,NoTnet),'2027'!Resal_s+('2027'!Salim-'2027'!Resal_s)*(1-EXP(('2027'!Tnet_s-t)/'2027'!Tau_j)),Resal_s+(Salim-Resal_s)*(1-EXP((Tnet_s-t)/Tau_j)))*Salcycl</f>
        <v>6.0334562450170881E-2</v>
      </c>
      <c r="AD310" s="230">
        <f>(INDEX(Models!$BJ310:$BT310,,AH310)*(1-AF310)+INDEX(Models!$BJ310:$BT310,,AH310+1)*AF310-ERP_i)*AE310*Ramure*Pc/MaxiM</f>
        <v>2.2255789928797695E-4</v>
      </c>
      <c r="AE310" s="304">
        <f t="shared" si="117"/>
        <v>0.6</v>
      </c>
      <c r="AF310" s="177">
        <f t="shared" si="118"/>
        <v>0.49733392914496966</v>
      </c>
      <c r="AG310" s="799">
        <f t="shared" si="124"/>
        <v>3</v>
      </c>
      <c r="AH310" s="176">
        <f t="shared" si="119"/>
        <v>9</v>
      </c>
      <c r="AI310" s="224">
        <f t="shared" si="120"/>
        <v>3.4973339291449697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47049</v>
      </c>
      <c r="B311" s="409">
        <f>IF(t&gt;Tmaj,'2027'!Wh/'2027'!Env_an*'2028'!Env_an,0.001*'[12]mon-tableau (1)'!$B$265)</f>
        <v>28.854745433208667</v>
      </c>
      <c r="C311" s="829"/>
      <c r="D311" s="391">
        <f t="shared" si="102"/>
        <v>30.887993631273098</v>
      </c>
      <c r="E311" s="383">
        <f t="shared" si="125"/>
        <v>31.824269717299234</v>
      </c>
      <c r="F311" s="383">
        <f t="shared" si="103"/>
        <v>31.825041179111704</v>
      </c>
      <c r="G311" s="110">
        <f t="shared" si="126"/>
        <v>0.79242042138885471</v>
      </c>
      <c r="H311" s="412" t="b">
        <f>Wh_hp&gt;='2027'!Maxi_hp</f>
        <v>0</v>
      </c>
      <c r="I311" s="388">
        <f>IF(H311,Wh_hp,'2027'!Maxi_hp)</f>
        <v>41.981963629803325</v>
      </c>
      <c r="J311" s="85">
        <f>IF(H311,An,'2027'!An_max)</f>
        <v>2021</v>
      </c>
      <c r="K311" s="197">
        <f t="shared" si="104"/>
        <v>47049</v>
      </c>
      <c r="L311" s="147">
        <f>IF(t&lt;Tvie,1-EXP((T0-t)*PertePVj)+'2027'!Pspv,1-EXP((T0-t)*PertePVj)+Pspv)</f>
        <v>6.5826489811427358E-2</v>
      </c>
      <c r="M311" s="832"/>
      <c r="N311" s="832"/>
      <c r="O311" s="48">
        <f>IF(t&lt;Tnet,'2027'!Resal+('2027'!Salim-'2027'!Resal)*(1-EXP(('2027'!Tnet-t)/('2027'!Tau_j))),Resal+(Salim-Resal)*(1-EXP((Tnet-t)/(Tau_j))))*Salcycl</f>
        <v>2.9420190764571977E-2</v>
      </c>
      <c r="P311" s="169">
        <f>(INDEX(Models!$BJ311:$BT311,,T311)*(1-R311)+INDEX(Models!$BJ311:$BT311,,T311+1)*R311-ERP_i)*Q311*Ramure*Pc/MaxiM</f>
        <v>3.4458812115652776E-5</v>
      </c>
      <c r="Q311" s="304">
        <f t="shared" si="105"/>
        <v>0.6</v>
      </c>
      <c r="R311" s="177">
        <f t="shared" si="106"/>
        <v>0.97242432278338398</v>
      </c>
      <c r="S311" s="799">
        <f t="shared" si="107"/>
        <v>-1</v>
      </c>
      <c r="T311" s="176">
        <f t="shared" si="108"/>
        <v>5</v>
      </c>
      <c r="U311" s="250">
        <f t="shared" si="109"/>
        <v>-2.7575677216616024E-2</v>
      </c>
      <c r="V311" s="382">
        <f t="shared" si="110"/>
        <v>36.413057774245218</v>
      </c>
      <c r="W311" s="400">
        <f t="shared" si="111"/>
        <v>28.854745433208667</v>
      </c>
      <c r="X311" s="157">
        <f t="shared" si="112"/>
        <v>47049</v>
      </c>
      <c r="Y311" s="383">
        <f t="shared" si="113"/>
        <v>27.930946191401251</v>
      </c>
      <c r="Z311" s="383">
        <f t="shared" si="114"/>
        <v>29.899098921958405</v>
      </c>
      <c r="AA311" s="384">
        <f t="shared" si="115"/>
        <v>31.819826685654721</v>
      </c>
      <c r="AB311" s="197">
        <f t="shared" si="116"/>
        <v>47049</v>
      </c>
      <c r="AC311" s="119">
        <f>IF(OR(t&lt;Tnet,NoTnet),'2027'!Resal_s+('2027'!Salim-'2027'!Resal_s)*(1-EXP(('2027'!Tnet_s-t)/'2027'!Tau_j)),Resal_s+(Salim-Resal_s)*(1-EXP((Tnet_s-t)/Tau_j)))*Salcycl</f>
        <v>6.0362609220691761E-2</v>
      </c>
      <c r="AD311" s="230">
        <f>(INDEX(Models!$BJ311:$BT311,,AH311)*(1-AF311)+INDEX(Models!$BJ311:$BT311,,AH311+1)*AF311-ERP_i)*AE311*Ramure*Pc/MaxiM</f>
        <v>2.3291528810442431E-4</v>
      </c>
      <c r="AE311" s="304">
        <f t="shared" si="117"/>
        <v>0.6</v>
      </c>
      <c r="AF311" s="177">
        <f t="shared" si="118"/>
        <v>0.49741188915736245</v>
      </c>
      <c r="AG311" s="799">
        <f t="shared" si="124"/>
        <v>3</v>
      </c>
      <c r="AH311" s="176">
        <f t="shared" si="119"/>
        <v>9</v>
      </c>
      <c r="AI311" s="224">
        <f t="shared" si="120"/>
        <v>3.4974118891573625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47050</v>
      </c>
      <c r="B312" s="409">
        <f>IF(t&gt;Tmaj,'2027'!Wh/'2027'!Env_an*'2028'!Env_an,0.001*'[12]mon-tableau (1)'!$B$266)</f>
        <v>23.484812553483689</v>
      </c>
      <c r="C312" s="829"/>
      <c r="D312" s="391">
        <f t="shared" si="102"/>
        <v>25.140150504207352</v>
      </c>
      <c r="E312" s="383">
        <f t="shared" si="125"/>
        <v>25.90442683225713</v>
      </c>
      <c r="F312" s="383">
        <f t="shared" si="103"/>
        <v>25.904880097510354</v>
      </c>
      <c r="G312" s="110">
        <f t="shared" si="126"/>
        <v>0.65081953287159011</v>
      </c>
      <c r="H312" s="412" t="b">
        <f>Wh_hp&gt;='2027'!Maxi_hp</f>
        <v>0</v>
      </c>
      <c r="I312" s="388">
        <f>IF(H312,Wh_hp,'2027'!Maxi_hp)</f>
        <v>38.701357747255933</v>
      </c>
      <c r="J312" s="85">
        <f>IF(H312,An,'2027'!An_max)</f>
        <v>2021</v>
      </c>
      <c r="K312" s="197">
        <f t="shared" si="104"/>
        <v>47050</v>
      </c>
      <c r="L312" s="147">
        <f>IF(t&lt;Tvie,1-EXP((T0-t)*PertePVj)+'2027'!Pspv,1-EXP((T0-t)*PertePVj)+Pspv)</f>
        <v>6.5844393033630877E-2</v>
      </c>
      <c r="M312" s="832"/>
      <c r="N312" s="832"/>
      <c r="O312" s="48">
        <f>IF(t&lt;Tnet,'2027'!Resal+('2027'!Salim-'2027'!Resal)*(1-EXP(('2027'!Tnet-t)/('2027'!Tau_j))),Resal+(Salim-Resal)*(1-EXP((Tnet-t)/(Tau_j))))*Salcycl</f>
        <v>2.9503695758211986E-2</v>
      </c>
      <c r="P312" s="169">
        <f>(INDEX(Models!$BJ312:$BT312,,T312)*(1-R312)+INDEX(Models!$BJ312:$BT312,,T312+1)*R312-ERP_i)*Q312*Ramure*Pc/MaxiM</f>
        <v>3.4911707057647415E-5</v>
      </c>
      <c r="Q312" s="304">
        <f t="shared" si="105"/>
        <v>0.6</v>
      </c>
      <c r="R312" s="177">
        <f t="shared" si="106"/>
        <v>0.9724991668147922</v>
      </c>
      <c r="S312" s="799">
        <f t="shared" si="107"/>
        <v>-1</v>
      </c>
      <c r="T312" s="176">
        <f t="shared" si="108"/>
        <v>5</v>
      </c>
      <c r="U312" s="250">
        <f t="shared" si="109"/>
        <v>-2.7500833185207796E-2</v>
      </c>
      <c r="V312" s="382">
        <f t="shared" si="110"/>
        <v>36.084355778992283</v>
      </c>
      <c r="W312" s="400">
        <f t="shared" si="111"/>
        <v>23.484812553483689</v>
      </c>
      <c r="X312" s="157">
        <f t="shared" si="112"/>
        <v>47050</v>
      </c>
      <c r="Y312" s="383">
        <f t="shared" si="113"/>
        <v>22.735019262171242</v>
      </c>
      <c r="Z312" s="383">
        <f t="shared" si="114"/>
        <v>24.337507683545631</v>
      </c>
      <c r="AA312" s="384">
        <f t="shared" si="115"/>
        <v>25.901712501132426</v>
      </c>
      <c r="AB312" s="197">
        <f t="shared" si="116"/>
        <v>47050</v>
      </c>
      <c r="AC312" s="119">
        <f>IF(OR(t&lt;Tnet,NoTnet),'2027'!Resal_s+('2027'!Salim-'2027'!Resal_s)*(1-EXP(('2027'!Tnet_s-t)/'2027'!Tau_j)),Resal_s+(Salim-Resal_s)*(1-EXP((Tnet_s-t)/Tau_j)))*Salcycl</f>
        <v>6.0390015429227277E-2</v>
      </c>
      <c r="AD312" s="230">
        <f>(INDEX(Models!$BJ312:$BT312,,AH312)*(1-AF312)+INDEX(Models!$BJ312:$BT312,,AH312+1)*AF312-ERP_i)*AE312*Ramure*Pc/MaxiM</f>
        <v>2.4397677968027105E-4</v>
      </c>
      <c r="AE312" s="304">
        <f t="shared" si="117"/>
        <v>0.6</v>
      </c>
      <c r="AF312" s="177">
        <f t="shared" si="118"/>
        <v>0.49748673318877046</v>
      </c>
      <c r="AG312" s="799">
        <f t="shared" si="124"/>
        <v>3</v>
      </c>
      <c r="AH312" s="176">
        <f t="shared" si="119"/>
        <v>9</v>
      </c>
      <c r="AI312" s="224">
        <f t="shared" si="120"/>
        <v>3.4974867331887705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47051</v>
      </c>
      <c r="B313" s="409">
        <f>IF(t&gt;Tmaj,'2027'!Wh/'2027'!Env_an*'2028'!Env_an,0.001*'[12]mon-tableau (1)'!$B$267)</f>
        <v>12.966218055611668</v>
      </c>
      <c r="C313" s="829"/>
      <c r="D313" s="391">
        <f t="shared" si="102"/>
        <v>13.880413989156605</v>
      </c>
      <c r="E313" s="383">
        <f t="shared" si="125"/>
        <v>14.303611162288263</v>
      </c>
      <c r="F313" s="383">
        <f t="shared" si="103"/>
        <v>14.30365629533369</v>
      </c>
      <c r="G313" s="110">
        <f t="shared" si="126"/>
        <v>0.3625911557234045</v>
      </c>
      <c r="H313" s="412" t="b">
        <f>Wh_hp&gt;='2027'!Maxi_hp</f>
        <v>0</v>
      </c>
      <c r="I313" s="388">
        <f>IF(H313,Wh_hp,'2027'!Maxi_hp)</f>
        <v>38.488384875395617</v>
      </c>
      <c r="J313" s="85">
        <f>IF(H313,An,'2027'!An_max)</f>
        <v>2018</v>
      </c>
      <c r="K313" s="197">
        <f t="shared" si="104"/>
        <v>47051</v>
      </c>
      <c r="L313" s="147">
        <f>IF(t&lt;Tvie,1-EXP((T0-t)*PertePVj)+'2027'!Pspv,1-EXP((T0-t)*PertePVj)+Pspv)</f>
        <v>6.5862295912723301E-2</v>
      </c>
      <c r="M313" s="832"/>
      <c r="N313" s="832"/>
      <c r="O313" s="48">
        <f>IF(t&lt;Tnet,'2027'!Resal+('2027'!Salim-'2027'!Resal)*(1-EXP(('2027'!Tnet-t)/('2027'!Tau_j))),Resal+(Salim-Resal)*(1-EXP((Tnet-t)/(Tau_j))))*Salcycl</f>
        <v>2.9586736407336431E-2</v>
      </c>
      <c r="P313" s="169">
        <f>(INDEX(Models!$BJ313:$BT313,,T313)*(1-R313)+INDEX(Models!$BJ313:$BT313,,T313+1)*R313-ERP_i)*Q313*Ramure*Pc/MaxiM</f>
        <v>3.5281888334458344E-5</v>
      </c>
      <c r="Q313" s="304">
        <f t="shared" si="105"/>
        <v>0.6</v>
      </c>
      <c r="R313" s="177">
        <f t="shared" si="106"/>
        <v>0.9725710185250217</v>
      </c>
      <c r="S313" s="799">
        <f t="shared" si="107"/>
        <v>-1</v>
      </c>
      <c r="T313" s="176">
        <f t="shared" si="108"/>
        <v>5</v>
      </c>
      <c r="U313" s="250">
        <f t="shared" si="109"/>
        <v>-2.7428981474978298E-2</v>
      </c>
      <c r="V313" s="382">
        <f t="shared" si="110"/>
        <v>35.75873622380842</v>
      </c>
      <c r="W313" s="400">
        <f t="shared" si="111"/>
        <v>12.966218055611668</v>
      </c>
      <c r="X313" s="157">
        <f t="shared" si="112"/>
        <v>47051</v>
      </c>
      <c r="Y313" s="383">
        <f t="shared" si="113"/>
        <v>12.554032950853586</v>
      </c>
      <c r="Z313" s="383">
        <f t="shared" si="114"/>
        <v>13.439167368926434</v>
      </c>
      <c r="AA313" s="384">
        <f t="shared" si="115"/>
        <v>14.303329158659087</v>
      </c>
      <c r="AB313" s="197">
        <f t="shared" si="116"/>
        <v>47051</v>
      </c>
      <c r="AC313" s="119">
        <f>IF(OR(t&lt;Tnet,NoTnet),'2027'!Resal_s+('2027'!Salim-'2027'!Resal_s)*(1-EXP(('2027'!Tnet_s-t)/'2027'!Tau_j)),Resal_s+(Salim-Resal_s)*(1-EXP((Tnet_s-t)/Tau_j)))*Salcycl</f>
        <v>6.0416828847813984E-2</v>
      </c>
      <c r="AD313" s="230">
        <f>(INDEX(Models!$BJ313:$BT313,,AH313)*(1-AF313)+INDEX(Models!$BJ313:$BT313,,AH313+1)*AF313-ERP_i)*AE313*Ramure*Pc/MaxiM</f>
        <v>2.5573278988902121E-4</v>
      </c>
      <c r="AE313" s="304">
        <f t="shared" si="117"/>
        <v>0.6</v>
      </c>
      <c r="AF313" s="177">
        <f t="shared" si="118"/>
        <v>0.49755858489900007</v>
      </c>
      <c r="AG313" s="799">
        <f t="shared" si="124"/>
        <v>3</v>
      </c>
      <c r="AH313" s="176">
        <f t="shared" si="119"/>
        <v>9</v>
      </c>
      <c r="AI313" s="224">
        <f t="shared" si="120"/>
        <v>3.4975585848990001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47052</v>
      </c>
      <c r="B314" s="409">
        <f>IF(t&gt;Tmaj,'2027'!Wh/'2027'!Env_an*'2028'!Env_an,0.001*'[12]mon-tableau (1)'!$B$268)</f>
        <v>16.726746319614048</v>
      </c>
      <c r="C314" s="829"/>
      <c r="D314" s="391">
        <f t="shared" si="102"/>
        <v>17.906425162849569</v>
      </c>
      <c r="E314" s="383">
        <f t="shared" si="125"/>
        <v>18.453941353224305</v>
      </c>
      <c r="F314" s="383">
        <f t="shared" si="103"/>
        <v>18.454102644290032</v>
      </c>
      <c r="G314" s="110">
        <f t="shared" si="126"/>
        <v>0.47199734470887783</v>
      </c>
      <c r="H314" s="412" t="b">
        <f>Wh_hp&gt;='2027'!Maxi_hp</f>
        <v>0</v>
      </c>
      <c r="I314" s="388">
        <f>IF(H314,Wh_hp,'2027'!Maxi_hp)</f>
        <v>29.983519029323368</v>
      </c>
      <c r="J314" s="85">
        <f>IF(H314,An,'2027'!An_max)</f>
        <v>2021</v>
      </c>
      <c r="K314" s="197">
        <f t="shared" si="104"/>
        <v>47052</v>
      </c>
      <c r="L314" s="147">
        <f>IF(t&lt;Tvie,1-EXP((T0-t)*PertePVj)+'2027'!Pspv,1-EXP((T0-t)*PertePVj)+Pspv)</f>
        <v>6.5880198448711069E-2</v>
      </c>
      <c r="M314" s="832"/>
      <c r="N314" s="832"/>
      <c r="O314" s="48">
        <f>IF(t&lt;Tnet,'2027'!Resal+('2027'!Salim-'2027'!Resal)*(1-EXP(('2027'!Tnet-t)/('2027'!Tau_j))),Resal+(Salim-Resal)*(1-EXP((Tnet-t)/(Tau_j))))*Salcycl</f>
        <v>2.9669336208173906E-2</v>
      </c>
      <c r="P314" s="169">
        <f>(INDEX(Models!$BJ314:$BT314,,T314)*(1-R314)+INDEX(Models!$BJ314:$BT314,,T314+1)*R314-ERP_i)*Q314*Ramure*Pc/MaxiM</f>
        <v>3.5568184959157388E-5</v>
      </c>
      <c r="Q314" s="304">
        <f t="shared" si="105"/>
        <v>0.6</v>
      </c>
      <c r="R314" s="177">
        <f t="shared" si="106"/>
        <v>0.97263999673579904</v>
      </c>
      <c r="S314" s="799">
        <f t="shared" si="107"/>
        <v>-1</v>
      </c>
      <c r="T314" s="176">
        <f t="shared" si="108"/>
        <v>5</v>
      </c>
      <c r="U314" s="250">
        <f t="shared" si="109"/>
        <v>-2.7360003264201016E-2</v>
      </c>
      <c r="V314" s="382">
        <f t="shared" si="110"/>
        <v>35.437270478219197</v>
      </c>
      <c r="W314" s="400">
        <f t="shared" si="111"/>
        <v>16.726746319614048</v>
      </c>
      <c r="X314" s="157">
        <f t="shared" si="112"/>
        <v>47052</v>
      </c>
      <c r="Y314" s="383">
        <f t="shared" si="113"/>
        <v>16.195336529232698</v>
      </c>
      <c r="Z314" s="383">
        <f t="shared" si="114"/>
        <v>17.337536900874138</v>
      </c>
      <c r="AA314" s="384">
        <f t="shared" si="115"/>
        <v>18.452886565467772</v>
      </c>
      <c r="AB314" s="197">
        <f t="shared" si="116"/>
        <v>47052</v>
      </c>
      <c r="AC314" s="119">
        <f>IF(OR(t&lt;Tnet,NoTnet),'2027'!Resal_s+('2027'!Salim-'2027'!Resal_s)*(1-EXP(('2027'!Tnet_s-t)/'2027'!Tau_j)),Resal_s+(Salim-Resal_s)*(1-EXP((Tnet_s-t)/Tau_j)))*Salcycl</f>
        <v>6.044309981728662E-2</v>
      </c>
      <c r="AD314" s="230">
        <f>(INDEX(Models!$BJ314:$BT314,,AH314)*(1-AF314)+INDEX(Models!$BJ314:$BT314,,AH314+1)*AF314-ERP_i)*AE314*Ramure*Pc/MaxiM</f>
        <v>2.681718065438882E-4</v>
      </c>
      <c r="AE314" s="304">
        <f t="shared" si="117"/>
        <v>0.6</v>
      </c>
      <c r="AF314" s="177">
        <f t="shared" si="118"/>
        <v>0.49762756310977752</v>
      </c>
      <c r="AG314" s="799">
        <f t="shared" si="124"/>
        <v>3</v>
      </c>
      <c r="AH314" s="176">
        <f t="shared" si="119"/>
        <v>9</v>
      </c>
      <c r="AI314" s="224">
        <f t="shared" si="120"/>
        <v>3.4976275631097775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47053</v>
      </c>
      <c r="B315" s="409">
        <f>IF(t&gt;Tmaj,'2027'!Wh/'2027'!Env_an*'2028'!Env_an,0.001*'[12]mon-tableau (1)'!$B$269)</f>
        <v>17.43597177093223</v>
      </c>
      <c r="C315" s="829"/>
      <c r="D315" s="391">
        <f t="shared" si="102"/>
        <v>18.666027531801795</v>
      </c>
      <c r="E315" s="383">
        <f t="shared" si="125"/>
        <v>19.238399150350091</v>
      </c>
      <c r="F315" s="383">
        <f t="shared" si="103"/>
        <v>19.23859227978004</v>
      </c>
      <c r="G315" s="110">
        <f t="shared" si="126"/>
        <v>0.49644111800031521</v>
      </c>
      <c r="H315" s="412" t="b">
        <f>Wh_hp&gt;='2027'!Maxi_hp</f>
        <v>0</v>
      </c>
      <c r="I315" s="388">
        <f>IF(H315,Wh_hp,'2027'!Maxi_hp)</f>
        <v>39.257780539476109</v>
      </c>
      <c r="J315" s="85">
        <f>IF(H315,An,'2027'!An_max)</f>
        <v>2021</v>
      </c>
      <c r="K315" s="197">
        <f t="shared" si="104"/>
        <v>47053</v>
      </c>
      <c r="L315" s="147">
        <f>IF(t&lt;Tvie,1-EXP((T0-t)*PertePVj)+'2027'!Pspv,1-EXP((T0-t)*PertePVj)+Pspv)</f>
        <v>6.5898100641600732E-2</v>
      </c>
      <c r="M315" s="832"/>
      <c r="N315" s="832"/>
      <c r="O315" s="48">
        <f>IF(t&lt;Tnet,'2027'!Resal+('2027'!Salim-'2027'!Resal)*(1-EXP(('2027'!Tnet-t)/('2027'!Tau_j))),Resal+(Salim-Resal)*(1-EXP((Tnet-t)/(Tau_j))))*Salcycl</f>
        <v>2.9751520075820943E-2</v>
      </c>
      <c r="P315" s="169">
        <f>(INDEX(Models!$BJ315:$BT315,,T315)*(1-R315)+INDEX(Models!$BJ315:$BT315,,T315+1)*R315-ERP_i)*Q315*Ramure*Pc/MaxiM</f>
        <v>3.5769475336592904E-5</v>
      </c>
      <c r="Q315" s="304">
        <f t="shared" si="105"/>
        <v>0.6</v>
      </c>
      <c r="R315" s="177">
        <f t="shared" si="106"/>
        <v>0.97270621561458115</v>
      </c>
      <c r="S315" s="799">
        <f t="shared" si="107"/>
        <v>-1</v>
      </c>
      <c r="T315" s="176">
        <f t="shared" si="108"/>
        <v>5</v>
      </c>
      <c r="U315" s="250">
        <f t="shared" si="109"/>
        <v>-2.7293784385418907E-2</v>
      </c>
      <c r="V315" s="382">
        <f t="shared" si="110"/>
        <v>35.121029447876516</v>
      </c>
      <c r="W315" s="400">
        <f t="shared" si="111"/>
        <v>17.43597177093223</v>
      </c>
      <c r="X315" s="157">
        <f t="shared" si="112"/>
        <v>47053</v>
      </c>
      <c r="Y315" s="383">
        <f t="shared" si="113"/>
        <v>16.882798235972686</v>
      </c>
      <c r="Z315" s="383">
        <f t="shared" si="114"/>
        <v>18.073829255211738</v>
      </c>
      <c r="AA315" s="384">
        <f t="shared" si="115"/>
        <v>19.237073569083311</v>
      </c>
      <c r="AB315" s="197">
        <f t="shared" si="116"/>
        <v>47053</v>
      </c>
      <c r="AC315" s="119">
        <f>IF(OR(t&lt;Tnet,NoTnet),'2027'!Resal_s+('2027'!Salim-'2027'!Resal_s)*(1-EXP(('2027'!Tnet_s-t)/'2027'!Tau_j)),Resal_s+(Salim-Resal_s)*(1-EXP((Tnet_s-t)/Tau_j)))*Salcycl</f>
        <v>6.0468881074565953E-2</v>
      </c>
      <c r="AD315" s="230">
        <f>(INDEX(Models!$BJ315:$BT315,,AH315)*(1-AF315)+INDEX(Models!$BJ315:$BT315,,AH315+1)*AF315-ERP_i)*AE315*Ramure*Pc/MaxiM</f>
        <v>2.8128020066210354E-4</v>
      </c>
      <c r="AE315" s="304">
        <f t="shared" si="117"/>
        <v>0.6</v>
      </c>
      <c r="AF315" s="177">
        <f t="shared" si="118"/>
        <v>0.49769378198855962</v>
      </c>
      <c r="AG315" s="799">
        <f t="shared" si="124"/>
        <v>3</v>
      </c>
      <c r="AH315" s="176">
        <f t="shared" si="119"/>
        <v>9</v>
      </c>
      <c r="AI315" s="224">
        <f t="shared" si="120"/>
        <v>3.4976937819885596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47054</v>
      </c>
      <c r="B316" s="409">
        <f>IF(t&gt;Tmaj,'2027'!Wh/'2027'!Env_an*'2028'!Env_an,0.001*'[12]mon-tableau (1)'!$B$270)</f>
        <v>28.576557796583167</v>
      </c>
      <c r="C316" s="829"/>
      <c r="D316" s="391">
        <f t="shared" si="102"/>
        <v>30.59313495660227</v>
      </c>
      <c r="E316" s="383">
        <f t="shared" si="125"/>
        <v>31.53389557313627</v>
      </c>
      <c r="F316" s="383">
        <f t="shared" si="103"/>
        <v>31.534737662706824</v>
      </c>
      <c r="G316" s="110">
        <f t="shared" si="126"/>
        <v>0.8208964639549432</v>
      </c>
      <c r="H316" s="412" t="b">
        <f>Wh_hp&gt;='2027'!Maxi_hp</f>
        <v>0</v>
      </c>
      <c r="I316" s="388">
        <f>IF(H316,Wh_hp,'2027'!Maxi_hp)</f>
        <v>31.534957261847889</v>
      </c>
      <c r="J316" s="85">
        <f>IF(H316,An,'2027'!An_max)</f>
        <v>2026</v>
      </c>
      <c r="K316" s="197">
        <f t="shared" si="104"/>
        <v>47054</v>
      </c>
      <c r="L316" s="147">
        <f>IF(t&lt;Tvie,1-EXP((T0-t)*PertePVj)+'2027'!Pspv,1-EXP((T0-t)*PertePVj)+Pspv)</f>
        <v>6.5916002491399062E-2</v>
      </c>
      <c r="M316" s="832"/>
      <c r="N316" s="832"/>
      <c r="O316" s="48">
        <f>IF(t&lt;Tnet,'2027'!Resal+('2027'!Salim-'2027'!Resal)*(1-EXP(('2027'!Tnet-t)/('2027'!Tau_j))),Resal+(Salim-Resal)*(1-EXP((Tnet-t)/(Tau_j))))*Salcycl</f>
        <v>2.9833314261858437E-2</v>
      </c>
      <c r="P316" s="169">
        <f>(INDEX(Models!$BJ316:$BT316,,T316)*(1-R316)+INDEX(Models!$BJ316:$BT316,,T316+1)*R316-ERP_i)*Q316*Ramure*Pc/MaxiM</f>
        <v>3.5884707691149264E-5</v>
      </c>
      <c r="Q316" s="304">
        <f t="shared" si="105"/>
        <v>0.6</v>
      </c>
      <c r="R316" s="177">
        <f t="shared" si="106"/>
        <v>0.97276978485181731</v>
      </c>
      <c r="S316" s="799">
        <f t="shared" si="107"/>
        <v>-1</v>
      </c>
      <c r="T316" s="176">
        <f t="shared" si="108"/>
        <v>5</v>
      </c>
      <c r="U316" s="250">
        <f t="shared" si="109"/>
        <v>-2.7230215148182746E-2</v>
      </c>
      <c r="V316" s="382">
        <f t="shared" si="110"/>
        <v>34.811083587974515</v>
      </c>
      <c r="W316" s="400">
        <f t="shared" si="111"/>
        <v>28.576557796583167</v>
      </c>
      <c r="X316" s="157">
        <f t="shared" si="112"/>
        <v>47054</v>
      </c>
      <c r="Y316" s="383">
        <f t="shared" si="113"/>
        <v>27.668094168384002</v>
      </c>
      <c r="Z316" s="383">
        <f t="shared" si="114"/>
        <v>29.620563292145722</v>
      </c>
      <c r="AA316" s="384">
        <f t="shared" si="115"/>
        <v>31.527814049802618</v>
      </c>
      <c r="AB316" s="197">
        <f t="shared" si="116"/>
        <v>47054</v>
      </c>
      <c r="AC316" s="119">
        <f>IF(OR(t&lt;Tnet,NoTnet),'2027'!Resal_s+('2027'!Salim-'2027'!Resal_s)*(1-EXP(('2027'!Tnet_s-t)/'2027'!Tau_j)),Resal_s+(Salim-Resal_s)*(1-EXP((Tnet_s-t)/Tau_j)))*Salcycl</f>
        <v>6.0494227561864129E-2</v>
      </c>
      <c r="AD316" s="230">
        <f>(INDEX(Models!$BJ316:$BT316,,AH316)*(1-AF316)+INDEX(Models!$BJ316:$BT316,,AH316+1)*AF316-ERP_i)*AE316*Ramure*Pc/MaxiM</f>
        <v>2.9504204056481911E-4</v>
      </c>
      <c r="AE316" s="304">
        <f t="shared" si="117"/>
        <v>0.6</v>
      </c>
      <c r="AF316" s="177">
        <f t="shared" si="118"/>
        <v>0.49775735122579556</v>
      </c>
      <c r="AG316" s="799">
        <f t="shared" si="124"/>
        <v>3</v>
      </c>
      <c r="AH316" s="176">
        <f t="shared" si="119"/>
        <v>9</v>
      </c>
      <c r="AI316" s="224">
        <f t="shared" si="120"/>
        <v>3.4977573512257956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47055</v>
      </c>
      <c r="B317" s="409">
        <f>IF(t&gt;Tmaj,'2027'!Wh/'2027'!Env_an*'2028'!Env_an,0.001*'[12]mon-tableau (1)'!$B$271)</f>
        <v>26.227826310285643</v>
      </c>
      <c r="C317" s="829"/>
      <c r="D317" s="391">
        <f t="shared" si="102"/>
        <v>28.079197417130793</v>
      </c>
      <c r="E317" s="383">
        <f t="shared" si="125"/>
        <v>28.945082206885871</v>
      </c>
      <c r="F317" s="383">
        <f t="shared" si="103"/>
        <v>28.945765546449675</v>
      </c>
      <c r="G317" s="110">
        <f t="shared" si="126"/>
        <v>0.760098594685506</v>
      </c>
      <c r="H317" s="412" t="b">
        <f>Wh_hp&gt;='2027'!Maxi_hp</f>
        <v>0</v>
      </c>
      <c r="I317" s="388">
        <f>IF(H317,Wh_hp,'2027'!Maxi_hp)</f>
        <v>30.400555520503801</v>
      </c>
      <c r="J317" s="85">
        <f>IF(H317,An,'2027'!An_max)</f>
        <v>2020</v>
      </c>
      <c r="K317" s="197">
        <f t="shared" si="104"/>
        <v>47055</v>
      </c>
      <c r="L317" s="147">
        <f>IF(t&lt;Tvie,1-EXP((T0-t)*PertePVj)+'2027'!Pspv,1-EXP((T0-t)*PertePVj)+Pspv)</f>
        <v>6.5933903998112497E-2</v>
      </c>
      <c r="M317" s="832"/>
      <c r="N317" s="832"/>
      <c r="O317" s="48">
        <f>IF(t&lt;Tnet,'2027'!Resal+('2027'!Salim-'2027'!Resal)*(1-EXP(('2027'!Tnet-t)/('2027'!Tau_j))),Resal+(Salim-Resal)*(1-EXP((Tnet-t)/(Tau_j))))*Salcycl</f>
        <v>2.9914746262115981E-2</v>
      </c>
      <c r="P317" s="169">
        <f>(INDEX(Models!$BJ317:$BT317,,T317)*(1-R317)+INDEX(Models!$BJ317:$BT317,,T317+1)*R317-ERP_i)*Q317*Ramure*Pc/MaxiM</f>
        <v>3.591615424454893E-5</v>
      </c>
      <c r="Q317" s="304">
        <f t="shared" si="105"/>
        <v>0.6</v>
      </c>
      <c r="R317" s="177">
        <f t="shared" si="106"/>
        <v>0.97283080983185988</v>
      </c>
      <c r="S317" s="799">
        <f t="shared" si="107"/>
        <v>-1</v>
      </c>
      <c r="T317" s="176">
        <f t="shared" si="108"/>
        <v>5</v>
      </c>
      <c r="U317" s="250">
        <f t="shared" si="109"/>
        <v>-2.7169190168140067E-2</v>
      </c>
      <c r="V317" s="382">
        <f t="shared" si="110"/>
        <v>34.505396614301539</v>
      </c>
      <c r="W317" s="400">
        <f t="shared" si="111"/>
        <v>26.227826310285643</v>
      </c>
      <c r="X317" s="157">
        <f t="shared" si="112"/>
        <v>47055</v>
      </c>
      <c r="Y317" s="383">
        <f t="shared" si="113"/>
        <v>25.395818229322028</v>
      </c>
      <c r="Z317" s="383">
        <f t="shared" si="114"/>
        <v>27.188459508405828</v>
      </c>
      <c r="AA317" s="384">
        <f t="shared" si="115"/>
        <v>28.939877641969527</v>
      </c>
      <c r="AB317" s="197">
        <f t="shared" si="116"/>
        <v>47055</v>
      </c>
      <c r="AC317" s="119">
        <f>IF(OR(t&lt;Tnet,NoTnet),'2027'!Resal_s+('2027'!Salim-'2027'!Resal_s)*(1-EXP(('2027'!Tnet_s-t)/'2027'!Tau_j)),Resal_s+(Salim-Resal_s)*(1-EXP((Tnet_s-t)/Tau_j)))*Salcycl</f>
        <v>6.0519196218844384E-2</v>
      </c>
      <c r="AD317" s="230">
        <f>(INDEX(Models!$BJ317:$BT317,,AH317)*(1-AF317)+INDEX(Models!$BJ317:$BT317,,AH317+1)*AF317-ERP_i)*AE317*Ramure*Pc/MaxiM</f>
        <v>3.0946676687165997E-4</v>
      </c>
      <c r="AE317" s="304">
        <f t="shared" si="117"/>
        <v>0.6</v>
      </c>
      <c r="AF317" s="177">
        <f t="shared" si="118"/>
        <v>0.49781837620583858</v>
      </c>
      <c r="AG317" s="799">
        <f t="shared" si="124"/>
        <v>3</v>
      </c>
      <c r="AH317" s="176">
        <f t="shared" si="119"/>
        <v>9</v>
      </c>
      <c r="AI317" s="224">
        <f t="shared" si="120"/>
        <v>3.4978183762058386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47056</v>
      </c>
      <c r="B318" s="409">
        <f>IF(t&gt;Tmaj,'2027'!Wh/'2027'!Env_an*'2028'!Env_an,0.001*'[12]mon-tableau (1)'!$B$272)</f>
        <v>24.68789907204188</v>
      </c>
      <c r="C318" s="829"/>
      <c r="D318" s="391">
        <f t="shared" si="102"/>
        <v>26.43107626402195</v>
      </c>
      <c r="E318" s="383">
        <f t="shared" si="125"/>
        <v>27.248415504217746</v>
      </c>
      <c r="F318" s="383">
        <f t="shared" si="103"/>
        <v>27.249006833350983</v>
      </c>
      <c r="G318" s="110">
        <f t="shared" si="126"/>
        <v>0.72182972374185905</v>
      </c>
      <c r="H318" s="412" t="b">
        <f>Wh_hp&gt;='2027'!Maxi_hp</f>
        <v>0</v>
      </c>
      <c r="I318" s="388">
        <f>IF(H318,Wh_hp,'2027'!Maxi_hp)</f>
        <v>35.917509171902125</v>
      </c>
      <c r="J318" s="85">
        <f>IF(H318,An,'2027'!An_max)</f>
        <v>2020</v>
      </c>
      <c r="K318" s="197">
        <f t="shared" si="104"/>
        <v>47056</v>
      </c>
      <c r="L318" s="147">
        <f>IF(t&lt;Tvie,1-EXP((T0-t)*PertePVj)+'2027'!Pspv,1-EXP((T0-t)*PertePVj)+Pspv)</f>
        <v>6.5951805161747701E-2</v>
      </c>
      <c r="M318" s="832"/>
      <c r="N318" s="832"/>
      <c r="O318" s="48">
        <f>IF(t&lt;Tnet,'2027'!Resal+('2027'!Salim-'2027'!Resal)*(1-EXP(('2027'!Tnet-t)/('2027'!Tau_j))),Resal+(Salim-Resal)*(1-EXP((Tnet-t)/(Tau_j))))*Salcycl</f>
        <v>2.9995844715054305E-2</v>
      </c>
      <c r="P318" s="169">
        <f>(INDEX(Models!$BJ318:$BT318,,T318)*(1-R318)+INDEX(Models!$BJ318:$BT318,,T318+1)*R318-ERP_i)*Q318*Ramure*Pc/MaxiM</f>
        <v>3.6010472944081043E-5</v>
      </c>
      <c r="Q318" s="304">
        <f t="shared" si="105"/>
        <v>0.6</v>
      </c>
      <c r="R318" s="177">
        <f t="shared" si="106"/>
        <v>0.97288939179772083</v>
      </c>
      <c r="S318" s="799">
        <f t="shared" si="107"/>
        <v>-1</v>
      </c>
      <c r="T318" s="176">
        <f t="shared" si="108"/>
        <v>5</v>
      </c>
      <c r="U318" s="250">
        <f t="shared" si="109"/>
        <v>-2.7110608202279174E-2</v>
      </c>
      <c r="V318" s="382">
        <f t="shared" si="110"/>
        <v>34.201342754573623</v>
      </c>
      <c r="W318" s="400">
        <f t="shared" si="111"/>
        <v>24.68789907204188</v>
      </c>
      <c r="X318" s="157">
        <f t="shared" si="112"/>
        <v>47056</v>
      </c>
      <c r="Y318" s="383">
        <f t="shared" si="113"/>
        <v>23.906213973720636</v>
      </c>
      <c r="Z318" s="383">
        <f t="shared" si="114"/>
        <v>25.594197500548074</v>
      </c>
      <c r="AA318" s="384">
        <f t="shared" si="115"/>
        <v>27.24363173843269</v>
      </c>
      <c r="AB318" s="197">
        <f t="shared" si="116"/>
        <v>47056</v>
      </c>
      <c r="AC318" s="119">
        <f>IF(OR(t&lt;Tnet,NoTnet),'2027'!Resal_s+('2027'!Salim-'2027'!Resal_s)*(1-EXP(('2027'!Tnet_s-t)/'2027'!Tau_j)),Resal_s+(Salim-Resal_s)*(1-EXP((Tnet_s-t)/Tau_j)))*Salcycl</f>
        <v>6.0543845758924811E-2</v>
      </c>
      <c r="AD318" s="230">
        <f>(INDEX(Models!$BJ318:$BT318,,AH318)*(1-AF318)+INDEX(Models!$BJ318:$BT318,,AH318+1)*AF318-ERP_i)*AE318*Ramure*Pc/MaxiM</f>
        <v>3.2732990689617161E-4</v>
      </c>
      <c r="AE318" s="304">
        <f t="shared" si="117"/>
        <v>0.6</v>
      </c>
      <c r="AF318" s="177">
        <f t="shared" si="118"/>
        <v>0.49787695817169908</v>
      </c>
      <c r="AG318" s="799">
        <f t="shared" si="124"/>
        <v>3</v>
      </c>
      <c r="AH318" s="176">
        <f t="shared" si="119"/>
        <v>9</v>
      </c>
      <c r="AI318" s="224">
        <f t="shared" si="120"/>
        <v>3.4978769581716991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47057</v>
      </c>
      <c r="B319" s="409">
        <f>IF(t&gt;Tmaj,'2027'!Wh/'2027'!Env_an*'2028'!Env_an,0.001*'[13]mon-tableau (3)'!$B$235)</f>
        <v>19.538169359949737</v>
      </c>
      <c r="C319" s="829"/>
      <c r="D319" s="391">
        <f t="shared" si="102"/>
        <v>20.918132404364734</v>
      </c>
      <c r="E319" s="383">
        <f t="shared" si="125"/>
        <v>21.566788935860671</v>
      </c>
      <c r="F319" s="383">
        <f t="shared" si="103"/>
        <v>21.567097153477636</v>
      </c>
      <c r="G319" s="110">
        <f t="shared" si="126"/>
        <v>0.57634961051206257</v>
      </c>
      <c r="H319" s="412" t="b">
        <f>Wh_hp&gt;='2027'!Maxi_hp</f>
        <v>0</v>
      </c>
      <c r="I319" s="388">
        <f>IF(H319,Wh_hp,'2027'!Maxi_hp)</f>
        <v>33.217100495865481</v>
      </c>
      <c r="J319" s="85">
        <f>IF(H319,An,'2027'!An_max)</f>
        <v>2020</v>
      </c>
      <c r="K319" s="197">
        <f t="shared" si="104"/>
        <v>47057</v>
      </c>
      <c r="L319" s="147">
        <f>IF(t&lt;Tvie,1-EXP((T0-t)*PertePVj)+'2027'!Pspv,1-EXP((T0-t)*PertePVj)+Pspv)</f>
        <v>6.5969705982311111E-2</v>
      </c>
      <c r="M319" s="832"/>
      <c r="N319" s="832"/>
      <c r="O319" s="48">
        <f>IF(t&lt;Tnet,'2027'!Resal+('2027'!Salim-'2027'!Resal)*(1-EXP(('2027'!Tnet-t)/('2027'!Tau_j))),Resal+(Salim-Resal)*(1-EXP((Tnet-t)/(Tau_j))))*Salcycl</f>
        <v>3.007663929132106E-2</v>
      </c>
      <c r="P319" s="169">
        <f>(INDEX(Models!$BJ319:$BT319,,T319)*(1-R319)+INDEX(Models!$BJ319:$BT319,,T319+1)*R319-ERP_i)*Q319*Ramure*Pc/MaxiM</f>
        <v>3.619804404744002E-5</v>
      </c>
      <c r="Q319" s="304">
        <f t="shared" si="105"/>
        <v>0.6</v>
      </c>
      <c r="R319" s="177">
        <f t="shared" si="106"/>
        <v>0.97294562800986251</v>
      </c>
      <c r="S319" s="799">
        <f t="shared" si="107"/>
        <v>-1</v>
      </c>
      <c r="T319" s="176">
        <f t="shared" si="108"/>
        <v>5</v>
      </c>
      <c r="U319" s="250">
        <f t="shared" si="109"/>
        <v>-2.7054371990137493E-2</v>
      </c>
      <c r="V319" s="382">
        <f t="shared" si="110"/>
        <v>33.899114315283612</v>
      </c>
      <c r="W319" s="400">
        <f t="shared" si="111"/>
        <v>19.538169359949737</v>
      </c>
      <c r="X319" s="157">
        <f t="shared" si="112"/>
        <v>47057</v>
      </c>
      <c r="Y319" s="383">
        <f t="shared" si="113"/>
        <v>18.921609601446903</v>
      </c>
      <c r="Z319" s="383">
        <f t="shared" si="114"/>
        <v>20.25802559364157</v>
      </c>
      <c r="AA319" s="384">
        <f t="shared" si="115"/>
        <v>21.564126719199418</v>
      </c>
      <c r="AB319" s="197">
        <f t="shared" si="116"/>
        <v>47057</v>
      </c>
      <c r="AC319" s="119">
        <f>IF(OR(t&lt;Tnet,NoTnet),'2027'!Resal_s+('2027'!Salim-'2027'!Resal_s)*(1-EXP(('2027'!Tnet_s-t)/'2027'!Tau_j)),Resal_s+(Salim-Resal_s)*(1-EXP((Tnet_s-t)/Tau_j)))*Salcycl</f>
        <v>6.0568236431061746E-2</v>
      </c>
      <c r="AD319" s="230">
        <f>(INDEX(Models!$BJ319:$BT319,,AH319)*(1-AF319)+INDEX(Models!$BJ319:$BT319,,AH319+1)*AF319-ERP_i)*AE319*Ramure*Pc/MaxiM</f>
        <v>3.4885712212593799E-4</v>
      </c>
      <c r="AE319" s="304">
        <f t="shared" si="117"/>
        <v>0.6</v>
      </c>
      <c r="AF319" s="177">
        <f t="shared" si="118"/>
        <v>0.4979331943838412</v>
      </c>
      <c r="AG319" s="799">
        <f t="shared" si="124"/>
        <v>3</v>
      </c>
      <c r="AH319" s="176">
        <f t="shared" si="119"/>
        <v>9</v>
      </c>
      <c r="AI319" s="224">
        <f t="shared" si="120"/>
        <v>3.4979331943838412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47058</v>
      </c>
      <c r="B320" s="409">
        <f>IF(t&gt;Tmaj,'2027'!Wh/'2027'!Env_an*'2028'!Env_an,0.001*'[13]mon-tableau (3)'!$B$236)</f>
        <v>30.164190364641893</v>
      </c>
      <c r="C320" s="829"/>
      <c r="D320" s="391">
        <f t="shared" si="102"/>
        <v>32.295278492301854</v>
      </c>
      <c r="E320" s="383">
        <f t="shared" si="125"/>
        <v>33.299496763262098</v>
      </c>
      <c r="F320" s="383">
        <f t="shared" si="103"/>
        <v>33.30053412587403</v>
      </c>
      <c r="G320" s="110">
        <f t="shared" si="126"/>
        <v>0.89776824669666522</v>
      </c>
      <c r="H320" s="412" t="b">
        <f>Wh_hp&gt;='2027'!Maxi_hp</f>
        <v>0</v>
      </c>
      <c r="I320" s="388">
        <f>IF(H320,Wh_hp,'2027'!Maxi_hp)</f>
        <v>33.300670065619556</v>
      </c>
      <c r="J320" s="85">
        <f>IF(H320,An,'2027'!An_max)</f>
        <v>2026</v>
      </c>
      <c r="K320" s="197">
        <f t="shared" si="104"/>
        <v>47058</v>
      </c>
      <c r="L320" s="147">
        <f>IF(t&lt;Tvie,1-EXP((T0-t)*PertePVj)+'2027'!Pspv,1-EXP((T0-t)*PertePVj)+Pspv)</f>
        <v>6.5987606459809389E-2</v>
      </c>
      <c r="M320" s="832"/>
      <c r="N320" s="832"/>
      <c r="O320" s="48">
        <f>IF(t&lt;Tnet,'2027'!Resal+('2027'!Salim-'2027'!Resal)*(1-EXP(('2027'!Tnet-t)/('2027'!Tau_j))),Resal+(Salim-Resal)*(1-EXP((Tnet-t)/(Tau_j))))*Salcycl</f>
        <v>3.015716057511577E-2</v>
      </c>
      <c r="P320" s="169">
        <f>(INDEX(Models!$BJ320:$BT320,,T320)*(1-R320)+INDEX(Models!$BJ320:$BT320,,T320+1)*R320-ERP_i)*Q320*Ramure*Pc/MaxiM</f>
        <v>3.6478848037385824E-5</v>
      </c>
      <c r="Q320" s="304">
        <f t="shared" si="105"/>
        <v>0.6</v>
      </c>
      <c r="R320" s="177">
        <f t="shared" si="106"/>
        <v>0.97299961189921658</v>
      </c>
      <c r="S320" s="799">
        <f t="shared" si="107"/>
        <v>-1</v>
      </c>
      <c r="T320" s="176">
        <f t="shared" si="108"/>
        <v>5</v>
      </c>
      <c r="U320" s="250">
        <f t="shared" si="109"/>
        <v>-2.7000388100783368E-2</v>
      </c>
      <c r="V320" s="382">
        <f t="shared" si="110"/>
        <v>33.598904590812509</v>
      </c>
      <c r="W320" s="400">
        <f t="shared" si="111"/>
        <v>30.164190364641893</v>
      </c>
      <c r="X320" s="157">
        <f t="shared" si="112"/>
        <v>47058</v>
      </c>
      <c r="Y320" s="383">
        <f t="shared" si="113"/>
        <v>29.209165677368631</v>
      </c>
      <c r="Z320" s="383">
        <f t="shared" si="114"/>
        <v>31.272781688321096</v>
      </c>
      <c r="AA320" s="384">
        <f t="shared" si="115"/>
        <v>33.289897462305866</v>
      </c>
      <c r="AB320" s="197">
        <f t="shared" si="116"/>
        <v>47058</v>
      </c>
      <c r="AC320" s="119">
        <f>IF(OR(t&lt;Tnet,NoTnet),'2027'!Resal_s+('2027'!Salim-'2027'!Resal_s)*(1-EXP(('2027'!Tnet_s-t)/'2027'!Tau_j)),Resal_s+(Salim-Resal_s)*(1-EXP((Tnet_s-t)/Tau_j)))*Salcycl</f>
        <v>6.0592429768483051E-2</v>
      </c>
      <c r="AD320" s="230">
        <f>(INDEX(Models!$BJ320:$BT320,,AH320)*(1-AF320)+INDEX(Models!$BJ320:$BT320,,AH320+1)*AF320-ERP_i)*AE320*Ramure*Pc/MaxiM</f>
        <v>3.7403819018084588E-4</v>
      </c>
      <c r="AE320" s="304">
        <f t="shared" si="117"/>
        <v>0.6</v>
      </c>
      <c r="AF320" s="177">
        <f t="shared" si="118"/>
        <v>0.49798717827319505</v>
      </c>
      <c r="AG320" s="799">
        <f t="shared" si="124"/>
        <v>3</v>
      </c>
      <c r="AH320" s="176">
        <f t="shared" si="119"/>
        <v>9</v>
      </c>
      <c r="AI320" s="224">
        <f t="shared" si="120"/>
        <v>3.4979871782731951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47059</v>
      </c>
      <c r="B321" s="409">
        <f>IF(t&gt;Tmaj,'2027'!Wh/'2027'!Env_an*'2028'!Env_an,0.001*'[13]mon-tableau (3)'!$B$237)</f>
        <v>9.5376248184832519</v>
      </c>
      <c r="C321" s="829"/>
      <c r="D321" s="391">
        <f t="shared" si="102"/>
        <v>10.211649946355591</v>
      </c>
      <c r="E321" s="383">
        <f t="shared" si="125"/>
        <v>10.530051753806134</v>
      </c>
      <c r="F321" s="383">
        <f t="shared" si="103"/>
        <v>10.530051753806134</v>
      </c>
      <c r="G321" s="110">
        <f t="shared" si="126"/>
        <v>0.28639680550543473</v>
      </c>
      <c r="H321" s="412" t="b">
        <f>Wh_hp&gt;='2027'!Maxi_hp</f>
        <v>0</v>
      </c>
      <c r="I321" s="388">
        <f>IF(H321,Wh_hp,'2027'!Maxi_hp)</f>
        <v>31.680473871325951</v>
      </c>
      <c r="J321" s="85">
        <f>IF(H321,An,'2027'!An_max)</f>
        <v>2020</v>
      </c>
      <c r="K321" s="197">
        <f t="shared" si="104"/>
        <v>47059</v>
      </c>
      <c r="L321" s="147">
        <f>IF(t&lt;Tvie,1-EXP((T0-t)*PertePVj)+'2027'!Pspv,1-EXP((T0-t)*PertePVj)+Pspv)</f>
        <v>6.6005506594249197E-2</v>
      </c>
      <c r="M321" s="832"/>
      <c r="N321" s="832"/>
      <c r="O321" s="48">
        <f>IF(t&lt;Tnet,'2027'!Resal+('2027'!Salim-'2027'!Resal)*(1-EXP(('2027'!Tnet-t)/('2027'!Tau_j))),Resal+(Salim-Resal)*(1-EXP((Tnet-t)/(Tau_j))))*Salcycl</f>
        <v>3.0237439938075868E-2</v>
      </c>
      <c r="P321" s="169">
        <f>(INDEX(Models!$BJ321:$BT321,,T321)*(1-R321)+INDEX(Models!$BJ321:$BT321,,T321+1)*R321-ERP_i)*Q321*Ramure*Pc/MaxiM</f>
        <v>3.6852837879571598E-5</v>
      </c>
      <c r="Q321" s="304">
        <f t="shared" si="105"/>
        <v>0.6</v>
      </c>
      <c r="R321" s="177">
        <f t="shared" si="106"/>
        <v>0.97305143321460985</v>
      </c>
      <c r="S321" s="799">
        <f t="shared" si="107"/>
        <v>-1</v>
      </c>
      <c r="T321" s="176">
        <f t="shared" si="108"/>
        <v>5</v>
      </c>
      <c r="U321" s="250">
        <f t="shared" si="109"/>
        <v>-2.6948566785390149E-2</v>
      </c>
      <c r="V321" s="382">
        <f t="shared" si="110"/>
        <v>33.300906806940901</v>
      </c>
      <c r="W321" s="400">
        <f t="shared" si="111"/>
        <v>9.5376248184832519</v>
      </c>
      <c r="X321" s="157">
        <f t="shared" si="112"/>
        <v>47059</v>
      </c>
      <c r="Y321" s="383">
        <f t="shared" si="113"/>
        <v>9.2388465630639711</v>
      </c>
      <c r="Z321" s="383">
        <f t="shared" si="114"/>
        <v>9.891756994599735</v>
      </c>
      <c r="AA321" s="384">
        <f t="shared" si="115"/>
        <v>10.530051753806134</v>
      </c>
      <c r="AB321" s="197">
        <f t="shared" si="116"/>
        <v>47059</v>
      </c>
      <c r="AC321" s="119">
        <f>IF(OR(t&lt;Tnet,NoTnet),'2027'!Resal_s+('2027'!Salim-'2027'!Resal_s)*(1-EXP(('2027'!Tnet_s-t)/'2027'!Tau_j)),Resal_s+(Salim-Resal_s)*(1-EXP((Tnet_s-t)/Tau_j)))*Salcycl</f>
        <v>6.0616488325965272E-2</v>
      </c>
      <c r="AD321" s="230">
        <f>(INDEX(Models!$BJ321:$BT321,,AH321)*(1-AF321)+INDEX(Models!$BJ321:$BT321,,AH321+1)*AF321-ERP_i)*AE321*Ramure*Pc/MaxiM</f>
        <v>4.0286166290208741E-4</v>
      </c>
      <c r="AE321" s="304">
        <f t="shared" si="117"/>
        <v>0.6</v>
      </c>
      <c r="AF321" s="177">
        <f t="shared" si="118"/>
        <v>0.4980389995885881</v>
      </c>
      <c r="AG321" s="799">
        <f t="shared" si="124"/>
        <v>3</v>
      </c>
      <c r="AH321" s="176">
        <f t="shared" si="119"/>
        <v>9</v>
      </c>
      <c r="AI321" s="224">
        <f t="shared" si="120"/>
        <v>3.4980389995885881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47060</v>
      </c>
      <c r="B322" s="409">
        <f>IF(t&gt;Tmaj,'2027'!Wh/'2027'!Env_an*'2028'!Env_an,0.001*'[13]mon-tableau (3)'!$B$238)</f>
        <v>17.105199058198629</v>
      </c>
      <c r="C322" s="829"/>
      <c r="D322" s="391">
        <f t="shared" si="102"/>
        <v>18.314376586252362</v>
      </c>
      <c r="E322" s="383">
        <f t="shared" si="125"/>
        <v>18.886982866981871</v>
      </c>
      <c r="F322" s="383">
        <f t="shared" si="103"/>
        <v>18.887202641122311</v>
      </c>
      <c r="G322" s="110">
        <f t="shared" si="126"/>
        <v>0.51824259750155477</v>
      </c>
      <c r="H322" s="412" t="b">
        <f>Wh_hp&gt;='2027'!Maxi_hp</f>
        <v>0</v>
      </c>
      <c r="I322" s="388">
        <f>IF(H322,Wh_hp,'2027'!Maxi_hp)</f>
        <v>18.887577500584257</v>
      </c>
      <c r="J322" s="85">
        <f>IF(H322,An,'2027'!An_max)</f>
        <v>2026</v>
      </c>
      <c r="K322" s="197">
        <f t="shared" si="104"/>
        <v>47060</v>
      </c>
      <c r="L322" s="147">
        <f>IF(t&lt;Tvie,1-EXP((T0-t)*PertePVj)+'2027'!Pspv,1-EXP((T0-t)*PertePVj)+Pspv)</f>
        <v>6.6023406385636862E-2</v>
      </c>
      <c r="M322" s="832"/>
      <c r="N322" s="832"/>
      <c r="O322" s="48">
        <f>IF(t&lt;Tnet,'2027'!Resal+('2027'!Salim-'2027'!Resal)*(1-EXP(('2027'!Tnet-t)/('2027'!Tau_j))),Resal+(Salim-Resal)*(1-EXP((Tnet-t)/(Tau_j))))*Salcycl</f>
        <v>3.0317509406467262E-2</v>
      </c>
      <c r="P322" s="169">
        <f>(INDEX(Models!$BJ322:$BT322,,T322)*(1-R322)+INDEX(Models!$BJ322:$BT322,,T322+1)*R322-ERP_i)*Q322*Ramure*Pc/MaxiM</f>
        <v>3.7319943783720852E-5</v>
      </c>
      <c r="Q322" s="304">
        <f t="shared" si="105"/>
        <v>0.6</v>
      </c>
      <c r="R322" s="177">
        <f t="shared" si="106"/>
        <v>0.97310117816478225</v>
      </c>
      <c r="S322" s="799">
        <f t="shared" si="107"/>
        <v>-1</v>
      </c>
      <c r="T322" s="176">
        <f t="shared" si="108"/>
        <v>5</v>
      </c>
      <c r="U322" s="250">
        <f t="shared" si="109"/>
        <v>-2.6898821835217801E-2</v>
      </c>
      <c r="V322" s="382">
        <f t="shared" si="110"/>
        <v>33.005314130829625</v>
      </c>
      <c r="W322" s="400">
        <f t="shared" si="111"/>
        <v>17.105199058198629</v>
      </c>
      <c r="X322" s="157">
        <f t="shared" si="112"/>
        <v>47060</v>
      </c>
      <c r="Y322" s="383">
        <f t="shared" si="113"/>
        <v>16.568245665024133</v>
      </c>
      <c r="Z322" s="383">
        <f t="shared" si="114"/>
        <v>17.739465612202615</v>
      </c>
      <c r="AA322" s="384">
        <f t="shared" si="115"/>
        <v>18.884639105453761</v>
      </c>
      <c r="AB322" s="197">
        <f t="shared" si="116"/>
        <v>47060</v>
      </c>
      <c r="AC322" s="119">
        <f>IF(OR(t&lt;Tnet,NoTnet),'2027'!Resal_s+('2027'!Salim-'2027'!Resal_s)*(1-EXP(('2027'!Tnet_s-t)/'2027'!Tau_j)),Resal_s+(Salim-Resal_s)*(1-EXP((Tnet_s-t)/Tau_j)))*Salcycl</f>
        <v>6.064047540736054E-2</v>
      </c>
      <c r="AD322" s="230">
        <f>(INDEX(Models!$BJ322:$BT322,,AH322)*(1-AF322)+INDEX(Models!$BJ322:$BT322,,AH322+1)*AF322-ERP_i)*AE322*Ramure*Pc/MaxiM</f>
        <v>4.3531512327589131E-4</v>
      </c>
      <c r="AE322" s="304">
        <f t="shared" si="117"/>
        <v>0.6</v>
      </c>
      <c r="AF322" s="177">
        <f t="shared" si="118"/>
        <v>0.49808874453876051</v>
      </c>
      <c r="AG322" s="799">
        <f t="shared" si="124"/>
        <v>3</v>
      </c>
      <c r="AH322" s="176">
        <f t="shared" si="119"/>
        <v>9</v>
      </c>
      <c r="AI322" s="224">
        <f t="shared" si="120"/>
        <v>3.4980887445387605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47061</v>
      </c>
      <c r="B323" s="409">
        <f>IF(t&gt;Tmaj,'2027'!Wh/'2027'!Env_an*'2028'!Env_an,0.001*'[13]mon-tableau (3)'!$B$239)</f>
        <v>31.990502943020399</v>
      </c>
      <c r="C323" s="829"/>
      <c r="D323" s="391">
        <f t="shared" si="102"/>
        <v>34.252588623939459</v>
      </c>
      <c r="E323" s="383">
        <f t="shared" si="125"/>
        <v>35.326419996939883</v>
      </c>
      <c r="F323" s="383">
        <f t="shared" si="103"/>
        <v>35.327716029955425</v>
      </c>
      <c r="G323" s="110">
        <f t="shared" si="126"/>
        <v>0.97793323934930831</v>
      </c>
      <c r="H323" s="412" t="b">
        <f>Wh_hp&gt;='2027'!Maxi_hp</f>
        <v>0</v>
      </c>
      <c r="I323" s="388">
        <f>IF(H323,Wh_hp,'2027'!Maxi_hp)</f>
        <v>35.32774878678736</v>
      </c>
      <c r="J323" s="85">
        <f>IF(H323,An,'2027'!An_max)</f>
        <v>2026</v>
      </c>
      <c r="K323" s="197">
        <f t="shared" si="104"/>
        <v>47061</v>
      </c>
      <c r="L323" s="147">
        <f>IF(t&lt;Tvie,1-EXP((T0-t)*PertePVj)+'2027'!Pspv,1-EXP((T0-t)*PertePVj)+Pspv)</f>
        <v>6.6041305833979158E-2</v>
      </c>
      <c r="M323" s="832"/>
      <c r="N323" s="832"/>
      <c r="O323" s="48">
        <f>IF(t&lt;Tnet,'2027'!Resal+('2027'!Salim-'2027'!Resal)*(1-EXP(('2027'!Tnet-t)/('2027'!Tau_j))),Resal+(Salim-Resal)*(1-EXP((Tnet-t)/(Tau_j))))*Salcycl</f>
        <v>3.0397401522527467E-2</v>
      </c>
      <c r="P323" s="169">
        <f>(INDEX(Models!$BJ323:$BT323,,T323)*(1-R323)+INDEX(Models!$BJ323:$BT323,,T323+1)*R323-ERP_i)*Q323*Ramure*Pc/MaxiM</f>
        <v>3.7880078304159648E-5</v>
      </c>
      <c r="Q323" s="304">
        <f t="shared" si="105"/>
        <v>0.6</v>
      </c>
      <c r="R323" s="177">
        <f t="shared" si="106"/>
        <v>0.97314892955517163</v>
      </c>
      <c r="S323" s="799">
        <f t="shared" si="107"/>
        <v>-1</v>
      </c>
      <c r="T323" s="176">
        <f t="shared" si="108"/>
        <v>5</v>
      </c>
      <c r="U323" s="250">
        <f t="shared" si="109"/>
        <v>-2.6851070444828373E-2</v>
      </c>
      <c r="V323" s="382">
        <f t="shared" si="110"/>
        <v>32.712319671355289</v>
      </c>
      <c r="W323" s="400">
        <f t="shared" si="111"/>
        <v>31.990502943020399</v>
      </c>
      <c r="X323" s="157">
        <f t="shared" si="112"/>
        <v>47061</v>
      </c>
      <c r="Y323" s="383">
        <f t="shared" si="113"/>
        <v>30.978877309042861</v>
      </c>
      <c r="Z323" s="383">
        <f t="shared" si="114"/>
        <v>33.169429764455991</v>
      </c>
      <c r="AA323" s="384">
        <f t="shared" si="115"/>
        <v>35.311587997950404</v>
      </c>
      <c r="AB323" s="197">
        <f t="shared" si="116"/>
        <v>47061</v>
      </c>
      <c r="AC323" s="119">
        <f>IF(OR(t&lt;Tnet,NoTnet),'2027'!Resal_s+('2027'!Salim-'2027'!Resal_s)*(1-EXP(('2027'!Tnet_s-t)/'2027'!Tau_j)),Resal_s+(Salim-Resal_s)*(1-EXP((Tnet_s-t)/Tau_j)))*Salcycl</f>
        <v>6.0664454785175702E-2</v>
      </c>
      <c r="AD323" s="230">
        <f>(INDEX(Models!$BJ323:$BT323,,AH323)*(1-AF323)+INDEX(Models!$BJ323:$BT323,,AH323+1)*AF323-ERP_i)*AE323*Ramure*Pc/MaxiM</f>
        <v>4.7138545694127562E-4</v>
      </c>
      <c r="AE323" s="304">
        <f t="shared" si="117"/>
        <v>0.6</v>
      </c>
      <c r="AF323" s="177">
        <f t="shared" si="118"/>
        <v>0.49813649592914988</v>
      </c>
      <c r="AG323" s="799">
        <f t="shared" si="124"/>
        <v>3</v>
      </c>
      <c r="AH323" s="176">
        <f t="shared" si="119"/>
        <v>9</v>
      </c>
      <c r="AI323" s="224">
        <f t="shared" si="120"/>
        <v>3.4981364959291499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47062</v>
      </c>
      <c r="B324" s="409">
        <f>IF(t&gt;Tmaj,'2027'!Wh/'2027'!Env_an*'2028'!Env_an,0.001*'[13]mon-tableau (3)'!$B$240)</f>
        <v>33.320175547075401</v>
      </c>
      <c r="C324" s="829"/>
      <c r="D324" s="391">
        <f t="shared" si="102"/>
        <v>35.676967665717171</v>
      </c>
      <c r="E324" s="383">
        <f t="shared" si="125"/>
        <v>36.798480444592251</v>
      </c>
      <c r="F324" s="383">
        <f t="shared" si="103"/>
        <v>36.799919621138891</v>
      </c>
      <c r="G324" s="110">
        <f t="shared" si="126"/>
        <v>1.0276995556652959</v>
      </c>
      <c r="H324" s="412" t="b">
        <f>Wh_hp&gt;='2027'!Maxi_hp</f>
        <v>1</v>
      </c>
      <c r="I324" s="388">
        <f>IF(H324,Wh_hp,'2027'!Maxi_hp)</f>
        <v>36.799919621138891</v>
      </c>
      <c r="J324" s="85">
        <f>IF(H324,An,'2027'!An_max)</f>
        <v>2028</v>
      </c>
      <c r="K324" s="197">
        <f t="shared" si="104"/>
        <v>47062</v>
      </c>
      <c r="L324" s="147">
        <f>IF(t&lt;Tvie,1-EXP((T0-t)*PertePVj)+'2027'!Pspv,1-EXP((T0-t)*PertePVj)+Pspv)</f>
        <v>6.6059204939282634E-2</v>
      </c>
      <c r="M324" s="832"/>
      <c r="N324" s="832"/>
      <c r="O324" s="48">
        <f>IF(t&lt;Tnet,'2027'!Resal+('2027'!Salim-'2027'!Resal)*(1-EXP(('2027'!Tnet-t)/('2027'!Tau_j))),Resal+(Salim-Resal)*(1-EXP((Tnet-t)/(Tau_j))))*Salcycl</f>
        <v>3.0477149200868529E-2</v>
      </c>
      <c r="P324" s="169">
        <f>(INDEX(Models!$BJ324:$BT324,,T324)*(1-R324)+INDEX(Models!$BJ324:$BT324,,T324+1)*R324-ERP_i)*Q324*Ramure*Pc/MaxiM</f>
        <v>3.9108143752948963E-5</v>
      </c>
      <c r="Q324" s="304">
        <f t="shared" si="105"/>
        <v>0.6</v>
      </c>
      <c r="R324" s="177">
        <f t="shared" si="106"/>
        <v>0.9731947669196408</v>
      </c>
      <c r="S324" s="799">
        <f t="shared" si="107"/>
        <v>-1</v>
      </c>
      <c r="T324" s="176">
        <f t="shared" si="108"/>
        <v>5</v>
      </c>
      <c r="U324" s="250">
        <f t="shared" si="109"/>
        <v>-2.6805233080359203E-2</v>
      </c>
      <c r="V324" s="382">
        <f t="shared" si="110"/>
        <v>32.422097843085183</v>
      </c>
      <c r="W324" s="400">
        <f t="shared" si="111"/>
        <v>33.320175547075401</v>
      </c>
      <c r="X324" s="157">
        <f t="shared" si="112"/>
        <v>47062</v>
      </c>
      <c r="Y324" s="383">
        <f t="shared" si="113"/>
        <v>32.266528581146424</v>
      </c>
      <c r="Z324" s="383">
        <f t="shared" si="114"/>
        <v>34.548794475830462</v>
      </c>
      <c r="AA324" s="384">
        <f t="shared" si="115"/>
        <v>36.780976410116715</v>
      </c>
      <c r="AB324" s="197">
        <f t="shared" si="116"/>
        <v>47062</v>
      </c>
      <c r="AC324" s="119">
        <f>IF(OR(t&lt;Tnet,NoTnet),'2027'!Resal_s+('2027'!Salim-'2027'!Resal_s)*(1-EXP(('2027'!Tnet_s-t)/'2027'!Tau_j)),Resal_s+(Salim-Resal_s)*(1-EXP((Tnet_s-t)/Tau_j)))*Salcycl</f>
        <v>6.0688490414090433E-2</v>
      </c>
      <c r="AD324" s="230">
        <f>(INDEX(Models!$BJ324:$BT324,,AH324)*(1-AF324)+INDEX(Models!$BJ324:$BT324,,AH324+1)*AF324-ERP_i)*AE324*Ramure*Pc/MaxiM</f>
        <v>5.1476229342884501E-4</v>
      </c>
      <c r="AE324" s="304">
        <f t="shared" si="117"/>
        <v>0.6</v>
      </c>
      <c r="AF324" s="177">
        <f t="shared" si="118"/>
        <v>0.49818233329361927</v>
      </c>
      <c r="AG324" s="799">
        <f t="shared" si="124"/>
        <v>3</v>
      </c>
      <c r="AH324" s="176">
        <f t="shared" si="119"/>
        <v>9</v>
      </c>
      <c r="AI324" s="224">
        <f t="shared" si="120"/>
        <v>3.4981823332936193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47063</v>
      </c>
      <c r="B325" s="409">
        <f>IF(t&gt;Tmaj,'2027'!Wh/'2027'!Env_an*'2028'!Env_an,0.001*'[13]mon-tableau (3)'!$B$241)</f>
        <v>31.8880272124592</v>
      </c>
      <c r="C325" s="829"/>
      <c r="D325" s="391">
        <f t="shared" si="102"/>
        <v>34.144175433374322</v>
      </c>
      <c r="E325" s="383">
        <f t="shared" si="125"/>
        <v>35.220397569994603</v>
      </c>
      <c r="F325" s="383">
        <f t="shared" si="103"/>
        <v>35.221827525018426</v>
      </c>
      <c r="G325" s="110">
        <f t="shared" si="126"/>
        <v>0.99231899537835</v>
      </c>
      <c r="H325" s="412" t="b">
        <f>Wh_hp&gt;='2027'!Maxi_hp</f>
        <v>0</v>
      </c>
      <c r="I325" s="388">
        <f>IF(H325,Wh_hp,'2027'!Maxi_hp)</f>
        <v>35.221840033598205</v>
      </c>
      <c r="J325" s="85">
        <f>IF(H325,An,'2027'!An_max)</f>
        <v>2026</v>
      </c>
      <c r="K325" s="197">
        <f t="shared" si="104"/>
        <v>47063</v>
      </c>
      <c r="L325" s="147">
        <f>IF(t&lt;Tvie,1-EXP((T0-t)*PertePVj)+'2027'!Pspv,1-EXP((T0-t)*PertePVj)+Pspv)</f>
        <v>6.6077103701553841E-2</v>
      </c>
      <c r="M325" s="832"/>
      <c r="N325" s="832"/>
      <c r="O325" s="48">
        <f>IF(t&lt;Tnet,'2027'!Resal+('2027'!Salim-'2027'!Resal)*(1-EXP(('2027'!Tnet-t)/('2027'!Tau_j))),Resal+(Salim-Resal)*(1-EXP((Tnet-t)/(Tau_j))))*Salcycl</f>
        <v>3.0556785580897312E-2</v>
      </c>
      <c r="P325" s="169">
        <f>(INDEX(Models!$BJ325:$BT325,,T325)*(1-R325)+INDEX(Models!$BJ325:$BT325,,T325+1)*R325-ERP_i)*Q325*Ramure*Pc/MaxiM</f>
        <v>4.1048945377138224E-5</v>
      </c>
      <c r="Q325" s="304">
        <f t="shared" si="105"/>
        <v>0.6</v>
      </c>
      <c r="R325" s="177">
        <f t="shared" si="106"/>
        <v>0.9732387666473119</v>
      </c>
      <c r="S325" s="799">
        <f t="shared" si="107"/>
        <v>-1</v>
      </c>
      <c r="T325" s="176">
        <f t="shared" si="108"/>
        <v>5</v>
      </c>
      <c r="U325" s="250">
        <f t="shared" si="109"/>
        <v>-2.6761233352688096E-2</v>
      </c>
      <c r="V325" s="382">
        <f t="shared" si="110"/>
        <v>32.134840709569851</v>
      </c>
      <c r="W325" s="400">
        <f t="shared" si="111"/>
        <v>31.8880272124592</v>
      </c>
      <c r="X325" s="157">
        <f t="shared" si="112"/>
        <v>47063</v>
      </c>
      <c r="Y325" s="383">
        <f t="shared" si="113"/>
        <v>30.880111561578882</v>
      </c>
      <c r="Z325" s="383">
        <f t="shared" si="114"/>
        <v>33.064947528292286</v>
      </c>
      <c r="AA325" s="384">
        <f t="shared" si="115"/>
        <v>35.202164058128595</v>
      </c>
      <c r="AB325" s="197">
        <f t="shared" si="116"/>
        <v>47063</v>
      </c>
      <c r="AC325" s="119">
        <f>IF(OR(t&lt;Tnet,NoTnet),'2027'!Resal_s+('2027'!Salim-'2027'!Resal_s)*(1-EXP(('2027'!Tnet_s-t)/'2027'!Tau_j)),Resal_s+(Salim-Resal_s)*(1-EXP((Tnet_s-t)/Tau_j)))*Salcycl</f>
        <v>6.0712646140367005E-2</v>
      </c>
      <c r="AD325" s="230">
        <f>(INDEX(Models!$BJ325:$BT325,,AH325)*(1-AF325)+INDEX(Models!$BJ325:$BT325,,AH325+1)*AF325-ERP_i)*AE325*Ramure*Pc/MaxiM</f>
        <v>5.6446850763811399E-4</v>
      </c>
      <c r="AE325" s="304">
        <f t="shared" si="117"/>
        <v>0.6</v>
      </c>
      <c r="AF325" s="177">
        <f t="shared" si="118"/>
        <v>0.49822633302129038</v>
      </c>
      <c r="AG325" s="799">
        <f t="shared" si="124"/>
        <v>3</v>
      </c>
      <c r="AH325" s="176">
        <f t="shared" si="119"/>
        <v>9</v>
      </c>
      <c r="AI325" s="224">
        <f t="shared" si="120"/>
        <v>3.4982263330212904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47064</v>
      </c>
      <c r="B326" s="409">
        <f>IF(t&gt;Tmaj,'2027'!Wh/'2027'!Env_an*'2028'!Env_an,0.001*'[13]mon-tableau (3)'!$B$242)</f>
        <v>23.626916855901854</v>
      </c>
      <c r="C326" s="829"/>
      <c r="D326" s="391">
        <f t="shared" si="102"/>
        <v>25.299058158545122</v>
      </c>
      <c r="E326" s="383">
        <f t="shared" si="125"/>
        <v>26.098624596377018</v>
      </c>
      <c r="F326" s="383">
        <f t="shared" si="103"/>
        <v>26.099344449181306</v>
      </c>
      <c r="G326" s="110">
        <f t="shared" si="126"/>
        <v>0.74178919062021476</v>
      </c>
      <c r="H326" s="412" t="b">
        <f>Wh_hp&gt;='2027'!Maxi_hp</f>
        <v>0</v>
      </c>
      <c r="I326" s="388">
        <f>IF(H326,Wh_hp,'2027'!Maxi_hp)</f>
        <v>28.580031803596686</v>
      </c>
      <c r="J326" s="85">
        <f>IF(H326,An,'2027'!An_max)</f>
        <v>2021</v>
      </c>
      <c r="K326" s="197">
        <f t="shared" si="104"/>
        <v>47064</v>
      </c>
      <c r="L326" s="147">
        <f>IF(t&lt;Tvie,1-EXP((T0-t)*PertePVj)+'2027'!Pspv,1-EXP((T0-t)*PertePVj)+Pspv)</f>
        <v>6.609500212079944E-2</v>
      </c>
      <c r="M326" s="832"/>
      <c r="N326" s="832"/>
      <c r="O326" s="48">
        <f>IF(t&lt;Tnet,'2027'!Resal+('2027'!Salim-'2027'!Resal)*(1-EXP(('2027'!Tnet-t)/('2027'!Tau_j))),Resal+(Salim-Resal)*(1-EXP((Tnet-t)/(Tau_j))))*Salcycl</f>
        <v>3.0636343876255127E-2</v>
      </c>
      <c r="P326" s="169">
        <f>(INDEX(Models!$BJ326:$BT326,,T326)*(1-R326)+INDEX(Models!$BJ326:$BT326,,T326+1)*R326-ERP_i)*Q326*Ramure*Pc/MaxiM</f>
        <v>4.3700388874270382E-5</v>
      </c>
      <c r="Q326" s="304">
        <f t="shared" si="105"/>
        <v>0.6</v>
      </c>
      <c r="R326" s="177">
        <f t="shared" si="106"/>
        <v>0.97328100210467794</v>
      </c>
      <c r="S326" s="799">
        <f t="shared" si="107"/>
        <v>-1</v>
      </c>
      <c r="T326" s="176">
        <f t="shared" si="108"/>
        <v>5</v>
      </c>
      <c r="U326" s="250">
        <f t="shared" si="109"/>
        <v>-2.6718997895322061E-2</v>
      </c>
      <c r="V326" s="382">
        <f t="shared" si="110"/>
        <v>31.850741826427331</v>
      </c>
      <c r="W326" s="400">
        <f t="shared" si="111"/>
        <v>23.626916855901854</v>
      </c>
      <c r="X326" s="157">
        <f t="shared" si="112"/>
        <v>47064</v>
      </c>
      <c r="Y326" s="383">
        <f t="shared" si="113"/>
        <v>22.884920666743305</v>
      </c>
      <c r="Z326" s="383">
        <f t="shared" si="114"/>
        <v>24.504548876719301</v>
      </c>
      <c r="AA326" s="384">
        <f t="shared" si="115"/>
        <v>26.089123595901249</v>
      </c>
      <c r="AB326" s="197">
        <f t="shared" si="116"/>
        <v>47064</v>
      </c>
      <c r="AC326" s="119">
        <f>IF(OR(t&lt;Tnet,NoTnet),'2027'!Resal_s+('2027'!Salim-'2027'!Resal_s)*(1-EXP(('2027'!Tnet_s-t)/'2027'!Tau_j)),Resal_s+(Salim-Resal_s)*(1-EXP((Tnet_s-t)/Tau_j)))*Salcycl</f>
        <v>6.0736985409157014E-2</v>
      </c>
      <c r="AD326" s="230">
        <f>(INDEX(Models!$BJ326:$BT326,,AH326)*(1-AF326)+INDEX(Models!$BJ326:$BT326,,AH326+1)*AF326-ERP_i)*AE326*Ramure*Pc/MaxiM</f>
        <v>6.2048138217085809E-4</v>
      </c>
      <c r="AE326" s="304">
        <f t="shared" si="117"/>
        <v>0.6</v>
      </c>
      <c r="AF326" s="177">
        <f t="shared" si="118"/>
        <v>0.49826856847865653</v>
      </c>
      <c r="AG326" s="799">
        <f t="shared" si="124"/>
        <v>3</v>
      </c>
      <c r="AH326" s="176">
        <f t="shared" si="119"/>
        <v>9</v>
      </c>
      <c r="AI326" s="224">
        <f t="shared" si="120"/>
        <v>3.4982685684786565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47065</v>
      </c>
      <c r="B327" s="409">
        <f>IF(t&gt;Tmaj,'2027'!Wh/'2027'!Env_an*'2028'!Env_an,0.001*'[13]mon-tableau (3)'!$B$243)</f>
        <v>10.546642297103226</v>
      </c>
      <c r="C327" s="829"/>
      <c r="D327" s="391">
        <f t="shared" si="102"/>
        <v>11.293273351059558</v>
      </c>
      <c r="E327" s="383">
        <f t="shared" si="125"/>
        <v>11.651148360579095</v>
      </c>
      <c r="F327" s="383">
        <f t="shared" si="103"/>
        <v>11.651175048821555</v>
      </c>
      <c r="G327" s="110">
        <f t="shared" si="126"/>
        <v>0.3340567595117942</v>
      </c>
      <c r="H327" s="412" t="b">
        <f>Wh_hp&gt;='2027'!Maxi_hp</f>
        <v>0</v>
      </c>
      <c r="I327" s="388">
        <f>IF(H327,Wh_hp,'2027'!Maxi_hp)</f>
        <v>26.22479613054475</v>
      </c>
      <c r="J327" s="85">
        <f>IF(H327,An,'2027'!An_max)</f>
        <v>2020</v>
      </c>
      <c r="K327" s="197">
        <f t="shared" si="104"/>
        <v>47065</v>
      </c>
      <c r="L327" s="147">
        <f>IF(t&lt;Tvie,1-EXP((T0-t)*PertePVj)+'2027'!Pspv,1-EXP((T0-t)*PertePVj)+Pspv)</f>
        <v>6.6112900197025759E-2</v>
      </c>
      <c r="M327" s="832"/>
      <c r="N327" s="832"/>
      <c r="O327" s="48">
        <f>IF(t&lt;Tnet,'2027'!Resal+('2027'!Salim-'2027'!Resal)*(1-EXP(('2027'!Tnet-t)/('2027'!Tau_j))),Resal+(Salim-Resal)*(1-EXP((Tnet-t)/(Tau_j))))*Salcycl</f>
        <v>3.0715857222313261E-2</v>
      </c>
      <c r="P327" s="169">
        <f>(INDEX(Models!$BJ327:$BT327,,T327)*(1-R327)+INDEX(Models!$BJ327:$BT327,,T327+1)*R327-ERP_i)*Q327*Ramure*Pc/MaxiM</f>
        <v>4.7060255694764813E-5</v>
      </c>
      <c r="Q327" s="304">
        <f t="shared" si="105"/>
        <v>0.6</v>
      </c>
      <c r="R327" s="177">
        <f t="shared" si="106"/>
        <v>0.9733215437531475</v>
      </c>
      <c r="S327" s="799">
        <f t="shared" si="107"/>
        <v>-1</v>
      </c>
      <c r="T327" s="176">
        <f t="shared" si="108"/>
        <v>5</v>
      </c>
      <c r="U327" s="250">
        <f t="shared" si="109"/>
        <v>-2.6678456246852555E-2</v>
      </c>
      <c r="V327" s="382">
        <f t="shared" si="110"/>
        <v>31.569994697742583</v>
      </c>
      <c r="W327" s="400">
        <f t="shared" si="111"/>
        <v>10.546642297103226</v>
      </c>
      <c r="X327" s="157">
        <f t="shared" si="112"/>
        <v>47065</v>
      </c>
      <c r="Y327" s="383">
        <f t="shared" si="113"/>
        <v>10.21940294975782</v>
      </c>
      <c r="Z327" s="383">
        <f t="shared" si="114"/>
        <v>10.942867667744684</v>
      </c>
      <c r="AA327" s="384">
        <f t="shared" si="115"/>
        <v>11.650787839959087</v>
      </c>
      <c r="AB327" s="197">
        <f t="shared" si="116"/>
        <v>47065</v>
      </c>
      <c r="AC327" s="119">
        <f>IF(OR(t&lt;Tnet,NoTnet),'2027'!Resal_s+('2027'!Salim-'2027'!Resal_s)*(1-EXP(('2027'!Tnet_s-t)/'2027'!Tau_j)),Resal_s+(Salim-Resal_s)*(1-EXP((Tnet_s-t)/Tau_j)))*Salcycl</f>
        <v>6.0761570971743589E-2</v>
      </c>
      <c r="AD327" s="230">
        <f>(INDEX(Models!$BJ327:$BT327,,AH327)*(1-AF327)+INDEX(Models!$BJ327:$BT327,,AH327+1)*AF327-ERP_i)*AE327*Ramure*Pc/MaxiM</f>
        <v>6.8277812232717691E-4</v>
      </c>
      <c r="AE327" s="304">
        <f t="shared" si="117"/>
        <v>0.6</v>
      </c>
      <c r="AF327" s="177">
        <f t="shared" si="118"/>
        <v>0.49830911012712598</v>
      </c>
      <c r="AG327" s="799">
        <f t="shared" si="124"/>
        <v>3</v>
      </c>
      <c r="AH327" s="176">
        <f t="shared" si="119"/>
        <v>9</v>
      </c>
      <c r="AI327" s="224">
        <f t="shared" si="120"/>
        <v>3.498309110127126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47066</v>
      </c>
      <c r="B328" s="409">
        <f>IF(t&gt;Tmaj,'2027'!Wh/'2027'!Env_an*'2028'!Env_an,0.001*'[13]mon-tableau (3)'!$B$244)</f>
        <v>19.783445276598844</v>
      </c>
      <c r="C328" s="829"/>
      <c r="D328" s="391">
        <f t="shared" si="102"/>
        <v>21.184385599987923</v>
      </c>
      <c r="E328" s="383">
        <f t="shared" si="125"/>
        <v>21.857494994761645</v>
      </c>
      <c r="F328" s="383">
        <f t="shared" si="103"/>
        <v>21.85802534457655</v>
      </c>
      <c r="G328" s="110">
        <f t="shared" si="126"/>
        <v>0.63218754436097446</v>
      </c>
      <c r="H328" s="412" t="b">
        <f>Wh_hp&gt;='2027'!Maxi_hp</f>
        <v>0</v>
      </c>
      <c r="I328" s="388">
        <f>IF(H328,Wh_hp,'2027'!Maxi_hp)</f>
        <v>21.858500945297919</v>
      </c>
      <c r="J328" s="85">
        <f>IF(H328,An,'2027'!An_max)</f>
        <v>2026</v>
      </c>
      <c r="K328" s="197">
        <f t="shared" si="104"/>
        <v>47066</v>
      </c>
      <c r="L328" s="147">
        <f>IF(t&lt;Tvie,1-EXP((T0-t)*PertePVj)+'2027'!Pspv,1-EXP((T0-t)*PertePVj)+Pspv)</f>
        <v>6.6130797930239571E-2</v>
      </c>
      <c r="M328" s="832"/>
      <c r="N328" s="832"/>
      <c r="O328" s="48">
        <f>IF(t&lt;Tnet,'2027'!Resal+('2027'!Salim-'2027'!Resal)*(1-EXP(('2027'!Tnet-t)/('2027'!Tau_j))),Resal+(Salim-Resal)*(1-EXP((Tnet-t)/(Tau_j))))*Salcycl</f>
        <v>3.07953585227876E-2</v>
      </c>
      <c r="P328" s="169">
        <f>(INDEX(Models!$BJ328:$BT328,,T328)*(1-R328)+INDEX(Models!$BJ328:$BT328,,T328+1)*R328-ERP_i)*Q328*Ramure*Pc/MaxiM</f>
        <v>5.1126255882726322E-5</v>
      </c>
      <c r="Q328" s="304">
        <f t="shared" si="105"/>
        <v>0.6</v>
      </c>
      <c r="R328" s="177">
        <f t="shared" si="106"/>
        <v>0.97336045926218262</v>
      </c>
      <c r="S328" s="799">
        <f t="shared" si="107"/>
        <v>-1</v>
      </c>
      <c r="T328" s="176">
        <f t="shared" si="108"/>
        <v>5</v>
      </c>
      <c r="U328" s="250">
        <f t="shared" si="109"/>
        <v>-2.663954073781738E-2</v>
      </c>
      <c r="V328" s="382">
        <f t="shared" si="110"/>
        <v>31.29279277984358</v>
      </c>
      <c r="W328" s="400">
        <f t="shared" si="111"/>
        <v>19.783445276598844</v>
      </c>
      <c r="X328" s="157">
        <f t="shared" si="112"/>
        <v>47066</v>
      </c>
      <c r="Y328" s="383">
        <f t="shared" si="113"/>
        <v>19.164894730413362</v>
      </c>
      <c r="Z328" s="383">
        <f t="shared" si="114"/>
        <v>20.522033158324174</v>
      </c>
      <c r="AA328" s="384">
        <f t="shared" si="115"/>
        <v>21.850231480607782</v>
      </c>
      <c r="AB328" s="197">
        <f t="shared" si="116"/>
        <v>47066</v>
      </c>
      <c r="AC328" s="119">
        <f>IF(OR(t&lt;Tnet,NoTnet),'2027'!Resal_s+('2027'!Salim-'2027'!Resal_s)*(1-EXP(('2027'!Tnet_s-t)/'2027'!Tau_j)),Resal_s+(Salim-Resal_s)*(1-EXP((Tnet_s-t)/Tau_j)))*Salcycl</f>
        <v>6.0786464594775193E-2</v>
      </c>
      <c r="AD328" s="230">
        <f>(INDEX(Models!$BJ328:$BT328,,AH328)*(1-AF328)+INDEX(Models!$BJ328:$BT328,,AH328+1)*AF328-ERP_i)*AE328*Ramure*Pc/MaxiM</f>
        <v>7.5133633006846563E-4</v>
      </c>
      <c r="AE328" s="304">
        <f t="shared" si="117"/>
        <v>0.6</v>
      </c>
      <c r="AF328" s="177">
        <f t="shared" si="118"/>
        <v>0.49834802563616121</v>
      </c>
      <c r="AG328" s="799">
        <f t="shared" si="124"/>
        <v>3</v>
      </c>
      <c r="AH328" s="176">
        <f t="shared" si="119"/>
        <v>9</v>
      </c>
      <c r="AI328" s="224">
        <f t="shared" si="120"/>
        <v>3.4983480256361612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47067</v>
      </c>
      <c r="B329" s="409">
        <f>IF(t&gt;Tmaj,'2027'!Wh/'2027'!Env_an*'2028'!Env_an,0.001*'[13]mon-tableau (3)'!$B$245)</f>
        <v>31.211936973524232</v>
      </c>
      <c r="C329" s="829"/>
      <c r="D329" s="391">
        <f t="shared" si="102"/>
        <v>33.422812408271454</v>
      </c>
      <c r="E329" s="383">
        <f t="shared" si="125"/>
        <v>34.487613341916969</v>
      </c>
      <c r="F329" s="383">
        <f t="shared" si="103"/>
        <v>34.489541172073231</v>
      </c>
      <c r="G329" s="110">
        <f t="shared" si="126"/>
        <v>1.0062092732884733</v>
      </c>
      <c r="H329" s="412" t="b">
        <f>Wh_hp&gt;='2027'!Maxi_hp</f>
        <v>1</v>
      </c>
      <c r="I329" s="388">
        <f>IF(H329,Wh_hp,'2027'!Maxi_hp)</f>
        <v>34.489541172073231</v>
      </c>
      <c r="J329" s="85">
        <f>IF(H329,An,'2027'!An_max)</f>
        <v>2028</v>
      </c>
      <c r="K329" s="197">
        <f t="shared" si="104"/>
        <v>47067</v>
      </c>
      <c r="L329" s="147">
        <f>IF(t&lt;Tvie,1-EXP((T0-t)*PertePVj)+'2027'!Pspv,1-EXP((T0-t)*PertePVj)+Pspv)</f>
        <v>6.6148695320447537E-2</v>
      </c>
      <c r="M329" s="832"/>
      <c r="N329" s="832"/>
      <c r="O329" s="48">
        <f>IF(t&lt;Tnet,'2027'!Resal+('2027'!Salim-'2027'!Resal)*(1-EXP(('2027'!Tnet-t)/('2027'!Tau_j))),Resal+(Salim-Resal)*(1-EXP((Tnet-t)/(Tau_j))))*Salcycl</f>
        <v>3.087488029655364E-2</v>
      </c>
      <c r="P329" s="169">
        <f>(INDEX(Models!$BJ329:$BT329,,T329)*(1-R329)+INDEX(Models!$BJ329:$BT329,,T329+1)*R329-ERP_i)*Q329*Ramure*Pc/MaxiM</f>
        <v>5.5896080108608022E-5</v>
      </c>
      <c r="Q329" s="304">
        <f t="shared" si="105"/>
        <v>0.6</v>
      </c>
      <c r="R329" s="177">
        <f t="shared" si="106"/>
        <v>0.97339781361817979</v>
      </c>
      <c r="S329" s="799">
        <f t="shared" si="107"/>
        <v>-1</v>
      </c>
      <c r="T329" s="176">
        <f t="shared" si="108"/>
        <v>5</v>
      </c>
      <c r="U329" s="250">
        <f t="shared" si="109"/>
        <v>-2.660218638182027E-2</v>
      </c>
      <c r="V329" s="382">
        <f t="shared" si="110"/>
        <v>31.019329479560451</v>
      </c>
      <c r="W329" s="400">
        <f t="shared" si="111"/>
        <v>31.211936973524232</v>
      </c>
      <c r="X329" s="157">
        <f t="shared" si="112"/>
        <v>47067</v>
      </c>
      <c r="Y329" s="383">
        <f t="shared" si="113"/>
        <v>30.224482528887936</v>
      </c>
      <c r="Z329" s="383">
        <f t="shared" si="114"/>
        <v>32.36541232788592</v>
      </c>
      <c r="AA329" s="384">
        <f t="shared" si="115"/>
        <v>34.461048173758563</v>
      </c>
      <c r="AB329" s="197">
        <f t="shared" si="116"/>
        <v>47067</v>
      </c>
      <c r="AC329" s="119">
        <f>IF(OR(t&lt;Tnet,NoTnet),'2027'!Resal_s+('2027'!Salim-'2027'!Resal_s)*(1-EXP(('2027'!Tnet_s-t)/'2027'!Tau_j)),Resal_s+(Salim-Resal_s)*(1-EXP((Tnet_s-t)/Tau_j)))*Salcycl</f>
        <v>6.0811726773546938E-2</v>
      </c>
      <c r="AD329" s="230">
        <f>(INDEX(Models!$BJ329:$BT329,,AH329)*(1-AF329)+INDEX(Models!$BJ329:$BT329,,AH329+1)*AF329-ERP_i)*AE329*Ramure*Pc/MaxiM</f>
        <v>8.2613445544292617E-4</v>
      </c>
      <c r="AE329" s="304">
        <f t="shared" si="117"/>
        <v>0.6</v>
      </c>
      <c r="AF329" s="177">
        <f t="shared" si="118"/>
        <v>0.49838537999215804</v>
      </c>
      <c r="AG329" s="799">
        <f t="shared" si="124"/>
        <v>3</v>
      </c>
      <c r="AH329" s="176">
        <f t="shared" si="119"/>
        <v>9</v>
      </c>
      <c r="AI329" s="224">
        <f t="shared" si="120"/>
        <v>3.498385379992158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47068</v>
      </c>
      <c r="B330" s="409">
        <f>IF(t&gt;Tmaj,'2027'!Wh/'2027'!Env_an*'2028'!Env_an,0.001*'[13]mon-tableau (3)'!$B$246)</f>
        <v>30.48186946134955</v>
      </c>
      <c r="C330" s="829"/>
      <c r="D330" s="391">
        <f t="shared" si="102"/>
        <v>32.641656651194097</v>
      </c>
      <c r="E330" s="383">
        <f t="shared" si="125"/>
        <v>33.68433692682558</v>
      </c>
      <c r="F330" s="383">
        <f t="shared" si="103"/>
        <v>33.686378442091055</v>
      </c>
      <c r="G330" s="110">
        <f t="shared" si="126"/>
        <v>0.9912860572990484</v>
      </c>
      <c r="H330" s="412" t="b">
        <f>Wh_hp&gt;='2027'!Maxi_hp</f>
        <v>0</v>
      </c>
      <c r="I330" s="388">
        <f>IF(H330,Wh_hp,'2027'!Maxi_hp)</f>
        <v>33.686399615793086</v>
      </c>
      <c r="J330" s="85">
        <f>IF(H330,An,'2027'!An_max)</f>
        <v>2026</v>
      </c>
      <c r="K330" s="197">
        <f t="shared" si="104"/>
        <v>47068</v>
      </c>
      <c r="L330" s="147">
        <f>IF(t&lt;Tvie,1-EXP((T0-t)*PertePVj)+'2027'!Pspv,1-EXP((T0-t)*PertePVj)+Pspv)</f>
        <v>6.6166592367655985E-2</v>
      </c>
      <c r="M330" s="832"/>
      <c r="N330" s="832"/>
      <c r="O330" s="48">
        <f>IF(t&lt;Tnet,'2027'!Resal+('2027'!Salim-'2027'!Resal)*(1-EXP(('2027'!Tnet-t)/('2027'!Tau_j))),Resal+(Salim-Resal)*(1-EXP((Tnet-t)/(Tau_j))))*Salcycl</f>
        <v>3.0954454525750512E-2</v>
      </c>
      <c r="P330" s="169">
        <f>(INDEX(Models!$BJ330:$BT330,,T330)*(1-R330)+INDEX(Models!$BJ330:$BT330,,T330+1)*R330-ERP_i)*Q330*Ramure*Pc/MaxiM</f>
        <v>6.1367449667406335E-5</v>
      </c>
      <c r="Q330" s="304">
        <f t="shared" si="105"/>
        <v>0.6</v>
      </c>
      <c r="R330" s="177">
        <f t="shared" si="106"/>
        <v>0.9734336692292429</v>
      </c>
      <c r="S330" s="799">
        <f t="shared" si="107"/>
        <v>-1</v>
      </c>
      <c r="T330" s="176">
        <f t="shared" si="108"/>
        <v>5</v>
      </c>
      <c r="U330" s="250">
        <f t="shared" si="109"/>
        <v>-2.6566330770757041E-2</v>
      </c>
      <c r="V330" s="382">
        <f t="shared" si="110"/>
        <v>30.749798155073861</v>
      </c>
      <c r="W330" s="400">
        <f t="shared" si="111"/>
        <v>30.48186946134955</v>
      </c>
      <c r="X330" s="157">
        <f t="shared" si="112"/>
        <v>47068</v>
      </c>
      <c r="Y330" s="383">
        <f t="shared" si="113"/>
        <v>29.517207626171974</v>
      </c>
      <c r="Z330" s="383">
        <f t="shared" si="114"/>
        <v>31.60864388115046</v>
      </c>
      <c r="AA330" s="384">
        <f t="shared" si="115"/>
        <v>33.6562001455775</v>
      </c>
      <c r="AB330" s="197">
        <f t="shared" si="116"/>
        <v>47068</v>
      </c>
      <c r="AC330" s="119">
        <f>IF(OR(t&lt;Tnet,NoTnet),'2027'!Resal_s+('2027'!Salim-'2027'!Resal_s)*(1-EXP(('2027'!Tnet_s-t)/'2027'!Tau_j)),Resal_s+(Salim-Resal_s)*(1-EXP((Tnet_s-t)/Tau_j)))*Salcycl</f>
        <v>6.0837416451366512E-2</v>
      </c>
      <c r="AD330" s="230">
        <f>(INDEX(Models!$BJ330:$BT330,,AH330)*(1-AF330)+INDEX(Models!$BJ330:$BT330,,AH330+1)*AF330-ERP_i)*AE330*Ramure*Pc/MaxiM</f>
        <v>9.0715221368463069E-4</v>
      </c>
      <c r="AE330" s="304">
        <f t="shared" si="117"/>
        <v>0.6</v>
      </c>
      <c r="AF330" s="177">
        <f t="shared" si="118"/>
        <v>0.49842123560322138</v>
      </c>
      <c r="AG330" s="799">
        <f t="shared" si="124"/>
        <v>3</v>
      </c>
      <c r="AH330" s="176">
        <f t="shared" si="119"/>
        <v>9</v>
      </c>
      <c r="AI330" s="224">
        <f t="shared" si="120"/>
        <v>3.4984212356032214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47069</v>
      </c>
      <c r="B331" s="409">
        <f>IF(t&gt;Tmaj,'2027'!Wh/'2027'!Env_an*'2028'!Env_an,0.001*'[13]mon-tableau (3)'!$B$247)</f>
        <v>29.516650808935903</v>
      </c>
      <c r="C331" s="829"/>
      <c r="D331" s="391">
        <f t="shared" si="102"/>
        <v>31.608653383363716</v>
      </c>
      <c r="E331" s="383">
        <f t="shared" si="125"/>
        <v>32.621017717270263</v>
      </c>
      <c r="F331" s="383">
        <f t="shared" si="103"/>
        <v>32.623121505015966</v>
      </c>
      <c r="G331" s="110">
        <f t="shared" si="126"/>
        <v>0.96832740472406498</v>
      </c>
      <c r="H331" s="412" t="b">
        <f>Wh_hp&gt;='2027'!Maxi_hp</f>
        <v>0</v>
      </c>
      <c r="I331" s="388">
        <f>IF(H331,Wh_hp,'2027'!Maxi_hp)</f>
        <v>32.623204090205185</v>
      </c>
      <c r="J331" s="85">
        <f>IF(H331,An,'2027'!An_max)</f>
        <v>2026</v>
      </c>
      <c r="K331" s="197">
        <f t="shared" si="104"/>
        <v>47069</v>
      </c>
      <c r="L331" s="147">
        <f>IF(t&lt;Tvie,1-EXP((T0-t)*PertePVj)+'2027'!Pspv,1-EXP((T0-t)*PertePVj)+Pspv)</f>
        <v>6.6184489071871577E-2</v>
      </c>
      <c r="M331" s="832"/>
      <c r="N331" s="832"/>
      <c r="O331" s="48">
        <f>IF(t&lt;Tnet,'2027'!Resal+('2027'!Salim-'2027'!Resal)*(1-EXP(('2027'!Tnet-t)/('2027'!Tau_j))),Resal+(Salim-Resal)*(1-EXP((Tnet-t)/(Tau_j))))*Salcycl</f>
        <v>3.1034112506262482E-2</v>
      </c>
      <c r="P331" s="169">
        <f>(INDEX(Models!$BJ331:$BT331,,T331)*(1-R331)+INDEX(Models!$BJ331:$BT331,,T331+1)*R331-ERP_i)*Q331*Ramure*Pc/MaxiM</f>
        <v>6.7543452316276041E-5</v>
      </c>
      <c r="Q331" s="304">
        <f t="shared" si="105"/>
        <v>0.6</v>
      </c>
      <c r="R331" s="177">
        <f t="shared" si="106"/>
        <v>0.97346808602599366</v>
      </c>
      <c r="S331" s="799">
        <f t="shared" si="107"/>
        <v>-1</v>
      </c>
      <c r="T331" s="176">
        <f t="shared" si="108"/>
        <v>5</v>
      </c>
      <c r="U331" s="250">
        <f t="shared" si="109"/>
        <v>-2.6531913974006338E-2</v>
      </c>
      <c r="V331" s="382">
        <f t="shared" si="110"/>
        <v>30.482004806887062</v>
      </c>
      <c r="W331" s="400">
        <f t="shared" si="111"/>
        <v>29.516650808935903</v>
      </c>
      <c r="X331" s="157">
        <f t="shared" si="112"/>
        <v>47069</v>
      </c>
      <c r="Y331" s="383">
        <f t="shared" si="113"/>
        <v>28.582666033636752</v>
      </c>
      <c r="Z331" s="383">
        <f t="shared" si="114"/>
        <v>30.608472122323349</v>
      </c>
      <c r="AA331" s="384">
        <f t="shared" si="115"/>
        <v>32.592147233083971</v>
      </c>
      <c r="AB331" s="197">
        <f t="shared" si="116"/>
        <v>47069</v>
      </c>
      <c r="AC331" s="119">
        <f>IF(OR(t&lt;Tnet,NoTnet),'2027'!Resal_s+('2027'!Salim-'2027'!Resal_s)*(1-EXP(('2027'!Tnet_s-t)/'2027'!Tau_j)),Resal_s+(Salim-Resal_s)*(1-EXP((Tnet_s-t)/Tau_j)))*Salcycl</f>
        <v>6.0863590747007076E-2</v>
      </c>
      <c r="AD331" s="230">
        <f>(INDEX(Models!$BJ331:$BT331,,AH331)*(1-AF331)+INDEX(Models!$BJ331:$BT331,,AH331+1)*AF331-ERP_i)*AE331*Ramure*Pc/MaxiM</f>
        <v>9.9444882856587259E-4</v>
      </c>
      <c r="AE331" s="304">
        <f t="shared" si="117"/>
        <v>0.6</v>
      </c>
      <c r="AF331" s="177">
        <f t="shared" si="118"/>
        <v>0.49845565239997214</v>
      </c>
      <c r="AG331" s="799">
        <f t="shared" si="124"/>
        <v>3</v>
      </c>
      <c r="AH331" s="176">
        <f t="shared" si="119"/>
        <v>9</v>
      </c>
      <c r="AI331" s="224">
        <f t="shared" si="120"/>
        <v>3.4984556523999721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47070</v>
      </c>
      <c r="B332" s="409">
        <f>IF(t&gt;Tmaj,'2027'!Wh/'2027'!Env_an*'2028'!Env_an,0.001*'[13]mon-tableau (3)'!$B$248)</f>
        <v>11.179693998204943</v>
      </c>
      <c r="C332" s="829"/>
      <c r="D332" s="391">
        <f t="shared" si="102"/>
        <v>11.972288024520337</v>
      </c>
      <c r="E332" s="383">
        <f t="shared" si="125"/>
        <v>12.356754664436254</v>
      </c>
      <c r="F332" s="383">
        <f t="shared" si="103"/>
        <v>12.356847189818177</v>
      </c>
      <c r="G332" s="110">
        <f t="shared" si="126"/>
        <v>0.36998965829362396</v>
      </c>
      <c r="H332" s="412" t="b">
        <f>Wh_hp&gt;='2027'!Maxi_hp</f>
        <v>0</v>
      </c>
      <c r="I332" s="388">
        <f>IF(H332,Wh_hp,'2027'!Maxi_hp)</f>
        <v>19.58493615154913</v>
      </c>
      <c r="J332" s="85">
        <f>IF(H332,An,'2027'!An_max)</f>
        <v>2020</v>
      </c>
      <c r="K332" s="197">
        <f t="shared" si="104"/>
        <v>47070</v>
      </c>
      <c r="L332" s="147">
        <f>IF(t&lt;Tvie,1-EXP((T0-t)*PertePVj)+'2027'!Pspv,1-EXP((T0-t)*PertePVj)+Pspv)</f>
        <v>6.6202385433100974E-2</v>
      </c>
      <c r="M332" s="832"/>
      <c r="N332" s="832"/>
      <c r="O332" s="48">
        <f>IF(t&lt;Tnet,'2027'!Resal+('2027'!Salim-'2027'!Resal)*(1-EXP(('2027'!Tnet-t)/('2027'!Tau_j))),Resal+(Salim-Resal)*(1-EXP((Tnet-t)/(Tau_j))))*Salcycl</f>
        <v>3.1113884701655756E-2</v>
      </c>
      <c r="P332" s="169">
        <f>(INDEX(Models!$BJ332:$BT332,,T332)*(1-R332)+INDEX(Models!$BJ332:$BT332,,T332+1)*R332-ERP_i)*Q332*Ramure*Pc/MaxiM</f>
        <v>7.4862221910294383E-5</v>
      </c>
      <c r="Q332" s="304">
        <f t="shared" si="105"/>
        <v>0.6</v>
      </c>
      <c r="R332" s="177">
        <f t="shared" si="106"/>
        <v>0.97350112155855539</v>
      </c>
      <c r="S332" s="799">
        <f t="shared" si="107"/>
        <v>-1</v>
      </c>
      <c r="T332" s="176">
        <f t="shared" si="108"/>
        <v>5</v>
      </c>
      <c r="U332" s="250">
        <f t="shared" si="109"/>
        <v>-2.6498878441444662E-2</v>
      </c>
      <c r="V332" s="382">
        <f t="shared" si="110"/>
        <v>30.214197927865815</v>
      </c>
      <c r="W332" s="400">
        <f t="shared" si="111"/>
        <v>11.179693998204943</v>
      </c>
      <c r="X332" s="157">
        <f t="shared" si="112"/>
        <v>47070</v>
      </c>
      <c r="Y332" s="383">
        <f t="shared" si="113"/>
        <v>10.835012794072671</v>
      </c>
      <c r="Z332" s="383">
        <f t="shared" si="114"/>
        <v>11.603170349817198</v>
      </c>
      <c r="AA332" s="384">
        <f t="shared" si="115"/>
        <v>12.355500542472974</v>
      </c>
      <c r="AB332" s="197">
        <f t="shared" si="116"/>
        <v>47070</v>
      </c>
      <c r="AC332" s="119">
        <f>IF(OR(t&lt;Tnet,NoTnet),'2027'!Resal_s+('2027'!Salim-'2027'!Resal_s)*(1-EXP(('2027'!Tnet_s-t)/'2027'!Tau_j)),Resal_s+(Salim-Resal_s)*(1-EXP((Tnet_s-t)/Tau_j)))*Salcycl</f>
        <v>6.089030469219639E-2</v>
      </c>
      <c r="AD332" s="230">
        <f>(INDEX(Models!$BJ332:$BT332,,AH332)*(1-AF332)+INDEX(Models!$BJ332:$BT332,,AH332+1)*AF332-ERP_i)*AE332*Ramure*Pc/MaxiM</f>
        <v>1.0895714267361409E-3</v>
      </c>
      <c r="AE332" s="304">
        <f t="shared" si="117"/>
        <v>0.6</v>
      </c>
      <c r="AF332" s="177">
        <f t="shared" si="118"/>
        <v>0.49848868793253365</v>
      </c>
      <c r="AG332" s="799">
        <f t="shared" si="124"/>
        <v>3</v>
      </c>
      <c r="AH332" s="176">
        <f t="shared" si="119"/>
        <v>9</v>
      </c>
      <c r="AI332" s="224">
        <f t="shared" si="120"/>
        <v>3.4984886879325336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47071</v>
      </c>
      <c r="B333" s="409">
        <f>IF(t&gt;Tmaj,'2027'!Wh/'2027'!Env_an*'2028'!Env_an,0.001*'[13]mon-tableau (3)'!$B$249)</f>
        <v>12.826743128707303</v>
      </c>
      <c r="C333" s="829"/>
      <c r="D333" s="391">
        <f t="shared" si="102"/>
        <v>13.736369374828136</v>
      </c>
      <c r="E333" s="383">
        <f t="shared" si="125"/>
        <v>14.178655528173138</v>
      </c>
      <c r="F333" s="383">
        <f t="shared" si="103"/>
        <v>14.178871716524521</v>
      </c>
      <c r="G333" s="110">
        <f t="shared" si="126"/>
        <v>0.42828199764331465</v>
      </c>
      <c r="H333" s="412" t="b">
        <f>Wh_hp&gt;='2027'!Maxi_hp</f>
        <v>0</v>
      </c>
      <c r="I333" s="388">
        <f>IF(H333,Wh_hp,'2027'!Maxi_hp)</f>
        <v>27.924813714733766</v>
      </c>
      <c r="J333" s="85">
        <f>IF(H333,An,'2027'!An_max)</f>
        <v>2020</v>
      </c>
      <c r="K333" s="197">
        <f t="shared" si="104"/>
        <v>47071</v>
      </c>
      <c r="L333" s="147">
        <f>IF(t&lt;Tvie,1-EXP((T0-t)*PertePVj)+'2027'!Pspv,1-EXP((T0-t)*PertePVj)+Pspv)</f>
        <v>6.6220281451350727E-2</v>
      </c>
      <c r="M333" s="832"/>
      <c r="N333" s="832"/>
      <c r="O333" s="48">
        <f>IF(t&lt;Tnet,'2027'!Resal+('2027'!Salim-'2027'!Resal)*(1-EXP(('2027'!Tnet-t)/('2027'!Tau_j))),Resal+(Salim-Resal)*(1-EXP((Tnet-t)/(Tau_j))))*Salcycl</f>
        <v>3.1193800601627852E-2</v>
      </c>
      <c r="P333" s="169">
        <f>(INDEX(Models!$BJ333:$BT333,,T333)*(1-R333)+INDEX(Models!$BJ333:$BT333,,T333+1)*R333-ERP_i)*Q333*Ramure*Pc/MaxiM</f>
        <v>8.3181059067069339E-5</v>
      </c>
      <c r="Q333" s="304">
        <f t="shared" si="105"/>
        <v>0.6</v>
      </c>
      <c r="R333" s="177">
        <f t="shared" si="106"/>
        <v>0.97353283108985045</v>
      </c>
      <c r="S333" s="799">
        <f t="shared" si="107"/>
        <v>-1</v>
      </c>
      <c r="T333" s="176">
        <f t="shared" si="108"/>
        <v>5</v>
      </c>
      <c r="U333" s="250">
        <f t="shared" si="109"/>
        <v>-2.6467168910149552E-2</v>
      </c>
      <c r="V333" s="382">
        <f t="shared" si="110"/>
        <v>29.947258619487382</v>
      </c>
      <c r="W333" s="400">
        <f t="shared" si="111"/>
        <v>12.826743128707303</v>
      </c>
      <c r="X333" s="157">
        <f t="shared" si="112"/>
        <v>47071</v>
      </c>
      <c r="Y333" s="383">
        <f t="shared" si="113"/>
        <v>12.430685515010151</v>
      </c>
      <c r="Z333" s="383">
        <f t="shared" si="114"/>
        <v>13.312224787159501</v>
      </c>
      <c r="AA333" s="384">
        <f t="shared" si="115"/>
        <v>14.175779402131308</v>
      </c>
      <c r="AB333" s="197">
        <f t="shared" si="116"/>
        <v>47071</v>
      </c>
      <c r="AC333" s="119">
        <f>IF(OR(t&lt;Tnet,NoTnet),'2027'!Resal_s+('2027'!Salim-'2027'!Resal_s)*(1-EXP(('2027'!Tnet_s-t)/'2027'!Tau_j)),Resal_s+(Salim-Resal_s)*(1-EXP((Tnet_s-t)/Tau_j)))*Salcycl</f>
        <v>6.091761098102115E-2</v>
      </c>
      <c r="AD333" s="230">
        <f>(INDEX(Models!$BJ333:$BT333,,AH333)*(1-AF333)+INDEX(Models!$BJ333:$BT333,,AH333+1)*AF333-ERP_i)*AE333*Ramure*Pc/MaxiM</f>
        <v>1.189805022106771E-3</v>
      </c>
      <c r="AE333" s="304">
        <f t="shared" si="117"/>
        <v>0.6</v>
      </c>
      <c r="AF333" s="177">
        <f t="shared" si="118"/>
        <v>0.49852039746382903</v>
      </c>
      <c r="AG333" s="799">
        <f t="shared" si="124"/>
        <v>3</v>
      </c>
      <c r="AH333" s="176">
        <f t="shared" si="119"/>
        <v>9</v>
      </c>
      <c r="AI333" s="224">
        <f t="shared" si="120"/>
        <v>3.498520397463829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47072</v>
      </c>
      <c r="B334" s="409">
        <f>IF(t&gt;Tmaj,'2027'!Wh/'2027'!Env_an*'2028'!Env_an,0.001*'[13]mon-tableau (3)'!$B$250)</f>
        <v>30.064359675484194</v>
      </c>
      <c r="C334" s="829"/>
      <c r="D334" s="391">
        <f t="shared" si="102"/>
        <v>32.197032411295332</v>
      </c>
      <c r="E334" s="383">
        <f t="shared" si="125"/>
        <v>33.23646594422744</v>
      </c>
      <c r="F334" s="383">
        <f t="shared" si="103"/>
        <v>33.23954058727778</v>
      </c>
      <c r="G334" s="110">
        <f t="shared" si="126"/>
        <v>1.0128797109208914</v>
      </c>
      <c r="H334" s="412" t="b">
        <f>Wh_hp&gt;='2027'!Maxi_hp</f>
        <v>1</v>
      </c>
      <c r="I334" s="388">
        <f>IF(H334,Wh_hp,'2027'!Maxi_hp)</f>
        <v>33.23954058727778</v>
      </c>
      <c r="J334" s="85">
        <f>IF(H334,An,'2027'!An_max)</f>
        <v>2028</v>
      </c>
      <c r="K334" s="197">
        <f t="shared" si="104"/>
        <v>47072</v>
      </c>
      <c r="L334" s="147">
        <f>IF(t&lt;Tvie,1-EXP((T0-t)*PertePVj)+'2027'!Pspv,1-EXP((T0-t)*PertePVj)+Pspv)</f>
        <v>6.6238177126627273E-2</v>
      </c>
      <c r="M334" s="832"/>
      <c r="N334" s="832"/>
      <c r="O334" s="48">
        <f>IF(t&lt;Tnet,'2027'!Resal+('2027'!Salim-'2027'!Resal)*(1-EXP(('2027'!Tnet-t)/('2027'!Tau_j))),Resal+(Salim-Resal)*(1-EXP((Tnet-t)/(Tau_j))))*Salcycl</f>
        <v>3.1273888585998721E-2</v>
      </c>
      <c r="P334" s="169">
        <f>(INDEX(Models!$BJ334:$BT334,,T334)*(1-R334)+INDEX(Models!$BJ334:$BT334,,T334+1)*R334-ERP_i)*Q334*Ramure*Pc/MaxiM</f>
        <v>9.2499565156907611E-5</v>
      </c>
      <c r="Q334" s="304">
        <f t="shared" si="105"/>
        <v>0.6</v>
      </c>
      <c r="R334" s="177">
        <f t="shared" si="106"/>
        <v>0.97356326768534007</v>
      </c>
      <c r="S334" s="799">
        <f t="shared" si="107"/>
        <v>-1</v>
      </c>
      <c r="T334" s="176">
        <f t="shared" si="108"/>
        <v>5</v>
      </c>
      <c r="U334" s="250">
        <f t="shared" si="109"/>
        <v>-2.6436732314659983E-2</v>
      </c>
      <c r="V334" s="382">
        <f t="shared" si="110"/>
        <v>29.682063280890716</v>
      </c>
      <c r="W334" s="400">
        <f t="shared" si="111"/>
        <v>30.064359675484194</v>
      </c>
      <c r="X334" s="157">
        <f t="shared" si="112"/>
        <v>47072</v>
      </c>
      <c r="Y334" s="383">
        <f t="shared" si="113"/>
        <v>29.108448108709361</v>
      </c>
      <c r="Z334" s="383">
        <f t="shared" si="114"/>
        <v>31.173311433034193</v>
      </c>
      <c r="AA334" s="384">
        <f t="shared" si="115"/>
        <v>33.196490103568514</v>
      </c>
      <c r="AB334" s="197">
        <f t="shared" si="116"/>
        <v>47072</v>
      </c>
      <c r="AC334" s="119">
        <f>IF(OR(t&lt;Tnet,NoTnet),'2027'!Resal_s+('2027'!Salim-'2027'!Resal_s)*(1-EXP(('2027'!Tnet_s-t)/'2027'!Tau_j)),Resal_s+(Salim-Resal_s)*(1-EXP((Tnet_s-t)/Tau_j)))*Salcycl</f>
        <v>6.094555973304052E-2</v>
      </c>
      <c r="AD334" s="230">
        <f>(INDEX(Models!$BJ334:$BT334,,AH334)*(1-AF334)+INDEX(Models!$BJ334:$BT334,,AH334+1)*AF334-ERP_i)*AE334*Ramure*Pc/MaxiM</f>
        <v>1.2951588063086063E-3</v>
      </c>
      <c r="AE334" s="304">
        <f t="shared" si="117"/>
        <v>0.6</v>
      </c>
      <c r="AF334" s="177">
        <f t="shared" si="118"/>
        <v>0.49855083405931833</v>
      </c>
      <c r="AG334" s="799">
        <f t="shared" si="124"/>
        <v>3</v>
      </c>
      <c r="AH334" s="176">
        <f t="shared" si="119"/>
        <v>9</v>
      </c>
      <c r="AI334" s="224">
        <f t="shared" si="120"/>
        <v>3.4985508340593183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47073</v>
      </c>
      <c r="B335" s="409">
        <f>IF(t&gt;Tmaj,'2027'!Wh/'2027'!Env_an*'2028'!Env_an,0.001*'[13]mon-tableau (3)'!$B$251)</f>
        <v>13.514679160687523</v>
      </c>
      <c r="C335" s="829"/>
      <c r="D335" s="391">
        <f t="shared" ref="D335:D380" si="127">Wh/(1-Ppv)</f>
        <v>14.473646105819732</v>
      </c>
      <c r="E335" s="383">
        <f t="shared" si="125"/>
        <v>14.942144738715232</v>
      </c>
      <c r="F335" s="383">
        <f t="shared" ref="F335:F380" si="128">Wh_sa/(1-Pvg*MEDIAN((-Sdif+Wh/Env_an)/Csdif,0,1))</f>
        <v>14.942494540051545</v>
      </c>
      <c r="G335" s="110">
        <f t="shared" si="126"/>
        <v>0.45934198365989826</v>
      </c>
      <c r="H335" s="412" t="b">
        <f>Wh_hp&gt;='2027'!Maxi_hp</f>
        <v>0</v>
      </c>
      <c r="I335" s="388">
        <f>IF(H335,Wh_hp,'2027'!Maxi_hp)</f>
        <v>24.838157791635798</v>
      </c>
      <c r="J335" s="85">
        <f>IF(H335,An,'2027'!An_max)</f>
        <v>2020</v>
      </c>
      <c r="K335" s="197">
        <f t="shared" ref="K335:K380" si="129">t</f>
        <v>47073</v>
      </c>
      <c r="L335" s="147">
        <f>IF(t&lt;Tvie,1-EXP((T0-t)*PertePVj)+'2027'!Pspv,1-EXP((T0-t)*PertePVj)+Pspv)</f>
        <v>6.6256072458937387E-2</v>
      </c>
      <c r="M335" s="832"/>
      <c r="N335" s="832"/>
      <c r="O335" s="48">
        <f>IF(t&lt;Tnet,'2027'!Resal+('2027'!Salim-'2027'!Resal)*(1-EXP(('2027'!Tnet-t)/('2027'!Tau_j))),Resal+(Salim-Resal)*(1-EXP((Tnet-t)/(Tau_j))))*Salcycl</f>
        <v>3.1354175795233433E-2</v>
      </c>
      <c r="P335" s="169">
        <f>(INDEX(Models!$BJ335:$BT335,,T335)*(1-R335)+INDEX(Models!$BJ335:$BT335,,T335+1)*R335-ERP_i)*Q335*Ramure*Pc/MaxiM</f>
        <v>1.0281743495635066E-4</v>
      </c>
      <c r="Q335" s="304">
        <f t="shared" ref="Q335:Q380" si="130">IF(OR(t&lt;Ttai,Notai),Dd+PousD*Croivg,Dens+PousD*(Croivg-Croi_tai))</f>
        <v>0.6</v>
      </c>
      <c r="R335" s="177">
        <f t="shared" ref="R335:R379" si="131">(Hp_vg-S335)/(INDEX(Echel_vg,T335+1)-S335)</f>
        <v>0.97359248229933426</v>
      </c>
      <c r="S335" s="799">
        <f t="shared" ref="S335:S379" si="132">INDEX(Echel_vg,T335)</f>
        <v>-1</v>
      </c>
      <c r="T335" s="176">
        <f t="shared" ref="T335:T380" si="133">MIN(MATCH(Hp_vg,Echel_vg),10)</f>
        <v>5</v>
      </c>
      <c r="U335" s="250">
        <f t="shared" ref="U335:U380" si="134">IF(OR(t&lt;Ttai,Notai),Hdd+PousH*Croivg,Hdtf+PousH*(Croivg-Croi_tai))</f>
        <v>-2.6407517700665739E-2</v>
      </c>
      <c r="V335" s="382">
        <f t="shared" ref="V335:V380" si="135">MaxiM*(1-Ppv)*(1-Pvg)*(1-Psa)</f>
        <v>29.41948798074101</v>
      </c>
      <c r="W335" s="400">
        <f t="shared" ref="W335:W379" si="136">Wh*(A335&gt;Tmaj)</f>
        <v>13.514679160687523</v>
      </c>
      <c r="X335" s="157">
        <f t="shared" ref="X335:X380" si="137">t</f>
        <v>47073</v>
      </c>
      <c r="Y335" s="383">
        <f t="shared" ref="Y335:Y380" si="138">Wh_pvt_s*(1-Ppv)</f>
        <v>13.097530176709895</v>
      </c>
      <c r="Z335" s="383">
        <f t="shared" ref="Z335:Z380" si="139">Wh_sa_s*(1-Psa_s)</f>
        <v>14.026897300634831</v>
      </c>
      <c r="AA335" s="384">
        <f t="shared" ref="AA335:AA380" si="140">Wh_hp*(1-Pvg_s*MEDIAN((-Sdif+Wh/Env_an)/Csdif,0,1))</f>
        <v>14.937712334229237</v>
      </c>
      <c r="AB335" s="197">
        <f t="shared" ref="AB335:AB380" si="141">t</f>
        <v>47073</v>
      </c>
      <c r="AC335" s="119">
        <f>IF(OR(t&lt;Tnet,NoTnet),'2027'!Resal_s+('2027'!Salim-'2027'!Resal_s)*(1-EXP(('2027'!Tnet_s-t)/'2027'!Tau_j)),Resal_s+(Salim-Resal_s)*(1-EXP((Tnet_s-t)/Tau_j)))*Salcycl</f>
        <v>6.0974198271800034E-2</v>
      </c>
      <c r="AD335" s="230">
        <f>(INDEX(Models!$BJ335:$BT335,,AH335)*(1-AF335)+INDEX(Models!$BJ335:$BT335,,AH335+1)*AF335-ERP_i)*AE335*Ramure*Pc/MaxiM</f>
        <v>1.4056382438829564E-3</v>
      </c>
      <c r="AE335" s="304">
        <f t="shared" ref="AE335:AE380" si="142">IF(OR(t&lt;Ttai,Notai),Dd_s+PousD*Croivg,Dens_s+PousD*(Croivg-Croi_tai))</f>
        <v>0.6</v>
      </c>
      <c r="AF335" s="177">
        <f t="shared" ref="AF335:AF379" si="143">(Hp_vg_s-AG335)/(INDEX(Echel_vg,AH335+1)-AG335)</f>
        <v>0.49858004867331296</v>
      </c>
      <c r="AG335" s="799">
        <f t="shared" si="124"/>
        <v>3</v>
      </c>
      <c r="AH335" s="176">
        <f t="shared" ref="AH335:AH380" si="144">MIN(MATCH(Hp_vg_s,Echel_vg),10)</f>
        <v>9</v>
      </c>
      <c r="AI335" s="224">
        <f t="shared" ref="AI335:AI380" si="145">IF(OR(t&lt;Ttai,Notai),Hdd_s+PousH*Croivg,Hdtai_s+PousH*(Croivg-Croi_tai))</f>
        <v>3.498580048673313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80" si="148">A335+1</f>
        <v>47074</v>
      </c>
      <c r="B336" s="409">
        <f>IF(t&gt;Tmaj,'2027'!Wh/'2027'!Env_an*'2028'!Env_an,0.001*'[13]mon-tableau (3)'!$B$252)</f>
        <v>17.23059062992801</v>
      </c>
      <c r="C336" s="829"/>
      <c r="D336" s="391">
        <f t="shared" si="127"/>
        <v>18.453582773996104</v>
      </c>
      <c r="E336" s="383">
        <f t="shared" si="125"/>
        <v>19.052491913066682</v>
      </c>
      <c r="F336" s="383">
        <f t="shared" si="128"/>
        <v>19.053395601897815</v>
      </c>
      <c r="G336" s="110">
        <f t="shared" si="126"/>
        <v>0.59085047600833607</v>
      </c>
      <c r="H336" s="412" t="b">
        <f>Wh_hp&gt;='2027'!Maxi_hp</f>
        <v>0</v>
      </c>
      <c r="I336" s="388">
        <f>IF(H336,Wh_hp,'2027'!Maxi_hp)</f>
        <v>29.745287536442678</v>
      </c>
      <c r="J336" s="85">
        <f>IF(H336,An,'2027'!An_max)</f>
        <v>2020</v>
      </c>
      <c r="K336" s="197">
        <f t="shared" si="129"/>
        <v>47074</v>
      </c>
      <c r="L336" s="147">
        <f>IF(t&lt;Tvie,1-EXP((T0-t)*PertePVj)+'2027'!Pspv,1-EXP((T0-t)*PertePVj)+Pspv)</f>
        <v>6.6273967448287396E-2</v>
      </c>
      <c r="M336" s="832"/>
      <c r="N336" s="832"/>
      <c r="O336" s="48">
        <f>IF(t&lt;Tnet,'2027'!Resal+('2027'!Salim-'2027'!Resal)*(1-EXP(('2027'!Tnet-t)/('2027'!Tau_j))),Resal+(Salim-Resal)*(1-EXP((Tnet-t)/(Tau_j))))*Salcycl</f>
        <v>3.1434688008440105E-2</v>
      </c>
      <c r="P336" s="169">
        <f>(INDEX(Models!$BJ336:$BT336,,T336)*(1-R336)+INDEX(Models!$BJ336:$BT336,,T336+1)*R336-ERP_i)*Q336*Ramure*Pc/MaxiM</f>
        <v>1.1413423649317536E-4</v>
      </c>
      <c r="Q336" s="304">
        <f t="shared" si="130"/>
        <v>0.6</v>
      </c>
      <c r="R336" s="177">
        <f t="shared" si="131"/>
        <v>0.97362052385799758</v>
      </c>
      <c r="S336" s="799">
        <f t="shared" si="132"/>
        <v>-1</v>
      </c>
      <c r="T336" s="176">
        <f t="shared" si="133"/>
        <v>5</v>
      </c>
      <c r="U336" s="250">
        <f t="shared" si="134"/>
        <v>-2.6379476142002367E-2</v>
      </c>
      <c r="V336" s="382">
        <f t="shared" si="135"/>
        <v>29.1604084437887</v>
      </c>
      <c r="W336" s="400">
        <f t="shared" si="136"/>
        <v>17.23059062992801</v>
      </c>
      <c r="X336" s="157">
        <f t="shared" si="137"/>
        <v>47074</v>
      </c>
      <c r="Y336" s="383">
        <f t="shared" si="138"/>
        <v>16.694797697254028</v>
      </c>
      <c r="Z336" s="383">
        <f t="shared" si="139"/>
        <v>17.879760352862839</v>
      </c>
      <c r="AA336" s="384">
        <f t="shared" si="140"/>
        <v>19.041350743353732</v>
      </c>
      <c r="AB336" s="197">
        <f t="shared" si="141"/>
        <v>47074</v>
      </c>
      <c r="AC336" s="119">
        <f>IF(OR(t&lt;Tnet,NoTnet),'2027'!Resal_s+('2027'!Salim-'2027'!Resal_s)*(1-EXP(('2027'!Tnet_s-t)/'2027'!Tau_j)),Resal_s+(Salim-Resal_s)*(1-EXP((Tnet_s-t)/Tau_j)))*Salcycl</f>
        <v>6.1003570920321368E-2</v>
      </c>
      <c r="AD336" s="230">
        <f>(INDEX(Models!$BJ336:$BT336,,AH336)*(1-AF336)+INDEX(Models!$BJ336:$BT336,,AH336+1)*AF336-ERP_i)*AE336*Ramure*Pc/MaxiM</f>
        <v>1.5212434703570016E-3</v>
      </c>
      <c r="AE336" s="304">
        <f t="shared" si="142"/>
        <v>0.6</v>
      </c>
      <c r="AF336" s="177">
        <f t="shared" si="143"/>
        <v>0.49860809023197605</v>
      </c>
      <c r="AG336" s="799">
        <f t="shared" ref="AG336:AG379" si="149">INDEX(Echel_vg,AH336)</f>
        <v>3</v>
      </c>
      <c r="AH336" s="176">
        <f t="shared" si="144"/>
        <v>9</v>
      </c>
      <c r="AI336" s="224">
        <f t="shared" si="145"/>
        <v>3.4986080902319761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47075</v>
      </c>
      <c r="B337" s="409">
        <f>IF(t&gt;Tmaj,'2027'!Wh/'2027'!Env_an*'2028'!Env_an,0.001*'[13]mon-tableau (3)'!$B$253)</f>
        <v>6.799007908508651</v>
      </c>
      <c r="C337" s="829"/>
      <c r="D337" s="391">
        <f t="shared" si="127"/>
        <v>7.2817271612964305</v>
      </c>
      <c r="E337" s="383">
        <f t="shared" si="125"/>
        <v>7.5186817980324259</v>
      </c>
      <c r="F337" s="383">
        <f t="shared" si="128"/>
        <v>7.5186817980324259</v>
      </c>
      <c r="G337" s="110">
        <f t="shared" si="126"/>
        <v>0.23518365462717372</v>
      </c>
      <c r="H337" s="412" t="b">
        <f>Wh_hp&gt;='2027'!Maxi_hp</f>
        <v>0</v>
      </c>
      <c r="I337" s="388">
        <f>IF(H337,Wh_hp,'2027'!Maxi_hp)</f>
        <v>31.924931644225545</v>
      </c>
      <c r="J337" s="85">
        <f>IF(H337,An,'2027'!An_max)</f>
        <v>2020</v>
      </c>
      <c r="K337" s="197">
        <f t="shared" si="129"/>
        <v>47075</v>
      </c>
      <c r="L337" s="147">
        <f>IF(t&lt;Tvie,1-EXP((T0-t)*PertePVj)+'2027'!Pspv,1-EXP((T0-t)*PertePVj)+Pspv)</f>
        <v>6.6291862094684184E-2</v>
      </c>
      <c r="M337" s="832"/>
      <c r="N337" s="832"/>
      <c r="O337" s="48">
        <f>IF(t&lt;Tnet,'2027'!Resal+('2027'!Salim-'2027'!Resal)*(1-EXP(('2027'!Tnet-t)/('2027'!Tau_j))),Resal+(Salim-Resal)*(1-EXP((Tnet-t)/(Tau_j))))*Salcycl</f>
        <v>3.1515449529730573E-2</v>
      </c>
      <c r="P337" s="169">
        <f>(INDEX(Models!$BJ337:$BT337,,T337)*(1-R337)+INDEX(Models!$BJ337:$BT337,,T337+1)*R337-ERP_i)*Q337*Ramure*Pc/MaxiM</f>
        <v>1.2644916415916157E-4</v>
      </c>
      <c r="Q337" s="304">
        <f t="shared" si="130"/>
        <v>0.6</v>
      </c>
      <c r="R337" s="177">
        <f t="shared" si="131"/>
        <v>0.97364743933916809</v>
      </c>
      <c r="S337" s="799">
        <f t="shared" si="132"/>
        <v>-1</v>
      </c>
      <c r="T337" s="176">
        <f t="shared" si="133"/>
        <v>5</v>
      </c>
      <c r="U337" s="250">
        <f t="shared" si="134"/>
        <v>-2.6352560660831859E-2</v>
      </c>
      <c r="V337" s="382">
        <f t="shared" si="135"/>
        <v>28.905700059888574</v>
      </c>
      <c r="W337" s="400">
        <f t="shared" si="136"/>
        <v>6.799007908508651</v>
      </c>
      <c r="X337" s="157">
        <f t="shared" si="137"/>
        <v>47075</v>
      </c>
      <c r="Y337" s="383">
        <f t="shared" si="138"/>
        <v>6.5917821492348754</v>
      </c>
      <c r="Z337" s="383">
        <f t="shared" si="139"/>
        <v>7.0597886873117579</v>
      </c>
      <c r="AA337" s="384">
        <f t="shared" si="140"/>
        <v>7.5186817980324259</v>
      </c>
      <c r="AB337" s="197">
        <f t="shared" si="141"/>
        <v>47075</v>
      </c>
      <c r="AC337" s="119">
        <f>IF(OR(t&lt;Tnet,NoTnet),'2027'!Resal_s+('2027'!Salim-'2027'!Resal_s)*(1-EXP(('2027'!Tnet_s-t)/'2027'!Tau_j)),Resal_s+(Salim-Resal_s)*(1-EXP((Tnet_s-t)/Tau_j)))*Salcycl</f>
        <v>6.1033718815013113E-2</v>
      </c>
      <c r="AD337" s="230">
        <f>(INDEX(Models!$BJ337:$BT337,,AH337)*(1-AF337)+INDEX(Models!$BJ337:$BT337,,AH337+1)*AF337-ERP_i)*AE337*Ramure*Pc/MaxiM</f>
        <v>1.6419675165096318E-3</v>
      </c>
      <c r="AE337" s="304">
        <f t="shared" si="142"/>
        <v>0.6</v>
      </c>
      <c r="AF337" s="177">
        <f t="shared" si="143"/>
        <v>0.49863500571314656</v>
      </c>
      <c r="AG337" s="799">
        <f t="shared" si="149"/>
        <v>3</v>
      </c>
      <c r="AH337" s="176">
        <f t="shared" si="144"/>
        <v>9</v>
      </c>
      <c r="AI337" s="224">
        <f t="shared" si="145"/>
        <v>3.4986350057131466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47076</v>
      </c>
      <c r="B338" s="409">
        <f>IF(t&gt;Tmaj,'2027'!Wh/'2027'!Env_an*'2028'!Env_an,0.001*'[13]mon-tableau (3)'!$B$254)</f>
        <v>17.491865701298082</v>
      </c>
      <c r="C338" s="829"/>
      <c r="D338" s="391">
        <f t="shared" si="127"/>
        <v>18.734120679916597</v>
      </c>
      <c r="E338" s="383">
        <f t="shared" si="125"/>
        <v>19.345366216319853</v>
      </c>
      <c r="F338" s="383">
        <f t="shared" si="128"/>
        <v>19.346563700152942</v>
      </c>
      <c r="G338" s="110">
        <f t="shared" si="126"/>
        <v>0.61035589188777162</v>
      </c>
      <c r="H338" s="412" t="b">
        <f>Wh_hp&gt;='2027'!Maxi_hp</f>
        <v>0</v>
      </c>
      <c r="I338" s="388">
        <f>IF(H338,Wh_hp,'2027'!Maxi_hp)</f>
        <v>32.554516773217912</v>
      </c>
      <c r="J338" s="85">
        <f>IF(H338,An,'2027'!An_max)</f>
        <v>2018</v>
      </c>
      <c r="K338" s="197">
        <f t="shared" si="129"/>
        <v>47076</v>
      </c>
      <c r="L338" s="147">
        <f>IF(t&lt;Tvie,1-EXP((T0-t)*PertePVj)+'2027'!Pspv,1-EXP((T0-t)*PertePVj)+Pspv)</f>
        <v>6.6309756398134079E-2</v>
      </c>
      <c r="M338" s="832"/>
      <c r="N338" s="832"/>
      <c r="O338" s="48">
        <f>IF(t&lt;Tnet,'2027'!Resal+('2027'!Salim-'2027'!Resal)*(1-EXP(('2027'!Tnet-t)/('2027'!Tau_j))),Resal+(Salim-Resal)*(1-EXP((Tnet-t)/(Tau_j))))*Salcycl</f>
        <v>3.1596483083768528E-2</v>
      </c>
      <c r="P338" s="169">
        <f>(INDEX(Models!$BJ338:$BT338,,T338)*(1-R338)+INDEX(Models!$BJ338:$BT338,,T338+1)*R338-ERP_i)*Q338*Ramure*Pc/MaxiM</f>
        <v>1.395846009060782E-4</v>
      </c>
      <c r="Q338" s="304">
        <f t="shared" si="130"/>
        <v>0.6</v>
      </c>
      <c r="R338" s="177">
        <f t="shared" si="131"/>
        <v>0.97367327384910718</v>
      </c>
      <c r="S338" s="799">
        <f t="shared" si="132"/>
        <v>-1</v>
      </c>
      <c r="T338" s="176">
        <f t="shared" si="133"/>
        <v>5</v>
      </c>
      <c r="U338" s="250">
        <f t="shared" si="134"/>
        <v>-2.6326726150892821E-2</v>
      </c>
      <c r="V338" s="382">
        <f t="shared" si="135"/>
        <v>28.656242921783999</v>
      </c>
      <c r="W338" s="400">
        <f t="shared" si="136"/>
        <v>17.491865701298082</v>
      </c>
      <c r="X338" s="157">
        <f t="shared" si="137"/>
        <v>47076</v>
      </c>
      <c r="Y338" s="383">
        <f t="shared" si="138"/>
        <v>16.947371302859544</v>
      </c>
      <c r="Z338" s="383">
        <f t="shared" si="139"/>
        <v>18.150956828554008</v>
      </c>
      <c r="AA338" s="384">
        <f t="shared" si="140"/>
        <v>19.331424046881523</v>
      </c>
      <c r="AB338" s="197">
        <f t="shared" si="141"/>
        <v>47076</v>
      </c>
      <c r="AC338" s="119">
        <f>IF(OR(t&lt;Tnet,NoTnet),'2027'!Resal_s+('2027'!Salim-'2027'!Resal_s)*(1-EXP(('2027'!Tnet_s-t)/'2027'!Tau_j)),Resal_s+(Salim-Resal_s)*(1-EXP((Tnet_s-t)/Tau_j)))*Salcycl</f>
        <v>6.1064679739304739E-2</v>
      </c>
      <c r="AD338" s="230">
        <f>(INDEX(Models!$BJ338:$BT338,,AH338)*(1-AF338)+INDEX(Models!$BJ338:$BT338,,AH338+1)*AF338-ERP_i)*AE338*Ramure*Pc/MaxiM</f>
        <v>1.7647523927694401E-3</v>
      </c>
      <c r="AE338" s="304">
        <f t="shared" si="142"/>
        <v>0.6</v>
      </c>
      <c r="AF338" s="177">
        <f t="shared" si="143"/>
        <v>0.49866084022308588</v>
      </c>
      <c r="AG338" s="799">
        <f t="shared" si="149"/>
        <v>3</v>
      </c>
      <c r="AH338" s="176">
        <f t="shared" si="144"/>
        <v>9</v>
      </c>
      <c r="AI338" s="224">
        <f t="shared" si="145"/>
        <v>3.4986608402230859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47077</v>
      </c>
      <c r="B339" s="409">
        <f>IF(t&gt;Tmaj,'2027'!Wh/'2027'!Env_an*'2028'!Env_an,0.001*'[13]mon-tableau (3)'!$B$255)</f>
        <v>3.1256753795738135</v>
      </c>
      <c r="C339" s="829"/>
      <c r="D339" s="391">
        <f t="shared" si="127"/>
        <v>3.3477219077703788</v>
      </c>
      <c r="E339" s="383">
        <f t="shared" si="125"/>
        <v>3.4572396887927379</v>
      </c>
      <c r="F339" s="383">
        <f t="shared" si="128"/>
        <v>3.4572396887927379</v>
      </c>
      <c r="G339" s="110">
        <f t="shared" si="126"/>
        <v>0.10999208785706441</v>
      </c>
      <c r="H339" s="412" t="b">
        <f>Wh_hp&gt;='2027'!Maxi_hp</f>
        <v>0</v>
      </c>
      <c r="I339" s="388">
        <f>IF(H339,Wh_hp,'2027'!Maxi_hp)</f>
        <v>29.917682231011785</v>
      </c>
      <c r="J339" s="85">
        <f>IF(H339,An,'2027'!An_max)</f>
        <v>2018</v>
      </c>
      <c r="K339" s="197">
        <f t="shared" si="129"/>
        <v>47077</v>
      </c>
      <c r="L339" s="147">
        <f>IF(t&lt;Tvie,1-EXP((T0-t)*PertePVj)+'2027'!Pspv,1-EXP((T0-t)*PertePVj)+Pspv)</f>
        <v>6.6327650358643742E-2</v>
      </c>
      <c r="M339" s="832"/>
      <c r="N339" s="832"/>
      <c r="O339" s="48">
        <f>IF(t&lt;Tnet,'2027'!Resal+('2027'!Salim-'2027'!Resal)*(1-EXP(('2027'!Tnet-t)/('2027'!Tau_j))),Resal+(Salim-Resal)*(1-EXP((Tnet-t)/(Tau_j))))*Salcycl</f>
        <v>3.1677809721258471E-2</v>
      </c>
      <c r="P339" s="169">
        <f>(INDEX(Models!$BJ339:$BT339,,T339)*(1-R339)+INDEX(Models!$BJ339:$BT339,,T339+1)*R339-ERP_i)*Q339*Ramure*Pc/MaxiM</f>
        <v>1.5297024832316706E-4</v>
      </c>
      <c r="Q339" s="304">
        <f t="shared" si="130"/>
        <v>0.6</v>
      </c>
      <c r="R339" s="177">
        <f t="shared" si="131"/>
        <v>0.97369807069629233</v>
      </c>
      <c r="S339" s="799">
        <f t="shared" si="132"/>
        <v>-1</v>
      </c>
      <c r="T339" s="176">
        <f t="shared" si="133"/>
        <v>5</v>
      </c>
      <c r="U339" s="250">
        <f t="shared" si="134"/>
        <v>-2.6301929303707727E-2</v>
      </c>
      <c r="V339" s="382">
        <f t="shared" si="135"/>
        <v>28.412927739821079</v>
      </c>
      <c r="W339" s="400">
        <f t="shared" si="136"/>
        <v>3.1256753795738135</v>
      </c>
      <c r="X339" s="157">
        <f t="shared" si="137"/>
        <v>47077</v>
      </c>
      <c r="Y339" s="383">
        <f t="shared" si="138"/>
        <v>3.0307139718416347</v>
      </c>
      <c r="Z339" s="383">
        <f t="shared" si="139"/>
        <v>3.2460144857088222</v>
      </c>
      <c r="AA339" s="384">
        <f t="shared" si="140"/>
        <v>3.4572396887927379</v>
      </c>
      <c r="AB339" s="197">
        <f t="shared" si="141"/>
        <v>47077</v>
      </c>
      <c r="AC339" s="119">
        <f>IF(OR(t&lt;Tnet,NoTnet),'2027'!Resal_s+('2027'!Salim-'2027'!Resal_s)*(1-EXP(('2027'!Tnet_s-t)/'2027'!Tau_j)),Resal_s+(Salim-Resal_s)*(1-EXP((Tnet_s-t)/Tau_j)))*Salcycl</f>
        <v>6.1096487978152036E-2</v>
      </c>
      <c r="AD339" s="230">
        <f>(INDEX(Models!$BJ339:$BT339,,AH339)*(1-AF339)+INDEX(Models!$BJ339:$BT339,,AH339+1)*AF339-ERP_i)*AE339*Ramure*Pc/MaxiM</f>
        <v>1.8859168512657316E-3</v>
      </c>
      <c r="AE339" s="304">
        <f t="shared" si="142"/>
        <v>0.6</v>
      </c>
      <c r="AF339" s="177">
        <f t="shared" si="143"/>
        <v>0.4986856370702708</v>
      </c>
      <c r="AG339" s="799">
        <f t="shared" si="149"/>
        <v>3</v>
      </c>
      <c r="AH339" s="176">
        <f t="shared" si="144"/>
        <v>9</v>
      </c>
      <c r="AI339" s="224">
        <f t="shared" si="145"/>
        <v>3.4986856370702708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47078</v>
      </c>
      <c r="B340" s="409">
        <f>IF(t&gt;Tmaj,'2027'!Wh/'2027'!Env_an*'2028'!Env_an,0.001*'[13]mon-tableau (3)'!$B$256)</f>
        <v>8.0087668177869134</v>
      </c>
      <c r="C340" s="829"/>
      <c r="D340" s="391">
        <f t="shared" si="127"/>
        <v>8.5778702882160598</v>
      </c>
      <c r="E340" s="383">
        <f t="shared" si="125"/>
        <v>8.8592346984533812</v>
      </c>
      <c r="F340" s="383">
        <f t="shared" si="128"/>
        <v>8.8592346984533812</v>
      </c>
      <c r="G340" s="110">
        <f t="shared" si="126"/>
        <v>0.28418703766487546</v>
      </c>
      <c r="H340" s="412" t="b">
        <f>Wh_hp&gt;='2027'!Maxi_hp</f>
        <v>0</v>
      </c>
      <c r="I340" s="388">
        <f>IF(H340,Wh_hp,'2027'!Maxi_hp)</f>
        <v>32.069171926586371</v>
      </c>
      <c r="J340" s="85">
        <f>IF(H340,An,'2027'!An_max)</f>
        <v>2020</v>
      </c>
      <c r="K340" s="197">
        <f t="shared" si="129"/>
        <v>47078</v>
      </c>
      <c r="L340" s="147">
        <f>IF(t&lt;Tvie,1-EXP((T0-t)*PertePVj)+'2027'!Pspv,1-EXP((T0-t)*PertePVj)+Pspv)</f>
        <v>6.6345543976219723E-2</v>
      </c>
      <c r="M340" s="832"/>
      <c r="N340" s="832"/>
      <c r="O340" s="48">
        <f>IF(t&lt;Tnet,'2027'!Resal+('2027'!Salim-'2027'!Resal)*(1-EXP(('2027'!Tnet-t)/('2027'!Tau_j))),Resal+(Salim-Resal)*(1-EXP((Tnet-t)/(Tau_j))))*Salcycl</f>
        <v>3.1759448735051689E-2</v>
      </c>
      <c r="P340" s="169">
        <f>(INDEX(Models!$BJ340:$BT340,,T340)*(1-R340)+INDEX(Models!$BJ340:$BT340,,T340+1)*R340-ERP_i)*Q340*Ramure*Pc/MaxiM</f>
        <v>1.6660316806608663E-4</v>
      </c>
      <c r="Q340" s="304">
        <f t="shared" si="130"/>
        <v>0.6</v>
      </c>
      <c r="R340" s="177">
        <f t="shared" si="131"/>
        <v>0.97372187146236089</v>
      </c>
      <c r="S340" s="799">
        <f t="shared" si="132"/>
        <v>-1</v>
      </c>
      <c r="T340" s="176">
        <f t="shared" si="133"/>
        <v>5</v>
      </c>
      <c r="U340" s="250">
        <f t="shared" si="134"/>
        <v>-2.6278128537639112E-2</v>
      </c>
      <c r="V340" s="382">
        <f t="shared" si="135"/>
        <v>28.176628313728532</v>
      </c>
      <c r="W340" s="400">
        <f t="shared" si="136"/>
        <v>8.0087668177869134</v>
      </c>
      <c r="X340" s="157">
        <f t="shared" si="137"/>
        <v>47078</v>
      </c>
      <c r="Y340" s="383">
        <f t="shared" si="138"/>
        <v>7.7658361923353842</v>
      </c>
      <c r="Z340" s="383">
        <f t="shared" si="139"/>
        <v>8.3176769973425664</v>
      </c>
      <c r="AA340" s="384">
        <f t="shared" si="140"/>
        <v>8.8592346984533812</v>
      </c>
      <c r="AB340" s="197">
        <f t="shared" si="141"/>
        <v>47078</v>
      </c>
      <c r="AC340" s="119">
        <f>IF(OR(t&lt;Tnet,NoTnet),'2027'!Resal_s+('2027'!Salim-'2027'!Resal_s)*(1-EXP(('2027'!Tnet_s-t)/'2027'!Tau_j)),Resal_s+(Salim-Resal_s)*(1-EXP((Tnet_s-t)/Tau_j)))*Salcycl</f>
        <v>6.1129174194398291E-2</v>
      </c>
      <c r="AD340" s="230">
        <f>(INDEX(Models!$BJ340:$BT340,,AH340)*(1-AF340)+INDEX(Models!$BJ340:$BT340,,AH340+1)*AF340-ERP_i)*AE340*Ramure*Pc/MaxiM</f>
        <v>2.0054272853914368E-3</v>
      </c>
      <c r="AE340" s="304">
        <f t="shared" si="142"/>
        <v>0.6</v>
      </c>
      <c r="AF340" s="177">
        <f t="shared" si="143"/>
        <v>0.49870943783633948</v>
      </c>
      <c r="AG340" s="799">
        <f t="shared" si="149"/>
        <v>3</v>
      </c>
      <c r="AH340" s="176">
        <f t="shared" si="144"/>
        <v>9</v>
      </c>
      <c r="AI340" s="224">
        <f t="shared" si="145"/>
        <v>3.4987094378363395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47079</v>
      </c>
      <c r="B341" s="409">
        <f>IF(t&gt;Tmaj,'2027'!Wh/'2027'!Env_an*'2028'!Env_an,0.001*'[13]mon-tableau (3)'!$B$257)</f>
        <v>13.201129056233908</v>
      </c>
      <c r="C341" s="829"/>
      <c r="D341" s="391">
        <f t="shared" si="127"/>
        <v>14.139473091502156</v>
      </c>
      <c r="E341" s="383">
        <f t="shared" si="125"/>
        <v>14.604501110002285</v>
      </c>
      <c r="F341" s="383">
        <f t="shared" si="128"/>
        <v>14.605150078847567</v>
      </c>
      <c r="G341" s="110">
        <f t="shared" si="126"/>
        <v>0.47227816006981826</v>
      </c>
      <c r="H341" s="412" t="b">
        <f>Wh_hp&gt;='2027'!Maxi_hp</f>
        <v>0</v>
      </c>
      <c r="I341" s="388">
        <f>IF(H341,Wh_hp,'2027'!Maxi_hp)</f>
        <v>32.348955390885784</v>
      </c>
      <c r="J341" s="85">
        <f>IF(H341,An,'2027'!An_max)</f>
        <v>2020</v>
      </c>
      <c r="K341" s="197">
        <f t="shared" si="129"/>
        <v>47079</v>
      </c>
      <c r="L341" s="147">
        <f>IF(t&lt;Tvie,1-EXP((T0-t)*PertePVj)+'2027'!Pspv,1-EXP((T0-t)*PertePVj)+Pspv)</f>
        <v>6.6363437250868573E-2</v>
      </c>
      <c r="M341" s="832"/>
      <c r="N341" s="832"/>
      <c r="O341" s="48">
        <f>IF(t&lt;Tnet,'2027'!Resal+('2027'!Salim-'2027'!Resal)*(1-EXP(('2027'!Tnet-t)/('2027'!Tau_j))),Resal+(Salim-Resal)*(1-EXP((Tnet-t)/(Tau_j))))*Salcycl</f>
        <v>3.1841417587461569E-2</v>
      </c>
      <c r="P341" s="169">
        <f>(INDEX(Models!$BJ341:$BT341,,T341)*(1-R341)+INDEX(Models!$BJ341:$BT341,,T341+1)*R341-ERP_i)*Q341*Ramure*Pc/MaxiM</f>
        <v>1.8047775175211972E-4</v>
      </c>
      <c r="Q341" s="304">
        <f t="shared" si="130"/>
        <v>0.6</v>
      </c>
      <c r="R341" s="177">
        <f t="shared" si="131"/>
        <v>0.97374471607031055</v>
      </c>
      <c r="S341" s="799">
        <f t="shared" si="132"/>
        <v>-1</v>
      </c>
      <c r="T341" s="176">
        <f t="shared" si="133"/>
        <v>5</v>
      </c>
      <c r="U341" s="250">
        <f t="shared" si="134"/>
        <v>-2.6255283929689399E-2</v>
      </c>
      <c r="V341" s="382">
        <f t="shared" si="135"/>
        <v>27.948218157312525</v>
      </c>
      <c r="W341" s="400">
        <f t="shared" si="136"/>
        <v>13.201129056233908</v>
      </c>
      <c r="X341" s="157">
        <f t="shared" si="137"/>
        <v>47079</v>
      </c>
      <c r="Y341" s="383">
        <f t="shared" si="138"/>
        <v>12.79520051640954</v>
      </c>
      <c r="Z341" s="383">
        <f t="shared" si="139"/>
        <v>13.704690911775717</v>
      </c>
      <c r="AA341" s="384">
        <f t="shared" si="140"/>
        <v>14.59751531537926</v>
      </c>
      <c r="AB341" s="197">
        <f t="shared" si="141"/>
        <v>47079</v>
      </c>
      <c r="AC341" s="119">
        <f>IF(OR(t&lt;Tnet,NoTnet),'2027'!Resal_s+('2027'!Salim-'2027'!Resal_s)*(1-EXP(('2027'!Tnet_s-t)/'2027'!Tau_j)),Resal_s+(Salim-Resal_s)*(1-EXP((Tnet_s-t)/Tau_j)))*Salcycl</f>
        <v>6.116276532780246E-2</v>
      </c>
      <c r="AD341" s="230">
        <f>(INDEX(Models!$BJ341:$BT341,,AH341)*(1-AF341)+INDEX(Models!$BJ341:$BT341,,AH341+1)*AF341-ERP_i)*AE341*Ramure*Pc/MaxiM</f>
        <v>2.1232220251184608E-3</v>
      </c>
      <c r="AE341" s="304">
        <f t="shared" si="142"/>
        <v>0.6</v>
      </c>
      <c r="AF341" s="177">
        <f t="shared" si="143"/>
        <v>0.49873228244428924</v>
      </c>
      <c r="AG341" s="799">
        <f t="shared" si="149"/>
        <v>3</v>
      </c>
      <c r="AH341" s="176">
        <f t="shared" si="144"/>
        <v>9</v>
      </c>
      <c r="AI341" s="224">
        <f t="shared" si="145"/>
        <v>3.4987322824442892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47080</v>
      </c>
      <c r="B342" s="409">
        <f>IF(t&gt;Tmaj,'2027'!Wh/'2027'!Env_an*'2028'!Env_an,0.001*'[13]mon-tableau (3)'!$B$258)</f>
        <v>14.154874567920537</v>
      </c>
      <c r="C342" s="829"/>
      <c r="D342" s="391">
        <f t="shared" si="127"/>
        <v>15.161301959277383</v>
      </c>
      <c r="E342" s="383">
        <f t="shared" si="125"/>
        <v>15.661268081945273</v>
      </c>
      <c r="F342" s="383">
        <f t="shared" si="128"/>
        <v>15.662184468570699</v>
      </c>
      <c r="G342" s="110">
        <f t="shared" si="126"/>
        <v>0.51041031203231491</v>
      </c>
      <c r="H342" s="412" t="b">
        <f>Wh_hp&gt;='2027'!Maxi_hp</f>
        <v>0</v>
      </c>
      <c r="I342" s="388">
        <f>IF(H342,Wh_hp,'2027'!Maxi_hp)</f>
        <v>29.959800379951087</v>
      </c>
      <c r="J342" s="85">
        <f>IF(H342,An,'2027'!An_max)</f>
        <v>2020</v>
      </c>
      <c r="K342" s="197">
        <f t="shared" si="129"/>
        <v>47080</v>
      </c>
      <c r="L342" s="147">
        <f>IF(t&lt;Tvie,1-EXP((T0-t)*PertePVj)+'2027'!Pspv,1-EXP((T0-t)*PertePVj)+Pspv)</f>
        <v>6.6381330182596954E-2</v>
      </c>
      <c r="M342" s="832"/>
      <c r="N342" s="832"/>
      <c r="O342" s="48">
        <f>IF(t&lt;Tnet,'2027'!Resal+('2027'!Salim-'2027'!Resal)*(1-EXP(('2027'!Tnet-t)/('2027'!Tau_j))),Resal+(Salim-Resal)*(1-EXP((Tnet-t)/(Tau_j))))*Salcycl</f>
        <v>3.1923731849291655E-2</v>
      </c>
      <c r="P342" s="169">
        <f>(INDEX(Models!$BJ342:$BT342,,T342)*(1-R342)+INDEX(Models!$BJ342:$BT342,,T342+1)*R342-ERP_i)*Q342*Ramure*Pc/MaxiM</f>
        <v>1.9458710830097509E-4</v>
      </c>
      <c r="Q342" s="304">
        <f t="shared" si="130"/>
        <v>0.6</v>
      </c>
      <c r="R342" s="177">
        <f t="shared" si="131"/>
        <v>0.97376664285005865</v>
      </c>
      <c r="S342" s="799">
        <f t="shared" si="132"/>
        <v>-1</v>
      </c>
      <c r="T342" s="176">
        <f t="shared" si="133"/>
        <v>5</v>
      </c>
      <c r="U342" s="250">
        <f t="shared" si="134"/>
        <v>-2.6233357149941405E-2</v>
      </c>
      <c r="V342" s="382">
        <f t="shared" si="135"/>
        <v>27.728570446439651</v>
      </c>
      <c r="W342" s="400">
        <f t="shared" si="136"/>
        <v>14.154874567920537</v>
      </c>
      <c r="X342" s="157">
        <f t="shared" si="137"/>
        <v>47080</v>
      </c>
      <c r="Y342" s="383">
        <f t="shared" si="138"/>
        <v>13.718407178620861</v>
      </c>
      <c r="Z342" s="383">
        <f t="shared" si="139"/>
        <v>14.693801251108125</v>
      </c>
      <c r="AA342" s="384">
        <f t="shared" si="140"/>
        <v>15.651639059814739</v>
      </c>
      <c r="AB342" s="197">
        <f t="shared" si="141"/>
        <v>47080</v>
      </c>
      <c r="AC342" s="119">
        <f>IF(OR(t&lt;Tnet,NoTnet),'2027'!Resal_s+('2027'!Salim-'2027'!Resal_s)*(1-EXP(('2027'!Tnet_s-t)/'2027'!Tau_j)),Resal_s+(Salim-Resal_s)*(1-EXP((Tnet_s-t)/Tau_j)))*Salcycl</f>
        <v>6.1197284517366848E-2</v>
      </c>
      <c r="AD342" s="230">
        <f>(INDEX(Models!$BJ342:$BT342,,AH342)*(1-AF342)+INDEX(Models!$BJ342:$BT342,,AH342+1)*AF342-ERP_i)*AE342*Ramure*Pc/MaxiM</f>
        <v>2.2392301881584498E-3</v>
      </c>
      <c r="AE342" s="304">
        <f t="shared" si="142"/>
        <v>0.6</v>
      </c>
      <c r="AF342" s="177">
        <f t="shared" si="143"/>
        <v>0.49875420922403713</v>
      </c>
      <c r="AG342" s="799">
        <f t="shared" si="149"/>
        <v>3</v>
      </c>
      <c r="AH342" s="176">
        <f t="shared" si="144"/>
        <v>9</v>
      </c>
      <c r="AI342" s="224">
        <f t="shared" si="145"/>
        <v>3.4987542092240371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47081</v>
      </c>
      <c r="B343" s="409">
        <f>IF(t&gt;Tmaj,'2027'!Wh/'2027'!Env_an*'2028'!Env_an,0.001*'[13]mon-tableau (3)'!$B$259)</f>
        <v>4.5116340421756176</v>
      </c>
      <c r="C343" s="829"/>
      <c r="D343" s="391">
        <f t="shared" si="127"/>
        <v>4.8325088755479477</v>
      </c>
      <c r="E343" s="383">
        <f t="shared" si="125"/>
        <v>4.9922942685397773</v>
      </c>
      <c r="F343" s="383">
        <f t="shared" si="128"/>
        <v>4.9922942685397773</v>
      </c>
      <c r="G343" s="110">
        <f t="shared" si="126"/>
        <v>0.16391452834549122</v>
      </c>
      <c r="H343" s="412" t="b">
        <f>Wh_hp&gt;='2027'!Maxi_hp</f>
        <v>0</v>
      </c>
      <c r="I343" s="388">
        <f>IF(H343,Wh_hp,'2027'!Maxi_hp)</f>
        <v>29.033907399331543</v>
      </c>
      <c r="J343" s="85">
        <f>IF(H343,An,'2027'!An_max)</f>
        <v>2020</v>
      </c>
      <c r="K343" s="197">
        <f t="shared" si="129"/>
        <v>47081</v>
      </c>
      <c r="L343" s="147">
        <f>IF(t&lt;Tvie,1-EXP((T0-t)*PertePVj)+'2027'!Pspv,1-EXP((T0-t)*PertePVj)+Pspv)</f>
        <v>6.6399222771411304E-2</v>
      </c>
      <c r="M343" s="832"/>
      <c r="N343" s="832"/>
      <c r="O343" s="48">
        <f>IF(t&lt;Tnet,'2027'!Resal+('2027'!Salim-'2027'!Resal)*(1-EXP(('2027'!Tnet-t)/('2027'!Tau_j))),Resal+(Salim-Resal)*(1-EXP((Tnet-t)/(Tau_j))))*Salcycl</f>
        <v>3.2006405150985934E-2</v>
      </c>
      <c r="P343" s="169">
        <f>(INDEX(Models!$BJ343:$BT343,,T343)*(1-R343)+INDEX(Models!$BJ343:$BT343,,T343+1)*R343-ERP_i)*Q343*Ramure*Pc/MaxiM</f>
        <v>2.0892335693602478E-4</v>
      </c>
      <c r="Q343" s="304">
        <f t="shared" si="130"/>
        <v>0.6</v>
      </c>
      <c r="R343" s="177">
        <f t="shared" si="131"/>
        <v>0.97378768860145593</v>
      </c>
      <c r="S343" s="799">
        <f t="shared" si="132"/>
        <v>-1</v>
      </c>
      <c r="T343" s="176">
        <f t="shared" si="133"/>
        <v>5</v>
      </c>
      <c r="U343" s="250">
        <f t="shared" si="134"/>
        <v>-2.6212311398544075E-2</v>
      </c>
      <c r="V343" s="382">
        <f t="shared" si="135"/>
        <v>27.518558006882945</v>
      </c>
      <c r="W343" s="400">
        <f t="shared" si="136"/>
        <v>4.5116340421756176</v>
      </c>
      <c r="X343" s="157">
        <f t="shared" si="137"/>
        <v>47081</v>
      </c>
      <c r="Y343" s="383">
        <f t="shared" si="138"/>
        <v>4.3754156025326605</v>
      </c>
      <c r="Z343" s="383">
        <f t="shared" si="139"/>
        <v>4.6866023564388657</v>
      </c>
      <c r="AA343" s="384">
        <f t="shared" si="140"/>
        <v>4.9922942685397773</v>
      </c>
      <c r="AB343" s="197">
        <f t="shared" si="141"/>
        <v>47081</v>
      </c>
      <c r="AC343" s="119">
        <f>IF(OR(t&lt;Tnet,NoTnet),'2027'!Resal_s+('2027'!Salim-'2027'!Resal_s)*(1-EXP(('2027'!Tnet_s-t)/'2027'!Tau_j)),Resal_s+(Salim-Resal_s)*(1-EXP((Tnet_s-t)/Tau_j)))*Salcycl</f>
        <v>6.123275104741073E-2</v>
      </c>
      <c r="AD343" s="230">
        <f>(INDEX(Models!$BJ343:$BT343,,AH343)*(1-AF343)+INDEX(Models!$BJ343:$BT343,,AH343+1)*AF343-ERP_i)*AE343*Ramure*Pc/MaxiM</f>
        <v>2.3533757996445186E-3</v>
      </c>
      <c r="AE343" s="304">
        <f t="shared" si="142"/>
        <v>0.6</v>
      </c>
      <c r="AF343" s="177">
        <f t="shared" si="143"/>
        <v>0.49877525497543429</v>
      </c>
      <c r="AG343" s="799">
        <f t="shared" si="149"/>
        <v>3</v>
      </c>
      <c r="AH343" s="176">
        <f t="shared" si="144"/>
        <v>9</v>
      </c>
      <c r="AI343" s="224">
        <f t="shared" si="145"/>
        <v>3.4987752549754343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47082</v>
      </c>
      <c r="B344" s="409">
        <f>IF(t&gt;Tmaj,'2027'!Wh/'2027'!Env_an*'2028'!Env_an,0.001*'[13]mon-tableau (3)'!$B$260)</f>
        <v>10.503512204116873</v>
      </c>
      <c r="C344" s="829"/>
      <c r="D344" s="391">
        <f t="shared" si="127"/>
        <v>11.25075488537016</v>
      </c>
      <c r="E344" s="383">
        <f t="shared" si="125"/>
        <v>11.623754773047946</v>
      </c>
      <c r="F344" s="383">
        <f t="shared" si="128"/>
        <v>11.624068263332079</v>
      </c>
      <c r="G344" s="110">
        <f t="shared" si="126"/>
        <v>0.38440014760470453</v>
      </c>
      <c r="H344" s="412" t="b">
        <f>Wh_hp&gt;='2027'!Maxi_hp</f>
        <v>0</v>
      </c>
      <c r="I344" s="388">
        <f>IF(H344,Wh_hp,'2027'!Maxi_hp)</f>
        <v>28.857430187211506</v>
      </c>
      <c r="J344" s="85">
        <f>IF(H344,An,'2027'!An_max)</f>
        <v>2020</v>
      </c>
      <c r="K344" s="197">
        <f t="shared" si="129"/>
        <v>47082</v>
      </c>
      <c r="L344" s="147">
        <f>IF(t&lt;Tvie,1-EXP((T0-t)*PertePVj)+'2027'!Pspv,1-EXP((T0-t)*PertePVj)+Pspv)</f>
        <v>6.6417115017318396E-2</v>
      </c>
      <c r="M344" s="832"/>
      <c r="N344" s="832"/>
      <c r="O344" s="48">
        <f>IF(t&lt;Tnet,'2027'!Resal+('2027'!Salim-'2027'!Resal)*(1-EXP(('2027'!Tnet-t)/('2027'!Tau_j))),Resal+(Salim-Resal)*(1-EXP((Tnet-t)/(Tau_j))))*Salcycl</f>
        <v>3.2089449146214123E-2</v>
      </c>
      <c r="P344" s="169">
        <f>(INDEX(Models!$BJ344:$BT344,,T344)*(1-R344)+INDEX(Models!$BJ344:$BT344,,T344+1)*R344-ERP_i)*Q344*Ramure*Pc/MaxiM</f>
        <v>2.2347665596863592E-4</v>
      </c>
      <c r="Q344" s="304">
        <f t="shared" si="130"/>
        <v>0.6</v>
      </c>
      <c r="R344" s="177">
        <f t="shared" si="131"/>
        <v>0.97380788865485424</v>
      </c>
      <c r="S344" s="799">
        <f t="shared" si="132"/>
        <v>-1</v>
      </c>
      <c r="T344" s="176">
        <f t="shared" si="133"/>
        <v>5</v>
      </c>
      <c r="U344" s="250">
        <f t="shared" si="134"/>
        <v>-2.6192111345145708E-2</v>
      </c>
      <c r="V344" s="382">
        <f t="shared" si="135"/>
        <v>27.319053319923199</v>
      </c>
      <c r="W344" s="400">
        <f t="shared" si="136"/>
        <v>10.503512204116873</v>
      </c>
      <c r="X344" s="157">
        <f t="shared" si="137"/>
        <v>47082</v>
      </c>
      <c r="Y344" s="383">
        <f t="shared" si="138"/>
        <v>10.184105011497932</v>
      </c>
      <c r="Z344" s="383">
        <f t="shared" si="139"/>
        <v>10.908624371029308</v>
      </c>
      <c r="AA344" s="384">
        <f t="shared" si="140"/>
        <v>11.620609595752471</v>
      </c>
      <c r="AB344" s="197">
        <f t="shared" si="141"/>
        <v>47082</v>
      </c>
      <c r="AC344" s="119">
        <f>IF(OR(t&lt;Tnet,NoTnet),'2027'!Resal_s+('2027'!Salim-'2027'!Resal_s)*(1-EXP(('2027'!Tnet_s-t)/'2027'!Tau_j)),Resal_s+(Salim-Resal_s)*(1-EXP((Tnet_s-t)/Tau_j)))*Salcycl</f>
        <v>6.1269180317649115E-2</v>
      </c>
      <c r="AD344" s="230">
        <f>(INDEX(Models!$BJ344:$BT344,,AH344)*(1-AF344)+INDEX(Models!$BJ344:$BT344,,AH344+1)*AF344-ERP_i)*AE344*Ramure*Pc/MaxiM</f>
        <v>2.4655675276652601E-3</v>
      </c>
      <c r="AE344" s="304">
        <f t="shared" si="142"/>
        <v>0.6</v>
      </c>
      <c r="AF344" s="177">
        <f t="shared" si="143"/>
        <v>0.49879545502883271</v>
      </c>
      <c r="AG344" s="799">
        <f t="shared" si="149"/>
        <v>3</v>
      </c>
      <c r="AH344" s="176">
        <f t="shared" si="144"/>
        <v>9</v>
      </c>
      <c r="AI344" s="224">
        <f t="shared" si="145"/>
        <v>3.4987954550288327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47083</v>
      </c>
      <c r="B345" s="409">
        <f>IF(t&gt;Tmaj,'2027'!Wh/'2027'!Env_an*'2028'!Env_an,0.001*'[13]mon-tableau (3)'!$B$261)</f>
        <v>16.335286666326656</v>
      </c>
      <c r="C345" s="829"/>
      <c r="D345" s="391">
        <f t="shared" si="127"/>
        <v>17.497749795050975</v>
      </c>
      <c r="E345" s="383">
        <f t="shared" si="125"/>
        <v>18.079416577332211</v>
      </c>
      <c r="F345" s="383">
        <f t="shared" si="128"/>
        <v>18.081276134557701</v>
      </c>
      <c r="G345" s="110">
        <f t="shared" si="126"/>
        <v>0.60207203171441437</v>
      </c>
      <c r="H345" s="412" t="b">
        <f>Wh_hp&gt;='2027'!Maxi_hp</f>
        <v>0</v>
      </c>
      <c r="I345" s="388">
        <f>IF(H345,Wh_hp,'2027'!Maxi_hp)</f>
        <v>26.802315744867702</v>
      </c>
      <c r="J345" s="85">
        <f>IF(H345,An,'2027'!An_max)</f>
        <v>2020</v>
      </c>
      <c r="K345" s="197">
        <f t="shared" si="129"/>
        <v>47083</v>
      </c>
      <c r="L345" s="147">
        <f>IF(t&lt;Tvie,1-EXP((T0-t)*PertePVj)+'2027'!Pspv,1-EXP((T0-t)*PertePVj)+Pspv)</f>
        <v>6.6435006920324557E-2</v>
      </c>
      <c r="M345" s="832"/>
      <c r="N345" s="832"/>
      <c r="O345" s="48">
        <f>IF(t&lt;Tnet,'2027'!Resal+('2027'!Salim-'2027'!Resal)*(1-EXP(('2027'!Tnet-t)/('2027'!Tau_j))),Resal+(Salim-Resal)*(1-EXP((Tnet-t)/(Tau_j))))*Salcycl</f>
        <v>3.2172873488103867E-2</v>
      </c>
      <c r="P345" s="169">
        <f>(INDEX(Models!$BJ345:$BT345,,T345)*(1-R345)+INDEX(Models!$BJ345:$BT345,,T345+1)*R345-ERP_i)*Q345*Ramure*Pc/MaxiM</f>
        <v>2.3825979477567309E-4</v>
      </c>
      <c r="Q345" s="304">
        <f t="shared" si="130"/>
        <v>0.6</v>
      </c>
      <c r="R345" s="177">
        <f t="shared" si="131"/>
        <v>0.97382727692931481</v>
      </c>
      <c r="S345" s="799">
        <f t="shared" si="132"/>
        <v>-1</v>
      </c>
      <c r="T345" s="176">
        <f t="shared" si="133"/>
        <v>5</v>
      </c>
      <c r="U345" s="250">
        <f t="shared" si="134"/>
        <v>-2.6172723070685133E-2</v>
      </c>
      <c r="V345" s="382">
        <f t="shared" si="135"/>
        <v>27.128106818563584</v>
      </c>
      <c r="W345" s="400">
        <f t="shared" si="136"/>
        <v>16.335286666326656</v>
      </c>
      <c r="X345" s="157">
        <f t="shared" si="137"/>
        <v>47083</v>
      </c>
      <c r="Y345" s="383">
        <f t="shared" si="138"/>
        <v>15.827570015721507</v>
      </c>
      <c r="Z345" s="383">
        <f t="shared" si="139"/>
        <v>16.953902655999332</v>
      </c>
      <c r="AA345" s="384">
        <f t="shared" si="140"/>
        <v>18.061171372977409</v>
      </c>
      <c r="AB345" s="197">
        <f t="shared" si="141"/>
        <v>47083</v>
      </c>
      <c r="AC345" s="119">
        <f>IF(OR(t&lt;Tnet,NoTnet),'2027'!Resal_s+('2027'!Salim-'2027'!Resal_s)*(1-EXP(('2027'!Tnet_s-t)/'2027'!Tau_j)),Resal_s+(Salim-Resal_s)*(1-EXP((Tnet_s-t)/Tau_j)))*Salcycl</f>
        <v>6.1306583837343991E-2</v>
      </c>
      <c r="AD345" s="230">
        <f>(INDEX(Models!$BJ345:$BT345,,AH345)*(1-AF345)+INDEX(Models!$BJ345:$BT345,,AH345+1)*AF345-ERP_i)*AE345*Ramure*Pc/MaxiM</f>
        <v>2.5759660969123916E-3</v>
      </c>
      <c r="AE345" s="304">
        <f t="shared" si="142"/>
        <v>0.6</v>
      </c>
      <c r="AF345" s="177">
        <f t="shared" si="143"/>
        <v>0.49881484330329329</v>
      </c>
      <c r="AG345" s="799">
        <f t="shared" si="149"/>
        <v>3</v>
      </c>
      <c r="AH345" s="176">
        <f t="shared" si="144"/>
        <v>9</v>
      </c>
      <c r="AI345" s="224">
        <f t="shared" si="145"/>
        <v>3.4988148433032933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47084</v>
      </c>
      <c r="B346" s="409">
        <f>IF(t&gt;Tmaj,'2027'!Wh/'2027'!Env_an*'2028'!Env_an,0.001*'[13]mon-tableau (3)'!$B$262)</f>
        <v>10.140507254507932</v>
      </c>
      <c r="C346" s="829"/>
      <c r="D346" s="391">
        <f t="shared" si="127"/>
        <v>10.862341319470561</v>
      </c>
      <c r="E346" s="383">
        <f t="shared" si="125"/>
        <v>11.224403372556189</v>
      </c>
      <c r="F346" s="383">
        <f t="shared" si="128"/>
        <v>11.224713644719319</v>
      </c>
      <c r="G346" s="110">
        <f t="shared" si="126"/>
        <v>0.37627865294893037</v>
      </c>
      <c r="H346" s="412" t="b">
        <f>Wh_hp&gt;='2027'!Maxi_hp</f>
        <v>0</v>
      </c>
      <c r="I346" s="388">
        <f>IF(H346,Wh_hp,'2027'!Maxi_hp)</f>
        <v>18.703888708428419</v>
      </c>
      <c r="J346" s="85">
        <f>IF(H346,An,'2027'!An_max)</f>
        <v>2020</v>
      </c>
      <c r="K346" s="197">
        <f t="shared" si="129"/>
        <v>47084</v>
      </c>
      <c r="L346" s="147">
        <f>IF(t&lt;Tvie,1-EXP((T0-t)*PertePVj)+'2027'!Pspv,1-EXP((T0-t)*PertePVj)+Pspv)</f>
        <v>6.6452898480436562E-2</v>
      </c>
      <c r="M346" s="832"/>
      <c r="N346" s="832"/>
      <c r="O346" s="48">
        <f>IF(t&lt;Tnet,'2027'!Resal+('2027'!Salim-'2027'!Resal)*(1-EXP(('2027'!Tnet-t)/('2027'!Tau_j))),Resal+(Salim-Resal)*(1-EXP((Tnet-t)/(Tau_j))))*Salcycl</f>
        <v>3.2256685818230206E-2</v>
      </c>
      <c r="P346" s="169">
        <f>(INDEX(Models!$BJ346:$BT346,,T346)*(1-R346)+INDEX(Models!$BJ346:$BT346,,T346+1)*R346-ERP_i)*Q346*Ramure*Pc/MaxiM</f>
        <v>2.5338394626055422E-4</v>
      </c>
      <c r="Q346" s="304">
        <f t="shared" si="130"/>
        <v>0.6</v>
      </c>
      <c r="R346" s="177">
        <f t="shared" si="131"/>
        <v>0.9738458859885496</v>
      </c>
      <c r="S346" s="799">
        <f t="shared" si="132"/>
        <v>-1</v>
      </c>
      <c r="T346" s="176">
        <f t="shared" si="133"/>
        <v>5</v>
      </c>
      <c r="U346" s="250">
        <f t="shared" si="134"/>
        <v>-2.6154114011450402E-2</v>
      </c>
      <c r="V346" s="382">
        <f t="shared" si="135"/>
        <v>26.943378192446648</v>
      </c>
      <c r="W346" s="400">
        <f t="shared" si="136"/>
        <v>10.140507254507932</v>
      </c>
      <c r="X346" s="157">
        <f t="shared" si="137"/>
        <v>47084</v>
      </c>
      <c r="Y346" s="383">
        <f t="shared" si="138"/>
        <v>9.8331003688890135</v>
      </c>
      <c r="Z346" s="383">
        <f t="shared" si="139"/>
        <v>10.533052218665103</v>
      </c>
      <c r="AA346" s="384">
        <f t="shared" si="140"/>
        <v>11.221430529355423</v>
      </c>
      <c r="AB346" s="197">
        <f t="shared" si="141"/>
        <v>47084</v>
      </c>
      <c r="AC346" s="119">
        <f>IF(OR(t&lt;Tnet,NoTnet),'2027'!Resal_s+('2027'!Salim-'2027'!Resal_s)*(1-EXP(('2027'!Tnet_s-t)/'2027'!Tau_j)),Resal_s+(Salim-Resal_s)*(1-EXP((Tnet_s-t)/Tau_j)))*Salcycl</f>
        <v>6.1344969243405503E-2</v>
      </c>
      <c r="AD346" s="230">
        <f>(INDEX(Models!$BJ346:$BT346,,AH346)*(1-AF346)+INDEX(Models!$BJ346:$BT346,,AH346+1)*AF346-ERP_i)*AE346*Ramure*Pc/MaxiM</f>
        <v>2.6811581114560786E-3</v>
      </c>
      <c r="AE346" s="304">
        <f t="shared" si="142"/>
        <v>0.6</v>
      </c>
      <c r="AF346" s="177">
        <f t="shared" si="143"/>
        <v>0.49883345236252818</v>
      </c>
      <c r="AG346" s="799">
        <f t="shared" si="149"/>
        <v>3</v>
      </c>
      <c r="AH346" s="176">
        <f t="shared" si="144"/>
        <v>9</v>
      </c>
      <c r="AI346" s="224">
        <f t="shared" si="145"/>
        <v>3.4988334523625282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47085</v>
      </c>
      <c r="B347" s="409">
        <f>IF(t&gt;Tmaj,'2027'!Wh/'2027'!Env_an*'2028'!Env_an,0.001*'[13]mon-tableau (3)'!$B$263)</f>
        <v>15.085823500399622</v>
      </c>
      <c r="C347" s="829"/>
      <c r="D347" s="391">
        <f t="shared" si="127"/>
        <v>16.159990853969983</v>
      </c>
      <c r="E347" s="383">
        <f t="shared" si="125"/>
        <v>16.700086545459079</v>
      </c>
      <c r="F347" s="383">
        <f t="shared" si="128"/>
        <v>16.701774976981646</v>
      </c>
      <c r="G347" s="110">
        <f t="shared" si="126"/>
        <v>0.56354208532072669</v>
      </c>
      <c r="H347" s="412" t="b">
        <f>Wh_hp&gt;='2027'!Maxi_hp</f>
        <v>0</v>
      </c>
      <c r="I347" s="388">
        <f>IF(H347,Wh_hp,'2027'!Maxi_hp)</f>
        <v>16.758916593732387</v>
      </c>
      <c r="J347" s="85">
        <f>IF(H347,An,'2027'!An_max)</f>
        <v>2018</v>
      </c>
      <c r="K347" s="197">
        <f t="shared" si="129"/>
        <v>47085</v>
      </c>
      <c r="L347" s="147">
        <f>IF(t&lt;Tvie,1-EXP((T0-t)*PertePVj)+'2027'!Pspv,1-EXP((T0-t)*PertePVj)+Pspv)</f>
        <v>6.6470789697660848E-2</v>
      </c>
      <c r="M347" s="832"/>
      <c r="N347" s="832"/>
      <c r="O347" s="48">
        <f>IF(t&lt;Tnet,'2027'!Resal+('2027'!Salim-'2027'!Resal)*(1-EXP(('2027'!Tnet-t)/('2027'!Tau_j))),Resal+(Salim-Resal)*(1-EXP((Tnet-t)/(Tau_j))))*Salcycl</f>
        <v>3.2340891768369483E-2</v>
      </c>
      <c r="P347" s="169">
        <f>(INDEX(Models!$BJ347:$BT347,,T347)*(1-R347)+INDEX(Models!$BJ347:$BT347,,T347+1)*R347-ERP_i)*Q347*Ramure*Pc/MaxiM</f>
        <v>2.68419140312303E-4</v>
      </c>
      <c r="Q347" s="304">
        <f t="shared" si="130"/>
        <v>0.6</v>
      </c>
      <c r="R347" s="177">
        <f t="shared" si="131"/>
        <v>0.97386374709467871</v>
      </c>
      <c r="S347" s="799">
        <f t="shared" si="132"/>
        <v>-1</v>
      </c>
      <c r="T347" s="176">
        <f t="shared" si="133"/>
        <v>5</v>
      </c>
      <c r="U347" s="250">
        <f t="shared" si="134"/>
        <v>-2.6136252905321233E-2</v>
      </c>
      <c r="V347" s="382">
        <f t="shared" si="135"/>
        <v>26.765168715072267</v>
      </c>
      <c r="W347" s="400">
        <f t="shared" si="136"/>
        <v>15.085823500399622</v>
      </c>
      <c r="X347" s="157">
        <f t="shared" si="137"/>
        <v>47085</v>
      </c>
      <c r="Y347" s="383">
        <f t="shared" si="138"/>
        <v>14.619194188427967</v>
      </c>
      <c r="Z347" s="383">
        <f t="shared" si="139"/>
        <v>15.66013578053256</v>
      </c>
      <c r="AA347" s="384">
        <f t="shared" si="140"/>
        <v>16.684289910782827</v>
      </c>
      <c r="AB347" s="197">
        <f t="shared" si="141"/>
        <v>47085</v>
      </c>
      <c r="AC347" s="119">
        <f>IF(OR(t&lt;Tnet,NoTnet),'2027'!Resal_s+('2027'!Salim-'2027'!Resal_s)*(1-EXP(('2027'!Tnet_s-t)/'2027'!Tau_j)),Resal_s+(Salim-Resal_s)*(1-EXP((Tnet_s-t)/Tau_j)))*Salcycl</f>
        <v>6.1384340342130521E-2</v>
      </c>
      <c r="AD347" s="230">
        <f>(INDEX(Models!$BJ347:$BT347,,AH347)*(1-AF347)+INDEX(Models!$BJ347:$BT347,,AH347+1)*AF347-ERP_i)*AE347*Ramure*Pc/MaxiM</f>
        <v>2.7796960520211464E-3</v>
      </c>
      <c r="AE347" s="304">
        <f t="shared" si="142"/>
        <v>0.6</v>
      </c>
      <c r="AF347" s="177">
        <f t="shared" si="143"/>
        <v>0.49885131346865741</v>
      </c>
      <c r="AG347" s="799">
        <f t="shared" si="149"/>
        <v>3</v>
      </c>
      <c r="AH347" s="176">
        <f t="shared" si="144"/>
        <v>9</v>
      </c>
      <c r="AI347" s="224">
        <f t="shared" si="145"/>
        <v>3.4988513134686574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47086</v>
      </c>
      <c r="B348" s="409">
        <f>IF(t&gt;Tmaj,'2027'!Wh/'2027'!Env_an*'2028'!Env_an,0.001*'[13]mon-tableau (3)'!$B$264)</f>
        <v>3.8649256663443272</v>
      </c>
      <c r="C348" s="829"/>
      <c r="D348" s="391">
        <f t="shared" si="127"/>
        <v>4.1402022513369623</v>
      </c>
      <c r="E348" s="383">
        <f t="shared" si="125"/>
        <v>4.2789493003741894</v>
      </c>
      <c r="F348" s="383">
        <f t="shared" si="128"/>
        <v>4.2789493003741894</v>
      </c>
      <c r="G348" s="110">
        <f t="shared" si="126"/>
        <v>0.14529082550315281</v>
      </c>
      <c r="H348" s="412" t="b">
        <f>Wh_hp&gt;='2027'!Maxi_hp</f>
        <v>0</v>
      </c>
      <c r="I348" s="388">
        <f>IF(H348,Wh_hp,'2027'!Maxi_hp)</f>
        <v>27.894604255922708</v>
      </c>
      <c r="J348" s="85">
        <f>IF(H348,An,'2027'!An_max)</f>
        <v>2020</v>
      </c>
      <c r="K348" s="197">
        <f t="shared" si="129"/>
        <v>47086</v>
      </c>
      <c r="L348" s="147">
        <f>IF(t&lt;Tvie,1-EXP((T0-t)*PertePVj)+'2027'!Pspv,1-EXP((T0-t)*PertePVj)+Pspv)</f>
        <v>6.6488680572004077E-2</v>
      </c>
      <c r="M348" s="832"/>
      <c r="N348" s="832"/>
      <c r="O348" s="48">
        <f>IF(t&lt;Tnet,'2027'!Resal+('2027'!Salim-'2027'!Resal)*(1-EXP(('2027'!Tnet-t)/('2027'!Tau_j))),Resal+(Salim-Resal)*(1-EXP((Tnet-t)/(Tau_j))))*Salcycl</f>
        <v>3.2425494974921469E-2</v>
      </c>
      <c r="P348" s="169">
        <f>(INDEX(Models!$BJ348:$BT348,,T348)*(1-R348)+INDEX(Models!$BJ348:$BT348,,T348+1)*R348-ERP_i)*Q348*Ramure*Pc/MaxiM</f>
        <v>2.8336567184073679E-4</v>
      </c>
      <c r="Q348" s="304">
        <f t="shared" si="130"/>
        <v>0.6</v>
      </c>
      <c r="R348" s="177">
        <f t="shared" si="131"/>
        <v>0.97388089025988789</v>
      </c>
      <c r="S348" s="799">
        <f t="shared" si="132"/>
        <v>-1</v>
      </c>
      <c r="T348" s="176">
        <f t="shared" si="133"/>
        <v>5</v>
      </c>
      <c r="U348" s="250">
        <f t="shared" si="134"/>
        <v>-2.6119109740112167E-2</v>
      </c>
      <c r="V348" s="382">
        <f t="shared" si="135"/>
        <v>26.593767815039527</v>
      </c>
      <c r="W348" s="400">
        <f t="shared" si="136"/>
        <v>3.8649256663443272</v>
      </c>
      <c r="X348" s="157">
        <f t="shared" si="137"/>
        <v>47086</v>
      </c>
      <c r="Y348" s="383">
        <f t="shared" si="138"/>
        <v>3.7490898725104134</v>
      </c>
      <c r="Z348" s="383">
        <f t="shared" si="139"/>
        <v>4.016116135375464</v>
      </c>
      <c r="AA348" s="384">
        <f t="shared" si="140"/>
        <v>4.2789493003741894</v>
      </c>
      <c r="AB348" s="197">
        <f t="shared" si="141"/>
        <v>47086</v>
      </c>
      <c r="AC348" s="119">
        <f>IF(OR(t&lt;Tnet,NoTnet),'2027'!Resal_s+('2027'!Salim-'2027'!Resal_s)*(1-EXP(('2027'!Tnet_s-t)/'2027'!Tau_j)),Resal_s+(Salim-Resal_s)*(1-EXP((Tnet_s-t)/Tau_j)))*Salcycl</f>
        <v>6.142469717407998E-2</v>
      </c>
      <c r="AD348" s="230">
        <f>(INDEX(Models!$BJ348:$BT348,,AH348)*(1-AF348)+INDEX(Models!$BJ348:$BT348,,AH348+1)*AF348-ERP_i)*AE348*Ramure*Pc/MaxiM</f>
        <v>2.871584010273437E-3</v>
      </c>
      <c r="AE348" s="304">
        <f t="shared" si="142"/>
        <v>0.6</v>
      </c>
      <c r="AF348" s="177">
        <f t="shared" si="143"/>
        <v>0.49886845663386614</v>
      </c>
      <c r="AG348" s="799">
        <f t="shared" si="149"/>
        <v>3</v>
      </c>
      <c r="AH348" s="176">
        <f t="shared" si="144"/>
        <v>9</v>
      </c>
      <c r="AI348" s="224">
        <f t="shared" si="145"/>
        <v>3.4988684566338661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47087</v>
      </c>
      <c r="B349" s="409">
        <f>IF(t&gt;Tmaj,'2027'!Wh/'2027'!Env_an*'2028'!Env_an,0.001*'[14]mon-tableau (2)'!$B$242)</f>
        <v>3.677330578222552</v>
      </c>
      <c r="C349" s="829"/>
      <c r="D349" s="391">
        <f t="shared" si="127"/>
        <v>3.9393213325234497</v>
      </c>
      <c r="E349" s="383">
        <f t="shared" si="125"/>
        <v>4.0716941328450176</v>
      </c>
      <c r="F349" s="383">
        <f t="shared" si="128"/>
        <v>4.0716941328450176</v>
      </c>
      <c r="G349" s="110">
        <f t="shared" si="126"/>
        <v>0.13909604060005448</v>
      </c>
      <c r="H349" s="412" t="b">
        <f>Wh_hp&gt;='2027'!Maxi_hp</f>
        <v>0</v>
      </c>
      <c r="I349" s="388">
        <f>IF(H349,Wh_hp,'2027'!Maxi_hp)</f>
        <v>28.876381708820084</v>
      </c>
      <c r="J349" s="85">
        <f>IF(H349,An,'2027'!An_max)</f>
        <v>2020</v>
      </c>
      <c r="K349" s="197">
        <f t="shared" si="129"/>
        <v>47087</v>
      </c>
      <c r="L349" s="147">
        <f>IF(t&lt;Tvie,1-EXP((T0-t)*PertePVj)+'2027'!Pspv,1-EXP((T0-t)*PertePVj)+Pspv)</f>
        <v>6.6506571103472689E-2</v>
      </c>
      <c r="M349" s="832"/>
      <c r="N349" s="832"/>
      <c r="O349" s="48">
        <f>IF(t&lt;Tnet,'2027'!Resal+('2027'!Salim-'2027'!Resal)*(1-EXP(('2027'!Tnet-t)/('2027'!Tau_j))),Resal+(Salim-Resal)*(1-EXP((Tnet-t)/(Tau_j))))*Salcycl</f>
        <v>3.2510497105801638E-2</v>
      </c>
      <c r="P349" s="169">
        <f>(INDEX(Models!$BJ349:$BT349,,T349)*(1-R349)+INDEX(Models!$BJ349:$BT349,,T349+1)*R349-ERP_i)*Q349*Ramure*Pc/MaxiM</f>
        <v>2.9822290655140171E-4</v>
      </c>
      <c r="Q349" s="304">
        <f t="shared" si="130"/>
        <v>0.6</v>
      </c>
      <c r="R349" s="177">
        <f t="shared" si="131"/>
        <v>0.97389734429606334</v>
      </c>
      <c r="S349" s="799">
        <f t="shared" si="132"/>
        <v>-1</v>
      </c>
      <c r="T349" s="176">
        <f t="shared" si="133"/>
        <v>5</v>
      </c>
      <c r="U349" s="250">
        <f t="shared" si="134"/>
        <v>-2.6102655703936661E-2</v>
      </c>
      <c r="V349" s="382">
        <f t="shared" si="135"/>
        <v>26.429464837029478</v>
      </c>
      <c r="W349" s="400">
        <f t="shared" si="136"/>
        <v>3.677330578222552</v>
      </c>
      <c r="X349" s="157">
        <f t="shared" si="137"/>
        <v>47087</v>
      </c>
      <c r="Y349" s="383">
        <f t="shared" si="138"/>
        <v>3.5672734782344317</v>
      </c>
      <c r="Z349" s="383">
        <f t="shared" si="139"/>
        <v>3.8214232342816468</v>
      </c>
      <c r="AA349" s="384">
        <f t="shared" si="140"/>
        <v>4.0716941328450176</v>
      </c>
      <c r="AB349" s="197">
        <f t="shared" si="141"/>
        <v>47087</v>
      </c>
      <c r="AC349" s="119">
        <f>IF(OR(t&lt;Tnet,NoTnet),'2027'!Resal_s+('2027'!Salim-'2027'!Resal_s)*(1-EXP(('2027'!Tnet_s-t)/'2027'!Tau_j)),Resal_s+(Salim-Resal_s)*(1-EXP((Tnet_s-t)/Tau_j)))*Salcycl</f>
        <v>6.1466036101414899E-2</v>
      </c>
      <c r="AD349" s="230">
        <f>(INDEX(Models!$BJ349:$BT349,,AH349)*(1-AF349)+INDEX(Models!$BJ349:$BT349,,AH349+1)*AF349-ERP_i)*AE349*Ramure*Pc/MaxiM</f>
        <v>2.956816948204283E-3</v>
      </c>
      <c r="AE349" s="304">
        <f t="shared" si="142"/>
        <v>0.6</v>
      </c>
      <c r="AF349" s="177">
        <f t="shared" si="143"/>
        <v>0.49888491067004193</v>
      </c>
      <c r="AG349" s="799">
        <f t="shared" si="149"/>
        <v>3</v>
      </c>
      <c r="AH349" s="176">
        <f t="shared" si="144"/>
        <v>9</v>
      </c>
      <c r="AI349" s="224">
        <f t="shared" si="145"/>
        <v>3.4988849106700419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47088</v>
      </c>
      <c r="B350" s="409">
        <f>IF(t&gt;Tmaj,'2027'!Wh/'2027'!Env_an*'2028'!Env_an,0.001*'[14]mon-tableau (2)'!$B$243)</f>
        <v>5.5116177013730843</v>
      </c>
      <c r="C350" s="829"/>
      <c r="D350" s="391">
        <f t="shared" si="127"/>
        <v>5.9044050677557225</v>
      </c>
      <c r="E350" s="383">
        <f t="shared" si="125"/>
        <v>6.1033492156335374</v>
      </c>
      <c r="F350" s="383">
        <f t="shared" si="128"/>
        <v>6.1033492156335374</v>
      </c>
      <c r="G350" s="110">
        <f t="shared" si="126"/>
        <v>0.20972051901278657</v>
      </c>
      <c r="H350" s="412" t="b">
        <f>Wh_hp&gt;='2027'!Maxi_hp</f>
        <v>0</v>
      </c>
      <c r="I350" s="388">
        <f>IF(H350,Wh_hp,'2027'!Maxi_hp)</f>
        <v>10.012976509324043</v>
      </c>
      <c r="J350" s="85">
        <f>IF(H350,An,'2027'!An_max)</f>
        <v>2021</v>
      </c>
      <c r="K350" s="197">
        <f t="shared" si="129"/>
        <v>47088</v>
      </c>
      <c r="L350" s="147">
        <f>IF(t&lt;Tvie,1-EXP((T0-t)*PertePVj)+'2027'!Pspv,1-EXP((T0-t)*PertePVj)+Pspv)</f>
        <v>6.6524461292073456E-2</v>
      </c>
      <c r="M350" s="832"/>
      <c r="N350" s="832"/>
      <c r="O350" s="48">
        <f>IF(t&lt;Tnet,'2027'!Resal+('2027'!Salim-'2027'!Resal)*(1-EXP(('2027'!Tnet-t)/('2027'!Tau_j))),Resal+(Salim-Resal)*(1-EXP((Tnet-t)/(Tau_j))))*Salcycl</f>
        <v>3.2595897899504962E-2</v>
      </c>
      <c r="P350" s="169">
        <f>(INDEX(Models!$BJ350:$BT350,,T350)*(1-R350)+INDEX(Models!$BJ350:$BT350,,T350+1)*R350-ERP_i)*Q350*Ramure*Pc/MaxiM</f>
        <v>3.1298918714813874E-4</v>
      </c>
      <c r="Q350" s="304">
        <f t="shared" si="130"/>
        <v>0.6</v>
      </c>
      <c r="R350" s="177">
        <f t="shared" si="131"/>
        <v>0.97391313686248526</v>
      </c>
      <c r="S350" s="799">
        <f t="shared" si="132"/>
        <v>-1</v>
      </c>
      <c r="T350" s="176">
        <f t="shared" si="133"/>
        <v>5</v>
      </c>
      <c r="U350" s="250">
        <f t="shared" si="134"/>
        <v>-2.6086863137514738E-2</v>
      </c>
      <c r="V350" s="382">
        <f t="shared" si="135"/>
        <v>26.272549059889197</v>
      </c>
      <c r="W350" s="400">
        <f t="shared" si="136"/>
        <v>5.5116177013730843</v>
      </c>
      <c r="X350" s="157">
        <f t="shared" si="137"/>
        <v>47088</v>
      </c>
      <c r="Y350" s="383">
        <f t="shared" si="138"/>
        <v>5.3468940021631886</v>
      </c>
      <c r="Z350" s="383">
        <f t="shared" si="139"/>
        <v>5.7279422764137031</v>
      </c>
      <c r="AA350" s="384">
        <f t="shared" si="140"/>
        <v>6.1033492156335374</v>
      </c>
      <c r="AB350" s="197">
        <f t="shared" si="141"/>
        <v>47088</v>
      </c>
      <c r="AC350" s="119">
        <f>IF(OR(t&lt;Tnet,NoTnet),'2027'!Resal_s+('2027'!Salim-'2027'!Resal_s)*(1-EXP(('2027'!Tnet_s-t)/'2027'!Tau_j)),Resal_s+(Salim-Resal_s)*(1-EXP((Tnet_s-t)/Tau_j)))*Salcycl</f>
        <v>6.150834991683609E-2</v>
      </c>
      <c r="AD350" s="230">
        <f>(INDEX(Models!$BJ350:$BT350,,AH350)*(1-AF350)+INDEX(Models!$BJ350:$BT350,,AH350+1)*AF350-ERP_i)*AE350*Ramure*Pc/MaxiM</f>
        <v>3.0353807169795043E-3</v>
      </c>
      <c r="AE350" s="304">
        <f t="shared" si="142"/>
        <v>0.6</v>
      </c>
      <c r="AF350" s="177">
        <f t="shared" si="143"/>
        <v>0.49890070323646363</v>
      </c>
      <c r="AG350" s="799">
        <f t="shared" si="149"/>
        <v>3</v>
      </c>
      <c r="AH350" s="176">
        <f t="shared" si="144"/>
        <v>9</v>
      </c>
      <c r="AI350" s="224">
        <f t="shared" si="145"/>
        <v>3.4989007032364636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47089</v>
      </c>
      <c r="B351" s="409">
        <f>IF(t&gt;Tmaj,'2027'!Wh/'2027'!Env_an*'2028'!Env_an,0.001*'[14]mon-tableau (2)'!$B$244)</f>
        <v>10.676546226781552</v>
      </c>
      <c r="C351" s="829"/>
      <c r="D351" s="391">
        <f t="shared" si="127"/>
        <v>11.437633233597087</v>
      </c>
      <c r="E351" s="383">
        <f t="shared" si="125"/>
        <v>11.824063678967009</v>
      </c>
      <c r="F351" s="383">
        <f t="shared" si="128"/>
        <v>11.824665321306462</v>
      </c>
      <c r="G351" s="110">
        <f t="shared" si="126"/>
        <v>0.40858494335947448</v>
      </c>
      <c r="H351" s="412" t="b">
        <f>Wh_hp&gt;='2027'!Maxi_hp</f>
        <v>0</v>
      </c>
      <c r="I351" s="388">
        <f>IF(H351,Wh_hp,'2027'!Maxi_hp)</f>
        <v>19.179192393399582</v>
      </c>
      <c r="J351" s="85">
        <f>IF(H351,An,'2027'!An_max)</f>
        <v>2021</v>
      </c>
      <c r="K351" s="197">
        <f t="shared" si="129"/>
        <v>47089</v>
      </c>
      <c r="L351" s="147">
        <f>IF(t&lt;Tvie,1-EXP((T0-t)*PertePVj)+'2027'!Pspv,1-EXP((T0-t)*PertePVj)+Pspv)</f>
        <v>6.6542351137812816E-2</v>
      </c>
      <c r="M351" s="832"/>
      <c r="N351" s="832"/>
      <c r="O351" s="48">
        <f>IF(t&lt;Tnet,'2027'!Resal+('2027'!Salim-'2027'!Resal)*(1-EXP(('2027'!Tnet-t)/('2027'!Tau_j))),Resal+(Salim-Resal)*(1-EXP((Tnet-t)/(Tau_j))))*Salcycl</f>
        <v>3.2681695215944932E-2</v>
      </c>
      <c r="P351" s="169">
        <f>(INDEX(Models!$BJ351:$BT351,,T351)*(1-R351)+INDEX(Models!$BJ351:$BT351,,T351+1)*R351-ERP_i)*Q351*Ramure*Pc/MaxiM</f>
        <v>3.2766174825151747E-4</v>
      </c>
      <c r="Q351" s="304">
        <f t="shared" si="130"/>
        <v>0.6</v>
      </c>
      <c r="R351" s="177">
        <f t="shared" si="131"/>
        <v>0.97392829451164786</v>
      </c>
      <c r="S351" s="799">
        <f t="shared" si="132"/>
        <v>-1</v>
      </c>
      <c r="T351" s="176">
        <f t="shared" si="133"/>
        <v>5</v>
      </c>
      <c r="U351" s="250">
        <f t="shared" si="134"/>
        <v>-2.6071705488352137E-2</v>
      </c>
      <c r="V351" s="382">
        <f t="shared" si="135"/>
        <v>26.123309680893918</v>
      </c>
      <c r="W351" s="400">
        <f t="shared" si="136"/>
        <v>10.676546226781552</v>
      </c>
      <c r="X351" s="157">
        <f t="shared" si="137"/>
        <v>47089</v>
      </c>
      <c r="Y351" s="383">
        <f t="shared" si="138"/>
        <v>10.353430259118548</v>
      </c>
      <c r="Z351" s="383">
        <f t="shared" si="139"/>
        <v>11.091483659423201</v>
      </c>
      <c r="AA351" s="384">
        <f t="shared" si="140"/>
        <v>11.818959881050692</v>
      </c>
      <c r="AB351" s="197">
        <f t="shared" si="141"/>
        <v>47089</v>
      </c>
      <c r="AC351" s="119">
        <f>IF(OR(t&lt;Tnet,NoTnet),'2027'!Resal_s+('2027'!Salim-'2027'!Resal_s)*(1-EXP(('2027'!Tnet_s-t)/'2027'!Tau_j)),Resal_s+(Salim-Resal_s)*(1-EXP((Tnet_s-t)/Tau_j)))*Salcycl</f>
        <v>6.155162797310542E-2</v>
      </c>
      <c r="AD351" s="230">
        <f>(INDEX(Models!$BJ351:$BT351,,AH351)*(1-AF351)+INDEX(Models!$BJ351:$BT351,,AH351+1)*AF351-ERP_i)*AE351*Ramure*Pc/MaxiM</f>
        <v>3.107252276248361E-3</v>
      </c>
      <c r="AE351" s="304">
        <f t="shared" si="142"/>
        <v>0.6</v>
      </c>
      <c r="AF351" s="177">
        <f t="shared" si="143"/>
        <v>0.49891586088562612</v>
      </c>
      <c r="AG351" s="799">
        <f t="shared" si="149"/>
        <v>3</v>
      </c>
      <c r="AH351" s="176">
        <f t="shared" si="144"/>
        <v>9</v>
      </c>
      <c r="AI351" s="224">
        <f t="shared" si="145"/>
        <v>3.4989158608856261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47090</v>
      </c>
      <c r="B352" s="409">
        <f>IF(t&gt;Tmaj,'2027'!Wh/'2027'!Env_an*'2028'!Env_an,0.001*'[14]mon-tableau (2)'!$B$245)</f>
        <v>17.296709437703555</v>
      </c>
      <c r="C352" s="829"/>
      <c r="D352" s="391">
        <f t="shared" si="127"/>
        <v>18.530075737909133</v>
      </c>
      <c r="E352" s="383">
        <f t="shared" si="125"/>
        <v>19.157837557738315</v>
      </c>
      <c r="F352" s="383">
        <f t="shared" si="128"/>
        <v>19.161263694929012</v>
      </c>
      <c r="G352" s="110">
        <f t="shared" si="126"/>
        <v>0.66560920138922153</v>
      </c>
      <c r="H352" s="412" t="b">
        <f>Wh_hp&gt;='2027'!Maxi_hp</f>
        <v>0</v>
      </c>
      <c r="I352" s="388">
        <f>IF(H352,Wh_hp,'2027'!Maxi_hp)</f>
        <v>19.163803156225448</v>
      </c>
      <c r="J352" s="85">
        <f>IF(H352,An,'2027'!An_max)</f>
        <v>2026</v>
      </c>
      <c r="K352" s="197">
        <f t="shared" si="129"/>
        <v>47090</v>
      </c>
      <c r="L352" s="147">
        <f>IF(t&lt;Tvie,1-EXP((T0-t)*PertePVj)+'2027'!Pspv,1-EXP((T0-t)*PertePVj)+Pspv)</f>
        <v>6.6560240640697321E-2</v>
      </c>
      <c r="M352" s="832"/>
      <c r="N352" s="832"/>
      <c r="O352" s="48">
        <f>IF(t&lt;Tnet,'2027'!Resal+('2027'!Salim-'2027'!Resal)*(1-EXP(('2027'!Tnet-t)/('2027'!Tau_j))),Resal+(Salim-Resal)*(1-EXP((Tnet-t)/(Tau_j))))*Salcycl</f>
        <v>3.2767885098577504E-2</v>
      </c>
      <c r="P352" s="169">
        <f>(INDEX(Models!$BJ352:$BT352,,T352)*(1-R352)+INDEX(Models!$BJ352:$BT352,,T352+1)*R352-ERP_i)*Q352*Ramure*Pc/MaxiM</f>
        <v>3.4224119066713553E-4</v>
      </c>
      <c r="Q352" s="304">
        <f t="shared" si="130"/>
        <v>0.6</v>
      </c>
      <c r="R352" s="177">
        <f t="shared" si="131"/>
        <v>0.9739428427332828</v>
      </c>
      <c r="S352" s="799">
        <f t="shared" si="132"/>
        <v>-1</v>
      </c>
      <c r="T352" s="176">
        <f t="shared" si="133"/>
        <v>5</v>
      </c>
      <c r="U352" s="250">
        <f t="shared" si="134"/>
        <v>-2.6057157266717146E-2</v>
      </c>
      <c r="V352" s="382">
        <f t="shared" si="135"/>
        <v>25.982035696717698</v>
      </c>
      <c r="W352" s="400">
        <f t="shared" si="136"/>
        <v>17.296709437703555</v>
      </c>
      <c r="X352" s="157">
        <f t="shared" si="137"/>
        <v>47090</v>
      </c>
      <c r="Y352" s="383">
        <f t="shared" si="138"/>
        <v>16.756384893102098</v>
      </c>
      <c r="Z352" s="383">
        <f t="shared" si="139"/>
        <v>17.951222588379348</v>
      </c>
      <c r="AA352" s="384">
        <f t="shared" si="140"/>
        <v>19.129521869129508</v>
      </c>
      <c r="AB352" s="197">
        <f t="shared" si="141"/>
        <v>47090</v>
      </c>
      <c r="AC352" s="119">
        <f>IF(OR(t&lt;Tnet,NoTnet),'2027'!Resal_s+('2027'!Salim-'2027'!Resal_s)*(1-EXP(('2027'!Tnet_s-t)/'2027'!Tau_j)),Resal_s+(Salim-Resal_s)*(1-EXP((Tnet_s-t)/Tau_j)))*Salcycl</f>
        <v>6.1595856331969026E-2</v>
      </c>
      <c r="AD352" s="230">
        <f>(INDEX(Models!$BJ352:$BT352,,AH352)*(1-AF352)+INDEX(Models!$BJ352:$BT352,,AH352+1)*AF352-ERP_i)*AE352*Ramure*Pc/MaxiM</f>
        <v>3.1707312494866214E-3</v>
      </c>
      <c r="AE352" s="304">
        <f t="shared" si="142"/>
        <v>0.6</v>
      </c>
      <c r="AF352" s="177">
        <f t="shared" si="143"/>
        <v>0.4989304091072615</v>
      </c>
      <c r="AG352" s="799">
        <f t="shared" si="149"/>
        <v>3</v>
      </c>
      <c r="AH352" s="176">
        <f t="shared" si="144"/>
        <v>9</v>
      </c>
      <c r="AI352" s="224">
        <f t="shared" si="145"/>
        <v>3.4989304091072615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47091</v>
      </c>
      <c r="B353" s="409">
        <f>IF(t&gt;Tmaj,'2027'!Wh/'2027'!Env_an*'2028'!Env_an,0.001*'[14]mon-tableau (2)'!$B$246)</f>
        <v>26.779821671326047</v>
      </c>
      <c r="C353" s="829"/>
      <c r="D353" s="391">
        <f t="shared" si="127"/>
        <v>28.689944521665328</v>
      </c>
      <c r="E353" s="383">
        <f t="shared" si="125"/>
        <v>29.664557597466256</v>
      </c>
      <c r="F353" s="383">
        <f t="shared" si="128"/>
        <v>29.675148577196847</v>
      </c>
      <c r="G353" s="110">
        <f t="shared" si="126"/>
        <v>1.0360095025616596</v>
      </c>
      <c r="H353" s="412" t="b">
        <f>Wh_hp&gt;='2027'!Maxi_hp</f>
        <v>1</v>
      </c>
      <c r="I353" s="388">
        <f>IF(H353,Wh_hp,'2027'!Maxi_hp)</f>
        <v>29.675148577196847</v>
      </c>
      <c r="J353" s="85">
        <f>IF(H353,An,'2027'!An_max)</f>
        <v>2028</v>
      </c>
      <c r="K353" s="197">
        <f t="shared" si="129"/>
        <v>47091</v>
      </c>
      <c r="L353" s="147">
        <f>IF(t&lt;Tvie,1-EXP((T0-t)*PertePVj)+'2027'!Pspv,1-EXP((T0-t)*PertePVj)+Pspv)</f>
        <v>6.6578129800733632E-2</v>
      </c>
      <c r="M353" s="832"/>
      <c r="N353" s="832"/>
      <c r="O353" s="48">
        <f>IF(t&lt;Tnet,'2027'!Resal+('2027'!Salim-'2027'!Resal)*(1-EXP(('2027'!Tnet-t)/('2027'!Tau_j))),Resal+(Salim-Resal)*(1-EXP((Tnet-t)/(Tau_j))))*Salcycl</f>
        <v>3.2854461847230468E-2</v>
      </c>
      <c r="P353" s="169">
        <f>(INDEX(Models!$BJ353:$BT353,,T353)*(1-R353)+INDEX(Models!$BJ353:$BT353,,T353+1)*R353-ERP_i)*Q353*Ramure*Pc/MaxiM</f>
        <v>3.5689727729718159E-4</v>
      </c>
      <c r="Q353" s="304">
        <f t="shared" si="130"/>
        <v>0.6</v>
      </c>
      <c r="R353" s="177">
        <f t="shared" si="131"/>
        <v>0.9739568059966518</v>
      </c>
      <c r="S353" s="799">
        <f t="shared" si="132"/>
        <v>-1</v>
      </c>
      <c r="T353" s="176">
        <f t="shared" si="133"/>
        <v>5</v>
      </c>
      <c r="U353" s="250">
        <f t="shared" si="134"/>
        <v>-2.6043194003348202E-2</v>
      </c>
      <c r="V353" s="382">
        <f t="shared" si="135"/>
        <v>25.849011621138306</v>
      </c>
      <c r="W353" s="400">
        <f t="shared" si="136"/>
        <v>26.779821671326047</v>
      </c>
      <c r="X353" s="157">
        <f t="shared" si="137"/>
        <v>47091</v>
      </c>
      <c r="Y353" s="383">
        <f t="shared" si="138"/>
        <v>25.908088425493233</v>
      </c>
      <c r="Z353" s="383">
        <f t="shared" si="139"/>
        <v>27.756033207109652</v>
      </c>
      <c r="AA353" s="384">
        <f t="shared" si="140"/>
        <v>29.579333429424462</v>
      </c>
      <c r="AB353" s="197">
        <f t="shared" si="141"/>
        <v>47091</v>
      </c>
      <c r="AC353" s="119">
        <f>IF(OR(t&lt;Tnet,NoTnet),'2027'!Resal_s+('2027'!Salim-'2027'!Resal_s)*(1-EXP(('2027'!Tnet_s-t)/'2027'!Tau_j)),Resal_s+(Salim-Resal_s)*(1-EXP((Tnet_s-t)/Tau_j)))*Salcycl</f>
        <v>6.1641017931156526E-2</v>
      </c>
      <c r="AD353" s="230">
        <f>(INDEX(Models!$BJ353:$BT353,,AH353)*(1-AF353)+INDEX(Models!$BJ353:$BT353,,AH353+1)*AF353-ERP_i)*AE353*Ramure*Pc/MaxiM</f>
        <v>3.2288009451117753E-3</v>
      </c>
      <c r="AE353" s="304">
        <f t="shared" si="142"/>
        <v>0.6</v>
      </c>
      <c r="AF353" s="177">
        <f t="shared" si="143"/>
        <v>0.49894437237063016</v>
      </c>
      <c r="AG353" s="799">
        <f t="shared" si="149"/>
        <v>3</v>
      </c>
      <c r="AH353" s="176">
        <f t="shared" si="144"/>
        <v>9</v>
      </c>
      <c r="AI353" s="224">
        <f t="shared" si="145"/>
        <v>3.4989443723706302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47092</v>
      </c>
      <c r="B354" s="409">
        <f>IF(t&gt;Tmaj,'2027'!Wh/'2027'!Env_an*'2028'!Env_an,0.001*'[14]mon-tableau (2)'!$B$247)</f>
        <v>12.042775057983073</v>
      </c>
      <c r="C354" s="829"/>
      <c r="D354" s="391">
        <f t="shared" si="127"/>
        <v>12.901996668314601</v>
      </c>
      <c r="E354" s="383">
        <f t="shared" si="125"/>
        <v>13.341484073259323</v>
      </c>
      <c r="F354" s="383">
        <f t="shared" si="128"/>
        <v>13.342675118831732</v>
      </c>
      <c r="G354" s="110">
        <f t="shared" si="126"/>
        <v>0.46801150647924333</v>
      </c>
      <c r="H354" s="412" t="b">
        <f>Wh_hp&gt;='2027'!Maxi_hp</f>
        <v>0</v>
      </c>
      <c r="I354" s="388">
        <f>IF(H354,Wh_hp,'2027'!Maxi_hp)</f>
        <v>22.171647596043584</v>
      </c>
      <c r="J354" s="85">
        <f>IF(H354,An,'2027'!An_max)</f>
        <v>2020</v>
      </c>
      <c r="K354" s="197">
        <f t="shared" si="129"/>
        <v>47092</v>
      </c>
      <c r="L354" s="147">
        <f>IF(t&lt;Tvie,1-EXP((T0-t)*PertePVj)+'2027'!Pspv,1-EXP((T0-t)*PertePVj)+Pspv)</f>
        <v>6.6596018617928299E-2</v>
      </c>
      <c r="M354" s="832"/>
      <c r="N354" s="832"/>
      <c r="O354" s="48">
        <f>IF(t&lt;Tnet,'2027'!Resal+('2027'!Salim-'2027'!Resal)*(1-EXP(('2027'!Tnet-t)/('2027'!Tau_j))),Resal+(Salim-Resal)*(1-EXP((Tnet-t)/(Tau_j))))*Salcycl</f>
        <v>3.2941418100974187E-2</v>
      </c>
      <c r="P354" s="169">
        <f>(INDEX(Models!$BJ354:$BT354,,T354)*(1-R354)+INDEX(Models!$BJ354:$BT354,,T354+1)*R354-ERP_i)*Q354*Ramure*Pc/MaxiM</f>
        <v>3.7162327149500287E-4</v>
      </c>
      <c r="Q354" s="304">
        <f t="shared" si="130"/>
        <v>0.6</v>
      </c>
      <c r="R354" s="177">
        <f t="shared" si="131"/>
        <v>0.97397020779117471</v>
      </c>
      <c r="S354" s="799">
        <f t="shared" si="132"/>
        <v>-1</v>
      </c>
      <c r="T354" s="176">
        <f t="shared" si="133"/>
        <v>5</v>
      </c>
      <c r="U354" s="250">
        <f t="shared" si="134"/>
        <v>-2.6029792208825231E-2</v>
      </c>
      <c r="V354" s="382">
        <f t="shared" si="135"/>
        <v>25.724526472393613</v>
      </c>
      <c r="W354" s="400">
        <f t="shared" si="136"/>
        <v>12.042775057983073</v>
      </c>
      <c r="X354" s="157">
        <f t="shared" si="137"/>
        <v>47092</v>
      </c>
      <c r="Y354" s="383">
        <f t="shared" si="138"/>
        <v>11.676637545557194</v>
      </c>
      <c r="Z354" s="383">
        <f t="shared" si="139"/>
        <v>12.509736168328574</v>
      </c>
      <c r="AA354" s="384">
        <f t="shared" si="140"/>
        <v>13.332158251165838</v>
      </c>
      <c r="AB354" s="197">
        <f t="shared" si="141"/>
        <v>47092</v>
      </c>
      <c r="AC354" s="119">
        <f>IF(OR(t&lt;Tnet,NoTnet),'2027'!Resal_s+('2027'!Salim-'2027'!Resal_s)*(1-EXP(('2027'!Tnet_s-t)/'2027'!Tau_j)),Resal_s+(Salim-Resal_s)*(1-EXP((Tnet_s-t)/Tau_j)))*Salcycl</f>
        <v>6.1687092767995562E-2</v>
      </c>
      <c r="AD354" s="230">
        <f>(INDEX(Models!$BJ354:$BT354,,AH354)*(1-AF354)+INDEX(Models!$BJ354:$BT354,,AH354+1)*AF354-ERP_i)*AE354*Ramure*Pc/MaxiM</f>
        <v>3.2814132879707353E-3</v>
      </c>
      <c r="AE354" s="304">
        <f t="shared" si="142"/>
        <v>0.6</v>
      </c>
      <c r="AF354" s="177">
        <f t="shared" si="143"/>
        <v>0.49895777416515319</v>
      </c>
      <c r="AG354" s="799">
        <f t="shared" si="149"/>
        <v>3</v>
      </c>
      <c r="AH354" s="176">
        <f t="shared" si="144"/>
        <v>9</v>
      </c>
      <c r="AI354" s="224">
        <f t="shared" si="145"/>
        <v>3.4989577741651532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47093</v>
      </c>
      <c r="B355" s="409">
        <f>IF(t&gt;Tmaj,'2027'!Wh/'2027'!Env_an*'2028'!Env_an,0.001*'[14]mon-tableau (2)'!$B$248)</f>
        <v>22.120470738102235</v>
      </c>
      <c r="C355" s="829"/>
      <c r="D355" s="391">
        <f t="shared" si="127"/>
        <v>23.699164693135597</v>
      </c>
      <c r="E355" s="383">
        <f t="shared" si="125"/>
        <v>24.508654801147266</v>
      </c>
      <c r="F355" s="383">
        <f t="shared" si="128"/>
        <v>24.516284670016415</v>
      </c>
      <c r="G355" s="110">
        <f t="shared" si="126"/>
        <v>0.86371665714135548</v>
      </c>
      <c r="H355" s="412" t="b">
        <f>Wh_hp&gt;='2027'!Maxi_hp</f>
        <v>0</v>
      </c>
      <c r="I355" s="388">
        <f>IF(H355,Wh_hp,'2027'!Maxi_hp)</f>
        <v>24.51775693165192</v>
      </c>
      <c r="J355" s="85">
        <f>IF(H355,An,'2027'!An_max)</f>
        <v>2026</v>
      </c>
      <c r="K355" s="197">
        <f t="shared" si="129"/>
        <v>47093</v>
      </c>
      <c r="L355" s="147">
        <f>IF(t&lt;Tvie,1-EXP((T0-t)*PertePVj)+'2027'!Pspv,1-EXP((T0-t)*PertePVj)+Pspv)</f>
        <v>6.6613907092287761E-2</v>
      </c>
      <c r="M355" s="832"/>
      <c r="N355" s="832"/>
      <c r="O355" s="48">
        <f>IF(t&lt;Tnet,'2027'!Resal+('2027'!Salim-'2027'!Resal)*(1-EXP(('2027'!Tnet-t)/('2027'!Tau_j))),Resal+(Salim-Resal)*(1-EXP((Tnet-t)/(Tau_j))))*Salcycl</f>
        <v>3.3028744930291912E-2</v>
      </c>
      <c r="P355" s="169">
        <f>(INDEX(Models!$BJ355:$BT355,,T355)*(1-R355)+INDEX(Models!$BJ355:$BT355,,T355+1)*R355-ERP_i)*Q355*Ramure*Pc/MaxiM</f>
        <v>3.8641105092202004E-4</v>
      </c>
      <c r="Q355" s="304">
        <f t="shared" si="130"/>
        <v>0.6</v>
      </c>
      <c r="R355" s="177">
        <f t="shared" si="131"/>
        <v>0.97398307066545975</v>
      </c>
      <c r="S355" s="799">
        <f t="shared" si="132"/>
        <v>-1</v>
      </c>
      <c r="T355" s="176">
        <f t="shared" si="133"/>
        <v>5</v>
      </c>
      <c r="U355" s="250">
        <f t="shared" si="134"/>
        <v>-2.6016929334540195E-2</v>
      </c>
      <c r="V355" s="382">
        <f t="shared" si="135"/>
        <v>25.608869176521807</v>
      </c>
      <c r="W355" s="400">
        <f t="shared" si="136"/>
        <v>22.120470738102235</v>
      </c>
      <c r="X355" s="157">
        <f t="shared" si="137"/>
        <v>47093</v>
      </c>
      <c r="Y355" s="383">
        <f t="shared" si="138"/>
        <v>21.412930950062492</v>
      </c>
      <c r="Z355" s="383">
        <f t="shared" si="139"/>
        <v>22.941129199125186</v>
      </c>
      <c r="AA355" s="384">
        <f t="shared" si="140"/>
        <v>24.450561588776935</v>
      </c>
      <c r="AB355" s="197">
        <f t="shared" si="141"/>
        <v>47093</v>
      </c>
      <c r="AC355" s="119">
        <f>IF(OR(t&lt;Tnet,NoTnet),'2027'!Resal_s+('2027'!Salim-'2027'!Resal_s)*(1-EXP(('2027'!Tnet_s-t)/'2027'!Tau_j)),Resal_s+(Salim-Resal_s)*(1-EXP((Tnet_s-t)/Tau_j)))*Salcycl</f>
        <v>6.1734058098059978E-2</v>
      </c>
      <c r="AD355" s="230">
        <f>(INDEX(Models!$BJ355:$BT355,,AH355)*(1-AF355)+INDEX(Models!$BJ355:$BT355,,AH355+1)*AF355-ERP_i)*AE355*Ramure*Pc/MaxiM</f>
        <v>3.3285139400330362E-3</v>
      </c>
      <c r="AE355" s="304">
        <f t="shared" si="142"/>
        <v>0.6</v>
      </c>
      <c r="AF355" s="177">
        <f t="shared" si="143"/>
        <v>0.49897063703943845</v>
      </c>
      <c r="AG355" s="799">
        <f t="shared" si="149"/>
        <v>3</v>
      </c>
      <c r="AH355" s="176">
        <f t="shared" si="144"/>
        <v>9</v>
      </c>
      <c r="AI355" s="224">
        <f t="shared" si="145"/>
        <v>3.4989706370394384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47094</v>
      </c>
      <c r="B356" s="409">
        <f>IF(t&gt;Tmaj,'2027'!Wh/'2027'!Env_an*'2028'!Env_an,0.001*'[14]mon-tableau (2)'!$B$249)</f>
        <v>4.0651663068795241</v>
      </c>
      <c r="C356" s="829"/>
      <c r="D356" s="391">
        <f t="shared" si="127"/>
        <v>4.3553726022350832</v>
      </c>
      <c r="E356" s="383">
        <f t="shared" si="125"/>
        <v>4.5045471306992111</v>
      </c>
      <c r="F356" s="383">
        <f t="shared" si="128"/>
        <v>4.5045471306992111</v>
      </c>
      <c r="G356" s="110">
        <f t="shared" si="126"/>
        <v>0.15933976955320228</v>
      </c>
      <c r="H356" s="412" t="b">
        <f>Wh_hp&gt;='2027'!Maxi_hp</f>
        <v>0</v>
      </c>
      <c r="I356" s="388">
        <f>IF(H356,Wh_hp,'2027'!Maxi_hp)</f>
        <v>18.001380759086484</v>
      </c>
      <c r="J356" s="85">
        <f>IF(H356,An,'2027'!An_max)</f>
        <v>2018</v>
      </c>
      <c r="K356" s="197">
        <f t="shared" si="129"/>
        <v>47094</v>
      </c>
      <c r="L356" s="147">
        <f>IF(t&lt;Tvie,1-EXP((T0-t)*PertePVj)+'2027'!Pspv,1-EXP((T0-t)*PertePVj)+Pspv)</f>
        <v>6.663179522381879E-2</v>
      </c>
      <c r="M356" s="832"/>
      <c r="N356" s="832"/>
      <c r="O356" s="48">
        <f>IF(t&lt;Tnet,'2027'!Resal+('2027'!Salim-'2027'!Resal)*(1-EXP(('2027'!Tnet-t)/('2027'!Tau_j))),Resal+(Salim-Resal)*(1-EXP((Tnet-t)/(Tau_j))))*Salcycl</f>
        <v>3.3116431937736793E-2</v>
      </c>
      <c r="P356" s="169">
        <f>(INDEX(Models!$BJ356:$BT356,,T356)*(1-R356)+INDEX(Models!$BJ356:$BT356,,T356+1)*R356-ERP_i)*Q356*Ramure*Pc/MaxiM</f>
        <v>4.0125105571581026E-4</v>
      </c>
      <c r="Q356" s="304">
        <f t="shared" si="130"/>
        <v>0.6</v>
      </c>
      <c r="R356" s="177">
        <f t="shared" si="131"/>
        <v>0.97399541626479391</v>
      </c>
      <c r="S356" s="799">
        <f t="shared" si="132"/>
        <v>-1</v>
      </c>
      <c r="T356" s="176">
        <f t="shared" si="133"/>
        <v>5</v>
      </c>
      <c r="U356" s="250">
        <f t="shared" si="134"/>
        <v>-2.6004583735206144E-2</v>
      </c>
      <c r="V356" s="382">
        <f t="shared" si="135"/>
        <v>25.502328552385951</v>
      </c>
      <c r="W356" s="400">
        <f t="shared" si="136"/>
        <v>4.0651663068795241</v>
      </c>
      <c r="X356" s="157">
        <f t="shared" si="137"/>
        <v>47094</v>
      </c>
      <c r="Y356" s="383">
        <f t="shared" si="138"/>
        <v>3.9446452300553365</v>
      </c>
      <c r="Z356" s="383">
        <f t="shared" si="139"/>
        <v>4.2262477014644508</v>
      </c>
      <c r="AA356" s="384">
        <f t="shared" si="140"/>
        <v>4.5045471306992111</v>
      </c>
      <c r="AB356" s="197">
        <f t="shared" si="141"/>
        <v>47094</v>
      </c>
      <c r="AC356" s="119">
        <f>IF(OR(t&lt;Tnet,NoTnet),'2027'!Resal_s+('2027'!Salim-'2027'!Resal_s)*(1-EXP(('2027'!Tnet_s-t)/'2027'!Tau_j)),Resal_s+(Salim-Resal_s)*(1-EXP((Tnet_s-t)/Tau_j)))*Salcycl</f>
        <v>6.178188864716392E-2</v>
      </c>
      <c r="AD356" s="230">
        <f>(INDEX(Models!$BJ356:$BT356,,AH356)*(1-AF356)+INDEX(Models!$BJ356:$BT356,,AH356+1)*AF356-ERP_i)*AE356*Ramure*Pc/MaxiM</f>
        <v>3.3700432910335168E-3</v>
      </c>
      <c r="AE356" s="304">
        <f t="shared" si="142"/>
        <v>0.6</v>
      </c>
      <c r="AF356" s="177">
        <f t="shared" si="143"/>
        <v>0.49898298263877239</v>
      </c>
      <c r="AG356" s="799">
        <f t="shared" si="149"/>
        <v>3</v>
      </c>
      <c r="AH356" s="176">
        <f t="shared" si="144"/>
        <v>9</v>
      </c>
      <c r="AI356" s="224">
        <f t="shared" si="145"/>
        <v>3.4989829826387724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47095</v>
      </c>
      <c r="B357" s="409">
        <f>IF(t&gt;Tmaj,'2027'!Wh/'2027'!Env_an*'2028'!Env_an,0.001*'[14]mon-tableau (2)'!$B$250)</f>
        <v>4.9121629317555486</v>
      </c>
      <c r="C357" s="829"/>
      <c r="D357" s="391">
        <f t="shared" si="127"/>
        <v>5.2629359441482695</v>
      </c>
      <c r="E357" s="383">
        <f t="shared" si="125"/>
        <v>5.4436907975884701</v>
      </c>
      <c r="F357" s="383">
        <f t="shared" si="128"/>
        <v>5.4436907975884701</v>
      </c>
      <c r="G357" s="110">
        <f t="shared" si="126"/>
        <v>0.19327224792434583</v>
      </c>
      <c r="H357" s="412" t="b">
        <f>Wh_hp&gt;='2027'!Maxi_hp</f>
        <v>0</v>
      </c>
      <c r="I357" s="388">
        <f>IF(H357,Wh_hp,'2027'!Maxi_hp)</f>
        <v>12.508888202524682</v>
      </c>
      <c r="J357" s="85">
        <f>IF(H357,An,'2027'!An_max)</f>
        <v>2018</v>
      </c>
      <c r="K357" s="197">
        <f t="shared" si="129"/>
        <v>47095</v>
      </c>
      <c r="L357" s="147">
        <f>IF(t&lt;Tvie,1-EXP((T0-t)*PertePVj)+'2027'!Pspv,1-EXP((T0-t)*PertePVj)+Pspv)</f>
        <v>6.6649683012527827E-2</v>
      </c>
      <c r="M357" s="832"/>
      <c r="N357" s="832"/>
      <c r="O357" s="48">
        <f>IF(t&lt;Tnet,'2027'!Resal+('2027'!Salim-'2027'!Resal)*(1-EXP(('2027'!Tnet-t)/('2027'!Tau_j))),Resal+(Salim-Resal)*(1-EXP((Tnet-t)/(Tau_j))))*Salcycl</f>
        <v>3.3204467366198392E-2</v>
      </c>
      <c r="P357" s="169">
        <f>(INDEX(Models!$BJ357:$BT357,,T357)*(1-R357)+INDEX(Models!$BJ357:$BT357,,T357+1)*R357-ERP_i)*Q357*Ramure*Pc/MaxiM</f>
        <v>4.1613225116846894E-4</v>
      </c>
      <c r="Q357" s="304">
        <f t="shared" si="130"/>
        <v>0.6</v>
      </c>
      <c r="R357" s="177">
        <f t="shared" si="131"/>
        <v>0.97400726536715387</v>
      </c>
      <c r="S357" s="799">
        <f t="shared" si="132"/>
        <v>-1</v>
      </c>
      <c r="T357" s="176">
        <f t="shared" si="133"/>
        <v>5</v>
      </c>
      <c r="U357" s="250">
        <f t="shared" si="134"/>
        <v>-2.5992734632846071E-2</v>
      </c>
      <c r="V357" s="382">
        <f t="shared" si="135"/>
        <v>25.405193322212813</v>
      </c>
      <c r="W357" s="400">
        <f t="shared" si="136"/>
        <v>4.9121629317555486</v>
      </c>
      <c r="X357" s="157">
        <f t="shared" si="137"/>
        <v>47095</v>
      </c>
      <c r="Y357" s="383">
        <f t="shared" si="138"/>
        <v>4.7667174773415164</v>
      </c>
      <c r="Z357" s="383">
        <f t="shared" si="139"/>
        <v>5.1071043643364371</v>
      </c>
      <c r="AA357" s="384">
        <f t="shared" si="140"/>
        <v>5.4436907975884701</v>
      </c>
      <c r="AB357" s="197">
        <f t="shared" si="141"/>
        <v>47095</v>
      </c>
      <c r="AC357" s="119">
        <f>IF(OR(t&lt;Tnet,NoTnet),'2027'!Resal_s+('2027'!Salim-'2027'!Resal_s)*(1-EXP(('2027'!Tnet_s-t)/'2027'!Tau_j)),Resal_s+(Salim-Resal_s)*(1-EXP((Tnet_s-t)/Tau_j)))*Salcycl</f>
        <v>6.1830556834921564E-2</v>
      </c>
      <c r="AD357" s="230">
        <f>(INDEX(Models!$BJ357:$BT357,,AH357)*(1-AF357)+INDEX(Models!$BJ357:$BT357,,AH357+1)*AF357-ERP_i)*AE357*Ramure*Pc/MaxiM</f>
        <v>3.4059376087644884E-3</v>
      </c>
      <c r="AE357" s="304">
        <f t="shared" si="142"/>
        <v>0.6</v>
      </c>
      <c r="AF357" s="177">
        <f t="shared" si="143"/>
        <v>0.49899483174113257</v>
      </c>
      <c r="AG357" s="799">
        <f t="shared" si="149"/>
        <v>3</v>
      </c>
      <c r="AH357" s="176">
        <f t="shared" si="144"/>
        <v>9</v>
      </c>
      <c r="AI357" s="224">
        <f t="shared" si="145"/>
        <v>3.4989948317411326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47096</v>
      </c>
      <c r="B358" s="409">
        <f>IF(t&gt;Tmaj,'2027'!Wh/'2027'!Env_an*'2028'!Env_an,0.001*'[14]mon-tableau (2)'!$B$251)</f>
        <v>11.355481678695535</v>
      </c>
      <c r="C358" s="829"/>
      <c r="D358" s="391">
        <f t="shared" si="127"/>
        <v>12.166599294393922</v>
      </c>
      <c r="E358" s="383">
        <f t="shared" si="125"/>
        <v>12.585609970980345</v>
      </c>
      <c r="F358" s="383">
        <f t="shared" si="128"/>
        <v>12.586761079774307</v>
      </c>
      <c r="G358" s="110">
        <f t="shared" si="126"/>
        <v>0.44836623319539726</v>
      </c>
      <c r="H358" s="412" t="b">
        <f>Wh_hp&gt;='2027'!Maxi_hp</f>
        <v>0</v>
      </c>
      <c r="I358" s="388">
        <f>IF(H358,Wh_hp,'2027'!Maxi_hp)</f>
        <v>24.237624658257118</v>
      </c>
      <c r="J358" s="85">
        <f>IF(H358,An,'2027'!An_max)</f>
        <v>2018</v>
      </c>
      <c r="K358" s="197">
        <f t="shared" si="129"/>
        <v>47096</v>
      </c>
      <c r="L358" s="147">
        <f>IF(t&lt;Tvie,1-EXP((T0-t)*PertePVj)+'2027'!Pspv,1-EXP((T0-t)*PertePVj)+Pspv)</f>
        <v>6.6667570458421421E-2</v>
      </c>
      <c r="M358" s="832"/>
      <c r="N358" s="832"/>
      <c r="O358" s="48">
        <f>IF(t&lt;Tnet,'2027'!Resal+('2027'!Salim-'2027'!Resal)*(1-EXP(('2027'!Tnet-t)/('2027'!Tau_j))),Resal+(Salim-Resal)*(1-EXP((Tnet-t)/(Tau_j))))*Salcycl</f>
        <v>3.3292838213846522E-2</v>
      </c>
      <c r="P358" s="169">
        <f>(INDEX(Models!$BJ358:$BT358,,T358)*(1-R358)+INDEX(Models!$BJ358:$BT358,,T358+1)*R358-ERP_i)*Q358*Ramure*Pc/MaxiM</f>
        <v>4.3104210722737891E-4</v>
      </c>
      <c r="Q358" s="304">
        <f t="shared" si="130"/>
        <v>0.6</v>
      </c>
      <c r="R358" s="177">
        <f t="shared" si="131"/>
        <v>0.97401863791779841</v>
      </c>
      <c r="S358" s="799">
        <f t="shared" si="132"/>
        <v>-1</v>
      </c>
      <c r="T358" s="176">
        <f t="shared" si="133"/>
        <v>5</v>
      </c>
      <c r="U358" s="250">
        <f t="shared" si="134"/>
        <v>-2.5981362082201531E-2</v>
      </c>
      <c r="V358" s="382">
        <f t="shared" si="135"/>
        <v>25.317752092523307</v>
      </c>
      <c r="W358" s="400">
        <f t="shared" si="136"/>
        <v>11.355481678695535</v>
      </c>
      <c r="X358" s="157">
        <f t="shared" si="137"/>
        <v>47096</v>
      </c>
      <c r="Y358" s="383">
        <f t="shared" si="138"/>
        <v>11.012653883816943</v>
      </c>
      <c r="Z358" s="383">
        <f t="shared" si="139"/>
        <v>11.799283444191463</v>
      </c>
      <c r="AA358" s="384">
        <f t="shared" si="140"/>
        <v>12.577584807223612</v>
      </c>
      <c r="AB358" s="197">
        <f t="shared" si="141"/>
        <v>47096</v>
      </c>
      <c r="AC358" s="119">
        <f>IF(OR(t&lt;Tnet,NoTnet),'2027'!Resal_s+('2027'!Salim-'2027'!Resal_s)*(1-EXP(('2027'!Tnet_s-t)/'2027'!Tau_j)),Resal_s+(Salim-Resal_s)*(1-EXP((Tnet_s-t)/Tau_j)))*Salcycl</f>
        <v>6.1880033008018441E-2</v>
      </c>
      <c r="AD358" s="230">
        <f>(INDEX(Models!$BJ358:$BT358,,AH358)*(1-AF358)+INDEX(Models!$BJ358:$BT358,,AH358+1)*AF358-ERP_i)*AE358*Ramure*Pc/MaxiM</f>
        <v>3.4361303444940317E-3</v>
      </c>
      <c r="AE358" s="304">
        <f t="shared" si="142"/>
        <v>0.6</v>
      </c>
      <c r="AF358" s="177">
        <f t="shared" si="143"/>
        <v>0.49900620429177689</v>
      </c>
      <c r="AG358" s="799">
        <f t="shared" si="149"/>
        <v>3</v>
      </c>
      <c r="AH358" s="176">
        <f t="shared" si="144"/>
        <v>9</v>
      </c>
      <c r="AI358" s="224">
        <f t="shared" si="145"/>
        <v>3.4990062042917769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47097</v>
      </c>
      <c r="B359" s="409">
        <f>IF(t&gt;Tmaj,'2027'!Wh/'2027'!Env_an*'2028'!Env_an,0.001*'[14]mon-tableau (2)'!$B$252)</f>
        <v>17.866057587239737</v>
      </c>
      <c r="C359" s="829"/>
      <c r="D359" s="391">
        <f t="shared" si="127"/>
        <v>19.142589957465628</v>
      </c>
      <c r="E359" s="383">
        <f t="shared" si="125"/>
        <v>19.803666657115937</v>
      </c>
      <c r="F359" s="383">
        <f t="shared" si="128"/>
        <v>19.808814360193999</v>
      </c>
      <c r="G359" s="110">
        <f t="shared" si="126"/>
        <v>0.70774404789844392</v>
      </c>
      <c r="H359" s="412" t="b">
        <f>Wh_hp&gt;='2027'!Maxi_hp</f>
        <v>0</v>
      </c>
      <c r="I359" s="388">
        <f>IF(H359,Wh_hp,'2027'!Maxi_hp)</f>
        <v>19.811704894203341</v>
      </c>
      <c r="J359" s="85">
        <f>IF(H359,An,'2027'!An_max)</f>
        <v>2026</v>
      </c>
      <c r="K359" s="197">
        <f t="shared" si="129"/>
        <v>47097</v>
      </c>
      <c r="L359" s="147">
        <f>IF(t&lt;Tvie,1-EXP((T0-t)*PertePVj)+'2027'!Pspv,1-EXP((T0-t)*PertePVj)+Pspv)</f>
        <v>6.6685457561506234E-2</v>
      </c>
      <c r="M359" s="832"/>
      <c r="N359" s="832"/>
      <c r="O359" s="48">
        <f>IF(t&lt;Tnet,'2027'!Resal+('2027'!Salim-'2027'!Resal)*(1-EXP(('2027'!Tnet-t)/('2027'!Tau_j))),Resal+(Salim-Resal)*(1-EXP((Tnet-t)/(Tau_j))))*Salcycl</f>
        <v>3.3381530354772412E-2</v>
      </c>
      <c r="P359" s="169">
        <f>(INDEX(Models!$BJ359:$BT359,,T359)*(1-R359)+INDEX(Models!$BJ359:$BT359,,T359+1)*R359-ERP_i)*Q359*Ramure*Pc/MaxiM</f>
        <v>4.4598995117316897E-4</v>
      </c>
      <c r="Q359" s="304">
        <f t="shared" si="130"/>
        <v>0.6</v>
      </c>
      <c r="R359" s="177">
        <f t="shared" si="131"/>
        <v>0.97402955306248984</v>
      </c>
      <c r="S359" s="799">
        <f t="shared" si="132"/>
        <v>-1</v>
      </c>
      <c r="T359" s="176">
        <f t="shared" si="133"/>
        <v>5</v>
      </c>
      <c r="U359" s="250">
        <f t="shared" si="134"/>
        <v>-2.5970446937510216E-2</v>
      </c>
      <c r="V359" s="382">
        <f t="shared" si="135"/>
        <v>25.238970972595716</v>
      </c>
      <c r="W359" s="400">
        <f t="shared" si="136"/>
        <v>17.866057587239737</v>
      </c>
      <c r="X359" s="157">
        <f t="shared" si="137"/>
        <v>47097</v>
      </c>
      <c r="Y359" s="383">
        <f t="shared" si="138"/>
        <v>17.307924446535278</v>
      </c>
      <c r="Z359" s="383">
        <f t="shared" si="139"/>
        <v>18.544578124020695</v>
      </c>
      <c r="AA359" s="384">
        <f t="shared" si="140"/>
        <v>19.768869883502038</v>
      </c>
      <c r="AB359" s="197">
        <f t="shared" si="141"/>
        <v>47097</v>
      </c>
      <c r="AC359" s="119">
        <f>IF(OR(t&lt;Tnet,NoTnet),'2027'!Resal_s+('2027'!Salim-'2027'!Resal_s)*(1-EXP(('2027'!Tnet_s-t)/'2027'!Tau_j)),Resal_s+(Salim-Resal_s)*(1-EXP((Tnet_s-t)/Tau_j)))*Salcycl</f>
        <v>6.1930285681280402E-2</v>
      </c>
      <c r="AD359" s="230">
        <f>(INDEX(Models!$BJ359:$BT359,,AH359)*(1-AF359)+INDEX(Models!$BJ359:$BT359,,AH359+1)*AF359-ERP_i)*AE359*Ramure*Pc/MaxiM</f>
        <v>3.4607348052775166E-3</v>
      </c>
      <c r="AE359" s="304">
        <f t="shared" si="142"/>
        <v>0.6</v>
      </c>
      <c r="AF359" s="177">
        <f t="shared" si="143"/>
        <v>0.49901711943646809</v>
      </c>
      <c r="AG359" s="799">
        <f t="shared" si="149"/>
        <v>3</v>
      </c>
      <c r="AH359" s="176">
        <f t="shared" si="144"/>
        <v>9</v>
      </c>
      <c r="AI359" s="224">
        <f t="shared" si="145"/>
        <v>3.4990171194364681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47098</v>
      </c>
      <c r="B360" s="409">
        <f>IF(t&gt;Tmaj,'2027'!Wh/'2027'!Env_an*'2028'!Env_an,0.001*'[14]mon-tableau (2)'!$B$253)</f>
        <v>6.8875678395518714</v>
      </c>
      <c r="C360" s="829"/>
      <c r="D360" s="391">
        <f t="shared" si="127"/>
        <v>7.3798269796078824</v>
      </c>
      <c r="E360" s="383">
        <f t="shared" si="125"/>
        <v>7.6353874335661658</v>
      </c>
      <c r="F360" s="383">
        <f t="shared" si="128"/>
        <v>7.6353874335661658</v>
      </c>
      <c r="G360" s="110">
        <f t="shared" si="126"/>
        <v>0.27353965827339477</v>
      </c>
      <c r="H360" s="412" t="b">
        <f>Wh_hp&gt;='2027'!Maxi_hp</f>
        <v>0</v>
      </c>
      <c r="I360" s="388">
        <f>IF(H360,Wh_hp,'2027'!Maxi_hp)</f>
        <v>26.814406326002654</v>
      </c>
      <c r="J360" s="85">
        <f>IF(H360,An,'2027'!An_max)</f>
        <v>2021</v>
      </c>
      <c r="K360" s="197">
        <f t="shared" si="129"/>
        <v>47098</v>
      </c>
      <c r="L360" s="147">
        <f>IF(t&lt;Tvie,1-EXP((T0-t)*PertePVj)+'2027'!Pspv,1-EXP((T0-t)*PertePVj)+Pspv)</f>
        <v>6.6703344321788816E-2</v>
      </c>
      <c r="M360" s="832"/>
      <c r="N360" s="832"/>
      <c r="O360" s="48">
        <f>IF(t&lt;Tnet,'2027'!Resal+('2027'!Salim-'2027'!Resal)*(1-EXP(('2027'!Tnet-t)/('2027'!Tau_j))),Resal+(Salim-Resal)*(1-EXP((Tnet-t)/(Tau_j))))*Salcycl</f>
        <v>3.3470528664309301E-2</v>
      </c>
      <c r="P360" s="169">
        <f>(INDEX(Models!$BJ360:$BT360,,T360)*(1-R360)+INDEX(Models!$BJ360:$BT360,,T360+1)*R360-ERP_i)*Q360*Ramure*Pc/MaxiM</f>
        <v>4.6098722733288895E-4</v>
      </c>
      <c r="Q360" s="304">
        <f t="shared" si="130"/>
        <v>0.6</v>
      </c>
      <c r="R360" s="177">
        <f t="shared" si="131"/>
        <v>0.97404002917940447</v>
      </c>
      <c r="S360" s="799">
        <f t="shared" si="132"/>
        <v>-1</v>
      </c>
      <c r="T360" s="176">
        <f t="shared" si="133"/>
        <v>5</v>
      </c>
      <c r="U360" s="250">
        <f t="shared" si="134"/>
        <v>-2.5959970820595479E-2</v>
      </c>
      <c r="V360" s="382">
        <f t="shared" si="135"/>
        <v>25.167804925272307</v>
      </c>
      <c r="W360" s="400">
        <f t="shared" si="136"/>
        <v>6.8875678395518714</v>
      </c>
      <c r="X360" s="157">
        <f t="shared" si="137"/>
        <v>47098</v>
      </c>
      <c r="Y360" s="383">
        <f t="shared" si="138"/>
        <v>6.6843978875779859</v>
      </c>
      <c r="Z360" s="383">
        <f t="shared" si="139"/>
        <v>7.1621363335118184</v>
      </c>
      <c r="AA360" s="384">
        <f t="shared" si="140"/>
        <v>7.6353874335661658</v>
      </c>
      <c r="AB360" s="197">
        <f t="shared" si="141"/>
        <v>47098</v>
      </c>
      <c r="AC360" s="119">
        <f>IF(OR(t&lt;Tnet,NoTnet),'2027'!Resal_s+('2027'!Salim-'2027'!Resal_s)*(1-EXP(('2027'!Tnet_s-t)/'2027'!Tau_j)),Resal_s+(Salim-Resal_s)*(1-EXP((Tnet_s-t)/Tau_j)))*Salcycl</f>
        <v>6.1981281784585493E-2</v>
      </c>
      <c r="AD360" s="230">
        <f>(INDEX(Models!$BJ360:$BT360,,AH360)*(1-AF360)+INDEX(Models!$BJ360:$BT360,,AH360+1)*AF360-ERP_i)*AE360*Ramure*Pc/MaxiM</f>
        <v>3.479871946283835E-3</v>
      </c>
      <c r="AE360" s="304">
        <f t="shared" si="142"/>
        <v>0.6</v>
      </c>
      <c r="AF360" s="177">
        <f t="shared" si="143"/>
        <v>0.49902759555338294</v>
      </c>
      <c r="AG360" s="799">
        <f t="shared" si="149"/>
        <v>3</v>
      </c>
      <c r="AH360" s="176">
        <f t="shared" si="144"/>
        <v>9</v>
      </c>
      <c r="AI360" s="224">
        <f t="shared" si="145"/>
        <v>3.4990275955533829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47099</v>
      </c>
      <c r="B361" s="409">
        <f>IF(t&gt;Tmaj,'2027'!Wh/'2027'!Env_an*'2028'!Env_an,0.001*'[14]mon-tableau (2)'!$B$254)</f>
        <v>5.3456523790327681</v>
      </c>
      <c r="C361" s="829"/>
      <c r="D361" s="391">
        <f t="shared" si="127"/>
        <v>5.7278195487798422</v>
      </c>
      <c r="E361" s="383">
        <f t="shared" ref="E361:E380" si="150">Wh_pvt/(1-Psa)</f>
        <v>5.9267191600795748</v>
      </c>
      <c r="F361" s="383">
        <f t="shared" si="128"/>
        <v>5.9267191600795748</v>
      </c>
      <c r="G361" s="110">
        <f t="shared" ref="G361:G380" si="151">+Wh_hp/MaxiM</f>
        <v>0.21283444238274762</v>
      </c>
      <c r="H361" s="412" t="b">
        <f>Wh_hp&gt;='2027'!Maxi_hp</f>
        <v>0</v>
      </c>
      <c r="I361" s="388">
        <f>IF(H361,Wh_hp,'2027'!Maxi_hp)</f>
        <v>28.151976192045886</v>
      </c>
      <c r="J361" s="85">
        <f>IF(H361,An,'2027'!An_max)</f>
        <v>2021</v>
      </c>
      <c r="K361" s="197">
        <f t="shared" si="129"/>
        <v>47099</v>
      </c>
      <c r="L361" s="147">
        <f>IF(t&lt;Tvie,1-EXP((T0-t)*PertePVj)+'2027'!Pspv,1-EXP((T0-t)*PertePVj)+Pspv)</f>
        <v>6.6721230739275716E-2</v>
      </c>
      <c r="M361" s="832"/>
      <c r="N361" s="832"/>
      <c r="O361" s="48">
        <f>IF(t&lt;Tnet,'2027'!Resal+('2027'!Salim-'2027'!Resal)*(1-EXP(('2027'!Tnet-t)/('2027'!Tau_j))),Resal+(Salim-Resal)*(1-EXP((Tnet-t)/(Tau_j))))*Salcycl</f>
        <v>3.3559817147985491E-2</v>
      </c>
      <c r="P361" s="169">
        <f>(INDEX(Models!$BJ361:$BT361,,T361)*(1-R361)+INDEX(Models!$BJ361:$BT361,,T361+1)*R361-ERP_i)*Q361*Ramure*Pc/MaxiM</f>
        <v>4.749061468886005E-4</v>
      </c>
      <c r="Q361" s="304">
        <f t="shared" si="130"/>
        <v>0.6</v>
      </c>
      <c r="R361" s="177">
        <f t="shared" si="131"/>
        <v>0.97405008390978043</v>
      </c>
      <c r="S361" s="799">
        <f t="shared" si="132"/>
        <v>-1</v>
      </c>
      <c r="T361" s="176">
        <f t="shared" si="133"/>
        <v>5</v>
      </c>
      <c r="U361" s="250">
        <f t="shared" si="134"/>
        <v>-2.5949916090219571E-2</v>
      </c>
      <c r="V361" s="382">
        <f t="shared" si="135"/>
        <v>25.104553736890605</v>
      </c>
      <c r="W361" s="400">
        <f t="shared" si="136"/>
        <v>5.3456523790327681</v>
      </c>
      <c r="X361" s="157">
        <f t="shared" si="137"/>
        <v>47099</v>
      </c>
      <c r="Y361" s="383">
        <f t="shared" si="138"/>
        <v>5.1881592714436344</v>
      </c>
      <c r="Z361" s="383">
        <f t="shared" si="139"/>
        <v>5.5590670679815393</v>
      </c>
      <c r="AA361" s="384">
        <f t="shared" si="140"/>
        <v>5.9267191600795748</v>
      </c>
      <c r="AB361" s="197">
        <f t="shared" si="141"/>
        <v>47099</v>
      </c>
      <c r="AC361" s="119">
        <f>IF(OR(t&lt;Tnet,NoTnet),'2027'!Resal_s+('2027'!Salim-'2027'!Resal_s)*(1-EXP(('2027'!Tnet_s-t)/'2027'!Tau_j)),Resal_s+(Salim-Resal_s)*(1-EXP((Tnet_s-t)/Tau_j)))*Salcycl</f>
        <v>6.2032986913639912E-2</v>
      </c>
      <c r="AD361" s="230">
        <f>(INDEX(Models!$BJ361:$BT361,,AH361)*(1-AF361)+INDEX(Models!$BJ361:$BT361,,AH361+1)*AF361-ERP_i)*AE361*Ramure*Pc/MaxiM</f>
        <v>3.4962847662390654E-3</v>
      </c>
      <c r="AE361" s="304">
        <f t="shared" si="142"/>
        <v>0.6</v>
      </c>
      <c r="AF361" s="177">
        <f t="shared" si="143"/>
        <v>0.49903765028375879</v>
      </c>
      <c r="AG361" s="799">
        <f t="shared" si="149"/>
        <v>3</v>
      </c>
      <c r="AH361" s="176">
        <f t="shared" si="144"/>
        <v>9</v>
      </c>
      <c r="AI361" s="224">
        <f t="shared" si="145"/>
        <v>3.4990376502837588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47100</v>
      </c>
      <c r="B362" s="409">
        <f>IF(t&gt;Tmaj,'2027'!Wh/'2027'!Env_an*'2028'!Env_an,0.001*'[14]mon-tableau (2)'!$B$255)</f>
        <v>17.364119760279149</v>
      </c>
      <c r="C362" s="829"/>
      <c r="D362" s="391">
        <f t="shared" si="127"/>
        <v>18.605858311558489</v>
      </c>
      <c r="E362" s="383">
        <f t="shared" si="150"/>
        <v>19.253734523097954</v>
      </c>
      <c r="F362" s="383">
        <f t="shared" si="128"/>
        <v>19.259010794062291</v>
      </c>
      <c r="G362" s="110">
        <f t="shared" si="151"/>
        <v>0.69304435353739269</v>
      </c>
      <c r="H362" s="412" t="b">
        <f>Wh_hp&gt;='2027'!Maxi_hp</f>
        <v>0</v>
      </c>
      <c r="I362" s="388">
        <f>IF(H362,Wh_hp,'2027'!Maxi_hp)</f>
        <v>27.05277642016825</v>
      </c>
      <c r="J362" s="85">
        <f>IF(H362,An,'2027'!An_max)</f>
        <v>2021</v>
      </c>
      <c r="K362" s="197">
        <f t="shared" si="129"/>
        <v>47100</v>
      </c>
      <c r="L362" s="147">
        <f>IF(t&lt;Tvie,1-EXP((T0-t)*PertePVj)+'2027'!Pspv,1-EXP((T0-t)*PertePVj)+Pspv)</f>
        <v>6.6739116813973487E-2</v>
      </c>
      <c r="M362" s="832"/>
      <c r="N362" s="832"/>
      <c r="O362" s="48">
        <f>IF(t&lt;Tnet,'2027'!Resal+('2027'!Salim-'2027'!Resal)*(1-EXP(('2027'!Tnet-t)/('2027'!Tau_j))),Resal+(Salim-Resal)*(1-EXP((Tnet-t)/(Tau_j))))*Salcycl</f>
        <v>3.3649379073043335E-2</v>
      </c>
      <c r="P362" s="169">
        <f>(INDEX(Models!$BJ362:$BT362,,T362)*(1-R362)+INDEX(Models!$BJ362:$BT362,,T362+1)*R362-ERP_i)*Q362*Ramure*Pc/MaxiM</f>
        <v>4.8773715456976283E-4</v>
      </c>
      <c r="Q362" s="304">
        <f t="shared" si="130"/>
        <v>0.6</v>
      </c>
      <c r="R362" s="177">
        <f t="shared" si="131"/>
        <v>0.97405973418734981</v>
      </c>
      <c r="S362" s="799">
        <f t="shared" si="132"/>
        <v>-1</v>
      </c>
      <c r="T362" s="176">
        <f t="shared" si="133"/>
        <v>5</v>
      </c>
      <c r="U362" s="250">
        <f t="shared" si="134"/>
        <v>-2.5940265812650243E-2</v>
      </c>
      <c r="V362" s="382">
        <f t="shared" si="135"/>
        <v>25.049488777411941</v>
      </c>
      <c r="W362" s="400">
        <f t="shared" si="136"/>
        <v>17.364119760279149</v>
      </c>
      <c r="X362" s="157">
        <f t="shared" si="137"/>
        <v>47100</v>
      </c>
      <c r="Y362" s="383">
        <f t="shared" si="138"/>
        <v>16.824543274598341</v>
      </c>
      <c r="Z362" s="383">
        <f t="shared" si="139"/>
        <v>18.027695768370389</v>
      </c>
      <c r="AA362" s="384">
        <f t="shared" si="140"/>
        <v>19.221041134057142</v>
      </c>
      <c r="AB362" s="197">
        <f t="shared" si="141"/>
        <v>47100</v>
      </c>
      <c r="AC362" s="119">
        <f>IF(OR(t&lt;Tnet,NoTnet),'2027'!Resal_s+('2027'!Salim-'2027'!Resal_s)*(1-EXP(('2027'!Tnet_s-t)/'2027'!Tau_j)),Resal_s+(Salim-Resal_s)*(1-EXP((Tnet_s-t)/Tau_j)))*Salcycl</f>
        <v>6.2085365582632356E-2</v>
      </c>
      <c r="AD362" s="230">
        <f>(INDEX(Models!$BJ362:$BT362,,AH362)*(1-AF362)+INDEX(Models!$BJ362:$BT362,,AH362+1)*AF362-ERP_i)*AE362*Ramure*Pc/MaxiM</f>
        <v>3.5099057755127818E-3</v>
      </c>
      <c r="AE362" s="304">
        <f t="shared" si="142"/>
        <v>0.6</v>
      </c>
      <c r="AF362" s="177">
        <f t="shared" si="143"/>
        <v>0.49904730056132829</v>
      </c>
      <c r="AG362" s="799">
        <f t="shared" si="149"/>
        <v>3</v>
      </c>
      <c r="AH362" s="176">
        <f t="shared" si="144"/>
        <v>9</v>
      </c>
      <c r="AI362" s="224">
        <f t="shared" si="145"/>
        <v>3.4990473005613283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47101</v>
      </c>
      <c r="B363" s="409">
        <f>IF(t&gt;Tmaj,'2027'!Wh/'2027'!Env_an*'2028'!Env_an,0.001*'[14]mon-tableau (2)'!$B$256)</f>
        <v>5.8154862882700344</v>
      </c>
      <c r="C363" s="829"/>
      <c r="D363" s="391">
        <f t="shared" si="127"/>
        <v>6.231481301370267</v>
      </c>
      <c r="E363" s="383">
        <f t="shared" si="150"/>
        <v>6.4490676664905671</v>
      </c>
      <c r="F363" s="383">
        <f t="shared" si="128"/>
        <v>6.4490676664905671</v>
      </c>
      <c r="G363" s="110">
        <f t="shared" si="151"/>
        <v>0.23247647131003957</v>
      </c>
      <c r="H363" s="412" t="b">
        <f>Wh_hp&gt;='2027'!Maxi_hp</f>
        <v>0</v>
      </c>
      <c r="I363" s="388">
        <f>IF(H363,Wh_hp,'2027'!Maxi_hp)</f>
        <v>28.710535852153466</v>
      </c>
      <c r="J363" s="85">
        <f>IF(H363,An,'2027'!An_max)</f>
        <v>2018</v>
      </c>
      <c r="K363" s="197">
        <f t="shared" si="129"/>
        <v>47101</v>
      </c>
      <c r="L363" s="147">
        <f>IF(t&lt;Tvie,1-EXP((T0-t)*PertePVj)+'2027'!Pspv,1-EXP((T0-t)*PertePVj)+Pspv)</f>
        <v>6.6757002545888677E-2</v>
      </c>
      <c r="M363" s="832"/>
      <c r="N363" s="832"/>
      <c r="O363" s="48">
        <f>IF(t&lt;Tnet,'2027'!Resal+('2027'!Salim-'2027'!Resal)*(1-EXP(('2027'!Tnet-t)/('2027'!Tau_j))),Resal+(Salim-Resal)*(1-EXP((Tnet-t)/(Tau_j))))*Salcycl</f>
        <v>3.3739197101447925E-2</v>
      </c>
      <c r="P363" s="169">
        <f>(INDEX(Models!$BJ363:$BT363,,T363)*(1-R363)+INDEX(Models!$BJ363:$BT363,,T363+1)*R363-ERP_i)*Q363*Ramure*Pc/MaxiM</f>
        <v>4.9946996963569411E-4</v>
      </c>
      <c r="Q363" s="304">
        <f t="shared" si="130"/>
        <v>0.6</v>
      </c>
      <c r="R363" s="177">
        <f t="shared" si="131"/>
        <v>0.97406899626660626</v>
      </c>
      <c r="S363" s="799">
        <f t="shared" si="132"/>
        <v>-1</v>
      </c>
      <c r="T363" s="176">
        <f t="shared" si="133"/>
        <v>5</v>
      </c>
      <c r="U363" s="250">
        <f t="shared" si="134"/>
        <v>-2.5931003733393743E-2</v>
      </c>
      <c r="V363" s="382">
        <f t="shared" si="135"/>
        <v>25.002881344316055</v>
      </c>
      <c r="W363" s="400">
        <f t="shared" si="136"/>
        <v>5.8154862882700344</v>
      </c>
      <c r="X363" s="157">
        <f t="shared" si="137"/>
        <v>47101</v>
      </c>
      <c r="Y363" s="383">
        <f t="shared" si="138"/>
        <v>5.6445644555335308</v>
      </c>
      <c r="Z363" s="383">
        <f t="shared" si="139"/>
        <v>6.0483330396605313</v>
      </c>
      <c r="AA363" s="384">
        <f t="shared" si="140"/>
        <v>6.4490676664905671</v>
      </c>
      <c r="AB363" s="197">
        <f t="shared" si="141"/>
        <v>47101</v>
      </c>
      <c r="AC363" s="119">
        <f>IF(OR(t&lt;Tnet,NoTnet),'2027'!Resal_s+('2027'!Salim-'2027'!Resal_s)*(1-EXP(('2027'!Tnet_s-t)/'2027'!Tau_j)),Resal_s+(Salim-Resal_s)*(1-EXP((Tnet_s-t)/Tau_j)))*Salcycl</f>
        <v>6.2138381476792112E-2</v>
      </c>
      <c r="AD363" s="230">
        <f>(INDEX(Models!$BJ363:$BT363,,AH363)*(1-AF363)+INDEX(Models!$BJ363:$BT363,,AH363+1)*AF363-ERP_i)*AE363*Ramure*Pc/MaxiM</f>
        <v>3.5206664755343658E-3</v>
      </c>
      <c r="AE363" s="304">
        <f t="shared" si="142"/>
        <v>0.6</v>
      </c>
      <c r="AF363" s="177">
        <f t="shared" si="143"/>
        <v>0.49905656264058473</v>
      </c>
      <c r="AG363" s="799">
        <f t="shared" si="149"/>
        <v>3</v>
      </c>
      <c r="AH363" s="176">
        <f t="shared" si="144"/>
        <v>9</v>
      </c>
      <c r="AI363" s="224">
        <f t="shared" si="145"/>
        <v>3.4990565626405847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47102</v>
      </c>
      <c r="B364" s="409">
        <f>IF(t&gt;Tmaj,'2027'!Wh/'2027'!Env_an*'2028'!Env_an,0.001*'[14]mon-tableau (2)'!$B$257)</f>
        <v>5.1920229302422181</v>
      </c>
      <c r="C364" s="829"/>
      <c r="D364" s="391">
        <f t="shared" si="127"/>
        <v>5.5635268094679651</v>
      </c>
      <c r="E364" s="383">
        <f t="shared" si="150"/>
        <v>5.7583267027908844</v>
      </c>
      <c r="F364" s="383">
        <f t="shared" si="128"/>
        <v>5.7583267027908844</v>
      </c>
      <c r="G364" s="110">
        <f t="shared" si="151"/>
        <v>0.20786597062728168</v>
      </c>
      <c r="H364" s="412" t="b">
        <f>Wh_hp&gt;='2027'!Maxi_hp</f>
        <v>0</v>
      </c>
      <c r="I364" s="388">
        <f>IF(H364,Wh_hp,'2027'!Maxi_hp)</f>
        <v>28.36247847047073</v>
      </c>
      <c r="J364" s="85">
        <f>IF(H364,An,'2027'!An_max)</f>
        <v>2021</v>
      </c>
      <c r="K364" s="197">
        <f t="shared" si="129"/>
        <v>47102</v>
      </c>
      <c r="L364" s="147">
        <f>IF(t&lt;Tvie,1-EXP((T0-t)*PertePVj)+'2027'!Pspv,1-EXP((T0-t)*PertePVj)+Pspv)</f>
        <v>6.6774887935027949E-2</v>
      </c>
      <c r="M364" s="832"/>
      <c r="N364" s="832"/>
      <c r="O364" s="48">
        <f>IF(t&lt;Tnet,'2027'!Resal+('2027'!Salim-'2027'!Resal)*(1-EXP(('2027'!Tnet-t)/('2027'!Tau_j))),Resal+(Salim-Resal)*(1-EXP((Tnet-t)/(Tau_j))))*Salcycl</f>
        <v>3.3829253423308926E-2</v>
      </c>
      <c r="P364" s="169">
        <f>(INDEX(Models!$BJ364:$BT364,,T364)*(1-R364)+INDEX(Models!$BJ364:$BT364,,T364+1)*R364-ERP_i)*Q364*Ramure*Pc/MaxiM</f>
        <v>5.1009386133118388E-4</v>
      </c>
      <c r="Q364" s="304">
        <f t="shared" si="130"/>
        <v>0.6</v>
      </c>
      <c r="R364" s="177">
        <f t="shared" si="131"/>
        <v>0.97407788574995147</v>
      </c>
      <c r="S364" s="799">
        <f t="shared" si="132"/>
        <v>-1</v>
      </c>
      <c r="T364" s="176">
        <f t="shared" si="133"/>
        <v>5</v>
      </c>
      <c r="U364" s="250">
        <f t="shared" si="134"/>
        <v>-2.5922114250048534E-2</v>
      </c>
      <c r="V364" s="382">
        <f t="shared" si="135"/>
        <v>24.965002667620499</v>
      </c>
      <c r="W364" s="400">
        <f t="shared" si="136"/>
        <v>5.1920229302422181</v>
      </c>
      <c r="X364" s="157">
        <f t="shared" si="137"/>
        <v>47102</v>
      </c>
      <c r="Y364" s="383">
        <f t="shared" si="138"/>
        <v>5.0396067872509063</v>
      </c>
      <c r="Z364" s="383">
        <f t="shared" si="139"/>
        <v>5.4002048617183416</v>
      </c>
      <c r="AA364" s="384">
        <f t="shared" si="140"/>
        <v>5.7583267027908844</v>
      </c>
      <c r="AB364" s="197">
        <f t="shared" si="141"/>
        <v>47102</v>
      </c>
      <c r="AC364" s="119">
        <f>IF(OR(t&lt;Tnet,NoTnet),'2027'!Resal_s+('2027'!Salim-'2027'!Resal_s)*(1-EXP(('2027'!Tnet_s-t)/'2027'!Tau_j)),Resal_s+(Salim-Resal_s)*(1-EXP((Tnet_s-t)/Tau_j)))*Salcycl</f>
        <v>6.2191997702904317E-2</v>
      </c>
      <c r="AD364" s="230">
        <f>(INDEX(Models!$BJ364:$BT364,,AH364)*(1-AF364)+INDEX(Models!$BJ364:$BT364,,AH364+1)*AF364-ERP_i)*AE364*Ramure*Pc/MaxiM</f>
        <v>3.5284984016329631E-3</v>
      </c>
      <c r="AE364" s="304">
        <f t="shared" si="142"/>
        <v>0.6</v>
      </c>
      <c r="AF364" s="177">
        <f t="shared" si="143"/>
        <v>0.49906545212393016</v>
      </c>
      <c r="AG364" s="799">
        <f t="shared" si="149"/>
        <v>3</v>
      </c>
      <c r="AH364" s="176">
        <f t="shared" si="144"/>
        <v>9</v>
      </c>
      <c r="AI364" s="224">
        <f t="shared" si="145"/>
        <v>3.4990654521239302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47103</v>
      </c>
      <c r="B365" s="409">
        <f>IF(t&gt;Tmaj,'2027'!Wh/'2027'!Env_an*'2028'!Env_an,0.001*'[14]mon-tableau (2)'!$B$258)</f>
        <v>3.4257294836207781</v>
      </c>
      <c r="C365" s="829"/>
      <c r="D365" s="391">
        <f t="shared" si="127"/>
        <v>3.6709204391453896</v>
      </c>
      <c r="E365" s="383">
        <f t="shared" si="150"/>
        <v>3.7998081450979715</v>
      </c>
      <c r="F365" s="383">
        <f t="shared" si="128"/>
        <v>3.7998081450979715</v>
      </c>
      <c r="G365" s="110">
        <f t="shared" si="151"/>
        <v>0.13730880937326678</v>
      </c>
      <c r="H365" s="412" t="b">
        <f>Wh_hp&gt;='2027'!Maxi_hp</f>
        <v>0</v>
      </c>
      <c r="I365" s="388">
        <f>IF(H365,Wh_hp,'2027'!Maxi_hp)</f>
        <v>28.942207486281909</v>
      </c>
      <c r="J365" s="85">
        <f>IF(H365,An,'2027'!An_max)</f>
        <v>2021</v>
      </c>
      <c r="K365" s="197">
        <f t="shared" si="129"/>
        <v>47103</v>
      </c>
      <c r="L365" s="147">
        <f>IF(t&lt;Tvie,1-EXP((T0-t)*PertePVj)+'2027'!Pspv,1-EXP((T0-t)*PertePVj)+Pspv)</f>
        <v>6.6792772981397852E-2</v>
      </c>
      <c r="M365" s="832"/>
      <c r="N365" s="832"/>
      <c r="O365" s="48">
        <f>IF(t&lt;Tnet,'2027'!Resal+('2027'!Salim-'2027'!Resal)*(1-EXP(('2027'!Tnet-t)/('2027'!Tau_j))),Resal+(Salim-Resal)*(1-EXP((Tnet-t)/(Tau_j))))*Salcycl</f>
        <v>3.3919529889648851E-2</v>
      </c>
      <c r="P365" s="169">
        <f>(INDEX(Models!$BJ365:$BT365,,T365)*(1-R365)+INDEX(Models!$BJ365:$BT365,,T365+1)*R365-ERP_i)*Q365*Ramure*Pc/MaxiM</f>
        <v>5.1959793987423671E-4</v>
      </c>
      <c r="Q365" s="304">
        <f t="shared" si="130"/>
        <v>0.6</v>
      </c>
      <c r="R365" s="177">
        <f t="shared" si="131"/>
        <v>0.97408641761376391</v>
      </c>
      <c r="S365" s="799">
        <f t="shared" si="132"/>
        <v>-1</v>
      </c>
      <c r="T365" s="176">
        <f t="shared" si="133"/>
        <v>5</v>
      </c>
      <c r="U365" s="250">
        <f t="shared" si="134"/>
        <v>-2.5913582386236089E-2</v>
      </c>
      <c r="V365" s="382">
        <f t="shared" si="135"/>
        <v>24.936123889405348</v>
      </c>
      <c r="W365" s="400">
        <f t="shared" si="136"/>
        <v>3.4257294836207781</v>
      </c>
      <c r="X365" s="157">
        <f t="shared" si="137"/>
        <v>47103</v>
      </c>
      <c r="Y365" s="383">
        <f t="shared" si="138"/>
        <v>3.3252829542650142</v>
      </c>
      <c r="Z365" s="383">
        <f t="shared" si="139"/>
        <v>3.5632846145958204</v>
      </c>
      <c r="AA365" s="384">
        <f t="shared" si="140"/>
        <v>3.7998081450979715</v>
      </c>
      <c r="AB365" s="197">
        <f t="shared" si="141"/>
        <v>47103</v>
      </c>
      <c r="AC365" s="119">
        <f>IF(OR(t&lt;Tnet,NoTnet),'2027'!Resal_s+('2027'!Salim-'2027'!Resal_s)*(1-EXP(('2027'!Tnet_s-t)/'2027'!Tau_j)),Resal_s+(Salim-Resal_s)*(1-EXP((Tnet_s-t)/Tau_j)))*Salcycl</f>
        <v>6.224617703588111E-2</v>
      </c>
      <c r="AD365" s="230">
        <f>(INDEX(Models!$BJ365:$BT365,,AH365)*(1-AF365)+INDEX(Models!$BJ365:$BT365,,AH365+1)*AF365-ERP_i)*AE365*Ramure*Pc/MaxiM</f>
        <v>3.5333342015250861E-3</v>
      </c>
      <c r="AE365" s="304">
        <f t="shared" si="142"/>
        <v>0.6</v>
      </c>
      <c r="AF365" s="177">
        <f t="shared" si="143"/>
        <v>0.4990739839877425</v>
      </c>
      <c r="AG365" s="799">
        <f t="shared" si="149"/>
        <v>3</v>
      </c>
      <c r="AH365" s="176">
        <f t="shared" si="144"/>
        <v>9</v>
      </c>
      <c r="AI365" s="224">
        <f t="shared" si="145"/>
        <v>3.4990739839877425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47104</v>
      </c>
      <c r="B366" s="409">
        <f>IF(t&gt;Tmaj,'2027'!Wh/'2027'!Env_an*'2028'!Env_an,0.001*'[14]mon-tableau (2)'!$B$259)</f>
        <v>24.252549680842847</v>
      </c>
      <c r="C366" s="829"/>
      <c r="D366" s="391">
        <f t="shared" si="127"/>
        <v>25.988884121499616</v>
      </c>
      <c r="E366" s="383">
        <f t="shared" si="150"/>
        <v>26.903885485968377</v>
      </c>
      <c r="F366" s="383">
        <f t="shared" si="128"/>
        <v>26.917529720823961</v>
      </c>
      <c r="G366" s="110">
        <f t="shared" si="151"/>
        <v>0.97333182882652802</v>
      </c>
      <c r="H366" s="412" t="b">
        <f>Wh_hp&gt;='2027'!Maxi_hp</f>
        <v>0</v>
      </c>
      <c r="I366" s="388">
        <f>IF(H366,Wh_hp,'2027'!Maxi_hp)</f>
        <v>28.845869606100038</v>
      </c>
      <c r="J366" s="85">
        <f>IF(H366,An,'2027'!An_max)</f>
        <v>2021</v>
      </c>
      <c r="K366" s="197">
        <f t="shared" si="129"/>
        <v>47104</v>
      </c>
      <c r="L366" s="147">
        <f>IF(t&lt;Tvie,1-EXP((T0-t)*PertePVj)+'2027'!Pspv,1-EXP((T0-t)*PertePVj)+Pspv)</f>
        <v>6.6810657685004826E-2</v>
      </c>
      <c r="M366" s="832"/>
      <c r="N366" s="832"/>
      <c r="O366" s="48">
        <f>IF(t&lt;Tnet,'2027'!Resal+('2027'!Salim-'2027'!Resal)*(1-EXP(('2027'!Tnet-t)/('2027'!Tau_j))),Resal+(Salim-Resal)*(1-EXP((Tnet-t)/(Tau_j))))*Salcycl</f>
        <v>3.4010008143469682E-2</v>
      </c>
      <c r="P366" s="169">
        <f>(INDEX(Models!$BJ366:$BT366,,T366)*(1-R366)+INDEX(Models!$BJ366:$BT366,,T366+1)*R366-ERP_i)*Q366*Ramure*Pc/MaxiM</f>
        <v>5.2695105727230528E-4</v>
      </c>
      <c r="Q366" s="304">
        <f t="shared" si="130"/>
        <v>0.6</v>
      </c>
      <c r="R366" s="177">
        <f t="shared" si="131"/>
        <v>0.97409460623343325</v>
      </c>
      <c r="S366" s="799">
        <f t="shared" si="132"/>
        <v>-1</v>
      </c>
      <c r="T366" s="176">
        <f t="shared" si="133"/>
        <v>5</v>
      </c>
      <c r="U366" s="250">
        <f t="shared" si="134"/>
        <v>-2.5905393766566809E-2</v>
      </c>
      <c r="V366" s="382">
        <f t="shared" si="135"/>
        <v>24.916541503585709</v>
      </c>
      <c r="W366" s="400">
        <f t="shared" si="136"/>
        <v>24.252549680842847</v>
      </c>
      <c r="X366" s="157">
        <f t="shared" si="137"/>
        <v>47104</v>
      </c>
      <c r="Y366" s="383">
        <f t="shared" si="138"/>
        <v>23.474128141135356</v>
      </c>
      <c r="Z366" s="383">
        <f t="shared" si="139"/>
        <v>25.154732353567468</v>
      </c>
      <c r="AA366" s="384">
        <f t="shared" si="140"/>
        <v>26.826016869355218</v>
      </c>
      <c r="AB366" s="197">
        <f t="shared" si="141"/>
        <v>47104</v>
      </c>
      <c r="AC366" s="119">
        <f>IF(OR(t&lt;Tnet,NoTnet),'2027'!Resal_s+('2027'!Salim-'2027'!Resal_s)*(1-EXP(('2027'!Tnet_s-t)/'2027'!Tau_j)),Resal_s+(Salim-Resal_s)*(1-EXP((Tnet_s-t)/Tau_j)))*Salcycl</f>
        <v>6.2300882159548175E-2</v>
      </c>
      <c r="AD366" s="230">
        <f>(INDEX(Models!$BJ366:$BT366,,AH366)*(1-AF366)+INDEX(Models!$BJ366:$BT366,,AH366+1)*AF366-ERP_i)*AE366*Ramure*Pc/MaxiM</f>
        <v>3.5342981373352391E-3</v>
      </c>
      <c r="AE366" s="304">
        <f t="shared" si="142"/>
        <v>0.6</v>
      </c>
      <c r="AF366" s="177">
        <f t="shared" si="143"/>
        <v>0.4990821726074115</v>
      </c>
      <c r="AG366" s="799">
        <f t="shared" si="149"/>
        <v>3</v>
      </c>
      <c r="AH366" s="176">
        <f t="shared" si="144"/>
        <v>9</v>
      </c>
      <c r="AI366" s="224">
        <f t="shared" si="145"/>
        <v>3.4990821726074115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47105</v>
      </c>
      <c r="B367" s="409">
        <f>IF(t&gt;Tmaj,'2027'!Wh/'2027'!Env_an*'2028'!Env_an,0.001*'[14]mon-tableau (2)'!$B$260)</f>
        <v>19.5331966792717</v>
      </c>
      <c r="C367" s="829"/>
      <c r="D367" s="391">
        <f t="shared" si="127"/>
        <v>20.932055425372379</v>
      </c>
      <c r="E367" s="383">
        <f t="shared" si="150"/>
        <v>21.671052841410926</v>
      </c>
      <c r="F367" s="383">
        <f t="shared" si="128"/>
        <v>21.679033699974287</v>
      </c>
      <c r="G367" s="110">
        <f t="shared" si="151"/>
        <v>0.78413150018423816</v>
      </c>
      <c r="H367" s="412" t="b">
        <f>Wh_hp&gt;='2027'!Maxi_hp</f>
        <v>0</v>
      </c>
      <c r="I367" s="388">
        <f>IF(H367,Wh_hp,'2027'!Maxi_hp)</f>
        <v>28.572996708311734</v>
      </c>
      <c r="J367" s="85">
        <f>IF(H367,An,'2027'!An_max)</f>
        <v>2021</v>
      </c>
      <c r="K367" s="197">
        <f t="shared" si="129"/>
        <v>47105</v>
      </c>
      <c r="L367" s="147">
        <f>IF(t&lt;Tvie,1-EXP((T0-t)*PertePVj)+'2027'!Pspv,1-EXP((T0-t)*PertePVj)+Pspv)</f>
        <v>6.6828542045855643E-2</v>
      </c>
      <c r="M367" s="832"/>
      <c r="N367" s="832"/>
      <c r="O367" s="48">
        <f>IF(t&lt;Tnet,'2027'!Resal+('2027'!Salim-'2027'!Resal)*(1-EXP(('2027'!Tnet-t)/('2027'!Tau_j))),Resal+(Salim-Resal)*(1-EXP((Tnet-t)/(Tau_j))))*Salcycl</f>
        <v>3.4100669748098569E-2</v>
      </c>
      <c r="P367" s="169">
        <f>(INDEX(Models!$BJ367:$BT367,,T367)*(1-R367)+INDEX(Models!$BJ367:$BT367,,T367+1)*R367-ERP_i)*Q367*Ramure*Pc/MaxiM</f>
        <v>5.3214377047301872E-4</v>
      </c>
      <c r="Q367" s="304">
        <f t="shared" si="130"/>
        <v>0.6</v>
      </c>
      <c r="R367" s="177">
        <f t="shared" si="131"/>
        <v>0.97410246540739942</v>
      </c>
      <c r="S367" s="799">
        <f t="shared" si="132"/>
        <v>-1</v>
      </c>
      <c r="T367" s="176">
        <f t="shared" si="133"/>
        <v>5</v>
      </c>
      <c r="U367" s="250">
        <f t="shared" si="134"/>
        <v>-2.589753459260058E-2</v>
      </c>
      <c r="V367" s="382">
        <f t="shared" si="135"/>
        <v>24.906526420778818</v>
      </c>
      <c r="W367" s="400">
        <f t="shared" si="136"/>
        <v>19.5331966792717</v>
      </c>
      <c r="X367" s="157">
        <f t="shared" si="137"/>
        <v>47105</v>
      </c>
      <c r="Y367" s="383">
        <f t="shared" si="138"/>
        <v>18.922414270152583</v>
      </c>
      <c r="Z367" s="383">
        <f t="shared" si="139"/>
        <v>20.277532182175275</v>
      </c>
      <c r="AA367" s="384">
        <f t="shared" si="140"/>
        <v>21.626047650909921</v>
      </c>
      <c r="AB367" s="197">
        <f t="shared" si="141"/>
        <v>47105</v>
      </c>
      <c r="AC367" s="119">
        <f>IF(OR(t&lt;Tnet,NoTnet),'2027'!Resal_s+('2027'!Salim-'2027'!Resal_s)*(1-EXP(('2027'!Tnet_s-t)/'2027'!Tau_j)),Resal_s+(Salim-Resal_s)*(1-EXP((Tnet_s-t)/Tau_j)))*Salcycl</f>
        <v>6.2356075899883866E-2</v>
      </c>
      <c r="AD367" s="230">
        <f>(INDEX(Models!$BJ367:$BT367,,AH367)*(1-AF367)+INDEX(Models!$BJ367:$BT367,,AH367+1)*AF367-ERP_i)*AE367*Ramure*Pc/MaxiM</f>
        <v>3.5329777752269001E-3</v>
      </c>
      <c r="AE367" s="304">
        <f t="shared" si="142"/>
        <v>0.6</v>
      </c>
      <c r="AF367" s="177">
        <f t="shared" si="143"/>
        <v>0.49909003178137779</v>
      </c>
      <c r="AG367" s="799">
        <f t="shared" si="149"/>
        <v>3</v>
      </c>
      <c r="AH367" s="176">
        <f t="shared" si="144"/>
        <v>9</v>
      </c>
      <c r="AI367" s="224">
        <f t="shared" si="145"/>
        <v>3.4990900317813778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47106</v>
      </c>
      <c r="B368" s="409">
        <f>IF(t&gt;Tmaj,'2027'!Wh/'2027'!Env_an*'2028'!Env_an,0.001*'[14]mon-tableau (2)'!$B$261)</f>
        <v>4.3065462321122121</v>
      </c>
      <c r="C368" s="829"/>
      <c r="D368" s="391">
        <f t="shared" si="127"/>
        <v>4.6150455320523429</v>
      </c>
      <c r="E368" s="383">
        <f t="shared" si="150"/>
        <v>4.7784271047818407</v>
      </c>
      <c r="F368" s="383">
        <f t="shared" si="128"/>
        <v>4.7784271047818407</v>
      </c>
      <c r="G368" s="110">
        <f t="shared" si="151"/>
        <v>0.17281703633742701</v>
      </c>
      <c r="H368" s="412" t="b">
        <f>Wh_hp&gt;='2027'!Maxi_hp</f>
        <v>0</v>
      </c>
      <c r="I368" s="388">
        <f>IF(H368,Wh_hp,'2027'!Maxi_hp)</f>
        <v>25.354958891522763</v>
      </c>
      <c r="J368" s="85">
        <f>IF(H368,An,'2027'!An_max)</f>
        <v>2021</v>
      </c>
      <c r="K368" s="197">
        <f t="shared" si="129"/>
        <v>47106</v>
      </c>
      <c r="L368" s="147">
        <f>IF(t&lt;Tvie,1-EXP((T0-t)*PertePVj)+'2027'!Pspv,1-EXP((T0-t)*PertePVj)+Pspv)</f>
        <v>6.6846426063956743E-2</v>
      </c>
      <c r="M368" s="832"/>
      <c r="N368" s="832"/>
      <c r="O368" s="48">
        <f>IF(t&lt;Tnet,'2027'!Resal+('2027'!Salim-'2027'!Resal)*(1-EXP(('2027'!Tnet-t)/('2027'!Tau_j))),Resal+(Salim-Resal)*(1-EXP((Tnet-t)/(Tau_j))))*Salcycl</f>
        <v>3.4191496311830119E-2</v>
      </c>
      <c r="P368" s="169">
        <f>(INDEX(Models!$BJ368:$BT368,,T368)*(1-R368)+INDEX(Models!$BJ368:$BT368,,T368+1)*R368-ERP_i)*Q368*Ramure*Pc/MaxiM</f>
        <v>5.3517314599381145E-4</v>
      </c>
      <c r="Q368" s="304">
        <f t="shared" si="130"/>
        <v>0.6</v>
      </c>
      <c r="R368" s="177">
        <f t="shared" si="131"/>
        <v>0.97411000838023776</v>
      </c>
      <c r="S368" s="799">
        <f t="shared" si="132"/>
        <v>-1</v>
      </c>
      <c r="T368" s="176">
        <f t="shared" si="133"/>
        <v>5</v>
      </c>
      <c r="U368" s="250">
        <f t="shared" si="134"/>
        <v>-2.5889991619762243E-2</v>
      </c>
      <c r="V368" s="382">
        <f t="shared" si="135"/>
        <v>24.906349370629933</v>
      </c>
      <c r="W368" s="400">
        <f t="shared" si="136"/>
        <v>4.3065462321122121</v>
      </c>
      <c r="X368" s="157">
        <f t="shared" si="137"/>
        <v>47106</v>
      </c>
      <c r="Y368" s="383">
        <f t="shared" si="138"/>
        <v>4.1807120695738744</v>
      </c>
      <c r="Z368" s="383">
        <f t="shared" si="139"/>
        <v>4.4801972433536577</v>
      </c>
      <c r="AA368" s="384">
        <f t="shared" si="140"/>
        <v>4.7784271047818407</v>
      </c>
      <c r="AB368" s="197">
        <f t="shared" si="141"/>
        <v>47106</v>
      </c>
      <c r="AC368" s="119">
        <f>IF(OR(t&lt;Tnet,NoTnet),'2027'!Resal_s+('2027'!Salim-'2027'!Resal_s)*(1-EXP(('2027'!Tnet_s-t)/'2027'!Tau_j)),Resal_s+(Salim-Resal_s)*(1-EXP((Tnet_s-t)/Tau_j)))*Salcycl</f>
        <v>6.2411721449039136E-2</v>
      </c>
      <c r="AD368" s="230">
        <f>(INDEX(Models!$BJ368:$BT368,,AH368)*(1-AF368)+INDEX(Models!$BJ368:$BT368,,AH368+1)*AF368-ERP_i)*AE368*Ramure*Pc/MaxiM</f>
        <v>3.5293112440085614E-3</v>
      </c>
      <c r="AE368" s="304">
        <f t="shared" si="142"/>
        <v>0.6</v>
      </c>
      <c r="AF368" s="177">
        <f t="shared" si="143"/>
        <v>0.49909757475421612</v>
      </c>
      <c r="AG368" s="799">
        <f t="shared" si="149"/>
        <v>3</v>
      </c>
      <c r="AH368" s="176">
        <f t="shared" si="144"/>
        <v>9</v>
      </c>
      <c r="AI368" s="224">
        <f t="shared" si="145"/>
        <v>3.4990975747542161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47107</v>
      </c>
      <c r="B369" s="409">
        <f>IF(t&gt;Tmaj,'2027'!Wh/'2027'!Env_an*'2028'!Env_an,0.001*'[14]mon-tableau (2)'!$B$262)</f>
        <v>22.201018850643351</v>
      </c>
      <c r="C369" s="829"/>
      <c r="D369" s="391">
        <f t="shared" si="127"/>
        <v>23.791844082655508</v>
      </c>
      <c r="E369" s="383">
        <f t="shared" si="150"/>
        <v>24.636442162333207</v>
      </c>
      <c r="F369" s="383">
        <f t="shared" si="128"/>
        <v>24.647597385913834</v>
      </c>
      <c r="G369" s="110">
        <f t="shared" si="151"/>
        <v>0.89095019158781086</v>
      </c>
      <c r="H369" s="412" t="b">
        <f>Wh_hp&gt;='2027'!Maxi_hp</f>
        <v>0</v>
      </c>
      <c r="I369" s="388">
        <f>IF(H369,Wh_hp,'2027'!Maxi_hp)</f>
        <v>24.64917338003707</v>
      </c>
      <c r="J369" s="85">
        <f>IF(H369,An,'2027'!An_max)</f>
        <v>2026</v>
      </c>
      <c r="K369" s="197">
        <f t="shared" si="129"/>
        <v>47107</v>
      </c>
      <c r="L369" s="147">
        <f>IF(t&lt;Tvie,1-EXP((T0-t)*PertePVj)+'2027'!Pspv,1-EXP((T0-t)*PertePVj)+Pspv)</f>
        <v>6.6864309739314676E-2</v>
      </c>
      <c r="M369" s="832"/>
      <c r="N369" s="832"/>
      <c r="O369" s="48">
        <f>IF(t&lt;Tnet,'2027'!Resal+('2027'!Salim-'2027'!Resal)*(1-EXP(('2027'!Tnet-t)/('2027'!Tau_j))),Resal+(Salim-Resal)*(1-EXP((Tnet-t)/(Tau_j))))*Salcycl</f>
        <v>3.4282469607929501E-2</v>
      </c>
      <c r="P369" s="169">
        <f>(INDEX(Models!$BJ369:$BT369,,T369)*(1-R369)+INDEX(Models!$BJ369:$BT369,,T369+1)*R369-ERP_i)*Q369*Ramure*Pc/MaxiM</f>
        <v>5.3603874767391201E-4</v>
      </c>
      <c r="Q369" s="304">
        <f t="shared" si="130"/>
        <v>0.6</v>
      </c>
      <c r="R369" s="177">
        <f t="shared" si="131"/>
        <v>0.97411724786482468</v>
      </c>
      <c r="S369" s="799">
        <f t="shared" si="132"/>
        <v>-1</v>
      </c>
      <c r="T369" s="176">
        <f t="shared" si="133"/>
        <v>5</v>
      </c>
      <c r="U369" s="250">
        <f t="shared" si="134"/>
        <v>-2.5882752135175324E-2</v>
      </c>
      <c r="V369" s="382">
        <f t="shared" si="135"/>
        <v>24.916281005213683</v>
      </c>
      <c r="W369" s="400">
        <f t="shared" si="136"/>
        <v>22.201018850643351</v>
      </c>
      <c r="X369" s="157">
        <f t="shared" si="137"/>
        <v>47107</v>
      </c>
      <c r="Y369" s="383">
        <f t="shared" si="138"/>
        <v>21.498677822151841</v>
      </c>
      <c r="Z369" s="383">
        <f t="shared" si="139"/>
        <v>23.039176452618445</v>
      </c>
      <c r="AA369" s="384">
        <f t="shared" si="140"/>
        <v>24.574277048297084</v>
      </c>
      <c r="AB369" s="197">
        <f t="shared" si="141"/>
        <v>47107</v>
      </c>
      <c r="AC369" s="119">
        <f>IF(OR(t&lt;Tnet,NoTnet),'2027'!Resal_s+('2027'!Salim-'2027'!Resal_s)*(1-EXP(('2027'!Tnet_s-t)/'2027'!Tau_j)),Resal_s+(Salim-Resal_s)*(1-EXP((Tnet_s-t)/Tau_j)))*Salcycl</f>
        <v>6.2467782578573036E-2</v>
      </c>
      <c r="AD369" s="230">
        <f>(INDEX(Models!$BJ369:$BT369,,AH369)*(1-AF369)+INDEX(Models!$BJ369:$BT369,,AH369+1)*AF369-ERP_i)*AE369*Ramure*Pc/MaxiM</f>
        <v>3.5232410781416115E-3</v>
      </c>
      <c r="AE369" s="304">
        <f t="shared" si="142"/>
        <v>0.6</v>
      </c>
      <c r="AF369" s="177">
        <f t="shared" si="143"/>
        <v>0.49910481423880304</v>
      </c>
      <c r="AG369" s="799">
        <f t="shared" si="149"/>
        <v>3</v>
      </c>
      <c r="AH369" s="176">
        <f t="shared" si="144"/>
        <v>9</v>
      </c>
      <c r="AI369" s="224">
        <f t="shared" si="145"/>
        <v>3.499104814238803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47108</v>
      </c>
      <c r="B370" s="409">
        <f>IF(t&gt;Tmaj,'2027'!Wh/'2027'!Env_an*'2028'!Env_an,0.001*'[14]mon-tableau (2)'!$B$263)</f>
        <v>19.87216746811179</v>
      </c>
      <c r="C370" s="829"/>
      <c r="D370" s="391">
        <f t="shared" si="127"/>
        <v>21.296525819749764</v>
      </c>
      <c r="E370" s="383">
        <f t="shared" si="150"/>
        <v>22.0546219483683</v>
      </c>
      <c r="F370" s="383">
        <f t="shared" si="128"/>
        <v>22.062997001672155</v>
      </c>
      <c r="G370" s="110">
        <f t="shared" si="151"/>
        <v>0.79678423187177061</v>
      </c>
      <c r="H370" s="412" t="b">
        <f>Wh_hp&gt;='2027'!Maxi_hp</f>
        <v>0</v>
      </c>
      <c r="I370" s="388">
        <f>IF(H370,Wh_hp,'2027'!Maxi_hp)</f>
        <v>28.339103776749631</v>
      </c>
      <c r="J370" s="85">
        <f>IF(H370,An,'2027'!An_max)</f>
        <v>2021</v>
      </c>
      <c r="K370" s="197">
        <f t="shared" si="129"/>
        <v>47108</v>
      </c>
      <c r="L370" s="147">
        <f>IF(t&lt;Tvie,1-EXP((T0-t)*PertePVj)+'2027'!Pspv,1-EXP((T0-t)*PertePVj)+Pspv)</f>
        <v>6.6882193071935991E-2</v>
      </c>
      <c r="M370" s="832"/>
      <c r="N370" s="832"/>
      <c r="O370" s="48">
        <f>IF(t&lt;Tnet,'2027'!Resal+('2027'!Salim-'2027'!Resal)*(1-EXP(('2027'!Tnet-t)/('2027'!Tau_j))),Resal+(Salim-Resal)*(1-EXP((Tnet-t)/(Tau_j))))*Salcycl</f>
        <v>3.4373571689113612E-2</v>
      </c>
      <c r="P370" s="169">
        <f>(INDEX(Models!$BJ370:$BT370,,T370)*(1-R370)+INDEX(Models!$BJ370:$BT370,,T370+1)*R370-ERP_i)*Q370*Ramure*Pc/MaxiM</f>
        <v>5.3474311148305864E-4</v>
      </c>
      <c r="Q370" s="304">
        <f t="shared" si="130"/>
        <v>0.6</v>
      </c>
      <c r="R370" s="177">
        <f t="shared" si="131"/>
        <v>0.97412419606362199</v>
      </c>
      <c r="S370" s="799">
        <f t="shared" si="132"/>
        <v>-1</v>
      </c>
      <c r="T370" s="176">
        <f t="shared" si="133"/>
        <v>5</v>
      </c>
      <c r="U370" s="250">
        <f t="shared" si="134"/>
        <v>-2.5875803936378061E-2</v>
      </c>
      <c r="V370" s="382">
        <f t="shared" si="135"/>
        <v>24.936591888125122</v>
      </c>
      <c r="W370" s="400">
        <f t="shared" si="136"/>
        <v>19.87216746811179</v>
      </c>
      <c r="X370" s="157">
        <f t="shared" si="137"/>
        <v>47108</v>
      </c>
      <c r="Y370" s="383">
        <f t="shared" si="138"/>
        <v>19.252012079368107</v>
      </c>
      <c r="Z370" s="383">
        <f t="shared" si="139"/>
        <v>20.63192014601891</v>
      </c>
      <c r="AA370" s="384">
        <f t="shared" si="140"/>
        <v>22.007950147298185</v>
      </c>
      <c r="AB370" s="197">
        <f t="shared" si="141"/>
        <v>47108</v>
      </c>
      <c r="AC370" s="119">
        <f>IF(OR(t&lt;Tnet,NoTnet),'2027'!Resal_s+('2027'!Salim-'2027'!Resal_s)*(1-EXP(('2027'!Tnet_s-t)/'2027'!Tau_j)),Resal_s+(Salim-Resal_s)*(1-EXP((Tnet_s-t)/Tau_j)))*Salcycl</f>
        <v>6.2524223840456264E-2</v>
      </c>
      <c r="AD370" s="230">
        <f>(INDEX(Models!$BJ370:$BT370,,AH370)*(1-AF370)+INDEX(Models!$BJ370:$BT370,,AH370+1)*AF370-ERP_i)*AE370*Ramure*Pc/MaxiM</f>
        <v>3.5147150850663926E-3</v>
      </c>
      <c r="AE370" s="304">
        <f t="shared" si="142"/>
        <v>0.6</v>
      </c>
      <c r="AF370" s="177">
        <f t="shared" si="143"/>
        <v>0.49911176243760025</v>
      </c>
      <c r="AG370" s="799">
        <f t="shared" si="149"/>
        <v>3</v>
      </c>
      <c r="AH370" s="176">
        <f t="shared" si="144"/>
        <v>9</v>
      </c>
      <c r="AI370" s="224">
        <f t="shared" si="145"/>
        <v>3.4991117624376002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47109</v>
      </c>
      <c r="B371" s="409">
        <f>IF(t&gt;Tmaj,'2027'!Wh/'2027'!Env_an*'2028'!Env_an,0.001*'[14]mon-tableau (2)'!$B$264)</f>
        <v>20.216966019872292</v>
      </c>
      <c r="C371" s="829"/>
      <c r="D371" s="391">
        <f t="shared" si="127"/>
        <v>21.666453400345443</v>
      </c>
      <c r="E371" s="383">
        <f t="shared" si="150"/>
        <v>22.439837577802614</v>
      </c>
      <c r="F371" s="383">
        <f t="shared" si="128"/>
        <v>22.448522402493364</v>
      </c>
      <c r="G371" s="110">
        <f t="shared" si="151"/>
        <v>0.80961260694709836</v>
      </c>
      <c r="H371" s="412" t="b">
        <f>Wh_hp&gt;='2027'!Maxi_hp</f>
        <v>0</v>
      </c>
      <c r="I371" s="388">
        <f>IF(H371,Wh_hp,'2027'!Maxi_hp)</f>
        <v>22.451007279574906</v>
      </c>
      <c r="J371" s="85">
        <f>IF(H371,An,'2027'!An_max)</f>
        <v>2026</v>
      </c>
      <c r="K371" s="197">
        <f t="shared" si="129"/>
        <v>47109</v>
      </c>
      <c r="L371" s="147">
        <f>IF(t&lt;Tvie,1-EXP((T0-t)*PertePVj)+'2027'!Pspv,1-EXP((T0-t)*PertePVj)+Pspv)</f>
        <v>6.6900076061827463E-2</v>
      </c>
      <c r="M371" s="832"/>
      <c r="N371" s="832"/>
      <c r="O371" s="48">
        <f>IF(t&lt;Tnet,'2027'!Resal+('2027'!Salim-'2027'!Resal)*(1-EXP(('2027'!Tnet-t)/('2027'!Tau_j))),Resal+(Salim-Resal)*(1-EXP((Tnet-t)/(Tau_j))))*Salcycl</f>
        <v>3.4464784995689939E-2</v>
      </c>
      <c r="P371" s="169">
        <f>(INDEX(Models!$BJ371:$BT371,,T371)*(1-R371)+INDEX(Models!$BJ371:$BT371,,T371+1)*R371-ERP_i)*Q371*Ramure*Pc/MaxiM</f>
        <v>5.3128981824636574E-4</v>
      </c>
      <c r="Q371" s="304">
        <f t="shared" si="130"/>
        <v>0.6</v>
      </c>
      <c r="R371" s="177">
        <f t="shared" si="131"/>
        <v>0.97412419606362199</v>
      </c>
      <c r="S371" s="799">
        <f t="shared" si="132"/>
        <v>-1</v>
      </c>
      <c r="T371" s="176">
        <f t="shared" si="133"/>
        <v>5</v>
      </c>
      <c r="U371" s="250">
        <f t="shared" si="134"/>
        <v>-2.5875803936378061E-2</v>
      </c>
      <c r="V371" s="382">
        <f t="shared" si="135"/>
        <v>24.967552548402132</v>
      </c>
      <c r="W371" s="400">
        <f t="shared" si="136"/>
        <v>20.216966019872292</v>
      </c>
      <c r="X371" s="157">
        <f t="shared" si="137"/>
        <v>47109</v>
      </c>
      <c r="Y371" s="383">
        <f t="shared" si="138"/>
        <v>19.585750478658767</v>
      </c>
      <c r="Z371" s="383">
        <f t="shared" si="139"/>
        <v>20.989981861745949</v>
      </c>
      <c r="AA371" s="384">
        <f t="shared" si="140"/>
        <v>22.391248846623764</v>
      </c>
      <c r="AB371" s="197">
        <f t="shared" si="141"/>
        <v>47109</v>
      </c>
      <c r="AC371" s="119">
        <f>IF(OR(t&lt;Tnet,NoTnet),'2027'!Resal_s+('2027'!Salim-'2027'!Resal_s)*(1-EXP(('2027'!Tnet_s-t)/'2027'!Tau_j)),Resal_s+(Salim-Resal_s)*(1-EXP((Tnet_s-t)/Tau_j)))*Salcycl</f>
        <v>6.2581010754525351E-2</v>
      </c>
      <c r="AD371" s="230">
        <f>(INDEX(Models!$BJ371:$BT371,,AH371)*(1-AF371)+INDEX(Models!$BJ371:$BT371,,AH371+1)*AF371-ERP_i)*AE371*Ramure*Pc/MaxiM</f>
        <v>3.5036812108245139E-3</v>
      </c>
      <c r="AE371" s="304">
        <f t="shared" si="142"/>
        <v>0.6</v>
      </c>
      <c r="AF371" s="177">
        <f t="shared" si="143"/>
        <v>0.49911176243760025</v>
      </c>
      <c r="AG371" s="799">
        <f t="shared" si="149"/>
        <v>3</v>
      </c>
      <c r="AH371" s="176">
        <f t="shared" si="144"/>
        <v>9</v>
      </c>
      <c r="AI371" s="224">
        <f t="shared" si="145"/>
        <v>3.4991117624376002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47110</v>
      </c>
      <c r="B372" s="409">
        <f>IF(t&gt;Tmaj,'2027'!Wh/'2027'!Env_an*'2028'!Env_an,0.001*'[14]mon-tableau (2)'!$B$265)</f>
        <v>22.229549945287822</v>
      </c>
      <c r="C372" s="829"/>
      <c r="D372" s="391">
        <f t="shared" si="127"/>
        <v>23.823789293523642</v>
      </c>
      <c r="E372" s="383">
        <f t="shared" si="150"/>
        <v>24.676513163922682</v>
      </c>
      <c r="F372" s="383">
        <f t="shared" si="128"/>
        <v>24.687430333142416</v>
      </c>
      <c r="G372" s="110">
        <f t="shared" si="151"/>
        <v>0.88877237763305039</v>
      </c>
      <c r="H372" s="412" t="b">
        <f>Wh_hp&gt;='2027'!Maxi_hp</f>
        <v>0</v>
      </c>
      <c r="I372" s="388">
        <f>IF(H372,Wh_hp,'2027'!Maxi_hp)</f>
        <v>24.689011173793165</v>
      </c>
      <c r="J372" s="85">
        <f>IF(H372,An,'2027'!An_max)</f>
        <v>2026</v>
      </c>
      <c r="K372" s="197">
        <f t="shared" si="129"/>
        <v>47110</v>
      </c>
      <c r="L372" s="147">
        <f>IF(t&lt;Tvie,1-EXP((T0-t)*PertePVj)+'2027'!Pspv,1-EXP((T0-t)*PertePVj)+Pspv)</f>
        <v>6.6917958708995418E-2</v>
      </c>
      <c r="M372" s="832"/>
      <c r="N372" s="832"/>
      <c r="O372" s="48">
        <f>IF(t&lt;Tnet,'2027'!Resal+('2027'!Salim-'2027'!Resal)*(1-EXP(('2027'!Tnet-t)/('2027'!Tau_j))),Resal+(Salim-Resal)*(1-EXP((Tnet-t)/(Tau_j))))*Salcycl</f>
        <v>3.4556092456600823E-2</v>
      </c>
      <c r="P372" s="169">
        <f>(INDEX(Models!$BJ372:$BT372,,T372)*(1-R372)+INDEX(Models!$BJ372:$BT372,,T372+1)*R372-ERP_i)*Q372*Ramure*Pc/MaxiM</f>
        <v>5.2569036593630111E-4</v>
      </c>
      <c r="Q372" s="304">
        <f t="shared" si="130"/>
        <v>0.6</v>
      </c>
      <c r="R372" s="177">
        <f t="shared" si="131"/>
        <v>0.97412419606362199</v>
      </c>
      <c r="S372" s="799">
        <f t="shared" si="132"/>
        <v>-1</v>
      </c>
      <c r="T372" s="176">
        <f t="shared" si="133"/>
        <v>5</v>
      </c>
      <c r="U372" s="250">
        <f t="shared" si="134"/>
        <v>-2.5875803936378061E-2</v>
      </c>
      <c r="V372" s="382">
        <f t="shared" si="135"/>
        <v>25.009433325581355</v>
      </c>
      <c r="W372" s="400">
        <f t="shared" si="136"/>
        <v>22.229549945287822</v>
      </c>
      <c r="X372" s="157">
        <f t="shared" si="137"/>
        <v>47110</v>
      </c>
      <c r="Y372" s="383">
        <f t="shared" si="138"/>
        <v>21.529110539256834</v>
      </c>
      <c r="Z372" s="383">
        <f t="shared" si="139"/>
        <v>23.073116389068357</v>
      </c>
      <c r="AA372" s="384">
        <f t="shared" si="140"/>
        <v>24.614950356692933</v>
      </c>
      <c r="AB372" s="197">
        <f t="shared" si="141"/>
        <v>47110</v>
      </c>
      <c r="AC372" s="119">
        <f>IF(OR(t&lt;Tnet,NoTnet),'2027'!Resal_s+('2027'!Salim-'2027'!Resal_s)*(1-EXP(('2027'!Tnet_s-t)/'2027'!Tau_j)),Resal_s+(Salim-Resal_s)*(1-EXP((Tnet_s-t)/Tau_j)))*Salcycl</f>
        <v>6.2638109981210832E-2</v>
      </c>
      <c r="AD372" s="230">
        <f>(INDEX(Models!$BJ372:$BT372,,AH372)*(1-AF372)+INDEX(Models!$BJ372:$BT372,,AH372+1)*AF372-ERP_i)*AE372*Ramure*Pc/MaxiM</f>
        <v>3.4901011952719529E-3</v>
      </c>
      <c r="AE372" s="304">
        <f t="shared" si="142"/>
        <v>0.6</v>
      </c>
      <c r="AF372" s="177">
        <f t="shared" si="143"/>
        <v>0.49911176243760025</v>
      </c>
      <c r="AG372" s="799">
        <f t="shared" si="149"/>
        <v>3</v>
      </c>
      <c r="AH372" s="176">
        <f t="shared" si="144"/>
        <v>9</v>
      </c>
      <c r="AI372" s="224">
        <f t="shared" si="145"/>
        <v>3.4991117624376002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47111</v>
      </c>
      <c r="B373" s="409">
        <f>IF(t&gt;Tmaj,'2027'!Wh/'2027'!Env_an*'2028'!Env_an,0.001*'[14]mon-tableau (2)'!$B$266)</f>
        <v>13.120425665037649</v>
      </c>
      <c r="C373" s="829"/>
      <c r="D373" s="391">
        <f t="shared" si="127"/>
        <v>14.061654323201507</v>
      </c>
      <c r="E373" s="383">
        <f t="shared" si="150"/>
        <v>14.566341307101187</v>
      </c>
      <c r="F373" s="383">
        <f t="shared" si="128"/>
        <v>14.568750793445327</v>
      </c>
      <c r="G373" s="110">
        <f t="shared" si="151"/>
        <v>0.52332846861873294</v>
      </c>
      <c r="H373" s="412" t="b">
        <f>Wh_hp&gt;='2027'!Maxi_hp</f>
        <v>0</v>
      </c>
      <c r="I373" s="388">
        <f>IF(H373,Wh_hp,'2027'!Maxi_hp)</f>
        <v>14.572695556685257</v>
      </c>
      <c r="J373" s="85">
        <f>IF(H373,An,'2027'!An_max)</f>
        <v>2026</v>
      </c>
      <c r="K373" s="197">
        <f t="shared" si="129"/>
        <v>47111</v>
      </c>
      <c r="L373" s="147">
        <f>IF(t&lt;Tvie,1-EXP((T0-t)*PertePVj)+'2027'!Pspv,1-EXP((T0-t)*PertePVj)+Pspv)</f>
        <v>6.6935841013446518E-2</v>
      </c>
      <c r="M373" s="832"/>
      <c r="N373" s="832"/>
      <c r="O373" s="48">
        <f>IF(t&lt;Tnet,'2027'!Resal+('2027'!Salim-'2027'!Resal)*(1-EXP(('2027'!Tnet-t)/('2027'!Tau_j))),Resal+(Salim-Resal)*(1-EXP((Tnet-t)/(Tau_j))))*Salcycl</f>
        <v>3.4647477582695443E-2</v>
      </c>
      <c r="P373" s="169">
        <f>(INDEX(Models!$BJ373:$BT373,,T373)*(1-R373)+INDEX(Models!$BJ373:$BT373,,T373+1)*R373-ERP_i)*Q373*Ramure*Pc/MaxiM</f>
        <v>5.1796123649050247E-4</v>
      </c>
      <c r="Q373" s="304">
        <f t="shared" si="130"/>
        <v>0.6</v>
      </c>
      <c r="R373" s="177">
        <f t="shared" si="131"/>
        <v>0.97412419606362199</v>
      </c>
      <c r="S373" s="799">
        <f t="shared" si="132"/>
        <v>-1</v>
      </c>
      <c r="T373" s="176">
        <f t="shared" si="133"/>
        <v>5</v>
      </c>
      <c r="U373" s="250">
        <f t="shared" si="134"/>
        <v>-2.5875803936378061E-2</v>
      </c>
      <c r="V373" s="382">
        <f t="shared" si="135"/>
        <v>25.06226923660893</v>
      </c>
      <c r="W373" s="400">
        <f t="shared" si="136"/>
        <v>13.120425665037649</v>
      </c>
      <c r="X373" s="157">
        <f t="shared" si="137"/>
        <v>47111</v>
      </c>
      <c r="Y373" s="383">
        <f t="shared" si="138"/>
        <v>12.727189783211749</v>
      </c>
      <c r="Z373" s="383">
        <f t="shared" si="139"/>
        <v>13.640208618703531</v>
      </c>
      <c r="AA373" s="384">
        <f t="shared" si="140"/>
        <v>14.552590396811933</v>
      </c>
      <c r="AB373" s="197">
        <f t="shared" si="141"/>
        <v>47111</v>
      </c>
      <c r="AC373" s="119">
        <f>IF(OR(t&lt;Tnet,NoTnet),'2027'!Resal_s+('2027'!Salim-'2027'!Resal_s)*(1-EXP(('2027'!Tnet_s-t)/'2027'!Tau_j)),Resal_s+(Salim-Resal_s)*(1-EXP((Tnet_s-t)/Tau_j)))*Salcycl</f>
        <v>6.2695489478510974E-2</v>
      </c>
      <c r="AD373" s="230">
        <f>(INDEX(Models!$BJ373:$BT373,,AH373)*(1-AF373)+INDEX(Models!$BJ373:$BT373,,AH373+1)*AF373-ERP_i)*AE373*Ramure*Pc/MaxiM</f>
        <v>3.4739599345595287E-3</v>
      </c>
      <c r="AE373" s="304">
        <f t="shared" si="142"/>
        <v>0.6</v>
      </c>
      <c r="AF373" s="177">
        <f t="shared" si="143"/>
        <v>0.49911176243760025</v>
      </c>
      <c r="AG373" s="799">
        <f t="shared" si="149"/>
        <v>3</v>
      </c>
      <c r="AH373" s="176">
        <f t="shared" si="144"/>
        <v>9</v>
      </c>
      <c r="AI373" s="224">
        <f t="shared" si="145"/>
        <v>3.4991117624376002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47112</v>
      </c>
      <c r="B374" s="409">
        <f>IF(t&gt;Tmaj,'2027'!Wh/'2027'!Env_an*'2028'!Env_an,0.001*'[14]mon-tableau (2)'!$B$267)</f>
        <v>21.9685241560944</v>
      </c>
      <c r="C374" s="829"/>
      <c r="D374" s="391">
        <f t="shared" si="127"/>
        <v>23.544945944315884</v>
      </c>
      <c r="E374" s="383">
        <f t="shared" si="150"/>
        <v>24.39230850925918</v>
      </c>
      <c r="F374" s="383">
        <f t="shared" si="128"/>
        <v>24.402482252869106</v>
      </c>
      <c r="G374" s="110">
        <f t="shared" si="151"/>
        <v>0.87426202573469092</v>
      </c>
      <c r="H374" s="412" t="b">
        <f>Wh_hp&gt;='2027'!Maxi_hp</f>
        <v>0</v>
      </c>
      <c r="I374" s="388">
        <f>IF(H374,Wh_hp,'2027'!Maxi_hp)</f>
        <v>24.404194573775538</v>
      </c>
      <c r="J374" s="85">
        <f>IF(H374,An,'2027'!An_max)</f>
        <v>2026</v>
      </c>
      <c r="K374" s="197">
        <f t="shared" si="129"/>
        <v>47112</v>
      </c>
      <c r="L374" s="147">
        <f>IF(t&lt;Tvie,1-EXP((T0-t)*PertePVj)+'2027'!Pspv,1-EXP((T0-t)*PertePVj)+Pspv)</f>
        <v>6.6953722975187313E-2</v>
      </c>
      <c r="M374" s="832"/>
      <c r="N374" s="832"/>
      <c r="O374" s="48">
        <f>IF(t&lt;Tnet,'2027'!Resal+('2027'!Salim-'2027'!Resal)*(1-EXP(('2027'!Tnet-t)/('2027'!Tau_j))),Resal+(Salim-Resal)*(1-EXP((Tnet-t)/(Tau_j))))*Salcycl</f>
        <v>3.4738924551632404E-2</v>
      </c>
      <c r="P374" s="169">
        <f>(INDEX(Models!$BJ374:$BT374,,T374)*(1-R374)+INDEX(Models!$BJ374:$BT374,,T374+1)*R374-ERP_i)*Q374*Ramure*Pc/MaxiM</f>
        <v>5.0812947643909202E-4</v>
      </c>
      <c r="Q374" s="304">
        <f t="shared" si="130"/>
        <v>0.6</v>
      </c>
      <c r="R374" s="177">
        <f t="shared" si="131"/>
        <v>0.97412419606362199</v>
      </c>
      <c r="S374" s="799">
        <f t="shared" si="132"/>
        <v>-1</v>
      </c>
      <c r="T374" s="176">
        <f t="shared" si="133"/>
        <v>5</v>
      </c>
      <c r="U374" s="250">
        <f t="shared" si="134"/>
        <v>-2.5875803936378061E-2</v>
      </c>
      <c r="V374" s="382">
        <f t="shared" si="135"/>
        <v>25.125784731257177</v>
      </c>
      <c r="W374" s="400">
        <f t="shared" si="136"/>
        <v>21.9685241560944</v>
      </c>
      <c r="X374" s="157">
        <f t="shared" si="137"/>
        <v>47112</v>
      </c>
      <c r="Y374" s="383">
        <f t="shared" si="138"/>
        <v>21.279342691869857</v>
      </c>
      <c r="Z374" s="383">
        <f t="shared" si="139"/>
        <v>22.806310057549236</v>
      </c>
      <c r="AA374" s="384">
        <f t="shared" si="140"/>
        <v>24.333300554185762</v>
      </c>
      <c r="AB374" s="197">
        <f t="shared" si="141"/>
        <v>47112</v>
      </c>
      <c r="AC374" s="119">
        <f>IF(OR(t&lt;Tnet,NoTnet),'2027'!Resal_s+('2027'!Salim-'2027'!Resal_s)*(1-EXP(('2027'!Tnet_s-t)/'2027'!Tau_j)),Resal_s+(Salim-Resal_s)*(1-EXP((Tnet_s-t)/Tau_j)))*Salcycl</f>
        <v>6.2753118642339609E-2</v>
      </c>
      <c r="AD374" s="230">
        <f>(INDEX(Models!$BJ374:$BT374,,AH374)*(1-AF374)+INDEX(Models!$BJ374:$BT374,,AH374+1)*AF374-ERP_i)*AE374*Ramure*Pc/MaxiM</f>
        <v>3.4552925333046821E-3</v>
      </c>
      <c r="AE374" s="304">
        <f t="shared" si="142"/>
        <v>0.6</v>
      </c>
      <c r="AF374" s="177">
        <f t="shared" si="143"/>
        <v>0.49911176243760025</v>
      </c>
      <c r="AG374" s="799">
        <f t="shared" si="149"/>
        <v>3</v>
      </c>
      <c r="AH374" s="176">
        <f t="shared" si="144"/>
        <v>9</v>
      </c>
      <c r="AI374" s="224">
        <f t="shared" si="145"/>
        <v>3.4991117624376002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47113</v>
      </c>
      <c r="B375" s="409">
        <f>IF(t&gt;Tmaj,'2027'!Wh/'2027'!Env_an*'2028'!Env_an,0.001*'[14]mon-tableau (2)'!$B$268)</f>
        <v>7.1786553677136267</v>
      </c>
      <c r="C375" s="829"/>
      <c r="D375" s="391">
        <f t="shared" si="127"/>
        <v>7.6939302201961581</v>
      </c>
      <c r="E375" s="383">
        <f t="shared" si="150"/>
        <v>7.971583818996991</v>
      </c>
      <c r="F375" s="383">
        <f t="shared" si="128"/>
        <v>7.971583818996991</v>
      </c>
      <c r="G375" s="110">
        <f t="shared" si="151"/>
        <v>0.28472835478456027</v>
      </c>
      <c r="H375" s="412" t="b">
        <f>Wh_hp&gt;='2027'!Maxi_hp</f>
        <v>0</v>
      </c>
      <c r="I375" s="388">
        <f>IF(H375,Wh_hp,'2027'!Maxi_hp)</f>
        <v>23.939485558369796</v>
      </c>
      <c r="J375" s="85">
        <f>IF(H375,An,'2027'!An_max)</f>
        <v>2018</v>
      </c>
      <c r="K375" s="197">
        <f t="shared" si="129"/>
        <v>47113</v>
      </c>
      <c r="L375" s="147">
        <f>IF(t&lt;Tvie,1-EXP((T0-t)*PertePVj)+'2027'!Pspv,1-EXP((T0-t)*PertePVj)+Pspv)</f>
        <v>6.6971604594224465E-2</v>
      </c>
      <c r="M375" s="832"/>
      <c r="N375" s="832"/>
      <c r="O375" s="48">
        <f>IF(t&lt;Tnet,'2027'!Resal+('2027'!Salim-'2027'!Resal)*(1-EXP(('2027'!Tnet-t)/('2027'!Tau_j))),Resal+(Salim-Resal)*(1-EXP((Tnet-t)/(Tau_j))))*Salcycl</f>
        <v>3.4830418283899857E-2</v>
      </c>
      <c r="P375" s="169">
        <f>(INDEX(Models!$BJ375:$BT375,,T375)*(1-R375)+INDEX(Models!$BJ375:$BT375,,T375+1)*R375-ERP_i)*Q375*Ramure*Pc/MaxiM</f>
        <v>4.9622871317466129E-4</v>
      </c>
      <c r="Q375" s="304">
        <f t="shared" si="130"/>
        <v>0.6</v>
      </c>
      <c r="R375" s="177">
        <f t="shared" si="131"/>
        <v>0.97412419606362199</v>
      </c>
      <c r="S375" s="799">
        <f t="shared" si="132"/>
        <v>-1</v>
      </c>
      <c r="T375" s="176">
        <f t="shared" si="133"/>
        <v>5</v>
      </c>
      <c r="U375" s="250">
        <f t="shared" si="134"/>
        <v>-2.5875803936378061E-2</v>
      </c>
      <c r="V375" s="382">
        <f t="shared" si="135"/>
        <v>25.199784258323042</v>
      </c>
      <c r="W375" s="400">
        <f t="shared" si="136"/>
        <v>7.1786553677136267</v>
      </c>
      <c r="X375" s="157">
        <f t="shared" si="137"/>
        <v>47113</v>
      </c>
      <c r="Y375" s="383">
        <f t="shared" si="138"/>
        <v>6.9705440365033819</v>
      </c>
      <c r="Z375" s="383">
        <f t="shared" si="139"/>
        <v>7.4708809194085477</v>
      </c>
      <c r="AA375" s="384">
        <f t="shared" si="140"/>
        <v>7.971583818996991</v>
      </c>
      <c r="AB375" s="197">
        <f t="shared" si="141"/>
        <v>47113</v>
      </c>
      <c r="AC375" s="119">
        <f>IF(OR(t&lt;Tnet,NoTnet),'2027'!Resal_s+('2027'!Salim-'2027'!Resal_s)*(1-EXP(('2027'!Tnet_s-t)/'2027'!Tau_j)),Resal_s+(Salim-Resal_s)*(1-EXP((Tnet_s-t)/Tau_j)))*Salcycl</f>
        <v>6.2810968429538955E-2</v>
      </c>
      <c r="AD375" s="230">
        <f>(INDEX(Models!$BJ375:$BT375,,AH375)*(1-AF375)+INDEX(Models!$BJ375:$BT375,,AH375+1)*AF375-ERP_i)*AE375*Ramure*Pc/MaxiM</f>
        <v>3.4325214784750846E-3</v>
      </c>
      <c r="AE375" s="304">
        <f t="shared" si="142"/>
        <v>0.6</v>
      </c>
      <c r="AF375" s="177">
        <f t="shared" si="143"/>
        <v>0.49911176243760025</v>
      </c>
      <c r="AG375" s="799">
        <f t="shared" si="149"/>
        <v>3</v>
      </c>
      <c r="AH375" s="176">
        <f t="shared" si="144"/>
        <v>9</v>
      </c>
      <c r="AI375" s="224">
        <f t="shared" si="145"/>
        <v>3.4991117624376002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47114</v>
      </c>
      <c r="B376" s="409">
        <f>IF(t&gt;Tmaj,'2027'!Wh/'2027'!Env_an*'2028'!Env_an,0.001*'[14]mon-tableau (2)'!$B$269)</f>
        <v>24.259808199331744</v>
      </c>
      <c r="C376" s="829"/>
      <c r="D376" s="391">
        <f t="shared" si="127"/>
        <v>26.001645031801008</v>
      </c>
      <c r="E376" s="383">
        <f t="shared" si="150"/>
        <v>26.942530590011703</v>
      </c>
      <c r="F376" s="383">
        <f t="shared" si="128"/>
        <v>26.954803532490942</v>
      </c>
      <c r="G376" s="110">
        <f t="shared" si="151"/>
        <v>0.95946384854734079</v>
      </c>
      <c r="H376" s="412" t="b">
        <f>Wh_hp&gt;='2027'!Maxi_hp</f>
        <v>0</v>
      </c>
      <c r="I376" s="388">
        <f>IF(H376,Wh_hp,'2027'!Maxi_hp)</f>
        <v>26.955386172159706</v>
      </c>
      <c r="J376" s="85">
        <f>IF(H376,An,'2027'!An_max)</f>
        <v>2026</v>
      </c>
      <c r="K376" s="197">
        <f t="shared" si="129"/>
        <v>47114</v>
      </c>
      <c r="L376" s="147">
        <f>IF(t&lt;Tvie,1-EXP((T0-t)*PertePVj)+'2027'!Pspv,1-EXP((T0-t)*PertePVj)+Pspv)</f>
        <v>6.6989485870564414E-2</v>
      </c>
      <c r="M376" s="832"/>
      <c r="N376" s="832"/>
      <c r="O376" s="48">
        <f>IF(t&lt;Tnet,'2027'!Resal+('2027'!Salim-'2027'!Resal)*(1-EXP(('2027'!Tnet-t)/('2027'!Tau_j))),Resal+(Salim-Resal)*(1-EXP((Tnet-t)/(Tau_j))))*Salcycl</f>
        <v>3.4921944509529686E-2</v>
      </c>
      <c r="P376" s="169">
        <f>(INDEX(Models!$BJ376:$BT376,,T376)*(1-R376)+INDEX(Models!$BJ376:$BT376,,T376+1)*R376-ERP_i)*Q376*Ramure*Pc/MaxiM</f>
        <v>4.8328341922953183E-4</v>
      </c>
      <c r="Q376" s="304">
        <f t="shared" si="130"/>
        <v>0.6</v>
      </c>
      <c r="R376" s="177">
        <f t="shared" si="131"/>
        <v>0.97412419606362199</v>
      </c>
      <c r="S376" s="799">
        <f t="shared" si="132"/>
        <v>-1</v>
      </c>
      <c r="T376" s="176">
        <f t="shared" si="133"/>
        <v>5</v>
      </c>
      <c r="U376" s="250">
        <f t="shared" si="134"/>
        <v>-2.5875803936378061E-2</v>
      </c>
      <c r="V376" s="382">
        <f t="shared" si="135"/>
        <v>25.284047369792333</v>
      </c>
      <c r="W376" s="400">
        <f t="shared" si="136"/>
        <v>24.259808199331744</v>
      </c>
      <c r="X376" s="157">
        <f t="shared" si="137"/>
        <v>47114</v>
      </c>
      <c r="Y376" s="383">
        <f t="shared" si="138"/>
        <v>23.492376944668457</v>
      </c>
      <c r="Z376" s="383">
        <f t="shared" si="139"/>
        <v>25.179112763363118</v>
      </c>
      <c r="AA376" s="384">
        <f t="shared" si="140"/>
        <v>26.86829597073918</v>
      </c>
      <c r="AB376" s="197">
        <f t="shared" si="141"/>
        <v>47114</v>
      </c>
      <c r="AC376" s="119">
        <f>IF(OR(t&lt;Tnet,NoTnet),'2027'!Resal_s+('2027'!Salim-'2027'!Resal_s)*(1-EXP(('2027'!Tnet_s-t)/'2027'!Tau_j)),Resal_s+(Salim-Resal_s)*(1-EXP((Tnet_s-t)/Tau_j)))*Salcycl</f>
        <v>6.2869011463014227E-2</v>
      </c>
      <c r="AD376" s="230">
        <f>(INDEX(Models!$BJ376:$BT376,,AH376)*(1-AF376)+INDEX(Models!$BJ376:$BT376,,AH376+1)*AF376-ERP_i)*AE376*Ramure*Pc/MaxiM</f>
        <v>3.4064911738421523E-3</v>
      </c>
      <c r="AE376" s="304">
        <f t="shared" si="142"/>
        <v>0.6</v>
      </c>
      <c r="AF376" s="177">
        <f t="shared" si="143"/>
        <v>0.49911176243760025</v>
      </c>
      <c r="AG376" s="799">
        <f t="shared" si="149"/>
        <v>3</v>
      </c>
      <c r="AH376" s="176">
        <f t="shared" si="144"/>
        <v>9</v>
      </c>
      <c r="AI376" s="224">
        <f t="shared" si="145"/>
        <v>3.4991117624376002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47115</v>
      </c>
      <c r="B377" s="409">
        <f>IF(t&gt;Tmaj,'2027'!Wh/'2027'!Env_an*'2028'!Env_an,0.001*'[14]mon-tableau (2)'!$B$270)</f>
        <v>10.763520690682046</v>
      </c>
      <c r="C377" s="829"/>
      <c r="D377" s="391">
        <f t="shared" si="127"/>
        <v>11.536554853400807</v>
      </c>
      <c r="E377" s="383">
        <f t="shared" si="150"/>
        <v>11.955146244801622</v>
      </c>
      <c r="F377" s="383">
        <f t="shared" si="128"/>
        <v>11.956141207981945</v>
      </c>
      <c r="G377" s="110">
        <f t="shared" si="151"/>
        <v>0.4239579140396631</v>
      </c>
      <c r="H377" s="412" t="b">
        <f>Wh_hp&gt;='2027'!Maxi_hp</f>
        <v>0</v>
      </c>
      <c r="I377" s="388">
        <f>IF(H377,Wh_hp,'2027'!Maxi_hp)</f>
        <v>26.417584370860784</v>
      </c>
      <c r="J377" s="85">
        <f>IF(H377,An,'2027'!An_max)</f>
        <v>2018</v>
      </c>
      <c r="K377" s="197">
        <f t="shared" si="129"/>
        <v>47115</v>
      </c>
      <c r="L377" s="147">
        <f>IF(t&lt;Tvie,1-EXP((T0-t)*PertePVj)+'2027'!Pspv,1-EXP((T0-t)*PertePVj)+Pspv)</f>
        <v>6.7007366804213819E-2</v>
      </c>
      <c r="M377" s="832"/>
      <c r="N377" s="832"/>
      <c r="O377" s="48">
        <f>IF(t&lt;Tnet,'2027'!Resal+('2027'!Salim-'2027'!Resal)*(1-EXP(('2027'!Tnet-t)/('2027'!Tau_j))),Resal+(Salim-Resal)*(1-EXP((Tnet-t)/(Tau_j))))*Salcycl</f>
        <v>3.5013489825172842E-2</v>
      </c>
      <c r="P377" s="169">
        <f>(INDEX(Models!$BJ377:$BT377,,T377)*(1-R377)+INDEX(Models!$BJ377:$BT377,,T377+1)*R377-ERP_i)*Q377*Ramure*Pc/MaxiM</f>
        <v>4.6931708661789707E-4</v>
      </c>
      <c r="Q377" s="304">
        <f t="shared" si="130"/>
        <v>0.6</v>
      </c>
      <c r="R377" s="177">
        <f t="shared" si="131"/>
        <v>0.97412419606362199</v>
      </c>
      <c r="S377" s="799">
        <f t="shared" si="132"/>
        <v>-1</v>
      </c>
      <c r="T377" s="176">
        <f t="shared" si="133"/>
        <v>5</v>
      </c>
      <c r="U377" s="250">
        <f t="shared" si="134"/>
        <v>-2.5875803936378061E-2</v>
      </c>
      <c r="V377" s="382">
        <f t="shared" si="135"/>
        <v>25.378378844514906</v>
      </c>
      <c r="W377" s="400">
        <f t="shared" si="136"/>
        <v>10.763520690682046</v>
      </c>
      <c r="X377" s="157">
        <f t="shared" si="137"/>
        <v>47115</v>
      </c>
      <c r="Y377" s="383">
        <f t="shared" si="138"/>
        <v>10.44677929047953</v>
      </c>
      <c r="Z377" s="383">
        <f t="shared" si="139"/>
        <v>11.19706514155005</v>
      </c>
      <c r="AA377" s="384">
        <f t="shared" si="140"/>
        <v>11.948981344720481</v>
      </c>
      <c r="AB377" s="197">
        <f t="shared" si="141"/>
        <v>47115</v>
      </c>
      <c r="AC377" s="119">
        <f>IF(OR(t&lt;Tnet,NoTnet),'2027'!Resal_s+('2027'!Salim-'2027'!Resal_s)*(1-EXP(('2027'!Tnet_s-t)/'2027'!Tau_j)),Resal_s+(Salim-Resal_s)*(1-EXP((Tnet_s-t)/Tau_j)))*Salcycl</f>
        <v>6.2927222118616608E-2</v>
      </c>
      <c r="AD377" s="230">
        <f>(INDEX(Models!$BJ377:$BT377,,AH377)*(1-AF377)+INDEX(Models!$BJ377:$BT377,,AH377+1)*AF377-ERP_i)*AE377*Ramure*Pc/MaxiM</f>
        <v>3.3772567999563984E-3</v>
      </c>
      <c r="AE377" s="304">
        <f t="shared" si="142"/>
        <v>0.6</v>
      </c>
      <c r="AF377" s="177">
        <f t="shared" si="143"/>
        <v>0.49911176243760025</v>
      </c>
      <c r="AG377" s="799">
        <f t="shared" si="149"/>
        <v>3</v>
      </c>
      <c r="AH377" s="176">
        <f t="shared" si="144"/>
        <v>9</v>
      </c>
      <c r="AI377" s="224">
        <f t="shared" si="145"/>
        <v>3.4991117624376002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47116</v>
      </c>
      <c r="B378" s="409">
        <f>IF(t&gt;Tmaj,'2027'!Wh/'2027'!Env_an*'2028'!Env_an,0.001*'[14]mon-tableau (2)'!$B$271)</f>
        <v>13.963130230456199</v>
      </c>
      <c r="C378" s="829"/>
      <c r="D378" s="391">
        <f t="shared" si="127"/>
        <v>14.966246612217329</v>
      </c>
      <c r="E378" s="383">
        <f t="shared" si="150"/>
        <v>15.510752216206164</v>
      </c>
      <c r="F378" s="383">
        <f t="shared" si="128"/>
        <v>15.513248883656082</v>
      </c>
      <c r="G378" s="110">
        <f t="shared" si="151"/>
        <v>0.54778717917413522</v>
      </c>
      <c r="H378" s="412" t="b">
        <f>Wh_hp&gt;='2027'!Maxi_hp</f>
        <v>0</v>
      </c>
      <c r="I378" s="388">
        <f>IF(H378,Wh_hp,'2027'!Maxi_hp)</f>
        <v>29.01951581106924</v>
      </c>
      <c r="J378" s="85">
        <f>IF(H378,An,'2027'!An_max)</f>
        <v>2018</v>
      </c>
      <c r="K378" s="197">
        <f t="shared" si="129"/>
        <v>47116</v>
      </c>
      <c r="L378" s="147">
        <f>IF(t&lt;Tvie,1-EXP((T0-t)*PertePVj)+'2027'!Pspv,1-EXP((T0-t)*PertePVj)+Pspv)</f>
        <v>6.7025247395179233E-2</v>
      </c>
      <c r="M378" s="832"/>
      <c r="N378" s="832"/>
      <c r="O378" s="48">
        <f>IF(t&lt;Tnet,'2027'!Resal+('2027'!Salim-'2027'!Resal)*(1-EXP(('2027'!Tnet-t)/('2027'!Tau_j))),Resal+(Salim-Resal)*(1-EXP((Tnet-t)/(Tau_j))))*Salcycl</f>
        <v>3.5105041741297187E-2</v>
      </c>
      <c r="P378" s="169">
        <f>(INDEX(Models!$BJ378:$BT378,,T378)*(1-R378)+INDEX(Models!$BJ378:$BT378,,T378+1)*R378-ERP_i)*Q378*Ramure*Pc/MaxiM</f>
        <v>4.5435509275099236E-4</v>
      </c>
      <c r="Q378" s="304">
        <f t="shared" si="130"/>
        <v>0.6</v>
      </c>
      <c r="R378" s="177">
        <f t="shared" si="131"/>
        <v>0.97412419606362199</v>
      </c>
      <c r="S378" s="799">
        <f t="shared" si="132"/>
        <v>-1</v>
      </c>
      <c r="T378" s="176">
        <f t="shared" si="133"/>
        <v>5</v>
      </c>
      <c r="U378" s="250">
        <f t="shared" si="134"/>
        <v>-2.5875803936378061E-2</v>
      </c>
      <c r="V378" s="382">
        <f t="shared" si="135"/>
        <v>25.482583523645189</v>
      </c>
      <c r="W378" s="400">
        <f t="shared" si="136"/>
        <v>13.963130230456199</v>
      </c>
      <c r="X378" s="157">
        <f t="shared" si="137"/>
        <v>47116</v>
      </c>
      <c r="Y378" s="383">
        <f t="shared" si="138"/>
        <v>13.545781704608295</v>
      </c>
      <c r="Z378" s="383">
        <f t="shared" si="139"/>
        <v>14.518915615657468</v>
      </c>
      <c r="AA378" s="384">
        <f t="shared" si="140"/>
        <v>15.494868865385554</v>
      </c>
      <c r="AB378" s="197">
        <f t="shared" si="141"/>
        <v>47116</v>
      </c>
      <c r="AC378" s="119">
        <f>IF(OR(t&lt;Tnet,NoTnet),'2027'!Resal_s+('2027'!Salim-'2027'!Resal_s)*(1-EXP(('2027'!Tnet_s-t)/'2027'!Tau_j)),Resal_s+(Salim-Resal_s)*(1-EXP((Tnet_s-t)/Tau_j)))*Salcycl</f>
        <v>6.2985576593571374E-2</v>
      </c>
      <c r="AD378" s="230">
        <f>(INDEX(Models!$BJ378:$BT378,,AH378)*(1-AF378)+INDEX(Models!$BJ378:$BT378,,AH378+1)*AF378-ERP_i)*AE378*Ramure*Pc/MaxiM</f>
        <v>3.3448807554821596E-3</v>
      </c>
      <c r="AE378" s="304">
        <f t="shared" si="142"/>
        <v>0.6</v>
      </c>
      <c r="AF378" s="177">
        <f t="shared" si="143"/>
        <v>0.49911176243760025</v>
      </c>
      <c r="AG378" s="799">
        <f t="shared" si="149"/>
        <v>3</v>
      </c>
      <c r="AH378" s="176">
        <f t="shared" si="144"/>
        <v>9</v>
      </c>
      <c r="AI378" s="224">
        <f t="shared" si="145"/>
        <v>3.4991117624376002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47117</v>
      </c>
      <c r="B379" s="409">
        <f>IF(t&gt;Tmaj,'2027'!Wh/'2027'!Env_an*'2028'!Env_an,0.001*'[14]mon-tableau (2)'!$B$272)</f>
        <v>13.077123605022638</v>
      </c>
      <c r="C379" s="829"/>
      <c r="D379" s="391">
        <f t="shared" si="127"/>
        <v>14.016857576697465</v>
      </c>
      <c r="E379" s="383">
        <f t="shared" si="150"/>
        <v>14.528200680895317</v>
      </c>
      <c r="F379" s="383">
        <f t="shared" si="128"/>
        <v>14.530119940313716</v>
      </c>
      <c r="G379" s="110">
        <f t="shared" si="151"/>
        <v>0.51073913582895636</v>
      </c>
      <c r="H379" s="412" t="b">
        <f>Wh_hp&gt;='2027'!Maxi_hp</f>
        <v>0</v>
      </c>
      <c r="I379" s="388">
        <f>IF(H379,Wh_hp,'2027'!Maxi_hp)</f>
        <v>28.959989458050305</v>
      </c>
      <c r="J379" s="85">
        <f>IF(H379,An,'2027'!An_max)</f>
        <v>2021</v>
      </c>
      <c r="K379" s="197">
        <f t="shared" si="129"/>
        <v>47117</v>
      </c>
      <c r="L379" s="147">
        <f>IF(t&lt;Tvie,1-EXP((T0-t)*PertePVj)+'2027'!Pspv,1-EXP((T0-t)*PertePVj)+Pspv)</f>
        <v>6.7043127643467093E-2</v>
      </c>
      <c r="M379" s="832"/>
      <c r="N379" s="832"/>
      <c r="O379" s="48">
        <f>IF(t&lt;Tnet,'2027'!Resal+('2027'!Salim-'2027'!Resal)*(1-EXP(('2027'!Tnet-t)/('2027'!Tau_j))),Resal+(Salim-Resal)*(1-EXP((Tnet-t)/(Tau_j))))*Salcycl</f>
        <v>3.5196588719363743E-2</v>
      </c>
      <c r="P379" s="169">
        <f>(INDEX(Models!$BJ379:$BT379,,T379)*(1-R379)+INDEX(Models!$BJ379:$BT379,,T379+1)*R379-ERP_i)*Q379*Ramure*Pc/MaxiM</f>
        <v>4.3842455910205142E-4</v>
      </c>
      <c r="Q379" s="305">
        <f t="shared" si="130"/>
        <v>0.6</v>
      </c>
      <c r="R379" s="177">
        <f t="shared" si="131"/>
        <v>0.97412419606362199</v>
      </c>
      <c r="S379" s="799">
        <f t="shared" si="132"/>
        <v>-1</v>
      </c>
      <c r="T379" s="176">
        <f t="shared" si="133"/>
        <v>5</v>
      </c>
      <c r="U379" s="306">
        <f t="shared" si="134"/>
        <v>-2.5875803936378061E-2</v>
      </c>
      <c r="V379" s="382">
        <f t="shared" si="135"/>
        <v>25.596466301692317</v>
      </c>
      <c r="W379" s="400">
        <f t="shared" si="136"/>
        <v>13.077123605022638</v>
      </c>
      <c r="X379" s="157">
        <f t="shared" si="137"/>
        <v>47117</v>
      </c>
      <c r="Y379" s="383">
        <f t="shared" si="138"/>
        <v>12.688687570172894</v>
      </c>
      <c r="Z379" s="383">
        <f t="shared" si="139"/>
        <v>13.60050817582044</v>
      </c>
      <c r="AA379" s="384">
        <f t="shared" si="140"/>
        <v>14.515632478490263</v>
      </c>
      <c r="AB379" s="197">
        <f t="shared" si="141"/>
        <v>47117</v>
      </c>
      <c r="AC379" s="119">
        <f>IF(OR(t&lt;Tnet,NoTnet),'2027'!Resal_s+('2027'!Salim-'2027'!Resal_s)*(1-EXP(('2027'!Tnet_s-t)/'2027'!Tau_j)),Resal_s+(Salim-Resal_s)*(1-EXP((Tnet_s-t)/Tau_j)))*Salcycl</f>
        <v>6.3044052956416657E-2</v>
      </c>
      <c r="AD379" s="230">
        <f>(INDEX(Models!$BJ379:$BT379,,AH379)*(1-AF379)+INDEX(Models!$BJ379:$BT379,,AH379+1)*AF379-ERP_i)*AE379*Ramure*Pc/MaxiM</f>
        <v>3.3094322745354033E-3</v>
      </c>
      <c r="AE379" s="305">
        <f t="shared" si="142"/>
        <v>0.6</v>
      </c>
      <c r="AF379" s="177">
        <f t="shared" si="143"/>
        <v>0.49911176243760025</v>
      </c>
      <c r="AG379" s="799">
        <f t="shared" si="149"/>
        <v>3</v>
      </c>
      <c r="AH379" s="176">
        <f t="shared" si="144"/>
        <v>9</v>
      </c>
      <c r="AI379" s="221">
        <f t="shared" si="145"/>
        <v>3.4991117624376002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4">
        <f t="shared" si="148"/>
        <v>47118</v>
      </c>
      <c r="B380" s="792">
        <f>AVERAGE(B366:B379)</f>
        <v>16.924513056462878</v>
      </c>
      <c r="C380" s="837"/>
      <c r="D380" s="603">
        <f t="shared" si="127"/>
        <v>18.141071595689915</v>
      </c>
      <c r="E380" s="599">
        <f t="shared" si="150"/>
        <v>18.804652430973238</v>
      </c>
      <c r="F380" s="599">
        <f t="shared" si="128"/>
        <v>18.808707871995956</v>
      </c>
      <c r="G380" s="110">
        <f t="shared" si="151"/>
        <v>0.65789802968787192</v>
      </c>
      <c r="H380" s="600" t="b">
        <f>Wh_hp&gt;='2027'!Maxi_hp</f>
        <v>1</v>
      </c>
      <c r="I380" s="601">
        <f>IF(H380,Wh_hp,'2027'!Maxi_hp)</f>
        <v>18.808707871995956</v>
      </c>
      <c r="J380" s="151">
        <f>IF(H380,An,'2027'!An_max)</f>
        <v>2028</v>
      </c>
      <c r="K380" s="233">
        <f t="shared" si="129"/>
        <v>47118</v>
      </c>
      <c r="L380" s="147">
        <f>IF(t&lt;Tvie,1-EXP((T0-t)*PertePVj)+'2027'!Pspv,1-EXP((T0-t)*PertePVj)+Pspv)</f>
        <v>6.7061007549084173E-2</v>
      </c>
      <c r="M380" s="832"/>
      <c r="N380" s="832"/>
      <c r="O380" s="48">
        <f>IF(t&lt;Tnet,'2027'!Resal+('2027'!Salim-'2027'!Resal)*(1-EXP(('2027'!Tnet-t)/('2027'!Tau_j))),Resal+(Salim-Resal)*(1-EXP((Tnet-t)/(Tau_j))))*Salcycl</f>
        <v>3.5288120198932037E-2</v>
      </c>
      <c r="P380" s="230">
        <f>(INDEX(Models!$BJ380:$BT380,,T380)*(1-R380)+INDEX(Models!$BJ380:$BT380,,T380+1)*R380-ERP_i)*Q380*Ramure*Pc/MaxiM</f>
        <v>4.215541947742128E-4</v>
      </c>
      <c r="Q380" s="327">
        <f t="shared" si="130"/>
        <v>0.6</v>
      </c>
      <c r="R380" s="313">
        <f t="shared" ref="R380" si="152">(Hp_vg-S380)/(INDEX(Echel_vg,T380+1)-S380)</f>
        <v>0.97412419606362199</v>
      </c>
      <c r="S380" s="800">
        <f t="shared" ref="S380" si="153">INDEX(Echel_vg,T380)</f>
        <v>-1</v>
      </c>
      <c r="T380" s="232">
        <f t="shared" si="133"/>
        <v>5</v>
      </c>
      <c r="U380" s="300">
        <f t="shared" si="134"/>
        <v>-2.5875803936378061E-2</v>
      </c>
      <c r="V380" s="382">
        <f t="shared" si="135"/>
        <v>25.719832135013529</v>
      </c>
      <c r="W380" s="400">
        <f t="shared" ref="W380" si="154">Wh*(A380&gt;Tmaj)</f>
        <v>16.924513056462878</v>
      </c>
      <c r="X380" s="325">
        <f t="shared" si="137"/>
        <v>47118</v>
      </c>
      <c r="Y380" s="599">
        <f t="shared" si="138"/>
        <v>16.412586497556006</v>
      </c>
      <c r="Z380" s="599">
        <f t="shared" si="139"/>
        <v>17.592347013429727</v>
      </c>
      <c r="AA380" s="602">
        <f t="shared" si="140"/>
        <v>18.777240281462575</v>
      </c>
      <c r="AB380" s="233">
        <f t="shared" si="141"/>
        <v>47118</v>
      </c>
      <c r="AC380" s="119">
        <f>IF(OR(t&lt;Tnet,NoTnet),'2027'!Resal_s+('2027'!Salim-'2027'!Resal_s)*(1-EXP(('2027'!Tnet_s-t)/'2027'!Tau_j)),Resal_s+(Salim-Resal_s)*(1-EXP((Tnet_s-t)/Tau_j)))*Salcycl</f>
        <v>6.3102631178587401E-2</v>
      </c>
      <c r="AD380" s="230">
        <f>(INDEX(Models!$BJ380:$BT380,,AH380)*(1-AF380)+INDEX(Models!$BJ380:$BT380,,AH380+1)*AF380-ERP_i)*AE380*Ramure*Pc/MaxiM</f>
        <v>3.2709869813094335E-3</v>
      </c>
      <c r="AE380" s="327">
        <f t="shared" si="142"/>
        <v>0.6</v>
      </c>
      <c r="AF380" s="313">
        <f t="shared" ref="AF380" si="155">(Hp_vg_s-AG380)/(INDEX(Echel_vg,AH380+1)-AG380)</f>
        <v>0.49911176243760025</v>
      </c>
      <c r="AG380" s="800">
        <f t="shared" ref="AG380" si="156">INDEX(Echel_vg,AH380)</f>
        <v>3</v>
      </c>
      <c r="AH380" s="232">
        <f t="shared" si="144"/>
        <v>9</v>
      </c>
      <c r="AI380" s="224">
        <f t="shared" si="145"/>
        <v>3.4991117624376002</v>
      </c>
      <c r="AJ380" s="264" t="b">
        <f t="shared" si="146"/>
        <v>0</v>
      </c>
      <c r="AK380" s="264" t="b">
        <f t="shared" si="147"/>
        <v>0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1.5239871130875453</v>
      </c>
      <c r="C381" s="374"/>
      <c r="D381" s="372">
        <f>MIN(D15:D380)</f>
        <v>1.6221775710446171</v>
      </c>
      <c r="E381" s="372">
        <f>MIN(E15:E380)</f>
        <v>1.6818364086848869</v>
      </c>
      <c r="F381" s="373">
        <f>MIN(F15:F380)</f>
        <v>1.6818364086848869</v>
      </c>
      <c r="G381" s="125">
        <f>+MIN(G15:G380)</f>
        <v>5.8520415002402522E-2</v>
      </c>
      <c r="H381" s="94"/>
      <c r="I381" s="373">
        <f>MIN(I15:I380)</f>
        <v>10.012976509324043</v>
      </c>
      <c r="J381" s="57">
        <f>MIN(J15:J380)</f>
        <v>2018</v>
      </c>
      <c r="K381" s="200" t="s">
        <v>7</v>
      </c>
      <c r="L381" s="146">
        <f t="shared" ref="L381:T381" si="157">MIN(L15:L380)</f>
        <v>6.0512025492228561E-2</v>
      </c>
      <c r="M381" s="833"/>
      <c r="N381" s="833"/>
      <c r="O381" s="47">
        <f t="shared" si="157"/>
        <v>9.1042482442858959E-3</v>
      </c>
      <c r="P381" s="168">
        <f t="shared" si="157"/>
        <v>-1.9047426725438346E-20</v>
      </c>
      <c r="Q381" s="309">
        <f t="shared" si="157"/>
        <v>0.6</v>
      </c>
      <c r="R381" s="310">
        <f t="shared" si="157"/>
        <v>0.47412546909979303</v>
      </c>
      <c r="S381" s="799">
        <f t="shared" si="157"/>
        <v>-1</v>
      </c>
      <c r="T381" s="176">
        <f t="shared" si="157"/>
        <v>5</v>
      </c>
      <c r="U381" s="251">
        <f>MIN(U15:U380)</f>
        <v>-0.52587453090020697</v>
      </c>
      <c r="V381" s="57">
        <f>MIN(V15:V380)</f>
        <v>24.906349370629933</v>
      </c>
      <c r="W381" s="793" t="s">
        <v>40</v>
      </c>
      <c r="X381" s="112" t="s">
        <v>7</v>
      </c>
      <c r="Y381" s="372">
        <f>MIN(Y15:Y380)</f>
        <v>1.4802377583092152</v>
      </c>
      <c r="Z381" s="372">
        <f>MIN(Z15:Z380)</f>
        <v>1.5756094462490606</v>
      </c>
      <c r="AA381" s="372">
        <f>MIN(AA15:AA380)</f>
        <v>1.6818364086848869</v>
      </c>
      <c r="AB381" s="200" t="s">
        <v>7</v>
      </c>
      <c r="AC381" s="47">
        <f t="shared" ref="AC381:AH381" si="158">MIN(AC15:AC380)</f>
        <v>4.6299557983221946E-2</v>
      </c>
      <c r="AD381" s="168">
        <f t="shared" si="158"/>
        <v>-1.9963849872836837E-20</v>
      </c>
      <c r="AE381" s="309">
        <f t="shared" si="158"/>
        <v>0.6</v>
      </c>
      <c r="AF381" s="310">
        <f t="shared" si="158"/>
        <v>6.5521037306837115E-5</v>
      </c>
      <c r="AG381" s="799">
        <f t="shared" si="158"/>
        <v>2</v>
      </c>
      <c r="AH381" s="176">
        <f t="shared" si="158"/>
        <v>8</v>
      </c>
      <c r="AI381" s="225">
        <f>MIN(AI15:AI380)</f>
        <v>2.9991130354737714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30.680578997858042</v>
      </c>
      <c r="C382" s="374"/>
      <c r="D382" s="374">
        <f>AVERAGE(D15:D380)</f>
        <v>32.769742217091192</v>
      </c>
      <c r="E382" s="374">
        <f>AVERAGE(E15:E380)</f>
        <v>33.655383247779582</v>
      </c>
      <c r="F382" s="375">
        <f>AVERAGE(F15:F380)</f>
        <v>33.655971611958201</v>
      </c>
      <c r="G382" s="126">
        <f>AVERAGE(G15:G380)</f>
        <v>0.66667309941700781</v>
      </c>
      <c r="H382" s="94"/>
      <c r="I382" s="375">
        <f>AVERAGE(I15:I380)</f>
        <v>44.754536023118924</v>
      </c>
      <c r="J382" s="59">
        <f>AVERAGE(J15:J380)</f>
        <v>2021.8661202185792</v>
      </c>
      <c r="K382" s="200" t="s">
        <v>8</v>
      </c>
      <c r="L382" s="147">
        <f t="shared" ref="L382:V382" si="159">AVERAGE(L15:L380)</f>
        <v>6.3790323683027311E-2</v>
      </c>
      <c r="M382" s="832"/>
      <c r="N382" s="832"/>
      <c r="O382" s="48">
        <f t="shared" si="159"/>
        <v>2.9078695067859359E-2</v>
      </c>
      <c r="P382" s="169">
        <f t="shared" si="159"/>
        <v>6.4536991024815684E-5</v>
      </c>
      <c r="Q382" s="311">
        <f t="shared" si="159"/>
        <v>0.5999999999999962</v>
      </c>
      <c r="R382" s="177">
        <f t="shared" si="159"/>
        <v>0.75461047355785538</v>
      </c>
      <c r="S382" s="799">
        <f t="shared" si="159"/>
        <v>-1</v>
      </c>
      <c r="T382" s="176">
        <f t="shared" si="159"/>
        <v>5</v>
      </c>
      <c r="U382" s="250">
        <f>AVERAGE(U15:U380)</f>
        <v>-0.24538952644214349</v>
      </c>
      <c r="V382" s="59">
        <f t="shared" si="159"/>
        <v>44.375375599531061</v>
      </c>
      <c r="X382" s="112" t="s">
        <v>8</v>
      </c>
      <c r="Y382" s="374">
        <f>AVERAGE(Y15:Y380)</f>
        <v>29.670102212186301</v>
      </c>
      <c r="Z382" s="374">
        <f>AVERAGE(Z15:Z380)</f>
        <v>31.690379249643392</v>
      </c>
      <c r="AA382" s="374">
        <f>AVERAGE(AA15:AA380)</f>
        <v>33.650961174932036</v>
      </c>
      <c r="AB382" s="200" t="s">
        <v>8</v>
      </c>
      <c r="AC382" s="48">
        <f t="shared" ref="AC382:AH382" si="160">AVERAGE(AC15:AC380)</f>
        <v>5.9844727715730829E-2</v>
      </c>
      <c r="AD382" s="169">
        <f t="shared" si="160"/>
        <v>5.7993069551252646E-4</v>
      </c>
      <c r="AE382" s="311">
        <f t="shared" si="160"/>
        <v>0.5999999999999962</v>
      </c>
      <c r="AF382" s="177">
        <f t="shared" si="160"/>
        <v>0.33697508911216295</v>
      </c>
      <c r="AG382" s="799">
        <f t="shared" si="160"/>
        <v>2.942622950819672</v>
      </c>
      <c r="AH382" s="176">
        <f t="shared" si="160"/>
        <v>8.942622950819672</v>
      </c>
      <c r="AI382" s="224">
        <f>AVERAGE(AI15:AI380)</f>
        <v>3.2795980399318383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59.304231339797866</v>
      </c>
      <c r="C383" s="376"/>
      <c r="D383" s="376">
        <f>MAX(D15:D380)</f>
        <v>63.303291851556224</v>
      </c>
      <c r="E383" s="376">
        <f>MAX(E15:E380)</f>
        <v>64.121433060958893</v>
      </c>
      <c r="F383" s="377">
        <f>MAX(F15:F380)</f>
        <v>64.121433060958893</v>
      </c>
      <c r="G383" s="127">
        <f>+MAX(G15:G380)</f>
        <v>1.0478798370423084</v>
      </c>
      <c r="H383" s="94"/>
      <c r="I383" s="377">
        <f>MAX(I15:I380)</f>
        <v>65.55404847482302</v>
      </c>
      <c r="J383" s="60">
        <f>MAX(J15:J380)</f>
        <v>2028</v>
      </c>
      <c r="K383" s="200" t="s">
        <v>9</v>
      </c>
      <c r="L383" s="148">
        <f t="shared" ref="L383:T383" si="161">MAX(L15:L380)</f>
        <v>6.7061007549084173E-2</v>
      </c>
      <c r="M383" s="834"/>
      <c r="N383" s="834"/>
      <c r="O383" s="49">
        <f t="shared" si="161"/>
        <v>4.6193912119919384E-2</v>
      </c>
      <c r="P383" s="170">
        <f t="shared" si="161"/>
        <v>5.3603874767391201E-4</v>
      </c>
      <c r="Q383" s="312">
        <f t="shared" si="161"/>
        <v>0.6</v>
      </c>
      <c r="R383" s="313">
        <f t="shared" si="161"/>
        <v>0.97412419606362199</v>
      </c>
      <c r="S383" s="800">
        <f t="shared" si="161"/>
        <v>-1</v>
      </c>
      <c r="T383" s="232">
        <f t="shared" si="161"/>
        <v>5</v>
      </c>
      <c r="U383" s="252">
        <f>MAX(U15:U380)</f>
        <v>-2.5875803936378061E-2</v>
      </c>
      <c r="V383" s="60">
        <f>MAX(V15:V380)</f>
        <v>58.485255863981315</v>
      </c>
      <c r="X383" s="112" t="s">
        <v>9</v>
      </c>
      <c r="Y383" s="376">
        <f>MAX(Y15:Y380)</f>
        <v>57.100659648112376</v>
      </c>
      <c r="Z383" s="376">
        <f>MAX(Z15:Z380)</f>
        <v>60.951126773902097</v>
      </c>
      <c r="AA383" s="376">
        <f>MAX(AA15:AA380)</f>
        <v>64.121433060958893</v>
      </c>
      <c r="AB383" s="200" t="s">
        <v>9</v>
      </c>
      <c r="AC383" s="49">
        <f t="shared" ref="AC383:AH383" si="162">MAX(AC15:AC380)</f>
        <v>7.0648006952259867E-2</v>
      </c>
      <c r="AD383" s="170">
        <f t="shared" si="162"/>
        <v>3.5342981373352391E-3</v>
      </c>
      <c r="AE383" s="312">
        <f t="shared" si="162"/>
        <v>0.6</v>
      </c>
      <c r="AF383" s="313">
        <f t="shared" si="162"/>
        <v>0.99999930215852473</v>
      </c>
      <c r="AG383" s="800">
        <f t="shared" si="162"/>
        <v>3</v>
      </c>
      <c r="AH383" s="232">
        <f t="shared" si="162"/>
        <v>9</v>
      </c>
      <c r="AI383" s="226">
        <f>MAX(AI15:AI380)</f>
        <v>3.4991117624376002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5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A82" sqref="A82:Z94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24" customWidth="1"/>
    <col min="14" max="14" width="9.140625" style="624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1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89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59" customWidth="1"/>
    <col min="50" max="51" width="6.85546875" style="15" customWidth="1"/>
    <col min="52" max="16384" width="11.42578125" style="15"/>
  </cols>
  <sheetData>
    <row r="1" spans="1:49" ht="21.75" thickBot="1" x14ac:dyDescent="0.4">
      <c r="A1" s="651" t="str">
        <f>"Masques "&amp;Station</f>
        <v>Masques Esp. Berjean Escalquens</v>
      </c>
      <c r="B1" s="6"/>
      <c r="C1" s="657"/>
      <c r="D1" s="658"/>
      <c r="E1" s="1017"/>
      <c r="F1" s="1017"/>
      <c r="H1" s="22" t="s">
        <v>278</v>
      </c>
      <c r="I1" s="1229">
        <v>44582</v>
      </c>
      <c r="J1" s="1230"/>
      <c r="K1" s="875"/>
      <c r="M1" s="780" t="s">
        <v>168</v>
      </c>
      <c r="N1" s="653"/>
      <c r="O1" s="654"/>
      <c r="P1" s="654"/>
      <c r="Q1" s="653"/>
      <c r="R1" s="653"/>
      <c r="S1" s="655"/>
      <c r="T1" s="656"/>
      <c r="U1" s="655"/>
      <c r="V1" s="653"/>
      <c r="W1" s="655"/>
      <c r="X1" s="653"/>
      <c r="Y1" s="15"/>
      <c r="AA1" s="15"/>
    </row>
    <row r="2" spans="1:49" s="6" customFormat="1" ht="12.75" customHeight="1" thickBot="1" x14ac:dyDescent="0.25">
      <c r="A2" s="571"/>
      <c r="C2" s="657"/>
      <c r="D2" s="658"/>
      <c r="E2" s="1017"/>
      <c r="F2" s="1017"/>
      <c r="G2" s="26"/>
      <c r="H2" s="25"/>
      <c r="L2" s="8"/>
      <c r="P2" s="1109"/>
      <c r="Q2" s="563"/>
      <c r="R2" s="563"/>
      <c r="S2" s="563"/>
      <c r="T2" s="563"/>
      <c r="U2" s="563"/>
      <c r="V2" s="1144"/>
      <c r="W2" s="1100"/>
      <c r="X2" s="563"/>
      <c r="Y2" s="563"/>
      <c r="Z2" s="563"/>
      <c r="AA2" s="563"/>
      <c r="AB2" s="563"/>
      <c r="AC2" s="563"/>
      <c r="AD2" s="563"/>
      <c r="AE2" s="563"/>
      <c r="AF2" s="563"/>
      <c r="AM2" s="355"/>
      <c r="AN2" s="355"/>
      <c r="AO2" s="355"/>
      <c r="AP2" s="355"/>
      <c r="AQ2" s="355"/>
      <c r="AR2" s="355"/>
      <c r="AS2" s="355"/>
      <c r="AT2" s="355"/>
      <c r="AU2" s="355"/>
      <c r="AV2" s="355"/>
      <c r="AW2" s="355"/>
    </row>
    <row r="3" spans="1:49" ht="16.5" thickBot="1" x14ac:dyDescent="0.3">
      <c r="A3" s="659" t="s">
        <v>303</v>
      </c>
      <c r="B3" s="660"/>
      <c r="C3" s="660"/>
      <c r="E3" s="1018"/>
      <c r="F3" s="1019" t="s">
        <v>188</v>
      </c>
      <c r="G3" s="20"/>
      <c r="H3" s="22" t="s">
        <v>15</v>
      </c>
      <c r="I3" s="1143">
        <v>0.33</v>
      </c>
      <c r="J3" s="876">
        <f>DEGREES(ATAN(I3))</f>
        <v>18.262889942194128</v>
      </c>
      <c r="K3" s="876"/>
      <c r="L3" s="560" t="s">
        <v>298</v>
      </c>
      <c r="M3" s="877" t="s">
        <v>340</v>
      </c>
      <c r="P3" s="1110"/>
      <c r="Q3" s="1110"/>
      <c r="R3" s="1116"/>
      <c r="S3" s="1111"/>
      <c r="T3" s="1112"/>
      <c r="U3" s="1112"/>
      <c r="V3" s="1113"/>
      <c r="W3" s="1113"/>
      <c r="X3" s="1113"/>
      <c r="Y3" s="1112"/>
      <c r="Z3" s="1112"/>
      <c r="AA3" s="1112"/>
      <c r="AB3" s="1112"/>
      <c r="AC3" s="1112"/>
      <c r="AD3" s="1112"/>
      <c r="AE3" s="1112"/>
      <c r="AF3" s="1112"/>
    </row>
    <row r="4" spans="1:49" s="25" customFormat="1" ht="12" thickBot="1" x14ac:dyDescent="0.25">
      <c r="A4" s="661" t="s">
        <v>139</v>
      </c>
      <c r="B4" s="878" t="s">
        <v>140</v>
      </c>
      <c r="C4" s="878" t="s">
        <v>141</v>
      </c>
      <c r="D4" s="878" t="s">
        <v>142</v>
      </c>
      <c r="E4" s="879" t="s">
        <v>166</v>
      </c>
      <c r="F4" s="662" t="s">
        <v>187</v>
      </c>
      <c r="I4" s="6"/>
      <c r="J4" s="880"/>
      <c r="K4" s="880"/>
      <c r="L4" s="6"/>
      <c r="O4" s="880" t="s">
        <v>279</v>
      </c>
      <c r="P4" s="1113"/>
      <c r="Q4" s="1114"/>
      <c r="R4" s="1113"/>
      <c r="S4" s="1113"/>
      <c r="T4" s="1113"/>
      <c r="U4" s="1113"/>
      <c r="V4" s="1113"/>
      <c r="W4" s="1113"/>
      <c r="X4" s="1113"/>
      <c r="Y4" s="1113"/>
      <c r="Z4" s="1113"/>
      <c r="AA4" s="1113"/>
      <c r="AB4" s="1113"/>
      <c r="AC4" s="1113"/>
      <c r="AD4" s="1113"/>
      <c r="AE4" s="1113"/>
      <c r="AF4" s="1113"/>
      <c r="AM4" s="355"/>
      <c r="AN4" s="355"/>
      <c r="AO4" s="355"/>
      <c r="AP4" s="355"/>
      <c r="AQ4" s="355"/>
      <c r="AR4" s="355"/>
      <c r="AS4" s="355"/>
      <c r="AT4" s="355"/>
      <c r="AU4" s="355"/>
      <c r="AV4" s="355"/>
      <c r="AW4" s="355"/>
    </row>
    <row r="5" spans="1:49" ht="16.5" thickBot="1" x14ac:dyDescent="0.3">
      <c r="A5" s="663" t="s">
        <v>143</v>
      </c>
      <c r="B5" s="881">
        <v>2</v>
      </c>
      <c r="C5" s="882">
        <v>15</v>
      </c>
      <c r="D5" s="171">
        <f>+C5*B5</f>
        <v>30</v>
      </c>
      <c r="E5" s="883">
        <v>0.3</v>
      </c>
      <c r="F5" s="664">
        <f>+D5*E5</f>
        <v>9</v>
      </c>
      <c r="G5" s="624"/>
      <c r="H5" s="22" t="s">
        <v>280</v>
      </c>
      <c r="I5" s="877">
        <f>171-180</f>
        <v>-9</v>
      </c>
      <c r="J5" s="876"/>
      <c r="K5" s="876"/>
      <c r="L5" s="22" t="s">
        <v>281</v>
      </c>
      <c r="M5" s="877">
        <f>Azi_pvG</f>
        <v>-9</v>
      </c>
      <c r="N5" s="884">
        <f>+IF($M$3="G",Azi_pvG,Azi_pvD)</f>
        <v>-9</v>
      </c>
      <c r="O5" s="885">
        <f>90-$J$3</f>
        <v>71.737110057805864</v>
      </c>
      <c r="P5" s="1115"/>
      <c r="Q5" s="1111"/>
      <c r="R5" s="1116"/>
      <c r="S5" s="1111"/>
      <c r="T5" s="1111"/>
      <c r="U5" s="1112"/>
      <c r="V5" s="1115"/>
      <c r="W5" s="1139"/>
      <c r="X5" s="1139"/>
      <c r="Y5" s="1112"/>
      <c r="Z5" s="1112"/>
      <c r="AA5" s="1112"/>
      <c r="AB5" s="1112"/>
      <c r="AC5" s="1112"/>
      <c r="AD5" s="1117"/>
      <c r="AE5" s="1117"/>
      <c r="AF5" s="1112"/>
    </row>
    <row r="6" spans="1:49" s="6" customFormat="1" ht="11.25" x14ac:dyDescent="0.2">
      <c r="A6" s="560" t="s">
        <v>138</v>
      </c>
      <c r="B6" s="8">
        <f>1.776+0.002+0.01</f>
        <v>1.788</v>
      </c>
      <c r="C6" s="8">
        <f>1.052+0.002+0.01</f>
        <v>1.0640000000000001</v>
      </c>
      <c r="E6" s="623"/>
      <c r="F6" s="597"/>
      <c r="G6" s="25"/>
      <c r="N6" s="18"/>
      <c r="P6" s="563"/>
      <c r="Q6" s="563"/>
      <c r="R6" s="1104"/>
      <c r="S6" s="1105"/>
      <c r="T6" s="1104"/>
      <c r="U6" s="563"/>
      <c r="V6" s="1115"/>
      <c r="W6" s="1140"/>
      <c r="X6" s="1141"/>
      <c r="Y6" s="563"/>
      <c r="Z6" s="563"/>
      <c r="AA6" s="563"/>
      <c r="AB6" s="563"/>
      <c r="AC6" s="563"/>
      <c r="AD6" s="1117"/>
      <c r="AE6" s="1117"/>
      <c r="AF6" s="563"/>
      <c r="AM6" s="355"/>
      <c r="AN6" s="355"/>
      <c r="AO6" s="355"/>
      <c r="AP6" s="355"/>
      <c r="AQ6" s="355"/>
      <c r="AR6" s="355"/>
      <c r="AS6" s="355"/>
      <c r="AT6" s="355"/>
      <c r="AU6" s="355"/>
      <c r="AV6" s="355"/>
      <c r="AW6" s="355"/>
    </row>
    <row r="7" spans="1:49" s="6" customFormat="1" ht="19.5" thickBot="1" x14ac:dyDescent="0.35">
      <c r="A7" s="16" t="s">
        <v>162</v>
      </c>
      <c r="D7" s="665"/>
      <c r="F7" s="8"/>
      <c r="G7" s="26"/>
      <c r="H7" s="563"/>
      <c r="I7" s="563"/>
      <c r="M7" s="666" t="s">
        <v>144</v>
      </c>
      <c r="N7" s="26"/>
      <c r="O7" s="18"/>
      <c r="P7" s="18"/>
      <c r="S7" s="666" t="s">
        <v>144</v>
      </c>
      <c r="U7" s="26"/>
      <c r="V7" s="1115"/>
      <c r="W7" s="1142"/>
      <c r="X7" s="1141"/>
      <c r="Y7" s="1118"/>
      <c r="Z7" s="1105"/>
      <c r="AA7" s="563"/>
      <c r="AB7" s="563"/>
      <c r="AC7" s="563"/>
      <c r="AD7" s="563"/>
      <c r="AE7" s="563"/>
      <c r="AF7" s="563"/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</row>
    <row r="8" spans="1:49" s="19" customFormat="1" ht="16.5" thickBot="1" x14ac:dyDescent="0.3">
      <c r="A8" s="659" t="s">
        <v>300</v>
      </c>
      <c r="D8" s="105"/>
      <c r="E8" s="886">
        <v>3.12</v>
      </c>
      <c r="F8" s="668" t="s">
        <v>234</v>
      </c>
      <c r="H8" s="29"/>
      <c r="I8" s="31"/>
      <c r="L8" s="667" t="s">
        <v>169</v>
      </c>
      <c r="M8" s="29"/>
      <c r="O8" s="29"/>
      <c r="P8" s="34"/>
      <c r="R8" s="667" t="s">
        <v>170</v>
      </c>
      <c r="S8" s="29"/>
      <c r="U8" s="29"/>
      <c r="V8" s="29"/>
      <c r="Y8" s="667" t="s">
        <v>171</v>
      </c>
      <c r="Z8" s="668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69" t="s">
        <v>172</v>
      </c>
      <c r="B9" s="887" t="s">
        <v>173</v>
      </c>
      <c r="C9" s="887" t="s">
        <v>174</v>
      </c>
      <c r="D9" s="887" t="s">
        <v>177</v>
      </c>
      <c r="E9" s="888" t="s">
        <v>178</v>
      </c>
      <c r="F9" s="669" t="s">
        <v>175</v>
      </c>
      <c r="G9" s="669" t="s">
        <v>176</v>
      </c>
      <c r="H9" s="670" t="s">
        <v>147</v>
      </c>
      <c r="I9" s="671" t="s">
        <v>179</v>
      </c>
      <c r="L9" s="672" t="s">
        <v>149</v>
      </c>
      <c r="M9" s="680" t="s">
        <v>150</v>
      </c>
      <c r="N9" s="680" t="s">
        <v>151</v>
      </c>
      <c r="O9" s="680" t="s">
        <v>152</v>
      </c>
      <c r="P9" s="34"/>
      <c r="R9" s="672" t="s">
        <v>149</v>
      </c>
      <c r="S9" s="680" t="s">
        <v>150</v>
      </c>
      <c r="T9" s="680" t="s">
        <v>151</v>
      </c>
      <c r="U9" s="680" t="s">
        <v>152</v>
      </c>
      <c r="V9" s="558"/>
      <c r="W9" s="785" t="s">
        <v>336</v>
      </c>
      <c r="X9" s="558"/>
      <c r="Y9" s="558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81" t="s">
        <v>337</v>
      </c>
      <c r="B10" s="889">
        <v>6.74</v>
      </c>
      <c r="C10" s="890">
        <v>-12.24</v>
      </c>
      <c r="D10" s="889">
        <v>1.0900000000000003</v>
      </c>
      <c r="E10" s="890">
        <v>-2.0299999999999998</v>
      </c>
      <c r="F10" s="891">
        <f>DEGREES(ATAN2(H10,D10))</f>
        <v>1.5008840724735693</v>
      </c>
      <c r="G10" s="891">
        <f>DEGREES(ATAN2(H10,E10))</f>
        <v>-2.7936480401976396</v>
      </c>
      <c r="H10" s="554">
        <f>SQRT(POWER(N10-T$10,2)+POWER(M10-S$10,2))</f>
        <v>41.600890615466469</v>
      </c>
      <c r="I10" s="674">
        <f>(F10-G10)/(B10-C10)</f>
        <v>0.22626618085728178</v>
      </c>
      <c r="J10" s="43"/>
      <c r="K10" s="43"/>
      <c r="L10" s="782" t="str">
        <f>A10</f>
        <v>Panneau  Face Berjean</v>
      </c>
      <c r="M10" s="892">
        <v>509.1</v>
      </c>
      <c r="N10" s="893">
        <v>600.80999999999995</v>
      </c>
      <c r="O10" s="894">
        <v>168.36</v>
      </c>
      <c r="P10" s="811"/>
      <c r="Q10" s="811"/>
      <c r="R10" s="783" t="s">
        <v>339</v>
      </c>
      <c r="S10" s="892">
        <v>511.35</v>
      </c>
      <c r="T10" s="893">
        <v>642.35</v>
      </c>
      <c r="U10" s="1151">
        <v>168.03</v>
      </c>
      <c r="V10" s="675" t="s">
        <v>180</v>
      </c>
      <c r="W10" s="895">
        <v>1.55</v>
      </c>
      <c r="X10" s="811" t="s">
        <v>85</v>
      </c>
      <c r="Y10" s="613" t="s">
        <v>335</v>
      </c>
      <c r="Z10" s="616"/>
      <c r="AA10" s="558"/>
      <c r="AB10" s="558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81" t="s">
        <v>339</v>
      </c>
      <c r="B11" s="896">
        <v>-2.1</v>
      </c>
      <c r="C11" s="897">
        <v>-6.1</v>
      </c>
      <c r="D11" s="896">
        <f>2.86*B11/(B11-C11)</f>
        <v>-1.5015000000000003</v>
      </c>
      <c r="E11" s="897">
        <f t="shared" ref="E11" si="0">+D11*C11/B11</f>
        <v>-4.3615000000000004</v>
      </c>
      <c r="F11" s="891">
        <f>DEGREES(ATAN2(H11,D11))</f>
        <v>-0.97872297579643308</v>
      </c>
      <c r="G11" s="891">
        <f>DEGREES(ATAN2(H11,E11))</f>
        <v>-2.8409033673207467</v>
      </c>
      <c r="H11" s="554">
        <f>SQRT(POWER(N11-T$11,2)+POWER(M11-S$11,2))</f>
        <v>87.891310719547235</v>
      </c>
      <c r="I11" s="674">
        <f>(F11-G11)/(B11-C11)</f>
        <v>0.46554509788107845</v>
      </c>
      <c r="J11" s="117"/>
      <c r="K11" s="43"/>
      <c r="L11" s="782" t="str">
        <f>A11</f>
        <v>Entrée Berjean porte ouest</v>
      </c>
      <c r="M11" s="898">
        <v>511.35</v>
      </c>
      <c r="N11" s="617">
        <v>642.35</v>
      </c>
      <c r="O11" s="899">
        <v>168.03</v>
      </c>
      <c r="P11" s="812"/>
      <c r="Q11" s="812"/>
      <c r="R11" s="784" t="s">
        <v>338</v>
      </c>
      <c r="S11" s="898">
        <v>536.41999999999996</v>
      </c>
      <c r="T11" s="617">
        <v>558.11</v>
      </c>
      <c r="U11" s="899">
        <v>169.69</v>
      </c>
      <c r="V11" s="676" t="s">
        <v>181</v>
      </c>
      <c r="W11" s="900">
        <f>+Hobs1+U11-U10</f>
        <v>3.210000000000008</v>
      </c>
      <c r="X11" s="812" t="s">
        <v>85</v>
      </c>
      <c r="Y11" s="614" t="s">
        <v>334</v>
      </c>
      <c r="Z11" s="616"/>
      <c r="AA11" s="558"/>
      <c r="AB11" s="558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81"/>
      <c r="B12" s="901"/>
      <c r="C12" s="902"/>
      <c r="D12" s="901"/>
      <c r="E12" s="902"/>
      <c r="F12" s="891" t="e">
        <f>DEGREES(ATAN2(H12,D12))</f>
        <v>#DIV/0!</v>
      </c>
      <c r="G12" s="891" t="e">
        <f>DEGREES(ATAN2(H12,E12))</f>
        <v>#DIV/0!</v>
      </c>
      <c r="H12" s="554">
        <f>SQRT(POWER(N12-T$12,2)+POWER(M12-S$12,2))</f>
        <v>0</v>
      </c>
      <c r="I12" s="674" t="e">
        <f>(F12-G12)/(B12-C12)</f>
        <v>#DIV/0!</v>
      </c>
      <c r="J12" s="117"/>
      <c r="K12" s="43"/>
      <c r="L12" s="782">
        <f>A12</f>
        <v>0</v>
      </c>
      <c r="M12" s="903"/>
      <c r="N12" s="904"/>
      <c r="O12" s="905"/>
      <c r="P12" s="812"/>
      <c r="Q12" s="812"/>
      <c r="R12" s="784"/>
      <c r="S12" s="903"/>
      <c r="T12" s="904"/>
      <c r="U12" s="905"/>
      <c r="V12" s="676" t="s">
        <v>235</v>
      </c>
      <c r="W12" s="906"/>
      <c r="X12" s="812" t="s">
        <v>85</v>
      </c>
      <c r="Y12" s="614"/>
      <c r="Z12" s="616"/>
      <c r="AA12" s="558"/>
      <c r="AB12" s="558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60"/>
      <c r="C13" s="1095" t="s">
        <v>320</v>
      </c>
      <c r="D13" s="10" t="e">
        <f>Hrm*B13/(B13-C13)</f>
        <v>#VALUE!</v>
      </c>
      <c r="E13" s="1096" t="e">
        <f>+D13*C13/B13</f>
        <v>#VALUE!</v>
      </c>
      <c r="F13" s="563"/>
      <c r="G13" s="1100"/>
      <c r="H13" s="1101"/>
      <c r="I13" s="1102"/>
      <c r="J13" s="563"/>
      <c r="K13" s="563"/>
      <c r="L13" s="563"/>
      <c r="O13" s="18"/>
      <c r="P13" s="1103"/>
      <c r="Q13" s="563"/>
      <c r="R13" s="563"/>
      <c r="U13" s="786"/>
      <c r="V13" s="26"/>
      <c r="Y13" s="1104"/>
      <c r="Z13" s="1105"/>
      <c r="AA13" s="1106"/>
      <c r="AB13" s="1107"/>
      <c r="AC13" s="1108"/>
      <c r="AD13" s="1107"/>
      <c r="AM13" s="355"/>
      <c r="AN13" s="355"/>
      <c r="AO13" s="355"/>
      <c r="AP13" s="355"/>
      <c r="AQ13" s="355"/>
      <c r="AR13" s="355"/>
      <c r="AS13" s="355"/>
      <c r="AT13" s="355"/>
      <c r="AU13" s="355"/>
      <c r="AV13" s="355"/>
      <c r="AW13" s="355"/>
    </row>
    <row r="14" spans="1:49" s="19" customFormat="1" ht="15.75" x14ac:dyDescent="0.25">
      <c r="A14" s="659" t="s">
        <v>160</v>
      </c>
      <c r="B14" s="679"/>
      <c r="C14" s="28"/>
      <c r="D14" s="666" t="s">
        <v>301</v>
      </c>
      <c r="E14" s="71"/>
      <c r="F14" s="82"/>
      <c r="G14" s="879" t="s">
        <v>183</v>
      </c>
      <c r="K14" s="1007" t="s">
        <v>302</v>
      </c>
      <c r="L14" s="1006">
        <f>+CHOOSE(N14,L16,L17,L18,L19)</f>
        <v>4.181495325696047</v>
      </c>
      <c r="M14" s="136" t="s">
        <v>282</v>
      </c>
      <c r="N14" s="907">
        <f>IF(M3="D",3,IF(M3="C",2,1))</f>
        <v>1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80" t="s">
        <v>149</v>
      </c>
      <c r="B15" s="681" t="s">
        <v>182</v>
      </c>
      <c r="C15" s="680" t="s">
        <v>145</v>
      </c>
      <c r="D15" s="680" t="s">
        <v>150</v>
      </c>
      <c r="E15" s="680" t="s">
        <v>151</v>
      </c>
      <c r="F15" s="1016" t="s">
        <v>283</v>
      </c>
      <c r="G15" s="1015" t="s">
        <v>184</v>
      </c>
      <c r="H15" s="680" t="s">
        <v>153</v>
      </c>
      <c r="I15" s="680" t="s">
        <v>155</v>
      </c>
      <c r="J15" s="680" t="s">
        <v>146</v>
      </c>
      <c r="K15" s="680" t="s">
        <v>147</v>
      </c>
      <c r="L15" s="680" t="s">
        <v>148</v>
      </c>
      <c r="M15" s="680" t="s">
        <v>154</v>
      </c>
      <c r="N15" s="682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59" t="s">
        <v>294</v>
      </c>
      <c r="B16" s="908">
        <v>2</v>
      </c>
      <c r="C16" s="968">
        <v>1.34</v>
      </c>
      <c r="D16" s="909">
        <v>514.60750000000007</v>
      </c>
      <c r="E16" s="909">
        <v>644.62625000000003</v>
      </c>
      <c r="F16" s="981"/>
      <c r="G16" s="985"/>
      <c r="H16" s="985"/>
      <c r="I16" s="985"/>
      <c r="J16" s="992">
        <f>IF(B16="",0,C16*CHOOSE(B16,Rata1,Rata2,Rata3))</f>
        <v>0.62383043116064518</v>
      </c>
      <c r="K16" s="987">
        <f>IF(B16="",0,SQRT(+POWER(D16-CHOOSE(B16,$S$10,$S$11,$S$12),2)+POWER(E16-CHOOSE(B16,$T$10,$T$11,$T$12),2)))</f>
        <v>89.223576874683175</v>
      </c>
      <c r="L16" s="1138">
        <f>IF(B16="",0,K16*TAN(RADIANS(J16))+CHOOSE(B16,Hobs1,Hobs2,Hobs3))</f>
        <v>4.181495325696047</v>
      </c>
      <c r="M16" s="993"/>
      <c r="N16" s="1002" t="str">
        <f t="shared" ref="N16:N43" si="1">A16</f>
        <v>Centre du champ PV G.: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60"/>
      <c r="B17" s="910"/>
      <c r="C17" s="969"/>
      <c r="D17" s="911"/>
      <c r="E17" s="911"/>
      <c r="F17" s="982"/>
      <c r="G17" s="972"/>
      <c r="H17" s="972"/>
      <c r="I17" s="972"/>
      <c r="J17" s="994">
        <f>IF(B17="",0,C17*CHOOSE(B17,Rata1,Rata2,Rata3))</f>
        <v>0</v>
      </c>
      <c r="K17" s="989">
        <f>IF(B17="",0,SQRT(+POWER(D17-CHOOSE(B17,$S$10,$S$11,$S$12),2)+POWER(E17-CHOOSE(B17,$T$10,$T$11,$T$12),2)))</f>
        <v>0</v>
      </c>
      <c r="L17" s="988">
        <f>IF(B17="",0,K17*TAN(RADIANS(J17))+CHOOSE(B17,Hobs1,Hobs2,Hobs3))</f>
        <v>0</v>
      </c>
      <c r="M17" s="995"/>
      <c r="N17" s="1003">
        <f t="shared" si="1"/>
        <v>0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60" t="s">
        <v>295</v>
      </c>
      <c r="B18" s="910">
        <v>2</v>
      </c>
      <c r="C18" s="969">
        <v>1.34</v>
      </c>
      <c r="D18" s="911">
        <v>507.23250000000002</v>
      </c>
      <c r="E18" s="911">
        <v>643.49874999999997</v>
      </c>
      <c r="F18" s="983"/>
      <c r="G18" s="973"/>
      <c r="H18" s="973"/>
      <c r="I18" s="973"/>
      <c r="J18" s="994">
        <f>IF(B18="",0,C18*CHOOSE(B18,Rata1,Rata2,Rata3))</f>
        <v>0.62383043116064518</v>
      </c>
      <c r="K18" s="989">
        <f>IF(B18="",0,SQRT(+POWER(D18-CHOOSE(B18,$S$10,$S$11,$S$12),2)+POWER(E18-CHOOSE(B18,$T$10,$T$11,$T$12),2)))</f>
        <v>90.239397065874115</v>
      </c>
      <c r="L18" s="1137">
        <f>IF(B18="",0,K18*TAN(RADIANS(J18))+CHOOSE(B18,Hobs1,Hobs2,Hobs3))</f>
        <v>4.1925559063414042</v>
      </c>
      <c r="M18" s="995"/>
      <c r="N18" s="1003" t="str">
        <f t="shared" si="1"/>
        <v>Centre du champ PV D.: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61"/>
      <c r="B19" s="958"/>
      <c r="C19" s="997"/>
      <c r="D19" s="962"/>
      <c r="E19" s="963"/>
      <c r="F19" s="984"/>
      <c r="G19" s="974"/>
      <c r="H19" s="974"/>
      <c r="I19" s="974"/>
      <c r="J19" s="996">
        <f>IF(B19="",0,C19*CHOOSE(B19,Rata1,Rata2,Rata3))</f>
        <v>0</v>
      </c>
      <c r="K19" s="991">
        <f>IF(B19="",0,SQRT(+POWER(D19-CHOOSE(B19,$S$10,$S$11,$S$12),2)+POWER(E19-CHOOSE(B19,$T$10,$T$11,$T$12),2)))</f>
        <v>0</v>
      </c>
      <c r="L19" s="990">
        <f>IF(B19="",0,K19*TAN(RADIANS(J19))+CHOOSE(B19,Hobs1,Hobs2,Hobs3))</f>
        <v>0</v>
      </c>
      <c r="M19" s="998"/>
      <c r="N19" s="1004">
        <f t="shared" si="1"/>
        <v>0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12" t="s">
        <v>161</v>
      </c>
      <c r="B20" s="910"/>
      <c r="C20" s="969"/>
      <c r="D20" s="911"/>
      <c r="E20" s="911"/>
      <c r="F20" s="971"/>
      <c r="G20" s="999">
        <f t="shared" ref="G20:G42" si="2">IF(AND(H20=H21,H20&gt;=Azi_pv_sel+90),"",P57-P56)</f>
        <v>90</v>
      </c>
      <c r="H20" s="975">
        <f>+Azi_pv_sel-180</f>
        <v>-189</v>
      </c>
      <c r="I20" s="976">
        <f>J3</f>
        <v>18.262889942194128</v>
      </c>
      <c r="J20" s="994">
        <f t="shared" ref="J20:J42" si="3">IF(B20="",0,C20*CHOOSE(B20,Rata1,Rata2,Rata3))</f>
        <v>0</v>
      </c>
      <c r="K20" s="989">
        <f t="shared" ref="K20:K42" si="4">IF(B20="",0,SQRT(+POWER(D20-CHOOSE(B20,$S$10,$S$11,$S$12),2)+POWER(E20-CHOOSE(B20,$T$10,$T$11,$T$12),2)))</f>
        <v>0</v>
      </c>
      <c r="L20" s="988">
        <f t="shared" ref="L20:L42" si="5">IF(B20="",0,K20*TAN(RADIANS(J20))+CHOOSE(B20,Hobs1,Hobs2,Hobs3))</f>
        <v>0</v>
      </c>
      <c r="M20" s="989">
        <f t="shared" ref="M20:M42" si="6">IF(B20="",0,SQRT(POWER($E20-CHOOSE($N$14,E$16,E$17,E$18,E$19),2)+POWER($D20-CHOOSE($N$14,D$16,D$17,D$18,D$19),2)))</f>
        <v>0</v>
      </c>
      <c r="N20" s="1000" t="str">
        <f t="shared" si="1"/>
        <v>Arrière PV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12" t="s">
        <v>332</v>
      </c>
      <c r="B21" s="910"/>
      <c r="C21" s="969"/>
      <c r="D21" s="911"/>
      <c r="E21" s="911"/>
      <c r="F21" s="971"/>
      <c r="G21" s="999">
        <f t="shared" si="2"/>
        <v>74.002025921255765</v>
      </c>
      <c r="H21" s="977">
        <f>+Azi_pv_sel-90</f>
        <v>-99</v>
      </c>
      <c r="I21" s="978">
        <v>7</v>
      </c>
      <c r="J21" s="994">
        <f t="shared" si="3"/>
        <v>0</v>
      </c>
      <c r="K21" s="989">
        <f t="shared" si="4"/>
        <v>0</v>
      </c>
      <c r="L21" s="988">
        <f t="shared" si="5"/>
        <v>0</v>
      </c>
      <c r="M21" s="989">
        <f t="shared" si="6"/>
        <v>0</v>
      </c>
      <c r="N21" s="1000" t="str">
        <f t="shared" si="1"/>
        <v>Toit G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12" t="s">
        <v>326</v>
      </c>
      <c r="B22" s="910">
        <v>1</v>
      </c>
      <c r="C22" s="969">
        <v>17.22</v>
      </c>
      <c r="D22" s="911">
        <v>556.84</v>
      </c>
      <c r="E22" s="911">
        <v>554.04999999999995</v>
      </c>
      <c r="F22" s="971"/>
      <c r="G22" s="999">
        <f t="shared" si="2"/>
        <v>14.723398497576074</v>
      </c>
      <c r="H22" s="977">
        <f t="shared" ref="H22:H31" si="7">DEGREES(ATAN2(CHOOSE($N$14,E$16,E$17,E$18,E$19)-$E22,CHOOSE($N$14,D$16,D$17,D$18,D$19)-$D22))</f>
        <v>-24.997974078744232</v>
      </c>
      <c r="I22" s="978">
        <f t="shared" ref="I22:I31" si="8">DEGREES(ATAN2(M22,$L22-L$14))</f>
        <v>2.3685113890269558</v>
      </c>
      <c r="J22" s="994">
        <f t="shared" si="3"/>
        <v>3.896303634362392</v>
      </c>
      <c r="K22" s="989">
        <f t="shared" si="4"/>
        <v>99.328898614652999</v>
      </c>
      <c r="L22" s="988">
        <f t="shared" si="5"/>
        <v>8.315127133481786</v>
      </c>
      <c r="M22" s="989">
        <f t="shared" si="6"/>
        <v>99.938186497016801</v>
      </c>
      <c r="N22" s="1000" t="str">
        <f t="shared" si="1"/>
        <v>Arbre 1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12" t="s">
        <v>325</v>
      </c>
      <c r="B23" s="910">
        <v>1</v>
      </c>
      <c r="C23" s="969">
        <v>43.22</v>
      </c>
      <c r="D23" s="911">
        <v>528.89</v>
      </c>
      <c r="E23" s="911">
        <v>561.83000000000004</v>
      </c>
      <c r="F23" s="971" t="s">
        <v>340</v>
      </c>
      <c r="G23" s="999">
        <f t="shared" si="2"/>
        <v>7.5010000000000012</v>
      </c>
      <c r="H23" s="977">
        <f t="shared" si="7"/>
        <v>-9.7873023665029546</v>
      </c>
      <c r="I23" s="978">
        <f t="shared" si="8"/>
        <v>7.8421180507542081</v>
      </c>
      <c r="J23" s="994">
        <f t="shared" si="3"/>
        <v>9.7792243366517191</v>
      </c>
      <c r="K23" s="989">
        <f t="shared" si="4"/>
        <v>82.40826414868836</v>
      </c>
      <c r="L23" s="988">
        <f t="shared" si="5"/>
        <v>15.753607716065806</v>
      </c>
      <c r="M23" s="989">
        <f t="shared" si="6"/>
        <v>84.019097949885747</v>
      </c>
      <c r="N23" s="1000" t="str">
        <f t="shared" si="1"/>
        <v>Arbre 3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12" t="s">
        <v>158</v>
      </c>
      <c r="B24" s="910">
        <v>1</v>
      </c>
      <c r="C24" s="969">
        <v>28.96</v>
      </c>
      <c r="D24" s="911">
        <v>518.28</v>
      </c>
      <c r="E24" s="911">
        <v>568.82000000000005</v>
      </c>
      <c r="F24" s="971"/>
      <c r="G24" s="999">
        <f t="shared" si="2"/>
        <v>9.467746544726916</v>
      </c>
      <c r="H24" s="977">
        <f t="shared" si="7"/>
        <v>-2.7735755811681559</v>
      </c>
      <c r="I24" s="978">
        <f t="shared" si="8"/>
        <v>4.4092166954659682</v>
      </c>
      <c r="J24" s="994">
        <f t="shared" si="3"/>
        <v>6.552668597626881</v>
      </c>
      <c r="K24" s="989">
        <f t="shared" si="4"/>
        <v>73.855844724706756</v>
      </c>
      <c r="L24" s="988">
        <f t="shared" si="5"/>
        <v>10.033590416204383</v>
      </c>
      <c r="M24" s="989">
        <f t="shared" si="6"/>
        <v>75.895156599828539</v>
      </c>
      <c r="N24" s="1000" t="str">
        <f t="shared" si="1"/>
        <v>Arbre 5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12" t="s">
        <v>159</v>
      </c>
      <c r="B25" s="910">
        <v>1</v>
      </c>
      <c r="C25" s="969">
        <v>27.52</v>
      </c>
      <c r="D25" s="911">
        <v>505.01</v>
      </c>
      <c r="E25" s="911">
        <v>575.96</v>
      </c>
      <c r="F25" s="971" t="s">
        <v>340</v>
      </c>
      <c r="G25" s="999">
        <f t="shared" si="2"/>
        <v>7.5010000000000003</v>
      </c>
      <c r="H25" s="977">
        <f t="shared" si="7"/>
        <v>7.9567002072404227</v>
      </c>
      <c r="I25" s="978">
        <f t="shared" si="8"/>
        <v>3.8329541591374192</v>
      </c>
      <c r="J25" s="994">
        <f t="shared" si="3"/>
        <v>6.2268452971923942</v>
      </c>
      <c r="K25" s="989">
        <f t="shared" si="4"/>
        <v>66.692036256212759</v>
      </c>
      <c r="L25" s="988">
        <f t="shared" si="5"/>
        <v>8.8266918344913972</v>
      </c>
      <c r="M25" s="989">
        <f t="shared" si="6"/>
        <v>69.333728410583106</v>
      </c>
      <c r="N25" s="1000" t="str">
        <f t="shared" si="1"/>
        <v>Arbre 6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12" t="s">
        <v>322</v>
      </c>
      <c r="B26" s="910">
        <v>1</v>
      </c>
      <c r="C26" s="969">
        <v>25.54</v>
      </c>
      <c r="D26" s="911">
        <v>498.66</v>
      </c>
      <c r="E26" s="911">
        <v>581.58000000000004</v>
      </c>
      <c r="F26" s="971"/>
      <c r="G26" s="999">
        <f t="shared" si="2"/>
        <v>8.6988596445303923</v>
      </c>
      <c r="H26" s="977">
        <f t="shared" si="7"/>
        <v>14.195170963558761</v>
      </c>
      <c r="I26" s="978">
        <f t="shared" si="8"/>
        <v>3.2135525600095005</v>
      </c>
      <c r="J26" s="994">
        <f t="shared" si="3"/>
        <v>5.7788382590949769</v>
      </c>
      <c r="K26" s="989">
        <f t="shared" si="4"/>
        <v>62.080826347593003</v>
      </c>
      <c r="L26" s="988">
        <f t="shared" si="5"/>
        <v>7.83277561357247</v>
      </c>
      <c r="M26" s="989">
        <f t="shared" si="6"/>
        <v>65.031933658107533</v>
      </c>
      <c r="N26" s="1000" t="str">
        <f t="shared" si="1"/>
        <v>Arbre 7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12" t="s">
        <v>323</v>
      </c>
      <c r="B27" s="910">
        <v>1</v>
      </c>
      <c r="C27" s="969">
        <v>23.57</v>
      </c>
      <c r="D27" s="911">
        <v>489.85</v>
      </c>
      <c r="E27" s="911">
        <v>586</v>
      </c>
      <c r="F27" s="971"/>
      <c r="G27" s="999">
        <f t="shared" si="2"/>
        <v>11.724665396671902</v>
      </c>
      <c r="H27" s="977">
        <f>DEGREES(ATAN2(CHOOSE($N$14,E$16,E$17,E$18,E$19)-$E27,CHOOSE($N$14,D$16,D$17,D$18,D$19)-$D27))</f>
        <v>22.894030608089153</v>
      </c>
      <c r="I27" s="978">
        <f t="shared" si="8"/>
        <v>2.6977430413140722</v>
      </c>
      <c r="J27" s="994">
        <f t="shared" si="3"/>
        <v>5.3330938828061321</v>
      </c>
      <c r="K27" s="989">
        <f t="shared" si="4"/>
        <v>60.312291450416659</v>
      </c>
      <c r="L27" s="988">
        <f t="shared" si="5"/>
        <v>7.1801400044110828</v>
      </c>
      <c r="M27" s="989">
        <f t="shared" si="6"/>
        <v>63.639382424034459</v>
      </c>
      <c r="N27" s="1000" t="str">
        <f t="shared" si="1"/>
        <v>Arbre 8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12" t="s">
        <v>327</v>
      </c>
      <c r="B28" s="910">
        <v>1</v>
      </c>
      <c r="C28" s="969">
        <v>50</v>
      </c>
      <c r="D28" s="911">
        <v>478.83</v>
      </c>
      <c r="E28" s="911">
        <v>592.79999999999995</v>
      </c>
      <c r="F28" s="971"/>
      <c r="G28" s="999">
        <f t="shared" si="2"/>
        <v>12.760296174456691</v>
      </c>
      <c r="H28" s="977">
        <f t="shared" si="7"/>
        <v>34.618696004761055</v>
      </c>
      <c r="I28" s="978">
        <f t="shared" si="8"/>
        <v>8.3343955641045735</v>
      </c>
      <c r="J28" s="994">
        <f t="shared" si="3"/>
        <v>11.313309042864089</v>
      </c>
      <c r="K28" s="989">
        <f t="shared" si="4"/>
        <v>59.26848150577176</v>
      </c>
      <c r="L28" s="988">
        <f t="shared" si="5"/>
        <v>13.407328881556269</v>
      </c>
      <c r="M28" s="989">
        <f t="shared" si="6"/>
        <v>62.976104161122208</v>
      </c>
      <c r="N28" s="1000" t="str">
        <f t="shared" si="1"/>
        <v>Arbre 9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12" t="s">
        <v>328</v>
      </c>
      <c r="B29" s="910">
        <v>1</v>
      </c>
      <c r="C29" s="969">
        <v>46</v>
      </c>
      <c r="D29" s="911">
        <v>463.95</v>
      </c>
      <c r="E29" s="911">
        <v>598.01</v>
      </c>
      <c r="F29" s="971"/>
      <c r="G29" s="999">
        <f t="shared" si="2"/>
        <v>15.90800144123078</v>
      </c>
      <c r="H29" s="977">
        <f t="shared" si="7"/>
        <v>47.378992179217747</v>
      </c>
      <c r="I29" s="978">
        <f t="shared" si="8"/>
        <v>7.6859492064215438</v>
      </c>
      <c r="J29" s="994">
        <f t="shared" si="3"/>
        <v>10.408244319434962</v>
      </c>
      <c r="K29" s="989">
        <f t="shared" si="4"/>
        <v>64.906052106101839</v>
      </c>
      <c r="L29" s="988">
        <f t="shared" si="5"/>
        <v>13.472143948754677</v>
      </c>
      <c r="M29" s="989">
        <f t="shared" si="6"/>
        <v>68.842262239938862</v>
      </c>
      <c r="N29" s="1000" t="str">
        <f t="shared" si="1"/>
        <v>Arbre 10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12" t="s">
        <v>329</v>
      </c>
      <c r="B30" s="910">
        <v>1</v>
      </c>
      <c r="C30" s="969">
        <v>21</v>
      </c>
      <c r="D30" s="911">
        <v>448.86</v>
      </c>
      <c r="E30" s="911">
        <v>611.54</v>
      </c>
      <c r="F30" s="971" t="s">
        <v>135</v>
      </c>
      <c r="G30" s="999">
        <f t="shared" si="2"/>
        <v>7.5010000000000048</v>
      </c>
      <c r="H30" s="977">
        <f t="shared" si="7"/>
        <v>63.286993620448527</v>
      </c>
      <c r="I30" s="978">
        <f t="shared" si="8"/>
        <v>2.4582005694636244</v>
      </c>
      <c r="J30" s="994">
        <f t="shared" si="3"/>
        <v>4.7515897980029171</v>
      </c>
      <c r="K30" s="989">
        <f t="shared" si="4"/>
        <v>69.672492419892691</v>
      </c>
      <c r="L30" s="988">
        <f t="shared" si="5"/>
        <v>7.3412842457109377</v>
      </c>
      <c r="M30" s="989">
        <f t="shared" si="6"/>
        <v>73.603217968459177</v>
      </c>
      <c r="N30" s="1000" t="str">
        <f t="shared" si="1"/>
        <v>Arbre 11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12" t="s">
        <v>330</v>
      </c>
      <c r="B31" s="910">
        <v>1</v>
      </c>
      <c r="C31" s="969">
        <v>21</v>
      </c>
      <c r="D31" s="911">
        <v>437.83</v>
      </c>
      <c r="E31" s="911">
        <v>616.20000000000005</v>
      </c>
      <c r="F31" s="971"/>
      <c r="G31" s="999">
        <f t="shared" si="2"/>
        <v>10.212006379551468</v>
      </c>
      <c r="H31" s="977">
        <f t="shared" si="7"/>
        <v>69.683334681153909</v>
      </c>
      <c r="I31" s="978">
        <f t="shared" si="8"/>
        <v>2.6956170767670109</v>
      </c>
      <c r="J31" s="994">
        <f t="shared" si="3"/>
        <v>4.7515897980029171</v>
      </c>
      <c r="K31" s="989">
        <f t="shared" si="4"/>
        <v>78.032127357903079</v>
      </c>
      <c r="L31" s="988">
        <f t="shared" si="5"/>
        <v>8.0361499012213695</v>
      </c>
      <c r="M31" s="989">
        <f t="shared" si="6"/>
        <v>81.870850705928987</v>
      </c>
      <c r="N31" s="1000" t="str">
        <f t="shared" si="1"/>
        <v>Arbre 12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12" t="s">
        <v>333</v>
      </c>
      <c r="B32" s="910"/>
      <c r="C32" s="970"/>
      <c r="D32" s="911"/>
      <c r="E32" s="911"/>
      <c r="F32" s="971"/>
      <c r="G32" s="999">
        <f t="shared" si="2"/>
        <v>90</v>
      </c>
      <c r="H32" s="977">
        <f>+Azi_pv_sel+90</f>
        <v>81</v>
      </c>
      <c r="I32" s="978">
        <v>1</v>
      </c>
      <c r="J32" s="994">
        <f t="shared" si="3"/>
        <v>0</v>
      </c>
      <c r="K32" s="989">
        <f t="shared" si="4"/>
        <v>0</v>
      </c>
      <c r="L32" s="988">
        <f t="shared" si="5"/>
        <v>0</v>
      </c>
      <c r="M32" s="989">
        <f t="shared" si="6"/>
        <v>0</v>
      </c>
      <c r="N32" s="1000" t="str">
        <f t="shared" si="1"/>
        <v>Toit D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12" t="s">
        <v>161</v>
      </c>
      <c r="B33" s="910"/>
      <c r="C33" s="970"/>
      <c r="D33" s="911"/>
      <c r="E33" s="911"/>
      <c r="F33" s="971"/>
      <c r="G33" s="999" t="str">
        <f t="shared" si="2"/>
        <v/>
      </c>
      <c r="H33" s="977">
        <f>+Azi_pv_sel+180</f>
        <v>171</v>
      </c>
      <c r="I33" s="978">
        <f>$J$3</f>
        <v>18.262889942194128</v>
      </c>
      <c r="J33" s="994">
        <f t="shared" si="3"/>
        <v>0</v>
      </c>
      <c r="K33" s="989">
        <f t="shared" si="4"/>
        <v>0</v>
      </c>
      <c r="L33" s="988">
        <f t="shared" si="5"/>
        <v>0</v>
      </c>
      <c r="M33" s="989">
        <f t="shared" si="6"/>
        <v>0</v>
      </c>
      <c r="N33" s="1000" t="str">
        <f t="shared" si="1"/>
        <v>Arrière PV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12"/>
      <c r="B34" s="910"/>
      <c r="C34" s="970"/>
      <c r="D34" s="911"/>
      <c r="E34" s="911"/>
      <c r="F34" s="971"/>
      <c r="G34" s="999" t="str">
        <f t="shared" si="2"/>
        <v/>
      </c>
      <c r="H34" s="977">
        <f t="shared" ref="H34:I34" si="9">+H33</f>
        <v>171</v>
      </c>
      <c r="I34" s="978">
        <f t="shared" si="9"/>
        <v>18.262889942194128</v>
      </c>
      <c r="J34" s="994">
        <f t="shared" si="3"/>
        <v>0</v>
      </c>
      <c r="K34" s="989">
        <f t="shared" si="4"/>
        <v>0</v>
      </c>
      <c r="L34" s="988">
        <f t="shared" si="5"/>
        <v>0</v>
      </c>
      <c r="M34" s="989">
        <f t="shared" si="6"/>
        <v>0</v>
      </c>
      <c r="N34" s="1000">
        <f t="shared" si="1"/>
        <v>0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12"/>
      <c r="B35" s="910"/>
      <c r="C35" s="964"/>
      <c r="D35" s="911"/>
      <c r="E35" s="911"/>
      <c r="F35" s="971"/>
      <c r="G35" s="999" t="str">
        <f t="shared" si="2"/>
        <v/>
      </c>
      <c r="H35" s="977">
        <f t="shared" ref="H35:I35" si="10">+H34</f>
        <v>171</v>
      </c>
      <c r="I35" s="978">
        <f t="shared" si="10"/>
        <v>18.262889942194128</v>
      </c>
      <c r="J35" s="994">
        <f t="shared" si="3"/>
        <v>0</v>
      </c>
      <c r="K35" s="989">
        <f t="shared" si="4"/>
        <v>0</v>
      </c>
      <c r="L35" s="988">
        <f t="shared" si="5"/>
        <v>0</v>
      </c>
      <c r="M35" s="989">
        <f t="shared" si="6"/>
        <v>0</v>
      </c>
      <c r="N35" s="1000">
        <f t="shared" si="1"/>
        <v>0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12"/>
      <c r="B36" s="910"/>
      <c r="C36" s="964"/>
      <c r="D36" s="911"/>
      <c r="E36" s="911"/>
      <c r="F36" s="971"/>
      <c r="G36" s="999" t="str">
        <f t="shared" si="2"/>
        <v/>
      </c>
      <c r="H36" s="977">
        <f t="shared" ref="H36:I36" si="11">+H35</f>
        <v>171</v>
      </c>
      <c r="I36" s="978">
        <f t="shared" si="11"/>
        <v>18.262889942194128</v>
      </c>
      <c r="J36" s="994">
        <f t="shared" si="3"/>
        <v>0</v>
      </c>
      <c r="K36" s="989">
        <f t="shared" si="4"/>
        <v>0</v>
      </c>
      <c r="L36" s="988">
        <f t="shared" si="5"/>
        <v>0</v>
      </c>
      <c r="M36" s="989">
        <f t="shared" si="6"/>
        <v>0</v>
      </c>
      <c r="N36" s="1000">
        <f t="shared" si="1"/>
        <v>0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12"/>
      <c r="B37" s="910"/>
      <c r="C37" s="964"/>
      <c r="D37" s="911"/>
      <c r="E37" s="911"/>
      <c r="F37" s="971"/>
      <c r="G37" s="999" t="str">
        <f t="shared" si="2"/>
        <v/>
      </c>
      <c r="H37" s="977">
        <f t="shared" ref="H37:I37" si="12">+H36</f>
        <v>171</v>
      </c>
      <c r="I37" s="978">
        <f t="shared" si="12"/>
        <v>18.262889942194128</v>
      </c>
      <c r="J37" s="994">
        <f t="shared" si="3"/>
        <v>0</v>
      </c>
      <c r="K37" s="989">
        <f t="shared" si="4"/>
        <v>0</v>
      </c>
      <c r="L37" s="988">
        <f t="shared" si="5"/>
        <v>0</v>
      </c>
      <c r="M37" s="989">
        <f t="shared" si="6"/>
        <v>0</v>
      </c>
      <c r="N37" s="1000">
        <f t="shared" si="1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12"/>
      <c r="B38" s="910"/>
      <c r="C38" s="964"/>
      <c r="D38" s="911"/>
      <c r="E38" s="911"/>
      <c r="F38" s="971"/>
      <c r="G38" s="999" t="str">
        <f t="shared" si="2"/>
        <v/>
      </c>
      <c r="H38" s="977">
        <f t="shared" ref="H38:I38" si="13">+H37</f>
        <v>171</v>
      </c>
      <c r="I38" s="978">
        <f t="shared" si="13"/>
        <v>18.262889942194128</v>
      </c>
      <c r="J38" s="994">
        <f t="shared" si="3"/>
        <v>0</v>
      </c>
      <c r="K38" s="989">
        <f t="shared" si="4"/>
        <v>0</v>
      </c>
      <c r="L38" s="988">
        <f t="shared" si="5"/>
        <v>0</v>
      </c>
      <c r="M38" s="989">
        <f t="shared" si="6"/>
        <v>0</v>
      </c>
      <c r="N38" s="1000">
        <f t="shared" si="1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12"/>
      <c r="B39" s="910"/>
      <c r="C39" s="964"/>
      <c r="D39" s="911"/>
      <c r="E39" s="911"/>
      <c r="F39" s="971"/>
      <c r="G39" s="999" t="str">
        <f t="shared" si="2"/>
        <v/>
      </c>
      <c r="H39" s="977">
        <f t="shared" ref="H39:H43" si="14">+H38</f>
        <v>171</v>
      </c>
      <c r="I39" s="978">
        <f t="shared" ref="I39:I43" si="15">+I38</f>
        <v>18.262889942194128</v>
      </c>
      <c r="J39" s="994">
        <f t="shared" si="3"/>
        <v>0</v>
      </c>
      <c r="K39" s="989">
        <f t="shared" si="4"/>
        <v>0</v>
      </c>
      <c r="L39" s="988">
        <f t="shared" si="5"/>
        <v>0</v>
      </c>
      <c r="M39" s="989">
        <f t="shared" si="6"/>
        <v>0</v>
      </c>
      <c r="N39" s="1000">
        <f t="shared" si="1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12"/>
      <c r="B40" s="910"/>
      <c r="C40" s="964"/>
      <c r="D40" s="911"/>
      <c r="E40" s="911"/>
      <c r="F40" s="971"/>
      <c r="G40" s="999" t="str">
        <f t="shared" si="2"/>
        <v/>
      </c>
      <c r="H40" s="977">
        <f t="shared" si="14"/>
        <v>171</v>
      </c>
      <c r="I40" s="978">
        <f t="shared" si="15"/>
        <v>18.262889942194128</v>
      </c>
      <c r="J40" s="994">
        <f t="shared" si="3"/>
        <v>0</v>
      </c>
      <c r="K40" s="989">
        <f t="shared" si="4"/>
        <v>0</v>
      </c>
      <c r="L40" s="988">
        <f t="shared" si="5"/>
        <v>0</v>
      </c>
      <c r="M40" s="989">
        <f t="shared" si="6"/>
        <v>0</v>
      </c>
      <c r="N40" s="1000">
        <f t="shared" si="1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12"/>
      <c r="B41" s="910"/>
      <c r="C41" s="964"/>
      <c r="D41" s="911"/>
      <c r="E41" s="911"/>
      <c r="F41" s="971"/>
      <c r="G41" s="999" t="str">
        <f t="shared" si="2"/>
        <v/>
      </c>
      <c r="H41" s="977">
        <f t="shared" si="14"/>
        <v>171</v>
      </c>
      <c r="I41" s="978">
        <f t="shared" si="15"/>
        <v>18.262889942194128</v>
      </c>
      <c r="J41" s="994">
        <f t="shared" si="3"/>
        <v>0</v>
      </c>
      <c r="K41" s="989">
        <f t="shared" si="4"/>
        <v>0</v>
      </c>
      <c r="L41" s="988">
        <f t="shared" si="5"/>
        <v>0</v>
      </c>
      <c r="M41" s="989">
        <f t="shared" si="6"/>
        <v>0</v>
      </c>
      <c r="N41" s="1000">
        <f t="shared" si="1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12"/>
      <c r="B42" s="910"/>
      <c r="C42" s="964"/>
      <c r="D42" s="911"/>
      <c r="E42" s="911"/>
      <c r="F42" s="971"/>
      <c r="G42" s="999" t="str">
        <f t="shared" si="2"/>
        <v/>
      </c>
      <c r="H42" s="977">
        <f t="shared" si="14"/>
        <v>171</v>
      </c>
      <c r="I42" s="978">
        <f t="shared" si="15"/>
        <v>18.262889942194128</v>
      </c>
      <c r="J42" s="994">
        <f t="shared" si="3"/>
        <v>0</v>
      </c>
      <c r="K42" s="989">
        <f t="shared" si="4"/>
        <v>0</v>
      </c>
      <c r="L42" s="988">
        <f t="shared" si="5"/>
        <v>0</v>
      </c>
      <c r="M42" s="989">
        <f t="shared" si="6"/>
        <v>0</v>
      </c>
      <c r="N42" s="1000">
        <f t="shared" si="1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57"/>
      <c r="B43" s="957"/>
      <c r="C43" s="966"/>
      <c r="D43" s="967"/>
      <c r="E43" s="967"/>
      <c r="F43" s="986"/>
      <c r="G43" s="1097"/>
      <c r="H43" s="979">
        <f t="shared" si="14"/>
        <v>171</v>
      </c>
      <c r="I43" s="980">
        <f t="shared" si="15"/>
        <v>18.262889942194128</v>
      </c>
      <c r="J43" s="996"/>
      <c r="K43" s="991"/>
      <c r="L43" s="990"/>
      <c r="M43" s="991"/>
      <c r="N43" s="1001">
        <f t="shared" si="1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55" t="s">
        <v>185</v>
      </c>
      <c r="B44" s="913"/>
      <c r="C44" s="914"/>
      <c r="D44" s="615"/>
      <c r="E44" s="650"/>
      <c r="F44" s="965"/>
      <c r="G44" s="615"/>
      <c r="H44" s="915"/>
      <c r="I44" s="915"/>
      <c r="J44" s="914"/>
      <c r="K44" s="615"/>
      <c r="L44" s="913"/>
      <c r="M44" s="913"/>
      <c r="N44" s="1005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12" t="s">
        <v>331</v>
      </c>
      <c r="B45" s="910">
        <v>1</v>
      </c>
      <c r="C45" s="969"/>
      <c r="D45" s="911">
        <v>434.1</v>
      </c>
      <c r="E45" s="911">
        <v>627.69000000000005</v>
      </c>
      <c r="F45" s="971"/>
      <c r="G45" s="999"/>
      <c r="H45" s="977"/>
      <c r="I45" s="978"/>
      <c r="J45" s="994"/>
      <c r="K45" s="989"/>
      <c r="L45" s="988"/>
      <c r="M45" s="989"/>
      <c r="N45" s="1000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12" t="s">
        <v>156</v>
      </c>
      <c r="B46" s="910">
        <v>1</v>
      </c>
      <c r="C46" s="969">
        <v>39.369999999999997</v>
      </c>
      <c r="D46" s="911">
        <v>535.04</v>
      </c>
      <c r="E46" s="911">
        <v>556.86</v>
      </c>
      <c r="F46" s="971"/>
      <c r="G46" s="999"/>
      <c r="H46" s="977"/>
      <c r="I46" s="978"/>
      <c r="J46" s="994"/>
      <c r="K46" s="989"/>
      <c r="L46" s="988"/>
      <c r="M46" s="989"/>
      <c r="N46" s="1000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4" customFormat="1" ht="12.75" x14ac:dyDescent="0.2">
      <c r="A47" s="912" t="s">
        <v>157</v>
      </c>
      <c r="B47" s="910">
        <v>1</v>
      </c>
      <c r="C47" s="969">
        <v>30.97</v>
      </c>
      <c r="D47" s="911">
        <v>522.16</v>
      </c>
      <c r="E47" s="911">
        <v>567.4</v>
      </c>
      <c r="F47" s="971"/>
      <c r="G47" s="999"/>
      <c r="H47" s="977"/>
      <c r="I47" s="978"/>
      <c r="J47" s="994"/>
      <c r="K47" s="989"/>
      <c r="L47" s="988"/>
      <c r="M47" s="989"/>
      <c r="N47" s="1000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12"/>
      <c r="B48" s="910"/>
      <c r="C48" s="969"/>
      <c r="D48" s="911"/>
      <c r="E48" s="911"/>
      <c r="F48" s="971"/>
      <c r="G48" s="999"/>
      <c r="H48" s="977"/>
      <c r="I48" s="978"/>
      <c r="J48" s="994"/>
      <c r="K48" s="989"/>
      <c r="L48" s="988"/>
      <c r="M48" s="989"/>
      <c r="N48" s="1000"/>
      <c r="O48" s="688"/>
      <c r="P48" s="684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12"/>
      <c r="B49" s="910"/>
      <c r="C49" s="969"/>
      <c r="D49" s="911"/>
      <c r="E49" s="911"/>
      <c r="F49" s="971"/>
      <c r="G49" s="999"/>
      <c r="H49" s="977"/>
      <c r="I49" s="978"/>
      <c r="J49" s="994"/>
      <c r="K49" s="989"/>
      <c r="L49" s="988"/>
      <c r="M49" s="989"/>
      <c r="N49" s="1000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12"/>
      <c r="B50" s="910"/>
      <c r="C50" s="969"/>
      <c r="D50" s="911"/>
      <c r="E50" s="911"/>
      <c r="F50" s="971"/>
      <c r="G50" s="999"/>
      <c r="H50" s="977"/>
      <c r="I50" s="978"/>
      <c r="J50" s="994"/>
      <c r="K50" s="989"/>
      <c r="L50" s="988"/>
      <c r="M50" s="989"/>
      <c r="N50" s="1000"/>
      <c r="O50" s="688"/>
      <c r="P50" s="684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12"/>
      <c r="B51" s="910"/>
      <c r="C51" s="969"/>
      <c r="D51" s="911"/>
      <c r="E51" s="911"/>
      <c r="F51" s="971"/>
      <c r="G51" s="999"/>
      <c r="H51" s="977"/>
      <c r="I51" s="978"/>
      <c r="J51" s="994"/>
      <c r="K51" s="989"/>
      <c r="L51" s="988"/>
      <c r="M51" s="989"/>
      <c r="N51" s="1000"/>
      <c r="O51" s="688"/>
      <c r="P51" s="684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1" t="s">
        <v>167</v>
      </c>
      <c r="C52" s="624"/>
      <c r="F52" s="15"/>
      <c r="K52" s="15"/>
      <c r="L52" s="624"/>
      <c r="M52" s="916"/>
      <c r="N52" s="41"/>
      <c r="O52" s="917"/>
      <c r="P52" s="21"/>
      <c r="R52" s="21"/>
      <c r="S52" s="341"/>
    </row>
    <row r="53" spans="1:51" s="36" customFormat="1" ht="15.75" x14ac:dyDescent="0.25">
      <c r="A53" s="686"/>
      <c r="B53" s="686" t="s">
        <v>196</v>
      </c>
      <c r="C53" s="1094">
        <v>1</v>
      </c>
      <c r="E53" s="684"/>
      <c r="G53" s="686" t="s">
        <v>321</v>
      </c>
      <c r="H53" s="1119">
        <f>I1</f>
        <v>44582</v>
      </c>
      <c r="L53" s="1020"/>
      <c r="P53" s="683" t="s">
        <v>284</v>
      </c>
      <c r="R53" s="684"/>
      <c r="V53" s="684"/>
      <c r="X53" s="684"/>
      <c r="Y53" s="690"/>
      <c r="Z53" s="684"/>
      <c r="AA53" s="683" t="s">
        <v>285</v>
      </c>
      <c r="AM53" s="82"/>
      <c r="AN53" s="1231" t="s">
        <v>315</v>
      </c>
      <c r="AO53" s="1232"/>
      <c r="AP53" s="1239" t="s">
        <v>316</v>
      </c>
      <c r="AQ53" s="1240"/>
      <c r="AR53" s="1239" t="s">
        <v>317</v>
      </c>
      <c r="AS53" s="1240"/>
      <c r="AT53" s="1239" t="s">
        <v>318</v>
      </c>
      <c r="AU53" s="1240"/>
      <c r="AV53" s="1239" t="s">
        <v>319</v>
      </c>
      <c r="AW53" s="1240"/>
    </row>
    <row r="54" spans="1:51" s="4" customFormat="1" x14ac:dyDescent="0.25">
      <c r="A54" s="707" t="str">
        <f>Station</f>
        <v>Esp. Berjean Escalquens</v>
      </c>
      <c r="B54" s="1228" t="s">
        <v>305</v>
      </c>
      <c r="C54" s="1225" t="str">
        <f>"Hauteur fonction de la croissance vue du champ PV "&amp;ZonePV</f>
        <v>Hauteur fonction de la croissance vue du champ PV 1</v>
      </c>
      <c r="D54" s="1226"/>
      <c r="E54" s="1226"/>
      <c r="F54" s="1226"/>
      <c r="G54" s="1226"/>
      <c r="H54" s="1226"/>
      <c r="I54" s="1226"/>
      <c r="J54" s="1226"/>
      <c r="K54" s="1226"/>
      <c r="L54" s="1226"/>
      <c r="M54" s="1227"/>
      <c r="O54" s="918" t="str">
        <f>Station</f>
        <v>Esp. Berjean Escalquens</v>
      </c>
      <c r="P54" s="919">
        <f>Azi_pv_sel</f>
        <v>-9</v>
      </c>
      <c r="Q54" s="1225" t="str">
        <f>"Elevation vue du champ PV zone: "&amp;ZonePV</f>
        <v>Elevation vue du champ PV zone: 1</v>
      </c>
      <c r="R54" s="1226"/>
      <c r="S54" s="1226"/>
      <c r="T54" s="1226"/>
      <c r="U54" s="1226"/>
      <c r="V54" s="1226"/>
      <c r="W54" s="1226"/>
      <c r="X54" s="1226"/>
      <c r="Y54" s="1226"/>
      <c r="Z54" s="1227"/>
      <c r="AA54" s="920">
        <f>Ram_pv</f>
        <v>0.33</v>
      </c>
      <c r="AB54" s="2"/>
      <c r="AC54" s="2"/>
      <c r="AD54" s="28"/>
      <c r="AG54" s="921"/>
      <c r="AH54" s="922" t="s">
        <v>286</v>
      </c>
      <c r="AJ54" s="1237" t="s">
        <v>312</v>
      </c>
      <c r="AK54" s="1061"/>
      <c r="AL54" s="1061"/>
      <c r="AM54" s="1061"/>
      <c r="AN54" s="1235" t="s">
        <v>306</v>
      </c>
      <c r="AO54" s="1236"/>
      <c r="AP54" s="1233" t="s">
        <v>306</v>
      </c>
      <c r="AQ54" s="1234"/>
      <c r="AR54" s="1233" t="s">
        <v>306</v>
      </c>
      <c r="AS54" s="1234"/>
      <c r="AT54" s="1233" t="s">
        <v>306</v>
      </c>
      <c r="AU54" s="1234"/>
      <c r="AV54" s="1233" t="s">
        <v>306</v>
      </c>
      <c r="AW54" s="1234"/>
    </row>
    <row r="55" spans="1:51" s="19" customFormat="1" ht="13.5" thickBot="1" x14ac:dyDescent="0.25">
      <c r="A55" s="708" t="s">
        <v>304</v>
      </c>
      <c r="B55" s="1228"/>
      <c r="C55" s="691">
        <f>+D$55-$C$53</f>
        <v>-5</v>
      </c>
      <c r="D55" s="691">
        <f>+E$55-$C$53</f>
        <v>-4</v>
      </c>
      <c r="E55" s="691">
        <f>+F$55-$C$53</f>
        <v>-3</v>
      </c>
      <c r="F55" s="691">
        <f>+G$55-$C$53</f>
        <v>-2</v>
      </c>
      <c r="G55" s="691">
        <f>+H$55-$C$53</f>
        <v>-1</v>
      </c>
      <c r="H55" s="692">
        <v>0</v>
      </c>
      <c r="I55" s="691">
        <f>$C$53+H$55</f>
        <v>1</v>
      </c>
      <c r="J55" s="691">
        <f>$C$53+I$55</f>
        <v>2</v>
      </c>
      <c r="K55" s="691">
        <f>$C$53+J$55</f>
        <v>3</v>
      </c>
      <c r="L55" s="691">
        <f>$C$53+K$55</f>
        <v>4</v>
      </c>
      <c r="M55" s="691">
        <f>$C$53+L$55</f>
        <v>5</v>
      </c>
      <c r="N55" s="673" t="s">
        <v>154</v>
      </c>
      <c r="O55" s="673" t="str">
        <f>"zone "&amp;ZonePV</f>
        <v>zone 1</v>
      </c>
      <c r="P55" s="693" t="s">
        <v>153</v>
      </c>
      <c r="Q55" s="691">
        <f t="shared" ref="Q55:AA55" si="16">C55</f>
        <v>-5</v>
      </c>
      <c r="R55" s="691">
        <f t="shared" si="16"/>
        <v>-4</v>
      </c>
      <c r="S55" s="691">
        <f t="shared" si="16"/>
        <v>-3</v>
      </c>
      <c r="T55" s="691">
        <f t="shared" si="16"/>
        <v>-2</v>
      </c>
      <c r="U55" s="691">
        <f t="shared" si="16"/>
        <v>-1</v>
      </c>
      <c r="V55" s="692">
        <f t="shared" si="16"/>
        <v>0</v>
      </c>
      <c r="W55" s="691">
        <f t="shared" si="16"/>
        <v>1</v>
      </c>
      <c r="X55" s="691">
        <f t="shared" si="16"/>
        <v>2</v>
      </c>
      <c r="Y55" s="691">
        <f t="shared" si="16"/>
        <v>3</v>
      </c>
      <c r="Z55" s="691">
        <f t="shared" si="16"/>
        <v>4</v>
      </c>
      <c r="AA55" s="691">
        <f t="shared" si="16"/>
        <v>5</v>
      </c>
      <c r="AB55" s="124" t="s">
        <v>293</v>
      </c>
      <c r="AC55" s="924" t="s">
        <v>288</v>
      </c>
      <c r="AD55" s="923" t="s">
        <v>287</v>
      </c>
      <c r="AE55" s="924" t="s">
        <v>289</v>
      </c>
      <c r="AF55" s="925" t="s">
        <v>290</v>
      </c>
      <c r="AG55" s="926" t="s">
        <v>291</v>
      </c>
      <c r="AH55" s="927" t="s">
        <v>292</v>
      </c>
      <c r="AJ55" s="1238"/>
      <c r="AK55" s="82" t="s">
        <v>308</v>
      </c>
      <c r="AL55" s="82" t="s">
        <v>310</v>
      </c>
      <c r="AM55" s="82" t="s">
        <v>311</v>
      </c>
      <c r="AN55" s="1070" t="s">
        <v>309</v>
      </c>
      <c r="AO55" s="1071" t="s">
        <v>307</v>
      </c>
      <c r="AP55" s="1072" t="s">
        <v>309</v>
      </c>
      <c r="AQ55" s="1073" t="s">
        <v>307</v>
      </c>
      <c r="AR55" s="1072" t="s">
        <v>309</v>
      </c>
      <c r="AS55" s="1073" t="s">
        <v>307</v>
      </c>
      <c r="AT55" s="1072" t="s">
        <v>309</v>
      </c>
      <c r="AU55" s="1073" t="s">
        <v>307</v>
      </c>
      <c r="AV55" s="1072" t="s">
        <v>309</v>
      </c>
      <c r="AW55" s="1073" t="s">
        <v>307</v>
      </c>
    </row>
    <row r="56" spans="1:51" s="28" customFormat="1" ht="12.75" x14ac:dyDescent="0.2">
      <c r="A56" s="1021" t="str">
        <f t="shared" ref="A56:A79" si="17">A20</f>
        <v>Arrière PV</v>
      </c>
      <c r="B56" s="1024">
        <v>1</v>
      </c>
      <c r="C56" s="1080">
        <f t="shared" ref="C56:M56" si="18">$L20+C$55*Rapous</f>
        <v>-5</v>
      </c>
      <c r="D56" s="1080">
        <f t="shared" si="18"/>
        <v>-4</v>
      </c>
      <c r="E56" s="1080">
        <f t="shared" si="18"/>
        <v>-3</v>
      </c>
      <c r="F56" s="1080">
        <f t="shared" si="18"/>
        <v>-2</v>
      </c>
      <c r="G56" s="1081">
        <f t="shared" si="18"/>
        <v>-1</v>
      </c>
      <c r="H56" s="1082">
        <f t="shared" si="18"/>
        <v>0</v>
      </c>
      <c r="I56" s="1083">
        <f t="shared" si="18"/>
        <v>1</v>
      </c>
      <c r="J56" s="1080">
        <f t="shared" si="18"/>
        <v>2</v>
      </c>
      <c r="K56" s="1080">
        <f t="shared" si="18"/>
        <v>3</v>
      </c>
      <c r="L56" s="1080">
        <f t="shared" si="18"/>
        <v>4</v>
      </c>
      <c r="M56" s="1081">
        <f t="shared" si="18"/>
        <v>5</v>
      </c>
      <c r="N56" s="688">
        <f t="shared" ref="N56:N79" si="19">$M20</f>
        <v>0</v>
      </c>
      <c r="O56" s="928" t="str">
        <f t="shared" ref="O56:O79" si="20">N20</f>
        <v>Arrière PV</v>
      </c>
      <c r="P56" s="678">
        <f t="shared" ref="P56:P79" si="21">$H20+Azi_decal</f>
        <v>-189</v>
      </c>
      <c r="Q56" s="1084">
        <f t="shared" ref="Q56:Q79" si="22">MAX(IF($N56=0,$I20,DEGREES(ATAN2($N56,C56-H_pv))),Elev_F+0)</f>
        <v>18.262889942194128</v>
      </c>
      <c r="R56" s="688">
        <f t="shared" ref="R56:R79" si="23">MAX(IF($N56=0,$I20,DEGREES(ATAN2($N56,D56-H_pv))),Elev_F+0)</f>
        <v>18.262889942194128</v>
      </c>
      <c r="S56" s="688">
        <f t="shared" ref="S56:S79" si="24">MAX(IF($N56=0,$I20,DEGREES(ATAN2($N56,E56-H_pv))),Elev_F+0)</f>
        <v>18.262889942194128</v>
      </c>
      <c r="T56" s="688">
        <f t="shared" ref="T56:T79" si="25">MAX(IF($N56=0,$I20,DEGREES(ATAN2($N56,F56-H_pv))),Elev_F+0)</f>
        <v>18.262889942194128</v>
      </c>
      <c r="U56" s="944">
        <f t="shared" ref="U56:U79" si="26">MAX(IF($N56=0,$I20,DEGREES(ATAN2($N56,G56-H_pv))),Elev_F+0)</f>
        <v>18.262889942194128</v>
      </c>
      <c r="V56" s="1085">
        <f t="shared" ref="V56:V79" si="27">MAX(IF($N56=0,$I20,DEGREES(ATAN2($N56,H56-H_pv))),Elev_F+0)</f>
        <v>18.262889942194128</v>
      </c>
      <c r="W56" s="685">
        <f t="shared" ref="W56:W79" si="28">MAX(IF($N56=0,$I20,DEGREES(ATAN2($N56,I56-H_pv))),Elev_F+0)</f>
        <v>18.262889942194128</v>
      </c>
      <c r="X56" s="688">
        <f t="shared" ref="X56:X79" si="29">MAX(IF($N56=0,$I20,DEGREES(ATAN2($N56,J56-H_pv))),Elev_F+0)</f>
        <v>18.262889942194128</v>
      </c>
      <c r="Y56" s="688">
        <f t="shared" ref="Y56:Y79" si="30">MAX(IF($N56=0,$I20,DEGREES(ATAN2($N56,K56-H_pv))),Elev_F+0)</f>
        <v>18.262889942194128</v>
      </c>
      <c r="Z56" s="688">
        <f t="shared" ref="Z56:Z79" si="31">MAX(IF($N56=0,$I20,DEGREES(ATAN2($N56,L56-H_pv))),Elev_F+0)</f>
        <v>18.262889942194128</v>
      </c>
      <c r="AA56" s="944">
        <f t="shared" ref="AA56:AA79" si="32">MAX(IF($N56=0,$I20,DEGREES(ATAN2($N56,M56-H_pv))),Elev_F+0)</f>
        <v>18.262889942194128</v>
      </c>
      <c r="AB56" s="1048">
        <f t="shared" ref="AB56:AB78" si="33">(AA56+AA57)/2</f>
        <v>12.631444971097064</v>
      </c>
      <c r="AC56" s="1049">
        <f>INDEX($AH$56:$AH$82,MATCH(AB56,$AG$56:$AG$82)+1)</f>
        <v>7.5010000000000003</v>
      </c>
      <c r="AD56" s="1050" t="b">
        <f t="shared" ref="AD56:AD79" si="34">G20&lt;AC56</f>
        <v>0</v>
      </c>
      <c r="AE56" s="1049">
        <f t="shared" ref="AE56:AE79" si="35">H21-H20</f>
        <v>90</v>
      </c>
      <c r="AF56" s="1051">
        <f>+IF(F15="D",AC55-AE55,IF(F20="G",AE56-AC56,0))</f>
        <v>0</v>
      </c>
      <c r="AG56" s="929">
        <v>-10</v>
      </c>
      <c r="AH56" s="930">
        <v>7.5</v>
      </c>
      <c r="AJ56" s="1062">
        <f>AM56+(INDEX($AO$56:$AO$79,$AK56+1)-AM56)/(INDEX($AN$56:$AN$79,AK56+1)-AL56)*($H20-AL56)</f>
        <v>1</v>
      </c>
      <c r="AK56" s="82">
        <f>MATCH($H20,$AN$56:$AN$79)</f>
        <v>1</v>
      </c>
      <c r="AL56" s="1063">
        <f>INDEX($AN$56:$AN$79,$AK56)</f>
        <v>-189</v>
      </c>
      <c r="AM56" s="1063">
        <f>INDEX($AO$56:$AO$79,$AK56)</f>
        <v>1</v>
      </c>
      <c r="AN56" s="1074">
        <f t="shared" ref="AN56:AN67" si="36">IF(AND(AX56=0,AX57=0),MAX(AN55,$H$43+1),AX56)</f>
        <v>-189</v>
      </c>
      <c r="AO56" s="1075">
        <f>IF(AND(AY56=0,AY57=0),$I$43,AY56)</f>
        <v>1</v>
      </c>
      <c r="AP56" s="1067">
        <f>$H$20</f>
        <v>-189</v>
      </c>
      <c r="AQ56" s="1068">
        <v>1</v>
      </c>
      <c r="AR56" s="1067">
        <f>$H$20</f>
        <v>-189</v>
      </c>
      <c r="AS56" s="1068">
        <f>AS57</f>
        <v>1</v>
      </c>
      <c r="AT56" s="1067">
        <f>$H$20</f>
        <v>-189</v>
      </c>
      <c r="AU56" s="1068">
        <f>AU57</f>
        <v>1</v>
      </c>
      <c r="AV56" s="1067">
        <f>$H$20</f>
        <v>-189</v>
      </c>
      <c r="AW56" s="1068">
        <f>AW57</f>
        <v>1</v>
      </c>
      <c r="AX56" s="28">
        <f t="shared" ref="AX56:AX79" si="37">CHOOSE(ZonePV,AP56,AR56,AT56,AV56)</f>
        <v>-189</v>
      </c>
      <c r="AY56" s="28">
        <f t="shared" ref="AY56:AY79" si="38">CHOOSE(ZonePV,AQ56,AS56,AU56,AW56)</f>
        <v>1</v>
      </c>
    </row>
    <row r="57" spans="1:51" s="28" customFormat="1" ht="12.75" x14ac:dyDescent="0.2">
      <c r="A57" s="1021" t="str">
        <f t="shared" si="17"/>
        <v>Toit G</v>
      </c>
      <c r="B57" s="1025">
        <v>1</v>
      </c>
      <c r="C57" s="1080">
        <f t="shared" ref="C57:M57" si="39">$L21+C$55*Rapous</f>
        <v>-5</v>
      </c>
      <c r="D57" s="1080">
        <f t="shared" si="39"/>
        <v>-4</v>
      </c>
      <c r="E57" s="1080">
        <f t="shared" si="39"/>
        <v>-3</v>
      </c>
      <c r="F57" s="1080">
        <f t="shared" si="39"/>
        <v>-2</v>
      </c>
      <c r="G57" s="1081">
        <f t="shared" si="39"/>
        <v>-1</v>
      </c>
      <c r="H57" s="1082">
        <f t="shared" si="39"/>
        <v>0</v>
      </c>
      <c r="I57" s="1083">
        <f t="shared" si="39"/>
        <v>1</v>
      </c>
      <c r="J57" s="1080">
        <f t="shared" si="39"/>
        <v>2</v>
      </c>
      <c r="K57" s="1080">
        <f t="shared" si="39"/>
        <v>3</v>
      </c>
      <c r="L57" s="1080">
        <f t="shared" si="39"/>
        <v>4</v>
      </c>
      <c r="M57" s="1081">
        <f t="shared" si="39"/>
        <v>5</v>
      </c>
      <c r="N57" s="688">
        <f t="shared" si="19"/>
        <v>0</v>
      </c>
      <c r="O57" s="928" t="str">
        <f t="shared" si="20"/>
        <v>Toit G</v>
      </c>
      <c r="P57" s="678">
        <f t="shared" si="21"/>
        <v>-99</v>
      </c>
      <c r="Q57" s="685">
        <f t="shared" si="22"/>
        <v>7</v>
      </c>
      <c r="R57" s="688">
        <f t="shared" si="23"/>
        <v>7</v>
      </c>
      <c r="S57" s="688">
        <f t="shared" si="24"/>
        <v>7</v>
      </c>
      <c r="T57" s="688">
        <f t="shared" si="25"/>
        <v>7</v>
      </c>
      <c r="U57" s="944">
        <f t="shared" si="26"/>
        <v>7</v>
      </c>
      <c r="V57" s="1085">
        <f t="shared" si="27"/>
        <v>7</v>
      </c>
      <c r="W57" s="685">
        <f t="shared" si="28"/>
        <v>7</v>
      </c>
      <c r="X57" s="688">
        <f t="shared" si="29"/>
        <v>7</v>
      </c>
      <c r="Y57" s="688">
        <f t="shared" si="30"/>
        <v>7</v>
      </c>
      <c r="Z57" s="688">
        <f t="shared" si="31"/>
        <v>7</v>
      </c>
      <c r="AA57" s="944">
        <f t="shared" si="32"/>
        <v>7</v>
      </c>
      <c r="AB57" s="1052">
        <f t="shared" si="33"/>
        <v>6.1109578316874433</v>
      </c>
      <c r="AC57" s="1053">
        <f t="shared" ref="AC57:AC79" si="40">INDEX($AH$56:$AH$82,MATCH(AB57,$AG$56:$AG$82)+1)</f>
        <v>7.5010000000000003</v>
      </c>
      <c r="AD57" s="39" t="b">
        <f t="shared" si="34"/>
        <v>0</v>
      </c>
      <c r="AE57" s="1053">
        <f t="shared" si="35"/>
        <v>74.002025921255765</v>
      </c>
      <c r="AF57" s="1054">
        <f t="shared" ref="AF57:AF79" si="41">+IF(F20="D",AC56-AE56,IF(F21="G",AE57-AC57,0))</f>
        <v>0</v>
      </c>
      <c r="AG57" s="929">
        <v>22.98</v>
      </c>
      <c r="AH57" s="930">
        <v>7.5010000000000003</v>
      </c>
      <c r="AJ57" s="1062">
        <f t="shared" ref="AJ57:AJ79" si="42">AM57+(INDEX($AO$56:$AO$79,$AK57+1)-AM57)/(INDEX($AN$56:$AN$79,AK57+1)-AL57)*($H21-AL57)</f>
        <v>1</v>
      </c>
      <c r="AK57" s="82">
        <f t="shared" ref="AK57:AK79" si="43">MATCH($H21,$AN$56:$AN$79)</f>
        <v>1</v>
      </c>
      <c r="AL57" s="1063">
        <f t="shared" ref="AL57:AL79" si="44">INDEX($AN$56:$AN$79,$AK57)</f>
        <v>-189</v>
      </c>
      <c r="AM57" s="1063">
        <f t="shared" ref="AM57:AM79" si="45">INDEX($AO$56:$AO$79,$AK57)</f>
        <v>1</v>
      </c>
      <c r="AN57" s="1074">
        <f t="shared" si="36"/>
        <v>171</v>
      </c>
      <c r="AO57" s="1075">
        <f t="shared" ref="AO57:AO79" si="46">IF(AND(AY57=0,AY58=0),$I$43,AY57)</f>
        <v>1</v>
      </c>
      <c r="AP57" s="1067">
        <f>$H$43</f>
        <v>171</v>
      </c>
      <c r="AQ57" s="1068">
        <v>1</v>
      </c>
      <c r="AR57" s="1067">
        <f>$H$43</f>
        <v>171</v>
      </c>
      <c r="AS57" s="1068">
        <v>1</v>
      </c>
      <c r="AT57" s="1067">
        <f>$H$43</f>
        <v>171</v>
      </c>
      <c r="AU57" s="1068">
        <v>1</v>
      </c>
      <c r="AV57" s="1067">
        <f>$H$43</f>
        <v>171</v>
      </c>
      <c r="AW57" s="1068">
        <v>1</v>
      </c>
      <c r="AX57" s="28">
        <f t="shared" si="37"/>
        <v>171</v>
      </c>
      <c r="AY57" s="28">
        <f t="shared" si="38"/>
        <v>1</v>
      </c>
    </row>
    <row r="58" spans="1:51" s="19" customFormat="1" ht="12.75" x14ac:dyDescent="0.2">
      <c r="A58" s="1021" t="str">
        <f t="shared" si="17"/>
        <v>Arbre 1</v>
      </c>
      <c r="B58" s="1025">
        <v>1</v>
      </c>
      <c r="C58" s="1080">
        <f t="shared" ref="C58:M58" si="47">$L22+C$55*Rapous</f>
        <v>3.315127133481786</v>
      </c>
      <c r="D58" s="1080">
        <f t="shared" si="47"/>
        <v>4.315127133481786</v>
      </c>
      <c r="E58" s="1080">
        <f t="shared" si="47"/>
        <v>5.315127133481786</v>
      </c>
      <c r="F58" s="1080">
        <f t="shared" si="47"/>
        <v>6.315127133481786</v>
      </c>
      <c r="G58" s="1081">
        <f t="shared" si="47"/>
        <v>7.315127133481786</v>
      </c>
      <c r="H58" s="1082">
        <f t="shared" si="47"/>
        <v>8.315127133481786</v>
      </c>
      <c r="I58" s="1083">
        <f t="shared" si="47"/>
        <v>9.315127133481786</v>
      </c>
      <c r="J58" s="1080">
        <f t="shared" si="47"/>
        <v>10.315127133481786</v>
      </c>
      <c r="K58" s="1080">
        <f t="shared" si="47"/>
        <v>11.315127133481786</v>
      </c>
      <c r="L58" s="1080">
        <f t="shared" si="47"/>
        <v>12.315127133481786</v>
      </c>
      <c r="M58" s="1081">
        <f t="shared" si="47"/>
        <v>13.315127133481786</v>
      </c>
      <c r="N58" s="688">
        <f t="shared" si="19"/>
        <v>99.938186497016801</v>
      </c>
      <c r="O58" s="928" t="str">
        <f t="shared" si="20"/>
        <v>Arbre 1</v>
      </c>
      <c r="P58" s="678">
        <f t="shared" si="21"/>
        <v>-24.997974078744232</v>
      </c>
      <c r="Q58" s="685">
        <f t="shared" si="22"/>
        <v>1</v>
      </c>
      <c r="R58" s="688">
        <f t="shared" si="23"/>
        <v>1</v>
      </c>
      <c r="S58" s="688">
        <f t="shared" si="24"/>
        <v>1</v>
      </c>
      <c r="T58" s="688">
        <f t="shared" si="25"/>
        <v>1.2230513015028059</v>
      </c>
      <c r="U58" s="944">
        <f t="shared" si="26"/>
        <v>1.7959608513987988</v>
      </c>
      <c r="V58" s="1085">
        <f t="shared" si="27"/>
        <v>2.3685113890269558</v>
      </c>
      <c r="W58" s="685">
        <f t="shared" si="28"/>
        <v>2.9405890345650887</v>
      </c>
      <c r="X58" s="688">
        <f t="shared" si="29"/>
        <v>3.5120804732314168</v>
      </c>
      <c r="Y58" s="688">
        <f t="shared" si="30"/>
        <v>4.0828730887355711</v>
      </c>
      <c r="Z58" s="688">
        <f t="shared" si="31"/>
        <v>4.6528550946572649</v>
      </c>
      <c r="AA58" s="944">
        <f t="shared" si="32"/>
        <v>5.2219156633748867</v>
      </c>
      <c r="AB58" s="1052">
        <f t="shared" si="33"/>
        <v>8.1899176658560258</v>
      </c>
      <c r="AC58" s="1053">
        <f t="shared" si="40"/>
        <v>7.5010000000000003</v>
      </c>
      <c r="AD58" s="39" t="b">
        <f t="shared" si="34"/>
        <v>0</v>
      </c>
      <c r="AE58" s="1053">
        <f t="shared" si="35"/>
        <v>15.210671712241277</v>
      </c>
      <c r="AF58" s="1054">
        <f t="shared" si="41"/>
        <v>0</v>
      </c>
      <c r="AG58" s="929">
        <v>23.38</v>
      </c>
      <c r="AH58" s="930">
        <v>7.5199999999999818</v>
      </c>
      <c r="AJ58" s="1062">
        <f t="shared" si="42"/>
        <v>1</v>
      </c>
      <c r="AK58" s="82">
        <f t="shared" si="43"/>
        <v>1</v>
      </c>
      <c r="AL58" s="1063">
        <f t="shared" si="44"/>
        <v>-189</v>
      </c>
      <c r="AM58" s="1063">
        <f t="shared" si="45"/>
        <v>1</v>
      </c>
      <c r="AN58" s="1074">
        <f t="shared" si="36"/>
        <v>172</v>
      </c>
      <c r="AO58" s="1075">
        <f t="shared" si="46"/>
        <v>18.262889942194128</v>
      </c>
      <c r="AP58" s="1067"/>
      <c r="AQ58" s="1068"/>
      <c r="AR58" s="1067"/>
      <c r="AS58" s="1068"/>
      <c r="AT58" s="1067"/>
      <c r="AU58" s="1068"/>
      <c r="AV58" s="1067"/>
      <c r="AW58" s="1068"/>
      <c r="AX58" s="28">
        <f t="shared" si="37"/>
        <v>0</v>
      </c>
      <c r="AY58" s="28">
        <f t="shared" si="38"/>
        <v>0</v>
      </c>
    </row>
    <row r="59" spans="1:51" s="19" customFormat="1" ht="12.75" x14ac:dyDescent="0.2">
      <c r="A59" s="1021" t="str">
        <f t="shared" si="17"/>
        <v>Arbre 3</v>
      </c>
      <c r="B59" s="1025">
        <v>1</v>
      </c>
      <c r="C59" s="1080">
        <f t="shared" ref="C59:M59" si="48">$L23+C$55*Rapous</f>
        <v>10.753607716065806</v>
      </c>
      <c r="D59" s="1080">
        <f t="shared" si="48"/>
        <v>11.753607716065806</v>
      </c>
      <c r="E59" s="1080">
        <f t="shared" si="48"/>
        <v>12.753607716065806</v>
      </c>
      <c r="F59" s="1080">
        <f t="shared" si="48"/>
        <v>13.753607716065806</v>
      </c>
      <c r="G59" s="1081">
        <f t="shared" si="48"/>
        <v>14.753607716065806</v>
      </c>
      <c r="H59" s="1082">
        <f t="shared" si="48"/>
        <v>15.753607716065806</v>
      </c>
      <c r="I59" s="1083">
        <f t="shared" si="48"/>
        <v>16.753607716065808</v>
      </c>
      <c r="J59" s="1080">
        <f t="shared" si="48"/>
        <v>17.753607716065808</v>
      </c>
      <c r="K59" s="1080">
        <f t="shared" si="48"/>
        <v>18.753607716065808</v>
      </c>
      <c r="L59" s="1080">
        <f t="shared" si="48"/>
        <v>19.753607716065808</v>
      </c>
      <c r="M59" s="1081">
        <f t="shared" si="48"/>
        <v>20.753607716065808</v>
      </c>
      <c r="N59" s="688">
        <f t="shared" si="19"/>
        <v>84.019097949885747</v>
      </c>
      <c r="O59" s="928" t="str">
        <f t="shared" si="20"/>
        <v>Arbre 3</v>
      </c>
      <c r="P59" s="678">
        <f t="shared" si="21"/>
        <v>-10.274575581168158</v>
      </c>
      <c r="Q59" s="685">
        <f t="shared" si="22"/>
        <v>4.4726630070331739</v>
      </c>
      <c r="R59" s="688">
        <f t="shared" si="23"/>
        <v>5.1497952997633121</v>
      </c>
      <c r="S59" s="688">
        <f t="shared" si="24"/>
        <v>5.825488299638403</v>
      </c>
      <c r="T59" s="688">
        <f t="shared" si="25"/>
        <v>6.499559294546656</v>
      </c>
      <c r="U59" s="944">
        <f t="shared" si="26"/>
        <v>7.1718282435623681</v>
      </c>
      <c r="V59" s="1085">
        <f t="shared" si="27"/>
        <v>7.8421180507542081</v>
      </c>
      <c r="W59" s="685">
        <f t="shared" si="28"/>
        <v>8.5102548271826191</v>
      </c>
      <c r="X59" s="688">
        <f t="shared" si="29"/>
        <v>9.1760681401967776</v>
      </c>
      <c r="Y59" s="688">
        <f t="shared" si="30"/>
        <v>9.8393912492331737</v>
      </c>
      <c r="Z59" s="688">
        <f t="shared" si="31"/>
        <v>10.500061327413402</v>
      </c>
      <c r="AA59" s="944">
        <f t="shared" si="32"/>
        <v>11.157919668337167</v>
      </c>
      <c r="AB59" s="1052">
        <f t="shared" si="33"/>
        <v>9.6476841717426769</v>
      </c>
      <c r="AC59" s="1053">
        <f t="shared" si="40"/>
        <v>7.5010000000000003</v>
      </c>
      <c r="AD59" s="39" t="b">
        <f t="shared" si="34"/>
        <v>0</v>
      </c>
      <c r="AE59" s="1053">
        <f t="shared" si="35"/>
        <v>7.0137267853347982</v>
      </c>
      <c r="AF59" s="1054">
        <f t="shared" si="41"/>
        <v>-0.48727321466520213</v>
      </c>
      <c r="AG59" s="929">
        <v>24.23</v>
      </c>
      <c r="AH59" s="930">
        <v>7.6000000000000227</v>
      </c>
      <c r="AJ59" s="1062">
        <f t="shared" si="42"/>
        <v>1</v>
      </c>
      <c r="AK59" s="82">
        <f t="shared" si="43"/>
        <v>1</v>
      </c>
      <c r="AL59" s="1063">
        <f t="shared" si="44"/>
        <v>-189</v>
      </c>
      <c r="AM59" s="1063">
        <f t="shared" si="45"/>
        <v>1</v>
      </c>
      <c r="AN59" s="1074">
        <f t="shared" si="36"/>
        <v>172</v>
      </c>
      <c r="AO59" s="1075">
        <f t="shared" si="46"/>
        <v>18.262889942194128</v>
      </c>
      <c r="AP59" s="1067"/>
      <c r="AQ59" s="1068"/>
      <c r="AR59" s="1067"/>
      <c r="AS59" s="1068"/>
      <c r="AT59" s="1067"/>
      <c r="AU59" s="1068"/>
      <c r="AV59" s="1067"/>
      <c r="AW59" s="1068"/>
      <c r="AX59" s="28">
        <f t="shared" si="37"/>
        <v>0</v>
      </c>
      <c r="AY59" s="28">
        <f t="shared" si="38"/>
        <v>0</v>
      </c>
    </row>
    <row r="60" spans="1:51" s="19" customFormat="1" ht="12.75" x14ac:dyDescent="0.2">
      <c r="A60" s="1021" t="str">
        <f t="shared" si="17"/>
        <v>Arbre 5</v>
      </c>
      <c r="B60" s="1025">
        <v>1</v>
      </c>
      <c r="C60" s="1080">
        <f t="shared" ref="C60:M60" si="49">$L24+C$55*Rapous</f>
        <v>5.0335904162043832</v>
      </c>
      <c r="D60" s="1080">
        <f t="shared" si="49"/>
        <v>6.0335904162043832</v>
      </c>
      <c r="E60" s="1080">
        <f t="shared" si="49"/>
        <v>7.0335904162043832</v>
      </c>
      <c r="F60" s="1080">
        <f t="shared" si="49"/>
        <v>8.0335904162043832</v>
      </c>
      <c r="G60" s="1081">
        <f t="shared" si="49"/>
        <v>9.0335904162043832</v>
      </c>
      <c r="H60" s="1082">
        <f t="shared" si="49"/>
        <v>10.033590416204383</v>
      </c>
      <c r="I60" s="1083">
        <f t="shared" si="49"/>
        <v>11.033590416204383</v>
      </c>
      <c r="J60" s="1080">
        <f t="shared" si="49"/>
        <v>12.033590416204383</v>
      </c>
      <c r="K60" s="1080">
        <f t="shared" si="49"/>
        <v>13.033590416204383</v>
      </c>
      <c r="L60" s="1080">
        <f t="shared" si="49"/>
        <v>14.033590416204383</v>
      </c>
      <c r="M60" s="1081">
        <f t="shared" si="49"/>
        <v>15.033590416204383</v>
      </c>
      <c r="N60" s="688">
        <f t="shared" si="19"/>
        <v>75.895156599828539</v>
      </c>
      <c r="O60" s="928" t="str">
        <f t="shared" si="20"/>
        <v>Arbre 5</v>
      </c>
      <c r="P60" s="678">
        <f t="shared" si="21"/>
        <v>-2.7735755811681559</v>
      </c>
      <c r="Q60" s="685">
        <f t="shared" si="22"/>
        <v>1</v>
      </c>
      <c r="R60" s="688">
        <f t="shared" si="23"/>
        <v>1.3979307658178508</v>
      </c>
      <c r="S60" s="688">
        <f t="shared" si="24"/>
        <v>2.1521287956482373</v>
      </c>
      <c r="T60" s="688">
        <f t="shared" si="25"/>
        <v>2.9055814525657753</v>
      </c>
      <c r="U60" s="944">
        <f t="shared" si="26"/>
        <v>3.6580297297951274</v>
      </c>
      <c r="V60" s="1085">
        <f t="shared" si="27"/>
        <v>4.4092166954659682</v>
      </c>
      <c r="W60" s="685">
        <f t="shared" si="28"/>
        <v>5.1588880116372096</v>
      </c>
      <c r="X60" s="688">
        <f t="shared" si="29"/>
        <v>5.9067924400693776</v>
      </c>
      <c r="Y60" s="688">
        <f t="shared" si="30"/>
        <v>6.6526823322888813</v>
      </c>
      <c r="Z60" s="688">
        <f t="shared" si="31"/>
        <v>7.396314101635137</v>
      </c>
      <c r="AA60" s="944">
        <f t="shared" si="32"/>
        <v>8.1374486751481871</v>
      </c>
      <c r="AB60" s="1052">
        <f t="shared" si="33"/>
        <v>8.0285935802819424</v>
      </c>
      <c r="AC60" s="1053">
        <f t="shared" si="40"/>
        <v>7.5010000000000003</v>
      </c>
      <c r="AD60" s="39" t="b">
        <f t="shared" si="34"/>
        <v>0</v>
      </c>
      <c r="AE60" s="1053">
        <f t="shared" si="35"/>
        <v>10.730275788408578</v>
      </c>
      <c r="AF60" s="1054">
        <f t="shared" si="41"/>
        <v>0</v>
      </c>
      <c r="AG60" s="929">
        <v>25.31</v>
      </c>
      <c r="AH60" s="930">
        <v>7.7300000000000182</v>
      </c>
      <c r="AJ60" s="1062">
        <f t="shared" si="42"/>
        <v>1</v>
      </c>
      <c r="AK60" s="82">
        <f t="shared" si="43"/>
        <v>1</v>
      </c>
      <c r="AL60" s="1063">
        <f t="shared" si="44"/>
        <v>-189</v>
      </c>
      <c r="AM60" s="1063">
        <f t="shared" si="45"/>
        <v>1</v>
      </c>
      <c r="AN60" s="1074">
        <f t="shared" si="36"/>
        <v>172</v>
      </c>
      <c r="AO60" s="1075">
        <f t="shared" si="46"/>
        <v>18.262889942194128</v>
      </c>
      <c r="AP60" s="1067"/>
      <c r="AQ60" s="1068"/>
      <c r="AR60" s="1067"/>
      <c r="AS60" s="1068"/>
      <c r="AT60" s="1067"/>
      <c r="AU60" s="1068"/>
      <c r="AV60" s="1067"/>
      <c r="AW60" s="1068"/>
      <c r="AX60" s="28">
        <f t="shared" si="37"/>
        <v>0</v>
      </c>
      <c r="AY60" s="28">
        <f t="shared" si="38"/>
        <v>0</v>
      </c>
    </row>
    <row r="61" spans="1:51" s="19" customFormat="1" ht="12.75" x14ac:dyDescent="0.2">
      <c r="A61" s="1021" t="str">
        <f t="shared" si="17"/>
        <v>Arbre 6</v>
      </c>
      <c r="B61" s="1025">
        <v>1</v>
      </c>
      <c r="C61" s="1080">
        <f t="shared" ref="C61:M61" si="50">$L25+C$55*Rapous</f>
        <v>3.8266918344913972</v>
      </c>
      <c r="D61" s="1080">
        <f t="shared" si="50"/>
        <v>4.8266918344913972</v>
      </c>
      <c r="E61" s="1080">
        <f t="shared" si="50"/>
        <v>5.8266918344913972</v>
      </c>
      <c r="F61" s="1080">
        <f t="shared" si="50"/>
        <v>6.8266918344913972</v>
      </c>
      <c r="G61" s="1081">
        <f t="shared" si="50"/>
        <v>7.8266918344913972</v>
      </c>
      <c r="H61" s="1082">
        <f t="shared" si="50"/>
        <v>8.8266918344913972</v>
      </c>
      <c r="I61" s="1083">
        <f t="shared" si="50"/>
        <v>9.8266918344913972</v>
      </c>
      <c r="J61" s="1080">
        <f t="shared" si="50"/>
        <v>10.826691834491397</v>
      </c>
      <c r="K61" s="1080">
        <f t="shared" si="50"/>
        <v>11.826691834491397</v>
      </c>
      <c r="L61" s="1080">
        <f t="shared" si="50"/>
        <v>12.826691834491397</v>
      </c>
      <c r="M61" s="1081">
        <f t="shared" si="50"/>
        <v>13.826691834491397</v>
      </c>
      <c r="N61" s="688">
        <f t="shared" si="19"/>
        <v>69.333728410583106</v>
      </c>
      <c r="O61" s="928" t="str">
        <f t="shared" si="20"/>
        <v>Arbre 6</v>
      </c>
      <c r="P61" s="678">
        <f t="shared" si="21"/>
        <v>6.6941709635587605</v>
      </c>
      <c r="Q61" s="685">
        <f t="shared" si="22"/>
        <v>1</v>
      </c>
      <c r="R61" s="688">
        <f t="shared" si="23"/>
        <v>1</v>
      </c>
      <c r="S61" s="688">
        <f t="shared" si="24"/>
        <v>1.3592970264227138</v>
      </c>
      <c r="T61" s="688">
        <f t="shared" si="25"/>
        <v>2.1848691815284993</v>
      </c>
      <c r="U61" s="944">
        <f t="shared" si="26"/>
        <v>3.009534720153944</v>
      </c>
      <c r="V61" s="1085">
        <f t="shared" si="27"/>
        <v>3.8329541591374192</v>
      </c>
      <c r="W61" s="685">
        <f t="shared" si="28"/>
        <v>4.6547910977150604</v>
      </c>
      <c r="X61" s="688">
        <f t="shared" si="29"/>
        <v>5.4747130295033122</v>
      </c>
      <c r="Y61" s="688">
        <f t="shared" si="30"/>
        <v>6.2923921306907911</v>
      </c>
      <c r="Z61" s="688">
        <f t="shared" si="31"/>
        <v>7.1075060198899331</v>
      </c>
      <c r="AA61" s="944">
        <f t="shared" si="32"/>
        <v>7.9197384854156958</v>
      </c>
      <c r="AB61" s="1052">
        <f t="shared" si="33"/>
        <v>7.7486880769004642</v>
      </c>
      <c r="AC61" s="1053">
        <f t="shared" si="40"/>
        <v>7.5010000000000003</v>
      </c>
      <c r="AD61" s="39" t="b">
        <f t="shared" si="34"/>
        <v>0</v>
      </c>
      <c r="AE61" s="1053">
        <f t="shared" si="35"/>
        <v>6.2384707563183381</v>
      </c>
      <c r="AF61" s="1054">
        <f t="shared" si="41"/>
        <v>-1.2625292436816622</v>
      </c>
      <c r="AG61" s="929">
        <v>26.83</v>
      </c>
      <c r="AH61" s="930">
        <v>7.9000000000000057</v>
      </c>
      <c r="AJ61" s="1062">
        <f t="shared" si="42"/>
        <v>1</v>
      </c>
      <c r="AK61" s="82">
        <f t="shared" si="43"/>
        <v>1</v>
      </c>
      <c r="AL61" s="1063">
        <f t="shared" si="44"/>
        <v>-189</v>
      </c>
      <c r="AM61" s="1063">
        <f t="shared" si="45"/>
        <v>1</v>
      </c>
      <c r="AN61" s="1074">
        <f t="shared" si="36"/>
        <v>172</v>
      </c>
      <c r="AO61" s="1075">
        <f t="shared" si="46"/>
        <v>18.262889942194128</v>
      </c>
      <c r="AP61" s="1067"/>
      <c r="AQ61" s="1068"/>
      <c r="AR61" s="1067"/>
      <c r="AS61" s="1068"/>
      <c r="AT61" s="1067"/>
      <c r="AU61" s="1068"/>
      <c r="AV61" s="1067"/>
      <c r="AW61" s="1068"/>
      <c r="AX61" s="28">
        <f t="shared" si="37"/>
        <v>0</v>
      </c>
      <c r="AY61" s="28">
        <f t="shared" si="38"/>
        <v>0</v>
      </c>
    </row>
    <row r="62" spans="1:51" s="19" customFormat="1" ht="12.75" x14ac:dyDescent="0.2">
      <c r="A62" s="1021" t="str">
        <f t="shared" si="17"/>
        <v>Arbre 7</v>
      </c>
      <c r="B62" s="1025">
        <v>1</v>
      </c>
      <c r="C62" s="1080">
        <f t="shared" ref="C62:M62" si="51">$L26+C$55*Rapous</f>
        <v>2.83277561357247</v>
      </c>
      <c r="D62" s="1080">
        <f t="shared" si="51"/>
        <v>3.83277561357247</v>
      </c>
      <c r="E62" s="1080">
        <f t="shared" si="51"/>
        <v>4.83277561357247</v>
      </c>
      <c r="F62" s="1080">
        <f t="shared" si="51"/>
        <v>5.83277561357247</v>
      </c>
      <c r="G62" s="1081">
        <f t="shared" si="51"/>
        <v>6.83277561357247</v>
      </c>
      <c r="H62" s="1082">
        <f t="shared" si="51"/>
        <v>7.83277561357247</v>
      </c>
      <c r="I62" s="1083">
        <f t="shared" si="51"/>
        <v>8.8327756135724691</v>
      </c>
      <c r="J62" s="1080">
        <f t="shared" si="51"/>
        <v>9.8327756135724691</v>
      </c>
      <c r="K62" s="1080">
        <f t="shared" si="51"/>
        <v>10.832775613572469</v>
      </c>
      <c r="L62" s="1080">
        <f t="shared" si="51"/>
        <v>11.832775613572469</v>
      </c>
      <c r="M62" s="1081">
        <f t="shared" si="51"/>
        <v>12.832775613572469</v>
      </c>
      <c r="N62" s="688">
        <f t="shared" si="19"/>
        <v>65.031933658107533</v>
      </c>
      <c r="O62" s="928" t="str">
        <f t="shared" si="20"/>
        <v>Arbre 7</v>
      </c>
      <c r="P62" s="678">
        <f t="shared" si="21"/>
        <v>14.195170963558761</v>
      </c>
      <c r="Q62" s="685">
        <f t="shared" si="22"/>
        <v>1</v>
      </c>
      <c r="R62" s="688">
        <f t="shared" si="23"/>
        <v>1</v>
      </c>
      <c r="S62" s="688">
        <f t="shared" si="24"/>
        <v>1</v>
      </c>
      <c r="T62" s="688">
        <f t="shared" si="25"/>
        <v>1.4545325720748592</v>
      </c>
      <c r="U62" s="944">
        <f t="shared" si="26"/>
        <v>2.3345929346047982</v>
      </c>
      <c r="V62" s="1085">
        <f t="shared" si="27"/>
        <v>3.2135525600095005</v>
      </c>
      <c r="W62" s="685">
        <f t="shared" si="28"/>
        <v>4.0910007754558846</v>
      </c>
      <c r="X62" s="688">
        <f t="shared" si="29"/>
        <v>4.9665311523574349</v>
      </c>
      <c r="Y62" s="688">
        <f t="shared" si="30"/>
        <v>5.839742616145017</v>
      </c>
      <c r="Z62" s="688">
        <f t="shared" si="31"/>
        <v>6.71024051897031</v>
      </c>
      <c r="AA62" s="944">
        <f t="shared" si="32"/>
        <v>7.5776376683852336</v>
      </c>
      <c r="AB62" s="1052">
        <f t="shared" si="33"/>
        <v>7.3707043993323484</v>
      </c>
      <c r="AC62" s="1053">
        <f t="shared" si="40"/>
        <v>7.5010000000000003</v>
      </c>
      <c r="AD62" s="39" t="b">
        <f t="shared" si="34"/>
        <v>0</v>
      </c>
      <c r="AE62" s="1053">
        <f t="shared" si="35"/>
        <v>8.6988596445303923</v>
      </c>
      <c r="AF62" s="1054">
        <f t="shared" si="41"/>
        <v>0</v>
      </c>
      <c r="AG62" s="929">
        <v>28.54</v>
      </c>
      <c r="AH62" s="930">
        <v>8.1200000000000045</v>
      </c>
      <c r="AJ62" s="1062">
        <f t="shared" si="42"/>
        <v>1</v>
      </c>
      <c r="AK62" s="82">
        <f t="shared" si="43"/>
        <v>1</v>
      </c>
      <c r="AL62" s="1063">
        <f t="shared" si="44"/>
        <v>-189</v>
      </c>
      <c r="AM62" s="1063">
        <f t="shared" si="45"/>
        <v>1</v>
      </c>
      <c r="AN62" s="1074">
        <f t="shared" si="36"/>
        <v>172</v>
      </c>
      <c r="AO62" s="1075">
        <f t="shared" si="46"/>
        <v>18.262889942194128</v>
      </c>
      <c r="AP62" s="1067"/>
      <c r="AQ62" s="1068"/>
      <c r="AR62" s="1067"/>
      <c r="AS62" s="1068"/>
      <c r="AT62" s="1067"/>
      <c r="AU62" s="1068"/>
      <c r="AV62" s="1067"/>
      <c r="AW62" s="1068"/>
      <c r="AX62" s="28">
        <f t="shared" si="37"/>
        <v>0</v>
      </c>
      <c r="AY62" s="28">
        <f t="shared" si="38"/>
        <v>0</v>
      </c>
    </row>
    <row r="63" spans="1:51" s="19" customFormat="1" ht="12.75" x14ac:dyDescent="0.2">
      <c r="A63" s="1021" t="str">
        <f t="shared" si="17"/>
        <v>Arbre 8</v>
      </c>
      <c r="B63" s="1025">
        <v>1</v>
      </c>
      <c r="C63" s="1080">
        <f t="shared" ref="C63:M63" si="52">$L27+C$55*Rapous</f>
        <v>2.1801400044110828</v>
      </c>
      <c r="D63" s="1080">
        <f t="shared" si="52"/>
        <v>3.1801400044110828</v>
      </c>
      <c r="E63" s="1080">
        <f t="shared" si="52"/>
        <v>4.1801400044110828</v>
      </c>
      <c r="F63" s="1080">
        <f t="shared" si="52"/>
        <v>5.1801400044110828</v>
      </c>
      <c r="G63" s="1081">
        <f t="shared" si="52"/>
        <v>6.1801400044110828</v>
      </c>
      <c r="H63" s="1082">
        <f t="shared" si="52"/>
        <v>7.1801400044110828</v>
      </c>
      <c r="I63" s="1083">
        <f t="shared" si="52"/>
        <v>8.1801400044110828</v>
      </c>
      <c r="J63" s="1080">
        <f t="shared" si="52"/>
        <v>9.1801400044110828</v>
      </c>
      <c r="K63" s="1080">
        <f t="shared" si="52"/>
        <v>10.180140004411083</v>
      </c>
      <c r="L63" s="1080">
        <f t="shared" si="52"/>
        <v>11.180140004411083</v>
      </c>
      <c r="M63" s="1081">
        <f t="shared" si="52"/>
        <v>12.180140004411083</v>
      </c>
      <c r="N63" s="688">
        <f t="shared" si="19"/>
        <v>63.639382424034459</v>
      </c>
      <c r="O63" s="928" t="str">
        <f t="shared" si="20"/>
        <v>Arbre 8</v>
      </c>
      <c r="P63" s="678">
        <f t="shared" si="21"/>
        <v>22.894030608089153</v>
      </c>
      <c r="Q63" s="685">
        <f t="shared" si="22"/>
        <v>1</v>
      </c>
      <c r="R63" s="688">
        <f t="shared" si="23"/>
        <v>1</v>
      </c>
      <c r="S63" s="688">
        <f t="shared" si="24"/>
        <v>1</v>
      </c>
      <c r="T63" s="688">
        <f t="shared" si="25"/>
        <v>1</v>
      </c>
      <c r="U63" s="944">
        <f t="shared" si="26"/>
        <v>1.7988276048400154</v>
      </c>
      <c r="V63" s="1085">
        <f t="shared" si="27"/>
        <v>2.6977430413140722</v>
      </c>
      <c r="W63" s="685">
        <f t="shared" si="28"/>
        <v>3.5953314899987467</v>
      </c>
      <c r="X63" s="688">
        <f t="shared" si="29"/>
        <v>4.4911565047130377</v>
      </c>
      <c r="Y63" s="688">
        <f t="shared" si="30"/>
        <v>5.3847867978215485</v>
      </c>
      <c r="Z63" s="688">
        <f t="shared" si="31"/>
        <v>6.2757974593618986</v>
      </c>
      <c r="AA63" s="944">
        <f t="shared" si="32"/>
        <v>7.1637711302794624</v>
      </c>
      <c r="AB63" s="1052">
        <f t="shared" si="33"/>
        <v>9.9464105831706817</v>
      </c>
      <c r="AC63" s="1053">
        <f t="shared" si="40"/>
        <v>7.5010000000000003</v>
      </c>
      <c r="AD63" s="39" t="b">
        <f t="shared" si="34"/>
        <v>0</v>
      </c>
      <c r="AE63" s="1053">
        <f t="shared" si="35"/>
        <v>11.724665396671902</v>
      </c>
      <c r="AF63" s="1054">
        <f t="shared" si="41"/>
        <v>0</v>
      </c>
      <c r="AG63" s="929">
        <v>30.6</v>
      </c>
      <c r="AH63" s="930">
        <v>8.3700000000000045</v>
      </c>
      <c r="AJ63" s="1062">
        <f t="shared" si="42"/>
        <v>1</v>
      </c>
      <c r="AK63" s="82">
        <f t="shared" si="43"/>
        <v>1</v>
      </c>
      <c r="AL63" s="1063">
        <f t="shared" si="44"/>
        <v>-189</v>
      </c>
      <c r="AM63" s="1063">
        <f t="shared" si="45"/>
        <v>1</v>
      </c>
      <c r="AN63" s="1074">
        <f t="shared" si="36"/>
        <v>172</v>
      </c>
      <c r="AO63" s="1075">
        <f t="shared" si="46"/>
        <v>18.262889942194128</v>
      </c>
      <c r="AP63" s="1067"/>
      <c r="AQ63" s="1068"/>
      <c r="AR63" s="1067"/>
      <c r="AS63" s="1068"/>
      <c r="AT63" s="1067"/>
      <c r="AU63" s="1068"/>
      <c r="AV63" s="1067"/>
      <c r="AW63" s="1068"/>
      <c r="AX63" s="28">
        <f t="shared" si="37"/>
        <v>0</v>
      </c>
      <c r="AY63" s="28">
        <f t="shared" si="38"/>
        <v>0</v>
      </c>
    </row>
    <row r="64" spans="1:51" s="19" customFormat="1" ht="12.75" x14ac:dyDescent="0.2">
      <c r="A64" s="1021" t="str">
        <f t="shared" si="17"/>
        <v>Arbre 9</v>
      </c>
      <c r="B64" s="1025">
        <v>1</v>
      </c>
      <c r="C64" s="1080">
        <f t="shared" ref="C64:M64" si="53">$L28+C$55*Rapous</f>
        <v>8.4073288815562695</v>
      </c>
      <c r="D64" s="1080">
        <f t="shared" si="53"/>
        <v>9.4073288815562695</v>
      </c>
      <c r="E64" s="1080">
        <f t="shared" si="53"/>
        <v>10.407328881556269</v>
      </c>
      <c r="F64" s="1080">
        <f t="shared" si="53"/>
        <v>11.407328881556269</v>
      </c>
      <c r="G64" s="1081">
        <f t="shared" si="53"/>
        <v>12.407328881556269</v>
      </c>
      <c r="H64" s="1082">
        <f t="shared" si="53"/>
        <v>13.407328881556269</v>
      </c>
      <c r="I64" s="1083">
        <f t="shared" si="53"/>
        <v>14.407328881556269</v>
      </c>
      <c r="J64" s="1080">
        <f t="shared" si="53"/>
        <v>15.407328881556269</v>
      </c>
      <c r="K64" s="1080">
        <f t="shared" si="53"/>
        <v>16.407328881556268</v>
      </c>
      <c r="L64" s="1080">
        <f t="shared" si="53"/>
        <v>17.407328881556268</v>
      </c>
      <c r="M64" s="1081">
        <f t="shared" si="53"/>
        <v>18.407328881556268</v>
      </c>
      <c r="N64" s="688">
        <f t="shared" si="19"/>
        <v>62.976104161122208</v>
      </c>
      <c r="O64" s="928" t="str">
        <f t="shared" si="20"/>
        <v>Arbre 9</v>
      </c>
      <c r="P64" s="678">
        <f t="shared" si="21"/>
        <v>34.618696004761055</v>
      </c>
      <c r="Q64" s="685">
        <f t="shared" si="22"/>
        <v>3.8389164877687647</v>
      </c>
      <c r="R64" s="688">
        <f t="shared" si="23"/>
        <v>4.7436052751256863</v>
      </c>
      <c r="S64" s="688">
        <f t="shared" si="24"/>
        <v>5.6459297053808024</v>
      </c>
      <c r="T64" s="688">
        <f t="shared" si="25"/>
        <v>6.5454534225531349</v>
      </c>
      <c r="U64" s="944">
        <f t="shared" si="26"/>
        <v>7.4417482924628047</v>
      </c>
      <c r="V64" s="1085">
        <f t="shared" si="27"/>
        <v>8.3343955641045735</v>
      </c>
      <c r="W64" s="685">
        <f t="shared" si="28"/>
        <v>9.2229869641559272</v>
      </c>
      <c r="X64" s="688">
        <f t="shared" si="29"/>
        <v>10.107125718094261</v>
      </c>
      <c r="Y64" s="688">
        <f t="shared" si="30"/>
        <v>10.986427492331883</v>
      </c>
      <c r="Z64" s="688">
        <f t="shared" si="31"/>
        <v>11.860521252755646</v>
      </c>
      <c r="AA64" s="944">
        <f t="shared" si="32"/>
        <v>12.729050036061903</v>
      </c>
      <c r="AB64" s="1052">
        <f t="shared" si="33"/>
        <v>12.228131034420151</v>
      </c>
      <c r="AC64" s="1053">
        <f t="shared" si="40"/>
        <v>7.5010000000000003</v>
      </c>
      <c r="AD64" s="39" t="b">
        <f t="shared" si="34"/>
        <v>0</v>
      </c>
      <c r="AE64" s="1053">
        <f t="shared" si="35"/>
        <v>12.760296174456691</v>
      </c>
      <c r="AF64" s="1054">
        <f t="shared" si="41"/>
        <v>0</v>
      </c>
      <c r="AG64" s="929">
        <v>32.76</v>
      </c>
      <c r="AH64" s="930">
        <v>8.660000000000025</v>
      </c>
      <c r="AJ64" s="1062">
        <f t="shared" si="42"/>
        <v>1</v>
      </c>
      <c r="AK64" s="82">
        <f t="shared" si="43"/>
        <v>1</v>
      </c>
      <c r="AL64" s="1063">
        <f t="shared" si="44"/>
        <v>-189</v>
      </c>
      <c r="AM64" s="1063">
        <f t="shared" si="45"/>
        <v>1</v>
      </c>
      <c r="AN64" s="1074">
        <f t="shared" si="36"/>
        <v>172</v>
      </c>
      <c r="AO64" s="1075">
        <f t="shared" si="46"/>
        <v>18.262889942194128</v>
      </c>
      <c r="AP64" s="1067"/>
      <c r="AQ64" s="1068"/>
      <c r="AR64" s="1067"/>
      <c r="AS64" s="1068"/>
      <c r="AT64" s="1067"/>
      <c r="AU64" s="1068"/>
      <c r="AV64" s="1067"/>
      <c r="AW64" s="1068"/>
      <c r="AX64" s="28">
        <f t="shared" si="37"/>
        <v>0</v>
      </c>
      <c r="AY64" s="28">
        <f t="shared" si="38"/>
        <v>0</v>
      </c>
    </row>
    <row r="65" spans="1:51" s="19" customFormat="1" ht="12.75" x14ac:dyDescent="0.2">
      <c r="A65" s="1021" t="str">
        <f t="shared" si="17"/>
        <v>Arbre 10</v>
      </c>
      <c r="B65" s="1025">
        <v>1</v>
      </c>
      <c r="C65" s="1080">
        <f t="shared" ref="C65:M65" si="54">$L29+C$55*Rapous</f>
        <v>8.4721439487546775</v>
      </c>
      <c r="D65" s="1080">
        <f t="shared" si="54"/>
        <v>9.4721439487546775</v>
      </c>
      <c r="E65" s="1080">
        <f t="shared" si="54"/>
        <v>10.472143948754677</v>
      </c>
      <c r="F65" s="1080">
        <f t="shared" si="54"/>
        <v>11.472143948754677</v>
      </c>
      <c r="G65" s="1081">
        <f t="shared" si="54"/>
        <v>12.472143948754677</v>
      </c>
      <c r="H65" s="1082">
        <f t="shared" si="54"/>
        <v>13.472143948754677</v>
      </c>
      <c r="I65" s="1083">
        <f t="shared" si="54"/>
        <v>14.472143948754677</v>
      </c>
      <c r="J65" s="1080">
        <f t="shared" si="54"/>
        <v>15.472143948754677</v>
      </c>
      <c r="K65" s="1080">
        <f t="shared" si="54"/>
        <v>16.472143948754677</v>
      </c>
      <c r="L65" s="1080">
        <f t="shared" si="54"/>
        <v>17.472143948754677</v>
      </c>
      <c r="M65" s="1081">
        <f t="shared" si="54"/>
        <v>18.472143948754677</v>
      </c>
      <c r="N65" s="688">
        <f t="shared" si="19"/>
        <v>68.842262239938862</v>
      </c>
      <c r="O65" s="928" t="str">
        <f t="shared" si="20"/>
        <v>Arbre 10</v>
      </c>
      <c r="P65" s="678">
        <f t="shared" si="21"/>
        <v>47.378992179217747</v>
      </c>
      <c r="Q65" s="685">
        <f t="shared" si="22"/>
        <v>3.566391809954824</v>
      </c>
      <c r="R65" s="688">
        <f t="shared" si="23"/>
        <v>4.3946428856571931</v>
      </c>
      <c r="S65" s="688">
        <f t="shared" si="24"/>
        <v>5.2210578832060097</v>
      </c>
      <c r="T65" s="688">
        <f t="shared" si="25"/>
        <v>6.0453003257386415</v>
      </c>
      <c r="U65" s="944">
        <f t="shared" si="26"/>
        <v>6.8670390971408422</v>
      </c>
      <c r="V65" s="1085">
        <f t="shared" si="27"/>
        <v>7.6859492064215438</v>
      </c>
      <c r="W65" s="685">
        <f t="shared" si="28"/>
        <v>8.5017125152339545</v>
      </c>
      <c r="X65" s="688">
        <f t="shared" si="29"/>
        <v>9.3140184247584159</v>
      </c>
      <c r="Y65" s="688">
        <f t="shared" si="30"/>
        <v>10.122564518602244</v>
      </c>
      <c r="Z65" s="688">
        <f t="shared" si="31"/>
        <v>10.927057158837187</v>
      </c>
      <c r="AA65" s="944">
        <f t="shared" si="32"/>
        <v>11.7272120327784</v>
      </c>
      <c r="AB65" s="1052">
        <f t="shared" si="33"/>
        <v>9.0266479785353155</v>
      </c>
      <c r="AC65" s="1053">
        <f t="shared" si="40"/>
        <v>7.5010000000000003</v>
      </c>
      <c r="AD65" s="39" t="b">
        <f t="shared" si="34"/>
        <v>0</v>
      </c>
      <c r="AE65" s="1053">
        <f t="shared" si="35"/>
        <v>15.90800144123078</v>
      </c>
      <c r="AF65" s="1054">
        <f t="shared" si="41"/>
        <v>0</v>
      </c>
      <c r="AG65" s="929">
        <v>35.270000000000003</v>
      </c>
      <c r="AH65" s="930">
        <v>9</v>
      </c>
      <c r="AJ65" s="1062">
        <f t="shared" si="42"/>
        <v>1</v>
      </c>
      <c r="AK65" s="82">
        <f t="shared" si="43"/>
        <v>1</v>
      </c>
      <c r="AL65" s="1063">
        <f t="shared" si="44"/>
        <v>-189</v>
      </c>
      <c r="AM65" s="1063">
        <f t="shared" si="45"/>
        <v>1</v>
      </c>
      <c r="AN65" s="1074">
        <f t="shared" si="36"/>
        <v>172</v>
      </c>
      <c r="AO65" s="1075">
        <f t="shared" si="46"/>
        <v>18.262889942194128</v>
      </c>
      <c r="AP65" s="1067"/>
      <c r="AQ65" s="1068"/>
      <c r="AR65" s="1067"/>
      <c r="AS65" s="1068"/>
      <c r="AT65" s="1067"/>
      <c r="AU65" s="1068"/>
      <c r="AV65" s="1067"/>
      <c r="AW65" s="1068"/>
      <c r="AX65" s="28">
        <f t="shared" si="37"/>
        <v>0</v>
      </c>
      <c r="AY65" s="28">
        <f t="shared" si="38"/>
        <v>0</v>
      </c>
    </row>
    <row r="66" spans="1:51" s="19" customFormat="1" ht="12.75" x14ac:dyDescent="0.2">
      <c r="A66" s="1021" t="str">
        <f t="shared" si="17"/>
        <v>Arbre 11</v>
      </c>
      <c r="B66" s="1025">
        <v>1</v>
      </c>
      <c r="C66" s="1080">
        <f t="shared" ref="C66:M66" si="55">$L30+C$55*Rapous</f>
        <v>2.3412842457109377</v>
      </c>
      <c r="D66" s="1080">
        <f t="shared" si="55"/>
        <v>3.3412842457109377</v>
      </c>
      <c r="E66" s="1080">
        <f t="shared" si="55"/>
        <v>4.3412842457109377</v>
      </c>
      <c r="F66" s="1080">
        <f t="shared" si="55"/>
        <v>5.3412842457109377</v>
      </c>
      <c r="G66" s="1081">
        <f t="shared" si="55"/>
        <v>6.3412842457109377</v>
      </c>
      <c r="H66" s="1082">
        <f t="shared" si="55"/>
        <v>7.3412842457109377</v>
      </c>
      <c r="I66" s="1083">
        <f t="shared" si="55"/>
        <v>8.3412842457109377</v>
      </c>
      <c r="J66" s="1080">
        <f t="shared" si="55"/>
        <v>9.3412842457109377</v>
      </c>
      <c r="K66" s="1080">
        <f t="shared" si="55"/>
        <v>10.341284245710938</v>
      </c>
      <c r="L66" s="1080">
        <f t="shared" si="55"/>
        <v>11.341284245710938</v>
      </c>
      <c r="M66" s="1081">
        <f t="shared" si="55"/>
        <v>12.341284245710938</v>
      </c>
      <c r="N66" s="688">
        <f t="shared" si="19"/>
        <v>73.603217968459177</v>
      </c>
      <c r="O66" s="928" t="str">
        <f t="shared" si="20"/>
        <v>Arbre 11</v>
      </c>
      <c r="P66" s="678">
        <f t="shared" si="21"/>
        <v>63.286993620448527</v>
      </c>
      <c r="Q66" s="685">
        <f t="shared" si="22"/>
        <v>1</v>
      </c>
      <c r="R66" s="688">
        <f t="shared" si="23"/>
        <v>1</v>
      </c>
      <c r="S66" s="688">
        <f t="shared" si="24"/>
        <v>1</v>
      </c>
      <c r="T66" s="688">
        <f t="shared" si="25"/>
        <v>1</v>
      </c>
      <c r="U66" s="944">
        <f t="shared" si="26"/>
        <v>1.6807864393035088</v>
      </c>
      <c r="V66" s="1085">
        <f t="shared" si="27"/>
        <v>2.4582005694636244</v>
      </c>
      <c r="W66" s="685">
        <f t="shared" si="28"/>
        <v>3.2347101315609446</v>
      </c>
      <c r="X66" s="688">
        <f t="shared" si="29"/>
        <v>4.0100320554025108</v>
      </c>
      <c r="Y66" s="688">
        <f t="shared" si="30"/>
        <v>4.7838858745297861</v>
      </c>
      <c r="Z66" s="688">
        <f t="shared" si="31"/>
        <v>5.5559943245756784</v>
      </c>
      <c r="AA66" s="944">
        <f t="shared" si="32"/>
        <v>6.3260839242922309</v>
      </c>
      <c r="AB66" s="1052">
        <f t="shared" si="33"/>
        <v>6.2494271494569036</v>
      </c>
      <c r="AC66" s="1053">
        <f t="shared" si="40"/>
        <v>7.5010000000000003</v>
      </c>
      <c r="AD66" s="39" t="b">
        <f t="shared" si="34"/>
        <v>0</v>
      </c>
      <c r="AE66" s="1053">
        <f t="shared" si="35"/>
        <v>6.3963410607053817</v>
      </c>
      <c r="AF66" s="1054">
        <f t="shared" si="41"/>
        <v>0</v>
      </c>
      <c r="AG66" s="929">
        <v>37.65</v>
      </c>
      <c r="AH66" s="930">
        <v>9.3500000000000227</v>
      </c>
      <c r="AJ66" s="1062">
        <f t="shared" si="42"/>
        <v>1</v>
      </c>
      <c r="AK66" s="82">
        <f t="shared" si="43"/>
        <v>1</v>
      </c>
      <c r="AL66" s="1063">
        <f t="shared" si="44"/>
        <v>-189</v>
      </c>
      <c r="AM66" s="1063">
        <f t="shared" si="45"/>
        <v>1</v>
      </c>
      <c r="AN66" s="1074">
        <f t="shared" si="36"/>
        <v>172</v>
      </c>
      <c r="AO66" s="1075">
        <f t="shared" si="46"/>
        <v>18.262889942194128</v>
      </c>
      <c r="AP66" s="1067"/>
      <c r="AQ66" s="1068"/>
      <c r="AR66" s="1067"/>
      <c r="AS66" s="1068"/>
      <c r="AT66" s="1067"/>
      <c r="AU66" s="1068"/>
      <c r="AV66" s="1067"/>
      <c r="AW66" s="1068"/>
      <c r="AX66" s="28">
        <f t="shared" si="37"/>
        <v>0</v>
      </c>
      <c r="AY66" s="28">
        <f t="shared" si="38"/>
        <v>0</v>
      </c>
    </row>
    <row r="67" spans="1:51" s="19" customFormat="1" ht="12.75" x14ac:dyDescent="0.2">
      <c r="A67" s="1021" t="str">
        <f t="shared" si="17"/>
        <v>Arbre 12</v>
      </c>
      <c r="B67" s="1025">
        <v>1</v>
      </c>
      <c r="C67" s="1080">
        <f t="shared" ref="C67:M67" si="56">$L31+C$55*Rapous</f>
        <v>3.0361499012213695</v>
      </c>
      <c r="D67" s="1080">
        <f t="shared" si="56"/>
        <v>4.0361499012213695</v>
      </c>
      <c r="E67" s="1080">
        <f t="shared" si="56"/>
        <v>5.0361499012213695</v>
      </c>
      <c r="F67" s="1080">
        <f t="shared" si="56"/>
        <v>6.0361499012213695</v>
      </c>
      <c r="G67" s="1081">
        <f t="shared" si="56"/>
        <v>7.0361499012213695</v>
      </c>
      <c r="H67" s="1082">
        <f t="shared" si="56"/>
        <v>8.0361499012213695</v>
      </c>
      <c r="I67" s="1083">
        <f t="shared" si="56"/>
        <v>9.0361499012213695</v>
      </c>
      <c r="J67" s="1080">
        <f t="shared" si="56"/>
        <v>10.03614990122137</v>
      </c>
      <c r="K67" s="1080">
        <f t="shared" si="56"/>
        <v>11.03614990122137</v>
      </c>
      <c r="L67" s="1080">
        <f t="shared" si="56"/>
        <v>12.03614990122137</v>
      </c>
      <c r="M67" s="1081">
        <f t="shared" si="56"/>
        <v>13.03614990122137</v>
      </c>
      <c r="N67" s="688">
        <f t="shared" si="19"/>
        <v>81.870850705928987</v>
      </c>
      <c r="O67" s="928" t="str">
        <f t="shared" si="20"/>
        <v>Arbre 12</v>
      </c>
      <c r="P67" s="678">
        <f t="shared" si="21"/>
        <v>70.787993620448532</v>
      </c>
      <c r="Q67" s="685">
        <f t="shared" si="22"/>
        <v>1</v>
      </c>
      <c r="R67" s="688">
        <f t="shared" si="23"/>
        <v>1</v>
      </c>
      <c r="S67" s="688">
        <f t="shared" si="24"/>
        <v>1</v>
      </c>
      <c r="T67" s="688">
        <f t="shared" si="25"/>
        <v>1.2977232666605478</v>
      </c>
      <c r="U67" s="944">
        <f t="shared" si="26"/>
        <v>1.9969674535532467</v>
      </c>
      <c r="V67" s="1085">
        <f t="shared" si="27"/>
        <v>2.6956170767670109</v>
      </c>
      <c r="W67" s="685">
        <f t="shared" si="28"/>
        <v>3.3934654601473437</v>
      </c>
      <c r="X67" s="688">
        <f t="shared" si="29"/>
        <v>4.0903073516436397</v>
      </c>
      <c r="Y67" s="688">
        <f t="shared" si="30"/>
        <v>4.7859392811723982</v>
      </c>
      <c r="Z67" s="688">
        <f t="shared" si="31"/>
        <v>5.4801599106360444</v>
      </c>
      <c r="AA67" s="944">
        <f t="shared" si="32"/>
        <v>6.1727703746215763</v>
      </c>
      <c r="AB67" s="1052">
        <f t="shared" si="33"/>
        <v>3.5863851873107881</v>
      </c>
      <c r="AC67" s="1053">
        <f t="shared" si="40"/>
        <v>7.5010000000000003</v>
      </c>
      <c r="AD67" s="39" t="b">
        <f t="shared" si="34"/>
        <v>0</v>
      </c>
      <c r="AE67" s="1053">
        <f t="shared" si="35"/>
        <v>11.316665318846091</v>
      </c>
      <c r="AF67" s="1054">
        <f t="shared" si="41"/>
        <v>1.1046589392946187</v>
      </c>
      <c r="AG67" s="929">
        <v>40.520000000000003</v>
      </c>
      <c r="AH67" s="930">
        <v>9.789999999999992</v>
      </c>
      <c r="AJ67" s="1062">
        <f t="shared" si="42"/>
        <v>1</v>
      </c>
      <c r="AK67" s="82">
        <f t="shared" si="43"/>
        <v>1</v>
      </c>
      <c r="AL67" s="1063">
        <f t="shared" si="44"/>
        <v>-189</v>
      </c>
      <c r="AM67" s="1063">
        <f t="shared" si="45"/>
        <v>1</v>
      </c>
      <c r="AN67" s="1074">
        <f t="shared" si="36"/>
        <v>172</v>
      </c>
      <c r="AO67" s="1075">
        <f t="shared" si="46"/>
        <v>18.262889942194128</v>
      </c>
      <c r="AP67" s="1067"/>
      <c r="AQ67" s="1068"/>
      <c r="AR67" s="1067"/>
      <c r="AS67" s="1068"/>
      <c r="AT67" s="1067"/>
      <c r="AU67" s="1068"/>
      <c r="AV67" s="1067"/>
      <c r="AW67" s="1068"/>
      <c r="AX67" s="28">
        <f t="shared" si="37"/>
        <v>0</v>
      </c>
      <c r="AY67" s="28">
        <f t="shared" si="38"/>
        <v>0</v>
      </c>
    </row>
    <row r="68" spans="1:51" s="19" customFormat="1" ht="12.75" x14ac:dyDescent="0.2">
      <c r="A68" s="1021" t="str">
        <f t="shared" si="17"/>
        <v>Toit D</v>
      </c>
      <c r="B68" s="1025">
        <v>1</v>
      </c>
      <c r="C68" s="1080">
        <f t="shared" ref="C68:M68" si="57">$L32+C$55*Rapous</f>
        <v>-5</v>
      </c>
      <c r="D68" s="1080">
        <f t="shared" si="57"/>
        <v>-4</v>
      </c>
      <c r="E68" s="1080">
        <f t="shared" si="57"/>
        <v>-3</v>
      </c>
      <c r="F68" s="1080">
        <f t="shared" si="57"/>
        <v>-2</v>
      </c>
      <c r="G68" s="1081">
        <f t="shared" si="57"/>
        <v>-1</v>
      </c>
      <c r="H68" s="1082">
        <f t="shared" si="57"/>
        <v>0</v>
      </c>
      <c r="I68" s="1083">
        <f t="shared" si="57"/>
        <v>1</v>
      </c>
      <c r="J68" s="1080">
        <f t="shared" si="57"/>
        <v>2</v>
      </c>
      <c r="K68" s="1080">
        <f t="shared" si="57"/>
        <v>3</v>
      </c>
      <c r="L68" s="1080">
        <f t="shared" si="57"/>
        <v>4</v>
      </c>
      <c r="M68" s="1081">
        <f t="shared" si="57"/>
        <v>5</v>
      </c>
      <c r="N68" s="688">
        <f t="shared" si="19"/>
        <v>0</v>
      </c>
      <c r="O68" s="928" t="str">
        <f t="shared" si="20"/>
        <v>Toit D</v>
      </c>
      <c r="P68" s="678">
        <f t="shared" si="21"/>
        <v>81</v>
      </c>
      <c r="Q68" s="685">
        <f t="shared" si="22"/>
        <v>1</v>
      </c>
      <c r="R68" s="688">
        <f t="shared" si="23"/>
        <v>1</v>
      </c>
      <c r="S68" s="688">
        <f t="shared" si="24"/>
        <v>1</v>
      </c>
      <c r="T68" s="688">
        <f t="shared" si="25"/>
        <v>1</v>
      </c>
      <c r="U68" s="944">
        <f t="shared" si="26"/>
        <v>1</v>
      </c>
      <c r="V68" s="1085">
        <f t="shared" si="27"/>
        <v>1</v>
      </c>
      <c r="W68" s="685">
        <f t="shared" si="28"/>
        <v>1</v>
      </c>
      <c r="X68" s="688">
        <f t="shared" si="29"/>
        <v>1</v>
      </c>
      <c r="Y68" s="688">
        <f t="shared" si="30"/>
        <v>1</v>
      </c>
      <c r="Z68" s="688">
        <f t="shared" si="31"/>
        <v>1</v>
      </c>
      <c r="AA68" s="944">
        <f t="shared" si="32"/>
        <v>1</v>
      </c>
      <c r="AB68" s="1052">
        <f t="shared" si="33"/>
        <v>9.6314449710970642</v>
      </c>
      <c r="AC68" s="1053">
        <f t="shared" si="40"/>
        <v>7.5010000000000003</v>
      </c>
      <c r="AD68" s="39" t="b">
        <f t="shared" si="34"/>
        <v>0</v>
      </c>
      <c r="AE68" s="1053">
        <f t="shared" si="35"/>
        <v>90</v>
      </c>
      <c r="AF68" s="1054">
        <f t="shared" si="41"/>
        <v>0</v>
      </c>
      <c r="AG68" s="929">
        <v>42.91</v>
      </c>
      <c r="AH68" s="930">
        <v>10.22999999999999</v>
      </c>
      <c r="AJ68" s="1062">
        <f t="shared" si="42"/>
        <v>1</v>
      </c>
      <c r="AK68" s="82">
        <f t="shared" si="43"/>
        <v>1</v>
      </c>
      <c r="AL68" s="1063">
        <f t="shared" si="44"/>
        <v>-189</v>
      </c>
      <c r="AM68" s="1063">
        <f t="shared" si="45"/>
        <v>1</v>
      </c>
      <c r="AN68" s="1074">
        <f>IF(AND(AX68=0,AX69=0),MAX(AN67,$H$43+1),AX68)</f>
        <v>172</v>
      </c>
      <c r="AO68" s="1075">
        <f t="shared" si="46"/>
        <v>18.262889942194128</v>
      </c>
      <c r="AP68" s="1067"/>
      <c r="AQ68" s="1068"/>
      <c r="AR68" s="1067"/>
      <c r="AS68" s="1068"/>
      <c r="AT68" s="1067"/>
      <c r="AU68" s="1068"/>
      <c r="AV68" s="1067"/>
      <c r="AW68" s="1068"/>
      <c r="AX68" s="28">
        <f t="shared" si="37"/>
        <v>0</v>
      </c>
      <c r="AY68" s="28">
        <f t="shared" si="38"/>
        <v>0</v>
      </c>
    </row>
    <row r="69" spans="1:51" s="19" customFormat="1" ht="12.75" x14ac:dyDescent="0.2">
      <c r="A69" s="1021" t="str">
        <f t="shared" si="17"/>
        <v>Arrière PV</v>
      </c>
      <c r="B69" s="1025">
        <v>1</v>
      </c>
      <c r="C69" s="1080">
        <f t="shared" ref="C69:M69" si="58">$L33+C$55*Rapous</f>
        <v>-5</v>
      </c>
      <c r="D69" s="1080">
        <f t="shared" si="58"/>
        <v>-4</v>
      </c>
      <c r="E69" s="1080">
        <f t="shared" si="58"/>
        <v>-3</v>
      </c>
      <c r="F69" s="1080">
        <f t="shared" si="58"/>
        <v>-2</v>
      </c>
      <c r="G69" s="1081">
        <f t="shared" si="58"/>
        <v>-1</v>
      </c>
      <c r="H69" s="1082">
        <f t="shared" si="58"/>
        <v>0</v>
      </c>
      <c r="I69" s="1083">
        <f t="shared" si="58"/>
        <v>1</v>
      </c>
      <c r="J69" s="1080">
        <f t="shared" si="58"/>
        <v>2</v>
      </c>
      <c r="K69" s="1080">
        <f t="shared" si="58"/>
        <v>3</v>
      </c>
      <c r="L69" s="1080">
        <f t="shared" si="58"/>
        <v>4</v>
      </c>
      <c r="M69" s="1081">
        <f t="shared" si="58"/>
        <v>5</v>
      </c>
      <c r="N69" s="688">
        <f t="shared" si="19"/>
        <v>0</v>
      </c>
      <c r="O69" s="928" t="str">
        <f t="shared" si="20"/>
        <v>Arrière PV</v>
      </c>
      <c r="P69" s="678">
        <f t="shared" si="21"/>
        <v>171</v>
      </c>
      <c r="Q69" s="685">
        <f t="shared" si="22"/>
        <v>18.262889942194128</v>
      </c>
      <c r="R69" s="688">
        <f t="shared" si="23"/>
        <v>18.262889942194128</v>
      </c>
      <c r="S69" s="688">
        <f t="shared" si="24"/>
        <v>18.262889942194128</v>
      </c>
      <c r="T69" s="688">
        <f t="shared" si="25"/>
        <v>18.262889942194128</v>
      </c>
      <c r="U69" s="944">
        <f t="shared" si="26"/>
        <v>18.262889942194128</v>
      </c>
      <c r="V69" s="1085">
        <f t="shared" si="27"/>
        <v>18.262889942194128</v>
      </c>
      <c r="W69" s="685">
        <f t="shared" si="28"/>
        <v>18.262889942194128</v>
      </c>
      <c r="X69" s="688">
        <f t="shared" si="29"/>
        <v>18.262889942194128</v>
      </c>
      <c r="Y69" s="688">
        <f t="shared" si="30"/>
        <v>18.262889942194128</v>
      </c>
      <c r="Z69" s="688">
        <f t="shared" si="31"/>
        <v>18.262889942194128</v>
      </c>
      <c r="AA69" s="944">
        <f t="shared" si="32"/>
        <v>18.262889942194128</v>
      </c>
      <c r="AB69" s="1052">
        <f t="shared" si="33"/>
        <v>18.262889942194128</v>
      </c>
      <c r="AC69" s="1053">
        <f t="shared" si="40"/>
        <v>7.5010000000000003</v>
      </c>
      <c r="AD69" s="39" t="b">
        <f t="shared" si="34"/>
        <v>0</v>
      </c>
      <c r="AE69" s="1053">
        <f t="shared" si="35"/>
        <v>0</v>
      </c>
      <c r="AF69" s="1054">
        <f t="shared" si="41"/>
        <v>0</v>
      </c>
      <c r="AG69" s="929">
        <v>46.04</v>
      </c>
      <c r="AH69" s="930">
        <v>10.759999999999991</v>
      </c>
      <c r="AJ69" s="1062">
        <f t="shared" si="42"/>
        <v>1</v>
      </c>
      <c r="AK69" s="82">
        <f t="shared" si="43"/>
        <v>2</v>
      </c>
      <c r="AL69" s="1063">
        <f t="shared" si="44"/>
        <v>171</v>
      </c>
      <c r="AM69" s="1063">
        <f t="shared" si="45"/>
        <v>1</v>
      </c>
      <c r="AN69" s="1074">
        <f>IF(AND(AX69=0,AX70=0),MAX(AN68,$H$43+1),AX69)</f>
        <v>172</v>
      </c>
      <c r="AO69" s="1075">
        <f t="shared" si="46"/>
        <v>18.262889942194128</v>
      </c>
      <c r="AP69" s="1067"/>
      <c r="AQ69" s="1068"/>
      <c r="AR69" s="1067"/>
      <c r="AS69" s="1068"/>
      <c r="AT69" s="1067"/>
      <c r="AU69" s="1068"/>
      <c r="AV69" s="1067"/>
      <c r="AW69" s="1068"/>
      <c r="AX69" s="28">
        <f t="shared" si="37"/>
        <v>0</v>
      </c>
      <c r="AY69" s="28">
        <f t="shared" si="38"/>
        <v>0</v>
      </c>
    </row>
    <row r="70" spans="1:51" s="28" customFormat="1" ht="12.75" x14ac:dyDescent="0.2">
      <c r="A70" s="1022">
        <f t="shared" si="17"/>
        <v>0</v>
      </c>
      <c r="B70" s="1025">
        <v>1</v>
      </c>
      <c r="C70" s="1080">
        <f t="shared" ref="C70:M70" si="59">$L34+C$55*Rapous</f>
        <v>-5</v>
      </c>
      <c r="D70" s="1080">
        <f t="shared" si="59"/>
        <v>-4</v>
      </c>
      <c r="E70" s="1080">
        <f t="shared" si="59"/>
        <v>-3</v>
      </c>
      <c r="F70" s="1080">
        <f t="shared" si="59"/>
        <v>-2</v>
      </c>
      <c r="G70" s="1081">
        <f t="shared" si="59"/>
        <v>-1</v>
      </c>
      <c r="H70" s="1082">
        <f t="shared" si="59"/>
        <v>0</v>
      </c>
      <c r="I70" s="1083">
        <f t="shared" si="59"/>
        <v>1</v>
      </c>
      <c r="J70" s="1080">
        <f t="shared" si="59"/>
        <v>2</v>
      </c>
      <c r="K70" s="1080">
        <f t="shared" si="59"/>
        <v>3</v>
      </c>
      <c r="L70" s="1080">
        <f t="shared" si="59"/>
        <v>4</v>
      </c>
      <c r="M70" s="1081">
        <f t="shared" si="59"/>
        <v>5</v>
      </c>
      <c r="N70" s="688">
        <f t="shared" si="19"/>
        <v>0</v>
      </c>
      <c r="O70" s="928">
        <f t="shared" si="20"/>
        <v>0</v>
      </c>
      <c r="P70" s="678">
        <f t="shared" si="21"/>
        <v>171</v>
      </c>
      <c r="Q70" s="685">
        <f t="shared" si="22"/>
        <v>18.262889942194128</v>
      </c>
      <c r="R70" s="688">
        <f t="shared" si="23"/>
        <v>18.262889942194128</v>
      </c>
      <c r="S70" s="688">
        <f t="shared" si="24"/>
        <v>18.262889942194128</v>
      </c>
      <c r="T70" s="688">
        <f t="shared" si="25"/>
        <v>18.262889942194128</v>
      </c>
      <c r="U70" s="944">
        <f t="shared" si="26"/>
        <v>18.262889942194128</v>
      </c>
      <c r="V70" s="1085">
        <f t="shared" si="27"/>
        <v>18.262889942194128</v>
      </c>
      <c r="W70" s="685">
        <f t="shared" si="28"/>
        <v>18.262889942194128</v>
      </c>
      <c r="X70" s="688">
        <f t="shared" si="29"/>
        <v>18.262889942194128</v>
      </c>
      <c r="Y70" s="688">
        <f t="shared" si="30"/>
        <v>18.262889942194128</v>
      </c>
      <c r="Z70" s="688">
        <f t="shared" si="31"/>
        <v>18.262889942194128</v>
      </c>
      <c r="AA70" s="944">
        <f t="shared" si="32"/>
        <v>18.262889942194128</v>
      </c>
      <c r="AB70" s="1052">
        <f t="shared" si="33"/>
        <v>18.262889942194128</v>
      </c>
      <c r="AC70" s="1053">
        <f t="shared" si="40"/>
        <v>7.5010000000000003</v>
      </c>
      <c r="AD70" s="39" t="b">
        <f t="shared" si="34"/>
        <v>0</v>
      </c>
      <c r="AE70" s="1053">
        <f t="shared" si="35"/>
        <v>0</v>
      </c>
      <c r="AF70" s="1054">
        <f t="shared" si="41"/>
        <v>0</v>
      </c>
      <c r="AG70" s="929">
        <v>48.37</v>
      </c>
      <c r="AH70" s="930">
        <v>11.280000000000001</v>
      </c>
      <c r="AJ70" s="1062">
        <f t="shared" si="42"/>
        <v>1</v>
      </c>
      <c r="AK70" s="82">
        <f t="shared" si="43"/>
        <v>2</v>
      </c>
      <c r="AL70" s="1063">
        <f t="shared" si="44"/>
        <v>171</v>
      </c>
      <c r="AM70" s="1063">
        <f t="shared" si="45"/>
        <v>1</v>
      </c>
      <c r="AN70" s="1074">
        <f t="shared" ref="AN70:AN79" si="60">IF(AND(AX70=0,AX71=0),MAX(AN69,$H$43+1),AX70)</f>
        <v>172</v>
      </c>
      <c r="AO70" s="1075">
        <f t="shared" si="46"/>
        <v>18.262889942194128</v>
      </c>
      <c r="AP70" s="1067"/>
      <c r="AQ70" s="1068"/>
      <c r="AR70" s="1067"/>
      <c r="AS70" s="1068"/>
      <c r="AT70" s="1067"/>
      <c r="AU70" s="1068"/>
      <c r="AV70" s="1067"/>
      <c r="AW70" s="1068"/>
      <c r="AX70" s="28">
        <f t="shared" si="37"/>
        <v>0</v>
      </c>
      <c r="AY70" s="28">
        <f t="shared" si="38"/>
        <v>0</v>
      </c>
    </row>
    <row r="71" spans="1:51" s="28" customFormat="1" ht="12.75" x14ac:dyDescent="0.2">
      <c r="A71" s="1022">
        <f t="shared" si="17"/>
        <v>0</v>
      </c>
      <c r="B71" s="1025">
        <v>1</v>
      </c>
      <c r="C71" s="1080">
        <f t="shared" ref="C71:M71" si="61">$L35+C$55*Rapous</f>
        <v>-5</v>
      </c>
      <c r="D71" s="1080">
        <f t="shared" si="61"/>
        <v>-4</v>
      </c>
      <c r="E71" s="1080">
        <f t="shared" si="61"/>
        <v>-3</v>
      </c>
      <c r="F71" s="1080">
        <f t="shared" si="61"/>
        <v>-2</v>
      </c>
      <c r="G71" s="1081">
        <f t="shared" si="61"/>
        <v>-1</v>
      </c>
      <c r="H71" s="1082">
        <f t="shared" si="61"/>
        <v>0</v>
      </c>
      <c r="I71" s="1083">
        <f t="shared" si="61"/>
        <v>1</v>
      </c>
      <c r="J71" s="1080">
        <f t="shared" si="61"/>
        <v>2</v>
      </c>
      <c r="K71" s="1080">
        <f t="shared" si="61"/>
        <v>3</v>
      </c>
      <c r="L71" s="1080">
        <f t="shared" si="61"/>
        <v>4</v>
      </c>
      <c r="M71" s="1081">
        <f t="shared" si="61"/>
        <v>5</v>
      </c>
      <c r="N71" s="688">
        <f t="shared" si="19"/>
        <v>0</v>
      </c>
      <c r="O71" s="928">
        <f t="shared" si="20"/>
        <v>0</v>
      </c>
      <c r="P71" s="678">
        <f t="shared" si="21"/>
        <v>171</v>
      </c>
      <c r="Q71" s="685">
        <f t="shared" si="22"/>
        <v>18.262889942194128</v>
      </c>
      <c r="R71" s="688">
        <f t="shared" si="23"/>
        <v>18.262889942194128</v>
      </c>
      <c r="S71" s="688">
        <f t="shared" si="24"/>
        <v>18.262889942194128</v>
      </c>
      <c r="T71" s="688">
        <f t="shared" si="25"/>
        <v>18.262889942194128</v>
      </c>
      <c r="U71" s="944">
        <f t="shared" si="26"/>
        <v>18.262889942194128</v>
      </c>
      <c r="V71" s="1085">
        <f t="shared" si="27"/>
        <v>18.262889942194128</v>
      </c>
      <c r="W71" s="685">
        <f t="shared" si="28"/>
        <v>18.262889942194128</v>
      </c>
      <c r="X71" s="688">
        <f t="shared" si="29"/>
        <v>18.262889942194128</v>
      </c>
      <c r="Y71" s="688">
        <f t="shared" si="30"/>
        <v>18.262889942194128</v>
      </c>
      <c r="Z71" s="688">
        <f t="shared" si="31"/>
        <v>18.262889942194128</v>
      </c>
      <c r="AA71" s="944">
        <f t="shared" si="32"/>
        <v>18.262889942194128</v>
      </c>
      <c r="AB71" s="1052">
        <f t="shared" si="33"/>
        <v>18.262889942194128</v>
      </c>
      <c r="AC71" s="1053">
        <f t="shared" si="40"/>
        <v>7.5010000000000003</v>
      </c>
      <c r="AD71" s="39" t="b">
        <f t="shared" si="34"/>
        <v>0</v>
      </c>
      <c r="AE71" s="1053">
        <f t="shared" si="35"/>
        <v>0</v>
      </c>
      <c r="AF71" s="1054">
        <f t="shared" si="41"/>
        <v>0</v>
      </c>
      <c r="AG71" s="929">
        <v>51.52</v>
      </c>
      <c r="AH71" s="930">
        <v>11.930000000000007</v>
      </c>
      <c r="AJ71" s="1062">
        <f t="shared" si="42"/>
        <v>1</v>
      </c>
      <c r="AK71" s="82">
        <f t="shared" si="43"/>
        <v>2</v>
      </c>
      <c r="AL71" s="1063">
        <f t="shared" si="44"/>
        <v>171</v>
      </c>
      <c r="AM71" s="1063">
        <f t="shared" si="45"/>
        <v>1</v>
      </c>
      <c r="AN71" s="1074">
        <f t="shared" si="60"/>
        <v>172</v>
      </c>
      <c r="AO71" s="1075">
        <f t="shared" si="46"/>
        <v>18.262889942194128</v>
      </c>
      <c r="AP71" s="1067"/>
      <c r="AQ71" s="1068"/>
      <c r="AR71" s="1067"/>
      <c r="AS71" s="1068"/>
      <c r="AT71" s="1067"/>
      <c r="AU71" s="1068"/>
      <c r="AV71" s="1067"/>
      <c r="AW71" s="1068"/>
      <c r="AX71" s="28">
        <f t="shared" si="37"/>
        <v>0</v>
      </c>
      <c r="AY71" s="28">
        <f t="shared" si="38"/>
        <v>0</v>
      </c>
    </row>
    <row r="72" spans="1:51" s="28" customFormat="1" ht="12.75" x14ac:dyDescent="0.2">
      <c r="A72" s="1022">
        <f t="shared" si="17"/>
        <v>0</v>
      </c>
      <c r="B72" s="1025">
        <v>1</v>
      </c>
      <c r="C72" s="1080">
        <f t="shared" ref="C72:M72" si="62">$L36+C$55*Rapous</f>
        <v>-5</v>
      </c>
      <c r="D72" s="1080">
        <f t="shared" si="62"/>
        <v>-4</v>
      </c>
      <c r="E72" s="1080">
        <f t="shared" si="62"/>
        <v>-3</v>
      </c>
      <c r="F72" s="1080">
        <f t="shared" si="62"/>
        <v>-2</v>
      </c>
      <c r="G72" s="1081">
        <f t="shared" si="62"/>
        <v>-1</v>
      </c>
      <c r="H72" s="1082">
        <f t="shared" si="62"/>
        <v>0</v>
      </c>
      <c r="I72" s="1083">
        <f t="shared" si="62"/>
        <v>1</v>
      </c>
      <c r="J72" s="1080">
        <f t="shared" si="62"/>
        <v>2</v>
      </c>
      <c r="K72" s="1080">
        <f t="shared" si="62"/>
        <v>3</v>
      </c>
      <c r="L72" s="1080">
        <f t="shared" si="62"/>
        <v>4</v>
      </c>
      <c r="M72" s="1081">
        <f t="shared" si="62"/>
        <v>5</v>
      </c>
      <c r="N72" s="688">
        <f t="shared" si="19"/>
        <v>0</v>
      </c>
      <c r="O72" s="928">
        <f t="shared" si="20"/>
        <v>0</v>
      </c>
      <c r="P72" s="678">
        <f t="shared" si="21"/>
        <v>171</v>
      </c>
      <c r="Q72" s="685">
        <f t="shared" si="22"/>
        <v>18.262889942194128</v>
      </c>
      <c r="R72" s="688">
        <f t="shared" si="23"/>
        <v>18.262889942194128</v>
      </c>
      <c r="S72" s="688">
        <f t="shared" si="24"/>
        <v>18.262889942194128</v>
      </c>
      <c r="T72" s="688">
        <f t="shared" si="25"/>
        <v>18.262889942194128</v>
      </c>
      <c r="U72" s="944">
        <f t="shared" si="26"/>
        <v>18.262889942194128</v>
      </c>
      <c r="V72" s="1085">
        <f t="shared" si="27"/>
        <v>18.262889942194128</v>
      </c>
      <c r="W72" s="685">
        <f t="shared" si="28"/>
        <v>18.262889942194128</v>
      </c>
      <c r="X72" s="688">
        <f t="shared" si="29"/>
        <v>18.262889942194128</v>
      </c>
      <c r="Y72" s="688">
        <f t="shared" si="30"/>
        <v>18.262889942194128</v>
      </c>
      <c r="Z72" s="688">
        <f t="shared" si="31"/>
        <v>18.262889942194128</v>
      </c>
      <c r="AA72" s="944">
        <f t="shared" si="32"/>
        <v>18.262889942194128</v>
      </c>
      <c r="AB72" s="1052">
        <f t="shared" si="33"/>
        <v>18.262889942194128</v>
      </c>
      <c r="AC72" s="1053">
        <f t="shared" si="40"/>
        <v>7.5010000000000003</v>
      </c>
      <c r="AD72" s="39" t="b">
        <f t="shared" si="34"/>
        <v>0</v>
      </c>
      <c r="AE72" s="1053">
        <f t="shared" si="35"/>
        <v>0</v>
      </c>
      <c r="AF72" s="1054">
        <f t="shared" si="41"/>
        <v>0</v>
      </c>
      <c r="AG72" s="929">
        <v>53.73</v>
      </c>
      <c r="AH72" s="932">
        <v>12.530000000000001</v>
      </c>
      <c r="AJ72" s="1062">
        <f t="shared" si="42"/>
        <v>1</v>
      </c>
      <c r="AK72" s="82">
        <f t="shared" si="43"/>
        <v>2</v>
      </c>
      <c r="AL72" s="1063">
        <f t="shared" si="44"/>
        <v>171</v>
      </c>
      <c r="AM72" s="1063">
        <f t="shared" si="45"/>
        <v>1</v>
      </c>
      <c r="AN72" s="1074">
        <f t="shared" si="60"/>
        <v>172</v>
      </c>
      <c r="AO72" s="1075">
        <f t="shared" si="46"/>
        <v>18.262889942194128</v>
      </c>
      <c r="AP72" s="1067"/>
      <c r="AQ72" s="1068"/>
      <c r="AR72" s="1067"/>
      <c r="AS72" s="1068"/>
      <c r="AT72" s="1067"/>
      <c r="AU72" s="1068"/>
      <c r="AV72" s="1067"/>
      <c r="AW72" s="1068"/>
      <c r="AX72" s="28">
        <f t="shared" si="37"/>
        <v>0</v>
      </c>
      <c r="AY72" s="28">
        <f t="shared" si="38"/>
        <v>0</v>
      </c>
    </row>
    <row r="73" spans="1:51" s="28" customFormat="1" ht="12.75" x14ac:dyDescent="0.2">
      <c r="A73" s="1022">
        <f t="shared" si="17"/>
        <v>0</v>
      </c>
      <c r="B73" s="1025">
        <v>1</v>
      </c>
      <c r="C73" s="1080">
        <f t="shared" ref="C73:M73" si="63">$L37+C$55*Rapous</f>
        <v>-5</v>
      </c>
      <c r="D73" s="1080">
        <f t="shared" si="63"/>
        <v>-4</v>
      </c>
      <c r="E73" s="1080">
        <f t="shared" si="63"/>
        <v>-3</v>
      </c>
      <c r="F73" s="1080">
        <f t="shared" si="63"/>
        <v>-2</v>
      </c>
      <c r="G73" s="1081">
        <f t="shared" si="63"/>
        <v>-1</v>
      </c>
      <c r="H73" s="1082">
        <f t="shared" si="63"/>
        <v>0</v>
      </c>
      <c r="I73" s="1083">
        <f t="shared" si="63"/>
        <v>1</v>
      </c>
      <c r="J73" s="1080">
        <f t="shared" si="63"/>
        <v>2</v>
      </c>
      <c r="K73" s="1080">
        <f t="shared" si="63"/>
        <v>3</v>
      </c>
      <c r="L73" s="1080">
        <f t="shared" si="63"/>
        <v>4</v>
      </c>
      <c r="M73" s="1081">
        <f t="shared" si="63"/>
        <v>5</v>
      </c>
      <c r="N73" s="688">
        <f t="shared" si="19"/>
        <v>0</v>
      </c>
      <c r="O73" s="928">
        <f t="shared" si="20"/>
        <v>0</v>
      </c>
      <c r="P73" s="678">
        <f t="shared" si="21"/>
        <v>171</v>
      </c>
      <c r="Q73" s="685">
        <f t="shared" si="22"/>
        <v>18.262889942194128</v>
      </c>
      <c r="R73" s="688">
        <f t="shared" si="23"/>
        <v>18.262889942194128</v>
      </c>
      <c r="S73" s="688">
        <f t="shared" si="24"/>
        <v>18.262889942194128</v>
      </c>
      <c r="T73" s="688">
        <f t="shared" si="25"/>
        <v>18.262889942194128</v>
      </c>
      <c r="U73" s="944">
        <f t="shared" si="26"/>
        <v>18.262889942194128</v>
      </c>
      <c r="V73" s="1085">
        <f t="shared" si="27"/>
        <v>18.262889942194128</v>
      </c>
      <c r="W73" s="685">
        <f t="shared" si="28"/>
        <v>18.262889942194128</v>
      </c>
      <c r="X73" s="688">
        <f t="shared" si="29"/>
        <v>18.262889942194128</v>
      </c>
      <c r="Y73" s="688">
        <f t="shared" si="30"/>
        <v>18.262889942194128</v>
      </c>
      <c r="Z73" s="688">
        <f t="shared" si="31"/>
        <v>18.262889942194128</v>
      </c>
      <c r="AA73" s="944">
        <f t="shared" si="32"/>
        <v>18.262889942194128</v>
      </c>
      <c r="AB73" s="1052">
        <f t="shared" si="33"/>
        <v>18.262889942194128</v>
      </c>
      <c r="AC73" s="1053">
        <f t="shared" si="40"/>
        <v>7.5010000000000003</v>
      </c>
      <c r="AD73" s="39" t="b">
        <f t="shared" si="34"/>
        <v>0</v>
      </c>
      <c r="AE73" s="1053">
        <f t="shared" si="35"/>
        <v>0</v>
      </c>
      <c r="AF73" s="1054">
        <f t="shared" si="41"/>
        <v>0</v>
      </c>
      <c r="AG73" s="929">
        <v>56.67</v>
      </c>
      <c r="AH73" s="932">
        <v>13.370000000000005</v>
      </c>
      <c r="AJ73" s="1062">
        <f t="shared" si="42"/>
        <v>1</v>
      </c>
      <c r="AK73" s="82">
        <f t="shared" si="43"/>
        <v>2</v>
      </c>
      <c r="AL73" s="1063">
        <f t="shared" si="44"/>
        <v>171</v>
      </c>
      <c r="AM73" s="1063">
        <f t="shared" si="45"/>
        <v>1</v>
      </c>
      <c r="AN73" s="1074">
        <f t="shared" si="60"/>
        <v>172</v>
      </c>
      <c r="AO73" s="1075">
        <f t="shared" si="46"/>
        <v>18.262889942194128</v>
      </c>
      <c r="AP73" s="1067"/>
      <c r="AQ73" s="1068"/>
      <c r="AR73" s="1067"/>
      <c r="AS73" s="1068"/>
      <c r="AT73" s="1067"/>
      <c r="AU73" s="1068"/>
      <c r="AV73" s="1067"/>
      <c r="AW73" s="1068"/>
      <c r="AX73" s="28">
        <f t="shared" si="37"/>
        <v>0</v>
      </c>
      <c r="AY73" s="28">
        <f t="shared" si="38"/>
        <v>0</v>
      </c>
    </row>
    <row r="74" spans="1:51" s="28" customFormat="1" ht="12.75" x14ac:dyDescent="0.2">
      <c r="A74" s="1022">
        <f t="shared" si="17"/>
        <v>0</v>
      </c>
      <c r="B74" s="1025">
        <v>1</v>
      </c>
      <c r="C74" s="1080">
        <f t="shared" ref="C74:M74" si="64">$L38+C$55*Rapous</f>
        <v>-5</v>
      </c>
      <c r="D74" s="1080">
        <f t="shared" si="64"/>
        <v>-4</v>
      </c>
      <c r="E74" s="1080">
        <f t="shared" si="64"/>
        <v>-3</v>
      </c>
      <c r="F74" s="1080">
        <f t="shared" si="64"/>
        <v>-2</v>
      </c>
      <c r="G74" s="1081">
        <f t="shared" si="64"/>
        <v>-1</v>
      </c>
      <c r="H74" s="1082">
        <f t="shared" si="64"/>
        <v>0</v>
      </c>
      <c r="I74" s="1083">
        <f t="shared" si="64"/>
        <v>1</v>
      </c>
      <c r="J74" s="1080">
        <f t="shared" si="64"/>
        <v>2</v>
      </c>
      <c r="K74" s="1080">
        <f t="shared" si="64"/>
        <v>3</v>
      </c>
      <c r="L74" s="1080">
        <f t="shared" si="64"/>
        <v>4</v>
      </c>
      <c r="M74" s="1081">
        <f t="shared" si="64"/>
        <v>5</v>
      </c>
      <c r="N74" s="688">
        <f t="shared" si="19"/>
        <v>0</v>
      </c>
      <c r="O74" s="928">
        <f t="shared" si="20"/>
        <v>0</v>
      </c>
      <c r="P74" s="678">
        <f t="shared" si="21"/>
        <v>171</v>
      </c>
      <c r="Q74" s="685">
        <f t="shared" si="22"/>
        <v>18.262889942194128</v>
      </c>
      <c r="R74" s="688">
        <f t="shared" si="23"/>
        <v>18.262889942194128</v>
      </c>
      <c r="S74" s="688">
        <f t="shared" si="24"/>
        <v>18.262889942194128</v>
      </c>
      <c r="T74" s="688">
        <f t="shared" si="25"/>
        <v>18.262889942194128</v>
      </c>
      <c r="U74" s="944">
        <f t="shared" si="26"/>
        <v>18.262889942194128</v>
      </c>
      <c r="V74" s="1085">
        <f t="shared" si="27"/>
        <v>18.262889942194128</v>
      </c>
      <c r="W74" s="685">
        <f t="shared" si="28"/>
        <v>18.262889942194128</v>
      </c>
      <c r="X74" s="688">
        <f t="shared" si="29"/>
        <v>18.262889942194128</v>
      </c>
      <c r="Y74" s="688">
        <f t="shared" si="30"/>
        <v>18.262889942194128</v>
      </c>
      <c r="Z74" s="688">
        <f t="shared" si="31"/>
        <v>18.262889942194128</v>
      </c>
      <c r="AA74" s="944">
        <f t="shared" si="32"/>
        <v>18.262889942194128</v>
      </c>
      <c r="AB74" s="1052">
        <f t="shared" si="33"/>
        <v>18.262889942194128</v>
      </c>
      <c r="AC74" s="1053">
        <f t="shared" si="40"/>
        <v>7.5010000000000003</v>
      </c>
      <c r="AD74" s="39" t="b">
        <f t="shared" si="34"/>
        <v>0</v>
      </c>
      <c r="AE74" s="1053">
        <f t="shared" si="35"/>
        <v>0</v>
      </c>
      <c r="AF74" s="1054">
        <f t="shared" si="41"/>
        <v>0</v>
      </c>
      <c r="AG74" s="929">
        <v>58.66</v>
      </c>
      <c r="AH74" s="932">
        <v>13.969999999999999</v>
      </c>
      <c r="AJ74" s="1062">
        <f t="shared" si="42"/>
        <v>1</v>
      </c>
      <c r="AK74" s="82">
        <f t="shared" si="43"/>
        <v>2</v>
      </c>
      <c r="AL74" s="1063">
        <f t="shared" si="44"/>
        <v>171</v>
      </c>
      <c r="AM74" s="1063">
        <f t="shared" si="45"/>
        <v>1</v>
      </c>
      <c r="AN74" s="1074">
        <f t="shared" si="60"/>
        <v>172</v>
      </c>
      <c r="AO74" s="1075">
        <f t="shared" si="46"/>
        <v>18.262889942194128</v>
      </c>
      <c r="AP74" s="1067"/>
      <c r="AQ74" s="1068"/>
      <c r="AR74" s="1067"/>
      <c r="AS74" s="1068"/>
      <c r="AT74" s="1067"/>
      <c r="AU74" s="1068"/>
      <c r="AV74" s="1067"/>
      <c r="AW74" s="1068"/>
      <c r="AX74" s="28">
        <f t="shared" si="37"/>
        <v>0</v>
      </c>
      <c r="AY74" s="28">
        <f t="shared" si="38"/>
        <v>0</v>
      </c>
    </row>
    <row r="75" spans="1:51" s="28" customFormat="1" ht="12.75" x14ac:dyDescent="0.2">
      <c r="A75" s="1022">
        <f t="shared" si="17"/>
        <v>0</v>
      </c>
      <c r="B75" s="1025">
        <v>1</v>
      </c>
      <c r="C75" s="688">
        <f t="shared" ref="C75:M75" si="65">$L39+C$55*Rapous</f>
        <v>-5</v>
      </c>
      <c r="D75" s="688">
        <f t="shared" si="65"/>
        <v>-4</v>
      </c>
      <c r="E75" s="688">
        <f t="shared" si="65"/>
        <v>-3</v>
      </c>
      <c r="F75" s="688">
        <f t="shared" si="65"/>
        <v>-2</v>
      </c>
      <c r="G75" s="944">
        <f t="shared" si="65"/>
        <v>-1</v>
      </c>
      <c r="H75" s="1082">
        <f t="shared" si="65"/>
        <v>0</v>
      </c>
      <c r="I75" s="1083">
        <f t="shared" si="65"/>
        <v>1</v>
      </c>
      <c r="J75" s="1086">
        <f t="shared" si="65"/>
        <v>2</v>
      </c>
      <c r="K75" s="1080">
        <f t="shared" si="65"/>
        <v>3</v>
      </c>
      <c r="L75" s="1086">
        <f t="shared" si="65"/>
        <v>4</v>
      </c>
      <c r="M75" s="1081">
        <f t="shared" si="65"/>
        <v>5</v>
      </c>
      <c r="N75" s="688">
        <f t="shared" si="19"/>
        <v>0</v>
      </c>
      <c r="O75" s="928">
        <f t="shared" si="20"/>
        <v>0</v>
      </c>
      <c r="P75" s="688">
        <f t="shared" si="21"/>
        <v>171</v>
      </c>
      <c r="Q75" s="685">
        <f t="shared" si="22"/>
        <v>18.262889942194128</v>
      </c>
      <c r="R75" s="688">
        <f t="shared" si="23"/>
        <v>18.262889942194128</v>
      </c>
      <c r="S75" s="688">
        <f t="shared" si="24"/>
        <v>18.262889942194128</v>
      </c>
      <c r="T75" s="688">
        <f t="shared" si="25"/>
        <v>18.262889942194128</v>
      </c>
      <c r="U75" s="944">
        <f t="shared" si="26"/>
        <v>18.262889942194128</v>
      </c>
      <c r="V75" s="1085">
        <f t="shared" si="27"/>
        <v>18.262889942194128</v>
      </c>
      <c r="W75" s="685">
        <f t="shared" si="28"/>
        <v>18.262889942194128</v>
      </c>
      <c r="X75" s="688">
        <f t="shared" si="29"/>
        <v>18.262889942194128</v>
      </c>
      <c r="Y75" s="688">
        <f t="shared" si="30"/>
        <v>18.262889942194128</v>
      </c>
      <c r="Z75" s="688">
        <f t="shared" si="31"/>
        <v>18.262889942194128</v>
      </c>
      <c r="AA75" s="944">
        <f t="shared" si="32"/>
        <v>18.262889942194128</v>
      </c>
      <c r="AB75" s="1052">
        <f t="shared" si="33"/>
        <v>18.262889942194128</v>
      </c>
      <c r="AC75" s="1053">
        <f t="shared" si="40"/>
        <v>7.5010000000000003</v>
      </c>
      <c r="AD75" s="39" t="b">
        <f t="shared" si="34"/>
        <v>0</v>
      </c>
      <c r="AE75" s="1053">
        <f t="shared" si="35"/>
        <v>0</v>
      </c>
      <c r="AF75" s="1054">
        <f t="shared" si="41"/>
        <v>0</v>
      </c>
      <c r="AG75" s="929">
        <v>61.27</v>
      </c>
      <c r="AH75" s="932">
        <v>15.02000000000001</v>
      </c>
      <c r="AJ75" s="1062">
        <f t="shared" si="42"/>
        <v>1</v>
      </c>
      <c r="AK75" s="82">
        <f t="shared" si="43"/>
        <v>2</v>
      </c>
      <c r="AL75" s="1063">
        <f t="shared" si="44"/>
        <v>171</v>
      </c>
      <c r="AM75" s="1063">
        <f t="shared" si="45"/>
        <v>1</v>
      </c>
      <c r="AN75" s="1074">
        <f t="shared" si="60"/>
        <v>172</v>
      </c>
      <c r="AO75" s="1075">
        <f t="shared" si="46"/>
        <v>18.262889942194128</v>
      </c>
      <c r="AP75" s="1067"/>
      <c r="AQ75" s="1068"/>
      <c r="AR75" s="1067"/>
      <c r="AS75" s="1068"/>
      <c r="AT75" s="1067"/>
      <c r="AU75" s="1068"/>
      <c r="AV75" s="1067"/>
      <c r="AW75" s="1068"/>
      <c r="AX75" s="28">
        <f t="shared" si="37"/>
        <v>0</v>
      </c>
      <c r="AY75" s="28">
        <f t="shared" si="38"/>
        <v>0</v>
      </c>
    </row>
    <row r="76" spans="1:51" s="28" customFormat="1" ht="12.75" x14ac:dyDescent="0.2">
      <c r="A76" s="1022">
        <f t="shared" si="17"/>
        <v>0</v>
      </c>
      <c r="B76" s="1025">
        <v>1</v>
      </c>
      <c r="C76" s="688">
        <f t="shared" ref="C76:M76" si="66">$L40+C$55*Rapous</f>
        <v>-5</v>
      </c>
      <c r="D76" s="688">
        <f t="shared" si="66"/>
        <v>-4</v>
      </c>
      <c r="E76" s="688">
        <f t="shared" si="66"/>
        <v>-3</v>
      </c>
      <c r="F76" s="688">
        <f t="shared" si="66"/>
        <v>-2</v>
      </c>
      <c r="G76" s="944">
        <f t="shared" si="66"/>
        <v>-1</v>
      </c>
      <c r="H76" s="1082">
        <f t="shared" si="66"/>
        <v>0</v>
      </c>
      <c r="I76" s="1083">
        <f t="shared" si="66"/>
        <v>1</v>
      </c>
      <c r="J76" s="1086">
        <f t="shared" si="66"/>
        <v>2</v>
      </c>
      <c r="K76" s="1080">
        <f t="shared" si="66"/>
        <v>3</v>
      </c>
      <c r="L76" s="1086">
        <f t="shared" si="66"/>
        <v>4</v>
      </c>
      <c r="M76" s="1081">
        <f t="shared" si="66"/>
        <v>5</v>
      </c>
      <c r="N76" s="688">
        <f t="shared" si="19"/>
        <v>0</v>
      </c>
      <c r="O76" s="928">
        <f t="shared" si="20"/>
        <v>0</v>
      </c>
      <c r="P76" s="688">
        <f t="shared" si="21"/>
        <v>171</v>
      </c>
      <c r="Q76" s="685">
        <f t="shared" si="22"/>
        <v>18.262889942194128</v>
      </c>
      <c r="R76" s="688">
        <f t="shared" si="23"/>
        <v>18.262889942194128</v>
      </c>
      <c r="S76" s="688">
        <f t="shared" si="24"/>
        <v>18.262889942194128</v>
      </c>
      <c r="T76" s="688">
        <f t="shared" si="25"/>
        <v>18.262889942194128</v>
      </c>
      <c r="U76" s="944">
        <f t="shared" si="26"/>
        <v>18.262889942194128</v>
      </c>
      <c r="V76" s="1085">
        <f t="shared" si="27"/>
        <v>18.262889942194128</v>
      </c>
      <c r="W76" s="685">
        <f t="shared" si="28"/>
        <v>18.262889942194128</v>
      </c>
      <c r="X76" s="688">
        <f t="shared" si="29"/>
        <v>18.262889942194128</v>
      </c>
      <c r="Y76" s="688">
        <f t="shared" si="30"/>
        <v>18.262889942194128</v>
      </c>
      <c r="Z76" s="688">
        <f t="shared" si="31"/>
        <v>18.262889942194128</v>
      </c>
      <c r="AA76" s="944">
        <f t="shared" si="32"/>
        <v>18.262889942194128</v>
      </c>
      <c r="AB76" s="1052">
        <f t="shared" si="33"/>
        <v>18.262889942194128</v>
      </c>
      <c r="AC76" s="1053">
        <f t="shared" si="40"/>
        <v>7.5010000000000003</v>
      </c>
      <c r="AD76" s="39" t="b">
        <f t="shared" si="34"/>
        <v>0</v>
      </c>
      <c r="AE76" s="1053">
        <f t="shared" si="35"/>
        <v>0</v>
      </c>
      <c r="AF76" s="1054">
        <f t="shared" si="41"/>
        <v>0</v>
      </c>
      <c r="AG76" s="929">
        <v>62.95</v>
      </c>
      <c r="AH76" s="932">
        <v>15.569999999999993</v>
      </c>
      <c r="AJ76" s="1062">
        <f t="shared" si="42"/>
        <v>1</v>
      </c>
      <c r="AK76" s="82">
        <f t="shared" si="43"/>
        <v>2</v>
      </c>
      <c r="AL76" s="1063">
        <f t="shared" si="44"/>
        <v>171</v>
      </c>
      <c r="AM76" s="1063">
        <f t="shared" si="45"/>
        <v>1</v>
      </c>
      <c r="AN76" s="1074">
        <f t="shared" si="60"/>
        <v>172</v>
      </c>
      <c r="AO76" s="1075">
        <f t="shared" si="46"/>
        <v>18.262889942194128</v>
      </c>
      <c r="AP76" s="1067"/>
      <c r="AQ76" s="1068"/>
      <c r="AR76" s="1067"/>
      <c r="AS76" s="1068"/>
      <c r="AT76" s="1067"/>
      <c r="AU76" s="1068"/>
      <c r="AV76" s="1067"/>
      <c r="AW76" s="1068"/>
      <c r="AX76" s="28">
        <f t="shared" si="37"/>
        <v>0</v>
      </c>
      <c r="AY76" s="28">
        <f t="shared" si="38"/>
        <v>0</v>
      </c>
    </row>
    <row r="77" spans="1:51" s="28" customFormat="1" ht="12.75" x14ac:dyDescent="0.2">
      <c r="A77" s="1022">
        <f t="shared" si="17"/>
        <v>0</v>
      </c>
      <c r="B77" s="1025">
        <v>1</v>
      </c>
      <c r="C77" s="688">
        <f t="shared" ref="C77:M77" si="67">$L41+C$55*Rapous</f>
        <v>-5</v>
      </c>
      <c r="D77" s="688">
        <f t="shared" si="67"/>
        <v>-4</v>
      </c>
      <c r="E77" s="688">
        <f t="shared" si="67"/>
        <v>-3</v>
      </c>
      <c r="F77" s="688">
        <f t="shared" si="67"/>
        <v>-2</v>
      </c>
      <c r="G77" s="944">
        <f t="shared" si="67"/>
        <v>-1</v>
      </c>
      <c r="H77" s="1082">
        <f t="shared" si="67"/>
        <v>0</v>
      </c>
      <c r="I77" s="1083">
        <f t="shared" si="67"/>
        <v>1</v>
      </c>
      <c r="J77" s="1086">
        <f t="shared" si="67"/>
        <v>2</v>
      </c>
      <c r="K77" s="1080">
        <f t="shared" si="67"/>
        <v>3</v>
      </c>
      <c r="L77" s="1086">
        <f t="shared" si="67"/>
        <v>4</v>
      </c>
      <c r="M77" s="1081">
        <f t="shared" si="67"/>
        <v>5</v>
      </c>
      <c r="N77" s="688">
        <f t="shared" si="19"/>
        <v>0</v>
      </c>
      <c r="O77" s="928">
        <f t="shared" si="20"/>
        <v>0</v>
      </c>
      <c r="P77" s="688">
        <f t="shared" si="21"/>
        <v>171</v>
      </c>
      <c r="Q77" s="685">
        <f t="shared" si="22"/>
        <v>18.262889942194128</v>
      </c>
      <c r="R77" s="688">
        <f t="shared" si="23"/>
        <v>18.262889942194128</v>
      </c>
      <c r="S77" s="688">
        <f t="shared" si="24"/>
        <v>18.262889942194128</v>
      </c>
      <c r="T77" s="688">
        <f t="shared" si="25"/>
        <v>18.262889942194128</v>
      </c>
      <c r="U77" s="944">
        <f t="shared" si="26"/>
        <v>18.262889942194128</v>
      </c>
      <c r="V77" s="1085">
        <f t="shared" si="27"/>
        <v>18.262889942194128</v>
      </c>
      <c r="W77" s="685">
        <f t="shared" si="28"/>
        <v>18.262889942194128</v>
      </c>
      <c r="X77" s="688">
        <f t="shared" si="29"/>
        <v>18.262889942194128</v>
      </c>
      <c r="Y77" s="688">
        <f t="shared" si="30"/>
        <v>18.262889942194128</v>
      </c>
      <c r="Z77" s="688">
        <f t="shared" si="31"/>
        <v>18.262889942194128</v>
      </c>
      <c r="AA77" s="944">
        <f t="shared" si="32"/>
        <v>18.262889942194128</v>
      </c>
      <c r="AB77" s="1052">
        <f t="shared" si="33"/>
        <v>18.262889942194128</v>
      </c>
      <c r="AC77" s="1053">
        <f t="shared" si="40"/>
        <v>7.5010000000000003</v>
      </c>
      <c r="AD77" s="39" t="b">
        <f t="shared" si="34"/>
        <v>0</v>
      </c>
      <c r="AE77" s="1053">
        <f t="shared" si="35"/>
        <v>0</v>
      </c>
      <c r="AF77" s="1054">
        <f t="shared" si="41"/>
        <v>0</v>
      </c>
      <c r="AG77" s="929">
        <v>65.069999999999993</v>
      </c>
      <c r="AH77" s="932">
        <v>16.789999999999992</v>
      </c>
      <c r="AJ77" s="1062">
        <f t="shared" si="42"/>
        <v>1</v>
      </c>
      <c r="AK77" s="82">
        <f t="shared" si="43"/>
        <v>2</v>
      </c>
      <c r="AL77" s="1063">
        <f t="shared" si="44"/>
        <v>171</v>
      </c>
      <c r="AM77" s="1063">
        <f t="shared" si="45"/>
        <v>1</v>
      </c>
      <c r="AN77" s="1074">
        <f t="shared" si="60"/>
        <v>172</v>
      </c>
      <c r="AO77" s="1075">
        <f t="shared" si="46"/>
        <v>18.262889942194128</v>
      </c>
      <c r="AP77" s="1067"/>
      <c r="AQ77" s="1068"/>
      <c r="AR77" s="1067"/>
      <c r="AS77" s="1068"/>
      <c r="AT77" s="1067"/>
      <c r="AU77" s="1068"/>
      <c r="AV77" s="1067"/>
      <c r="AW77" s="1068"/>
      <c r="AX77" s="28">
        <f t="shared" si="37"/>
        <v>0</v>
      </c>
      <c r="AY77" s="28">
        <f t="shared" si="38"/>
        <v>0</v>
      </c>
    </row>
    <row r="78" spans="1:51" s="28" customFormat="1" ht="12.75" x14ac:dyDescent="0.2">
      <c r="A78" s="1022">
        <f t="shared" si="17"/>
        <v>0</v>
      </c>
      <c r="B78" s="1025">
        <v>1</v>
      </c>
      <c r="C78" s="688">
        <f t="shared" ref="C78:M78" si="68">$L42+C$55*Rapous</f>
        <v>-5</v>
      </c>
      <c r="D78" s="688">
        <f t="shared" si="68"/>
        <v>-4</v>
      </c>
      <c r="E78" s="688">
        <f t="shared" si="68"/>
        <v>-3</v>
      </c>
      <c r="F78" s="688">
        <f t="shared" si="68"/>
        <v>-2</v>
      </c>
      <c r="G78" s="944">
        <f t="shared" si="68"/>
        <v>-1</v>
      </c>
      <c r="H78" s="1082">
        <f t="shared" si="68"/>
        <v>0</v>
      </c>
      <c r="I78" s="1083">
        <f t="shared" si="68"/>
        <v>1</v>
      </c>
      <c r="J78" s="1086">
        <f t="shared" si="68"/>
        <v>2</v>
      </c>
      <c r="K78" s="1080">
        <f t="shared" si="68"/>
        <v>3</v>
      </c>
      <c r="L78" s="1086">
        <f t="shared" si="68"/>
        <v>4</v>
      </c>
      <c r="M78" s="1081">
        <f t="shared" si="68"/>
        <v>5</v>
      </c>
      <c r="N78" s="688">
        <f t="shared" si="19"/>
        <v>0</v>
      </c>
      <c r="O78" s="928">
        <f t="shared" si="20"/>
        <v>0</v>
      </c>
      <c r="P78" s="688">
        <f t="shared" si="21"/>
        <v>171</v>
      </c>
      <c r="Q78" s="685">
        <f t="shared" si="22"/>
        <v>18.262889942194128</v>
      </c>
      <c r="R78" s="688">
        <f t="shared" si="23"/>
        <v>18.262889942194128</v>
      </c>
      <c r="S78" s="688">
        <f t="shared" si="24"/>
        <v>18.262889942194128</v>
      </c>
      <c r="T78" s="688">
        <f t="shared" si="25"/>
        <v>18.262889942194128</v>
      </c>
      <c r="U78" s="944">
        <f t="shared" si="26"/>
        <v>18.262889942194128</v>
      </c>
      <c r="V78" s="1085">
        <f t="shared" si="27"/>
        <v>18.262889942194128</v>
      </c>
      <c r="W78" s="685">
        <f t="shared" si="28"/>
        <v>18.262889942194128</v>
      </c>
      <c r="X78" s="688">
        <f t="shared" si="29"/>
        <v>18.262889942194128</v>
      </c>
      <c r="Y78" s="688">
        <f t="shared" si="30"/>
        <v>18.262889942194128</v>
      </c>
      <c r="Z78" s="688">
        <f t="shared" si="31"/>
        <v>18.262889942194128</v>
      </c>
      <c r="AA78" s="944">
        <f t="shared" si="32"/>
        <v>18.262889942194128</v>
      </c>
      <c r="AB78" s="1052">
        <f t="shared" si="33"/>
        <v>18.262889942194128</v>
      </c>
      <c r="AC78" s="1053">
        <f t="shared" si="40"/>
        <v>7.5010000000000003</v>
      </c>
      <c r="AD78" s="39" t="b">
        <f t="shared" si="34"/>
        <v>0</v>
      </c>
      <c r="AE78" s="1053">
        <f t="shared" si="35"/>
        <v>0</v>
      </c>
      <c r="AF78" s="1054">
        <f t="shared" si="41"/>
        <v>0</v>
      </c>
      <c r="AG78" s="929">
        <v>66.36</v>
      </c>
      <c r="AH78" s="932">
        <v>17.259999999999991</v>
      </c>
      <c r="AJ78" s="1062">
        <f t="shared" si="42"/>
        <v>1</v>
      </c>
      <c r="AK78" s="82">
        <f t="shared" si="43"/>
        <v>2</v>
      </c>
      <c r="AL78" s="1063">
        <f t="shared" si="44"/>
        <v>171</v>
      </c>
      <c r="AM78" s="1063">
        <f t="shared" si="45"/>
        <v>1</v>
      </c>
      <c r="AN78" s="1074">
        <f t="shared" si="60"/>
        <v>172</v>
      </c>
      <c r="AO78" s="1075">
        <f t="shared" si="46"/>
        <v>18.262889942194128</v>
      </c>
      <c r="AP78" s="1067"/>
      <c r="AQ78" s="1068"/>
      <c r="AR78" s="1067"/>
      <c r="AS78" s="1068"/>
      <c r="AT78" s="1067"/>
      <c r="AU78" s="1068"/>
      <c r="AV78" s="1067"/>
      <c r="AW78" s="1068"/>
      <c r="AX78" s="28">
        <f t="shared" si="37"/>
        <v>0</v>
      </c>
      <c r="AY78" s="28">
        <f t="shared" si="38"/>
        <v>0</v>
      </c>
    </row>
    <row r="79" spans="1:51" s="28" customFormat="1" ht="13.5" thickBot="1" x14ac:dyDescent="0.25">
      <c r="A79" s="1023">
        <f t="shared" si="17"/>
        <v>0</v>
      </c>
      <c r="B79" s="1026">
        <v>1</v>
      </c>
      <c r="C79" s="697">
        <f t="shared" ref="C79:M79" si="69">$L43+C$55*Rapous</f>
        <v>-5</v>
      </c>
      <c r="D79" s="697">
        <f t="shared" si="69"/>
        <v>-4</v>
      </c>
      <c r="E79" s="697">
        <f t="shared" si="69"/>
        <v>-3</v>
      </c>
      <c r="F79" s="697">
        <f t="shared" si="69"/>
        <v>-2</v>
      </c>
      <c r="G79" s="950">
        <f t="shared" si="69"/>
        <v>-1</v>
      </c>
      <c r="H79" s="1087">
        <f t="shared" si="69"/>
        <v>0</v>
      </c>
      <c r="I79" s="1088">
        <f t="shared" si="69"/>
        <v>1</v>
      </c>
      <c r="J79" s="1089">
        <f t="shared" si="69"/>
        <v>2</v>
      </c>
      <c r="K79" s="1090">
        <f t="shared" si="69"/>
        <v>3</v>
      </c>
      <c r="L79" s="1089">
        <f t="shared" si="69"/>
        <v>4</v>
      </c>
      <c r="M79" s="1091">
        <f t="shared" si="69"/>
        <v>5</v>
      </c>
      <c r="N79" s="697">
        <f t="shared" si="19"/>
        <v>0</v>
      </c>
      <c r="O79" s="933">
        <f t="shared" si="20"/>
        <v>0</v>
      </c>
      <c r="P79" s="697">
        <f t="shared" si="21"/>
        <v>171</v>
      </c>
      <c r="Q79" s="949">
        <f t="shared" si="22"/>
        <v>18.262889942194128</v>
      </c>
      <c r="R79" s="697">
        <f t="shared" si="23"/>
        <v>18.262889942194128</v>
      </c>
      <c r="S79" s="697">
        <f t="shared" si="24"/>
        <v>18.262889942194128</v>
      </c>
      <c r="T79" s="697">
        <f t="shared" si="25"/>
        <v>18.262889942194128</v>
      </c>
      <c r="U79" s="950">
        <f t="shared" si="26"/>
        <v>18.262889942194128</v>
      </c>
      <c r="V79" s="1092">
        <f t="shared" si="27"/>
        <v>18.262889942194128</v>
      </c>
      <c r="W79" s="949">
        <f t="shared" si="28"/>
        <v>18.262889942194128</v>
      </c>
      <c r="X79" s="697">
        <f t="shared" si="29"/>
        <v>18.262889942194128</v>
      </c>
      <c r="Y79" s="697">
        <f t="shared" si="30"/>
        <v>18.262889942194128</v>
      </c>
      <c r="Z79" s="697">
        <f t="shared" si="31"/>
        <v>18.262889942194128</v>
      </c>
      <c r="AA79" s="950">
        <f t="shared" si="32"/>
        <v>18.262889942194128</v>
      </c>
      <c r="AB79" s="1055">
        <f>(AA79+Z80)/2</f>
        <v>9.1314449710970642</v>
      </c>
      <c r="AC79" s="1056">
        <f t="shared" si="40"/>
        <v>7.5010000000000003</v>
      </c>
      <c r="AD79" s="1057" t="b">
        <f t="shared" si="34"/>
        <v>1</v>
      </c>
      <c r="AE79" s="1056">
        <f t="shared" si="35"/>
        <v>-171</v>
      </c>
      <c r="AF79" s="1058">
        <f t="shared" si="41"/>
        <v>0</v>
      </c>
      <c r="AG79" s="929">
        <v>67.87</v>
      </c>
      <c r="AH79" s="932">
        <v>18.400000000000006</v>
      </c>
      <c r="AJ79" s="1064">
        <f t="shared" si="42"/>
        <v>1</v>
      </c>
      <c r="AK79" s="1065">
        <f t="shared" si="43"/>
        <v>2</v>
      </c>
      <c r="AL79" s="1066">
        <f t="shared" si="44"/>
        <v>171</v>
      </c>
      <c r="AM79" s="1066">
        <f t="shared" si="45"/>
        <v>1</v>
      </c>
      <c r="AN79" s="1076">
        <f t="shared" si="60"/>
        <v>172</v>
      </c>
      <c r="AO79" s="1077">
        <f t="shared" si="46"/>
        <v>18.262889942194128</v>
      </c>
      <c r="AP79" s="1078"/>
      <c r="AQ79" s="1079"/>
      <c r="AR79" s="1078"/>
      <c r="AS79" s="1079"/>
      <c r="AT79" s="1078"/>
      <c r="AU79" s="1079"/>
      <c r="AV79" s="1078"/>
      <c r="AW79" s="1079"/>
      <c r="AX79" s="28">
        <f t="shared" si="37"/>
        <v>0</v>
      </c>
      <c r="AY79" s="28">
        <f t="shared" si="38"/>
        <v>0</v>
      </c>
    </row>
    <row r="80" spans="1:51" s="19" customFormat="1" ht="12.75" x14ac:dyDescent="0.2">
      <c r="G80" s="31"/>
      <c r="H80" s="31"/>
      <c r="U80" s="29"/>
      <c r="W80" s="29"/>
      <c r="X80" s="694"/>
      <c r="Y80" s="29"/>
      <c r="AB80" s="1027"/>
      <c r="AC80" s="29"/>
      <c r="AG80" s="929">
        <v>68.69</v>
      </c>
      <c r="AH80" s="932">
        <v>18.659999999999997</v>
      </c>
      <c r="AJ80" s="931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</row>
    <row r="81" spans="1:49" s="19" customFormat="1" ht="15.75" x14ac:dyDescent="0.25">
      <c r="A81" s="652" t="s">
        <v>194</v>
      </c>
      <c r="F81" s="30"/>
      <c r="G81" s="29"/>
      <c r="H81" s="31"/>
      <c r="K81" s="30"/>
      <c r="Q81" s="29"/>
      <c r="R81" s="668"/>
      <c r="S81" s="29"/>
      <c r="U81" s="29"/>
      <c r="W81" s="29"/>
      <c r="X81" s="694"/>
      <c r="Y81" s="29"/>
      <c r="AB81" s="1027"/>
      <c r="AC81" s="29"/>
      <c r="AG81" s="929">
        <v>69.48</v>
      </c>
      <c r="AH81" s="932">
        <v>19.439999999999998</v>
      </c>
      <c r="AJ81" s="931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2.75" x14ac:dyDescent="0.2">
      <c r="A82" s="681" t="str">
        <f t="array" ref="A82:Z94">TRANSPOSE(O54:AA79)</f>
        <v>Esp. Berjean Escalquens</v>
      </c>
      <c r="B82" s="934" t="str">
        <v>zone 1</v>
      </c>
      <c r="C82" s="935" t="str">
        <v>Arrière PV</v>
      </c>
      <c r="D82" s="935" t="str">
        <v>Toit G</v>
      </c>
      <c r="E82" s="935" t="str">
        <v>Arbre 1</v>
      </c>
      <c r="F82" s="935" t="str">
        <v>Arbre 3</v>
      </c>
      <c r="G82" s="935" t="str">
        <v>Arbre 5</v>
      </c>
      <c r="H82" s="935" t="str">
        <v>Arbre 6</v>
      </c>
      <c r="I82" s="935" t="str">
        <v>Arbre 7</v>
      </c>
      <c r="J82" s="935" t="str">
        <v>Arbre 8</v>
      </c>
      <c r="K82" s="935" t="str">
        <v>Arbre 9</v>
      </c>
      <c r="L82" s="935" t="str">
        <v>Arbre 10</v>
      </c>
      <c r="M82" s="935" t="str">
        <v>Arbre 11</v>
      </c>
      <c r="N82" s="935" t="str">
        <v>Arbre 12</v>
      </c>
      <c r="O82" s="935" t="str">
        <v>Toit D</v>
      </c>
      <c r="P82" s="935" t="str">
        <v>Arrière PV</v>
      </c>
      <c r="Q82" s="935">
        <v>0</v>
      </c>
      <c r="R82" s="935">
        <v>0</v>
      </c>
      <c r="S82" s="935">
        <v>0</v>
      </c>
      <c r="T82" s="935">
        <v>0</v>
      </c>
      <c r="U82" s="935">
        <v>0</v>
      </c>
      <c r="V82" s="935">
        <v>0</v>
      </c>
      <c r="W82" s="935">
        <v>0</v>
      </c>
      <c r="X82" s="935">
        <v>0</v>
      </c>
      <c r="Y82" s="935">
        <v>0</v>
      </c>
      <c r="Z82" s="935">
        <v>0</v>
      </c>
      <c r="AB82" s="1028"/>
      <c r="AG82" s="951">
        <v>69.760000000000005</v>
      </c>
      <c r="AH82" s="952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936">
        <v>-9</v>
      </c>
      <c r="B83" s="937" t="str">
        <v>Azi.S / PV</v>
      </c>
      <c r="C83" s="938">
        <v>-189</v>
      </c>
      <c r="D83" s="695">
        <v>-99</v>
      </c>
      <c r="E83" s="695">
        <v>-24.997974078744232</v>
      </c>
      <c r="F83" s="695">
        <v>-10.274575581168158</v>
      </c>
      <c r="G83" s="695">
        <v>-2.7735755811681559</v>
      </c>
      <c r="H83" s="695">
        <v>6.6941709635587605</v>
      </c>
      <c r="I83" s="695">
        <v>14.195170963558761</v>
      </c>
      <c r="J83" s="695">
        <v>22.894030608089153</v>
      </c>
      <c r="K83" s="695">
        <v>34.618696004761055</v>
      </c>
      <c r="L83" s="695">
        <v>47.378992179217747</v>
      </c>
      <c r="M83" s="695">
        <v>63.286993620448527</v>
      </c>
      <c r="N83" s="695">
        <v>70.787993620448532</v>
      </c>
      <c r="O83" s="695">
        <v>81</v>
      </c>
      <c r="P83" s="695">
        <v>171</v>
      </c>
      <c r="Q83" s="695">
        <v>171</v>
      </c>
      <c r="R83" s="695">
        <v>171</v>
      </c>
      <c r="S83" s="695">
        <v>171</v>
      </c>
      <c r="T83" s="695">
        <v>171</v>
      </c>
      <c r="U83" s="695">
        <v>171</v>
      </c>
      <c r="V83" s="695">
        <v>171</v>
      </c>
      <c r="W83" s="695">
        <v>171</v>
      </c>
      <c r="X83" s="695">
        <v>171</v>
      </c>
      <c r="Y83" s="695">
        <v>171</v>
      </c>
      <c r="Z83" s="939">
        <v>171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40" t="str">
        <v>Elevation vue du champ PV zone: 1</v>
      </c>
      <c r="B84" s="941">
        <v>-5</v>
      </c>
      <c r="C84" s="813">
        <v>18.262889942194128</v>
      </c>
      <c r="D84" s="696">
        <v>7</v>
      </c>
      <c r="E84" s="696">
        <v>1</v>
      </c>
      <c r="F84" s="696">
        <v>4.4726630070331739</v>
      </c>
      <c r="G84" s="696">
        <v>1</v>
      </c>
      <c r="H84" s="696">
        <v>1</v>
      </c>
      <c r="I84" s="696">
        <v>1</v>
      </c>
      <c r="J84" s="696">
        <v>1</v>
      </c>
      <c r="K84" s="696">
        <v>3.8389164877687647</v>
      </c>
      <c r="L84" s="696">
        <v>3.566391809954824</v>
      </c>
      <c r="M84" s="696">
        <v>1</v>
      </c>
      <c r="N84" s="696">
        <v>1</v>
      </c>
      <c r="O84" s="696">
        <v>1</v>
      </c>
      <c r="P84" s="696">
        <v>18.262889942194128</v>
      </c>
      <c r="Q84" s="696">
        <v>18.262889942194128</v>
      </c>
      <c r="R84" s="696">
        <v>18.262889942194128</v>
      </c>
      <c r="S84" s="696">
        <v>18.262889942194128</v>
      </c>
      <c r="T84" s="696">
        <v>18.262889942194128</v>
      </c>
      <c r="U84" s="696">
        <v>18.262889942194128</v>
      </c>
      <c r="V84" s="696">
        <v>18.262889942194128</v>
      </c>
      <c r="W84" s="696">
        <v>18.262889942194128</v>
      </c>
      <c r="X84" s="696">
        <v>18.262889942194128</v>
      </c>
      <c r="Y84" s="696">
        <v>18.262889942194128</v>
      </c>
      <c r="Z84" s="942">
        <v>18.262889942194128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43">
        <v>0</v>
      </c>
      <c r="B85" s="941">
        <v>-4</v>
      </c>
      <c r="C85" s="685">
        <v>18.262889942194128</v>
      </c>
      <c r="D85" s="688">
        <v>7</v>
      </c>
      <c r="E85" s="688">
        <v>1</v>
      </c>
      <c r="F85" s="688">
        <v>5.1497952997633121</v>
      </c>
      <c r="G85" s="688">
        <v>1.3979307658178508</v>
      </c>
      <c r="H85" s="688">
        <v>1</v>
      </c>
      <c r="I85" s="688">
        <v>1</v>
      </c>
      <c r="J85" s="688">
        <v>1</v>
      </c>
      <c r="K85" s="688">
        <v>4.7436052751256863</v>
      </c>
      <c r="L85" s="688">
        <v>4.3946428856571931</v>
      </c>
      <c r="M85" s="688">
        <v>1</v>
      </c>
      <c r="N85" s="688">
        <v>1</v>
      </c>
      <c r="O85" s="688">
        <v>1</v>
      </c>
      <c r="P85" s="688">
        <v>18.262889942194128</v>
      </c>
      <c r="Q85" s="688">
        <v>18.262889942194128</v>
      </c>
      <c r="R85" s="688">
        <v>18.262889942194128</v>
      </c>
      <c r="S85" s="688">
        <v>18.262889942194128</v>
      </c>
      <c r="T85" s="688">
        <v>18.262889942194128</v>
      </c>
      <c r="U85" s="688">
        <v>18.262889942194128</v>
      </c>
      <c r="V85" s="688">
        <v>18.262889942194128</v>
      </c>
      <c r="W85" s="688">
        <v>18.262889942194128</v>
      </c>
      <c r="X85" s="688">
        <v>18.262889942194128</v>
      </c>
      <c r="Y85" s="688">
        <v>18.262889942194128</v>
      </c>
      <c r="Z85" s="944">
        <v>18.262889942194128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43">
        <v>0</v>
      </c>
      <c r="B86" s="941">
        <v>-3</v>
      </c>
      <c r="C86" s="685">
        <v>18.262889942194128</v>
      </c>
      <c r="D86" s="688">
        <v>7</v>
      </c>
      <c r="E86" s="688">
        <v>1</v>
      </c>
      <c r="F86" s="688">
        <v>5.825488299638403</v>
      </c>
      <c r="G86" s="688">
        <v>2.1521287956482373</v>
      </c>
      <c r="H86" s="688">
        <v>1.3592970264227138</v>
      </c>
      <c r="I86" s="688">
        <v>1</v>
      </c>
      <c r="J86" s="688">
        <v>1</v>
      </c>
      <c r="K86" s="688">
        <v>5.6459297053808024</v>
      </c>
      <c r="L86" s="688">
        <v>5.2210578832060097</v>
      </c>
      <c r="M86" s="688">
        <v>1</v>
      </c>
      <c r="N86" s="688">
        <v>1</v>
      </c>
      <c r="O86" s="688">
        <v>1</v>
      </c>
      <c r="P86" s="688">
        <v>18.262889942194128</v>
      </c>
      <c r="Q86" s="688">
        <v>18.262889942194128</v>
      </c>
      <c r="R86" s="688">
        <v>18.262889942194128</v>
      </c>
      <c r="S86" s="688">
        <v>18.262889942194128</v>
      </c>
      <c r="T86" s="688">
        <v>18.262889942194128</v>
      </c>
      <c r="U86" s="688">
        <v>18.262889942194128</v>
      </c>
      <c r="V86" s="688">
        <v>18.262889942194128</v>
      </c>
      <c r="W86" s="688">
        <v>18.262889942194128</v>
      </c>
      <c r="X86" s="688">
        <v>18.262889942194128</v>
      </c>
      <c r="Y86" s="688">
        <v>18.262889942194128</v>
      </c>
      <c r="Z86" s="944">
        <v>18.262889942194128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43">
        <v>0</v>
      </c>
      <c r="B87" s="941">
        <v>-2</v>
      </c>
      <c r="C87" s="685">
        <v>18.262889942194128</v>
      </c>
      <c r="D87" s="688">
        <v>7</v>
      </c>
      <c r="E87" s="688">
        <v>1.2230513015028059</v>
      </c>
      <c r="F87" s="688">
        <v>6.499559294546656</v>
      </c>
      <c r="G87" s="688">
        <v>2.9055814525657753</v>
      </c>
      <c r="H87" s="688">
        <v>2.1848691815284993</v>
      </c>
      <c r="I87" s="688">
        <v>1.4545325720748592</v>
      </c>
      <c r="J87" s="688">
        <v>1</v>
      </c>
      <c r="K87" s="688">
        <v>6.5454534225531349</v>
      </c>
      <c r="L87" s="688">
        <v>6.0453003257386415</v>
      </c>
      <c r="M87" s="688">
        <v>1</v>
      </c>
      <c r="N87" s="688">
        <v>1.2977232666605478</v>
      </c>
      <c r="O87" s="688">
        <v>1</v>
      </c>
      <c r="P87" s="688">
        <v>18.262889942194128</v>
      </c>
      <c r="Q87" s="688">
        <v>18.262889942194128</v>
      </c>
      <c r="R87" s="688">
        <v>18.262889942194128</v>
      </c>
      <c r="S87" s="688">
        <v>18.262889942194128</v>
      </c>
      <c r="T87" s="688">
        <v>18.262889942194128</v>
      </c>
      <c r="U87" s="688">
        <v>18.262889942194128</v>
      </c>
      <c r="V87" s="688">
        <v>18.262889942194128</v>
      </c>
      <c r="W87" s="688">
        <v>18.262889942194128</v>
      </c>
      <c r="X87" s="688">
        <v>18.262889942194128</v>
      </c>
      <c r="Y87" s="688">
        <v>18.262889942194128</v>
      </c>
      <c r="Z87" s="944">
        <v>18.262889942194128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43">
        <v>0</v>
      </c>
      <c r="B88" s="945">
        <v>-1</v>
      </c>
      <c r="C88" s="685">
        <v>18.262889942194128</v>
      </c>
      <c r="D88" s="688">
        <v>7</v>
      </c>
      <c r="E88" s="688">
        <v>1.7959608513987988</v>
      </c>
      <c r="F88" s="688">
        <v>7.1718282435623681</v>
      </c>
      <c r="G88" s="688">
        <v>3.6580297297951274</v>
      </c>
      <c r="H88" s="688">
        <v>3.009534720153944</v>
      </c>
      <c r="I88" s="688">
        <v>2.3345929346047982</v>
      </c>
      <c r="J88" s="688">
        <v>1.7988276048400154</v>
      </c>
      <c r="K88" s="688">
        <v>7.4417482924628047</v>
      </c>
      <c r="L88" s="688">
        <v>6.8670390971408422</v>
      </c>
      <c r="M88" s="688">
        <v>1.6807864393035088</v>
      </c>
      <c r="N88" s="688">
        <v>1.9969674535532467</v>
      </c>
      <c r="O88" s="688">
        <v>1</v>
      </c>
      <c r="P88" s="688">
        <v>18.262889942194128</v>
      </c>
      <c r="Q88" s="688">
        <v>18.262889942194128</v>
      </c>
      <c r="R88" s="688">
        <v>18.262889942194128</v>
      </c>
      <c r="S88" s="688">
        <v>18.262889942194128</v>
      </c>
      <c r="T88" s="688">
        <v>18.262889942194128</v>
      </c>
      <c r="U88" s="688">
        <v>18.262889942194128</v>
      </c>
      <c r="V88" s="688">
        <v>18.262889942194128</v>
      </c>
      <c r="W88" s="688">
        <v>18.262889942194128</v>
      </c>
      <c r="X88" s="688">
        <v>18.262889942194128</v>
      </c>
      <c r="Y88" s="688">
        <v>18.262889942194128</v>
      </c>
      <c r="Z88" s="944">
        <v>18.262889942194128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43">
        <v>0</v>
      </c>
      <c r="B89" s="941">
        <v>0</v>
      </c>
      <c r="C89" s="946">
        <v>18.262889942194128</v>
      </c>
      <c r="D89" s="677">
        <v>7</v>
      </c>
      <c r="E89" s="677">
        <v>2.3685113890269558</v>
      </c>
      <c r="F89" s="677">
        <v>7.8421180507542081</v>
      </c>
      <c r="G89" s="677">
        <v>4.4092166954659682</v>
      </c>
      <c r="H89" s="677">
        <v>3.8329541591374192</v>
      </c>
      <c r="I89" s="677">
        <v>3.2135525600095005</v>
      </c>
      <c r="J89" s="677">
        <v>2.6977430413140722</v>
      </c>
      <c r="K89" s="677">
        <v>8.3343955641045735</v>
      </c>
      <c r="L89" s="677">
        <v>7.6859492064215438</v>
      </c>
      <c r="M89" s="677">
        <v>2.4582005694636244</v>
      </c>
      <c r="N89" s="677">
        <v>2.6956170767670109</v>
      </c>
      <c r="O89" s="677">
        <v>1</v>
      </c>
      <c r="P89" s="677">
        <v>18.262889942194128</v>
      </c>
      <c r="Q89" s="677">
        <v>18.262889942194128</v>
      </c>
      <c r="R89" s="677">
        <v>18.262889942194128</v>
      </c>
      <c r="S89" s="677">
        <v>18.262889942194128</v>
      </c>
      <c r="T89" s="677">
        <v>18.262889942194128</v>
      </c>
      <c r="U89" s="677">
        <v>18.262889942194128</v>
      </c>
      <c r="V89" s="677">
        <v>18.262889942194128</v>
      </c>
      <c r="W89" s="677">
        <v>18.262889942194128</v>
      </c>
      <c r="X89" s="677">
        <v>18.262889942194128</v>
      </c>
      <c r="Y89" s="677">
        <v>18.262889942194128</v>
      </c>
      <c r="Z89" s="687">
        <v>18.262889942194128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43">
        <v>0</v>
      </c>
      <c r="B90" s="947">
        <v>1</v>
      </c>
      <c r="C90" s="685">
        <v>18.262889942194128</v>
      </c>
      <c r="D90" s="688">
        <v>7</v>
      </c>
      <c r="E90" s="688">
        <v>2.9405890345650887</v>
      </c>
      <c r="F90" s="688">
        <v>8.5102548271826191</v>
      </c>
      <c r="G90" s="688">
        <v>5.1588880116372096</v>
      </c>
      <c r="H90" s="688">
        <v>4.6547910977150604</v>
      </c>
      <c r="I90" s="688">
        <v>4.0910007754558846</v>
      </c>
      <c r="J90" s="688">
        <v>3.5953314899987467</v>
      </c>
      <c r="K90" s="688">
        <v>9.2229869641559272</v>
      </c>
      <c r="L90" s="688">
        <v>8.5017125152339545</v>
      </c>
      <c r="M90" s="688">
        <v>3.2347101315609446</v>
      </c>
      <c r="N90" s="688">
        <v>3.3934654601473437</v>
      </c>
      <c r="O90" s="688">
        <v>1</v>
      </c>
      <c r="P90" s="688">
        <v>18.262889942194128</v>
      </c>
      <c r="Q90" s="688">
        <v>18.262889942194128</v>
      </c>
      <c r="R90" s="688">
        <v>18.262889942194128</v>
      </c>
      <c r="S90" s="688">
        <v>18.262889942194128</v>
      </c>
      <c r="T90" s="688">
        <v>18.262889942194128</v>
      </c>
      <c r="U90" s="688">
        <v>18.262889942194128</v>
      </c>
      <c r="V90" s="688">
        <v>18.262889942194128</v>
      </c>
      <c r="W90" s="688">
        <v>18.262889942194128</v>
      </c>
      <c r="X90" s="688">
        <v>18.262889942194128</v>
      </c>
      <c r="Y90" s="688">
        <v>18.262889942194128</v>
      </c>
      <c r="Z90" s="944">
        <v>18.262889942194128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43">
        <v>0</v>
      </c>
      <c r="B91" s="941">
        <v>2</v>
      </c>
      <c r="C91" s="685">
        <v>18.262889942194128</v>
      </c>
      <c r="D91" s="688">
        <v>7</v>
      </c>
      <c r="E91" s="688">
        <v>3.5120804732314168</v>
      </c>
      <c r="F91" s="688">
        <v>9.1760681401967776</v>
      </c>
      <c r="G91" s="688">
        <v>5.9067924400693776</v>
      </c>
      <c r="H91" s="688">
        <v>5.4747130295033122</v>
      </c>
      <c r="I91" s="688">
        <v>4.9665311523574349</v>
      </c>
      <c r="J91" s="688">
        <v>4.4911565047130377</v>
      </c>
      <c r="K91" s="688">
        <v>10.107125718094261</v>
      </c>
      <c r="L91" s="688">
        <v>9.3140184247584159</v>
      </c>
      <c r="M91" s="688">
        <v>4.0100320554025108</v>
      </c>
      <c r="N91" s="688">
        <v>4.0903073516436397</v>
      </c>
      <c r="O91" s="688">
        <v>1</v>
      </c>
      <c r="P91" s="688">
        <v>18.262889942194128</v>
      </c>
      <c r="Q91" s="688">
        <v>18.262889942194128</v>
      </c>
      <c r="R91" s="688">
        <v>18.262889942194128</v>
      </c>
      <c r="S91" s="688">
        <v>18.262889942194128</v>
      </c>
      <c r="T91" s="688">
        <v>18.262889942194128</v>
      </c>
      <c r="U91" s="688">
        <v>18.262889942194128</v>
      </c>
      <c r="V91" s="688">
        <v>18.262889942194128</v>
      </c>
      <c r="W91" s="688">
        <v>18.262889942194128</v>
      </c>
      <c r="X91" s="688">
        <v>18.262889942194128</v>
      </c>
      <c r="Y91" s="688">
        <v>18.262889942194128</v>
      </c>
      <c r="Z91" s="944">
        <v>18.262889942194128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43">
        <v>0</v>
      </c>
      <c r="B92" s="941">
        <v>3</v>
      </c>
      <c r="C92" s="685">
        <v>18.262889942194128</v>
      </c>
      <c r="D92" s="688">
        <v>7</v>
      </c>
      <c r="E92" s="688">
        <v>4.0828730887355711</v>
      </c>
      <c r="F92" s="688">
        <v>9.8393912492331737</v>
      </c>
      <c r="G92" s="688">
        <v>6.6526823322888813</v>
      </c>
      <c r="H92" s="688">
        <v>6.2923921306907911</v>
      </c>
      <c r="I92" s="688">
        <v>5.839742616145017</v>
      </c>
      <c r="J92" s="688">
        <v>5.3847867978215485</v>
      </c>
      <c r="K92" s="688">
        <v>10.986427492331883</v>
      </c>
      <c r="L92" s="688">
        <v>10.122564518602244</v>
      </c>
      <c r="M92" s="688">
        <v>4.7838858745297861</v>
      </c>
      <c r="N92" s="688">
        <v>4.7859392811723982</v>
      </c>
      <c r="O92" s="688">
        <v>1</v>
      </c>
      <c r="P92" s="688">
        <v>18.262889942194128</v>
      </c>
      <c r="Q92" s="688">
        <v>18.262889942194128</v>
      </c>
      <c r="R92" s="688">
        <v>18.262889942194128</v>
      </c>
      <c r="S92" s="688">
        <v>18.262889942194128</v>
      </c>
      <c r="T92" s="688">
        <v>18.262889942194128</v>
      </c>
      <c r="U92" s="688">
        <v>18.262889942194128</v>
      </c>
      <c r="V92" s="688">
        <v>18.262889942194128</v>
      </c>
      <c r="W92" s="688">
        <v>18.262889942194128</v>
      </c>
      <c r="X92" s="688">
        <v>18.262889942194128</v>
      </c>
      <c r="Y92" s="688">
        <v>18.262889942194128</v>
      </c>
      <c r="Z92" s="944">
        <v>18.262889942194128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43">
        <v>0</v>
      </c>
      <c r="B93" s="941">
        <v>4</v>
      </c>
      <c r="C93" s="685">
        <v>18.262889942194128</v>
      </c>
      <c r="D93" s="688">
        <v>7</v>
      </c>
      <c r="E93" s="688">
        <v>4.6528550946572649</v>
      </c>
      <c r="F93" s="688">
        <v>10.500061327413402</v>
      </c>
      <c r="G93" s="688">
        <v>7.396314101635137</v>
      </c>
      <c r="H93" s="688">
        <v>7.1075060198899331</v>
      </c>
      <c r="I93" s="688">
        <v>6.71024051897031</v>
      </c>
      <c r="J93" s="688">
        <v>6.2757974593618986</v>
      </c>
      <c r="K93" s="688">
        <v>11.860521252755646</v>
      </c>
      <c r="L93" s="688">
        <v>10.927057158837187</v>
      </c>
      <c r="M93" s="688">
        <v>5.5559943245756784</v>
      </c>
      <c r="N93" s="688">
        <v>5.4801599106360444</v>
      </c>
      <c r="O93" s="688">
        <v>1</v>
      </c>
      <c r="P93" s="688">
        <v>18.262889942194128</v>
      </c>
      <c r="Q93" s="688">
        <v>18.262889942194128</v>
      </c>
      <c r="R93" s="688">
        <v>18.262889942194128</v>
      </c>
      <c r="S93" s="688">
        <v>18.262889942194128</v>
      </c>
      <c r="T93" s="688">
        <v>18.262889942194128</v>
      </c>
      <c r="U93" s="688">
        <v>18.262889942194128</v>
      </c>
      <c r="V93" s="688">
        <v>18.262889942194128</v>
      </c>
      <c r="W93" s="688">
        <v>18.262889942194128</v>
      </c>
      <c r="X93" s="688">
        <v>18.262889942194128</v>
      </c>
      <c r="Y93" s="688">
        <v>18.262889942194128</v>
      </c>
      <c r="Z93" s="944">
        <v>18.262889942194128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48">
        <v>0.33</v>
      </c>
      <c r="B94" s="941">
        <v>5</v>
      </c>
      <c r="C94" s="949">
        <v>18.262889942194128</v>
      </c>
      <c r="D94" s="697">
        <v>7</v>
      </c>
      <c r="E94" s="697">
        <v>5.2219156633748867</v>
      </c>
      <c r="F94" s="697">
        <v>11.157919668337167</v>
      </c>
      <c r="G94" s="697">
        <v>8.1374486751481871</v>
      </c>
      <c r="H94" s="697">
        <v>7.9197384854156958</v>
      </c>
      <c r="I94" s="697">
        <v>7.5776376683852336</v>
      </c>
      <c r="J94" s="697">
        <v>7.1637711302794624</v>
      </c>
      <c r="K94" s="697">
        <v>12.729050036061903</v>
      </c>
      <c r="L94" s="697">
        <v>11.7272120327784</v>
      </c>
      <c r="M94" s="697">
        <v>6.3260839242922309</v>
      </c>
      <c r="N94" s="697">
        <v>6.1727703746215763</v>
      </c>
      <c r="O94" s="697">
        <v>1</v>
      </c>
      <c r="P94" s="697">
        <v>18.262889942194128</v>
      </c>
      <c r="Q94" s="697">
        <v>18.262889942194128</v>
      </c>
      <c r="R94" s="697">
        <v>18.262889942194128</v>
      </c>
      <c r="S94" s="697">
        <v>18.262889942194128</v>
      </c>
      <c r="T94" s="697">
        <v>18.262889942194128</v>
      </c>
      <c r="U94" s="697">
        <v>18.262889942194128</v>
      </c>
      <c r="V94" s="697">
        <v>18.262889942194128</v>
      </c>
      <c r="W94" s="697">
        <v>18.262889942194128</v>
      </c>
      <c r="X94" s="697">
        <v>18.262889942194128</v>
      </c>
      <c r="Y94" s="697">
        <v>18.262889942194128</v>
      </c>
      <c r="Z94" s="950">
        <v>18.262889942194128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6" spans="1:49" s="667" customFormat="1" x14ac:dyDescent="0.25">
      <c r="A96" s="1093"/>
      <c r="B96" s="1093"/>
      <c r="C96" s="1093"/>
      <c r="D96" s="1093"/>
      <c r="E96" s="1093"/>
      <c r="F96" s="1145"/>
      <c r="G96" s="1146"/>
      <c r="H96" s="1147"/>
      <c r="I96" s="1093"/>
      <c r="J96" s="1093"/>
      <c r="K96" s="1093"/>
      <c r="L96" s="1093"/>
      <c r="M96" s="1093"/>
      <c r="N96" s="1145"/>
      <c r="O96" s="1093"/>
      <c r="P96" s="1093"/>
      <c r="Q96" s="1093"/>
      <c r="R96" s="1093"/>
      <c r="S96" s="1093"/>
      <c r="T96" s="1093"/>
      <c r="U96" s="1093"/>
      <c r="V96" s="1145"/>
      <c r="W96" s="1146"/>
      <c r="X96" s="1147"/>
      <c r="Y96" s="1093"/>
      <c r="Z96" s="1093"/>
      <c r="AA96" s="1093"/>
      <c r="AB96" s="1093"/>
      <c r="AC96" s="1093"/>
      <c r="AD96" s="1145"/>
      <c r="AH96" s="1013"/>
      <c r="AM96" s="1060"/>
      <c r="AN96" s="1060"/>
      <c r="AO96" s="1060"/>
      <c r="AP96" s="1060"/>
      <c r="AQ96" s="1060"/>
      <c r="AR96" s="1060"/>
      <c r="AS96" s="1060"/>
      <c r="AT96" s="1060"/>
      <c r="AU96" s="1060"/>
      <c r="AV96" s="1060"/>
      <c r="AW96" s="1060"/>
    </row>
    <row r="97" spans="1:49" s="19" customFormat="1" ht="12.75" x14ac:dyDescent="0.2">
      <c r="A97" s="1008" t="s">
        <v>161</v>
      </c>
      <c r="B97" s="1009"/>
      <c r="C97" s="1010"/>
      <c r="D97" s="1011"/>
      <c r="E97" s="1011"/>
      <c r="F97" s="1012"/>
      <c r="G97" s="1148"/>
      <c r="H97" s="1149"/>
      <c r="I97" s="1008"/>
      <c r="J97" s="1009"/>
      <c r="K97" s="1010"/>
      <c r="L97" s="1011"/>
      <c r="M97" s="1011"/>
      <c r="N97" s="1012"/>
      <c r="O97" s="558"/>
      <c r="P97" s="558"/>
      <c r="Q97" s="1008" t="s">
        <v>161</v>
      </c>
      <c r="R97" s="1009"/>
      <c r="S97" s="1010"/>
      <c r="T97" s="1011"/>
      <c r="U97" s="1011"/>
      <c r="V97" s="1012"/>
      <c r="W97" s="1148"/>
      <c r="X97" s="1150"/>
      <c r="Y97" s="1008"/>
      <c r="Z97" s="1009"/>
      <c r="AA97" s="1010"/>
      <c r="AB97" s="1011"/>
      <c r="AC97" s="1011"/>
      <c r="AD97" s="1012"/>
      <c r="AH97" s="1014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</row>
    <row r="98" spans="1:49" s="19" customFormat="1" ht="12.75" x14ac:dyDescent="0.2">
      <c r="A98" s="912" t="s">
        <v>332</v>
      </c>
      <c r="B98" s="910"/>
      <c r="C98" s="969"/>
      <c r="D98" s="911"/>
      <c r="E98" s="911"/>
      <c r="F98" s="971"/>
      <c r="G98" s="1148"/>
      <c r="H98" s="1149"/>
      <c r="I98" s="912"/>
      <c r="J98" s="910"/>
      <c r="K98" s="969"/>
      <c r="L98" s="911"/>
      <c r="M98" s="911"/>
      <c r="N98" s="971"/>
      <c r="O98" s="558"/>
      <c r="P98" s="558"/>
      <c r="Q98" s="912" t="s">
        <v>332</v>
      </c>
      <c r="R98" s="910"/>
      <c r="S98" s="969"/>
      <c r="T98" s="911"/>
      <c r="U98" s="911"/>
      <c r="V98" s="971"/>
      <c r="W98" s="1148"/>
      <c r="X98" s="1150"/>
      <c r="Y98" s="912"/>
      <c r="Z98" s="910"/>
      <c r="AA98" s="969"/>
      <c r="AB98" s="911"/>
      <c r="AC98" s="911"/>
      <c r="AD98" s="971"/>
      <c r="AH98" s="1014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12" t="s">
        <v>326</v>
      </c>
      <c r="B99" s="910">
        <v>1</v>
      </c>
      <c r="C99" s="969">
        <v>17.22</v>
      </c>
      <c r="D99" s="911">
        <v>556.84</v>
      </c>
      <c r="E99" s="911">
        <v>554.04999999999995</v>
      </c>
      <c r="F99" s="971"/>
      <c r="G99" s="1148"/>
      <c r="H99" s="1149"/>
      <c r="I99" s="912"/>
      <c r="J99" s="910"/>
      <c r="K99" s="969"/>
      <c r="L99" s="911"/>
      <c r="M99" s="911"/>
      <c r="N99" s="971"/>
      <c r="O99" s="558"/>
      <c r="P99" s="558"/>
      <c r="Q99" s="912" t="s">
        <v>326</v>
      </c>
      <c r="R99" s="910">
        <v>1</v>
      </c>
      <c r="S99" s="969">
        <v>17.22</v>
      </c>
      <c r="T99" s="911">
        <v>556.84</v>
      </c>
      <c r="U99" s="911">
        <v>554.04999999999995</v>
      </c>
      <c r="V99" s="971"/>
      <c r="W99" s="1148"/>
      <c r="X99" s="1150"/>
      <c r="Y99" s="912"/>
      <c r="Z99" s="910"/>
      <c r="AA99" s="969"/>
      <c r="AB99" s="911"/>
      <c r="AC99" s="911"/>
      <c r="AD99" s="971"/>
      <c r="AH99" s="1014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12" t="s">
        <v>325</v>
      </c>
      <c r="B100" s="910">
        <v>1</v>
      </c>
      <c r="C100" s="969">
        <v>43.22</v>
      </c>
      <c r="D100" s="911">
        <v>528.89</v>
      </c>
      <c r="E100" s="911">
        <v>561.83000000000004</v>
      </c>
      <c r="F100" s="971" t="s">
        <v>340</v>
      </c>
      <c r="G100" s="1148"/>
      <c r="H100" s="1149"/>
      <c r="I100" s="912"/>
      <c r="J100" s="910"/>
      <c r="K100" s="969"/>
      <c r="L100" s="911"/>
      <c r="M100" s="911"/>
      <c r="N100" s="971"/>
      <c r="O100" s="558"/>
      <c r="P100" s="558"/>
      <c r="Q100" s="912" t="s">
        <v>325</v>
      </c>
      <c r="R100" s="910">
        <v>1</v>
      </c>
      <c r="S100" s="969">
        <v>43.22</v>
      </c>
      <c r="T100" s="911">
        <v>528.89</v>
      </c>
      <c r="U100" s="911">
        <v>561.83000000000004</v>
      </c>
      <c r="V100" s="971" t="s">
        <v>340</v>
      </c>
      <c r="W100" s="1148"/>
      <c r="X100" s="1150"/>
      <c r="Y100" s="912"/>
      <c r="Z100" s="910"/>
      <c r="AA100" s="969"/>
      <c r="AB100" s="911"/>
      <c r="AC100" s="911"/>
      <c r="AD100" s="971"/>
      <c r="AH100" s="1014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12" t="s">
        <v>158</v>
      </c>
      <c r="B101" s="910">
        <v>1</v>
      </c>
      <c r="C101" s="969">
        <v>28.96</v>
      </c>
      <c r="D101" s="911">
        <v>518.28</v>
      </c>
      <c r="E101" s="911">
        <v>568.82000000000005</v>
      </c>
      <c r="F101" s="971"/>
      <c r="G101" s="1148"/>
      <c r="H101" s="1149"/>
      <c r="I101" s="912"/>
      <c r="J101" s="910"/>
      <c r="K101" s="969"/>
      <c r="L101" s="911"/>
      <c r="M101" s="911"/>
      <c r="N101" s="971"/>
      <c r="O101" s="558"/>
      <c r="P101" s="558"/>
      <c r="Q101" s="912" t="s">
        <v>158</v>
      </c>
      <c r="R101" s="910">
        <v>1</v>
      </c>
      <c r="S101" s="969">
        <v>28.96</v>
      </c>
      <c r="T101" s="911">
        <v>518.28</v>
      </c>
      <c r="U101" s="911">
        <v>568.82000000000005</v>
      </c>
      <c r="V101" s="971"/>
      <c r="W101" s="1148"/>
      <c r="X101" s="1150"/>
      <c r="Y101" s="912"/>
      <c r="Z101" s="910"/>
      <c r="AA101" s="969"/>
      <c r="AB101" s="911"/>
      <c r="AC101" s="911"/>
      <c r="AD101" s="971"/>
      <c r="AH101" s="1014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12" t="s">
        <v>159</v>
      </c>
      <c r="B102" s="910">
        <v>1</v>
      </c>
      <c r="C102" s="969">
        <v>27.52</v>
      </c>
      <c r="D102" s="911">
        <v>505.01</v>
      </c>
      <c r="E102" s="911">
        <v>575.96</v>
      </c>
      <c r="F102" s="971" t="s">
        <v>340</v>
      </c>
      <c r="G102" s="1148"/>
      <c r="H102" s="1149"/>
      <c r="I102" s="912"/>
      <c r="J102" s="910"/>
      <c r="K102" s="969"/>
      <c r="L102" s="911"/>
      <c r="M102" s="911"/>
      <c r="N102" s="971"/>
      <c r="O102" s="558"/>
      <c r="P102" s="558"/>
      <c r="Q102" s="912" t="s">
        <v>159</v>
      </c>
      <c r="R102" s="910">
        <v>1</v>
      </c>
      <c r="S102" s="969">
        <v>27.52</v>
      </c>
      <c r="T102" s="911">
        <v>505.01</v>
      </c>
      <c r="U102" s="911">
        <v>575.96</v>
      </c>
      <c r="V102" s="971" t="s">
        <v>340</v>
      </c>
      <c r="W102" s="1148"/>
      <c r="X102" s="1150"/>
      <c r="Y102" s="912"/>
      <c r="Z102" s="910"/>
      <c r="AA102" s="969"/>
      <c r="AB102" s="911"/>
      <c r="AC102" s="911"/>
      <c r="AD102" s="971"/>
      <c r="AH102" s="1014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12" t="s">
        <v>322</v>
      </c>
      <c r="B103" s="910">
        <v>1</v>
      </c>
      <c r="C103" s="969">
        <v>25.54</v>
      </c>
      <c r="D103" s="911">
        <v>498.66</v>
      </c>
      <c r="E103" s="911">
        <v>581.58000000000004</v>
      </c>
      <c r="F103" s="971"/>
      <c r="G103" s="1148"/>
      <c r="H103" s="1149"/>
      <c r="I103" s="912"/>
      <c r="J103" s="910"/>
      <c r="K103" s="969"/>
      <c r="L103" s="911"/>
      <c r="M103" s="911"/>
      <c r="N103" s="971"/>
      <c r="O103" s="558"/>
      <c r="P103" s="558"/>
      <c r="Q103" s="912" t="s">
        <v>322</v>
      </c>
      <c r="R103" s="910">
        <v>1</v>
      </c>
      <c r="S103" s="969">
        <v>25.54</v>
      </c>
      <c r="T103" s="911">
        <v>498.66</v>
      </c>
      <c r="U103" s="911">
        <v>581.58000000000004</v>
      </c>
      <c r="V103" s="971"/>
      <c r="W103" s="1148"/>
      <c r="X103" s="1150"/>
      <c r="Y103" s="912"/>
      <c r="Z103" s="910"/>
      <c r="AA103" s="969"/>
      <c r="AB103" s="911"/>
      <c r="AC103" s="911"/>
      <c r="AD103" s="971"/>
      <c r="AH103" s="1014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12" t="s">
        <v>323</v>
      </c>
      <c r="B104" s="910">
        <v>1</v>
      </c>
      <c r="C104" s="969">
        <v>23.57</v>
      </c>
      <c r="D104" s="911">
        <v>489.85</v>
      </c>
      <c r="E104" s="911">
        <v>586</v>
      </c>
      <c r="F104" s="971"/>
      <c r="G104" s="1148"/>
      <c r="H104" s="1149"/>
      <c r="I104" s="912"/>
      <c r="J104" s="910"/>
      <c r="K104" s="969"/>
      <c r="L104" s="911"/>
      <c r="M104" s="911"/>
      <c r="N104" s="971"/>
      <c r="O104" s="558"/>
      <c r="P104" s="558"/>
      <c r="Q104" s="912" t="s">
        <v>323</v>
      </c>
      <c r="R104" s="910">
        <v>1</v>
      </c>
      <c r="S104" s="969">
        <v>23.57</v>
      </c>
      <c r="T104" s="911">
        <v>489.85</v>
      </c>
      <c r="U104" s="911">
        <v>586</v>
      </c>
      <c r="V104" s="971"/>
      <c r="W104" s="1148"/>
      <c r="X104" s="1150"/>
      <c r="Y104" s="912"/>
      <c r="Z104" s="910"/>
      <c r="AA104" s="969"/>
      <c r="AB104" s="911"/>
      <c r="AC104" s="911"/>
      <c r="AD104" s="971"/>
      <c r="AH104" s="1014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12" t="s">
        <v>327</v>
      </c>
      <c r="B105" s="910">
        <v>1</v>
      </c>
      <c r="C105" s="969">
        <v>50</v>
      </c>
      <c r="D105" s="911">
        <v>478.83</v>
      </c>
      <c r="E105" s="911">
        <v>592.79999999999995</v>
      </c>
      <c r="F105" s="971"/>
      <c r="G105" s="1148"/>
      <c r="H105" s="1149"/>
      <c r="I105" s="912"/>
      <c r="J105" s="910"/>
      <c r="K105" s="969"/>
      <c r="L105" s="911"/>
      <c r="M105" s="911"/>
      <c r="N105" s="971"/>
      <c r="O105" s="558"/>
      <c r="P105" s="558"/>
      <c r="Q105" s="912" t="s">
        <v>327</v>
      </c>
      <c r="R105" s="910">
        <v>1</v>
      </c>
      <c r="S105" s="969">
        <v>50</v>
      </c>
      <c r="T105" s="911">
        <v>478.83</v>
      </c>
      <c r="U105" s="911">
        <v>592.79999999999995</v>
      </c>
      <c r="V105" s="971"/>
      <c r="W105" s="1148"/>
      <c r="X105" s="1150"/>
      <c r="Y105" s="912"/>
      <c r="Z105" s="910"/>
      <c r="AA105" s="969"/>
      <c r="AB105" s="911"/>
      <c r="AC105" s="911"/>
      <c r="AD105" s="971"/>
      <c r="AH105" s="1014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12" t="s">
        <v>328</v>
      </c>
      <c r="B106" s="910">
        <v>1</v>
      </c>
      <c r="C106" s="969">
        <v>46</v>
      </c>
      <c r="D106" s="911">
        <v>463.95</v>
      </c>
      <c r="E106" s="911">
        <v>598.01</v>
      </c>
      <c r="F106" s="971"/>
      <c r="G106" s="1148"/>
      <c r="H106" s="1149"/>
      <c r="I106" s="912"/>
      <c r="J106" s="910"/>
      <c r="K106" s="969"/>
      <c r="L106" s="911"/>
      <c r="M106" s="911"/>
      <c r="N106" s="971"/>
      <c r="O106" s="558"/>
      <c r="P106" s="558"/>
      <c r="Q106" s="912" t="s">
        <v>328</v>
      </c>
      <c r="R106" s="910">
        <v>1</v>
      </c>
      <c r="S106" s="969">
        <v>46</v>
      </c>
      <c r="T106" s="911">
        <v>463.95</v>
      </c>
      <c r="U106" s="911">
        <v>598.01</v>
      </c>
      <c r="V106" s="971"/>
      <c r="W106" s="1148"/>
      <c r="X106" s="1150"/>
      <c r="Y106" s="912"/>
      <c r="Z106" s="910"/>
      <c r="AA106" s="969"/>
      <c r="AB106" s="911"/>
      <c r="AC106" s="911"/>
      <c r="AD106" s="971"/>
      <c r="AH106" s="1014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12" t="s">
        <v>329</v>
      </c>
      <c r="B107" s="910">
        <v>1</v>
      </c>
      <c r="C107" s="969">
        <v>21</v>
      </c>
      <c r="D107" s="911">
        <v>448.86</v>
      </c>
      <c r="E107" s="911">
        <v>611.54</v>
      </c>
      <c r="F107" s="971" t="s">
        <v>135</v>
      </c>
      <c r="G107" s="1148"/>
      <c r="H107" s="1149"/>
      <c r="I107" s="912"/>
      <c r="J107" s="910"/>
      <c r="K107" s="969"/>
      <c r="L107" s="911"/>
      <c r="M107" s="911"/>
      <c r="N107" s="971"/>
      <c r="O107" s="558"/>
      <c r="P107" s="558"/>
      <c r="Q107" s="912" t="s">
        <v>329</v>
      </c>
      <c r="R107" s="910">
        <v>1</v>
      </c>
      <c r="S107" s="969">
        <v>21</v>
      </c>
      <c r="T107" s="911">
        <v>448.86</v>
      </c>
      <c r="U107" s="911">
        <v>611.54</v>
      </c>
      <c r="V107" s="971" t="s">
        <v>135</v>
      </c>
      <c r="W107" s="1148"/>
      <c r="X107" s="1150"/>
      <c r="Y107" s="912"/>
      <c r="Z107" s="910"/>
      <c r="AA107" s="969"/>
      <c r="AB107" s="911"/>
      <c r="AC107" s="911"/>
      <c r="AD107" s="971"/>
      <c r="AH107" s="1014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12" t="s">
        <v>330</v>
      </c>
      <c r="B108" s="910">
        <v>1</v>
      </c>
      <c r="C108" s="969">
        <v>21</v>
      </c>
      <c r="D108" s="911">
        <v>437.83</v>
      </c>
      <c r="E108" s="911">
        <v>616.20000000000005</v>
      </c>
      <c r="F108" s="971"/>
      <c r="G108" s="1148"/>
      <c r="H108" s="1149"/>
      <c r="I108" s="912"/>
      <c r="J108" s="910"/>
      <c r="K108" s="969"/>
      <c r="L108" s="911"/>
      <c r="M108" s="911"/>
      <c r="N108" s="971"/>
      <c r="O108" s="558"/>
      <c r="P108" s="558"/>
      <c r="Q108" s="912" t="s">
        <v>330</v>
      </c>
      <c r="R108" s="910">
        <v>1</v>
      </c>
      <c r="S108" s="969">
        <v>21</v>
      </c>
      <c r="T108" s="911">
        <v>437.83</v>
      </c>
      <c r="U108" s="911">
        <v>616.20000000000005</v>
      </c>
      <c r="V108" s="971"/>
      <c r="W108" s="1148"/>
      <c r="X108" s="1150"/>
      <c r="Y108" s="912"/>
      <c r="Z108" s="910"/>
      <c r="AA108" s="969"/>
      <c r="AB108" s="911"/>
      <c r="AC108" s="911"/>
      <c r="AD108" s="971"/>
      <c r="AH108" s="1014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12" t="s">
        <v>333</v>
      </c>
      <c r="B109" s="910"/>
      <c r="C109" s="970"/>
      <c r="D109" s="911"/>
      <c r="E109" s="911"/>
      <c r="F109" s="971"/>
      <c r="G109" s="1148"/>
      <c r="H109" s="1149"/>
      <c r="I109" s="912"/>
      <c r="J109" s="910"/>
      <c r="K109" s="970"/>
      <c r="L109" s="911"/>
      <c r="M109" s="911"/>
      <c r="N109" s="971"/>
      <c r="O109" s="558"/>
      <c r="P109" s="558"/>
      <c r="Q109" s="912" t="s">
        <v>333</v>
      </c>
      <c r="R109" s="910"/>
      <c r="S109" s="970"/>
      <c r="T109" s="911"/>
      <c r="U109" s="911"/>
      <c r="V109" s="971"/>
      <c r="W109" s="1148"/>
      <c r="X109" s="1150"/>
      <c r="Y109" s="912"/>
      <c r="Z109" s="910"/>
      <c r="AA109" s="970"/>
      <c r="AB109" s="911"/>
      <c r="AC109" s="911"/>
      <c r="AD109" s="971"/>
      <c r="AH109" s="1014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12" t="s">
        <v>161</v>
      </c>
      <c r="B110" s="910"/>
      <c r="C110" s="970"/>
      <c r="D110" s="911"/>
      <c r="E110" s="911"/>
      <c r="F110" s="971"/>
      <c r="G110" s="1148"/>
      <c r="H110" s="1149"/>
      <c r="I110" s="912"/>
      <c r="J110" s="910"/>
      <c r="K110" s="970"/>
      <c r="L110" s="911"/>
      <c r="M110" s="911"/>
      <c r="N110" s="971"/>
      <c r="O110" s="558"/>
      <c r="P110" s="558"/>
      <c r="Q110" s="912" t="s">
        <v>161</v>
      </c>
      <c r="R110" s="910"/>
      <c r="S110" s="970"/>
      <c r="T110" s="911"/>
      <c r="U110" s="911"/>
      <c r="V110" s="971"/>
      <c r="W110" s="1148"/>
      <c r="X110" s="1150"/>
      <c r="Y110" s="912"/>
      <c r="Z110" s="910"/>
      <c r="AA110" s="970"/>
      <c r="AB110" s="911"/>
      <c r="AC110" s="911"/>
      <c r="AD110" s="971"/>
      <c r="AH110" s="1014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12"/>
      <c r="B111" s="910"/>
      <c r="C111" s="970"/>
      <c r="D111" s="911"/>
      <c r="E111" s="911"/>
      <c r="F111" s="971"/>
      <c r="G111" s="1148"/>
      <c r="H111" s="1149"/>
      <c r="I111" s="912"/>
      <c r="J111" s="910"/>
      <c r="K111" s="970"/>
      <c r="L111" s="911"/>
      <c r="M111" s="911"/>
      <c r="N111" s="971"/>
      <c r="O111" s="558"/>
      <c r="P111" s="558"/>
      <c r="Q111" s="912"/>
      <c r="R111" s="910"/>
      <c r="S111" s="970"/>
      <c r="T111" s="911"/>
      <c r="U111" s="911"/>
      <c r="V111" s="971"/>
      <c r="W111" s="1148"/>
      <c r="X111" s="1150"/>
      <c r="Y111" s="912"/>
      <c r="Z111" s="910"/>
      <c r="AA111" s="970"/>
      <c r="AB111" s="911"/>
      <c r="AC111" s="911"/>
      <c r="AD111" s="971"/>
      <c r="AH111" s="1014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12"/>
      <c r="B112" s="910"/>
      <c r="C112" s="964"/>
      <c r="D112" s="911"/>
      <c r="E112" s="911"/>
      <c r="F112" s="971"/>
      <c r="G112" s="1148"/>
      <c r="H112" s="1149"/>
      <c r="I112" s="912"/>
      <c r="J112" s="910"/>
      <c r="K112" s="964"/>
      <c r="L112" s="911"/>
      <c r="M112" s="911"/>
      <c r="N112" s="971"/>
      <c r="O112" s="558"/>
      <c r="P112" s="558"/>
      <c r="Q112" s="912"/>
      <c r="R112" s="910"/>
      <c r="S112" s="964"/>
      <c r="T112" s="911"/>
      <c r="U112" s="911"/>
      <c r="V112" s="971"/>
      <c r="W112" s="1148"/>
      <c r="X112" s="1150"/>
      <c r="Y112" s="912"/>
      <c r="Z112" s="910"/>
      <c r="AA112" s="964"/>
      <c r="AB112" s="911"/>
      <c r="AC112" s="911"/>
      <c r="AD112" s="971"/>
      <c r="AH112" s="1014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12"/>
      <c r="B113" s="910"/>
      <c r="C113" s="964"/>
      <c r="D113" s="911"/>
      <c r="E113" s="911"/>
      <c r="F113" s="971"/>
      <c r="G113" s="1148"/>
      <c r="H113" s="1149"/>
      <c r="I113" s="912"/>
      <c r="J113" s="910"/>
      <c r="K113" s="964"/>
      <c r="L113" s="911"/>
      <c r="M113" s="911"/>
      <c r="N113" s="971"/>
      <c r="O113" s="558"/>
      <c r="P113" s="558"/>
      <c r="Q113" s="912"/>
      <c r="R113" s="910"/>
      <c r="S113" s="964"/>
      <c r="T113" s="911"/>
      <c r="U113" s="911"/>
      <c r="V113" s="971"/>
      <c r="W113" s="1148"/>
      <c r="X113" s="1150"/>
      <c r="Y113" s="912"/>
      <c r="Z113" s="910"/>
      <c r="AA113" s="964"/>
      <c r="AB113" s="911"/>
      <c r="AC113" s="911"/>
      <c r="AD113" s="971"/>
      <c r="AH113" s="1014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12"/>
      <c r="B114" s="910"/>
      <c r="C114" s="964"/>
      <c r="D114" s="911"/>
      <c r="E114" s="911"/>
      <c r="F114" s="971"/>
      <c r="G114" s="1148"/>
      <c r="H114" s="1149"/>
      <c r="I114" s="912"/>
      <c r="J114" s="910"/>
      <c r="K114" s="964"/>
      <c r="L114" s="911"/>
      <c r="M114" s="911"/>
      <c r="N114" s="971"/>
      <c r="O114" s="558"/>
      <c r="P114" s="558"/>
      <c r="Q114" s="912"/>
      <c r="R114" s="910"/>
      <c r="S114" s="964"/>
      <c r="T114" s="911"/>
      <c r="U114" s="911"/>
      <c r="V114" s="971"/>
      <c r="W114" s="1148"/>
      <c r="X114" s="1150"/>
      <c r="Y114" s="912"/>
      <c r="Z114" s="910"/>
      <c r="AA114" s="964"/>
      <c r="AB114" s="911"/>
      <c r="AC114" s="911"/>
      <c r="AD114" s="971"/>
      <c r="AH114" s="1014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12"/>
      <c r="B115" s="910"/>
      <c r="C115" s="964"/>
      <c r="D115" s="911"/>
      <c r="E115" s="911"/>
      <c r="F115" s="971"/>
      <c r="G115" s="1148"/>
      <c r="H115" s="1149"/>
      <c r="I115" s="912"/>
      <c r="J115" s="910"/>
      <c r="K115" s="964"/>
      <c r="L115" s="911"/>
      <c r="M115" s="911"/>
      <c r="N115" s="971"/>
      <c r="O115" s="558"/>
      <c r="P115" s="558"/>
      <c r="Q115" s="912"/>
      <c r="R115" s="910"/>
      <c r="S115" s="964"/>
      <c r="T115" s="911"/>
      <c r="U115" s="911"/>
      <c r="V115" s="971"/>
      <c r="W115" s="1148"/>
      <c r="X115" s="1150"/>
      <c r="Y115" s="912"/>
      <c r="Z115" s="910"/>
      <c r="AA115" s="964"/>
      <c r="AB115" s="911"/>
      <c r="AC115" s="911"/>
      <c r="AD115" s="971"/>
      <c r="AH115" s="1014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12"/>
      <c r="B116" s="910"/>
      <c r="C116" s="964"/>
      <c r="D116" s="911"/>
      <c r="E116" s="911"/>
      <c r="F116" s="971"/>
      <c r="G116" s="1148"/>
      <c r="H116" s="1149"/>
      <c r="I116" s="912"/>
      <c r="J116" s="910"/>
      <c r="K116" s="964"/>
      <c r="L116" s="911"/>
      <c r="M116" s="911"/>
      <c r="N116" s="971"/>
      <c r="O116" s="558"/>
      <c r="P116" s="558"/>
      <c r="Q116" s="912"/>
      <c r="R116" s="910"/>
      <c r="S116" s="964"/>
      <c r="T116" s="911"/>
      <c r="U116" s="911"/>
      <c r="V116" s="971"/>
      <c r="W116" s="1148"/>
      <c r="X116" s="1150"/>
      <c r="Y116" s="912"/>
      <c r="Z116" s="910"/>
      <c r="AA116" s="964"/>
      <c r="AB116" s="911"/>
      <c r="AC116" s="911"/>
      <c r="AD116" s="971"/>
      <c r="AH116" s="1014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12"/>
      <c r="B117" s="910"/>
      <c r="C117" s="964"/>
      <c r="D117" s="911"/>
      <c r="E117" s="911"/>
      <c r="F117" s="971"/>
      <c r="G117" s="1148"/>
      <c r="H117" s="1149"/>
      <c r="I117" s="912"/>
      <c r="J117" s="910"/>
      <c r="K117" s="964"/>
      <c r="L117" s="911"/>
      <c r="M117" s="911"/>
      <c r="N117" s="971"/>
      <c r="O117" s="558"/>
      <c r="P117" s="558"/>
      <c r="Q117" s="912"/>
      <c r="R117" s="910"/>
      <c r="S117" s="964"/>
      <c r="T117" s="911"/>
      <c r="U117" s="911"/>
      <c r="V117" s="971"/>
      <c r="W117" s="1148"/>
      <c r="X117" s="1150"/>
      <c r="Y117" s="912"/>
      <c r="Z117" s="910"/>
      <c r="AA117" s="964"/>
      <c r="AB117" s="911"/>
      <c r="AC117" s="911"/>
      <c r="AD117" s="971"/>
      <c r="AH117" s="1014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12"/>
      <c r="B118" s="910"/>
      <c r="C118" s="964"/>
      <c r="D118" s="911"/>
      <c r="E118" s="911"/>
      <c r="F118" s="971"/>
      <c r="G118" s="1148"/>
      <c r="H118" s="1149"/>
      <c r="I118" s="912"/>
      <c r="J118" s="910"/>
      <c r="K118" s="964"/>
      <c r="L118" s="911"/>
      <c r="M118" s="911"/>
      <c r="N118" s="971"/>
      <c r="O118" s="558"/>
      <c r="P118" s="558"/>
      <c r="Q118" s="912"/>
      <c r="R118" s="910"/>
      <c r="S118" s="964"/>
      <c r="T118" s="911"/>
      <c r="U118" s="911"/>
      <c r="V118" s="971"/>
      <c r="W118" s="1148"/>
      <c r="X118" s="1150"/>
      <c r="Y118" s="912"/>
      <c r="Z118" s="910"/>
      <c r="AA118" s="964"/>
      <c r="AB118" s="911"/>
      <c r="AC118" s="911"/>
      <c r="AD118" s="971"/>
      <c r="AH118" s="1014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12"/>
      <c r="B119" s="910"/>
      <c r="C119" s="964"/>
      <c r="D119" s="911"/>
      <c r="E119" s="911"/>
      <c r="F119" s="971"/>
      <c r="G119" s="1148"/>
      <c r="H119" s="1149"/>
      <c r="I119" s="912"/>
      <c r="J119" s="910"/>
      <c r="K119" s="964"/>
      <c r="L119" s="911"/>
      <c r="M119" s="911"/>
      <c r="N119" s="971"/>
      <c r="O119" s="558"/>
      <c r="P119" s="558"/>
      <c r="Q119" s="912"/>
      <c r="R119" s="910"/>
      <c r="S119" s="964"/>
      <c r="T119" s="911"/>
      <c r="U119" s="911"/>
      <c r="V119" s="971"/>
      <c r="W119" s="1148"/>
      <c r="X119" s="1150"/>
      <c r="Y119" s="912"/>
      <c r="Z119" s="910"/>
      <c r="AA119" s="964"/>
      <c r="AB119" s="911"/>
      <c r="AC119" s="911"/>
      <c r="AD119" s="971"/>
      <c r="AH119" s="1014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3.5" thickBot="1" x14ac:dyDescent="0.25">
      <c r="A120" s="956"/>
      <c r="B120" s="957"/>
      <c r="C120" s="966"/>
      <c r="D120" s="967"/>
      <c r="E120" s="967"/>
      <c r="F120" s="986"/>
      <c r="G120" s="1148"/>
      <c r="H120" s="1149"/>
      <c r="I120" s="956"/>
      <c r="J120" s="957"/>
      <c r="K120" s="966"/>
      <c r="L120" s="967"/>
      <c r="M120" s="967"/>
      <c r="N120" s="986"/>
      <c r="O120" s="558"/>
      <c r="P120" s="558"/>
      <c r="Q120" s="956"/>
      <c r="R120" s="957"/>
      <c r="S120" s="966"/>
      <c r="T120" s="967"/>
      <c r="U120" s="967"/>
      <c r="V120" s="986"/>
      <c r="W120" s="1148"/>
      <c r="X120" s="1150"/>
      <c r="Y120" s="956"/>
      <c r="Z120" s="957"/>
      <c r="AA120" s="966"/>
      <c r="AB120" s="967"/>
      <c r="AC120" s="967"/>
      <c r="AD120" s="986"/>
      <c r="AH120" s="1014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667" customFormat="1" x14ac:dyDescent="0.25">
      <c r="A121" s="1093"/>
      <c r="B121" s="1093"/>
      <c r="C121" s="1093"/>
      <c r="D121" s="1093"/>
      <c r="E121" s="1093"/>
      <c r="F121" s="1145"/>
      <c r="G121" s="1146"/>
      <c r="H121" s="1147"/>
      <c r="I121" s="1093"/>
      <c r="J121" s="1093"/>
      <c r="K121" s="1093"/>
      <c r="L121" s="1093"/>
      <c r="M121" s="1093"/>
      <c r="N121" s="1145"/>
      <c r="O121" s="1093"/>
      <c r="P121" s="1093"/>
      <c r="Q121" s="1093"/>
      <c r="R121" s="1093"/>
      <c r="S121" s="1093"/>
      <c r="T121" s="1093"/>
      <c r="U121" s="1093"/>
      <c r="V121" s="1145"/>
      <c r="W121" s="1146"/>
      <c r="X121" s="1147"/>
      <c r="Y121" s="1093"/>
      <c r="Z121" s="1093"/>
      <c r="AA121" s="1093"/>
      <c r="AB121" s="1093"/>
      <c r="AC121" s="1093"/>
      <c r="AD121" s="1145"/>
      <c r="AH121" s="1013"/>
      <c r="AM121" s="1060"/>
      <c r="AN121" s="1060"/>
      <c r="AO121" s="1060"/>
      <c r="AP121" s="1060"/>
      <c r="AQ121" s="1060"/>
      <c r="AR121" s="1060"/>
      <c r="AS121" s="1060"/>
      <c r="AT121" s="1060"/>
      <c r="AU121" s="1060"/>
      <c r="AV121" s="1060"/>
      <c r="AW121" s="1060"/>
    </row>
    <row r="122" spans="1:49" s="19" customFormat="1" ht="12.75" x14ac:dyDescent="0.2">
      <c r="A122" s="1008"/>
      <c r="B122" s="1009"/>
      <c r="C122" s="1010"/>
      <c r="D122" s="1011"/>
      <c r="E122" s="1011"/>
      <c r="F122" s="1012"/>
      <c r="G122" s="1148"/>
      <c r="H122" s="1149"/>
      <c r="I122" s="1008"/>
      <c r="J122" s="1009"/>
      <c r="K122" s="1010"/>
      <c r="L122" s="1011"/>
      <c r="M122" s="1011"/>
      <c r="N122" s="1012"/>
      <c r="O122" s="558"/>
      <c r="P122" s="558"/>
      <c r="Q122" s="1008"/>
      <c r="R122" s="1009"/>
      <c r="S122" s="1010"/>
      <c r="T122" s="1011"/>
      <c r="U122" s="1011"/>
      <c r="V122" s="1012"/>
      <c r="W122" s="1148"/>
      <c r="X122" s="1150"/>
      <c r="Y122" s="1008"/>
      <c r="Z122" s="1009"/>
      <c r="AA122" s="1010"/>
      <c r="AB122" s="1011"/>
      <c r="AC122" s="1011"/>
      <c r="AD122" s="1012"/>
      <c r="AH122" s="1014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</row>
    <row r="123" spans="1:49" s="19" customFormat="1" ht="12.75" x14ac:dyDescent="0.2">
      <c r="A123" s="912"/>
      <c r="B123" s="910"/>
      <c r="C123" s="969"/>
      <c r="D123" s="911"/>
      <c r="E123" s="911"/>
      <c r="F123" s="971"/>
      <c r="G123" s="1148"/>
      <c r="H123" s="1149"/>
      <c r="I123" s="912"/>
      <c r="J123" s="910"/>
      <c r="K123" s="969"/>
      <c r="L123" s="911"/>
      <c r="M123" s="911"/>
      <c r="N123" s="971"/>
      <c r="O123" s="558"/>
      <c r="P123" s="558"/>
      <c r="Q123" s="912"/>
      <c r="R123" s="910"/>
      <c r="S123" s="969"/>
      <c r="T123" s="911"/>
      <c r="U123" s="911"/>
      <c r="V123" s="971"/>
      <c r="W123" s="1148"/>
      <c r="X123" s="1150"/>
      <c r="Y123" s="912"/>
      <c r="Z123" s="910"/>
      <c r="AA123" s="969"/>
      <c r="AB123" s="911"/>
      <c r="AC123" s="911"/>
      <c r="AD123" s="971"/>
      <c r="AH123" s="1014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12"/>
      <c r="B124" s="910"/>
      <c r="C124" s="969"/>
      <c r="D124" s="911"/>
      <c r="E124" s="911"/>
      <c r="F124" s="971"/>
      <c r="G124" s="1148"/>
      <c r="H124" s="1149"/>
      <c r="I124" s="912"/>
      <c r="J124" s="910"/>
      <c r="K124" s="969"/>
      <c r="L124" s="911"/>
      <c r="M124" s="911"/>
      <c r="N124" s="971"/>
      <c r="O124" s="558"/>
      <c r="P124" s="558"/>
      <c r="Q124" s="912"/>
      <c r="R124" s="910"/>
      <c r="S124" s="969"/>
      <c r="T124" s="911"/>
      <c r="U124" s="911"/>
      <c r="V124" s="971"/>
      <c r="W124" s="1148"/>
      <c r="X124" s="1150"/>
      <c r="Y124" s="912"/>
      <c r="Z124" s="910"/>
      <c r="AA124" s="969"/>
      <c r="AB124" s="911"/>
      <c r="AC124" s="911"/>
      <c r="AD124" s="971"/>
      <c r="AH124" s="1014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12"/>
      <c r="B125" s="910"/>
      <c r="C125" s="969"/>
      <c r="D125" s="911"/>
      <c r="E125" s="911"/>
      <c r="F125" s="971"/>
      <c r="G125" s="1148"/>
      <c r="H125" s="1149"/>
      <c r="I125" s="912"/>
      <c r="J125" s="910"/>
      <c r="K125" s="969"/>
      <c r="L125" s="911"/>
      <c r="M125" s="911"/>
      <c r="N125" s="971"/>
      <c r="O125" s="558"/>
      <c r="P125" s="558"/>
      <c r="Q125" s="912"/>
      <c r="R125" s="910"/>
      <c r="S125" s="969"/>
      <c r="T125" s="911"/>
      <c r="U125" s="911"/>
      <c r="V125" s="971"/>
      <c r="W125" s="1148"/>
      <c r="X125" s="1150"/>
      <c r="Y125" s="912"/>
      <c r="Z125" s="910"/>
      <c r="AA125" s="969"/>
      <c r="AB125" s="911"/>
      <c r="AC125" s="911"/>
      <c r="AD125" s="971"/>
      <c r="AH125" s="1014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12"/>
      <c r="B126" s="910"/>
      <c r="C126" s="969"/>
      <c r="D126" s="911"/>
      <c r="E126" s="911"/>
      <c r="F126" s="971"/>
      <c r="G126" s="1148"/>
      <c r="H126" s="1149"/>
      <c r="I126" s="912"/>
      <c r="J126" s="910"/>
      <c r="K126" s="969"/>
      <c r="L126" s="911"/>
      <c r="M126" s="911"/>
      <c r="N126" s="971"/>
      <c r="O126" s="558"/>
      <c r="P126" s="558"/>
      <c r="Q126" s="912"/>
      <c r="R126" s="910"/>
      <c r="S126" s="969"/>
      <c r="T126" s="911"/>
      <c r="U126" s="911"/>
      <c r="V126" s="971"/>
      <c r="W126" s="1148"/>
      <c r="X126" s="1150"/>
      <c r="Y126" s="912"/>
      <c r="Z126" s="910"/>
      <c r="AA126" s="969"/>
      <c r="AB126" s="911"/>
      <c r="AC126" s="911"/>
      <c r="AD126" s="971"/>
      <c r="AH126" s="1014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12"/>
      <c r="B127" s="910"/>
      <c r="C127" s="969"/>
      <c r="D127" s="911"/>
      <c r="E127" s="911"/>
      <c r="F127" s="971"/>
      <c r="G127" s="1148"/>
      <c r="H127" s="1149"/>
      <c r="I127" s="912"/>
      <c r="J127" s="910"/>
      <c r="K127" s="969"/>
      <c r="L127" s="911"/>
      <c r="M127" s="911"/>
      <c r="N127" s="971"/>
      <c r="O127" s="558"/>
      <c r="P127" s="558"/>
      <c r="Q127" s="912"/>
      <c r="R127" s="910"/>
      <c r="S127" s="969"/>
      <c r="T127" s="911"/>
      <c r="U127" s="911"/>
      <c r="V127" s="971"/>
      <c r="W127" s="1148"/>
      <c r="X127" s="1150"/>
      <c r="Y127" s="912"/>
      <c r="Z127" s="910"/>
      <c r="AA127" s="969"/>
      <c r="AB127" s="911"/>
      <c r="AC127" s="911"/>
      <c r="AD127" s="971"/>
      <c r="AH127" s="1014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12"/>
      <c r="B128" s="910"/>
      <c r="C128" s="969"/>
      <c r="D128" s="911"/>
      <c r="E128" s="911"/>
      <c r="F128" s="971"/>
      <c r="G128" s="1148"/>
      <c r="H128" s="1149"/>
      <c r="I128" s="912"/>
      <c r="J128" s="910"/>
      <c r="K128" s="969"/>
      <c r="L128" s="911"/>
      <c r="M128" s="911"/>
      <c r="N128" s="971"/>
      <c r="O128" s="558"/>
      <c r="P128" s="558"/>
      <c r="Q128" s="912"/>
      <c r="R128" s="910"/>
      <c r="S128" s="969"/>
      <c r="T128" s="911"/>
      <c r="U128" s="911"/>
      <c r="V128" s="971"/>
      <c r="W128" s="1148"/>
      <c r="X128" s="1150"/>
      <c r="Y128" s="912"/>
      <c r="Z128" s="910"/>
      <c r="AA128" s="969"/>
      <c r="AB128" s="911"/>
      <c r="AC128" s="911"/>
      <c r="AD128" s="971"/>
      <c r="AH128" s="1014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12"/>
      <c r="B129" s="910"/>
      <c r="C129" s="969"/>
      <c r="D129" s="911"/>
      <c r="E129" s="911"/>
      <c r="F129" s="971"/>
      <c r="G129" s="1148"/>
      <c r="H129" s="1149"/>
      <c r="I129" s="912"/>
      <c r="J129" s="910"/>
      <c r="K129" s="969"/>
      <c r="L129" s="911"/>
      <c r="M129" s="911"/>
      <c r="N129" s="971"/>
      <c r="O129" s="558"/>
      <c r="P129" s="558"/>
      <c r="Q129" s="912"/>
      <c r="R129" s="910"/>
      <c r="S129" s="969"/>
      <c r="T129" s="911"/>
      <c r="U129" s="911"/>
      <c r="V129" s="971"/>
      <c r="W129" s="1148"/>
      <c r="X129" s="1150"/>
      <c r="Y129" s="912"/>
      <c r="Z129" s="910"/>
      <c r="AA129" s="969"/>
      <c r="AB129" s="911"/>
      <c r="AC129" s="911"/>
      <c r="AD129" s="971"/>
      <c r="AH129" s="1014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12"/>
      <c r="B130" s="910"/>
      <c r="C130" s="969"/>
      <c r="D130" s="911"/>
      <c r="E130" s="911"/>
      <c r="F130" s="971"/>
      <c r="G130" s="1148"/>
      <c r="H130" s="1149"/>
      <c r="I130" s="912"/>
      <c r="J130" s="910"/>
      <c r="K130" s="969"/>
      <c r="L130" s="911"/>
      <c r="M130" s="911"/>
      <c r="N130" s="971"/>
      <c r="O130" s="558"/>
      <c r="P130" s="558"/>
      <c r="Q130" s="912"/>
      <c r="R130" s="910"/>
      <c r="S130" s="969"/>
      <c r="T130" s="911"/>
      <c r="U130" s="911"/>
      <c r="V130" s="971"/>
      <c r="W130" s="1148"/>
      <c r="X130" s="1150"/>
      <c r="Y130" s="912"/>
      <c r="Z130" s="910"/>
      <c r="AA130" s="969"/>
      <c r="AB130" s="911"/>
      <c r="AC130" s="911"/>
      <c r="AD130" s="971"/>
      <c r="AH130" s="1014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12"/>
      <c r="B131" s="910"/>
      <c r="C131" s="969"/>
      <c r="D131" s="911"/>
      <c r="E131" s="911"/>
      <c r="F131" s="971"/>
      <c r="G131" s="1148"/>
      <c r="H131" s="1149"/>
      <c r="I131" s="912"/>
      <c r="J131" s="910"/>
      <c r="K131" s="969"/>
      <c r="L131" s="911"/>
      <c r="M131" s="911"/>
      <c r="N131" s="971"/>
      <c r="O131" s="558"/>
      <c r="P131" s="558"/>
      <c r="Q131" s="912"/>
      <c r="R131" s="910"/>
      <c r="S131" s="969"/>
      <c r="T131" s="911"/>
      <c r="U131" s="911"/>
      <c r="V131" s="971"/>
      <c r="W131" s="1148"/>
      <c r="X131" s="1150"/>
      <c r="Y131" s="912"/>
      <c r="Z131" s="910"/>
      <c r="AA131" s="969"/>
      <c r="AB131" s="911"/>
      <c r="AC131" s="911"/>
      <c r="AD131" s="971"/>
      <c r="AH131" s="1014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12"/>
      <c r="B132" s="910"/>
      <c r="C132" s="969"/>
      <c r="D132" s="911"/>
      <c r="E132" s="911"/>
      <c r="F132" s="971"/>
      <c r="G132" s="1148"/>
      <c r="H132" s="1149"/>
      <c r="I132" s="912"/>
      <c r="J132" s="910"/>
      <c r="K132" s="969"/>
      <c r="L132" s="911"/>
      <c r="M132" s="911"/>
      <c r="N132" s="971"/>
      <c r="O132" s="558"/>
      <c r="P132" s="558"/>
      <c r="Q132" s="912"/>
      <c r="R132" s="910"/>
      <c r="S132" s="969"/>
      <c r="T132" s="911"/>
      <c r="U132" s="911"/>
      <c r="V132" s="971"/>
      <c r="W132" s="1148"/>
      <c r="X132" s="1150"/>
      <c r="Y132" s="912"/>
      <c r="Z132" s="910"/>
      <c r="AA132" s="969"/>
      <c r="AB132" s="911"/>
      <c r="AC132" s="911"/>
      <c r="AD132" s="971"/>
      <c r="AH132" s="1014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12"/>
      <c r="B133" s="910"/>
      <c r="C133" s="969"/>
      <c r="D133" s="911"/>
      <c r="E133" s="911"/>
      <c r="F133" s="971"/>
      <c r="G133" s="1148"/>
      <c r="H133" s="1149"/>
      <c r="I133" s="912"/>
      <c r="J133" s="910"/>
      <c r="K133" s="969"/>
      <c r="L133" s="911"/>
      <c r="M133" s="911"/>
      <c r="N133" s="971"/>
      <c r="O133" s="558"/>
      <c r="P133" s="558"/>
      <c r="Q133" s="912"/>
      <c r="R133" s="910"/>
      <c r="S133" s="969"/>
      <c r="T133" s="911"/>
      <c r="U133" s="911"/>
      <c r="V133" s="971"/>
      <c r="W133" s="1148"/>
      <c r="X133" s="1150"/>
      <c r="Y133" s="912"/>
      <c r="Z133" s="910"/>
      <c r="AA133" s="969"/>
      <c r="AB133" s="911"/>
      <c r="AC133" s="911"/>
      <c r="AD133" s="971"/>
      <c r="AH133" s="1014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12"/>
      <c r="B134" s="910"/>
      <c r="C134" s="970"/>
      <c r="D134" s="911"/>
      <c r="E134" s="911"/>
      <c r="F134" s="971"/>
      <c r="G134" s="1148"/>
      <c r="H134" s="1149"/>
      <c r="I134" s="912"/>
      <c r="J134" s="910"/>
      <c r="K134" s="970"/>
      <c r="L134" s="911"/>
      <c r="M134" s="911"/>
      <c r="N134" s="971"/>
      <c r="O134" s="558"/>
      <c r="P134" s="558"/>
      <c r="Q134" s="912"/>
      <c r="R134" s="910"/>
      <c r="S134" s="970"/>
      <c r="T134" s="911"/>
      <c r="U134" s="911"/>
      <c r="V134" s="971"/>
      <c r="W134" s="1148"/>
      <c r="X134" s="1150"/>
      <c r="Y134" s="912"/>
      <c r="Z134" s="910"/>
      <c r="AA134" s="970"/>
      <c r="AB134" s="911"/>
      <c r="AC134" s="911"/>
      <c r="AD134" s="971"/>
      <c r="AH134" s="1014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12"/>
      <c r="B135" s="910"/>
      <c r="C135" s="970"/>
      <c r="D135" s="911"/>
      <c r="E135" s="911"/>
      <c r="F135" s="971"/>
      <c r="G135" s="1148"/>
      <c r="H135" s="1149"/>
      <c r="I135" s="912"/>
      <c r="J135" s="910"/>
      <c r="K135" s="970"/>
      <c r="L135" s="911"/>
      <c r="M135" s="911"/>
      <c r="N135" s="971"/>
      <c r="O135" s="558"/>
      <c r="P135" s="558"/>
      <c r="Q135" s="912"/>
      <c r="R135" s="910"/>
      <c r="S135" s="970"/>
      <c r="T135" s="911"/>
      <c r="U135" s="911"/>
      <c r="V135" s="971"/>
      <c r="W135" s="1148"/>
      <c r="X135" s="1150"/>
      <c r="Y135" s="912"/>
      <c r="Z135" s="910"/>
      <c r="AA135" s="970"/>
      <c r="AB135" s="911"/>
      <c r="AC135" s="911"/>
      <c r="AD135" s="971"/>
      <c r="AH135" s="1014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12"/>
      <c r="B136" s="910"/>
      <c r="C136" s="970"/>
      <c r="D136" s="911"/>
      <c r="E136" s="911"/>
      <c r="F136" s="971"/>
      <c r="G136" s="1148"/>
      <c r="H136" s="1149"/>
      <c r="I136" s="912"/>
      <c r="J136" s="910"/>
      <c r="K136" s="970"/>
      <c r="L136" s="911"/>
      <c r="M136" s="911"/>
      <c r="N136" s="971"/>
      <c r="O136" s="558"/>
      <c r="P136" s="558"/>
      <c r="Q136" s="912"/>
      <c r="R136" s="910"/>
      <c r="S136" s="970"/>
      <c r="T136" s="911"/>
      <c r="U136" s="911"/>
      <c r="V136" s="971"/>
      <c r="W136" s="1148"/>
      <c r="X136" s="1150"/>
      <c r="Y136" s="912"/>
      <c r="Z136" s="910"/>
      <c r="AA136" s="970"/>
      <c r="AB136" s="911"/>
      <c r="AC136" s="911"/>
      <c r="AD136" s="971"/>
      <c r="AH136" s="1014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12"/>
      <c r="B137" s="910"/>
      <c r="C137" s="964"/>
      <c r="D137" s="911"/>
      <c r="E137" s="911"/>
      <c r="F137" s="971"/>
      <c r="G137" s="1148"/>
      <c r="H137" s="1149"/>
      <c r="I137" s="912"/>
      <c r="J137" s="910"/>
      <c r="K137" s="964"/>
      <c r="L137" s="911"/>
      <c r="M137" s="911"/>
      <c r="N137" s="971"/>
      <c r="O137" s="558"/>
      <c r="P137" s="558"/>
      <c r="Q137" s="912"/>
      <c r="R137" s="910"/>
      <c r="S137" s="964"/>
      <c r="T137" s="911"/>
      <c r="U137" s="911"/>
      <c r="V137" s="971"/>
      <c r="W137" s="1148"/>
      <c r="X137" s="1150"/>
      <c r="Y137" s="912"/>
      <c r="Z137" s="910"/>
      <c r="AA137" s="964"/>
      <c r="AB137" s="911"/>
      <c r="AC137" s="911"/>
      <c r="AD137" s="971"/>
      <c r="AH137" s="1014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12"/>
      <c r="B138" s="910"/>
      <c r="C138" s="964"/>
      <c r="D138" s="911"/>
      <c r="E138" s="911"/>
      <c r="F138" s="971"/>
      <c r="G138" s="1148"/>
      <c r="H138" s="1149"/>
      <c r="I138" s="912"/>
      <c r="J138" s="910"/>
      <c r="K138" s="964"/>
      <c r="L138" s="911"/>
      <c r="M138" s="911"/>
      <c r="N138" s="971"/>
      <c r="O138" s="558"/>
      <c r="P138" s="558"/>
      <c r="Q138" s="912"/>
      <c r="R138" s="910"/>
      <c r="S138" s="964"/>
      <c r="T138" s="911"/>
      <c r="U138" s="911"/>
      <c r="V138" s="971"/>
      <c r="W138" s="1148"/>
      <c r="X138" s="1150"/>
      <c r="Y138" s="912"/>
      <c r="Z138" s="910"/>
      <c r="AA138" s="964"/>
      <c r="AB138" s="911"/>
      <c r="AC138" s="911"/>
      <c r="AD138" s="971"/>
      <c r="AH138" s="1014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12"/>
      <c r="B139" s="910"/>
      <c r="C139" s="964"/>
      <c r="D139" s="911"/>
      <c r="E139" s="911"/>
      <c r="F139" s="971"/>
      <c r="G139" s="1148"/>
      <c r="H139" s="1149"/>
      <c r="I139" s="912"/>
      <c r="J139" s="910"/>
      <c r="K139" s="964"/>
      <c r="L139" s="911"/>
      <c r="M139" s="911"/>
      <c r="N139" s="971"/>
      <c r="O139" s="558"/>
      <c r="P139" s="558"/>
      <c r="Q139" s="912"/>
      <c r="R139" s="910"/>
      <c r="S139" s="964"/>
      <c r="T139" s="911"/>
      <c r="U139" s="911"/>
      <c r="V139" s="971"/>
      <c r="W139" s="1148"/>
      <c r="X139" s="1150"/>
      <c r="Y139" s="912"/>
      <c r="Z139" s="910"/>
      <c r="AA139" s="964"/>
      <c r="AB139" s="911"/>
      <c r="AC139" s="911"/>
      <c r="AD139" s="971"/>
      <c r="AH139" s="1014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12"/>
      <c r="B140" s="910"/>
      <c r="C140" s="964"/>
      <c r="D140" s="911"/>
      <c r="E140" s="911"/>
      <c r="F140" s="971"/>
      <c r="G140" s="1148"/>
      <c r="H140" s="1149"/>
      <c r="I140" s="912"/>
      <c r="J140" s="910"/>
      <c r="K140" s="964"/>
      <c r="L140" s="911"/>
      <c r="M140" s="911"/>
      <c r="N140" s="971"/>
      <c r="O140" s="558"/>
      <c r="P140" s="558"/>
      <c r="Q140" s="912"/>
      <c r="R140" s="910"/>
      <c r="S140" s="964"/>
      <c r="T140" s="911"/>
      <c r="U140" s="911"/>
      <c r="V140" s="971"/>
      <c r="W140" s="1148"/>
      <c r="X140" s="1150"/>
      <c r="Y140" s="912"/>
      <c r="Z140" s="910"/>
      <c r="AA140" s="964"/>
      <c r="AB140" s="911"/>
      <c r="AC140" s="911"/>
      <c r="AD140" s="971"/>
      <c r="AH140" s="1014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12"/>
      <c r="B141" s="910"/>
      <c r="C141" s="964"/>
      <c r="D141" s="911"/>
      <c r="E141" s="911"/>
      <c r="F141" s="971"/>
      <c r="G141" s="1148"/>
      <c r="H141" s="1149"/>
      <c r="I141" s="912"/>
      <c r="J141" s="910"/>
      <c r="K141" s="964"/>
      <c r="L141" s="911"/>
      <c r="M141" s="911"/>
      <c r="N141" s="971"/>
      <c r="O141" s="558"/>
      <c r="P141" s="558"/>
      <c r="Q141" s="912"/>
      <c r="R141" s="910"/>
      <c r="S141" s="964"/>
      <c r="T141" s="911"/>
      <c r="U141" s="911"/>
      <c r="V141" s="971"/>
      <c r="W141" s="1148"/>
      <c r="X141" s="1150"/>
      <c r="Y141" s="912"/>
      <c r="Z141" s="910"/>
      <c r="AA141" s="964"/>
      <c r="AB141" s="911"/>
      <c r="AC141" s="911"/>
      <c r="AD141" s="971"/>
      <c r="AH141" s="1014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12"/>
      <c r="B142" s="910"/>
      <c r="C142" s="964"/>
      <c r="D142" s="911"/>
      <c r="E142" s="911"/>
      <c r="F142" s="971"/>
      <c r="G142" s="1148"/>
      <c r="H142" s="1149"/>
      <c r="I142" s="912"/>
      <c r="J142" s="910"/>
      <c r="K142" s="964"/>
      <c r="L142" s="911"/>
      <c r="M142" s="911"/>
      <c r="N142" s="971"/>
      <c r="O142" s="558"/>
      <c r="P142" s="558"/>
      <c r="Q142" s="912"/>
      <c r="R142" s="910"/>
      <c r="S142" s="964"/>
      <c r="T142" s="911"/>
      <c r="U142" s="911"/>
      <c r="V142" s="971"/>
      <c r="W142" s="1148"/>
      <c r="X142" s="1150"/>
      <c r="Y142" s="912"/>
      <c r="Z142" s="910"/>
      <c r="AA142" s="964"/>
      <c r="AB142" s="911"/>
      <c r="AC142" s="911"/>
      <c r="AD142" s="971"/>
      <c r="AH142" s="1014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12"/>
      <c r="B143" s="910"/>
      <c r="C143" s="964"/>
      <c r="D143" s="911"/>
      <c r="E143" s="911"/>
      <c r="F143" s="971"/>
      <c r="G143" s="1148"/>
      <c r="H143" s="1149"/>
      <c r="I143" s="912"/>
      <c r="J143" s="910"/>
      <c r="K143" s="964"/>
      <c r="L143" s="911"/>
      <c r="M143" s="911"/>
      <c r="N143" s="971"/>
      <c r="O143" s="558"/>
      <c r="P143" s="558"/>
      <c r="Q143" s="912"/>
      <c r="R143" s="910"/>
      <c r="S143" s="964"/>
      <c r="T143" s="911"/>
      <c r="U143" s="911"/>
      <c r="V143" s="971"/>
      <c r="W143" s="1148"/>
      <c r="X143" s="1150"/>
      <c r="Y143" s="912"/>
      <c r="Z143" s="910"/>
      <c r="AA143" s="964"/>
      <c r="AB143" s="911"/>
      <c r="AC143" s="911"/>
      <c r="AD143" s="971"/>
      <c r="AH143" s="1014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12"/>
      <c r="B144" s="910"/>
      <c r="C144" s="964"/>
      <c r="D144" s="911"/>
      <c r="E144" s="911"/>
      <c r="F144" s="971"/>
      <c r="G144" s="1148"/>
      <c r="H144" s="1149"/>
      <c r="I144" s="912"/>
      <c r="J144" s="910"/>
      <c r="K144" s="964"/>
      <c r="L144" s="911"/>
      <c r="M144" s="911"/>
      <c r="N144" s="971"/>
      <c r="O144" s="558"/>
      <c r="P144" s="558"/>
      <c r="Q144" s="912"/>
      <c r="R144" s="910"/>
      <c r="S144" s="964"/>
      <c r="T144" s="911"/>
      <c r="U144" s="911"/>
      <c r="V144" s="971"/>
      <c r="W144" s="1148"/>
      <c r="X144" s="1150"/>
      <c r="Y144" s="912"/>
      <c r="Z144" s="910"/>
      <c r="AA144" s="964"/>
      <c r="AB144" s="911"/>
      <c r="AC144" s="911"/>
      <c r="AD144" s="971"/>
      <c r="AH144" s="1014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3.5" thickBot="1" x14ac:dyDescent="0.25">
      <c r="A145" s="956"/>
      <c r="B145" s="957"/>
      <c r="C145" s="966"/>
      <c r="D145" s="967"/>
      <c r="E145" s="967"/>
      <c r="F145" s="986"/>
      <c r="G145" s="1148"/>
      <c r="H145" s="1149"/>
      <c r="I145" s="956"/>
      <c r="J145" s="957"/>
      <c r="K145" s="966"/>
      <c r="L145" s="967"/>
      <c r="M145" s="967"/>
      <c r="N145" s="986"/>
      <c r="O145" s="558"/>
      <c r="P145" s="558"/>
      <c r="Q145" s="956"/>
      <c r="R145" s="957"/>
      <c r="S145" s="966"/>
      <c r="T145" s="967"/>
      <c r="U145" s="967"/>
      <c r="V145" s="986"/>
      <c r="W145" s="1148"/>
      <c r="X145" s="1150"/>
      <c r="Y145" s="956"/>
      <c r="Z145" s="957"/>
      <c r="AA145" s="966"/>
      <c r="AB145" s="967"/>
      <c r="AC145" s="967"/>
      <c r="AD145" s="986"/>
      <c r="AH145" s="1014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</sheetData>
  <sheetProtection sheet="1" objects="1" scenarios="1" formatCells="0" formatColumns="0" formatRows="0" sort="0"/>
  <mergeCells count="15">
    <mergeCell ref="AP54:AQ54"/>
    <mergeCell ref="AR54:AS54"/>
    <mergeCell ref="AN54:AO54"/>
    <mergeCell ref="AJ54:AJ55"/>
    <mergeCell ref="AV53:AW53"/>
    <mergeCell ref="AV54:AW54"/>
    <mergeCell ref="AT53:AU53"/>
    <mergeCell ref="AT54:AU54"/>
    <mergeCell ref="AP53:AQ53"/>
    <mergeCell ref="AR53:AS53"/>
    <mergeCell ref="Q54:Z54"/>
    <mergeCell ref="B54:B55"/>
    <mergeCell ref="I1:J1"/>
    <mergeCell ref="C54:M54"/>
    <mergeCell ref="AN53:AO53"/>
  </mergeCells>
  <conditionalFormatting sqref="C82:Z94">
    <cfRule type="expression" dxfId="44" priority="2088" stopIfTrue="1">
      <formula>C$82=0</formula>
    </cfRule>
  </conditionalFormatting>
  <conditionalFormatting sqref="A16:N43">
    <cfRule type="expression" dxfId="43" priority="15" stopIfTrue="1">
      <formula>$B16=""</formula>
    </cfRule>
  </conditionalFormatting>
  <conditionalFormatting sqref="A56:A79 C56:AA79">
    <cfRule type="expression" dxfId="42" priority="2096" stopIfTrue="1">
      <formula>$N56=0</formula>
    </cfRule>
  </conditionalFormatting>
  <conditionalFormatting sqref="F20:G43">
    <cfRule type="expression" dxfId="41" priority="2097" stopIfTrue="1">
      <formula>$AD56=TRUE</formula>
    </cfRule>
  </conditionalFormatting>
  <conditionalFormatting sqref="A45:E45">
    <cfRule type="expression" dxfId="40" priority="2" stopIfTrue="1">
      <formula>$B45=""</formula>
    </cfRule>
  </conditionalFormatting>
  <conditionalFormatting sqref="V2">
    <cfRule type="expression" dxfId="39" priority="1" stopIfTrue="1">
      <formula>$B4=""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ySplit="42" topLeftCell="A375" activePane="bottomLeft" state="frozen"/>
      <selection pane="bottomLeft" activeCell="F6" sqref="F6:F7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34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7.85546875" style="6" customWidth="1"/>
    <col min="62" max="64" width="10.140625" style="6" customWidth="1"/>
    <col min="65" max="65" width="10.140625" style="571" customWidth="1"/>
    <col min="66" max="69" width="10.140625" style="6" customWidth="1"/>
    <col min="70" max="70" width="10.140625" style="571" customWidth="1"/>
    <col min="71" max="71" width="10.140625" style="567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47" t="s">
        <v>193</v>
      </c>
      <c r="B1" s="90"/>
      <c r="K1" s="4"/>
      <c r="L1" s="4"/>
      <c r="M1" s="4"/>
      <c r="N1" s="272" t="s">
        <v>239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47">
        <v>0.98499999999999999</v>
      </c>
      <c r="Z1" s="668" t="s">
        <v>224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41" t="s">
        <v>75</v>
      </c>
      <c r="AN1" s="4"/>
      <c r="AO1" s="4"/>
      <c r="AT1" s="754"/>
      <c r="AY1" s="754"/>
      <c r="BC1" s="1250" t="s">
        <v>206</v>
      </c>
      <c r="BD1" s="1250"/>
      <c r="BE1" s="1250"/>
      <c r="BF1" s="797"/>
      <c r="BH1" s="724" t="s">
        <v>198</v>
      </c>
      <c r="BJ1" s="709"/>
      <c r="BK1" s="709"/>
      <c r="BL1" s="709"/>
      <c r="BM1" s="709"/>
      <c r="BN1" s="709"/>
      <c r="BO1" s="709"/>
      <c r="BP1" s="709"/>
      <c r="BQ1" s="709"/>
      <c r="BR1" s="572"/>
      <c r="BS1" s="573"/>
      <c r="BT1" s="460"/>
    </row>
    <row r="2" spans="1:84" s="4" customFormat="1" ht="12.75" customHeight="1" thickBot="1" x14ac:dyDescent="0.3">
      <c r="A2" s="1241" t="str">
        <f>'Réglage perte'!B2</f>
        <v>Esp. Berjean Escalquens</v>
      </c>
      <c r="B2" s="1242"/>
      <c r="C2" s="1242"/>
      <c r="D2" s="1243"/>
      <c r="I2" s="1195" t="s">
        <v>354</v>
      </c>
      <c r="J2" s="1196">
        <f>AVERAGEIF($BW$15:$CF$380,"&gt;0,97")</f>
        <v>0.99880232005379432</v>
      </c>
      <c r="L2" s="175">
        <v>43079</v>
      </c>
      <c r="M2" s="175">
        <v>43093</v>
      </c>
      <c r="N2" s="751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722"/>
      <c r="BC2" s="1250"/>
      <c r="BD2" s="1250"/>
      <c r="BE2" s="1250"/>
      <c r="BF2" s="797"/>
      <c r="BH2" s="28"/>
      <c r="BI2" s="564"/>
      <c r="BJ2" s="565"/>
      <c r="BK2" s="281"/>
      <c r="BL2" s="565"/>
      <c r="BM2" s="566"/>
      <c r="BN2" s="281"/>
      <c r="BP2" s="6"/>
      <c r="BQ2" s="281"/>
      <c r="BR2" s="566"/>
      <c r="BS2" s="567"/>
      <c r="BT2" s="6"/>
    </row>
    <row r="3" spans="1:84" s="4" customFormat="1" ht="12.75" customHeight="1" thickBot="1" x14ac:dyDescent="0.3">
      <c r="A3" s="1244"/>
      <c r="B3" s="1245"/>
      <c r="C3" s="1245"/>
      <c r="D3" s="1246"/>
      <c r="E3" s="3"/>
      <c r="L3" s="746">
        <f>AL3</f>
        <v>285</v>
      </c>
      <c r="M3" s="750">
        <f>+AM3</f>
        <v>282</v>
      </c>
      <c r="N3" s="171">
        <v>303</v>
      </c>
      <c r="O3" s="171">
        <v>343</v>
      </c>
      <c r="P3" s="171">
        <v>394</v>
      </c>
      <c r="Q3" s="171">
        <v>448</v>
      </c>
      <c r="R3" s="171">
        <v>499</v>
      </c>
      <c r="S3" s="171">
        <v>548</v>
      </c>
      <c r="T3" s="171">
        <v>590</v>
      </c>
      <c r="U3" s="171">
        <v>618</v>
      </c>
      <c r="V3" s="171">
        <v>633</v>
      </c>
      <c r="W3" s="171">
        <v>640</v>
      </c>
      <c r="X3" s="171">
        <v>641</v>
      </c>
      <c r="Y3" s="171">
        <v>637</v>
      </c>
      <c r="Z3" s="171">
        <v>629</v>
      </c>
      <c r="AA3" s="171">
        <v>617</v>
      </c>
      <c r="AB3" s="171">
        <v>603</v>
      </c>
      <c r="AC3" s="171">
        <v>587</v>
      </c>
      <c r="AD3" s="171">
        <v>568</v>
      </c>
      <c r="AE3" s="171">
        <v>547</v>
      </c>
      <c r="AF3" s="171">
        <v>520</v>
      </c>
      <c r="AG3" s="171">
        <v>484</v>
      </c>
      <c r="AH3" s="171">
        <v>440</v>
      </c>
      <c r="AI3" s="171">
        <v>390</v>
      </c>
      <c r="AJ3" s="171">
        <v>345</v>
      </c>
      <c r="AK3" s="171">
        <v>307</v>
      </c>
      <c r="AL3" s="171">
        <v>285</v>
      </c>
      <c r="AM3" s="171">
        <v>282</v>
      </c>
      <c r="AN3" s="746">
        <f>+N3</f>
        <v>303</v>
      </c>
      <c r="AO3" s="747">
        <f>+O3</f>
        <v>343</v>
      </c>
      <c r="BC3" s="1250"/>
      <c r="BD3" s="1250"/>
      <c r="BE3" s="1250"/>
      <c r="BF3" s="797"/>
      <c r="BH3" s="28"/>
      <c r="BI3" s="6"/>
      <c r="BJ3" s="6"/>
      <c r="BK3" s="6"/>
      <c r="BL3" s="6"/>
      <c r="BM3" s="6"/>
      <c r="BN3" s="6"/>
      <c r="BO3" s="787" t="s">
        <v>236</v>
      </c>
      <c r="BP3" s="788">
        <v>0.3</v>
      </c>
      <c r="BQ3" s="789" t="s">
        <v>237</v>
      </c>
      <c r="BR3" s="790" t="s">
        <v>242</v>
      </c>
      <c r="BS3" s="565"/>
    </row>
    <row r="4" spans="1:84" s="4" customFormat="1" ht="12.75" customHeight="1" x14ac:dyDescent="0.25">
      <c r="A4" s="2"/>
      <c r="B4" s="416"/>
      <c r="E4" s="33"/>
      <c r="F4" s="568"/>
      <c r="K4" s="2"/>
      <c r="M4" s="626" t="s">
        <v>190</v>
      </c>
      <c r="N4" s="752">
        <f>MAX($BA15:$BA28)-1</f>
        <v>1.7362904132919521E-2</v>
      </c>
      <c r="O4" s="642">
        <f>MAX($BA29:$BA42)-1</f>
        <v>3.1549561206947851E-2</v>
      </c>
      <c r="P4" s="642">
        <f>MAX($BA43:$BA56)-1</f>
        <v>4.6554088151635087E-2</v>
      </c>
      <c r="Q4" s="642">
        <f>MAX(BA57:BA70)-1</f>
        <v>3.8017754183630181E-3</v>
      </c>
      <c r="R4" s="642">
        <f>MAX(BA71:BA84)-1</f>
        <v>3.9448216951444515E-2</v>
      </c>
      <c r="S4" s="642">
        <f>MAX(BA85:BA98)-1</f>
        <v>2.7982131635167828E-2</v>
      </c>
      <c r="T4" s="642">
        <f>MAX(BA99:BA112)-1</f>
        <v>4.6561616092291702E-2</v>
      </c>
      <c r="U4" s="642">
        <f>MAX(BA113:BA126)-1</f>
        <v>1.6677349608296144E-2</v>
      </c>
      <c r="V4" s="642">
        <f>MAX(BA127:BA140)-1</f>
        <v>2.3705421479532918E-2</v>
      </c>
      <c r="W4" s="642">
        <f>MAX(BA141:BA154)-1</f>
        <v>3.2523072853729573E-2</v>
      </c>
      <c r="X4" s="642">
        <f>MAX(BA155:BA168)-1</f>
        <v>1.5761637659419847E-2</v>
      </c>
      <c r="Y4" s="642">
        <f>MAX(BA169:BA182)-1</f>
        <v>4.6252475330259335E-2</v>
      </c>
      <c r="Z4" s="642">
        <f>MAX(BA183:BA196)-1</f>
        <v>3.0810633804627674E-3</v>
      </c>
      <c r="AA4" s="642">
        <f>MAX(BA197:BA210)-1</f>
        <v>3.9483949603793977E-2</v>
      </c>
      <c r="AB4" s="642">
        <f>MAX(BA211:BA224)-1</f>
        <v>3.5152125673188817E-2</v>
      </c>
      <c r="AC4" s="642">
        <f>MAX(BA225:BA238)-1</f>
        <v>3.0290157698138476E-3</v>
      </c>
      <c r="AD4" s="642">
        <f>MAX(BA239:BA252)-1</f>
        <v>2.2709692349183852E-2</v>
      </c>
      <c r="AE4" s="642">
        <f>MAX(BA253:BA266)-1</f>
        <v>4.0219620203753248E-2</v>
      </c>
      <c r="AF4" s="642">
        <f>MAX(BA267:BA280)-1</f>
        <v>3.3919029994838867E-2</v>
      </c>
      <c r="AG4" s="642">
        <f>MAX(BA281:BA294)-1</f>
        <v>4.7879837042308138E-2</v>
      </c>
      <c r="AH4" s="642">
        <f>MAX(BA295:BA308)-1</f>
        <v>4.3046953170982061E-2</v>
      </c>
      <c r="AI4" s="642">
        <f>MAX(BA309:BA322)-1</f>
        <v>4.5320416807356212E-2</v>
      </c>
      <c r="AJ4" s="642">
        <f>MAX(BA323:BA336)-1</f>
        <v>2.7699555665296138E-2</v>
      </c>
      <c r="AK4" s="642">
        <f>MAX(BA337:BA350)-1</f>
        <v>4.6049170991721233E-2</v>
      </c>
      <c r="AL4" s="642">
        <f>MAX(BA351:BA364)-1</f>
        <v>3.6009502561659579E-2</v>
      </c>
      <c r="AM4" s="642">
        <f>MAX(BA365:BA380)-1</f>
        <v>4.5847553040853306E-2</v>
      </c>
      <c r="AN4" s="630"/>
      <c r="AP4" s="568"/>
      <c r="AU4" s="568"/>
      <c r="BC4" s="19"/>
      <c r="BD4" s="282"/>
      <c r="BE4" s="282"/>
      <c r="BF4" s="282"/>
      <c r="BI4" s="6"/>
      <c r="BJ4" s="6"/>
      <c r="BK4" s="6"/>
      <c r="BL4" s="6"/>
      <c r="BM4" s="6"/>
      <c r="BN4" s="6"/>
      <c r="BO4" s="355" t="s">
        <v>238</v>
      </c>
      <c r="BP4" s="791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47" t="s">
        <v>189</v>
      </c>
      <c r="B5" s="1248"/>
      <c r="C5" s="1248"/>
      <c r="D5" s="1248"/>
      <c r="E5" s="1248"/>
      <c r="F5" s="1248"/>
      <c r="G5" s="1248"/>
      <c r="H5" s="1248"/>
      <c r="I5" s="1248"/>
      <c r="J5" s="1249"/>
      <c r="K5" s="89"/>
      <c r="N5" s="88"/>
      <c r="O5" s="88"/>
      <c r="P5" s="19"/>
      <c r="Q5" s="70"/>
      <c r="R5" s="70"/>
      <c r="S5" s="70"/>
      <c r="T5" s="70"/>
      <c r="U5" s="70"/>
      <c r="V5" s="627"/>
      <c r="W5" s="70"/>
      <c r="X5" s="70"/>
      <c r="Y5" s="70"/>
      <c r="Z5" s="70"/>
      <c r="AA5" s="70"/>
      <c r="AB5" s="70"/>
      <c r="AC5" s="70"/>
      <c r="AD5" s="70"/>
      <c r="AE5" s="628"/>
      <c r="AF5" s="19"/>
      <c r="AG5" s="19"/>
      <c r="AH5" s="71"/>
      <c r="AI5" s="641"/>
      <c r="AJ5" s="641"/>
      <c r="AK5" s="641"/>
      <c r="AL5" s="641"/>
      <c r="AM5" s="88"/>
      <c r="AN5" s="640"/>
      <c r="AP5" s="748"/>
      <c r="AQ5" s="748"/>
      <c r="AR5" s="748"/>
      <c r="AS5" s="748"/>
      <c r="AT5" s="755"/>
      <c r="AU5" s="748"/>
      <c r="AV5" s="748"/>
      <c r="AW5" s="748"/>
      <c r="AX5" s="748"/>
      <c r="AY5" s="755"/>
      <c r="AZ5" s="748"/>
      <c r="BC5" s="19"/>
      <c r="BD5" s="282"/>
      <c r="BE5" s="282"/>
      <c r="BF5" s="282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7">
        <f>'2019'!An</f>
        <v>2019</v>
      </c>
      <c r="B6" s="267">
        <f>'2020'!An</f>
        <v>2020</v>
      </c>
      <c r="C6" s="267">
        <f>'2021'!An</f>
        <v>2021</v>
      </c>
      <c r="D6" s="267">
        <f>'2022'!An</f>
        <v>2022</v>
      </c>
      <c r="E6" s="267">
        <f>'2023'!An</f>
        <v>2023</v>
      </c>
      <c r="F6" s="269">
        <f>'2024'!An</f>
        <v>2024</v>
      </c>
      <c r="G6" s="269">
        <f>'2025'!An</f>
        <v>2025</v>
      </c>
      <c r="H6" s="269">
        <f>'2026'!An</f>
        <v>2026</v>
      </c>
      <c r="I6" s="269">
        <f>'2027'!An</f>
        <v>2027</v>
      </c>
      <c r="J6" s="269">
        <f>'2028'!An</f>
        <v>2028</v>
      </c>
      <c r="K6" s="2"/>
      <c r="BC6" s="37"/>
      <c r="BD6" s="283"/>
      <c r="BE6" s="283"/>
      <c r="BF6" s="283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8">
        <f>'2019'!Dépas_env</f>
        <v>4.6252475330259335E-2</v>
      </c>
      <c r="B7" s="268">
        <f>'2020'!Dépas_env</f>
        <v>4.6561616092291702E-2</v>
      </c>
      <c r="C7" s="268">
        <f>'2021'!Dépas_env</f>
        <v>4.5847553040853306E-2</v>
      </c>
      <c r="D7" s="268">
        <f>'2022'!Dépas_env</f>
        <v>4.7879837042308138E-2</v>
      </c>
      <c r="E7" s="268">
        <f>'2023'!Dépas_env</f>
        <v>4.7879837042308138E-2</v>
      </c>
      <c r="F7" s="598">
        <f>'2024'!Dépas_env</f>
        <v>4.7879837042308138E-2</v>
      </c>
      <c r="G7" s="598">
        <f>'2025'!Dépas_env</f>
        <v>4.7879837042308138E-2</v>
      </c>
      <c r="H7" s="598">
        <f>'2026'!Dépas_env</f>
        <v>4.787983704230836E-2</v>
      </c>
      <c r="I7" s="598">
        <f>'2027'!Dépas_env</f>
        <v>4.7879837042308138E-2</v>
      </c>
      <c r="J7" s="598">
        <f>'2028'!Dépas_env</f>
        <v>4.787983704230836E-2</v>
      </c>
      <c r="K7" s="2"/>
      <c r="BA7" s="631"/>
      <c r="BC7" s="19"/>
      <c r="BD7" s="282"/>
      <c r="BE7" s="282"/>
      <c r="BF7" s="282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69"/>
      <c r="B8" s="269"/>
      <c r="C8" s="269"/>
      <c r="D8" s="269"/>
      <c r="E8" s="269"/>
      <c r="F8" s="267"/>
      <c r="G8" s="267"/>
      <c r="H8" s="267"/>
      <c r="I8" s="267"/>
      <c r="J8" s="267"/>
      <c r="K8" s="2"/>
      <c r="BA8" s="631"/>
      <c r="BC8" s="6"/>
      <c r="BD8" s="281"/>
      <c r="BE8" s="281"/>
      <c r="BF8" s="281"/>
      <c r="BJ8" s="6"/>
      <c r="BK8" s="6"/>
      <c r="BL8" s="6"/>
      <c r="BM8" s="6"/>
      <c r="BN8" s="6"/>
      <c r="BO8" s="569"/>
      <c r="BP8" s="569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0"/>
      <c r="B9" s="270"/>
      <c r="C9" s="270"/>
      <c r="D9" s="270"/>
      <c r="E9" s="270"/>
      <c r="F9" s="270"/>
      <c r="G9" s="270"/>
      <c r="H9" s="270"/>
      <c r="I9" s="270"/>
      <c r="J9" s="270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31"/>
      <c r="BB9" s="19"/>
      <c r="BC9" s="19"/>
      <c r="BD9" s="282"/>
      <c r="BE9" s="282"/>
      <c r="BF9" s="282"/>
      <c r="BH9" s="692">
        <f>PousHi*($A$6-BP13-INDEX(Croivg,MIN(MAX(BO13-DATE(BP13,1,1)+1,0),366)))</f>
        <v>-1.5008874621829826</v>
      </c>
      <c r="BI9" s="953" t="s">
        <v>296</v>
      </c>
      <c r="BJ9" s="6"/>
      <c r="BK9" s="6"/>
      <c r="BL9" s="6"/>
      <c r="BM9" s="6"/>
      <c r="BN9" s="6"/>
      <c r="BO9" s="569"/>
      <c r="BP9" s="569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40"/>
      <c r="BD10" s="281"/>
      <c r="BE10" s="281"/>
      <c r="BF10" s="281"/>
      <c r="BH10" s="1030">
        <f>MIN(MATCH(H_i,Echel_vg),10)</f>
        <v>4</v>
      </c>
      <c r="BI10" s="560"/>
      <c r="BO10" s="723"/>
      <c r="BP10" s="723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60" t="s">
        <v>313</v>
      </c>
      <c r="D11" s="1069">
        <v>0.97</v>
      </c>
      <c r="E11" s="8"/>
      <c r="J11" s="9"/>
      <c r="K11" s="7"/>
      <c r="L11" s="749" t="s">
        <v>225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79" t="s">
        <v>228</v>
      </c>
      <c r="AT11" s="27"/>
      <c r="AU11" s="679" t="s">
        <v>229</v>
      </c>
      <c r="AY11" s="27"/>
      <c r="AZ11" s="760" t="s">
        <v>232</v>
      </c>
      <c r="BA11" s="631"/>
      <c r="BB11" s="19"/>
      <c r="BC11" s="15"/>
      <c r="BD11" s="1251" t="s">
        <v>248</v>
      </c>
      <c r="BE11" s="1252"/>
      <c r="BF11" s="1255" t="s">
        <v>243</v>
      </c>
      <c r="BH11" s="1031">
        <f>INDEX(Echel_vg,$BH$10)</f>
        <v>-2</v>
      </c>
      <c r="BI11" s="560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89">
        <f>+MIN(B15:B379)</f>
        <v>10.012976509324043</v>
      </c>
      <c r="C12" s="12">
        <f>+MIN(C15:C379)</f>
        <v>2018</v>
      </c>
      <c r="D12" s="1042">
        <f>+MIN(D15:D379)</f>
        <v>0.97156140960563198</v>
      </c>
      <c r="E12" s="12">
        <f t="shared" ref="E12:J12" si="1">+MIN(E15:E379)</f>
        <v>27.776999999999997</v>
      </c>
      <c r="F12" s="415">
        <f t="shared" si="1"/>
        <v>1</v>
      </c>
      <c r="G12" s="12">
        <f t="shared" si="1"/>
        <v>2</v>
      </c>
      <c r="H12" s="173">
        <f t="shared" si="1"/>
        <v>43093</v>
      </c>
      <c r="I12" s="389">
        <f t="shared" si="1"/>
        <v>0</v>
      </c>
      <c r="J12" s="389">
        <f t="shared" si="1"/>
        <v>27.647191440314053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5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89">
        <f t="shared" si="3"/>
        <v>0</v>
      </c>
      <c r="AT12" s="389">
        <f t="shared" si="3"/>
        <v>27.770052786120051</v>
      </c>
      <c r="AU12" s="415">
        <f t="shared" si="3"/>
        <v>1</v>
      </c>
      <c r="AV12" s="12">
        <f t="shared" si="3"/>
        <v>2</v>
      </c>
      <c r="AW12" s="173">
        <f t="shared" si="3"/>
        <v>43093</v>
      </c>
      <c r="AX12" s="389">
        <f t="shared" si="3"/>
        <v>0</v>
      </c>
      <c r="AY12" s="389">
        <f t="shared" si="3"/>
        <v>27.652756671181749</v>
      </c>
      <c r="AZ12" s="389">
        <f t="shared" si="3"/>
        <v>27.714440965454273</v>
      </c>
      <c r="BA12" s="629"/>
      <c r="BC12" s="15"/>
      <c r="BD12" s="1253"/>
      <c r="BE12" s="1254"/>
      <c r="BF12" s="1256"/>
      <c r="BH12" s="1032">
        <f>(H_i-BH11)/(INDEX(Echel_vg,$BH$10+1)-BH$11)</f>
        <v>0.49911253781701737</v>
      </c>
      <c r="BJ12" s="6"/>
      <c r="BK12" s="6"/>
      <c r="BL12" s="6"/>
      <c r="BN12" s="355" t="str">
        <f>Masques!B53</f>
        <v>Pas de calcul pousse en hauteur:</v>
      </c>
      <c r="BO12" s="1098">
        <f>+Masques!C53</f>
        <v>1</v>
      </c>
      <c r="BP12" s="569"/>
      <c r="BQ12" s="569"/>
      <c r="BR12" s="570"/>
      <c r="BS12" s="567"/>
      <c r="BT12" s="6"/>
    </row>
    <row r="13" spans="1:84" s="4" customFormat="1" ht="12.75" customHeight="1" thickBot="1" x14ac:dyDescent="0.3">
      <c r="A13" s="27" t="s">
        <v>5</v>
      </c>
      <c r="B13" s="389">
        <f>+MAX(B15:B379)</f>
        <v>65.55404847482302</v>
      </c>
      <c r="C13" s="12">
        <f>+MAX(C15:C379)</f>
        <v>2023</v>
      </c>
      <c r="D13" s="1042">
        <f>+MAX(D15:D379)</f>
        <v>1.0478798370423081</v>
      </c>
      <c r="E13" s="12">
        <f t="shared" ref="E13:J13" si="4">+MAX(E15:E379)</f>
        <v>63.138500000000001</v>
      </c>
      <c r="F13" s="415">
        <f t="shared" si="4"/>
        <v>27</v>
      </c>
      <c r="G13" s="12">
        <f t="shared" si="4"/>
        <v>28</v>
      </c>
      <c r="H13" s="173">
        <f t="shared" si="4"/>
        <v>43458</v>
      </c>
      <c r="I13" s="389">
        <f t="shared" si="4"/>
        <v>1</v>
      </c>
      <c r="J13" s="389">
        <f t="shared" si="4"/>
        <v>63.163896774660259</v>
      </c>
      <c r="K13" s="6"/>
      <c r="L13" s="763">
        <f>AL13</f>
        <v>280.72500000000002</v>
      </c>
      <c r="M13" s="763">
        <f>+AM13</f>
        <v>277.77</v>
      </c>
      <c r="N13" s="762">
        <f t="shared" ref="N13:AM13" si="5">Ajust_M*N3</f>
        <v>298.45499999999998</v>
      </c>
      <c r="O13" s="753">
        <f t="shared" si="5"/>
        <v>337.85500000000002</v>
      </c>
      <c r="P13" s="753">
        <f t="shared" si="5"/>
        <v>388.09</v>
      </c>
      <c r="Q13" s="753">
        <f t="shared" si="5"/>
        <v>441.28</v>
      </c>
      <c r="R13" s="753">
        <f t="shared" si="5"/>
        <v>491.51499999999999</v>
      </c>
      <c r="S13" s="753">
        <f t="shared" si="5"/>
        <v>539.78</v>
      </c>
      <c r="T13" s="753">
        <f t="shared" si="5"/>
        <v>581.15</v>
      </c>
      <c r="U13" s="753">
        <f t="shared" si="5"/>
        <v>608.73</v>
      </c>
      <c r="V13" s="753">
        <f t="shared" si="5"/>
        <v>623.505</v>
      </c>
      <c r="W13" s="753">
        <f t="shared" si="5"/>
        <v>630.4</v>
      </c>
      <c r="X13" s="753">
        <f t="shared" si="5"/>
        <v>631.38499999999999</v>
      </c>
      <c r="Y13" s="753">
        <f t="shared" si="5"/>
        <v>627.44499999999994</v>
      </c>
      <c r="Z13" s="753">
        <f t="shared" si="5"/>
        <v>619.56499999999994</v>
      </c>
      <c r="AA13" s="753">
        <f t="shared" si="5"/>
        <v>607.745</v>
      </c>
      <c r="AB13" s="753">
        <f t="shared" si="5"/>
        <v>593.95500000000004</v>
      </c>
      <c r="AC13" s="753">
        <f t="shared" si="5"/>
        <v>578.19499999999994</v>
      </c>
      <c r="AD13" s="753">
        <f t="shared" si="5"/>
        <v>559.48</v>
      </c>
      <c r="AE13" s="753">
        <f t="shared" si="5"/>
        <v>538.79499999999996</v>
      </c>
      <c r="AF13" s="753">
        <f t="shared" si="5"/>
        <v>512.20000000000005</v>
      </c>
      <c r="AG13" s="753">
        <f t="shared" si="5"/>
        <v>476.74</v>
      </c>
      <c r="AH13" s="753">
        <f t="shared" si="5"/>
        <v>433.4</v>
      </c>
      <c r="AI13" s="753">
        <f t="shared" si="5"/>
        <v>384.15</v>
      </c>
      <c r="AJ13" s="753">
        <f t="shared" si="5"/>
        <v>339.82499999999999</v>
      </c>
      <c r="AK13" s="753">
        <f t="shared" si="5"/>
        <v>302.39499999999998</v>
      </c>
      <c r="AL13" s="753">
        <f t="shared" si="5"/>
        <v>280.72500000000002</v>
      </c>
      <c r="AM13" s="753">
        <f t="shared" si="5"/>
        <v>277.77</v>
      </c>
      <c r="AN13" s="763">
        <f>+N13</f>
        <v>298.45499999999998</v>
      </c>
      <c r="AO13" s="763">
        <f>+O13</f>
        <v>337.85500000000002</v>
      </c>
      <c r="AP13" s="415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89">
        <f t="shared" si="6"/>
        <v>1</v>
      </c>
      <c r="AT13" s="389">
        <f t="shared" si="6"/>
        <v>63.162137846276167</v>
      </c>
      <c r="AU13" s="415">
        <f t="shared" si="6"/>
        <v>15</v>
      </c>
      <c r="AV13" s="12">
        <f t="shared" si="6"/>
        <v>14</v>
      </c>
      <c r="AW13" s="173">
        <f t="shared" si="6"/>
        <v>43487</v>
      </c>
      <c r="AX13" s="389">
        <f t="shared" si="6"/>
        <v>1</v>
      </c>
      <c r="AY13" s="389">
        <f t="shared" si="6"/>
        <v>63.185946200548543</v>
      </c>
      <c r="AZ13" s="389">
        <f t="shared" si="6"/>
        <v>63.173782895385685</v>
      </c>
      <c r="BA13" s="629"/>
      <c r="BC13" s="37"/>
      <c r="BD13" s="284" t="s">
        <v>49</v>
      </c>
      <c r="BE13" s="284" t="s">
        <v>48</v>
      </c>
      <c r="BF13" s="284" t="s">
        <v>246</v>
      </c>
      <c r="BH13" s="1033" t="s">
        <v>89</v>
      </c>
      <c r="BJ13" s="6"/>
      <c r="BN13" s="33" t="str">
        <f>Masques!G53</f>
        <v>Date de relevés hauteurs (ref. 0m):</v>
      </c>
      <c r="BO13" s="1099">
        <f>+Masques!I1</f>
        <v>44582</v>
      </c>
      <c r="BP13" s="790">
        <f>YEAR(BO13)</f>
        <v>2022</v>
      </c>
      <c r="BW13" s="667" t="s">
        <v>353</v>
      </c>
    </row>
    <row r="14" spans="1:84" ht="37.5" customHeight="1" thickBot="1" x14ac:dyDescent="0.3">
      <c r="A14" s="355" t="s">
        <v>114</v>
      </c>
      <c r="B14" s="1041" t="s">
        <v>3</v>
      </c>
      <c r="C14" s="1041" t="s">
        <v>13</v>
      </c>
      <c r="D14" s="1043" t="s">
        <v>314</v>
      </c>
      <c r="E14" s="174" t="s">
        <v>222</v>
      </c>
      <c r="F14" s="174" t="s">
        <v>218</v>
      </c>
      <c r="G14" s="174" t="s">
        <v>219</v>
      </c>
      <c r="H14" s="174" t="s">
        <v>220</v>
      </c>
      <c r="I14" s="733" t="s">
        <v>221</v>
      </c>
      <c r="J14" s="78" t="s">
        <v>0</v>
      </c>
      <c r="L14" s="2"/>
      <c r="M14" s="4" t="s">
        <v>223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218</v>
      </c>
      <c r="AQ14" s="174" t="s">
        <v>219</v>
      </c>
      <c r="AR14" s="174" t="s">
        <v>220</v>
      </c>
      <c r="AS14" s="733" t="s">
        <v>221</v>
      </c>
      <c r="AT14" s="756" t="s">
        <v>230</v>
      </c>
      <c r="AU14" s="174" t="s">
        <v>218</v>
      </c>
      <c r="AV14" s="174" t="s">
        <v>219</v>
      </c>
      <c r="AW14" s="174" t="s">
        <v>220</v>
      </c>
      <c r="AX14" s="733" t="s">
        <v>221</v>
      </c>
      <c r="AY14" s="756" t="s">
        <v>231</v>
      </c>
      <c r="AZ14" s="78" t="s">
        <v>233</v>
      </c>
      <c r="BA14" s="632" t="s">
        <v>191</v>
      </c>
      <c r="BB14" s="72"/>
      <c r="BC14" s="355" t="s">
        <v>114</v>
      </c>
      <c r="BD14" s="285" t="s">
        <v>19</v>
      </c>
      <c r="BE14" s="286" t="s">
        <v>21</v>
      </c>
      <c r="BF14" s="802" t="s">
        <v>247</v>
      </c>
      <c r="BH14" s="1034" t="s">
        <v>90</v>
      </c>
      <c r="BI14" s="1029" t="s">
        <v>297</v>
      </c>
      <c r="BJ14" s="710">
        <f>+Masques!C55</f>
        <v>-5</v>
      </c>
      <c r="BK14" s="710">
        <f>+Masques!D55</f>
        <v>-4</v>
      </c>
      <c r="BL14" s="710">
        <f>+Masques!E55</f>
        <v>-3</v>
      </c>
      <c r="BM14" s="711">
        <f>+Masques!F55</f>
        <v>-2</v>
      </c>
      <c r="BN14" s="711">
        <f>+Masques!G55</f>
        <v>-1</v>
      </c>
      <c r="BO14" s="712">
        <f>+Masques!H55</f>
        <v>0</v>
      </c>
      <c r="BP14" s="710">
        <f>+Masques!I55</f>
        <v>1</v>
      </c>
      <c r="BQ14" s="710">
        <f>+Masques!J55</f>
        <v>2</v>
      </c>
      <c r="BR14" s="710">
        <f>+Masques!K55</f>
        <v>3</v>
      </c>
      <c r="BS14" s="710">
        <f>+Masques!L55</f>
        <v>4</v>
      </c>
      <c r="BT14" s="710">
        <f>+Masques!M55</f>
        <v>5</v>
      </c>
      <c r="BU14" s="954" t="s">
        <v>197</v>
      </c>
      <c r="BW14" s="1187">
        <v>2019</v>
      </c>
      <c r="BX14" s="1187">
        <v>2020</v>
      </c>
      <c r="BY14" s="1187">
        <v>2021</v>
      </c>
      <c r="BZ14" s="1187">
        <v>2022</v>
      </c>
      <c r="CA14" s="1187">
        <v>2023</v>
      </c>
      <c r="CB14" s="1187">
        <v>2024</v>
      </c>
      <c r="CC14" s="1187">
        <v>2025</v>
      </c>
      <c r="CD14" s="1187">
        <v>2026</v>
      </c>
      <c r="CE14" s="1187">
        <v>2027</v>
      </c>
      <c r="CF14" s="1187">
        <v>2028</v>
      </c>
    </row>
    <row r="15" spans="1:84" s="6" customFormat="1" ht="11.25" x14ac:dyDescent="0.2">
      <c r="A15" s="11">
        <v>43101</v>
      </c>
      <c r="B15" s="378">
        <f>'2023'!Maxi_hp</f>
        <v>28.767141164856003</v>
      </c>
      <c r="C15" s="739">
        <f>'2023'!An_max</f>
        <v>2022</v>
      </c>
      <c r="D15" s="1044">
        <f t="shared" ref="D15:D78" si="7">IF($BA15&gt;$D$11,BA15,"")</f>
        <v>1.0062278397817872</v>
      </c>
      <c r="E15" s="1039"/>
      <c r="F15" s="739">
        <f>INT(MATCH($A15,x.2m)/2)*2+1</f>
        <v>1</v>
      </c>
      <c r="G15" s="739">
        <f>INT((MATCH($A15,x.2m)+1)/2)*2</f>
        <v>2</v>
      </c>
      <c r="H15" s="740">
        <f t="shared" ref="H15:H78" si="8">INDEX(x.2m,F15)</f>
        <v>43093</v>
      </c>
      <c r="I15" s="741">
        <f t="shared" ref="I15:I78" si="9">($A15-H15)/(INDEX(x.2m,G15)-H15)</f>
        <v>0.53333333333333333</v>
      </c>
      <c r="J15" s="734">
        <f>((1-I15)*(INDEX(a.m,F15)*$A15*$A15+INDEX(b.m,F15)*$A15+INDEX(c.m,F15))+I15*(INDEX(a.m,G15)*$A15*$A15+INDEX(b.m,G15)*$A15+INDEX(c.m,G15)))/10</f>
        <v>28.58909287492434</v>
      </c>
      <c r="L15" s="743" t="s">
        <v>207</v>
      </c>
      <c r="M15" s="773">
        <f t="shared" ref="M15:AN15" si="10">L12</f>
        <v>43079</v>
      </c>
      <c r="N15" s="774">
        <f t="shared" si="10"/>
        <v>43093</v>
      </c>
      <c r="O15" s="764">
        <f t="shared" si="10"/>
        <v>43108</v>
      </c>
      <c r="P15" s="764">
        <f t="shared" si="10"/>
        <v>43122</v>
      </c>
      <c r="Q15" s="764">
        <f t="shared" si="10"/>
        <v>43136</v>
      </c>
      <c r="R15" s="764">
        <f t="shared" si="10"/>
        <v>43150</v>
      </c>
      <c r="S15" s="764">
        <f t="shared" si="10"/>
        <v>43164</v>
      </c>
      <c r="T15" s="764">
        <f t="shared" si="10"/>
        <v>43178</v>
      </c>
      <c r="U15" s="764">
        <f t="shared" si="10"/>
        <v>43192</v>
      </c>
      <c r="V15" s="764">
        <f t="shared" si="10"/>
        <v>43206</v>
      </c>
      <c r="W15" s="764">
        <f t="shared" si="10"/>
        <v>43220</v>
      </c>
      <c r="X15" s="764">
        <f t="shared" si="10"/>
        <v>43234</v>
      </c>
      <c r="Y15" s="764">
        <f t="shared" si="10"/>
        <v>43248</v>
      </c>
      <c r="Z15" s="764">
        <f t="shared" si="10"/>
        <v>43262</v>
      </c>
      <c r="AA15" s="764">
        <f t="shared" si="10"/>
        <v>43276</v>
      </c>
      <c r="AB15" s="764">
        <f t="shared" si="10"/>
        <v>43290</v>
      </c>
      <c r="AC15" s="764">
        <f t="shared" si="10"/>
        <v>43304</v>
      </c>
      <c r="AD15" s="764">
        <f t="shared" si="10"/>
        <v>43318</v>
      </c>
      <c r="AE15" s="764">
        <f t="shared" si="10"/>
        <v>43332</v>
      </c>
      <c r="AF15" s="764">
        <f t="shared" si="10"/>
        <v>43346</v>
      </c>
      <c r="AG15" s="764">
        <f t="shared" si="10"/>
        <v>43360</v>
      </c>
      <c r="AH15" s="764">
        <f t="shared" si="10"/>
        <v>43374</v>
      </c>
      <c r="AI15" s="764">
        <f t="shared" si="10"/>
        <v>43388</v>
      </c>
      <c r="AJ15" s="764">
        <f t="shared" si="10"/>
        <v>43402</v>
      </c>
      <c r="AK15" s="764">
        <f t="shared" si="10"/>
        <v>43416</v>
      </c>
      <c r="AL15" s="764">
        <f t="shared" si="10"/>
        <v>43430</v>
      </c>
      <c r="AM15" s="764">
        <f t="shared" si="10"/>
        <v>43444</v>
      </c>
      <c r="AN15" s="766">
        <f t="shared" si="10"/>
        <v>43458</v>
      </c>
      <c r="AO15" s="1038">
        <v>43101</v>
      </c>
      <c r="AP15" s="739">
        <f t="shared" ref="AP15:AP78" si="11">INT(MATCH($A15,x.2lg)/2)*2+1</f>
        <v>1</v>
      </c>
      <c r="AQ15" s="739">
        <f t="shared" ref="AQ15:AQ78" si="12">INT((MATCH($A15,x.2lg)+1)/2)*2</f>
        <v>2</v>
      </c>
      <c r="AR15" s="740">
        <f t="shared" ref="AR15:AR78" si="13">INDEX(x.2lg,AP15)</f>
        <v>43079</v>
      </c>
      <c r="AS15" s="741">
        <f t="shared" ref="AS15:AS78" si="14">($A15-AR15)/(INDEX(x.2lg,AQ15)-AR15)</f>
        <v>0.75862068965517238</v>
      </c>
      <c r="AT15" s="757">
        <f t="shared" ref="AT15:AT78" si="15">((1-AS15)*(INDEX(a.lg,AP15)*$A15*$A15+INDEX(b.lg,AP15)*$A15+INDEX(c.lg,AP15))+AS15*(INDEX(a.lg,AQ15)*$A15*$A15+INDEX(b.lg,AQ15)*$A15+INDEX(c.lg,AQ15)))/10</f>
        <v>28.709192149135571</v>
      </c>
      <c r="AU15" s="739">
        <f t="shared" ref="AU15:AU78" si="16">INT(MATCH($A15,x.2ld)/2)*2+1</f>
        <v>1</v>
      </c>
      <c r="AV15" s="739">
        <f t="shared" ref="AV15:AV78" si="17">INT((MATCH($A15,x.2ld)+1)/2)*2</f>
        <v>2</v>
      </c>
      <c r="AW15" s="740">
        <f t="shared" ref="AW15:AW78" si="18">INDEX(x.2ld,AU15)</f>
        <v>43093</v>
      </c>
      <c r="AX15" s="741">
        <f t="shared" ref="AX15:AX78" si="19">($A15-AW15)/(INDEX(x.2ld,AV15)-AW15)</f>
        <v>0.27586206896551724</v>
      </c>
      <c r="AY15" s="757">
        <f t="shared" ref="AY15:AY78" si="20">((1-AX15)*(INDEX(a.ld,AU15)*$A15*$A15+INDEX(b.ld,AU15)*$A15+INDEX(c.ld,AU15))+AX15*(INDEX(a.ld,AV15)*$A15*$A15+INDEX(b.ld,AV15)*$A15+INDEX(c.ld,AV15)))/10</f>
        <v>28.672740348659715</v>
      </c>
      <c r="AZ15" s="734">
        <f>(AY15+AT15)/2</f>
        <v>28.690966248897645</v>
      </c>
      <c r="BA15" s="633">
        <f t="shared" ref="BA15:BA78" si="21">+B15/J15</f>
        <v>1.0062278397817872</v>
      </c>
      <c r="BC15" s="11">
        <v>43101</v>
      </c>
      <c r="BD15" s="287">
        <f>[2]!FeuilCaduc*(1-Persistant)+Persistant</f>
        <v>0.50572287428576723</v>
      </c>
      <c r="BE15" s="288">
        <f>[2]!CroissVégét</f>
        <v>2.3909964587625958E-6</v>
      </c>
      <c r="BF15" s="803">
        <f>1+[2]!Salcycl*Ksac</f>
        <v>1.0005722874285767</v>
      </c>
      <c r="BH15" s="1035">
        <f t="shared" ref="BH15:BH78" si="22">INDEX($BJ15:$BT15,,$BH$10)*(1-Ratini)+INDEX($BJ15:$BT15,,$BH$10+1)*Ratini</f>
        <v>2.3447180655474659E-3</v>
      </c>
      <c r="BI15" s="11">
        <v>44197</v>
      </c>
      <c r="BJ15" s="809">
        <v>3.3724300024351233E-4</v>
      </c>
      <c r="BK15" s="713">
        <v>4.2346439432266124E-4</v>
      </c>
      <c r="BL15" s="713">
        <v>6.1485364120560625E-4</v>
      </c>
      <c r="BM15" s="713">
        <v>1.3412409514154567E-3</v>
      </c>
      <c r="BN15" s="713">
        <v>3.3517637055040348E-3</v>
      </c>
      <c r="BO15" s="714">
        <v>6.8483318155271268E-3</v>
      </c>
      <c r="BP15" s="713">
        <v>1.2667552632118542E-2</v>
      </c>
      <c r="BQ15" s="713">
        <v>2.0341582489658092E-2</v>
      </c>
      <c r="BR15" s="713">
        <v>3.0466887600290538E-2</v>
      </c>
      <c r="BS15" s="713">
        <v>4.2730496614132495E-2</v>
      </c>
      <c r="BT15" s="713">
        <v>5.6827921824269059E-2</v>
      </c>
      <c r="BW15" s="1188">
        <f>'2019'!R\Max</f>
        <v>0</v>
      </c>
      <c r="BX15" s="1188">
        <f>'2020'!R\Max</f>
        <v>0.57132645571327445</v>
      </c>
      <c r="BY15" s="1188">
        <f>'2021'!R\Max</f>
        <v>0.26245352938565053</v>
      </c>
      <c r="BZ15" s="1188">
        <f>'2022'!R\Max</f>
        <v>1.0062278397817872</v>
      </c>
      <c r="CA15" s="1188">
        <f>'2023'!R\Max</f>
        <v>0.36721853581138486</v>
      </c>
      <c r="CB15" s="1188">
        <f>'2024'!R\Max</f>
        <v>0.36712623438040431</v>
      </c>
      <c r="CC15" s="1188">
        <f>'2025'!R\Max</f>
        <v>0.36700455755627814</v>
      </c>
      <c r="CD15" s="1188">
        <f>'2026'!R\Max</f>
        <v>0.36688281995991895</v>
      </c>
      <c r="CE15" s="1189">
        <f>'2027'!R\Max</f>
        <v>0.36742322769448138</v>
      </c>
      <c r="CF15" s="1190">
        <f>'2028'!R\Max</f>
        <v>0.36736899377320587</v>
      </c>
    </row>
    <row r="16" spans="1:84" s="6" customFormat="1" ht="11.25" x14ac:dyDescent="0.2">
      <c r="A16" s="11">
        <v>43102</v>
      </c>
      <c r="B16" s="379">
        <f>'2023'!Maxi_hp</f>
        <v>27.700774451172606</v>
      </c>
      <c r="C16" s="13">
        <f>'2023'!An_max</f>
        <v>2020</v>
      </c>
      <c r="D16" s="1045" t="str">
        <f t="shared" si="7"/>
        <v/>
      </c>
      <c r="E16" s="1040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3">
        <f t="shared" si="8"/>
        <v>43093</v>
      </c>
      <c r="I16" s="742">
        <f t="shared" si="9"/>
        <v>0.6</v>
      </c>
      <c r="J16" s="735">
        <f>((1-I16)*(INDEX(a.m,F16)*$A16*$A16+INDEX(b.m,F16)*$A16+INDEX(c.m,F16))+I16*(INDEX(a.m,G16)*$A16*$A16+INDEX(b.m,G16)*$A16+INDEX(c.m,G16)))/10</f>
        <v>28.739311035573486</v>
      </c>
      <c r="L16" s="744" t="s">
        <v>208</v>
      </c>
      <c r="M16" s="730">
        <f t="shared" ref="M16:AN16" si="25">L13</f>
        <v>280.72500000000002</v>
      </c>
      <c r="N16" s="769">
        <f t="shared" si="25"/>
        <v>277.77</v>
      </c>
      <c r="O16" s="731">
        <f t="shared" si="25"/>
        <v>298.45499999999998</v>
      </c>
      <c r="P16" s="731">
        <f t="shared" si="25"/>
        <v>337.85500000000002</v>
      </c>
      <c r="Q16" s="731">
        <f t="shared" si="25"/>
        <v>388.09</v>
      </c>
      <c r="R16" s="731">
        <f t="shared" si="25"/>
        <v>441.28</v>
      </c>
      <c r="S16" s="731">
        <f t="shared" si="25"/>
        <v>491.51499999999999</v>
      </c>
      <c r="T16" s="731">
        <f t="shared" si="25"/>
        <v>539.78</v>
      </c>
      <c r="U16" s="731">
        <f t="shared" si="25"/>
        <v>581.15</v>
      </c>
      <c r="V16" s="731">
        <f t="shared" si="25"/>
        <v>608.73</v>
      </c>
      <c r="W16" s="731">
        <f t="shared" si="25"/>
        <v>623.505</v>
      </c>
      <c r="X16" s="731">
        <f t="shared" si="25"/>
        <v>630.4</v>
      </c>
      <c r="Y16" s="731">
        <f t="shared" si="25"/>
        <v>631.38499999999999</v>
      </c>
      <c r="Z16" s="731">
        <f t="shared" si="25"/>
        <v>627.44499999999994</v>
      </c>
      <c r="AA16" s="731">
        <f t="shared" si="25"/>
        <v>619.56499999999994</v>
      </c>
      <c r="AB16" s="731">
        <f t="shared" si="25"/>
        <v>607.745</v>
      </c>
      <c r="AC16" s="731">
        <f t="shared" si="25"/>
        <v>593.95500000000004</v>
      </c>
      <c r="AD16" s="731">
        <f t="shared" si="25"/>
        <v>578.19499999999994</v>
      </c>
      <c r="AE16" s="731">
        <f t="shared" si="25"/>
        <v>559.48</v>
      </c>
      <c r="AF16" s="731">
        <f t="shared" si="25"/>
        <v>538.79499999999996</v>
      </c>
      <c r="AG16" s="731">
        <f t="shared" si="25"/>
        <v>512.20000000000005</v>
      </c>
      <c r="AH16" s="731">
        <f t="shared" si="25"/>
        <v>476.74</v>
      </c>
      <c r="AI16" s="731">
        <f t="shared" si="25"/>
        <v>433.4</v>
      </c>
      <c r="AJ16" s="731">
        <f t="shared" si="25"/>
        <v>384.15</v>
      </c>
      <c r="AK16" s="731">
        <f t="shared" si="25"/>
        <v>339.82499999999999</v>
      </c>
      <c r="AL16" s="731">
        <f t="shared" si="25"/>
        <v>302.39499999999998</v>
      </c>
      <c r="AM16" s="731">
        <f t="shared" si="25"/>
        <v>280.72500000000002</v>
      </c>
      <c r="AN16" s="767">
        <f t="shared" si="25"/>
        <v>277.77</v>
      </c>
      <c r="AO16" s="1038">
        <v>43102</v>
      </c>
      <c r="AP16" s="13">
        <f t="shared" si="11"/>
        <v>1</v>
      </c>
      <c r="AQ16" s="13">
        <f t="shared" si="12"/>
        <v>2</v>
      </c>
      <c r="AR16" s="173">
        <f t="shared" si="13"/>
        <v>43079</v>
      </c>
      <c r="AS16" s="742">
        <f t="shared" si="14"/>
        <v>0.7931034482758621</v>
      </c>
      <c r="AT16" s="758">
        <f t="shared" si="15"/>
        <v>28.84502794588434</v>
      </c>
      <c r="AU16" s="13">
        <f t="shared" si="16"/>
        <v>1</v>
      </c>
      <c r="AV16" s="13">
        <f t="shared" si="17"/>
        <v>2</v>
      </c>
      <c r="AW16" s="173">
        <f t="shared" si="18"/>
        <v>43093</v>
      </c>
      <c r="AX16" s="742">
        <f t="shared" si="19"/>
        <v>0.31034482758620691</v>
      </c>
      <c r="AY16" s="758">
        <f t="shared" si="20"/>
        <v>28.839994762709431</v>
      </c>
      <c r="AZ16" s="735">
        <f t="shared" ref="AZ16:AZ79" si="26">(AY16+AT16)/2</f>
        <v>28.842511354296885</v>
      </c>
      <c r="BA16" s="633">
        <f>+B16/J16</f>
        <v>0.9638635531966866</v>
      </c>
      <c r="BC16" s="11">
        <v>43102</v>
      </c>
      <c r="BD16" s="289">
        <f>[2]!FeuilCaduc*(1-Persistant)+Persistant</f>
        <v>0.50532281581379923</v>
      </c>
      <c r="BE16" s="290">
        <f>[2]!CroissVégét</f>
        <v>6.0820224447240291E-5</v>
      </c>
      <c r="BF16" s="804">
        <f>1+[2]!Salcycl*Ksac</f>
        <v>1.00053228158138</v>
      </c>
      <c r="BH16" s="1036">
        <f t="shared" si="22"/>
        <v>2.2514560809555519E-3</v>
      </c>
      <c r="BI16" s="11">
        <v>44198</v>
      </c>
      <c r="BJ16" s="715">
        <v>3.3431531947300129E-4</v>
      </c>
      <c r="BK16" s="715">
        <v>4.1526729726035981E-4</v>
      </c>
      <c r="BL16" s="715">
        <v>5.9743915046085402E-4</v>
      </c>
      <c r="BM16" s="715">
        <v>1.297644383710967E-3</v>
      </c>
      <c r="BN16" s="715">
        <v>3.2086596858235893E-3</v>
      </c>
      <c r="BO16" s="716">
        <v>6.6029330117225067E-3</v>
      </c>
      <c r="BP16" s="715">
        <v>1.236408753526593E-2</v>
      </c>
      <c r="BQ16" s="715">
        <v>2.0028315637422175E-2</v>
      </c>
      <c r="BR16" s="715">
        <v>3.0150848795881171E-2</v>
      </c>
      <c r="BS16" s="715">
        <v>4.2347469807102252E-2</v>
      </c>
      <c r="BT16" s="715">
        <v>5.6367423982251197E-2</v>
      </c>
      <c r="BW16" s="1188">
        <f>'2019'!R\Max</f>
        <v>0</v>
      </c>
      <c r="BX16" s="1188">
        <f>'2020'!R\Max</f>
        <v>0.9638635531966866</v>
      </c>
      <c r="BY16" s="1188">
        <f>'2021'!R\Max</f>
        <v>0.14197808785954305</v>
      </c>
      <c r="BZ16" s="1188">
        <f>'2022'!R\Max</f>
        <v>0.62893131589324802</v>
      </c>
      <c r="CA16" s="1188">
        <f>'2023'!R\Max</f>
        <v>5.849451307223217E-2</v>
      </c>
      <c r="CB16" s="1188">
        <f>'2024'!R\Max</f>
        <v>5.8478503526052515E-2</v>
      </c>
      <c r="CC16" s="1188">
        <f>'2025'!R\Max</f>
        <v>5.8457214639354813E-2</v>
      </c>
      <c r="CD16" s="1188">
        <f>'2026'!R\Max</f>
        <v>5.8435916683670534E-2</v>
      </c>
      <c r="CE16" s="1189">
        <f>'2027'!R\Max</f>
        <v>5.8529634216744605E-2</v>
      </c>
      <c r="CF16" s="1191">
        <f>'2028'!R\Max</f>
        <v>5.8520415002402522E-2</v>
      </c>
    </row>
    <row r="17" spans="1:84" s="6" customFormat="1" ht="11.25" x14ac:dyDescent="0.2">
      <c r="A17" s="11">
        <v>43103</v>
      </c>
      <c r="B17" s="379">
        <f>'2023'!Maxi_hp</f>
        <v>27.58667687662351</v>
      </c>
      <c r="C17" s="13">
        <f>'2023'!An_max</f>
        <v>2021</v>
      </c>
      <c r="D17" s="1045" t="str">
        <f t="shared" si="7"/>
        <v/>
      </c>
      <c r="E17" s="1040"/>
      <c r="F17" s="13">
        <f t="shared" si="23"/>
        <v>1</v>
      </c>
      <c r="G17" s="13">
        <f t="shared" si="24"/>
        <v>2</v>
      </c>
      <c r="H17" s="173">
        <f t="shared" si="8"/>
        <v>43093</v>
      </c>
      <c r="I17" s="742">
        <f t="shared" si="9"/>
        <v>0.66666666666666663</v>
      </c>
      <c r="J17" s="735">
        <f t="shared" ref="J17:J78" si="27">((1-I17)*(INDEX(a.m,F17)*$A17*$A17+INDEX(b.m,F17)*$A17+INDEX(c.m,F17))+I17*(INDEX(a.m,G17)*$A17*$A17+INDEX(b.m,G17)*$A17+INDEX(c.m,G17)))/10</f>
        <v>28.899641215304534</v>
      </c>
      <c r="L17" s="744" t="s">
        <v>209</v>
      </c>
      <c r="M17" s="770">
        <f t="shared" ref="M17:AN17" si="28">M12</f>
        <v>43093</v>
      </c>
      <c r="N17" s="726">
        <f t="shared" si="28"/>
        <v>43108</v>
      </c>
      <c r="O17" s="726">
        <f t="shared" si="28"/>
        <v>43122</v>
      </c>
      <c r="P17" s="726">
        <f t="shared" si="28"/>
        <v>43136</v>
      </c>
      <c r="Q17" s="726">
        <f t="shared" si="28"/>
        <v>43150</v>
      </c>
      <c r="R17" s="726">
        <f t="shared" si="28"/>
        <v>43164</v>
      </c>
      <c r="S17" s="726">
        <f t="shared" si="28"/>
        <v>43178</v>
      </c>
      <c r="T17" s="726">
        <f t="shared" si="28"/>
        <v>43192</v>
      </c>
      <c r="U17" s="726">
        <f t="shared" si="28"/>
        <v>43206</v>
      </c>
      <c r="V17" s="726">
        <f t="shared" si="28"/>
        <v>43220</v>
      </c>
      <c r="W17" s="726">
        <f t="shared" si="28"/>
        <v>43234</v>
      </c>
      <c r="X17" s="726">
        <f t="shared" si="28"/>
        <v>43248</v>
      </c>
      <c r="Y17" s="726">
        <f t="shared" si="28"/>
        <v>43262</v>
      </c>
      <c r="Z17" s="726">
        <f t="shared" si="28"/>
        <v>43276</v>
      </c>
      <c r="AA17" s="726">
        <f t="shared" si="28"/>
        <v>43290</v>
      </c>
      <c r="AB17" s="726">
        <f t="shared" si="28"/>
        <v>43304</v>
      </c>
      <c r="AC17" s="726">
        <f t="shared" si="28"/>
        <v>43318</v>
      </c>
      <c r="AD17" s="726">
        <f t="shared" si="28"/>
        <v>43332</v>
      </c>
      <c r="AE17" s="726">
        <f t="shared" si="28"/>
        <v>43346</v>
      </c>
      <c r="AF17" s="726">
        <f t="shared" si="28"/>
        <v>43360</v>
      </c>
      <c r="AG17" s="726">
        <f t="shared" si="28"/>
        <v>43374</v>
      </c>
      <c r="AH17" s="726">
        <f t="shared" si="28"/>
        <v>43388</v>
      </c>
      <c r="AI17" s="726">
        <f t="shared" si="28"/>
        <v>43402</v>
      </c>
      <c r="AJ17" s="726">
        <f t="shared" si="28"/>
        <v>43416</v>
      </c>
      <c r="AK17" s="726">
        <f t="shared" si="28"/>
        <v>43430</v>
      </c>
      <c r="AL17" s="726">
        <f t="shared" si="28"/>
        <v>43444</v>
      </c>
      <c r="AM17" s="768">
        <f t="shared" si="28"/>
        <v>43458</v>
      </c>
      <c r="AN17" s="775">
        <f t="shared" si="28"/>
        <v>43473</v>
      </c>
      <c r="AO17" s="1038">
        <v>43103</v>
      </c>
      <c r="AP17" s="13">
        <f t="shared" si="11"/>
        <v>1</v>
      </c>
      <c r="AQ17" s="13">
        <f t="shared" si="12"/>
        <v>2</v>
      </c>
      <c r="AR17" s="173">
        <f t="shared" si="13"/>
        <v>43079</v>
      </c>
      <c r="AS17" s="742">
        <f t="shared" si="14"/>
        <v>0.82758620689655171</v>
      </c>
      <c r="AT17" s="758">
        <f t="shared" si="15"/>
        <v>28.989775032832704</v>
      </c>
      <c r="AU17" s="13">
        <f t="shared" si="16"/>
        <v>1</v>
      </c>
      <c r="AV17" s="13">
        <f t="shared" si="17"/>
        <v>2</v>
      </c>
      <c r="AW17" s="173">
        <f t="shared" si="18"/>
        <v>43093</v>
      </c>
      <c r="AX17" s="742">
        <f t="shared" si="19"/>
        <v>0.34482758620689657</v>
      </c>
      <c r="AY17" s="758">
        <f t="shared" si="20"/>
        <v>29.017926547085416</v>
      </c>
      <c r="AZ17" s="735">
        <f t="shared" si="26"/>
        <v>29.00385078995906</v>
      </c>
      <c r="BA17" s="633">
        <f t="shared" si="21"/>
        <v>0.95456814398146539</v>
      </c>
      <c r="BC17" s="11">
        <v>43103</v>
      </c>
      <c r="BD17" s="289">
        <f>[2]!FeuilCaduc*(1-Persistant)+Persistant</f>
        <v>0.50494526823035868</v>
      </c>
      <c r="BE17" s="290">
        <f>[2]!CroissVégét</f>
        <v>1.216934154264056E-4</v>
      </c>
      <c r="BF17" s="804">
        <f>1+[2]!Salcycl*Ksac</f>
        <v>1.0004945268230359</v>
      </c>
      <c r="BH17" s="1036">
        <f t="shared" si="22"/>
        <v>2.1578595021708854E-3</v>
      </c>
      <c r="BI17" s="11">
        <v>44199</v>
      </c>
      <c r="BJ17" s="715">
        <v>3.3055156313649349E-4</v>
      </c>
      <c r="BK17" s="715">
        <v>4.0626159062405204E-4</v>
      </c>
      <c r="BL17" s="715">
        <v>5.7911404935763271E-4</v>
      </c>
      <c r="BM17" s="715">
        <v>1.2528696197267601E-3</v>
      </c>
      <c r="BN17" s="715">
        <v>3.0660676740218995E-3</v>
      </c>
      <c r="BO17" s="716">
        <v>6.3580114149908995E-3</v>
      </c>
      <c r="BP17" s="715">
        <v>1.2047126409209949E-2</v>
      </c>
      <c r="BQ17" s="715">
        <v>1.9680575836385373E-2</v>
      </c>
      <c r="BR17" s="715">
        <v>2.978372911894682E-2</v>
      </c>
      <c r="BS17" s="715">
        <v>4.1910055338845204E-2</v>
      </c>
      <c r="BT17" s="715">
        <v>5.585345921214982E-2</v>
      </c>
      <c r="BW17" s="1188">
        <f>'2019'!R\Max</f>
        <v>0</v>
      </c>
      <c r="BX17" s="1188">
        <f>'2020'!R\Max</f>
        <v>0.29642385567574053</v>
      </c>
      <c r="BY17" s="1188">
        <f>'2021'!R\Max</f>
        <v>0.95456814398146539</v>
      </c>
      <c r="BZ17" s="1188">
        <f>'2022'!R\Max</f>
        <v>0.73209658706460645</v>
      </c>
      <c r="CA17" s="1188">
        <f>'2023'!R\Max</f>
        <v>0.59892299813387651</v>
      </c>
      <c r="CB17" s="1188">
        <f>'2024'!R\Max</f>
        <v>0.5988308522886121</v>
      </c>
      <c r="CC17" s="1188">
        <f>'2025'!R\Max</f>
        <v>0.59870723319843566</v>
      </c>
      <c r="CD17" s="1188">
        <f>'2026'!R\Max</f>
        <v>0.59858352392206926</v>
      </c>
      <c r="CE17" s="1189">
        <f>'2027'!R\Max</f>
        <v>0.59912307341471005</v>
      </c>
      <c r="CF17" s="1191">
        <f>'2028'!R\Max</f>
        <v>0.59907101936565066</v>
      </c>
    </row>
    <row r="18" spans="1:84" s="6" customFormat="1" ht="11.25" x14ac:dyDescent="0.2">
      <c r="A18" s="11">
        <v>43104</v>
      </c>
      <c r="B18" s="379">
        <f>'2023'!Maxi_hp</f>
        <v>23.787440527034882</v>
      </c>
      <c r="C18" s="13">
        <f>'2023'!An_max</f>
        <v>2021</v>
      </c>
      <c r="D18" s="1045" t="str">
        <f t="shared" si="7"/>
        <v/>
      </c>
      <c r="E18" s="1040"/>
      <c r="F18" s="13">
        <f t="shared" si="23"/>
        <v>1</v>
      </c>
      <c r="G18" s="13">
        <f t="shared" si="24"/>
        <v>2</v>
      </c>
      <c r="H18" s="173">
        <f t="shared" si="8"/>
        <v>43093</v>
      </c>
      <c r="I18" s="742">
        <f t="shared" si="9"/>
        <v>0.73333333333333328</v>
      </c>
      <c r="J18" s="735">
        <f t="shared" si="27"/>
        <v>29.069869918723903</v>
      </c>
      <c r="L18" s="744" t="s">
        <v>210</v>
      </c>
      <c r="M18" s="769">
        <f t="shared" ref="M18:AN18" si="29">M13</f>
        <v>277.77</v>
      </c>
      <c r="N18" s="732">
        <f t="shared" si="29"/>
        <v>298.45499999999998</v>
      </c>
      <c r="O18" s="732">
        <f t="shared" si="29"/>
        <v>337.85500000000002</v>
      </c>
      <c r="P18" s="732">
        <f t="shared" si="29"/>
        <v>388.09</v>
      </c>
      <c r="Q18" s="732">
        <f t="shared" si="29"/>
        <v>441.28</v>
      </c>
      <c r="R18" s="732">
        <f t="shared" si="29"/>
        <v>491.51499999999999</v>
      </c>
      <c r="S18" s="732">
        <f t="shared" si="29"/>
        <v>539.78</v>
      </c>
      <c r="T18" s="732">
        <f t="shared" si="29"/>
        <v>581.15</v>
      </c>
      <c r="U18" s="732">
        <f t="shared" si="29"/>
        <v>608.73</v>
      </c>
      <c r="V18" s="732">
        <f t="shared" si="29"/>
        <v>623.505</v>
      </c>
      <c r="W18" s="732">
        <f t="shared" si="29"/>
        <v>630.4</v>
      </c>
      <c r="X18" s="732">
        <f t="shared" si="29"/>
        <v>631.38499999999999</v>
      </c>
      <c r="Y18" s="732">
        <f t="shared" si="29"/>
        <v>627.44499999999994</v>
      </c>
      <c r="Z18" s="732">
        <f t="shared" si="29"/>
        <v>619.56499999999994</v>
      </c>
      <c r="AA18" s="732">
        <f t="shared" si="29"/>
        <v>607.745</v>
      </c>
      <c r="AB18" s="732">
        <f t="shared" si="29"/>
        <v>593.95500000000004</v>
      </c>
      <c r="AC18" s="732">
        <f t="shared" si="29"/>
        <v>578.19499999999994</v>
      </c>
      <c r="AD18" s="732">
        <f t="shared" si="29"/>
        <v>559.48</v>
      </c>
      <c r="AE18" s="732">
        <f t="shared" si="29"/>
        <v>538.79499999999996</v>
      </c>
      <c r="AF18" s="732">
        <f t="shared" si="29"/>
        <v>512.20000000000005</v>
      </c>
      <c r="AG18" s="732">
        <f t="shared" si="29"/>
        <v>476.74</v>
      </c>
      <c r="AH18" s="732">
        <f t="shared" si="29"/>
        <v>433.4</v>
      </c>
      <c r="AI18" s="732">
        <f t="shared" si="29"/>
        <v>384.15</v>
      </c>
      <c r="AJ18" s="732">
        <f t="shared" si="29"/>
        <v>339.82499999999999</v>
      </c>
      <c r="AK18" s="732">
        <f t="shared" si="29"/>
        <v>302.39499999999998</v>
      </c>
      <c r="AL18" s="732">
        <f t="shared" si="29"/>
        <v>280.72500000000002</v>
      </c>
      <c r="AM18" s="767">
        <f t="shared" si="29"/>
        <v>277.77</v>
      </c>
      <c r="AN18" s="765">
        <f t="shared" si="29"/>
        <v>298.45499999999998</v>
      </c>
      <c r="AO18" s="1038">
        <v>43104</v>
      </c>
      <c r="AP18" s="13">
        <f t="shared" si="11"/>
        <v>1</v>
      </c>
      <c r="AQ18" s="13">
        <f t="shared" si="12"/>
        <v>2</v>
      </c>
      <c r="AR18" s="173">
        <f t="shared" si="13"/>
        <v>43079</v>
      </c>
      <c r="AS18" s="742">
        <f t="shared" si="14"/>
        <v>0.86206896551724133</v>
      </c>
      <c r="AT18" s="758">
        <f t="shared" si="15"/>
        <v>29.143385411696187</v>
      </c>
      <c r="AU18" s="13">
        <f t="shared" si="16"/>
        <v>1</v>
      </c>
      <c r="AV18" s="13">
        <f t="shared" si="17"/>
        <v>2</v>
      </c>
      <c r="AW18" s="173">
        <f t="shared" si="18"/>
        <v>43093</v>
      </c>
      <c r="AX18" s="742">
        <f t="shared" si="19"/>
        <v>0.37931034482758619</v>
      </c>
      <c r="AY18" s="758">
        <f t="shared" si="20"/>
        <v>29.206053125472931</v>
      </c>
      <c r="AZ18" s="735">
        <f t="shared" si="26"/>
        <v>29.17471926858456</v>
      </c>
      <c r="BA18" s="633">
        <f t="shared" si="21"/>
        <v>0.81828506950811608</v>
      </c>
      <c r="BC18" s="11">
        <v>43104</v>
      </c>
      <c r="BD18" s="289">
        <f>[2]!FeuilCaduc*(1-Persistant)+Persistant</f>
        <v>0.50458789025208151</v>
      </c>
      <c r="BE18" s="290">
        <f>[2]!CroissVégét</f>
        <v>1.8511247801664469E-4</v>
      </c>
      <c r="BF18" s="804">
        <f>1+[2]!Salcycl*Ksac</f>
        <v>1.0004587890252081</v>
      </c>
      <c r="BH18" s="1036">
        <f t="shared" si="22"/>
        <v>2.0639209908875373E-3</v>
      </c>
      <c r="BI18" s="11">
        <v>44200</v>
      </c>
      <c r="BJ18" s="715">
        <v>3.2594963309293156E-4</v>
      </c>
      <c r="BK18" s="715">
        <v>3.9644494727419309E-4</v>
      </c>
      <c r="BL18" s="715">
        <v>5.5987528957904037E-4</v>
      </c>
      <c r="BM18" s="715">
        <v>1.2069111255861612E-3</v>
      </c>
      <c r="BN18" s="715">
        <v>2.9239785209469438E-3</v>
      </c>
      <c r="BO18" s="716">
        <v>6.1135479330984384E-3</v>
      </c>
      <c r="BP18" s="715">
        <v>1.1716614544188535E-2</v>
      </c>
      <c r="BQ18" s="715">
        <v>1.9298258327466285E-2</v>
      </c>
      <c r="BR18" s="715">
        <v>2.9365373836894044E-2</v>
      </c>
      <c r="BS18" s="715">
        <v>4.141806162975855E-2</v>
      </c>
      <c r="BT18" s="715">
        <v>5.5285800386370057E-2</v>
      </c>
      <c r="BW18" s="1188">
        <f>'2019'!R\Max</f>
        <v>0</v>
      </c>
      <c r="BX18" s="1188">
        <f>'2020'!R\Max</f>
        <v>0.23026970090389215</v>
      </c>
      <c r="BY18" s="1188">
        <f>'2021'!R\Max</f>
        <v>0.81828506950811608</v>
      </c>
      <c r="BZ18" s="1188">
        <f>'2022'!R\Max</f>
        <v>0.7596481480178866</v>
      </c>
      <c r="CA18" s="1188">
        <f>'2023'!R\Max</f>
        <v>0.53335600447315923</v>
      </c>
      <c r="CB18" s="1188">
        <f>'2024'!R\Max</f>
        <v>0.53326259617014571</v>
      </c>
      <c r="CC18" s="1188">
        <f>'2025'!R\Max</f>
        <v>0.53313622956539541</v>
      </c>
      <c r="CD18" s="1188">
        <f>'2026'!R\Max</f>
        <v>0.53300978049638725</v>
      </c>
      <c r="CE18" s="1189">
        <f>'2027'!R\Max</f>
        <v>0.53355703092787843</v>
      </c>
      <c r="CF18" s="1191">
        <f>'2028'!R\Max</f>
        <v>0.53350514530345916</v>
      </c>
    </row>
    <row r="19" spans="1:84" s="6" customFormat="1" ht="11.25" x14ac:dyDescent="0.2">
      <c r="A19" s="11">
        <v>43105</v>
      </c>
      <c r="B19" s="379">
        <f>'2023'!Maxi_hp</f>
        <v>16.919002934899346</v>
      </c>
      <c r="C19" s="13">
        <f>'2023'!An_max</f>
        <v>2022</v>
      </c>
      <c r="D19" s="1045" t="str">
        <f t="shared" si="7"/>
        <v/>
      </c>
      <c r="E19" s="1040"/>
      <c r="F19" s="13">
        <f t="shared" si="23"/>
        <v>1</v>
      </c>
      <c r="G19" s="13">
        <f t="shared" si="24"/>
        <v>2</v>
      </c>
      <c r="H19" s="173">
        <f t="shared" si="8"/>
        <v>43093</v>
      </c>
      <c r="I19" s="742">
        <f t="shared" si="9"/>
        <v>0.8</v>
      </c>
      <c r="J19" s="735">
        <f t="shared" si="27"/>
        <v>29.249783646166328</v>
      </c>
      <c r="L19" s="744" t="s">
        <v>211</v>
      </c>
      <c r="M19" s="771">
        <f t="shared" ref="M19:AN19" si="30">N12</f>
        <v>43108</v>
      </c>
      <c r="N19" s="727">
        <f t="shared" si="30"/>
        <v>43122</v>
      </c>
      <c r="O19" s="727">
        <f t="shared" si="30"/>
        <v>43136</v>
      </c>
      <c r="P19" s="727">
        <f t="shared" si="30"/>
        <v>43150</v>
      </c>
      <c r="Q19" s="727">
        <f t="shared" si="30"/>
        <v>43164</v>
      </c>
      <c r="R19" s="727">
        <f t="shared" si="30"/>
        <v>43178</v>
      </c>
      <c r="S19" s="727">
        <f t="shared" si="30"/>
        <v>43192</v>
      </c>
      <c r="T19" s="727">
        <f t="shared" si="30"/>
        <v>43206</v>
      </c>
      <c r="U19" s="727">
        <f t="shared" si="30"/>
        <v>43220</v>
      </c>
      <c r="V19" s="727">
        <f t="shared" si="30"/>
        <v>43234</v>
      </c>
      <c r="W19" s="727">
        <f t="shared" si="30"/>
        <v>43248</v>
      </c>
      <c r="X19" s="727">
        <f t="shared" si="30"/>
        <v>43262</v>
      </c>
      <c r="Y19" s="727">
        <f t="shared" si="30"/>
        <v>43276</v>
      </c>
      <c r="Z19" s="727">
        <f t="shared" si="30"/>
        <v>43290</v>
      </c>
      <c r="AA19" s="727">
        <f t="shared" si="30"/>
        <v>43304</v>
      </c>
      <c r="AB19" s="727">
        <f t="shared" si="30"/>
        <v>43318</v>
      </c>
      <c r="AC19" s="727">
        <f t="shared" si="30"/>
        <v>43332</v>
      </c>
      <c r="AD19" s="727">
        <f t="shared" si="30"/>
        <v>43346</v>
      </c>
      <c r="AE19" s="727">
        <f t="shared" si="30"/>
        <v>43360</v>
      </c>
      <c r="AF19" s="727">
        <f t="shared" si="30"/>
        <v>43374</v>
      </c>
      <c r="AG19" s="727">
        <f t="shared" si="30"/>
        <v>43388</v>
      </c>
      <c r="AH19" s="727">
        <f t="shared" si="30"/>
        <v>43402</v>
      </c>
      <c r="AI19" s="727">
        <f t="shared" si="30"/>
        <v>43416</v>
      </c>
      <c r="AJ19" s="727">
        <f t="shared" si="30"/>
        <v>43430</v>
      </c>
      <c r="AK19" s="727">
        <f t="shared" si="30"/>
        <v>43444</v>
      </c>
      <c r="AL19" s="768">
        <f t="shared" si="30"/>
        <v>43458</v>
      </c>
      <c r="AM19" s="728">
        <f t="shared" si="30"/>
        <v>43473</v>
      </c>
      <c r="AN19" s="728">
        <f t="shared" si="30"/>
        <v>43487</v>
      </c>
      <c r="AO19" s="1038">
        <v>43105</v>
      </c>
      <c r="AP19" s="13">
        <f t="shared" si="11"/>
        <v>1</v>
      </c>
      <c r="AQ19" s="13">
        <f t="shared" si="12"/>
        <v>2</v>
      </c>
      <c r="AR19" s="173">
        <f t="shared" si="13"/>
        <v>43079</v>
      </c>
      <c r="AS19" s="742">
        <f t="shared" si="14"/>
        <v>0.89655172413793105</v>
      </c>
      <c r="AT19" s="758">
        <f t="shared" si="15"/>
        <v>29.305811091640901</v>
      </c>
      <c r="AU19" s="13">
        <f t="shared" si="16"/>
        <v>1</v>
      </c>
      <c r="AV19" s="13">
        <f t="shared" si="17"/>
        <v>2</v>
      </c>
      <c r="AW19" s="173">
        <f t="shared" si="18"/>
        <v>43093</v>
      </c>
      <c r="AX19" s="742">
        <f t="shared" si="19"/>
        <v>0.41379310344827586</v>
      </c>
      <c r="AY19" s="758">
        <f t="shared" si="20"/>
        <v>29.403891916727201</v>
      </c>
      <c r="AZ19" s="735">
        <f t="shared" si="26"/>
        <v>29.354851504184051</v>
      </c>
      <c r="BA19" s="633">
        <f t="shared" si="21"/>
        <v>0.57843172925885433</v>
      </c>
      <c r="BC19" s="11">
        <v>43105</v>
      </c>
      <c r="BD19" s="289">
        <f>[2]!FeuilCaduc*(1-Persistant)+Persistant</f>
        <v>0.5042486426105478</v>
      </c>
      <c r="BE19" s="290">
        <f>[2]!CroissVégét</f>
        <v>2.5118354313997834E-4</v>
      </c>
      <c r="BF19" s="804">
        <f>1+[2]!Salcycl*Ksac</f>
        <v>1.0004248642610547</v>
      </c>
      <c r="BH19" s="1036">
        <f t="shared" si="22"/>
        <v>1.9696341708415519E-3</v>
      </c>
      <c r="BI19" s="11">
        <v>44201</v>
      </c>
      <c r="BJ19" s="715">
        <v>3.2050745819759687E-4</v>
      </c>
      <c r="BK19" s="715">
        <v>3.8581512145353399E-4</v>
      </c>
      <c r="BL19" s="715">
        <v>5.3971999870623406E-4</v>
      </c>
      <c r="BM19" s="715">
        <v>1.1597638127779654E-3</v>
      </c>
      <c r="BN19" s="715">
        <v>2.7823845580025584E-3</v>
      </c>
      <c r="BO19" s="716">
        <v>5.8695260158109436E-3</v>
      </c>
      <c r="BP19" s="715">
        <v>1.1372500317824698E-2</v>
      </c>
      <c r="BQ19" s="715">
        <v>1.888126146234529E-2</v>
      </c>
      <c r="BR19" s="715">
        <v>2.8895631314832231E-2</v>
      </c>
      <c r="BS19" s="715">
        <v>4.0871300923013477E-2</v>
      </c>
      <c r="BT19" s="715">
        <v>5.466422506389057E-2</v>
      </c>
      <c r="BW19" s="1188">
        <f>'2019'!R\Max</f>
        <v>0</v>
      </c>
      <c r="BX19" s="1188">
        <f>'2020'!R\Max</f>
        <v>0.47086902227928906</v>
      </c>
      <c r="BY19" s="1188">
        <f>'2021'!R\Max</f>
        <v>0.11454375924389984</v>
      </c>
      <c r="BZ19" s="1188">
        <f>'2022'!R\Max</f>
        <v>0.57843172925885433</v>
      </c>
      <c r="CA19" s="1188">
        <f>'2023'!R\Max</f>
        <v>0.52339024968782877</v>
      </c>
      <c r="CB19" s="1188">
        <f>'2024'!R\Max</f>
        <v>0.52329893030199703</v>
      </c>
      <c r="CC19" s="1188">
        <f>'2025'!R\Max</f>
        <v>0.52317435242722687</v>
      </c>
      <c r="CD19" s="1188">
        <f>'2026'!R\Max</f>
        <v>0.5230496959616423</v>
      </c>
      <c r="CE19" s="1189">
        <f>'2027'!R\Max</f>
        <v>0.52358522603792712</v>
      </c>
      <c r="CF19" s="1191">
        <f>'2028'!R\Max</f>
        <v>0.52353526724070765</v>
      </c>
    </row>
    <row r="20" spans="1:84" s="6" customFormat="1" ht="11.25" x14ac:dyDescent="0.2">
      <c r="A20" s="11">
        <v>43106</v>
      </c>
      <c r="B20" s="379">
        <f>'2023'!Maxi_hp</f>
        <v>29.950318368832068</v>
      </c>
      <c r="C20" s="13">
        <f>'2023'!An_max</f>
        <v>2020</v>
      </c>
      <c r="D20" s="1045">
        <f t="shared" si="7"/>
        <v>1.0173629041329195</v>
      </c>
      <c r="E20" s="1040"/>
      <c r="F20" s="13">
        <f t="shared" si="23"/>
        <v>1</v>
      </c>
      <c r="G20" s="13">
        <f t="shared" si="24"/>
        <v>2</v>
      </c>
      <c r="H20" s="173">
        <f t="shared" si="8"/>
        <v>43093</v>
      </c>
      <c r="I20" s="742">
        <f t="shared" si="9"/>
        <v>0.8666666666666667</v>
      </c>
      <c r="J20" s="735">
        <f t="shared" si="27"/>
        <v>29.43916890144348</v>
      </c>
      <c r="L20" s="744" t="s">
        <v>212</v>
      </c>
      <c r="M20" s="772">
        <f>N13</f>
        <v>298.45499999999998</v>
      </c>
      <c r="N20" s="732">
        <f t="shared" ref="N20:AN20" si="31">O13</f>
        <v>337.85500000000002</v>
      </c>
      <c r="O20" s="732">
        <f t="shared" si="31"/>
        <v>388.09</v>
      </c>
      <c r="P20" s="732">
        <f t="shared" si="31"/>
        <v>441.28</v>
      </c>
      <c r="Q20" s="732">
        <f t="shared" si="31"/>
        <v>491.51499999999999</v>
      </c>
      <c r="R20" s="732">
        <f t="shared" si="31"/>
        <v>539.78</v>
      </c>
      <c r="S20" s="732">
        <f t="shared" si="31"/>
        <v>581.15</v>
      </c>
      <c r="T20" s="732">
        <f t="shared" si="31"/>
        <v>608.73</v>
      </c>
      <c r="U20" s="732">
        <f t="shared" si="31"/>
        <v>623.505</v>
      </c>
      <c r="V20" s="732">
        <f t="shared" si="31"/>
        <v>630.4</v>
      </c>
      <c r="W20" s="732">
        <f t="shared" si="31"/>
        <v>631.38499999999999</v>
      </c>
      <c r="X20" s="732">
        <f t="shared" si="31"/>
        <v>627.44499999999994</v>
      </c>
      <c r="Y20" s="732">
        <f t="shared" si="31"/>
        <v>619.56499999999994</v>
      </c>
      <c r="Z20" s="732">
        <f t="shared" si="31"/>
        <v>607.745</v>
      </c>
      <c r="AA20" s="732">
        <f t="shared" si="31"/>
        <v>593.95500000000004</v>
      </c>
      <c r="AB20" s="732">
        <f t="shared" si="31"/>
        <v>578.19499999999994</v>
      </c>
      <c r="AC20" s="732">
        <f t="shared" si="31"/>
        <v>559.48</v>
      </c>
      <c r="AD20" s="732">
        <f t="shared" si="31"/>
        <v>538.79499999999996</v>
      </c>
      <c r="AE20" s="732">
        <f t="shared" si="31"/>
        <v>512.20000000000005</v>
      </c>
      <c r="AF20" s="732">
        <f t="shared" si="31"/>
        <v>476.74</v>
      </c>
      <c r="AG20" s="732">
        <f t="shared" si="31"/>
        <v>433.4</v>
      </c>
      <c r="AH20" s="732">
        <f t="shared" si="31"/>
        <v>384.15</v>
      </c>
      <c r="AI20" s="732">
        <f t="shared" si="31"/>
        <v>339.82499999999999</v>
      </c>
      <c r="AJ20" s="732">
        <f t="shared" si="31"/>
        <v>302.39499999999998</v>
      </c>
      <c r="AK20" s="732">
        <f t="shared" si="31"/>
        <v>280.72500000000002</v>
      </c>
      <c r="AL20" s="767">
        <f t="shared" si="31"/>
        <v>277.77</v>
      </c>
      <c r="AM20" s="765">
        <f t="shared" si="31"/>
        <v>298.45499999999998</v>
      </c>
      <c r="AN20" s="765">
        <f t="shared" si="31"/>
        <v>337.85500000000002</v>
      </c>
      <c r="AO20" s="1038">
        <v>43106</v>
      </c>
      <c r="AP20" s="13">
        <f t="shared" si="11"/>
        <v>1</v>
      </c>
      <c r="AQ20" s="13">
        <f t="shared" si="12"/>
        <v>2</v>
      </c>
      <c r="AR20" s="173">
        <f t="shared" si="13"/>
        <v>43079</v>
      </c>
      <c r="AS20" s="742">
        <f t="shared" si="14"/>
        <v>0.93103448275862066</v>
      </c>
      <c r="AT20" s="758">
        <f>((1-AS20)*(INDEX(a.lg,AP20)*$A20*$A20+INDEX(b.lg,AP20)*$A20+INDEX(c.lg,AP20))+AS20*(INDEX(a.lg,AQ20)*$A20*$A20+INDEX(b.lg,AQ20)*$A20+INDEX(c.lg,AQ20)))/10</f>
        <v>29.477004081524647</v>
      </c>
      <c r="AU20" s="13">
        <f t="shared" si="16"/>
        <v>1</v>
      </c>
      <c r="AV20" s="13">
        <f t="shared" si="17"/>
        <v>2</v>
      </c>
      <c r="AW20" s="173">
        <f t="shared" si="18"/>
        <v>43093</v>
      </c>
      <c r="AX20" s="742">
        <f t="shared" si="19"/>
        <v>0.44827586206896552</v>
      </c>
      <c r="AY20" s="758">
        <f t="shared" si="20"/>
        <v>29.610960339138217</v>
      </c>
      <c r="AZ20" s="735">
        <f t="shared" si="26"/>
        <v>29.543982210331432</v>
      </c>
      <c r="BA20" s="633">
        <f t="shared" si="21"/>
        <v>1.0173629041329195</v>
      </c>
      <c r="BC20" s="11">
        <v>43106</v>
      </c>
      <c r="BD20" s="289">
        <f>[2]!FeuilCaduc*(1-Persistant)+Persistant</f>
        <v>0.50392577826410012</v>
      </c>
      <c r="BE20" s="290">
        <f>[2]!CroissVégét</f>
        <v>3.2001713664140156E-4</v>
      </c>
      <c r="BF20" s="804">
        <f>1+[2]!Salcycl*Ksac</f>
        <v>1.00039257782641</v>
      </c>
      <c r="BH20" s="1036">
        <f t="shared" si="22"/>
        <v>1.8749936344022804E-3</v>
      </c>
      <c r="BI20" s="11">
        <v>44202</v>
      </c>
      <c r="BJ20" s="715">
        <v>3.1422301560718273E-4</v>
      </c>
      <c r="BK20" s="715">
        <v>3.7436996927517704E-4</v>
      </c>
      <c r="BL20" s="715">
        <v>5.1864550311083129E-4</v>
      </c>
      <c r="BM20" s="715">
        <v>1.1114230673388845E-3</v>
      </c>
      <c r="BN20" s="715">
        <v>2.6412795810683257E-3</v>
      </c>
      <c r="BO20" s="716">
        <v>5.625931637697759E-3</v>
      </c>
      <c r="BP20" s="715">
        <v>1.1014735533802609E-2</v>
      </c>
      <c r="BQ20" s="715">
        <v>1.842948757812006E-2</v>
      </c>
      <c r="BR20" s="715">
        <v>2.8374354315263278E-2</v>
      </c>
      <c r="BS20" s="715">
        <v>4.0269590668684796E-2</v>
      </c>
      <c r="BT20" s="715">
        <v>5.3988516850984318E-2</v>
      </c>
      <c r="BW20" s="1188">
        <f>'2019'!R\Max</f>
        <v>0</v>
      </c>
      <c r="BX20" s="1188">
        <f>'2020'!R\Max</f>
        <v>1.0173629041329195</v>
      </c>
      <c r="BY20" s="1188">
        <f>'2021'!R\Max</f>
        <v>0.2582232527827889</v>
      </c>
      <c r="BZ20" s="1188">
        <f>'2022'!R\Max</f>
        <v>0.87640609106382805</v>
      </c>
      <c r="CA20" s="1188">
        <f>'2023'!R\Max</f>
        <v>0.17076061208992349</v>
      </c>
      <c r="CB20" s="1188">
        <f>'2024'!R\Max</f>
        <v>0.17071805778810706</v>
      </c>
      <c r="CC20" s="1188">
        <f>'2025'!R\Max</f>
        <v>0.1706595282695047</v>
      </c>
      <c r="CD20" s="1188">
        <f>'2026'!R\Max</f>
        <v>0.17060097546215244</v>
      </c>
      <c r="CE20" s="1189">
        <f>'2027'!R\Max</f>
        <v>0.1708508642019281</v>
      </c>
      <c r="CF20" s="1191">
        <f>'2028'!R\Max</f>
        <v>0.17082788585859754</v>
      </c>
    </row>
    <row r="21" spans="1:84" s="6" customFormat="1" ht="11.25" x14ac:dyDescent="0.2">
      <c r="A21" s="11">
        <v>43107</v>
      </c>
      <c r="B21" s="379">
        <f>'2023'!Maxi_hp</f>
        <v>19.444347736940536</v>
      </c>
      <c r="C21" s="13">
        <f>'2023'!An_max</f>
        <v>2023</v>
      </c>
      <c r="D21" s="1045" t="str">
        <f t="shared" si="7"/>
        <v/>
      </c>
      <c r="E21" s="1040"/>
      <c r="F21" s="13">
        <f t="shared" si="23"/>
        <v>1</v>
      </c>
      <c r="G21" s="13">
        <f t="shared" si="24"/>
        <v>2</v>
      </c>
      <c r="H21" s="173">
        <f t="shared" si="8"/>
        <v>43093</v>
      </c>
      <c r="I21" s="742">
        <f t="shared" si="9"/>
        <v>0.93333333333333335</v>
      </c>
      <c r="J21" s="735">
        <f t="shared" si="27"/>
        <v>29.637812185188135</v>
      </c>
      <c r="L21" s="745" t="s">
        <v>213</v>
      </c>
      <c r="M21" s="729">
        <f>x.1m*x.1m-x.2m*x.2m</f>
        <v>-1206408</v>
      </c>
      <c r="N21" s="729">
        <f t="shared" ref="N21:AM21" si="32">x.1m*x.1m-x.2m*x.2m</f>
        <v>-1293015</v>
      </c>
      <c r="O21" s="729">
        <f t="shared" si="32"/>
        <v>-1207220</v>
      </c>
      <c r="P21" s="729">
        <f t="shared" si="32"/>
        <v>-1207612</v>
      </c>
      <c r="Q21" s="729">
        <f t="shared" si="32"/>
        <v>-1208004</v>
      </c>
      <c r="R21" s="729">
        <f t="shared" si="32"/>
        <v>-1208396</v>
      </c>
      <c r="S21" s="729">
        <f t="shared" si="32"/>
        <v>-1208788</v>
      </c>
      <c r="T21" s="729">
        <f t="shared" si="32"/>
        <v>-1209180</v>
      </c>
      <c r="U21" s="729">
        <f t="shared" si="32"/>
        <v>-1209572</v>
      </c>
      <c r="V21" s="729">
        <f t="shared" si="32"/>
        <v>-1209964</v>
      </c>
      <c r="W21" s="729">
        <f t="shared" si="32"/>
        <v>-1210356</v>
      </c>
      <c r="X21" s="729">
        <f t="shared" si="32"/>
        <v>-1210748</v>
      </c>
      <c r="Y21" s="729">
        <f t="shared" si="32"/>
        <v>-1211140</v>
      </c>
      <c r="Z21" s="729">
        <f t="shared" si="32"/>
        <v>-1211532</v>
      </c>
      <c r="AA21" s="729">
        <f t="shared" si="32"/>
        <v>-1211924</v>
      </c>
      <c r="AB21" s="729">
        <f t="shared" si="32"/>
        <v>-1212316</v>
      </c>
      <c r="AC21" s="729">
        <f t="shared" si="32"/>
        <v>-1212708</v>
      </c>
      <c r="AD21" s="729">
        <f t="shared" si="32"/>
        <v>-1213100</v>
      </c>
      <c r="AE21" s="729">
        <f t="shared" si="32"/>
        <v>-1213492</v>
      </c>
      <c r="AF21" s="729">
        <f t="shared" si="32"/>
        <v>-1213884</v>
      </c>
      <c r="AG21" s="729">
        <f t="shared" si="32"/>
        <v>-1214276</v>
      </c>
      <c r="AH21" s="729">
        <f t="shared" si="32"/>
        <v>-1214668</v>
      </c>
      <c r="AI21" s="729">
        <f t="shared" si="32"/>
        <v>-1215060</v>
      </c>
      <c r="AJ21" s="729">
        <f t="shared" si="32"/>
        <v>-1215452</v>
      </c>
      <c r="AK21" s="729">
        <f t="shared" si="32"/>
        <v>-1215844</v>
      </c>
      <c r="AL21" s="729">
        <f t="shared" si="32"/>
        <v>-1216236</v>
      </c>
      <c r="AM21" s="729">
        <f t="shared" si="32"/>
        <v>-1216628</v>
      </c>
      <c r="AN21" s="729">
        <f>x.1m*x.1m-x.2m*x.2m</f>
        <v>-1303965</v>
      </c>
      <c r="AO21" s="1038">
        <v>43107</v>
      </c>
      <c r="AP21" s="13">
        <f t="shared" si="11"/>
        <v>1</v>
      </c>
      <c r="AQ21" s="13">
        <f t="shared" si="12"/>
        <v>2</v>
      </c>
      <c r="AR21" s="173">
        <f t="shared" si="13"/>
        <v>43079</v>
      </c>
      <c r="AS21" s="742">
        <f t="shared" si="14"/>
        <v>0.96551724137931039</v>
      </c>
      <c r="AT21" s="758">
        <f t="shared" si="15"/>
        <v>29.656916380750722</v>
      </c>
      <c r="AU21" s="13">
        <f t="shared" si="16"/>
        <v>1</v>
      </c>
      <c r="AV21" s="13">
        <f t="shared" si="17"/>
        <v>2</v>
      </c>
      <c r="AW21" s="173">
        <f t="shared" si="18"/>
        <v>43093</v>
      </c>
      <c r="AX21" s="742">
        <f t="shared" si="19"/>
        <v>0.48275862068965519</v>
      </c>
      <c r="AY21" s="758">
        <f t="shared" si="20"/>
        <v>29.826775816802318</v>
      </c>
      <c r="AZ21" s="735">
        <f t="shared" si="26"/>
        <v>29.74184609877652</v>
      </c>
      <c r="BA21" s="633">
        <f t="shared" si="21"/>
        <v>0.65606555623758522</v>
      </c>
      <c r="BC21" s="11">
        <v>43107</v>
      </c>
      <c r="BD21" s="289">
        <f>[2]!FeuilCaduc*(1-Persistant)+Persistant</f>
        <v>0.50361783040899966</v>
      </c>
      <c r="BE21" s="290">
        <f>[2]!CroissVégét</f>
        <v>3.9172835876776901E-4</v>
      </c>
      <c r="BF21" s="804">
        <f>1+[2]!Salcycl*Ksac</f>
        <v>1.0003617830409</v>
      </c>
      <c r="BH21" s="1036">
        <f t="shared" si="22"/>
        <v>1.7799949491877627E-3</v>
      </c>
      <c r="BI21" s="11">
        <v>44203</v>
      </c>
      <c r="BJ21" s="715">
        <v>3.0709435208889975E-4</v>
      </c>
      <c r="BK21" s="715">
        <v>3.6210746921543573E-4</v>
      </c>
      <c r="BL21" s="715">
        <v>4.9664935085397103E-4</v>
      </c>
      <c r="BM21" s="715">
        <v>1.0618847790502515E-3</v>
      </c>
      <c r="BN21" s="715">
        <v>2.5006588344533274E-3</v>
      </c>
      <c r="BO21" s="716">
        <v>5.382753281007663E-3</v>
      </c>
      <c r="BP21" s="715">
        <v>1.0643275760684906E-2</v>
      </c>
      <c r="BQ21" s="715">
        <v>1.7942843872197429E-2</v>
      </c>
      <c r="BR21" s="715">
        <v>2.7801401298135155E-2</v>
      </c>
      <c r="BS21" s="715">
        <v>3.9612754908396414E-2</v>
      </c>
      <c r="BT21" s="715">
        <v>5.3258466762630532E-2</v>
      </c>
      <c r="BW21" s="1188">
        <f>'2019'!R\Max</f>
        <v>0</v>
      </c>
      <c r="BX21" s="1188">
        <f>'2020'!R\Max</f>
        <v>0.25240215451519676</v>
      </c>
      <c r="BY21" s="1188">
        <f>'2021'!R\Max</f>
        <v>0.5423294687854624</v>
      </c>
      <c r="BZ21" s="1188">
        <f>'2022'!R\Max</f>
        <v>0.37268823356322628</v>
      </c>
      <c r="CA21" s="1188">
        <f>'2023'!R\Max</f>
        <v>0.65606555623758522</v>
      </c>
      <c r="CB21" s="1188">
        <f>'2024'!R\Max</f>
        <v>0.65598772253276427</v>
      </c>
      <c r="CC21" s="1188">
        <f>'2025'!R\Max</f>
        <v>0.65587972957116158</v>
      </c>
      <c r="CD21" s="1188">
        <f>'2026'!R\Max</f>
        <v>0.65577165799616455</v>
      </c>
      <c r="CE21" s="1189">
        <f>'2027'!R\Max</f>
        <v>0.65622959879456944</v>
      </c>
      <c r="CF21" s="1191">
        <f>'2028'!R\Max</f>
        <v>0.65618807655029421</v>
      </c>
    </row>
    <row r="22" spans="1:84" s="6" customFormat="1" ht="11.25" x14ac:dyDescent="0.2">
      <c r="A22" s="11">
        <v>43108</v>
      </c>
      <c r="B22" s="379">
        <f>'2023'!Maxi_hp</f>
        <v>23.032683038014351</v>
      </c>
      <c r="C22" s="13">
        <f>'2023'!An_max</f>
        <v>2021</v>
      </c>
      <c r="D22" s="1045" t="str">
        <f t="shared" si="7"/>
        <v/>
      </c>
      <c r="E22" s="1040">
        <f>N$13/10</f>
        <v>29.845499999999998</v>
      </c>
      <c r="F22" s="13">
        <f t="shared" si="23"/>
        <v>3</v>
      </c>
      <c r="G22" s="13">
        <f t="shared" si="24"/>
        <v>2</v>
      </c>
      <c r="H22" s="173">
        <f t="shared" si="8"/>
        <v>43122</v>
      </c>
      <c r="I22" s="742">
        <f t="shared" si="9"/>
        <v>1</v>
      </c>
      <c r="J22" s="735">
        <f t="shared" si="27"/>
        <v>29.845500001311301</v>
      </c>
      <c r="L22" s="745" t="s">
        <v>214</v>
      </c>
      <c r="M22" s="729">
        <f t="shared" ref="M22:AM22" si="33">x.2m*x.2m-x.3m*x.3m</f>
        <v>-1293015</v>
      </c>
      <c r="N22" s="729">
        <f>x.2m*x.2m-x.3m*x.3m</f>
        <v>-1207220</v>
      </c>
      <c r="O22" s="729">
        <f t="shared" si="33"/>
        <v>-1207612</v>
      </c>
      <c r="P22" s="729">
        <f t="shared" si="33"/>
        <v>-1208004</v>
      </c>
      <c r="Q22" s="729">
        <f t="shared" si="33"/>
        <v>-1208396</v>
      </c>
      <c r="R22" s="729">
        <f t="shared" si="33"/>
        <v>-1208788</v>
      </c>
      <c r="S22" s="729">
        <f t="shared" si="33"/>
        <v>-1209180</v>
      </c>
      <c r="T22" s="729">
        <f t="shared" si="33"/>
        <v>-1209572</v>
      </c>
      <c r="U22" s="729">
        <f t="shared" si="33"/>
        <v>-1209964</v>
      </c>
      <c r="V22" s="729">
        <f t="shared" si="33"/>
        <v>-1210356</v>
      </c>
      <c r="W22" s="729">
        <f t="shared" si="33"/>
        <v>-1210748</v>
      </c>
      <c r="X22" s="729">
        <f t="shared" si="33"/>
        <v>-1211140</v>
      </c>
      <c r="Y22" s="729">
        <f t="shared" si="33"/>
        <v>-1211532</v>
      </c>
      <c r="Z22" s="729">
        <f t="shared" si="33"/>
        <v>-1211924</v>
      </c>
      <c r="AA22" s="729">
        <f t="shared" si="33"/>
        <v>-1212316</v>
      </c>
      <c r="AB22" s="729">
        <f t="shared" si="33"/>
        <v>-1212708</v>
      </c>
      <c r="AC22" s="729">
        <f t="shared" si="33"/>
        <v>-1213100</v>
      </c>
      <c r="AD22" s="729">
        <f t="shared" si="33"/>
        <v>-1213492</v>
      </c>
      <c r="AE22" s="729">
        <f t="shared" si="33"/>
        <v>-1213884</v>
      </c>
      <c r="AF22" s="729">
        <f t="shared" si="33"/>
        <v>-1214276</v>
      </c>
      <c r="AG22" s="729">
        <f t="shared" si="33"/>
        <v>-1214668</v>
      </c>
      <c r="AH22" s="729">
        <f t="shared" si="33"/>
        <v>-1215060</v>
      </c>
      <c r="AI22" s="729">
        <f t="shared" si="33"/>
        <v>-1215452</v>
      </c>
      <c r="AJ22" s="729">
        <f t="shared" si="33"/>
        <v>-1215844</v>
      </c>
      <c r="AK22" s="729">
        <f t="shared" si="33"/>
        <v>-1216236</v>
      </c>
      <c r="AL22" s="729">
        <f t="shared" si="33"/>
        <v>-1216628</v>
      </c>
      <c r="AM22" s="729">
        <f t="shared" si="33"/>
        <v>-1303965</v>
      </c>
      <c r="AN22" s="729">
        <f>x.2m*x.2m-x.3m*x.3m</f>
        <v>-1217440</v>
      </c>
      <c r="AO22" s="1038">
        <v>43108</v>
      </c>
      <c r="AP22" s="13">
        <f t="shared" si="11"/>
        <v>3</v>
      </c>
      <c r="AQ22" s="13">
        <f t="shared" si="12"/>
        <v>2</v>
      </c>
      <c r="AR22" s="173">
        <f t="shared" si="13"/>
        <v>43136</v>
      </c>
      <c r="AS22" s="742">
        <f t="shared" si="14"/>
        <v>1</v>
      </c>
      <c r="AT22" s="758">
        <f t="shared" si="15"/>
        <v>29.845499999821186</v>
      </c>
      <c r="AU22" s="13">
        <f t="shared" si="16"/>
        <v>1</v>
      </c>
      <c r="AV22" s="13">
        <f t="shared" si="17"/>
        <v>2</v>
      </c>
      <c r="AW22" s="173">
        <f t="shared" si="18"/>
        <v>43093</v>
      </c>
      <c r="AX22" s="742">
        <f t="shared" si="19"/>
        <v>0.51724137931034486</v>
      </c>
      <c r="AY22" s="758">
        <f t="shared" si="20"/>
        <v>30.050855764412677</v>
      </c>
      <c r="AZ22" s="735">
        <f t="shared" si="26"/>
        <v>29.94817788211693</v>
      </c>
      <c r="BA22" s="633">
        <f t="shared" si="21"/>
        <v>0.7717305133773058</v>
      </c>
      <c r="BC22" s="11">
        <v>43108</v>
      </c>
      <c r="BD22" s="289">
        <f>[2]!FeuilCaduc*(1-Persistant)+Persistant</f>
        <v>0.50332359848109409</v>
      </c>
      <c r="BE22" s="290">
        <f>[2]!CroissVégét</f>
        <v>4.664370707620742E-4</v>
      </c>
      <c r="BF22" s="804">
        <f>1+[2]!Salcycl*Ksac</f>
        <v>1.0003323598481093</v>
      </c>
      <c r="BH22" s="1036">
        <f t="shared" si="22"/>
        <v>1.684634664636175E-3</v>
      </c>
      <c r="BI22" s="11">
        <v>44204</v>
      </c>
      <c r="BJ22" s="715">
        <v>2.9911960532238242E-4</v>
      </c>
      <c r="BK22" s="715">
        <v>3.4902574259804858E-4</v>
      </c>
      <c r="BL22" s="715">
        <v>4.7372933457330389E-4</v>
      </c>
      <c r="BM22" s="715">
        <v>1.011145370608814E-3</v>
      </c>
      <c r="BN22" s="715">
        <v>2.3605189947878825E-3</v>
      </c>
      <c r="BO22" s="716">
        <v>5.1399819184137418E-3</v>
      </c>
      <c r="BP22" s="715">
        <v>1.0258080670475402E-2</v>
      </c>
      <c r="BQ22" s="715">
        <v>1.7421243276761755E-2</v>
      </c>
      <c r="BR22" s="715">
        <v>2.717663772024646E-2</v>
      </c>
      <c r="BS22" s="715">
        <v>3.8900625659048789E-2</v>
      </c>
      <c r="BT22" s="715">
        <v>5.2473874582698456E-2</v>
      </c>
      <c r="BW22" s="1188">
        <f>'2019'!R\Max</f>
        <v>0</v>
      </c>
      <c r="BX22" s="1188">
        <f>'2020'!R\Max</f>
        <v>0.46332481888463656</v>
      </c>
      <c r="BY22" s="1188">
        <f>'2021'!R\Max</f>
        <v>0.7717305133773058</v>
      </c>
      <c r="BZ22" s="1188">
        <f>'2022'!R\Max</f>
        <v>0.25989006925947294</v>
      </c>
      <c r="CA22" s="1188">
        <f>'2023'!R\Max</f>
        <v>0.24323977678987918</v>
      </c>
      <c r="CB22" s="1188">
        <f>'2024'!R\Max</f>
        <v>0.24318305979784863</v>
      </c>
      <c r="CC22" s="1188">
        <f>'2025'!R\Max</f>
        <v>0.24310370979018042</v>
      </c>
      <c r="CD22" s="1188">
        <f>'2026'!R\Max</f>
        <v>0.24302433011109728</v>
      </c>
      <c r="CE22" s="1189">
        <f>'2027'!R\Max</f>
        <v>0.24335878851382545</v>
      </c>
      <c r="CF22" s="1191">
        <f>'2028'!R\Max</f>
        <v>0.24332880022137648</v>
      </c>
    </row>
    <row r="23" spans="1:84" s="6" customFormat="1" ht="11.25" x14ac:dyDescent="0.2">
      <c r="A23" s="11">
        <v>43109</v>
      </c>
      <c r="B23" s="379">
        <f>'2023'!Maxi_hp</f>
        <v>29.267673438612903</v>
      </c>
      <c r="C23" s="13">
        <f>'2023'!An_max</f>
        <v>2020</v>
      </c>
      <c r="D23" s="1045">
        <f t="shared" si="7"/>
        <v>0.97349229921498814</v>
      </c>
      <c r="E23" s="1040"/>
      <c r="F23" s="13">
        <f t="shared" si="23"/>
        <v>3</v>
      </c>
      <c r="G23" s="13">
        <f t="shared" si="24"/>
        <v>2</v>
      </c>
      <c r="H23" s="173">
        <f t="shared" si="8"/>
        <v>43122</v>
      </c>
      <c r="I23" s="742">
        <f t="shared" si="9"/>
        <v>0.9285714285714286</v>
      </c>
      <c r="J23" s="735">
        <f t="shared" si="27"/>
        <v>30.064617318713239</v>
      </c>
      <c r="L23" s="745" t="s">
        <v>215</v>
      </c>
      <c r="M23" s="729">
        <f t="shared" ref="M23:AM23" si="34">(y.1m-y.2m-b.m*(x.1m-x.2m))/D2x12</f>
        <v>5.4830049261066202E-2</v>
      </c>
      <c r="N23" s="729">
        <f>(y.1m-y.2m-b.m*(x.1m-x.2m))/D2x12</f>
        <v>4.9492610837423845E-2</v>
      </c>
      <c r="O23" s="729">
        <f t="shared" si="34"/>
        <v>2.7640306122450976E-2</v>
      </c>
      <c r="P23" s="729">
        <f t="shared" si="34"/>
        <v>7.5382653061244146E-3</v>
      </c>
      <c r="Q23" s="729">
        <f t="shared" si="34"/>
        <v>-7.538265306123477E-3</v>
      </c>
      <c r="R23" s="729">
        <f t="shared" si="34"/>
        <v>-5.0255102040810979E-3</v>
      </c>
      <c r="S23" s="729">
        <f t="shared" si="34"/>
        <v>-1.7589285714283063E-2</v>
      </c>
      <c r="T23" s="729">
        <f t="shared" si="34"/>
        <v>-3.5178571428572329E-2</v>
      </c>
      <c r="U23" s="729">
        <f t="shared" si="34"/>
        <v>-3.2665816326529366E-2</v>
      </c>
      <c r="V23" s="729">
        <f t="shared" si="34"/>
        <v>-2.0102040816329308E-2</v>
      </c>
      <c r="W23" s="729">
        <f t="shared" si="34"/>
        <v>-1.5076530612244328E-2</v>
      </c>
      <c r="X23" s="729">
        <f t="shared" si="34"/>
        <v>-1.2563775510201587E-2</v>
      </c>
      <c r="Y23" s="729">
        <f t="shared" si="34"/>
        <v>-1.0051020408165195E-2</v>
      </c>
      <c r="Z23" s="729">
        <f t="shared" si="34"/>
        <v>-1.0051020408163525E-2</v>
      </c>
      <c r="AA23" s="729">
        <f t="shared" si="34"/>
        <v>-5.0255102040803849E-3</v>
      </c>
      <c r="AB23" s="729">
        <f t="shared" si="34"/>
        <v>-5.0255102040820494E-3</v>
      </c>
      <c r="AC23" s="729">
        <f t="shared" si="34"/>
        <v>-7.5382653061202972E-3</v>
      </c>
      <c r="AD23" s="729">
        <f t="shared" si="34"/>
        <v>-5.0255102040833678E-3</v>
      </c>
      <c r="AE23" s="729">
        <f t="shared" si="34"/>
        <v>-1.5076530612248394E-2</v>
      </c>
      <c r="AF23" s="729">
        <f t="shared" si="34"/>
        <v>-2.2614795918370199E-2</v>
      </c>
      <c r="AG23" s="729">
        <f t="shared" si="34"/>
        <v>-2.0102040816322574E-2</v>
      </c>
      <c r="AH23" s="729">
        <f t="shared" si="34"/>
        <v>-1.5076530612248461E-2</v>
      </c>
      <c r="AI23" s="729">
        <f t="shared" si="34"/>
        <v>1.2563775510202211E-2</v>
      </c>
      <c r="AJ23" s="729">
        <f t="shared" si="34"/>
        <v>1.7589285714286716E-2</v>
      </c>
      <c r="AK23" s="729">
        <f t="shared" si="34"/>
        <v>4.0204081632645536E-2</v>
      </c>
      <c r="AL23" s="729">
        <f t="shared" si="34"/>
        <v>4.7742346938760005E-2</v>
      </c>
      <c r="AM23" s="729">
        <f t="shared" si="34"/>
        <v>5.4830049261086825E-2</v>
      </c>
      <c r="AN23" s="729">
        <f>(y.1m-y.2m-b.m*(x.1m-x.2m))/D2x12</f>
        <v>4.9492610837440623E-2</v>
      </c>
      <c r="AO23" s="1038">
        <v>43109</v>
      </c>
      <c r="AP23" s="13">
        <f t="shared" si="11"/>
        <v>3</v>
      </c>
      <c r="AQ23" s="13">
        <f t="shared" si="12"/>
        <v>2</v>
      </c>
      <c r="AR23" s="173">
        <f t="shared" si="13"/>
        <v>43136</v>
      </c>
      <c r="AS23" s="742">
        <f t="shared" si="14"/>
        <v>0.9642857142857143</v>
      </c>
      <c r="AT23" s="758">
        <f t="shared" si="15"/>
        <v>30.046480222079634</v>
      </c>
      <c r="AU23" s="13">
        <f t="shared" si="16"/>
        <v>1</v>
      </c>
      <c r="AV23" s="13">
        <f t="shared" si="17"/>
        <v>2</v>
      </c>
      <c r="AW23" s="173">
        <f t="shared" si="18"/>
        <v>43093</v>
      </c>
      <c r="AX23" s="742">
        <f t="shared" si="19"/>
        <v>0.55172413793103448</v>
      </c>
      <c r="AY23" s="758">
        <f t="shared" si="20"/>
        <v>30.282717605551767</v>
      </c>
      <c r="AZ23" s="735">
        <f t="shared" si="26"/>
        <v>30.164598913815702</v>
      </c>
      <c r="BA23" s="633">
        <f t="shared" si="21"/>
        <v>0.97349229921498814</v>
      </c>
      <c r="BC23" s="11">
        <v>43109</v>
      </c>
      <c r="BD23" s="289">
        <f>[2]!FeuilCaduc*(1-Persistant)+Persistant</f>
        <v>0.50304213235334938</v>
      </c>
      <c r="BE23" s="290">
        <f>[2]!CroissVégét</f>
        <v>5.4426808883230738E-4</v>
      </c>
      <c r="BF23" s="804">
        <f>1+[2]!Salcycl*Ksac</f>
        <v>1.000304213235335</v>
      </c>
      <c r="BH23" s="1036">
        <f t="shared" si="22"/>
        <v>1.5889103186063718E-3</v>
      </c>
      <c r="BI23" s="11">
        <v>44205</v>
      </c>
      <c r="BJ23" s="715">
        <v>2.9029702520619977E-4</v>
      </c>
      <c r="BK23" s="715">
        <v>3.3512307408399355E-4</v>
      </c>
      <c r="BL23" s="715">
        <v>4.4988351437789286E-4</v>
      </c>
      <c r="BM23" s="715">
        <v>9.5920182681455716E-4</v>
      </c>
      <c r="BN23" s="715">
        <v>2.2208581549564795E-3</v>
      </c>
      <c r="BO23" s="716">
        <v>4.8976109958442857E-3</v>
      </c>
      <c r="BP23" s="715">
        <v>9.8591143773469597E-3</v>
      </c>
      <c r="BQ23" s="715">
        <v>1.686460533351548E-2</v>
      </c>
      <c r="BR23" s="715">
        <v>2.649993733506489E-2</v>
      </c>
      <c r="BS23" s="715">
        <v>3.8133044297129007E-2</v>
      </c>
      <c r="BT23" s="715">
        <v>5.1634550224907941E-2</v>
      </c>
      <c r="BW23" s="1188">
        <f>'2019'!R\Max</f>
        <v>0</v>
      </c>
      <c r="BX23" s="1188">
        <f>'2020'!R\Max</f>
        <v>0.97349229921498814</v>
      </c>
      <c r="BY23" s="1188">
        <f>'2021'!R\Max</f>
        <v>0.20505708960836608</v>
      </c>
      <c r="BZ23" s="1188">
        <f>'2022'!R\Max</f>
        <v>7.8065402464755712E-2</v>
      </c>
      <c r="CA23" s="1188">
        <f>'2023'!R\Max</f>
        <v>0.30904466322293556</v>
      </c>
      <c r="CB23" s="1188">
        <f>'2024'!R\Max</f>
        <v>0.3089762673415859</v>
      </c>
      <c r="CC23" s="1188">
        <f>'2025'!R\Max</f>
        <v>0.30887972846193518</v>
      </c>
      <c r="CD23" s="1188">
        <f>'2026'!R\Max</f>
        <v>0.30878315408033852</v>
      </c>
      <c r="CE23" s="1189">
        <f>'2027'!R\Max</f>
        <v>0.3091876639751408</v>
      </c>
      <c r="CF23" s="1191">
        <f>'2028'!R\Max</f>
        <v>0.30915176351363394</v>
      </c>
    </row>
    <row r="24" spans="1:84" s="6" customFormat="1" ht="11.25" x14ac:dyDescent="0.2">
      <c r="A24" s="11">
        <v>43110</v>
      </c>
      <c r="B24" s="379">
        <f>'2023'!Maxi_hp</f>
        <v>26.507126301272365</v>
      </c>
      <c r="C24" s="13">
        <f>'2023'!An_max</f>
        <v>2023</v>
      </c>
      <c r="D24" s="1045" t="str">
        <f t="shared" si="7"/>
        <v/>
      </c>
      <c r="E24" s="1040"/>
      <c r="F24" s="13">
        <f t="shared" si="23"/>
        <v>3</v>
      </c>
      <c r="G24" s="13">
        <f t="shared" si="24"/>
        <v>2</v>
      </c>
      <c r="H24" s="173">
        <f t="shared" si="8"/>
        <v>43122</v>
      </c>
      <c r="I24" s="742">
        <f t="shared" si="9"/>
        <v>0.8571428571428571</v>
      </c>
      <c r="J24" s="735">
        <f t="shared" si="27"/>
        <v>30.297067097680912</v>
      </c>
      <c r="L24" s="745" t="s">
        <v>216</v>
      </c>
      <c r="M24" s="729">
        <f t="shared" ref="M24:AM24" si="35">(y.2m-y.3m-(y.1m-y.2m)*D2x23/D2x12)/(x.2m-x.3m)/(1-(x.2m+x.3m)/(x.1m+x.2m))</f>
        <v>-4725.0260763531687</v>
      </c>
      <c r="N24" s="729">
        <f>(y.2m-y.3m-(y.1m-y.2m)*D2x23/D2x12)/(x.2m-x.3m)/(1-(x.2m+x.3m)/(x.1m+x.2m))</f>
        <v>-4264.933546796773</v>
      </c>
      <c r="O24" s="729">
        <f t="shared" si="35"/>
        <v>-2380.6093112246622</v>
      </c>
      <c r="P24" s="729">
        <f t="shared" si="35"/>
        <v>-646.64747448996536</v>
      </c>
      <c r="Q24" s="729">
        <f t="shared" si="35"/>
        <v>654.24604591845605</v>
      </c>
      <c r="R24" s="729">
        <f t="shared" si="35"/>
        <v>437.36010204077013</v>
      </c>
      <c r="S24" s="729">
        <f t="shared" si="35"/>
        <v>1522.1416071426281</v>
      </c>
      <c r="T24" s="729">
        <f t="shared" si="35"/>
        <v>3041.3282142857925</v>
      </c>
      <c r="U24" s="729">
        <f t="shared" si="35"/>
        <v>2824.2311989794844</v>
      </c>
      <c r="V24" s="729">
        <f t="shared" si="35"/>
        <v>1738.3943367349341</v>
      </c>
      <c r="W24" s="729">
        <f t="shared" si="35"/>
        <v>1303.9188775509713</v>
      </c>
      <c r="X24" s="729">
        <f t="shared" si="35"/>
        <v>1086.6107908161109</v>
      </c>
      <c r="Y24" s="729">
        <f t="shared" si="35"/>
        <v>869.23234693894256</v>
      </c>
      <c r="Z24" s="729">
        <f t="shared" si="35"/>
        <v>869.23234693879795</v>
      </c>
      <c r="AA24" s="729">
        <f t="shared" si="35"/>
        <v>434.19403061213688</v>
      </c>
      <c r="AB24" s="729">
        <f t="shared" si="35"/>
        <v>434.19403061228098</v>
      </c>
      <c r="AC24" s="729">
        <f t="shared" si="35"/>
        <v>651.85390306103807</v>
      </c>
      <c r="AD24" s="729">
        <f t="shared" si="35"/>
        <v>434.12367346953806</v>
      </c>
      <c r="AE24" s="729">
        <f t="shared" si="35"/>
        <v>1305.3260204084661</v>
      </c>
      <c r="AF24" s="729">
        <f t="shared" si="35"/>
        <v>1958.9388520410635</v>
      </c>
      <c r="AG24" s="729">
        <f t="shared" si="35"/>
        <v>1740.997551020065</v>
      </c>
      <c r="AH24" s="729">
        <f t="shared" si="35"/>
        <v>1304.9742346941869</v>
      </c>
      <c r="AI24" s="729">
        <f t="shared" si="35"/>
        <v>-1093.9279336733071</v>
      </c>
      <c r="AJ24" s="729">
        <f t="shared" si="35"/>
        <v>-1530.2326785715156</v>
      </c>
      <c r="AK24" s="729">
        <f t="shared" si="35"/>
        <v>-3494.2372448973056</v>
      </c>
      <c r="AL24" s="729">
        <f t="shared" si="35"/>
        <v>-4149.1165051006938</v>
      </c>
      <c r="AM24" s="729">
        <f t="shared" si="35"/>
        <v>-4765.0520123155384</v>
      </c>
      <c r="AN24" s="729">
        <f>(y.2m-y.3m-(y.1m-y.2m)*D2x23/D2x12)/(x.2m-x.3m)/(1-(x.2m+x.3m)/(x.1m+x.2m))</f>
        <v>-4301.0631527095511</v>
      </c>
      <c r="AO24" s="1038">
        <v>43110</v>
      </c>
      <c r="AP24" s="13">
        <f t="shared" si="11"/>
        <v>3</v>
      </c>
      <c r="AQ24" s="13">
        <f t="shared" si="12"/>
        <v>2</v>
      </c>
      <c r="AR24" s="173">
        <f t="shared" si="13"/>
        <v>43136</v>
      </c>
      <c r="AS24" s="742">
        <f t="shared" si="14"/>
        <v>0.9285714285714286</v>
      </c>
      <c r="AT24" s="758">
        <f t="shared" si="15"/>
        <v>30.26309086407668</v>
      </c>
      <c r="AU24" s="13">
        <f t="shared" si="16"/>
        <v>1</v>
      </c>
      <c r="AV24" s="13">
        <f t="shared" si="17"/>
        <v>2</v>
      </c>
      <c r="AW24" s="173">
        <f t="shared" si="18"/>
        <v>43093</v>
      </c>
      <c r="AX24" s="742">
        <f t="shared" si="19"/>
        <v>0.58620689655172409</v>
      </c>
      <c r="AY24" s="758">
        <f t="shared" si="20"/>
        <v>30.521878761207233</v>
      </c>
      <c r="AZ24" s="735">
        <f t="shared" si="26"/>
        <v>30.392484812641957</v>
      </c>
      <c r="BA24" s="633">
        <f t="shared" si="21"/>
        <v>0.87490733726174275</v>
      </c>
      <c r="BC24" s="11">
        <v>43110</v>
      </c>
      <c r="BD24" s="289">
        <f>[2]!FeuilCaduc*(1-Persistant)+Persistant</f>
        <v>0.50277271494657316</v>
      </c>
      <c r="BE24" s="290">
        <f>[2]!CroissVégét</f>
        <v>6.2535138577142317E-4</v>
      </c>
      <c r="BF24" s="804">
        <f>1+[2]!Salcycl*Ksac</f>
        <v>1.0002772714946573</v>
      </c>
      <c r="BH24" s="1036">
        <f t="shared" si="22"/>
        <v>1.4959928193769151E-3</v>
      </c>
      <c r="BI24" s="1038">
        <v>44206</v>
      </c>
      <c r="BJ24" s="715">
        <v>2.8227717800223653E-4</v>
      </c>
      <c r="BK24" s="715">
        <v>3.2223716496274237E-4</v>
      </c>
      <c r="BL24" s="715">
        <v>4.2731558788929996E-4</v>
      </c>
      <c r="BM24" s="715">
        <v>9.0847147077948841E-4</v>
      </c>
      <c r="BN24" s="715">
        <v>2.0856034882741508E-3</v>
      </c>
      <c r="BO24" s="716">
        <v>4.6570105064414344E-3</v>
      </c>
      <c r="BP24" s="715">
        <v>9.4458480136307092E-3</v>
      </c>
      <c r="BQ24" s="715">
        <v>1.6267537346664938E-2</v>
      </c>
      <c r="BR24" s="715">
        <v>2.5752500217394985E-2</v>
      </c>
      <c r="BS24" s="715">
        <v>3.7275064280761466E-2</v>
      </c>
      <c r="BT24" s="715">
        <v>5.0688793092673365E-2</v>
      </c>
      <c r="BW24" s="1188">
        <f>'2019'!R\Max</f>
        <v>0</v>
      </c>
      <c r="BX24" s="1188">
        <f>'2020'!R\Max</f>
        <v>0.31549425311834511</v>
      </c>
      <c r="BY24" s="1188">
        <f>'2021'!R\Max</f>
        <v>0.18222658886940196</v>
      </c>
      <c r="BZ24" s="1188">
        <f>'2022'!R\Max</f>
        <v>6.323922499712975E-2</v>
      </c>
      <c r="CA24" s="1188">
        <f>'2023'!R\Max</f>
        <v>0.87490733726174275</v>
      </c>
      <c r="CB24" s="1188">
        <f>'2024'!R\Max</f>
        <v>0.87487377425225454</v>
      </c>
      <c r="CC24" s="1188">
        <f>'2025'!R\Max</f>
        <v>0.87482595976675248</v>
      </c>
      <c r="CD24" s="1188">
        <f>'2026'!R\Max</f>
        <v>0.87477810484544505</v>
      </c>
      <c r="CE24" s="1189">
        <f>'2027'!R\Max</f>
        <v>0.87497728929480734</v>
      </c>
      <c r="CF24" s="1191">
        <f>'2028'!R\Max</f>
        <v>0.87495978130399155</v>
      </c>
    </row>
    <row r="25" spans="1:84" s="6" customFormat="1" ht="11.25" x14ac:dyDescent="0.2">
      <c r="A25" s="11">
        <v>43111</v>
      </c>
      <c r="B25" s="379">
        <f>'2023'!Maxi_hp</f>
        <v>29.842314321550671</v>
      </c>
      <c r="C25" s="13">
        <f>'2023'!An_max</f>
        <v>2020</v>
      </c>
      <c r="D25" s="1045">
        <f t="shared" si="7"/>
        <v>0.97709382244620646</v>
      </c>
      <c r="E25" s="1040"/>
      <c r="F25" s="13">
        <f t="shared" si="23"/>
        <v>3</v>
      </c>
      <c r="G25" s="13">
        <f t="shared" si="24"/>
        <v>2</v>
      </c>
      <c r="H25" s="173">
        <f t="shared" si="8"/>
        <v>43122</v>
      </c>
      <c r="I25" s="742">
        <f t="shared" si="9"/>
        <v>0.7857142857142857</v>
      </c>
      <c r="J25" s="735">
        <f t="shared" si="27"/>
        <v>30.541912798956037</v>
      </c>
      <c r="L25" s="745" t="s">
        <v>217</v>
      </c>
      <c r="M25" s="729">
        <f t="shared" ref="M25:AM25" si="36">(y.1m+y.2m+y.3m-a.m*(x.3m*x.3m+x.2m*x.2m+x.1m*x.1m)-b.m*(x.3m+x.2m+x.1m))/3</f>
        <v>101796060.43548964</v>
      </c>
      <c r="N25" s="729">
        <f>(y.1m+y.2m+y.3m-a.m*(x.3m*x.3m+x.2m*x.2m+x.1m*x.1m)-b.m*(x.3m+x.2m+x.1m))/3</f>
        <v>91880951.700647816</v>
      </c>
      <c r="O25" s="729">
        <f t="shared" si="36"/>
        <v>51259633.06306494</v>
      </c>
      <c r="P25" s="729">
        <f t="shared" si="36"/>
        <v>13867614.019799573</v>
      </c>
      <c r="Q25" s="729">
        <f t="shared" si="36"/>
        <v>-14194609.816940688</v>
      </c>
      <c r="R25" s="729">
        <f t="shared" si="36"/>
        <v>-9514536.6001010444</v>
      </c>
      <c r="S25" s="729">
        <f t="shared" si="36"/>
        <v>-32930087.162852202</v>
      </c>
      <c r="T25" s="729">
        <f t="shared" si="36"/>
        <v>-65733123.115715981</v>
      </c>
      <c r="U25" s="729">
        <f t="shared" si="36"/>
        <v>-61043936.256732374</v>
      </c>
      <c r="V25" s="729">
        <f t="shared" si="36"/>
        <v>-37582802.708270498</v>
      </c>
      <c r="W25" s="729">
        <f t="shared" si="36"/>
        <v>-28192267.617447913</v>
      </c>
      <c r="X25" s="729">
        <f t="shared" si="36"/>
        <v>-23493958.251321878</v>
      </c>
      <c r="Y25" s="729">
        <f t="shared" si="36"/>
        <v>-18792606.079493411</v>
      </c>
      <c r="Z25" s="729">
        <f t="shared" si="36"/>
        <v>-18792606.079490282</v>
      </c>
      <c r="AA25" s="729">
        <f t="shared" si="36"/>
        <v>-9377724.6029568464</v>
      </c>
      <c r="AB25" s="729">
        <f t="shared" si="36"/>
        <v>-9377724.6029599644</v>
      </c>
      <c r="AC25" s="729">
        <f t="shared" si="36"/>
        <v>-14091257.847649021</v>
      </c>
      <c r="AD25" s="729">
        <f t="shared" si="36"/>
        <v>-9374676.8722481523</v>
      </c>
      <c r="AE25" s="729">
        <f t="shared" si="36"/>
        <v>-28253195.636741251</v>
      </c>
      <c r="AF25" s="729">
        <f t="shared" si="36"/>
        <v>-42421233.812250249</v>
      </c>
      <c r="AG25" s="729">
        <f t="shared" si="36"/>
        <v>-37695503.734686434</v>
      </c>
      <c r="AH25" s="729">
        <f t="shared" si="36"/>
        <v>-28237940.238169972</v>
      </c>
      <c r="AI25" s="729">
        <f t="shared" si="36"/>
        <v>23812238.205608722</v>
      </c>
      <c r="AJ25" s="729">
        <f t="shared" si="36"/>
        <v>33282014.295001894</v>
      </c>
      <c r="AK25" s="729">
        <f t="shared" si="36"/>
        <v>75923498.328659266</v>
      </c>
      <c r="AL25" s="729">
        <f t="shared" si="36"/>
        <v>90146493.172011539</v>
      </c>
      <c r="AM25" s="729">
        <f t="shared" si="36"/>
        <v>103527999.68671022</v>
      </c>
      <c r="AN25" s="729">
        <f>(y.1m+y.2m+y.3m-a.m*(x.3m*x.3m+x.2m*x.2m+x.1m*x.1m)-b.m*(x.3m+x.2m+x.1m))/3</f>
        <v>93444246.09833914</v>
      </c>
      <c r="AO25" s="1038">
        <v>43111</v>
      </c>
      <c r="AP25" s="13">
        <f t="shared" si="11"/>
        <v>3</v>
      </c>
      <c r="AQ25" s="13">
        <f t="shared" si="12"/>
        <v>2</v>
      </c>
      <c r="AR25" s="173">
        <f t="shared" si="13"/>
        <v>43136</v>
      </c>
      <c r="AS25" s="742">
        <f t="shared" si="14"/>
        <v>0.8928571428571429</v>
      </c>
      <c r="AT25" s="758">
        <f>((1-AS25)*(INDEX(a.lg,AP25)*$A25*$A25+INDEX(b.lg,AP25)*$A25+INDEX(c.lg,AP25))+AS25*(INDEX(a.lg,AQ25)*$A25*$A25+INDEX(b.lg,AQ25)*$A25+INDEX(c.lg,AQ25)))/10</f>
        <v>30.494546753893207</v>
      </c>
      <c r="AU25" s="13">
        <f t="shared" si="16"/>
        <v>1</v>
      </c>
      <c r="AV25" s="13">
        <f t="shared" si="17"/>
        <v>2</v>
      </c>
      <c r="AW25" s="173">
        <f t="shared" si="18"/>
        <v>43093</v>
      </c>
      <c r="AX25" s="742">
        <f t="shared" si="19"/>
        <v>0.62068965517241381</v>
      </c>
      <c r="AY25" s="758">
        <f t="shared" si="20"/>
        <v>30.767856648307419</v>
      </c>
      <c r="AZ25" s="735">
        <f t="shared" si="26"/>
        <v>30.631201701100313</v>
      </c>
      <c r="BA25" s="633">
        <f t="shared" si="21"/>
        <v>0.97709382244620646</v>
      </c>
      <c r="BC25" s="11">
        <v>43111</v>
      </c>
      <c r="BD25" s="289">
        <f>[2]!FeuilCaduc*(1-Persistant)+Persistant</f>
        <v>0.50251484348034037</v>
      </c>
      <c r="BE25" s="290">
        <f>[2]!CroissVégét</f>
        <v>7.0982230050345072E-4</v>
      </c>
      <c r="BF25" s="804">
        <f>1+[2]!Salcycl*Ksac</f>
        <v>1.0002514843480341</v>
      </c>
      <c r="BH25" s="1036">
        <f t="shared" si="22"/>
        <v>1.4070556579005938E-3</v>
      </c>
      <c r="BI25" s="11">
        <v>44207</v>
      </c>
      <c r="BJ25" s="715">
        <v>2.755668608988671E-4</v>
      </c>
      <c r="BK25" s="715">
        <v>3.109179979294207E-4</v>
      </c>
      <c r="BL25" s="715">
        <v>4.0672992711426236E-4</v>
      </c>
      <c r="BM25" s="715">
        <v>8.5998926434458238E-4</v>
      </c>
      <c r="BN25" s="715">
        <v>1.9560675074372746E-3</v>
      </c>
      <c r="BO25" s="716">
        <v>4.4193005236337389E-3</v>
      </c>
      <c r="BP25" s="715">
        <v>9.0233741059046208E-3</v>
      </c>
      <c r="BQ25" s="715">
        <v>1.5642571712466979E-2</v>
      </c>
      <c r="BR25" s="715">
        <v>2.4951186592326324E-2</v>
      </c>
      <c r="BS25" s="715">
        <v>3.6344893541172048E-2</v>
      </c>
      <c r="BT25" s="715">
        <v>4.9654112082601204E-2</v>
      </c>
      <c r="BW25" s="1188">
        <f>'2019'!R\Max</f>
        <v>0</v>
      </c>
      <c r="BX25" s="1188">
        <f>'2020'!R\Max</f>
        <v>0.97709382244620646</v>
      </c>
      <c r="BY25" s="1188">
        <f>'2021'!R\Max</f>
        <v>0.16604504760435673</v>
      </c>
      <c r="BZ25" s="1188">
        <f>'2022'!R\Max</f>
        <v>0.94963740582242961</v>
      </c>
      <c r="CA25" s="1188">
        <f>'2023'!R\Max</f>
        <v>0.15777624970392665</v>
      </c>
      <c r="CB25" s="1188">
        <f>'2024'!R\Max</f>
        <v>0.15774396437210531</v>
      </c>
      <c r="CC25" s="1188">
        <f>'2025'!R\Max</f>
        <v>0.15769756336603416</v>
      </c>
      <c r="CD25" s="1188">
        <f>'2026'!R\Max</f>
        <v>0.15765114729832799</v>
      </c>
      <c r="CE25" s="1189">
        <f>'2027'!R\Max</f>
        <v>0.15784343900498751</v>
      </c>
      <c r="CF25" s="1191">
        <f>'2028'!R\Max</f>
        <v>0.15782665530864889</v>
      </c>
    </row>
    <row r="26" spans="1:84" s="6" customFormat="1" ht="11.25" x14ac:dyDescent="0.2">
      <c r="A26" s="11">
        <v>43112</v>
      </c>
      <c r="B26" s="379">
        <f>'2023'!Maxi_hp</f>
        <v>31.06915900574295</v>
      </c>
      <c r="C26" s="13">
        <f>'2023'!An_max</f>
        <v>2020</v>
      </c>
      <c r="D26" s="1045">
        <f t="shared" si="7"/>
        <v>1.0087972979502275</v>
      </c>
      <c r="E26" s="1040"/>
      <c r="F26" s="13">
        <f t="shared" si="23"/>
        <v>3</v>
      </c>
      <c r="G26" s="13">
        <f t="shared" si="24"/>
        <v>2</v>
      </c>
      <c r="H26" s="173">
        <f t="shared" si="8"/>
        <v>43122</v>
      </c>
      <c r="I26" s="742">
        <f t="shared" si="9"/>
        <v>0.7142857142857143</v>
      </c>
      <c r="J26" s="735">
        <f t="shared" si="27"/>
        <v>30.798217906483579</v>
      </c>
      <c r="L26" s="10"/>
      <c r="AO26" s="1038">
        <v>43112</v>
      </c>
      <c r="AP26" s="13">
        <f t="shared" si="11"/>
        <v>3</v>
      </c>
      <c r="AQ26" s="13">
        <f t="shared" si="12"/>
        <v>2</v>
      </c>
      <c r="AR26" s="173">
        <f t="shared" si="13"/>
        <v>43136</v>
      </c>
      <c r="AS26" s="742">
        <f t="shared" si="14"/>
        <v>0.8571428571428571</v>
      </c>
      <c r="AT26" s="758">
        <f>((1-AS26)*(INDEX(a.lg,AP26)*$A26*$A26+INDEX(b.lg,AP26)*$A26+INDEX(c.lg,AP26))+AS26*(INDEX(a.lg,AQ26)*$A26*$A26+INDEX(b.lg,AQ26)*$A26+INDEX(c.lg,AQ26)))/10</f>
        <v>30.740062707130399</v>
      </c>
      <c r="AU26" s="13">
        <f t="shared" si="16"/>
        <v>1</v>
      </c>
      <c r="AV26" s="13">
        <f t="shared" si="17"/>
        <v>2</v>
      </c>
      <c r="AW26" s="173">
        <f t="shared" si="18"/>
        <v>43093</v>
      </c>
      <c r="AX26" s="742">
        <f t="shared" si="19"/>
        <v>0.65517241379310343</v>
      </c>
      <c r="AY26" s="758">
        <f t="shared" si="20"/>
        <v>31.020168690717423</v>
      </c>
      <c r="AZ26" s="735">
        <f t="shared" si="26"/>
        <v>30.880115698923909</v>
      </c>
      <c r="BA26" s="633">
        <f t="shared" si="21"/>
        <v>1.0087972979502275</v>
      </c>
      <c r="BC26" s="11">
        <v>43112</v>
      </c>
      <c r="BD26" s="289">
        <f>[2]!FeuilCaduc*(1-Persistant)+Persistant</f>
        <v>0.5022682095984794</v>
      </c>
      <c r="BE26" s="290">
        <f>[2]!CroissVégét</f>
        <v>7.9782175584567966E-4</v>
      </c>
      <c r="BF26" s="804">
        <f>1+[2]!Salcycl*Ksac</f>
        <v>1.0002268209598479</v>
      </c>
      <c r="BH26" s="1036">
        <f t="shared" si="22"/>
        <v>1.3221046261250372E-3</v>
      </c>
      <c r="BI26" s="11">
        <v>44208</v>
      </c>
      <c r="BJ26" s="715">
        <v>2.7016739364312963E-4</v>
      </c>
      <c r="BK26" s="715">
        <v>3.0116735286057705E-4</v>
      </c>
      <c r="BL26" s="715">
        <v>3.8812904356788402E-4</v>
      </c>
      <c r="BM26" s="715">
        <v>8.1375823364750546E-4</v>
      </c>
      <c r="BN26" s="715">
        <v>1.8322587800391084E-3</v>
      </c>
      <c r="BO26" s="716">
        <v>4.1844848475415869E-3</v>
      </c>
      <c r="BP26" s="715">
        <v>8.5916779082172694E-3</v>
      </c>
      <c r="BQ26" s="715">
        <v>1.4989662389076813E-2</v>
      </c>
      <c r="BR26" s="715">
        <v>2.4095901730561003E-2</v>
      </c>
      <c r="BS26" s="715">
        <v>3.5342391145911915E-2</v>
      </c>
      <c r="BT26" s="715">
        <v>4.8530316173260722E-2</v>
      </c>
      <c r="BW26" s="1188">
        <f>'2019'!R\Max</f>
        <v>0</v>
      </c>
      <c r="BX26" s="1188">
        <f>'2020'!R\Max</f>
        <v>1.0087972979502275</v>
      </c>
      <c r="BY26" s="1188">
        <f>'2021'!R\Max</f>
        <v>0.42247136417373626</v>
      </c>
      <c r="BZ26" s="1188">
        <f>'2022'!R\Max</f>
        <v>0.85840685444893372</v>
      </c>
      <c r="CA26" s="1188">
        <f>'2023'!R\Max</f>
        <v>0.83675156821731356</v>
      </c>
      <c r="CB26" s="1188">
        <f>'2024'!R\Max</f>
        <v>0.83671368396056323</v>
      </c>
      <c r="CC26" s="1188">
        <f>'2025'!R\Max</f>
        <v>0.8366586835117934</v>
      </c>
      <c r="CD26" s="1188">
        <f>'2026'!R\Max</f>
        <v>0.83660364253090125</v>
      </c>
      <c r="CE26" s="1189">
        <f>'2027'!R\Max</f>
        <v>0.83683026497222801</v>
      </c>
      <c r="CF26" s="1191">
        <f>'2028'!R\Max</f>
        <v>0.8368106429434311</v>
      </c>
    </row>
    <row r="27" spans="1:84" s="6" customFormat="1" ht="11.25" x14ac:dyDescent="0.2">
      <c r="A27" s="11">
        <v>43113</v>
      </c>
      <c r="B27" s="379">
        <f>'2023'!Maxi_hp</f>
        <v>16.623085463395078</v>
      </c>
      <c r="C27" s="13">
        <f>'2023'!An_max</f>
        <v>2020</v>
      </c>
      <c r="D27" s="1045" t="str">
        <f t="shared" si="7"/>
        <v/>
      </c>
      <c r="E27" s="1040"/>
      <c r="F27" s="13">
        <f t="shared" si="23"/>
        <v>3</v>
      </c>
      <c r="G27" s="13">
        <f t="shared" si="24"/>
        <v>2</v>
      </c>
      <c r="H27" s="173">
        <f t="shared" si="8"/>
        <v>43122</v>
      </c>
      <c r="I27" s="742">
        <f t="shared" si="9"/>
        <v>0.6428571428571429</v>
      </c>
      <c r="J27" s="735">
        <f t="shared" si="27"/>
        <v>31.06504588324044</v>
      </c>
      <c r="L27" s="10"/>
      <c r="M27" s="6" t="s">
        <v>226</v>
      </c>
      <c r="AC27" s="69"/>
      <c r="AE27" s="69"/>
      <c r="AG27" s="69"/>
      <c r="AI27" s="69"/>
      <c r="AK27" s="69"/>
      <c r="AM27" s="69"/>
      <c r="AO27" s="1038">
        <v>43113</v>
      </c>
      <c r="AP27" s="13">
        <f t="shared" si="11"/>
        <v>3</v>
      </c>
      <c r="AQ27" s="13">
        <f t="shared" si="12"/>
        <v>2</v>
      </c>
      <c r="AR27" s="173">
        <f t="shared" si="13"/>
        <v>43136</v>
      </c>
      <c r="AS27" s="742">
        <f t="shared" si="14"/>
        <v>0.8214285714285714</v>
      </c>
      <c r="AT27" s="758">
        <f>((1-AS27)*(INDEX(a.lg,AP27)*$A27*$A27+INDEX(b.lg,AP27)*$A27+INDEX(c.lg,AP27))+AS27*(INDEX(a.lg,AQ27)*$A27*$A27+INDEX(b.lg,AQ27)*$A27+INDEX(c.lg,AQ27)))/10</f>
        <v>30.998853546274564</v>
      </c>
      <c r="AU27" s="13">
        <f t="shared" si="16"/>
        <v>1</v>
      </c>
      <c r="AV27" s="13">
        <f t="shared" si="17"/>
        <v>2</v>
      </c>
      <c r="AW27" s="173">
        <f t="shared" si="18"/>
        <v>43093</v>
      </c>
      <c r="AX27" s="742">
        <f t="shared" si="19"/>
        <v>0.68965517241379315</v>
      </c>
      <c r="AY27" s="758">
        <f t="shared" si="20"/>
        <v>31.278332306393263</v>
      </c>
      <c r="AZ27" s="735">
        <f t="shared" si="26"/>
        <v>31.138592926333914</v>
      </c>
      <c r="BA27" s="633">
        <f t="shared" si="21"/>
        <v>0.53510577534228643</v>
      </c>
      <c r="BC27" s="11">
        <v>43113</v>
      </c>
      <c r="BD27" s="289">
        <f>[2]!FeuilCaduc*(1-Persistant)+Persistant</f>
        <v>0.50203267860843537</v>
      </c>
      <c r="BE27" s="290">
        <f>[2]!CroissVégét</f>
        <v>8.8949648478391823E-4</v>
      </c>
      <c r="BF27" s="804">
        <f>1+[2]!Salcycl*Ksac</f>
        <v>1.0002032678608435</v>
      </c>
      <c r="BH27" s="1036">
        <f t="shared" si="22"/>
        <v>1.2411459920365032E-3</v>
      </c>
      <c r="BI27" s="11">
        <v>44209</v>
      </c>
      <c r="BJ27" s="715">
        <v>2.6608002486024036E-4</v>
      </c>
      <c r="BK27" s="715">
        <v>2.9298695764629426E-4</v>
      </c>
      <c r="BL27" s="715">
        <v>3.7151544614855278E-4</v>
      </c>
      <c r="BM27" s="715">
        <v>7.6978165624352619E-4</v>
      </c>
      <c r="BN27" s="715">
        <v>1.7141865751313518E-3</v>
      </c>
      <c r="BO27" s="716">
        <v>3.9525693779457497E-3</v>
      </c>
      <c r="BP27" s="715">
        <v>8.1507499378084946E-3</v>
      </c>
      <c r="BQ27" s="715">
        <v>1.4308772647978495E-2</v>
      </c>
      <c r="BR27" s="715">
        <v>2.3186564786962963E-2</v>
      </c>
      <c r="BS27" s="715">
        <v>3.4267433328348813E-2</v>
      </c>
      <c r="BT27" s="715">
        <v>4.7317234382350748E-2</v>
      </c>
      <c r="BW27" s="1188">
        <f>'2019'!R\Max</f>
        <v>0</v>
      </c>
      <c r="BX27" s="1188">
        <f>'2020'!R\Max</f>
        <v>0.53510577534228643</v>
      </c>
      <c r="BY27" s="1188">
        <f>'2021'!R\Max</f>
        <v>0.3065831365638364</v>
      </c>
      <c r="BZ27" s="1188">
        <f>'2022'!R\Max</f>
        <v>0.19108948303285248</v>
      </c>
      <c r="CA27" s="1188">
        <f>'2023'!R\Max</f>
        <v>0.46899243764806009</v>
      </c>
      <c r="CB27" s="1188">
        <f>'2024'!R\Max</f>
        <v>0.46892724828823046</v>
      </c>
      <c r="CC27" s="1188">
        <f>'2025'!R\Max</f>
        <v>0.46883164302486446</v>
      </c>
      <c r="CD27" s="1188">
        <f>'2026'!R\Max</f>
        <v>0.46873599836954477</v>
      </c>
      <c r="CE27" s="1189">
        <f>'2027'!R\Max</f>
        <v>0.46912781193174574</v>
      </c>
      <c r="CF27" s="1191">
        <f>'2028'!R\Max</f>
        <v>0.46909408320089119</v>
      </c>
    </row>
    <row r="28" spans="1:84" s="6" customFormat="1" ht="11.25" x14ac:dyDescent="0.2">
      <c r="A28" s="11">
        <v>43114</v>
      </c>
      <c r="B28" s="379">
        <f>'2023'!Maxi_hp</f>
        <v>31.753841494972857</v>
      </c>
      <c r="C28" s="13">
        <f>'2023'!An_max</f>
        <v>2022</v>
      </c>
      <c r="D28" s="1045">
        <f t="shared" si="7"/>
        <v>1.0131576921506382</v>
      </c>
      <c r="E28" s="1040"/>
      <c r="F28" s="13">
        <f t="shared" si="23"/>
        <v>3</v>
      </c>
      <c r="G28" s="13">
        <f t="shared" si="24"/>
        <v>2</v>
      </c>
      <c r="H28" s="173">
        <f t="shared" si="8"/>
        <v>43122</v>
      </c>
      <c r="I28" s="742">
        <f t="shared" si="9"/>
        <v>0.5714285714285714</v>
      </c>
      <c r="J28" s="735">
        <f t="shared" si="27"/>
        <v>31.341460209978482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O28" s="1038">
        <v>43114</v>
      </c>
      <c r="AP28" s="13">
        <f t="shared" si="11"/>
        <v>3</v>
      </c>
      <c r="AQ28" s="13">
        <f t="shared" si="12"/>
        <v>2</v>
      </c>
      <c r="AR28" s="173">
        <f t="shared" si="13"/>
        <v>43136</v>
      </c>
      <c r="AS28" s="742">
        <f t="shared" si="14"/>
        <v>0.7857142857142857</v>
      </c>
      <c r="AT28" s="758">
        <f t="shared" si="15"/>
        <v>31.270134097217984</v>
      </c>
      <c r="AU28" s="13">
        <f t="shared" si="16"/>
        <v>1</v>
      </c>
      <c r="AV28" s="13">
        <f t="shared" si="17"/>
        <v>2</v>
      </c>
      <c r="AW28" s="173">
        <f t="shared" si="18"/>
        <v>43093</v>
      </c>
      <c r="AX28" s="742">
        <f t="shared" si="19"/>
        <v>0.72413793103448276</v>
      </c>
      <c r="AY28" s="758">
        <f t="shared" si="20"/>
        <v>31.541864916245487</v>
      </c>
      <c r="AZ28" s="735">
        <f t="shared" si="26"/>
        <v>31.405999506731735</v>
      </c>
      <c r="BA28" s="633">
        <f t="shared" si="21"/>
        <v>1.0131576921506382</v>
      </c>
      <c r="BC28" s="11">
        <v>43114</v>
      </c>
      <c r="BD28" s="289">
        <f>[2]!FeuilCaduc*(1-Persistant)+Persistant</f>
        <v>0.50180826807640544</v>
      </c>
      <c r="BE28" s="290">
        <f>[2]!CroissVégét</f>
        <v>9.849992655628797E-4</v>
      </c>
      <c r="BF28" s="804">
        <f>1+[2]!Salcycl*Ksac</f>
        <v>1.0001808268076406</v>
      </c>
      <c r="BH28" s="1036">
        <f t="shared" si="22"/>
        <v>1.1641863958582728E-3</v>
      </c>
      <c r="BI28" s="11">
        <v>44210</v>
      </c>
      <c r="BJ28" s="715">
        <v>2.633058984854279E-4</v>
      </c>
      <c r="BK28" s="715">
        <v>2.8637844796091267E-4</v>
      </c>
      <c r="BL28" s="715">
        <v>3.5689159009186342E-4</v>
      </c>
      <c r="BM28" s="715">
        <v>7.2806300249238264E-4</v>
      </c>
      <c r="BN28" s="715">
        <v>1.6018607140733728E-3</v>
      </c>
      <c r="BO28" s="716">
        <v>3.7235620337036173E-3</v>
      </c>
      <c r="BP28" s="715">
        <v>7.7005861963664246E-3</v>
      </c>
      <c r="BQ28" s="715">
        <v>1.3599875763621268E-2</v>
      </c>
      <c r="BR28" s="715">
        <v>2.2223110143580953E-2</v>
      </c>
      <c r="BS28" s="715">
        <v>3.3119915289399372E-2</v>
      </c>
      <c r="BT28" s="715">
        <v>4.6014717986759796E-2</v>
      </c>
      <c r="BW28" s="1188">
        <f>'2019'!R\Max</f>
        <v>0</v>
      </c>
      <c r="BX28" s="1188">
        <f>'2020'!R\Max</f>
        <v>0.97413694810656115</v>
      </c>
      <c r="BY28" s="1188">
        <f>'2021'!R\Max</f>
        <v>0.40135131874930413</v>
      </c>
      <c r="BZ28" s="1188">
        <f>'2022'!R\Max</f>
        <v>1.0131576921506382</v>
      </c>
      <c r="CA28" s="1188">
        <f>'2023'!R\Max</f>
        <v>0.62780026604568817</v>
      </c>
      <c r="CB28" s="1188">
        <f>'2024'!R\Max</f>
        <v>0.62774285802136176</v>
      </c>
      <c r="CC28" s="1188">
        <f>'2025'!R\Max</f>
        <v>0.62765770715853764</v>
      </c>
      <c r="CD28" s="1188">
        <f>'2026'!R\Max</f>
        <v>0.62757251399195724</v>
      </c>
      <c r="CE28" s="1189">
        <f>'2027'!R\Max</f>
        <v>0.62791949264756897</v>
      </c>
      <c r="CF28" s="1191">
        <f>'2028'!R\Max</f>
        <v>0.62788979162911973</v>
      </c>
    </row>
    <row r="29" spans="1:84" s="6" customFormat="1" ht="11.25" x14ac:dyDescent="0.2">
      <c r="A29" s="11">
        <v>43115</v>
      </c>
      <c r="B29" s="379">
        <f>'2023'!Maxi_hp</f>
        <v>32.62432731925049</v>
      </c>
      <c r="C29" s="13">
        <f>'2023'!An_max</f>
        <v>2022</v>
      </c>
      <c r="D29" s="1045">
        <f t="shared" si="7"/>
        <v>1.0315495612069479</v>
      </c>
      <c r="E29" s="1040"/>
      <c r="F29" s="13">
        <f t="shared" si="23"/>
        <v>3</v>
      </c>
      <c r="G29" s="13">
        <f t="shared" si="24"/>
        <v>2</v>
      </c>
      <c r="H29" s="173">
        <f t="shared" si="8"/>
        <v>43122</v>
      </c>
      <c r="I29" s="742">
        <f t="shared" si="9"/>
        <v>0.5</v>
      </c>
      <c r="J29" s="735">
        <f t="shared" si="27"/>
        <v>31.626524353399873</v>
      </c>
      <c r="L29" s="763">
        <f>AJ13</f>
        <v>339.82499999999999</v>
      </c>
      <c r="M29" s="763">
        <f>L13</f>
        <v>280.72500000000002</v>
      </c>
      <c r="N29" s="753">
        <f>N13</f>
        <v>298.45499999999998</v>
      </c>
      <c r="O29" s="753">
        <f>P13</f>
        <v>388.09</v>
      </c>
      <c r="P29" s="753">
        <f>R13</f>
        <v>491.51499999999999</v>
      </c>
      <c r="Q29" s="753">
        <f>T13</f>
        <v>581.15</v>
      </c>
      <c r="R29" s="753">
        <f>V13</f>
        <v>623.505</v>
      </c>
      <c r="S29" s="753">
        <f>X13</f>
        <v>631.38499999999999</v>
      </c>
      <c r="T29" s="753">
        <f>Z13</f>
        <v>619.56499999999994</v>
      </c>
      <c r="U29" s="753">
        <f>AB13</f>
        <v>593.95500000000004</v>
      </c>
      <c r="V29" s="753">
        <f>AD13</f>
        <v>559.48</v>
      </c>
      <c r="W29" s="753">
        <f>AF13</f>
        <v>512.20000000000005</v>
      </c>
      <c r="X29" s="753">
        <f>AH13</f>
        <v>433.4</v>
      </c>
      <c r="Y29" s="753">
        <f>AJ13</f>
        <v>339.82499999999999</v>
      </c>
      <c r="Z29" s="753">
        <f>AL13</f>
        <v>280.72500000000002</v>
      </c>
      <c r="AA29" s="761">
        <f>AN13</f>
        <v>298.45499999999998</v>
      </c>
      <c r="AB29" s="761">
        <f>P13</f>
        <v>388.09</v>
      </c>
      <c r="AO29" s="1038">
        <v>43115</v>
      </c>
      <c r="AP29" s="13">
        <f t="shared" si="11"/>
        <v>3</v>
      </c>
      <c r="AQ29" s="13">
        <f t="shared" si="12"/>
        <v>2</v>
      </c>
      <c r="AR29" s="173">
        <f t="shared" si="13"/>
        <v>43136</v>
      </c>
      <c r="AS29" s="742">
        <f t="shared" si="14"/>
        <v>0.75</v>
      </c>
      <c r="AT29" s="758">
        <f t="shared" si="15"/>
        <v>31.553119173645975</v>
      </c>
      <c r="AU29" s="13">
        <f t="shared" si="16"/>
        <v>1</v>
      </c>
      <c r="AV29" s="13">
        <f t="shared" si="17"/>
        <v>2</v>
      </c>
      <c r="AW29" s="173">
        <f t="shared" si="18"/>
        <v>43093</v>
      </c>
      <c r="AX29" s="742">
        <f t="shared" si="19"/>
        <v>0.75862068965517238</v>
      </c>
      <c r="AY29" s="758">
        <f t="shared" si="20"/>
        <v>31.810283940208372</v>
      </c>
      <c r="AZ29" s="735">
        <f t="shared" si="26"/>
        <v>31.681701556927173</v>
      </c>
      <c r="BA29" s="633">
        <f t="shared" si="21"/>
        <v>1.0315495612069479</v>
      </c>
      <c r="BC29" s="11">
        <v>43115</v>
      </c>
      <c r="BD29" s="289">
        <f>[2]!FeuilCaduc*(1-Persistant)+Persistant</f>
        <v>0.5015951260203303</v>
      </c>
      <c r="BE29" s="290">
        <f>[2]!CroissVégét</f>
        <v>1.0844891659074879E-3</v>
      </c>
      <c r="BF29" s="804">
        <f>1+[2]!Salcycl*Ksac</f>
        <v>1.0001595126020331</v>
      </c>
      <c r="BH29" s="1036">
        <f t="shared" si="22"/>
        <v>1.091232746229675E-3</v>
      </c>
      <c r="BI29" s="11">
        <v>44211</v>
      </c>
      <c r="BJ29" s="715">
        <v>2.6184602019128835E-4</v>
      </c>
      <c r="BK29" s="715">
        <v>2.8134332702890871E-4</v>
      </c>
      <c r="BL29" s="715">
        <v>3.4425982591854555E-4</v>
      </c>
      <c r="BM29" s="715">
        <v>6.8860587693298826E-4</v>
      </c>
      <c r="BN29" s="715">
        <v>1.4952914213548279E-3</v>
      </c>
      <c r="BO29" s="716">
        <v>3.4974726721032803E-3</v>
      </c>
      <c r="BP29" s="715">
        <v>7.2411883911556946E-3</v>
      </c>
      <c r="BQ29" s="715">
        <v>1.2862955702827665E-2</v>
      </c>
      <c r="BR29" s="715">
        <v>2.120548875229733E-2</v>
      </c>
      <c r="BS29" s="715">
        <v>3.1899752998701833E-2</v>
      </c>
      <c r="BT29" s="715">
        <v>4.4622642741846755E-2</v>
      </c>
      <c r="BW29" s="1188">
        <f>'2019'!R\Max</f>
        <v>0</v>
      </c>
      <c r="BX29" s="1188">
        <f>'2020'!R\Max</f>
        <v>0.79061936195396831</v>
      </c>
      <c r="BY29" s="1188">
        <f>'2021'!R\Max</f>
        <v>0.70841128019782962</v>
      </c>
      <c r="BZ29" s="1188">
        <f>'2022'!R\Max</f>
        <v>1.0315495612069479</v>
      </c>
      <c r="CA29" s="1188">
        <f>'2023'!R\Max</f>
        <v>0.20272223153288429</v>
      </c>
      <c r="CB29" s="1188">
        <f>'2024'!R\Max</f>
        <v>0.20268972064114532</v>
      </c>
      <c r="CC29" s="1188">
        <f>'2025'!R\Max</f>
        <v>0.20264091178950649</v>
      </c>
      <c r="CD29" s="1188">
        <f>'2026'!R\Max</f>
        <v>0.20259209166475148</v>
      </c>
      <c r="CE29" s="1189">
        <f>'2027'!R\Max</f>
        <v>0.20278984928811067</v>
      </c>
      <c r="CF29" s="1191">
        <f>'2028'!R\Max</f>
        <v>0.20277298811217209</v>
      </c>
    </row>
    <row r="30" spans="1:84" s="6" customFormat="1" ht="11.25" x14ac:dyDescent="0.2">
      <c r="A30" s="11">
        <v>43116</v>
      </c>
      <c r="B30" s="379">
        <f>'2023'!Maxi_hp</f>
        <v>31.820475310957626</v>
      </c>
      <c r="C30" s="13">
        <f>'2023'!An_max</f>
        <v>2022</v>
      </c>
      <c r="D30" s="1045">
        <f t="shared" si="7"/>
        <v>0.9969038646234808</v>
      </c>
      <c r="E30" s="1040"/>
      <c r="F30" s="13">
        <f t="shared" si="23"/>
        <v>3</v>
      </c>
      <c r="G30" s="13">
        <f t="shared" si="24"/>
        <v>2</v>
      </c>
      <c r="H30" s="173">
        <f t="shared" si="8"/>
        <v>43122</v>
      </c>
      <c r="I30" s="742">
        <f t="shared" si="9"/>
        <v>0.42857142857142855</v>
      </c>
      <c r="J30" s="735">
        <f t="shared" si="27"/>
        <v>31.919301790424754</v>
      </c>
      <c r="L30" s="743" t="s">
        <v>207</v>
      </c>
      <c r="M30" s="773">
        <f t="shared" ref="M30:AA30" si="37">L28</f>
        <v>43051</v>
      </c>
      <c r="N30" s="774">
        <f t="shared" si="37"/>
        <v>43079</v>
      </c>
      <c r="O30" s="725">
        <f t="shared" si="37"/>
        <v>43108</v>
      </c>
      <c r="P30" s="725">
        <f t="shared" si="37"/>
        <v>43136</v>
      </c>
      <c r="Q30" s="725">
        <f t="shared" si="37"/>
        <v>43164</v>
      </c>
      <c r="R30" s="725">
        <f t="shared" si="37"/>
        <v>43192</v>
      </c>
      <c r="S30" s="725">
        <f t="shared" si="37"/>
        <v>43220</v>
      </c>
      <c r="T30" s="725">
        <f t="shared" si="37"/>
        <v>43248</v>
      </c>
      <c r="U30" s="725">
        <f t="shared" si="37"/>
        <v>43276</v>
      </c>
      <c r="V30" s="725">
        <f t="shared" si="37"/>
        <v>43304</v>
      </c>
      <c r="W30" s="725">
        <f t="shared" si="37"/>
        <v>43332</v>
      </c>
      <c r="X30" s="725">
        <f t="shared" si="37"/>
        <v>43360</v>
      </c>
      <c r="Y30" s="725">
        <f t="shared" si="37"/>
        <v>43388</v>
      </c>
      <c r="Z30" s="725">
        <f t="shared" si="37"/>
        <v>43416</v>
      </c>
      <c r="AA30" s="766">
        <f t="shared" si="37"/>
        <v>43444</v>
      </c>
      <c r="AO30" s="1038">
        <v>43116</v>
      </c>
      <c r="AP30" s="13">
        <f t="shared" si="11"/>
        <v>3</v>
      </c>
      <c r="AQ30" s="13">
        <f t="shared" si="12"/>
        <v>2</v>
      </c>
      <c r="AR30" s="173">
        <f t="shared" si="13"/>
        <v>43136</v>
      </c>
      <c r="AS30" s="742">
        <f t="shared" si="14"/>
        <v>0.7142857142857143</v>
      </c>
      <c r="AT30" s="758">
        <f t="shared" si="15"/>
        <v>31.847023601457476</v>
      </c>
      <c r="AU30" s="13">
        <f t="shared" si="16"/>
        <v>1</v>
      </c>
      <c r="AV30" s="13">
        <f t="shared" si="17"/>
        <v>2</v>
      </c>
      <c r="AW30" s="173">
        <f t="shared" si="18"/>
        <v>43093</v>
      </c>
      <c r="AX30" s="742">
        <f t="shared" si="19"/>
        <v>0.7931034482758621</v>
      </c>
      <c r="AY30" s="758">
        <f t="shared" si="20"/>
        <v>32.083106799398003</v>
      </c>
      <c r="AZ30" s="735">
        <f t="shared" si="26"/>
        <v>31.965065200427738</v>
      </c>
      <c r="BA30" s="633">
        <f t="shared" si="21"/>
        <v>0.9969038646234808</v>
      </c>
      <c r="BC30" s="11">
        <v>43116</v>
      </c>
      <c r="BD30" s="289">
        <f>[2]!FeuilCaduc*(1-Persistant)+Persistant</f>
        <v>0.50139350894068246</v>
      </c>
      <c r="BE30" s="290">
        <f>[2]!CroissVégét</f>
        <v>1.1881317966940647E-3</v>
      </c>
      <c r="BF30" s="804">
        <f>1+[2]!Salcycl*Ksac</f>
        <v>1.0001393508940681</v>
      </c>
      <c r="BH30" s="1036">
        <f t="shared" si="22"/>
        <v>1.0249555038891929E-3</v>
      </c>
      <c r="BI30" s="11">
        <v>44212</v>
      </c>
      <c r="BJ30" s="715">
        <v>2.6220152063838965E-4</v>
      </c>
      <c r="BK30" s="715">
        <v>2.7850469236213009E-4</v>
      </c>
      <c r="BL30" s="715">
        <v>3.3449854294591855E-4</v>
      </c>
      <c r="BM30" s="715">
        <v>6.5321706174907644E-4</v>
      </c>
      <c r="BN30" s="715">
        <v>1.3980159076486393E-3</v>
      </c>
      <c r="BO30" s="716">
        <v>3.2813251447713549E-3</v>
      </c>
      <c r="BP30" s="715">
        <v>6.7871687294662275E-3</v>
      </c>
      <c r="BQ30" s="715">
        <v>1.2118816516323801E-2</v>
      </c>
      <c r="BR30" s="715">
        <v>2.0156165878481524E-2</v>
      </c>
      <c r="BS30" s="715">
        <v>3.0618538345309448E-2</v>
      </c>
      <c r="BT30" s="715">
        <v>4.3134522323653092E-2</v>
      </c>
      <c r="BW30" s="1188">
        <f>'2019'!R\Max</f>
        <v>0</v>
      </c>
      <c r="BX30" s="1188">
        <f>'2020'!R\Max</f>
        <v>0.80631752469444073</v>
      </c>
      <c r="BY30" s="1188">
        <f>'2021'!R\Max</f>
        <v>0.70718049259865512</v>
      </c>
      <c r="BZ30" s="1188">
        <f>'2022'!R\Max</f>
        <v>0.9969038646234808</v>
      </c>
      <c r="CA30" s="1188">
        <f>'2023'!R\Max</f>
        <v>0.12183388222090462</v>
      </c>
      <c r="CB30" s="1188">
        <f>'2024'!R\Max</f>
        <v>0.12181576058818265</v>
      </c>
      <c r="CC30" s="1188">
        <f>'2025'!R\Max</f>
        <v>0.12178820695663535</v>
      </c>
      <c r="CD30" s="1188">
        <f>'2026'!R\Max</f>
        <v>0.12176064777988881</v>
      </c>
      <c r="CE30" s="1189">
        <f>'2027'!R\Max</f>
        <v>0.12187165744791066</v>
      </c>
      <c r="CF30" s="1191">
        <f>'2028'!R\Max</f>
        <v>0.12186222022262493</v>
      </c>
    </row>
    <row r="31" spans="1:84" s="6" customFormat="1" ht="11.25" x14ac:dyDescent="0.2">
      <c r="A31" s="11">
        <v>43117</v>
      </c>
      <c r="B31" s="379">
        <f>'2023'!Maxi_hp</f>
        <v>12.614398134606729</v>
      </c>
      <c r="C31" s="13">
        <f>'2023'!An_max</f>
        <v>2022</v>
      </c>
      <c r="D31" s="1045" t="str">
        <f t="shared" si="7"/>
        <v/>
      </c>
      <c r="E31" s="1040"/>
      <c r="F31" s="13">
        <f t="shared" si="23"/>
        <v>3</v>
      </c>
      <c r="G31" s="13">
        <f t="shared" si="24"/>
        <v>2</v>
      </c>
      <c r="H31" s="173">
        <f t="shared" si="8"/>
        <v>43122</v>
      </c>
      <c r="I31" s="742">
        <f t="shared" si="9"/>
        <v>0.35714285714285715</v>
      </c>
      <c r="J31" s="735">
        <f t="shared" si="27"/>
        <v>32.218855988766464</v>
      </c>
      <c r="L31" s="744" t="s">
        <v>208</v>
      </c>
      <c r="M31" s="765">
        <f t="shared" ref="M31:AA31" si="38">L29</f>
        <v>339.82499999999999</v>
      </c>
      <c r="N31" s="769">
        <f t="shared" si="38"/>
        <v>280.72500000000002</v>
      </c>
      <c r="O31" s="731">
        <f t="shared" si="38"/>
        <v>298.45499999999998</v>
      </c>
      <c r="P31" s="731">
        <f t="shared" si="38"/>
        <v>388.09</v>
      </c>
      <c r="Q31" s="731">
        <f t="shared" si="38"/>
        <v>491.51499999999999</v>
      </c>
      <c r="R31" s="731">
        <f t="shared" si="38"/>
        <v>581.15</v>
      </c>
      <c r="S31" s="731">
        <f t="shared" si="38"/>
        <v>623.505</v>
      </c>
      <c r="T31" s="731">
        <f t="shared" si="38"/>
        <v>631.38499999999999</v>
      </c>
      <c r="U31" s="731">
        <f t="shared" si="38"/>
        <v>619.56499999999994</v>
      </c>
      <c r="V31" s="731">
        <f t="shared" si="38"/>
        <v>593.95500000000004</v>
      </c>
      <c r="W31" s="731">
        <f t="shared" si="38"/>
        <v>559.48</v>
      </c>
      <c r="X31" s="731">
        <f t="shared" si="38"/>
        <v>512.20000000000005</v>
      </c>
      <c r="Y31" s="731">
        <f t="shared" si="38"/>
        <v>433.4</v>
      </c>
      <c r="Z31" s="731">
        <f t="shared" si="38"/>
        <v>339.82499999999999</v>
      </c>
      <c r="AA31" s="767">
        <f t="shared" si="38"/>
        <v>280.72500000000002</v>
      </c>
      <c r="AO31" s="1038">
        <v>43117</v>
      </c>
      <c r="AP31" s="13">
        <f t="shared" si="11"/>
        <v>3</v>
      </c>
      <c r="AQ31" s="13">
        <f t="shared" si="12"/>
        <v>2</v>
      </c>
      <c r="AR31" s="173">
        <f t="shared" si="13"/>
        <v>43136</v>
      </c>
      <c r="AS31" s="742">
        <f t="shared" si="14"/>
        <v>0.6785714285714286</v>
      </c>
      <c r="AT31" s="758">
        <f t="shared" si="15"/>
        <v>32.151062198189486</v>
      </c>
      <c r="AU31" s="13">
        <f t="shared" si="16"/>
        <v>1</v>
      </c>
      <c r="AV31" s="13">
        <f t="shared" si="17"/>
        <v>2</v>
      </c>
      <c r="AW31" s="173">
        <f t="shared" si="18"/>
        <v>43093</v>
      </c>
      <c r="AX31" s="742">
        <f t="shared" si="19"/>
        <v>0.82758620689655171</v>
      </c>
      <c r="AY31" s="758">
        <f t="shared" si="20"/>
        <v>32.359850910408746</v>
      </c>
      <c r="AZ31" s="735">
        <f t="shared" si="26"/>
        <v>32.255456554299116</v>
      </c>
      <c r="BA31" s="633">
        <f t="shared" si="21"/>
        <v>0.3915222234769884</v>
      </c>
      <c r="BC31" s="11">
        <v>43117</v>
      </c>
      <c r="BD31" s="289">
        <f>[2]!FeuilCaduc*(1-Persistant)+Persistant</f>
        <v>0.50120375992456212</v>
      </c>
      <c r="BE31" s="290">
        <f>[2]!CroissVégét</f>
        <v>1.2960995754023115E-3</v>
      </c>
      <c r="BF31" s="804">
        <f>1+[2]!Salcycl*Ksac</f>
        <v>1.0001203759924562</v>
      </c>
      <c r="BH31" s="1036">
        <f t="shared" si="22"/>
        <v>9.6445182350661908E-4</v>
      </c>
      <c r="BI31" s="11">
        <v>44213</v>
      </c>
      <c r="BJ31" s="715">
        <v>2.6470633191215051E-4</v>
      </c>
      <c r="BK31" s="715">
        <v>2.7812196146163388E-4</v>
      </c>
      <c r="BL31" s="715">
        <v>3.2780881041134525E-4</v>
      </c>
      <c r="BM31" s="715">
        <v>6.2201671764283001E-4</v>
      </c>
      <c r="BN31" s="715">
        <v>1.3081046836184139E-3</v>
      </c>
      <c r="BO31" s="716">
        <v>3.0733391622485297E-3</v>
      </c>
      <c r="BP31" s="715">
        <v>6.346778288010245E-3</v>
      </c>
      <c r="BQ31" s="715">
        <v>1.13893414120691E-2</v>
      </c>
      <c r="BR31" s="715">
        <v>1.9109370826782417E-2</v>
      </c>
      <c r="BS31" s="715">
        <v>2.9312394764457721E-2</v>
      </c>
      <c r="BT31" s="715">
        <v>4.1586159784052307E-2</v>
      </c>
      <c r="BW31" s="1188">
        <f>'2019'!R\Max</f>
        <v>0</v>
      </c>
      <c r="BX31" s="1188">
        <f>'2020'!R\Max</f>
        <v>0.14251198313474772</v>
      </c>
      <c r="BY31" s="1188">
        <f>'2021'!R\Max</f>
        <v>0.22857945750319977</v>
      </c>
      <c r="BZ31" s="1188">
        <f>'2022'!R\Max</f>
        <v>0.3915222234769884</v>
      </c>
      <c r="CA31" s="1188">
        <f>'2023'!R\Max</f>
        <v>0.22713863655165345</v>
      </c>
      <c r="CB31" s="1188">
        <f>'2024'!R\Max</f>
        <v>0.22710739735721483</v>
      </c>
      <c r="CC31" s="1188">
        <f>'2025'!R\Max</f>
        <v>0.22705928309626197</v>
      </c>
      <c r="CD31" s="1188">
        <f>'2026'!R\Max</f>
        <v>0.22701116073813965</v>
      </c>
      <c r="CE31" s="1189">
        <f>'2027'!R\Max</f>
        <v>0.22720388322420643</v>
      </c>
      <c r="CF31" s="1191">
        <f>'2028'!R\Max</f>
        <v>0.22718755679444394</v>
      </c>
    </row>
    <row r="32" spans="1:84" s="6" customFormat="1" ht="11.25" x14ac:dyDescent="0.2">
      <c r="A32" s="11">
        <v>43118</v>
      </c>
      <c r="B32" s="379">
        <f>'2023'!Maxi_hp</f>
        <v>30.661484813289494</v>
      </c>
      <c r="C32" s="13">
        <f>'2023'!An_max</f>
        <v>2021</v>
      </c>
      <c r="D32" s="1045" t="str">
        <f t="shared" si="7"/>
        <v/>
      </c>
      <c r="E32" s="1040"/>
      <c r="F32" s="13">
        <f t="shared" si="23"/>
        <v>3</v>
      </c>
      <c r="G32" s="13">
        <f t="shared" si="24"/>
        <v>2</v>
      </c>
      <c r="H32" s="173">
        <f t="shared" si="8"/>
        <v>43122</v>
      </c>
      <c r="I32" s="742">
        <f t="shared" si="9"/>
        <v>0.2857142857142857</v>
      </c>
      <c r="J32" s="735">
        <f t="shared" si="27"/>
        <v>32.524250427633525</v>
      </c>
      <c r="L32" s="744" t="s">
        <v>209</v>
      </c>
      <c r="M32" s="776">
        <f t="shared" ref="M32:AA32" si="39">M28</f>
        <v>43079</v>
      </c>
      <c r="N32" s="726">
        <f t="shared" si="39"/>
        <v>43108</v>
      </c>
      <c r="O32" s="726">
        <f t="shared" si="39"/>
        <v>43136</v>
      </c>
      <c r="P32" s="726">
        <f t="shared" si="39"/>
        <v>43164</v>
      </c>
      <c r="Q32" s="726">
        <f t="shared" si="39"/>
        <v>43192</v>
      </c>
      <c r="R32" s="726">
        <f t="shared" si="39"/>
        <v>43220</v>
      </c>
      <c r="S32" s="726">
        <f t="shared" si="39"/>
        <v>43248</v>
      </c>
      <c r="T32" s="726">
        <f t="shared" si="39"/>
        <v>43276</v>
      </c>
      <c r="U32" s="726">
        <f t="shared" si="39"/>
        <v>43304</v>
      </c>
      <c r="V32" s="726">
        <f t="shared" si="39"/>
        <v>43332</v>
      </c>
      <c r="W32" s="726">
        <f t="shared" si="39"/>
        <v>43360</v>
      </c>
      <c r="X32" s="726">
        <f t="shared" si="39"/>
        <v>43388</v>
      </c>
      <c r="Y32" s="726">
        <f t="shared" si="39"/>
        <v>43416</v>
      </c>
      <c r="Z32" s="768">
        <f t="shared" si="39"/>
        <v>43444</v>
      </c>
      <c r="AA32" s="775">
        <f t="shared" si="39"/>
        <v>43473</v>
      </c>
      <c r="AO32" s="1038">
        <v>43118</v>
      </c>
      <c r="AP32" s="13">
        <f t="shared" si="11"/>
        <v>3</v>
      </c>
      <c r="AQ32" s="13">
        <f t="shared" si="12"/>
        <v>2</v>
      </c>
      <c r="AR32" s="173">
        <f t="shared" si="13"/>
        <v>43136</v>
      </c>
      <c r="AS32" s="742">
        <f t="shared" si="14"/>
        <v>0.6428571428571429</v>
      </c>
      <c r="AT32" s="758">
        <f t="shared" si="15"/>
        <v>32.464449788363915</v>
      </c>
      <c r="AU32" s="13">
        <f t="shared" si="16"/>
        <v>1</v>
      </c>
      <c r="AV32" s="13">
        <f t="shared" si="17"/>
        <v>2</v>
      </c>
      <c r="AW32" s="173">
        <f t="shared" si="18"/>
        <v>43093</v>
      </c>
      <c r="AX32" s="742">
        <f t="shared" si="19"/>
        <v>0.86206896551724133</v>
      </c>
      <c r="AY32" s="758">
        <f t="shared" si="20"/>
        <v>32.640033698904105</v>
      </c>
      <c r="AZ32" s="735">
        <f t="shared" si="26"/>
        <v>32.552241743634013</v>
      </c>
      <c r="BA32" s="633">
        <f t="shared" si="21"/>
        <v>0.94272687026289248</v>
      </c>
      <c r="BC32" s="11">
        <v>43118</v>
      </c>
      <c r="BD32" s="289">
        <f>[2]!FeuilCaduc*(1-Persistant)+Persistant</f>
        <v>0.50102628705197882</v>
      </c>
      <c r="BE32" s="290">
        <f>[2]!CroissVégét</f>
        <v>1.4085719996856784E-3</v>
      </c>
      <c r="BF32" s="804">
        <f>1+[2]!Salcycl*Ksac</f>
        <v>1.0001026287051979</v>
      </c>
      <c r="BH32" s="1036">
        <f t="shared" si="22"/>
        <v>9.0972990570297428E-4</v>
      </c>
      <c r="BI32" s="11">
        <v>44214</v>
      </c>
      <c r="BJ32" s="715">
        <v>2.6936144504040988E-4</v>
      </c>
      <c r="BK32" s="715">
        <v>2.8019662486078646E-4</v>
      </c>
      <c r="BL32" s="715">
        <v>3.2419311204320291E-4</v>
      </c>
      <c r="BM32" s="715">
        <v>5.9500982227601634E-4</v>
      </c>
      <c r="BN32" s="715">
        <v>1.2255691843057863E-3</v>
      </c>
      <c r="BO32" s="716">
        <v>2.8735333041884762E-3</v>
      </c>
      <c r="BP32" s="715">
        <v>5.9200536151324222E-3</v>
      </c>
      <c r="BQ32" s="715">
        <v>1.0674581839349039E-2</v>
      </c>
      <c r="BR32" s="715">
        <v>1.8065154378004714E-2</v>
      </c>
      <c r="BS32" s="715">
        <v>2.7981347495260531E-2</v>
      </c>
      <c r="BT32" s="715">
        <v>3.9977541240574163E-2</v>
      </c>
      <c r="BW32" s="1188">
        <f>'2019'!R\Max</f>
        <v>0</v>
      </c>
      <c r="BX32" s="1188">
        <f>'2020'!R\Max</f>
        <v>0.5831481040147245</v>
      </c>
      <c r="BY32" s="1188">
        <f>'2021'!R\Max</f>
        <v>0.94272687026289248</v>
      </c>
      <c r="BZ32" s="1188">
        <f>'2022'!R\Max</f>
        <v>0.1256312719447428</v>
      </c>
      <c r="CA32" s="1188">
        <f>'2023'!R\Max</f>
        <v>0.64458747544841488</v>
      </c>
      <c r="CB32" s="1188">
        <f>'2024'!R\Max</f>
        <v>0.64454599564968251</v>
      </c>
      <c r="CC32" s="1188">
        <f>'2025'!R\Max</f>
        <v>0.6444812587185782</v>
      </c>
      <c r="CD32" s="1188">
        <f>'2026'!R\Max</f>
        <v>0.64441650063509925</v>
      </c>
      <c r="CE32" s="1189">
        <f>'2027'!R\Max</f>
        <v>0.64467423111335487</v>
      </c>
      <c r="CF32" s="1191">
        <f>'2028'!R\Max</f>
        <v>0.64465249700147575</v>
      </c>
    </row>
    <row r="33" spans="1:84" s="6" customFormat="1" ht="11.25" x14ac:dyDescent="0.2">
      <c r="A33" s="11">
        <v>43119</v>
      </c>
      <c r="B33" s="379">
        <f>'2023'!Maxi_hp</f>
        <v>33.4781759439336</v>
      </c>
      <c r="C33" s="13">
        <f>'2023'!An_max</f>
        <v>2021</v>
      </c>
      <c r="D33" s="1045">
        <f t="shared" si="7"/>
        <v>1.0196021385582428</v>
      </c>
      <c r="E33" s="1040"/>
      <c r="F33" s="13">
        <f t="shared" si="23"/>
        <v>3</v>
      </c>
      <c r="G33" s="13">
        <f t="shared" si="24"/>
        <v>2</v>
      </c>
      <c r="H33" s="173">
        <f t="shared" si="8"/>
        <v>43122</v>
      </c>
      <c r="I33" s="742">
        <f t="shared" si="9"/>
        <v>0.21428571428571427</v>
      </c>
      <c r="J33" s="735">
        <f t="shared" si="27"/>
        <v>32.834548573302371</v>
      </c>
      <c r="L33" s="744" t="s">
        <v>210</v>
      </c>
      <c r="M33" s="769">
        <f t="shared" ref="M33:AA33" si="40">M29</f>
        <v>280.72500000000002</v>
      </c>
      <c r="N33" s="732">
        <f t="shared" si="40"/>
        <v>298.45499999999998</v>
      </c>
      <c r="O33" s="732">
        <f t="shared" si="40"/>
        <v>388.09</v>
      </c>
      <c r="P33" s="732">
        <f t="shared" si="40"/>
        <v>491.51499999999999</v>
      </c>
      <c r="Q33" s="732">
        <f t="shared" si="40"/>
        <v>581.15</v>
      </c>
      <c r="R33" s="732">
        <f t="shared" si="40"/>
        <v>623.505</v>
      </c>
      <c r="S33" s="732">
        <f t="shared" si="40"/>
        <v>631.38499999999999</v>
      </c>
      <c r="T33" s="732">
        <f t="shared" si="40"/>
        <v>619.56499999999994</v>
      </c>
      <c r="U33" s="732">
        <f t="shared" si="40"/>
        <v>593.95500000000004</v>
      </c>
      <c r="V33" s="732">
        <f t="shared" si="40"/>
        <v>559.48</v>
      </c>
      <c r="W33" s="732">
        <f t="shared" si="40"/>
        <v>512.20000000000005</v>
      </c>
      <c r="X33" s="732">
        <f t="shared" si="40"/>
        <v>433.4</v>
      </c>
      <c r="Y33" s="732">
        <f t="shared" si="40"/>
        <v>339.82499999999999</v>
      </c>
      <c r="Z33" s="767">
        <f t="shared" si="40"/>
        <v>280.72500000000002</v>
      </c>
      <c r="AA33" s="765">
        <f t="shared" si="40"/>
        <v>298.45499999999998</v>
      </c>
      <c r="AO33" s="1038">
        <v>43119</v>
      </c>
      <c r="AP33" s="13">
        <f t="shared" si="11"/>
        <v>3</v>
      </c>
      <c r="AQ33" s="13">
        <f t="shared" si="12"/>
        <v>2</v>
      </c>
      <c r="AR33" s="173">
        <f t="shared" si="13"/>
        <v>43136</v>
      </c>
      <c r="AS33" s="742">
        <f t="shared" si="14"/>
        <v>0.6071428571428571</v>
      </c>
      <c r="AT33" s="758">
        <f t="shared" si="15"/>
        <v>32.786401191599928</v>
      </c>
      <c r="AU33" s="13">
        <f t="shared" si="16"/>
        <v>1</v>
      </c>
      <c r="AV33" s="13">
        <f t="shared" si="17"/>
        <v>2</v>
      </c>
      <c r="AW33" s="173">
        <f t="shared" si="18"/>
        <v>43093</v>
      </c>
      <c r="AX33" s="742">
        <f t="shared" si="19"/>
        <v>0.89655172413793105</v>
      </c>
      <c r="AY33" s="758">
        <f t="shared" si="20"/>
        <v>32.923172581966583</v>
      </c>
      <c r="AZ33" s="735">
        <f t="shared" si="26"/>
        <v>32.854786886783259</v>
      </c>
      <c r="BA33" s="633">
        <f t="shared" si="21"/>
        <v>1.0196021385582428</v>
      </c>
      <c r="BC33" s="11">
        <v>43119</v>
      </c>
      <c r="BD33" s="289">
        <f>[2]!FeuilCaduc*(1-Persistant)+Persistant</f>
        <v>0.50086154232446534</v>
      </c>
      <c r="BE33" s="290">
        <f>[2]!CroissVégét</f>
        <v>1.5257359314074395E-3</v>
      </c>
      <c r="BF33" s="804">
        <f>1+[2]!Salcycl*Ksac</f>
        <v>1.0000861542324466</v>
      </c>
      <c r="BH33" s="1036">
        <f t="shared" si="22"/>
        <v>8.6079741348228634E-4</v>
      </c>
      <c r="BI33" s="11">
        <v>44215</v>
      </c>
      <c r="BJ33" s="715">
        <v>2.7616740038995992E-4</v>
      </c>
      <c r="BK33" s="715">
        <v>2.8472969073304227E-4</v>
      </c>
      <c r="BL33" s="715">
        <v>3.2365339058910492E-4</v>
      </c>
      <c r="BM33" s="715">
        <v>5.7220083633330277E-4</v>
      </c>
      <c r="BN33" s="715">
        <v>1.1504202864221077E-3</v>
      </c>
      <c r="BO33" s="716">
        <v>2.6819266123601151E-3</v>
      </c>
      <c r="BP33" s="715">
        <v>5.5070329599222799E-3</v>
      </c>
      <c r="BQ33" s="715">
        <v>9.9745936257088618E-3</v>
      </c>
      <c r="BR33" s="715">
        <v>1.7023577246943644E-2</v>
      </c>
      <c r="BS33" s="715">
        <v>2.6625439706291578E-2</v>
      </c>
      <c r="BT33" s="715">
        <v>3.8308680110701501E-2</v>
      </c>
      <c r="BW33" s="1188">
        <f>'2019'!R\Max</f>
        <v>0</v>
      </c>
      <c r="BX33" s="1188">
        <f>'2020'!R\Max</f>
        <v>0.90028130131971906</v>
      </c>
      <c r="BY33" s="1188">
        <f>'2021'!R\Max</f>
        <v>1.0196021385582428</v>
      </c>
      <c r="BZ33" s="1188">
        <f>'2022'!R\Max</f>
        <v>0.37777058815689774</v>
      </c>
      <c r="CA33" s="1188">
        <f>'2023'!R\Max</f>
        <v>0.33552538795294956</v>
      </c>
      <c r="CB33" s="1188">
        <f>'2024'!R\Max</f>
        <v>0.33548832333233747</v>
      </c>
      <c r="CC33" s="1188">
        <f>'2025'!R\Max</f>
        <v>0.3354297146523218</v>
      </c>
      <c r="CD33" s="1188">
        <f>'2026'!R\Max</f>
        <v>0.33537109948856364</v>
      </c>
      <c r="CE33" s="1189">
        <f>'2027'!R\Max</f>
        <v>0.33560300880609978</v>
      </c>
      <c r="CF33" s="1191">
        <f>'2028'!R\Max</f>
        <v>0.33558354456462941</v>
      </c>
    </row>
    <row r="34" spans="1:84" s="6" customFormat="1" ht="11.25" x14ac:dyDescent="0.2">
      <c r="A34" s="11">
        <v>43120</v>
      </c>
      <c r="B34" s="379">
        <f>'2023'!Maxi_hp</f>
        <v>19.75459752863182</v>
      </c>
      <c r="C34" s="13">
        <f>'2023'!An_max</f>
        <v>2023</v>
      </c>
      <c r="D34" s="1045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73">
        <f t="shared" si="8"/>
        <v>43122</v>
      </c>
      <c r="I34" s="742">
        <f t="shared" si="9"/>
        <v>0.14285714285714285</v>
      </c>
      <c r="J34" s="735">
        <f t="shared" si="27"/>
        <v>33.148813903331757</v>
      </c>
      <c r="L34" s="744" t="s">
        <v>211</v>
      </c>
      <c r="M34" s="771">
        <f t="shared" ref="M34:AA34" si="41">N28</f>
        <v>43108</v>
      </c>
      <c r="N34" s="727">
        <f t="shared" si="41"/>
        <v>43136</v>
      </c>
      <c r="O34" s="727">
        <f t="shared" si="41"/>
        <v>43164</v>
      </c>
      <c r="P34" s="727">
        <f t="shared" si="41"/>
        <v>43192</v>
      </c>
      <c r="Q34" s="727">
        <f t="shared" si="41"/>
        <v>43220</v>
      </c>
      <c r="R34" s="727">
        <f t="shared" si="41"/>
        <v>43248</v>
      </c>
      <c r="S34" s="727">
        <f t="shared" si="41"/>
        <v>43276</v>
      </c>
      <c r="T34" s="727">
        <f t="shared" si="41"/>
        <v>43304</v>
      </c>
      <c r="U34" s="727">
        <f t="shared" si="41"/>
        <v>43332</v>
      </c>
      <c r="V34" s="727">
        <f t="shared" si="41"/>
        <v>43360</v>
      </c>
      <c r="W34" s="727">
        <f t="shared" si="41"/>
        <v>43388</v>
      </c>
      <c r="X34" s="727">
        <f t="shared" si="41"/>
        <v>43416</v>
      </c>
      <c r="Y34" s="727">
        <f t="shared" si="41"/>
        <v>43444</v>
      </c>
      <c r="Z34" s="777">
        <f t="shared" si="41"/>
        <v>43473</v>
      </c>
      <c r="AA34" s="775">
        <f t="shared" si="41"/>
        <v>43501</v>
      </c>
      <c r="AO34" s="1038">
        <v>43120</v>
      </c>
      <c r="AP34" s="13">
        <f t="shared" si="11"/>
        <v>3</v>
      </c>
      <c r="AQ34" s="13">
        <f t="shared" si="12"/>
        <v>2</v>
      </c>
      <c r="AR34" s="173">
        <f t="shared" si="13"/>
        <v>43136</v>
      </c>
      <c r="AS34" s="742">
        <f t="shared" si="14"/>
        <v>0.5714285714285714</v>
      </c>
      <c r="AT34" s="758">
        <f t="shared" si="15"/>
        <v>33.116131227383654</v>
      </c>
      <c r="AU34" s="13">
        <f t="shared" si="16"/>
        <v>1</v>
      </c>
      <c r="AV34" s="13">
        <f t="shared" si="17"/>
        <v>2</v>
      </c>
      <c r="AW34" s="173">
        <f t="shared" si="18"/>
        <v>43093</v>
      </c>
      <c r="AX34" s="742">
        <f t="shared" si="19"/>
        <v>0.93103448275862066</v>
      </c>
      <c r="AY34" s="758">
        <f t="shared" si="20"/>
        <v>33.208784978451398</v>
      </c>
      <c r="AZ34" s="735">
        <f t="shared" si="26"/>
        <v>33.162458102917526</v>
      </c>
      <c r="BA34" s="633">
        <f t="shared" si="21"/>
        <v>0.59593678332624456</v>
      </c>
      <c r="BC34" s="11">
        <v>43120</v>
      </c>
      <c r="BD34" s="289">
        <f>[2]!FeuilCaduc*(1-Persistant)+Persistant</f>
        <v>0.50071000132545829</v>
      </c>
      <c r="BE34" s="290">
        <f>[2]!CroissVégét</f>
        <v>1.6477858914927391E-3</v>
      </c>
      <c r="BF34" s="804">
        <f>1+[2]!Salcycl*Ksac</f>
        <v>1.0000710001325459</v>
      </c>
      <c r="BH34" s="1036">
        <f t="shared" si="22"/>
        <v>8.1766588484393876E-4</v>
      </c>
      <c r="BI34" s="11">
        <v>44216</v>
      </c>
      <c r="BJ34" s="715">
        <v>2.8512582336074265E-4</v>
      </c>
      <c r="BK34" s="715">
        <v>2.9172324954815539E-4</v>
      </c>
      <c r="BL34" s="715">
        <v>3.2619278897546276E-4</v>
      </c>
      <c r="BM34" s="715">
        <v>5.5359668414852554E-4</v>
      </c>
      <c r="BN34" s="715">
        <v>1.0826741580392439E-3</v>
      </c>
      <c r="BO34" s="716">
        <v>2.498552314454637E-3</v>
      </c>
      <c r="BP34" s="715">
        <v>5.1077844050031775E-3</v>
      </c>
      <c r="BQ34" s="715">
        <v>9.2894884000231989E-3</v>
      </c>
      <c r="BR34" s="715">
        <v>1.5984799148105706E-2</v>
      </c>
      <c r="BS34" s="715">
        <v>2.5244873897768822E-2</v>
      </c>
      <c r="BT34" s="715">
        <v>3.657982262201076E-2</v>
      </c>
      <c r="BW34" s="1188">
        <f>'2019'!R\Max</f>
        <v>0</v>
      </c>
      <c r="BX34" s="1188">
        <f>'2020'!R\Max</f>
        <v>0.38797965658602784</v>
      </c>
      <c r="BY34" s="1188">
        <f>'2021'!R\Max</f>
        <v>0.22130669303290024</v>
      </c>
      <c r="BZ34" s="1188">
        <f>'2022'!R\Max</f>
        <v>0.21088201940477977</v>
      </c>
      <c r="CA34" s="1188">
        <f>'2023'!R\Max</f>
        <v>0.59593678332624456</v>
      </c>
      <c r="CB34" s="1188">
        <f>'2024'!R\Max</f>
        <v>0.59590017109969518</v>
      </c>
      <c r="CC34" s="1188">
        <f>'2025'!R\Max</f>
        <v>0.59584149020873678</v>
      </c>
      <c r="CD34" s="1188">
        <f>'2026'!R\Max</f>
        <v>0.59578279802820289</v>
      </c>
      <c r="CE34" s="1189">
        <f>'2027'!R\Max</f>
        <v>0.59601348680767419</v>
      </c>
      <c r="CF34" s="1191">
        <f>'2028'!R\Max</f>
        <v>0.59599424698495818</v>
      </c>
    </row>
    <row r="35" spans="1:84" s="6" customFormat="1" ht="11.25" x14ac:dyDescent="0.2">
      <c r="A35" s="11">
        <v>43121</v>
      </c>
      <c r="B35" s="379">
        <f>'2023'!Maxi_hp</f>
        <v>24.694624919253947</v>
      </c>
      <c r="C35" s="13">
        <f>'2023'!An_max</f>
        <v>2022</v>
      </c>
      <c r="D35" s="1045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73">
        <f t="shared" si="8"/>
        <v>43122</v>
      </c>
      <c r="I35" s="742">
        <f t="shared" si="9"/>
        <v>7.1428571428571425E-2</v>
      </c>
      <c r="J35" s="735">
        <f t="shared" si="27"/>
        <v>33.466109887510541</v>
      </c>
      <c r="L35" s="744" t="s">
        <v>212</v>
      </c>
      <c r="M35" s="772">
        <f t="shared" ref="M35:AA35" si="42">N29</f>
        <v>298.45499999999998</v>
      </c>
      <c r="N35" s="732">
        <f t="shared" si="42"/>
        <v>388.09</v>
      </c>
      <c r="O35" s="732">
        <f t="shared" si="42"/>
        <v>491.51499999999999</v>
      </c>
      <c r="P35" s="732">
        <f t="shared" si="42"/>
        <v>581.15</v>
      </c>
      <c r="Q35" s="732">
        <f t="shared" si="42"/>
        <v>623.505</v>
      </c>
      <c r="R35" s="732">
        <f t="shared" si="42"/>
        <v>631.38499999999999</v>
      </c>
      <c r="S35" s="732">
        <f t="shared" si="42"/>
        <v>619.56499999999994</v>
      </c>
      <c r="T35" s="732">
        <f t="shared" si="42"/>
        <v>593.95500000000004</v>
      </c>
      <c r="U35" s="732">
        <f t="shared" si="42"/>
        <v>559.48</v>
      </c>
      <c r="V35" s="732">
        <f t="shared" si="42"/>
        <v>512.20000000000005</v>
      </c>
      <c r="W35" s="732">
        <f t="shared" si="42"/>
        <v>433.4</v>
      </c>
      <c r="X35" s="732">
        <f t="shared" si="42"/>
        <v>339.82499999999999</v>
      </c>
      <c r="Y35" s="732">
        <f t="shared" si="42"/>
        <v>280.72500000000002</v>
      </c>
      <c r="Z35" s="778">
        <f t="shared" si="42"/>
        <v>298.45499999999998</v>
      </c>
      <c r="AA35" s="765">
        <f t="shared" si="42"/>
        <v>388.09</v>
      </c>
      <c r="AO35" s="1038">
        <v>43121</v>
      </c>
      <c r="AP35" s="13">
        <f t="shared" si="11"/>
        <v>3</v>
      </c>
      <c r="AQ35" s="13">
        <f t="shared" si="12"/>
        <v>2</v>
      </c>
      <c r="AR35" s="173">
        <f t="shared" si="13"/>
        <v>43136</v>
      </c>
      <c r="AS35" s="742">
        <f t="shared" si="14"/>
        <v>0.5357142857142857</v>
      </c>
      <c r="AT35" s="758">
        <f t="shared" si="15"/>
        <v>33.452854718381005</v>
      </c>
      <c r="AU35" s="13">
        <f t="shared" si="16"/>
        <v>1</v>
      </c>
      <c r="AV35" s="13">
        <f t="shared" si="17"/>
        <v>2</v>
      </c>
      <c r="AW35" s="173">
        <f t="shared" si="18"/>
        <v>43093</v>
      </c>
      <c r="AX35" s="742">
        <f t="shared" si="19"/>
        <v>0.96551724137931039</v>
      </c>
      <c r="AY35" s="758">
        <f t="shared" si="20"/>
        <v>33.496388311889667</v>
      </c>
      <c r="AZ35" s="735">
        <f t="shared" si="26"/>
        <v>33.47462151513534</v>
      </c>
      <c r="BA35" s="633">
        <f t="shared" si="21"/>
        <v>0.73789947508867504</v>
      </c>
      <c r="BC35" s="11">
        <v>43121</v>
      </c>
      <c r="BD35" s="289">
        <f>[2]!FeuilCaduc*(1-Persistant)+Persistant</f>
        <v>0.50057214380933035</v>
      </c>
      <c r="BE35" s="290">
        <f>[2]!CroissVégét</f>
        <v>1.7749243659651206E-3</v>
      </c>
      <c r="BF35" s="804">
        <f>1+[2]!Salcycl*Ksac</f>
        <v>1.000057214380933</v>
      </c>
      <c r="BH35" s="1036">
        <f t="shared" si="22"/>
        <v>7.8034715717121769E-4</v>
      </c>
      <c r="BI35" s="11">
        <v>44217</v>
      </c>
      <c r="BJ35" s="715">
        <v>2.962387736103174E-4</v>
      </c>
      <c r="BK35" s="715">
        <v>3.0117975415036086E-4</v>
      </c>
      <c r="BL35" s="715">
        <v>3.3181471398502864E-4</v>
      </c>
      <c r="BM35" s="715">
        <v>5.392045959650766E-4</v>
      </c>
      <c r="BN35" s="715">
        <v>1.0223472600641057E-3</v>
      </c>
      <c r="BO35" s="716">
        <v>2.3234456217094608E-3</v>
      </c>
      <c r="BP35" s="715">
        <v>4.7223803172768463E-3</v>
      </c>
      <c r="BQ35" s="715">
        <v>8.6193881500157676E-3</v>
      </c>
      <c r="BR35" s="715">
        <v>1.4949004092982873E-2</v>
      </c>
      <c r="BS35" s="715">
        <v>2.3839900395976759E-2</v>
      </c>
      <c r="BT35" s="715">
        <v>3.4791292999112086E-2</v>
      </c>
      <c r="BW35" s="1188">
        <f>'2019'!R\Max</f>
        <v>0</v>
      </c>
      <c r="BX35" s="1188">
        <f>'2020'!R\Max</f>
        <v>0.10831590115907963</v>
      </c>
      <c r="BY35" s="1188">
        <f>'2021'!R\Max</f>
        <v>0.43007841652311296</v>
      </c>
      <c r="BZ35" s="1188">
        <f>'2022'!R\Max</f>
        <v>0.73789947508867504</v>
      </c>
      <c r="CA35" s="1188">
        <f>'2023'!R\Max</f>
        <v>0.21470066916288788</v>
      </c>
      <c r="CB35" s="1188">
        <f>'2024'!R\Max</f>
        <v>0.21467986390127491</v>
      </c>
      <c r="CC35" s="1188">
        <f>'2025'!R\Max</f>
        <v>0.21464606629792574</v>
      </c>
      <c r="CD35" s="1188">
        <f>'2026'!R\Max</f>
        <v>0.21461226868450259</v>
      </c>
      <c r="CE35" s="1189">
        <f>'2027'!R\Max</f>
        <v>0.21474425192108507</v>
      </c>
      <c r="CF35" s="1191">
        <f>'2028'!R\Max</f>
        <v>0.21473332240113011</v>
      </c>
    </row>
    <row r="36" spans="1:84" s="6" customFormat="1" ht="11.25" x14ac:dyDescent="0.2">
      <c r="A36" s="11">
        <v>43122</v>
      </c>
      <c r="B36" s="379">
        <f>'2023'!Maxi_hp</f>
        <v>33.880643604916138</v>
      </c>
      <c r="C36" s="13">
        <f>'2023'!An_max</f>
        <v>2023</v>
      </c>
      <c r="D36" s="1045">
        <f t="shared" si="7"/>
        <v>1.0028161076790945</v>
      </c>
      <c r="E36" s="1040">
        <f>O$13/10</f>
        <v>33.785499999999999</v>
      </c>
      <c r="F36" s="13">
        <f t="shared" si="23"/>
        <v>3</v>
      </c>
      <c r="G36" s="13">
        <f t="shared" si="24"/>
        <v>4</v>
      </c>
      <c r="H36" s="173">
        <f t="shared" si="8"/>
        <v>43122</v>
      </c>
      <c r="I36" s="742">
        <f t="shared" si="9"/>
        <v>0</v>
      </c>
      <c r="J36" s="735">
        <f t="shared" si="27"/>
        <v>33.785499998927115</v>
      </c>
      <c r="L36" s="745" t="s">
        <v>213</v>
      </c>
      <c r="M36" s="729">
        <f t="shared" ref="M36:AA36" si="43">x.1lg*x.1lg-x.2lg*x.2lg</f>
        <v>-2411640</v>
      </c>
      <c r="N36" s="729">
        <f t="shared" si="43"/>
        <v>-2499423</v>
      </c>
      <c r="O36" s="729">
        <f t="shared" si="43"/>
        <v>-2414832</v>
      </c>
      <c r="P36" s="729">
        <f t="shared" si="43"/>
        <v>-2416400</v>
      </c>
      <c r="Q36" s="729">
        <f t="shared" si="43"/>
        <v>-2417968</v>
      </c>
      <c r="R36" s="729">
        <f t="shared" si="43"/>
        <v>-2419536</v>
      </c>
      <c r="S36" s="729">
        <f t="shared" si="43"/>
        <v>-2421104</v>
      </c>
      <c r="T36" s="729">
        <f t="shared" si="43"/>
        <v>-2422672</v>
      </c>
      <c r="U36" s="729">
        <f t="shared" si="43"/>
        <v>-2424240</v>
      </c>
      <c r="V36" s="729">
        <f t="shared" si="43"/>
        <v>-2425808</v>
      </c>
      <c r="W36" s="729">
        <f t="shared" si="43"/>
        <v>-2427376</v>
      </c>
      <c r="X36" s="729">
        <f t="shared" si="43"/>
        <v>-2428944</v>
      </c>
      <c r="Y36" s="729">
        <f t="shared" si="43"/>
        <v>-2430512</v>
      </c>
      <c r="Z36" s="729">
        <f t="shared" si="43"/>
        <v>-2432080</v>
      </c>
      <c r="AA36" s="729">
        <f t="shared" si="43"/>
        <v>-2520593</v>
      </c>
      <c r="AO36" s="1038">
        <v>43122</v>
      </c>
      <c r="AP36" s="13">
        <f t="shared" si="11"/>
        <v>3</v>
      </c>
      <c r="AQ36" s="13">
        <f t="shared" si="12"/>
        <v>2</v>
      </c>
      <c r="AR36" s="173">
        <f t="shared" si="13"/>
        <v>43136</v>
      </c>
      <c r="AS36" s="742">
        <f t="shared" si="14"/>
        <v>0.5</v>
      </c>
      <c r="AT36" s="758">
        <f t="shared" si="15"/>
        <v>33.795786488149318</v>
      </c>
      <c r="AU36" s="13">
        <f t="shared" si="16"/>
        <v>3</v>
      </c>
      <c r="AV36" s="13">
        <f t="shared" si="17"/>
        <v>2</v>
      </c>
      <c r="AW36" s="173">
        <f t="shared" si="18"/>
        <v>43150</v>
      </c>
      <c r="AX36" s="742">
        <f t="shared" si="19"/>
        <v>1</v>
      </c>
      <c r="AY36" s="758">
        <f t="shared" si="20"/>
        <v>33.785499998927115</v>
      </c>
      <c r="AZ36" s="735">
        <f t="shared" si="26"/>
        <v>33.790643243538213</v>
      </c>
      <c r="BA36" s="633">
        <f t="shared" si="21"/>
        <v>1.0028161076790945</v>
      </c>
      <c r="BC36" s="11">
        <v>43122</v>
      </c>
      <c r="BD36" s="289">
        <f>[2]!FeuilCaduc*(1-Persistant)+Persistant</f>
        <v>0.5004484354017199</v>
      </c>
      <c r="BE36" s="290">
        <f>[2]!CroissVégét</f>
        <v>1.9073621235293117E-3</v>
      </c>
      <c r="BF36" s="804">
        <f>1+[2]!Salcycl*Ksac</f>
        <v>1.0000448435401721</v>
      </c>
      <c r="BH36" s="1036">
        <f t="shared" si="22"/>
        <v>7.4884802616432319E-4</v>
      </c>
      <c r="BI36" s="11">
        <v>44218</v>
      </c>
      <c r="BJ36" s="715">
        <v>3.0950686129499081E-4</v>
      </c>
      <c r="BK36" s="715">
        <v>3.1310010383217709E-4</v>
      </c>
      <c r="BL36" s="715">
        <v>3.4052071116679486E-4</v>
      </c>
      <c r="BM36" s="715">
        <v>5.2902849012952027E-4</v>
      </c>
      <c r="BN36" s="715">
        <v>9.694492757828596E-4</v>
      </c>
      <c r="BO36" s="716">
        <v>2.1566271298397769E-3</v>
      </c>
      <c r="BP36" s="715">
        <v>4.3508633332301466E-3</v>
      </c>
      <c r="BQ36" s="715">
        <v>7.9643629583927827E-3</v>
      </c>
      <c r="BR36" s="715">
        <v>1.3916292297011334E-2</v>
      </c>
      <c r="BS36" s="715">
        <v>2.2410645338765311E-2</v>
      </c>
      <c r="BT36" s="715">
        <v>3.2943243068730553E-2</v>
      </c>
      <c r="BW36" s="1188">
        <f>'2019'!R\Max</f>
        <v>0</v>
      </c>
      <c r="BX36" s="1188">
        <f>'2020'!R\Max</f>
        <v>3.3866606904678416E-2</v>
      </c>
      <c r="BY36" s="1188">
        <f>'2021'!R\Max</f>
        <v>0.17870152559692934</v>
      </c>
      <c r="BZ36" s="1188">
        <f>'2022'!R\Max</f>
        <v>1.0028161076790942</v>
      </c>
      <c r="CA36" s="1188">
        <f>'2023'!R\Max</f>
        <v>1.0028161076790945</v>
      </c>
      <c r="CB36" s="1188">
        <f>'2024'!R\Max</f>
        <v>1.0028161076790947</v>
      </c>
      <c r="CC36" s="1188">
        <f>'2025'!R\Max</f>
        <v>1.0028161076790947</v>
      </c>
      <c r="CD36" s="1188">
        <f>'2026'!R\Max</f>
        <v>1.0028161076790945</v>
      </c>
      <c r="CE36" s="1189">
        <f>'2027'!R\Max</f>
        <v>1.0028161076790945</v>
      </c>
      <c r="CF36" s="1191">
        <f>'2028'!R\Max</f>
        <v>1.0028161076790945</v>
      </c>
    </row>
    <row r="37" spans="1:84" s="6" customFormat="1" ht="11.25" x14ac:dyDescent="0.2">
      <c r="A37" s="11">
        <v>43123</v>
      </c>
      <c r="B37" s="379">
        <f>'2023'!Maxi_hp</f>
        <v>33.772529804178184</v>
      </c>
      <c r="C37" s="13">
        <f>'2023'!An_max</f>
        <v>2022</v>
      </c>
      <c r="D37" s="1045">
        <f t="shared" si="7"/>
        <v>0.99009899404437918</v>
      </c>
      <c r="E37" s="13"/>
      <c r="F37" s="13">
        <f t="shared" si="23"/>
        <v>3</v>
      </c>
      <c r="G37" s="13">
        <f t="shared" si="24"/>
        <v>4</v>
      </c>
      <c r="H37" s="173">
        <f t="shared" si="8"/>
        <v>43122</v>
      </c>
      <c r="I37" s="742">
        <f t="shared" si="9"/>
        <v>7.1428571428571425E-2</v>
      </c>
      <c r="J37" s="735">
        <f>((1-I37)*(INDEX(a.m,F37)*$A37*$A37+INDEX(b.m,F37)*$A37+INDEX(c.m,F37))+I37*(INDEX(a.m,G37)*$A37*$A37+INDEX(b.m,G37)*$A37+INDEX(c.m,G37)))/10</f>
        <v>34.110255648501749</v>
      </c>
      <c r="L37" s="745" t="s">
        <v>214</v>
      </c>
      <c r="M37" s="729">
        <f t="shared" ref="M37:AA37" si="44">x.2lg*x.2lg-x.3lg*x.3lg</f>
        <v>-2499423</v>
      </c>
      <c r="N37" s="729">
        <f t="shared" si="44"/>
        <v>-2414832</v>
      </c>
      <c r="O37" s="729">
        <f t="shared" si="44"/>
        <v>-2416400</v>
      </c>
      <c r="P37" s="729">
        <f t="shared" si="44"/>
        <v>-2417968</v>
      </c>
      <c r="Q37" s="729">
        <f t="shared" si="44"/>
        <v>-2419536</v>
      </c>
      <c r="R37" s="729">
        <f t="shared" si="44"/>
        <v>-2421104</v>
      </c>
      <c r="S37" s="729">
        <f t="shared" si="44"/>
        <v>-2422672</v>
      </c>
      <c r="T37" s="729">
        <f t="shared" si="44"/>
        <v>-2424240</v>
      </c>
      <c r="U37" s="729">
        <f t="shared" si="44"/>
        <v>-2425808</v>
      </c>
      <c r="V37" s="729">
        <f t="shared" si="44"/>
        <v>-2427376</v>
      </c>
      <c r="W37" s="729">
        <f t="shared" si="44"/>
        <v>-2428944</v>
      </c>
      <c r="X37" s="729">
        <f t="shared" si="44"/>
        <v>-2430512</v>
      </c>
      <c r="Y37" s="729">
        <f t="shared" si="44"/>
        <v>-2432080</v>
      </c>
      <c r="Z37" s="729">
        <f t="shared" si="44"/>
        <v>-2520593</v>
      </c>
      <c r="AA37" s="729">
        <f t="shared" si="44"/>
        <v>-2435272</v>
      </c>
      <c r="AO37" s="1038">
        <v>43123</v>
      </c>
      <c r="AP37" s="13">
        <f t="shared" si="11"/>
        <v>3</v>
      </c>
      <c r="AQ37" s="13">
        <f t="shared" si="12"/>
        <v>2</v>
      </c>
      <c r="AR37" s="173">
        <f t="shared" si="13"/>
        <v>43136</v>
      </c>
      <c r="AS37" s="742">
        <f t="shared" si="14"/>
        <v>0.4642857142857143</v>
      </c>
      <c r="AT37" s="758">
        <f t="shared" si="15"/>
        <v>34.14414135199705</v>
      </c>
      <c r="AU37" s="13">
        <f t="shared" si="16"/>
        <v>3</v>
      </c>
      <c r="AV37" s="13">
        <f t="shared" si="17"/>
        <v>2</v>
      </c>
      <c r="AW37" s="173">
        <f t="shared" si="18"/>
        <v>43150</v>
      </c>
      <c r="AX37" s="742">
        <f t="shared" si="19"/>
        <v>0.9642857142857143</v>
      </c>
      <c r="AY37" s="758">
        <f t="shared" si="20"/>
        <v>34.081096976110715</v>
      </c>
      <c r="AZ37" s="735">
        <f t="shared" si="26"/>
        <v>34.112619164053882</v>
      </c>
      <c r="BA37" s="633">
        <f t="shared" si="21"/>
        <v>0.99009899404437918</v>
      </c>
      <c r="BC37" s="11">
        <v>43123</v>
      </c>
      <c r="BD37" s="289">
        <f>[2]!FeuilCaduc*(1-Persistant)+Persistant</f>
        <v>0.50033931057805758</v>
      </c>
      <c r="BE37" s="290">
        <f>[2]!CroissVégét</f>
        <v>2.045318545083899E-3</v>
      </c>
      <c r="BF37" s="804">
        <f>1+[2]!Salcycl*Ksac</f>
        <v>1.0000339310578057</v>
      </c>
      <c r="BH37" s="1036">
        <f t="shared" si="22"/>
        <v>7.2317424710718393E-4</v>
      </c>
      <c r="BI37" s="11">
        <v>44219</v>
      </c>
      <c r="BJ37" s="715">
        <v>3.2493043714232795E-4</v>
      </c>
      <c r="BK37" s="715">
        <v>3.2748488506042698E-4</v>
      </c>
      <c r="BL37" s="715">
        <v>3.5231190331411422E-4</v>
      </c>
      <c r="BM37" s="715">
        <v>5.2307159521901877E-4</v>
      </c>
      <c r="BN37" s="715">
        <v>9.2398849617157696E-4</v>
      </c>
      <c r="BO37" s="716">
        <v>1.9981153316409751E-3</v>
      </c>
      <c r="BP37" s="715">
        <v>3.9932720976001554E-3</v>
      </c>
      <c r="BQ37" s="715">
        <v>7.3244772881228999E-3</v>
      </c>
      <c r="BR37" s="715">
        <v>1.2886758229817946E-2</v>
      </c>
      <c r="BS37" s="715">
        <v>2.0957231204636717E-2</v>
      </c>
      <c r="BT37" s="715">
        <v>3.103582415104468E-2</v>
      </c>
      <c r="BW37" s="1188">
        <f>'2019'!R\Max</f>
        <v>0</v>
      </c>
      <c r="BX37" s="1188">
        <f>'2020'!R\Max</f>
        <v>0.39288752343278349</v>
      </c>
      <c r="BY37" s="1188">
        <f>'2021'!R\Max</f>
        <v>0.26418474926226243</v>
      </c>
      <c r="BZ37" s="1188">
        <f>'2022'!R\Max</f>
        <v>0.99009899404437918</v>
      </c>
      <c r="CA37" s="1188">
        <f>'2023'!R\Max</f>
        <v>0.9900978873207561</v>
      </c>
      <c r="CB37" s="1188">
        <f>'2024'!R\Max</f>
        <v>0.99009678022479786</v>
      </c>
      <c r="CC37" s="1188">
        <f>'2025'!R\Max</f>
        <v>0.99009493171579832</v>
      </c>
      <c r="CD37" s="1188">
        <f>'2026'!R\Max</f>
        <v>0.99009308239215499</v>
      </c>
      <c r="CE37" s="1189">
        <f>'2027'!R\Max</f>
        <v>0.99010019684912243</v>
      </c>
      <c r="CF37" s="1191">
        <f>'2028'!R\Max</f>
        <v>0.9900996197066213</v>
      </c>
    </row>
    <row r="38" spans="1:84" s="6" customFormat="1" ht="11.25" x14ac:dyDescent="0.2">
      <c r="A38" s="11">
        <v>43124</v>
      </c>
      <c r="B38" s="379">
        <f>'2023'!Maxi_hp</f>
        <v>34.875269429553484</v>
      </c>
      <c r="C38" s="13">
        <f>'2023'!An_max</f>
        <v>2023</v>
      </c>
      <c r="D38" s="1045">
        <f t="shared" si="7"/>
        <v>1.012529757282697</v>
      </c>
      <c r="E38" s="13"/>
      <c r="F38" s="13">
        <f t="shared" si="23"/>
        <v>3</v>
      </c>
      <c r="G38" s="13">
        <f t="shared" si="24"/>
        <v>4</v>
      </c>
      <c r="H38" s="173">
        <f t="shared" si="8"/>
        <v>43122</v>
      </c>
      <c r="I38" s="742">
        <f t="shared" si="9"/>
        <v>0.14285714285714285</v>
      </c>
      <c r="J38" s="735">
        <f t="shared" si="27"/>
        <v>34.44369825055557</v>
      </c>
      <c r="L38" s="745" t="s">
        <v>215</v>
      </c>
      <c r="M38" s="729">
        <f t="shared" ref="M38:AA38" si="45">(y.1lg-y.2lg-b.lg*(x.1lg-x.2lg))/D2x12Lg</f>
        <v>4.7756028001033131E-2</v>
      </c>
      <c r="N38" s="729">
        <f t="shared" si="45"/>
        <v>4.5436327888691466E-2</v>
      </c>
      <c r="O38" s="729">
        <f t="shared" si="45"/>
        <v>8.794642857141587E-3</v>
      </c>
      <c r="P38" s="729">
        <f t="shared" si="45"/>
        <v>-8.7946428571429765E-3</v>
      </c>
      <c r="Q38" s="729">
        <f t="shared" si="45"/>
        <v>-3.0153061224493408E-2</v>
      </c>
      <c r="R38" s="729">
        <f t="shared" si="45"/>
        <v>-2.1986607142855656E-2</v>
      </c>
      <c r="S38" s="729">
        <f t="shared" si="45"/>
        <v>-1.256377551020434E-2</v>
      </c>
      <c r="T38" s="729">
        <f t="shared" si="45"/>
        <v>-8.7946428571431708E-3</v>
      </c>
      <c r="U38" s="729">
        <f t="shared" si="45"/>
        <v>-5.6536989795926678E-3</v>
      </c>
      <c r="V38" s="729">
        <f t="shared" si="45"/>
        <v>-8.166454081633823E-3</v>
      </c>
      <c r="W38" s="729">
        <f t="shared" si="45"/>
        <v>-2.0102040816327337E-2</v>
      </c>
      <c r="X38" s="729">
        <f t="shared" si="45"/>
        <v>-9.4228316326545429E-3</v>
      </c>
      <c r="Y38" s="729">
        <f t="shared" si="45"/>
        <v>2.1986607142855136E-2</v>
      </c>
      <c r="Z38" s="729">
        <f t="shared" si="45"/>
        <v>4.7756028001041881E-2</v>
      </c>
      <c r="AA38" s="729">
        <f t="shared" si="45"/>
        <v>4.5436327888683278E-2</v>
      </c>
      <c r="AO38" s="1038">
        <v>43124</v>
      </c>
      <c r="AP38" s="13">
        <f t="shared" si="11"/>
        <v>3</v>
      </c>
      <c r="AQ38" s="13">
        <f t="shared" si="12"/>
        <v>2</v>
      </c>
      <c r="AR38" s="173">
        <f t="shared" si="13"/>
        <v>43136</v>
      </c>
      <c r="AS38" s="742">
        <f t="shared" si="14"/>
        <v>0.42857142857142855</v>
      </c>
      <c r="AT38" s="758">
        <f t="shared" si="15"/>
        <v>34.49713413576994</v>
      </c>
      <c r="AU38" s="13">
        <f t="shared" si="16"/>
        <v>3</v>
      </c>
      <c r="AV38" s="13">
        <f t="shared" si="17"/>
        <v>2</v>
      </c>
      <c r="AW38" s="173">
        <f t="shared" si="18"/>
        <v>43150</v>
      </c>
      <c r="AX38" s="742">
        <f t="shared" si="19"/>
        <v>0.9285714285714286</v>
      </c>
      <c r="AY38" s="758">
        <f t="shared" si="20"/>
        <v>34.388026544571453</v>
      </c>
      <c r="AZ38" s="735">
        <f t="shared" si="26"/>
        <v>34.442580340170693</v>
      </c>
      <c r="BA38" s="633">
        <f t="shared" si="21"/>
        <v>1.012529757282697</v>
      </c>
      <c r="BC38" s="11">
        <v>43124</v>
      </c>
      <c r="BD38" s="289">
        <f>[2]!FeuilCaduc*(1-Persistant)+Persistant</f>
        <v>0.50024515707010664</v>
      </c>
      <c r="BE38" s="290">
        <f>[2]!CroissVégét</f>
        <v>2.1890219655428525E-3</v>
      </c>
      <c r="BF38" s="804">
        <f>1+[2]!Salcycl*Ksac</f>
        <v>1.0000245157070107</v>
      </c>
      <c r="BH38" s="1036">
        <f t="shared" si="22"/>
        <v>7.0506828452139645E-4</v>
      </c>
      <c r="BI38" s="11">
        <v>44220</v>
      </c>
      <c r="BJ38" s="715">
        <v>3.4270388045839025E-4</v>
      </c>
      <c r="BK38" s="715">
        <v>3.4452866335203729E-4</v>
      </c>
      <c r="BL38" s="715">
        <v>3.6742309474763185E-4</v>
      </c>
      <c r="BM38" s="715">
        <v>5.2233557080251568E-4</v>
      </c>
      <c r="BN38" s="715">
        <v>8.8845082512592737E-4</v>
      </c>
      <c r="BO38" s="716">
        <v>1.855401164752829E-3</v>
      </c>
      <c r="BP38" s="715">
        <v>3.6631624202353246E-3</v>
      </c>
      <c r="BQ38" s="715">
        <v>6.721616315489079E-3</v>
      </c>
      <c r="BR38" s="715">
        <v>1.1893721385000911E-2</v>
      </c>
      <c r="BS38" s="715">
        <v>1.9522222343236393E-2</v>
      </c>
      <c r="BT38" s="715">
        <v>2.9117460509388817E-2</v>
      </c>
      <c r="BW38" s="1188">
        <f>'2019'!R\Max</f>
        <v>0</v>
      </c>
      <c r="BX38" s="1188">
        <f>'2020'!R\Max</f>
        <v>0.47948019369535627</v>
      </c>
      <c r="BY38" s="1188">
        <f>'2021'!R\Max</f>
        <v>0.5213715632286603</v>
      </c>
      <c r="BZ38" s="1188">
        <f>'2022'!R\Max</f>
        <v>1.012529757282697</v>
      </c>
      <c r="CA38" s="1188">
        <f>'2023'!R\Max</f>
        <v>1.012529757282697</v>
      </c>
      <c r="CB38" s="1188">
        <f>'2024'!R\Max</f>
        <v>1.012529757282697</v>
      </c>
      <c r="CC38" s="1188">
        <f>'2025'!R\Max</f>
        <v>1.0125297572826968</v>
      </c>
      <c r="CD38" s="1188">
        <f>'2026'!R\Max</f>
        <v>1.012529757282697</v>
      </c>
      <c r="CE38" s="1189">
        <f>'2027'!R\Max</f>
        <v>1.012529757282697</v>
      </c>
      <c r="CF38" s="1191">
        <f>'2028'!R\Max</f>
        <v>1.012529757282697</v>
      </c>
    </row>
    <row r="39" spans="1:84" s="6" customFormat="1" ht="11.25" x14ac:dyDescent="0.2">
      <c r="A39" s="11">
        <v>43125</v>
      </c>
      <c r="B39" s="379">
        <f>'2023'!Maxi_hp</f>
        <v>32.288114654998978</v>
      </c>
      <c r="C39" s="13">
        <f>'2023'!An_max</f>
        <v>2022</v>
      </c>
      <c r="D39" s="1045" t="str">
        <f t="shared" si="7"/>
        <v/>
      </c>
      <c r="E39" s="13"/>
      <c r="F39" s="13">
        <f t="shared" si="23"/>
        <v>3</v>
      </c>
      <c r="G39" s="13">
        <f t="shared" si="24"/>
        <v>4</v>
      </c>
      <c r="H39" s="173">
        <f t="shared" si="8"/>
        <v>43122</v>
      </c>
      <c r="I39" s="742">
        <f t="shared" si="9"/>
        <v>0.21428571428571427</v>
      </c>
      <c r="J39" s="735">
        <f t="shared" si="27"/>
        <v>34.78496629038294</v>
      </c>
      <c r="L39" s="745" t="s">
        <v>216</v>
      </c>
      <c r="M39" s="729">
        <f t="shared" ref="M39:AA39" si="46">(y.2lg-y.3lg-(y.1lg-y.2lg)*D2x23Lg/D2x12Lg)/(x.2lg-x.3lg)/(1-(x.2lg+x.3lg)/(x.1lg+x.2lg))</f>
        <v>-4115.337406014698</v>
      </c>
      <c r="N39" s="729">
        <f t="shared" si="46"/>
        <v>-3915.4094124323065</v>
      </c>
      <c r="O39" s="729">
        <f t="shared" si="46"/>
        <v>-755.28392857131905</v>
      </c>
      <c r="P39" s="729">
        <f t="shared" si="46"/>
        <v>762.67142857143881</v>
      </c>
      <c r="Q39" s="729">
        <f t="shared" si="46"/>
        <v>2607.0990051023527</v>
      </c>
      <c r="R39" s="729">
        <f t="shared" si="46"/>
        <v>1901.4193749998717</v>
      </c>
      <c r="S39" s="729">
        <f t="shared" si="46"/>
        <v>1086.6459693877775</v>
      </c>
      <c r="T39" s="729">
        <f t="shared" si="46"/>
        <v>760.52553571431281</v>
      </c>
      <c r="U39" s="729">
        <f t="shared" si="46"/>
        <v>488.58261479599031</v>
      </c>
      <c r="V39" s="729">
        <f t="shared" si="46"/>
        <v>706.27766581642788</v>
      </c>
      <c r="W39" s="729">
        <f t="shared" si="46"/>
        <v>1740.9975510204781</v>
      </c>
      <c r="X39" s="729">
        <f t="shared" si="46"/>
        <v>814.59751275523058</v>
      </c>
      <c r="Y39" s="729">
        <f t="shared" si="46"/>
        <v>-1911.8674107141112</v>
      </c>
      <c r="Z39" s="729">
        <f t="shared" si="46"/>
        <v>-4150.1993064562121</v>
      </c>
      <c r="AA39" s="729">
        <f t="shared" si="46"/>
        <v>-3948.5779317903398</v>
      </c>
      <c r="AO39" s="1038">
        <v>43125</v>
      </c>
      <c r="AP39" s="13">
        <f t="shared" si="11"/>
        <v>3</v>
      </c>
      <c r="AQ39" s="13">
        <f t="shared" si="12"/>
        <v>2</v>
      </c>
      <c r="AR39" s="173">
        <f t="shared" si="13"/>
        <v>43136</v>
      </c>
      <c r="AS39" s="742">
        <f t="shared" si="14"/>
        <v>0.39285714285714285</v>
      </c>
      <c r="AT39" s="758">
        <f t="shared" si="15"/>
        <v>34.853979657384173</v>
      </c>
      <c r="AU39" s="13">
        <f t="shared" si="16"/>
        <v>3</v>
      </c>
      <c r="AV39" s="13">
        <f t="shared" si="17"/>
        <v>2</v>
      </c>
      <c r="AW39" s="173">
        <f t="shared" si="18"/>
        <v>43150</v>
      </c>
      <c r="AX39" s="742">
        <f t="shared" si="19"/>
        <v>0.8928571428571429</v>
      </c>
      <c r="AY39" s="758">
        <f t="shared" si="20"/>
        <v>34.705611677680693</v>
      </c>
      <c r="AZ39" s="735">
        <f t="shared" si="26"/>
        <v>34.779795667532433</v>
      </c>
      <c r="BA39" s="633">
        <f t="shared" si="21"/>
        <v>0.9282203807662085</v>
      </c>
      <c r="BC39" s="11">
        <v>43125</v>
      </c>
      <c r="BD39" s="289">
        <f>[2]!FeuilCaduc*(1-Persistant)+Persistant</f>
        <v>0.50016630183211808</v>
      </c>
      <c r="BE39" s="290">
        <f>[2]!CroissVégét</f>
        <v>2.3387100283593187E-3</v>
      </c>
      <c r="BF39" s="804">
        <f>1+[2]!Salcycl*Ksac</f>
        <v>1.0000166301832119</v>
      </c>
      <c r="BH39" s="1036">
        <f t="shared" si="22"/>
        <v>6.9134978400845913E-4</v>
      </c>
      <c r="BI39" s="11">
        <v>44221</v>
      </c>
      <c r="BJ39" s="715">
        <v>3.6116857541070707E-4</v>
      </c>
      <c r="BK39" s="715">
        <v>3.623851899984979E-4</v>
      </c>
      <c r="BL39" s="715">
        <v>3.8364085527661714E-4</v>
      </c>
      <c r="BM39" s="715">
        <v>5.2439354701180982E-4</v>
      </c>
      <c r="BN39" s="715">
        <v>8.588997442050731E-4</v>
      </c>
      <c r="BO39" s="716">
        <v>1.7271215333199723E-3</v>
      </c>
      <c r="BP39" s="715">
        <v>3.3610682695744648E-3</v>
      </c>
      <c r="BQ39" s="715">
        <v>6.161179129428148E-3</v>
      </c>
      <c r="BR39" s="715">
        <v>1.0956028012263112E-2</v>
      </c>
      <c r="BS39" s="715">
        <v>1.8140675994667604E-2</v>
      </c>
      <c r="BT39" s="715">
        <v>2.7240032575587967E-2</v>
      </c>
      <c r="BW39" s="1188">
        <f>'2019'!R\Max</f>
        <v>0</v>
      </c>
      <c r="BX39" s="1188">
        <f>'2020'!R\Max</f>
        <v>0.53681687065922279</v>
      </c>
      <c r="BY39" s="1188">
        <f>'2021'!R\Max</f>
        <v>0.23808976697274853</v>
      </c>
      <c r="BZ39" s="1188">
        <f>'2022'!R\Max</f>
        <v>0.9282203807662085</v>
      </c>
      <c r="CA39" s="1188">
        <f>'2023'!R\Max</f>
        <v>0.9282143423458934</v>
      </c>
      <c r="CB39" s="1188">
        <f>'2024'!R\Max</f>
        <v>0.92820830081110284</v>
      </c>
      <c r="CC39" s="1188">
        <f>'2025'!R\Max</f>
        <v>0.92819794993155702</v>
      </c>
      <c r="CD39" s="1188">
        <f>'2026'!R\Max</f>
        <v>0.92818759288111397</v>
      </c>
      <c r="CE39" s="1189">
        <f>'2027'!R\Max</f>
        <v>0.9282268616957039</v>
      </c>
      <c r="CF39" s="1191">
        <f>'2028'!R\Max</f>
        <v>0.92822375101924925</v>
      </c>
    </row>
    <row r="40" spans="1:84" s="6" customFormat="1" ht="11.25" x14ac:dyDescent="0.2">
      <c r="A40" s="11">
        <v>43126</v>
      </c>
      <c r="B40" s="379">
        <f>'2023'!Maxi_hp</f>
        <v>34.047521820123769</v>
      </c>
      <c r="C40" s="13">
        <f>'2023'!An_max</f>
        <v>2022</v>
      </c>
      <c r="D40" s="1045" t="str">
        <f t="shared" si="7"/>
        <v/>
      </c>
      <c r="E40" s="13"/>
      <c r="F40" s="13">
        <f t="shared" si="23"/>
        <v>3</v>
      </c>
      <c r="G40" s="13">
        <f t="shared" si="24"/>
        <v>4</v>
      </c>
      <c r="H40" s="173">
        <f t="shared" si="8"/>
        <v>43122</v>
      </c>
      <c r="I40" s="742">
        <f t="shared" si="9"/>
        <v>0.2857142857142857</v>
      </c>
      <c r="J40" s="735">
        <f t="shared" si="27"/>
        <v>35.133198250830176</v>
      </c>
      <c r="L40" s="745" t="s">
        <v>217</v>
      </c>
      <c r="M40" s="729">
        <f t="shared" ref="M40:AA40" si="47">(y.1lg+y.2lg+y.3lg-a.lg*(x.3lg*x.3lg+x.2lg*x.2lg+x.1lg*x.1lg)-b.lg*(x.3lg+x.2lg+x.1lg))/3</f>
        <v>88659252.565187141</v>
      </c>
      <c r="N40" s="729">
        <f t="shared" si="47"/>
        <v>84351454.557182699</v>
      </c>
      <c r="O40" s="729">
        <f t="shared" si="47"/>
        <v>16215996.18142621</v>
      </c>
      <c r="P40" s="729">
        <f t="shared" si="47"/>
        <v>-16533887.201428788</v>
      </c>
      <c r="Q40" s="729">
        <f t="shared" si="47"/>
        <v>-56353229.964904696</v>
      </c>
      <c r="R40" s="729">
        <f t="shared" si="47"/>
        <v>-41108434.516425803</v>
      </c>
      <c r="S40" s="729">
        <f t="shared" si="47"/>
        <v>-23495479.654184163</v>
      </c>
      <c r="T40" s="729">
        <f t="shared" si="47"/>
        <v>-16441169.292143442</v>
      </c>
      <c r="U40" s="729">
        <f t="shared" si="47"/>
        <v>-10554965.384491352</v>
      </c>
      <c r="V40" s="729">
        <f t="shared" si="47"/>
        <v>-15270022.002043011</v>
      </c>
      <c r="W40" s="729">
        <f t="shared" si="47"/>
        <v>-37695503.734695397</v>
      </c>
      <c r="X40" s="729">
        <f t="shared" si="47"/>
        <v>-17604668.197961971</v>
      </c>
      <c r="Y40" s="729">
        <f t="shared" si="47"/>
        <v>41562340.949996211</v>
      </c>
      <c r="Z40" s="729">
        <f t="shared" si="47"/>
        <v>90167713.015229419</v>
      </c>
      <c r="AA40" s="729">
        <f t="shared" si="47"/>
        <v>85786632.247487992</v>
      </c>
      <c r="AB40" s="7"/>
      <c r="AC40" s="7"/>
      <c r="AD40" s="7"/>
      <c r="AE40" s="7"/>
      <c r="AF40" s="7"/>
      <c r="AH40" s="7"/>
      <c r="AI40" s="74"/>
      <c r="AO40" s="1038">
        <v>43126</v>
      </c>
      <c r="AP40" s="13">
        <f t="shared" si="11"/>
        <v>3</v>
      </c>
      <c r="AQ40" s="13">
        <f t="shared" si="12"/>
        <v>2</v>
      </c>
      <c r="AR40" s="173">
        <f t="shared" si="13"/>
        <v>43136</v>
      </c>
      <c r="AS40" s="742">
        <f t="shared" si="14"/>
        <v>0.35714285714285715</v>
      </c>
      <c r="AT40" s="758">
        <f t="shared" si="15"/>
        <v>35.213892739532248</v>
      </c>
      <c r="AU40" s="13">
        <f t="shared" si="16"/>
        <v>3</v>
      </c>
      <c r="AV40" s="13">
        <f t="shared" si="17"/>
        <v>2</v>
      </c>
      <c r="AW40" s="173">
        <f t="shared" si="18"/>
        <v>43150</v>
      </c>
      <c r="AX40" s="742">
        <f t="shared" si="19"/>
        <v>0.8571428571428571</v>
      </c>
      <c r="AY40" s="758">
        <f t="shared" si="20"/>
        <v>35.033175352282292</v>
      </c>
      <c r="AZ40" s="735">
        <f t="shared" si="26"/>
        <v>35.12353404590727</v>
      </c>
      <c r="BA40" s="633">
        <f t="shared" si="21"/>
        <v>0.96909827500031964</v>
      </c>
      <c r="BC40" s="11">
        <v>43126</v>
      </c>
      <c r="BD40" s="289">
        <f>[2]!FeuilCaduc*(1-Persistant)+Persistant</f>
        <v>0.50010299867905028</v>
      </c>
      <c r="BE40" s="290">
        <f>[2]!CroissVégét</f>
        <v>2.4946300531446561E-3</v>
      </c>
      <c r="BF40" s="804">
        <f>1+[2]!Salcycl*Ksac</f>
        <v>1.000010299867905</v>
      </c>
      <c r="BH40" s="1036">
        <f t="shared" si="22"/>
        <v>6.8202147076704481E-4</v>
      </c>
      <c r="BI40" s="11">
        <v>44222</v>
      </c>
      <c r="BJ40" s="715">
        <v>3.8032399695256912E-4</v>
      </c>
      <c r="BK40" s="715">
        <v>3.8105400691318159E-4</v>
      </c>
      <c r="BL40" s="715">
        <v>4.0096492218007099E-4</v>
      </c>
      <c r="BM40" s="715">
        <v>5.2924669951904873E-4</v>
      </c>
      <c r="BN40" s="715">
        <v>8.3533953364457768E-4</v>
      </c>
      <c r="BO40" s="716">
        <v>1.6132898418514997E-3</v>
      </c>
      <c r="BP40" s="715">
        <v>3.0870189496438861E-3</v>
      </c>
      <c r="BQ40" s="715">
        <v>5.6432178062365912E-3</v>
      </c>
      <c r="BR40" s="715">
        <v>1.0073762465402989E-2</v>
      </c>
      <c r="BS40" s="715">
        <v>1.6812712507613351E-2</v>
      </c>
      <c r="BT40" s="715">
        <v>2.5403699868208712E-2</v>
      </c>
      <c r="BW40" s="1188">
        <f>'2019'!R\Max</f>
        <v>0</v>
      </c>
      <c r="BX40" s="1188">
        <f>'2020'!R\Max</f>
        <v>0.19923387545625063</v>
      </c>
      <c r="BY40" s="1188">
        <f>'2021'!R\Max</f>
        <v>0.59022577205215476</v>
      </c>
      <c r="BZ40" s="1188">
        <f>'2022'!R\Max</f>
        <v>0.96909827500031964</v>
      </c>
      <c r="CA40" s="1188">
        <f>'2023'!R\Max</f>
        <v>0.96909585164595446</v>
      </c>
      <c r="CB40" s="1188">
        <f>'2024'!R\Max</f>
        <v>0.96909342674925336</v>
      </c>
      <c r="CC40" s="1188">
        <f>'2025'!R\Max</f>
        <v>0.96908922233728001</v>
      </c>
      <c r="CD40" s="1188">
        <f>'2026'!R\Max</f>
        <v>0.96908501491931476</v>
      </c>
      <c r="CE40" s="1189">
        <f>'2027'!R\Max</f>
        <v>0.96910085972142956</v>
      </c>
      <c r="CF40" s="1191">
        <f>'2028'!R\Max</f>
        <v>0.96909961887886686</v>
      </c>
    </row>
    <row r="41" spans="1:84" s="6" customFormat="1" ht="11.25" x14ac:dyDescent="0.2">
      <c r="A41" s="11">
        <v>43127</v>
      </c>
      <c r="B41" s="379">
        <f>'2023'!Maxi_hp</f>
        <v>30.054040469475297</v>
      </c>
      <c r="C41" s="13">
        <f>'2023'!An_max</f>
        <v>2022</v>
      </c>
      <c r="D41" s="1045" t="str">
        <f t="shared" si="7"/>
        <v/>
      </c>
      <c r="E41" s="13"/>
      <c r="F41" s="13">
        <f t="shared" si="23"/>
        <v>3</v>
      </c>
      <c r="G41" s="13">
        <f t="shared" si="24"/>
        <v>4</v>
      </c>
      <c r="H41" s="173">
        <f t="shared" si="8"/>
        <v>43122</v>
      </c>
      <c r="I41" s="742">
        <f t="shared" si="9"/>
        <v>0.35714285714285715</v>
      </c>
      <c r="J41" s="735">
        <f t="shared" si="27"/>
        <v>35.487532615967623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38">
        <v>43127</v>
      </c>
      <c r="AP41" s="13">
        <f t="shared" si="11"/>
        <v>3</v>
      </c>
      <c r="AQ41" s="13">
        <f t="shared" si="12"/>
        <v>2</v>
      </c>
      <c r="AR41" s="173">
        <f t="shared" si="13"/>
        <v>43136</v>
      </c>
      <c r="AS41" s="742">
        <f t="shared" si="14"/>
        <v>0.32142857142857145</v>
      </c>
      <c r="AT41" s="758">
        <f t="shared" si="15"/>
        <v>35.576088203449871</v>
      </c>
      <c r="AU41" s="13">
        <f t="shared" si="16"/>
        <v>3</v>
      </c>
      <c r="AV41" s="13">
        <f t="shared" si="17"/>
        <v>2</v>
      </c>
      <c r="AW41" s="173">
        <f t="shared" si="18"/>
        <v>43150</v>
      </c>
      <c r="AX41" s="742">
        <f t="shared" si="19"/>
        <v>0.8214285714285714</v>
      </c>
      <c r="AY41" s="758">
        <f t="shared" si="20"/>
        <v>35.37004054289843</v>
      </c>
      <c r="AZ41" s="735">
        <f t="shared" si="26"/>
        <v>35.473064373174154</v>
      </c>
      <c r="BA41" s="633">
        <f t="shared" si="21"/>
        <v>0.84689011193616981</v>
      </c>
      <c r="BC41" s="11">
        <v>43127</v>
      </c>
      <c r="BD41" s="289">
        <f>[2]!FeuilCaduc*(1-Persistant)+Persistant</f>
        <v>0.50005541768942652</v>
      </c>
      <c r="BE41" s="290">
        <f>[2]!CroissVégét</f>
        <v>2.6570394167881404E-3</v>
      </c>
      <c r="BF41" s="804">
        <f>1+[2]!Salcycl*Ksac</f>
        <v>1.0000055417689426</v>
      </c>
      <c r="BH41" s="1036">
        <f t="shared" si="22"/>
        <v>6.7708549117235692E-4</v>
      </c>
      <c r="BI41" s="11">
        <v>44223</v>
      </c>
      <c r="BJ41" s="715">
        <v>4.0016963175896895E-4</v>
      </c>
      <c r="BK41" s="715">
        <v>4.0053465060593238E-4</v>
      </c>
      <c r="BL41" s="715">
        <v>4.1939498502336579E-4</v>
      </c>
      <c r="BM41" s="715">
        <v>5.3689588938590023E-4</v>
      </c>
      <c r="BN41" s="715">
        <v>8.1777362970396155E-4</v>
      </c>
      <c r="BO41" s="716">
        <v>1.5139171743696542E-3</v>
      </c>
      <c r="BP41" s="715">
        <v>2.8410389938138512E-3</v>
      </c>
      <c r="BQ41" s="715">
        <v>5.1677766776719166E-3</v>
      </c>
      <c r="BR41" s="715">
        <v>9.2469979491330428E-3</v>
      </c>
      <c r="BS41" s="715">
        <v>1.5538439049405698E-2</v>
      </c>
      <c r="BT41" s="715">
        <v>2.3608607657978918E-2</v>
      </c>
      <c r="BW41" s="1188">
        <f>'2019'!R\Max</f>
        <v>0</v>
      </c>
      <c r="BX41" s="1188">
        <f>'2020'!R\Max</f>
        <v>0.33840470111684057</v>
      </c>
      <c r="BY41" s="1188">
        <f>'2021'!R\Max</f>
        <v>0.16295041197242452</v>
      </c>
      <c r="BZ41" s="1188">
        <f>'2022'!R\Max</f>
        <v>0.84689011193616981</v>
      </c>
      <c r="CA41" s="1188">
        <f>'2023'!R\Max</f>
        <v>0.84688075826652254</v>
      </c>
      <c r="CB41" s="1188">
        <f>'2024'!R\Max</f>
        <v>0.84687139764869879</v>
      </c>
      <c r="CC41" s="1188">
        <f>'2025'!R\Max</f>
        <v>0.84685499552332377</v>
      </c>
      <c r="CD41" s="1188">
        <f>'2026'!R\Max</f>
        <v>0.84683858024207304</v>
      </c>
      <c r="CE41" s="1189">
        <f>'2027'!R\Max</f>
        <v>0.8469000295278134</v>
      </c>
      <c r="CF41" s="1191">
        <f>'2028'!R\Max</f>
        <v>0.84689526722896213</v>
      </c>
    </row>
    <row r="42" spans="1:84" s="6" customFormat="1" ht="11.25" x14ac:dyDescent="0.2">
      <c r="A42" s="11">
        <v>43128</v>
      </c>
      <c r="B42" s="379">
        <f>'2023'!Maxi_hp</f>
        <v>18.140123451777548</v>
      </c>
      <c r="C42" s="13">
        <f>'2023'!An_max</f>
        <v>2021</v>
      </c>
      <c r="D42" s="1045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73">
        <f t="shared" si="8"/>
        <v>43122</v>
      </c>
      <c r="I42" s="742">
        <f t="shared" si="9"/>
        <v>0.42857142857142855</v>
      </c>
      <c r="J42" s="735">
        <f t="shared" si="27"/>
        <v>35.847107871275924</v>
      </c>
      <c r="M42" s="6" t="s">
        <v>227</v>
      </c>
      <c r="AC42" s="7"/>
      <c r="AD42" s="7"/>
      <c r="AE42" s="7"/>
      <c r="AF42" s="7"/>
      <c r="AH42" s="7"/>
      <c r="AI42" s="74"/>
      <c r="AO42" s="1038">
        <v>43128</v>
      </c>
      <c r="AP42" s="13">
        <f t="shared" si="11"/>
        <v>3</v>
      </c>
      <c r="AQ42" s="13">
        <f t="shared" si="12"/>
        <v>2</v>
      </c>
      <c r="AR42" s="173">
        <f t="shared" si="13"/>
        <v>43136</v>
      </c>
      <c r="AS42" s="742">
        <f t="shared" si="14"/>
        <v>0.2857142857142857</v>
      </c>
      <c r="AT42" s="758">
        <f t="shared" si="15"/>
        <v>35.939780868935792</v>
      </c>
      <c r="AU42" s="13">
        <f t="shared" si="16"/>
        <v>3</v>
      </c>
      <c r="AV42" s="13">
        <f t="shared" si="17"/>
        <v>2</v>
      </c>
      <c r="AW42" s="173">
        <f t="shared" si="18"/>
        <v>43150</v>
      </c>
      <c r="AX42" s="742">
        <f t="shared" si="19"/>
        <v>0.7857142857142857</v>
      </c>
      <c r="AY42" s="758">
        <f t="shared" si="20"/>
        <v>35.715530222454774</v>
      </c>
      <c r="AZ42" s="735">
        <f t="shared" si="26"/>
        <v>35.827655545695279</v>
      </c>
      <c r="BA42" s="633">
        <f t="shared" si="21"/>
        <v>0.50604147807173927</v>
      </c>
      <c r="BC42" s="11">
        <v>43128</v>
      </c>
      <c r="BD42" s="289">
        <f>[2]!FeuilCaduc*(1-Persistant)+Persistant</f>
        <v>0.50002363644501702</v>
      </c>
      <c r="BE42" s="290">
        <f>[2]!CroissVégét</f>
        <v>2.826205948480045E-3</v>
      </c>
      <c r="BF42" s="804">
        <f>1+[2]!Salcycl*Ksac</f>
        <v>1.0000023636445017</v>
      </c>
      <c r="BH42" s="1036">
        <f t="shared" si="22"/>
        <v>6.7654346784810535E-4</v>
      </c>
      <c r="BI42" s="11">
        <v>44224</v>
      </c>
      <c r="BJ42" s="715">
        <v>4.2070498691658723E-4</v>
      </c>
      <c r="BK42" s="715">
        <v>4.2082666239413202E-4</v>
      </c>
      <c r="BL42" s="715">
        <v>4.3893069955282862E-4</v>
      </c>
      <c r="BM42" s="715">
        <v>5.4734169812909589E-4</v>
      </c>
      <c r="BN42" s="715">
        <v>8.062046998162563E-4</v>
      </c>
      <c r="BO42" s="716">
        <v>1.4290124756586239E-3</v>
      </c>
      <c r="BP42" s="715">
        <v>2.6231485167102948E-3</v>
      </c>
      <c r="BQ42" s="715">
        <v>4.7348928643721772E-3</v>
      </c>
      <c r="BR42" s="715">
        <v>8.4757972161855627E-3</v>
      </c>
      <c r="BS42" s="715">
        <v>1.4317950282503737E-2</v>
      </c>
      <c r="BT42" s="715">
        <v>2.1854887491123447E-2</v>
      </c>
      <c r="BW42" s="1188">
        <f>'2019'!R\Max</f>
        <v>0</v>
      </c>
      <c r="BX42" s="1188">
        <f>'2020'!R\Max</f>
        <v>0.48532623397295227</v>
      </c>
      <c r="BY42" s="1188">
        <f>'2021'!R\Max</f>
        <v>0.50604147807173927</v>
      </c>
      <c r="BZ42" s="1188">
        <f>'2022'!R\Max</f>
        <v>0.12801223456410066</v>
      </c>
      <c r="CA42" s="1188">
        <f>'2023'!R\Max</f>
        <v>0.128006477116029</v>
      </c>
      <c r="CB42" s="1188">
        <f>'2024'!R\Max</f>
        <v>0.12800071502031984</v>
      </c>
      <c r="CC42" s="1188">
        <f>'2025'!R\Max</f>
        <v>0.12799053338438865</v>
      </c>
      <c r="CD42" s="1188">
        <f>'2026'!R\Max</f>
        <v>0.1279803434992845</v>
      </c>
      <c r="CE42" s="1189">
        <f>'2027'!R\Max</f>
        <v>0.12801830733115624</v>
      </c>
      <c r="CF42" s="1191">
        <f>'2028'!R\Max</f>
        <v>0.12801539035520812</v>
      </c>
    </row>
    <row r="43" spans="1:84" s="6" customFormat="1" ht="11.25" x14ac:dyDescent="0.2">
      <c r="A43" s="11">
        <v>43129</v>
      </c>
      <c r="B43" s="379">
        <f>'2023'!Maxi_hp</f>
        <v>22.560776300734982</v>
      </c>
      <c r="C43" s="13">
        <f>'2023'!An_max</f>
        <v>2020</v>
      </c>
      <c r="D43" s="1045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73">
        <f t="shared" si="8"/>
        <v>43122</v>
      </c>
      <c r="I43" s="742">
        <f t="shared" si="9"/>
        <v>0.5</v>
      </c>
      <c r="J43" s="735">
        <f t="shared" si="27"/>
        <v>36.211062499601397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O43" s="1038">
        <v>43129</v>
      </c>
      <c r="AP43" s="13">
        <f t="shared" si="11"/>
        <v>3</v>
      </c>
      <c r="AQ43" s="13">
        <f t="shared" si="12"/>
        <v>2</v>
      </c>
      <c r="AR43" s="173">
        <f t="shared" si="13"/>
        <v>43136</v>
      </c>
      <c r="AS43" s="742">
        <f t="shared" si="14"/>
        <v>0.25</v>
      </c>
      <c r="AT43" s="758">
        <f t="shared" si="15"/>
        <v>36.304185557272284</v>
      </c>
      <c r="AU43" s="13">
        <f t="shared" si="16"/>
        <v>3</v>
      </c>
      <c r="AV43" s="13">
        <f t="shared" si="17"/>
        <v>2</v>
      </c>
      <c r="AW43" s="173">
        <f t="shared" si="18"/>
        <v>43150</v>
      </c>
      <c r="AX43" s="742">
        <f t="shared" si="19"/>
        <v>0.75</v>
      </c>
      <c r="AY43" s="758">
        <f t="shared" si="20"/>
        <v>36.06896736747585</v>
      </c>
      <c r="AZ43" s="735">
        <f t="shared" si="26"/>
        <v>36.186576462374063</v>
      </c>
      <c r="BA43" s="633">
        <f t="shared" si="21"/>
        <v>0.62303546881518113</v>
      </c>
      <c r="BC43" s="11">
        <v>43129</v>
      </c>
      <c r="BD43" s="289">
        <f>[2]!FeuilCaduc*(1-Persistant)+Persistant</f>
        <v>0.50000763315884711</v>
      </c>
      <c r="BE43" s="290">
        <f>[2]!CroissVégét</f>
        <v>3.0024083390505912E-3</v>
      </c>
      <c r="BF43" s="804">
        <f>1+[2]!Salcycl*Ksac</f>
        <v>1.0000007633158847</v>
      </c>
      <c r="BH43" s="1036">
        <f t="shared" si="22"/>
        <v>6.8039655475321428E-4</v>
      </c>
      <c r="BI43" s="11">
        <v>44225</v>
      </c>
      <c r="BJ43" s="715">
        <v>4.4192959862206227E-4</v>
      </c>
      <c r="BK43" s="715">
        <v>4.4192959862206227E-4</v>
      </c>
      <c r="BL43" s="715">
        <v>4.5957170159904967E-4</v>
      </c>
      <c r="BM43" s="715">
        <v>5.6058446279744288E-4</v>
      </c>
      <c r="BN43" s="715">
        <v>8.0063471775556705E-4</v>
      </c>
      <c r="BO43" s="716">
        <v>1.3585827325479081E-3</v>
      </c>
      <c r="BP43" s="715">
        <v>2.4333635661925039E-3</v>
      </c>
      <c r="BQ43" s="715">
        <v>4.3445968093958551E-3</v>
      </c>
      <c r="BR43" s="715">
        <v>7.7602132646331689E-3</v>
      </c>
      <c r="BS43" s="715">
        <v>1.3151329041330111E-2</v>
      </c>
      <c r="BT43" s="715">
        <v>2.0142657713241849E-2</v>
      </c>
      <c r="BW43" s="1188">
        <f>'2019'!R\Max</f>
        <v>0</v>
      </c>
      <c r="BX43" s="1188">
        <f>'2020'!R\Max</f>
        <v>0.62303546881518113</v>
      </c>
      <c r="BY43" s="1188">
        <f>'2021'!R\Max</f>
        <v>0.45137221155666191</v>
      </c>
      <c r="BZ43" s="1188">
        <f>'2022'!R\Max</f>
        <v>0.24110015482794667</v>
      </c>
      <c r="CA43" s="1188">
        <f>'2023'!R\Max</f>
        <v>0.24109049346385372</v>
      </c>
      <c r="CB43" s="1188">
        <f>'2024'!R\Max</f>
        <v>0.2410808228761441</v>
      </c>
      <c r="CC43" s="1188">
        <f>'2025'!R\Max</f>
        <v>0.24106364251745971</v>
      </c>
      <c r="CD43" s="1188">
        <f>'2026'!R\Max</f>
        <v>0.24104644557403518</v>
      </c>
      <c r="CE43" s="1189">
        <f>'2027'!R\Max</f>
        <v>0.24111030283153292</v>
      </c>
      <c r="CF43" s="1191">
        <f>'2028'!R\Max</f>
        <v>0.24110542666050627</v>
      </c>
    </row>
    <row r="44" spans="1:84" s="6" customFormat="1" ht="11.25" x14ac:dyDescent="0.2">
      <c r="A44" s="11">
        <v>43130</v>
      </c>
      <c r="B44" s="379">
        <f>'2023'!Maxi_hp</f>
        <v>12.305895524222464</v>
      </c>
      <c r="C44" s="13">
        <f>'2023'!An_max</f>
        <v>2020</v>
      </c>
      <c r="D44" s="1045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73">
        <f t="shared" si="8"/>
        <v>43122</v>
      </c>
      <c r="I44" s="742">
        <f t="shared" si="9"/>
        <v>0.5714285714285714</v>
      </c>
      <c r="J44" s="735">
        <f t="shared" si="27"/>
        <v>36.578534985120811</v>
      </c>
      <c r="L44" s="763">
        <f>AK13</f>
        <v>302.39499999999998</v>
      </c>
      <c r="M44" s="763">
        <f>M13</f>
        <v>277.77</v>
      </c>
      <c r="N44" s="753">
        <f>O13</f>
        <v>337.85500000000002</v>
      </c>
      <c r="O44" s="753">
        <f>Q13</f>
        <v>441.28</v>
      </c>
      <c r="P44" s="753">
        <f>S13</f>
        <v>539.78</v>
      </c>
      <c r="Q44" s="753">
        <f>U13</f>
        <v>608.73</v>
      </c>
      <c r="R44" s="753">
        <f>W13</f>
        <v>630.4</v>
      </c>
      <c r="S44" s="753">
        <f>Y13</f>
        <v>627.44499999999994</v>
      </c>
      <c r="T44" s="753">
        <f>AA13</f>
        <v>607.745</v>
      </c>
      <c r="U44" s="753">
        <f>AC13</f>
        <v>578.19499999999994</v>
      </c>
      <c r="V44" s="753">
        <f>AE13</f>
        <v>538.79499999999996</v>
      </c>
      <c r="W44" s="753">
        <f>AG13</f>
        <v>476.74</v>
      </c>
      <c r="X44" s="753">
        <f>AI13</f>
        <v>384.15</v>
      </c>
      <c r="Y44" s="753">
        <f>AK13</f>
        <v>302.39499999999998</v>
      </c>
      <c r="Z44" s="753">
        <f>AM13</f>
        <v>277.77</v>
      </c>
      <c r="AA44" s="761">
        <f>AO13</f>
        <v>337.85500000000002</v>
      </c>
      <c r="AB44" s="761">
        <f>Q13</f>
        <v>441.28</v>
      </c>
      <c r="AD44" s="7"/>
      <c r="AE44" s="7"/>
      <c r="AF44" s="7"/>
      <c r="AH44" s="7"/>
      <c r="AI44" s="74"/>
      <c r="AO44" s="1038">
        <v>43130</v>
      </c>
      <c r="AP44" s="13">
        <f t="shared" si="11"/>
        <v>3</v>
      </c>
      <c r="AQ44" s="13">
        <f t="shared" si="12"/>
        <v>2</v>
      </c>
      <c r="AR44" s="173">
        <f t="shared" si="13"/>
        <v>43136</v>
      </c>
      <c r="AS44" s="742">
        <f t="shared" si="14"/>
        <v>0.21428571428571427</v>
      </c>
      <c r="AT44" s="758">
        <f t="shared" si="15"/>
        <v>36.668517091431255</v>
      </c>
      <c r="AU44" s="13">
        <f t="shared" si="16"/>
        <v>3</v>
      </c>
      <c r="AV44" s="13">
        <f t="shared" si="17"/>
        <v>2</v>
      </c>
      <c r="AW44" s="173">
        <f t="shared" si="18"/>
        <v>43150</v>
      </c>
      <c r="AX44" s="742">
        <f t="shared" si="19"/>
        <v>0.7142857142857143</v>
      </c>
      <c r="AY44" s="758">
        <f t="shared" si="20"/>
        <v>36.429674952078074</v>
      </c>
      <c r="AZ44" s="735">
        <f t="shared" si="26"/>
        <v>36.549096021754664</v>
      </c>
      <c r="BA44" s="633">
        <f t="shared" si="21"/>
        <v>0.33642395818280257</v>
      </c>
      <c r="BC44" s="11">
        <v>43130</v>
      </c>
      <c r="BD44" s="289">
        <f>[2]!FeuilCaduc*(1-Persistant)+Persistant</f>
        <v>0.50000728172226783</v>
      </c>
      <c r="BE44" s="290">
        <f>[2]!CroissVégét</f>
        <v>3.1859365650375344E-3</v>
      </c>
      <c r="BF44" s="804">
        <f>1+[2]!Salcycl*Ksac</f>
        <v>1.0000007281722267</v>
      </c>
      <c r="BH44" s="1036">
        <f t="shared" si="22"/>
        <v>6.8901906642087447E-4</v>
      </c>
      <c r="BI44" s="11">
        <v>44226</v>
      </c>
      <c r="BJ44" s="715">
        <v>4.6382864154600312E-4</v>
      </c>
      <c r="BK44" s="715">
        <v>4.6382864154600312E-4</v>
      </c>
      <c r="BL44" s="715">
        <v>4.8133477072908937E-4</v>
      </c>
      <c r="BM44" s="715">
        <v>5.7675854149363142E-4</v>
      </c>
      <c r="BN44" s="715">
        <v>8.016788078092004E-4</v>
      </c>
      <c r="BO44" s="716">
        <v>1.3044314287033818E-3</v>
      </c>
      <c r="BP44" s="715">
        <v>2.2764991494715636E-3</v>
      </c>
      <c r="BQ44" s="715">
        <v>4.0074446823483286E-3</v>
      </c>
      <c r="BR44" s="715">
        <v>7.1199189421210646E-3</v>
      </c>
      <c r="BS44" s="715">
        <v>1.2073309735563335E-2</v>
      </c>
      <c r="BT44" s="715">
        <v>1.8526475496470983E-2</v>
      </c>
      <c r="BW44" s="1188">
        <f>'2019'!R\Max</f>
        <v>0</v>
      </c>
      <c r="BX44" s="1188">
        <f>'2020'!R\Max</f>
        <v>0.33642395818280257</v>
      </c>
      <c r="BY44" s="1188">
        <f>'2021'!R\Max</f>
        <v>0.24369074959890305</v>
      </c>
      <c r="BZ44" s="1188">
        <f>'2022'!R\Max</f>
        <v>0.13812072519462282</v>
      </c>
      <c r="CA44" s="1188">
        <f>'2023'!R\Max</f>
        <v>0.13811576967909664</v>
      </c>
      <c r="CB44" s="1188">
        <f>'2024'!R\Max</f>
        <v>0.13811080870779746</v>
      </c>
      <c r="CC44" s="1188">
        <f>'2025'!R\Max</f>
        <v>0.13810198450010094</v>
      </c>
      <c r="CD44" s="1188">
        <f>'2026'!R\Max</f>
        <v>0.13809315036241393</v>
      </c>
      <c r="CE44" s="1189">
        <f>'2027'!R\Max</f>
        <v>0.13812591384866812</v>
      </c>
      <c r="CF44" s="1191">
        <f>'2028'!R\Max</f>
        <v>0.13812341964641908</v>
      </c>
    </row>
    <row r="45" spans="1:84" s="6" customFormat="1" ht="11.25" x14ac:dyDescent="0.2">
      <c r="A45" s="11">
        <v>43131</v>
      </c>
      <c r="B45" s="379">
        <f>'2023'!Maxi_hp</f>
        <v>23.230245238916424</v>
      </c>
      <c r="C45" s="13">
        <f>'2023'!An_max</f>
        <v>2020</v>
      </c>
      <c r="D45" s="1045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73">
        <f t="shared" si="8"/>
        <v>43122</v>
      </c>
      <c r="I45" s="742">
        <f t="shared" si="9"/>
        <v>0.6428571428571429</v>
      </c>
      <c r="J45" s="735">
        <f t="shared" si="27"/>
        <v>36.948663812024257</v>
      </c>
      <c r="L45" s="743" t="s">
        <v>207</v>
      </c>
      <c r="M45" s="773">
        <f t="shared" ref="M45:AA45" si="48">L43</f>
        <v>43065</v>
      </c>
      <c r="N45" s="774">
        <f t="shared" si="48"/>
        <v>43093</v>
      </c>
      <c r="O45" s="725">
        <f t="shared" si="48"/>
        <v>43122</v>
      </c>
      <c r="P45" s="725">
        <f t="shared" si="48"/>
        <v>43150</v>
      </c>
      <c r="Q45" s="725">
        <f t="shared" si="48"/>
        <v>43178</v>
      </c>
      <c r="R45" s="725">
        <f t="shared" si="48"/>
        <v>43206</v>
      </c>
      <c r="S45" s="725">
        <f t="shared" si="48"/>
        <v>43234</v>
      </c>
      <c r="T45" s="725">
        <f t="shared" si="48"/>
        <v>43262</v>
      </c>
      <c r="U45" s="725">
        <f t="shared" si="48"/>
        <v>43290</v>
      </c>
      <c r="V45" s="725">
        <f t="shared" si="48"/>
        <v>43318</v>
      </c>
      <c r="W45" s="725">
        <f t="shared" si="48"/>
        <v>43346</v>
      </c>
      <c r="X45" s="725">
        <f t="shared" si="48"/>
        <v>43374</v>
      </c>
      <c r="Y45" s="725">
        <f t="shared" si="48"/>
        <v>43402</v>
      </c>
      <c r="Z45" s="725">
        <f t="shared" si="48"/>
        <v>43430</v>
      </c>
      <c r="AA45" s="766">
        <f t="shared" si="48"/>
        <v>43458</v>
      </c>
      <c r="AD45" s="7"/>
      <c r="AE45" s="7"/>
      <c r="AF45" s="7"/>
      <c r="AH45" s="7"/>
      <c r="AI45" s="74"/>
      <c r="AO45" s="1038">
        <v>43131</v>
      </c>
      <c r="AP45" s="13">
        <f t="shared" si="11"/>
        <v>3</v>
      </c>
      <c r="AQ45" s="13">
        <f t="shared" si="12"/>
        <v>2</v>
      </c>
      <c r="AR45" s="173">
        <f t="shared" si="13"/>
        <v>43136</v>
      </c>
      <c r="AS45" s="742">
        <f t="shared" si="14"/>
        <v>0.17857142857142858</v>
      </c>
      <c r="AT45" s="758">
        <f t="shared" si="15"/>
        <v>37.031990289754631</v>
      </c>
      <c r="AU45" s="13">
        <f t="shared" si="16"/>
        <v>3</v>
      </c>
      <c r="AV45" s="13">
        <f t="shared" si="17"/>
        <v>2</v>
      </c>
      <c r="AW45" s="173">
        <f t="shared" si="18"/>
        <v>43150</v>
      </c>
      <c r="AX45" s="742">
        <f t="shared" si="19"/>
        <v>0.6785714285714286</v>
      </c>
      <c r="AY45" s="758">
        <f t="shared" si="20"/>
        <v>36.796975949396646</v>
      </c>
      <c r="AZ45" s="735">
        <f t="shared" si="26"/>
        <v>36.914483119575635</v>
      </c>
      <c r="BA45" s="633">
        <f t="shared" si="21"/>
        <v>0.62871678816587062</v>
      </c>
      <c r="BC45" s="11">
        <v>43131</v>
      </c>
      <c r="BD45" s="289">
        <f>[2]!FeuilCaduc*(1-Persistant)+Persistant</f>
        <v>0.50002234868118989</v>
      </c>
      <c r="BE45" s="290">
        <f>[2]!CroissVégét</f>
        <v>3.3770923278976551E-3</v>
      </c>
      <c r="BF45" s="804">
        <f>1+[2]!Salcycl*Ksac</f>
        <v>1.000002234868119</v>
      </c>
      <c r="BH45" s="1036">
        <f t="shared" si="22"/>
        <v>6.9974354472691718E-4</v>
      </c>
      <c r="BI45" s="11">
        <v>44227</v>
      </c>
      <c r="BJ45" s="715">
        <v>4.8590060891723087E-4</v>
      </c>
      <c r="BK45" s="715">
        <v>4.8590060891723076E-4</v>
      </c>
      <c r="BL45" s="715">
        <v>5.0334189270653156E-4</v>
      </c>
      <c r="BM45" s="715">
        <v>5.9405777944357614E-4</v>
      </c>
      <c r="BN45" s="715">
        <v>8.0580514556982468E-4</v>
      </c>
      <c r="BO45" s="716">
        <v>1.2595382628212651E-3</v>
      </c>
      <c r="BP45" s="715">
        <v>2.1379350555958284E-3</v>
      </c>
      <c r="BQ45" s="715">
        <v>3.7026111498957254E-3</v>
      </c>
      <c r="BR45" s="715">
        <v>6.5324146670213594E-3</v>
      </c>
      <c r="BS45" s="715">
        <v>1.1072278431182322E-2</v>
      </c>
      <c r="BT45" s="715">
        <v>1.7012829939934943E-2</v>
      </c>
      <c r="BW45" s="1188">
        <f>'2019'!R\Max</f>
        <v>0</v>
      </c>
      <c r="BX45" s="1188">
        <f>'2020'!R\Max</f>
        <v>0.62871678816587062</v>
      </c>
      <c r="BY45" s="1188">
        <f>'2021'!R\Max</f>
        <v>0.23471959382663135</v>
      </c>
      <c r="BZ45" s="1188">
        <f>'2022'!R\Max</f>
        <v>0.21807659159003442</v>
      </c>
      <c r="CA45" s="1188">
        <f>'2023'!R\Max</f>
        <v>0.21806959201044238</v>
      </c>
      <c r="CB45" s="1188">
        <f>'2024'!R\Max</f>
        <v>0.21806258367335335</v>
      </c>
      <c r="CC45" s="1188">
        <f>'2025'!R\Max</f>
        <v>0.21805011541874683</v>
      </c>
      <c r="CD45" s="1188">
        <f>'2026'!R\Max</f>
        <v>0.2180376310231846</v>
      </c>
      <c r="CE45" s="1189">
        <f>'2027'!R\Max</f>
        <v>0.21808391564742657</v>
      </c>
      <c r="CF45" s="1191">
        <f>'2028'!R\Max</f>
        <v>0.21808039331569359</v>
      </c>
    </row>
    <row r="46" spans="1:84" s="6" customFormat="1" ht="11.25" x14ac:dyDescent="0.2">
      <c r="A46" s="11">
        <v>43132</v>
      </c>
      <c r="B46" s="379">
        <f>'2023'!Maxi_hp</f>
        <v>17.683006794963966</v>
      </c>
      <c r="C46" s="13">
        <f>'2023'!An_max</f>
        <v>2022</v>
      </c>
      <c r="D46" s="1045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73">
        <f t="shared" si="8"/>
        <v>43122</v>
      </c>
      <c r="I46" s="742">
        <f t="shared" si="9"/>
        <v>0.7142857142857143</v>
      </c>
      <c r="J46" s="735">
        <f t="shared" si="27"/>
        <v>37.320587463730149</v>
      </c>
      <c r="L46" s="744" t="s">
        <v>208</v>
      </c>
      <c r="M46" s="765">
        <f t="shared" ref="M46:AA46" si="49">L44</f>
        <v>302.39499999999998</v>
      </c>
      <c r="N46" s="769">
        <f t="shared" si="49"/>
        <v>277.77</v>
      </c>
      <c r="O46" s="731">
        <f t="shared" si="49"/>
        <v>337.85500000000002</v>
      </c>
      <c r="P46" s="731">
        <f t="shared" si="49"/>
        <v>441.28</v>
      </c>
      <c r="Q46" s="731">
        <f t="shared" si="49"/>
        <v>539.78</v>
      </c>
      <c r="R46" s="731">
        <f t="shared" si="49"/>
        <v>608.73</v>
      </c>
      <c r="S46" s="731">
        <f t="shared" si="49"/>
        <v>630.4</v>
      </c>
      <c r="T46" s="731">
        <f t="shared" si="49"/>
        <v>627.44499999999994</v>
      </c>
      <c r="U46" s="731">
        <f t="shared" si="49"/>
        <v>607.745</v>
      </c>
      <c r="V46" s="731">
        <f t="shared" si="49"/>
        <v>578.19499999999994</v>
      </c>
      <c r="W46" s="731">
        <f t="shared" si="49"/>
        <v>538.79499999999996</v>
      </c>
      <c r="X46" s="731">
        <f t="shared" si="49"/>
        <v>476.74</v>
      </c>
      <c r="Y46" s="731">
        <f t="shared" si="49"/>
        <v>384.15</v>
      </c>
      <c r="Z46" s="731">
        <f t="shared" si="49"/>
        <v>302.39499999999998</v>
      </c>
      <c r="AA46" s="767">
        <f t="shared" si="49"/>
        <v>277.77</v>
      </c>
      <c r="AD46" s="7"/>
      <c r="AE46" s="7"/>
      <c r="AF46" s="7"/>
      <c r="AH46" s="7"/>
      <c r="AI46" s="74"/>
      <c r="AO46" s="1038">
        <v>43132</v>
      </c>
      <c r="AP46" s="13">
        <f t="shared" si="11"/>
        <v>3</v>
      </c>
      <c r="AQ46" s="13">
        <f t="shared" si="12"/>
        <v>2</v>
      </c>
      <c r="AR46" s="173">
        <f t="shared" si="13"/>
        <v>43136</v>
      </c>
      <c r="AS46" s="742">
        <f t="shared" si="14"/>
        <v>0.14285714285714285</v>
      </c>
      <c r="AT46" s="758">
        <f t="shared" si="15"/>
        <v>37.393819975374001</v>
      </c>
      <c r="AU46" s="13">
        <f t="shared" si="16"/>
        <v>3</v>
      </c>
      <c r="AV46" s="13">
        <f t="shared" si="17"/>
        <v>2</v>
      </c>
      <c r="AW46" s="173">
        <f t="shared" si="18"/>
        <v>43150</v>
      </c>
      <c r="AX46" s="742">
        <f t="shared" si="19"/>
        <v>0.6428571428571429</v>
      </c>
      <c r="AY46" s="758">
        <f t="shared" si="20"/>
        <v>37.170193337815419</v>
      </c>
      <c r="AZ46" s="735">
        <f t="shared" si="26"/>
        <v>37.28200665659471</v>
      </c>
      <c r="BA46" s="633">
        <f t="shared" si="21"/>
        <v>0.47381373115171671</v>
      </c>
      <c r="BC46" s="11">
        <v>43132</v>
      </c>
      <c r="BD46" s="289">
        <f>[2]!FeuilCaduc*(1-Persistant)+Persistant</f>
        <v>0.50005249213128744</v>
      </c>
      <c r="BE46" s="290">
        <f>[2]!CroissVégét</f>
        <v>3.5761895087786043E-3</v>
      </c>
      <c r="BF46" s="804">
        <f>1+[2]!Salcycl*Ksac</f>
        <v>1.0000052492131288</v>
      </c>
      <c r="BH46" s="1036">
        <f t="shared" si="22"/>
        <v>7.1257029907390945E-4</v>
      </c>
      <c r="BI46" s="11">
        <v>44228</v>
      </c>
      <c r="BJ46" s="715">
        <v>5.0814523192068979E-4</v>
      </c>
      <c r="BK46" s="715">
        <v>5.081452319206899E-4</v>
      </c>
      <c r="BL46" s="715">
        <v>5.2559281813415034E-4</v>
      </c>
      <c r="BM46" s="715">
        <v>6.1248216407968909E-4</v>
      </c>
      <c r="BN46" s="715">
        <v>8.1301436355513937E-4</v>
      </c>
      <c r="BO46" s="716">
        <v>1.223905926829149E-3</v>
      </c>
      <c r="BP46" s="715">
        <v>2.0176781157292571E-3</v>
      </c>
      <c r="BQ46" s="715">
        <v>3.4301105370842335E-3</v>
      </c>
      <c r="BR46" s="715">
        <v>5.9977279475366225E-3</v>
      </c>
      <c r="BS46" s="715">
        <v>1.0148282817237035E-2</v>
      </c>
      <c r="BT46" s="715">
        <v>1.560179444555887E-2</v>
      </c>
      <c r="BW46" s="1188">
        <f>'2019'!R\Max</f>
        <v>0</v>
      </c>
      <c r="BX46" s="1188">
        <f>'2020'!R\Max</f>
        <v>0.33112903759270529</v>
      </c>
      <c r="BY46" s="1188">
        <f>'2021'!R\Max</f>
        <v>0.20759030859943872</v>
      </c>
      <c r="BZ46" s="1188">
        <f>'2022'!R\Max</f>
        <v>0.47381373115171671</v>
      </c>
      <c r="CA46" s="1188">
        <f>'2023'!R\Max</f>
        <v>0.47380350321328935</v>
      </c>
      <c r="CB46" s="1188">
        <f>'2024'!R\Max</f>
        <v>0.47379326077593115</v>
      </c>
      <c r="CC46" s="1188">
        <f>'2025'!R\Max</f>
        <v>0.47377506063652186</v>
      </c>
      <c r="CD46" s="1188">
        <f>'2026'!R\Max</f>
        <v>0.47375683323791828</v>
      </c>
      <c r="CE46" s="1189">
        <f>'2027'!R\Max</f>
        <v>0.47382446276071688</v>
      </c>
      <c r="CF46" s="1191">
        <f>'2028'!R\Max</f>
        <v>0.47381929900335368</v>
      </c>
    </row>
    <row r="47" spans="1:84" s="6" customFormat="1" ht="11.25" x14ac:dyDescent="0.2">
      <c r="A47" s="11">
        <v>43133</v>
      </c>
      <c r="B47" s="379">
        <f>'2023'!Maxi_hp</f>
        <v>31.802968969314829</v>
      </c>
      <c r="C47" s="13">
        <f>'2023'!An_max</f>
        <v>2021</v>
      </c>
      <c r="D47" s="1045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73">
        <f t="shared" si="8"/>
        <v>43122</v>
      </c>
      <c r="I47" s="742">
        <f t="shared" si="9"/>
        <v>0.7857142857142857</v>
      </c>
      <c r="J47" s="735">
        <f t="shared" si="27"/>
        <v>37.693444424428577</v>
      </c>
      <c r="L47" s="744" t="s">
        <v>209</v>
      </c>
      <c r="M47" s="776">
        <f t="shared" ref="M47:AA47" si="50">M43</f>
        <v>43093</v>
      </c>
      <c r="N47" s="726">
        <f t="shared" si="50"/>
        <v>43122</v>
      </c>
      <c r="O47" s="726">
        <f t="shared" si="50"/>
        <v>43150</v>
      </c>
      <c r="P47" s="726">
        <f t="shared" si="50"/>
        <v>43178</v>
      </c>
      <c r="Q47" s="726">
        <f t="shared" si="50"/>
        <v>43206</v>
      </c>
      <c r="R47" s="726">
        <f t="shared" si="50"/>
        <v>43234</v>
      </c>
      <c r="S47" s="726">
        <f t="shared" si="50"/>
        <v>43262</v>
      </c>
      <c r="T47" s="726">
        <f t="shared" si="50"/>
        <v>43290</v>
      </c>
      <c r="U47" s="726">
        <f t="shared" si="50"/>
        <v>43318</v>
      </c>
      <c r="V47" s="726">
        <f t="shared" si="50"/>
        <v>43346</v>
      </c>
      <c r="W47" s="726">
        <f t="shared" si="50"/>
        <v>43374</v>
      </c>
      <c r="X47" s="726">
        <f t="shared" si="50"/>
        <v>43402</v>
      </c>
      <c r="Y47" s="726">
        <f t="shared" si="50"/>
        <v>43430</v>
      </c>
      <c r="Z47" s="768">
        <f t="shared" si="50"/>
        <v>43458</v>
      </c>
      <c r="AA47" s="775">
        <f t="shared" si="50"/>
        <v>43487</v>
      </c>
      <c r="AD47" s="7"/>
      <c r="AE47" s="7"/>
      <c r="AF47" s="7"/>
      <c r="AH47" s="7"/>
      <c r="AI47" s="74"/>
      <c r="AO47" s="1038">
        <v>43133</v>
      </c>
      <c r="AP47" s="13">
        <f t="shared" si="11"/>
        <v>3</v>
      </c>
      <c r="AQ47" s="13">
        <f t="shared" si="12"/>
        <v>2</v>
      </c>
      <c r="AR47" s="173">
        <f t="shared" si="13"/>
        <v>43136</v>
      </c>
      <c r="AS47" s="742">
        <f t="shared" si="14"/>
        <v>0.10714285714285714</v>
      </c>
      <c r="AT47" s="758">
        <f t="shared" si="15"/>
        <v>37.753220967369685</v>
      </c>
      <c r="AU47" s="13">
        <f t="shared" si="16"/>
        <v>3</v>
      </c>
      <c r="AV47" s="13">
        <f t="shared" si="17"/>
        <v>2</v>
      </c>
      <c r="AW47" s="173">
        <f t="shared" si="18"/>
        <v>43150</v>
      </c>
      <c r="AX47" s="742">
        <f t="shared" si="19"/>
        <v>0.6071428571428571</v>
      </c>
      <c r="AY47" s="758">
        <f t="shared" si="20"/>
        <v>37.548650088460583</v>
      </c>
      <c r="AZ47" s="735">
        <f t="shared" si="26"/>
        <v>37.650935527915138</v>
      </c>
      <c r="BA47" s="633">
        <f t="shared" si="21"/>
        <v>0.84372679268079265</v>
      </c>
      <c r="BC47" s="11">
        <v>43133</v>
      </c>
      <c r="BD47" s="289">
        <f>[2]!FeuilCaduc*(1-Persistant)+Persistant</f>
        <v>0.50009726250221709</v>
      </c>
      <c r="BE47" s="290">
        <f>[2]!CroissVégét</f>
        <v>3.7835546392683654E-3</v>
      </c>
      <c r="BF47" s="804">
        <f>1+[2]!Salcycl*Ksac</f>
        <v>1.0000097262502217</v>
      </c>
      <c r="BH47" s="1036">
        <f t="shared" si="22"/>
        <v>7.2749954320329045E-4</v>
      </c>
      <c r="BI47" s="11">
        <v>44229</v>
      </c>
      <c r="BJ47" s="715">
        <v>5.3056233944309195E-4</v>
      </c>
      <c r="BK47" s="715">
        <v>5.3056233944309206E-4</v>
      </c>
      <c r="BL47" s="715">
        <v>5.4808738994625264E-4</v>
      </c>
      <c r="BM47" s="715">
        <v>6.3203168922704818E-4</v>
      </c>
      <c r="BN47" s="715">
        <v>8.2330689620500289E-4</v>
      </c>
      <c r="BO47" s="716">
        <v>1.1975362322727788E-3</v>
      </c>
      <c r="BP47" s="715">
        <v>1.9157331720215298E-3</v>
      </c>
      <c r="BQ47" s="715">
        <v>3.1899533558130372E-3</v>
      </c>
      <c r="BR47" s="715">
        <v>5.5158796151440819E-3</v>
      </c>
      <c r="BS47" s="715">
        <v>9.3013601232748676E-3</v>
      </c>
      <c r="BT47" s="715">
        <v>1.4293427580924091E-2</v>
      </c>
      <c r="BW47" s="1188">
        <f>'2019'!R\Max</f>
        <v>0</v>
      </c>
      <c r="BX47" s="1188">
        <f>'2020'!R\Max</f>
        <v>0.84317682259616056</v>
      </c>
      <c r="BY47" s="1188">
        <f>'2021'!R\Max</f>
        <v>0.84372679268079265</v>
      </c>
      <c r="BZ47" s="1188">
        <f>'2022'!R\Max</f>
        <v>0.15403594660097208</v>
      </c>
      <c r="CA47" s="1188">
        <f>'2023'!R\Max</f>
        <v>0.15403198352289196</v>
      </c>
      <c r="CB47" s="1188">
        <f>'2024'!R\Max</f>
        <v>0.15402801428433383</v>
      </c>
      <c r="CC47" s="1188">
        <f>'2025'!R\Max</f>
        <v>0.1540209830178384</v>
      </c>
      <c r="CD47" s="1188">
        <f>'2026'!R\Max</f>
        <v>0.15401394010073038</v>
      </c>
      <c r="CE47" s="1189">
        <f>'2027'!R\Max</f>
        <v>0.15404013525402566</v>
      </c>
      <c r="CF47" s="1191">
        <f>'2028'!R\Max</f>
        <v>0.15403811864767517</v>
      </c>
    </row>
    <row r="48" spans="1:84" s="6" customFormat="1" ht="11.25" x14ac:dyDescent="0.2">
      <c r="A48" s="11">
        <v>43134</v>
      </c>
      <c r="B48" s="379">
        <f>'2023'!Maxi_hp</f>
        <v>29.439960485046544</v>
      </c>
      <c r="C48" s="13">
        <f>'2023'!An_max</f>
        <v>2020</v>
      </c>
      <c r="D48" s="1045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73">
        <f t="shared" si="8"/>
        <v>43122</v>
      </c>
      <c r="I48" s="742">
        <f t="shared" si="9"/>
        <v>0.8571428571428571</v>
      </c>
      <c r="J48" s="735">
        <f t="shared" si="27"/>
        <v>38.066373178362845</v>
      </c>
      <c r="L48" s="744" t="s">
        <v>210</v>
      </c>
      <c r="M48" s="769">
        <f t="shared" ref="M48:AA48" si="51">M44</f>
        <v>277.77</v>
      </c>
      <c r="N48" s="732">
        <f t="shared" si="51"/>
        <v>337.85500000000002</v>
      </c>
      <c r="O48" s="732">
        <f t="shared" si="51"/>
        <v>441.28</v>
      </c>
      <c r="P48" s="732">
        <f t="shared" si="51"/>
        <v>539.78</v>
      </c>
      <c r="Q48" s="732">
        <f t="shared" si="51"/>
        <v>608.73</v>
      </c>
      <c r="R48" s="732">
        <f t="shared" si="51"/>
        <v>630.4</v>
      </c>
      <c r="S48" s="732">
        <f t="shared" si="51"/>
        <v>627.44499999999994</v>
      </c>
      <c r="T48" s="732">
        <f t="shared" si="51"/>
        <v>607.745</v>
      </c>
      <c r="U48" s="732">
        <f t="shared" si="51"/>
        <v>578.19499999999994</v>
      </c>
      <c r="V48" s="732">
        <f t="shared" si="51"/>
        <v>538.79499999999996</v>
      </c>
      <c r="W48" s="732">
        <f t="shared" si="51"/>
        <v>476.74</v>
      </c>
      <c r="X48" s="732">
        <f t="shared" si="51"/>
        <v>384.15</v>
      </c>
      <c r="Y48" s="732">
        <f t="shared" si="51"/>
        <v>302.39499999999998</v>
      </c>
      <c r="Z48" s="767">
        <f t="shared" si="51"/>
        <v>277.77</v>
      </c>
      <c r="AA48" s="765">
        <f t="shared" si="51"/>
        <v>337.85500000000002</v>
      </c>
      <c r="AD48" s="7"/>
      <c r="AE48" s="7"/>
      <c r="AF48" s="7"/>
      <c r="AH48" s="7"/>
      <c r="AI48" s="74"/>
      <c r="AO48" s="1038">
        <v>43134</v>
      </c>
      <c r="AP48" s="13">
        <f t="shared" si="11"/>
        <v>3</v>
      </c>
      <c r="AQ48" s="13">
        <f t="shared" si="12"/>
        <v>2</v>
      </c>
      <c r="AR48" s="173">
        <f t="shared" si="13"/>
        <v>43136</v>
      </c>
      <c r="AS48" s="742">
        <f t="shared" si="14"/>
        <v>7.1428571428571425E-2</v>
      </c>
      <c r="AT48" s="758">
        <f t="shared" si="15"/>
        <v>38.109408088161473</v>
      </c>
      <c r="AU48" s="13">
        <f t="shared" si="16"/>
        <v>3</v>
      </c>
      <c r="AV48" s="13">
        <f t="shared" si="17"/>
        <v>2</v>
      </c>
      <c r="AW48" s="173">
        <f t="shared" si="18"/>
        <v>43150</v>
      </c>
      <c r="AX48" s="742">
        <f t="shared" si="19"/>
        <v>0.5714285714285714</v>
      </c>
      <c r="AY48" s="758">
        <f t="shared" si="20"/>
        <v>37.931669177700364</v>
      </c>
      <c r="AZ48" s="735">
        <f t="shared" si="26"/>
        <v>38.020538632930922</v>
      </c>
      <c r="BA48" s="633">
        <f t="shared" si="21"/>
        <v>0.77338495966251897</v>
      </c>
      <c r="BC48" s="11">
        <v>43134</v>
      </c>
      <c r="BD48" s="289">
        <f>[2]!FeuilCaduc*(1-Persistant)+Persistant</f>
        <v>0.50015610518187903</v>
      </c>
      <c r="BE48" s="290">
        <f>[2]!CroissVégét</f>
        <v>3.9995273885343324E-3</v>
      </c>
      <c r="BF48" s="804">
        <f>1+[2]!Salcycl*Ksac</f>
        <v>1.0000156105181879</v>
      </c>
      <c r="BH48" s="1036">
        <f t="shared" si="22"/>
        <v>7.4453142159117201E-4</v>
      </c>
      <c r="BI48" s="11">
        <v>44230</v>
      </c>
      <c r="BJ48" s="715">
        <v>5.5315186032071483E-4</v>
      </c>
      <c r="BK48" s="715">
        <v>5.5315186032071472E-4</v>
      </c>
      <c r="BL48" s="715">
        <v>5.7082554654854379E-4</v>
      </c>
      <c r="BM48" s="715">
        <v>6.5270636927202612E-4</v>
      </c>
      <c r="BN48" s="715">
        <v>8.3668301854788617E-4</v>
      </c>
      <c r="BO48" s="716">
        <v>1.1804302262516933E-3</v>
      </c>
      <c r="BP48" s="715">
        <v>1.8321033067046275E-3</v>
      </c>
      <c r="BQ48" s="715">
        <v>2.9821467093951292E-3</v>
      </c>
      <c r="BR48" s="715">
        <v>5.0868844854749873E-3</v>
      </c>
      <c r="BS48" s="715">
        <v>8.5315380833767811E-3</v>
      </c>
      <c r="BT48" s="715">
        <v>1.3087774363555342E-2</v>
      </c>
      <c r="BW48" s="1188">
        <f>'2019'!R\Max</f>
        <v>0</v>
      </c>
      <c r="BX48" s="1188">
        <f>'2020'!R\Max</f>
        <v>0.77338495966251897</v>
      </c>
      <c r="BY48" s="1188">
        <f>'2021'!R\Max</f>
        <v>0.63980268602787416</v>
      </c>
      <c r="BZ48" s="1188">
        <f>'2022'!R\Max</f>
        <v>0.30674678455005472</v>
      </c>
      <c r="CA48" s="1188">
        <f>'2023'!R\Max</f>
        <v>0.30673976128258024</v>
      </c>
      <c r="CB48" s="1188">
        <f>'2024'!R\Max</f>
        <v>0.30673272606760604</v>
      </c>
      <c r="CC48" s="1188">
        <f>'2025'!R\Max</f>
        <v>0.30672033170721258</v>
      </c>
      <c r="CD48" s="1188">
        <f>'2026'!R\Max</f>
        <v>0.30670791445919876</v>
      </c>
      <c r="CE48" s="1189">
        <f>'2027'!R\Max</f>
        <v>0.30675430417345678</v>
      </c>
      <c r="CF48" s="1191">
        <f>'2028'!R\Max</f>
        <v>0.30675068173690295</v>
      </c>
    </row>
    <row r="49" spans="1:84" s="6" customFormat="1" ht="11.25" x14ac:dyDescent="0.2">
      <c r="A49" s="11">
        <v>43135</v>
      </c>
      <c r="B49" s="379">
        <f>'2023'!Maxi_hp</f>
        <v>20.989724213200883</v>
      </c>
      <c r="C49" s="13">
        <f>'2023'!An_max</f>
        <v>2020</v>
      </c>
      <c r="D49" s="1045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73">
        <f t="shared" si="8"/>
        <v>43122</v>
      </c>
      <c r="I49" s="742">
        <f t="shared" si="9"/>
        <v>0.9285714285714286</v>
      </c>
      <c r="J49" s="735">
        <f t="shared" si="27"/>
        <v>38.438512208738494</v>
      </c>
      <c r="L49" s="744" t="s">
        <v>211</v>
      </c>
      <c r="M49" s="771">
        <f t="shared" ref="M49:AA49" si="52">N43</f>
        <v>43122</v>
      </c>
      <c r="N49" s="727">
        <f t="shared" si="52"/>
        <v>43150</v>
      </c>
      <c r="O49" s="727">
        <f t="shared" si="52"/>
        <v>43178</v>
      </c>
      <c r="P49" s="727">
        <f t="shared" si="52"/>
        <v>43206</v>
      </c>
      <c r="Q49" s="727">
        <f t="shared" si="52"/>
        <v>43234</v>
      </c>
      <c r="R49" s="727">
        <f t="shared" si="52"/>
        <v>43262</v>
      </c>
      <c r="S49" s="727">
        <f t="shared" si="52"/>
        <v>43290</v>
      </c>
      <c r="T49" s="727">
        <f t="shared" si="52"/>
        <v>43318</v>
      </c>
      <c r="U49" s="727">
        <f t="shared" si="52"/>
        <v>43346</v>
      </c>
      <c r="V49" s="727">
        <f t="shared" si="52"/>
        <v>43374</v>
      </c>
      <c r="W49" s="727">
        <f t="shared" si="52"/>
        <v>43402</v>
      </c>
      <c r="X49" s="727">
        <f t="shared" si="52"/>
        <v>43430</v>
      </c>
      <c r="Y49" s="727">
        <f t="shared" si="52"/>
        <v>43458</v>
      </c>
      <c r="Z49" s="777">
        <f t="shared" si="52"/>
        <v>43487</v>
      </c>
      <c r="AA49" s="775">
        <f t="shared" si="52"/>
        <v>43515</v>
      </c>
      <c r="AD49" s="7"/>
      <c r="AE49" s="7"/>
      <c r="AF49" s="7"/>
      <c r="AH49" s="7"/>
      <c r="AI49" s="74"/>
      <c r="AO49" s="1038">
        <v>43135</v>
      </c>
      <c r="AP49" s="13">
        <f t="shared" si="11"/>
        <v>3</v>
      </c>
      <c r="AQ49" s="13">
        <f t="shared" si="12"/>
        <v>2</v>
      </c>
      <c r="AR49" s="173">
        <f t="shared" si="13"/>
        <v>43136</v>
      </c>
      <c r="AS49" s="742">
        <f t="shared" si="14"/>
        <v>3.5714285714285712E-2</v>
      </c>
      <c r="AT49" s="758">
        <f t="shared" si="15"/>
        <v>38.461596159044923</v>
      </c>
      <c r="AU49" s="13">
        <f t="shared" si="16"/>
        <v>3</v>
      </c>
      <c r="AV49" s="13">
        <f t="shared" si="17"/>
        <v>2</v>
      </c>
      <c r="AW49" s="173">
        <f t="shared" si="18"/>
        <v>43150</v>
      </c>
      <c r="AX49" s="742">
        <f t="shared" si="19"/>
        <v>0.5357142857142857</v>
      </c>
      <c r="AY49" s="758">
        <f t="shared" si="20"/>
        <v>38.318573580935066</v>
      </c>
      <c r="AZ49" s="735">
        <f t="shared" si="26"/>
        <v>38.390084869989991</v>
      </c>
      <c r="BA49" s="633">
        <f t="shared" si="21"/>
        <v>0.54605974599685847</v>
      </c>
      <c r="BC49" s="11">
        <v>43135</v>
      </c>
      <c r="BD49" s="289">
        <f>[2]!FeuilCaduc*(1-Persistant)+Persistant</f>
        <v>0.50022836491362632</v>
      </c>
      <c r="BE49" s="290">
        <f>[2]!CroissVégét</f>
        <v>4.2244610672662677E-3</v>
      </c>
      <c r="BF49" s="804">
        <f>1+[2]!Salcycl*Ksac</f>
        <v>1.0000228364913626</v>
      </c>
      <c r="BH49" s="1036">
        <f t="shared" si="22"/>
        <v>7.6366603584736704E-4</v>
      </c>
      <c r="BI49" s="11">
        <v>44231</v>
      </c>
      <c r="BJ49" s="715">
        <v>5.7591382558953462E-4</v>
      </c>
      <c r="BK49" s="715">
        <v>5.7591382558953451E-4</v>
      </c>
      <c r="BL49" s="715">
        <v>5.9380732496040799E-4</v>
      </c>
      <c r="BM49" s="715">
        <v>6.745062533337116E-4</v>
      </c>
      <c r="BN49" s="715">
        <v>8.5314288487099179E-4</v>
      </c>
      <c r="BO49" s="716">
        <v>1.1725883073602584E-3</v>
      </c>
      <c r="BP49" s="715">
        <v>1.7667900711981802E-3</v>
      </c>
      <c r="BQ49" s="715">
        <v>2.8066946971329223E-3</v>
      </c>
      <c r="BR49" s="715">
        <v>4.7107520192198006E-3</v>
      </c>
      <c r="BS49" s="715">
        <v>7.8388359002372759E-3</v>
      </c>
      <c r="BT49" s="715">
        <v>1.1984867545275644E-2</v>
      </c>
      <c r="BW49" s="1188">
        <f>'2019'!R\Max</f>
        <v>0</v>
      </c>
      <c r="BX49" s="1188">
        <f>'2020'!R\Max</f>
        <v>0.54605974599685847</v>
      </c>
      <c r="BY49" s="1188">
        <f>'2021'!R\Max</f>
        <v>0.45195342654485465</v>
      </c>
      <c r="BZ49" s="1188">
        <f>'2022'!R\Max</f>
        <v>0.31376350337997888</v>
      </c>
      <c r="CA49" s="1188">
        <f>'2023'!R\Max</f>
        <v>0.31375708116412693</v>
      </c>
      <c r="CB49" s="1188">
        <f>'2024'!R\Max</f>
        <v>0.31375064714676287</v>
      </c>
      <c r="CC49" s="1188">
        <f>'2025'!R\Max</f>
        <v>0.31373940769003067</v>
      </c>
      <c r="CD49" s="1188">
        <f>'2026'!R\Max</f>
        <v>0.31372814534879279</v>
      </c>
      <c r="CE49" s="1189">
        <f>'2027'!R\Max</f>
        <v>0.31377051608667944</v>
      </c>
      <c r="CF49" s="1191">
        <f>'2028'!R\Max</f>
        <v>0.3137671358097277</v>
      </c>
    </row>
    <row r="50" spans="1:84" s="6" customFormat="1" ht="11.25" x14ac:dyDescent="0.2">
      <c r="A50" s="11">
        <v>43136</v>
      </c>
      <c r="B50" s="379">
        <f>'2023'!Maxi_hp</f>
        <v>38.888374306898015</v>
      </c>
      <c r="C50" s="13">
        <f>'2023'!An_max</f>
        <v>2020</v>
      </c>
      <c r="D50" s="1045">
        <f t="shared" si="7"/>
        <v>1.0020452551351402</v>
      </c>
      <c r="E50" s="1040">
        <f>P$13/10</f>
        <v>38.808999999999997</v>
      </c>
      <c r="F50" s="13">
        <f t="shared" si="23"/>
        <v>5</v>
      </c>
      <c r="G50" s="13">
        <f t="shared" si="24"/>
        <v>4</v>
      </c>
      <c r="H50" s="173">
        <f t="shared" si="8"/>
        <v>43150</v>
      </c>
      <c r="I50" s="742">
        <f t="shared" si="9"/>
        <v>1</v>
      </c>
      <c r="J50" s="735">
        <f t="shared" si="27"/>
        <v>38.809000000357628</v>
      </c>
      <c r="L50" s="744" t="s">
        <v>212</v>
      </c>
      <c r="M50" s="772">
        <f t="shared" ref="M50:AA50" si="53">N44</f>
        <v>337.85500000000002</v>
      </c>
      <c r="N50" s="732">
        <f t="shared" si="53"/>
        <v>441.28</v>
      </c>
      <c r="O50" s="732">
        <f t="shared" si="53"/>
        <v>539.78</v>
      </c>
      <c r="P50" s="732">
        <f t="shared" si="53"/>
        <v>608.73</v>
      </c>
      <c r="Q50" s="732">
        <f t="shared" si="53"/>
        <v>630.4</v>
      </c>
      <c r="R50" s="732">
        <f t="shared" si="53"/>
        <v>627.44499999999994</v>
      </c>
      <c r="S50" s="732">
        <f t="shared" si="53"/>
        <v>607.745</v>
      </c>
      <c r="T50" s="732">
        <f t="shared" si="53"/>
        <v>578.19499999999994</v>
      </c>
      <c r="U50" s="732">
        <f t="shared" si="53"/>
        <v>538.79499999999996</v>
      </c>
      <c r="V50" s="732">
        <f t="shared" si="53"/>
        <v>476.74</v>
      </c>
      <c r="W50" s="732">
        <f t="shared" si="53"/>
        <v>384.15</v>
      </c>
      <c r="X50" s="732">
        <f t="shared" si="53"/>
        <v>302.39499999999998</v>
      </c>
      <c r="Y50" s="732">
        <f t="shared" si="53"/>
        <v>277.77</v>
      </c>
      <c r="Z50" s="778">
        <f t="shared" si="53"/>
        <v>337.85500000000002</v>
      </c>
      <c r="AA50" s="765">
        <f t="shared" si="53"/>
        <v>441.28</v>
      </c>
      <c r="AD50" s="7"/>
      <c r="AE50" s="7"/>
      <c r="AF50" s="7"/>
      <c r="AH50" s="7"/>
      <c r="AI50" s="74"/>
      <c r="AO50" s="1038">
        <v>43136</v>
      </c>
      <c r="AP50" s="13">
        <f t="shared" si="11"/>
        <v>3</v>
      </c>
      <c r="AQ50" s="13">
        <f t="shared" si="12"/>
        <v>4</v>
      </c>
      <c r="AR50" s="173">
        <f t="shared" si="13"/>
        <v>43136</v>
      </c>
      <c r="AS50" s="742">
        <f t="shared" si="14"/>
        <v>0</v>
      </c>
      <c r="AT50" s="758">
        <f t="shared" si="15"/>
        <v>38.808999999985097</v>
      </c>
      <c r="AU50" s="13">
        <f t="shared" si="16"/>
        <v>3</v>
      </c>
      <c r="AV50" s="13">
        <f t="shared" si="17"/>
        <v>2</v>
      </c>
      <c r="AW50" s="173">
        <f t="shared" si="18"/>
        <v>43150</v>
      </c>
      <c r="AX50" s="742">
        <f t="shared" si="19"/>
        <v>0.5</v>
      </c>
      <c r="AY50" s="758">
        <f t="shared" si="20"/>
        <v>38.708686270797628</v>
      </c>
      <c r="AZ50" s="735">
        <f t="shared" si="26"/>
        <v>38.758843135391359</v>
      </c>
      <c r="BA50" s="633">
        <f t="shared" si="21"/>
        <v>1.0020452551351402</v>
      </c>
      <c r="BC50" s="11">
        <v>43136</v>
      </c>
      <c r="BD50" s="289">
        <f>[2]!FeuilCaduc*(1-Persistant)+Persistant</f>
        <v>0.50031329188230567</v>
      </c>
      <c r="BE50" s="290">
        <f>[2]!CroissVégét</f>
        <v>4.4587231488279668E-3</v>
      </c>
      <c r="BF50" s="804">
        <f>1+[2]!Salcycl*Ksac</f>
        <v>1.0000313291882306</v>
      </c>
      <c r="BH50" s="1036">
        <f t="shared" si="22"/>
        <v>7.849034711140243E-4</v>
      </c>
      <c r="BI50" s="11">
        <v>44232</v>
      </c>
      <c r="BJ50" s="715">
        <v>5.9884837073521133E-4</v>
      </c>
      <c r="BK50" s="715">
        <v>5.9884837073521143E-4</v>
      </c>
      <c r="BL50" s="715">
        <v>6.1703286395702408E-4</v>
      </c>
      <c r="BM50" s="715">
        <v>6.9743143943506709E-4</v>
      </c>
      <c r="BN50" s="715">
        <v>8.7268656738984877E-4</v>
      </c>
      <c r="BO50" s="716">
        <v>1.1740103416274545E-3</v>
      </c>
      <c r="BP50" s="715">
        <v>1.7197937152120925E-3</v>
      </c>
      <c r="BQ50" s="715">
        <v>2.6635988188884407E-3</v>
      </c>
      <c r="BR50" s="715">
        <v>4.3874869830231701E-3</v>
      </c>
      <c r="BS50" s="715">
        <v>7.2232652092266694E-3</v>
      </c>
      <c r="BT50" s="715">
        <v>1.0984728896533749E-2</v>
      </c>
      <c r="BW50" s="1188">
        <f>'2019'!R\Max</f>
        <v>0</v>
      </c>
      <c r="BX50" s="1188">
        <f>'2020'!R\Max</f>
        <v>1.0020452551351402</v>
      </c>
      <c r="BY50" s="1188">
        <f>'2021'!R\Max</f>
        <v>0.42395635509588148</v>
      </c>
      <c r="BZ50" s="1188">
        <f>'2022'!R\Max</f>
        <v>0.25643482674681001</v>
      </c>
      <c r="CA50" s="1188">
        <f>'2023'!R\Max</f>
        <v>0.25642995502612853</v>
      </c>
      <c r="CB50" s="1188">
        <f>'2024'!R\Max</f>
        <v>0.25642507377324159</v>
      </c>
      <c r="CC50" s="1188">
        <f>'2025'!R\Max</f>
        <v>0.25641664926808905</v>
      </c>
      <c r="CD50" s="1188">
        <f>'2026'!R\Max</f>
        <v>0.25640820608292031</v>
      </c>
      <c r="CE50" s="1189">
        <f>'2027'!R\Max</f>
        <v>0.2564402930984383</v>
      </c>
      <c r="CF50" s="1191">
        <f>'2028'!R\Max</f>
        <v>0.256437656668695</v>
      </c>
    </row>
    <row r="51" spans="1:84" s="6" customFormat="1" ht="11.25" x14ac:dyDescent="0.2">
      <c r="A51" s="11">
        <v>43137</v>
      </c>
      <c r="B51" s="379">
        <f>'2023'!Maxi_hp</f>
        <v>41.004542581463518</v>
      </c>
      <c r="C51" s="13">
        <f>'2023'!An_max</f>
        <v>2020</v>
      </c>
      <c r="D51" s="1045">
        <f t="shared" si="7"/>
        <v>1.0465540881516351</v>
      </c>
      <c r="E51" s="13"/>
      <c r="F51" s="13">
        <f t="shared" si="23"/>
        <v>5</v>
      </c>
      <c r="G51" s="13">
        <f t="shared" si="24"/>
        <v>4</v>
      </c>
      <c r="H51" s="173">
        <f t="shared" si="8"/>
        <v>43150</v>
      </c>
      <c r="I51" s="742">
        <f t="shared" si="9"/>
        <v>0.9285714285714286</v>
      </c>
      <c r="J51" s="735">
        <f t="shared" si="27"/>
        <v>39.180528790330783</v>
      </c>
      <c r="L51" s="745" t="s">
        <v>213</v>
      </c>
      <c r="M51" s="729">
        <f t="shared" ref="M51:AA51" si="54">x.1ld*x.1ld-x.2ld*x.2ld</f>
        <v>-2412424</v>
      </c>
      <c r="N51" s="729">
        <f t="shared" si="54"/>
        <v>-2500235</v>
      </c>
      <c r="O51" s="729">
        <f t="shared" si="54"/>
        <v>-2415616</v>
      </c>
      <c r="P51" s="729">
        <f t="shared" si="54"/>
        <v>-2417184</v>
      </c>
      <c r="Q51" s="729">
        <f t="shared" si="54"/>
        <v>-2418752</v>
      </c>
      <c r="R51" s="729">
        <f t="shared" si="54"/>
        <v>-2420320</v>
      </c>
      <c r="S51" s="729">
        <f t="shared" si="54"/>
        <v>-2421888</v>
      </c>
      <c r="T51" s="729">
        <f t="shared" si="54"/>
        <v>-2423456</v>
      </c>
      <c r="U51" s="729">
        <f t="shared" si="54"/>
        <v>-2425024</v>
      </c>
      <c r="V51" s="729">
        <f t="shared" si="54"/>
        <v>-2426592</v>
      </c>
      <c r="W51" s="729">
        <f t="shared" si="54"/>
        <v>-2428160</v>
      </c>
      <c r="X51" s="729">
        <f t="shared" si="54"/>
        <v>-2429728</v>
      </c>
      <c r="Y51" s="729">
        <f t="shared" si="54"/>
        <v>-2431296</v>
      </c>
      <c r="Z51" s="729">
        <f t="shared" si="54"/>
        <v>-2432864</v>
      </c>
      <c r="AA51" s="729">
        <f t="shared" si="54"/>
        <v>-2521405</v>
      </c>
      <c r="AC51" s="7"/>
      <c r="AD51" s="7"/>
      <c r="AE51" s="7"/>
      <c r="AF51" s="7"/>
      <c r="AH51" s="7"/>
      <c r="AI51" s="74"/>
      <c r="AO51" s="1038">
        <v>43137</v>
      </c>
      <c r="AP51" s="13">
        <f t="shared" si="11"/>
        <v>3</v>
      </c>
      <c r="AQ51" s="13">
        <f t="shared" si="12"/>
        <v>4</v>
      </c>
      <c r="AR51" s="173">
        <f t="shared" si="13"/>
        <v>43136</v>
      </c>
      <c r="AS51" s="742">
        <f t="shared" si="14"/>
        <v>3.5714285714285712E-2</v>
      </c>
      <c r="AT51" s="758">
        <f t="shared" si="15"/>
        <v>39.156325574146052</v>
      </c>
      <c r="AU51" s="13">
        <f t="shared" si="16"/>
        <v>3</v>
      </c>
      <c r="AV51" s="13">
        <f t="shared" si="17"/>
        <v>2</v>
      </c>
      <c r="AW51" s="173">
        <f t="shared" si="18"/>
        <v>43150</v>
      </c>
      <c r="AX51" s="742">
        <f t="shared" si="19"/>
        <v>0.4642857142857143</v>
      </c>
      <c r="AY51" s="758">
        <f t="shared" si="20"/>
        <v>39.101330223998858</v>
      </c>
      <c r="AZ51" s="735">
        <f t="shared" si="26"/>
        <v>39.128827899072455</v>
      </c>
      <c r="BA51" s="633">
        <f t="shared" si="21"/>
        <v>1.0465540881516351</v>
      </c>
      <c r="BC51" s="11">
        <v>43137</v>
      </c>
      <c r="BD51" s="289">
        <f>[2]!FeuilCaduc*(1-Persistant)+Persistant</f>
        <v>0.5004100493892133</v>
      </c>
      <c r="BE51" s="290">
        <f>[2]!CroissVégét</f>
        <v>4.7026958080162657E-3</v>
      </c>
      <c r="BF51" s="804">
        <f>1+[2]!Salcycl*Ksac</f>
        <v>1.0000410049389212</v>
      </c>
      <c r="BH51" s="1036">
        <f t="shared" si="22"/>
        <v>8.0824382246285199E-4</v>
      </c>
      <c r="BI51" s="11">
        <v>44233</v>
      </c>
      <c r="BJ51" s="715">
        <v>6.2195573794203093E-4</v>
      </c>
      <c r="BK51" s="715">
        <v>6.2195573794203082E-4</v>
      </c>
      <c r="BL51" s="715">
        <v>6.4050240721040877E-4</v>
      </c>
      <c r="BM51" s="715">
        <v>7.2148208867285624E-4</v>
      </c>
      <c r="BN51" s="715">
        <v>8.9531409491631388E-4</v>
      </c>
      <c r="BO51" s="716">
        <v>1.184695778454374E-3</v>
      </c>
      <c r="BP51" s="715">
        <v>1.6911134158454743E-3</v>
      </c>
      <c r="BQ51" s="715">
        <v>2.5528583796472905E-3</v>
      </c>
      <c r="BR51" s="715">
        <v>4.1170901103679504E-3</v>
      </c>
      <c r="BS51" s="715">
        <v>6.6848310424344635E-3</v>
      </c>
      <c r="BT51" s="715">
        <v>1.0087370490702208E-2</v>
      </c>
      <c r="BW51" s="1188">
        <f>'2019'!R\Max</f>
        <v>0</v>
      </c>
      <c r="BX51" s="1188">
        <f>'2020'!R\Max</f>
        <v>1.0465540881516351</v>
      </c>
      <c r="BY51" s="1188">
        <f>'2021'!R\Max</f>
        <v>0.26463845984844964</v>
      </c>
      <c r="BZ51" s="1188">
        <f>'2022'!R\Max</f>
        <v>0.69495492959286809</v>
      </c>
      <c r="CA51" s="1188">
        <f>'2023'!R\Max</f>
        <v>0.69494964073865684</v>
      </c>
      <c r="CB51" s="1188">
        <f>'2024'!R\Max</f>
        <v>0.69494434091804946</v>
      </c>
      <c r="CC51" s="1188">
        <f>'2025'!R\Max</f>
        <v>0.69493534072831742</v>
      </c>
      <c r="CD51" s="1188">
        <f>'2026'!R\Max</f>
        <v>0.69492631876294186</v>
      </c>
      <c r="CE51" s="1189">
        <f>'2027'!R\Max</f>
        <v>0.69496107476753988</v>
      </c>
      <c r="CF51" s="1191">
        <f>'2028'!R\Max</f>
        <v>0.69495810942048819</v>
      </c>
    </row>
    <row r="52" spans="1:84" s="6" customFormat="1" ht="11.25" x14ac:dyDescent="0.2">
      <c r="A52" s="11">
        <v>43138</v>
      </c>
      <c r="B52" s="379">
        <f>'2023'!Maxi_hp</f>
        <v>27.6544109096825</v>
      </c>
      <c r="C52" s="13">
        <f>'2023'!An_max</f>
        <v>2020</v>
      </c>
      <c r="D52" s="1045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73">
        <f t="shared" si="8"/>
        <v>43150</v>
      </c>
      <c r="I52" s="742">
        <f t="shared" si="9"/>
        <v>0.8571428571428571</v>
      </c>
      <c r="J52" s="735">
        <f t="shared" si="27"/>
        <v>39.555934402665919</v>
      </c>
      <c r="L52" s="745" t="s">
        <v>214</v>
      </c>
      <c r="M52" s="729">
        <f t="shared" ref="M52:AA52" si="55">x.2ld*x.2ld-x.3ld*x.3ld</f>
        <v>-2500235</v>
      </c>
      <c r="N52" s="729">
        <f t="shared" si="55"/>
        <v>-2415616</v>
      </c>
      <c r="O52" s="729">
        <f t="shared" si="55"/>
        <v>-2417184</v>
      </c>
      <c r="P52" s="729">
        <f t="shared" si="55"/>
        <v>-2418752</v>
      </c>
      <c r="Q52" s="729">
        <f t="shared" si="55"/>
        <v>-2420320</v>
      </c>
      <c r="R52" s="729">
        <f t="shared" si="55"/>
        <v>-2421888</v>
      </c>
      <c r="S52" s="729">
        <f t="shared" si="55"/>
        <v>-2423456</v>
      </c>
      <c r="T52" s="729">
        <f t="shared" si="55"/>
        <v>-2425024</v>
      </c>
      <c r="U52" s="729">
        <f t="shared" si="55"/>
        <v>-2426592</v>
      </c>
      <c r="V52" s="729">
        <f t="shared" si="55"/>
        <v>-2428160</v>
      </c>
      <c r="W52" s="729">
        <f t="shared" si="55"/>
        <v>-2429728</v>
      </c>
      <c r="X52" s="729">
        <f t="shared" si="55"/>
        <v>-2431296</v>
      </c>
      <c r="Y52" s="729">
        <f t="shared" si="55"/>
        <v>-2432864</v>
      </c>
      <c r="Z52" s="729">
        <f t="shared" si="55"/>
        <v>-2521405</v>
      </c>
      <c r="AA52" s="729">
        <f t="shared" si="55"/>
        <v>-2436056</v>
      </c>
      <c r="AC52" s="7"/>
      <c r="AD52" s="7"/>
      <c r="AE52" s="7"/>
      <c r="AF52" s="7"/>
      <c r="AH52" s="7"/>
      <c r="AI52" s="74"/>
      <c r="AO52" s="1038">
        <v>43138</v>
      </c>
      <c r="AP52" s="13">
        <f t="shared" si="11"/>
        <v>3</v>
      </c>
      <c r="AQ52" s="13">
        <f t="shared" si="12"/>
        <v>4</v>
      </c>
      <c r="AR52" s="173">
        <f t="shared" si="13"/>
        <v>43136</v>
      </c>
      <c r="AS52" s="742">
        <f t="shared" si="14"/>
        <v>7.1428571428571425E-2</v>
      </c>
      <c r="AT52" s="758">
        <f t="shared" si="15"/>
        <v>39.508551020428008</v>
      </c>
      <c r="AU52" s="13">
        <f t="shared" si="16"/>
        <v>3</v>
      </c>
      <c r="AV52" s="13">
        <f t="shared" si="17"/>
        <v>2</v>
      </c>
      <c r="AW52" s="173">
        <f t="shared" si="18"/>
        <v>43150</v>
      </c>
      <c r="AX52" s="742">
        <f t="shared" si="19"/>
        <v>0.42857142857142855</v>
      </c>
      <c r="AY52" s="758">
        <f t="shared" si="20"/>
        <v>39.495828414176188</v>
      </c>
      <c r="AZ52" s="735">
        <f t="shared" si="26"/>
        <v>39.502189717302102</v>
      </c>
      <c r="BA52" s="633">
        <f t="shared" si="21"/>
        <v>0.69912166978967127</v>
      </c>
      <c r="BC52" s="11">
        <v>43138</v>
      </c>
      <c r="BD52" s="289">
        <f>[2]!FeuilCaduc*(1-Persistant)+Persistant</f>
        <v>0.50051772300163511</v>
      </c>
      <c r="BE52" s="290">
        <f>[2]!CroissVégét</f>
        <v>4.9567764778191995E-3</v>
      </c>
      <c r="BF52" s="804">
        <f>1+[2]!Salcycl*Ksac</f>
        <v>1.0000517723001634</v>
      </c>
      <c r="BH52" s="1036">
        <f t="shared" si="22"/>
        <v>8.3173784520829044E-4</v>
      </c>
      <c r="BI52" s="11">
        <v>44234</v>
      </c>
      <c r="BJ52" s="715">
        <v>6.4372787887281217E-4</v>
      </c>
      <c r="BK52" s="715">
        <v>6.4372787887281228E-4</v>
      </c>
      <c r="BL52" s="715">
        <v>6.6265511517846481E-4</v>
      </c>
      <c r="BM52" s="715">
        <v>7.4489384685252121E-4</v>
      </c>
      <c r="BN52" s="715">
        <v>9.188906747735374E-4</v>
      </c>
      <c r="BO52" s="716">
        <v>1.202232658541895E-3</v>
      </c>
      <c r="BP52" s="715">
        <v>1.6789156576098811E-3</v>
      </c>
      <c r="BQ52" s="715">
        <v>2.4743590811708988E-3</v>
      </c>
      <c r="BR52" s="715">
        <v>3.9033460219090655E-3</v>
      </c>
      <c r="BS52" s="715">
        <v>6.2344449575737516E-3</v>
      </c>
      <c r="BT52" s="715">
        <v>9.313789878092997E-3</v>
      </c>
      <c r="BW52" s="1188">
        <f>'2019'!R\Max</f>
        <v>0</v>
      </c>
      <c r="BX52" s="1188">
        <f>'2020'!R\Max</f>
        <v>0.69912166978967127</v>
      </c>
      <c r="BY52" s="1188">
        <f>'2021'!R\Max</f>
        <v>0.58812261882856554</v>
      </c>
      <c r="BZ52" s="1188">
        <f>'2022'!R\Max</f>
        <v>0.24696651291799793</v>
      </c>
      <c r="CA52" s="1188">
        <f>'2023'!R\Max</f>
        <v>0.24696249084212732</v>
      </c>
      <c r="CB52" s="1188">
        <f>'2024'!R\Max</f>
        <v>0.24695846021048468</v>
      </c>
      <c r="CC52" s="1188">
        <f>'2025'!R\Max</f>
        <v>0.24695174855135982</v>
      </c>
      <c r="CD52" s="1188">
        <f>'2026'!R\Max</f>
        <v>0.24694501988910347</v>
      </c>
      <c r="CE52" s="1189">
        <f>'2027'!R\Max</f>
        <v>0.24697137588551218</v>
      </c>
      <c r="CF52" s="1191">
        <f>'2028'!R\Max</f>
        <v>0.24696902832333487</v>
      </c>
    </row>
    <row r="53" spans="1:84" s="6" customFormat="1" ht="11.25" x14ac:dyDescent="0.2">
      <c r="A53" s="11">
        <v>43139</v>
      </c>
      <c r="B53" s="379">
        <f>'2023'!Maxi_hp</f>
        <v>39.485093112915379</v>
      </c>
      <c r="C53" s="13">
        <f>'2023'!An_max</f>
        <v>2022</v>
      </c>
      <c r="D53" s="1045">
        <f t="shared" si="7"/>
        <v>0.98874464957521502</v>
      </c>
      <c r="E53" s="13"/>
      <c r="F53" s="13">
        <f t="shared" si="23"/>
        <v>5</v>
      </c>
      <c r="G53" s="13">
        <f t="shared" si="24"/>
        <v>4</v>
      </c>
      <c r="H53" s="173">
        <f t="shared" si="8"/>
        <v>43150</v>
      </c>
      <c r="I53" s="742">
        <f t="shared" si="9"/>
        <v>0.7857142857142857</v>
      </c>
      <c r="J53" s="735">
        <f t="shared" si="27"/>
        <v>39.934570700209591</v>
      </c>
      <c r="L53" s="745" t="s">
        <v>215</v>
      </c>
      <c r="M53" s="729">
        <f t="shared" ref="M53:AA53" si="56">(y.1ld-y.2ld-b.ld*(x.1ld-x.2ld))/D2x12Ld</f>
        <v>5.1778260305934326E-2</v>
      </c>
      <c r="N53" s="729">
        <f t="shared" si="56"/>
        <v>2.8453569267994132E-2</v>
      </c>
      <c r="O53" s="729">
        <f t="shared" si="56"/>
        <v>-3.1409438775506257E-3</v>
      </c>
      <c r="P53" s="729">
        <f t="shared" si="56"/>
        <v>-1.8845663265308819E-2</v>
      </c>
      <c r="Q53" s="729">
        <f t="shared" si="56"/>
        <v>-3.0153061224491094E-2</v>
      </c>
      <c r="R53" s="729">
        <f t="shared" si="56"/>
        <v>-1.5704719387756392E-2</v>
      </c>
      <c r="S53" s="729">
        <f t="shared" si="56"/>
        <v>-1.0679209183672057E-2</v>
      </c>
      <c r="T53" s="729">
        <f t="shared" si="56"/>
        <v>-6.281887755103183E-3</v>
      </c>
      <c r="U53" s="729">
        <f t="shared" si="56"/>
        <v>-6.2818877551026114E-3</v>
      </c>
      <c r="V53" s="729">
        <f t="shared" si="56"/>
        <v>-1.4448341836733604E-2</v>
      </c>
      <c r="W53" s="729">
        <f t="shared" si="56"/>
        <v>-1.9473852040815809E-2</v>
      </c>
      <c r="X53" s="729">
        <f t="shared" si="56"/>
        <v>6.910076530611836E-3</v>
      </c>
      <c r="Y53" s="729">
        <f t="shared" si="56"/>
        <v>3.6434948979588863E-2</v>
      </c>
      <c r="Z53" s="729">
        <f t="shared" si="56"/>
        <v>5.1778260305930586E-2</v>
      </c>
      <c r="AA53" s="729">
        <f t="shared" si="56"/>
        <v>2.8453569268000786E-2</v>
      </c>
      <c r="AC53" s="7"/>
      <c r="AD53" s="7"/>
      <c r="AE53" s="7"/>
      <c r="AF53" s="7"/>
      <c r="AH53" s="7"/>
      <c r="AI53" s="74"/>
      <c r="AO53" s="1038">
        <v>43139</v>
      </c>
      <c r="AP53" s="13">
        <f t="shared" si="11"/>
        <v>3</v>
      </c>
      <c r="AQ53" s="13">
        <f t="shared" si="12"/>
        <v>4</v>
      </c>
      <c r="AR53" s="173">
        <f t="shared" si="13"/>
        <v>43136</v>
      </c>
      <c r="AS53" s="742">
        <f t="shared" si="14"/>
        <v>0.10714285714285714</v>
      </c>
      <c r="AT53" s="758">
        <f t="shared" si="15"/>
        <v>39.865299426099021</v>
      </c>
      <c r="AU53" s="13">
        <f t="shared" si="16"/>
        <v>3</v>
      </c>
      <c r="AV53" s="13">
        <f t="shared" si="17"/>
        <v>2</v>
      </c>
      <c r="AW53" s="173">
        <f t="shared" si="18"/>
        <v>43150</v>
      </c>
      <c r="AX53" s="742">
        <f t="shared" si="19"/>
        <v>0.39285714285714285</v>
      </c>
      <c r="AY53" s="758">
        <f t="shared" si="20"/>
        <v>39.891503816064713</v>
      </c>
      <c r="AZ53" s="735">
        <f t="shared" si="26"/>
        <v>39.878401621081863</v>
      </c>
      <c r="BA53" s="633">
        <f t="shared" si="21"/>
        <v>0.98874464957521502</v>
      </c>
      <c r="BC53" s="11">
        <v>43139</v>
      </c>
      <c r="BD53" s="289">
        <f>[2]!FeuilCaduc*(1-Persistant)+Persistant</f>
        <v>0.50063533104971769</v>
      </c>
      <c r="BE53" s="290">
        <f>[2]!CroissVégét</f>
        <v>5.2213784245517241E-3</v>
      </c>
      <c r="BF53" s="804">
        <f>1+[2]!Salcycl*Ksac</f>
        <v>1.0000635331049719</v>
      </c>
      <c r="BH53" s="1036">
        <f t="shared" si="22"/>
        <v>8.5364918255028191E-4</v>
      </c>
      <c r="BI53" s="11">
        <v>44235</v>
      </c>
      <c r="BJ53" s="715">
        <v>6.6397145371958487E-4</v>
      </c>
      <c r="BK53" s="715">
        <v>6.6397145371958476E-4</v>
      </c>
      <c r="BL53" s="715">
        <v>6.8325787187048254E-4</v>
      </c>
      <c r="BM53" s="715">
        <v>7.6666878920440449E-4</v>
      </c>
      <c r="BN53" s="715">
        <v>9.4093889214813358E-4</v>
      </c>
      <c r="BO53" s="716">
        <v>1.2191488029129022E-3</v>
      </c>
      <c r="BP53" s="715">
        <v>1.6696824957225926E-3</v>
      </c>
      <c r="BQ53" s="715">
        <v>2.4062787605505023E-3</v>
      </c>
      <c r="BR53" s="715">
        <v>3.7130295713178208E-3</v>
      </c>
      <c r="BS53" s="715">
        <v>5.8296682394690831E-3</v>
      </c>
      <c r="BT53" s="715">
        <v>8.615721288604208E-3</v>
      </c>
      <c r="BW53" s="1188">
        <f>'2019'!R\Max</f>
        <v>0</v>
      </c>
      <c r="BX53" s="1188">
        <f>'2020'!R\Max</f>
        <v>0.84945608901247216</v>
      </c>
      <c r="BY53" s="1188">
        <f>'2021'!R\Max</f>
        <v>0.11654324075656662</v>
      </c>
      <c r="BZ53" s="1188">
        <f>'2022'!R\Max</f>
        <v>0.98874464957521502</v>
      </c>
      <c r="CA53" s="1188">
        <f>'2023'!R\Max</f>
        <v>0.98874440712574185</v>
      </c>
      <c r="CB53" s="1188">
        <f>'2024'!R\Max</f>
        <v>0.98874416413853672</v>
      </c>
      <c r="CC53" s="1188">
        <f>'2025'!R\Max</f>
        <v>0.98874376772021777</v>
      </c>
      <c r="CD53" s="1188">
        <f>'2026'!R\Max</f>
        <v>0.988743370225181</v>
      </c>
      <c r="CE53" s="1189">
        <f>'2027'!R\Max</f>
        <v>0.98874495419493247</v>
      </c>
      <c r="CF53" s="1191">
        <f>'2028'!R\Max</f>
        <v>0.98874480708852053</v>
      </c>
    </row>
    <row r="54" spans="1:84" s="6" customFormat="1" ht="11.25" x14ac:dyDescent="0.2">
      <c r="A54" s="11">
        <v>43140</v>
      </c>
      <c r="B54" s="379">
        <f>'2023'!Maxi_hp</f>
        <v>40.294311941413838</v>
      </c>
      <c r="C54" s="13">
        <f>'2023'!An_max</f>
        <v>2022</v>
      </c>
      <c r="D54" s="1045">
        <f t="shared" si="7"/>
        <v>0.99946721611230882</v>
      </c>
      <c r="E54" s="13"/>
      <c r="F54" s="13">
        <f t="shared" si="23"/>
        <v>5</v>
      </c>
      <c r="G54" s="13">
        <f t="shared" si="24"/>
        <v>4</v>
      </c>
      <c r="H54" s="173">
        <f t="shared" si="8"/>
        <v>43150</v>
      </c>
      <c r="I54" s="742">
        <f t="shared" si="9"/>
        <v>0.7142857142857143</v>
      </c>
      <c r="J54" s="735">
        <f t="shared" si="27"/>
        <v>40.315791545568835</v>
      </c>
      <c r="L54" s="745" t="s">
        <v>216</v>
      </c>
      <c r="M54" s="729">
        <f t="shared" ref="M54:AA54" si="57">(y.2ld-y.3ld-(y.1ld-y.2ld)*D2x23Ld/D2x12Ld)/(x.2ld-x.3ld)/(1-(x.2ld+x.3ld)/(x.1ld+x.2ld))</f>
        <v>-4461.9908157244045</v>
      </c>
      <c r="N54" s="729">
        <f t="shared" si="57"/>
        <v>-2451.0525778883898</v>
      </c>
      <c r="O54" s="729">
        <f t="shared" si="57"/>
        <v>274.66926020404759</v>
      </c>
      <c r="P54" s="729">
        <f t="shared" si="57"/>
        <v>1630.4262755104369</v>
      </c>
      <c r="Q54" s="729">
        <f t="shared" si="57"/>
        <v>2607.2045408164386</v>
      </c>
      <c r="R54" s="729">
        <f t="shared" si="57"/>
        <v>1358.289872449091</v>
      </c>
      <c r="S54" s="729">
        <f t="shared" si="57"/>
        <v>923.60334183661246</v>
      </c>
      <c r="T54" s="729">
        <f t="shared" si="57"/>
        <v>543.00637755111927</v>
      </c>
      <c r="U54" s="729">
        <f t="shared" si="57"/>
        <v>543.00637755106982</v>
      </c>
      <c r="V54" s="729">
        <f t="shared" si="57"/>
        <v>1250.743954081538</v>
      </c>
      <c r="W54" s="729">
        <f t="shared" si="57"/>
        <v>1686.5561989795467</v>
      </c>
      <c r="X54" s="729">
        <f t="shared" si="57"/>
        <v>-602.93558673465839</v>
      </c>
      <c r="Y54" s="729">
        <f t="shared" si="57"/>
        <v>-3166.6393112242317</v>
      </c>
      <c r="Z54" s="729">
        <f t="shared" si="57"/>
        <v>-4499.7889457474112</v>
      </c>
      <c r="AA54" s="729">
        <f t="shared" si="57"/>
        <v>-2471.8236834546042</v>
      </c>
      <c r="AC54" s="7"/>
      <c r="AD54" s="7"/>
      <c r="AE54" s="7"/>
      <c r="AF54" s="7"/>
      <c r="AH54" s="7"/>
      <c r="AI54" s="74"/>
      <c r="AO54" s="1038">
        <v>43140</v>
      </c>
      <c r="AP54" s="13">
        <f t="shared" si="11"/>
        <v>3</v>
      </c>
      <c r="AQ54" s="13">
        <f t="shared" si="12"/>
        <v>4</v>
      </c>
      <c r="AR54" s="173">
        <f t="shared" si="13"/>
        <v>43136</v>
      </c>
      <c r="AS54" s="742">
        <f t="shared" si="14"/>
        <v>0.14285714285714285</v>
      </c>
      <c r="AT54" s="758">
        <f t="shared" si="15"/>
        <v>40.226193877495824</v>
      </c>
      <c r="AU54" s="13">
        <f t="shared" si="16"/>
        <v>3</v>
      </c>
      <c r="AV54" s="13">
        <f t="shared" si="17"/>
        <v>2</v>
      </c>
      <c r="AW54" s="173">
        <f t="shared" si="18"/>
        <v>43150</v>
      </c>
      <c r="AX54" s="742">
        <f t="shared" si="19"/>
        <v>0.35714285714285715</v>
      </c>
      <c r="AY54" s="758">
        <f t="shared" si="20"/>
        <v>40.287679404978242</v>
      </c>
      <c r="AZ54" s="735">
        <f t="shared" si="26"/>
        <v>40.256936641237033</v>
      </c>
      <c r="BA54" s="633">
        <f t="shared" si="21"/>
        <v>0.99946721611230882</v>
      </c>
      <c r="BC54" s="11">
        <v>43140</v>
      </c>
      <c r="BD54" s="289">
        <f>[2]!FeuilCaduc*(1-Persistant)+Persistant</f>
        <v>0.50076183633210347</v>
      </c>
      <c r="BE54" s="290">
        <f>[2]!CroissVégét</f>
        <v>5.4969313417339892E-3</v>
      </c>
      <c r="BF54" s="804">
        <f>1+[2]!Salcycl*Ksac</f>
        <v>1.0000761836332104</v>
      </c>
      <c r="BH54" s="1036">
        <f t="shared" si="22"/>
        <v>8.7397910647435731E-4</v>
      </c>
      <c r="BI54" s="11">
        <v>44236</v>
      </c>
      <c r="BJ54" s="715">
        <v>6.8268749891965577E-4</v>
      </c>
      <c r="BK54" s="715">
        <v>6.8268749891965566E-4</v>
      </c>
      <c r="BL54" s="715">
        <v>7.023117400156159E-4</v>
      </c>
      <c r="BM54" s="715">
        <v>7.8680809421522357E-4</v>
      </c>
      <c r="BN54" s="715">
        <v>9.6146011285694333E-4</v>
      </c>
      <c r="BO54" s="716">
        <v>1.2354457388447529E-3</v>
      </c>
      <c r="BP54" s="715">
        <v>1.663415339105458E-3</v>
      </c>
      <c r="BQ54" s="715">
        <v>2.3486183716967218E-3</v>
      </c>
      <c r="BR54" s="715">
        <v>3.5461411241583421E-3</v>
      </c>
      <c r="BS54" s="715">
        <v>5.4705001663493411E-3</v>
      </c>
      <c r="BT54" s="715">
        <v>7.9931624888735908E-3</v>
      </c>
      <c r="BW54" s="1188">
        <f>'2019'!R\Max</f>
        <v>0</v>
      </c>
      <c r="BX54" s="1188">
        <f>'2020'!R\Max</f>
        <v>0.83264759144778033</v>
      </c>
      <c r="BY54" s="1188">
        <f>'2021'!R\Max</f>
        <v>0.35457734834259391</v>
      </c>
      <c r="BZ54" s="1188">
        <f>'2022'!R\Max</f>
        <v>0.99946721611230882</v>
      </c>
      <c r="CA54" s="1188">
        <f>'2023'!R\Max</f>
        <v>0.99946720519372034</v>
      </c>
      <c r="CB54" s="1188">
        <f>'2024'!R\Max</f>
        <v>0.9994671942503961</v>
      </c>
      <c r="CC54" s="1188">
        <f>'2025'!R\Max</f>
        <v>0.99946717676797636</v>
      </c>
      <c r="CD54" s="1188">
        <f>'2026'!R\Max</f>
        <v>0.99946715923611207</v>
      </c>
      <c r="CE54" s="1189">
        <f>'2027'!R\Max</f>
        <v>0.99946723033871099</v>
      </c>
      <c r="CF54" s="1191">
        <f>'2028'!R\Max</f>
        <v>0.99946722346615713</v>
      </c>
    </row>
    <row r="55" spans="1:84" s="6" customFormat="1" ht="11.25" x14ac:dyDescent="0.2">
      <c r="A55" s="11">
        <v>43141</v>
      </c>
      <c r="B55" s="379">
        <f>'2023'!Maxi_hp</f>
        <v>37.78219486426039</v>
      </c>
      <c r="C55" s="13">
        <f>'2023'!An_max</f>
        <v>2022</v>
      </c>
      <c r="D55" s="1045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73">
        <f t="shared" si="8"/>
        <v>43150</v>
      </c>
      <c r="I55" s="742">
        <f t="shared" si="9"/>
        <v>0.6428571428571429</v>
      </c>
      <c r="J55" s="735">
        <f t="shared" si="27"/>
        <v>40.698950802029245</v>
      </c>
      <c r="L55" s="745" t="s">
        <v>217</v>
      </c>
      <c r="M55" s="729">
        <f t="shared" ref="M55:AA55" si="58">(y.1ld+y.2ld+y.3ld-a.ld*(x.3ld*x.3ld+x.2ld*x.2ld+x.1ld*x.1ld)-b.ld*(x.3ld+x.2ld+x.1ld))/3</f>
        <v>96128274.330238953</v>
      </c>
      <c r="N55" s="729">
        <f t="shared" si="58"/>
        <v>52785019.190497212</v>
      </c>
      <c r="O55" s="729">
        <f t="shared" si="58"/>
        <v>-6003343.2209558981</v>
      </c>
      <c r="P55" s="729">
        <f t="shared" si="58"/>
        <v>-35263288.047173388</v>
      </c>
      <c r="Q55" s="729">
        <f t="shared" si="58"/>
        <v>-56357789.248471804</v>
      </c>
      <c r="R55" s="729">
        <f t="shared" si="58"/>
        <v>-29368746.096928429</v>
      </c>
      <c r="S55" s="729">
        <f t="shared" si="58"/>
        <v>-19969085.543964189</v>
      </c>
      <c r="T55" s="729">
        <f t="shared" si="58"/>
        <v>-11733729.292629691</v>
      </c>
      <c r="U55" s="729">
        <f t="shared" si="58"/>
        <v>-11733729.292628622</v>
      </c>
      <c r="V55" s="729">
        <f t="shared" si="58"/>
        <v>-27067570.025112737</v>
      </c>
      <c r="W55" s="729">
        <f t="shared" si="58"/>
        <v>-36515978.509501569</v>
      </c>
      <c r="X55" s="729">
        <f t="shared" si="58"/>
        <v>13152251.118532391</v>
      </c>
      <c r="Y55" s="729">
        <f t="shared" si="58"/>
        <v>68805125.782877058</v>
      </c>
      <c r="Z55" s="729">
        <f t="shared" si="58"/>
        <v>97763799.136700526</v>
      </c>
      <c r="AA55" s="729">
        <f t="shared" si="58"/>
        <v>53683444.108204782</v>
      </c>
      <c r="AB55" s="7"/>
      <c r="AC55" s="7"/>
      <c r="AD55" s="7"/>
      <c r="AE55" s="7"/>
      <c r="AF55" s="7"/>
      <c r="AH55" s="7"/>
      <c r="AI55" s="74"/>
      <c r="AO55" s="1038">
        <v>43141</v>
      </c>
      <c r="AP55" s="13">
        <f t="shared" si="11"/>
        <v>3</v>
      </c>
      <c r="AQ55" s="13">
        <f t="shared" si="12"/>
        <v>4</v>
      </c>
      <c r="AR55" s="173">
        <f t="shared" si="13"/>
        <v>43136</v>
      </c>
      <c r="AS55" s="742">
        <f t="shared" si="14"/>
        <v>0.17857142857142858</v>
      </c>
      <c r="AT55" s="758">
        <f t="shared" si="15"/>
        <v>40.590857461799999</v>
      </c>
      <c r="AU55" s="13">
        <f t="shared" si="16"/>
        <v>3</v>
      </c>
      <c r="AV55" s="13">
        <f t="shared" si="17"/>
        <v>2</v>
      </c>
      <c r="AW55" s="173">
        <f t="shared" si="18"/>
        <v>43150</v>
      </c>
      <c r="AX55" s="742">
        <f t="shared" si="19"/>
        <v>0.32142857142857145</v>
      </c>
      <c r="AY55" s="758">
        <f t="shared" si="20"/>
        <v>40.683678155601953</v>
      </c>
      <c r="AZ55" s="735">
        <f t="shared" si="26"/>
        <v>40.637267808700976</v>
      </c>
      <c r="BA55" s="633">
        <f t="shared" si="21"/>
        <v>0.92833338746355532</v>
      </c>
      <c r="BC55" s="11">
        <v>43141</v>
      </c>
      <c r="BD55" s="289">
        <f>[2]!FeuilCaduc*(1-Persistant)+Persistant</f>
        <v>0.50089615888213179</v>
      </c>
      <c r="BE55" s="290">
        <f>[2]!CroissVégét</f>
        <v>5.7838819630590035E-3</v>
      </c>
      <c r="BF55" s="804">
        <f>1+[2]!Salcycl*Ksac</f>
        <v>1.0000896158882131</v>
      </c>
      <c r="BH55" s="1036">
        <f t="shared" si="22"/>
        <v>8.9272901587075294E-4</v>
      </c>
      <c r="BI55" s="11">
        <v>44237</v>
      </c>
      <c r="BJ55" s="715">
        <v>6.9987716881956771E-4</v>
      </c>
      <c r="BK55" s="715">
        <v>6.9987716881956782E-4</v>
      </c>
      <c r="BL55" s="715">
        <v>7.1981790228565319E-4</v>
      </c>
      <c r="BM55" s="715">
        <v>8.0531306714160195E-4</v>
      </c>
      <c r="BN55" s="715">
        <v>9.8045582975679201E-4</v>
      </c>
      <c r="BO55" s="716">
        <v>1.2511250853524311E-3</v>
      </c>
      <c r="BP55" s="715">
        <v>1.6601155193247882E-3</v>
      </c>
      <c r="BQ55" s="715">
        <v>2.3013784171185946E-3</v>
      </c>
      <c r="BR55" s="715">
        <v>3.4026798441238772E-3</v>
      </c>
      <c r="BS55" s="715">
        <v>5.1569375047134398E-3</v>
      </c>
      <c r="BT55" s="715">
        <v>7.4461069470731743E-3</v>
      </c>
      <c r="BW55" s="1188">
        <f>'2019'!R\Max</f>
        <v>0</v>
      </c>
      <c r="BX55" s="1188">
        <f>'2020'!R\Max</f>
        <v>0.23873777603526822</v>
      </c>
      <c r="BY55" s="1188">
        <f>'2021'!R\Max</f>
        <v>0.36126367242366553</v>
      </c>
      <c r="BZ55" s="1188">
        <f>'2022'!R\Max</f>
        <v>0.92833338746355532</v>
      </c>
      <c r="CA55" s="1188">
        <f>'2023'!R\Max</f>
        <v>0.92833209572279085</v>
      </c>
      <c r="CB55" s="1188">
        <f>'2024'!R\Max</f>
        <v>0.92833080100999377</v>
      </c>
      <c r="CC55" s="1188">
        <f>'2025'!R\Max</f>
        <v>0.92832877555519999</v>
      </c>
      <c r="CD55" s="1188">
        <f>'2026'!R\Max</f>
        <v>0.92832674419894112</v>
      </c>
      <c r="CE55" s="1189">
        <f>'2027'!R\Max</f>
        <v>0.92833512776367111</v>
      </c>
      <c r="CF55" s="1191">
        <f>'2028'!R\Max</f>
        <v>0.92833428679151098</v>
      </c>
    </row>
    <row r="56" spans="1:84" s="6" customFormat="1" ht="11.25" x14ac:dyDescent="0.2">
      <c r="A56" s="11">
        <v>43142</v>
      </c>
      <c r="B56" s="379">
        <f>'2023'!Maxi_hp</f>
        <v>35.249540811228528</v>
      </c>
      <c r="C56" s="13">
        <f>'2023'!An_max</f>
        <v>2021</v>
      </c>
      <c r="D56" s="1045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73">
        <f t="shared" si="8"/>
        <v>43150</v>
      </c>
      <c r="I56" s="742">
        <f t="shared" si="9"/>
        <v>0.5714285714285714</v>
      </c>
      <c r="J56" s="735">
        <f t="shared" si="27"/>
        <v>41.083402332663539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38">
        <v>43142</v>
      </c>
      <c r="AP56" s="13">
        <f t="shared" si="11"/>
        <v>3</v>
      </c>
      <c r="AQ56" s="13">
        <f t="shared" si="12"/>
        <v>4</v>
      </c>
      <c r="AR56" s="173">
        <f t="shared" si="13"/>
        <v>43136</v>
      </c>
      <c r="AS56" s="742">
        <f t="shared" si="14"/>
        <v>0.21428571428571427</v>
      </c>
      <c r="AT56" s="758">
        <f t="shared" si="15"/>
        <v>40.958913265368238</v>
      </c>
      <c r="AU56" s="13">
        <f t="shared" si="16"/>
        <v>3</v>
      </c>
      <c r="AV56" s="13">
        <f t="shared" si="17"/>
        <v>2</v>
      </c>
      <c r="AW56" s="173">
        <f t="shared" si="18"/>
        <v>43150</v>
      </c>
      <c r="AX56" s="742">
        <f t="shared" si="19"/>
        <v>0.2857142857142857</v>
      </c>
      <c r="AY56" s="758">
        <f t="shared" si="20"/>
        <v>41.078823041649805</v>
      </c>
      <c r="AZ56" s="735">
        <f t="shared" si="26"/>
        <v>41.018868153509018</v>
      </c>
      <c r="BA56" s="633">
        <f t="shared" si="21"/>
        <v>0.8579995523691869</v>
      </c>
      <c r="BC56" s="11">
        <v>43142</v>
      </c>
      <c r="BD56" s="289">
        <f>[2]!FeuilCaduc*(1-Persistant)+Persistant</f>
        <v>0.50103718963853894</v>
      </c>
      <c r="BE56" s="290">
        <f>[2]!CroissVégét</f>
        <v>6.0826946947814143E-3</v>
      </c>
      <c r="BF56" s="804">
        <f>1+[2]!Salcycl*Ksac</f>
        <v>1.000103718963854</v>
      </c>
      <c r="BH56" s="1036">
        <f t="shared" si="22"/>
        <v>9.0990041682887713E-4</v>
      </c>
      <c r="BI56" s="11">
        <v>44238</v>
      </c>
      <c r="BJ56" s="715">
        <v>7.1554171663356151E-4</v>
      </c>
      <c r="BK56" s="715">
        <v>7.1554171663356161E-4</v>
      </c>
      <c r="BL56" s="715">
        <v>7.3577764198773214E-4</v>
      </c>
      <c r="BM56" s="715">
        <v>8.2218511962300379E-4</v>
      </c>
      <c r="BN56" s="715">
        <v>9.979276437229118E-4</v>
      </c>
      <c r="BO56" s="716">
        <v>1.2661885455208485E-3</v>
      </c>
      <c r="BP56" s="715">
        <v>1.6597843277298798E-3</v>
      </c>
      <c r="BQ56" s="715">
        <v>2.2645590782010409E-3</v>
      </c>
      <c r="BR56" s="715">
        <v>3.2826439858119629E-3</v>
      </c>
      <c r="BS56" s="715">
        <v>4.8889750791706278E-3</v>
      </c>
      <c r="BT56" s="715">
        <v>6.9745447762424671E-3</v>
      </c>
      <c r="BW56" s="1188">
        <f>'2019'!R\Max</f>
        <v>0</v>
      </c>
      <c r="BX56" s="1188">
        <f>'2020'!R\Max</f>
        <v>0.21233265580613567</v>
      </c>
      <c r="BY56" s="1188">
        <f>'2021'!R\Max</f>
        <v>0.8579995523691869</v>
      </c>
      <c r="BZ56" s="1188">
        <f>'2022'!R\Max</f>
        <v>0.45458884472051131</v>
      </c>
      <c r="CA56" s="1188">
        <f>'2023'!R\Max</f>
        <v>0.45458425411976061</v>
      </c>
      <c r="CB56" s="1188">
        <f>'2024'!R\Max</f>
        <v>0.45457965288437802</v>
      </c>
      <c r="CC56" s="1188">
        <f>'2025'!R\Max</f>
        <v>0.45457259916165871</v>
      </c>
      <c r="CD56" s="1188">
        <f>'2026'!R\Max</f>
        <v>0.45456552461582378</v>
      </c>
      <c r="CE56" s="1189">
        <f>'2027'!R\Max</f>
        <v>0.45459521563998684</v>
      </c>
      <c r="CF56" s="1191">
        <f>'2028'!R\Max</f>
        <v>0.45459213615631505</v>
      </c>
    </row>
    <row r="57" spans="1:84" s="6" customFormat="1" ht="11.25" x14ac:dyDescent="0.2">
      <c r="A57" s="11">
        <v>43143</v>
      </c>
      <c r="B57" s="379">
        <f>'2023'!Maxi_hp</f>
        <v>30.36203542631517</v>
      </c>
      <c r="C57" s="13">
        <f>'2023'!An_max</f>
        <v>2022</v>
      </c>
      <c r="D57" s="1045" t="str">
        <f t="shared" si="7"/>
        <v/>
      </c>
      <c r="E57" s="13"/>
      <c r="F57" s="13">
        <f t="shared" si="23"/>
        <v>5</v>
      </c>
      <c r="G57" s="13">
        <f t="shared" si="24"/>
        <v>4</v>
      </c>
      <c r="H57" s="173">
        <f t="shared" si="8"/>
        <v>43150</v>
      </c>
      <c r="I57" s="742">
        <f t="shared" si="9"/>
        <v>0.5</v>
      </c>
      <c r="J57" s="735">
        <f t="shared" si="27"/>
        <v>41.468500000238421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38">
        <v>43143</v>
      </c>
      <c r="AP57" s="13">
        <f t="shared" si="11"/>
        <v>3</v>
      </c>
      <c r="AQ57" s="13">
        <f t="shared" si="12"/>
        <v>4</v>
      </c>
      <c r="AR57" s="173">
        <f t="shared" si="13"/>
        <v>43136</v>
      </c>
      <c r="AS57" s="742">
        <f t="shared" si="14"/>
        <v>0.25</v>
      </c>
      <c r="AT57" s="758">
        <f t="shared" si="15"/>
        <v>41.329984375182541</v>
      </c>
      <c r="AU57" s="13">
        <f t="shared" si="16"/>
        <v>3</v>
      </c>
      <c r="AV57" s="13">
        <f t="shared" si="17"/>
        <v>2</v>
      </c>
      <c r="AW57" s="173">
        <f t="shared" si="18"/>
        <v>43150</v>
      </c>
      <c r="AX57" s="742">
        <f t="shared" si="19"/>
        <v>0.25</v>
      </c>
      <c r="AY57" s="758">
        <f t="shared" si="20"/>
        <v>41.472437039134093</v>
      </c>
      <c r="AZ57" s="735">
        <f t="shared" si="26"/>
        <v>41.401210707158313</v>
      </c>
      <c r="BA57" s="633">
        <f t="shared" si="21"/>
        <v>0.73217105576861008</v>
      </c>
      <c r="BC57" s="11">
        <v>43143</v>
      </c>
      <c r="BD57" s="289">
        <f>[2]!FeuilCaduc*(1-Persistant)+Persistant</f>
        <v>0.50118380485851821</v>
      </c>
      <c r="BE57" s="290">
        <f>[2]!CroissVégét</f>
        <v>6.3938522678270975E-3</v>
      </c>
      <c r="BF57" s="804">
        <f>1+[2]!Salcycl*Ksac</f>
        <v>1.0001183804858518</v>
      </c>
      <c r="BH57" s="1036">
        <f t="shared" si="22"/>
        <v>9.2549490292601977E-4</v>
      </c>
      <c r="BI57" s="11">
        <v>44239</v>
      </c>
      <c r="BJ57" s="715">
        <v>7.2968247539757737E-4</v>
      </c>
      <c r="BK57" s="715">
        <v>7.2968247539757737E-4</v>
      </c>
      <c r="BL57" s="715">
        <v>7.5019232375246462E-4</v>
      </c>
      <c r="BM57" s="715">
        <v>8.3742574928951025E-4</v>
      </c>
      <c r="BN57" s="715">
        <v>1.0138772446210041E-3</v>
      </c>
      <c r="BO57" s="716">
        <v>1.2806378988288374E-3</v>
      </c>
      <c r="BP57" s="715">
        <v>1.6624230525799633E-3</v>
      </c>
      <c r="BQ57" s="715">
        <v>2.2381603454653199E-3</v>
      </c>
      <c r="BR57" s="715">
        <v>3.186031187472781E-3</v>
      </c>
      <c r="BS57" s="715">
        <v>4.6666063422380081E-3</v>
      </c>
      <c r="BT57" s="715">
        <v>6.5784636775577726E-3</v>
      </c>
      <c r="BW57" s="1188">
        <f>'2019'!R\Max</f>
        <v>0</v>
      </c>
      <c r="BX57" s="1188">
        <f>'2020'!R\Max</f>
        <v>0.51124599684341221</v>
      </c>
      <c r="BY57" s="1188">
        <f>'2021'!R\Max</f>
        <v>0.12841637936377759</v>
      </c>
      <c r="BZ57" s="1188">
        <f>'2022'!R\Max</f>
        <v>0.73217105576861008</v>
      </c>
      <c r="CA57" s="1188">
        <f>'2023'!R\Max</f>
        <v>0.7321675656308595</v>
      </c>
      <c r="CB57" s="1188">
        <f>'2024'!R\Max</f>
        <v>0.73216406725106553</v>
      </c>
      <c r="CC57" s="1188">
        <f>'2025'!R\Max</f>
        <v>0.73215880389236432</v>
      </c>
      <c r="CD57" s="1188">
        <f>'2026'!R\Max</f>
        <v>0.73215352470099193</v>
      </c>
      <c r="CE57" s="1189">
        <f>'2027'!R\Max</f>
        <v>0.73217602221308198</v>
      </c>
      <c r="CF57" s="1191">
        <f>'2028'!R\Max</f>
        <v>0.73217362109068884</v>
      </c>
    </row>
    <row r="58" spans="1:84" s="6" customFormat="1" ht="11.25" x14ac:dyDescent="0.2">
      <c r="A58" s="11">
        <v>43144</v>
      </c>
      <c r="B58" s="379">
        <f>'2023'!Maxi_hp</f>
        <v>37.811432491234164</v>
      </c>
      <c r="C58" s="13">
        <f>'2023'!An_max</f>
        <v>2022</v>
      </c>
      <c r="D58" s="1045" t="str">
        <f t="shared" si="7"/>
        <v/>
      </c>
      <c r="E58" s="13"/>
      <c r="F58" s="13">
        <f t="shared" si="23"/>
        <v>5</v>
      </c>
      <c r="G58" s="13">
        <f t="shared" si="24"/>
        <v>4</v>
      </c>
      <c r="H58" s="173">
        <f t="shared" si="8"/>
        <v>43150</v>
      </c>
      <c r="I58" s="742">
        <f t="shared" si="9"/>
        <v>0.42857142857142855</v>
      </c>
      <c r="J58" s="735">
        <f t="shared" si="27"/>
        <v>41.853597667786687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38">
        <v>43144</v>
      </c>
      <c r="AP58" s="13">
        <f t="shared" si="11"/>
        <v>3</v>
      </c>
      <c r="AQ58" s="13">
        <f t="shared" si="12"/>
        <v>4</v>
      </c>
      <c r="AR58" s="173">
        <f t="shared" si="13"/>
        <v>43136</v>
      </c>
      <c r="AS58" s="742">
        <f t="shared" si="14"/>
        <v>0.2857142857142857</v>
      </c>
      <c r="AT58" s="758">
        <f t="shared" si="15"/>
        <v>41.703693877533077</v>
      </c>
      <c r="AU58" s="13">
        <f t="shared" si="16"/>
        <v>3</v>
      </c>
      <c r="AV58" s="13">
        <f t="shared" si="17"/>
        <v>2</v>
      </c>
      <c r="AW58" s="173">
        <f t="shared" si="18"/>
        <v>43150</v>
      </c>
      <c r="AX58" s="742">
        <f t="shared" si="19"/>
        <v>0.21428571428571427</v>
      </c>
      <c r="AY58" s="758">
        <f t="shared" si="20"/>
        <v>41.863843122384111</v>
      </c>
      <c r="AZ58" s="735">
        <f t="shared" si="26"/>
        <v>41.783768499958597</v>
      </c>
      <c r="BA58" s="633">
        <f t="shared" si="21"/>
        <v>0.90342132094265237</v>
      </c>
      <c r="BC58" s="11">
        <v>43144</v>
      </c>
      <c r="BD58" s="289">
        <f>[2]!FeuilCaduc*(1-Persistant)+Persistant</f>
        <v>0.50133488110675972</v>
      </c>
      <c r="BE58" s="290">
        <f>[2]!CroissVégét</f>
        <v>6.7178564099054624E-3</v>
      </c>
      <c r="BF58" s="804">
        <f>1+[2]!Salcycl*Ksac</f>
        <v>1.000133488110676</v>
      </c>
      <c r="BH58" s="1036">
        <f t="shared" si="22"/>
        <v>9.4050002468064429E-4</v>
      </c>
      <c r="BI58" s="11">
        <v>44240</v>
      </c>
      <c r="BJ58" s="715">
        <v>7.4338261698888154E-4</v>
      </c>
      <c r="BK58" s="715">
        <v>7.4338261698888165E-4</v>
      </c>
      <c r="BL58" s="715">
        <v>7.6413608859060274E-4</v>
      </c>
      <c r="BM58" s="715">
        <v>8.5207025311632555E-4</v>
      </c>
      <c r="BN58" s="715">
        <v>1.0292442667187219E-3</v>
      </c>
      <c r="BO58" s="716">
        <v>1.2951599887086088E-3</v>
      </c>
      <c r="BP58" s="715">
        <v>1.6681563011940665E-3</v>
      </c>
      <c r="BQ58" s="715">
        <v>2.2214271333753943E-3</v>
      </c>
      <c r="BR58" s="715">
        <v>3.1116370517835432E-3</v>
      </c>
      <c r="BS58" s="715">
        <v>4.4884576094310537E-3</v>
      </c>
      <c r="BT58" s="715">
        <v>6.2566357209649552E-3</v>
      </c>
      <c r="BW58" s="1188">
        <f>'2019'!R\Max</f>
        <v>0</v>
      </c>
      <c r="BX58" s="1188">
        <f>'2020'!R\Max</f>
        <v>0.43207096184344645</v>
      </c>
      <c r="BY58" s="1188">
        <f>'2021'!R\Max</f>
        <v>0.19443933797067944</v>
      </c>
      <c r="BZ58" s="1188">
        <f>'2022'!R\Max</f>
        <v>0.90342132094265237</v>
      </c>
      <c r="CA58" s="1188">
        <f>'2023'!R\Max</f>
        <v>0.9034198172913197</v>
      </c>
      <c r="CB58" s="1188">
        <f>'2024'!R\Max</f>
        <v>0.90341831001695494</v>
      </c>
      <c r="CC58" s="1188">
        <f>'2025'!R\Max</f>
        <v>0.90341607952505598</v>
      </c>
      <c r="CD58" s="1188">
        <f>'2026'!R\Max</f>
        <v>0.90341384225123256</v>
      </c>
      <c r="CE58" s="1189">
        <f>'2027'!R\Max</f>
        <v>0.90342350444331987</v>
      </c>
      <c r="CF58" s="1191">
        <f>'2028'!R\Max</f>
        <v>0.90342244860900578</v>
      </c>
    </row>
    <row r="59" spans="1:84" s="6" customFormat="1" ht="11.25" x14ac:dyDescent="0.2">
      <c r="A59" s="11">
        <v>43145</v>
      </c>
      <c r="B59" s="379">
        <f>'2023'!Maxi_hp</f>
        <v>40.693105086860676</v>
      </c>
      <c r="C59" s="13">
        <f>'2023'!An_max</f>
        <v>2021</v>
      </c>
      <c r="D59" s="1045" t="str">
        <f t="shared" si="7"/>
        <v/>
      </c>
      <c r="E59" s="13"/>
      <c r="F59" s="13">
        <f t="shared" si="23"/>
        <v>5</v>
      </c>
      <c r="G59" s="13">
        <f t="shared" si="24"/>
        <v>4</v>
      </c>
      <c r="H59" s="173">
        <f t="shared" si="8"/>
        <v>43150</v>
      </c>
      <c r="I59" s="742">
        <f t="shared" si="9"/>
        <v>0.35714285714285715</v>
      </c>
      <c r="J59" s="735">
        <f t="shared" si="27"/>
        <v>42.238049198500811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38">
        <v>43145</v>
      </c>
      <c r="AP59" s="13">
        <f t="shared" si="11"/>
        <v>3</v>
      </c>
      <c r="AQ59" s="13">
        <f t="shared" si="12"/>
        <v>4</v>
      </c>
      <c r="AR59" s="173">
        <f t="shared" si="13"/>
        <v>43136</v>
      </c>
      <c r="AS59" s="742">
        <f t="shared" si="14"/>
        <v>0.32142857142857145</v>
      </c>
      <c r="AT59" s="758">
        <f t="shared" si="15"/>
        <v>42.079664859854219</v>
      </c>
      <c r="AU59" s="13">
        <f t="shared" si="16"/>
        <v>3</v>
      </c>
      <c r="AV59" s="13">
        <f t="shared" si="17"/>
        <v>2</v>
      </c>
      <c r="AW59" s="173">
        <f t="shared" si="18"/>
        <v>43150</v>
      </c>
      <c r="AX59" s="742">
        <f t="shared" si="19"/>
        <v>0.17857142857142858</v>
      </c>
      <c r="AY59" s="758">
        <f t="shared" si="20"/>
        <v>42.252364265004033</v>
      </c>
      <c r="AZ59" s="735">
        <f t="shared" si="26"/>
        <v>42.166014562429126</v>
      </c>
      <c r="BA59" s="633">
        <f t="shared" si="21"/>
        <v>0.96342292930292406</v>
      </c>
      <c r="BC59" s="11">
        <v>43145</v>
      </c>
      <c r="BD59" s="289">
        <f>[2]!FeuilCaduc*(1-Persistant)+Persistant</f>
        <v>0.50148931065168578</v>
      </c>
      <c r="BE59" s="290">
        <f>[2]!CroissVégét</f>
        <v>7.0552285378688686E-3</v>
      </c>
      <c r="BF59" s="804">
        <f>1+[2]!Salcycl*Ksac</f>
        <v>1.0001489310651686</v>
      </c>
      <c r="BH59" s="1036">
        <f t="shared" si="22"/>
        <v>9.5454407620406572E-4</v>
      </c>
      <c r="BI59" s="11">
        <v>44241</v>
      </c>
      <c r="BJ59" s="715">
        <v>7.5665769956102954E-4</v>
      </c>
      <c r="BK59" s="715">
        <v>7.5665769956102943E-4</v>
      </c>
      <c r="BL59" s="715">
        <v>7.7759301509840617E-4</v>
      </c>
      <c r="BM59" s="715">
        <v>8.6598590196581518E-4</v>
      </c>
      <c r="BN59" s="715">
        <v>1.0434171775366113E-3</v>
      </c>
      <c r="BO59" s="716">
        <v>1.3079601968305754E-3</v>
      </c>
      <c r="BP59" s="715">
        <v>1.6721878681063608E-3</v>
      </c>
      <c r="BQ59" s="715">
        <v>2.2038389482521652E-3</v>
      </c>
      <c r="BR59" s="715">
        <v>3.03985111064438E-3</v>
      </c>
      <c r="BS59" s="715">
        <v>4.3198957470905281E-3</v>
      </c>
      <c r="BT59" s="715">
        <v>5.9546532833290571E-3</v>
      </c>
      <c r="BW59" s="1188">
        <f>'2019'!R\Max</f>
        <v>0</v>
      </c>
      <c r="BX59" s="1188">
        <f>'2020'!R\Max</f>
        <v>0.79799313952718443</v>
      </c>
      <c r="BY59" s="1188">
        <f>'2021'!R\Max</f>
        <v>0.96342292930292406</v>
      </c>
      <c r="BZ59" s="1188">
        <f>'2022'!R\Max</f>
        <v>0.39399569244881016</v>
      </c>
      <c r="CA59" s="1188">
        <f>'2023'!R\Max</f>
        <v>0.39399170981911946</v>
      </c>
      <c r="CB59" s="1188">
        <f>'2024'!R\Max</f>
        <v>0.39398771751174816</v>
      </c>
      <c r="CC59" s="1188">
        <f>'2025'!R\Max</f>
        <v>0.39398190415827122</v>
      </c>
      <c r="CD59" s="1188">
        <f>'2026'!R\Max</f>
        <v>0.39397607320858463</v>
      </c>
      <c r="CE59" s="1189">
        <f>'2027'!R\Max</f>
        <v>0.39400158543536762</v>
      </c>
      <c r="CF59" s="1191">
        <f>'2028'!R\Max</f>
        <v>0.39399873539099972</v>
      </c>
    </row>
    <row r="60" spans="1:84" s="6" customFormat="1" ht="11.25" x14ac:dyDescent="0.2">
      <c r="A60" s="11">
        <v>43146</v>
      </c>
      <c r="B60" s="379">
        <f>'2023'!Maxi_hp</f>
        <v>42.120737329566786</v>
      </c>
      <c r="C60" s="13">
        <f>'2023'!An_max</f>
        <v>2020</v>
      </c>
      <c r="D60" s="1045">
        <f t="shared" si="7"/>
        <v>0.98825769743120306</v>
      </c>
      <c r="E60" s="13"/>
      <c r="F60" s="13">
        <f t="shared" si="23"/>
        <v>5</v>
      </c>
      <c r="G60" s="13">
        <f t="shared" si="24"/>
        <v>4</v>
      </c>
      <c r="H60" s="173">
        <f t="shared" si="8"/>
        <v>43150</v>
      </c>
      <c r="I60" s="742">
        <f t="shared" si="9"/>
        <v>0.2857142857142857</v>
      </c>
      <c r="J60" s="735">
        <f t="shared" si="27"/>
        <v>42.621208455094269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38">
        <v>43146</v>
      </c>
      <c r="AP60" s="13">
        <f t="shared" si="11"/>
        <v>3</v>
      </c>
      <c r="AQ60" s="13">
        <f t="shared" si="12"/>
        <v>4</v>
      </c>
      <c r="AR60" s="173">
        <f t="shared" si="13"/>
        <v>43136</v>
      </c>
      <c r="AS60" s="742">
        <f t="shared" si="14"/>
        <v>0.35714285714285715</v>
      </c>
      <c r="AT60" s="758">
        <f t="shared" si="15"/>
        <v>42.457520408196636</v>
      </c>
      <c r="AU60" s="13">
        <f t="shared" si="16"/>
        <v>3</v>
      </c>
      <c r="AV60" s="13">
        <f t="shared" si="17"/>
        <v>2</v>
      </c>
      <c r="AW60" s="173">
        <f t="shared" si="18"/>
        <v>43150</v>
      </c>
      <c r="AX60" s="742">
        <f t="shared" si="19"/>
        <v>0.14285714285714285</v>
      </c>
      <c r="AY60" s="758">
        <f t="shared" si="20"/>
        <v>42.637323443378719</v>
      </c>
      <c r="AZ60" s="735">
        <f t="shared" si="26"/>
        <v>42.547421925787674</v>
      </c>
      <c r="BA60" s="633">
        <f t="shared" si="21"/>
        <v>0.98825769743120306</v>
      </c>
      <c r="BC60" s="11">
        <v>43146</v>
      </c>
      <c r="BD60" s="289">
        <f>[2]!FeuilCaduc*(1-Persistant)+Persistant</f>
        <v>0.50164601709951107</v>
      </c>
      <c r="BE60" s="290">
        <f>[2]!CroissVégét</f>
        <v>7.4065104705297478E-3</v>
      </c>
      <c r="BF60" s="804">
        <f>1+[2]!Salcycl*Ksac</f>
        <v>1.000164601709951</v>
      </c>
      <c r="BH60" s="1036">
        <f t="shared" si="22"/>
        <v>9.6762867263707831E-4</v>
      </c>
      <c r="BI60" s="11">
        <v>44242</v>
      </c>
      <c r="BJ60" s="715">
        <v>7.6950895108873502E-4</v>
      </c>
      <c r="BK60" s="715">
        <v>7.6950895108873513E-4</v>
      </c>
      <c r="BL60" s="715">
        <v>7.905643747722524E-4</v>
      </c>
      <c r="BM60" s="715">
        <v>8.7917414243715477E-4</v>
      </c>
      <c r="BN60" s="715">
        <v>1.0563977613564461E-3</v>
      </c>
      <c r="BO60" s="716">
        <v>1.3190407476079769E-3</v>
      </c>
      <c r="BP60" s="715">
        <v>1.6745203123053277E-3</v>
      </c>
      <c r="BQ60" s="715">
        <v>2.1853985231913725E-3</v>
      </c>
      <c r="BR60" s="715">
        <v>2.9706755886769729E-3</v>
      </c>
      <c r="BS60" s="715">
        <v>4.16092161417331E-3</v>
      </c>
      <c r="BT60" s="715">
        <v>5.6725150246645078E-3</v>
      </c>
      <c r="BW60" s="1188">
        <f>'2019'!R\Max</f>
        <v>0</v>
      </c>
      <c r="BX60" s="1188">
        <f>'2020'!R\Max</f>
        <v>0.98825769743120306</v>
      </c>
      <c r="BY60" s="1188">
        <f>'2021'!R\Max</f>
        <v>0.91505767317999598</v>
      </c>
      <c r="BZ60" s="1188">
        <f>'2022'!R\Max</f>
        <v>0.49645536564369325</v>
      </c>
      <c r="CA60" s="1188">
        <f>'2023'!R\Max</f>
        <v>0.49645133126164409</v>
      </c>
      <c r="CB60" s="1188">
        <f>'2024'!R\Max</f>
        <v>0.49644728692320073</v>
      </c>
      <c r="CC60" s="1188">
        <f>'2025'!R\Max</f>
        <v>0.49644148882081618</v>
      </c>
      <c r="CD60" s="1188">
        <f>'2026'!R\Max</f>
        <v>0.49643567313067111</v>
      </c>
      <c r="CE60" s="1189">
        <f>'2027'!R\Max</f>
        <v>0.49646143904283202</v>
      </c>
      <c r="CF60" s="1191">
        <f>'2028'!R\Max</f>
        <v>0.49645850129470026</v>
      </c>
    </row>
    <row r="61" spans="1:84" s="6" customFormat="1" ht="11.25" x14ac:dyDescent="0.2">
      <c r="A61" s="11">
        <v>43147</v>
      </c>
      <c r="B61" s="379">
        <f>'2023'!Maxi_hp</f>
        <v>34.417893598161328</v>
      </c>
      <c r="C61" s="13">
        <f>'2023'!An_max</f>
        <v>2021</v>
      </c>
      <c r="D61" s="1045" t="str">
        <f t="shared" si="7"/>
        <v/>
      </c>
      <c r="E61" s="13"/>
      <c r="F61" s="13">
        <f t="shared" si="23"/>
        <v>5</v>
      </c>
      <c r="G61" s="13">
        <f t="shared" si="24"/>
        <v>4</v>
      </c>
      <c r="H61" s="173">
        <f t="shared" si="8"/>
        <v>43150</v>
      </c>
      <c r="I61" s="742">
        <f t="shared" si="9"/>
        <v>0.21428571428571427</v>
      </c>
      <c r="J61" s="735">
        <f t="shared" si="27"/>
        <v>43.002429300307156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38">
        <v>43147</v>
      </c>
      <c r="AP61" s="13">
        <f t="shared" si="11"/>
        <v>3</v>
      </c>
      <c r="AQ61" s="13">
        <f t="shared" si="12"/>
        <v>4</v>
      </c>
      <c r="AR61" s="173">
        <f t="shared" si="13"/>
        <v>43136</v>
      </c>
      <c r="AS61" s="742">
        <f t="shared" si="14"/>
        <v>0.39285714285714285</v>
      </c>
      <c r="AT61" s="758">
        <f t="shared" si="15"/>
        <v>42.836883609795144</v>
      </c>
      <c r="AU61" s="13">
        <f t="shared" si="16"/>
        <v>3</v>
      </c>
      <c r="AV61" s="13">
        <f t="shared" si="17"/>
        <v>2</v>
      </c>
      <c r="AW61" s="173">
        <f t="shared" si="18"/>
        <v>43150</v>
      </c>
      <c r="AX61" s="742">
        <f t="shared" si="19"/>
        <v>0.10714285714285714</v>
      </c>
      <c r="AY61" s="758">
        <f t="shared" si="20"/>
        <v>43.018043630939381</v>
      </c>
      <c r="AZ61" s="735">
        <f t="shared" si="26"/>
        <v>42.927463620367263</v>
      </c>
      <c r="BA61" s="633">
        <f t="shared" si="21"/>
        <v>0.80037091295015483</v>
      </c>
      <c r="BC61" s="11">
        <v>43147</v>
      </c>
      <c r="BD61" s="289">
        <f>[2]!FeuilCaduc*(1-Persistant)+Persistant</f>
        <v>0.50180397109796426</v>
      </c>
      <c r="BE61" s="290">
        <f>[2]!CroissVégét</f>
        <v>7.7722651621059055E-3</v>
      </c>
      <c r="BF61" s="804">
        <f>1+[2]!Salcycl*Ksac</f>
        <v>1.0001803971097964</v>
      </c>
      <c r="BH61" s="1036">
        <f t="shared" si="22"/>
        <v>9.7975546678049264E-4</v>
      </c>
      <c r="BI61" s="11">
        <v>44243</v>
      </c>
      <c r="BJ61" s="715">
        <v>7.8193765168805326E-4</v>
      </c>
      <c r="BK61" s="715">
        <v>7.8193765168805326E-4</v>
      </c>
      <c r="BL61" s="715">
        <v>8.0305149004740711E-4</v>
      </c>
      <c r="BM61" s="715">
        <v>8.9163646608849724E-4</v>
      </c>
      <c r="BN61" s="715">
        <v>1.0681878327951002E-3</v>
      </c>
      <c r="BO61" s="716">
        <v>1.3284038708755242E-3</v>
      </c>
      <c r="BP61" s="715">
        <v>1.6751561550473392E-3</v>
      </c>
      <c r="BQ61" s="715">
        <v>2.1661084743982567E-3</v>
      </c>
      <c r="BR61" s="715">
        <v>2.9041124410288197E-3</v>
      </c>
      <c r="BS61" s="715">
        <v>4.0115355549161236E-3</v>
      </c>
      <c r="BT61" s="715">
        <v>5.4102187739886801E-3</v>
      </c>
      <c r="BW61" s="1188">
        <f>'2019'!R\Max</f>
        <v>0</v>
      </c>
      <c r="BX61" s="1188">
        <f>'2020'!R\Max</f>
        <v>0.59986969395336198</v>
      </c>
      <c r="BY61" s="1188">
        <f>'2021'!R\Max</f>
        <v>0.80037091295015483</v>
      </c>
      <c r="BZ61" s="1188">
        <f>'2022'!R\Max</f>
        <v>0.22172692910704223</v>
      </c>
      <c r="CA61" s="1188">
        <f>'2023'!R\Max</f>
        <v>0.22172450667198626</v>
      </c>
      <c r="CB61" s="1188">
        <f>'2024'!R\Max</f>
        <v>0.22172207819604181</v>
      </c>
      <c r="CC61" s="1188">
        <f>'2025'!R\Max</f>
        <v>0.22171864836972641</v>
      </c>
      <c r="CD61" s="1188">
        <f>'2026'!R\Max</f>
        <v>0.22171520819435472</v>
      </c>
      <c r="CE61" s="1189">
        <f>'2027'!R\Max</f>
        <v>0.22173063365229384</v>
      </c>
      <c r="CF61" s="1191">
        <f>'2028'!R\Max</f>
        <v>0.22172884147052313</v>
      </c>
    </row>
    <row r="62" spans="1:84" s="6" customFormat="1" ht="11.25" x14ac:dyDescent="0.2">
      <c r="A62" s="11">
        <v>43148</v>
      </c>
      <c r="B62" s="379">
        <f>'2023'!Maxi_hp</f>
        <v>38.835369308971607</v>
      </c>
      <c r="C62" s="13">
        <f>'2023'!An_max</f>
        <v>2021</v>
      </c>
      <c r="D62" s="1045" t="str">
        <f t="shared" si="7"/>
        <v/>
      </c>
      <c r="E62" s="13"/>
      <c r="F62" s="13">
        <f t="shared" si="23"/>
        <v>5</v>
      </c>
      <c r="G62" s="13">
        <f t="shared" si="24"/>
        <v>4</v>
      </c>
      <c r="H62" s="173">
        <f t="shared" si="8"/>
        <v>43150</v>
      </c>
      <c r="I62" s="742">
        <f t="shared" si="9"/>
        <v>0.14285714285714285</v>
      </c>
      <c r="J62" s="735">
        <f t="shared" si="27"/>
        <v>43.381065597943959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38">
        <v>43148</v>
      </c>
      <c r="AP62" s="13">
        <f t="shared" si="11"/>
        <v>3</v>
      </c>
      <c r="AQ62" s="13">
        <f t="shared" si="12"/>
        <v>4</v>
      </c>
      <c r="AR62" s="173">
        <f t="shared" si="13"/>
        <v>43136</v>
      </c>
      <c r="AS62" s="742">
        <f t="shared" si="14"/>
        <v>0.42857142857142855</v>
      </c>
      <c r="AT62" s="758">
        <f t="shared" si="15"/>
        <v>43.217377551006415</v>
      </c>
      <c r="AU62" s="13">
        <f t="shared" si="16"/>
        <v>3</v>
      </c>
      <c r="AV62" s="13">
        <f t="shared" si="17"/>
        <v>2</v>
      </c>
      <c r="AW62" s="173">
        <f t="shared" si="18"/>
        <v>43150</v>
      </c>
      <c r="AX62" s="742">
        <f t="shared" si="19"/>
        <v>7.1428571428571425E-2</v>
      </c>
      <c r="AY62" s="758">
        <f t="shared" si="20"/>
        <v>43.393847803265928</v>
      </c>
      <c r="AZ62" s="735">
        <f t="shared" si="26"/>
        <v>43.305612677136168</v>
      </c>
      <c r="BA62" s="633">
        <f t="shared" si="21"/>
        <v>0.89521473881942182</v>
      </c>
      <c r="BC62" s="11">
        <v>43148</v>
      </c>
      <c r="BD62" s="289">
        <f>[2]!FeuilCaduc*(1-Persistant)+Persistant</f>
        <v>0.5019622059444524</v>
      </c>
      <c r="BE62" s="290">
        <f>[2]!CroissVégét</f>
        <v>8.1530774564185747E-3</v>
      </c>
      <c r="BF62" s="804">
        <f>1+[2]!Salcycl*Ksac</f>
        <v>1.0001962205944452</v>
      </c>
      <c r="BH62" s="1036">
        <f t="shared" si="22"/>
        <v>9.9092613705836687E-4</v>
      </c>
      <c r="BI62" s="11">
        <v>44244</v>
      </c>
      <c r="BJ62" s="715">
        <v>7.9394512829334524E-4</v>
      </c>
      <c r="BK62" s="715">
        <v>7.9394512829334535E-4</v>
      </c>
      <c r="BL62" s="715">
        <v>8.1505572820146123E-4</v>
      </c>
      <c r="BM62" s="715">
        <v>9.0337440030934023E-4</v>
      </c>
      <c r="BN62" s="715">
        <v>1.0787892218482944E-3</v>
      </c>
      <c r="BO62" s="716">
        <v>1.3360517803151022E-3</v>
      </c>
      <c r="BP62" s="715">
        <v>1.6740978585008089E-3</v>
      </c>
      <c r="BQ62" s="715">
        <v>2.1459712903573579E-3</v>
      </c>
      <c r="BR62" s="715">
        <v>2.8401633857248771E-3</v>
      </c>
      <c r="BS62" s="715">
        <v>3.8717375182473115E-3</v>
      </c>
      <c r="BT62" s="715">
        <v>5.1677617767414055E-3</v>
      </c>
      <c r="BW62" s="1188">
        <f>'2019'!R\Max</f>
        <v>0</v>
      </c>
      <c r="BX62" s="1188">
        <f>'2020'!R\Max</f>
        <v>0.14139489749708894</v>
      </c>
      <c r="BY62" s="1188">
        <f>'2021'!R\Max</f>
        <v>0.89521473881942182</v>
      </c>
      <c r="BZ62" s="1188">
        <f>'2022'!R\Max</f>
        <v>0.27723250229646823</v>
      </c>
      <c r="CA62" s="1188">
        <f>'2023'!R\Max</f>
        <v>0.27722957434454154</v>
      </c>
      <c r="CB62" s="1188">
        <f>'2024'!R\Max</f>
        <v>0.27722663900039057</v>
      </c>
      <c r="CC62" s="1188">
        <f>'2025'!R\Max</f>
        <v>0.27722255191637118</v>
      </c>
      <c r="CD62" s="1188">
        <f>'2026'!R\Max</f>
        <v>0.27721845255272837</v>
      </c>
      <c r="CE62" s="1189">
        <f>'2027'!R\Max</f>
        <v>0.27723704371843472</v>
      </c>
      <c r="CF62" s="1191">
        <f>'2028'!R\Max</f>
        <v>0.27723484637227236</v>
      </c>
    </row>
    <row r="63" spans="1:84" s="6" customFormat="1" ht="11.25" x14ac:dyDescent="0.2">
      <c r="A63" s="11">
        <v>43149</v>
      </c>
      <c r="B63" s="379">
        <f>'2023'!Maxi_hp</f>
        <v>34.122699512103274</v>
      </c>
      <c r="C63" s="13">
        <f>'2023'!An_max</f>
        <v>2022</v>
      </c>
      <c r="D63" s="1045" t="str">
        <f t="shared" si="7"/>
        <v/>
      </c>
      <c r="E63" s="13"/>
      <c r="F63" s="13">
        <f t="shared" si="23"/>
        <v>5</v>
      </c>
      <c r="G63" s="13">
        <f t="shared" si="24"/>
        <v>4</v>
      </c>
      <c r="H63" s="173">
        <f t="shared" si="8"/>
        <v>43150</v>
      </c>
      <c r="I63" s="742">
        <f t="shared" si="9"/>
        <v>7.1428571428571425E-2</v>
      </c>
      <c r="J63" s="735">
        <f t="shared" si="27"/>
        <v>43.7564712099731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38">
        <v>43149</v>
      </c>
      <c r="AP63" s="13">
        <f t="shared" si="11"/>
        <v>3</v>
      </c>
      <c r="AQ63" s="13">
        <f t="shared" si="12"/>
        <v>4</v>
      </c>
      <c r="AR63" s="173">
        <f t="shared" si="13"/>
        <v>43136</v>
      </c>
      <c r="AS63" s="742">
        <f t="shared" si="14"/>
        <v>0.4642857142857143</v>
      </c>
      <c r="AT63" s="758">
        <f t="shared" si="15"/>
        <v>43.598625318932214</v>
      </c>
      <c r="AU63" s="13">
        <f t="shared" si="16"/>
        <v>3</v>
      </c>
      <c r="AV63" s="13">
        <f t="shared" si="17"/>
        <v>2</v>
      </c>
      <c r="AW63" s="173">
        <f t="shared" si="18"/>
        <v>43150</v>
      </c>
      <c r="AX63" s="742">
        <f t="shared" si="19"/>
        <v>3.5714285714285712E-2</v>
      </c>
      <c r="AY63" s="758">
        <f t="shared" si="20"/>
        <v>43.764058934671006</v>
      </c>
      <c r="AZ63" s="735">
        <f t="shared" si="26"/>
        <v>43.68134212680161</v>
      </c>
      <c r="BA63" s="633">
        <f t="shared" si="21"/>
        <v>0.77983206982938635</v>
      </c>
      <c r="BC63" s="11">
        <v>43149</v>
      </c>
      <c r="BD63" s="289">
        <f>[2]!FeuilCaduc*(1-Persistant)+Persistant</f>
        <v>0.50211983293805695</v>
      </c>
      <c r="BE63" s="290">
        <f>[2]!CroissVégét</f>
        <v>8.5495548619151183E-3</v>
      </c>
      <c r="BF63" s="804">
        <f>1+[2]!Salcycl*Ksac</f>
        <v>1.0002119832938057</v>
      </c>
      <c r="BH63" s="1036">
        <f t="shared" si="22"/>
        <v>1.0011423754686468E-3</v>
      </c>
      <c r="BI63" s="11">
        <v>44245</v>
      </c>
      <c r="BJ63" s="715">
        <v>8.0553274932424965E-4</v>
      </c>
      <c r="BK63" s="715">
        <v>8.0553274932424965E-4</v>
      </c>
      <c r="BL63" s="715">
        <v>8.2657849524749559E-4</v>
      </c>
      <c r="BM63" s="715">
        <v>9.1438949918146368E-4</v>
      </c>
      <c r="BN63" s="715">
        <v>1.0882037589205933E-3</v>
      </c>
      <c r="BO63" s="716">
        <v>1.341986651864284E-3</v>
      </c>
      <c r="BP63" s="715">
        <v>1.6713478043684598E-3</v>
      </c>
      <c r="BQ63" s="715">
        <v>2.1249893209736542E-3</v>
      </c>
      <c r="BR63" s="715">
        <v>2.7788299359800123E-3</v>
      </c>
      <c r="BS63" s="715">
        <v>3.7415271771434229E-3</v>
      </c>
      <c r="BT63" s="715">
        <v>4.945140942128912E-3</v>
      </c>
      <c r="BW63" s="1188">
        <f>'2019'!R\Max</f>
        <v>0</v>
      </c>
      <c r="BX63" s="1188">
        <f>'2020'!R\Max</f>
        <v>0.74961566831375759</v>
      </c>
      <c r="BY63" s="1188">
        <f>'2021'!R\Max</f>
        <v>0.36302204381762854</v>
      </c>
      <c r="BZ63" s="1188">
        <f>'2022'!R\Max</f>
        <v>0.77983206982938635</v>
      </c>
      <c r="CA63" s="1188">
        <f>'2023'!R\Max</f>
        <v>0.77982956679645676</v>
      </c>
      <c r="CB63" s="1188">
        <f>'2024'!R\Max</f>
        <v>0.77982705733054403</v>
      </c>
      <c r="CC63" s="1188">
        <f>'2025'!R\Max</f>
        <v>0.77982360970335374</v>
      </c>
      <c r="CD63" s="1188">
        <f>'2026'!R\Max</f>
        <v>0.77982015170353369</v>
      </c>
      <c r="CE63" s="1189">
        <f>'2027'!R\Max</f>
        <v>0.77983600110934759</v>
      </c>
      <c r="CF63" s="1191">
        <f>'2028'!R\Max</f>
        <v>0.77983409874571774</v>
      </c>
    </row>
    <row r="64" spans="1:84" s="6" customFormat="1" ht="11.25" x14ac:dyDescent="0.2">
      <c r="A64" s="11">
        <v>43150</v>
      </c>
      <c r="B64" s="379">
        <f>'2023'!Maxi_hp</f>
        <v>41.255245253729655</v>
      </c>
      <c r="C64" s="13">
        <f>'2023'!An_max</f>
        <v>2021</v>
      </c>
      <c r="D64" s="1045" t="str">
        <f t="shared" si="7"/>
        <v/>
      </c>
      <c r="E64" s="1040">
        <f>Q$13/10</f>
        <v>44.128</v>
      </c>
      <c r="F64" s="13">
        <f t="shared" si="23"/>
        <v>5</v>
      </c>
      <c r="G64" s="13">
        <f t="shared" si="24"/>
        <v>6</v>
      </c>
      <c r="H64" s="173">
        <f t="shared" si="8"/>
        <v>43150</v>
      </c>
      <c r="I64" s="742">
        <f t="shared" si="9"/>
        <v>0</v>
      </c>
      <c r="J64" s="735">
        <f t="shared" si="27"/>
        <v>44.128000000119208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38">
        <v>43150</v>
      </c>
      <c r="AP64" s="13">
        <f t="shared" si="11"/>
        <v>3</v>
      </c>
      <c r="AQ64" s="13">
        <f t="shared" si="12"/>
        <v>4</v>
      </c>
      <c r="AR64" s="173">
        <f t="shared" si="13"/>
        <v>43136</v>
      </c>
      <c r="AS64" s="742">
        <f t="shared" si="14"/>
        <v>0.5</v>
      </c>
      <c r="AT64" s="758">
        <f t="shared" si="15"/>
        <v>43.980250000115483</v>
      </c>
      <c r="AU64" s="13">
        <f t="shared" si="16"/>
        <v>3</v>
      </c>
      <c r="AV64" s="13">
        <f t="shared" si="17"/>
        <v>4</v>
      </c>
      <c r="AW64" s="173">
        <f t="shared" si="18"/>
        <v>43150</v>
      </c>
      <c r="AX64" s="742">
        <f t="shared" si="19"/>
        <v>0</v>
      </c>
      <c r="AY64" s="758">
        <f t="shared" si="20"/>
        <v>44.127999999932946</v>
      </c>
      <c r="AZ64" s="735">
        <f t="shared" si="26"/>
        <v>44.054125000024214</v>
      </c>
      <c r="BA64" s="633">
        <f t="shared" si="21"/>
        <v>0.93489950266538724</v>
      </c>
      <c r="BC64" s="11">
        <v>43150</v>
      </c>
      <c r="BD64" s="289">
        <f>[2]!FeuilCaduc*(1-Persistant)+Persistant</f>
        <v>0.50227605632094996</v>
      </c>
      <c r="BE64" s="290">
        <f>[2]!CroissVégét</f>
        <v>8.9623283475330478E-3</v>
      </c>
      <c r="BF64" s="804">
        <f>1+[2]!Salcycl*Ksac</f>
        <v>1.0002276056320949</v>
      </c>
      <c r="BH64" s="1036">
        <f t="shared" si="22"/>
        <v>1.0104058755425892E-3</v>
      </c>
      <c r="BI64" s="11">
        <v>44246</v>
      </c>
      <c r="BJ64" s="715">
        <v>8.1670191935963787E-4</v>
      </c>
      <c r="BK64" s="715">
        <v>8.1670191935963776E-4</v>
      </c>
      <c r="BL64" s="715">
        <v>8.3762122983442372E-4</v>
      </c>
      <c r="BM64" s="715">
        <v>9.2468333434784502E-4</v>
      </c>
      <c r="BN64" s="715">
        <v>1.0964332598649867E-3</v>
      </c>
      <c r="BO64" s="716">
        <v>1.3462106021367929E-3</v>
      </c>
      <c r="BP64" s="715">
        <v>1.6669082725247455E-3</v>
      </c>
      <c r="BQ64" s="715">
        <v>2.1031647667334348E-3</v>
      </c>
      <c r="BR64" s="715">
        <v>2.7201134325382371E-3</v>
      </c>
      <c r="BS64" s="715">
        <v>3.6209040480232185E-3</v>
      </c>
      <c r="BT64" s="715">
        <v>4.7423530905187049E-3</v>
      </c>
      <c r="BW64" s="1188">
        <f>'2019'!R\Max</f>
        <v>0</v>
      </c>
      <c r="BX64" s="1188">
        <f>'2020'!R\Max</f>
        <v>0.67601602293634455</v>
      </c>
      <c r="BY64" s="1188">
        <f>'2021'!R\Max</f>
        <v>0.93489950266538724</v>
      </c>
      <c r="BZ64" s="1188">
        <f>'2022'!R\Max</f>
        <v>0.46539642369040157</v>
      </c>
      <c r="CA64" s="1188">
        <f>'2023'!R\Max</f>
        <v>0.46539292060483339</v>
      </c>
      <c r="CB64" s="1188">
        <f>'2024'!R\Max</f>
        <v>0.46538940843129745</v>
      </c>
      <c r="CC64" s="1188">
        <f>'2025'!R\Max</f>
        <v>0.46538464301044452</v>
      </c>
      <c r="CD64" s="1188">
        <f>'2026'!R\Max</f>
        <v>0.4653798633750505</v>
      </c>
      <c r="CE64" s="1189">
        <f>'2027'!R\Max</f>
        <v>0.46540198590900661</v>
      </c>
      <c r="CF64" s="1191">
        <f>'2028'!R\Max</f>
        <v>0.46539929400060071</v>
      </c>
    </row>
    <row r="65" spans="1:84" s="6" customFormat="1" ht="11.25" x14ac:dyDescent="0.2">
      <c r="A65" s="11">
        <v>43151</v>
      </c>
      <c r="B65" s="379">
        <f>'2023'!Maxi_hp</f>
        <v>44.665553120035945</v>
      </c>
      <c r="C65" s="13">
        <f>'2023'!An_max</f>
        <v>2020</v>
      </c>
      <c r="D65" s="1045">
        <f t="shared" si="7"/>
        <v>1.003801775418363</v>
      </c>
      <c r="E65" s="13"/>
      <c r="F65" s="13">
        <f t="shared" si="23"/>
        <v>5</v>
      </c>
      <c r="G65" s="13">
        <f t="shared" si="24"/>
        <v>6</v>
      </c>
      <c r="H65" s="173">
        <f t="shared" si="8"/>
        <v>43150</v>
      </c>
      <c r="I65" s="742">
        <f t="shared" si="9"/>
        <v>7.1428571428571425E-2</v>
      </c>
      <c r="J65" s="735">
        <f t="shared" si="27"/>
        <v>44.496387846515113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38">
        <v>43151</v>
      </c>
      <c r="AP65" s="13">
        <f t="shared" si="11"/>
        <v>3</v>
      </c>
      <c r="AQ65" s="13">
        <f t="shared" si="12"/>
        <v>4</v>
      </c>
      <c r="AR65" s="173">
        <f t="shared" si="13"/>
        <v>43136</v>
      </c>
      <c r="AS65" s="742">
        <f t="shared" si="14"/>
        <v>0.5357142857142857</v>
      </c>
      <c r="AT65" s="758">
        <f t="shared" si="15"/>
        <v>44.361874681398533</v>
      </c>
      <c r="AU65" s="13">
        <f t="shared" si="16"/>
        <v>3</v>
      </c>
      <c r="AV65" s="13">
        <f t="shared" si="17"/>
        <v>4</v>
      </c>
      <c r="AW65" s="173">
        <f t="shared" si="18"/>
        <v>43150</v>
      </c>
      <c r="AX65" s="742">
        <f t="shared" si="19"/>
        <v>3.5714285714285712E-2</v>
      </c>
      <c r="AY65" s="758">
        <f t="shared" si="20"/>
        <v>44.489780646469441</v>
      </c>
      <c r="AZ65" s="735">
        <f t="shared" si="26"/>
        <v>44.425827663933987</v>
      </c>
      <c r="BA65" s="633">
        <f t="shared" si="21"/>
        <v>1.003801775418363</v>
      </c>
      <c r="BC65" s="11">
        <v>43151</v>
      </c>
      <c r="BD65" s="289">
        <f>[2]!FeuilCaduc*(1-Persistant)+Persistant</f>
        <v>0.50243018766248881</v>
      </c>
      <c r="BE65" s="290">
        <f>[2]!CroissVégét</f>
        <v>9.3920531593536197E-3</v>
      </c>
      <c r="BF65" s="804">
        <f>1+[2]!Salcycl*Ksac</f>
        <v>1.0002430187662488</v>
      </c>
      <c r="BH65" s="1036">
        <f t="shared" si="22"/>
        <v>1.0187183202981375E-3</v>
      </c>
      <c r="BI65" s="11">
        <v>44247</v>
      </c>
      <c r="BJ65" s="715">
        <v>8.2745407380673268E-4</v>
      </c>
      <c r="BK65" s="715">
        <v>8.2745407380673279E-4</v>
      </c>
      <c r="BL65" s="715">
        <v>8.4818539714236532E-4</v>
      </c>
      <c r="BM65" s="715">
        <v>9.3425748587606895E-4</v>
      </c>
      <c r="BN65" s="715">
        <v>1.1034795110158846E-3</v>
      </c>
      <c r="BO65" s="716">
        <v>1.3487256668348101E-3</v>
      </c>
      <c r="BP65" s="715">
        <v>1.6607814196430294E-3</v>
      </c>
      <c r="BQ65" s="715">
        <v>2.0804996678520133E-3</v>
      </c>
      <c r="BR65" s="715">
        <v>2.6640150759944148E-3</v>
      </c>
      <c r="BS65" s="715">
        <v>3.5098676101176711E-3</v>
      </c>
      <c r="BT65" s="715">
        <v>4.5593952008022697E-3</v>
      </c>
      <c r="BW65" s="1188">
        <f>'2019'!R\Max</f>
        <v>0</v>
      </c>
      <c r="BX65" s="1188">
        <f>'2020'!R\Max</f>
        <v>1.003801775418363</v>
      </c>
      <c r="BY65" s="1188">
        <f>'2021'!R\Max</f>
        <v>0.80751711408845395</v>
      </c>
      <c r="BZ65" s="1188">
        <f>'2022'!R\Max</f>
        <v>0.50184516297167103</v>
      </c>
      <c r="CA65" s="1188">
        <f>'2023'!R\Max</f>
        <v>0.50184176523970725</v>
      </c>
      <c r="CB65" s="1188">
        <f>'2024'!R\Max</f>
        <v>0.50183835856073267</v>
      </c>
      <c r="CC65" s="1188">
        <f>'2025'!R\Max</f>
        <v>0.50183378852119798</v>
      </c>
      <c r="CD65" s="1188">
        <f>'2026'!R\Max</f>
        <v>0.50182920486471638</v>
      </c>
      <c r="CE65" s="1189">
        <f>'2027'!R\Max</f>
        <v>0.50185060744969856</v>
      </c>
      <c r="CF65" s="1191">
        <f>'2028'!R\Max</f>
        <v>0.50184797224378741</v>
      </c>
    </row>
    <row r="66" spans="1:84" s="6" customFormat="1" ht="11.25" x14ac:dyDescent="0.2">
      <c r="A66" s="11">
        <v>43152</v>
      </c>
      <c r="B66" s="379">
        <f>'2023'!Maxi_hp</f>
        <v>23.507922443525114</v>
      </c>
      <c r="C66" s="13">
        <f>'2023'!An_max</f>
        <v>2022</v>
      </c>
      <c r="D66" s="1045" t="str">
        <f t="shared" si="7"/>
        <v/>
      </c>
      <c r="E66" s="13"/>
      <c r="F66" s="13">
        <f t="shared" si="23"/>
        <v>5</v>
      </c>
      <c r="G66" s="13">
        <f t="shared" si="24"/>
        <v>6</v>
      </c>
      <c r="H66" s="173">
        <f t="shared" si="8"/>
        <v>43150</v>
      </c>
      <c r="I66" s="742">
        <f t="shared" si="9"/>
        <v>0.14285714285714285</v>
      </c>
      <c r="J66" s="735">
        <f t="shared" si="27"/>
        <v>44.862873178108472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38">
        <v>43152</v>
      </c>
      <c r="AP66" s="13">
        <f t="shared" si="11"/>
        <v>3</v>
      </c>
      <c r="AQ66" s="13">
        <f t="shared" si="12"/>
        <v>4</v>
      </c>
      <c r="AR66" s="173">
        <f t="shared" si="13"/>
        <v>43136</v>
      </c>
      <c r="AS66" s="742">
        <f t="shared" si="14"/>
        <v>0.5714285714285714</v>
      </c>
      <c r="AT66" s="758">
        <f t="shared" si="15"/>
        <v>44.743122449038282</v>
      </c>
      <c r="AU66" s="13">
        <f t="shared" si="16"/>
        <v>3</v>
      </c>
      <c r="AV66" s="13">
        <f t="shared" si="17"/>
        <v>4</v>
      </c>
      <c r="AW66" s="173">
        <f t="shared" si="18"/>
        <v>43150</v>
      </c>
      <c r="AX66" s="742">
        <f t="shared" si="19"/>
        <v>7.1428571428571425E-2</v>
      </c>
      <c r="AY66" s="758">
        <f t="shared" si="20"/>
        <v>44.853737518291126</v>
      </c>
      <c r="AZ66" s="735">
        <f t="shared" si="26"/>
        <v>44.798429983664704</v>
      </c>
      <c r="BA66" s="633">
        <f t="shared" si="21"/>
        <v>0.5239950270281879</v>
      </c>
      <c r="BC66" s="11">
        <v>43152</v>
      </c>
      <c r="BD66" s="289">
        <f>[2]!FeuilCaduc*(1-Persistant)+Persistant</f>
        <v>0.50258165954828615</v>
      </c>
      <c r="BE66" s="290">
        <f>[2]!CroissVégét</f>
        <v>9.8394096579268626E-3</v>
      </c>
      <c r="BF66" s="804">
        <f>1+[2]!Salcycl*Ksac</f>
        <v>1.0002581659548286</v>
      </c>
      <c r="BH66" s="1036">
        <f t="shared" si="22"/>
        <v>1.0284214115644211E-3</v>
      </c>
      <c r="BI66" s="11">
        <v>44248</v>
      </c>
      <c r="BJ66" s="715">
        <v>8.3974884420319159E-4</v>
      </c>
      <c r="BK66" s="715">
        <v>8.3974884420319159E-4</v>
      </c>
      <c r="BL66" s="715">
        <v>8.6027350242592383E-4</v>
      </c>
      <c r="BM66" s="715">
        <v>9.4528730451124852E-4</v>
      </c>
      <c r="BN66" s="715">
        <v>1.1118511568576123E-3</v>
      </c>
      <c r="BO66" s="716">
        <v>1.3524443416417526E-3</v>
      </c>
      <c r="BP66" s="715">
        <v>1.6562517728555784E-3</v>
      </c>
      <c r="BQ66" s="715">
        <v>2.0606128469975275E-3</v>
      </c>
      <c r="BR66" s="715">
        <v>2.6146240204360451E-3</v>
      </c>
      <c r="BS66" s="715">
        <v>3.4131074960601347E-3</v>
      </c>
      <c r="BT66" s="715">
        <v>4.4016629709729103E-3</v>
      </c>
      <c r="BW66" s="1188">
        <f>'2019'!R\Max</f>
        <v>0</v>
      </c>
      <c r="BX66" s="1188">
        <f>'2020'!R\Max</f>
        <v>0.32202089242490484</v>
      </c>
      <c r="BY66" s="1188">
        <f>'2021'!R\Max</f>
        <v>0.32508103883867884</v>
      </c>
      <c r="BZ66" s="1188">
        <f>'2022'!R\Max</f>
        <v>0.5239950270281879</v>
      </c>
      <c r="CA66" s="1188">
        <f>'2023'!R\Max</f>
        <v>0.52399175265317954</v>
      </c>
      <c r="CB66" s="1188">
        <f>'2024'!R\Max</f>
        <v>0.52398846951981504</v>
      </c>
      <c r="CC66" s="1188">
        <f>'2025'!R\Max</f>
        <v>0.5239841113424204</v>
      </c>
      <c r="CD66" s="1188">
        <f>'2026'!R\Max</f>
        <v>0.52397974012514448</v>
      </c>
      <c r="CE66" s="1189">
        <f>'2027'!R\Max</f>
        <v>0.52400031476214659</v>
      </c>
      <c r="CF66" s="1191">
        <f>'2028'!R\Max</f>
        <v>0.52399775516382163</v>
      </c>
    </row>
    <row r="67" spans="1:84" s="6" customFormat="1" ht="11.25" x14ac:dyDescent="0.2">
      <c r="A67" s="11">
        <v>43153</v>
      </c>
      <c r="B67" s="379">
        <f>'2023'!Maxi_hp</f>
        <v>42.383788099046349</v>
      </c>
      <c r="C67" s="13">
        <f>'2023'!An_max</f>
        <v>2020</v>
      </c>
      <c r="D67" s="1045" t="str">
        <f t="shared" si="7"/>
        <v/>
      </c>
      <c r="E67" s="13"/>
      <c r="F67" s="13">
        <f t="shared" si="23"/>
        <v>5</v>
      </c>
      <c r="G67" s="13">
        <f t="shared" si="24"/>
        <v>6</v>
      </c>
      <c r="H67" s="173">
        <f t="shared" si="8"/>
        <v>43150</v>
      </c>
      <c r="I67" s="742">
        <f t="shared" si="9"/>
        <v>0.21428571428571427</v>
      </c>
      <c r="J67" s="735">
        <f t="shared" si="27"/>
        <v>45.227563684433697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38">
        <v>43153</v>
      </c>
      <c r="AP67" s="13">
        <f t="shared" si="11"/>
        <v>3</v>
      </c>
      <c r="AQ67" s="13">
        <f t="shared" si="12"/>
        <v>4</v>
      </c>
      <c r="AR67" s="173">
        <f t="shared" si="13"/>
        <v>43136</v>
      </c>
      <c r="AS67" s="742">
        <f t="shared" si="14"/>
        <v>0.6071428571428571</v>
      </c>
      <c r="AT67" s="758">
        <f t="shared" si="15"/>
        <v>45.123616390509</v>
      </c>
      <c r="AU67" s="13">
        <f t="shared" si="16"/>
        <v>3</v>
      </c>
      <c r="AV67" s="13">
        <f t="shared" si="17"/>
        <v>4</v>
      </c>
      <c r="AW67" s="173">
        <f t="shared" si="18"/>
        <v>43150</v>
      </c>
      <c r="AX67" s="742">
        <f t="shared" si="19"/>
        <v>0.10714285714285714</v>
      </c>
      <c r="AY67" s="758">
        <f t="shared" si="20"/>
        <v>45.219534085897202</v>
      </c>
      <c r="AZ67" s="735">
        <f t="shared" si="26"/>
        <v>45.171575238203104</v>
      </c>
      <c r="BA67" s="633">
        <f t="shared" si="21"/>
        <v>0.93712295437293003</v>
      </c>
      <c r="BC67" s="11">
        <v>43153</v>
      </c>
      <c r="BD67" s="289">
        <f>[2]!FeuilCaduc*(1-Persistant)+Persistant</f>
        <v>0.50273003844682362</v>
      </c>
      <c r="BE67" s="290">
        <f>[2]!CroissVégét</f>
        <v>1.0305104176065441E-2</v>
      </c>
      <c r="BF67" s="804">
        <f>1+[2]!Salcycl*Ksac</f>
        <v>1.0002730038446823</v>
      </c>
      <c r="BH67" s="1036">
        <f t="shared" si="22"/>
        <v>1.0414585466624383E-3</v>
      </c>
      <c r="BI67" s="11">
        <v>44249</v>
      </c>
      <c r="BJ67" s="715">
        <v>8.5508995478240078E-4</v>
      </c>
      <c r="BK67" s="715">
        <v>8.5508995478240089E-4</v>
      </c>
      <c r="BL67" s="715">
        <v>8.7544191797079369E-4</v>
      </c>
      <c r="BM67" s="715">
        <v>9.5953197569248992E-4</v>
      </c>
      <c r="BN67" s="715">
        <v>1.1236764616801048E-3</v>
      </c>
      <c r="BO67" s="716">
        <v>1.3597697439218573E-3</v>
      </c>
      <c r="BP67" s="715">
        <v>1.6551421525216759E-3</v>
      </c>
      <c r="BQ67" s="715">
        <v>2.0436064300273418E-3</v>
      </c>
      <c r="BR67" s="715">
        <v>2.5681434776012413E-3</v>
      </c>
      <c r="BS67" s="715">
        <v>3.3197034110945957E-3</v>
      </c>
      <c r="BT67" s="715">
        <v>4.2481571542270077E-3</v>
      </c>
      <c r="BW67" s="1188">
        <f>'2019'!R\Max</f>
        <v>0</v>
      </c>
      <c r="BX67" s="1188">
        <f>'2020'!R\Max</f>
        <v>0.93712295437293003</v>
      </c>
      <c r="BY67" s="1188">
        <f>'2021'!R\Max</f>
        <v>0.23081304220162674</v>
      </c>
      <c r="BZ67" s="1188">
        <f>'2022'!R\Max</f>
        <v>0.82154324576521709</v>
      </c>
      <c r="CA67" s="1188">
        <f>'2023'!R\Max</f>
        <v>0.82154138908003649</v>
      </c>
      <c r="CB67" s="1188">
        <f>'2024'!R\Max</f>
        <v>0.82153952737910052</v>
      </c>
      <c r="CC67" s="1188">
        <f>'2025'!R\Max</f>
        <v>0.82153708545687265</v>
      </c>
      <c r="CD67" s="1188">
        <f>'2026'!R\Max</f>
        <v>0.82153463619653122</v>
      </c>
      <c r="CE67" s="1189">
        <f>'2027'!R\Max</f>
        <v>0.82154627243772915</v>
      </c>
      <c r="CF67" s="1191">
        <f>'2028'!R\Max</f>
        <v>0.82154480715417555</v>
      </c>
    </row>
    <row r="68" spans="1:84" s="6" customFormat="1" ht="11.25" x14ac:dyDescent="0.2">
      <c r="A68" s="11">
        <v>43154</v>
      </c>
      <c r="B68" s="379">
        <f>'2023'!Maxi_hp</f>
        <v>44.04907717434498</v>
      </c>
      <c r="C68" s="13">
        <f>'2023'!An_max</f>
        <v>2020</v>
      </c>
      <c r="D68" s="1045" t="str">
        <f t="shared" si="7"/>
        <v/>
      </c>
      <c r="E68" s="13"/>
      <c r="F68" s="13">
        <f t="shared" si="23"/>
        <v>5</v>
      </c>
      <c r="G68" s="13">
        <f t="shared" si="24"/>
        <v>6</v>
      </c>
      <c r="H68" s="173">
        <f t="shared" si="8"/>
        <v>43150</v>
      </c>
      <c r="I68" s="742">
        <f t="shared" si="9"/>
        <v>0.2857142857142857</v>
      </c>
      <c r="J68" s="735">
        <f t="shared" si="27"/>
        <v>45.590567055610677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38">
        <v>43154</v>
      </c>
      <c r="AP68" s="13">
        <f t="shared" si="11"/>
        <v>3</v>
      </c>
      <c r="AQ68" s="13">
        <f t="shared" si="12"/>
        <v>4</v>
      </c>
      <c r="AR68" s="173">
        <f t="shared" si="13"/>
        <v>43136</v>
      </c>
      <c r="AS68" s="742">
        <f t="shared" si="14"/>
        <v>0.6428571428571429</v>
      </c>
      <c r="AT68" s="758">
        <f t="shared" si="15"/>
        <v>45.502979591967801</v>
      </c>
      <c r="AU68" s="13">
        <f t="shared" si="16"/>
        <v>3</v>
      </c>
      <c r="AV68" s="13">
        <f t="shared" si="17"/>
        <v>4</v>
      </c>
      <c r="AW68" s="173">
        <f t="shared" si="18"/>
        <v>43150</v>
      </c>
      <c r="AX68" s="742">
        <f t="shared" si="19"/>
        <v>0.14285714285714285</v>
      </c>
      <c r="AY68" s="758">
        <f t="shared" si="20"/>
        <v>45.586833819268008</v>
      </c>
      <c r="AZ68" s="735">
        <f t="shared" si="26"/>
        <v>45.544906705617905</v>
      </c>
      <c r="BA68" s="633">
        <f t="shared" si="21"/>
        <v>0.96618840297850628</v>
      </c>
      <c r="BC68" s="11">
        <v>43154</v>
      </c>
      <c r="BD68" s="289">
        <f>[2]!FeuilCaduc*(1-Persistant)+Persistant</f>
        <v>0.50287503663753919</v>
      </c>
      <c r="BE68" s="290">
        <f>[2]!CroissVégét</f>
        <v>1.0789869896821172E-2</v>
      </c>
      <c r="BF68" s="804">
        <f>1+[2]!Salcycl*Ksac</f>
        <v>1.000287503663754</v>
      </c>
      <c r="BH68" s="1036">
        <f t="shared" si="22"/>
        <v>1.0578243406533991E-3</v>
      </c>
      <c r="BI68" s="11">
        <v>44250</v>
      </c>
      <c r="BJ68" s="715">
        <v>8.7347306911512816E-4</v>
      </c>
      <c r="BK68" s="715">
        <v>8.7347306911512827E-4</v>
      </c>
      <c r="BL68" s="715">
        <v>8.9368619437616001E-4</v>
      </c>
      <c r="BM68" s="715">
        <v>9.7698657914132236E-4</v>
      </c>
      <c r="BN68" s="715">
        <v>1.1389495742318467E-3</v>
      </c>
      <c r="BO68" s="716">
        <v>1.3706946685226092E-3</v>
      </c>
      <c r="BP68" s="715">
        <v>1.6574436142545463E-3</v>
      </c>
      <c r="BQ68" s="715">
        <v>2.0294690964403833E-3</v>
      </c>
      <c r="BR68" s="715">
        <v>2.5245587317164215E-3</v>
      </c>
      <c r="BS68" s="715">
        <v>3.2296356665136444E-3</v>
      </c>
      <c r="BT68" s="715">
        <v>4.0988518649980937E-3</v>
      </c>
      <c r="BW68" s="1188">
        <f>'2019'!R\Max</f>
        <v>0</v>
      </c>
      <c r="BX68" s="1188">
        <f>'2020'!R\Max</f>
        <v>0.96618840297850628</v>
      </c>
      <c r="BY68" s="1188">
        <f>'2021'!R\Max</f>
        <v>0.71138775274830035</v>
      </c>
      <c r="BZ68" s="1188">
        <f>'2022'!R\Max</f>
        <v>0.86610158362320977</v>
      </c>
      <c r="CA68" s="1188">
        <f>'2023'!R\Max</f>
        <v>0.86610016879247176</v>
      </c>
      <c r="CB68" s="1188">
        <f>'2024'!R\Max</f>
        <v>0.86609875014932847</v>
      </c>
      <c r="CC68" s="1188">
        <f>'2025'!R\Max</f>
        <v>0.86609691450620818</v>
      </c>
      <c r="CD68" s="1188">
        <f>'2026'!R\Max</f>
        <v>0.86609507335663294</v>
      </c>
      <c r="CE68" s="1189">
        <f>'2027'!R\Max</f>
        <v>0.866103915947537</v>
      </c>
      <c r="CF68" s="1191">
        <f>'2028'!R\Max</f>
        <v>0.86610278663862106</v>
      </c>
    </row>
    <row r="69" spans="1:84" s="6" customFormat="1" ht="11.25" x14ac:dyDescent="0.2">
      <c r="A69" s="11">
        <v>43155</v>
      </c>
      <c r="B69" s="379">
        <f>'2023'!Maxi_hp</f>
        <v>42.202501894458955</v>
      </c>
      <c r="C69" s="13">
        <f>'2023'!An_max</f>
        <v>2021</v>
      </c>
      <c r="D69" s="1045" t="str">
        <f t="shared" si="7"/>
        <v/>
      </c>
      <c r="E69" s="13"/>
      <c r="F69" s="13">
        <f t="shared" si="23"/>
        <v>5</v>
      </c>
      <c r="G69" s="13">
        <f t="shared" si="24"/>
        <v>6</v>
      </c>
      <c r="H69" s="173">
        <f t="shared" si="8"/>
        <v>43150</v>
      </c>
      <c r="I69" s="742">
        <f t="shared" si="9"/>
        <v>0.35714285714285715</v>
      </c>
      <c r="J69" s="735">
        <f t="shared" si="27"/>
        <v>45.951990980388857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38">
        <v>43155</v>
      </c>
      <c r="AP69" s="13">
        <f t="shared" si="11"/>
        <v>3</v>
      </c>
      <c r="AQ69" s="13">
        <f t="shared" si="12"/>
        <v>4</v>
      </c>
      <c r="AR69" s="173">
        <f t="shared" si="13"/>
        <v>43136</v>
      </c>
      <c r="AS69" s="742">
        <f t="shared" si="14"/>
        <v>0.6785714285714286</v>
      </c>
      <c r="AT69" s="758">
        <f t="shared" si="15"/>
        <v>45.880835140689406</v>
      </c>
      <c r="AU69" s="13">
        <f t="shared" si="16"/>
        <v>3</v>
      </c>
      <c r="AV69" s="13">
        <f t="shared" si="17"/>
        <v>4</v>
      </c>
      <c r="AW69" s="173">
        <f t="shared" si="18"/>
        <v>43150</v>
      </c>
      <c r="AX69" s="742">
        <f t="shared" si="19"/>
        <v>0.17857142857142858</v>
      </c>
      <c r="AY69" s="758">
        <f t="shared" si="20"/>
        <v>45.95530018926199</v>
      </c>
      <c r="AZ69" s="735">
        <f t="shared" si="26"/>
        <v>45.918067664975695</v>
      </c>
      <c r="BA69" s="633">
        <f t="shared" si="21"/>
        <v>0.91840420826313951</v>
      </c>
      <c r="BC69" s="11">
        <v>43155</v>
      </c>
      <c r="BD69" s="289">
        <f>[2]!FeuilCaduc*(1-Persistant)+Persistant</f>
        <v>0.50301652309662848</v>
      </c>
      <c r="BE69" s="290">
        <f>[2]!CroissVégét</f>
        <v>1.1294467751257744E-2</v>
      </c>
      <c r="BF69" s="804">
        <f>1+[2]!Salcycl*Ksac</f>
        <v>1.0003016523096628</v>
      </c>
      <c r="BH69" s="1036">
        <f t="shared" si="22"/>
        <v>1.0775185006458355E-3</v>
      </c>
      <c r="BI69" s="11">
        <v>44251</v>
      </c>
      <c r="BJ69" s="715">
        <v>8.9489798608836956E-4</v>
      </c>
      <c r="BK69" s="715">
        <v>8.9489798608836967E-4</v>
      </c>
      <c r="BL69" s="715">
        <v>9.1500612119663411E-4</v>
      </c>
      <c r="BM69" s="715">
        <v>9.9765086400717688E-4</v>
      </c>
      <c r="BN69" s="715">
        <v>1.1576701594309662E-3</v>
      </c>
      <c r="BO69" s="716">
        <v>1.3852186514650025E-3</v>
      </c>
      <c r="BP69" s="715">
        <v>1.6631555104279032E-3</v>
      </c>
      <c r="BQ69" s="715">
        <v>2.018199916111716E-3</v>
      </c>
      <c r="BR69" s="715">
        <v>2.4838683935567512E-3</v>
      </c>
      <c r="BS69" s="715">
        <v>3.1429021701097006E-3</v>
      </c>
      <c r="BT69" s="715">
        <v>3.953744121067547E-3</v>
      </c>
      <c r="BW69" s="1188">
        <f>'2019'!R\Max</f>
        <v>0</v>
      </c>
      <c r="BX69" s="1188">
        <f>'2020'!R\Max</f>
        <v>0.90568749009970695</v>
      </c>
      <c r="BY69" s="1188">
        <f>'2021'!R\Max</f>
        <v>0.91840420826313951</v>
      </c>
      <c r="BZ69" s="1188">
        <f>'2022'!R\Max</f>
        <v>0.59236654160995361</v>
      </c>
      <c r="CA69" s="1188">
        <f>'2023'!R\Max</f>
        <v>0.59236370789548687</v>
      </c>
      <c r="CB69" s="1188">
        <f>'2024'!R\Max</f>
        <v>0.59236086667829246</v>
      </c>
      <c r="CC69" s="1188">
        <f>'2025'!R\Max</f>
        <v>0.59235724675808277</v>
      </c>
      <c r="CD69" s="1188">
        <f>'2026'!R\Max</f>
        <v>0.59235361607024362</v>
      </c>
      <c r="CE69" s="1189">
        <f>'2027'!R\Max</f>
        <v>0.59237127450266691</v>
      </c>
      <c r="CF69" s="1191">
        <f>'2028'!R\Max</f>
        <v>0.59236898240661695</v>
      </c>
    </row>
    <row r="70" spans="1:84" s="6" customFormat="1" ht="11.25" x14ac:dyDescent="0.2">
      <c r="A70" s="11">
        <v>43156</v>
      </c>
      <c r="B70" s="379">
        <f>'2023'!Maxi_hp</f>
        <v>38.963373237809762</v>
      </c>
      <c r="C70" s="13">
        <f>'2023'!An_max</f>
        <v>2021</v>
      </c>
      <c r="D70" s="1045" t="str">
        <f t="shared" si="7"/>
        <v/>
      </c>
      <c r="E70" s="13"/>
      <c r="F70" s="13">
        <f t="shared" si="23"/>
        <v>5</v>
      </c>
      <c r="G70" s="13">
        <f t="shared" si="24"/>
        <v>6</v>
      </c>
      <c r="H70" s="173">
        <f t="shared" si="8"/>
        <v>43150</v>
      </c>
      <c r="I70" s="742">
        <f t="shared" si="9"/>
        <v>0.42857142857142855</v>
      </c>
      <c r="J70" s="735">
        <f t="shared" si="27"/>
        <v>46.311943148741761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38">
        <v>43156</v>
      </c>
      <c r="AP70" s="13">
        <f t="shared" si="11"/>
        <v>3</v>
      </c>
      <c r="AQ70" s="13">
        <f t="shared" si="12"/>
        <v>4</v>
      </c>
      <c r="AR70" s="173">
        <f t="shared" si="13"/>
        <v>43136</v>
      </c>
      <c r="AS70" s="742">
        <f t="shared" si="14"/>
        <v>0.7142857142857143</v>
      </c>
      <c r="AT70" s="758">
        <f t="shared" si="15"/>
        <v>46.256806122511627</v>
      </c>
      <c r="AU70" s="13">
        <f t="shared" si="16"/>
        <v>3</v>
      </c>
      <c r="AV70" s="13">
        <f t="shared" si="17"/>
        <v>4</v>
      </c>
      <c r="AW70" s="173">
        <f t="shared" si="18"/>
        <v>43150</v>
      </c>
      <c r="AX70" s="742">
        <f t="shared" si="19"/>
        <v>0.21428571428571427</v>
      </c>
      <c r="AY70" s="758">
        <f t="shared" si="20"/>
        <v>46.324596665553479</v>
      </c>
      <c r="AZ70" s="735">
        <f t="shared" si="26"/>
        <v>46.290701394032553</v>
      </c>
      <c r="BA70" s="633">
        <f t="shared" si="21"/>
        <v>0.84132451779597484</v>
      </c>
      <c r="BC70" s="11">
        <v>43156</v>
      </c>
      <c r="BD70" s="289">
        <f>[2]!FeuilCaduc*(1-Persistant)+Persistant</f>
        <v>0.5031545332498869</v>
      </c>
      <c r="BE70" s="290">
        <f>[2]!CroissVégét</f>
        <v>1.1819687335529849E-2</v>
      </c>
      <c r="BF70" s="804">
        <f>1+[2]!Salcycl*Ksac</f>
        <v>1.0003154533249887</v>
      </c>
      <c r="BH70" s="1036">
        <f t="shared" si="22"/>
        <v>1.1005407643759411E-3</v>
      </c>
      <c r="BI70" s="11">
        <v>44252</v>
      </c>
      <c r="BJ70" s="715">
        <v>9.1936452751492388E-4</v>
      </c>
      <c r="BK70" s="715">
        <v>9.1936452751492377E-4</v>
      </c>
      <c r="BL70" s="715">
        <v>9.3940151167528718E-4</v>
      </c>
      <c r="BM70" s="715">
        <v>1.0215246065027337E-3</v>
      </c>
      <c r="BN70" s="715">
        <v>1.1798379164003427E-3</v>
      </c>
      <c r="BO70" s="716">
        <v>1.4033412718965274E-3</v>
      </c>
      <c r="BP70" s="715">
        <v>1.6722772461749526E-3</v>
      </c>
      <c r="BQ70" s="715">
        <v>2.00979802703492E-3</v>
      </c>
      <c r="BR70" s="715">
        <v>2.4460711859954107E-3</v>
      </c>
      <c r="BS70" s="715">
        <v>3.0595010177711748E-3</v>
      </c>
      <c r="BT70" s="715">
        <v>3.8128312301598313E-3</v>
      </c>
      <c r="BW70" s="1188">
        <f>'2019'!R\Max</f>
        <v>0</v>
      </c>
      <c r="BX70" s="1188">
        <f>'2020'!R\Max</f>
        <v>0.34964913552413684</v>
      </c>
      <c r="BY70" s="1188">
        <f>'2021'!R\Max</f>
        <v>0.84132451779597484</v>
      </c>
      <c r="BZ70" s="1188">
        <f>'2022'!R\Max</f>
        <v>0.69644669684366078</v>
      </c>
      <c r="CA70" s="1188">
        <f>'2023'!R\Max</f>
        <v>0.69644431423806363</v>
      </c>
      <c r="CB70" s="1188">
        <f>'2024'!R\Max</f>
        <v>0.69644192550817696</v>
      </c>
      <c r="CC70" s="1188">
        <f>'2025'!R\Max</f>
        <v>0.69643893522689793</v>
      </c>
      <c r="CD70" s="1188">
        <f>'2026'!R\Max</f>
        <v>0.69643593612470611</v>
      </c>
      <c r="CE70" s="1189">
        <f>'2027'!R\Max</f>
        <v>0.69645073693526693</v>
      </c>
      <c r="CF70" s="1191">
        <f>'2028'!R\Max</f>
        <v>0.69644877992789056</v>
      </c>
    </row>
    <row r="71" spans="1:84" s="6" customFormat="1" ht="11.25" x14ac:dyDescent="0.2">
      <c r="A71" s="11">
        <v>43157</v>
      </c>
      <c r="B71" s="379">
        <f>'2023'!Maxi_hp</f>
        <v>48.51160049177232</v>
      </c>
      <c r="C71" s="13">
        <f>'2023'!An_max</f>
        <v>2023</v>
      </c>
      <c r="D71" s="1045">
        <f t="shared" si="7"/>
        <v>1.0394482169514445</v>
      </c>
      <c r="E71" s="13"/>
      <c r="F71" s="13">
        <f t="shared" si="23"/>
        <v>5</v>
      </c>
      <c r="G71" s="13">
        <f t="shared" si="24"/>
        <v>6</v>
      </c>
      <c r="H71" s="173">
        <f t="shared" si="8"/>
        <v>43150</v>
      </c>
      <c r="I71" s="742">
        <f t="shared" si="9"/>
        <v>0.5</v>
      </c>
      <c r="J71" s="735">
        <f t="shared" si="27"/>
        <v>46.670531249791381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38">
        <v>43157</v>
      </c>
      <c r="AP71" s="13">
        <f t="shared" si="11"/>
        <v>3</v>
      </c>
      <c r="AQ71" s="13">
        <f t="shared" si="12"/>
        <v>4</v>
      </c>
      <c r="AR71" s="173">
        <f t="shared" si="13"/>
        <v>43136</v>
      </c>
      <c r="AS71" s="742">
        <f t="shared" si="14"/>
        <v>0.75</v>
      </c>
      <c r="AT71" s="758">
        <f t="shared" si="15"/>
        <v>46.630515625281262</v>
      </c>
      <c r="AU71" s="13">
        <f t="shared" si="16"/>
        <v>3</v>
      </c>
      <c r="AV71" s="13">
        <f t="shared" si="17"/>
        <v>4</v>
      </c>
      <c r="AW71" s="173">
        <f t="shared" si="18"/>
        <v>43150</v>
      </c>
      <c r="AX71" s="742">
        <f t="shared" si="19"/>
        <v>0.25</v>
      </c>
      <c r="AY71" s="758">
        <f t="shared" si="20"/>
        <v>46.694386718701573</v>
      </c>
      <c r="AZ71" s="735">
        <f t="shared" si="26"/>
        <v>46.662451171991421</v>
      </c>
      <c r="BA71" s="633">
        <f t="shared" si="21"/>
        <v>1.0394482169514445</v>
      </c>
      <c r="BC71" s="11">
        <v>43157</v>
      </c>
      <c r="BD71" s="289">
        <f>[2]!FeuilCaduc*(1-Persistant)+Persistant</f>
        <v>0.50328927751563424</v>
      </c>
      <c r="BE71" s="290">
        <f>[2]!CroissVégét</f>
        <v>1.236634784666045E-2</v>
      </c>
      <c r="BF71" s="804">
        <f>1+[2]!Salcycl*Ksac</f>
        <v>1.0003289277515635</v>
      </c>
      <c r="BH71" s="1036">
        <f t="shared" si="22"/>
        <v>1.1268908879041874E-3</v>
      </c>
      <c r="BI71" s="11">
        <v>44253</v>
      </c>
      <c r="BJ71" s="715">
        <v>9.4687252688823733E-4</v>
      </c>
      <c r="BK71" s="715">
        <v>9.4687252688823744E-4</v>
      </c>
      <c r="BL71" s="715">
        <v>9.6687219137348273E-4</v>
      </c>
      <c r="BM71" s="715">
        <v>1.0486075980387628E-3</v>
      </c>
      <c r="BN71" s="715">
        <v>1.2054525657244361E-3</v>
      </c>
      <c r="BO71" s="716">
        <v>1.4250621387896971E-3</v>
      </c>
      <c r="BP71" s="715">
        <v>1.684808266787961E-3</v>
      </c>
      <c r="BQ71" s="715">
        <v>2.004262624732208E-3</v>
      </c>
      <c r="BR71" s="715">
        <v>2.4111659333225354E-3</v>
      </c>
      <c r="BS71" s="715">
        <v>2.979430481182781E-3</v>
      </c>
      <c r="BT71" s="715">
        <v>3.6761107744596065E-3</v>
      </c>
      <c r="BW71" s="1188">
        <f>'2019'!R\Max</f>
        <v>0</v>
      </c>
      <c r="BX71" s="1188">
        <f>'2020'!R\Max</f>
        <v>0.4269488076109611</v>
      </c>
      <c r="BY71" s="1188">
        <f>'2021'!R\Max</f>
        <v>0.18519889942910175</v>
      </c>
      <c r="BZ71" s="1188">
        <f>'2022'!R\Max</f>
        <v>1.0394482169514443</v>
      </c>
      <c r="CA71" s="1188">
        <f>'2023'!R\Max</f>
        <v>1.0394482169514445</v>
      </c>
      <c r="CB71" s="1188">
        <f>'2024'!R\Max</f>
        <v>1.0394482169514443</v>
      </c>
      <c r="CC71" s="1188">
        <f>'2025'!R\Max</f>
        <v>1.0394482169514445</v>
      </c>
      <c r="CD71" s="1188">
        <f>'2026'!R\Max</f>
        <v>1.0394482169514443</v>
      </c>
      <c r="CE71" s="1189">
        <f>'2027'!R\Max</f>
        <v>1.0394482169514445</v>
      </c>
      <c r="CF71" s="1191">
        <f>'2028'!R\Max</f>
        <v>1.0394482169514445</v>
      </c>
    </row>
    <row r="72" spans="1:84" s="6" customFormat="1" ht="11.25" x14ac:dyDescent="0.2">
      <c r="A72" s="11">
        <v>43158</v>
      </c>
      <c r="B72" s="379">
        <f>'2023'!Maxi_hp</f>
        <v>44.999579692306305</v>
      </c>
      <c r="C72" s="13">
        <f>'2023'!An_max</f>
        <v>2021</v>
      </c>
      <c r="D72" s="1045" t="str">
        <f t="shared" si="7"/>
        <v/>
      </c>
      <c r="E72" s="13"/>
      <c r="F72" s="13">
        <f t="shared" si="23"/>
        <v>5</v>
      </c>
      <c r="G72" s="13">
        <f t="shared" si="24"/>
        <v>6</v>
      </c>
      <c r="H72" s="173">
        <f t="shared" si="8"/>
        <v>43150</v>
      </c>
      <c r="I72" s="742">
        <f t="shared" si="9"/>
        <v>0.5714285714285714</v>
      </c>
      <c r="J72" s="735">
        <f t="shared" si="27"/>
        <v>47.027862973963579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38">
        <v>43158</v>
      </c>
      <c r="AP72" s="13">
        <f t="shared" si="11"/>
        <v>3</v>
      </c>
      <c r="AQ72" s="13">
        <f t="shared" si="12"/>
        <v>4</v>
      </c>
      <c r="AR72" s="173">
        <f t="shared" si="13"/>
        <v>43136</v>
      </c>
      <c r="AS72" s="742">
        <f t="shared" si="14"/>
        <v>0.7857142857142857</v>
      </c>
      <c r="AT72" s="758">
        <f t="shared" si="15"/>
        <v>47.001586735048996</v>
      </c>
      <c r="AU72" s="13">
        <f t="shared" si="16"/>
        <v>3</v>
      </c>
      <c r="AV72" s="13">
        <f t="shared" si="17"/>
        <v>4</v>
      </c>
      <c r="AW72" s="173">
        <f t="shared" si="18"/>
        <v>43150</v>
      </c>
      <c r="AX72" s="742">
        <f t="shared" si="19"/>
        <v>0.2857142857142857</v>
      </c>
      <c r="AY72" s="758">
        <f t="shared" si="20"/>
        <v>47.064333819238733</v>
      </c>
      <c r="AZ72" s="735">
        <f t="shared" si="26"/>
        <v>47.032960277143864</v>
      </c>
      <c r="BA72" s="633">
        <f t="shared" si="21"/>
        <v>0.95687060492669618</v>
      </c>
      <c r="BC72" s="11">
        <v>43158</v>
      </c>
      <c r="BD72" s="289">
        <f>[2]!FeuilCaduc*(1-Persistant)+Persistant</f>
        <v>0.50342114857492537</v>
      </c>
      <c r="BE72" s="290">
        <f>[2]!CroissVégét</f>
        <v>1.2935299036280712E-2</v>
      </c>
      <c r="BF72" s="804">
        <f>1+[2]!Salcycl*Ksac</f>
        <v>1.0003421148574925</v>
      </c>
      <c r="BH72" s="1036">
        <f t="shared" si="22"/>
        <v>1.1548571753515488E-3</v>
      </c>
      <c r="BI72" s="11">
        <v>44254</v>
      </c>
      <c r="BJ72" s="715">
        <v>9.7605225575355336E-4</v>
      </c>
      <c r="BK72" s="715">
        <v>9.7605225575355347E-4</v>
      </c>
      <c r="BL72" s="715">
        <v>9.9600546487223413E-4</v>
      </c>
      <c r="BM72" s="715">
        <v>1.0773242812817704E-3</v>
      </c>
      <c r="BN72" s="715">
        <v>1.2326657888481526E-3</v>
      </c>
      <c r="BO72" s="716">
        <v>1.4483628871640841E-3</v>
      </c>
      <c r="BP72" s="715">
        <v>1.6989773365762449E-3</v>
      </c>
      <c r="BQ72" s="715">
        <v>2.0006275814217437E-3</v>
      </c>
      <c r="BR72" s="715">
        <v>2.3794175641267032E-3</v>
      </c>
      <c r="BS72" s="715">
        <v>2.9046626166822063E-3</v>
      </c>
      <c r="BT72" s="715">
        <v>3.5475872108851553E-3</v>
      </c>
      <c r="BW72" s="1188">
        <f>'2019'!R\Max</f>
        <v>0</v>
      </c>
      <c r="BX72" s="1188">
        <f>'2020'!R\Max</f>
        <v>0.17740895648427005</v>
      </c>
      <c r="BY72" s="1188">
        <f>'2021'!R\Max</f>
        <v>0.95687060492669618</v>
      </c>
      <c r="BZ72" s="1188">
        <f>'2022'!R\Max</f>
        <v>0.60769175299784617</v>
      </c>
      <c r="CA72" s="1188">
        <f>'2023'!R\Max</f>
        <v>0.60768928602499717</v>
      </c>
      <c r="CB72" s="1188">
        <f>'2024'!R\Max</f>
        <v>0.60768681343001407</v>
      </c>
      <c r="CC72" s="1188">
        <f>'2025'!R\Max</f>
        <v>0.60768384403644249</v>
      </c>
      <c r="CD72" s="1188">
        <f>'2026'!R\Max</f>
        <v>0.60768086614620109</v>
      </c>
      <c r="CE72" s="1189">
        <f>'2027'!R\Max</f>
        <v>0.60769608636058203</v>
      </c>
      <c r="CF72" s="1191">
        <f>'2028'!R\Max</f>
        <v>0.60769398618951354</v>
      </c>
    </row>
    <row r="73" spans="1:84" s="6" customFormat="1" ht="11.25" x14ac:dyDescent="0.2">
      <c r="A73" s="11">
        <v>43159</v>
      </c>
      <c r="B73" s="379">
        <f>'2023'!Maxi_hp</f>
        <v>40.863117136509821</v>
      </c>
      <c r="C73" s="13">
        <f>'2023'!An_max</f>
        <v>2022</v>
      </c>
      <c r="D73" s="1045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73">
        <f t="shared" si="8"/>
        <v>43150</v>
      </c>
      <c r="I73" s="742">
        <f t="shared" si="9"/>
        <v>0.6428571428571429</v>
      </c>
      <c r="J73" s="735">
        <f t="shared" si="27"/>
        <v>47.384046009382494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38">
        <v>43159</v>
      </c>
      <c r="AP73" s="13">
        <f t="shared" si="11"/>
        <v>3</v>
      </c>
      <c r="AQ73" s="13">
        <f t="shared" si="12"/>
        <v>4</v>
      </c>
      <c r="AR73" s="173">
        <f t="shared" si="13"/>
        <v>43136</v>
      </c>
      <c r="AS73" s="742">
        <f t="shared" si="14"/>
        <v>0.8214285714285714</v>
      </c>
      <c r="AT73" s="758">
        <f t="shared" si="15"/>
        <v>47.369642538770236</v>
      </c>
      <c r="AU73" s="13">
        <f t="shared" si="16"/>
        <v>3</v>
      </c>
      <c r="AV73" s="13">
        <f t="shared" si="17"/>
        <v>4</v>
      </c>
      <c r="AW73" s="173">
        <f t="shared" si="18"/>
        <v>43150</v>
      </c>
      <c r="AX73" s="742">
        <f t="shared" si="19"/>
        <v>0.32142857142857145</v>
      </c>
      <c r="AY73" s="758">
        <f t="shared" si="20"/>
        <v>47.434101437690806</v>
      </c>
      <c r="AZ73" s="735">
        <f t="shared" si="26"/>
        <v>47.401871988230525</v>
      </c>
      <c r="BA73" s="633">
        <f t="shared" si="21"/>
        <v>0.8623813409352703</v>
      </c>
      <c r="BC73" s="11">
        <v>43159</v>
      </c>
      <c r="BD73" s="289">
        <f>[2]!FeuilCaduc*(1-Persistant)+Persistant</f>
        <v>0.50355072732069706</v>
      </c>
      <c r="BE73" s="290">
        <f>[2]!CroissVégét</f>
        <v>1.352742218145603E-2</v>
      </c>
      <c r="BF73" s="804">
        <f>1+[2]!Salcycl*Ksac</f>
        <v>1.0003550727320698</v>
      </c>
      <c r="BH73" s="1036">
        <f t="shared" si="22"/>
        <v>1.1834538910439471E-3</v>
      </c>
      <c r="BI73" s="11">
        <v>44255</v>
      </c>
      <c r="BJ73" s="715">
        <v>1.005822203620101E-3</v>
      </c>
      <c r="BK73" s="715">
        <v>1.0058222036201008E-3</v>
      </c>
      <c r="BL73" s="715">
        <v>1.0257288737565238E-3</v>
      </c>
      <c r="BM73" s="715">
        <v>1.1066411291730317E-3</v>
      </c>
      <c r="BN73" s="715">
        <v>1.2605398114359011E-3</v>
      </c>
      <c r="BO73" s="716">
        <v>1.472558413637111E-3</v>
      </c>
      <c r="BP73" s="715">
        <v>1.7146606833010663E-3</v>
      </c>
      <c r="BQ73" s="715">
        <v>1.9996468506092075E-3</v>
      </c>
      <c r="BR73" s="715">
        <v>2.3520262717614125E-3</v>
      </c>
      <c r="BS73" s="715">
        <v>2.8365617878522375E-3</v>
      </c>
      <c r="BT73" s="715">
        <v>3.4284723271339641E-3</v>
      </c>
      <c r="BW73" s="1188">
        <f>'2019'!R\Max</f>
        <v>0</v>
      </c>
      <c r="BX73" s="1188">
        <f>'2020'!R\Max</f>
        <v>0.39440580996795055</v>
      </c>
      <c r="BY73" s="1188">
        <f>'2021'!R\Max</f>
        <v>0.76488135754322006</v>
      </c>
      <c r="BZ73" s="1188">
        <f>'2022'!R\Max</f>
        <v>0.8623813409352703</v>
      </c>
      <c r="CA73" s="1188">
        <f>'2023'!R\Max</f>
        <v>0.86238016316974364</v>
      </c>
      <c r="CB73" s="1188">
        <f>'2024'!R\Max</f>
        <v>0.86237898293939408</v>
      </c>
      <c r="CC73" s="1188">
        <f>'2025'!R\Max</f>
        <v>0.86237759652233648</v>
      </c>
      <c r="CD73" s="1188">
        <f>'2026'!R\Max</f>
        <v>0.86237620623418487</v>
      </c>
      <c r="CE73" s="1189">
        <f>'2027'!R\Max</f>
        <v>0.86238344619372698</v>
      </c>
      <c r="CF73" s="1191">
        <f>'2028'!R\Max</f>
        <v>0.8623824256060233</v>
      </c>
    </row>
    <row r="74" spans="1:84" s="6" customFormat="1" ht="11.25" x14ac:dyDescent="0.2">
      <c r="A74" s="11">
        <v>43160</v>
      </c>
      <c r="B74" s="379">
        <f>'2023'!Maxi_hp</f>
        <v>46.300334532075077</v>
      </c>
      <c r="C74" s="13">
        <f>'2023'!An_max</f>
        <v>2022</v>
      </c>
      <c r="D74" s="1045" t="str">
        <f t="shared" si="7"/>
        <v/>
      </c>
      <c r="E74" s="13"/>
      <c r="F74" s="13">
        <f t="shared" si="23"/>
        <v>5</v>
      </c>
      <c r="G74" s="13">
        <f t="shared" si="24"/>
        <v>6</v>
      </c>
      <c r="H74" s="173">
        <f t="shared" si="8"/>
        <v>43150</v>
      </c>
      <c r="I74" s="742">
        <f t="shared" si="9"/>
        <v>0.7142857142857143</v>
      </c>
      <c r="J74" s="735">
        <f t="shared" si="27"/>
        <v>47.739188046620356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38">
        <v>43160</v>
      </c>
      <c r="AP74" s="13">
        <f t="shared" si="11"/>
        <v>3</v>
      </c>
      <c r="AQ74" s="13">
        <f t="shared" si="12"/>
        <v>4</v>
      </c>
      <c r="AR74" s="173">
        <f t="shared" si="13"/>
        <v>43136</v>
      </c>
      <c r="AS74" s="742">
        <f t="shared" si="14"/>
        <v>0.8571428571428571</v>
      </c>
      <c r="AT74" s="758">
        <f t="shared" si="15"/>
        <v>47.734306122708531</v>
      </c>
      <c r="AU74" s="13">
        <f t="shared" si="16"/>
        <v>3</v>
      </c>
      <c r="AV74" s="13">
        <f t="shared" si="17"/>
        <v>4</v>
      </c>
      <c r="AW74" s="173">
        <f t="shared" si="18"/>
        <v>43150</v>
      </c>
      <c r="AX74" s="742">
        <f t="shared" si="19"/>
        <v>0.35714285714285715</v>
      </c>
      <c r="AY74" s="758">
        <f t="shared" si="20"/>
        <v>47.803353043193262</v>
      </c>
      <c r="AZ74" s="735">
        <f t="shared" si="26"/>
        <v>47.7688295829509</v>
      </c>
      <c r="BA74" s="633">
        <f t="shared" si="21"/>
        <v>0.96986011758012836</v>
      </c>
      <c r="BC74" s="11">
        <v>43160</v>
      </c>
      <c r="BD74" s="289">
        <f>[2]!FeuilCaduc*(1-Persistant)+Persistant</f>
        <v>0.50367878745206141</v>
      </c>
      <c r="BE74" s="290">
        <f>[2]!CroissVégét</f>
        <v>1.4143631071573595E-2</v>
      </c>
      <c r="BF74" s="804">
        <f>1+[2]!Salcycl*Ksac</f>
        <v>1.0003678787452062</v>
      </c>
      <c r="BH74" s="1036">
        <f t="shared" si="22"/>
        <v>1.2126807157889245E-3</v>
      </c>
      <c r="BI74" s="11">
        <v>44256</v>
      </c>
      <c r="BJ74" s="715">
        <v>1.0361821208626052E-3</v>
      </c>
      <c r="BK74" s="715">
        <v>1.0361821208626052E-3</v>
      </c>
      <c r="BL74" s="715">
        <v>1.0560421608570589E-3</v>
      </c>
      <c r="BM74" s="715">
        <v>1.1365578532131716E-3</v>
      </c>
      <c r="BN74" s="715">
        <v>1.2890742834929909E-3</v>
      </c>
      <c r="BO74" s="716">
        <v>1.4976482793930695E-3</v>
      </c>
      <c r="BP74" s="715">
        <v>1.7318577557755217E-3</v>
      </c>
      <c r="BQ74" s="715">
        <v>2.0013197299113979E-3</v>
      </c>
      <c r="BR74" s="715">
        <v>2.328991149336664E-3</v>
      </c>
      <c r="BS74" s="715">
        <v>2.7751267893779386E-3</v>
      </c>
      <c r="BT74" s="715">
        <v>3.3187645472021235E-3</v>
      </c>
      <c r="BW74" s="1188">
        <f>'2019'!R\Max</f>
        <v>0</v>
      </c>
      <c r="BX74" s="1188">
        <f>'2020'!R\Max</f>
        <v>0.37413338952444913</v>
      </c>
      <c r="BY74" s="1188">
        <f>'2021'!R\Max</f>
        <v>0.87909133479746804</v>
      </c>
      <c r="BZ74" s="1188">
        <f>'2022'!R\Max</f>
        <v>0.96986011758012836</v>
      </c>
      <c r="CA74" s="1188">
        <f>'2023'!R\Max</f>
        <v>0.96985983896401518</v>
      </c>
      <c r="CB74" s="1188">
        <f>'2024'!R\Max</f>
        <v>0.96985955982566696</v>
      </c>
      <c r="CC74" s="1188">
        <f>'2025'!R\Max</f>
        <v>0.96985923926460171</v>
      </c>
      <c r="CD74" s="1188">
        <f>'2026'!R\Max</f>
        <v>0.96985891784237555</v>
      </c>
      <c r="CE74" s="1189">
        <f>'2027'!R\Max</f>
        <v>0.96986062408056828</v>
      </c>
      <c r="CF74" s="1191">
        <f>'2028'!R\Max</f>
        <v>0.96986037847427964</v>
      </c>
    </row>
    <row r="75" spans="1:84" s="6" customFormat="1" ht="11.25" x14ac:dyDescent="0.2">
      <c r="A75" s="11">
        <v>43161</v>
      </c>
      <c r="B75" s="379">
        <f>'2023'!Maxi_hp</f>
        <v>33.645098322767872</v>
      </c>
      <c r="C75" s="13">
        <f>'2023'!An_max</f>
        <v>2020</v>
      </c>
      <c r="D75" s="1045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73">
        <f t="shared" si="8"/>
        <v>43150</v>
      </c>
      <c r="I75" s="742">
        <f t="shared" si="9"/>
        <v>0.7857142857142857</v>
      </c>
      <c r="J75" s="735">
        <f t="shared" si="27"/>
        <v>48.093396774719338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38">
        <v>43161</v>
      </c>
      <c r="AP75" s="13">
        <f t="shared" si="11"/>
        <v>3</v>
      </c>
      <c r="AQ75" s="13">
        <f t="shared" si="12"/>
        <v>4</v>
      </c>
      <c r="AR75" s="173">
        <f t="shared" si="13"/>
        <v>43136</v>
      </c>
      <c r="AS75" s="742">
        <f t="shared" si="14"/>
        <v>0.8928571428571429</v>
      </c>
      <c r="AT75" s="758">
        <f t="shared" si="15"/>
        <v>48.095200574318213</v>
      </c>
      <c r="AU75" s="13">
        <f t="shared" si="16"/>
        <v>3</v>
      </c>
      <c r="AV75" s="13">
        <f t="shared" si="17"/>
        <v>4</v>
      </c>
      <c r="AW75" s="173">
        <f t="shared" si="18"/>
        <v>43150</v>
      </c>
      <c r="AX75" s="742">
        <f t="shared" si="19"/>
        <v>0.39285714285714285</v>
      </c>
      <c r="AY75" s="758">
        <f t="shared" si="20"/>
        <v>48.171752107063583</v>
      </c>
      <c r="AZ75" s="735">
        <f t="shared" si="26"/>
        <v>48.133476340690898</v>
      </c>
      <c r="BA75" s="633">
        <f t="shared" si="21"/>
        <v>0.69957833255923552</v>
      </c>
      <c r="BC75" s="11">
        <v>43161</v>
      </c>
      <c r="BD75" s="289">
        <f>[2]!FeuilCaduc*(1-Persistant)+Persistant</f>
        <v>0.50380629869445648</v>
      </c>
      <c r="BE75" s="290">
        <f>[2]!CroissVégét</f>
        <v>1.47848730100967E-2</v>
      </c>
      <c r="BF75" s="804">
        <f>1+[2]!Salcycl*Ksac</f>
        <v>1.0003806298694458</v>
      </c>
      <c r="BH75" s="1036">
        <f t="shared" si="22"/>
        <v>1.2425372914765423E-3</v>
      </c>
      <c r="BI75" s="11">
        <v>44257</v>
      </c>
      <c r="BJ75" s="715">
        <v>1.0671317169850107E-3</v>
      </c>
      <c r="BK75" s="715">
        <v>1.0671317169850109E-3</v>
      </c>
      <c r="BL75" s="715">
        <v>1.0869450282021936E-3</v>
      </c>
      <c r="BM75" s="715">
        <v>1.1670741247562775E-3</v>
      </c>
      <c r="BN75" s="715">
        <v>1.3182688173406796E-3</v>
      </c>
      <c r="BO75" s="716">
        <v>1.5236320146386978E-3</v>
      </c>
      <c r="BP75" s="715">
        <v>1.7505679877754339E-3</v>
      </c>
      <c r="BQ75" s="715">
        <v>2.0056455327211093E-3</v>
      </c>
      <c r="BR75" s="715">
        <v>2.3103113540122165E-3</v>
      </c>
      <c r="BS75" s="715">
        <v>2.720356552705559E-3</v>
      </c>
      <c r="BT75" s="715">
        <v>3.2184625221374982E-3</v>
      </c>
      <c r="BW75" s="1188">
        <f>'2019'!R\Max</f>
        <v>0</v>
      </c>
      <c r="BX75" s="1188">
        <f>'2020'!R\Max</f>
        <v>0.69957833255923552</v>
      </c>
      <c r="BY75" s="1188">
        <f>'2021'!R\Max</f>
        <v>0.38415258994180046</v>
      </c>
      <c r="BZ75" s="1188">
        <f>'2022'!R\Max</f>
        <v>0.28237886681781155</v>
      </c>
      <c r="CA75" s="1188">
        <f>'2023'!R\Max</f>
        <v>0.28237705429151888</v>
      </c>
      <c r="CB75" s="1188">
        <f>'2024'!R\Max</f>
        <v>0.28237523884121463</v>
      </c>
      <c r="CC75" s="1188">
        <f>'2025'!R\Max</f>
        <v>0.28237320154959228</v>
      </c>
      <c r="CD75" s="1188">
        <f>'2026'!R\Max</f>
        <v>0.28237115910569055</v>
      </c>
      <c r="CE75" s="1189">
        <f>'2027'!R\Max</f>
        <v>0.28238221548965908</v>
      </c>
      <c r="CF75" s="1191">
        <f>'2028'!R\Max</f>
        <v>0.28238059125724918</v>
      </c>
    </row>
    <row r="76" spans="1:84" s="6" customFormat="1" ht="11.25" x14ac:dyDescent="0.2">
      <c r="A76" s="11">
        <v>43162</v>
      </c>
      <c r="B76" s="379">
        <f>'2023'!Maxi_hp</f>
        <v>37.465231980084269</v>
      </c>
      <c r="C76" s="13">
        <f>'2023'!An_max</f>
        <v>2022</v>
      </c>
      <c r="D76" s="1045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73">
        <f t="shared" si="8"/>
        <v>43150</v>
      </c>
      <c r="I76" s="742">
        <f t="shared" si="9"/>
        <v>0.8571428571428571</v>
      </c>
      <c r="J76" s="735">
        <f t="shared" si="27"/>
        <v>48.446779883307002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38">
        <v>43162</v>
      </c>
      <c r="AP76" s="13">
        <f t="shared" si="11"/>
        <v>3</v>
      </c>
      <c r="AQ76" s="13">
        <f t="shared" si="12"/>
        <v>4</v>
      </c>
      <c r="AR76" s="173">
        <f t="shared" si="13"/>
        <v>43136</v>
      </c>
      <c r="AS76" s="742">
        <f t="shared" si="14"/>
        <v>0.9285714285714286</v>
      </c>
      <c r="AT76" s="758">
        <f t="shared" si="15"/>
        <v>48.451948979975917</v>
      </c>
      <c r="AU76" s="13">
        <f t="shared" si="16"/>
        <v>3</v>
      </c>
      <c r="AV76" s="13">
        <f t="shared" si="17"/>
        <v>4</v>
      </c>
      <c r="AW76" s="173">
        <f t="shared" si="18"/>
        <v>43150</v>
      </c>
      <c r="AX76" s="742">
        <f t="shared" si="19"/>
        <v>0.42857142857142855</v>
      </c>
      <c r="AY76" s="758">
        <f t="shared" si="20"/>
        <v>48.538962099222196</v>
      </c>
      <c r="AZ76" s="735">
        <f t="shared" si="26"/>
        <v>48.495455539599057</v>
      </c>
      <c r="BA76" s="633">
        <f t="shared" si="21"/>
        <v>0.77332759928164851</v>
      </c>
      <c r="BC76" s="11">
        <v>43162</v>
      </c>
      <c r="BD76" s="289">
        <f>[2]!FeuilCaduc*(1-Persistant)+Persistant</f>
        <v>0.50393442864065063</v>
      </c>
      <c r="BE76" s="290">
        <f>[2]!CroissVégét</f>
        <v>1.5452129829812465E-2</v>
      </c>
      <c r="BF76" s="804">
        <f>1+[2]!Salcycl*Ksac</f>
        <v>1.0003934428640651</v>
      </c>
      <c r="BH76" s="1036">
        <f t="shared" si="22"/>
        <v>1.2730232187543938E-3</v>
      </c>
      <c r="BI76" s="11">
        <v>44258</v>
      </c>
      <c r="BJ76" s="715">
        <v>1.0986706584433107E-3</v>
      </c>
      <c r="BK76" s="715">
        <v>1.0986706584433109E-3</v>
      </c>
      <c r="BL76" s="715">
        <v>1.1184371348411752E-3</v>
      </c>
      <c r="BM76" s="715">
        <v>1.1981895727964729E-3</v>
      </c>
      <c r="BN76" s="715">
        <v>1.3481229851792251E-3</v>
      </c>
      <c r="BO76" s="716">
        <v>1.5505091153016541E-3</v>
      </c>
      <c r="BP76" s="715">
        <v>1.7707907924469852E-3</v>
      </c>
      <c r="BQ76" s="715">
        <v>2.0126235783981231E-3</v>
      </c>
      <c r="BR76" s="715">
        <v>2.2959860908901317E-3</v>
      </c>
      <c r="BS76" s="715">
        <v>2.6722501213905241E-3</v>
      </c>
      <c r="BT76" s="715">
        <v>3.1275650952463725E-3</v>
      </c>
      <c r="BW76" s="1188">
        <f>'2019'!R\Max</f>
        <v>0</v>
      </c>
      <c r="BX76" s="1188">
        <f>'2020'!R\Max</f>
        <v>0.49171040649505565</v>
      </c>
      <c r="BY76" s="1188">
        <f>'2021'!R\Max</f>
        <v>0.33777637503603813</v>
      </c>
      <c r="BZ76" s="1188">
        <f>'2022'!R\Max</f>
        <v>0.77332759928164851</v>
      </c>
      <c r="CA76" s="1188">
        <f>'2023'!R\Max</f>
        <v>0.77332605003342936</v>
      </c>
      <c r="CB76" s="1188">
        <f>'2024'!R\Max</f>
        <v>0.7733244986992901</v>
      </c>
      <c r="CC76" s="1188">
        <f>'2025'!R\Max</f>
        <v>0.77332279785224423</v>
      </c>
      <c r="CD76" s="1188">
        <f>'2026'!R\Max</f>
        <v>0.77332109299493079</v>
      </c>
      <c r="CE76" s="1189">
        <f>'2027'!R\Max</f>
        <v>0.77333050548929172</v>
      </c>
      <c r="CF76" s="1191">
        <f>'2028'!R\Max</f>
        <v>0.77332909551452422</v>
      </c>
    </row>
    <row r="77" spans="1:84" s="6" customFormat="1" ht="11.25" x14ac:dyDescent="0.2">
      <c r="A77" s="11">
        <v>43163</v>
      </c>
      <c r="B77" s="379">
        <f>'2023'!Maxi_hp</f>
        <v>31.305227886602569</v>
      </c>
      <c r="C77" s="13">
        <f>'2023'!An_max</f>
        <v>2021</v>
      </c>
      <c r="D77" s="1045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73">
        <f t="shared" si="8"/>
        <v>43150</v>
      </c>
      <c r="I77" s="742">
        <f t="shared" si="9"/>
        <v>0.9285714285714286</v>
      </c>
      <c r="J77" s="735">
        <f t="shared" si="27"/>
        <v>48.799445061798075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38">
        <v>43163</v>
      </c>
      <c r="AP77" s="13">
        <f t="shared" si="11"/>
        <v>3</v>
      </c>
      <c r="AQ77" s="13">
        <f t="shared" si="12"/>
        <v>4</v>
      </c>
      <c r="AR77" s="173">
        <f t="shared" si="13"/>
        <v>43136</v>
      </c>
      <c r="AS77" s="742">
        <f t="shared" si="14"/>
        <v>0.9642857142857143</v>
      </c>
      <c r="AT77" s="758">
        <f t="shared" si="15"/>
        <v>48.804174426630411</v>
      </c>
      <c r="AU77" s="13">
        <f t="shared" si="16"/>
        <v>3</v>
      </c>
      <c r="AV77" s="13">
        <f t="shared" si="17"/>
        <v>4</v>
      </c>
      <c r="AW77" s="173">
        <f t="shared" si="18"/>
        <v>43150</v>
      </c>
      <c r="AX77" s="742">
        <f t="shared" si="19"/>
        <v>0.4642857142857143</v>
      </c>
      <c r="AY77" s="758">
        <f t="shared" si="20"/>
        <v>48.904646490321362</v>
      </c>
      <c r="AZ77" s="735">
        <f t="shared" si="26"/>
        <v>48.854410458475883</v>
      </c>
      <c r="BA77" s="633">
        <f t="shared" si="21"/>
        <v>0.64150786647181368</v>
      </c>
      <c r="BC77" s="11">
        <v>43163</v>
      </c>
      <c r="BD77" s="289">
        <f>[2]!FeuilCaduc*(1-Persistant)+Persistant</f>
        <v>0.50406454322149952</v>
      </c>
      <c r="BE77" s="290">
        <f>[2]!CroissVégét</f>
        <v>1.6146418920009037E-2</v>
      </c>
      <c r="BF77" s="804">
        <f>1+[2]!Salcycl*Ksac</f>
        <v>1.00040645432215</v>
      </c>
      <c r="BH77" s="1036">
        <f t="shared" si="22"/>
        <v>1.3041380547007203E-3</v>
      </c>
      <c r="BI77" s="11">
        <v>44259</v>
      </c>
      <c r="BJ77" s="715">
        <v>1.1307985664667452E-3</v>
      </c>
      <c r="BK77" s="715">
        <v>1.130798566466745E-3</v>
      </c>
      <c r="BL77" s="715">
        <v>1.1505180946657322E-3</v>
      </c>
      <c r="BM77" s="715">
        <v>1.2299037817527106E-3</v>
      </c>
      <c r="BN77" s="715">
        <v>1.378636316648929E-3</v>
      </c>
      <c r="BO77" s="716">
        <v>1.5782790397266763E-3</v>
      </c>
      <c r="BP77" s="715">
        <v>1.7925255567117018E-3</v>
      </c>
      <c r="BQ77" s="715">
        <v>2.0222531824571773E-3</v>
      </c>
      <c r="BR77" s="715">
        <v>2.2860145969038552E-3</v>
      </c>
      <c r="BS77" s="715">
        <v>2.6308066264413895E-3</v>
      </c>
      <c r="BT77" s="715">
        <v>3.0460712672953603E-3</v>
      </c>
      <c r="BW77" s="1188">
        <f>'2019'!R\Max</f>
        <v>0</v>
      </c>
      <c r="BX77" s="1188">
        <f>'2020'!R\Max</f>
        <v>0.11574474665526044</v>
      </c>
      <c r="BY77" s="1188">
        <f>'2021'!R\Max</f>
        <v>0.64150786647181368</v>
      </c>
      <c r="BZ77" s="1188">
        <f>'2022'!R\Max</f>
        <v>8.2208917167436127E-2</v>
      </c>
      <c r="CA77" s="1188">
        <f>'2023'!R\Max</f>
        <v>8.2208425949360606E-2</v>
      </c>
      <c r="CB77" s="1188">
        <f>'2024'!R\Max</f>
        <v>8.2207934221201692E-2</v>
      </c>
      <c r="CC77" s="1188">
        <f>'2025'!R\Max</f>
        <v>8.2207407508498018E-2</v>
      </c>
      <c r="CD77" s="1188">
        <f>'2026'!R\Max</f>
        <v>8.2206879674447245E-2</v>
      </c>
      <c r="CE77" s="1189">
        <f>'2027'!R\Max</f>
        <v>8.2209851838352166E-2</v>
      </c>
      <c r="CF77" s="1191">
        <f>'2028'!R\Max</f>
        <v>8.2209398259416672E-2</v>
      </c>
    </row>
    <row r="78" spans="1:84" s="6" customFormat="1" ht="11.25" x14ac:dyDescent="0.2">
      <c r="A78" s="11">
        <v>43164</v>
      </c>
      <c r="B78" s="379">
        <f>'2023'!Maxi_hp</f>
        <v>38.458441078302194</v>
      </c>
      <c r="C78" s="13">
        <f>'2023'!An_max</f>
        <v>2021</v>
      </c>
      <c r="D78" s="1045" t="str">
        <f t="shared" si="7"/>
        <v/>
      </c>
      <c r="E78" s="1040">
        <f>R$13/10</f>
        <v>49.151499999999999</v>
      </c>
      <c r="F78" s="13">
        <f t="shared" si="23"/>
        <v>7</v>
      </c>
      <c r="G78" s="13">
        <f t="shared" si="24"/>
        <v>6</v>
      </c>
      <c r="H78" s="173">
        <f t="shared" si="8"/>
        <v>43178</v>
      </c>
      <c r="I78" s="742">
        <f t="shared" si="9"/>
        <v>1</v>
      </c>
      <c r="J78" s="735">
        <f t="shared" si="27"/>
        <v>49.151499999873337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38">
        <v>43164</v>
      </c>
      <c r="AP78" s="13">
        <f t="shared" si="11"/>
        <v>5</v>
      </c>
      <c r="AQ78" s="13">
        <f t="shared" si="12"/>
        <v>4</v>
      </c>
      <c r="AR78" s="173">
        <f t="shared" si="13"/>
        <v>43192</v>
      </c>
      <c r="AS78" s="742">
        <f t="shared" si="14"/>
        <v>1</v>
      </c>
      <c r="AT78" s="758">
        <f t="shared" si="15"/>
        <v>49.151500000245868</v>
      </c>
      <c r="AU78" s="13">
        <f t="shared" si="16"/>
        <v>3</v>
      </c>
      <c r="AV78" s="13">
        <f t="shared" si="17"/>
        <v>4</v>
      </c>
      <c r="AW78" s="173">
        <f t="shared" si="18"/>
        <v>43150</v>
      </c>
      <c r="AX78" s="742">
        <f t="shared" si="19"/>
        <v>0.5</v>
      </c>
      <c r="AY78" s="758">
        <f t="shared" si="20"/>
        <v>49.268468750175089</v>
      </c>
      <c r="AZ78" s="735">
        <f t="shared" si="26"/>
        <v>49.209984375210482</v>
      </c>
      <c r="BA78" s="633">
        <f t="shared" si="21"/>
        <v>0.78244694624581757</v>
      </c>
      <c r="BC78" s="11">
        <v>43164</v>
      </c>
      <c r="BD78" s="289">
        <f>[2]!FeuilCaduc*(1-Persistant)+Persistant</f>
        <v>0.50419820582872832</v>
      </c>
      <c r="BE78" s="290">
        <f>[2]!CroissVégét</f>
        <v>1.6868794263800321E-2</v>
      </c>
      <c r="BF78" s="804">
        <f>1+[2]!Salcycl*Ksac</f>
        <v>1.0004198205828729</v>
      </c>
      <c r="BH78" s="1036">
        <f t="shared" si="22"/>
        <v>1.3358813105013249E-3</v>
      </c>
      <c r="BI78" s="11">
        <v>44260</v>
      </c>
      <c r="BJ78" s="715">
        <v>1.1635150148822683E-3</v>
      </c>
      <c r="BK78" s="715">
        <v>1.1635150148822683E-3</v>
      </c>
      <c r="BL78" s="715">
        <v>1.1831874742349853E-3</v>
      </c>
      <c r="BM78" s="715">
        <v>1.2622162892571376E-3</v>
      </c>
      <c r="BN78" s="715">
        <v>1.4098082963952029E-3</v>
      </c>
      <c r="BO78" s="716">
        <v>1.6069412053763734E-3</v>
      </c>
      <c r="BP78" s="715">
        <v>1.8157716356767414E-3</v>
      </c>
      <c r="BQ78" s="715">
        <v>2.0345336467619849E-3</v>
      </c>
      <c r="BR78" s="715">
        <v>2.2803961247142134E-3</v>
      </c>
      <c r="BS78" s="715">
        <v>2.5960252616718678E-3</v>
      </c>
      <c r="BT78" s="715">
        <v>2.9739801617227907E-3</v>
      </c>
      <c r="BW78" s="1188">
        <f>'2019'!R\Max</f>
        <v>0</v>
      </c>
      <c r="BX78" s="1188">
        <f>'2020'!R\Max</f>
        <v>0.185767424592859</v>
      </c>
      <c r="BY78" s="1188">
        <f>'2021'!R\Max</f>
        <v>0.78244694624581757</v>
      </c>
      <c r="BZ78" s="1188">
        <f>'2022'!R\Max</f>
        <v>0.27960398039883055</v>
      </c>
      <c r="CA78" s="1188">
        <f>'2023'!R\Max</f>
        <v>0.2796023631683856</v>
      </c>
      <c r="CB78" s="1188">
        <f>'2024'!R\Max</f>
        <v>0.2796007447770939</v>
      </c>
      <c r="CC78" s="1188">
        <f>'2025'!R\Max</f>
        <v>0.27959905063422386</v>
      </c>
      <c r="CD78" s="1188">
        <f>'2026'!R\Max</f>
        <v>0.27959735332379765</v>
      </c>
      <c r="CE78" s="1189">
        <f>'2027'!R\Max</f>
        <v>0.27960709796339367</v>
      </c>
      <c r="CF78" s="1191">
        <f>'2028'!R\Max</f>
        <v>0.27960558470410457</v>
      </c>
    </row>
    <row r="79" spans="1:84" s="6" customFormat="1" ht="11.25" x14ac:dyDescent="0.2">
      <c r="A79" s="11">
        <v>43165</v>
      </c>
      <c r="B79" s="379">
        <f>'2023'!Maxi_hp</f>
        <v>16.88749179346107</v>
      </c>
      <c r="C79" s="13">
        <f>'2023'!An_max</f>
        <v>2022</v>
      </c>
      <c r="D79" s="1045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73">
        <f t="shared" ref="H79:H142" si="61">INDEX(x.2m,F79)</f>
        <v>43178</v>
      </c>
      <c r="I79" s="742">
        <f t="shared" ref="I79:I142" si="62">($A79-H79)/(INDEX(x.2m,G79)-H79)</f>
        <v>0.9285714285714286</v>
      </c>
      <c r="J79" s="735">
        <f t="shared" ref="J79:J142" si="63">((1-I79)*(INDEX(a.m,F79)*$A79*$A79+INDEX(b.m,F79)*$A79+INDEX(c.m,F79))+I79*(INDEX(a.m,G79)*$A79*$A79+INDEX(b.m,G79)*$A79+INDEX(c.m,G79)))/10</f>
        <v>49.503949799175771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38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3">
        <f t="shared" ref="AR79:AR142" si="66">INDEX(x.2lg,AP79)</f>
        <v>43192</v>
      </c>
      <c r="AS79" s="742">
        <f t="shared" ref="AS79:AS142" si="67">($A79-AR79)/(INDEX(x.2lg,AQ79)-AR79)</f>
        <v>0.9642857142857143</v>
      </c>
      <c r="AT79" s="758">
        <f t="shared" ref="AT79:AT142" si="68">((1-AS79)*(INDEX(a.lg,AP79)*$A79*$A79+INDEX(b.lg,AP79)*$A79+INDEX(c.lg,AP79))+AS79*(INDEX(a.lg,AQ79)*$A79*$A79+INDEX(b.lg,AQ79)*$A79+INDEX(c.lg,AQ79)))/10</f>
        <v>49.497430097697574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3">
        <f t="shared" ref="AW79:AW142" si="71">INDEX(x.2ld,AU79)</f>
        <v>43150</v>
      </c>
      <c r="AX79" s="742">
        <f t="shared" ref="AX79:AX142" si="72">($A79-AW79)/(INDEX(x.2ld,AV79)-AW79)</f>
        <v>0.5357142857142857</v>
      </c>
      <c r="AY79" s="758">
        <f t="shared" ref="AY79:AY142" si="73">((1-AX79)*(INDEX(a.ld,AU79)*$A79*$A79+INDEX(b.ld,AU79)*$A79+INDEX(c.ld,AU79))+AX79*(INDEX(a.ld,AV79)*$A79*$A79+INDEX(b.ld,AV79)*$A79+INDEX(c.ld,AV79)))/10</f>
        <v>49.630092349369079</v>
      </c>
      <c r="AZ79" s="735">
        <f t="shared" si="26"/>
        <v>49.563761223533326</v>
      </c>
      <c r="BA79" s="633">
        <f t="shared" ref="BA79:BA142" si="74">+B79/J79</f>
        <v>0.34113422993456255</v>
      </c>
      <c r="BC79" s="11">
        <v>43165</v>
      </c>
      <c r="BD79" s="289">
        <f>[2]!FeuilCaduc*(1-Persistant)+Persistant</f>
        <v>0.50433717512471332</v>
      </c>
      <c r="BE79" s="290">
        <f>[2]!CroissVégét</f>
        <v>1.7620347483596571E-2</v>
      </c>
      <c r="BF79" s="804">
        <f>1+[2]!Salcycl*Ksac</f>
        <v>1.0004337175124713</v>
      </c>
      <c r="BH79" s="1036">
        <f t="shared" ref="BH79:BH142" si="75">INDEX($BJ79:$BT79,,$BH$10)*(1-Ratini)+INDEX($BJ79:$BT79,,$BH$10+1)*Ratini</f>
        <v>1.3682524491213741E-3</v>
      </c>
      <c r="BI79" s="11">
        <v>44261</v>
      </c>
      <c r="BJ79" s="715">
        <v>1.1968195279346023E-3</v>
      </c>
      <c r="BK79" s="715">
        <v>1.1968195279346023E-3</v>
      </c>
      <c r="BL79" s="715">
        <v>1.2164447905958736E-3</v>
      </c>
      <c r="BM79" s="715">
        <v>1.2951265839386457E-3</v>
      </c>
      <c r="BN79" s="715">
        <v>1.4416383616282248E-3</v>
      </c>
      <c r="BO79" s="716">
        <v>1.6364949855258032E-3</v>
      </c>
      <c r="BP79" s="715">
        <v>1.8405283470380842E-3</v>
      </c>
      <c r="BQ79" s="715">
        <v>2.0494642497111953E-3</v>
      </c>
      <c r="BR79" s="715">
        <v>2.2791299265962493E-3</v>
      </c>
      <c r="BS79" s="715">
        <v>2.5679052590422196E-3</v>
      </c>
      <c r="BT79" s="715">
        <v>2.9112909898376706E-3</v>
      </c>
      <c r="BW79" s="1188">
        <f>'2019'!R\Max</f>
        <v>0</v>
      </c>
      <c r="BX79" s="1188">
        <f>'2020'!R\Max</f>
        <v>0.24393427680877142</v>
      </c>
      <c r="BY79" s="1188">
        <f>'2021'!R\Max</f>
        <v>0.2372738128222229</v>
      </c>
      <c r="BZ79" s="1188">
        <f>'2022'!R\Max</f>
        <v>0.34113422993456255</v>
      </c>
      <c r="CA79" s="1188">
        <f>'2023'!R\Max</f>
        <v>0.34113242785465775</v>
      </c>
      <c r="CB79" s="1188">
        <f>'2024'!R\Max</f>
        <v>0.34113062508748043</v>
      </c>
      <c r="CC79" s="1188">
        <f>'2025'!R\Max</f>
        <v>0.34112877970450656</v>
      </c>
      <c r="CD79" s="1188">
        <f>'2026'!R\Max</f>
        <v>0.34112693141932032</v>
      </c>
      <c r="CE79" s="1189">
        <f>'2027'!R\Max</f>
        <v>0.34113774470891373</v>
      </c>
      <c r="CF79" s="1191">
        <f>'2028'!R\Max</f>
        <v>0.34113603825651212</v>
      </c>
    </row>
    <row r="80" spans="1:84" s="6" customFormat="1" ht="11.25" x14ac:dyDescent="0.2">
      <c r="A80" s="11">
        <v>43166</v>
      </c>
      <c r="B80" s="379">
        <f>'2023'!Maxi_hp</f>
        <v>41.211792495970926</v>
      </c>
      <c r="C80" s="13">
        <f>'2023'!An_max</f>
        <v>2022</v>
      </c>
      <c r="D80" s="1045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73">
        <f t="shared" si="61"/>
        <v>43178</v>
      </c>
      <c r="I80" s="742">
        <f t="shared" si="62"/>
        <v>0.8571428571428571</v>
      </c>
      <c r="J80" s="735">
        <f t="shared" si="63"/>
        <v>49.857368804620847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38">
        <v>43166</v>
      </c>
      <c r="AP80" s="13">
        <f t="shared" si="64"/>
        <v>5</v>
      </c>
      <c r="AQ80" s="13">
        <f t="shared" si="65"/>
        <v>4</v>
      </c>
      <c r="AR80" s="173">
        <f t="shared" si="66"/>
        <v>43192</v>
      </c>
      <c r="AS80" s="742">
        <f t="shared" si="67"/>
        <v>0.9285714285714286</v>
      </c>
      <c r="AT80" s="758">
        <f t="shared" si="68"/>
        <v>49.845415270009212</v>
      </c>
      <c r="AU80" s="13">
        <f t="shared" si="69"/>
        <v>3</v>
      </c>
      <c r="AV80" s="13">
        <f t="shared" si="70"/>
        <v>4</v>
      </c>
      <c r="AW80" s="173">
        <f t="shared" si="71"/>
        <v>43150</v>
      </c>
      <c r="AX80" s="742">
        <f t="shared" si="72"/>
        <v>0.5714285714285714</v>
      </c>
      <c r="AY80" s="758">
        <f t="shared" si="73"/>
        <v>49.989180757797193</v>
      </c>
      <c r="AZ80" s="735">
        <f t="shared" ref="AZ80:AZ143" si="77">(AY80+AT80)/2</f>
        <v>49.917298013903206</v>
      </c>
      <c r="BA80" s="633">
        <f t="shared" si="74"/>
        <v>0.82659381118707098</v>
      </c>
      <c r="BC80" s="11">
        <v>43166</v>
      </c>
      <c r="BD80" s="289">
        <f>[2]!FeuilCaduc*(1-Persistant)+Persistant</f>
        <v>0.50448340158613203</v>
      </c>
      <c r="BE80" s="290">
        <f>[2]!CroissVégét</f>
        <v>1.8402208892467707E-2</v>
      </c>
      <c r="BF80" s="804">
        <f>1+[2]!Salcycl*Ksac</f>
        <v>1.0004483401586133</v>
      </c>
      <c r="BH80" s="1036">
        <f t="shared" si="75"/>
        <v>1.3986804036100367E-3</v>
      </c>
      <c r="BI80" s="11">
        <v>44262</v>
      </c>
      <c r="BJ80" s="715">
        <v>1.2284896524690351E-3</v>
      </c>
      <c r="BK80" s="715">
        <v>1.2284896524690351E-3</v>
      </c>
      <c r="BL80" s="715">
        <v>1.2480257498555739E-3</v>
      </c>
      <c r="BM80" s="715">
        <v>1.32620772908887E-3</v>
      </c>
      <c r="BN80" s="715">
        <v>1.471410802604399E-3</v>
      </c>
      <c r="BO80" s="716">
        <v>1.6638441051457177E-3</v>
      </c>
      <c r="BP80" s="715">
        <v>1.8633609160040668E-3</v>
      </c>
      <c r="BQ80" s="715">
        <v>2.0635096488156152E-3</v>
      </c>
      <c r="BR80" s="715">
        <v>2.2789105700902535E-3</v>
      </c>
      <c r="BS80" s="715">
        <v>2.543890152504091E-3</v>
      </c>
      <c r="BT80" s="715">
        <v>2.8565247699854838E-3</v>
      </c>
      <c r="BW80" s="1188">
        <f>'2019'!R\Max</f>
        <v>0</v>
      </c>
      <c r="BX80" s="1188">
        <f>'2020'!R\Max</f>
        <v>0.42358962583208254</v>
      </c>
      <c r="BY80" s="1188">
        <f>'2021'!R\Max</f>
        <v>0.23350529645998916</v>
      </c>
      <c r="BZ80" s="1188">
        <f>'2022'!R\Max</f>
        <v>0.82659381118707098</v>
      </c>
      <c r="CA80" s="1188">
        <f>'2023'!R\Max</f>
        <v>0.82659269503127364</v>
      </c>
      <c r="CB80" s="1188">
        <f>'2024'!R\Max</f>
        <v>0.82659157880754486</v>
      </c>
      <c r="CC80" s="1188">
        <f>'2025'!R\Max</f>
        <v>0.82659045909820916</v>
      </c>
      <c r="CD80" s="1188">
        <f>'2026'!R\Max</f>
        <v>0.82658933796098588</v>
      </c>
      <c r="CE80" s="1189">
        <f>'2027'!R\Max</f>
        <v>0.82659600986564463</v>
      </c>
      <c r="CF80" s="1191">
        <f>'2028'!R\Max</f>
        <v>0.82659494216600948</v>
      </c>
    </row>
    <row r="81" spans="1:84" s="6" customFormat="1" ht="11.25" x14ac:dyDescent="0.2">
      <c r="A81" s="11">
        <v>43167</v>
      </c>
      <c r="B81" s="379">
        <f>'2023'!Maxi_hp</f>
        <v>38.670808244768345</v>
      </c>
      <c r="C81" s="13">
        <f>'2023'!An_max</f>
        <v>2022</v>
      </c>
      <c r="D81" s="1045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73">
        <f t="shared" si="61"/>
        <v>43178</v>
      </c>
      <c r="I81" s="742">
        <f t="shared" si="62"/>
        <v>0.7857142857142857</v>
      </c>
      <c r="J81" s="735">
        <f t="shared" si="63"/>
        <v>50.211218567511864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38">
        <v>43167</v>
      </c>
      <c r="AP81" s="13">
        <f t="shared" si="64"/>
        <v>5</v>
      </c>
      <c r="AQ81" s="13">
        <f t="shared" si="65"/>
        <v>4</v>
      </c>
      <c r="AR81" s="173">
        <f t="shared" si="66"/>
        <v>43192</v>
      </c>
      <c r="AS81" s="742">
        <f t="shared" si="67"/>
        <v>0.8928571428571429</v>
      </c>
      <c r="AT81" s="758">
        <f t="shared" si="68"/>
        <v>50.194997836582893</v>
      </c>
      <c r="AU81" s="13">
        <f t="shared" si="69"/>
        <v>3</v>
      </c>
      <c r="AV81" s="13">
        <f t="shared" si="70"/>
        <v>4</v>
      </c>
      <c r="AW81" s="173">
        <f t="shared" si="71"/>
        <v>43150</v>
      </c>
      <c r="AX81" s="742">
        <f t="shared" si="72"/>
        <v>0.6071428571428571</v>
      </c>
      <c r="AY81" s="758">
        <f t="shared" si="73"/>
        <v>50.34539744709285</v>
      </c>
      <c r="AZ81" s="735">
        <f t="shared" si="77"/>
        <v>50.270197641837868</v>
      </c>
      <c r="BA81" s="633">
        <f t="shared" si="74"/>
        <v>0.77016271160145666</v>
      </c>
      <c r="BC81" s="11">
        <v>43167</v>
      </c>
      <c r="BD81" s="289">
        <f>[2]!FeuilCaduc*(1-Persistant)+Persistant</f>
        <v>0.5046390228393236</v>
      </c>
      <c r="BE81" s="290">
        <f>[2]!CroissVégét</f>
        <v>1.9215548548887868E-2</v>
      </c>
      <c r="BF81" s="804">
        <f>1+[2]!Salcycl*Ksac</f>
        <v>1.0004639022839323</v>
      </c>
      <c r="BH81" s="1036">
        <f t="shared" si="75"/>
        <v>1.4248243673319215E-3</v>
      </c>
      <c r="BI81" s="11">
        <v>44263</v>
      </c>
      <c r="BJ81" s="715">
        <v>1.256566531291831E-3</v>
      </c>
      <c r="BK81" s="715">
        <v>1.2565665312918313E-3</v>
      </c>
      <c r="BL81" s="715">
        <v>1.2759286365125471E-3</v>
      </c>
      <c r="BM81" s="715">
        <v>1.3532852209946114E-3</v>
      </c>
      <c r="BN81" s="715">
        <v>1.4966179183662361E-3</v>
      </c>
      <c r="BO81" s="716">
        <v>1.6860771224594927E-3</v>
      </c>
      <c r="BP81" s="715">
        <v>1.8809858801656844E-3</v>
      </c>
      <c r="BQ81" s="715">
        <v>2.0730519037314515E-3</v>
      </c>
      <c r="BR81" s="715">
        <v>2.2756489901252616E-3</v>
      </c>
      <c r="BS81" s="715">
        <v>2.5192888793093443E-3</v>
      </c>
      <c r="BT81" s="715">
        <v>2.8042822254088469E-3</v>
      </c>
      <c r="BW81" s="1188">
        <f>'2019'!R\Max</f>
        <v>0</v>
      </c>
      <c r="BX81" s="1188">
        <f>'2020'!R\Max</f>
        <v>0.6024675962106838</v>
      </c>
      <c r="BY81" s="1188">
        <f>'2021'!R\Max</f>
        <v>0.43145290903919814</v>
      </c>
      <c r="BZ81" s="1188">
        <f>'2022'!R\Max</f>
        <v>0.77016271160145666</v>
      </c>
      <c r="CA81" s="1188">
        <f>'2023'!R\Max</f>
        <v>0.77016137412809416</v>
      </c>
      <c r="CB81" s="1188">
        <f>'2024'!R\Max</f>
        <v>0.77016003698543167</v>
      </c>
      <c r="CC81" s="1188">
        <f>'2025'!R\Max</f>
        <v>0.77015871900039112</v>
      </c>
      <c r="CD81" s="1188">
        <f>'2026'!R\Max</f>
        <v>0.77015739974582931</v>
      </c>
      <c r="CE81" s="1189">
        <f>'2027'!R\Max</f>
        <v>0.77016536705670369</v>
      </c>
      <c r="CF81" s="1191">
        <f>'2028'!R\Max</f>
        <v>0.7701640772950934</v>
      </c>
    </row>
    <row r="82" spans="1:84" s="6" customFormat="1" ht="11.25" x14ac:dyDescent="0.2">
      <c r="A82" s="11">
        <v>43168</v>
      </c>
      <c r="B82" s="379">
        <f>'2023'!Maxi_hp</f>
        <v>46.982445789324288</v>
      </c>
      <c r="C82" s="13">
        <f>'2023'!An_max</f>
        <v>2021</v>
      </c>
      <c r="D82" s="1045" t="str">
        <f t="shared" si="59"/>
        <v/>
      </c>
      <c r="E82" s="13"/>
      <c r="F82" s="13">
        <f t="shared" si="76"/>
        <v>7</v>
      </c>
      <c r="G82" s="13">
        <f t="shared" si="60"/>
        <v>6</v>
      </c>
      <c r="H82" s="173">
        <f t="shared" si="61"/>
        <v>43178</v>
      </c>
      <c r="I82" s="742">
        <f t="shared" si="62"/>
        <v>0.7142857142857143</v>
      </c>
      <c r="J82" s="735">
        <f t="shared" si="63"/>
        <v>50.564960641254274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38">
        <v>43168</v>
      </c>
      <c r="AP82" s="13">
        <f t="shared" si="64"/>
        <v>5</v>
      </c>
      <c r="AQ82" s="13">
        <f t="shared" si="65"/>
        <v>4</v>
      </c>
      <c r="AR82" s="173">
        <f t="shared" si="66"/>
        <v>43192</v>
      </c>
      <c r="AS82" s="742">
        <f t="shared" si="67"/>
        <v>0.8571428571428571</v>
      </c>
      <c r="AT82" s="758">
        <f t="shared" si="68"/>
        <v>50.545720116794108</v>
      </c>
      <c r="AU82" s="13">
        <f t="shared" si="69"/>
        <v>3</v>
      </c>
      <c r="AV82" s="13">
        <f t="shared" si="70"/>
        <v>4</v>
      </c>
      <c r="AW82" s="173">
        <f t="shared" si="71"/>
        <v>43150</v>
      </c>
      <c r="AX82" s="742">
        <f t="shared" si="72"/>
        <v>0.6428571428571429</v>
      </c>
      <c r="AY82" s="758">
        <f t="shared" si="73"/>
        <v>50.6984058858095</v>
      </c>
      <c r="AZ82" s="735">
        <f t="shared" si="77"/>
        <v>50.622063001301804</v>
      </c>
      <c r="BA82" s="633">
        <f t="shared" si="74"/>
        <v>0.92915024937234636</v>
      </c>
      <c r="BC82" s="11">
        <v>43168</v>
      </c>
      <c r="BD82" s="289">
        <f>[2]!FeuilCaduc*(1-Persistant)+Persistant</f>
        <v>0.50480635785513883</v>
      </c>
      <c r="BE82" s="290">
        <f>[2]!CroissVégét</f>
        <v>2.0061577312061717E-2</v>
      </c>
      <c r="BF82" s="804">
        <f>1+[2]!Salcycl*Ksac</f>
        <v>1.0004806357855138</v>
      </c>
      <c r="BH82" s="1036">
        <f t="shared" si="75"/>
        <v>1.4466836421027939E-3</v>
      </c>
      <c r="BI82" s="11">
        <v>44264</v>
      </c>
      <c r="BJ82" s="715">
        <v>1.2810495248742788E-3</v>
      </c>
      <c r="BK82" s="715">
        <v>1.2810495248742788E-3</v>
      </c>
      <c r="BL82" s="715">
        <v>1.3001528039946889E-3</v>
      </c>
      <c r="BM82" s="715">
        <v>1.3763583857239893E-3</v>
      </c>
      <c r="BN82" s="715">
        <v>1.5172589863909015E-3</v>
      </c>
      <c r="BO82" s="716">
        <v>1.7031932549853356E-3</v>
      </c>
      <c r="BP82" s="715">
        <v>1.893402407484885E-3</v>
      </c>
      <c r="BQ82" s="715">
        <v>2.0780901586982658E-3</v>
      </c>
      <c r="BR82" s="715">
        <v>2.2693443340702697E-3</v>
      </c>
      <c r="BS82" s="715">
        <v>2.4941006270131536E-3</v>
      </c>
      <c r="BT82" s="715">
        <v>2.7545626063894798E-3</v>
      </c>
      <c r="BW82" s="1188">
        <f>'2019'!R\Max</f>
        <v>0</v>
      </c>
      <c r="BX82" s="1188">
        <f>'2020'!R\Max</f>
        <v>0.67830501207554117</v>
      </c>
      <c r="BY82" s="1188">
        <f>'2021'!R\Max</f>
        <v>0.92915024937234636</v>
      </c>
      <c r="BZ82" s="1188">
        <f>'2022'!R\Max</f>
        <v>0.6684735841727123</v>
      </c>
      <c r="CA82" s="1188">
        <f>'2023'!R\Max</f>
        <v>0.66847196094583328</v>
      </c>
      <c r="CB82" s="1188">
        <f>'2024'!R\Max</f>
        <v>0.66847033857181359</v>
      </c>
      <c r="CC82" s="1188">
        <f>'2025'!R\Max</f>
        <v>0.6684687624471628</v>
      </c>
      <c r="CD82" s="1188">
        <f>'2026'!R\Max</f>
        <v>0.66846718528955906</v>
      </c>
      <c r="CE82" s="1189">
        <f>'2027'!R\Max</f>
        <v>0.66847682542522624</v>
      </c>
      <c r="CF82" s="1191">
        <f>'2028'!R\Max</f>
        <v>0.66847525087567505</v>
      </c>
    </row>
    <row r="83" spans="1:84" s="6" customFormat="1" ht="11.25" x14ac:dyDescent="0.2">
      <c r="A83" s="11">
        <v>43169</v>
      </c>
      <c r="B83" s="379">
        <f>'2023'!Maxi_hp</f>
        <v>45.805582995042379</v>
      </c>
      <c r="C83" s="13">
        <f>'2023'!An_max</f>
        <v>2021</v>
      </c>
      <c r="D83" s="1045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73">
        <f t="shared" si="61"/>
        <v>43178</v>
      </c>
      <c r="I83" s="742">
        <f t="shared" si="62"/>
        <v>0.6428571428571429</v>
      </c>
      <c r="J83" s="735">
        <f t="shared" si="63"/>
        <v>50.918056577750079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38">
        <v>43169</v>
      </c>
      <c r="AP83" s="13">
        <f t="shared" si="64"/>
        <v>5</v>
      </c>
      <c r="AQ83" s="13">
        <f t="shared" si="65"/>
        <v>4</v>
      </c>
      <c r="AR83" s="173">
        <f t="shared" si="66"/>
        <v>43192</v>
      </c>
      <c r="AS83" s="742">
        <f t="shared" si="67"/>
        <v>0.8214285714285714</v>
      </c>
      <c r="AT83" s="758">
        <f t="shared" si="68"/>
        <v>50.897124430829919</v>
      </c>
      <c r="AU83" s="13">
        <f t="shared" si="69"/>
        <v>3</v>
      </c>
      <c r="AV83" s="13">
        <f t="shared" si="70"/>
        <v>4</v>
      </c>
      <c r="AW83" s="173">
        <f t="shared" si="71"/>
        <v>43150</v>
      </c>
      <c r="AX83" s="742">
        <f t="shared" si="72"/>
        <v>0.6785714285714286</v>
      </c>
      <c r="AY83" s="758">
        <f t="shared" si="73"/>
        <v>51.047869545078314</v>
      </c>
      <c r="AZ83" s="735">
        <f t="shared" si="77"/>
        <v>50.972496987954116</v>
      </c>
      <c r="BA83" s="633">
        <f t="shared" si="74"/>
        <v>0.89959409438769267</v>
      </c>
      <c r="BC83" s="11">
        <v>43169</v>
      </c>
      <c r="BD83" s="289">
        <f>[2]!FeuilCaduc*(1-Persistant)+Persistant</f>
        <v>0.50498790007987349</v>
      </c>
      <c r="BE83" s="290">
        <f>[2]!CroissVégét</f>
        <v>2.0941547894735235E-2</v>
      </c>
      <c r="BF83" s="804">
        <f>1+[2]!Salcycl*Ksac</f>
        <v>1.0004987900079874</v>
      </c>
      <c r="BH83" s="1036">
        <f t="shared" si="75"/>
        <v>1.4642575439911339E-3</v>
      </c>
      <c r="BI83" s="11">
        <v>44265</v>
      </c>
      <c r="BJ83" s="715">
        <v>1.3019379965440881E-3</v>
      </c>
      <c r="BK83" s="715">
        <v>1.3019379965440883E-3</v>
      </c>
      <c r="BL83" s="715">
        <v>1.3206976098920746E-3</v>
      </c>
      <c r="BM83" s="715">
        <v>1.3954265587521608E-3</v>
      </c>
      <c r="BN83" s="715">
        <v>1.5333333032711849E-3</v>
      </c>
      <c r="BO83" s="716">
        <v>1.7151917505635337E-3</v>
      </c>
      <c r="BP83" s="715">
        <v>1.9006097041926208E-3</v>
      </c>
      <c r="BQ83" s="715">
        <v>2.078623599473878E-3</v>
      </c>
      <c r="BR83" s="715">
        <v>2.2599957916965949E-3</v>
      </c>
      <c r="BS83" s="715">
        <v>2.4683246267856863E-3</v>
      </c>
      <c r="BT83" s="715">
        <v>2.7073652092788839E-3</v>
      </c>
      <c r="BW83" s="1188">
        <f>'2019'!R\Max</f>
        <v>0</v>
      </c>
      <c r="BX83" s="1188">
        <f>'2020'!R\Max</f>
        <v>0.5599835569534527</v>
      </c>
      <c r="BY83" s="1188">
        <f>'2021'!R\Max</f>
        <v>0.89959409438769267</v>
      </c>
      <c r="BZ83" s="1188">
        <f>'2022'!R\Max</f>
        <v>0.56143051591149429</v>
      </c>
      <c r="CA83" s="1188">
        <f>'2023'!R\Max</f>
        <v>0.56142876942519981</v>
      </c>
      <c r="CB83" s="1188">
        <f>'2024'!R\Max</f>
        <v>0.56142702426906566</v>
      </c>
      <c r="CC83" s="1188">
        <f>'2025'!R\Max</f>
        <v>0.5614253475106693</v>
      </c>
      <c r="CD83" s="1188">
        <f>'2026'!R\Max</f>
        <v>0.56142367014004269</v>
      </c>
      <c r="CE83" s="1189">
        <f>'2027'!R\Max</f>
        <v>0.56143401530418013</v>
      </c>
      <c r="CF83" s="1191">
        <f>'2028'!R\Max</f>
        <v>0.56143231511316594</v>
      </c>
    </row>
    <row r="84" spans="1:84" s="6" customFormat="1" ht="11.25" x14ac:dyDescent="0.2">
      <c r="A84" s="11">
        <v>43170</v>
      </c>
      <c r="B84" s="379">
        <f>'2023'!Maxi_hp</f>
        <v>35.092284275887017</v>
      </c>
      <c r="C84" s="13">
        <f>'2023'!An_max</f>
        <v>2021</v>
      </c>
      <c r="D84" s="1045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73">
        <f t="shared" si="61"/>
        <v>43178</v>
      </c>
      <c r="I84" s="742">
        <f t="shared" si="62"/>
        <v>0.5714285714285714</v>
      </c>
      <c r="J84" s="735">
        <f t="shared" si="63"/>
        <v>51.269967929752809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38">
        <v>43170</v>
      </c>
      <c r="AP84" s="13">
        <f t="shared" si="64"/>
        <v>5</v>
      </c>
      <c r="AQ84" s="13">
        <f t="shared" si="65"/>
        <v>4</v>
      </c>
      <c r="AR84" s="173">
        <f t="shared" si="66"/>
        <v>43192</v>
      </c>
      <c r="AS84" s="742">
        <f t="shared" si="67"/>
        <v>0.7857142857142857</v>
      </c>
      <c r="AT84" s="758">
        <f t="shared" si="68"/>
        <v>51.248753098092436</v>
      </c>
      <c r="AU84" s="13">
        <f t="shared" si="69"/>
        <v>3</v>
      </c>
      <c r="AV84" s="13">
        <f t="shared" si="70"/>
        <v>4</v>
      </c>
      <c r="AW84" s="173">
        <f t="shared" si="71"/>
        <v>43150</v>
      </c>
      <c r="AX84" s="742">
        <f t="shared" si="72"/>
        <v>0.7142857142857143</v>
      </c>
      <c r="AY84" s="758">
        <f t="shared" si="73"/>
        <v>51.393451894739904</v>
      </c>
      <c r="AZ84" s="735">
        <f t="shared" si="77"/>
        <v>51.321102496416174</v>
      </c>
      <c r="BA84" s="633">
        <f t="shared" si="74"/>
        <v>0.68446081971356931</v>
      </c>
      <c r="BC84" s="11">
        <v>43170</v>
      </c>
      <c r="BD84" s="289">
        <f>[2]!FeuilCaduc*(1-Persistant)+Persistant</f>
        <v>0.50518630958649502</v>
      </c>
      <c r="BE84" s="290">
        <f>[2]!CroissVégét</f>
        <v>2.1856755910064932E-2</v>
      </c>
      <c r="BF84" s="804">
        <f>1+[2]!Salcycl*Ksac</f>
        <v>1.0005186309586496</v>
      </c>
      <c r="BH84" s="1036">
        <f t="shared" si="75"/>
        <v>1.4775454191546362E-3</v>
      </c>
      <c r="BI84" s="11">
        <v>44266</v>
      </c>
      <c r="BJ84" s="715">
        <v>1.3192313257680941E-3</v>
      </c>
      <c r="BK84" s="715">
        <v>1.3192313257680938E-3</v>
      </c>
      <c r="BL84" s="715">
        <v>1.3375624295532942E-3</v>
      </c>
      <c r="BM84" s="715">
        <v>1.4104890997614038E-3</v>
      </c>
      <c r="BN84" s="715">
        <v>1.5448402015921022E-3</v>
      </c>
      <c r="BO84" s="716">
        <v>1.7220719062688173E-3</v>
      </c>
      <c r="BP84" s="715">
        <v>1.9026070340378053E-3</v>
      </c>
      <c r="BQ84" s="715">
        <v>2.0746514699751966E-3</v>
      </c>
      <c r="BR84" s="715">
        <v>2.247602606411834E-3</v>
      </c>
      <c r="BS84" s="715">
        <v>2.441960155557065E-3</v>
      </c>
      <c r="BT84" s="715">
        <v>2.6626893671350795E-3</v>
      </c>
      <c r="BW84" s="1188">
        <f>'2019'!R\Max</f>
        <v>0.16561327898467423</v>
      </c>
      <c r="BX84" s="1188">
        <f>'2020'!R\Max</f>
        <v>0.6548965965802559</v>
      </c>
      <c r="BY84" s="1188">
        <f>'2021'!R\Max</f>
        <v>0.68446081971356931</v>
      </c>
      <c r="BZ84" s="1188">
        <f>'2022'!R\Max</f>
        <v>0.3551957522471425</v>
      </c>
      <c r="CA84" s="1188">
        <f>'2023'!R\Max</f>
        <v>0.35519418074501941</v>
      </c>
      <c r="CB84" s="1188">
        <f>'2024'!R\Max</f>
        <v>0.35519261072587521</v>
      </c>
      <c r="CC84" s="1188">
        <f>'2025'!R\Max</f>
        <v>0.35519111313034202</v>
      </c>
      <c r="CD84" s="1188">
        <f>'2026'!R\Max</f>
        <v>0.35518961537523919</v>
      </c>
      <c r="CE84" s="1189">
        <f>'2027'!R\Max</f>
        <v>0.35519890425686285</v>
      </c>
      <c r="CF84" s="1191">
        <f>'2028'!R\Max</f>
        <v>0.35519737267085927</v>
      </c>
    </row>
    <row r="85" spans="1:84" s="6" customFormat="1" ht="11.25" x14ac:dyDescent="0.2">
      <c r="A85" s="11">
        <v>43171</v>
      </c>
      <c r="B85" s="379">
        <f>'2023'!Maxi_hp</f>
        <v>45.555962265985798</v>
      </c>
      <c r="C85" s="13">
        <f>'2023'!An_max</f>
        <v>2018</v>
      </c>
      <c r="D85" s="1045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73">
        <f t="shared" si="61"/>
        <v>43178</v>
      </c>
      <c r="I85" s="742">
        <f t="shared" si="62"/>
        <v>0.5</v>
      </c>
      <c r="J85" s="735">
        <f t="shared" si="63"/>
        <v>51.620156249776485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38">
        <v>43171</v>
      </c>
      <c r="AP85" s="13">
        <f t="shared" si="64"/>
        <v>5</v>
      </c>
      <c r="AQ85" s="13">
        <f t="shared" si="65"/>
        <v>4</v>
      </c>
      <c r="AR85" s="173">
        <f t="shared" si="66"/>
        <v>43192</v>
      </c>
      <c r="AS85" s="742">
        <f t="shared" si="67"/>
        <v>0.75</v>
      </c>
      <c r="AT85" s="758">
        <f t="shared" si="68"/>
        <v>51.600148437498135</v>
      </c>
      <c r="AU85" s="13">
        <f t="shared" si="69"/>
        <v>3</v>
      </c>
      <c r="AV85" s="13">
        <f t="shared" si="70"/>
        <v>4</v>
      </c>
      <c r="AW85" s="173">
        <f t="shared" si="71"/>
        <v>43150</v>
      </c>
      <c r="AX85" s="742">
        <f t="shared" si="72"/>
        <v>0.75</v>
      </c>
      <c r="AY85" s="758">
        <f t="shared" si="73"/>
        <v>51.734816406597382</v>
      </c>
      <c r="AZ85" s="735">
        <f t="shared" si="77"/>
        <v>51.667482422047755</v>
      </c>
      <c r="BA85" s="633">
        <f t="shared" si="74"/>
        <v>0.88252275032939398</v>
      </c>
      <c r="BC85" s="11">
        <v>43171</v>
      </c>
      <c r="BD85" s="289">
        <f>[2]!FeuilCaduc*(1-Persistant)+Persistant</f>
        <v>0.50540440433671407</v>
      </c>
      <c r="BE85" s="290">
        <f>[2]!CroissVégét</f>
        <v>2.2808540908775418E-2</v>
      </c>
      <c r="BF85" s="804">
        <f>1+[2]!Salcycl*Ksac</f>
        <v>1.0005404404336715</v>
      </c>
      <c r="BH85" s="1036">
        <f t="shared" si="75"/>
        <v>1.4865466596833466E-3</v>
      </c>
      <c r="BI85" s="11">
        <v>44267</v>
      </c>
      <c r="BJ85" s="715">
        <v>1.3329289214408166E-3</v>
      </c>
      <c r="BK85" s="715">
        <v>1.3329289214408166E-3</v>
      </c>
      <c r="BL85" s="715">
        <v>1.3507466696877366E-3</v>
      </c>
      <c r="BM85" s="715">
        <v>1.4215454074474989E-3</v>
      </c>
      <c r="BN85" s="715">
        <v>1.5517790668144738E-3</v>
      </c>
      <c r="BO85" s="716">
        <v>1.7238330873305858E-3</v>
      </c>
      <c r="BP85" s="715">
        <v>1.8993937375450462E-3</v>
      </c>
      <c r="BQ85" s="715">
        <v>2.0661730889287287E-3</v>
      </c>
      <c r="BR85" s="715">
        <v>2.2321640865044542E-3</v>
      </c>
      <c r="BS85" s="715">
        <v>2.4150065381741128E-3</v>
      </c>
      <c r="BT85" s="715">
        <v>2.6205344403724593E-3</v>
      </c>
      <c r="BW85" s="1188">
        <f>'2019'!R\Max</f>
        <v>0.88252275032939398</v>
      </c>
      <c r="BX85" s="1188">
        <f>'2020'!R\Max</f>
        <v>0.80106458100943478</v>
      </c>
      <c r="BY85" s="1188">
        <f>'2021'!R\Max</f>
        <v>0.62180657970268649</v>
      </c>
      <c r="BZ85" s="1188">
        <f>'2022'!R\Max</f>
        <v>0.29005112348756712</v>
      </c>
      <c r="CA85" s="1188">
        <f>'2023'!R\Max</f>
        <v>0.29004977734633208</v>
      </c>
      <c r="CB85" s="1188">
        <f>'2024'!R\Max</f>
        <v>0.29004843262128266</v>
      </c>
      <c r="CC85" s="1188">
        <f>'2025'!R\Max</f>
        <v>0.29004715381215457</v>
      </c>
      <c r="CD85" s="1188">
        <f>'2026'!R\Max</f>
        <v>0.2900458751301645</v>
      </c>
      <c r="CE85" s="1189">
        <f>'2027'!R\Max</f>
        <v>0.29005381921059759</v>
      </c>
      <c r="CF85" s="1191">
        <f>'2028'!R\Max</f>
        <v>0.29005250923796733</v>
      </c>
    </row>
    <row r="86" spans="1:84" s="6" customFormat="1" ht="11.25" x14ac:dyDescent="0.2">
      <c r="A86" s="11">
        <v>43172</v>
      </c>
      <c r="B86" s="379">
        <f>'2023'!Maxi_hp</f>
        <v>42.650905420994242</v>
      </c>
      <c r="C86" s="13">
        <f>'2023'!An_max</f>
        <v>2021</v>
      </c>
      <c r="D86" s="1045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73">
        <f t="shared" si="61"/>
        <v>43178</v>
      </c>
      <c r="I86" s="742">
        <f t="shared" si="62"/>
        <v>0.42857142857142855</v>
      </c>
      <c r="J86" s="735">
        <f t="shared" si="63"/>
        <v>51.968083090335128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38">
        <v>43172</v>
      </c>
      <c r="AP86" s="13">
        <f t="shared" si="64"/>
        <v>5</v>
      </c>
      <c r="AQ86" s="13">
        <f t="shared" si="65"/>
        <v>4</v>
      </c>
      <c r="AR86" s="173">
        <f t="shared" si="66"/>
        <v>43192</v>
      </c>
      <c r="AS86" s="742">
        <f t="shared" si="67"/>
        <v>0.7142857142857143</v>
      </c>
      <c r="AT86" s="758">
        <f t="shared" si="68"/>
        <v>51.950852769560051</v>
      </c>
      <c r="AU86" s="13">
        <f t="shared" si="69"/>
        <v>3</v>
      </c>
      <c r="AV86" s="13">
        <f t="shared" si="70"/>
        <v>4</v>
      </c>
      <c r="AW86" s="173">
        <f t="shared" si="71"/>
        <v>43150</v>
      </c>
      <c r="AX86" s="742">
        <f t="shared" si="72"/>
        <v>0.7857142857142857</v>
      </c>
      <c r="AY86" s="758">
        <f t="shared" si="73"/>
        <v>52.07162654886821</v>
      </c>
      <c r="AZ86" s="735">
        <f t="shared" si="77"/>
        <v>52.011239659214127</v>
      </c>
      <c r="BA86" s="633">
        <f t="shared" si="74"/>
        <v>0.82071346266236123</v>
      </c>
      <c r="BC86" s="11">
        <v>43172</v>
      </c>
      <c r="BD86" s="289">
        <f>[2]!FeuilCaduc*(1-Persistant)+Persistant</f>
        <v>0.50564515064949966</v>
      </c>
      <c r="BE86" s="290">
        <f>[2]!CroissVégét</f>
        <v>2.3798287402466985E-2</v>
      </c>
      <c r="BF86" s="804">
        <f>1+[2]!Salcycl*Ksac</f>
        <v>1.00056451506495</v>
      </c>
      <c r="BH86" s="1036">
        <f t="shared" si="75"/>
        <v>1.4911894986752525E-3</v>
      </c>
      <c r="BI86" s="11">
        <v>44268</v>
      </c>
      <c r="BJ86" s="715">
        <v>1.3427107763539022E-3</v>
      </c>
      <c r="BK86" s="715">
        <v>1.342710776353902E-3</v>
      </c>
      <c r="BL86" s="715">
        <v>1.3599586900874163E-3</v>
      </c>
      <c r="BM86" s="715">
        <v>1.4284178717898727E-3</v>
      </c>
      <c r="BN86" s="715">
        <v>1.5541843515499804E-3</v>
      </c>
      <c r="BO86" s="716">
        <v>1.720740128045499E-3</v>
      </c>
      <c r="BP86" s="715">
        <v>1.8913756965507338E-3</v>
      </c>
      <c r="BQ86" s="715">
        <v>2.0536348818188141E-3</v>
      </c>
      <c r="BR86" s="715">
        <v>2.2141199225198132E-3</v>
      </c>
      <c r="BS86" s="715">
        <v>2.3879024701170351E-3</v>
      </c>
      <c r="BT86" s="715">
        <v>2.5813426697686419E-3</v>
      </c>
      <c r="BW86" s="1188">
        <f>'2019'!R\Max</f>
        <v>0.52864580427528751</v>
      </c>
      <c r="BX86" s="1188">
        <f>'2020'!R\Max</f>
        <v>0.34895009678427619</v>
      </c>
      <c r="BY86" s="1188">
        <f>'2021'!R\Max</f>
        <v>0.82071346266236123</v>
      </c>
      <c r="BZ86" s="1188">
        <f>'2022'!R\Max</f>
        <v>0.16602601209910248</v>
      </c>
      <c r="CA86" s="1188">
        <f>'2023'!R\Max</f>
        <v>0.16602526784056229</v>
      </c>
      <c r="CB86" s="1188">
        <f>'2024'!R\Max</f>
        <v>0.1660245243866206</v>
      </c>
      <c r="CC86" s="1188">
        <f>'2025'!R\Max</f>
        <v>0.16602381666322266</v>
      </c>
      <c r="CD86" s="1188">
        <f>'2026'!R\Max</f>
        <v>0.16602310911023879</v>
      </c>
      <c r="CE86" s="1189">
        <f>'2027'!R\Max</f>
        <v>0.16602749675133835</v>
      </c>
      <c r="CF86" s="1191">
        <f>'2028'!R\Max</f>
        <v>0.1660267752606866</v>
      </c>
    </row>
    <row r="87" spans="1:84" s="6" customFormat="1" ht="11.25" x14ac:dyDescent="0.2">
      <c r="A87" s="11">
        <v>43173</v>
      </c>
      <c r="B87" s="379">
        <f>'2023'!Maxi_hp</f>
        <v>42.248499261755185</v>
      </c>
      <c r="C87" s="13">
        <f>'2023'!An_max</f>
        <v>2020</v>
      </c>
      <c r="D87" s="1045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73">
        <f t="shared" si="61"/>
        <v>43178</v>
      </c>
      <c r="I87" s="742">
        <f t="shared" si="62"/>
        <v>0.35714285714285715</v>
      </c>
      <c r="J87" s="735">
        <f t="shared" si="63"/>
        <v>52.313210003570248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38">
        <v>43173</v>
      </c>
      <c r="AP87" s="13">
        <f t="shared" si="64"/>
        <v>5</v>
      </c>
      <c r="AQ87" s="13">
        <f t="shared" si="65"/>
        <v>4</v>
      </c>
      <c r="AR87" s="173">
        <f t="shared" si="66"/>
        <v>43192</v>
      </c>
      <c r="AS87" s="742">
        <f t="shared" si="67"/>
        <v>0.6785714285714286</v>
      </c>
      <c r="AT87" s="758">
        <f t="shared" si="68"/>
        <v>52.300408413786705</v>
      </c>
      <c r="AU87" s="13">
        <f t="shared" si="69"/>
        <v>3</v>
      </c>
      <c r="AV87" s="13">
        <f t="shared" si="70"/>
        <v>4</v>
      </c>
      <c r="AW87" s="173">
        <f t="shared" si="71"/>
        <v>43150</v>
      </c>
      <c r="AX87" s="742">
        <f t="shared" si="72"/>
        <v>0.8214285714285714</v>
      </c>
      <c r="AY87" s="758">
        <f t="shared" si="73"/>
        <v>52.403545793521744</v>
      </c>
      <c r="AZ87" s="735">
        <f t="shared" si="77"/>
        <v>52.351977103654221</v>
      </c>
      <c r="BA87" s="633">
        <f t="shared" si="74"/>
        <v>0.80760670696506354</v>
      </c>
      <c r="BC87" s="11">
        <v>43173</v>
      </c>
      <c r="BD87" s="289">
        <f>[2]!FeuilCaduc*(1-Persistant)+Persistant</f>
        <v>0.50591165297533158</v>
      </c>
      <c r="BE87" s="290">
        <f>[2]!CroissVégét</f>
        <v>2.4827425868542252E-2</v>
      </c>
      <c r="BF87" s="804">
        <f>1+[2]!Salcycl*Ksac</f>
        <v>1.0005911652975332</v>
      </c>
      <c r="BH87" s="1036">
        <f t="shared" si="75"/>
        <v>1.4931849603325295E-3</v>
      </c>
      <c r="BI87" s="11">
        <v>44269</v>
      </c>
      <c r="BJ87" s="715">
        <v>1.3499459993812036E-3</v>
      </c>
      <c r="BK87" s="715">
        <v>1.3499459993812034E-3</v>
      </c>
      <c r="BL87" s="715">
        <v>1.3666105613949601E-3</v>
      </c>
      <c r="BM87" s="715">
        <v>1.4326814027000947E-3</v>
      </c>
      <c r="BN87" s="715">
        <v>1.5539036783356879E-3</v>
      </c>
      <c r="BO87" s="716">
        <v>1.7148106034496023E-3</v>
      </c>
      <c r="BP87" s="715">
        <v>1.8803231871712227E-3</v>
      </c>
      <c r="BQ87" s="715">
        <v>2.0380017362550454E-3</v>
      </c>
      <c r="BR87" s="715">
        <v>2.1932035491787202E-3</v>
      </c>
      <c r="BS87" s="715">
        <v>2.358673702229995E-3</v>
      </c>
      <c r="BT87" s="715">
        <v>2.5411067336152905E-3</v>
      </c>
      <c r="BW87" s="1188">
        <f>'2019'!R\Max</f>
        <v>0.48944033433814688</v>
      </c>
      <c r="BX87" s="1188">
        <f>'2020'!R\Max</f>
        <v>0.80760670696506354</v>
      </c>
      <c r="BY87" s="1188">
        <f>'2021'!R\Max</f>
        <v>0.52088675115073213</v>
      </c>
      <c r="BZ87" s="1188">
        <f>'2022'!R\Max</f>
        <v>0.29604071692813916</v>
      </c>
      <c r="CA87" s="1188">
        <f>'2023'!R\Max</f>
        <v>0.29603943750398548</v>
      </c>
      <c r="CB87" s="1188">
        <f>'2024'!R\Max</f>
        <v>0.29603815947579049</v>
      </c>
      <c r="CC87" s="1188">
        <f>'2025'!R\Max</f>
        <v>0.29603694060928698</v>
      </c>
      <c r="CD87" s="1188">
        <f>'2026'!R\Max</f>
        <v>0.29603572218411095</v>
      </c>
      <c r="CE87" s="1189">
        <f>'2027'!R\Max</f>
        <v>0.29604325929522896</v>
      </c>
      <c r="CF87" s="1191">
        <f>'2028'!R\Max</f>
        <v>0.29604202373245497</v>
      </c>
    </row>
    <row r="88" spans="1:84" s="6" customFormat="1" ht="11.25" x14ac:dyDescent="0.2">
      <c r="A88" s="11">
        <v>43174</v>
      </c>
      <c r="B88" s="379">
        <f>'2023'!Maxi_hp</f>
        <v>34.209482776257786</v>
      </c>
      <c r="C88" s="13">
        <f>'2023'!An_max</f>
        <v>2020</v>
      </c>
      <c r="D88" s="1045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73">
        <f t="shared" si="61"/>
        <v>43178</v>
      </c>
      <c r="I88" s="742">
        <f t="shared" si="62"/>
        <v>0.2857142857142857</v>
      </c>
      <c r="J88" s="735">
        <f t="shared" si="63"/>
        <v>52.654998542315198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38">
        <v>43174</v>
      </c>
      <c r="AP88" s="13">
        <f t="shared" si="64"/>
        <v>5</v>
      </c>
      <c r="AQ88" s="13">
        <f t="shared" si="65"/>
        <v>4</v>
      </c>
      <c r="AR88" s="173">
        <f t="shared" si="66"/>
        <v>43192</v>
      </c>
      <c r="AS88" s="742">
        <f t="shared" si="67"/>
        <v>0.6428571428571429</v>
      </c>
      <c r="AT88" s="758">
        <f t="shared" si="68"/>
        <v>52.648357689487078</v>
      </c>
      <c r="AU88" s="13">
        <f t="shared" si="69"/>
        <v>3</v>
      </c>
      <c r="AV88" s="13">
        <f t="shared" si="70"/>
        <v>4</v>
      </c>
      <c r="AW88" s="173">
        <f t="shared" si="71"/>
        <v>43150</v>
      </c>
      <c r="AX88" s="742">
        <f t="shared" si="72"/>
        <v>0.8571428571428571</v>
      </c>
      <c r="AY88" s="758">
        <f t="shared" si="73"/>
        <v>52.730237610318831</v>
      </c>
      <c r="AZ88" s="735">
        <f t="shared" si="77"/>
        <v>52.689297649902954</v>
      </c>
      <c r="BA88" s="633">
        <f t="shared" si="74"/>
        <v>0.64969107821294458</v>
      </c>
      <c r="BC88" s="11">
        <v>43174</v>
      </c>
      <c r="BD88" s="289">
        <f>[2]!FeuilCaduc*(1-Persistant)+Persistant</f>
        <v>0.50620714307783987</v>
      </c>
      <c r="BE88" s="290">
        <f>[2]!CroissVégét</f>
        <v>2.5897433731805454E-2</v>
      </c>
      <c r="BF88" s="804">
        <f>1+[2]!Salcycl*Ksac</f>
        <v>1.0006207143077839</v>
      </c>
      <c r="BH88" s="1036">
        <f t="shared" si="75"/>
        <v>1.4925325808956024E-3</v>
      </c>
      <c r="BI88" s="11">
        <v>44270</v>
      </c>
      <c r="BJ88" s="715">
        <v>1.3546341140524072E-3</v>
      </c>
      <c r="BK88" s="715">
        <v>1.3546341140524075E-3</v>
      </c>
      <c r="BL88" s="715">
        <v>1.370701808387302E-3</v>
      </c>
      <c r="BM88" s="715">
        <v>1.4343355305813492E-3</v>
      </c>
      <c r="BN88" s="715">
        <v>1.5509365892700199E-3</v>
      </c>
      <c r="BO88" s="716">
        <v>1.7060440687286336E-3</v>
      </c>
      <c r="BP88" s="715">
        <v>1.8662357718160045E-3</v>
      </c>
      <c r="BQ88" s="715">
        <v>2.0192732125667271E-3</v>
      </c>
      <c r="BR88" s="715">
        <v>2.1694145218499141E-3</v>
      </c>
      <c r="BS88" s="715">
        <v>2.327319794343904E-3</v>
      </c>
      <c r="BT88" s="715">
        <v>2.4998262073786313E-3</v>
      </c>
      <c r="BW88" s="1188">
        <f>'2019'!R\Max</f>
        <v>0.24785961184455391</v>
      </c>
      <c r="BX88" s="1188">
        <f>'2020'!R\Max</f>
        <v>0.64969107821294458</v>
      </c>
      <c r="BY88" s="1188">
        <f>'2021'!R\Max</f>
        <v>0.34473579457173892</v>
      </c>
      <c r="BZ88" s="1188">
        <f>'2022'!R\Max</f>
        <v>0.27892726827177444</v>
      </c>
      <c r="CA88" s="1188">
        <f>'2023'!R\Max</f>
        <v>0.27892610845813853</v>
      </c>
      <c r="CB88" s="1188">
        <f>'2024'!R\Max</f>
        <v>0.27892494989396055</v>
      </c>
      <c r="CC88" s="1188">
        <f>'2025'!R\Max</f>
        <v>0.27892384187833202</v>
      </c>
      <c r="CD88" s="1188">
        <f>'2026'!R\Max</f>
        <v>0.27892273436849246</v>
      </c>
      <c r="CE88" s="1189">
        <f>'2027'!R\Max</f>
        <v>0.27892956408138841</v>
      </c>
      <c r="CF88" s="1191">
        <f>'2028'!R\Max</f>
        <v>0.27892844828621621</v>
      </c>
    </row>
    <row r="89" spans="1:84" s="6" customFormat="1" ht="11.25" x14ac:dyDescent="0.2">
      <c r="A89" s="11">
        <v>43175</v>
      </c>
      <c r="B89" s="379">
        <f>'2023'!Maxi_hp</f>
        <v>54.475764848808986</v>
      </c>
      <c r="C89" s="13">
        <f>'2023'!An_max</f>
        <v>2020</v>
      </c>
      <c r="D89" s="1045">
        <f t="shared" si="59"/>
        <v>1.0279821316351678</v>
      </c>
      <c r="E89" s="13"/>
      <c r="F89" s="13">
        <f t="shared" si="76"/>
        <v>7</v>
      </c>
      <c r="G89" s="13">
        <f t="shared" si="60"/>
        <v>6</v>
      </c>
      <c r="H89" s="173">
        <f t="shared" si="61"/>
        <v>43178</v>
      </c>
      <c r="I89" s="742">
        <f t="shared" si="62"/>
        <v>0.21428571428571427</v>
      </c>
      <c r="J89" s="735">
        <f t="shared" si="63"/>
        <v>52.992910258232484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38">
        <v>43175</v>
      </c>
      <c r="AP89" s="13">
        <f t="shared" si="64"/>
        <v>5</v>
      </c>
      <c r="AQ89" s="13">
        <f t="shared" si="65"/>
        <v>4</v>
      </c>
      <c r="AR89" s="173">
        <f t="shared" si="66"/>
        <v>43192</v>
      </c>
      <c r="AS89" s="742">
        <f t="shared" si="67"/>
        <v>0.6071428571428571</v>
      </c>
      <c r="AT89" s="758">
        <f t="shared" si="68"/>
        <v>52.99424291624954</v>
      </c>
      <c r="AU89" s="13">
        <f t="shared" si="69"/>
        <v>3</v>
      </c>
      <c r="AV89" s="13">
        <f t="shared" si="70"/>
        <v>4</v>
      </c>
      <c r="AW89" s="173">
        <f t="shared" si="71"/>
        <v>43150</v>
      </c>
      <c r="AX89" s="742">
        <f t="shared" si="72"/>
        <v>0.8928571428571429</v>
      </c>
      <c r="AY89" s="758">
        <f t="shared" si="73"/>
        <v>53.051365468923805</v>
      </c>
      <c r="AZ89" s="735">
        <f t="shared" si="77"/>
        <v>53.022804192586676</v>
      </c>
      <c r="BA89" s="633">
        <f t="shared" si="74"/>
        <v>1.0279821316351678</v>
      </c>
      <c r="BC89" s="11">
        <v>43175</v>
      </c>
      <c r="BD89" s="289">
        <f>[2]!FeuilCaduc*(1-Persistant)+Persistant</f>
        <v>0.5065349687254842</v>
      </c>
      <c r="BE89" s="290">
        <f>[2]!CroissVégét</f>
        <v>2.7009836317349309E-2</v>
      </c>
      <c r="BF89" s="804">
        <f>1+[2]!Salcycl*Ksac</f>
        <v>1.0006534968725485</v>
      </c>
      <c r="BH89" s="1036">
        <f t="shared" si="75"/>
        <v>1.489231961456219E-3</v>
      </c>
      <c r="BI89" s="11">
        <v>44271</v>
      </c>
      <c r="BJ89" s="715">
        <v>1.3567746984219143E-3</v>
      </c>
      <c r="BK89" s="715">
        <v>1.3567746984219145E-3</v>
      </c>
      <c r="BL89" s="715">
        <v>1.3722320115747725E-3</v>
      </c>
      <c r="BM89" s="715">
        <v>1.4333798463506376E-3</v>
      </c>
      <c r="BN89" s="715">
        <v>1.5452826956556529E-3</v>
      </c>
      <c r="BO89" s="716">
        <v>1.694440160483094E-3</v>
      </c>
      <c r="BP89" s="715">
        <v>1.8491131069553624E-3</v>
      </c>
      <c r="BQ89" s="715">
        <v>1.9974489734588849E-3</v>
      </c>
      <c r="BR89" s="715">
        <v>2.1427525003608135E-3</v>
      </c>
      <c r="BS89" s="715">
        <v>2.2938404038382993E-3</v>
      </c>
      <c r="BT89" s="715">
        <v>2.4575007525987741E-3</v>
      </c>
      <c r="BW89" s="1188">
        <f>'2019'!R\Max</f>
        <v>0.95015307504171453</v>
      </c>
      <c r="BX89" s="1188">
        <f>'2020'!R\Max</f>
        <v>1.0279821316351678</v>
      </c>
      <c r="BY89" s="1188">
        <f>'2021'!R\Max</f>
        <v>0.62956134101302086</v>
      </c>
      <c r="BZ89" s="1188">
        <f>'2022'!R\Max</f>
        <v>0.27868060799515015</v>
      </c>
      <c r="CA89" s="1188">
        <f>'2023'!R\Max</f>
        <v>0.27867949554358745</v>
      </c>
      <c r="CB89" s="1188">
        <f>'2024'!R\Max</f>
        <v>0.2786783842421483</v>
      </c>
      <c r="CC89" s="1188">
        <f>'2025'!R\Max</f>
        <v>0.27867731736865653</v>
      </c>
      <c r="CD89" s="1188">
        <f>'2026'!R\Max</f>
        <v>0.27867625104550048</v>
      </c>
      <c r="CE89" s="1189">
        <f>'2027'!R\Max</f>
        <v>0.27868280154575042</v>
      </c>
      <c r="CF89" s="1191">
        <f>'2028'!R\Max</f>
        <v>0.27868173539246111</v>
      </c>
    </row>
    <row r="90" spans="1:84" s="6" customFormat="1" ht="11.25" x14ac:dyDescent="0.2">
      <c r="A90" s="11">
        <v>43176</v>
      </c>
      <c r="B90" s="379">
        <f>'2023'!Maxi_hp</f>
        <v>28.016167697203379</v>
      </c>
      <c r="C90" s="13">
        <f>'2023'!An_max</f>
        <v>2021</v>
      </c>
      <c r="D90" s="1045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73">
        <f t="shared" si="61"/>
        <v>43178</v>
      </c>
      <c r="I90" s="742">
        <f t="shared" si="62"/>
        <v>0.14285714285714285</v>
      </c>
      <c r="J90" s="735">
        <f t="shared" si="63"/>
        <v>53.326406705219838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38">
        <v>43176</v>
      </c>
      <c r="AP90" s="13">
        <f t="shared" si="64"/>
        <v>5</v>
      </c>
      <c r="AQ90" s="13">
        <f t="shared" si="65"/>
        <v>4</v>
      </c>
      <c r="AR90" s="173">
        <f t="shared" si="66"/>
        <v>43192</v>
      </c>
      <c r="AS90" s="742">
        <f t="shared" si="67"/>
        <v>0.5714285714285714</v>
      </c>
      <c r="AT90" s="758">
        <f t="shared" si="68"/>
        <v>53.337606414088178</v>
      </c>
      <c r="AU90" s="13">
        <f t="shared" si="69"/>
        <v>3</v>
      </c>
      <c r="AV90" s="13">
        <f t="shared" si="70"/>
        <v>4</v>
      </c>
      <c r="AW90" s="173">
        <f t="shared" si="71"/>
        <v>43150</v>
      </c>
      <c r="AX90" s="742">
        <f t="shared" si="72"/>
        <v>0.9285714285714286</v>
      </c>
      <c r="AY90" s="758">
        <f t="shared" si="73"/>
        <v>53.366592839566465</v>
      </c>
      <c r="AZ90" s="735">
        <f t="shared" si="77"/>
        <v>53.352099626827325</v>
      </c>
      <c r="BA90" s="633">
        <f t="shared" si="74"/>
        <v>0.52537137655031663</v>
      </c>
      <c r="BC90" s="11">
        <v>43176</v>
      </c>
      <c r="BD90" s="289">
        <f>[2]!FeuilCaduc*(1-Persistant)+Persistant</f>
        <v>0.50689858199561411</v>
      </c>
      <c r="BE90" s="290">
        <f>[2]!CroissVégét</f>
        <v>2.8166207768877807E-2</v>
      </c>
      <c r="BF90" s="804">
        <f>1+[2]!Salcycl*Ksac</f>
        <v>1.0006898581995614</v>
      </c>
      <c r="BH90" s="1036">
        <f t="shared" si="75"/>
        <v>1.4832827777324811E-3</v>
      </c>
      <c r="BI90" s="11">
        <v>44272</v>
      </c>
      <c r="BJ90" s="715">
        <v>1.3563673944725679E-3</v>
      </c>
      <c r="BK90" s="715">
        <v>1.3563673944725681E-3</v>
      </c>
      <c r="BL90" s="715">
        <v>1.3712008166546696E-3</v>
      </c>
      <c r="BM90" s="715">
        <v>1.4298140110721761E-3</v>
      </c>
      <c r="BN90" s="715">
        <v>1.5369416879166869E-3</v>
      </c>
      <c r="BO90" s="716">
        <v>1.6799986072009948E-3</v>
      </c>
      <c r="BP90" s="715">
        <v>1.8289549543235642E-3</v>
      </c>
      <c r="BQ90" s="715">
        <v>1.9725287954375408E-3</v>
      </c>
      <c r="BR90" s="715">
        <v>2.11321725959727E-3</v>
      </c>
      <c r="BS90" s="715">
        <v>2.2582352934742683E-3</v>
      </c>
      <c r="BT90" s="715">
        <v>2.4141301207237895E-3</v>
      </c>
      <c r="BW90" s="1188">
        <f>'2019'!R\Max</f>
        <v>0.29724930567481239</v>
      </c>
      <c r="BX90" s="1188">
        <f>'2020'!R\Max</f>
        <v>0.18584238196357886</v>
      </c>
      <c r="BY90" s="1188">
        <f>'2021'!R\Max</f>
        <v>0.52537137655031663</v>
      </c>
      <c r="BZ90" s="1188">
        <f>'2022'!R\Max</f>
        <v>0.22835708120965206</v>
      </c>
      <c r="CA90" s="1188">
        <f>'2023'!R\Max</f>
        <v>0.22835620819732011</v>
      </c>
      <c r="CB90" s="1188">
        <f>'2024'!R\Max</f>
        <v>0.22835533601750624</v>
      </c>
      <c r="CC90" s="1188">
        <f>'2025'!R\Max</f>
        <v>0.2283544945512897</v>
      </c>
      <c r="CD90" s="1188">
        <f>'2026'!R\Max</f>
        <v>0.22835365353135231</v>
      </c>
      <c r="CE90" s="1189">
        <f>'2027'!R\Max</f>
        <v>0.22835879593079023</v>
      </c>
      <c r="CF90" s="1191">
        <f>'2028'!R\Max</f>
        <v>0.2283579624606413</v>
      </c>
    </row>
    <row r="91" spans="1:84" s="6" customFormat="1" ht="11.25" x14ac:dyDescent="0.2">
      <c r="A91" s="11">
        <v>43177</v>
      </c>
      <c r="B91" s="379">
        <f>'2023'!Maxi_hp</f>
        <v>36.161356704838056</v>
      </c>
      <c r="C91" s="13">
        <f>'2023'!An_max</f>
        <v>2018</v>
      </c>
      <c r="D91" s="1045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73">
        <f t="shared" si="61"/>
        <v>43178</v>
      </c>
      <c r="I91" s="742">
        <f t="shared" si="62"/>
        <v>7.1428571428571425E-2</v>
      </c>
      <c r="J91" s="735">
        <f t="shared" si="63"/>
        <v>53.654949434713593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38">
        <v>43177</v>
      </c>
      <c r="AP91" s="13">
        <f t="shared" si="64"/>
        <v>5</v>
      </c>
      <c r="AQ91" s="13">
        <f t="shared" si="65"/>
        <v>4</v>
      </c>
      <c r="AR91" s="173">
        <f t="shared" si="66"/>
        <v>43192</v>
      </c>
      <c r="AS91" s="742">
        <f t="shared" si="67"/>
        <v>0.5357142857142857</v>
      </c>
      <c r="AT91" s="758">
        <f t="shared" si="68"/>
        <v>53.677990501906194</v>
      </c>
      <c r="AU91" s="13">
        <f t="shared" si="69"/>
        <v>3</v>
      </c>
      <c r="AV91" s="13">
        <f t="shared" si="70"/>
        <v>4</v>
      </c>
      <c r="AW91" s="173">
        <f t="shared" si="71"/>
        <v>43150</v>
      </c>
      <c r="AX91" s="742">
        <f t="shared" si="72"/>
        <v>0.9642857142857143</v>
      </c>
      <c r="AY91" s="758">
        <f t="shared" si="73"/>
        <v>53.67558319319172</v>
      </c>
      <c r="AZ91" s="735">
        <f t="shared" si="77"/>
        <v>53.676786847548954</v>
      </c>
      <c r="BA91" s="633">
        <f t="shared" si="74"/>
        <v>0.67396124841825755</v>
      </c>
      <c r="BC91" s="11">
        <v>43177</v>
      </c>
      <c r="BD91" s="289">
        <f>[2]!FeuilCaduc*(1-Persistant)+Persistant</f>
        <v>0.50730152729164557</v>
      </c>
      <c r="BE91" s="290">
        <f>[2]!CroissVégét</f>
        <v>2.9368171926128662E-2</v>
      </c>
      <c r="BF91" s="804">
        <f>1+[2]!Salcycl*Ksac</f>
        <v>1.0007301527291645</v>
      </c>
      <c r="BH91" s="1036">
        <f t="shared" si="75"/>
        <v>1.4746847898392448E-3</v>
      </c>
      <c r="BI91" s="11">
        <v>44273</v>
      </c>
      <c r="BJ91" s="715">
        <v>1.3534119175151751E-3</v>
      </c>
      <c r="BK91" s="715">
        <v>1.3534119175151748E-3</v>
      </c>
      <c r="BL91" s="715">
        <v>1.367607943960571E-3</v>
      </c>
      <c r="BM91" s="715">
        <v>1.4236377655863391E-3</v>
      </c>
      <c r="BN91" s="715">
        <v>1.5259133455110018E-3</v>
      </c>
      <c r="BO91" s="716">
        <v>1.6627192397253125E-3</v>
      </c>
      <c r="BP91" s="715">
        <v>1.8057611921162677E-3</v>
      </c>
      <c r="BQ91" s="715">
        <v>1.9445125802287208E-3</v>
      </c>
      <c r="BR91" s="715">
        <v>2.0808087000965896E-3</v>
      </c>
      <c r="BS91" s="715">
        <v>2.2205043392201531E-3</v>
      </c>
      <c r="BT91" s="715">
        <v>2.3697141569360338E-3</v>
      </c>
      <c r="BW91" s="1188">
        <f>'2019'!R\Max</f>
        <v>0.67396124841825755</v>
      </c>
      <c r="BX91" s="1188">
        <f>'2020'!R\Max</f>
        <v>0.25837718907649271</v>
      </c>
      <c r="BY91" s="1188">
        <f>'2021'!R\Max</f>
        <v>0.47839316548100685</v>
      </c>
      <c r="BZ91" s="1188">
        <f>'2022'!R\Max</f>
        <v>0.28448937560363774</v>
      </c>
      <c r="CA91" s="1188">
        <f>'2023'!R\Max</f>
        <v>0.28448833675142021</v>
      </c>
      <c r="CB91" s="1188">
        <f>'2024'!R\Max</f>
        <v>0.2844872987589987</v>
      </c>
      <c r="CC91" s="1188">
        <f>'2025'!R\Max</f>
        <v>0.28448629106730533</v>
      </c>
      <c r="CD91" s="1188">
        <f>'2026'!R\Max</f>
        <v>0.28448528386762317</v>
      </c>
      <c r="CE91" s="1189">
        <f>'2027'!R\Max</f>
        <v>0.28449140801940914</v>
      </c>
      <c r="CF91" s="1191">
        <f>'2028'!R\Max</f>
        <v>0.28449042007021669</v>
      </c>
    </row>
    <row r="92" spans="1:84" s="6" customFormat="1" ht="11.25" x14ac:dyDescent="0.2">
      <c r="A92" s="11">
        <v>43178</v>
      </c>
      <c r="B92" s="379">
        <f>'2023'!Maxi_hp</f>
        <v>48.151919129153704</v>
      </c>
      <c r="C92" s="13">
        <f>'2023'!An_max</f>
        <v>2020</v>
      </c>
      <c r="D92" s="1045" t="str">
        <f t="shared" si="59"/>
        <v/>
      </c>
      <c r="E92" s="1040">
        <f>S$13/10</f>
        <v>53.977999999999994</v>
      </c>
      <c r="F92" s="13">
        <f t="shared" si="76"/>
        <v>7</v>
      </c>
      <c r="G92" s="13">
        <f t="shared" si="60"/>
        <v>8</v>
      </c>
      <c r="H92" s="173">
        <f t="shared" si="61"/>
        <v>43178</v>
      </c>
      <c r="I92" s="742">
        <f t="shared" si="62"/>
        <v>0</v>
      </c>
      <c r="J92" s="735">
        <f t="shared" si="63"/>
        <v>53.977999999746679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38">
        <v>43178</v>
      </c>
      <c r="AP92" s="13">
        <f t="shared" si="64"/>
        <v>5</v>
      </c>
      <c r="AQ92" s="13">
        <f t="shared" si="65"/>
        <v>4</v>
      </c>
      <c r="AR92" s="173">
        <f t="shared" si="66"/>
        <v>43192</v>
      </c>
      <c r="AS92" s="742">
        <f t="shared" si="67"/>
        <v>0.5</v>
      </c>
      <c r="AT92" s="758">
        <f t="shared" si="68"/>
        <v>54.014937500189987</v>
      </c>
      <c r="AU92" s="13">
        <f t="shared" si="69"/>
        <v>5</v>
      </c>
      <c r="AV92" s="13">
        <f t="shared" si="70"/>
        <v>4</v>
      </c>
      <c r="AW92" s="173">
        <f t="shared" si="71"/>
        <v>43206</v>
      </c>
      <c r="AX92" s="742">
        <f t="shared" si="72"/>
        <v>1</v>
      </c>
      <c r="AY92" s="758">
        <f t="shared" si="73"/>
        <v>53.97800000086427</v>
      </c>
      <c r="AZ92" s="735">
        <f t="shared" si="77"/>
        <v>53.996468750527129</v>
      </c>
      <c r="BA92" s="633">
        <f t="shared" si="74"/>
        <v>0.89206564024935497</v>
      </c>
      <c r="BC92" s="11">
        <v>43178</v>
      </c>
      <c r="BD92" s="289">
        <f>[2]!FeuilCaduc*(1-Persistant)+Persistant</f>
        <v>0.50774742917125781</v>
      </c>
      <c r="BE92" s="290">
        <f>[2]!CroissVégét</f>
        <v>3.0617403154541836E-2</v>
      </c>
      <c r="BF92" s="804">
        <f>1+[2]!Salcycl*Ksac</f>
        <v>1.0007747429171259</v>
      </c>
      <c r="BH92" s="1036">
        <f t="shared" si="75"/>
        <v>1.4634378520633519E-3</v>
      </c>
      <c r="BI92" s="11">
        <v>44274</v>
      </c>
      <c r="BJ92" s="715">
        <v>1.3479080655924318E-3</v>
      </c>
      <c r="BK92" s="715">
        <v>1.3479080655924318E-3</v>
      </c>
      <c r="BL92" s="715">
        <v>1.3614531979161022E-3</v>
      </c>
      <c r="BM92" s="715">
        <v>1.4148509401432565E-3</v>
      </c>
      <c r="BN92" s="715">
        <v>1.5121975468476313E-3</v>
      </c>
      <c r="BO92" s="716">
        <v>1.6426020017269391E-3</v>
      </c>
      <c r="BP92" s="715">
        <v>1.7795318261939275E-3</v>
      </c>
      <c r="BQ92" s="715">
        <v>1.9134003662039476E-3</v>
      </c>
      <c r="BR92" s="715">
        <v>2.0455268586475101E-3</v>
      </c>
      <c r="BS92" s="715">
        <v>2.1806475380847065E-3</v>
      </c>
      <c r="BT92" s="715">
        <v>2.3242528039864509E-3</v>
      </c>
      <c r="BW92" s="1188">
        <f>'2019'!R\Max</f>
        <v>0.23083534547902912</v>
      </c>
      <c r="BX92" s="1188">
        <f>'2020'!R\Max</f>
        <v>0.89206564024935497</v>
      </c>
      <c r="BY92" s="1188">
        <f>'2021'!R\Max</f>
        <v>0.18641882827103176</v>
      </c>
      <c r="BZ92" s="1188">
        <f>'2022'!R\Max</f>
        <v>0.5683530893233818</v>
      </c>
      <c r="CA92" s="1188">
        <f>'2023'!R\Max</f>
        <v>0.56835187048989744</v>
      </c>
      <c r="CB92" s="1188">
        <f>'2024'!R\Max</f>
        <v>0.56835065243907301</v>
      </c>
      <c r="CC92" s="1188">
        <f>'2025'!R\Max</f>
        <v>0.56834946084823679</v>
      </c>
      <c r="CD92" s="1188">
        <f>'2026'!R\Max</f>
        <v>0.56834826970151975</v>
      </c>
      <c r="CE92" s="1189">
        <f>'2027'!R\Max</f>
        <v>0.56835546428081174</v>
      </c>
      <c r="CF92" s="1191">
        <f>'2028'!R\Max</f>
        <v>0.56835430975544121</v>
      </c>
    </row>
    <row r="93" spans="1:84" s="6" customFormat="1" ht="11.25" x14ac:dyDescent="0.2">
      <c r="A93" s="11">
        <v>43179</v>
      </c>
      <c r="B93" s="379">
        <f>'2023'!Maxi_hp</f>
        <v>53.213779784597463</v>
      </c>
      <c r="C93" s="13">
        <f>'2023'!An_max</f>
        <v>2018</v>
      </c>
      <c r="D93" s="1045">
        <f t="shared" si="59"/>
        <v>0.98003205293743434</v>
      </c>
      <c r="E93" s="13"/>
      <c r="F93" s="13">
        <f t="shared" si="76"/>
        <v>7</v>
      </c>
      <c r="G93" s="13">
        <f t="shared" si="60"/>
        <v>8</v>
      </c>
      <c r="H93" s="173">
        <f t="shared" si="61"/>
        <v>43178</v>
      </c>
      <c r="I93" s="742">
        <f t="shared" si="62"/>
        <v>7.1428571428571425E-2</v>
      </c>
      <c r="J93" s="735">
        <f t="shared" si="63"/>
        <v>54.297999361450124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38">
        <v>43179</v>
      </c>
      <c r="AP93" s="13">
        <f t="shared" si="64"/>
        <v>5</v>
      </c>
      <c r="AQ93" s="13">
        <f t="shared" si="65"/>
        <v>4</v>
      </c>
      <c r="AR93" s="173">
        <f t="shared" si="66"/>
        <v>43192</v>
      </c>
      <c r="AS93" s="742">
        <f t="shared" si="67"/>
        <v>0.4642857142857143</v>
      </c>
      <c r="AT93" s="758">
        <f t="shared" si="68"/>
        <v>54.347989727510139</v>
      </c>
      <c r="AU93" s="13">
        <f t="shared" si="69"/>
        <v>5</v>
      </c>
      <c r="AV93" s="13">
        <f t="shared" si="70"/>
        <v>4</v>
      </c>
      <c r="AW93" s="173">
        <f t="shared" si="71"/>
        <v>43206</v>
      </c>
      <c r="AX93" s="742">
        <f t="shared" si="72"/>
        <v>0.9642857142857143</v>
      </c>
      <c r="AY93" s="758">
        <f t="shared" si="73"/>
        <v>54.276223647860547</v>
      </c>
      <c r="AZ93" s="735">
        <f t="shared" si="77"/>
        <v>54.312106687685343</v>
      </c>
      <c r="BA93" s="633">
        <f t="shared" si="74"/>
        <v>0.98003205293743434</v>
      </c>
      <c r="BC93" s="11">
        <v>43179</v>
      </c>
      <c r="BD93" s="289">
        <f>[2]!FeuilCaduc*(1-Persistant)+Persistant</f>
        <v>0.5082399800795161</v>
      </c>
      <c r="BE93" s="290">
        <f>[2]!CroissVégét</f>
        <v>3.1915627119784788E-2</v>
      </c>
      <c r="BF93" s="804">
        <f>1+[2]!Salcycl*Ksac</f>
        <v>1.0008239980079516</v>
      </c>
      <c r="BH93" s="1036">
        <f t="shared" si="75"/>
        <v>1.4495419707602022E-3</v>
      </c>
      <c r="BI93" s="11">
        <v>44275</v>
      </c>
      <c r="BJ93" s="715">
        <v>1.3398557733629128E-3</v>
      </c>
      <c r="BK93" s="715">
        <v>1.3398557733629128E-3</v>
      </c>
      <c r="BL93" s="715">
        <v>1.3527365213963723E-3</v>
      </c>
      <c r="BM93" s="715">
        <v>1.4034535106277415E-3</v>
      </c>
      <c r="BN93" s="715">
        <v>1.4957943288609183E-3</v>
      </c>
      <c r="BO93" s="716">
        <v>1.6196470139459792E-3</v>
      </c>
      <c r="BP93" s="715">
        <v>1.7502670593897696E-3</v>
      </c>
      <c r="BQ93" s="715">
        <v>1.8791924021902733E-3</v>
      </c>
      <c r="BR93" s="715">
        <v>2.0073719855299411E-3</v>
      </c>
      <c r="BS93" s="715">
        <v>2.1386650869485908E-3</v>
      </c>
      <c r="BT93" s="715">
        <v>2.277746181644343E-3</v>
      </c>
      <c r="BW93" s="1188">
        <f>'2019'!R\Max</f>
        <v>0.98003205293743434</v>
      </c>
      <c r="BX93" s="1188">
        <f>'2020'!R\Max</f>
        <v>0.91905089178739119</v>
      </c>
      <c r="BY93" s="1188">
        <f>'2021'!R\Max</f>
        <v>0.82866839083996424</v>
      </c>
      <c r="BZ93" s="1188">
        <f>'2022'!R\Max</f>
        <v>0.62528031378053883</v>
      </c>
      <c r="CA93" s="1188">
        <f>'2023'!R\Max</f>
        <v>0.62527920882558174</v>
      </c>
      <c r="CB93" s="1188">
        <f>'2024'!R\Max</f>
        <v>0.62527810429932296</v>
      </c>
      <c r="CC93" s="1188">
        <f>'2025'!R\Max</f>
        <v>0.62527701367370536</v>
      </c>
      <c r="CD93" s="1188">
        <f>'2026'!R\Max</f>
        <v>0.62527592323492631</v>
      </c>
      <c r="CE93" s="1189">
        <f>'2027'!R\Max</f>
        <v>0.62528245798479254</v>
      </c>
      <c r="CF93" s="1191">
        <f>'2028'!R\Max</f>
        <v>0.6252814155708718</v>
      </c>
    </row>
    <row r="94" spans="1:84" s="6" customFormat="1" ht="11.25" x14ac:dyDescent="0.2">
      <c r="A94" s="11">
        <v>43180</v>
      </c>
      <c r="B94" s="379">
        <f>'2023'!Maxi_hp</f>
        <v>53.458089214511951</v>
      </c>
      <c r="C94" s="13">
        <f>'2023'!An_max</f>
        <v>2020</v>
      </c>
      <c r="D94" s="1045">
        <f t="shared" si="59"/>
        <v>0.97877674561009098</v>
      </c>
      <c r="E94" s="13"/>
      <c r="F94" s="13">
        <f t="shared" si="76"/>
        <v>7</v>
      </c>
      <c r="G94" s="13">
        <f t="shared" si="60"/>
        <v>8</v>
      </c>
      <c r="H94" s="173">
        <f t="shared" si="61"/>
        <v>43178</v>
      </c>
      <c r="I94" s="742">
        <f t="shared" si="62"/>
        <v>0.14285714285714285</v>
      </c>
      <c r="J94" s="735">
        <f t="shared" si="63"/>
        <v>54.617244897037743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38">
        <v>43180</v>
      </c>
      <c r="AP94" s="13">
        <f t="shared" si="64"/>
        <v>5</v>
      </c>
      <c r="AQ94" s="13">
        <f t="shared" si="65"/>
        <v>4</v>
      </c>
      <c r="AR94" s="173">
        <f t="shared" si="66"/>
        <v>43192</v>
      </c>
      <c r="AS94" s="742">
        <f t="shared" si="67"/>
        <v>0.42857142857142855</v>
      </c>
      <c r="AT94" s="758">
        <f t="shared" si="68"/>
        <v>54.676689504486106</v>
      </c>
      <c r="AU94" s="13">
        <f t="shared" si="69"/>
        <v>5</v>
      </c>
      <c r="AV94" s="13">
        <f t="shared" si="70"/>
        <v>4</v>
      </c>
      <c r="AW94" s="173">
        <f t="shared" si="71"/>
        <v>43206</v>
      </c>
      <c r="AX94" s="742">
        <f t="shared" si="72"/>
        <v>0.9285714285714286</v>
      </c>
      <c r="AY94" s="758">
        <f t="shared" si="73"/>
        <v>54.572697339739115</v>
      </c>
      <c r="AZ94" s="735">
        <f t="shared" si="77"/>
        <v>54.624693422112614</v>
      </c>
      <c r="BA94" s="633">
        <f t="shared" si="74"/>
        <v>0.97877674561009098</v>
      </c>
      <c r="BC94" s="11">
        <v>43180</v>
      </c>
      <c r="BD94" s="289">
        <f>[2]!FeuilCaduc*(1-Persistant)+Persistant</f>
        <v>0.50878292807574432</v>
      </c>
      <c r="BE94" s="290">
        <f>[2]!CroissVégét</f>
        <v>3.3264621499185201E-2</v>
      </c>
      <c r="BF94" s="804">
        <f>1+[2]!Salcycl*Ksac</f>
        <v>1.0008782928075743</v>
      </c>
      <c r="BH94" s="1036">
        <f t="shared" si="75"/>
        <v>1.4353510116355572E-3</v>
      </c>
      <c r="BI94" s="11">
        <v>44276</v>
      </c>
      <c r="BJ94" s="715">
        <v>1.3314968597539717E-3</v>
      </c>
      <c r="BK94" s="715">
        <v>1.3314968597539717E-3</v>
      </c>
      <c r="BL94" s="715">
        <v>1.343712213183942E-3</v>
      </c>
      <c r="BM94" s="715">
        <v>1.3917509406433952E-3</v>
      </c>
      <c r="BN94" s="715">
        <v>1.4791061314844364E-3</v>
      </c>
      <c r="BO94" s="716">
        <v>1.5963950264868637E-3</v>
      </c>
      <c r="BP94" s="715">
        <v>1.7206421973593154E-3</v>
      </c>
      <c r="BQ94" s="715">
        <v>1.8446094429233955E-3</v>
      </c>
      <c r="BR94" s="715">
        <v>1.9690121721312268E-3</v>
      </c>
      <c r="BS94" s="715">
        <v>2.097092574303456E-3</v>
      </c>
      <c r="BT94" s="715">
        <v>2.2325957612663741E-3</v>
      </c>
      <c r="BW94" s="1188">
        <f>'2019'!R\Max</f>
        <v>0.97114600708985632</v>
      </c>
      <c r="BX94" s="1188">
        <f>'2020'!R\Max</f>
        <v>0.97877674561009098</v>
      </c>
      <c r="BY94" s="1188">
        <f>'2021'!R\Max</f>
        <v>0.85988500970733894</v>
      </c>
      <c r="BZ94" s="1188">
        <f>'2022'!R\Max</f>
        <v>0.91068791983430497</v>
      </c>
      <c r="CA94" s="1188">
        <f>'2023'!R\Max</f>
        <v>0.91068755672455848</v>
      </c>
      <c r="CB94" s="1188">
        <f>'2024'!R\Max</f>
        <v>0.91068719363859274</v>
      </c>
      <c r="CC94" s="1188">
        <f>'2025'!R\Max</f>
        <v>0.9106868313429739</v>
      </c>
      <c r="CD94" s="1188">
        <f>'2026'!R\Max</f>
        <v>0.91068646900530759</v>
      </c>
      <c r="CE94" s="1189">
        <f>'2027'!R\Max</f>
        <v>0.91068862153104557</v>
      </c>
      <c r="CF94" s="1191">
        <f>'2028'!R\Max</f>
        <v>0.91068828037759153</v>
      </c>
    </row>
    <row r="95" spans="1:84" s="6" customFormat="1" ht="11.25" x14ac:dyDescent="0.2">
      <c r="A95" s="11">
        <v>43181</v>
      </c>
      <c r="B95" s="379">
        <f>'2023'!Maxi_hp</f>
        <v>53.132913238257949</v>
      </c>
      <c r="C95" s="13">
        <f>'2023'!An_max</f>
        <v>2020</v>
      </c>
      <c r="D95" s="1045" t="str">
        <f t="shared" si="59"/>
        <v/>
      </c>
      <c r="E95" s="13"/>
      <c r="F95" s="13">
        <f t="shared" si="76"/>
        <v>7</v>
      </c>
      <c r="G95" s="13">
        <f t="shared" si="60"/>
        <v>8</v>
      </c>
      <c r="H95" s="173">
        <f t="shared" si="61"/>
        <v>43178</v>
      </c>
      <c r="I95" s="742">
        <f t="shared" si="62"/>
        <v>0.21428571428571427</v>
      </c>
      <c r="J95" s="735">
        <f t="shared" si="63"/>
        <v>54.934982779888173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38">
        <v>43181</v>
      </c>
      <c r="AP95" s="13">
        <f t="shared" si="64"/>
        <v>5</v>
      </c>
      <c r="AQ95" s="13">
        <f t="shared" si="65"/>
        <v>4</v>
      </c>
      <c r="AR95" s="173">
        <f t="shared" si="66"/>
        <v>43192</v>
      </c>
      <c r="AS95" s="742">
        <f t="shared" si="67"/>
        <v>0.39285714285714285</v>
      </c>
      <c r="AT95" s="758">
        <f t="shared" si="68"/>
        <v>55.000579149695113</v>
      </c>
      <c r="AU95" s="13">
        <f t="shared" si="69"/>
        <v>5</v>
      </c>
      <c r="AV95" s="13">
        <f t="shared" si="70"/>
        <v>4</v>
      </c>
      <c r="AW95" s="173">
        <f t="shared" si="71"/>
        <v>43206</v>
      </c>
      <c r="AX95" s="742">
        <f t="shared" si="72"/>
        <v>0.8928571428571429</v>
      </c>
      <c r="AY95" s="758">
        <f t="shared" si="73"/>
        <v>54.867178776807023</v>
      </c>
      <c r="AZ95" s="735">
        <f t="shared" si="77"/>
        <v>54.933878963251068</v>
      </c>
      <c r="BA95" s="633">
        <f t="shared" si="74"/>
        <v>0.96719632098819974</v>
      </c>
      <c r="BC95" s="11">
        <v>43181</v>
      </c>
      <c r="BD95" s="289">
        <f>[2]!FeuilCaduc*(1-Persistant)+Persistant</f>
        <v>0.50938006463690155</v>
      </c>
      <c r="BE95" s="290">
        <f>[2]!CroissVégét</f>
        <v>3.4666216621534622E-2</v>
      </c>
      <c r="BF95" s="804">
        <f>1+[2]!Salcycl*Ksac</f>
        <v>1.0009380064636901</v>
      </c>
      <c r="BH95" s="1036">
        <f t="shared" si="75"/>
        <v>1.4234381572438247E-3</v>
      </c>
      <c r="BI95" s="11">
        <v>44277</v>
      </c>
      <c r="BJ95" s="715">
        <v>1.3250557894280003E-3</v>
      </c>
      <c r="BK95" s="715">
        <v>1.3250557894280005E-3</v>
      </c>
      <c r="BL95" s="715">
        <v>1.3366465908282461E-3</v>
      </c>
      <c r="BM95" s="715">
        <v>1.3821722384126432E-3</v>
      </c>
      <c r="BN95" s="715">
        <v>1.4648508243116619E-3</v>
      </c>
      <c r="BO95" s="716">
        <v>1.575944605506782E-3</v>
      </c>
      <c r="BP95" s="715">
        <v>1.6940944833698532E-3</v>
      </c>
      <c r="BQ95" s="715">
        <v>1.8131895577620048E-3</v>
      </c>
      <c r="BR95" s="715">
        <v>1.9337559285264175E-3</v>
      </c>
      <c r="BS95" s="715">
        <v>2.0584900188979991E-3</v>
      </c>
      <c r="BT95" s="715">
        <v>2.1902846368851521E-3</v>
      </c>
      <c r="BW95" s="1188">
        <f>'2019'!R\Max</f>
        <v>0.93963660355902867</v>
      </c>
      <c r="BX95" s="1188">
        <f>'2020'!R\Max</f>
        <v>0.96719632098819974</v>
      </c>
      <c r="BY95" s="1188">
        <f>'2021'!R\Max</f>
        <v>0.74371582645406831</v>
      </c>
      <c r="BZ95" s="1188">
        <f>'2022'!R\Max</f>
        <v>0.85242226952193501</v>
      </c>
      <c r="CA95" s="1188">
        <f>'2023'!R\Max</f>
        <v>0.85242173793973219</v>
      </c>
      <c r="CB95" s="1188">
        <f>'2024'!R\Max</f>
        <v>0.85242120621517448</v>
      </c>
      <c r="CC95" s="1188">
        <f>'2025'!R\Max</f>
        <v>0.85242067037531133</v>
      </c>
      <c r="CD95" s="1188">
        <f>'2026'!R\Max</f>
        <v>0.85242013431519947</v>
      </c>
      <c r="CE95" s="1189">
        <f>'2027'!R\Max</f>
        <v>0.85242329302530073</v>
      </c>
      <c r="CF95" s="1191">
        <f>'2028'!R\Max</f>
        <v>0.85242279537883447</v>
      </c>
    </row>
    <row r="96" spans="1:84" s="6" customFormat="1" ht="11.25" x14ac:dyDescent="0.2">
      <c r="A96" s="11">
        <v>43182</v>
      </c>
      <c r="B96" s="379">
        <f>'2023'!Maxi_hp</f>
        <v>53.726378247452473</v>
      </c>
      <c r="C96" s="13">
        <f>'2023'!An_max</f>
        <v>2021</v>
      </c>
      <c r="D96" s="1045">
        <f t="shared" si="59"/>
        <v>0.97241505395538885</v>
      </c>
      <c r="E96" s="13"/>
      <c r="F96" s="13">
        <f t="shared" si="76"/>
        <v>7</v>
      </c>
      <c r="G96" s="13">
        <f t="shared" si="60"/>
        <v>8</v>
      </c>
      <c r="H96" s="173">
        <f t="shared" si="61"/>
        <v>43178</v>
      </c>
      <c r="I96" s="742">
        <f t="shared" si="62"/>
        <v>0.2857142857142857</v>
      </c>
      <c r="J96" s="735">
        <f t="shared" si="63"/>
        <v>55.250459182954259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38">
        <v>43182</v>
      </c>
      <c r="AP96" s="13">
        <f t="shared" si="64"/>
        <v>5</v>
      </c>
      <c r="AQ96" s="13">
        <f t="shared" si="65"/>
        <v>4</v>
      </c>
      <c r="AR96" s="173">
        <f t="shared" si="66"/>
        <v>43192</v>
      </c>
      <c r="AS96" s="742">
        <f t="shared" si="67"/>
        <v>0.35714285714285715</v>
      </c>
      <c r="AT96" s="758">
        <f t="shared" si="68"/>
        <v>55.319200984082578</v>
      </c>
      <c r="AU96" s="13">
        <f t="shared" si="69"/>
        <v>5</v>
      </c>
      <c r="AV96" s="13">
        <f t="shared" si="70"/>
        <v>4</v>
      </c>
      <c r="AW96" s="173">
        <f t="shared" si="71"/>
        <v>43206</v>
      </c>
      <c r="AX96" s="742">
        <f t="shared" si="72"/>
        <v>0.8571428571428571</v>
      </c>
      <c r="AY96" s="758">
        <f t="shared" si="73"/>
        <v>55.159425656710347</v>
      </c>
      <c r="AZ96" s="735">
        <f t="shared" si="77"/>
        <v>55.239313320396462</v>
      </c>
      <c r="BA96" s="633">
        <f t="shared" si="74"/>
        <v>0.97241505395538885</v>
      </c>
      <c r="BC96" s="11">
        <v>43182</v>
      </c>
      <c r="BD96" s="289">
        <f>[2]!FeuilCaduc*(1-Persistant)+Persistant</f>
        <v>0.51003521261326679</v>
      </c>
      <c r="BE96" s="290">
        <f>[2]!CroissVégét</f>
        <v>3.6122296026123907E-2</v>
      </c>
      <c r="BF96" s="804">
        <f>1+[2]!Salcycl*Ksac</f>
        <v>1.0010035212613266</v>
      </c>
      <c r="BH96" s="1036">
        <f t="shared" si="75"/>
        <v>1.4138026356302171E-3</v>
      </c>
      <c r="BI96" s="11">
        <v>44278</v>
      </c>
      <c r="BJ96" s="715">
        <v>1.3205318701262638E-3</v>
      </c>
      <c r="BK96" s="715">
        <v>1.320531870126264E-3</v>
      </c>
      <c r="BL96" s="715">
        <v>1.3315389528974705E-3</v>
      </c>
      <c r="BM96" s="715">
        <v>1.3747166658311597E-3</v>
      </c>
      <c r="BN96" s="715">
        <v>1.4530276014169672E-3</v>
      </c>
      <c r="BO96" s="716">
        <v>1.5582948604820571E-3</v>
      </c>
      <c r="BP96" s="715">
        <v>1.670622953141837E-3</v>
      </c>
      <c r="BQ96" s="715">
        <v>1.7849317345518276E-3</v>
      </c>
      <c r="BR96" s="715">
        <v>1.9016022142454823E-3</v>
      </c>
      <c r="BS96" s="715">
        <v>2.0228563608369731E-3</v>
      </c>
      <c r="BT96" s="715">
        <v>2.1508117266811426E-3</v>
      </c>
      <c r="BW96" s="1188">
        <f>'2019'!R\Max</f>
        <v>0.87693258193416013</v>
      </c>
      <c r="BX96" s="1188">
        <f>'2020'!R\Max</f>
        <v>0.83836355216680747</v>
      </c>
      <c r="BY96" s="1188">
        <f>'2021'!R\Max</f>
        <v>0.97241505395538885</v>
      </c>
      <c r="BZ96" s="1188">
        <f>'2022'!R\Max</f>
        <v>0.96391780314311704</v>
      </c>
      <c r="CA96" s="1188">
        <f>'2023'!R\Max</f>
        <v>0.96391766403443147</v>
      </c>
      <c r="CB96" s="1188">
        <f>'2024'!R\Max</f>
        <v>0.96391752484075666</v>
      </c>
      <c r="CC96" s="1188">
        <f>'2025'!R\Max</f>
        <v>0.96391738327764731</v>
      </c>
      <c r="CD96" s="1188">
        <f>'2026'!R\Max</f>
        <v>0.96391724161331627</v>
      </c>
      <c r="CE96" s="1189">
        <f>'2027'!R\Max</f>
        <v>0.96391807016366449</v>
      </c>
      <c r="CF96" s="1191">
        <f>'2028'!R\Max</f>
        <v>0.96391794032230504</v>
      </c>
    </row>
    <row r="97" spans="1:84" s="6" customFormat="1" ht="11.25" x14ac:dyDescent="0.2">
      <c r="A97" s="11">
        <v>43183</v>
      </c>
      <c r="B97" s="379">
        <f>'2023'!Maxi_hp</f>
        <v>52.931336323355495</v>
      </c>
      <c r="C97" s="13">
        <f>'2023'!An_max</f>
        <v>2018</v>
      </c>
      <c r="D97" s="1045" t="str">
        <f t="shared" si="59"/>
        <v/>
      </c>
      <c r="E97" s="13"/>
      <c r="F97" s="13">
        <f t="shared" si="76"/>
        <v>7</v>
      </c>
      <c r="G97" s="13">
        <f t="shared" si="60"/>
        <v>8</v>
      </c>
      <c r="H97" s="173">
        <f t="shared" si="61"/>
        <v>43178</v>
      </c>
      <c r="I97" s="742">
        <f t="shared" si="62"/>
        <v>0.35714285714285715</v>
      </c>
      <c r="J97" s="735">
        <f t="shared" si="63"/>
        <v>55.562920279880721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38">
        <v>43183</v>
      </c>
      <c r="AP97" s="13">
        <f t="shared" si="64"/>
        <v>5</v>
      </c>
      <c r="AQ97" s="13">
        <f t="shared" si="65"/>
        <v>4</v>
      </c>
      <c r="AR97" s="173">
        <f t="shared" si="66"/>
        <v>43192</v>
      </c>
      <c r="AS97" s="742">
        <f t="shared" si="67"/>
        <v>0.32142857142857145</v>
      </c>
      <c r="AT97" s="758">
        <f t="shared" si="68"/>
        <v>55.632097325760085</v>
      </c>
      <c r="AU97" s="13">
        <f t="shared" si="69"/>
        <v>5</v>
      </c>
      <c r="AV97" s="13">
        <f t="shared" si="70"/>
        <v>4</v>
      </c>
      <c r="AW97" s="173">
        <f t="shared" si="71"/>
        <v>43206</v>
      </c>
      <c r="AX97" s="742">
        <f t="shared" si="72"/>
        <v>0.8214285714285714</v>
      </c>
      <c r="AY97" s="758">
        <f t="shared" si="73"/>
        <v>55.449195677600798</v>
      </c>
      <c r="AZ97" s="735">
        <f t="shared" si="77"/>
        <v>55.540646501680442</v>
      </c>
      <c r="BA97" s="633">
        <f t="shared" si="74"/>
        <v>0.95263776735870886</v>
      </c>
      <c r="BC97" s="11">
        <v>43183</v>
      </c>
      <c r="BD97" s="289">
        <f>[2]!FeuilCaduc*(1-Persistant)+Persistant</f>
        <v>0.51075221440451068</v>
      </c>
      <c r="BE97" s="290">
        <f>[2]!CroissVégét</f>
        <v>3.7634796931243539E-2</v>
      </c>
      <c r="BF97" s="804">
        <f>1+[2]!Salcycl*Ksac</f>
        <v>1.001075221440451</v>
      </c>
      <c r="BH97" s="1036">
        <f t="shared" si="75"/>
        <v>1.4064436834412657E-3</v>
      </c>
      <c r="BI97" s="11">
        <v>44279</v>
      </c>
      <c r="BJ97" s="715">
        <v>1.3179244122252303E-3</v>
      </c>
      <c r="BK97" s="715">
        <v>1.3179244122252303E-3</v>
      </c>
      <c r="BL97" s="715">
        <v>1.3283886012767615E-3</v>
      </c>
      <c r="BM97" s="715">
        <v>1.3693834908524792E-3</v>
      </c>
      <c r="BN97" s="715">
        <v>1.4436356680285478E-3</v>
      </c>
      <c r="BO97" s="716">
        <v>1.5434449189109147E-3</v>
      </c>
      <c r="BP97" s="715">
        <v>1.6502266674288406E-3</v>
      </c>
      <c r="BQ97" s="715">
        <v>1.7598349921606083E-3</v>
      </c>
      <c r="BR97" s="715">
        <v>1.8725500249218152E-3</v>
      </c>
      <c r="BS97" s="715">
        <v>1.9901905809957422E-3</v>
      </c>
      <c r="BT97" s="715">
        <v>2.1141759947279409E-3</v>
      </c>
      <c r="BW97" s="1188">
        <f>'2019'!R\Max</f>
        <v>0.95263776735870886</v>
      </c>
      <c r="BX97" s="1188">
        <f>'2020'!R\Max</f>
        <v>0.66677771876464742</v>
      </c>
      <c r="BY97" s="1188">
        <f>'2021'!R\Max</f>
        <v>0.95180651582329401</v>
      </c>
      <c r="BZ97" s="1188">
        <f>'2022'!R\Max</f>
        <v>0.94593183749569887</v>
      </c>
      <c r="CA97" s="1188">
        <f>'2023'!R\Max</f>
        <v>0.94593164385702211</v>
      </c>
      <c r="CB97" s="1188">
        <f>'2024'!R\Max</f>
        <v>0.94593145003359258</v>
      </c>
      <c r="CC97" s="1188">
        <f>'2025'!R\Max</f>
        <v>0.94593125126722699</v>
      </c>
      <c r="CD97" s="1188">
        <f>'2026'!R\Max</f>
        <v>0.94593105229784136</v>
      </c>
      <c r="CE97" s="1189">
        <f>'2027'!R\Max</f>
        <v>0.94593220832707259</v>
      </c>
      <c r="CF97" s="1191">
        <f>'2028'!R\Max</f>
        <v>0.94593202798831932</v>
      </c>
    </row>
    <row r="98" spans="1:84" s="6" customFormat="1" ht="11.25" x14ac:dyDescent="0.2">
      <c r="A98" s="11">
        <v>43184</v>
      </c>
      <c r="B98" s="379">
        <f>'2023'!Maxi_hp</f>
        <v>46.534768311108202</v>
      </c>
      <c r="C98" s="13">
        <f>'2023'!An_max</f>
        <v>2020</v>
      </c>
      <c r="D98" s="1045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73">
        <f t="shared" si="61"/>
        <v>43178</v>
      </c>
      <c r="I98" s="742">
        <f t="shared" si="62"/>
        <v>0.42857142857142855</v>
      </c>
      <c r="J98" s="735">
        <f t="shared" si="63"/>
        <v>55.871612244418692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38">
        <v>43184</v>
      </c>
      <c r="AP98" s="13">
        <f t="shared" si="64"/>
        <v>5</v>
      </c>
      <c r="AQ98" s="13">
        <f t="shared" si="65"/>
        <v>4</v>
      </c>
      <c r="AR98" s="173">
        <f t="shared" si="66"/>
        <v>43192</v>
      </c>
      <c r="AS98" s="742">
        <f t="shared" si="67"/>
        <v>0.2857142857142857</v>
      </c>
      <c r="AT98" s="758">
        <f t="shared" si="68"/>
        <v>55.938810496032239</v>
      </c>
      <c r="AU98" s="13">
        <f t="shared" si="69"/>
        <v>5</v>
      </c>
      <c r="AV98" s="13">
        <f t="shared" si="70"/>
        <v>4</v>
      </c>
      <c r="AW98" s="173">
        <f t="shared" si="71"/>
        <v>43206</v>
      </c>
      <c r="AX98" s="742">
        <f t="shared" si="72"/>
        <v>0.7857142857142857</v>
      </c>
      <c r="AY98" s="758">
        <f t="shared" si="73"/>
        <v>55.736246537896136</v>
      </c>
      <c r="AZ98" s="735">
        <f t="shared" si="77"/>
        <v>55.837528516964184</v>
      </c>
      <c r="BA98" s="633">
        <f t="shared" si="74"/>
        <v>0.832887515533558</v>
      </c>
      <c r="BC98" s="11">
        <v>43184</v>
      </c>
      <c r="BD98" s="289">
        <f>[2]!FeuilCaduc*(1-Persistant)+Persistant</f>
        <v>0.51153492041587412</v>
      </c>
      <c r="BE98" s="290">
        <f>[2]!CroissVégét</f>
        <v>3.9205710601738018E-2</v>
      </c>
      <c r="BF98" s="804">
        <f>1+[2]!Salcycl*Ksac</f>
        <v>1.0011534920415874</v>
      </c>
      <c r="BH98" s="1036">
        <f t="shared" si="75"/>
        <v>1.4013605386296686E-3</v>
      </c>
      <c r="BI98" s="11">
        <v>44280</v>
      </c>
      <c r="BJ98" s="715">
        <v>1.3172327225938647E-3</v>
      </c>
      <c r="BK98" s="715">
        <v>1.3172327225938647E-3</v>
      </c>
      <c r="BL98" s="715">
        <v>1.3271948348948656E-3</v>
      </c>
      <c r="BM98" s="715">
        <v>1.3661719806862375E-3</v>
      </c>
      <c r="BN98" s="715">
        <v>1.4366742327381219E-3</v>
      </c>
      <c r="BO98" s="716">
        <v>1.5313939173439842E-3</v>
      </c>
      <c r="BP98" s="715">
        <v>1.6329047021670278E-3</v>
      </c>
      <c r="BQ98" s="715">
        <v>1.7378983703536816E-3</v>
      </c>
      <c r="BR98" s="715">
        <v>1.8465983823594465E-3</v>
      </c>
      <c r="BS98" s="715">
        <v>1.9604916915163637E-3</v>
      </c>
      <c r="BT98" s="715">
        <v>2.0803764419078628E-3</v>
      </c>
      <c r="BW98" s="1188">
        <f>'2019'!R\Max</f>
        <v>0.82451534606877297</v>
      </c>
      <c r="BX98" s="1188">
        <f>'2020'!R\Max</f>
        <v>0.832887515533558</v>
      </c>
      <c r="BY98" s="1188">
        <f>'2021'!R\Max</f>
        <v>0.61150844447227326</v>
      </c>
      <c r="BZ98" s="1188">
        <f>'2022'!R\Max</f>
        <v>0.78981512880523808</v>
      </c>
      <c r="CA98" s="1188">
        <f>'2023'!R\Max</f>
        <v>0.78981453370351506</v>
      </c>
      <c r="CB98" s="1188">
        <f>'2024'!R\Max</f>
        <v>0.78981393783544329</v>
      </c>
      <c r="CC98" s="1188">
        <f>'2025'!R\Max</f>
        <v>0.78981332231113355</v>
      </c>
      <c r="CD98" s="1188">
        <f>'2026'!R\Max</f>
        <v>0.78981270597129594</v>
      </c>
      <c r="CE98" s="1189">
        <f>'2027'!R\Max</f>
        <v>0.78981626683823225</v>
      </c>
      <c r="CF98" s="1191">
        <f>'2028'!R\Max</f>
        <v>0.7898157133339081</v>
      </c>
    </row>
    <row r="99" spans="1:84" s="6" customFormat="1" ht="11.25" x14ac:dyDescent="0.2">
      <c r="A99" s="11">
        <v>43185</v>
      </c>
      <c r="B99" s="379">
        <f>'2023'!Maxi_hp</f>
        <v>56.562989488883829</v>
      </c>
      <c r="C99" s="13">
        <f>'2023'!An_max</f>
        <v>2020</v>
      </c>
      <c r="D99" s="1045">
        <f t="shared" si="59"/>
        <v>1.0068927966935739</v>
      </c>
      <c r="E99" s="13"/>
      <c r="F99" s="13">
        <f t="shared" si="76"/>
        <v>7</v>
      </c>
      <c r="G99" s="13">
        <f t="shared" si="60"/>
        <v>8</v>
      </c>
      <c r="H99" s="173">
        <f t="shared" si="61"/>
        <v>43178</v>
      </c>
      <c r="I99" s="742">
        <f t="shared" si="62"/>
        <v>0.5</v>
      </c>
      <c r="J99" s="735">
        <f t="shared" si="63"/>
        <v>56.17578124962747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38">
        <v>43185</v>
      </c>
      <c r="AP99" s="13">
        <f t="shared" si="64"/>
        <v>5</v>
      </c>
      <c r="AQ99" s="13">
        <f t="shared" si="65"/>
        <v>4</v>
      </c>
      <c r="AR99" s="173">
        <f t="shared" si="66"/>
        <v>43192</v>
      </c>
      <c r="AS99" s="742">
        <f t="shared" si="67"/>
        <v>0.25</v>
      </c>
      <c r="AT99" s="758">
        <f t="shared" si="68"/>
        <v>56.238882812438533</v>
      </c>
      <c r="AU99" s="13">
        <f t="shared" si="69"/>
        <v>5</v>
      </c>
      <c r="AV99" s="13">
        <f t="shared" si="70"/>
        <v>4</v>
      </c>
      <c r="AW99" s="173">
        <f t="shared" si="71"/>
        <v>43206</v>
      </c>
      <c r="AX99" s="742">
        <f t="shared" si="72"/>
        <v>0.75</v>
      </c>
      <c r="AY99" s="758">
        <f t="shared" si="73"/>
        <v>56.020335937850177</v>
      </c>
      <c r="AZ99" s="735">
        <f t="shared" si="77"/>
        <v>56.129609375144355</v>
      </c>
      <c r="BA99" s="633">
        <f t="shared" si="74"/>
        <v>1.0068927966935739</v>
      </c>
      <c r="BC99" s="11">
        <v>43185</v>
      </c>
      <c r="BD99" s="289">
        <f>[2]!FeuilCaduc*(1-Persistant)+Persistant</f>
        <v>0.51238717784529242</v>
      </c>
      <c r="BE99" s="290">
        <f>[2]!CroissVégét</f>
        <v>4.0837082604545251E-2</v>
      </c>
      <c r="BF99" s="804">
        <f>1+[2]!Salcycl*Ksac</f>
        <v>1.0012387177845292</v>
      </c>
      <c r="BH99" s="1036">
        <f t="shared" si="75"/>
        <v>1.3985524331638353E-3</v>
      </c>
      <c r="BI99" s="11">
        <v>44281</v>
      </c>
      <c r="BJ99" s="715">
        <v>1.3184560984553337E-3</v>
      </c>
      <c r="BK99" s="715">
        <v>1.3184560984553339E-3</v>
      </c>
      <c r="BL99" s="715">
        <v>1.3279569434552208E-3</v>
      </c>
      <c r="BM99" s="715">
        <v>1.3650813950009911E-3</v>
      </c>
      <c r="BN99" s="715">
        <v>1.4321424997154459E-3</v>
      </c>
      <c r="BO99" s="716">
        <v>1.522140992419942E-3</v>
      </c>
      <c r="BP99" s="715">
        <v>1.6186561386301122E-3</v>
      </c>
      <c r="BQ99" s="715">
        <v>1.7191209196753983E-3</v>
      </c>
      <c r="BR99" s="715">
        <v>1.8237463246064739E-3</v>
      </c>
      <c r="BS99" s="715">
        <v>1.9337587263102776E-3</v>
      </c>
      <c r="BT99" s="715">
        <v>2.0494120968345686E-3</v>
      </c>
      <c r="BW99" s="1188">
        <f>'2019'!R\Max</f>
        <v>1.0064124008490956</v>
      </c>
      <c r="BX99" s="1188">
        <f>'2020'!R\Max</f>
        <v>1.0068927966935739</v>
      </c>
      <c r="BY99" s="1188">
        <f>'2021'!R\Max</f>
        <v>0.78764817831999689</v>
      </c>
      <c r="BZ99" s="1188">
        <f>'2022'!R\Max</f>
        <v>0.90865641812105524</v>
      </c>
      <c r="CA99" s="1188">
        <f>'2023'!R\Max</f>
        <v>0.90865613628897279</v>
      </c>
      <c r="CB99" s="1188">
        <f>'2024'!R\Max</f>
        <v>0.90865585400521798</v>
      </c>
      <c r="CC99" s="1188">
        <f>'2025'!R\Max</f>
        <v>0.90865556063742836</v>
      </c>
      <c r="CD99" s="1188">
        <f>'2026'!R\Max</f>
        <v>0.90865526679380249</v>
      </c>
      <c r="CE99" s="1189">
        <f>'2027'!R\Max</f>
        <v>0.90865695686984671</v>
      </c>
      <c r="CF99" s="1191">
        <f>'2028'!R\Max</f>
        <v>0.90865669480005551</v>
      </c>
    </row>
    <row r="100" spans="1:84" s="6" customFormat="1" ht="11.25" x14ac:dyDescent="0.2">
      <c r="A100" s="11">
        <v>43186</v>
      </c>
      <c r="B100" s="379">
        <f>'2023'!Maxi_hp</f>
        <v>55.827090198915265</v>
      </c>
      <c r="C100" s="13">
        <f>'2023'!An_max</f>
        <v>2018</v>
      </c>
      <c r="D100" s="1045">
        <f t="shared" si="59"/>
        <v>0.98853320912611475</v>
      </c>
      <c r="E100" s="13"/>
      <c r="F100" s="13">
        <f t="shared" si="76"/>
        <v>7</v>
      </c>
      <c r="G100" s="13">
        <f t="shared" si="60"/>
        <v>8</v>
      </c>
      <c r="H100" s="173">
        <f t="shared" si="61"/>
        <v>43178</v>
      </c>
      <c r="I100" s="742">
        <f t="shared" si="62"/>
        <v>0.5714285714285714</v>
      </c>
      <c r="J100" s="735">
        <f t="shared" si="63"/>
        <v>56.474673469258207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38">
        <v>43186</v>
      </c>
      <c r="AP100" s="13">
        <f t="shared" si="64"/>
        <v>5</v>
      </c>
      <c r="AQ100" s="13">
        <f t="shared" si="65"/>
        <v>4</v>
      </c>
      <c r="AR100" s="173">
        <f t="shared" si="66"/>
        <v>43192</v>
      </c>
      <c r="AS100" s="742">
        <f t="shared" si="67"/>
        <v>0.21428571428571427</v>
      </c>
      <c r="AT100" s="758">
        <f t="shared" si="68"/>
        <v>56.531856596589613</v>
      </c>
      <c r="AU100" s="13">
        <f t="shared" si="69"/>
        <v>5</v>
      </c>
      <c r="AV100" s="13">
        <f t="shared" si="70"/>
        <v>4</v>
      </c>
      <c r="AW100" s="173">
        <f t="shared" si="71"/>
        <v>43206</v>
      </c>
      <c r="AX100" s="742">
        <f t="shared" si="72"/>
        <v>0.7142857142857143</v>
      </c>
      <c r="AY100" s="758">
        <f t="shared" si="73"/>
        <v>56.301221574842927</v>
      </c>
      <c r="AZ100" s="735">
        <f t="shared" si="77"/>
        <v>56.416539085716266</v>
      </c>
      <c r="BA100" s="633">
        <f t="shared" si="74"/>
        <v>0.98853320912611475</v>
      </c>
      <c r="BC100" s="11">
        <v>43186</v>
      </c>
      <c r="BD100" s="289">
        <f>[2]!FeuilCaduc*(1-Persistant)+Persistant</f>
        <v>0.51331281984304977</v>
      </c>
      <c r="BE100" s="290">
        <f>[2]!CroissVégét</f>
        <v>4.2531012940474407E-2</v>
      </c>
      <c r="BF100" s="804">
        <f>1+[2]!Salcycl*Ksac</f>
        <v>1.001331281984305</v>
      </c>
      <c r="BH100" s="1036">
        <f t="shared" si="75"/>
        <v>1.3988128234073104E-3</v>
      </c>
      <c r="BI100" s="11">
        <v>44282</v>
      </c>
      <c r="BJ100" s="715">
        <v>1.3224633031476514E-3</v>
      </c>
      <c r="BK100" s="715">
        <v>1.3224633031476516E-3</v>
      </c>
      <c r="BL100" s="715">
        <v>1.3315340362385917E-3</v>
      </c>
      <c r="BM100" s="715">
        <v>1.3669352623660901E-3</v>
      </c>
      <c r="BN100" s="715">
        <v>1.4308037461766634E-3</v>
      </c>
      <c r="BO100" s="716">
        <v>1.5163757259155067E-3</v>
      </c>
      <c r="BP100" s="715">
        <v>1.6081016046710708E-3</v>
      </c>
      <c r="BQ100" s="715">
        <v>1.704060081353186E-3</v>
      </c>
      <c r="BR100" s="715">
        <v>1.8044949754514653E-3</v>
      </c>
      <c r="BS100" s="715">
        <v>1.9104445591404586E-3</v>
      </c>
      <c r="BT100" s="715">
        <v>2.0216933688638203E-3</v>
      </c>
      <c r="BW100" s="1188">
        <f>'2019'!R\Max</f>
        <v>0.98853320912611475</v>
      </c>
      <c r="BX100" s="1188">
        <f>'2020'!R\Max</f>
        <v>0.4696521553349392</v>
      </c>
      <c r="BY100" s="1188">
        <f>'2021'!R\Max</f>
        <v>0.8639650005593128</v>
      </c>
      <c r="BZ100" s="1188">
        <f>'2022'!R\Max</f>
        <v>0.88809075830892614</v>
      </c>
      <c r="CA100" s="1188">
        <f>'2023'!R\Max</f>
        <v>0.88809043870544591</v>
      </c>
      <c r="CB100" s="1188">
        <f>'2024'!R\Max</f>
        <v>0.88809011849970299</v>
      </c>
      <c r="CC100" s="1188">
        <f>'2025'!R\Max</f>
        <v>0.88808978414588213</v>
      </c>
      <c r="CD100" s="1188">
        <f>'2026'!R\Max</f>
        <v>0.88808944915506105</v>
      </c>
      <c r="CE100" s="1189">
        <f>'2027'!R\Max</f>
        <v>0.8880913697056626</v>
      </c>
      <c r="CF100" s="1191">
        <f>'2028'!R\Max</f>
        <v>0.88809107224386363</v>
      </c>
    </row>
    <row r="101" spans="1:84" s="6" customFormat="1" ht="11.25" x14ac:dyDescent="0.2">
      <c r="A101" s="11">
        <v>43187</v>
      </c>
      <c r="B101" s="379">
        <f>'2023'!Maxi_hp</f>
        <v>54.360653644959861</v>
      </c>
      <c r="C101" s="13">
        <f>'2023'!An_max</f>
        <v>2018</v>
      </c>
      <c r="D101" s="1045" t="str">
        <f t="shared" si="59"/>
        <v/>
      </c>
      <c r="E101" s="13"/>
      <c r="F101" s="13">
        <f t="shared" si="76"/>
        <v>7</v>
      </c>
      <c r="G101" s="13">
        <f t="shared" si="60"/>
        <v>8</v>
      </c>
      <c r="H101" s="173">
        <f t="shared" si="61"/>
        <v>43178</v>
      </c>
      <c r="I101" s="742">
        <f t="shared" si="62"/>
        <v>0.6428571428571429</v>
      </c>
      <c r="J101" s="735">
        <f t="shared" si="63"/>
        <v>56.767535076795944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38">
        <v>43187</v>
      </c>
      <c r="AP101" s="13">
        <f t="shared" si="64"/>
        <v>5</v>
      </c>
      <c r="AQ101" s="13">
        <f t="shared" si="65"/>
        <v>4</v>
      </c>
      <c r="AR101" s="173">
        <f t="shared" si="66"/>
        <v>43192</v>
      </c>
      <c r="AS101" s="742">
        <f t="shared" si="67"/>
        <v>0.17857142857142858</v>
      </c>
      <c r="AT101" s="758">
        <f t="shared" si="68"/>
        <v>56.817274166417441</v>
      </c>
      <c r="AU101" s="13">
        <f t="shared" si="69"/>
        <v>5</v>
      </c>
      <c r="AV101" s="13">
        <f t="shared" si="70"/>
        <v>4</v>
      </c>
      <c r="AW101" s="173">
        <f t="shared" si="71"/>
        <v>43206</v>
      </c>
      <c r="AX101" s="742">
        <f t="shared" si="72"/>
        <v>0.6785714285714286</v>
      </c>
      <c r="AY101" s="758">
        <f t="shared" si="73"/>
        <v>56.578661147185734</v>
      </c>
      <c r="AZ101" s="735">
        <f t="shared" si="77"/>
        <v>56.697967656801588</v>
      </c>
      <c r="BA101" s="633">
        <f t="shared" si="74"/>
        <v>0.9576010931498079</v>
      </c>
      <c r="BC101" s="11">
        <v>43187</v>
      </c>
      <c r="BD101" s="289">
        <f>[2]!FeuilCaduc*(1-Persistant)+Persistant</f>
        <v>0.51431565507605703</v>
      </c>
      <c r="BE101" s="290">
        <f>[2]!CroissVégét</f>
        <v>4.4289656039802887E-2</v>
      </c>
      <c r="BF101" s="804">
        <f>1+[2]!Salcycl*Ksac</f>
        <v>1.0014315655076058</v>
      </c>
      <c r="BH101" s="1036">
        <f t="shared" si="75"/>
        <v>1.4022119571788165E-3</v>
      </c>
      <c r="BI101" s="11">
        <v>44283</v>
      </c>
      <c r="BJ101" s="715">
        <v>1.3295727244376338E-3</v>
      </c>
      <c r="BK101" s="715">
        <v>1.329572724437634E-3</v>
      </c>
      <c r="BL101" s="715">
        <v>1.3382161453981516E-3</v>
      </c>
      <c r="BM101" s="715">
        <v>1.3719096307627653E-3</v>
      </c>
      <c r="BN101" s="715">
        <v>1.4326220435356147E-3</v>
      </c>
      <c r="BO101" s="716">
        <v>1.5138318912325914E-3</v>
      </c>
      <c r="BP101" s="715">
        <v>1.6008338577690252E-3</v>
      </c>
      <c r="BQ101" s="715">
        <v>1.6922680564924041E-3</v>
      </c>
      <c r="BR101" s="715">
        <v>1.7884032493246599E-3</v>
      </c>
      <c r="BS101" s="715">
        <v>1.8901091054481919E-3</v>
      </c>
      <c r="BT101" s="715">
        <v>1.9967766485113718E-3</v>
      </c>
      <c r="BW101" s="1188">
        <f>'2019'!R\Max</f>
        <v>0.9576010931498079</v>
      </c>
      <c r="BX101" s="1188">
        <f>'2020'!R\Max</f>
        <v>0.9187911338763487</v>
      </c>
      <c r="BY101" s="1188">
        <f>'2021'!R\Max</f>
        <v>0.94657091280161709</v>
      </c>
      <c r="BZ101" s="1188">
        <f>'2022'!R\Max</f>
        <v>0.70485894187419518</v>
      </c>
      <c r="CA101" s="1188">
        <f>'2023'!R\Max</f>
        <v>0.70485830937760463</v>
      </c>
      <c r="CB101" s="1188">
        <f>'2024'!R\Max</f>
        <v>0.70485767550956957</v>
      </c>
      <c r="CC101" s="1188">
        <f>'2025'!R\Max</f>
        <v>0.70485701078772578</v>
      </c>
      <c r="CD101" s="1188">
        <f>'2026'!R\Max</f>
        <v>0.70485634461121038</v>
      </c>
      <c r="CE101" s="1189">
        <f>'2027'!R\Max</f>
        <v>0.70486015283033965</v>
      </c>
      <c r="CF101" s="1191">
        <f>'2028'!R\Max</f>
        <v>0.70485956355666035</v>
      </c>
    </row>
    <row r="102" spans="1:84" s="6" customFormat="1" ht="11.25" x14ac:dyDescent="0.2">
      <c r="A102" s="11">
        <v>43188</v>
      </c>
      <c r="B102" s="379">
        <f>'2023'!Maxi_hp</f>
        <v>56.601597113397979</v>
      </c>
      <c r="C102" s="13">
        <f>'2023'!An_max</f>
        <v>2021</v>
      </c>
      <c r="D102" s="1045">
        <f t="shared" si="59"/>
        <v>0.9920773617247971</v>
      </c>
      <c r="E102" s="13"/>
      <c r="F102" s="13">
        <f t="shared" si="76"/>
        <v>7</v>
      </c>
      <c r="G102" s="13">
        <f t="shared" si="60"/>
        <v>8</v>
      </c>
      <c r="H102" s="173">
        <f t="shared" si="61"/>
        <v>43178</v>
      </c>
      <c r="I102" s="742">
        <f t="shared" si="62"/>
        <v>0.7142857142857143</v>
      </c>
      <c r="J102" s="735">
        <f t="shared" si="63"/>
        <v>57.053612245512866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38">
        <v>43188</v>
      </c>
      <c r="AP102" s="13">
        <f t="shared" si="64"/>
        <v>5</v>
      </c>
      <c r="AQ102" s="13">
        <f t="shared" si="65"/>
        <v>4</v>
      </c>
      <c r="AR102" s="173">
        <f t="shared" si="66"/>
        <v>43192</v>
      </c>
      <c r="AS102" s="742">
        <f t="shared" si="67"/>
        <v>0.14285714285714285</v>
      </c>
      <c r="AT102" s="758">
        <f t="shared" si="68"/>
        <v>57.094677842807563</v>
      </c>
      <c r="AU102" s="13">
        <f t="shared" si="69"/>
        <v>5</v>
      </c>
      <c r="AV102" s="13">
        <f t="shared" si="70"/>
        <v>4</v>
      </c>
      <c r="AW102" s="173">
        <f t="shared" si="71"/>
        <v>43206</v>
      </c>
      <c r="AX102" s="742">
        <f t="shared" si="72"/>
        <v>0.6428571428571429</v>
      </c>
      <c r="AY102" s="758">
        <f t="shared" si="73"/>
        <v>56.852412354626821</v>
      </c>
      <c r="AZ102" s="735">
        <f t="shared" si="77"/>
        <v>56.973545098717196</v>
      </c>
      <c r="BA102" s="633">
        <f t="shared" si="74"/>
        <v>0.9920773617247971</v>
      </c>
      <c r="BC102" s="11">
        <v>43188</v>
      </c>
      <c r="BD102" s="289">
        <f>[2]!FeuilCaduc*(1-Persistant)+Persistant</f>
        <v>0.51539945771925288</v>
      </c>
      <c r="BE102" s="290">
        <f>[2]!CroissVégét</f>
        <v>4.6115220608575654E-2</v>
      </c>
      <c r="BF102" s="804">
        <f>1+[2]!Salcycl*Ksac</f>
        <v>1.0015399457719254</v>
      </c>
      <c r="BH102" s="1036">
        <f t="shared" si="75"/>
        <v>1.4087488529424181E-3</v>
      </c>
      <c r="BI102" s="11">
        <v>44284</v>
      </c>
      <c r="BJ102" s="715">
        <v>1.3397833867919977E-3</v>
      </c>
      <c r="BK102" s="715">
        <v>1.3397833867919977E-3</v>
      </c>
      <c r="BL102" s="715">
        <v>1.3480022948487616E-3</v>
      </c>
      <c r="BM102" s="715">
        <v>1.3800035214753478E-3</v>
      </c>
      <c r="BN102" s="715">
        <v>1.4375964074260688E-3</v>
      </c>
      <c r="BO102" s="716">
        <v>1.5145084948105802E-3</v>
      </c>
      <c r="BP102" s="715">
        <v>1.596851895418515E-3</v>
      </c>
      <c r="BQ102" s="715">
        <v>1.6837438445070237E-3</v>
      </c>
      <c r="BR102" s="715">
        <v>1.7754701594626923E-3</v>
      </c>
      <c r="BS102" s="715">
        <v>1.872751401805705E-3</v>
      </c>
      <c r="BT102" s="715">
        <v>1.9746609955245999E-3</v>
      </c>
      <c r="BW102" s="1188">
        <f>'2019'!R\Max</f>
        <v>0.97563921676277376</v>
      </c>
      <c r="BX102" s="1188">
        <f>'2020'!R\Max</f>
        <v>0.91822315918474662</v>
      </c>
      <c r="BY102" s="1188">
        <f>'2021'!R\Max</f>
        <v>0.9920773617247971</v>
      </c>
      <c r="BZ102" s="1188">
        <f>'2022'!R\Max</f>
        <v>0.52566678730673178</v>
      </c>
      <c r="CA102" s="1188">
        <f>'2023'!R\Max</f>
        <v>0.52566607190345804</v>
      </c>
      <c r="CB102" s="1188">
        <f>'2024'!R\Max</f>
        <v>0.52566535474704512</v>
      </c>
      <c r="CC102" s="1188">
        <f>'2025'!R\Max</f>
        <v>0.5256645998237871</v>
      </c>
      <c r="CD102" s="1188">
        <f>'2026'!R\Max</f>
        <v>0.52566384303718883</v>
      </c>
      <c r="CE102" s="1189">
        <f>'2027'!R\Max</f>
        <v>0.52566815827688418</v>
      </c>
      <c r="CF102" s="1191">
        <f>'2028'!R\Max</f>
        <v>0.52566749100878973</v>
      </c>
    </row>
    <row r="103" spans="1:84" s="6" customFormat="1" ht="11.25" x14ac:dyDescent="0.2">
      <c r="A103" s="11">
        <v>43189</v>
      </c>
      <c r="B103" s="379">
        <f>'2023'!Maxi_hp</f>
        <v>56.745534114329011</v>
      </c>
      <c r="C103" s="13">
        <f>'2023'!An_max</f>
        <v>2018</v>
      </c>
      <c r="D103" s="1045">
        <f t="shared" si="59"/>
        <v>0.98976809656042419</v>
      </c>
      <c r="E103" s="13"/>
      <c r="F103" s="13">
        <f t="shared" si="76"/>
        <v>7</v>
      </c>
      <c r="G103" s="13">
        <f t="shared" si="60"/>
        <v>8</v>
      </c>
      <c r="H103" s="173">
        <f t="shared" si="61"/>
        <v>43178</v>
      </c>
      <c r="I103" s="742">
        <f t="shared" si="62"/>
        <v>0.7857142857142857</v>
      </c>
      <c r="J103" s="735">
        <f t="shared" si="63"/>
        <v>57.332151148867389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38">
        <v>43189</v>
      </c>
      <c r="AP103" s="13">
        <f t="shared" si="64"/>
        <v>5</v>
      </c>
      <c r="AQ103" s="13">
        <f t="shared" si="65"/>
        <v>4</v>
      </c>
      <c r="AR103" s="173">
        <f t="shared" si="66"/>
        <v>43192</v>
      </c>
      <c r="AS103" s="742">
        <f t="shared" si="67"/>
        <v>0.10714285714285714</v>
      </c>
      <c r="AT103" s="758">
        <f t="shared" si="68"/>
        <v>57.363609944683105</v>
      </c>
      <c r="AU103" s="13">
        <f t="shared" si="69"/>
        <v>5</v>
      </c>
      <c r="AV103" s="13">
        <f t="shared" si="70"/>
        <v>4</v>
      </c>
      <c r="AW103" s="173">
        <f t="shared" si="71"/>
        <v>43206</v>
      </c>
      <c r="AX103" s="742">
        <f t="shared" si="72"/>
        <v>0.6071428571428571</v>
      </c>
      <c r="AY103" s="758">
        <f t="shared" si="73"/>
        <v>57.122232894785704</v>
      </c>
      <c r="AZ103" s="735">
        <f t="shared" si="77"/>
        <v>57.242921419734401</v>
      </c>
      <c r="BA103" s="633">
        <f t="shared" si="74"/>
        <v>0.98976809656042419</v>
      </c>
      <c r="BC103" s="11">
        <v>43189</v>
      </c>
      <c r="BD103" s="289">
        <f>[2]!FeuilCaduc*(1-Persistant)+Persistant</f>
        <v>0.51656795788708476</v>
      </c>
      <c r="BE103" s="290">
        <f>[2]!CroissVégét</f>
        <v>4.8009969311812332E-2</v>
      </c>
      <c r="BF103" s="804">
        <f>1+[2]!Salcycl*Ksac</f>
        <v>1.0016567957887086</v>
      </c>
      <c r="BH103" s="1036">
        <f t="shared" si="75"/>
        <v>1.4184224793877677E-3</v>
      </c>
      <c r="BI103" s="11">
        <v>44285</v>
      </c>
      <c r="BJ103" s="715">
        <v>1.3530942606759249E-3</v>
      </c>
      <c r="BK103" s="715">
        <v>1.3530942606759246E-3</v>
      </c>
      <c r="BL103" s="715">
        <v>1.3608914550108512E-3</v>
      </c>
      <c r="BM103" s="715">
        <v>1.3912159042584896E-3</v>
      </c>
      <c r="BN103" s="715">
        <v>1.4457258054688907E-3</v>
      </c>
      <c r="BO103" s="716">
        <v>1.5184044997369167E-3</v>
      </c>
      <c r="BP103" s="715">
        <v>1.5961546768727252E-3</v>
      </c>
      <c r="BQ103" s="715">
        <v>1.678486412625615E-3</v>
      </c>
      <c r="BR103" s="715">
        <v>1.7656946939998673E-3</v>
      </c>
      <c r="BS103" s="715">
        <v>1.8583704677281093E-3</v>
      </c>
      <c r="BT103" s="715">
        <v>1.9553454610109918E-3</v>
      </c>
      <c r="BW103" s="1188">
        <f>'2019'!R\Max</f>
        <v>0.98976809656042419</v>
      </c>
      <c r="BX103" s="1188">
        <f>'2020'!R\Max</f>
        <v>0.6129988276701549</v>
      </c>
      <c r="BY103" s="1188">
        <f>'2021'!R\Max</f>
        <v>0.93034844134275119</v>
      </c>
      <c r="BZ103" s="1188">
        <f>'2022'!R\Max</f>
        <v>0.1422285954631102</v>
      </c>
      <c r="CA103" s="1188">
        <f>'2023'!R\Max</f>
        <v>0.1422283264438447</v>
      </c>
      <c r="CB103" s="1188">
        <f>'2024'!R\Max</f>
        <v>0.14222805669165456</v>
      </c>
      <c r="CC103" s="1188">
        <f>'2025'!R\Max</f>
        <v>0.14222777181998097</v>
      </c>
      <c r="CD103" s="1188">
        <f>'2026'!R\Max</f>
        <v>0.14222748616819811</v>
      </c>
      <c r="CE103" s="1189">
        <f>'2027'!R\Max</f>
        <v>0.14222911155021603</v>
      </c>
      <c r="CF103" s="1191">
        <f>'2028'!R\Max</f>
        <v>0.14222886031371765</v>
      </c>
    </row>
    <row r="104" spans="1:84" s="6" customFormat="1" ht="11.25" x14ac:dyDescent="0.2">
      <c r="A104" s="11">
        <v>43190</v>
      </c>
      <c r="B104" s="379">
        <f>'2023'!Maxi_hp</f>
        <v>51.692988498313227</v>
      </c>
      <c r="C104" s="13">
        <f>'2023'!An_max</f>
        <v>2021</v>
      </c>
      <c r="D104" s="1045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73">
        <f t="shared" si="61"/>
        <v>43178</v>
      </c>
      <c r="I104" s="742">
        <f t="shared" si="62"/>
        <v>0.8571428571428571</v>
      </c>
      <c r="J104" s="735">
        <f t="shared" si="63"/>
        <v>57.602397959093956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38">
        <v>43190</v>
      </c>
      <c r="AP104" s="13">
        <f t="shared" si="64"/>
        <v>5</v>
      </c>
      <c r="AQ104" s="13">
        <f t="shared" si="65"/>
        <v>4</v>
      </c>
      <c r="AR104" s="173">
        <f t="shared" si="66"/>
        <v>43192</v>
      </c>
      <c r="AS104" s="742">
        <f t="shared" si="67"/>
        <v>7.1428571428571425E-2</v>
      </c>
      <c r="AT104" s="758">
        <f t="shared" si="68"/>
        <v>57.623612790940605</v>
      </c>
      <c r="AU104" s="13">
        <f t="shared" si="69"/>
        <v>5</v>
      </c>
      <c r="AV104" s="13">
        <f t="shared" si="70"/>
        <v>4</v>
      </c>
      <c r="AW104" s="173">
        <f t="shared" si="71"/>
        <v>43206</v>
      </c>
      <c r="AX104" s="742">
        <f t="shared" si="72"/>
        <v>0.5714285714285714</v>
      </c>
      <c r="AY104" s="758">
        <f t="shared" si="73"/>
        <v>57.387880467623475</v>
      </c>
      <c r="AZ104" s="735">
        <f t="shared" si="77"/>
        <v>57.505746629282044</v>
      </c>
      <c r="BA104" s="633">
        <f t="shared" si="74"/>
        <v>0.8974103566838092</v>
      </c>
      <c r="BC104" s="11">
        <v>43190</v>
      </c>
      <c r="BD104" s="289">
        <f>[2]!FeuilCaduc*(1-Persistant)+Persistant</f>
        <v>0.51782483250866063</v>
      </c>
      <c r="BE104" s="290">
        <f>[2]!CroissVégét</f>
        <v>4.9976218279140845E-2</v>
      </c>
      <c r="BF104" s="804">
        <f>1+[2]!Salcycl*Ksac</f>
        <v>1.0017824832508662</v>
      </c>
      <c r="BH104" s="1036">
        <f t="shared" si="75"/>
        <v>1.4312317453637874E-3</v>
      </c>
      <c r="BI104" s="11">
        <v>44286</v>
      </c>
      <c r="BJ104" s="715">
        <v>1.3695042526029721E-3</v>
      </c>
      <c r="BK104" s="715">
        <v>1.3695042526029721E-3</v>
      </c>
      <c r="BL104" s="715">
        <v>1.3768825328514505E-3</v>
      </c>
      <c r="BM104" s="715">
        <v>1.4055456873289483E-3</v>
      </c>
      <c r="BN104" s="715">
        <v>1.4570091471474151E-3</v>
      </c>
      <c r="BO104" s="716">
        <v>1.525518815417168E-3</v>
      </c>
      <c r="BP104" s="715">
        <v>1.5987411126052095E-3</v>
      </c>
      <c r="BQ104" s="715">
        <v>1.6764946854116352E-3</v>
      </c>
      <c r="BR104" s="715">
        <v>1.7590758058391815E-3</v>
      </c>
      <c r="BS104" s="715">
        <v>1.8469652961248986E-3</v>
      </c>
      <c r="BT104" s="715">
        <v>1.9388290784567415E-3</v>
      </c>
      <c r="BW104" s="1188">
        <f>'2019'!R\Max</f>
        <v>0.86522873827899049</v>
      </c>
      <c r="BX104" s="1188">
        <f>'2020'!R\Max</f>
        <v>0.30703158316296697</v>
      </c>
      <c r="BY104" s="1188">
        <f>'2021'!R\Max</f>
        <v>0.8974103566838092</v>
      </c>
      <c r="BZ104" s="1188">
        <f>'2022'!R\Max</f>
        <v>0.48063171528559717</v>
      </c>
      <c r="CA104" s="1188">
        <f>'2023'!R\Max</f>
        <v>0.48063108150268757</v>
      </c>
      <c r="CB104" s="1188">
        <f>'2024'!R\Max</f>
        <v>0.48063044582872555</v>
      </c>
      <c r="CC104" s="1188">
        <f>'2025'!R\Max</f>
        <v>0.48062977282365155</v>
      </c>
      <c r="CD104" s="1188">
        <f>'2026'!R\Max</f>
        <v>0.48063337805426493</v>
      </c>
      <c r="CE104" s="1189">
        <f>'2027'!R\Max</f>
        <v>0.480632932608279</v>
      </c>
      <c r="CF104" s="1191">
        <f>'2028'!R\Max</f>
        <v>0.48063233987896609</v>
      </c>
    </row>
    <row r="105" spans="1:84" s="6" customFormat="1" ht="11.25" x14ac:dyDescent="0.2">
      <c r="A105" s="11">
        <v>43191</v>
      </c>
      <c r="B105" s="379">
        <f>'2023'!Maxi_hp</f>
        <v>52.356654743992351</v>
      </c>
      <c r="C105" s="13">
        <f>'2023'!An_max</f>
        <v>2021</v>
      </c>
      <c r="D105" s="1045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73">
        <f t="shared" si="61"/>
        <v>43178</v>
      </c>
      <c r="I105" s="742">
        <f t="shared" si="62"/>
        <v>0.9285714285714286</v>
      </c>
      <c r="J105" s="735">
        <f t="shared" si="63"/>
        <v>57.863598851966003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38">
        <v>43191</v>
      </c>
      <c r="AP105" s="13">
        <f t="shared" si="64"/>
        <v>5</v>
      </c>
      <c r="AQ105" s="13">
        <f t="shared" si="65"/>
        <v>4</v>
      </c>
      <c r="AR105" s="173">
        <f t="shared" si="66"/>
        <v>43192</v>
      </c>
      <c r="AS105" s="742">
        <f t="shared" si="67"/>
        <v>3.5714285714285712E-2</v>
      </c>
      <c r="AT105" s="758">
        <f t="shared" si="68"/>
        <v>57.874228702518828</v>
      </c>
      <c r="AU105" s="13">
        <f t="shared" si="69"/>
        <v>5</v>
      </c>
      <c r="AV105" s="13">
        <f t="shared" si="70"/>
        <v>4</v>
      </c>
      <c r="AW105" s="173">
        <f t="shared" si="71"/>
        <v>43206</v>
      </c>
      <c r="AX105" s="742">
        <f t="shared" si="72"/>
        <v>0.5357142857142857</v>
      </c>
      <c r="AY105" s="758">
        <f t="shared" si="73"/>
        <v>57.649112769615428</v>
      </c>
      <c r="AZ105" s="735">
        <f t="shared" si="77"/>
        <v>57.761670736067131</v>
      </c>
      <c r="BA105" s="633">
        <f t="shared" si="74"/>
        <v>0.90482886966532772</v>
      </c>
      <c r="BC105" s="11">
        <v>43191</v>
      </c>
      <c r="BD105" s="289">
        <f>[2]!FeuilCaduc*(1-Persistant)+Persistant</f>
        <v>0.51917369664111657</v>
      </c>
      <c r="BE105" s="290">
        <f>[2]!CroissVégét</f>
        <v>5.201633641771132E-2</v>
      </c>
      <c r="BF105" s="804">
        <f>1+[2]!Salcycl*Ksac</f>
        <v>1.0019173696641117</v>
      </c>
      <c r="BH105" s="1036">
        <f t="shared" si="75"/>
        <v>1.4471754898093762E-3</v>
      </c>
      <c r="BI105" s="11">
        <v>44287</v>
      </c>
      <c r="BJ105" s="715">
        <v>1.3890121951821341E-3</v>
      </c>
      <c r="BK105" s="715">
        <v>1.3890121951821344E-3</v>
      </c>
      <c r="BL105" s="715">
        <v>1.3959743619223577E-3</v>
      </c>
      <c r="BM105" s="715">
        <v>1.4229917073544538E-3</v>
      </c>
      <c r="BN105" s="715">
        <v>1.4714452736797872E-3</v>
      </c>
      <c r="BO105" s="716">
        <v>1.5358502872419178E-3</v>
      </c>
      <c r="BP105" s="715">
        <v>1.6046100537682828E-3</v>
      </c>
      <c r="BQ105" s="715">
        <v>1.6777675342802183E-3</v>
      </c>
      <c r="BR105" s="715">
        <v>1.7556124025196686E-3</v>
      </c>
      <c r="BS105" s="715">
        <v>1.8385348437475917E-3</v>
      </c>
      <c r="BT105" s="715">
        <v>1.9251108547412876E-3</v>
      </c>
      <c r="BW105" s="1188">
        <f>'2019'!R\Max</f>
        <v>0.71092518232432866</v>
      </c>
      <c r="BX105" s="1188">
        <f>'2020'!R\Max</f>
        <v>0.77727046214158579</v>
      </c>
      <c r="BY105" s="1188">
        <f>'2021'!R\Max</f>
        <v>0.90482886966532772</v>
      </c>
      <c r="BZ105" s="1188">
        <f>'2022'!R\Max</f>
        <v>0.56862012095910752</v>
      </c>
      <c r="CA105" s="1188">
        <f>'2023'!R\Max</f>
        <v>0.56861953725767078</v>
      </c>
      <c r="CB105" s="1188">
        <f>'2024'!R\Max</f>
        <v>0.56861895167989107</v>
      </c>
      <c r="CC105" s="1188">
        <f>'2025'!R\Max</f>
        <v>0.56861833064465828</v>
      </c>
      <c r="CD105" s="1188">
        <f>'2026'!R\Max</f>
        <v>0.56862165496249595</v>
      </c>
      <c r="CE105" s="1189">
        <f>'2027'!R\Max</f>
        <v>0.5686212436058975</v>
      </c>
      <c r="CF105" s="1191">
        <f>'2028'!R\Max</f>
        <v>0.56862069687331074</v>
      </c>
    </row>
    <row r="106" spans="1:84" s="6" customFormat="1" ht="11.25" x14ac:dyDescent="0.2">
      <c r="A106" s="11">
        <v>43192</v>
      </c>
      <c r="B106" s="379">
        <f>'2023'!Maxi_hp</f>
        <v>47.319485851291006</v>
      </c>
      <c r="C106" s="13">
        <f>'2023'!An_max</f>
        <v>2021</v>
      </c>
      <c r="D106" s="1045" t="str">
        <f t="shared" si="59"/>
        <v/>
      </c>
      <c r="E106" s="1040">
        <f>T$13/10</f>
        <v>58.114999999999995</v>
      </c>
      <c r="F106" s="13">
        <f t="shared" si="76"/>
        <v>9</v>
      </c>
      <c r="G106" s="13">
        <f t="shared" si="60"/>
        <v>8</v>
      </c>
      <c r="H106" s="173">
        <f t="shared" si="61"/>
        <v>43206</v>
      </c>
      <c r="I106" s="742">
        <f t="shared" si="62"/>
        <v>1</v>
      </c>
      <c r="J106" s="735">
        <f t="shared" si="63"/>
        <v>58.115000000596048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38">
        <v>43192</v>
      </c>
      <c r="AP106" s="13">
        <f t="shared" si="64"/>
        <v>5</v>
      </c>
      <c r="AQ106" s="13">
        <f t="shared" si="65"/>
        <v>6</v>
      </c>
      <c r="AR106" s="173">
        <f t="shared" si="66"/>
        <v>43192</v>
      </c>
      <c r="AS106" s="742">
        <f t="shared" si="67"/>
        <v>0</v>
      </c>
      <c r="AT106" s="758">
        <f t="shared" si="68"/>
        <v>58.114999999105933</v>
      </c>
      <c r="AU106" s="13">
        <f t="shared" si="69"/>
        <v>5</v>
      </c>
      <c r="AV106" s="13">
        <f t="shared" si="70"/>
        <v>4</v>
      </c>
      <c r="AW106" s="173">
        <f t="shared" si="71"/>
        <v>43206</v>
      </c>
      <c r="AX106" s="742">
        <f t="shared" si="72"/>
        <v>0.5</v>
      </c>
      <c r="AY106" s="758">
        <f t="shared" si="73"/>
        <v>57.905687500163914</v>
      </c>
      <c r="AZ106" s="735">
        <f t="shared" si="77"/>
        <v>58.010343749634927</v>
      </c>
      <c r="BA106" s="633">
        <f t="shared" si="74"/>
        <v>0.81423876539285345</v>
      </c>
      <c r="BC106" s="11">
        <v>43192</v>
      </c>
      <c r="BD106" s="289">
        <f>[2]!FeuilCaduc*(1-Persistant)+Persistant</f>
        <v>0.52061809520715085</v>
      </c>
      <c r="BE106" s="290">
        <f>[2]!CroissVégét</f>
        <v>5.4132744516590045E-2</v>
      </c>
      <c r="BF106" s="804">
        <f>1+[2]!Salcycl*Ksac</f>
        <v>1.002061809520715</v>
      </c>
      <c r="BH106" s="1036">
        <f t="shared" si="75"/>
        <v>1.4662524716895233E-3</v>
      </c>
      <c r="BI106" s="11">
        <v>44288</v>
      </c>
      <c r="BJ106" s="715">
        <v>1.4116168371700721E-3</v>
      </c>
      <c r="BK106" s="715">
        <v>1.4116168371700719E-3</v>
      </c>
      <c r="BL106" s="715">
        <v>1.4181656924035005E-3</v>
      </c>
      <c r="BM106" s="715">
        <v>1.4435527194478785E-3</v>
      </c>
      <c r="BN106" s="715">
        <v>1.4890329478968115E-3</v>
      </c>
      <c r="BO106" s="716">
        <v>1.5493976862594281E-3</v>
      </c>
      <c r="BP106" s="715">
        <v>1.6137602816574748E-3</v>
      </c>
      <c r="BQ106" s="715">
        <v>1.6823037670213332E-3</v>
      </c>
      <c r="BR106" s="715">
        <v>1.7553033360904382E-3</v>
      </c>
      <c r="BS106" s="715">
        <v>1.8330780216444045E-3</v>
      </c>
      <c r="BT106" s="715">
        <v>1.9141897611592452E-3</v>
      </c>
      <c r="BW106" s="1188">
        <f>'2019'!R\Max</f>
        <v>0.26310545803296409</v>
      </c>
      <c r="BX106" s="1188">
        <f>'2020'!R\Max</f>
        <v>0.77546891800278706</v>
      </c>
      <c r="BY106" s="1188">
        <f>'2021'!R\Max</f>
        <v>0.81423876539285345</v>
      </c>
      <c r="BZ106" s="1188">
        <f>'2022'!R\Max</f>
        <v>0.36372756554723917</v>
      </c>
      <c r="CA106" s="1188">
        <f>'2023'!R\Max</f>
        <v>0.3637270508514367</v>
      </c>
      <c r="CB106" s="1188">
        <f>'2024'!R\Max</f>
        <v>0.36372653440499209</v>
      </c>
      <c r="CC106" s="1188">
        <f>'2025'!R\Max</f>
        <v>0.36372598627506753</v>
      </c>
      <c r="CD106" s="1188">
        <f>'2026'!R\Max</f>
        <v>0.36372892077703228</v>
      </c>
      <c r="CE106" s="1189">
        <f>'2027'!R\Max</f>
        <v>0.36372855679686134</v>
      </c>
      <c r="CF106" s="1191">
        <f>'2028'!R\Max</f>
        <v>0.36372807407145191</v>
      </c>
    </row>
    <row r="107" spans="1:84" s="6" customFormat="1" ht="11.25" x14ac:dyDescent="0.2">
      <c r="A107" s="11">
        <v>43193</v>
      </c>
      <c r="B107" s="379">
        <f>'2023'!Maxi_hp</f>
        <v>54.874354285186392</v>
      </c>
      <c r="C107" s="13">
        <f>'2023'!An_max</f>
        <v>2021</v>
      </c>
      <c r="D107" s="1045" t="str">
        <f t="shared" si="59"/>
        <v/>
      </c>
      <c r="E107" s="13"/>
      <c r="F107" s="13">
        <f t="shared" si="76"/>
        <v>9</v>
      </c>
      <c r="G107" s="13">
        <f t="shared" si="60"/>
        <v>8</v>
      </c>
      <c r="H107" s="173">
        <f t="shared" si="61"/>
        <v>43206</v>
      </c>
      <c r="I107" s="742">
        <f t="shared" si="62"/>
        <v>0.9285714285714286</v>
      </c>
      <c r="J107" s="735">
        <f t="shared" si="63"/>
        <v>58.357498815975021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38">
        <v>43193</v>
      </c>
      <c r="AP107" s="13">
        <f t="shared" si="64"/>
        <v>5</v>
      </c>
      <c r="AQ107" s="13">
        <f t="shared" si="65"/>
        <v>6</v>
      </c>
      <c r="AR107" s="173">
        <f t="shared" si="66"/>
        <v>43192</v>
      </c>
      <c r="AS107" s="742">
        <f t="shared" si="67"/>
        <v>3.5714285714285712E-2</v>
      </c>
      <c r="AT107" s="758">
        <f t="shared" si="68"/>
        <v>58.346893642044492</v>
      </c>
      <c r="AU107" s="13">
        <f t="shared" si="69"/>
        <v>5</v>
      </c>
      <c r="AV107" s="13">
        <f t="shared" si="70"/>
        <v>4</v>
      </c>
      <c r="AW107" s="173">
        <f t="shared" si="71"/>
        <v>43206</v>
      </c>
      <c r="AX107" s="742">
        <f t="shared" si="72"/>
        <v>0.4642857142857143</v>
      </c>
      <c r="AY107" s="758">
        <f t="shared" si="73"/>
        <v>58.157362358618002</v>
      </c>
      <c r="AZ107" s="735">
        <f t="shared" si="77"/>
        <v>58.252128000331247</v>
      </c>
      <c r="BA107" s="633">
        <f t="shared" si="74"/>
        <v>0.94031367688028578</v>
      </c>
      <c r="BC107" s="11">
        <v>43193</v>
      </c>
      <c r="BD107" s="289">
        <f>[2]!FeuilCaduc*(1-Persistant)+Persistant</f>
        <v>0.52216149513464727</v>
      </c>
      <c r="BE107" s="290">
        <f>[2]!CroissVégét</f>
        <v>5.6327914126217182E-2</v>
      </c>
      <c r="BF107" s="804">
        <f>1+[2]!Salcycl*Ksac</f>
        <v>1.0022161495134647</v>
      </c>
      <c r="BH107" s="1036">
        <f t="shared" si="75"/>
        <v>1.4884613599276783E-3</v>
      </c>
      <c r="BI107" s="11">
        <v>44289</v>
      </c>
      <c r="BJ107" s="715">
        <v>1.4373168335197828E-3</v>
      </c>
      <c r="BK107" s="715">
        <v>1.4373168335197826E-3</v>
      </c>
      <c r="BL107" s="715">
        <v>1.4434551811427206E-3</v>
      </c>
      <c r="BM107" s="715">
        <v>1.467227387157742E-3</v>
      </c>
      <c r="BN107" s="715">
        <v>1.5097708441159819E-3</v>
      </c>
      <c r="BO107" s="716">
        <v>1.5661596988442805E-3</v>
      </c>
      <c r="BP107" s="715">
        <v>1.6261904971717406E-3</v>
      </c>
      <c r="BQ107" s="715">
        <v>1.6901021173184592E-3</v>
      </c>
      <c r="BR107" s="715">
        <v>1.7581473929799893E-3</v>
      </c>
      <c r="BS107" s="715">
        <v>1.8305936856099411E-3</v>
      </c>
      <c r="BT107" s="715">
        <v>1.9060647244370831E-3</v>
      </c>
      <c r="BW107" s="1188">
        <f>'2019'!R\Max</f>
        <v>0.26328829669254511</v>
      </c>
      <c r="BX107" s="1188">
        <f>'2020'!R\Max</f>
        <v>0.48170113715219015</v>
      </c>
      <c r="BY107" s="1188">
        <f>'2021'!R\Max</f>
        <v>0.94031367688028578</v>
      </c>
      <c r="BZ107" s="1188">
        <f>'2022'!R\Max</f>
        <v>0.44887411750154688</v>
      </c>
      <c r="CA107" s="1188">
        <f>'2023'!R\Max</f>
        <v>0.44887360496551071</v>
      </c>
      <c r="CB107" s="1188">
        <f>'2024'!R\Max</f>
        <v>0.44887309062162284</v>
      </c>
      <c r="CC107" s="1188">
        <f>'2025'!R\Max</f>
        <v>0.44887254495089207</v>
      </c>
      <c r="CD107" s="1188">
        <f>'2026'!R\Max</f>
        <v>0.44887546991216215</v>
      </c>
      <c r="CE107" s="1189">
        <f>'2027'!R\Max</f>
        <v>0.44887510614065185</v>
      </c>
      <c r="CF107" s="1191">
        <f>'2028'!R\Max</f>
        <v>0.44887462469969197</v>
      </c>
    </row>
    <row r="108" spans="1:84" s="6" customFormat="1" ht="11.25" x14ac:dyDescent="0.2">
      <c r="A108" s="11">
        <v>43194</v>
      </c>
      <c r="B108" s="379">
        <f>'2023'!Maxi_hp</f>
        <v>58.531654511187028</v>
      </c>
      <c r="C108" s="13">
        <f>'2023'!An_max</f>
        <v>2020</v>
      </c>
      <c r="D108" s="1045">
        <f t="shared" si="59"/>
        <v>0.99896040491007776</v>
      </c>
      <c r="E108" s="13"/>
      <c r="F108" s="13">
        <f t="shared" si="76"/>
        <v>9</v>
      </c>
      <c r="G108" s="13">
        <f t="shared" si="60"/>
        <v>8</v>
      </c>
      <c r="H108" s="173">
        <f t="shared" si="61"/>
        <v>43206</v>
      </c>
      <c r="I108" s="742">
        <f t="shared" si="62"/>
        <v>0.8571428571428571</v>
      </c>
      <c r="J108" s="735">
        <f t="shared" si="63"/>
        <v>58.592567056204601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38">
        <v>43194</v>
      </c>
      <c r="AP108" s="13">
        <f t="shared" si="64"/>
        <v>5</v>
      </c>
      <c r="AQ108" s="13">
        <f t="shared" si="65"/>
        <v>6</v>
      </c>
      <c r="AR108" s="173">
        <f t="shared" si="66"/>
        <v>43192</v>
      </c>
      <c r="AS108" s="742">
        <f t="shared" si="67"/>
        <v>7.1428571428571425E-2</v>
      </c>
      <c r="AT108" s="758">
        <f t="shared" si="68"/>
        <v>58.571298377907702</v>
      </c>
      <c r="AU108" s="13">
        <f t="shared" si="69"/>
        <v>5</v>
      </c>
      <c r="AV108" s="13">
        <f t="shared" si="70"/>
        <v>4</v>
      </c>
      <c r="AW108" s="173">
        <f t="shared" si="71"/>
        <v>43206</v>
      </c>
      <c r="AX108" s="742">
        <f t="shared" si="72"/>
        <v>0.42857142857142855</v>
      </c>
      <c r="AY108" s="758">
        <f t="shared" si="73"/>
        <v>58.403895044326781</v>
      </c>
      <c r="AZ108" s="735">
        <f t="shared" si="77"/>
        <v>58.487596711117241</v>
      </c>
      <c r="BA108" s="633">
        <f t="shared" si="74"/>
        <v>0.99896040491007776</v>
      </c>
      <c r="BC108" s="11">
        <v>43194</v>
      </c>
      <c r="BD108" s="289">
        <f>[2]!FeuilCaduc*(1-Persistant)+Persistant</f>
        <v>0.52380727786897496</v>
      </c>
      <c r="BE108" s="290">
        <f>[2]!CroissVégét</f>
        <v>5.8604366195922526E-2</v>
      </c>
      <c r="BF108" s="804">
        <f>1+[2]!Salcycl*Ksac</f>
        <v>1.0023807277868975</v>
      </c>
      <c r="BH108" s="1036">
        <f t="shared" si="75"/>
        <v>1.5113844406050036E-3</v>
      </c>
      <c r="BI108" s="11">
        <v>44290</v>
      </c>
      <c r="BJ108" s="715">
        <v>1.4636311602787963E-3</v>
      </c>
      <c r="BK108" s="715">
        <v>1.4636311602787963E-3</v>
      </c>
      <c r="BL108" s="715">
        <v>1.4693689699318546E-3</v>
      </c>
      <c r="BM108" s="715">
        <v>1.4915708847671645E-3</v>
      </c>
      <c r="BN108" s="715">
        <v>1.5312684566304126E-3</v>
      </c>
      <c r="BO108" s="716">
        <v>1.5838219751527127E-3</v>
      </c>
      <c r="BP108" s="715">
        <v>1.6396736737682577E-3</v>
      </c>
      <c r="BQ108" s="715">
        <v>1.6990350067385377E-3</v>
      </c>
      <c r="BR108" s="715">
        <v>1.7621295703933954E-3</v>
      </c>
      <c r="BS108" s="715">
        <v>1.8291935968058933E-3</v>
      </c>
      <c r="BT108" s="715">
        <v>1.8989840798688544E-3</v>
      </c>
      <c r="BW108" s="1188">
        <f>'2019'!R\Max</f>
        <v>0.64400654567701299</v>
      </c>
      <c r="BX108" s="1188">
        <f>'2020'!R\Max</f>
        <v>0.99896040491007776</v>
      </c>
      <c r="BY108" s="1188">
        <f>'2021'!R\Max</f>
        <v>0.94371767234436921</v>
      </c>
      <c r="BZ108" s="1188">
        <f>'2022'!R\Max</f>
        <v>0.8449813287111988</v>
      </c>
      <c r="CA108" s="1188">
        <f>'2023'!R\Max</f>
        <v>0.8449810764424166</v>
      </c>
      <c r="CB108" s="1188">
        <f>'2024'!R\Max</f>
        <v>0.84498082327224366</v>
      </c>
      <c r="CC108" s="1188">
        <f>'2025'!R\Max</f>
        <v>0.84498055515013615</v>
      </c>
      <c r="CD108" s="1188">
        <f>'2026'!R\Max</f>
        <v>0.84498199586394418</v>
      </c>
      <c r="CE108" s="1189">
        <f>'2027'!R\Max</f>
        <v>0.84498181616260726</v>
      </c>
      <c r="CF108" s="1191">
        <f>'2028'!R\Max</f>
        <v>0.84498157879189417</v>
      </c>
    </row>
    <row r="109" spans="1:84" s="6" customFormat="1" ht="11.25" x14ac:dyDescent="0.2">
      <c r="A109" s="11">
        <v>43195</v>
      </c>
      <c r="B109" s="379">
        <f>'2023'!Maxi_hp</f>
        <v>60.630362862646294</v>
      </c>
      <c r="C109" s="13">
        <f>'2023'!An_max</f>
        <v>2020</v>
      </c>
      <c r="D109" s="1045">
        <f t="shared" si="59"/>
        <v>1.0307725406236437</v>
      </c>
      <c r="E109" s="13"/>
      <c r="F109" s="13">
        <f t="shared" si="76"/>
        <v>9</v>
      </c>
      <c r="G109" s="13">
        <f t="shared" si="60"/>
        <v>8</v>
      </c>
      <c r="H109" s="173">
        <f t="shared" si="61"/>
        <v>43206</v>
      </c>
      <c r="I109" s="742">
        <f t="shared" si="62"/>
        <v>0.7857142857142857</v>
      </c>
      <c r="J109" s="735">
        <f t="shared" si="63"/>
        <v>58.820312409528661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38">
        <v>43195</v>
      </c>
      <c r="AP109" s="13">
        <f t="shared" si="64"/>
        <v>5</v>
      </c>
      <c r="AQ109" s="13">
        <f t="shared" si="65"/>
        <v>6</v>
      </c>
      <c r="AR109" s="173">
        <f t="shared" si="66"/>
        <v>43192</v>
      </c>
      <c r="AS109" s="742">
        <f t="shared" si="67"/>
        <v>0.10714285714285714</v>
      </c>
      <c r="AT109" s="758">
        <f t="shared" si="68"/>
        <v>58.788389200743822</v>
      </c>
      <c r="AU109" s="13">
        <f t="shared" si="69"/>
        <v>5</v>
      </c>
      <c r="AV109" s="13">
        <f t="shared" si="70"/>
        <v>4</v>
      </c>
      <c r="AW109" s="173">
        <f t="shared" si="71"/>
        <v>43206</v>
      </c>
      <c r="AX109" s="742">
        <f t="shared" si="72"/>
        <v>0.39285714285714285</v>
      </c>
      <c r="AY109" s="758">
        <f t="shared" si="73"/>
        <v>58.645043254005053</v>
      </c>
      <c r="AZ109" s="735">
        <f t="shared" si="77"/>
        <v>58.716716227374434</v>
      </c>
      <c r="BA109" s="633">
        <f t="shared" si="74"/>
        <v>1.0307725406236437</v>
      </c>
      <c r="BC109" s="11">
        <v>43195</v>
      </c>
      <c r="BD109" s="289">
        <f>[2]!FeuilCaduc*(1-Persistant)+Persistant</f>
        <v>0.52555873222200544</v>
      </c>
      <c r="BE109" s="290">
        <f>[2]!CroissVégét</f>
        <v>6.0964669451959982E-2</v>
      </c>
      <c r="BF109" s="804">
        <f>1+[2]!Salcycl*Ksac</f>
        <v>1.0025558732222006</v>
      </c>
      <c r="BH109" s="1036">
        <f t="shared" si="75"/>
        <v>1.5326746856606961E-3</v>
      </c>
      <c r="BI109" s="11">
        <v>44291</v>
      </c>
      <c r="BJ109" s="715">
        <v>1.488324244070804E-3</v>
      </c>
      <c r="BK109" s="715">
        <v>1.4883242440708042E-3</v>
      </c>
      <c r="BL109" s="715">
        <v>1.4936590747664997E-3</v>
      </c>
      <c r="BM109" s="715">
        <v>1.5142843370029085E-3</v>
      </c>
      <c r="BN109" s="715">
        <v>1.5511304333526859E-3</v>
      </c>
      <c r="BO109" s="716">
        <v>1.5998515302030716E-3</v>
      </c>
      <c r="BP109" s="715">
        <v>1.6515429721694803E-3</v>
      </c>
      <c r="BQ109" s="715">
        <v>1.7063907455374847E-3</v>
      </c>
      <c r="BR109" s="715">
        <v>1.7645913215519479E-3</v>
      </c>
      <c r="BS109" s="715">
        <v>1.8263520787497485E-3</v>
      </c>
      <c r="BT109" s="715">
        <v>1.8905566282726581E-3</v>
      </c>
      <c r="BW109" s="1188">
        <f>'2019'!R\Max</f>
        <v>0.9193282220045812</v>
      </c>
      <c r="BX109" s="1188">
        <f>'2020'!R\Max</f>
        <v>1.0307725406236437</v>
      </c>
      <c r="BY109" s="1188">
        <f>'2021'!R\Max</f>
        <v>0.87965262876897732</v>
      </c>
      <c r="BZ109" s="1188">
        <f>'2022'!R\Max</f>
        <v>0.96640817831239534</v>
      </c>
      <c r="CA109" s="1188">
        <f>'2023'!R\Max</f>
        <v>0.96640812047966107</v>
      </c>
      <c r="CB109" s="1188">
        <f>'2024'!R\Max</f>
        <v>0.96640806243777344</v>
      </c>
      <c r="CC109" s="1188">
        <f>'2025'!R\Max</f>
        <v>0.96640800107341807</v>
      </c>
      <c r="CD109" s="1188">
        <f>'2026'!R\Max</f>
        <v>0.96640833159766282</v>
      </c>
      <c r="CE109" s="1189">
        <f>'2027'!R\Max</f>
        <v>0.96640829025186814</v>
      </c>
      <c r="CF109" s="1191">
        <f>'2028'!R\Max</f>
        <v>0.96640823574263057</v>
      </c>
    </row>
    <row r="110" spans="1:84" s="6" customFormat="1" ht="11.25" x14ac:dyDescent="0.2">
      <c r="A110" s="11">
        <v>43196</v>
      </c>
      <c r="B110" s="379">
        <f>'2023'!Maxi_hp</f>
        <v>61.789879611435509</v>
      </c>
      <c r="C110" s="13">
        <f>'2023'!An_max</f>
        <v>2020</v>
      </c>
      <c r="D110" s="1045">
        <f t="shared" si="59"/>
        <v>1.0465616160922917</v>
      </c>
      <c r="E110" s="13"/>
      <c r="F110" s="13">
        <f t="shared" si="76"/>
        <v>9</v>
      </c>
      <c r="G110" s="13">
        <f t="shared" si="60"/>
        <v>8</v>
      </c>
      <c r="H110" s="173">
        <f t="shared" si="61"/>
        <v>43206</v>
      </c>
      <c r="I110" s="742">
        <f t="shared" si="62"/>
        <v>0.7142857142857143</v>
      </c>
      <c r="J110" s="735">
        <f t="shared" si="63"/>
        <v>59.040842566107003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38">
        <v>43196</v>
      </c>
      <c r="AP110" s="13">
        <f t="shared" si="64"/>
        <v>5</v>
      </c>
      <c r="AQ110" s="13">
        <f t="shared" si="65"/>
        <v>6</v>
      </c>
      <c r="AR110" s="173">
        <f t="shared" si="66"/>
        <v>43192</v>
      </c>
      <c r="AS110" s="742">
        <f t="shared" si="67"/>
        <v>0.14285714285714285</v>
      </c>
      <c r="AT110" s="758">
        <f t="shared" si="68"/>
        <v>58.998341107368468</v>
      </c>
      <c r="AU110" s="13">
        <f t="shared" si="69"/>
        <v>5</v>
      </c>
      <c r="AV110" s="13">
        <f t="shared" si="70"/>
        <v>4</v>
      </c>
      <c r="AW110" s="173">
        <f t="shared" si="71"/>
        <v>43206</v>
      </c>
      <c r="AX110" s="742">
        <f t="shared" si="72"/>
        <v>0.35714285714285715</v>
      </c>
      <c r="AY110" s="758">
        <f t="shared" si="73"/>
        <v>58.880564687188176</v>
      </c>
      <c r="AZ110" s="735">
        <f t="shared" si="77"/>
        <v>58.939452897278322</v>
      </c>
      <c r="BA110" s="633">
        <f t="shared" si="74"/>
        <v>1.0465616160922917</v>
      </c>
      <c r="BC110" s="11">
        <v>43196</v>
      </c>
      <c r="BD110" s="289">
        <f>[2]!FeuilCaduc*(1-Persistant)+Persistant</f>
        <v>0.5274190475162287</v>
      </c>
      <c r="BE110" s="290">
        <f>[2]!CroissVégét</f>
        <v>6.3411438498040387E-2</v>
      </c>
      <c r="BF110" s="804">
        <f>1+[2]!Salcycl*Ksac</f>
        <v>1.0027419047516228</v>
      </c>
      <c r="BH110" s="1036">
        <f t="shared" si="75"/>
        <v>1.5523317019270266E-3</v>
      </c>
      <c r="BI110" s="11">
        <v>44292</v>
      </c>
      <c r="BJ110" s="715">
        <v>1.5113956556176314E-3</v>
      </c>
      <c r="BK110" s="715">
        <v>1.5113956556176316E-3</v>
      </c>
      <c r="BL110" s="715">
        <v>1.5163250708794635E-3</v>
      </c>
      <c r="BM110" s="715">
        <v>1.535367336046636E-3</v>
      </c>
      <c r="BN110" s="715">
        <v>1.5693563958177816E-3</v>
      </c>
      <c r="BO110" s="716">
        <v>1.6142480226888824E-3</v>
      </c>
      <c r="BP110" s="715">
        <v>1.6617980879568789E-3</v>
      </c>
      <c r="BQ110" s="715">
        <v>1.7121690657317535E-3</v>
      </c>
      <c r="BR110" s="715">
        <v>1.7655324142533124E-3</v>
      </c>
      <c r="BS110" s="715">
        <v>1.822068934146444E-3</v>
      </c>
      <c r="BT110" s="715">
        <v>1.8807822066025329E-3</v>
      </c>
      <c r="BW110" s="1188">
        <f>'2019'!R\Max</f>
        <v>0.30588265223047584</v>
      </c>
      <c r="BX110" s="1188">
        <f>'2020'!R\Max</f>
        <v>1.0465616160922917</v>
      </c>
      <c r="BY110" s="1188">
        <f>'2021'!R\Max</f>
        <v>0.52143840491604443</v>
      </c>
      <c r="BZ110" s="1188">
        <f>'2022'!R\Max</f>
        <v>0.20352382807140398</v>
      </c>
      <c r="CA110" s="1188">
        <f>'2023'!R\Max</f>
        <v>0.20352359465322956</v>
      </c>
      <c r="CB110" s="1188">
        <f>'2024'!R\Max</f>
        <v>0.2035233603815505</v>
      </c>
      <c r="CC110" s="1188">
        <f>'2025'!R\Max</f>
        <v>0.20352311311581886</v>
      </c>
      <c r="CD110" s="1188">
        <f>'2026'!R\Max</f>
        <v>0.20352444809799189</v>
      </c>
      <c r="CE110" s="1189">
        <f>'2027'!R\Max</f>
        <v>0.20352428062529465</v>
      </c>
      <c r="CF110" s="1191">
        <f>'2028'!R\Max</f>
        <v>0.20352406025710942</v>
      </c>
    </row>
    <row r="111" spans="1:84" s="6" customFormat="1" ht="11.25" x14ac:dyDescent="0.2">
      <c r="A111" s="11">
        <v>43197</v>
      </c>
      <c r="B111" s="379">
        <f>'2023'!Maxi_hp</f>
        <v>57.641590326418545</v>
      </c>
      <c r="C111" s="13">
        <f>'2023'!An_max</f>
        <v>2021</v>
      </c>
      <c r="D111" s="1045">
        <f t="shared" si="59"/>
        <v>0.97278381763327393</v>
      </c>
      <c r="E111" s="13"/>
      <c r="F111" s="13">
        <f t="shared" si="76"/>
        <v>9</v>
      </c>
      <c r="G111" s="13">
        <f t="shared" si="60"/>
        <v>8</v>
      </c>
      <c r="H111" s="173">
        <f t="shared" si="61"/>
        <v>43206</v>
      </c>
      <c r="I111" s="742">
        <f t="shared" si="62"/>
        <v>0.6428571428571429</v>
      </c>
      <c r="J111" s="735">
        <f t="shared" si="63"/>
        <v>59.254265214502809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38">
        <v>43197</v>
      </c>
      <c r="AP111" s="13">
        <f t="shared" si="64"/>
        <v>5</v>
      </c>
      <c r="AQ111" s="13">
        <f t="shared" si="65"/>
        <v>6</v>
      </c>
      <c r="AR111" s="173">
        <f t="shared" si="66"/>
        <v>43192</v>
      </c>
      <c r="AS111" s="742">
        <f t="shared" si="67"/>
        <v>0.17857142857142858</v>
      </c>
      <c r="AT111" s="758">
        <f t="shared" si="68"/>
        <v>59.201329093160368</v>
      </c>
      <c r="AU111" s="13">
        <f t="shared" si="69"/>
        <v>5</v>
      </c>
      <c r="AV111" s="13">
        <f t="shared" si="70"/>
        <v>4</v>
      </c>
      <c r="AW111" s="173">
        <f t="shared" si="71"/>
        <v>43206</v>
      </c>
      <c r="AX111" s="742">
        <f t="shared" si="72"/>
        <v>0.32142857142857145</v>
      </c>
      <c r="AY111" s="758">
        <f t="shared" si="73"/>
        <v>59.110217042347152</v>
      </c>
      <c r="AZ111" s="735">
        <f t="shared" si="77"/>
        <v>59.155773067753756</v>
      </c>
      <c r="BA111" s="633">
        <f t="shared" si="74"/>
        <v>0.97278381763327393</v>
      </c>
      <c r="BC111" s="11">
        <v>43197</v>
      </c>
      <c r="BD111" s="289">
        <f>[2]!FeuilCaduc*(1-Persistant)+Persistant</f>
        <v>0.5293913069776609</v>
      </c>
      <c r="BE111" s="290">
        <f>[2]!CroissVégét</f>
        <v>6.5947331619938404E-2</v>
      </c>
      <c r="BF111" s="804">
        <f>1+[2]!Salcycl*Ksac</f>
        <v>1.0029391306977662</v>
      </c>
      <c r="BH111" s="1036">
        <f t="shared" si="75"/>
        <v>1.5703551171527368E-3</v>
      </c>
      <c r="BI111" s="11">
        <v>44293</v>
      </c>
      <c r="BJ111" s="715">
        <v>1.5328449818433469E-3</v>
      </c>
      <c r="BK111" s="715">
        <v>1.5328449818433471E-3</v>
      </c>
      <c r="BL111" s="715">
        <v>1.5373665502959051E-3</v>
      </c>
      <c r="BM111" s="715">
        <v>1.5548194930861314E-3</v>
      </c>
      <c r="BN111" s="715">
        <v>1.5859459883942916E-3</v>
      </c>
      <c r="BO111" s="716">
        <v>1.627011138970718E-3</v>
      </c>
      <c r="BP111" s="715">
        <v>1.6704387491586232E-3</v>
      </c>
      <c r="BQ111" s="715">
        <v>1.7163697364847696E-3</v>
      </c>
      <c r="BR111" s="715">
        <v>1.7649526580348991E-3</v>
      </c>
      <c r="BS111" s="715">
        <v>1.8163440118951519E-3</v>
      </c>
      <c r="BT111" s="715">
        <v>1.8696607023584997E-3</v>
      </c>
      <c r="BW111" s="1188">
        <f>'2019'!R\Max</f>
        <v>0.53668354502665738</v>
      </c>
      <c r="BX111" s="1188">
        <f>'2020'!R\Max</f>
        <v>0.57629862588740577</v>
      </c>
      <c r="BY111" s="1188">
        <f>'2021'!R\Max</f>
        <v>0.97278381763327393</v>
      </c>
      <c r="BZ111" s="1188">
        <f>'2022'!R\Max</f>
        <v>0.73570678856292604</v>
      </c>
      <c r="CA111" s="1188">
        <f>'2023'!R\Max</f>
        <v>0.73570649757127682</v>
      </c>
      <c r="CB111" s="1188">
        <f>'2024'!R\Max</f>
        <v>0.73570620550282029</v>
      </c>
      <c r="CC111" s="1188">
        <f>'2025'!R\Max</f>
        <v>0.73570589773619155</v>
      </c>
      <c r="CD111" s="1188">
        <f>'2026'!R\Max</f>
        <v>0.73570756316391117</v>
      </c>
      <c r="CE111" s="1189">
        <f>'2027'!R\Max</f>
        <v>0.73570735365266271</v>
      </c>
      <c r="CF111" s="1191">
        <f>'2028'!R\Max</f>
        <v>0.73570707849164985</v>
      </c>
    </row>
    <row r="112" spans="1:84" s="6" customFormat="1" ht="11.25" x14ac:dyDescent="0.2">
      <c r="A112" s="11">
        <v>43198</v>
      </c>
      <c r="B112" s="379">
        <f>'2023'!Maxi_hp</f>
        <v>59.015866902452174</v>
      </c>
      <c r="C112" s="13">
        <f>'2023'!An_max</f>
        <v>2021</v>
      </c>
      <c r="D112" s="1045">
        <f t="shared" si="59"/>
        <v>0.99251907170405318</v>
      </c>
      <c r="E112" s="13"/>
      <c r="F112" s="13">
        <f t="shared" si="76"/>
        <v>9</v>
      </c>
      <c r="G112" s="13">
        <f t="shared" si="60"/>
        <v>8</v>
      </c>
      <c r="H112" s="173">
        <f t="shared" si="61"/>
        <v>43206</v>
      </c>
      <c r="I112" s="742">
        <f t="shared" si="62"/>
        <v>0.5714285714285714</v>
      </c>
      <c r="J112" s="735">
        <f t="shared" si="63"/>
        <v>59.460688046153109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38">
        <v>43198</v>
      </c>
      <c r="AP112" s="13">
        <f t="shared" si="64"/>
        <v>5</v>
      </c>
      <c r="AQ112" s="13">
        <f t="shared" si="65"/>
        <v>6</v>
      </c>
      <c r="AR112" s="173">
        <f t="shared" si="66"/>
        <v>43192</v>
      </c>
      <c r="AS112" s="742">
        <f t="shared" si="67"/>
        <v>0.21428571428571427</v>
      </c>
      <c r="AT112" s="758">
        <f t="shared" si="68"/>
        <v>59.397528152008135</v>
      </c>
      <c r="AU112" s="13">
        <f t="shared" si="69"/>
        <v>5</v>
      </c>
      <c r="AV112" s="13">
        <f t="shared" si="70"/>
        <v>4</v>
      </c>
      <c r="AW112" s="173">
        <f t="shared" si="71"/>
        <v>43206</v>
      </c>
      <c r="AX112" s="742">
        <f t="shared" si="72"/>
        <v>0.2857142857142857</v>
      </c>
      <c r="AY112" s="758">
        <f t="shared" si="73"/>
        <v>59.333758017740081</v>
      </c>
      <c r="AZ112" s="735">
        <f t="shared" si="77"/>
        <v>59.365643084874108</v>
      </c>
      <c r="BA112" s="633">
        <f t="shared" si="74"/>
        <v>0.99251907170405318</v>
      </c>
      <c r="BC112" s="11">
        <v>43198</v>
      </c>
      <c r="BD112" s="289">
        <f>[2]!FeuilCaduc*(1-Persistant)+Persistant</f>
        <v>0.53147848132757958</v>
      </c>
      <c r="BE112" s="290">
        <f>[2]!CroissVégét</f>
        <v>6.8575048275425571E-2</v>
      </c>
      <c r="BF112" s="804">
        <f>1+[2]!Salcycl*Ksac</f>
        <v>1.003147848132758</v>
      </c>
      <c r="BH112" s="1036">
        <f t="shared" si="75"/>
        <v>1.5867445852132712E-3</v>
      </c>
      <c r="BI112" s="11">
        <v>44294</v>
      </c>
      <c r="BJ112" s="715">
        <v>1.5526718310460508E-3</v>
      </c>
      <c r="BK112" s="715">
        <v>1.552671831046051E-3</v>
      </c>
      <c r="BL112" s="715">
        <v>1.5567831270131029E-3</v>
      </c>
      <c r="BM112" s="715">
        <v>1.5726404435160548E-3</v>
      </c>
      <c r="BN112" s="715">
        <v>1.6008988835041666E-3</v>
      </c>
      <c r="BO112" s="716">
        <v>1.638140598288054E-3</v>
      </c>
      <c r="BP112" s="715">
        <v>1.6774647214026189E-3</v>
      </c>
      <c r="BQ112" s="715">
        <v>1.7189925691439643E-3</v>
      </c>
      <c r="BR112" s="715">
        <v>1.7628519090309412E-3</v>
      </c>
      <c r="BS112" s="715">
        <v>1.8091772116951739E-3</v>
      </c>
      <c r="BT112" s="715">
        <v>1.8571920578912982E-3</v>
      </c>
      <c r="BW112" s="1188">
        <f>'2019'!R\Max</f>
        <v>0.62672894877228247</v>
      </c>
      <c r="BX112" s="1188">
        <f>'2020'!R\Max</f>
        <v>0.67197539285190033</v>
      </c>
      <c r="BY112" s="1188">
        <f>'2021'!R\Max</f>
        <v>0.99251907170405318</v>
      </c>
      <c r="BZ112" s="1188">
        <f>'2022'!R\Max</f>
        <v>0.62880661669762106</v>
      </c>
      <c r="CA112" s="1188">
        <f>'2023'!R\Max</f>
        <v>0.62880630025234796</v>
      </c>
      <c r="CB112" s="1188">
        <f>'2024'!R\Max</f>
        <v>0.62880598262219778</v>
      </c>
      <c r="CC112" s="1188">
        <f>'2025'!R\Max</f>
        <v>0.62880564844271991</v>
      </c>
      <c r="CD112" s="1188">
        <f>'2026'!R\Max</f>
        <v>0.62880746078349348</v>
      </c>
      <c r="CE112" s="1189">
        <f>'2027'!R\Max</f>
        <v>0.62880723216930745</v>
      </c>
      <c r="CF112" s="1191">
        <f>'2028'!R\Max</f>
        <v>0.62880693248191555</v>
      </c>
    </row>
    <row r="113" spans="1:84" s="6" customFormat="1" ht="11.25" x14ac:dyDescent="0.2">
      <c r="A113" s="11">
        <v>43199</v>
      </c>
      <c r="B113" s="379">
        <f>'2023'!Maxi_hp</f>
        <v>41.335283844945479</v>
      </c>
      <c r="C113" s="13">
        <f>'2023'!An_max</f>
        <v>2020</v>
      </c>
      <c r="D113" s="1045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73">
        <f t="shared" si="61"/>
        <v>43206</v>
      </c>
      <c r="I113" s="742">
        <f t="shared" si="62"/>
        <v>0.5</v>
      </c>
      <c r="J113" s="735">
        <f t="shared" si="63"/>
        <v>59.660218749940398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38">
        <v>43199</v>
      </c>
      <c r="AP113" s="13">
        <f t="shared" si="64"/>
        <v>5</v>
      </c>
      <c r="AQ113" s="13">
        <f t="shared" si="65"/>
        <v>6</v>
      </c>
      <c r="AR113" s="173">
        <f t="shared" si="66"/>
        <v>43192</v>
      </c>
      <c r="AS113" s="742">
        <f t="shared" si="67"/>
        <v>0.25</v>
      </c>
      <c r="AT113" s="758">
        <f t="shared" si="68"/>
        <v>59.587113281153144</v>
      </c>
      <c r="AU113" s="13">
        <f t="shared" si="69"/>
        <v>5</v>
      </c>
      <c r="AV113" s="13">
        <f t="shared" si="70"/>
        <v>4</v>
      </c>
      <c r="AW113" s="173">
        <f t="shared" si="71"/>
        <v>43206</v>
      </c>
      <c r="AX113" s="742">
        <f t="shared" si="72"/>
        <v>0.25</v>
      </c>
      <c r="AY113" s="758">
        <f t="shared" si="73"/>
        <v>59.550945312343536</v>
      </c>
      <c r="AZ113" s="735">
        <f t="shared" si="77"/>
        <v>59.56902929674834</v>
      </c>
      <c r="BA113" s="633">
        <f t="shared" si="74"/>
        <v>0.69284499304633829</v>
      </c>
      <c r="BC113" s="11">
        <v>43199</v>
      </c>
      <c r="BD113" s="289">
        <f>[2]!FeuilCaduc*(1-Persistant)+Persistant</f>
        <v>0.53368342252056578</v>
      </c>
      <c r="BE113" s="290">
        <f>[2]!CroissVégét</f>
        <v>7.1297326250557638E-2</v>
      </c>
      <c r="BF113" s="804">
        <f>1+[2]!Salcycl*Ksac</f>
        <v>1.0033683422520565</v>
      </c>
      <c r="BH113" s="1036">
        <f t="shared" si="75"/>
        <v>1.6014997913073618E-3</v>
      </c>
      <c r="BI113" s="11">
        <v>44295</v>
      </c>
      <c r="BJ113" s="715">
        <v>1.5708758380564053E-3</v>
      </c>
      <c r="BK113" s="715">
        <v>1.5708758380564051E-3</v>
      </c>
      <c r="BL113" s="715">
        <v>1.5745744421669105E-3</v>
      </c>
      <c r="BM113" s="715">
        <v>1.5888298521252035E-3</v>
      </c>
      <c r="BN113" s="715">
        <v>1.6142147868286535E-3</v>
      </c>
      <c r="BO113" s="716">
        <v>1.6476361579568835E-3</v>
      </c>
      <c r="BP113" s="715">
        <v>1.6828758130548486E-3</v>
      </c>
      <c r="BQ113" s="715">
        <v>1.7200374222626259E-3</v>
      </c>
      <c r="BR113" s="715">
        <v>1.7592300748138872E-3</v>
      </c>
      <c r="BS113" s="715">
        <v>1.8005684886356066E-3</v>
      </c>
      <c r="BT113" s="715">
        <v>1.8433762746903355E-3</v>
      </c>
      <c r="BW113" s="1188">
        <f>'2019'!R\Max</f>
        <v>0.6555305509010847</v>
      </c>
      <c r="BX113" s="1188">
        <f>'2020'!R\Max</f>
        <v>0.69284499304633829</v>
      </c>
      <c r="BY113" s="1188">
        <f>'2021'!R\Max</f>
        <v>0.61552626617394135</v>
      </c>
      <c r="BZ113" s="1188">
        <f>'2022'!R\Max</f>
        <v>0.61781625263184381</v>
      </c>
      <c r="CA113" s="1188">
        <f>'2023'!R\Max</f>
        <v>0.61781596553497464</v>
      </c>
      <c r="CB113" s="1188">
        <f>'2024'!R\Max</f>
        <v>0.61781567734930387</v>
      </c>
      <c r="CC113" s="1188">
        <f>'2025'!R\Max</f>
        <v>0.61781537459383229</v>
      </c>
      <c r="CD113" s="1188">
        <f>'2026'!R\Max</f>
        <v>0.61781701992535687</v>
      </c>
      <c r="CE113" s="1189">
        <f>'2027'!R\Max</f>
        <v>0.61781681183544723</v>
      </c>
      <c r="CF113" s="1191">
        <f>'2028'!R\Max</f>
        <v>0.6178165395525218</v>
      </c>
    </row>
    <row r="114" spans="1:84" s="6" customFormat="1" ht="11.25" x14ac:dyDescent="0.2">
      <c r="A114" s="11">
        <v>43200</v>
      </c>
      <c r="B114" s="379">
        <f>'2023'!Maxi_hp</f>
        <v>59.835762256445776</v>
      </c>
      <c r="C114" s="13">
        <f>'2023'!An_max</f>
        <v>2022</v>
      </c>
      <c r="D114" s="1045">
        <f t="shared" si="59"/>
        <v>0.99971258301712507</v>
      </c>
      <c r="E114" s="13"/>
      <c r="F114" s="13">
        <f t="shared" si="76"/>
        <v>9</v>
      </c>
      <c r="G114" s="13">
        <f t="shared" si="60"/>
        <v>8</v>
      </c>
      <c r="H114" s="173">
        <f t="shared" si="61"/>
        <v>43206</v>
      </c>
      <c r="I114" s="742">
        <f t="shared" si="62"/>
        <v>0.42857142857142855</v>
      </c>
      <c r="J114" s="735">
        <f t="shared" si="63"/>
        <v>59.852965015066523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38">
        <v>43200</v>
      </c>
      <c r="AP114" s="13">
        <f t="shared" si="64"/>
        <v>5</v>
      </c>
      <c r="AQ114" s="13">
        <f t="shared" si="65"/>
        <v>6</v>
      </c>
      <c r="AR114" s="173">
        <f t="shared" si="66"/>
        <v>43192</v>
      </c>
      <c r="AS114" s="742">
        <f t="shared" si="67"/>
        <v>0.2857142857142857</v>
      </c>
      <c r="AT114" s="758">
        <f t="shared" si="68"/>
        <v>59.770259474856516</v>
      </c>
      <c r="AU114" s="13">
        <f t="shared" si="69"/>
        <v>5</v>
      </c>
      <c r="AV114" s="13">
        <f t="shared" si="70"/>
        <v>4</v>
      </c>
      <c r="AW114" s="173">
        <f t="shared" si="71"/>
        <v>43206</v>
      </c>
      <c r="AX114" s="742">
        <f t="shared" si="72"/>
        <v>0.21428571428571427</v>
      </c>
      <c r="AY114" s="758">
        <f t="shared" si="73"/>
        <v>59.761536625293751</v>
      </c>
      <c r="AZ114" s="735">
        <f t="shared" si="77"/>
        <v>59.765898050075137</v>
      </c>
      <c r="BA114" s="633">
        <f t="shared" si="74"/>
        <v>0.99971258301712507</v>
      </c>
      <c r="BC114" s="11">
        <v>43200</v>
      </c>
      <c r="BD114" s="289">
        <f>[2]!FeuilCaduc*(1-Persistant)+Persistant</f>
        <v>0.53600885757489669</v>
      </c>
      <c r="BE114" s="290">
        <f>[2]!CroissVégét</f>
        <v>7.4116938463242688E-2</v>
      </c>
      <c r="BF114" s="804">
        <f>1+[2]!Salcycl*Ksac</f>
        <v>1.0036008857574896</v>
      </c>
      <c r="BH114" s="1036">
        <f t="shared" si="75"/>
        <v>1.6145402536110651E-3</v>
      </c>
      <c r="BI114" s="11">
        <v>44296</v>
      </c>
      <c r="BJ114" s="715">
        <v>1.5872438138097066E-3</v>
      </c>
      <c r="BK114" s="715">
        <v>1.5872438138097064E-3</v>
      </c>
      <c r="BL114" s="715">
        <v>1.5905433213843528E-3</v>
      </c>
      <c r="BM114" s="715">
        <v>1.6032523088712787E-3</v>
      </c>
      <c r="BN114" s="715">
        <v>1.6258683400957334E-3</v>
      </c>
      <c r="BO114" s="716">
        <v>1.6556174611749271E-3</v>
      </c>
      <c r="BP114" s="715">
        <v>1.6869447065413334E-3</v>
      </c>
      <c r="BQ114" s="715">
        <v>1.7199384936811694E-3</v>
      </c>
      <c r="BR114" s="715">
        <v>1.7546918047561318E-3</v>
      </c>
      <c r="BS114" s="715">
        <v>1.7913023619709723E-3</v>
      </c>
      <c r="BT114" s="715">
        <v>1.8291841840142235E-3</v>
      </c>
      <c r="BW114" s="1188">
        <f>'2019'!R\Max</f>
        <v>0.60176038600641546</v>
      </c>
      <c r="BX114" s="1188">
        <f>'2020'!R\Max</f>
        <v>0.99637664456870645</v>
      </c>
      <c r="BY114" s="1188">
        <f>'2021'!R\Max</f>
        <v>0.6248714351789898</v>
      </c>
      <c r="BZ114" s="1188">
        <f>'2022'!R\Max</f>
        <v>0.99971258301712507</v>
      </c>
      <c r="CA114" s="1188">
        <f>'2023'!R\Max</f>
        <v>0.99971258270619523</v>
      </c>
      <c r="CB114" s="1188">
        <f>'2024'!R\Max</f>
        <v>0.99971258239406835</v>
      </c>
      <c r="CC114" s="1188">
        <f>'2025'!R\Max</f>
        <v>0.99971258206659641</v>
      </c>
      <c r="CD114" s="1188">
        <f>'2026'!R\Max</f>
        <v>0.9997125838495986</v>
      </c>
      <c r="CE114" s="1189">
        <f>'2027'!R\Max</f>
        <v>0.99971258362354676</v>
      </c>
      <c r="CF114" s="1191">
        <f>'2028'!R\Max</f>
        <v>0.99971258332828083</v>
      </c>
    </row>
    <row r="115" spans="1:84" s="6" customFormat="1" ht="11.25" x14ac:dyDescent="0.2">
      <c r="A115" s="11">
        <v>43201</v>
      </c>
      <c r="B115" s="379">
        <f>'2023'!Maxi_hp</f>
        <v>61.040326499043537</v>
      </c>
      <c r="C115" s="13">
        <f>'2023'!An_max</f>
        <v>2020</v>
      </c>
      <c r="D115" s="1045">
        <f t="shared" si="59"/>
        <v>1.0166773496082961</v>
      </c>
      <c r="E115" s="13"/>
      <c r="F115" s="13">
        <f t="shared" si="76"/>
        <v>9</v>
      </c>
      <c r="G115" s="13">
        <f t="shared" si="60"/>
        <v>8</v>
      </c>
      <c r="H115" s="173">
        <f t="shared" si="61"/>
        <v>43206</v>
      </c>
      <c r="I115" s="742">
        <f t="shared" si="62"/>
        <v>0.35714285714285715</v>
      </c>
      <c r="J115" s="735">
        <f t="shared" si="63"/>
        <v>60.039034530041477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38">
        <v>43201</v>
      </c>
      <c r="AP115" s="13">
        <f t="shared" si="64"/>
        <v>5</v>
      </c>
      <c r="AQ115" s="13">
        <f t="shared" si="65"/>
        <v>6</v>
      </c>
      <c r="AR115" s="173">
        <f t="shared" si="66"/>
        <v>43192</v>
      </c>
      <c r="AS115" s="742">
        <f t="shared" si="67"/>
        <v>0.32142857142857145</v>
      </c>
      <c r="AT115" s="758">
        <f t="shared" si="68"/>
        <v>59.947141729774231</v>
      </c>
      <c r="AU115" s="13">
        <f t="shared" si="69"/>
        <v>5</v>
      </c>
      <c r="AV115" s="13">
        <f t="shared" si="70"/>
        <v>4</v>
      </c>
      <c r="AW115" s="173">
        <f t="shared" si="71"/>
        <v>43206</v>
      </c>
      <c r="AX115" s="742">
        <f t="shared" si="72"/>
        <v>0.17857142857142858</v>
      </c>
      <c r="AY115" s="758">
        <f t="shared" si="73"/>
        <v>59.965289654635953</v>
      </c>
      <c r="AZ115" s="735">
        <f t="shared" si="77"/>
        <v>59.956215692205092</v>
      </c>
      <c r="BA115" s="633">
        <f t="shared" si="74"/>
        <v>1.0166773496082961</v>
      </c>
      <c r="BC115" s="11">
        <v>43201</v>
      </c>
      <c r="BD115" s="289">
        <f>[2]!FeuilCaduc*(1-Persistant)+Persistant</f>
        <v>0.5384573824410599</v>
      </c>
      <c r="BE115" s="290">
        <f>[2]!CroissVégét</f>
        <v>7.7036689395036897E-2</v>
      </c>
      <c r="BF115" s="804">
        <f>1+[2]!Salcycl*Ksac</f>
        <v>1.0038457382441059</v>
      </c>
      <c r="BH115" s="1036">
        <f t="shared" si="75"/>
        <v>1.6250724770610829E-3</v>
      </c>
      <c r="BI115" s="11">
        <v>44297</v>
      </c>
      <c r="BJ115" s="715">
        <v>1.6009070950452442E-3</v>
      </c>
      <c r="BK115" s="715">
        <v>1.600907095045244E-3</v>
      </c>
      <c r="BL115" s="715">
        <v>1.6038307386709678E-3</v>
      </c>
      <c r="BM115" s="715">
        <v>1.6150843038406333E-3</v>
      </c>
      <c r="BN115" s="715">
        <v>1.6350961698300855E-3</v>
      </c>
      <c r="BO115" s="716">
        <v>1.6613946885277436E-3</v>
      </c>
      <c r="BP115" s="715">
        <v>1.6890504100260234E-3</v>
      </c>
      <c r="BQ115" s="715">
        <v>1.7181378797969749E-3</v>
      </c>
      <c r="BR115" s="715">
        <v>1.7487354363019574E-3</v>
      </c>
      <c r="BS115" s="715">
        <v>1.7809253555473945E-3</v>
      </c>
      <c r="BT115" s="715">
        <v>1.8142047127853904E-3</v>
      </c>
      <c r="BW115" s="1188">
        <f>'2019'!R\Max</f>
        <v>0.1556175899794095</v>
      </c>
      <c r="BX115" s="1188">
        <f>'2020'!R\Max</f>
        <v>1.0166773496082961</v>
      </c>
      <c r="BY115" s="1188">
        <f>'2021'!R\Max</f>
        <v>0.14758277518522583</v>
      </c>
      <c r="BZ115" s="1188">
        <f>'2022'!R\Max</f>
        <v>0.83364378507081771</v>
      </c>
      <c r="CA115" s="1188">
        <f>'2023'!R\Max</f>
        <v>0.83364365239599869</v>
      </c>
      <c r="CB115" s="1188">
        <f>'2024'!R\Max</f>
        <v>0.83364351920410351</v>
      </c>
      <c r="CC115" s="1188">
        <f>'2025'!R\Max</f>
        <v>0.83364337966036439</v>
      </c>
      <c r="CD115" s="1188">
        <f>'2026'!R\Max</f>
        <v>0.83364414095997152</v>
      </c>
      <c r="CE115" s="1189">
        <f>'2027'!R\Max</f>
        <v>0.8336440441932661</v>
      </c>
      <c r="CF115" s="1191">
        <f>'2028'!R\Max</f>
        <v>0.83364391802971016</v>
      </c>
    </row>
    <row r="116" spans="1:84" s="6" customFormat="1" ht="11.25" x14ac:dyDescent="0.2">
      <c r="A116" s="11">
        <v>43202</v>
      </c>
      <c r="B116" s="379">
        <f>'2023'!Maxi_hp</f>
        <v>60.002961591028409</v>
      </c>
      <c r="C116" s="13">
        <f>'2023'!An_max</f>
        <v>2020</v>
      </c>
      <c r="D116" s="1045">
        <f t="shared" si="59"/>
        <v>0.99642014879189844</v>
      </c>
      <c r="E116" s="13"/>
      <c r="F116" s="13">
        <f t="shared" si="76"/>
        <v>9</v>
      </c>
      <c r="G116" s="13">
        <f t="shared" si="60"/>
        <v>8</v>
      </c>
      <c r="H116" s="173">
        <f t="shared" si="61"/>
        <v>43206</v>
      </c>
      <c r="I116" s="742">
        <f t="shared" si="62"/>
        <v>0.2857142857142857</v>
      </c>
      <c r="J116" s="735">
        <f t="shared" si="63"/>
        <v>60.21853498624904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38">
        <v>43202</v>
      </c>
      <c r="AP116" s="13">
        <f t="shared" si="64"/>
        <v>5</v>
      </c>
      <c r="AQ116" s="13">
        <f t="shared" si="65"/>
        <v>6</v>
      </c>
      <c r="AR116" s="173">
        <f t="shared" si="66"/>
        <v>43192</v>
      </c>
      <c r="AS116" s="742">
        <f t="shared" si="67"/>
        <v>0.35714285714285715</v>
      </c>
      <c r="AT116" s="758">
        <f t="shared" si="68"/>
        <v>60.117935039954524</v>
      </c>
      <c r="AU116" s="13">
        <f t="shared" si="69"/>
        <v>5</v>
      </c>
      <c r="AV116" s="13">
        <f t="shared" si="70"/>
        <v>4</v>
      </c>
      <c r="AW116" s="173">
        <f t="shared" si="71"/>
        <v>43206</v>
      </c>
      <c r="AX116" s="742">
        <f t="shared" si="72"/>
        <v>0.14285714285714285</v>
      </c>
      <c r="AY116" s="758">
        <f t="shared" si="73"/>
        <v>60.161962099799098</v>
      </c>
      <c r="AZ116" s="735">
        <f t="shared" si="77"/>
        <v>60.139948569876807</v>
      </c>
      <c r="BA116" s="633">
        <f t="shared" si="74"/>
        <v>0.99642014879189844</v>
      </c>
      <c r="BC116" s="11">
        <v>43202</v>
      </c>
      <c r="BD116" s="289">
        <f>[2]!FeuilCaduc*(1-Persistant)+Persistant</f>
        <v>0.54103145585505263</v>
      </c>
      <c r="BE116" s="290">
        <f>[2]!CroissVégét</f>
        <v>8.0059411132293548E-2</v>
      </c>
      <c r="BF116" s="804">
        <f>1+[2]!Salcycl*Ksac</f>
        <v>1.0041031455855052</v>
      </c>
      <c r="BH116" s="1036">
        <f t="shared" si="75"/>
        <v>1.6330965941696006E-3</v>
      </c>
      <c r="BI116" s="11">
        <v>44298</v>
      </c>
      <c r="BJ116" s="715">
        <v>1.611865828251101E-3</v>
      </c>
      <c r="BK116" s="715">
        <v>1.6118658282511008E-3</v>
      </c>
      <c r="BL116" s="715">
        <v>1.6144368389513365E-3</v>
      </c>
      <c r="BM116" s="715">
        <v>1.6243259755653208E-3</v>
      </c>
      <c r="BN116" s="715">
        <v>1.6418984025026206E-3</v>
      </c>
      <c r="BO116" s="716">
        <v>1.6649679494090436E-3</v>
      </c>
      <c r="BP116" s="715">
        <v>1.689193013087918E-3</v>
      </c>
      <c r="BQ116" s="715">
        <v>1.7146356474085375E-3</v>
      </c>
      <c r="BR116" s="715">
        <v>1.7413610102606236E-3</v>
      </c>
      <c r="BS116" s="715">
        <v>1.76943748071798E-3</v>
      </c>
      <c r="BT116" s="715">
        <v>1.7984378405017467E-3</v>
      </c>
      <c r="BW116" s="1188">
        <f>'2019'!R\Max</f>
        <v>0.97855751891312193</v>
      </c>
      <c r="BX116" s="1188">
        <f>'2020'!R\Max</f>
        <v>0.99642014879189844</v>
      </c>
      <c r="BY116" s="1188">
        <f>'2021'!R\Max</f>
        <v>0.78401253322407494</v>
      </c>
      <c r="BZ116" s="1188">
        <f>'2022'!R\Max</f>
        <v>0.69115763760132143</v>
      </c>
      <c r="CA116" s="1188">
        <f>'2023'!R\Max</f>
        <v>0.69115745840155896</v>
      </c>
      <c r="CB116" s="1188">
        <f>'2024'!R\Max</f>
        <v>0.69115727849659847</v>
      </c>
      <c r="CC116" s="1188">
        <f>'2025'!R\Max</f>
        <v>0.69115709028986538</v>
      </c>
      <c r="CD116" s="1188">
        <f>'2026'!R\Max</f>
        <v>0.69115811924198767</v>
      </c>
      <c r="CE116" s="1189">
        <f>'2027'!R\Max</f>
        <v>0.6911579881028207</v>
      </c>
      <c r="CF116" s="1191">
        <f>'2028'!R\Max</f>
        <v>0.69115781745096994</v>
      </c>
    </row>
    <row r="117" spans="1:84" s="6" customFormat="1" ht="11.25" x14ac:dyDescent="0.2">
      <c r="A117" s="11">
        <v>43203</v>
      </c>
      <c r="B117" s="379">
        <f>'2023'!Maxi_hp</f>
        <v>59.530054657867453</v>
      </c>
      <c r="C117" s="13">
        <f>'2023'!An_max</f>
        <v>2018</v>
      </c>
      <c r="D117" s="1045">
        <f t="shared" si="59"/>
        <v>0.98573444348742301</v>
      </c>
      <c r="E117" s="13"/>
      <c r="F117" s="13">
        <f t="shared" si="76"/>
        <v>9</v>
      </c>
      <c r="G117" s="13">
        <f t="shared" si="60"/>
        <v>8</v>
      </c>
      <c r="H117" s="173">
        <f t="shared" si="61"/>
        <v>43206</v>
      </c>
      <c r="I117" s="742">
        <f t="shared" si="62"/>
        <v>0.21428571428571427</v>
      </c>
      <c r="J117" s="735">
        <f t="shared" si="63"/>
        <v>60.391574070655871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38">
        <v>43203</v>
      </c>
      <c r="AP117" s="13">
        <f t="shared" si="64"/>
        <v>5</v>
      </c>
      <c r="AQ117" s="13">
        <f t="shared" si="65"/>
        <v>6</v>
      </c>
      <c r="AR117" s="173">
        <f t="shared" si="66"/>
        <v>43192</v>
      </c>
      <c r="AS117" s="742">
        <f t="shared" si="67"/>
        <v>0.39285714285714285</v>
      </c>
      <c r="AT117" s="758">
        <f t="shared" si="68"/>
        <v>60.282814402133226</v>
      </c>
      <c r="AU117" s="13">
        <f t="shared" si="69"/>
        <v>5</v>
      </c>
      <c r="AV117" s="13">
        <f t="shared" si="70"/>
        <v>4</v>
      </c>
      <c r="AW117" s="173">
        <f t="shared" si="71"/>
        <v>43206</v>
      </c>
      <c r="AX117" s="742">
        <f t="shared" si="72"/>
        <v>0.10714285714285714</v>
      </c>
      <c r="AY117" s="758">
        <f t="shared" si="73"/>
        <v>60.351311657630973</v>
      </c>
      <c r="AZ117" s="735">
        <f t="shared" si="77"/>
        <v>60.3170630298821</v>
      </c>
      <c r="BA117" s="633">
        <f t="shared" si="74"/>
        <v>0.98573444348742301</v>
      </c>
      <c r="BC117" s="11">
        <v>43203</v>
      </c>
      <c r="BD117" s="289">
        <f>[2]!FeuilCaduc*(1-Persistant)+Persistant</f>
        <v>0.54373339312516933</v>
      </c>
      <c r="BE117" s="290">
        <f>[2]!CroissVégét</f>
        <v>8.3187958998136649E-2</v>
      </c>
      <c r="BF117" s="804">
        <f>1+[2]!Salcycl*Ksac</f>
        <v>1.0043733393125169</v>
      </c>
      <c r="BH117" s="1036">
        <f t="shared" si="75"/>
        <v>1.6386128269625321E-3</v>
      </c>
      <c r="BI117" s="11">
        <v>44299</v>
      </c>
      <c r="BJ117" s="715">
        <v>1.6201202535230312E-3</v>
      </c>
      <c r="BK117" s="715">
        <v>1.620120253523031E-3</v>
      </c>
      <c r="BL117" s="715">
        <v>1.6223618602807608E-3</v>
      </c>
      <c r="BM117" s="715">
        <v>1.6309775538183096E-3</v>
      </c>
      <c r="BN117" s="715">
        <v>1.6462752523646474E-3</v>
      </c>
      <c r="BO117" s="716">
        <v>1.6663374362685119E-3</v>
      </c>
      <c r="BP117" s="715">
        <v>1.6873726831263603E-3</v>
      </c>
      <c r="BQ117" s="715">
        <v>1.7094319353486067E-3</v>
      </c>
      <c r="BR117" s="715">
        <v>1.7325686330974404E-3</v>
      </c>
      <c r="BS117" s="715">
        <v>1.7568388074773586E-3</v>
      </c>
      <c r="BT117" s="715">
        <v>1.7818835978489771E-3</v>
      </c>
      <c r="BW117" s="1188">
        <f>'2019'!R\Max</f>
        <v>0.98573444348742301</v>
      </c>
      <c r="BX117" s="1188">
        <f>'2020'!R\Max</f>
        <v>0.76756757026488875</v>
      </c>
      <c r="BY117" s="1188">
        <f>'2021'!R\Max</f>
        <v>0.90588764569240487</v>
      </c>
      <c r="BZ117" s="1188">
        <f>'2022'!R\Max</f>
        <v>0.13985577286737666</v>
      </c>
      <c r="CA117" s="1188">
        <f>'2023'!R\Max</f>
        <v>0.13985570135158223</v>
      </c>
      <c r="CB117" s="1188">
        <f>'2024'!R\Max</f>
        <v>0.13985562955235739</v>
      </c>
      <c r="CC117" s="1188">
        <f>'2025'!R\Max</f>
        <v>0.13985555455514165</v>
      </c>
      <c r="CD117" s="1188">
        <f>'2026'!R\Max</f>
        <v>0.13985596547905477</v>
      </c>
      <c r="CE117" s="1189">
        <f>'2027'!R\Max</f>
        <v>0.13985591296059974</v>
      </c>
      <c r="CF117" s="1191">
        <f>'2028'!R\Max</f>
        <v>0.13985584475303225</v>
      </c>
    </row>
    <row r="118" spans="1:84" s="6" customFormat="1" ht="11.25" x14ac:dyDescent="0.2">
      <c r="A118" s="11">
        <v>43204</v>
      </c>
      <c r="B118" s="379">
        <f>'2023'!Maxi_hp</f>
        <v>58.540655243985405</v>
      </c>
      <c r="C118" s="13">
        <f>'2023'!An_max</f>
        <v>2021</v>
      </c>
      <c r="D118" s="1045" t="str">
        <f t="shared" si="59"/>
        <v/>
      </c>
      <c r="E118" s="13"/>
      <c r="F118" s="13">
        <f t="shared" si="76"/>
        <v>9</v>
      </c>
      <c r="G118" s="13">
        <f t="shared" si="60"/>
        <v>8</v>
      </c>
      <c r="H118" s="173">
        <f t="shared" si="61"/>
        <v>43206</v>
      </c>
      <c r="I118" s="742">
        <f t="shared" si="62"/>
        <v>0.14285714285714285</v>
      </c>
      <c r="J118" s="735">
        <f t="shared" si="63"/>
        <v>60.558259475550493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38">
        <v>43204</v>
      </c>
      <c r="AP118" s="13">
        <f t="shared" si="64"/>
        <v>5</v>
      </c>
      <c r="AQ118" s="13">
        <f t="shared" si="65"/>
        <v>6</v>
      </c>
      <c r="AR118" s="173">
        <f t="shared" si="66"/>
        <v>43192</v>
      </c>
      <c r="AS118" s="742">
        <f t="shared" si="67"/>
        <v>0.42857142857142855</v>
      </c>
      <c r="AT118" s="758">
        <f t="shared" si="68"/>
        <v>60.441954810385184</v>
      </c>
      <c r="AU118" s="13">
        <f t="shared" si="69"/>
        <v>5</v>
      </c>
      <c r="AV118" s="13">
        <f t="shared" si="70"/>
        <v>4</v>
      </c>
      <c r="AW118" s="173">
        <f t="shared" si="71"/>
        <v>43206</v>
      </c>
      <c r="AX118" s="742">
        <f t="shared" si="72"/>
        <v>7.1428571428571425E-2</v>
      </c>
      <c r="AY118" s="758">
        <f t="shared" si="73"/>
        <v>60.533096027533929</v>
      </c>
      <c r="AZ118" s="735">
        <f t="shared" si="77"/>
        <v>60.487525418959557</v>
      </c>
      <c r="BA118" s="633">
        <f t="shared" si="74"/>
        <v>0.9666832526390613</v>
      </c>
      <c r="BC118" s="11">
        <v>43204</v>
      </c>
      <c r="BD118" s="289">
        <f>[2]!FeuilCaduc*(1-Persistant)+Persistant</f>
        <v>0.54656535980417187</v>
      </c>
      <c r="BE118" s="290">
        <f>[2]!CroissVégét</f>
        <v>8.6425206757263798E-2</v>
      </c>
      <c r="BF118" s="804">
        <f>1+[2]!Salcycl*Ksac</f>
        <v>1.0046565359804172</v>
      </c>
      <c r="BH118" s="1036">
        <f t="shared" si="75"/>
        <v>1.6416214949668412E-3</v>
      </c>
      <c r="BI118" s="11">
        <v>44300</v>
      </c>
      <c r="BJ118" s="715">
        <v>1.625670713180416E-3</v>
      </c>
      <c r="BK118" s="715">
        <v>1.625670713180416E-3</v>
      </c>
      <c r="BL118" s="715">
        <v>1.627606142386882E-3</v>
      </c>
      <c r="BM118" s="715">
        <v>1.6350393678639123E-3</v>
      </c>
      <c r="BN118" s="715">
        <v>1.6482270291711546E-3</v>
      </c>
      <c r="BO118" s="716">
        <v>1.6655034316258189E-3</v>
      </c>
      <c r="BP118" s="715">
        <v>1.6835896716041795E-3</v>
      </c>
      <c r="BQ118" s="715">
        <v>1.702526959890459E-3</v>
      </c>
      <c r="BR118" s="715">
        <v>1.7223584814324672E-3</v>
      </c>
      <c r="BS118" s="715">
        <v>1.7431294679771589E-3</v>
      </c>
      <c r="BT118" s="715">
        <v>1.7645420691806634E-3</v>
      </c>
      <c r="BW118" s="1188">
        <f>'2019'!R\Max</f>
        <v>0.49875506687813653</v>
      </c>
      <c r="BX118" s="1188">
        <f>'2020'!R\Max</f>
        <v>0.3371958078606207</v>
      </c>
      <c r="BY118" s="1188">
        <f>'2021'!R\Max</f>
        <v>0.9666832526390613</v>
      </c>
      <c r="BZ118" s="1188">
        <f>'2022'!R\Max</f>
        <v>0.72227097784086791</v>
      </c>
      <c r="CA118" s="1188">
        <f>'2023'!R\Max</f>
        <v>0.72227085154053128</v>
      </c>
      <c r="CB118" s="1188">
        <f>'2024'!R\Max</f>
        <v>0.72227072473704956</v>
      </c>
      <c r="CC118" s="1188">
        <f>'2025'!R\Max</f>
        <v>0.72227059249350589</v>
      </c>
      <c r="CD118" s="1188">
        <f>'2026'!R\Max</f>
        <v>0.72227131872122474</v>
      </c>
      <c r="CE118" s="1189">
        <f>'2027'!R\Max</f>
        <v>0.72227122563888901</v>
      </c>
      <c r="CF118" s="1191">
        <f>'2028'!R\Max</f>
        <v>0.72227110499395986</v>
      </c>
    </row>
    <row r="119" spans="1:84" s="6" customFormat="1" ht="11.25" x14ac:dyDescent="0.2">
      <c r="A119" s="11">
        <v>43205</v>
      </c>
      <c r="B119" s="379">
        <f>'2023'!Maxi_hp</f>
        <v>59.383919600806216</v>
      </c>
      <c r="C119" s="13">
        <f>'2023'!An_max</f>
        <v>2021</v>
      </c>
      <c r="D119" s="1045">
        <f t="shared" si="59"/>
        <v>0.97801699786733487</v>
      </c>
      <c r="E119" s="13"/>
      <c r="F119" s="13">
        <f t="shared" si="76"/>
        <v>9</v>
      </c>
      <c r="G119" s="13">
        <f t="shared" si="60"/>
        <v>8</v>
      </c>
      <c r="H119" s="173">
        <f t="shared" si="61"/>
        <v>43206</v>
      </c>
      <c r="I119" s="742">
        <f t="shared" si="62"/>
        <v>7.1428571428571425E-2</v>
      </c>
      <c r="J119" s="735">
        <f t="shared" si="63"/>
        <v>60.718698887952733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38">
        <v>43205</v>
      </c>
      <c r="AP119" s="13">
        <f t="shared" si="64"/>
        <v>5</v>
      </c>
      <c r="AQ119" s="13">
        <f t="shared" si="65"/>
        <v>6</v>
      </c>
      <c r="AR119" s="173">
        <f t="shared" si="66"/>
        <v>43192</v>
      </c>
      <c r="AS119" s="742">
        <f t="shared" si="67"/>
        <v>0.4642857142857143</v>
      </c>
      <c r="AT119" s="758">
        <f t="shared" si="68"/>
        <v>60.595531261446219</v>
      </c>
      <c r="AU119" s="13">
        <f t="shared" si="69"/>
        <v>5</v>
      </c>
      <c r="AV119" s="13">
        <f t="shared" si="70"/>
        <v>4</v>
      </c>
      <c r="AW119" s="173">
        <f t="shared" si="71"/>
        <v>43206</v>
      </c>
      <c r="AX119" s="742">
        <f t="shared" si="72"/>
        <v>3.5714285714285712E-2</v>
      </c>
      <c r="AY119" s="758">
        <f t="shared" si="73"/>
        <v>60.707072908910256</v>
      </c>
      <c r="AZ119" s="735">
        <f t="shared" si="77"/>
        <v>60.651302085178237</v>
      </c>
      <c r="BA119" s="633">
        <f t="shared" si="74"/>
        <v>0.97801699786733487</v>
      </c>
      <c r="BC119" s="11">
        <v>43205</v>
      </c>
      <c r="BD119" s="289">
        <f>[2]!FeuilCaduc*(1-Persistant)+Persistant</f>
        <v>0.54952936520300688</v>
      </c>
      <c r="BE119" s="290">
        <f>[2]!CroissVégét</f>
        <v>8.9774041376326802E-2</v>
      </c>
      <c r="BF119" s="804">
        <f>1+[2]!Salcycl*Ksac</f>
        <v>1.0049529365203007</v>
      </c>
      <c r="BH119" s="1036">
        <f t="shared" si="75"/>
        <v>1.6421230232360792E-3</v>
      </c>
      <c r="BI119" s="11">
        <v>44301</v>
      </c>
      <c r="BJ119" s="715">
        <v>1.6285176604199654E-3</v>
      </c>
      <c r="BK119" s="715">
        <v>1.6285176604199656E-3</v>
      </c>
      <c r="BL119" s="715">
        <v>1.6301701352490975E-3</v>
      </c>
      <c r="BM119" s="715">
        <v>1.6365118547462347E-3</v>
      </c>
      <c r="BN119" s="715">
        <v>1.6477541459424972E-3</v>
      </c>
      <c r="BO119" s="716">
        <v>1.6624663151235412E-3</v>
      </c>
      <c r="BP119" s="715">
        <v>1.677844320330285E-3</v>
      </c>
      <c r="BQ119" s="715">
        <v>1.6939210201941761E-3</v>
      </c>
      <c r="BR119" s="715">
        <v>1.7107308065798111E-3</v>
      </c>
      <c r="BS119" s="715">
        <v>1.7283096600826959E-3</v>
      </c>
      <c r="BT119" s="715">
        <v>1.7464133950402636E-3</v>
      </c>
      <c r="BW119" s="1188">
        <f>'2019'!R\Max</f>
        <v>0.70210484640549164</v>
      </c>
      <c r="BX119" s="1188">
        <f>'2020'!R\Max</f>
        <v>0.90997487798500021</v>
      </c>
      <c r="BY119" s="1188">
        <f>'2021'!R\Max</f>
        <v>0.97801699786733487</v>
      </c>
      <c r="BZ119" s="1188">
        <f>'2022'!R\Max</f>
        <v>0.77638341585730208</v>
      </c>
      <c r="CA119" s="1188">
        <f>'2023'!R\Max</f>
        <v>0.77638332265755494</v>
      </c>
      <c r="CB119" s="1188">
        <f>'2024'!R\Max</f>
        <v>0.7763832290851308</v>
      </c>
      <c r="CC119" s="1188">
        <f>'2025'!R\Max</f>
        <v>0.77638313165078288</v>
      </c>
      <c r="CD119" s="1188">
        <f>'2026'!R\Max</f>
        <v>0.77638366793153757</v>
      </c>
      <c r="CE119" s="1189">
        <f>'2027'!R\Max</f>
        <v>0.77638359899714804</v>
      </c>
      <c r="CF119" s="1191">
        <f>'2028'!R\Max</f>
        <v>0.77638350983284909</v>
      </c>
    </row>
    <row r="120" spans="1:84" s="6" customFormat="1" ht="11.25" x14ac:dyDescent="0.2">
      <c r="A120" s="11">
        <v>43206</v>
      </c>
      <c r="B120" s="379">
        <f>'2023'!Maxi_hp</f>
        <v>56.502985475141656</v>
      </c>
      <c r="C120" s="13">
        <f>'2023'!An_max</f>
        <v>2020</v>
      </c>
      <c r="D120" s="1045" t="str">
        <f t="shared" si="59"/>
        <v/>
      </c>
      <c r="E120" s="1040">
        <f>U$13/10</f>
        <v>60.873000000000005</v>
      </c>
      <c r="F120" s="13">
        <f t="shared" si="76"/>
        <v>9</v>
      </c>
      <c r="G120" s="13">
        <f t="shared" si="60"/>
        <v>10</v>
      </c>
      <c r="H120" s="173">
        <f t="shared" si="61"/>
        <v>43206</v>
      </c>
      <c r="I120" s="742">
        <f t="shared" si="62"/>
        <v>0</v>
      </c>
      <c r="J120" s="735">
        <f t="shared" si="63"/>
        <v>60.872999999672174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38">
        <v>43206</v>
      </c>
      <c r="AP120" s="13">
        <f t="shared" si="64"/>
        <v>5</v>
      </c>
      <c r="AQ120" s="13">
        <f t="shared" si="65"/>
        <v>6</v>
      </c>
      <c r="AR120" s="173">
        <f t="shared" si="66"/>
        <v>43192</v>
      </c>
      <c r="AS120" s="742">
        <f t="shared" si="67"/>
        <v>0.5</v>
      </c>
      <c r="AT120" s="758">
        <f t="shared" si="68"/>
        <v>60.743718750029799</v>
      </c>
      <c r="AU120" s="13">
        <f t="shared" si="69"/>
        <v>5</v>
      </c>
      <c r="AV120" s="13">
        <f t="shared" si="70"/>
        <v>6</v>
      </c>
      <c r="AW120" s="173">
        <f t="shared" si="71"/>
        <v>43206</v>
      </c>
      <c r="AX120" s="742">
        <f t="shared" si="72"/>
        <v>0</v>
      </c>
      <c r="AY120" s="758">
        <f t="shared" si="73"/>
        <v>60.873000000417235</v>
      </c>
      <c r="AZ120" s="735">
        <f t="shared" si="77"/>
        <v>60.808359375223517</v>
      </c>
      <c r="BA120" s="633">
        <f t="shared" si="74"/>
        <v>0.9282109551927118</v>
      </c>
      <c r="BC120" s="11">
        <v>43206</v>
      </c>
      <c r="BD120" s="289">
        <f>[2]!FeuilCaduc*(1-Persistant)+Persistant</f>
        <v>0.55262725570755977</v>
      </c>
      <c r="BE120" s="290">
        <f>[2]!CroissVégét</f>
        <v>9.3237357323611589E-2</v>
      </c>
      <c r="BF120" s="804">
        <f>1+[2]!Salcycl*Ksac</f>
        <v>1.005262725570756</v>
      </c>
      <c r="BH120" s="1036">
        <f t="shared" si="75"/>
        <v>1.6401179503405725E-3</v>
      </c>
      <c r="BI120" s="11">
        <v>44302</v>
      </c>
      <c r="BJ120" s="715">
        <v>1.6286616679345113E-3</v>
      </c>
      <c r="BK120" s="715">
        <v>1.6286616679345115E-3</v>
      </c>
      <c r="BL120" s="715">
        <v>1.630054407643018E-3</v>
      </c>
      <c r="BM120" s="715">
        <v>1.6353955675424612E-3</v>
      </c>
      <c r="BN120" s="715">
        <v>1.6448571266905558E-3</v>
      </c>
      <c r="BO120" s="716">
        <v>1.6572265705440804E-3</v>
      </c>
      <c r="BP120" s="715">
        <v>1.6701370677057539E-3</v>
      </c>
      <c r="BQ120" s="715">
        <v>1.6836145037158971E-3</v>
      </c>
      <c r="BR120" s="715">
        <v>1.6976859390493437E-3</v>
      </c>
      <c r="BS120" s="715">
        <v>1.712379650891498E-3</v>
      </c>
      <c r="BT120" s="715">
        <v>1.7274977746443224E-3</v>
      </c>
      <c r="BW120" s="1188">
        <f>'2019'!R\Max</f>
        <v>0.55596883638854289</v>
      </c>
      <c r="BX120" s="1188">
        <f>'2020'!R\Max</f>
        <v>0.9282109551927118</v>
      </c>
      <c r="BY120" s="1188">
        <f>'2021'!R\Max</f>
        <v>0.91873062849819631</v>
      </c>
      <c r="BZ120" s="1188">
        <f>'2022'!R\Max</f>
        <v>0.74686170007257424</v>
      </c>
      <c r="CA120" s="1188">
        <f>'2023'!R\Max</f>
        <v>0.74686161460240408</v>
      </c>
      <c r="CB120" s="1188">
        <f>'2024'!R\Max</f>
        <v>0.74686152878892043</v>
      </c>
      <c r="CC120" s="1188">
        <f>'2025'!R\Max</f>
        <v>0.74686143956542395</v>
      </c>
      <c r="CD120" s="1188">
        <f>'2026'!R\Max</f>
        <v>0.74686193170516968</v>
      </c>
      <c r="CE120" s="1189">
        <f>'2027'!R\Max</f>
        <v>0.74686186826911738</v>
      </c>
      <c r="CF120" s="1191">
        <f>'2028'!R\Max</f>
        <v>0.74686178638089795</v>
      </c>
    </row>
    <row r="121" spans="1:84" s="6" customFormat="1" ht="11.25" x14ac:dyDescent="0.2">
      <c r="A121" s="11">
        <v>43207</v>
      </c>
      <c r="B121" s="379">
        <f>'2023'!Maxi_hp</f>
        <v>58.704491889636252</v>
      </c>
      <c r="C121" s="13">
        <f>'2023'!An_max</f>
        <v>2022</v>
      </c>
      <c r="D121" s="1045" t="str">
        <f t="shared" si="59"/>
        <v/>
      </c>
      <c r="E121" s="13"/>
      <c r="F121" s="13">
        <f t="shared" si="76"/>
        <v>9</v>
      </c>
      <c r="G121" s="13">
        <f t="shared" si="60"/>
        <v>10</v>
      </c>
      <c r="H121" s="173">
        <f t="shared" si="61"/>
        <v>43206</v>
      </c>
      <c r="I121" s="742">
        <f t="shared" si="62"/>
        <v>7.1428571428571425E-2</v>
      </c>
      <c r="J121" s="735">
        <f t="shared" si="63"/>
        <v>61.0198346393449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38">
        <v>43207</v>
      </c>
      <c r="AP121" s="13">
        <f t="shared" si="64"/>
        <v>5</v>
      </c>
      <c r="AQ121" s="13">
        <f t="shared" si="65"/>
        <v>6</v>
      </c>
      <c r="AR121" s="173">
        <f t="shared" si="66"/>
        <v>43192</v>
      </c>
      <c r="AS121" s="742">
        <f t="shared" si="67"/>
        <v>0.5357142857142857</v>
      </c>
      <c r="AT121" s="758">
        <f t="shared" si="68"/>
        <v>60.886692272445984</v>
      </c>
      <c r="AU121" s="13">
        <f t="shared" si="69"/>
        <v>5</v>
      </c>
      <c r="AV121" s="13">
        <f t="shared" si="70"/>
        <v>6</v>
      </c>
      <c r="AW121" s="173">
        <f t="shared" si="71"/>
        <v>43206</v>
      </c>
      <c r="AX121" s="742">
        <f t="shared" si="72"/>
        <v>3.5714285714285712E-2</v>
      </c>
      <c r="AY121" s="758">
        <f t="shared" si="73"/>
        <v>61.03041288953807</v>
      </c>
      <c r="AZ121" s="735">
        <f t="shared" si="77"/>
        <v>60.958552580992027</v>
      </c>
      <c r="BA121" s="633">
        <f t="shared" si="74"/>
        <v>0.96205589930891522</v>
      </c>
      <c r="BC121" s="11">
        <v>43207</v>
      </c>
      <c r="BD121" s="289">
        <f>[2]!FeuilCaduc*(1-Persistant)+Persistant</f>
        <v>0.55586070786623254</v>
      </c>
      <c r="BE121" s="290">
        <f>[2]!CroissVégét</f>
        <v>9.6818050392965163E-2</v>
      </c>
      <c r="BF121" s="804">
        <f>1+[2]!Salcycl*Ksac</f>
        <v>1.0055860707866233</v>
      </c>
      <c r="BH121" s="1036">
        <f t="shared" si="75"/>
        <v>1.6356069363772183E-3</v>
      </c>
      <c r="BI121" s="11">
        <v>44303</v>
      </c>
      <c r="BJ121" s="715">
        <v>1.6261034365511744E-3</v>
      </c>
      <c r="BK121" s="715">
        <v>1.6261034365511742E-3</v>
      </c>
      <c r="BL121" s="715">
        <v>1.6272596557043307E-3</v>
      </c>
      <c r="BM121" s="715">
        <v>1.6316911836356466E-3</v>
      </c>
      <c r="BN121" s="715">
        <v>1.6395366141645975E-3</v>
      </c>
      <c r="BO121" s="716">
        <v>1.6497847928465305E-3</v>
      </c>
      <c r="BP121" s="715">
        <v>1.6604684549901307E-3</v>
      </c>
      <c r="BQ121" s="715">
        <v>1.6716078916375508E-3</v>
      </c>
      <c r="BR121" s="715">
        <v>1.6832242930691927E-3</v>
      </c>
      <c r="BS121" s="715">
        <v>1.6953397802729122E-3</v>
      </c>
      <c r="BT121" s="715">
        <v>1.7077954683870815E-3</v>
      </c>
      <c r="BW121" s="1188">
        <f>'2019'!R\Max</f>
        <v>0.65357873485016649</v>
      </c>
      <c r="BX121" s="1188">
        <f>'2020'!R\Max</f>
        <v>0.82275932470073043</v>
      </c>
      <c r="BY121" s="1188">
        <f>'2021'!R\Max</f>
        <v>0.92387120535988887</v>
      </c>
      <c r="BZ121" s="1188">
        <f>'2022'!R\Max</f>
        <v>0.96205589930891522</v>
      </c>
      <c r="CA121" s="1188">
        <f>'2023'!R\Max</f>
        <v>0.96205588560560107</v>
      </c>
      <c r="CB121" s="1188">
        <f>'2024'!R\Max</f>
        <v>0.96205587184671904</v>
      </c>
      <c r="CC121" s="1188">
        <f>'2025'!R\Max</f>
        <v>0.96205585755879497</v>
      </c>
      <c r="CD121" s="1188">
        <f>'2026'!R\Max</f>
        <v>0.96205593651015131</v>
      </c>
      <c r="CE121" s="1189">
        <f>'2027'!R\Max</f>
        <v>0.96205592630839731</v>
      </c>
      <c r="CF121" s="1191">
        <f>'2028'!R\Max</f>
        <v>0.96205591316366545</v>
      </c>
    </row>
    <row r="122" spans="1:84" s="6" customFormat="1" ht="11.25" x14ac:dyDescent="0.2">
      <c r="A122" s="11">
        <v>43208</v>
      </c>
      <c r="B122" s="379">
        <f>'2023'!Maxi_hp</f>
        <v>44.767493272933869</v>
      </c>
      <c r="C122" s="13">
        <f>'2023'!An_max</f>
        <v>2021</v>
      </c>
      <c r="D122" s="1045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73">
        <f t="shared" si="61"/>
        <v>43206</v>
      </c>
      <c r="I122" s="742">
        <f t="shared" si="62"/>
        <v>0.14285714285714285</v>
      </c>
      <c r="J122" s="735">
        <f t="shared" si="63"/>
        <v>61.158161807698868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38">
        <v>43208</v>
      </c>
      <c r="AP122" s="13">
        <f t="shared" si="64"/>
        <v>5</v>
      </c>
      <c r="AQ122" s="13">
        <f t="shared" si="65"/>
        <v>6</v>
      </c>
      <c r="AR122" s="173">
        <f t="shared" si="66"/>
        <v>43192</v>
      </c>
      <c r="AS122" s="742">
        <f t="shared" si="67"/>
        <v>0.5714285714285714</v>
      </c>
      <c r="AT122" s="758">
        <f t="shared" si="68"/>
        <v>61.024626822237451</v>
      </c>
      <c r="AU122" s="13">
        <f t="shared" si="69"/>
        <v>5</v>
      </c>
      <c r="AV122" s="13">
        <f t="shared" si="70"/>
        <v>6</v>
      </c>
      <c r="AW122" s="173">
        <f t="shared" si="71"/>
        <v>43206</v>
      </c>
      <c r="AX122" s="742">
        <f t="shared" si="72"/>
        <v>7.1428571428571425E-2</v>
      </c>
      <c r="AY122" s="758">
        <f t="shared" si="73"/>
        <v>61.179215106607543</v>
      </c>
      <c r="AZ122" s="735">
        <f t="shared" si="77"/>
        <v>61.101920964422497</v>
      </c>
      <c r="BA122" s="633">
        <f t="shared" si="74"/>
        <v>0.73199540257108142</v>
      </c>
      <c r="BC122" s="11">
        <v>43208</v>
      </c>
      <c r="BD122" s="289">
        <f>[2]!FeuilCaduc*(1-Persistant)+Persistant</f>
        <v>0.55923122122331848</v>
      </c>
      <c r="BE122" s="290">
        <f>[2]!CroissVégét</f>
        <v>0.10051901103841099</v>
      </c>
      <c r="BF122" s="804">
        <f>1+[2]!Salcycl*Ksac</f>
        <v>1.0059231221223319</v>
      </c>
      <c r="BH122" s="1036">
        <f t="shared" si="75"/>
        <v>1.6297207342157163E-3</v>
      </c>
      <c r="BI122" s="11">
        <v>44304</v>
      </c>
      <c r="BJ122" s="715">
        <v>1.62190977333798E-3</v>
      </c>
      <c r="BK122" s="715">
        <v>1.6219097733379797E-3</v>
      </c>
      <c r="BL122" s="715">
        <v>1.6228604927708207E-3</v>
      </c>
      <c r="BM122" s="715">
        <v>1.6265031584201497E-3</v>
      </c>
      <c r="BN122" s="715">
        <v>1.6329497522277097E-3</v>
      </c>
      <c r="BO122" s="716">
        <v>1.6413666987634588E-3</v>
      </c>
      <c r="BP122" s="715">
        <v>1.6501353059238447E-3</v>
      </c>
      <c r="BQ122" s="715">
        <v>1.6592717538803342E-3</v>
      </c>
      <c r="BR122" s="715">
        <v>1.6687929331760628E-3</v>
      </c>
      <c r="BS122" s="715">
        <v>1.6787164694417357E-3</v>
      </c>
      <c r="BT122" s="715">
        <v>1.6889142005641431E-3</v>
      </c>
      <c r="BW122" s="1188">
        <f>'2019'!R\Max</f>
        <v>0.49240996907310469</v>
      </c>
      <c r="BX122" s="1188">
        <f>'2020'!R\Max</f>
        <v>0.59273394193339879</v>
      </c>
      <c r="BY122" s="1188">
        <f>'2021'!R\Max</f>
        <v>0.73199540257108142</v>
      </c>
      <c r="BZ122" s="1188">
        <f>'2022'!R\Max</f>
        <v>0.63754366704633914</v>
      </c>
      <c r="CA122" s="1188">
        <f>'2023'!R\Max</f>
        <v>0.63754359558040463</v>
      </c>
      <c r="CB122" s="1188">
        <f>'2024'!R\Max</f>
        <v>0.6375435238184245</v>
      </c>
      <c r="CC122" s="1188">
        <f>'2025'!R\Max</f>
        <v>0.63754344935448093</v>
      </c>
      <c r="CD122" s="1188">
        <f>'2026'!R\Max</f>
        <v>0.63754386128149476</v>
      </c>
      <c r="CE122" s="1189">
        <f>'2027'!R\Max</f>
        <v>0.63754380795732357</v>
      </c>
      <c r="CF122" s="1191">
        <f>'2028'!R\Max</f>
        <v>0.63754373935752329</v>
      </c>
    </row>
    <row r="123" spans="1:84" s="6" customFormat="1" ht="11.25" x14ac:dyDescent="0.2">
      <c r="A123" s="11">
        <v>43209</v>
      </c>
      <c r="B123" s="379">
        <f>'2023'!Maxi_hp</f>
        <v>58.622323149510997</v>
      </c>
      <c r="C123" s="13">
        <f>'2023'!An_max</f>
        <v>2021</v>
      </c>
      <c r="D123" s="1045" t="str">
        <f t="shared" si="59"/>
        <v/>
      </c>
      <c r="E123" s="13"/>
      <c r="F123" s="13">
        <f t="shared" si="76"/>
        <v>9</v>
      </c>
      <c r="G123" s="13">
        <f t="shared" si="60"/>
        <v>10</v>
      </c>
      <c r="H123" s="173">
        <f t="shared" si="61"/>
        <v>43206</v>
      </c>
      <c r="I123" s="742">
        <f t="shared" si="62"/>
        <v>0.21428571428571427</v>
      </c>
      <c r="J123" s="735">
        <f t="shared" si="63"/>
        <v>61.288519952712321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38">
        <v>43209</v>
      </c>
      <c r="AP123" s="13">
        <f t="shared" si="64"/>
        <v>5</v>
      </c>
      <c r="AQ123" s="13">
        <f t="shared" si="65"/>
        <v>6</v>
      </c>
      <c r="AR123" s="173">
        <f t="shared" si="66"/>
        <v>43192</v>
      </c>
      <c r="AS123" s="742">
        <f t="shared" si="67"/>
        <v>0.6071428571428571</v>
      </c>
      <c r="AT123" s="758">
        <f t="shared" si="68"/>
        <v>61.157697397018111</v>
      </c>
      <c r="AU123" s="13">
        <f t="shared" si="69"/>
        <v>5</v>
      </c>
      <c r="AV123" s="13">
        <f t="shared" si="70"/>
        <v>6</v>
      </c>
      <c r="AW123" s="173">
        <f t="shared" si="71"/>
        <v>43206</v>
      </c>
      <c r="AX123" s="742">
        <f t="shared" si="72"/>
        <v>0.10714285714285714</v>
      </c>
      <c r="AY123" s="758">
        <f t="shared" si="73"/>
        <v>61.31971625611186</v>
      </c>
      <c r="AZ123" s="735">
        <f t="shared" si="77"/>
        <v>61.238706826564986</v>
      </c>
      <c r="BA123" s="633">
        <f t="shared" si="74"/>
        <v>0.95649761480194906</v>
      </c>
      <c r="BC123" s="11">
        <v>43209</v>
      </c>
      <c r="BD123" s="289">
        <f>[2]!FeuilCaduc*(1-Persistant)+Persistant</f>
        <v>0.56274011088114417</v>
      </c>
      <c r="BE123" s="290">
        <f>[2]!CroissVégét</f>
        <v>0.1043431172076847</v>
      </c>
      <c r="BF123" s="804">
        <f>1+[2]!Salcycl*Ksac</f>
        <v>1.0062740110881143</v>
      </c>
      <c r="BH123" s="1036">
        <f t="shared" si="75"/>
        <v>1.624871408558715E-3</v>
      </c>
      <c r="BI123" s="11">
        <v>44305</v>
      </c>
      <c r="BJ123" s="715">
        <v>1.6185560067347913E-3</v>
      </c>
      <c r="BK123" s="715">
        <v>1.6185560067347911E-3</v>
      </c>
      <c r="BL123" s="715">
        <v>1.6193250866920698E-3</v>
      </c>
      <c r="BM123" s="715">
        <v>1.622270648414998E-3</v>
      </c>
      <c r="BN123" s="715">
        <v>1.6274814174233102E-3</v>
      </c>
      <c r="BO123" s="716">
        <v>1.634281065780745E-3</v>
      </c>
      <c r="BP123" s="715">
        <v>1.6413591463950788E-3</v>
      </c>
      <c r="BQ123" s="715">
        <v>1.648728273574443E-3</v>
      </c>
      <c r="BR123" s="715">
        <v>1.6564016089585184E-3</v>
      </c>
      <c r="BS123" s="715">
        <v>1.6643928804209497E-3</v>
      </c>
      <c r="BT123" s="715">
        <v>1.6726007481338719E-3</v>
      </c>
      <c r="BW123" s="1188">
        <f>'2019'!R\Max</f>
        <v>0.8310911589904435</v>
      </c>
      <c r="BX123" s="1188">
        <f>'2020'!R\Max</f>
        <v>0.75012521055284043</v>
      </c>
      <c r="BY123" s="1188">
        <f>'2021'!R\Max</f>
        <v>0.95649761480194906</v>
      </c>
      <c r="BZ123" s="1188">
        <f>'2022'!R\Max</f>
        <v>0.16056641414402592</v>
      </c>
      <c r="CA123" s="1188">
        <f>'2023'!R\Max</f>
        <v>0.16056638596909512</v>
      </c>
      <c r="CB123" s="1188">
        <f>'2024'!R\Max</f>
        <v>0.16056635767533617</v>
      </c>
      <c r="CC123" s="1188">
        <f>'2025'!R\Max</f>
        <v>0.16056632834186851</v>
      </c>
      <c r="CD123" s="1188">
        <f>'2026'!R\Max</f>
        <v>0.16056649081816074</v>
      </c>
      <c r="CE123" s="1189">
        <f>'2027'!R\Max</f>
        <v>0.16056646974360395</v>
      </c>
      <c r="CF123" s="1191">
        <f>'2028'!R\Max</f>
        <v>0.16056644267699755</v>
      </c>
    </row>
    <row r="124" spans="1:84" s="6" customFormat="1" ht="11.25" x14ac:dyDescent="0.2">
      <c r="A124" s="11">
        <v>43210</v>
      </c>
      <c r="B124" s="379">
        <f>'2023'!Maxi_hp</f>
        <v>57.174498343837172</v>
      </c>
      <c r="C124" s="13">
        <f>'2023'!An_max</f>
        <v>2018</v>
      </c>
      <c r="D124" s="1045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73">
        <f t="shared" si="61"/>
        <v>43206</v>
      </c>
      <c r="I124" s="742">
        <f t="shared" si="62"/>
        <v>0.2857142857142857</v>
      </c>
      <c r="J124" s="735">
        <f t="shared" si="63"/>
        <v>61.411447522469928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38">
        <v>43210</v>
      </c>
      <c r="AP124" s="13">
        <f t="shared" si="64"/>
        <v>5</v>
      </c>
      <c r="AQ124" s="13">
        <f t="shared" si="65"/>
        <v>6</v>
      </c>
      <c r="AR124" s="173">
        <f t="shared" si="66"/>
        <v>43192</v>
      </c>
      <c r="AS124" s="742">
        <f t="shared" si="67"/>
        <v>0.6428571428571429</v>
      </c>
      <c r="AT124" s="758">
        <f t="shared" si="68"/>
        <v>61.286078989878298</v>
      </c>
      <c r="AU124" s="13">
        <f t="shared" si="69"/>
        <v>5</v>
      </c>
      <c r="AV124" s="13">
        <f t="shared" si="70"/>
        <v>6</v>
      </c>
      <c r="AW124" s="173">
        <f t="shared" si="71"/>
        <v>43206</v>
      </c>
      <c r="AX124" s="742">
        <f t="shared" si="72"/>
        <v>0.14285714285714285</v>
      </c>
      <c r="AY124" s="758">
        <f t="shared" si="73"/>
        <v>61.452225946954322</v>
      </c>
      <c r="AZ124" s="735">
        <f t="shared" si="77"/>
        <v>61.36915246841631</v>
      </c>
      <c r="BA124" s="633">
        <f t="shared" si="74"/>
        <v>0.93100717619329043</v>
      </c>
      <c r="BC124" s="11">
        <v>43210</v>
      </c>
      <c r="BD124" s="289">
        <f>[2]!FeuilCaduc*(1-Persistant)+Persistant</f>
        <v>0.56638849978262629</v>
      </c>
      <c r="BE124" s="290">
        <f>[2]!CroissVégét</f>
        <v>0.10829322666502313</v>
      </c>
      <c r="BF124" s="804">
        <f>1+[2]!Salcycl*Ksac</f>
        <v>1.0066388499782626</v>
      </c>
      <c r="BH124" s="1036">
        <f t="shared" si="75"/>
        <v>1.6210579985268701E-3</v>
      </c>
      <c r="BI124" s="11">
        <v>44306</v>
      </c>
      <c r="BJ124" s="715">
        <v>1.6160412424418673E-3</v>
      </c>
      <c r="BK124" s="715">
        <v>1.6160412424418671E-3</v>
      </c>
      <c r="BL124" s="715">
        <v>1.6166525351154909E-3</v>
      </c>
      <c r="BM124" s="715">
        <v>1.618992720263863E-3</v>
      </c>
      <c r="BN124" s="715">
        <v>1.6231306212511635E-3</v>
      </c>
      <c r="BO124" s="716">
        <v>1.6285268329146235E-3</v>
      </c>
      <c r="BP124" s="715">
        <v>1.6341388391765607E-3</v>
      </c>
      <c r="BQ124" s="715">
        <v>1.6399762332907006E-3</v>
      </c>
      <c r="BR124" s="715">
        <v>1.6460490186191153E-3</v>
      </c>
      <c r="BS124" s="715">
        <v>1.6523676226606072E-3</v>
      </c>
      <c r="BT124" s="715">
        <v>1.6588536287972704E-3</v>
      </c>
      <c r="BW124" s="1188">
        <f>'2019'!R\Max</f>
        <v>0.93100717619329043</v>
      </c>
      <c r="BX124" s="1188">
        <f>'2020'!R\Max</f>
        <v>0.30755505769517855</v>
      </c>
      <c r="BY124" s="1188">
        <f>'2021'!R\Max</f>
        <v>0.7012758574389597</v>
      </c>
      <c r="BZ124" s="1188">
        <f>'2022'!R\Max</f>
        <v>0.16601185471621083</v>
      </c>
      <c r="CA124" s="1188">
        <f>'2023'!R\Max</f>
        <v>0.16601183151630597</v>
      </c>
      <c r="CB124" s="1188">
        <f>'2024'!R\Max</f>
        <v>0.16601180821715344</v>
      </c>
      <c r="CC124" s="1188">
        <f>'2025'!R\Max</f>
        <v>0.1660117840855003</v>
      </c>
      <c r="CD124" s="1188">
        <f>'2026'!R\Max</f>
        <v>0.16601191794183393</v>
      </c>
      <c r="CE124" s="1189">
        <f>'2027'!R\Max</f>
        <v>0.16601190054172493</v>
      </c>
      <c r="CF124" s="1191">
        <f>'2028'!R\Max</f>
        <v>0.16601187823390987</v>
      </c>
    </row>
    <row r="125" spans="1:84" s="6" customFormat="1" ht="11.25" x14ac:dyDescent="0.2">
      <c r="A125" s="11">
        <v>43211</v>
      </c>
      <c r="B125" s="379">
        <f>'2023'!Maxi_hp</f>
        <v>52.981756605548966</v>
      </c>
      <c r="C125" s="13">
        <f>'2023'!An_max</f>
        <v>2021</v>
      </c>
      <c r="D125" s="1045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73">
        <f t="shared" si="61"/>
        <v>43206</v>
      </c>
      <c r="I125" s="742">
        <f t="shared" si="62"/>
        <v>0.35714285714285715</v>
      </c>
      <c r="J125" s="735">
        <f t="shared" si="63"/>
        <v>61.527482962821203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38">
        <v>43211</v>
      </c>
      <c r="AP125" s="13">
        <f t="shared" si="64"/>
        <v>5</v>
      </c>
      <c r="AQ125" s="13">
        <f t="shared" si="65"/>
        <v>6</v>
      </c>
      <c r="AR125" s="173">
        <f t="shared" si="66"/>
        <v>43192</v>
      </c>
      <c r="AS125" s="742">
        <f t="shared" si="67"/>
        <v>0.6785714285714286</v>
      </c>
      <c r="AT125" s="758">
        <f t="shared" si="68"/>
        <v>61.409946599123735</v>
      </c>
      <c r="AU125" s="13">
        <f t="shared" si="69"/>
        <v>5</v>
      </c>
      <c r="AV125" s="13">
        <f t="shared" si="70"/>
        <v>6</v>
      </c>
      <c r="AW125" s="173">
        <f t="shared" si="71"/>
        <v>43206</v>
      </c>
      <c r="AX125" s="742">
        <f t="shared" si="72"/>
        <v>0.17857142857142858</v>
      </c>
      <c r="AY125" s="758">
        <f t="shared" si="73"/>
        <v>61.57705378745284</v>
      </c>
      <c r="AZ125" s="735">
        <f t="shared" si="77"/>
        <v>61.493500193288284</v>
      </c>
      <c r="BA125" s="633">
        <f t="shared" si="74"/>
        <v>0.86110716795556053</v>
      </c>
      <c r="BC125" s="11">
        <v>43211</v>
      </c>
      <c r="BD125" s="289">
        <f>[2]!FeuilCaduc*(1-Persistant)+Persistant</f>
        <v>0.57017731071516031</v>
      </c>
      <c r="BE125" s="290">
        <f>[2]!CroissVégét</f>
        <v>0.11237216879596926</v>
      </c>
      <c r="BF125" s="804">
        <f>1+[2]!Salcycl*Ksac</f>
        <v>1.007017731071516</v>
      </c>
      <c r="BH125" s="1036">
        <f t="shared" si="75"/>
        <v>1.6182840983471796E-3</v>
      </c>
      <c r="BI125" s="11">
        <v>44307</v>
      </c>
      <c r="BJ125" s="715">
        <v>1.6143691393665522E-3</v>
      </c>
      <c r="BK125" s="715">
        <v>1.6143691393665524E-3</v>
      </c>
      <c r="BL125" s="715">
        <v>1.6148464891351793E-3</v>
      </c>
      <c r="BM125" s="715">
        <v>1.616672994950404E-3</v>
      </c>
      <c r="BN125" s="715">
        <v>1.6199009310864552E-3</v>
      </c>
      <c r="BO125" s="716">
        <v>1.624107496981242E-3</v>
      </c>
      <c r="BP125" s="715">
        <v>1.6284778067248717E-3</v>
      </c>
      <c r="BQ125" s="715">
        <v>1.6330189771211097E-3</v>
      </c>
      <c r="BR125" s="715">
        <v>1.6377384236658194E-3</v>
      </c>
      <c r="BS125" s="715">
        <v>1.6426438706404151E-3</v>
      </c>
      <c r="BT125" s="715">
        <v>1.6476759269669035E-3</v>
      </c>
      <c r="BW125" s="1188">
        <f>'2019'!R\Max</f>
        <v>0.31575998388686682</v>
      </c>
      <c r="BX125" s="1188">
        <f>'2020'!R\Max</f>
        <v>0.24721903128030129</v>
      </c>
      <c r="BY125" s="1188">
        <f>'2021'!R\Max</f>
        <v>0.86110716795556053</v>
      </c>
      <c r="BZ125" s="1188">
        <f>'2022'!R\Max</f>
        <v>0.15770121971944992</v>
      </c>
      <c r="CA125" s="1188">
        <f>'2023'!R\Max</f>
        <v>0.1577012024748993</v>
      </c>
      <c r="CB125" s="1188">
        <f>'2024'!R\Max</f>
        <v>0.15770118515578571</v>
      </c>
      <c r="CC125" s="1188">
        <f>'2025'!R\Max</f>
        <v>0.157701167237046</v>
      </c>
      <c r="CD125" s="1188">
        <f>'2026'!R\Max</f>
        <v>0.15770126678833529</v>
      </c>
      <c r="CE125" s="1189">
        <f>'2027'!R\Max</f>
        <v>0.15770125381732153</v>
      </c>
      <c r="CF125" s="1191">
        <f>'2028'!R\Max</f>
        <v>0.15770123721887822</v>
      </c>
    </row>
    <row r="126" spans="1:84" s="6" customFormat="1" ht="11.25" x14ac:dyDescent="0.2">
      <c r="A126" s="11">
        <v>43212</v>
      </c>
      <c r="B126" s="379">
        <f>'2023'!Maxi_hp</f>
        <v>60.779702375651659</v>
      </c>
      <c r="C126" s="13">
        <f>'2023'!An_max</f>
        <v>2021</v>
      </c>
      <c r="D126" s="1045">
        <f t="shared" si="59"/>
        <v>0.9860885498108426</v>
      </c>
      <c r="E126" s="13"/>
      <c r="F126" s="13">
        <f t="shared" si="76"/>
        <v>9</v>
      </c>
      <c r="G126" s="13">
        <f t="shared" si="60"/>
        <v>10</v>
      </c>
      <c r="H126" s="173">
        <f t="shared" si="61"/>
        <v>43206</v>
      </c>
      <c r="I126" s="742">
        <f t="shared" si="62"/>
        <v>0.42857142857142855</v>
      </c>
      <c r="J126" s="735">
        <f t="shared" si="63"/>
        <v>61.637164722489459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38">
        <v>43212</v>
      </c>
      <c r="AP126" s="13">
        <f t="shared" si="64"/>
        <v>5</v>
      </c>
      <c r="AQ126" s="13">
        <f t="shared" si="65"/>
        <v>6</v>
      </c>
      <c r="AR126" s="173">
        <f t="shared" si="66"/>
        <v>43192</v>
      </c>
      <c r="AS126" s="742">
        <f t="shared" si="67"/>
        <v>0.7142857142857143</v>
      </c>
      <c r="AT126" s="758">
        <f t="shared" si="68"/>
        <v>61.529475218164066</v>
      </c>
      <c r="AU126" s="13">
        <f t="shared" si="69"/>
        <v>5</v>
      </c>
      <c r="AV126" s="13">
        <f t="shared" si="70"/>
        <v>6</v>
      </c>
      <c r="AW126" s="173">
        <f t="shared" si="71"/>
        <v>43206</v>
      </c>
      <c r="AX126" s="742">
        <f t="shared" si="72"/>
        <v>0.21428571428571427</v>
      </c>
      <c r="AY126" s="758">
        <f t="shared" si="73"/>
        <v>61.694509383982847</v>
      </c>
      <c r="AZ126" s="735">
        <f t="shared" si="77"/>
        <v>61.611992301073457</v>
      </c>
      <c r="BA126" s="633">
        <f t="shared" si="74"/>
        <v>0.9860885498108426</v>
      </c>
      <c r="BC126" s="11">
        <v>43212</v>
      </c>
      <c r="BD126" s="289">
        <f>[2]!FeuilCaduc*(1-Persistant)+Persistant</f>
        <v>0.57410725804646978</v>
      </c>
      <c r="BE126" s="290">
        <f>[2]!CroissVégét</f>
        <v>0.11658273588973417</v>
      </c>
      <c r="BF126" s="804">
        <f>1+[2]!Salcycl*Ksac</f>
        <v>1.007410725804647</v>
      </c>
      <c r="BH126" s="1036">
        <f t="shared" si="75"/>
        <v>1.6165533398354638E-3</v>
      </c>
      <c r="BI126" s="11">
        <v>44308</v>
      </c>
      <c r="BJ126" s="715">
        <v>1.6135434139838078E-3</v>
      </c>
      <c r="BK126" s="715">
        <v>1.6135434139838078E-3</v>
      </c>
      <c r="BL126" s="715">
        <v>1.6139106549881317E-3</v>
      </c>
      <c r="BM126" s="715">
        <v>1.6153151392903329E-3</v>
      </c>
      <c r="BN126" s="715">
        <v>1.6177959436206475E-3</v>
      </c>
      <c r="BO126" s="716">
        <v>1.6210265624824118E-3</v>
      </c>
      <c r="BP126" s="715">
        <v>1.6243794565470478E-3</v>
      </c>
      <c r="BQ126" s="715">
        <v>1.6278598105185869E-3</v>
      </c>
      <c r="BR126" s="715">
        <v>1.6314730221716174E-3</v>
      </c>
      <c r="BS126" s="715">
        <v>1.6352247094484473E-3</v>
      </c>
      <c r="BT126" s="715">
        <v>1.6390706109148084E-3</v>
      </c>
      <c r="BW126" s="1188">
        <f>'2019'!R\Max</f>
        <v>0.55134245330699327</v>
      </c>
      <c r="BX126" s="1188">
        <f>'2020'!R\Max</f>
        <v>0.26155732502525048</v>
      </c>
      <c r="BY126" s="1188">
        <f>'2021'!R\Max</f>
        <v>0.9860885498108426</v>
      </c>
      <c r="BZ126" s="1188">
        <f>'2022'!R\Max</f>
        <v>0.45524665765185562</v>
      </c>
      <c r="CA126" s="1188">
        <f>'2023'!R\Max</f>
        <v>0.45524662777859631</v>
      </c>
      <c r="CB126" s="1188">
        <f>'2024'!R\Max</f>
        <v>0.45524659777495768</v>
      </c>
      <c r="CC126" s="1188">
        <f>'2025'!R\Max</f>
        <v>0.45524656676606723</v>
      </c>
      <c r="CD126" s="1188">
        <f>'2026'!R\Max</f>
        <v>0.4552467393194024</v>
      </c>
      <c r="CE126" s="1189">
        <f>'2027'!R\Max</f>
        <v>0.45524671678308376</v>
      </c>
      <c r="CF126" s="1191">
        <f>'2028'!R\Max</f>
        <v>0.45524668799926127</v>
      </c>
    </row>
    <row r="127" spans="1:84" s="6" customFormat="1" ht="11.25" x14ac:dyDescent="0.2">
      <c r="A127" s="11">
        <v>43213</v>
      </c>
      <c r="B127" s="379">
        <f>'2023'!Maxi_hp</f>
        <v>61.484717168911814</v>
      </c>
      <c r="C127" s="13">
        <f>'2023'!An_max</f>
        <v>2021</v>
      </c>
      <c r="D127" s="1045">
        <f t="shared" si="59"/>
        <v>0.99584856171197589</v>
      </c>
      <c r="E127" s="13"/>
      <c r="F127" s="13">
        <f t="shared" si="76"/>
        <v>9</v>
      </c>
      <c r="G127" s="13">
        <f t="shared" si="60"/>
        <v>10</v>
      </c>
      <c r="H127" s="173">
        <f t="shared" si="61"/>
        <v>43206</v>
      </c>
      <c r="I127" s="742">
        <f t="shared" si="62"/>
        <v>0.5</v>
      </c>
      <c r="J127" s="735">
        <f t="shared" si="63"/>
        <v>61.741031249985099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38">
        <v>43213</v>
      </c>
      <c r="AP127" s="13">
        <f t="shared" si="64"/>
        <v>5</v>
      </c>
      <c r="AQ127" s="13">
        <f t="shared" si="65"/>
        <v>6</v>
      </c>
      <c r="AR127" s="173">
        <f t="shared" si="66"/>
        <v>43192</v>
      </c>
      <c r="AS127" s="742">
        <f t="shared" si="67"/>
        <v>0.75</v>
      </c>
      <c r="AT127" s="758">
        <f t="shared" si="68"/>
        <v>61.644839843921361</v>
      </c>
      <c r="AU127" s="13">
        <f t="shared" si="69"/>
        <v>5</v>
      </c>
      <c r="AV127" s="13">
        <f t="shared" si="70"/>
        <v>6</v>
      </c>
      <c r="AW127" s="173">
        <f t="shared" si="71"/>
        <v>43206</v>
      </c>
      <c r="AX127" s="742">
        <f t="shared" si="72"/>
        <v>0.25</v>
      </c>
      <c r="AY127" s="758">
        <f t="shared" si="73"/>
        <v>61.804902343545109</v>
      </c>
      <c r="AZ127" s="735">
        <f t="shared" si="77"/>
        <v>61.724871093733235</v>
      </c>
      <c r="BA127" s="633">
        <f t="shared" si="74"/>
        <v>0.99584856171197589</v>
      </c>
      <c r="BC127" s="11">
        <v>43213</v>
      </c>
      <c r="BD127" s="289">
        <f>[2]!FeuilCaduc*(1-Persistant)+Persistant</f>
        <v>0.57817883921308411</v>
      </c>
      <c r="BE127" s="290">
        <f>[2]!CroissVégét</f>
        <v>0.12092767389780094</v>
      </c>
      <c r="BF127" s="804">
        <f>1+[2]!Salcycl*Ksac</f>
        <v>1.0078178839213083</v>
      </c>
      <c r="BH127" s="1036">
        <f t="shared" si="75"/>
        <v>1.6158647594738155E-3</v>
      </c>
      <c r="BI127" s="11">
        <v>44309</v>
      </c>
      <c r="BJ127" s="715">
        <v>1.6135632093307046E-3</v>
      </c>
      <c r="BK127" s="715">
        <v>1.6135632093307046E-3</v>
      </c>
      <c r="BL127" s="715">
        <v>1.6138441628101173E-3</v>
      </c>
      <c r="BM127" s="715">
        <v>1.6149182337885056E-3</v>
      </c>
      <c r="BN127" s="715">
        <v>1.6168146511565198E-3</v>
      </c>
      <c r="BO127" s="716">
        <v>1.6192829059115601E-3</v>
      </c>
      <c r="BP127" s="715">
        <v>1.62184254351028E-3</v>
      </c>
      <c r="BQ127" s="715">
        <v>1.6244973606055759E-3</v>
      </c>
      <c r="BR127" s="715">
        <v>1.6272513070796988E-3</v>
      </c>
      <c r="BS127" s="715">
        <v>1.6301084910832449E-3</v>
      </c>
      <c r="BT127" s="715">
        <v>1.6330358870726672E-3</v>
      </c>
      <c r="BW127" s="1188">
        <f>'2019'!R\Max</f>
        <v>0.62985437550942169</v>
      </c>
      <c r="BX127" s="1188">
        <f>'2020'!R\Max</f>
        <v>0.16359391941017287</v>
      </c>
      <c r="BY127" s="1188">
        <f>'2021'!R\Max</f>
        <v>0.99584856171197589</v>
      </c>
      <c r="BZ127" s="1188">
        <f>'2022'!R\Max</f>
        <v>0.15486535817870697</v>
      </c>
      <c r="CA127" s="1188">
        <f>'2023'!R\Max</f>
        <v>0.15486534815600417</v>
      </c>
      <c r="CB127" s="1188">
        <f>'2024'!R\Max</f>
        <v>0.15486533808889449</v>
      </c>
      <c r="CC127" s="1188">
        <f>'2025'!R\Max</f>
        <v>0.15486532769349998</v>
      </c>
      <c r="CD127" s="1188">
        <f>'2026'!R\Max</f>
        <v>0.15486538561475602</v>
      </c>
      <c r="CE127" s="1189">
        <f>'2027'!R\Max</f>
        <v>0.15486537803411177</v>
      </c>
      <c r="CF127" s="1191">
        <f>'2028'!R\Max</f>
        <v>0.15486536836923423</v>
      </c>
    </row>
    <row r="128" spans="1:84" s="6" customFormat="1" ht="11.25" x14ac:dyDescent="0.2">
      <c r="A128" s="11">
        <v>43214</v>
      </c>
      <c r="B128" s="379">
        <f>'2023'!Maxi_hp</f>
        <v>60.938970338666145</v>
      </c>
      <c r="C128" s="13">
        <f>'2023'!An_max</f>
        <v>2021</v>
      </c>
      <c r="D128" s="1045">
        <f t="shared" si="59"/>
        <v>0.98543570224751686</v>
      </c>
      <c r="E128" s="13"/>
      <c r="F128" s="13">
        <f t="shared" si="76"/>
        <v>9</v>
      </c>
      <c r="G128" s="13">
        <f t="shared" si="60"/>
        <v>10</v>
      </c>
      <c r="H128" s="173">
        <f t="shared" si="61"/>
        <v>43206</v>
      </c>
      <c r="I128" s="742">
        <f t="shared" si="62"/>
        <v>0.5714285714285714</v>
      </c>
      <c r="J128" s="735">
        <f t="shared" si="63"/>
        <v>61.83962099168982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38">
        <v>43214</v>
      </c>
      <c r="AP128" s="13">
        <f t="shared" si="64"/>
        <v>5</v>
      </c>
      <c r="AQ128" s="13">
        <f t="shared" si="65"/>
        <v>6</v>
      </c>
      <c r="AR128" s="173">
        <f t="shared" si="66"/>
        <v>43192</v>
      </c>
      <c r="AS128" s="742">
        <f t="shared" si="67"/>
        <v>0.7857142857142857</v>
      </c>
      <c r="AT128" s="758">
        <f t="shared" si="68"/>
        <v>61.756215470709968</v>
      </c>
      <c r="AU128" s="13">
        <f t="shared" si="69"/>
        <v>5</v>
      </c>
      <c r="AV128" s="13">
        <f t="shared" si="70"/>
        <v>6</v>
      </c>
      <c r="AW128" s="173">
        <f t="shared" si="71"/>
        <v>43206</v>
      </c>
      <c r="AX128" s="742">
        <f t="shared" si="72"/>
        <v>0.2857142857142857</v>
      </c>
      <c r="AY128" s="758">
        <f t="shared" si="73"/>
        <v>61.908542274257968</v>
      </c>
      <c r="AZ128" s="735">
        <f t="shared" si="77"/>
        <v>61.832378872483972</v>
      </c>
      <c r="BA128" s="633">
        <f t="shared" si="74"/>
        <v>0.98543570224751686</v>
      </c>
      <c r="BC128" s="11">
        <v>43214</v>
      </c>
      <c r="BD128" s="289">
        <f>[2]!FeuilCaduc*(1-Persistant)+Persistant</f>
        <v>0.5823923259923296</v>
      </c>
      <c r="BE128" s="290">
        <f>[2]!CroissVégét</f>
        <v>0.12540967267096395</v>
      </c>
      <c r="BF128" s="804">
        <f>1+[2]!Salcycl*Ksac</f>
        <v>1.0082392325992329</v>
      </c>
      <c r="BH128" s="1036">
        <f t="shared" si="75"/>
        <v>1.6159476247824122E-3</v>
      </c>
      <c r="BI128" s="11">
        <v>44310</v>
      </c>
      <c r="BJ128" s="715">
        <v>1.6141579040440746E-3</v>
      </c>
      <c r="BK128" s="715">
        <v>1.6141579040440746E-3</v>
      </c>
      <c r="BL128" s="715">
        <v>1.6143763777845307E-3</v>
      </c>
      <c r="BM128" s="715">
        <v>1.6152115918728362E-3</v>
      </c>
      <c r="BN128" s="715">
        <v>1.6166862751432569E-3</v>
      </c>
      <c r="BO128" s="716">
        <v>1.6186056279480687E-3</v>
      </c>
      <c r="BP128" s="715">
        <v>1.6205960414555779E-3</v>
      </c>
      <c r="BQ128" s="715">
        <v>1.6226604680013856E-3</v>
      </c>
      <c r="BR128" s="715">
        <v>1.6248019790745909E-3</v>
      </c>
      <c r="BS128" s="715">
        <v>1.6270237692361915E-3</v>
      </c>
      <c r="BT128" s="715">
        <v>1.6293001573163197E-3</v>
      </c>
      <c r="BW128" s="1188">
        <f>'2019'!R\Max</f>
        <v>0.85874838898576367</v>
      </c>
      <c r="BX128" s="1188">
        <f>'2020'!R\Max</f>
        <v>0.26987812713088394</v>
      </c>
      <c r="BY128" s="1188">
        <f>'2021'!R\Max</f>
        <v>0.98543570224751686</v>
      </c>
      <c r="BZ128" s="1188">
        <f>'2022'!R\Max</f>
        <v>0.5077233544445019</v>
      </c>
      <c r="CA128" s="1188">
        <f>'2023'!R\Max</f>
        <v>0.5077233363730016</v>
      </c>
      <c r="CB128" s="1188">
        <f>'2024'!R\Max</f>
        <v>0.50772331821842076</v>
      </c>
      <c r="CC128" s="1188">
        <f>'2025'!R\Max</f>
        <v>0.50772329947493522</v>
      </c>
      <c r="CD128" s="1188">
        <f>'2026'!R\Max</f>
        <v>0.50772340393423443</v>
      </c>
      <c r="CE128" s="1189">
        <f>'2027'!R\Max</f>
        <v>0.5077233902478101</v>
      </c>
      <c r="CF128" s="1191">
        <f>'2028'!R\Max</f>
        <v>0.50772337282149027</v>
      </c>
    </row>
    <row r="129" spans="1:84" s="6" customFormat="1" ht="11.25" x14ac:dyDescent="0.2">
      <c r="A129" s="11">
        <v>43215</v>
      </c>
      <c r="B129" s="379">
        <f>'2023'!Maxi_hp</f>
        <v>53.779346350507211</v>
      </c>
      <c r="C129" s="13">
        <f>'2023'!An_max</f>
        <v>2020</v>
      </c>
      <c r="D129" s="1045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73">
        <f t="shared" si="61"/>
        <v>43206</v>
      </c>
      <c r="I129" s="742">
        <f t="shared" si="62"/>
        <v>0.6428571428571429</v>
      </c>
      <c r="J129" s="735">
        <f t="shared" si="63"/>
        <v>61.933472394517494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38">
        <v>43215</v>
      </c>
      <c r="AP129" s="13">
        <f t="shared" si="64"/>
        <v>5</v>
      </c>
      <c r="AQ129" s="13">
        <f t="shared" si="65"/>
        <v>6</v>
      </c>
      <c r="AR129" s="173">
        <f t="shared" si="66"/>
        <v>43192</v>
      </c>
      <c r="AS129" s="742">
        <f t="shared" si="67"/>
        <v>0.8214285714285714</v>
      </c>
      <c r="AT129" s="758">
        <f t="shared" si="68"/>
        <v>61.863777093722355</v>
      </c>
      <c r="AU129" s="13">
        <f t="shared" si="69"/>
        <v>5</v>
      </c>
      <c r="AV129" s="13">
        <f t="shared" si="70"/>
        <v>6</v>
      </c>
      <c r="AW129" s="173">
        <f t="shared" si="71"/>
        <v>43206</v>
      </c>
      <c r="AX129" s="742">
        <f t="shared" si="72"/>
        <v>0.32142857142857145</v>
      </c>
      <c r="AY129" s="758">
        <f t="shared" si="73"/>
        <v>62.005738783188704</v>
      </c>
      <c r="AZ129" s="735">
        <f t="shared" si="77"/>
        <v>61.934757938455533</v>
      </c>
      <c r="BA129" s="633">
        <f t="shared" si="74"/>
        <v>0.8683405640157178</v>
      </c>
      <c r="BC129" s="11">
        <v>43215</v>
      </c>
      <c r="BD129" s="289">
        <f>[2]!FeuilCaduc*(1-Persistant)+Persistant</f>
        <v>0.58674775559897863</v>
      </c>
      <c r="BE129" s="290">
        <f>[2]!CroissVégét</f>
        <v>0.13003135568089563</v>
      </c>
      <c r="BF129" s="804">
        <f>1+[2]!Salcycl*Ksac</f>
        <v>1.0086747755598979</v>
      </c>
      <c r="BH129" s="1036">
        <f t="shared" si="75"/>
        <v>1.6168810897458637E-3</v>
      </c>
      <c r="BI129" s="11">
        <v>44311</v>
      </c>
      <c r="BJ129" s="715">
        <v>1.6155390861450907E-3</v>
      </c>
      <c r="BK129" s="715">
        <v>1.6155390861450909E-3</v>
      </c>
      <c r="BL129" s="715">
        <v>1.6157029064216768E-3</v>
      </c>
      <c r="BM129" s="715">
        <v>1.6163291830747391E-3</v>
      </c>
      <c r="BN129" s="715">
        <v>1.6174349590857733E-3</v>
      </c>
      <c r="BO129" s="716">
        <v>1.6188741659519815E-3</v>
      </c>
      <c r="BP129" s="715">
        <v>1.6203666569517704E-3</v>
      </c>
      <c r="BQ129" s="715">
        <v>1.6219146458634811E-3</v>
      </c>
      <c r="BR129" s="715">
        <v>1.6235204358114729E-3</v>
      </c>
      <c r="BS129" s="715">
        <v>1.6251864222042998E-3</v>
      </c>
      <c r="BT129" s="715">
        <v>1.6268933482821222E-3</v>
      </c>
      <c r="BW129" s="1188">
        <f>'2019'!R\Max</f>
        <v>0.57781207353002695</v>
      </c>
      <c r="BX129" s="1188">
        <f>'2020'!R\Max</f>
        <v>0.8683405640157178</v>
      </c>
      <c r="BY129" s="1188">
        <f>'2021'!R\Max</f>
        <v>0.43165977691073509</v>
      </c>
      <c r="BZ129" s="1188">
        <f>'2022'!R\Max</f>
        <v>0.77101949599650033</v>
      </c>
      <c r="CA129" s="1188">
        <f>'2023'!R\Max</f>
        <v>0.77101948636780837</v>
      </c>
      <c r="CB129" s="1188">
        <f>'2024'!R\Max</f>
        <v>0.77101947669319537</v>
      </c>
      <c r="CC129" s="1188">
        <f>'2025'!R\Max</f>
        <v>0.77101946670646182</v>
      </c>
      <c r="CD129" s="1188">
        <f>'2026'!R\Max</f>
        <v>0.77101952237669757</v>
      </c>
      <c r="CE129" s="1189">
        <f>'2027'!R\Max</f>
        <v>0.77101951507448052</v>
      </c>
      <c r="CF129" s="1191">
        <f>'2028'!R\Max</f>
        <v>0.77101950578954792</v>
      </c>
    </row>
    <row r="130" spans="1:84" s="6" customFormat="1" ht="11.25" x14ac:dyDescent="0.2">
      <c r="A130" s="11">
        <v>43216</v>
      </c>
      <c r="B130" s="379">
        <f>'2023'!Maxi_hp</f>
        <v>58.717250698812563</v>
      </c>
      <c r="C130" s="13">
        <f>'2023'!An_max</f>
        <v>2022</v>
      </c>
      <c r="D130" s="1045" t="str">
        <f t="shared" si="59"/>
        <v/>
      </c>
      <c r="E130" s="13"/>
      <c r="F130" s="13">
        <f t="shared" si="76"/>
        <v>9</v>
      </c>
      <c r="G130" s="13">
        <f t="shared" si="60"/>
        <v>10</v>
      </c>
      <c r="H130" s="173">
        <f t="shared" si="61"/>
        <v>43206</v>
      </c>
      <c r="I130" s="742">
        <f t="shared" si="62"/>
        <v>0.7142857142857143</v>
      </c>
      <c r="J130" s="735">
        <f t="shared" si="63"/>
        <v>62.023123907404283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38">
        <v>43216</v>
      </c>
      <c r="AP130" s="13">
        <f t="shared" si="64"/>
        <v>5</v>
      </c>
      <c r="AQ130" s="13">
        <f t="shared" si="65"/>
        <v>6</v>
      </c>
      <c r="AR130" s="173">
        <f t="shared" si="66"/>
        <v>43192</v>
      </c>
      <c r="AS130" s="742">
        <f t="shared" si="67"/>
        <v>0.8571428571428571</v>
      </c>
      <c r="AT130" s="758">
        <f t="shared" si="68"/>
        <v>61.96769970815096</v>
      </c>
      <c r="AU130" s="13">
        <f t="shared" si="69"/>
        <v>5</v>
      </c>
      <c r="AV130" s="13">
        <f t="shared" si="70"/>
        <v>6</v>
      </c>
      <c r="AW130" s="173">
        <f t="shared" si="71"/>
        <v>43206</v>
      </c>
      <c r="AX130" s="742">
        <f t="shared" si="72"/>
        <v>0.35714285714285715</v>
      </c>
      <c r="AY130" s="758">
        <f t="shared" si="73"/>
        <v>62.096801475435498</v>
      </c>
      <c r="AZ130" s="735">
        <f t="shared" si="77"/>
        <v>62.032250591793229</v>
      </c>
      <c r="BA130" s="633">
        <f t="shared" si="74"/>
        <v>0.94669934372336462</v>
      </c>
      <c r="BC130" s="11">
        <v>43216</v>
      </c>
      <c r="BD130" s="289">
        <f>[2]!FeuilCaduc*(1-Persistant)+Persistant</f>
        <v>0.59124492165785514</v>
      </c>
      <c r="BE130" s="290">
        <f>[2]!CroissVégét</f>
        <v>0.13479526923661356</v>
      </c>
      <c r="BF130" s="804">
        <f>1+[2]!Salcycl*Ksac</f>
        <v>1.0091244921657856</v>
      </c>
      <c r="BH130" s="1036">
        <f t="shared" si="75"/>
        <v>1.6186642306270059E-3</v>
      </c>
      <c r="BI130" s="11">
        <v>44312</v>
      </c>
      <c r="BJ130" s="715">
        <v>1.6177058665095801E-3</v>
      </c>
      <c r="BK130" s="715">
        <v>1.6177058665095801E-3</v>
      </c>
      <c r="BL130" s="715">
        <v>1.6178228553721261E-3</v>
      </c>
      <c r="BM130" s="715">
        <v>1.6182700978918411E-3</v>
      </c>
      <c r="BN130" s="715">
        <v>1.6190597649614934E-3</v>
      </c>
      <c r="BO130" s="716">
        <v>1.6200875447806625E-3</v>
      </c>
      <c r="BP130" s="715">
        <v>1.6211533763618553E-3</v>
      </c>
      <c r="BQ130" s="715">
        <v>1.622258840629091E-3</v>
      </c>
      <c r="BR130" s="715">
        <v>1.6234055823110003E-3</v>
      </c>
      <c r="BS130" s="715">
        <v>1.6245953120390608E-3</v>
      </c>
      <c r="BT130" s="715">
        <v>1.6258142779964854E-3</v>
      </c>
      <c r="BW130" s="1188">
        <f>'2019'!R\Max</f>
        <v>0.46758492410421842</v>
      </c>
      <c r="BX130" s="1188">
        <f>'2020'!R\Max</f>
        <v>0.82064142248219829</v>
      </c>
      <c r="BY130" s="1188">
        <f>'2021'!R\Max</f>
        <v>0.1254459921795682</v>
      </c>
      <c r="BZ130" s="1188">
        <f>'2022'!R\Max</f>
        <v>0.94669934372336462</v>
      </c>
      <c r="CA130" s="1188">
        <f>'2023'!R\Max</f>
        <v>0.94669934174588199</v>
      </c>
      <c r="CB130" s="1188">
        <f>'2024'!R\Max</f>
        <v>0.94669933975861797</v>
      </c>
      <c r="CC130" s="1188">
        <f>'2025'!R\Max</f>
        <v>0.94669933770760295</v>
      </c>
      <c r="CD130" s="1188">
        <f>'2026'!R\Max</f>
        <v>0.94669934914361165</v>
      </c>
      <c r="CE130" s="1189">
        <f>'2027'!R\Max</f>
        <v>0.94669934764182162</v>
      </c>
      <c r="CF130" s="1191">
        <f>'2028'!R\Max</f>
        <v>0.94669934573493819</v>
      </c>
    </row>
    <row r="131" spans="1:84" s="6" customFormat="1" ht="11.25" x14ac:dyDescent="0.2">
      <c r="A131" s="11">
        <v>43217</v>
      </c>
      <c r="B131" s="379">
        <f>'2023'!Maxi_hp</f>
        <v>44.846932850316357</v>
      </c>
      <c r="C131" s="13">
        <f>'2023'!An_max</f>
        <v>2022</v>
      </c>
      <c r="D131" s="1045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73">
        <f t="shared" si="61"/>
        <v>43206</v>
      </c>
      <c r="I131" s="742">
        <f t="shared" si="62"/>
        <v>0.7857142857142857</v>
      </c>
      <c r="J131" s="735">
        <f t="shared" si="63"/>
        <v>62.109113976678678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38">
        <v>43217</v>
      </c>
      <c r="AP131" s="13">
        <f t="shared" si="64"/>
        <v>5</v>
      </c>
      <c r="AQ131" s="13">
        <f t="shared" si="65"/>
        <v>6</v>
      </c>
      <c r="AR131" s="173">
        <f t="shared" si="66"/>
        <v>43192</v>
      </c>
      <c r="AS131" s="742">
        <f t="shared" si="67"/>
        <v>0.8928571428571429</v>
      </c>
      <c r="AT131" s="758">
        <f t="shared" si="68"/>
        <v>62.068158311450055</v>
      </c>
      <c r="AU131" s="13">
        <f t="shared" si="69"/>
        <v>5</v>
      </c>
      <c r="AV131" s="13">
        <f t="shared" si="70"/>
        <v>6</v>
      </c>
      <c r="AW131" s="173">
        <f t="shared" si="71"/>
        <v>43206</v>
      </c>
      <c r="AX131" s="742">
        <f t="shared" si="72"/>
        <v>0.39285714285714285</v>
      </c>
      <c r="AY131" s="758">
        <f t="shared" si="73"/>
        <v>62.182039962030423</v>
      </c>
      <c r="AZ131" s="735">
        <f t="shared" si="77"/>
        <v>62.125099136740239</v>
      </c>
      <c r="BA131" s="633">
        <f t="shared" si="74"/>
        <v>0.7220668590950422</v>
      </c>
      <c r="BC131" s="11">
        <v>43217</v>
      </c>
      <c r="BD131" s="289">
        <f>[2]!FeuilCaduc*(1-Persistant)+Persistant</f>
        <v>0.59588336511359419</v>
      </c>
      <c r="BE131" s="290">
        <f>[2]!CroissVégét</f>
        <v>0.13970387121088346</v>
      </c>
      <c r="BF131" s="804">
        <f>1+[2]!Salcycl*Ksac</f>
        <v>1.0095883365113594</v>
      </c>
      <c r="BH131" s="1036">
        <f t="shared" si="75"/>
        <v>1.6212960957597093E-3</v>
      </c>
      <c r="BI131" s="11">
        <v>44313</v>
      </c>
      <c r="BJ131" s="715">
        <v>1.6206573296877391E-3</v>
      </c>
      <c r="BK131" s="715">
        <v>1.6206573296877391E-3</v>
      </c>
      <c r="BL131" s="715">
        <v>1.6207353047650965E-3</v>
      </c>
      <c r="BM131" s="715">
        <v>1.6210333995521839E-3</v>
      </c>
      <c r="BN131" s="715">
        <v>1.6215597261571505E-3</v>
      </c>
      <c r="BO131" s="716">
        <v>1.6222447589813182E-3</v>
      </c>
      <c r="BP131" s="715">
        <v>1.6229551539555475E-3</v>
      </c>
      <c r="BQ131" s="715">
        <v>1.6236919647927295E-3</v>
      </c>
      <c r="BR131" s="715">
        <v>1.6244562877326223E-3</v>
      </c>
      <c r="BS131" s="715">
        <v>1.6252492629403555E-3</v>
      </c>
      <c r="BT131" s="715">
        <v>1.62606172459489E-3</v>
      </c>
      <c r="BW131" s="1188">
        <f>'2019'!R\Max</f>
        <v>0.45793084193324518</v>
      </c>
      <c r="BX131" s="1188">
        <f>'2020'!R\Max</f>
        <v>0.36885020441804584</v>
      </c>
      <c r="BY131" s="1188">
        <f>'2021'!R\Max</f>
        <v>0.34810001727436413</v>
      </c>
      <c r="BZ131" s="1188">
        <f>'2022'!R\Max</f>
        <v>0.7220668590950422</v>
      </c>
      <c r="CA131" s="1188">
        <f>'2023'!R\Max</f>
        <v>0.72206685381923108</v>
      </c>
      <c r="CB131" s="1188">
        <f>'2024'!R\Max</f>
        <v>0.72206684851636116</v>
      </c>
      <c r="CC131" s="1188">
        <f>'2025'!R\Max</f>
        <v>0.7220668430443703</v>
      </c>
      <c r="CD131" s="1188">
        <f>'2026'!R\Max</f>
        <v>0.72206687356266241</v>
      </c>
      <c r="CE131" s="1189">
        <f>'2027'!R\Max</f>
        <v>0.72206686955018651</v>
      </c>
      <c r="CF131" s="1191">
        <f>'2028'!R\Max</f>
        <v>0.72206686446273005</v>
      </c>
    </row>
    <row r="132" spans="1:84" s="6" customFormat="1" ht="11.25" x14ac:dyDescent="0.2">
      <c r="A132" s="11">
        <v>43218</v>
      </c>
      <c r="B132" s="379">
        <f>'2023'!Maxi_hp</f>
        <v>48.436349706395312</v>
      </c>
      <c r="C132" s="13">
        <f>'2023'!An_max</f>
        <v>2018</v>
      </c>
      <c r="D132" s="1045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73">
        <f t="shared" si="61"/>
        <v>43206</v>
      </c>
      <c r="I132" s="742">
        <f t="shared" si="62"/>
        <v>0.8571428571428571</v>
      </c>
      <c r="J132" s="735">
        <f t="shared" si="63"/>
        <v>62.191981049946364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38">
        <v>43218</v>
      </c>
      <c r="AP132" s="13">
        <f t="shared" si="64"/>
        <v>5</v>
      </c>
      <c r="AQ132" s="13">
        <f t="shared" si="65"/>
        <v>6</v>
      </c>
      <c r="AR132" s="173">
        <f t="shared" si="66"/>
        <v>43192</v>
      </c>
      <c r="AS132" s="742">
        <f t="shared" si="67"/>
        <v>0.9285714285714286</v>
      </c>
      <c r="AT132" s="758">
        <f t="shared" si="68"/>
        <v>62.165327896976045</v>
      </c>
      <c r="AU132" s="13">
        <f t="shared" si="69"/>
        <v>5</v>
      </c>
      <c r="AV132" s="13">
        <f t="shared" si="70"/>
        <v>6</v>
      </c>
      <c r="AW132" s="173">
        <f t="shared" si="71"/>
        <v>43206</v>
      </c>
      <c r="AX132" s="742">
        <f t="shared" si="72"/>
        <v>0.42857142857142855</v>
      </c>
      <c r="AY132" s="758">
        <f t="shared" si="73"/>
        <v>62.261763848311126</v>
      </c>
      <c r="AZ132" s="735">
        <f t="shared" si="77"/>
        <v>62.213545872643586</v>
      </c>
      <c r="BA132" s="633">
        <f t="shared" si="74"/>
        <v>0.778819855690014</v>
      </c>
      <c r="BC132" s="11">
        <v>43218</v>
      </c>
      <c r="BD132" s="289">
        <f>[2]!FeuilCaduc*(1-Persistant)+Persistant</f>
        <v>0.60066236514825999</v>
      </c>
      <c r="BE132" s="290">
        <f>[2]!CroissVégét</f>
        <v>0.14475951929663808</v>
      </c>
      <c r="BF132" s="804">
        <f>1+[2]!Salcycl*Ksac</f>
        <v>1.0100662365148261</v>
      </c>
      <c r="BH132" s="1036">
        <f t="shared" si="75"/>
        <v>1.6247757036827884E-3</v>
      </c>
      <c r="BI132" s="11">
        <v>44314</v>
      </c>
      <c r="BJ132" s="715">
        <v>1.6243925321777829E-3</v>
      </c>
      <c r="BK132" s="715">
        <v>1.6243925321777826E-3</v>
      </c>
      <c r="BL132" s="715">
        <v>1.6244393064650453E-3</v>
      </c>
      <c r="BM132" s="715">
        <v>1.6246181222056035E-3</v>
      </c>
      <c r="BN132" s="715">
        <v>1.6249338455450212E-3</v>
      </c>
      <c r="BO132" s="716">
        <v>1.6253447707173694E-3</v>
      </c>
      <c r="BP132" s="715">
        <v>1.6257709096802353E-3</v>
      </c>
      <c r="BQ132" s="715">
        <v>1.6262128945159621E-3</v>
      </c>
      <c r="BR132" s="715">
        <v>1.6266713828171412E-3</v>
      </c>
      <c r="BS132" s="715">
        <v>1.6271470585255297E-3</v>
      </c>
      <c r="BT132" s="715">
        <v>1.6276344234132216E-3</v>
      </c>
      <c r="BW132" s="1188">
        <f>'2019'!R\Max</f>
        <v>0.778819855690014</v>
      </c>
      <c r="BX132" s="1188">
        <f>'2020'!R\Max</f>
        <v>0.38932129537436061</v>
      </c>
      <c r="BY132" s="1188">
        <f>'2021'!R\Max</f>
        <v>0.27694253003379105</v>
      </c>
      <c r="BZ132" s="1188">
        <f>'2022'!R\Max</f>
        <v>0.40633698973804599</v>
      </c>
      <c r="CA132" s="1188">
        <f>'2023'!R\Max</f>
        <v>0.40633698590857048</v>
      </c>
      <c r="CB132" s="1188">
        <f>'2024'!R\Max</f>
        <v>0.40633698205873442</v>
      </c>
      <c r="CC132" s="1188">
        <f>'2025'!R\Max</f>
        <v>0.40633697808686081</v>
      </c>
      <c r="CD132" s="1188">
        <f>'2026'!R\Max</f>
        <v>0.40633700024446168</v>
      </c>
      <c r="CE132" s="1189">
        <f>'2027'!R\Max</f>
        <v>0.40633699732765943</v>
      </c>
      <c r="CF132" s="1191">
        <f>'2028'!R\Max</f>
        <v>0.40633699363490206</v>
      </c>
    </row>
    <row r="133" spans="1:84" s="6" customFormat="1" ht="11.25" x14ac:dyDescent="0.2">
      <c r="A133" s="11">
        <v>43219</v>
      </c>
      <c r="B133" s="379">
        <f>'2023'!Maxi_hp</f>
        <v>49.060314253198726</v>
      </c>
      <c r="C133" s="13">
        <f>'2023'!An_max</f>
        <v>2018</v>
      </c>
      <c r="D133" s="1045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73">
        <f t="shared" si="61"/>
        <v>43206</v>
      </c>
      <c r="I133" s="742">
        <f t="shared" si="62"/>
        <v>0.9285714285714286</v>
      </c>
      <c r="J133" s="735">
        <f t="shared" si="63"/>
        <v>62.272263574440572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38">
        <v>43219</v>
      </c>
      <c r="AP133" s="13">
        <f t="shared" si="64"/>
        <v>5</v>
      </c>
      <c r="AQ133" s="13">
        <f t="shared" si="65"/>
        <v>6</v>
      </c>
      <c r="AR133" s="173">
        <f t="shared" si="66"/>
        <v>43192</v>
      </c>
      <c r="AS133" s="742">
        <f t="shared" si="67"/>
        <v>0.9642857142857143</v>
      </c>
      <c r="AT133" s="758">
        <f t="shared" si="68"/>
        <v>62.259383461704218</v>
      </c>
      <c r="AU133" s="13">
        <f t="shared" si="69"/>
        <v>5</v>
      </c>
      <c r="AV133" s="13">
        <f t="shared" si="70"/>
        <v>6</v>
      </c>
      <c r="AW133" s="173">
        <f t="shared" si="71"/>
        <v>43206</v>
      </c>
      <c r="AX133" s="742">
        <f t="shared" si="72"/>
        <v>0.4642857142857143</v>
      </c>
      <c r="AY133" s="758">
        <f t="shared" si="73"/>
        <v>62.336282742289562</v>
      </c>
      <c r="AZ133" s="735">
        <f t="shared" si="77"/>
        <v>62.297833101996886</v>
      </c>
      <c r="BA133" s="633">
        <f t="shared" si="74"/>
        <v>0.78783573034167587</v>
      </c>
      <c r="BC133" s="11">
        <v>43219</v>
      </c>
      <c r="BD133" s="289">
        <f>[2]!FeuilCaduc*(1-Persistant)+Persistant</f>
        <v>0.60558093018649406</v>
      </c>
      <c r="BE133" s="290">
        <f>[2]!CroissVégét</f>
        <v>0.14996445881890225</v>
      </c>
      <c r="BF133" s="804">
        <f>1+[2]!Salcycl*Ksac</f>
        <v>1.0105580930186495</v>
      </c>
      <c r="BH133" s="1036">
        <f t="shared" si="75"/>
        <v>1.6291020412575309E-3</v>
      </c>
      <c r="BI133" s="11">
        <v>44315</v>
      </c>
      <c r="BJ133" s="715">
        <v>1.628910500683237E-3</v>
      </c>
      <c r="BK133" s="715">
        <v>1.628910500683237E-3</v>
      </c>
      <c r="BL133" s="715">
        <v>1.6289338823119004E-3</v>
      </c>
      <c r="BM133" s="715">
        <v>1.6290232690987358E-3</v>
      </c>
      <c r="BN133" s="715">
        <v>1.6291810935427774E-3</v>
      </c>
      <c r="BO133" s="716">
        <v>1.6293865076784195E-3</v>
      </c>
      <c r="BP133" s="715">
        <v>1.6295995269155238E-3</v>
      </c>
      <c r="BQ133" s="715">
        <v>1.6298204672207355E-3</v>
      </c>
      <c r="BR133" s="715">
        <v>1.6300496573128161E-3</v>
      </c>
      <c r="BS133" s="715">
        <v>1.6302874390820038E-3</v>
      </c>
      <c r="BT133" s="715">
        <v>1.6305310640626187E-3</v>
      </c>
      <c r="BW133" s="1188">
        <f>'2019'!R\Max</f>
        <v>0.78783573034167587</v>
      </c>
      <c r="BX133" s="1188">
        <f>'2020'!R\Max</f>
        <v>0.5024350221683217</v>
      </c>
      <c r="BY133" s="1188">
        <f>'2021'!R\Max</f>
        <v>0.41658146519910566</v>
      </c>
      <c r="BZ133" s="1188">
        <f>'2022'!R\Max</f>
        <v>0.73646968129493617</v>
      </c>
      <c r="CA133" s="1188">
        <f>'2023'!R\Max</f>
        <v>0.73646967974416588</v>
      </c>
      <c r="CB133" s="1188">
        <f>'2024'!R\Max</f>
        <v>0.73646967818485032</v>
      </c>
      <c r="CC133" s="1188">
        <f>'2025'!R\Max</f>
        <v>0.73646967657641493</v>
      </c>
      <c r="CD133" s="1188">
        <f>'2026'!R\Max</f>
        <v>0.73646968555166714</v>
      </c>
      <c r="CE133" s="1189">
        <f>'2027'!R\Max</f>
        <v>0.73646968436868643</v>
      </c>
      <c r="CF133" s="1191">
        <f>'2028'!R\Max</f>
        <v>0.73646968287328096</v>
      </c>
    </row>
    <row r="134" spans="1:84" s="6" customFormat="1" ht="11.25" x14ac:dyDescent="0.2">
      <c r="A134" s="11">
        <v>43220</v>
      </c>
      <c r="B134" s="379">
        <f>'2023'!Maxi_hp</f>
        <v>62.303261019981171</v>
      </c>
      <c r="C134" s="13">
        <f>'2023'!An_max</f>
        <v>2018</v>
      </c>
      <c r="D134" s="1045">
        <f t="shared" si="59"/>
        <v>0.99924236403827815</v>
      </c>
      <c r="E134" s="1040">
        <f>V$13/10</f>
        <v>62.350499999999997</v>
      </c>
      <c r="F134" s="13">
        <f t="shared" si="76"/>
        <v>11</v>
      </c>
      <c r="G134" s="13">
        <f t="shared" si="60"/>
        <v>10</v>
      </c>
      <c r="H134" s="173">
        <f t="shared" si="61"/>
        <v>43234</v>
      </c>
      <c r="I134" s="742">
        <f t="shared" si="62"/>
        <v>1</v>
      </c>
      <c r="J134" s="735">
        <f t="shared" si="63"/>
        <v>62.35050000101328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38">
        <v>43220</v>
      </c>
      <c r="AP134" s="13">
        <f t="shared" si="64"/>
        <v>7</v>
      </c>
      <c r="AQ134" s="13">
        <f t="shared" si="65"/>
        <v>6</v>
      </c>
      <c r="AR134" s="173">
        <f t="shared" si="66"/>
        <v>43248</v>
      </c>
      <c r="AS134" s="742">
        <f t="shared" si="67"/>
        <v>1</v>
      </c>
      <c r="AT134" s="758">
        <f t="shared" si="68"/>
        <v>62.350500000268219</v>
      </c>
      <c r="AU134" s="13">
        <f t="shared" si="69"/>
        <v>5</v>
      </c>
      <c r="AV134" s="13">
        <f t="shared" si="70"/>
        <v>6</v>
      </c>
      <c r="AW134" s="173">
        <f t="shared" si="71"/>
        <v>43206</v>
      </c>
      <c r="AX134" s="742">
        <f t="shared" si="72"/>
        <v>0.5</v>
      </c>
      <c r="AY134" s="758">
        <f t="shared" si="73"/>
        <v>62.405906249955294</v>
      </c>
      <c r="AZ134" s="735">
        <f t="shared" si="77"/>
        <v>62.378203125111753</v>
      </c>
      <c r="BA134" s="633">
        <f t="shared" si="74"/>
        <v>0.99924236403827815</v>
      </c>
      <c r="BC134" s="11">
        <v>43220</v>
      </c>
      <c r="BD134" s="289">
        <f>[2]!FeuilCaduc*(1-Persistant)+Persistant</f>
        <v>0.61063778907615396</v>
      </c>
      <c r="BE134" s="290">
        <f>[2]!CroissVégét</f>
        <v>0.1553208101334605</v>
      </c>
      <c r="BF134" s="804">
        <f>1+[2]!Salcycl*Ksac</f>
        <v>1.0110637789076153</v>
      </c>
      <c r="BH134" s="1036">
        <f t="shared" si="75"/>
        <v>1.6342740617898419E-3</v>
      </c>
      <c r="BI134" s="11">
        <v>44316</v>
      </c>
      <c r="BJ134" s="715">
        <v>1.6342102303748289E-3</v>
      </c>
      <c r="BK134" s="715">
        <v>1.6342102303748289E-3</v>
      </c>
      <c r="BL134" s="715">
        <v>1.6342180223658908E-3</v>
      </c>
      <c r="BM134" s="715">
        <v>1.6342478107546339E-3</v>
      </c>
      <c r="BN134" s="715">
        <v>1.6343004061779483E-3</v>
      </c>
      <c r="BO134" s="716">
        <v>1.6343688609948453E-3</v>
      </c>
      <c r="BP134" s="715">
        <v>1.6344398502323972E-3</v>
      </c>
      <c r="BQ134" s="715">
        <v>1.6345134791873434E-3</v>
      </c>
      <c r="BR134" s="715">
        <v>1.6345898574061015E-3</v>
      </c>
      <c r="BS134" s="715">
        <v>1.6346690988245187E-3</v>
      </c>
      <c r="BT134" s="715">
        <v>1.634750287508966E-3</v>
      </c>
      <c r="BW134" s="1188">
        <f>'2019'!R\Max</f>
        <v>0.99924236403827815</v>
      </c>
      <c r="BX134" s="1188">
        <f>'2020'!R\Max</f>
        <v>0.90054898608333478</v>
      </c>
      <c r="BY134" s="1188">
        <f>'2021'!R\Max</f>
        <v>0.25046020452510404</v>
      </c>
      <c r="BZ134" s="1188">
        <f>'2022'!R\Max</f>
        <v>0.75387551196997205</v>
      </c>
      <c r="CA134" s="1188">
        <f>'2023'!R\Max</f>
        <v>0.75387551147239951</v>
      </c>
      <c r="CB134" s="1188">
        <f>'2024'!R\Max</f>
        <v>0.75387551097198613</v>
      </c>
      <c r="CC134" s="1188">
        <f>'2025'!R\Max</f>
        <v>0.7538755104559115</v>
      </c>
      <c r="CD134" s="1188">
        <f>'2026'!R\Max</f>
        <v>0.75387551333645608</v>
      </c>
      <c r="CE134" s="1189">
        <f>'2027'!R\Max</f>
        <v>0.7538755129562954</v>
      </c>
      <c r="CF134" s="1191">
        <f>'2028'!R\Max</f>
        <v>0.7538755124764871</v>
      </c>
    </row>
    <row r="135" spans="1:84" s="6" customFormat="1" ht="11.25" x14ac:dyDescent="0.2">
      <c r="A135" s="11">
        <v>43221</v>
      </c>
      <c r="B135" s="379">
        <f>'2023'!Maxi_hp</f>
        <v>58.712576893324226</v>
      </c>
      <c r="C135" s="13">
        <f>'2023'!An_max</f>
        <v>2018</v>
      </c>
      <c r="D135" s="1045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73">
        <f t="shared" si="61"/>
        <v>43234</v>
      </c>
      <c r="I135" s="742">
        <f t="shared" si="62"/>
        <v>0.9285714285714286</v>
      </c>
      <c r="J135" s="735">
        <f t="shared" si="63"/>
        <v>62.425415998670665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38">
        <v>43221</v>
      </c>
      <c r="AP135" s="13">
        <f t="shared" si="64"/>
        <v>7</v>
      </c>
      <c r="AQ135" s="13">
        <f t="shared" si="65"/>
        <v>6</v>
      </c>
      <c r="AR135" s="173">
        <f t="shared" si="66"/>
        <v>43248</v>
      </c>
      <c r="AS135" s="742">
        <f t="shared" si="67"/>
        <v>0.9642857142857143</v>
      </c>
      <c r="AT135" s="758">
        <f t="shared" si="68"/>
        <v>62.437098066655118</v>
      </c>
      <c r="AU135" s="13">
        <f t="shared" si="69"/>
        <v>5</v>
      </c>
      <c r="AV135" s="13">
        <f t="shared" si="70"/>
        <v>6</v>
      </c>
      <c r="AW135" s="173">
        <f t="shared" si="71"/>
        <v>43206</v>
      </c>
      <c r="AX135" s="742">
        <f t="shared" si="72"/>
        <v>0.5357142857142857</v>
      </c>
      <c r="AY135" s="758">
        <f t="shared" si="73"/>
        <v>62.470943980597482</v>
      </c>
      <c r="AZ135" s="735">
        <f t="shared" si="77"/>
        <v>62.454021023626296</v>
      </c>
      <c r="BA135" s="633">
        <f t="shared" si="74"/>
        <v>0.94052359850632783</v>
      </c>
      <c r="BC135" s="11">
        <v>43221</v>
      </c>
      <c r="BD135" s="289">
        <f>[2]!FeuilCaduc*(1-Persistant)+Persistant</f>
        <v>0.6158313825398869</v>
      </c>
      <c r="BE135" s="290">
        <f>[2]!CroissVégét</f>
        <v>0.16083055564958049</v>
      </c>
      <c r="BF135" s="804">
        <f>1+[2]!Salcycl*Ksac</f>
        <v>1.0115831382539886</v>
      </c>
      <c r="BH135" s="1036">
        <f t="shared" si="75"/>
        <v>1.6402906831497475E-3</v>
      </c>
      <c r="BI135" s="11">
        <v>44317</v>
      </c>
      <c r="BJ135" s="715">
        <v>1.6402906831497473E-3</v>
      </c>
      <c r="BK135" s="715">
        <v>1.6402906831497475E-3</v>
      </c>
      <c r="BL135" s="715">
        <v>1.6402906831497475E-3</v>
      </c>
      <c r="BM135" s="715">
        <v>1.6402906831497475E-3</v>
      </c>
      <c r="BN135" s="715">
        <v>1.6402906831497475E-3</v>
      </c>
      <c r="BO135" s="716">
        <v>1.6402906831497475E-3</v>
      </c>
      <c r="BP135" s="715">
        <v>1.6402906831497475E-3</v>
      </c>
      <c r="BQ135" s="715">
        <v>1.6402906831497475E-3</v>
      </c>
      <c r="BR135" s="715">
        <v>1.6402906831497475E-3</v>
      </c>
      <c r="BS135" s="715">
        <v>1.6402906831497475E-3</v>
      </c>
      <c r="BT135" s="715">
        <v>1.6402906831497473E-3</v>
      </c>
      <c r="BW135" s="1188">
        <f>'2019'!R\Max</f>
        <v>0.94052359850632783</v>
      </c>
      <c r="BX135" s="1188">
        <f>'2020'!R\Max</f>
        <v>0.70865343993659546</v>
      </c>
      <c r="BY135" s="1188">
        <f>'2021'!R\Max</f>
        <v>0.30043679695085124</v>
      </c>
      <c r="BZ135" s="1188">
        <f>'2022'!R\Max</f>
        <v>0.81624045075881102</v>
      </c>
      <c r="CA135" s="1188">
        <f>'2023'!R\Max</f>
        <v>0.81624045075881102</v>
      </c>
      <c r="CB135" s="1188">
        <f>'2024'!R\Max</f>
        <v>0.81624045075881102</v>
      </c>
      <c r="CC135" s="1188">
        <f>'2025'!R\Max</f>
        <v>0.81624045075881102</v>
      </c>
      <c r="CD135" s="1188">
        <f>'2026'!R\Max</f>
        <v>0.81624045075881102</v>
      </c>
      <c r="CE135" s="1189">
        <f>'2027'!R\Max</f>
        <v>0.81624045075881102</v>
      </c>
      <c r="CF135" s="1191">
        <f>'2028'!R\Max</f>
        <v>0.81624045075881102</v>
      </c>
    </row>
    <row r="136" spans="1:84" s="6" customFormat="1" ht="11.25" x14ac:dyDescent="0.2">
      <c r="A136" s="11">
        <v>43222</v>
      </c>
      <c r="B136" s="379">
        <f>'2023'!Maxi_hp</f>
        <v>48.58732792238655</v>
      </c>
      <c r="C136" s="13">
        <f>'2023'!An_max</f>
        <v>2021</v>
      </c>
      <c r="D136" s="1045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73">
        <f t="shared" si="61"/>
        <v>43234</v>
      </c>
      <c r="I136" s="742">
        <f t="shared" si="62"/>
        <v>0.8571428571428571</v>
      </c>
      <c r="J136" s="735">
        <f t="shared" si="63"/>
        <v>62.495521865572258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38">
        <v>43222</v>
      </c>
      <c r="AP136" s="13">
        <f t="shared" si="64"/>
        <v>7</v>
      </c>
      <c r="AQ136" s="13">
        <f t="shared" si="65"/>
        <v>6</v>
      </c>
      <c r="AR136" s="173">
        <f t="shared" si="66"/>
        <v>43248</v>
      </c>
      <c r="AS136" s="742">
        <f t="shared" si="67"/>
        <v>0.9285714285714286</v>
      </c>
      <c r="AT136" s="758">
        <f t="shared" si="68"/>
        <v>62.517616162316088</v>
      </c>
      <c r="AU136" s="13">
        <f t="shared" si="69"/>
        <v>5</v>
      </c>
      <c r="AV136" s="13">
        <f t="shared" si="70"/>
        <v>6</v>
      </c>
      <c r="AW136" s="173">
        <f t="shared" si="71"/>
        <v>43206</v>
      </c>
      <c r="AX136" s="742">
        <f t="shared" si="72"/>
        <v>0.5714285714285714</v>
      </c>
      <c r="AY136" s="758">
        <f t="shared" si="73"/>
        <v>62.531705538822074</v>
      </c>
      <c r="AZ136" s="735">
        <f t="shared" si="77"/>
        <v>62.524660850569077</v>
      </c>
      <c r="BA136" s="633">
        <f t="shared" si="74"/>
        <v>0.77745295137942516</v>
      </c>
      <c r="BC136" s="11">
        <v>43222</v>
      </c>
      <c r="BD136" s="289">
        <f>[2]!FeuilCaduc*(1-Persistant)+Persistant</f>
        <v>0.62115985499963711</v>
      </c>
      <c r="BE136" s="290">
        <f>[2]!CroissVégét</f>
        <v>0.16649552652045066</v>
      </c>
      <c r="BF136" s="804">
        <f>1+[2]!Salcycl*Ksac</f>
        <v>1.0121159854999637</v>
      </c>
      <c r="BH136" s="1036">
        <f t="shared" si="75"/>
        <v>1.6484052530507732E-3</v>
      </c>
      <c r="BI136" s="11">
        <v>44318</v>
      </c>
      <c r="BJ136" s="715">
        <v>1.648405253050773E-3</v>
      </c>
      <c r="BK136" s="715">
        <v>1.6484052530507732E-3</v>
      </c>
      <c r="BL136" s="715">
        <v>1.6484052530507732E-3</v>
      </c>
      <c r="BM136" s="715">
        <v>1.6484052530507732E-3</v>
      </c>
      <c r="BN136" s="715">
        <v>1.6484052530507732E-3</v>
      </c>
      <c r="BO136" s="716">
        <v>1.6484052530507732E-3</v>
      </c>
      <c r="BP136" s="715">
        <v>1.6484052530507732E-3</v>
      </c>
      <c r="BQ136" s="715">
        <v>1.6484052530507732E-3</v>
      </c>
      <c r="BR136" s="715">
        <v>1.6484052530507732E-3</v>
      </c>
      <c r="BS136" s="715">
        <v>1.6484052530507732E-3</v>
      </c>
      <c r="BT136" s="715">
        <v>1.648405253050773E-3</v>
      </c>
      <c r="BW136" s="1188">
        <f>'2019'!R\Max</f>
        <v>0.51059861723620714</v>
      </c>
      <c r="BX136" s="1188">
        <f>'2020'!R\Max</f>
        <v>0.35892079469404281</v>
      </c>
      <c r="BY136" s="1188">
        <f>'2021'!R\Max</f>
        <v>0.77745295137942516</v>
      </c>
      <c r="BZ136" s="1188">
        <f>'2022'!R\Max</f>
        <v>0.50525823485500121</v>
      </c>
      <c r="CA136" s="1188">
        <f>'2023'!R\Max</f>
        <v>0.5052582348550011</v>
      </c>
      <c r="CB136" s="1188">
        <f>'2024'!R\Max</f>
        <v>0.5052582348550011</v>
      </c>
      <c r="CC136" s="1188">
        <f>'2025'!R\Max</f>
        <v>0.5052582348550011</v>
      </c>
      <c r="CD136" s="1188">
        <f>'2026'!R\Max</f>
        <v>0.5052582348550011</v>
      </c>
      <c r="CE136" s="1189">
        <f>'2027'!R\Max</f>
        <v>0.5052582348550011</v>
      </c>
      <c r="CF136" s="1191">
        <f>'2028'!R\Max</f>
        <v>0.5052582348550011</v>
      </c>
    </row>
    <row r="137" spans="1:84" s="6" customFormat="1" ht="11.25" x14ac:dyDescent="0.2">
      <c r="A137" s="11">
        <v>43223</v>
      </c>
      <c r="B137" s="379">
        <f>'2023'!Maxi_hp</f>
        <v>60.66641025918041</v>
      </c>
      <c r="C137" s="13">
        <f>'2023'!An_max</f>
        <v>2021</v>
      </c>
      <c r="D137" s="1045" t="str">
        <f t="shared" si="59"/>
        <v/>
      </c>
      <c r="E137" s="13"/>
      <c r="F137" s="13">
        <f t="shared" si="76"/>
        <v>11</v>
      </c>
      <c r="G137" s="13">
        <f t="shared" si="60"/>
        <v>10</v>
      </c>
      <c r="H137" s="173">
        <f t="shared" si="61"/>
        <v>43234</v>
      </c>
      <c r="I137" s="742">
        <f t="shared" si="62"/>
        <v>0.7857142857142857</v>
      </c>
      <c r="J137" s="735">
        <f t="shared" si="63"/>
        <v>62.56103298179805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38">
        <v>43223</v>
      </c>
      <c r="AP137" s="13">
        <f t="shared" si="64"/>
        <v>7</v>
      </c>
      <c r="AQ137" s="13">
        <f t="shared" si="65"/>
        <v>6</v>
      </c>
      <c r="AR137" s="173">
        <f t="shared" si="66"/>
        <v>43248</v>
      </c>
      <c r="AS137" s="742">
        <f t="shared" si="67"/>
        <v>0.8928571428571429</v>
      </c>
      <c r="AT137" s="758">
        <f t="shared" si="68"/>
        <v>62.592256206553429</v>
      </c>
      <c r="AU137" s="13">
        <f t="shared" si="69"/>
        <v>5</v>
      </c>
      <c r="AV137" s="13">
        <f t="shared" si="70"/>
        <v>6</v>
      </c>
      <c r="AW137" s="173">
        <f t="shared" si="71"/>
        <v>43206</v>
      </c>
      <c r="AX137" s="742">
        <f t="shared" si="72"/>
        <v>0.6071428571428571</v>
      </c>
      <c r="AY137" s="758">
        <f t="shared" si="73"/>
        <v>62.588500535501431</v>
      </c>
      <c r="AZ137" s="735">
        <f t="shared" si="77"/>
        <v>62.590378371027427</v>
      </c>
      <c r="BA137" s="633">
        <f t="shared" si="74"/>
        <v>0.96971560998411144</v>
      </c>
      <c r="BC137" s="11">
        <v>43223</v>
      </c>
      <c r="BD137" s="289">
        <f>[2]!FeuilCaduc*(1-Persistant)+Persistant</f>
        <v>0.62662104688158959</v>
      </c>
      <c r="BE137" s="290">
        <f>[2]!CroissVégét</f>
        <v>0.1723173890515782</v>
      </c>
      <c r="BF137" s="804">
        <f>1+[2]!Salcycl*Ksac</f>
        <v>1.012662104688159</v>
      </c>
      <c r="BH137" s="1036">
        <f t="shared" si="75"/>
        <v>1.6574893937137969E-3</v>
      </c>
      <c r="BI137" s="11">
        <v>44319</v>
      </c>
      <c r="BJ137" s="715">
        <v>1.6574893937137969E-3</v>
      </c>
      <c r="BK137" s="715">
        <v>1.6574893937137969E-3</v>
      </c>
      <c r="BL137" s="715">
        <v>1.6574893937137969E-3</v>
      </c>
      <c r="BM137" s="715">
        <v>1.6574893937137969E-3</v>
      </c>
      <c r="BN137" s="715">
        <v>1.6574893937137969E-3</v>
      </c>
      <c r="BO137" s="716">
        <v>1.6574893937137969E-3</v>
      </c>
      <c r="BP137" s="715">
        <v>1.6574893937137969E-3</v>
      </c>
      <c r="BQ137" s="715">
        <v>1.6574893937137969E-3</v>
      </c>
      <c r="BR137" s="715">
        <v>1.6574893937137969E-3</v>
      </c>
      <c r="BS137" s="715">
        <v>1.6574893937137969E-3</v>
      </c>
      <c r="BT137" s="715">
        <v>1.6574893937137969E-3</v>
      </c>
      <c r="BW137" s="1188">
        <f>'2019'!R\Max</f>
        <v>0.32186671708754427</v>
      </c>
      <c r="BX137" s="1188">
        <f>'2020'!R\Max</f>
        <v>0.54325090516566277</v>
      </c>
      <c r="BY137" s="1188">
        <f>'2021'!R\Max</f>
        <v>0.96971560998411144</v>
      </c>
      <c r="BZ137" s="1188">
        <f>'2022'!R\Max</f>
        <v>0.6605188059649213</v>
      </c>
      <c r="CA137" s="1188">
        <f>'2023'!R\Max</f>
        <v>0.6605188059649213</v>
      </c>
      <c r="CB137" s="1188">
        <f>'2024'!R\Max</f>
        <v>0.66051880596492141</v>
      </c>
      <c r="CC137" s="1188">
        <f>'2025'!R\Max</f>
        <v>0.66051880596492141</v>
      </c>
      <c r="CD137" s="1188">
        <f>'2026'!R\Max</f>
        <v>0.6605188059649213</v>
      </c>
      <c r="CE137" s="1189">
        <f>'2027'!R\Max</f>
        <v>0.6605188059649213</v>
      </c>
      <c r="CF137" s="1191">
        <f>'2028'!R\Max</f>
        <v>0.66051880596492141</v>
      </c>
    </row>
    <row r="138" spans="1:84" s="6" customFormat="1" ht="11.25" x14ac:dyDescent="0.2">
      <c r="A138" s="11">
        <v>43224</v>
      </c>
      <c r="B138" s="379">
        <f>'2023'!Maxi_hp</f>
        <v>53.762353847555971</v>
      </c>
      <c r="C138" s="13">
        <f>'2023'!An_max</f>
        <v>2021</v>
      </c>
      <c r="D138" s="1045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73">
        <f t="shared" si="61"/>
        <v>43234</v>
      </c>
      <c r="I138" s="742">
        <f t="shared" si="62"/>
        <v>0.7142857142857143</v>
      </c>
      <c r="J138" s="735">
        <f t="shared" si="63"/>
        <v>62.622164723596406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38">
        <v>43224</v>
      </c>
      <c r="AP138" s="13">
        <f t="shared" si="64"/>
        <v>7</v>
      </c>
      <c r="AQ138" s="13">
        <f t="shared" si="65"/>
        <v>6</v>
      </c>
      <c r="AR138" s="173">
        <f t="shared" si="66"/>
        <v>43248</v>
      </c>
      <c r="AS138" s="742">
        <f t="shared" si="67"/>
        <v>0.8571428571428571</v>
      </c>
      <c r="AT138" s="758">
        <f t="shared" si="68"/>
        <v>62.661220117019752</v>
      </c>
      <c r="AU138" s="13">
        <f t="shared" si="69"/>
        <v>5</v>
      </c>
      <c r="AV138" s="13">
        <f t="shared" si="70"/>
        <v>6</v>
      </c>
      <c r="AW138" s="173">
        <f t="shared" si="71"/>
        <v>43206</v>
      </c>
      <c r="AX138" s="742">
        <f t="shared" si="72"/>
        <v>0.6428571428571429</v>
      </c>
      <c r="AY138" s="758">
        <f t="shared" si="73"/>
        <v>62.641638574775847</v>
      </c>
      <c r="AZ138" s="735">
        <f t="shared" si="77"/>
        <v>62.651429345897796</v>
      </c>
      <c r="BA138" s="633">
        <f t="shared" si="74"/>
        <v>0.85851956866796075</v>
      </c>
      <c r="BC138" s="11">
        <v>43224</v>
      </c>
      <c r="BD138" s="289">
        <f>[2]!FeuilCaduc*(1-Persistant)+Persistant</f>
        <v>0.63221248751341552</v>
      </c>
      <c r="BE138" s="290">
        <f>[2]!CroissVégét</f>
        <v>0.17829763088415901</v>
      </c>
      <c r="BF138" s="804">
        <f>1+[2]!Salcycl*Ksac</f>
        <v>1.0132212487513415</v>
      </c>
      <c r="BH138" s="1036">
        <f t="shared" si="75"/>
        <v>1.6675417765400732E-3</v>
      </c>
      <c r="BI138" s="11">
        <v>44320</v>
      </c>
      <c r="BJ138" s="715">
        <v>1.6675417765400732E-3</v>
      </c>
      <c r="BK138" s="715">
        <v>1.6675417765400732E-3</v>
      </c>
      <c r="BL138" s="715">
        <v>1.6675417765400732E-3</v>
      </c>
      <c r="BM138" s="715">
        <v>1.6675417765400732E-3</v>
      </c>
      <c r="BN138" s="715">
        <v>1.6675417765400732E-3</v>
      </c>
      <c r="BO138" s="716">
        <v>1.6675417765400732E-3</v>
      </c>
      <c r="BP138" s="715">
        <v>1.6675417765400732E-3</v>
      </c>
      <c r="BQ138" s="715">
        <v>1.6675417765400732E-3</v>
      </c>
      <c r="BR138" s="715">
        <v>1.6675417765400732E-3</v>
      </c>
      <c r="BS138" s="715">
        <v>1.6675417765400732E-3</v>
      </c>
      <c r="BT138" s="715">
        <v>1.6675417765400732E-3</v>
      </c>
      <c r="BW138" s="1188">
        <f>'2019'!R\Max</f>
        <v>0.55758611937170188</v>
      </c>
      <c r="BX138" s="1188">
        <f>'2020'!R\Max</f>
        <v>0.84880216259038188</v>
      </c>
      <c r="BY138" s="1188">
        <f>'2021'!R\Max</f>
        <v>0.85851956866796075</v>
      </c>
      <c r="BZ138" s="1188">
        <f>'2022'!R\Max</f>
        <v>0.35306725952179024</v>
      </c>
      <c r="CA138" s="1188">
        <f>'2023'!R\Max</f>
        <v>0.35306725952179024</v>
      </c>
      <c r="CB138" s="1188">
        <f>'2024'!R\Max</f>
        <v>0.35306725952179024</v>
      </c>
      <c r="CC138" s="1188">
        <f>'2025'!R\Max</f>
        <v>0.35306725952179024</v>
      </c>
      <c r="CD138" s="1188">
        <f>'2026'!R\Max</f>
        <v>0.35306725952179019</v>
      </c>
      <c r="CE138" s="1189">
        <f>'2027'!R\Max</f>
        <v>0.35306725952179019</v>
      </c>
      <c r="CF138" s="1191">
        <f>'2028'!R\Max</f>
        <v>0.35306725952179024</v>
      </c>
    </row>
    <row r="139" spans="1:84" s="6" customFormat="1" ht="11.25" x14ac:dyDescent="0.2">
      <c r="A139" s="11">
        <v>43225</v>
      </c>
      <c r="B139" s="379">
        <f>'2023'!Maxi_hp</f>
        <v>62.195002367063097</v>
      </c>
      <c r="C139" s="13">
        <f>'2023'!An_max</f>
        <v>2020</v>
      </c>
      <c r="D139" s="1045">
        <f t="shared" si="59"/>
        <v>0.99227605608197145</v>
      </c>
      <c r="E139" s="13"/>
      <c r="F139" s="13">
        <f t="shared" si="76"/>
        <v>11</v>
      </c>
      <c r="G139" s="13">
        <f t="shared" si="60"/>
        <v>10</v>
      </c>
      <c r="H139" s="173">
        <f t="shared" si="61"/>
        <v>43234</v>
      </c>
      <c r="I139" s="742">
        <f t="shared" si="62"/>
        <v>0.6428571428571429</v>
      </c>
      <c r="J139" s="735">
        <f t="shared" si="63"/>
        <v>62.679132471100559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38">
        <v>43225</v>
      </c>
      <c r="AP139" s="13">
        <f t="shared" si="64"/>
        <v>7</v>
      </c>
      <c r="AQ139" s="13">
        <f t="shared" si="65"/>
        <v>6</v>
      </c>
      <c r="AR139" s="173">
        <f t="shared" si="66"/>
        <v>43248</v>
      </c>
      <c r="AS139" s="742">
        <f t="shared" si="67"/>
        <v>0.8214285714285714</v>
      </c>
      <c r="AT139" s="758">
        <f t="shared" si="68"/>
        <v>62.724709810383082</v>
      </c>
      <c r="AU139" s="13">
        <f t="shared" si="69"/>
        <v>5</v>
      </c>
      <c r="AV139" s="13">
        <f t="shared" si="70"/>
        <v>6</v>
      </c>
      <c r="AW139" s="173">
        <f t="shared" si="71"/>
        <v>43206</v>
      </c>
      <c r="AX139" s="742">
        <f t="shared" si="72"/>
        <v>0.6785714285714286</v>
      </c>
      <c r="AY139" s="758">
        <f t="shared" si="73"/>
        <v>62.691429266413408</v>
      </c>
      <c r="AZ139" s="735">
        <f t="shared" si="77"/>
        <v>62.708069538398249</v>
      </c>
      <c r="BA139" s="633">
        <f t="shared" si="74"/>
        <v>0.99227605608197145</v>
      </c>
      <c r="BC139" s="11">
        <v>43225</v>
      </c>
      <c r="BD139" s="289">
        <f>[2]!FeuilCaduc*(1-Persistant)+Persistant</f>
        <v>0.63793138872880584</v>
      </c>
      <c r="BE139" s="290">
        <f>[2]!CroissVégét</f>
        <v>0.1844375470173118</v>
      </c>
      <c r="BF139" s="804">
        <f>1+[2]!Salcycl*Ksac</f>
        <v>1.0137931388728807</v>
      </c>
      <c r="BH139" s="1036">
        <f t="shared" si="75"/>
        <v>1.6785610234227204E-3</v>
      </c>
      <c r="BI139" s="11">
        <v>44321</v>
      </c>
      <c r="BJ139" s="715">
        <v>1.6785610234227202E-3</v>
      </c>
      <c r="BK139" s="715">
        <v>1.6785610234227204E-3</v>
      </c>
      <c r="BL139" s="715">
        <v>1.6785610234227204E-3</v>
      </c>
      <c r="BM139" s="715">
        <v>1.6785610234227204E-3</v>
      </c>
      <c r="BN139" s="715">
        <v>1.6785610234227204E-3</v>
      </c>
      <c r="BO139" s="716">
        <v>1.6785610234227204E-3</v>
      </c>
      <c r="BP139" s="715">
        <v>1.6785610234227204E-3</v>
      </c>
      <c r="BQ139" s="715">
        <v>1.6785610234227204E-3</v>
      </c>
      <c r="BR139" s="715">
        <v>1.6785610234227204E-3</v>
      </c>
      <c r="BS139" s="715">
        <v>1.6785610234227204E-3</v>
      </c>
      <c r="BT139" s="715">
        <v>1.6785610234227202E-3</v>
      </c>
      <c r="BW139" s="1188">
        <f>'2019'!R\Max</f>
        <v>0.82159931030141897</v>
      </c>
      <c r="BX139" s="1188">
        <f>'2020'!R\Max</f>
        <v>0.99227605608197145</v>
      </c>
      <c r="BY139" s="1188">
        <f>'2021'!R\Max</f>
        <v>0.54580287987054987</v>
      </c>
      <c r="BZ139" s="1188">
        <f>'2022'!R\Max</f>
        <v>0.73883652213561524</v>
      </c>
      <c r="CA139" s="1188">
        <f>'2023'!R\Max</f>
        <v>0.73883652213561535</v>
      </c>
      <c r="CB139" s="1188">
        <f>'2024'!R\Max</f>
        <v>0.73883652213561535</v>
      </c>
      <c r="CC139" s="1188">
        <f>'2025'!R\Max</f>
        <v>0.73883652213561535</v>
      </c>
      <c r="CD139" s="1188">
        <f>'2026'!R\Max</f>
        <v>0.73883652213561524</v>
      </c>
      <c r="CE139" s="1189">
        <f>'2027'!R\Max</f>
        <v>0.73883652213561535</v>
      </c>
      <c r="CF139" s="1191">
        <f>'2028'!R\Max</f>
        <v>0.73883652213561535</v>
      </c>
    </row>
    <row r="140" spans="1:84" s="6" customFormat="1" ht="11.25" x14ac:dyDescent="0.2">
      <c r="A140" s="11">
        <v>43226</v>
      </c>
      <c r="B140" s="379">
        <f>'2023'!Maxi_hp</f>
        <v>64.219243698545085</v>
      </c>
      <c r="C140" s="13">
        <f>'2023'!An_max</f>
        <v>2018</v>
      </c>
      <c r="D140" s="1045">
        <f t="shared" si="59"/>
        <v>1.0237054214795329</v>
      </c>
      <c r="E140" s="13"/>
      <c r="F140" s="13">
        <f t="shared" si="76"/>
        <v>11</v>
      </c>
      <c r="G140" s="13">
        <f t="shared" si="60"/>
        <v>10</v>
      </c>
      <c r="H140" s="173">
        <f t="shared" si="61"/>
        <v>43234</v>
      </c>
      <c r="I140" s="742">
        <f t="shared" si="62"/>
        <v>0.5714285714285714</v>
      </c>
      <c r="J140" s="735">
        <f t="shared" si="63"/>
        <v>62.732151604443786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38">
        <v>43226</v>
      </c>
      <c r="AP140" s="13">
        <f t="shared" si="64"/>
        <v>7</v>
      </c>
      <c r="AQ140" s="13">
        <f t="shared" si="65"/>
        <v>6</v>
      </c>
      <c r="AR140" s="173">
        <f t="shared" si="66"/>
        <v>43248</v>
      </c>
      <c r="AS140" s="742">
        <f t="shared" si="67"/>
        <v>0.7857142857142857</v>
      </c>
      <c r="AT140" s="758">
        <f t="shared" si="68"/>
        <v>62.782927204881403</v>
      </c>
      <c r="AU140" s="13">
        <f t="shared" si="69"/>
        <v>5</v>
      </c>
      <c r="AV140" s="13">
        <f t="shared" si="70"/>
        <v>6</v>
      </c>
      <c r="AW140" s="173">
        <f t="shared" si="71"/>
        <v>43206</v>
      </c>
      <c r="AX140" s="742">
        <f t="shared" si="72"/>
        <v>0.7142857142857143</v>
      </c>
      <c r="AY140" s="758">
        <f t="shared" si="73"/>
        <v>62.738182215818334</v>
      </c>
      <c r="AZ140" s="735">
        <f t="shared" si="77"/>
        <v>62.760554710349865</v>
      </c>
      <c r="BA140" s="633">
        <f t="shared" si="74"/>
        <v>1.0237054214795329</v>
      </c>
      <c r="BC140" s="11">
        <v>43226</v>
      </c>
      <c r="BD140" s="289">
        <f>[2]!FeuilCaduc*(1-Persistant)+Persistant</f>
        <v>0.64377463929608303</v>
      </c>
      <c r="BE140" s="290">
        <f>[2]!CroissVégét</f>
        <v>0.19073822573999455</v>
      </c>
      <c r="BF140" s="804">
        <f>1+[2]!Salcycl*Ksac</f>
        <v>1.0143774639296084</v>
      </c>
      <c r="BH140" s="1036">
        <f t="shared" si="75"/>
        <v>1.6905457046022295E-3</v>
      </c>
      <c r="BI140" s="11">
        <v>44322</v>
      </c>
      <c r="BJ140" s="715">
        <v>1.6905457046022298E-3</v>
      </c>
      <c r="BK140" s="715">
        <v>1.6905457046022295E-3</v>
      </c>
      <c r="BL140" s="715">
        <v>1.6905457046022295E-3</v>
      </c>
      <c r="BM140" s="715">
        <v>1.6905457046022295E-3</v>
      </c>
      <c r="BN140" s="715">
        <v>1.6905457046022295E-3</v>
      </c>
      <c r="BO140" s="716">
        <v>1.6905457046022295E-3</v>
      </c>
      <c r="BP140" s="715">
        <v>1.6905457046022295E-3</v>
      </c>
      <c r="BQ140" s="715">
        <v>1.6905457046022295E-3</v>
      </c>
      <c r="BR140" s="715">
        <v>1.6905457046022295E-3</v>
      </c>
      <c r="BS140" s="715">
        <v>1.6905457046022295E-3</v>
      </c>
      <c r="BT140" s="715">
        <v>1.6905457046022298E-3</v>
      </c>
      <c r="BW140" s="1188">
        <f>'2019'!R\Max</f>
        <v>1.0237054214795329</v>
      </c>
      <c r="BX140" s="1188">
        <f>'2020'!R\Max</f>
        <v>0.83561412039993188</v>
      </c>
      <c r="BY140" s="1188">
        <f>'2021'!R\Max</f>
        <v>0.61686607793901171</v>
      </c>
      <c r="BZ140" s="1188">
        <f>'2022'!R\Max</f>
        <v>0.70202118603639396</v>
      </c>
      <c r="CA140" s="1188">
        <f>'2023'!R\Max</f>
        <v>0.70202118603639396</v>
      </c>
      <c r="CB140" s="1188">
        <f>'2024'!R\Max</f>
        <v>0.70202118603639385</v>
      </c>
      <c r="CC140" s="1188">
        <f>'2025'!R\Max</f>
        <v>0.70202118603639385</v>
      </c>
      <c r="CD140" s="1188">
        <f>'2026'!R\Max</f>
        <v>0.70202118603639385</v>
      </c>
      <c r="CE140" s="1189">
        <f>'2027'!R\Max</f>
        <v>0.70202118603639385</v>
      </c>
      <c r="CF140" s="1191">
        <f>'2028'!R\Max</f>
        <v>0.70202118603639374</v>
      </c>
    </row>
    <row r="141" spans="1:84" s="6" customFormat="1" ht="11.25" x14ac:dyDescent="0.2">
      <c r="A141" s="11">
        <v>43227</v>
      </c>
      <c r="B141" s="379">
        <f>'2023'!Maxi_hp</f>
        <v>60.265273662889911</v>
      </c>
      <c r="C141" s="13">
        <f>'2023'!An_max</f>
        <v>2020</v>
      </c>
      <c r="D141" s="1045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73">
        <f t="shared" si="61"/>
        <v>43234</v>
      </c>
      <c r="I141" s="742">
        <f t="shared" si="62"/>
        <v>0.5</v>
      </c>
      <c r="J141" s="735">
        <f t="shared" si="63"/>
        <v>62.781437500193718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38">
        <v>43227</v>
      </c>
      <c r="AP141" s="13">
        <f t="shared" si="64"/>
        <v>7</v>
      </c>
      <c r="AQ141" s="13">
        <f t="shared" si="65"/>
        <v>6</v>
      </c>
      <c r="AR141" s="173">
        <f t="shared" si="66"/>
        <v>43248</v>
      </c>
      <c r="AS141" s="742">
        <f t="shared" si="67"/>
        <v>0.75</v>
      </c>
      <c r="AT141" s="758">
        <f t="shared" si="68"/>
        <v>62.836074219271538</v>
      </c>
      <c r="AU141" s="13">
        <f t="shared" si="69"/>
        <v>5</v>
      </c>
      <c r="AV141" s="13">
        <f t="shared" si="70"/>
        <v>6</v>
      </c>
      <c r="AW141" s="173">
        <f t="shared" si="71"/>
        <v>43206</v>
      </c>
      <c r="AX141" s="742">
        <f t="shared" si="72"/>
        <v>0.75</v>
      </c>
      <c r="AY141" s="758">
        <f t="shared" si="73"/>
        <v>62.782207031268626</v>
      </c>
      <c r="AZ141" s="735">
        <f t="shared" si="77"/>
        <v>62.809140625270082</v>
      </c>
      <c r="BA141" s="633">
        <f t="shared" si="74"/>
        <v>0.9599218505104149</v>
      </c>
      <c r="BC141" s="11">
        <v>43227</v>
      </c>
      <c r="BD141" s="289">
        <f>[2]!FeuilCaduc*(1-Persistant)+Persistant</f>
        <v>0.64973880028810904</v>
      </c>
      <c r="BE141" s="290">
        <f>[2]!CroissVégét</f>
        <v>0.19720053455029921</v>
      </c>
      <c r="BF141" s="804">
        <f>1+[2]!Salcycl*Ksac</f>
        <v>1.0149738800288108</v>
      </c>
      <c r="BH141" s="1036">
        <f t="shared" si="75"/>
        <v>1.7034943364987482E-3</v>
      </c>
      <c r="BI141" s="11">
        <v>44323</v>
      </c>
      <c r="BJ141" s="715">
        <v>1.703494336498748E-3</v>
      </c>
      <c r="BK141" s="715">
        <v>1.7034943364987482E-3</v>
      </c>
      <c r="BL141" s="715">
        <v>1.7034943364987482E-3</v>
      </c>
      <c r="BM141" s="715">
        <v>1.7034943364987482E-3</v>
      </c>
      <c r="BN141" s="715">
        <v>1.7034943364987482E-3</v>
      </c>
      <c r="BO141" s="716">
        <v>1.7034943364987482E-3</v>
      </c>
      <c r="BP141" s="715">
        <v>1.7034943364987482E-3</v>
      </c>
      <c r="BQ141" s="715">
        <v>1.7034943364987482E-3</v>
      </c>
      <c r="BR141" s="715">
        <v>1.7034943364987482E-3</v>
      </c>
      <c r="BS141" s="715">
        <v>1.7034943364987482E-3</v>
      </c>
      <c r="BT141" s="715">
        <v>1.703494336498748E-3</v>
      </c>
      <c r="BW141" s="1188">
        <f>'2019'!R\Max</f>
        <v>0.80188146068440358</v>
      </c>
      <c r="BX141" s="1188">
        <f>'2020'!R\Max</f>
        <v>0.9599218505104149</v>
      </c>
      <c r="BY141" s="1188">
        <f>'2021'!R\Max</f>
        <v>0.38854980221002572</v>
      </c>
      <c r="BZ141" s="1188">
        <f>'2022'!R\Max</f>
        <v>0.87208811746012582</v>
      </c>
      <c r="CA141" s="1188">
        <f>'2023'!R\Max</f>
        <v>0.87208811746012593</v>
      </c>
      <c r="CB141" s="1188">
        <f>'2024'!R\Max</f>
        <v>0.87208811746012604</v>
      </c>
      <c r="CC141" s="1188">
        <f>'2025'!R\Max</f>
        <v>0.87208811746012593</v>
      </c>
      <c r="CD141" s="1188">
        <f>'2026'!R\Max</f>
        <v>0.87208811746012604</v>
      </c>
      <c r="CE141" s="1189">
        <f>'2027'!R\Max</f>
        <v>0.87208811746012593</v>
      </c>
      <c r="CF141" s="1191">
        <f>'2028'!R\Max</f>
        <v>0.87208811746012604</v>
      </c>
    </row>
    <row r="142" spans="1:84" s="6" customFormat="1" ht="11.25" x14ac:dyDescent="0.2">
      <c r="A142" s="11">
        <v>43228</v>
      </c>
      <c r="B142" s="379">
        <f>'2023'!Maxi_hp</f>
        <v>60.80360190588106</v>
      </c>
      <c r="C142" s="13">
        <f>'2023'!An_max</f>
        <v>2021</v>
      </c>
      <c r="D142" s="1045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73">
        <f t="shared" si="61"/>
        <v>43234</v>
      </c>
      <c r="I142" s="742">
        <f t="shared" si="62"/>
        <v>0.42857142857142855</v>
      </c>
      <c r="J142" s="735">
        <f t="shared" si="63"/>
        <v>62.82720553970762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38">
        <v>43228</v>
      </c>
      <c r="AP142" s="13">
        <f t="shared" si="64"/>
        <v>7</v>
      </c>
      <c r="AQ142" s="13">
        <f t="shared" si="65"/>
        <v>6</v>
      </c>
      <c r="AR142" s="173">
        <f t="shared" si="66"/>
        <v>43248</v>
      </c>
      <c r="AS142" s="742">
        <f t="shared" si="67"/>
        <v>0.7142857142857143</v>
      </c>
      <c r="AT142" s="758">
        <f t="shared" si="68"/>
        <v>62.884352769489809</v>
      </c>
      <c r="AU142" s="13">
        <f t="shared" si="69"/>
        <v>5</v>
      </c>
      <c r="AV142" s="13">
        <f t="shared" si="70"/>
        <v>6</v>
      </c>
      <c r="AW142" s="173">
        <f t="shared" si="71"/>
        <v>43206</v>
      </c>
      <c r="AX142" s="742">
        <f t="shared" si="72"/>
        <v>0.7857142857142857</v>
      </c>
      <c r="AY142" s="758">
        <f t="shared" si="73"/>
        <v>62.823813319552151</v>
      </c>
      <c r="AZ142" s="735">
        <f t="shared" si="77"/>
        <v>62.854083044520976</v>
      </c>
      <c r="BA142" s="633">
        <f t="shared" si="74"/>
        <v>0.9677909654513025</v>
      </c>
      <c r="BC142" s="11">
        <v>43228</v>
      </c>
      <c r="BD142" s="289">
        <f>[2]!FeuilCaduc*(1-Persistant)+Persistant</f>
        <v>0.65582010150971071</v>
      </c>
      <c r="BE142" s="290">
        <f>[2]!CroissVégét</f>
        <v>0.2038251061465651</v>
      </c>
      <c r="BF142" s="804">
        <f>1+[2]!Salcycl*Ksac</f>
        <v>1.0155820101509712</v>
      </c>
      <c r="BH142" s="1036">
        <f t="shared" si="75"/>
        <v>1.7164891770370019E-3</v>
      </c>
      <c r="BI142" s="11">
        <v>44324</v>
      </c>
      <c r="BJ142" s="715">
        <v>1.7164891770370021E-3</v>
      </c>
      <c r="BK142" s="715">
        <v>1.7164891770370019E-3</v>
      </c>
      <c r="BL142" s="715">
        <v>1.7164891770370019E-3</v>
      </c>
      <c r="BM142" s="715">
        <v>1.7164891770370019E-3</v>
      </c>
      <c r="BN142" s="715">
        <v>1.7164891770370019E-3</v>
      </c>
      <c r="BO142" s="716">
        <v>1.7164891770370019E-3</v>
      </c>
      <c r="BP142" s="715">
        <v>1.7164891770370019E-3</v>
      </c>
      <c r="BQ142" s="715">
        <v>1.7164891770370019E-3</v>
      </c>
      <c r="BR142" s="715">
        <v>1.7164891770370019E-3</v>
      </c>
      <c r="BS142" s="715">
        <v>1.7164891770370019E-3</v>
      </c>
      <c r="BT142" s="715">
        <v>1.7164891770370021E-3</v>
      </c>
      <c r="BW142" s="1188">
        <f>'2019'!R\Max</f>
        <v>0.54575515462955393</v>
      </c>
      <c r="BX142" s="1188">
        <f>'2020'!R\Max</f>
        <v>0.88823366117045399</v>
      </c>
      <c r="BY142" s="1188">
        <f>'2021'!R\Max</f>
        <v>0.9677909654513025</v>
      </c>
      <c r="BZ142" s="1188">
        <f>'2022'!R\Max</f>
        <v>0.85768668978985596</v>
      </c>
      <c r="CA142" s="1188">
        <f>'2023'!R\Max</f>
        <v>0.85768668978985596</v>
      </c>
      <c r="CB142" s="1188">
        <f>'2024'!R\Max</f>
        <v>0.85768668978985596</v>
      </c>
      <c r="CC142" s="1188">
        <f>'2025'!R\Max</f>
        <v>0.85768668978985596</v>
      </c>
      <c r="CD142" s="1188">
        <f>'2026'!R\Max</f>
        <v>0.85768668978985596</v>
      </c>
      <c r="CE142" s="1189">
        <f>'2027'!R\Max</f>
        <v>0.85768668978985596</v>
      </c>
      <c r="CF142" s="1191">
        <f>'2028'!R\Max</f>
        <v>0.85768668978985596</v>
      </c>
    </row>
    <row r="143" spans="1:84" s="6" customFormat="1" ht="11.25" x14ac:dyDescent="0.2">
      <c r="A143" s="11">
        <v>43229</v>
      </c>
      <c r="B143" s="379">
        <f>'2023'!Maxi_hp</f>
        <v>59.415493779908203</v>
      </c>
      <c r="C143" s="13">
        <f>'2023'!An_max</f>
        <v>2023</v>
      </c>
      <c r="D143" s="1045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73">
        <f t="shared" ref="H143:H206" si="80">INDEX(x.2m,F143)</f>
        <v>43234</v>
      </c>
      <c r="I143" s="742">
        <f t="shared" ref="I143:I206" si="81">($A143-H143)/(INDEX(x.2m,G143)-H143)</f>
        <v>0.35714285714285715</v>
      </c>
      <c r="J143" s="735">
        <f t="shared" ref="J143:J206" si="82">((1-I143)*(INDEX(a.m,F143)*$A143*$A143+INDEX(b.m,F143)*$A143+INDEX(c.m,F143))+I143*(INDEX(a.m,G143)*$A143*$A143+INDEX(b.m,G143)*$A143+INDEX(c.m,G143)))/10</f>
        <v>62.869671101628661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38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3">
        <f t="shared" ref="AR143:AR206" si="85">INDEX(x.2lg,AP143)</f>
        <v>43248</v>
      </c>
      <c r="AS143" s="742">
        <f t="shared" ref="AS143:AS206" si="86">($A143-AR143)/(INDEX(x.2lg,AQ143)-AR143)</f>
        <v>0.6785714285714286</v>
      </c>
      <c r="AT143" s="758">
        <f t="shared" ref="AT143:AT206" si="87">((1-AS143)*(INDEX(a.lg,AP143)*$A143*$A143+INDEX(b.lg,AP143)*$A143+INDEX(c.lg,AP143))+AS143*(INDEX(a.lg,AQ143)*$A143*$A143+INDEX(b.lg,AQ143)*$A143+INDEX(c.lg,AQ143)))/10</f>
        <v>62.927964775290874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3">
        <f t="shared" ref="AW143:AW206" si="90">INDEX(x.2ld,AU143)</f>
        <v>43206</v>
      </c>
      <c r="AX143" s="742">
        <f t="shared" ref="AX143:AX206" si="91">($A143-AW143)/(INDEX(x.2ld,AV143)-AW143)</f>
        <v>0.8214285714285714</v>
      </c>
      <c r="AY143" s="758">
        <f t="shared" ref="AY143:AY206" si="92">((1-AX143)*(INDEX(a.ld,AU143)*$A143*$A143+INDEX(b.ld,AU143)*$A143+INDEX(c.ld,AU143))+AX143*(INDEX(a.ld,AV143)*$A143*$A143+INDEX(b.ld,AV143)*$A143+INDEX(c.ld,AV143)))/10</f>
        <v>62.863310689146502</v>
      </c>
      <c r="AZ143" s="735">
        <f t="shared" si="77"/>
        <v>62.895637732218688</v>
      </c>
      <c r="BA143" s="633">
        <f t="shared" ref="BA143:BA206" si="93">+B143/J143</f>
        <v>0.94505812960057023</v>
      </c>
      <c r="BC143" s="11">
        <v>43229</v>
      </c>
      <c r="BD143" s="289">
        <f>[2]!FeuilCaduc*(1-Persistant)+Persistant</f>
        <v>0.6620144390963838</v>
      </c>
      <c r="BE143" s="290">
        <f>[2]!CroissVégét</f>
        <v>0.21061232458125589</v>
      </c>
      <c r="BF143" s="804">
        <f>1+[2]!Salcycl*Ksac</f>
        <v>1.0162014439096383</v>
      </c>
      <c r="BH143" s="1036">
        <f t="shared" ref="BH143:BH206" si="94">INDEX($BJ143:$BT143,,$BH$10)*(1-Ratini)+INDEX($BJ143:$BT143,,$BH$10+1)*Ratini</f>
        <v>1.7297981756858834E-3</v>
      </c>
      <c r="BI143" s="11">
        <v>44325</v>
      </c>
      <c r="BJ143" s="715">
        <v>1.7297981756858834E-3</v>
      </c>
      <c r="BK143" s="715">
        <v>1.7297981756858834E-3</v>
      </c>
      <c r="BL143" s="715">
        <v>1.7297981756858834E-3</v>
      </c>
      <c r="BM143" s="715">
        <v>1.7297981756858834E-3</v>
      </c>
      <c r="BN143" s="715">
        <v>1.7297981756858834E-3</v>
      </c>
      <c r="BO143" s="716">
        <v>1.7297981756858834E-3</v>
      </c>
      <c r="BP143" s="715">
        <v>1.7297981756858834E-3</v>
      </c>
      <c r="BQ143" s="715">
        <v>1.7297981756858834E-3</v>
      </c>
      <c r="BR143" s="715">
        <v>1.7297981756858834E-3</v>
      </c>
      <c r="BS143" s="715">
        <v>1.7297981756858834E-3</v>
      </c>
      <c r="BT143" s="715">
        <v>1.7297981756858834E-3</v>
      </c>
      <c r="BW143" s="1188">
        <f>'2019'!R\Max</f>
        <v>0.79584067739215503</v>
      </c>
      <c r="BX143" s="1188">
        <f>'2020'!R\Max</f>
        <v>0.87094551441459378</v>
      </c>
      <c r="BY143" s="1188">
        <f>'2021'!R\Max</f>
        <v>0.34136669322310093</v>
      </c>
      <c r="BZ143" s="1188">
        <f>'2022'!R\Max</f>
        <v>0.94505812960057012</v>
      </c>
      <c r="CA143" s="1188">
        <f>'2023'!R\Max</f>
        <v>0.94505812960057023</v>
      </c>
      <c r="CB143" s="1188">
        <f>'2024'!R\Max</f>
        <v>0.94505812960057023</v>
      </c>
      <c r="CC143" s="1188">
        <f>'2025'!R\Max</f>
        <v>0.94505812960057023</v>
      </c>
      <c r="CD143" s="1188">
        <f>'2026'!R\Max</f>
        <v>0.94505812960057023</v>
      </c>
      <c r="CE143" s="1189">
        <f>'2027'!R\Max</f>
        <v>0.94505812960057012</v>
      </c>
      <c r="CF143" s="1191">
        <f>'2028'!R\Max</f>
        <v>0.94505812960057012</v>
      </c>
    </row>
    <row r="144" spans="1:84" s="6" customFormat="1" ht="11.25" x14ac:dyDescent="0.2">
      <c r="A144" s="11">
        <v>43230</v>
      </c>
      <c r="B144" s="379">
        <f>'2023'!Maxi_hp</f>
        <v>57.278927759846646</v>
      </c>
      <c r="C144" s="13">
        <f>'2023'!An_max</f>
        <v>2023</v>
      </c>
      <c r="D144" s="1045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73">
        <f t="shared" si="80"/>
        <v>43234</v>
      </c>
      <c r="I144" s="742">
        <f t="shared" si="81"/>
        <v>0.2857142857142857</v>
      </c>
      <c r="J144" s="735">
        <f t="shared" si="82"/>
        <v>62.909049563269534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38">
        <v>43230</v>
      </c>
      <c r="AP144" s="13">
        <f t="shared" si="83"/>
        <v>7</v>
      </c>
      <c r="AQ144" s="13">
        <f t="shared" si="84"/>
        <v>6</v>
      </c>
      <c r="AR144" s="173">
        <f t="shared" si="85"/>
        <v>43248</v>
      </c>
      <c r="AS144" s="742">
        <f t="shared" si="86"/>
        <v>0.6428571428571429</v>
      </c>
      <c r="AT144" s="758">
        <f t="shared" si="87"/>
        <v>62.967112153954801</v>
      </c>
      <c r="AU144" s="13">
        <f t="shared" si="88"/>
        <v>5</v>
      </c>
      <c r="AV144" s="13">
        <f t="shared" si="89"/>
        <v>6</v>
      </c>
      <c r="AW144" s="173">
        <f t="shared" si="90"/>
        <v>43206</v>
      </c>
      <c r="AX144" s="742">
        <f t="shared" si="91"/>
        <v>0.8571428571428571</v>
      </c>
      <c r="AY144" s="758">
        <f t="shared" si="92"/>
        <v>62.901008745815069</v>
      </c>
      <c r="AZ144" s="735">
        <f t="shared" ref="AZ144:AZ207" si="96">(AY144+AT144)/2</f>
        <v>62.934060449884939</v>
      </c>
      <c r="BA144" s="633">
        <f t="shared" si="93"/>
        <v>0.91050378534553278</v>
      </c>
      <c r="BC144" s="11">
        <v>43230</v>
      </c>
      <c r="BD144" s="289">
        <f>[2]!FeuilCaduc*(1-Persistant)+Persistant</f>
        <v>0.66831737439411343</v>
      </c>
      <c r="BE144" s="290">
        <f>[2]!CroissVégét</f>
        <v>0.21756231167469237</v>
      </c>
      <c r="BF144" s="804">
        <f>1+[2]!Salcycl*Ksac</f>
        <v>1.0168317374394114</v>
      </c>
      <c r="BH144" s="1036">
        <f t="shared" si="94"/>
        <v>1.7434203084099036E-3</v>
      </c>
      <c r="BI144" s="11">
        <v>44326</v>
      </c>
      <c r="BJ144" s="715">
        <v>1.7434203084099034E-3</v>
      </c>
      <c r="BK144" s="715">
        <v>1.7434203084099036E-3</v>
      </c>
      <c r="BL144" s="715">
        <v>1.7434203084099036E-3</v>
      </c>
      <c r="BM144" s="715">
        <v>1.7434203084099036E-3</v>
      </c>
      <c r="BN144" s="715">
        <v>1.7434203084099036E-3</v>
      </c>
      <c r="BO144" s="716">
        <v>1.7434203084099036E-3</v>
      </c>
      <c r="BP144" s="715">
        <v>1.7434203084099036E-3</v>
      </c>
      <c r="BQ144" s="715">
        <v>1.7434203084099036E-3</v>
      </c>
      <c r="BR144" s="715">
        <v>1.7434203084099036E-3</v>
      </c>
      <c r="BS144" s="715">
        <v>1.7434203084099036E-3</v>
      </c>
      <c r="BT144" s="715">
        <v>1.7434203084099034E-3</v>
      </c>
      <c r="BW144" s="1188">
        <f>'2019'!R\Max</f>
        <v>0.63883141858255876</v>
      </c>
      <c r="BX144" s="1188">
        <f>'2020'!R\Max</f>
        <v>0.80943664529640835</v>
      </c>
      <c r="BY144" s="1188">
        <f>'2021'!R\Max</f>
        <v>0.68403685828961558</v>
      </c>
      <c r="BZ144" s="1188">
        <f>'2022'!R\Max</f>
        <v>0.91050378534553278</v>
      </c>
      <c r="CA144" s="1188">
        <f>'2023'!R\Max</f>
        <v>0.91050378534553278</v>
      </c>
      <c r="CB144" s="1188">
        <f>'2024'!R\Max</f>
        <v>0.91050378534553278</v>
      </c>
      <c r="CC144" s="1188">
        <f>'2025'!R\Max</f>
        <v>0.91050378534553278</v>
      </c>
      <c r="CD144" s="1188">
        <f>'2026'!R\Max</f>
        <v>0.91050378534553278</v>
      </c>
      <c r="CE144" s="1189">
        <f>'2027'!R\Max</f>
        <v>0.91050378534553278</v>
      </c>
      <c r="CF144" s="1191">
        <f>'2028'!R\Max</f>
        <v>0.91050378534553278</v>
      </c>
    </row>
    <row r="145" spans="1:84" s="6" customFormat="1" ht="11.25" x14ac:dyDescent="0.2">
      <c r="A145" s="11">
        <v>43231</v>
      </c>
      <c r="B145" s="379">
        <f>'2023'!Maxi_hp</f>
        <v>61.396232786922219</v>
      </c>
      <c r="C145" s="13">
        <f>'2023'!An_max</f>
        <v>2023</v>
      </c>
      <c r="D145" s="1045">
        <f t="shared" si="78"/>
        <v>0.97538629238634744</v>
      </c>
      <c r="E145" s="13"/>
      <c r="F145" s="13">
        <f t="shared" si="95"/>
        <v>11</v>
      </c>
      <c r="G145" s="13">
        <f t="shared" si="79"/>
        <v>10</v>
      </c>
      <c r="H145" s="173">
        <f t="shared" si="80"/>
        <v>43234</v>
      </c>
      <c r="I145" s="742">
        <f t="shared" si="81"/>
        <v>0.21428571428571427</v>
      </c>
      <c r="J145" s="735">
        <f t="shared" si="82"/>
        <v>62.945556305402093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38">
        <v>43231</v>
      </c>
      <c r="AP145" s="13">
        <f t="shared" si="83"/>
        <v>7</v>
      </c>
      <c r="AQ145" s="13">
        <f t="shared" si="84"/>
        <v>6</v>
      </c>
      <c r="AR145" s="173">
        <f t="shared" si="85"/>
        <v>43248</v>
      </c>
      <c r="AS145" s="742">
        <f t="shared" si="86"/>
        <v>0.6071428571428571</v>
      </c>
      <c r="AT145" s="758">
        <f t="shared" si="87"/>
        <v>63.001996822522152</v>
      </c>
      <c r="AU145" s="13">
        <f t="shared" si="88"/>
        <v>5</v>
      </c>
      <c r="AV145" s="13">
        <f t="shared" si="89"/>
        <v>6</v>
      </c>
      <c r="AW145" s="173">
        <f t="shared" si="90"/>
        <v>43206</v>
      </c>
      <c r="AX145" s="742">
        <f t="shared" si="91"/>
        <v>0.8928571428571429</v>
      </c>
      <c r="AY145" s="758">
        <f t="shared" si="92"/>
        <v>62.937217098807118</v>
      </c>
      <c r="AZ145" s="735">
        <f t="shared" si="96"/>
        <v>62.969606960664635</v>
      </c>
      <c r="BA145" s="633">
        <f t="shared" si="93"/>
        <v>0.97538629238634744</v>
      </c>
      <c r="BC145" s="11">
        <v>43231</v>
      </c>
      <c r="BD145" s="289">
        <f>[2]!FeuilCaduc*(1-Persistant)+Persistant</f>
        <v>0.67472413422475319</v>
      </c>
      <c r="BE145" s="290">
        <f>[2]!CroissVégét</f>
        <v>0.22467491379142088</v>
      </c>
      <c r="BF145" s="804">
        <f>1+[2]!Salcycl*Ksac</f>
        <v>1.0174724134224753</v>
      </c>
      <c r="BH145" s="1036">
        <f t="shared" si="94"/>
        <v>1.7573545223177397E-3</v>
      </c>
      <c r="BI145" s="11">
        <v>44327</v>
      </c>
      <c r="BJ145" s="715">
        <v>1.7573545223177394E-3</v>
      </c>
      <c r="BK145" s="715">
        <v>1.7573545223177397E-3</v>
      </c>
      <c r="BL145" s="715">
        <v>1.7573545223177397E-3</v>
      </c>
      <c r="BM145" s="715">
        <v>1.7573545223177397E-3</v>
      </c>
      <c r="BN145" s="715">
        <v>1.7573545223177397E-3</v>
      </c>
      <c r="BO145" s="716">
        <v>1.7573545223177397E-3</v>
      </c>
      <c r="BP145" s="715">
        <v>1.7573545223177397E-3</v>
      </c>
      <c r="BQ145" s="715">
        <v>1.7573545223177397E-3</v>
      </c>
      <c r="BR145" s="715">
        <v>1.7573545223177397E-3</v>
      </c>
      <c r="BS145" s="715">
        <v>1.7573545223177397E-3</v>
      </c>
      <c r="BT145" s="715">
        <v>1.7573545223177394E-3</v>
      </c>
      <c r="BW145" s="1188">
        <f>'2019'!R\Max</f>
        <v>0.59701829483368507</v>
      </c>
      <c r="BX145" s="1188">
        <f>'2020'!R\Max</f>
        <v>0.19361001478223785</v>
      </c>
      <c r="BY145" s="1188">
        <f>'2021'!R\Max</f>
        <v>0.52009963263161807</v>
      </c>
      <c r="BZ145" s="1188">
        <f>'2022'!R\Max</f>
        <v>0.97538629238634744</v>
      </c>
      <c r="CA145" s="1188">
        <f>'2023'!R\Max</f>
        <v>0.97538629238634744</v>
      </c>
      <c r="CB145" s="1188">
        <f>'2024'!R\Max</f>
        <v>0.97538629238634744</v>
      </c>
      <c r="CC145" s="1188">
        <f>'2025'!R\Max</f>
        <v>0.97538629238634733</v>
      </c>
      <c r="CD145" s="1188">
        <f>'2026'!R\Max</f>
        <v>0.97538629238634755</v>
      </c>
      <c r="CE145" s="1189">
        <f>'2027'!R\Max</f>
        <v>0.97538629238634744</v>
      </c>
      <c r="CF145" s="1191">
        <f>'2028'!R\Max</f>
        <v>0.97538629238634744</v>
      </c>
    </row>
    <row r="146" spans="1:84" s="6" customFormat="1" ht="11.25" x14ac:dyDescent="0.2">
      <c r="A146" s="11">
        <v>43232</v>
      </c>
      <c r="B146" s="379">
        <f>'2023'!Maxi_hp</f>
        <v>54.191031708919418</v>
      </c>
      <c r="C146" s="13">
        <f>'2023'!An_max</f>
        <v>2018</v>
      </c>
      <c r="D146" s="1045" t="str">
        <f t="shared" si="78"/>
        <v/>
      </c>
      <c r="E146" s="13"/>
      <c r="F146" s="13">
        <f t="shared" si="95"/>
        <v>11</v>
      </c>
      <c r="G146" s="13">
        <f t="shared" si="79"/>
        <v>10</v>
      </c>
      <c r="H146" s="173">
        <f t="shared" si="80"/>
        <v>43234</v>
      </c>
      <c r="I146" s="742">
        <f t="shared" si="81"/>
        <v>0.14285714285714285</v>
      </c>
      <c r="J146" s="735">
        <f t="shared" si="82"/>
        <v>62.979406706243765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38">
        <v>43232</v>
      </c>
      <c r="AP146" s="13">
        <f t="shared" si="83"/>
        <v>7</v>
      </c>
      <c r="AQ146" s="13">
        <f t="shared" si="84"/>
        <v>6</v>
      </c>
      <c r="AR146" s="173">
        <f t="shared" si="85"/>
        <v>43248</v>
      </c>
      <c r="AS146" s="742">
        <f t="shared" si="86"/>
        <v>0.5714285714285714</v>
      </c>
      <c r="AT146" s="758">
        <f t="shared" si="87"/>
        <v>63.032820699736476</v>
      </c>
      <c r="AU146" s="13">
        <f t="shared" si="88"/>
        <v>5</v>
      </c>
      <c r="AV146" s="13">
        <f t="shared" si="89"/>
        <v>6</v>
      </c>
      <c r="AW146" s="173">
        <f t="shared" si="90"/>
        <v>43206</v>
      </c>
      <c r="AX146" s="742">
        <f t="shared" si="91"/>
        <v>0.9285714285714286</v>
      </c>
      <c r="AY146" s="758">
        <f t="shared" si="92"/>
        <v>62.972245352848304</v>
      </c>
      <c r="AZ146" s="735">
        <f t="shared" si="96"/>
        <v>63.00253302629239</v>
      </c>
      <c r="BA146" s="633">
        <f t="shared" si="93"/>
        <v>0.86045637047176138</v>
      </c>
      <c r="BC146" s="11">
        <v>43232</v>
      </c>
      <c r="BD146" s="289">
        <f>[2]!FeuilCaduc*(1-Persistant)+Persistant</f>
        <v>0.68122961263456139</v>
      </c>
      <c r="BE146" s="290">
        <f>[2]!CroissVégét</f>
        <v>0.23194968908707836</v>
      </c>
      <c r="BF146" s="804">
        <f>1+[2]!Salcycl*Ksac</f>
        <v>1.0181229612634561</v>
      </c>
      <c r="BH146" s="1036">
        <f t="shared" si="94"/>
        <v>1.7715997349066154E-3</v>
      </c>
      <c r="BI146" s="11">
        <v>44328</v>
      </c>
      <c r="BJ146" s="715">
        <v>1.7715997349066156E-3</v>
      </c>
      <c r="BK146" s="715">
        <v>1.7715997349066154E-3</v>
      </c>
      <c r="BL146" s="715">
        <v>1.7715997349066154E-3</v>
      </c>
      <c r="BM146" s="715">
        <v>1.7715997349066154E-3</v>
      </c>
      <c r="BN146" s="715">
        <v>1.7715997349066154E-3</v>
      </c>
      <c r="BO146" s="716">
        <v>1.7715997349066154E-3</v>
      </c>
      <c r="BP146" s="715">
        <v>1.7715997349066154E-3</v>
      </c>
      <c r="BQ146" s="715">
        <v>1.7715997349066154E-3</v>
      </c>
      <c r="BR146" s="715">
        <v>1.7715997349066154E-3</v>
      </c>
      <c r="BS146" s="715">
        <v>1.7715997349066154E-3</v>
      </c>
      <c r="BT146" s="715">
        <v>1.7715997349066156E-3</v>
      </c>
      <c r="BW146" s="1188">
        <f>'2019'!R\Max</f>
        <v>0.86045637047176138</v>
      </c>
      <c r="BX146" s="1188">
        <f>'2020'!R\Max</f>
        <v>0.13486418794323363</v>
      </c>
      <c r="BY146" s="1188">
        <f>'2021'!R\Max</f>
        <v>0.6958604700281914</v>
      </c>
      <c r="BZ146" s="1188">
        <f>'2022'!R\Max</f>
        <v>0.69700231141390234</v>
      </c>
      <c r="CA146" s="1188">
        <f>'2023'!R\Max</f>
        <v>0.69700231141390234</v>
      </c>
      <c r="CB146" s="1188">
        <f>'2024'!R\Max</f>
        <v>0.69700231141390234</v>
      </c>
      <c r="CC146" s="1188">
        <f>'2025'!R\Max</f>
        <v>0.69700231141390234</v>
      </c>
      <c r="CD146" s="1188">
        <f>'2026'!R\Max</f>
        <v>0.69700231141390234</v>
      </c>
      <c r="CE146" s="1189">
        <f>'2027'!R\Max</f>
        <v>0.69700231141390234</v>
      </c>
      <c r="CF146" s="1191">
        <f>'2028'!R\Max</f>
        <v>0.69700231141390234</v>
      </c>
    </row>
    <row r="147" spans="1:84" s="6" customFormat="1" ht="11.25" x14ac:dyDescent="0.2">
      <c r="A147" s="11">
        <v>43233</v>
      </c>
      <c r="B147" s="379">
        <f>'2023'!Maxi_hp</f>
        <v>65.060121509053133</v>
      </c>
      <c r="C147" s="13">
        <f>'2023'!An_max</f>
        <v>2018</v>
      </c>
      <c r="D147" s="1045">
        <f t="shared" si="78"/>
        <v>1.0325230728537296</v>
      </c>
      <c r="E147" s="13"/>
      <c r="F147" s="13">
        <f t="shared" si="95"/>
        <v>11</v>
      </c>
      <c r="G147" s="13">
        <f t="shared" si="79"/>
        <v>10</v>
      </c>
      <c r="H147" s="173">
        <f t="shared" si="80"/>
        <v>43234</v>
      </c>
      <c r="I147" s="742">
        <f t="shared" si="81"/>
        <v>7.1428571428571425E-2</v>
      </c>
      <c r="J147" s="735">
        <f t="shared" si="82"/>
        <v>63.010816144996454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38">
        <v>43233</v>
      </c>
      <c r="AP147" s="13">
        <f t="shared" si="83"/>
        <v>7</v>
      </c>
      <c r="AQ147" s="13">
        <f t="shared" si="84"/>
        <v>6</v>
      </c>
      <c r="AR147" s="173">
        <f t="shared" si="85"/>
        <v>43248</v>
      </c>
      <c r="AS147" s="742">
        <f t="shared" si="86"/>
        <v>0.5357142857142857</v>
      </c>
      <c r="AT147" s="758">
        <f t="shared" si="87"/>
        <v>63.059785703503124</v>
      </c>
      <c r="AU147" s="13">
        <f t="shared" si="88"/>
        <v>5</v>
      </c>
      <c r="AV147" s="13">
        <f t="shared" si="89"/>
        <v>6</v>
      </c>
      <c r="AW147" s="173">
        <f t="shared" si="90"/>
        <v>43206</v>
      </c>
      <c r="AX147" s="742">
        <f t="shared" si="91"/>
        <v>0.9642857142857143</v>
      </c>
      <c r="AY147" s="758">
        <f t="shared" si="92"/>
        <v>63.006403118132468</v>
      </c>
      <c r="AZ147" s="735">
        <f t="shared" si="96"/>
        <v>63.033094410817796</v>
      </c>
      <c r="BA147" s="633">
        <f t="shared" si="93"/>
        <v>1.0325230728537296</v>
      </c>
      <c r="BC147" s="11">
        <v>43233</v>
      </c>
      <c r="BD147" s="289">
        <f>[2]!FeuilCaduc*(1-Persistant)+Persistant</f>
        <v>0.68782837421524001</v>
      </c>
      <c r="BE147" s="290">
        <f>[2]!CroissVégét</f>
        <v>0.23938589533798257</v>
      </c>
      <c r="BF147" s="804">
        <f>1+[2]!Salcycl*Ksac</f>
        <v>1.018782837421524</v>
      </c>
      <c r="BH147" s="1036">
        <f t="shared" si="94"/>
        <v>1.786154833323017E-3</v>
      </c>
      <c r="BI147" s="11">
        <v>44329</v>
      </c>
      <c r="BJ147" s="715">
        <v>1.7861548333230172E-3</v>
      </c>
      <c r="BK147" s="715">
        <v>1.786154833323017E-3</v>
      </c>
      <c r="BL147" s="715">
        <v>1.786154833323017E-3</v>
      </c>
      <c r="BM147" s="715">
        <v>1.786154833323017E-3</v>
      </c>
      <c r="BN147" s="715">
        <v>1.786154833323017E-3</v>
      </c>
      <c r="BO147" s="716">
        <v>1.786154833323017E-3</v>
      </c>
      <c r="BP147" s="715">
        <v>1.786154833323017E-3</v>
      </c>
      <c r="BQ147" s="715">
        <v>1.786154833323017E-3</v>
      </c>
      <c r="BR147" s="715">
        <v>1.786154833323017E-3</v>
      </c>
      <c r="BS147" s="715">
        <v>1.786154833323017E-3</v>
      </c>
      <c r="BT147" s="715">
        <v>1.7861548333230172E-3</v>
      </c>
      <c r="BW147" s="1188">
        <f>'2019'!R\Max</f>
        <v>1.0325230728537296</v>
      </c>
      <c r="BX147" s="1188">
        <f>'2020'!R\Max</f>
        <v>0.33304901040545004</v>
      </c>
      <c r="BY147" s="1188">
        <f>'2021'!R\Max</f>
        <v>0.84392703071414388</v>
      </c>
      <c r="BZ147" s="1188">
        <f>'2022'!R\Max</f>
        <v>0.71518686347729132</v>
      </c>
      <c r="CA147" s="1188">
        <f>'2023'!R\Max</f>
        <v>0.71518686347729132</v>
      </c>
      <c r="CB147" s="1188">
        <f>'2024'!R\Max</f>
        <v>0.71518686347729143</v>
      </c>
      <c r="CC147" s="1188">
        <f>'2025'!R\Max</f>
        <v>0.71518686347729143</v>
      </c>
      <c r="CD147" s="1188">
        <f>'2026'!R\Max</f>
        <v>0.71518686347729132</v>
      </c>
      <c r="CE147" s="1189">
        <f>'2027'!R\Max</f>
        <v>0.71518686347729143</v>
      </c>
      <c r="CF147" s="1191">
        <f>'2028'!R\Max</f>
        <v>0.71518686347729143</v>
      </c>
    </row>
    <row r="148" spans="1:84" s="6" customFormat="1" ht="11.25" x14ac:dyDescent="0.2">
      <c r="A148" s="11">
        <v>43234</v>
      </c>
      <c r="B148" s="379">
        <f>'2023'!Maxi_hp</f>
        <v>63.419199758926844</v>
      </c>
      <c r="C148" s="13">
        <f>'2023'!An_max</f>
        <v>2018</v>
      </c>
      <c r="D148" s="1045">
        <f t="shared" si="78"/>
        <v>1.006015224586809</v>
      </c>
      <c r="E148" s="1040">
        <f>W$13/10</f>
        <v>63.04</v>
      </c>
      <c r="F148" s="13">
        <f t="shared" si="95"/>
        <v>11</v>
      </c>
      <c r="G148" s="13">
        <f t="shared" si="79"/>
        <v>12</v>
      </c>
      <c r="H148" s="173">
        <f t="shared" si="80"/>
        <v>43234</v>
      </c>
      <c r="I148" s="742">
        <f t="shared" si="81"/>
        <v>0</v>
      </c>
      <c r="J148" s="735">
        <f t="shared" si="82"/>
        <v>63.040000000968575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38">
        <v>43234</v>
      </c>
      <c r="AP148" s="13">
        <f t="shared" si="83"/>
        <v>7</v>
      </c>
      <c r="AQ148" s="13">
        <f t="shared" si="84"/>
        <v>6</v>
      </c>
      <c r="AR148" s="173">
        <f t="shared" si="85"/>
        <v>43248</v>
      </c>
      <c r="AS148" s="742">
        <f t="shared" si="86"/>
        <v>0.5</v>
      </c>
      <c r="AT148" s="758">
        <f t="shared" si="87"/>
        <v>63.083093749731781</v>
      </c>
      <c r="AU148" s="13">
        <f t="shared" si="88"/>
        <v>7</v>
      </c>
      <c r="AV148" s="13">
        <f t="shared" si="89"/>
        <v>6</v>
      </c>
      <c r="AW148" s="173">
        <f t="shared" si="90"/>
        <v>43262</v>
      </c>
      <c r="AX148" s="742">
        <f t="shared" si="91"/>
        <v>1</v>
      </c>
      <c r="AY148" s="758">
        <f t="shared" si="92"/>
        <v>63.039999999850991</v>
      </c>
      <c r="AZ148" s="735">
        <f t="shared" si="96"/>
        <v>63.061546874791389</v>
      </c>
      <c r="BA148" s="633">
        <f t="shared" si="93"/>
        <v>1.006015224586809</v>
      </c>
      <c r="BC148" s="11">
        <v>43234</v>
      </c>
      <c r="BD148" s="289">
        <f>[2]!FeuilCaduc*(1-Persistant)+Persistant</f>
        <v>0.69451465907721122</v>
      </c>
      <c r="BE148" s="290">
        <f>[2]!CroissVégét</f>
        <v>0.24698247846918731</v>
      </c>
      <c r="BF148" s="804">
        <f>1+[2]!Salcycl*Ksac</f>
        <v>1.0194514659077212</v>
      </c>
      <c r="BH148" s="1036">
        <f t="shared" si="94"/>
        <v>1.8010186736345968E-3</v>
      </c>
      <c r="BI148" s="11">
        <v>44330</v>
      </c>
      <c r="BJ148" s="715">
        <v>1.8010186736345968E-3</v>
      </c>
      <c r="BK148" s="715">
        <v>1.8010186736345968E-3</v>
      </c>
      <c r="BL148" s="715">
        <v>1.8010186736345968E-3</v>
      </c>
      <c r="BM148" s="715">
        <v>1.8010186736345968E-3</v>
      </c>
      <c r="BN148" s="715">
        <v>1.8010186736345968E-3</v>
      </c>
      <c r="BO148" s="716">
        <v>1.8010186736345968E-3</v>
      </c>
      <c r="BP148" s="715">
        <v>1.8010186736345968E-3</v>
      </c>
      <c r="BQ148" s="715">
        <v>1.8010186736345968E-3</v>
      </c>
      <c r="BR148" s="715">
        <v>1.8010186736345968E-3</v>
      </c>
      <c r="BS148" s="715">
        <v>1.8010186736345968E-3</v>
      </c>
      <c r="BT148" s="715">
        <v>1.8010186736345968E-3</v>
      </c>
      <c r="BW148" s="1188">
        <f>'2019'!R\Max</f>
        <v>1.006015224586809</v>
      </c>
      <c r="BX148" s="1188">
        <f>'2020'!R\Max</f>
        <v>0.50271348522799286</v>
      </c>
      <c r="BY148" s="1188">
        <f>'2021'!R\Max</f>
        <v>0.74482763729673507</v>
      </c>
      <c r="BZ148" s="1188">
        <f>'2022'!R\Max</f>
        <v>0.88677694978913091</v>
      </c>
      <c r="CA148" s="1188">
        <f>'2023'!R\Max</f>
        <v>0.88677694978913102</v>
      </c>
      <c r="CB148" s="1188">
        <f>'2024'!R\Max</f>
        <v>0.88677694978913091</v>
      </c>
      <c r="CC148" s="1188">
        <f>'2025'!R\Max</f>
        <v>0.88677694978913102</v>
      </c>
      <c r="CD148" s="1188">
        <f>'2026'!R\Max</f>
        <v>0.88677694978913102</v>
      </c>
      <c r="CE148" s="1189">
        <f>'2027'!R\Max</f>
        <v>0.88677694978913102</v>
      </c>
      <c r="CF148" s="1191">
        <f>'2028'!R\Max</f>
        <v>0.88677694978913102</v>
      </c>
    </row>
    <row r="149" spans="1:84" s="6" customFormat="1" ht="11.25" x14ac:dyDescent="0.2">
      <c r="A149" s="11">
        <v>43235</v>
      </c>
      <c r="B149" s="379">
        <f>'2023'!Maxi_hp</f>
        <v>63.720230232595142</v>
      </c>
      <c r="C149" s="13">
        <f>'2023'!An_max</f>
        <v>2018</v>
      </c>
      <c r="D149" s="1045">
        <f t="shared" si="78"/>
        <v>1.0103673007383864</v>
      </c>
      <c r="E149" s="13"/>
      <c r="F149" s="13">
        <f t="shared" si="95"/>
        <v>11</v>
      </c>
      <c r="G149" s="13">
        <f t="shared" si="79"/>
        <v>12</v>
      </c>
      <c r="H149" s="173">
        <f t="shared" si="80"/>
        <v>43234</v>
      </c>
      <c r="I149" s="742">
        <f t="shared" si="81"/>
        <v>7.1428571428571425E-2</v>
      </c>
      <c r="J149" s="735">
        <f t="shared" si="82"/>
        <v>63.066401877839645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38">
        <v>43235</v>
      </c>
      <c r="AP149" s="13">
        <f t="shared" si="83"/>
        <v>7</v>
      </c>
      <c r="AQ149" s="13">
        <f t="shared" si="84"/>
        <v>6</v>
      </c>
      <c r="AR149" s="173">
        <f t="shared" si="85"/>
        <v>43248</v>
      </c>
      <c r="AS149" s="742">
        <f t="shared" si="86"/>
        <v>0.4642857142857143</v>
      </c>
      <c r="AT149" s="758">
        <f t="shared" si="87"/>
        <v>63.102946758562965</v>
      </c>
      <c r="AU149" s="13">
        <f t="shared" si="88"/>
        <v>7</v>
      </c>
      <c r="AV149" s="13">
        <f t="shared" si="89"/>
        <v>6</v>
      </c>
      <c r="AW149" s="173">
        <f t="shared" si="90"/>
        <v>43262</v>
      </c>
      <c r="AX149" s="742">
        <f t="shared" si="91"/>
        <v>0.9642857142857143</v>
      </c>
      <c r="AY149" s="758">
        <f t="shared" si="92"/>
        <v>63.071364567947704</v>
      </c>
      <c r="AZ149" s="735">
        <f t="shared" si="96"/>
        <v>63.087155663255331</v>
      </c>
      <c r="BA149" s="633">
        <f t="shared" si="93"/>
        <v>1.0103673007383864</v>
      </c>
      <c r="BC149" s="11">
        <v>43235</v>
      </c>
      <c r="BD149" s="289">
        <f>[2]!FeuilCaduc*(1-Persistant)+Persistant</f>
        <v>0.70128238954397093</v>
      </c>
      <c r="BE149" s="290">
        <f>[2]!CroissVégét</f>
        <v>0.25473806189926657</v>
      </c>
      <c r="BF149" s="804">
        <f>1+[2]!Salcycl*Ksac</f>
        <v>1.0201282389543971</v>
      </c>
      <c r="BH149" s="1036">
        <f t="shared" si="94"/>
        <v>1.8161900800931635E-3</v>
      </c>
      <c r="BI149" s="11">
        <v>44331</v>
      </c>
      <c r="BJ149" s="715">
        <v>1.8161900800931635E-3</v>
      </c>
      <c r="BK149" s="715">
        <v>1.8161900800931635E-3</v>
      </c>
      <c r="BL149" s="715">
        <v>1.8161900800931635E-3</v>
      </c>
      <c r="BM149" s="715">
        <v>1.8161900800931635E-3</v>
      </c>
      <c r="BN149" s="715">
        <v>1.8161900800931635E-3</v>
      </c>
      <c r="BO149" s="716">
        <v>1.8161900800931635E-3</v>
      </c>
      <c r="BP149" s="715">
        <v>1.8161900800931635E-3</v>
      </c>
      <c r="BQ149" s="715">
        <v>1.8161900800931635E-3</v>
      </c>
      <c r="BR149" s="715">
        <v>1.8161900800931635E-3</v>
      </c>
      <c r="BS149" s="715">
        <v>1.8161900800931635E-3</v>
      </c>
      <c r="BT149" s="715">
        <v>1.8161900800931635E-3</v>
      </c>
      <c r="BW149" s="1188">
        <f>'2019'!R\Max</f>
        <v>1.0103673007383864</v>
      </c>
      <c r="BX149" s="1188">
        <f>'2020'!R\Max</f>
        <v>0.33822721779957854</v>
      </c>
      <c r="BY149" s="1188">
        <f>'2021'!R\Max</f>
        <v>0.34218391514342672</v>
      </c>
      <c r="BZ149" s="1188">
        <f>'2022'!R\Max</f>
        <v>0.92463548941580365</v>
      </c>
      <c r="CA149" s="1188">
        <f>'2023'!R\Max</f>
        <v>0.92463548941580376</v>
      </c>
      <c r="CB149" s="1188">
        <f>'2024'!R\Max</f>
        <v>0.92463548941580365</v>
      </c>
      <c r="CC149" s="1188">
        <f>'2025'!R\Max</f>
        <v>0.92463548941580387</v>
      </c>
      <c r="CD149" s="1188">
        <f>'2026'!R\Max</f>
        <v>0.92463548941580387</v>
      </c>
      <c r="CE149" s="1189">
        <f>'2027'!R\Max</f>
        <v>0.92463548941580376</v>
      </c>
      <c r="CF149" s="1191">
        <f>'2028'!R\Max</f>
        <v>0.92463548941580387</v>
      </c>
    </row>
    <row r="150" spans="1:84" s="6" customFormat="1" ht="11.25" x14ac:dyDescent="0.2">
      <c r="A150" s="11">
        <v>43236</v>
      </c>
      <c r="B150" s="379">
        <f>'2023'!Maxi_hp</f>
        <v>57.127425816284799</v>
      </c>
      <c r="C150" s="13">
        <f>'2023'!An_max</f>
        <v>2018</v>
      </c>
      <c r="D150" s="1045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73">
        <f t="shared" si="80"/>
        <v>43234</v>
      </c>
      <c r="I150" s="742">
        <f t="shared" si="81"/>
        <v>0.14285714285714285</v>
      </c>
      <c r="J150" s="735">
        <f t="shared" si="82"/>
        <v>63.089393586665402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38">
        <v>43236</v>
      </c>
      <c r="AP150" s="13">
        <f t="shared" si="83"/>
        <v>7</v>
      </c>
      <c r="AQ150" s="13">
        <f t="shared" si="84"/>
        <v>6</v>
      </c>
      <c r="AR150" s="173">
        <f t="shared" si="85"/>
        <v>43248</v>
      </c>
      <c r="AS150" s="742">
        <f t="shared" si="86"/>
        <v>0.42857142857142855</v>
      </c>
      <c r="AT150" s="758">
        <f t="shared" si="87"/>
        <v>63.11954664715698</v>
      </c>
      <c r="AU150" s="13">
        <f t="shared" si="88"/>
        <v>7</v>
      </c>
      <c r="AV150" s="13">
        <f t="shared" si="89"/>
        <v>6</v>
      </c>
      <c r="AW150" s="173">
        <f t="shared" si="90"/>
        <v>43262</v>
      </c>
      <c r="AX150" s="742">
        <f t="shared" si="91"/>
        <v>0.9285714285714286</v>
      </c>
      <c r="AY150" s="758">
        <f t="shared" si="92"/>
        <v>63.098690779640208</v>
      </c>
      <c r="AZ150" s="735">
        <f t="shared" si="96"/>
        <v>63.109118713398594</v>
      </c>
      <c r="BA150" s="633">
        <f t="shared" si="93"/>
        <v>0.90549968177787765</v>
      </c>
      <c r="BC150" s="11">
        <v>43236</v>
      </c>
      <c r="BD150" s="289">
        <f>[2]!FeuilCaduc*(1-Persistant)+Persistant</f>
        <v>0.70812517862426905</v>
      </c>
      <c r="BE150" s="290">
        <f>[2]!CroissVégét</f>
        <v>0.2626509368215188</v>
      </c>
      <c r="BF150" s="804">
        <f>1+[2]!Salcycl*Ksac</f>
        <v>1.020812517862427</v>
      </c>
      <c r="BH150" s="1036">
        <f t="shared" si="94"/>
        <v>1.8286232072140876E-3</v>
      </c>
      <c r="BI150" s="11">
        <v>44332</v>
      </c>
      <c r="BJ150" s="715">
        <v>1.8286232072140876E-3</v>
      </c>
      <c r="BK150" s="715">
        <v>1.8286232072140876E-3</v>
      </c>
      <c r="BL150" s="715">
        <v>1.8286232072140876E-3</v>
      </c>
      <c r="BM150" s="715">
        <v>1.8286232072140876E-3</v>
      </c>
      <c r="BN150" s="715">
        <v>1.8286232072140876E-3</v>
      </c>
      <c r="BO150" s="716">
        <v>1.8286232072140876E-3</v>
      </c>
      <c r="BP150" s="715">
        <v>1.8286232072140876E-3</v>
      </c>
      <c r="BQ150" s="715">
        <v>1.8286232072140876E-3</v>
      </c>
      <c r="BR150" s="715">
        <v>1.8286232072140876E-3</v>
      </c>
      <c r="BS150" s="715">
        <v>1.8286232072140876E-3</v>
      </c>
      <c r="BT150" s="715">
        <v>1.8286232072140876E-3</v>
      </c>
      <c r="BW150" s="1188">
        <f>'2019'!R\Max</f>
        <v>0.90549968177787765</v>
      </c>
      <c r="BX150" s="1188">
        <f>'2020'!R\Max</f>
        <v>0.25772161331894167</v>
      </c>
      <c r="BY150" s="1188">
        <f>'2021'!R\Max</f>
        <v>0.20794623307857621</v>
      </c>
      <c r="BZ150" s="1188">
        <f>'2022'!R\Max</f>
        <v>0.88400080795457237</v>
      </c>
      <c r="CA150" s="1188">
        <f>'2023'!R\Max</f>
        <v>0.88400080795457259</v>
      </c>
      <c r="CB150" s="1188">
        <f>'2024'!R\Max</f>
        <v>0.88400080795457237</v>
      </c>
      <c r="CC150" s="1188">
        <f>'2025'!R\Max</f>
        <v>0.88400080795457259</v>
      </c>
      <c r="CD150" s="1188">
        <f>'2026'!R\Max</f>
        <v>0.88400080795457237</v>
      </c>
      <c r="CE150" s="1189">
        <f>'2027'!R\Max</f>
        <v>0.88400080795457259</v>
      </c>
      <c r="CF150" s="1191">
        <f>'2028'!R\Max</f>
        <v>0.88400080795457259</v>
      </c>
    </row>
    <row r="151" spans="1:84" s="6" customFormat="1" ht="11.25" x14ac:dyDescent="0.2">
      <c r="A151" s="11">
        <v>43237</v>
      </c>
      <c r="B151" s="379">
        <f>'2023'!Maxi_hp</f>
        <v>59.207432853837069</v>
      </c>
      <c r="C151" s="13">
        <f>'2023'!An_max</f>
        <v>2023</v>
      </c>
      <c r="D151" s="1045" t="str">
        <f t="shared" si="78"/>
        <v/>
      </c>
      <c r="E151" s="13"/>
      <c r="F151" s="13">
        <f t="shared" si="95"/>
        <v>11</v>
      </c>
      <c r="G151" s="13">
        <f t="shared" si="79"/>
        <v>12</v>
      </c>
      <c r="H151" s="173">
        <f t="shared" si="80"/>
        <v>43234</v>
      </c>
      <c r="I151" s="742">
        <f t="shared" si="81"/>
        <v>0.21428571428571427</v>
      </c>
      <c r="J151" s="735">
        <f t="shared" si="82"/>
        <v>63.109082817525731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38">
        <v>43237</v>
      </c>
      <c r="AP151" s="13">
        <f t="shared" si="83"/>
        <v>7</v>
      </c>
      <c r="AQ151" s="13">
        <f t="shared" si="84"/>
        <v>6</v>
      </c>
      <c r="AR151" s="173">
        <f t="shared" si="85"/>
        <v>43248</v>
      </c>
      <c r="AS151" s="742">
        <f t="shared" si="86"/>
        <v>0.39285714285714285</v>
      </c>
      <c r="AT151" s="758">
        <f t="shared" si="87"/>
        <v>63.133095332887024</v>
      </c>
      <c r="AU151" s="13">
        <f t="shared" si="88"/>
        <v>7</v>
      </c>
      <c r="AV151" s="13">
        <f t="shared" si="89"/>
        <v>6</v>
      </c>
      <c r="AW151" s="173">
        <f t="shared" si="90"/>
        <v>43262</v>
      </c>
      <c r="AX151" s="742">
        <f t="shared" si="91"/>
        <v>0.8928571428571429</v>
      </c>
      <c r="AY151" s="758">
        <f t="shared" si="92"/>
        <v>63.122086324423023</v>
      </c>
      <c r="AZ151" s="735">
        <f t="shared" si="96"/>
        <v>63.127590828655023</v>
      </c>
      <c r="BA151" s="633">
        <f t="shared" si="93"/>
        <v>0.93817609463648943</v>
      </c>
      <c r="BC151" s="11">
        <v>43237</v>
      </c>
      <c r="BD151" s="289">
        <f>[2]!FeuilCaduc*(1-Persistant)+Persistant</f>
        <v>0.71503634030567198</v>
      </c>
      <c r="BE151" s="290">
        <f>[2]!CroissVégét</f>
        <v>0.27071905354146641</v>
      </c>
      <c r="BF151" s="804">
        <f>1+[2]!Salcycl*Ksac</f>
        <v>1.0215036340305672</v>
      </c>
      <c r="BH151" s="1036">
        <f t="shared" si="94"/>
        <v>1.8370717638415016E-3</v>
      </c>
      <c r="BI151" s="11">
        <v>44333</v>
      </c>
      <c r="BJ151" s="715">
        <v>1.8370717638415018E-3</v>
      </c>
      <c r="BK151" s="715">
        <v>1.8370717638415016E-3</v>
      </c>
      <c r="BL151" s="715">
        <v>1.8370717638415016E-3</v>
      </c>
      <c r="BM151" s="715">
        <v>1.8370717638415016E-3</v>
      </c>
      <c r="BN151" s="715">
        <v>1.8370717638415016E-3</v>
      </c>
      <c r="BO151" s="716">
        <v>1.8370717638415016E-3</v>
      </c>
      <c r="BP151" s="715">
        <v>1.8370717638415016E-3</v>
      </c>
      <c r="BQ151" s="715">
        <v>1.8370717638415016E-3</v>
      </c>
      <c r="BR151" s="715">
        <v>1.8370717638415016E-3</v>
      </c>
      <c r="BS151" s="715">
        <v>1.8370717638415016E-3</v>
      </c>
      <c r="BT151" s="715">
        <v>1.8370717638415018E-3</v>
      </c>
      <c r="BW151" s="1188">
        <f>'2019'!R\Max</f>
        <v>0.10225041838281312</v>
      </c>
      <c r="BX151" s="1188">
        <f>'2020'!R\Max</f>
        <v>0.58550748706469991</v>
      </c>
      <c r="BY151" s="1188">
        <f>'2021'!R\Max</f>
        <v>0.8668158994916797</v>
      </c>
      <c r="BZ151" s="1188">
        <f>'2022'!R\Max</f>
        <v>0.93817609463648943</v>
      </c>
      <c r="CA151" s="1188">
        <f>'2023'!R\Max</f>
        <v>0.93817609463648943</v>
      </c>
      <c r="CB151" s="1188">
        <f>'2024'!R\Max</f>
        <v>0.93817609463648943</v>
      </c>
      <c r="CC151" s="1188">
        <f>'2025'!R\Max</f>
        <v>0.93817609463648943</v>
      </c>
      <c r="CD151" s="1188">
        <f>'2026'!R\Max</f>
        <v>0.93817609463648932</v>
      </c>
      <c r="CE151" s="1189">
        <f>'2027'!R\Max</f>
        <v>0.93817609463648954</v>
      </c>
      <c r="CF151" s="1191">
        <f>'2028'!R\Max</f>
        <v>0.93817609463648954</v>
      </c>
    </row>
    <row r="152" spans="1:84" s="6" customFormat="1" ht="11.25" x14ac:dyDescent="0.2">
      <c r="A152" s="11">
        <v>43238</v>
      </c>
      <c r="B152" s="379">
        <f>'2023'!Maxi_hp</f>
        <v>64.598562640471044</v>
      </c>
      <c r="C152" s="13">
        <f>'2023'!An_max</f>
        <v>2020</v>
      </c>
      <c r="D152" s="1045">
        <f t="shared" si="78"/>
        <v>1.0233342084916253</v>
      </c>
      <c r="E152" s="13"/>
      <c r="F152" s="13">
        <f t="shared" si="95"/>
        <v>11</v>
      </c>
      <c r="G152" s="13">
        <f t="shared" si="79"/>
        <v>12</v>
      </c>
      <c r="H152" s="173">
        <f t="shared" si="80"/>
        <v>43234</v>
      </c>
      <c r="I152" s="742">
        <f t="shared" si="81"/>
        <v>0.2857142857142857</v>
      </c>
      <c r="J152" s="735">
        <f t="shared" si="82"/>
        <v>63.125577259542681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38">
        <v>43238</v>
      </c>
      <c r="AP152" s="13">
        <f t="shared" si="83"/>
        <v>7</v>
      </c>
      <c r="AQ152" s="13">
        <f t="shared" si="84"/>
        <v>6</v>
      </c>
      <c r="AR152" s="173">
        <f t="shared" si="85"/>
        <v>43248</v>
      </c>
      <c r="AS152" s="742">
        <f t="shared" si="86"/>
        <v>0.35714285714285715</v>
      </c>
      <c r="AT152" s="758">
        <f t="shared" si="87"/>
        <v>63.143794733738261</v>
      </c>
      <c r="AU152" s="13">
        <f t="shared" si="88"/>
        <v>7</v>
      </c>
      <c r="AV152" s="13">
        <f t="shared" si="89"/>
        <v>6</v>
      </c>
      <c r="AW152" s="173">
        <f t="shared" si="90"/>
        <v>43262</v>
      </c>
      <c r="AX152" s="742">
        <f t="shared" si="91"/>
        <v>0.8571428571428571</v>
      </c>
      <c r="AY152" s="758">
        <f t="shared" si="92"/>
        <v>63.141658892109987</v>
      </c>
      <c r="AZ152" s="735">
        <f t="shared" si="96"/>
        <v>63.142726812924124</v>
      </c>
      <c r="BA152" s="633">
        <f t="shared" si="93"/>
        <v>1.0233342084916253</v>
      </c>
      <c r="BC152" s="11">
        <v>43238</v>
      </c>
      <c r="BD152" s="289">
        <f>[2]!FeuilCaduc*(1-Persistant)+Persistant</f>
        <v>0.72200890169890197</v>
      </c>
      <c r="BE152" s="290">
        <f>[2]!CroissVégét</f>
        <v>0.27894001398938062</v>
      </c>
      <c r="BF152" s="804">
        <f>1+[2]!Salcycl*Ksac</f>
        <v>1.0222008901698902</v>
      </c>
      <c r="BH152" s="1036">
        <f t="shared" si="94"/>
        <v>1.8415395823417789E-3</v>
      </c>
      <c r="BI152" s="11">
        <v>44334</v>
      </c>
      <c r="BJ152" s="715">
        <v>1.8415395823417789E-3</v>
      </c>
      <c r="BK152" s="715">
        <v>1.8415395823417789E-3</v>
      </c>
      <c r="BL152" s="715">
        <v>1.8415395823417789E-3</v>
      </c>
      <c r="BM152" s="715">
        <v>1.8415395823417789E-3</v>
      </c>
      <c r="BN152" s="715">
        <v>1.8415395823417789E-3</v>
      </c>
      <c r="BO152" s="716">
        <v>1.8415395823417789E-3</v>
      </c>
      <c r="BP152" s="715">
        <v>1.8415395823417789E-3</v>
      </c>
      <c r="BQ152" s="715">
        <v>1.8415395823417789E-3</v>
      </c>
      <c r="BR152" s="715">
        <v>1.8415395823417789E-3</v>
      </c>
      <c r="BS152" s="715">
        <v>1.8415395823417789E-3</v>
      </c>
      <c r="BT152" s="715">
        <v>1.8415395823417789E-3</v>
      </c>
      <c r="BW152" s="1188">
        <f>'2019'!R\Max</f>
        <v>0.59440994145390169</v>
      </c>
      <c r="BX152" s="1188">
        <f>'2020'!R\Max</f>
        <v>1.0233342084916253</v>
      </c>
      <c r="BY152" s="1188">
        <f>'2021'!R\Max</f>
        <v>0.58392587573134658</v>
      </c>
      <c r="BZ152" s="1188">
        <f>'2022'!R\Max</f>
        <v>0.88890023282259123</v>
      </c>
      <c r="CA152" s="1188">
        <f>'2023'!R\Max</f>
        <v>0.88890023282259123</v>
      </c>
      <c r="CB152" s="1188">
        <f>'2024'!R\Max</f>
        <v>0.88890023282259112</v>
      </c>
      <c r="CC152" s="1188">
        <f>'2025'!R\Max</f>
        <v>0.88890023282259112</v>
      </c>
      <c r="CD152" s="1188">
        <f>'2026'!R\Max</f>
        <v>0.88890023282259123</v>
      </c>
      <c r="CE152" s="1189">
        <f>'2027'!R\Max</f>
        <v>0.88890023282259134</v>
      </c>
      <c r="CF152" s="1191">
        <f>'2028'!R\Max</f>
        <v>0.88890023282259112</v>
      </c>
    </row>
    <row r="153" spans="1:84" s="6" customFormat="1" ht="11.25" x14ac:dyDescent="0.2">
      <c r="A153" s="11">
        <v>43239</v>
      </c>
      <c r="B153" s="379">
        <f>'2023'!Maxi_hp</f>
        <v>63.301181056084516</v>
      </c>
      <c r="C153" s="13">
        <f>'2023'!An_max</f>
        <v>2020</v>
      </c>
      <c r="D153" s="1045">
        <f t="shared" si="78"/>
        <v>1.0025688796505328</v>
      </c>
      <c r="E153" s="13"/>
      <c r="F153" s="13">
        <f t="shared" si="95"/>
        <v>11</v>
      </c>
      <c r="G153" s="13">
        <f t="shared" si="79"/>
        <v>12</v>
      </c>
      <c r="H153" s="173">
        <f t="shared" si="80"/>
        <v>43234</v>
      </c>
      <c r="I153" s="742">
        <f t="shared" si="81"/>
        <v>0.35714285714285715</v>
      </c>
      <c r="J153" s="735">
        <f t="shared" si="82"/>
        <v>63.138984603381587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38">
        <v>43239</v>
      </c>
      <c r="AP153" s="13">
        <f t="shared" si="83"/>
        <v>7</v>
      </c>
      <c r="AQ153" s="13">
        <f t="shared" si="84"/>
        <v>6</v>
      </c>
      <c r="AR153" s="173">
        <f t="shared" si="85"/>
        <v>43248</v>
      </c>
      <c r="AS153" s="742">
        <f t="shared" si="86"/>
        <v>0.32142857142857145</v>
      </c>
      <c r="AT153" s="758">
        <f t="shared" si="87"/>
        <v>63.151846767203622</v>
      </c>
      <c r="AU153" s="13">
        <f t="shared" si="88"/>
        <v>7</v>
      </c>
      <c r="AV153" s="13">
        <f t="shared" si="89"/>
        <v>6</v>
      </c>
      <c r="AW153" s="173">
        <f t="shared" si="90"/>
        <v>43262</v>
      </c>
      <c r="AX153" s="742">
        <f t="shared" si="91"/>
        <v>0.8214285714285714</v>
      </c>
      <c r="AY153" s="758">
        <f t="shared" si="92"/>
        <v>63.157516171676775</v>
      </c>
      <c r="AZ153" s="735">
        <f t="shared" si="96"/>
        <v>63.154681469440199</v>
      </c>
      <c r="BA153" s="633">
        <f t="shared" si="93"/>
        <v>1.0025688796505328</v>
      </c>
      <c r="BC153" s="11">
        <v>43239</v>
      </c>
      <c r="BD153" s="289">
        <f>[2]!FeuilCaduc*(1-Persistant)+Persistant</f>
        <v>0.72903561704732533</v>
      </c>
      <c r="BE153" s="290">
        <f>[2]!CroissVégét</f>
        <v>0.28731106552397356</v>
      </c>
      <c r="BF153" s="804">
        <f>1+[2]!Salcycl*Ksac</f>
        <v>1.0229035617047326</v>
      </c>
      <c r="BH153" s="1036">
        <f t="shared" si="94"/>
        <v>1.8420307262733539E-3</v>
      </c>
      <c r="BI153" s="11">
        <v>44335</v>
      </c>
      <c r="BJ153" s="715">
        <v>1.8420307262733541E-3</v>
      </c>
      <c r="BK153" s="715">
        <v>1.8420307262733539E-3</v>
      </c>
      <c r="BL153" s="715">
        <v>1.8420307262733539E-3</v>
      </c>
      <c r="BM153" s="715">
        <v>1.8420307262733539E-3</v>
      </c>
      <c r="BN153" s="715">
        <v>1.8420307262733539E-3</v>
      </c>
      <c r="BO153" s="716">
        <v>1.8420307262733539E-3</v>
      </c>
      <c r="BP153" s="715">
        <v>1.8420307262733539E-3</v>
      </c>
      <c r="BQ153" s="715">
        <v>1.8420307262733539E-3</v>
      </c>
      <c r="BR153" s="715">
        <v>1.8420307262733539E-3</v>
      </c>
      <c r="BS153" s="715">
        <v>1.8420307262733539E-3</v>
      </c>
      <c r="BT153" s="715">
        <v>1.8420307262733541E-3</v>
      </c>
      <c r="BW153" s="1188">
        <f>'2019'!R\Max</f>
        <v>0.41989645288450539</v>
      </c>
      <c r="BX153" s="1188">
        <f>'2020'!R\Max</f>
        <v>1.0025688796505328</v>
      </c>
      <c r="BY153" s="1188">
        <f>'2021'!R\Max</f>
        <v>0.7005169130908413</v>
      </c>
      <c r="BZ153" s="1188">
        <f>'2022'!R\Max</f>
        <v>0.94731068427701792</v>
      </c>
      <c r="CA153" s="1188">
        <f>'2023'!R\Max</f>
        <v>0.94731068427701781</v>
      </c>
      <c r="CB153" s="1188">
        <f>'2024'!R\Max</f>
        <v>0.94731068427701781</v>
      </c>
      <c r="CC153" s="1188">
        <f>'2025'!R\Max</f>
        <v>0.94731068427701781</v>
      </c>
      <c r="CD153" s="1188">
        <f>'2026'!R\Max</f>
        <v>0.94731068427701792</v>
      </c>
      <c r="CE153" s="1189">
        <f>'2027'!R\Max</f>
        <v>0.94731068427701792</v>
      </c>
      <c r="CF153" s="1191">
        <f>'2028'!R\Max</f>
        <v>0.94731068427701781</v>
      </c>
    </row>
    <row r="154" spans="1:84" s="6" customFormat="1" ht="11.25" x14ac:dyDescent="0.2">
      <c r="A154" s="11">
        <v>43240</v>
      </c>
      <c r="B154" s="379">
        <f>'2023'!Maxi_hp</f>
        <v>62.450618114879568</v>
      </c>
      <c r="C154" s="13">
        <f>'2023'!An_max</f>
        <v>2020</v>
      </c>
      <c r="D154" s="1045">
        <f t="shared" si="78"/>
        <v>0.98893426884309432</v>
      </c>
      <c r="E154" s="13"/>
      <c r="F154" s="13">
        <f t="shared" si="95"/>
        <v>11</v>
      </c>
      <c r="G154" s="13">
        <f t="shared" si="79"/>
        <v>12</v>
      </c>
      <c r="H154" s="173">
        <f t="shared" si="80"/>
        <v>43234</v>
      </c>
      <c r="I154" s="742">
        <f t="shared" si="81"/>
        <v>0.42857142857142855</v>
      </c>
      <c r="J154" s="735">
        <f t="shared" si="82"/>
        <v>63.149412536727525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38">
        <v>43240</v>
      </c>
      <c r="AP154" s="13">
        <f t="shared" si="83"/>
        <v>7</v>
      </c>
      <c r="AQ154" s="13">
        <f t="shared" si="84"/>
        <v>6</v>
      </c>
      <c r="AR154" s="173">
        <f t="shared" si="85"/>
        <v>43248</v>
      </c>
      <c r="AS154" s="742">
        <f t="shared" si="86"/>
        <v>0.2857142857142857</v>
      </c>
      <c r="AT154" s="758">
        <f t="shared" si="87"/>
        <v>63.157453352691867</v>
      </c>
      <c r="AU154" s="13">
        <f t="shared" si="88"/>
        <v>7</v>
      </c>
      <c r="AV154" s="13">
        <f t="shared" si="89"/>
        <v>6</v>
      </c>
      <c r="AW154" s="173">
        <f t="shared" si="90"/>
        <v>43262</v>
      </c>
      <c r="AX154" s="742">
        <f t="shared" si="91"/>
        <v>0.7857142857142857</v>
      </c>
      <c r="AY154" s="758">
        <f t="shared" si="92"/>
        <v>63.169765852711031</v>
      </c>
      <c r="AZ154" s="735">
        <f t="shared" si="96"/>
        <v>63.163609602701449</v>
      </c>
      <c r="BA154" s="633">
        <f t="shared" si="93"/>
        <v>0.98893426884309432</v>
      </c>
      <c r="BC154" s="11">
        <v>43240</v>
      </c>
      <c r="BD154" s="289">
        <f>[2]!FeuilCaduc*(1-Persistant)+Persistant</f>
        <v>0.73610898360023957</v>
      </c>
      <c r="BE154" s="290">
        <f>[2]!CroissVégét</f>
        <v>0.29582909613929492</v>
      </c>
      <c r="BF154" s="804">
        <f>1+[2]!Salcycl*Ksac</f>
        <v>1.0236108983600241</v>
      </c>
      <c r="BH154" s="1036">
        <f t="shared" si="94"/>
        <v>1.8385494991408687E-3</v>
      </c>
      <c r="BI154" s="11">
        <v>44336</v>
      </c>
      <c r="BJ154" s="715">
        <v>1.8385494991408685E-3</v>
      </c>
      <c r="BK154" s="715">
        <v>1.8385494991408687E-3</v>
      </c>
      <c r="BL154" s="715">
        <v>1.8385494991408687E-3</v>
      </c>
      <c r="BM154" s="715">
        <v>1.8385494991408687E-3</v>
      </c>
      <c r="BN154" s="715">
        <v>1.8385494991408687E-3</v>
      </c>
      <c r="BO154" s="716">
        <v>1.8385494991408687E-3</v>
      </c>
      <c r="BP154" s="715">
        <v>1.8385494991408687E-3</v>
      </c>
      <c r="BQ154" s="715">
        <v>1.8385494991408687E-3</v>
      </c>
      <c r="BR154" s="715">
        <v>1.8385494991408687E-3</v>
      </c>
      <c r="BS154" s="715">
        <v>1.8385494991408687E-3</v>
      </c>
      <c r="BT154" s="715">
        <v>1.8385494991408685E-3</v>
      </c>
      <c r="BW154" s="1188">
        <f>'2019'!R\Max</f>
        <v>0.79174160268932503</v>
      </c>
      <c r="BX154" s="1188">
        <f>'2020'!R\Max</f>
        <v>0.98893426884309432</v>
      </c>
      <c r="BY154" s="1188">
        <f>'2021'!R\Max</f>
        <v>0.97547075003602024</v>
      </c>
      <c r="BZ154" s="1188">
        <f>'2022'!R\Max</f>
        <v>0.86179885603103057</v>
      </c>
      <c r="CA154" s="1188">
        <f>'2023'!R\Max</f>
        <v>0.86179885603103057</v>
      </c>
      <c r="CB154" s="1188">
        <f>'2024'!R\Max</f>
        <v>0.86179885603103079</v>
      </c>
      <c r="CC154" s="1188">
        <f>'2025'!R\Max</f>
        <v>0.86179885603103068</v>
      </c>
      <c r="CD154" s="1188">
        <f>'2026'!R\Max</f>
        <v>0.86179885603103057</v>
      </c>
      <c r="CE154" s="1189">
        <f>'2027'!R\Max</f>
        <v>0.86179885603103068</v>
      </c>
      <c r="CF154" s="1191">
        <f>'2028'!R\Max</f>
        <v>0.86179885603103068</v>
      </c>
    </row>
    <row r="155" spans="1:84" s="6" customFormat="1" ht="11.25" x14ac:dyDescent="0.2">
      <c r="A155" s="11">
        <v>43241</v>
      </c>
      <c r="B155" s="379">
        <f>'2023'!Maxi_hp</f>
        <v>60.873954388671315</v>
      </c>
      <c r="C155" s="13">
        <f>'2023'!An_max</f>
        <v>2020</v>
      </c>
      <c r="D155" s="1045" t="str">
        <f t="shared" si="78"/>
        <v/>
      </c>
      <c r="E155" s="13"/>
      <c r="F155" s="13">
        <f t="shared" si="95"/>
        <v>11</v>
      </c>
      <c r="G155" s="13">
        <f t="shared" si="79"/>
        <v>12</v>
      </c>
      <c r="H155" s="173">
        <f t="shared" si="80"/>
        <v>43234</v>
      </c>
      <c r="I155" s="742">
        <f t="shared" si="81"/>
        <v>0.5</v>
      </c>
      <c r="J155" s="735">
        <f t="shared" si="82"/>
        <v>63.156968750245866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38">
        <v>43241</v>
      </c>
      <c r="AP155" s="13">
        <f t="shared" si="83"/>
        <v>7</v>
      </c>
      <c r="AQ155" s="13">
        <f t="shared" si="84"/>
        <v>6</v>
      </c>
      <c r="AR155" s="173">
        <f t="shared" si="85"/>
        <v>43248</v>
      </c>
      <c r="AS155" s="742">
        <f t="shared" si="86"/>
        <v>0.25</v>
      </c>
      <c r="AT155" s="758">
        <f t="shared" si="87"/>
        <v>63.160816406179222</v>
      </c>
      <c r="AU155" s="13">
        <f t="shared" si="88"/>
        <v>7</v>
      </c>
      <c r="AV155" s="13">
        <f t="shared" si="89"/>
        <v>6</v>
      </c>
      <c r="AW155" s="173">
        <f t="shared" si="90"/>
        <v>43262</v>
      </c>
      <c r="AX155" s="742">
        <f t="shared" si="91"/>
        <v>0.75</v>
      </c>
      <c r="AY155" s="758">
        <f t="shared" si="92"/>
        <v>63.178515625000003</v>
      </c>
      <c r="AZ155" s="735">
        <f t="shared" si="96"/>
        <v>63.169666015589613</v>
      </c>
      <c r="BA155" s="633">
        <f t="shared" si="93"/>
        <v>0.96385174262237427</v>
      </c>
      <c r="BC155" s="11">
        <v>43241</v>
      </c>
      <c r="BD155" s="289">
        <f>[2]!FeuilCaduc*(1-Persistant)+Persistant</f>
        <v>0.74322125933233163</v>
      </c>
      <c r="BE155" s="290">
        <f>[2]!CroissVégét</f>
        <v>0.30449063118118064</v>
      </c>
      <c r="BF155" s="804">
        <f>1+[2]!Salcycl*Ksac</f>
        <v>1.0243221259332331</v>
      </c>
      <c r="BH155" s="1036">
        <f t="shared" si="94"/>
        <v>1.8311004530456004E-3</v>
      </c>
      <c r="BI155" s="11">
        <v>44337</v>
      </c>
      <c r="BJ155" s="715">
        <v>1.8311004530456004E-3</v>
      </c>
      <c r="BK155" s="715">
        <v>1.8311004530456004E-3</v>
      </c>
      <c r="BL155" s="715">
        <v>1.8311004530456004E-3</v>
      </c>
      <c r="BM155" s="715">
        <v>1.8311004530456004E-3</v>
      </c>
      <c r="BN155" s="715">
        <v>1.8311004530456004E-3</v>
      </c>
      <c r="BO155" s="716">
        <v>1.8311004530456004E-3</v>
      </c>
      <c r="BP155" s="715">
        <v>1.8311004530456004E-3</v>
      </c>
      <c r="BQ155" s="715">
        <v>1.8311004530456004E-3</v>
      </c>
      <c r="BR155" s="715">
        <v>1.8311004530456004E-3</v>
      </c>
      <c r="BS155" s="715">
        <v>1.8311004530456004E-3</v>
      </c>
      <c r="BT155" s="715">
        <v>1.8311004530456004E-3</v>
      </c>
      <c r="BW155" s="1188">
        <f>'2019'!R\Max</f>
        <v>0.77874485642128766</v>
      </c>
      <c r="BX155" s="1188">
        <f>'2020'!R\Max</f>
        <v>0.96385174262237427</v>
      </c>
      <c r="BY155" s="1188">
        <f>'2021'!R\Max</f>
        <v>0.68702757313185003</v>
      </c>
      <c r="BZ155" s="1188">
        <f>'2022'!R\Max</f>
        <v>0.87900817723197366</v>
      </c>
      <c r="CA155" s="1188">
        <f>'2023'!R\Max</f>
        <v>0.87900817723197355</v>
      </c>
      <c r="CB155" s="1188">
        <f>'2024'!R\Max</f>
        <v>0.87900817723197366</v>
      </c>
      <c r="CC155" s="1188">
        <f>'2025'!R\Max</f>
        <v>0.87900817723197355</v>
      </c>
      <c r="CD155" s="1188">
        <f>'2026'!R\Max</f>
        <v>0.87900817723197344</v>
      </c>
      <c r="CE155" s="1189">
        <f>'2027'!R\Max</f>
        <v>0.87900817723197344</v>
      </c>
      <c r="CF155" s="1191">
        <f>'2028'!R\Max</f>
        <v>0.87900817723197366</v>
      </c>
    </row>
    <row r="156" spans="1:84" s="6" customFormat="1" ht="11.25" x14ac:dyDescent="0.2">
      <c r="A156" s="11">
        <v>43242</v>
      </c>
      <c r="B156" s="379">
        <f>'2023'!Maxi_hp</f>
        <v>60.177941095555454</v>
      </c>
      <c r="C156" s="13">
        <f>'2023'!An_max</f>
        <v>2018</v>
      </c>
      <c r="D156" s="1045" t="str">
        <f t="shared" si="78"/>
        <v/>
      </c>
      <c r="E156" s="13"/>
      <c r="F156" s="13">
        <f t="shared" si="95"/>
        <v>11</v>
      </c>
      <c r="G156" s="13">
        <f t="shared" si="79"/>
        <v>12</v>
      </c>
      <c r="H156" s="173">
        <f t="shared" si="80"/>
        <v>43234</v>
      </c>
      <c r="I156" s="742">
        <f t="shared" si="81"/>
        <v>0.5714285714285714</v>
      </c>
      <c r="J156" s="735">
        <f t="shared" si="82"/>
        <v>63.161760932686072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38">
        <v>43242</v>
      </c>
      <c r="AP156" s="13">
        <f t="shared" si="83"/>
        <v>7</v>
      </c>
      <c r="AQ156" s="13">
        <f t="shared" si="84"/>
        <v>6</v>
      </c>
      <c r="AR156" s="173">
        <f t="shared" si="85"/>
        <v>43248</v>
      </c>
      <c r="AS156" s="742">
        <f t="shared" si="86"/>
        <v>0.21428571428571427</v>
      </c>
      <c r="AT156" s="758">
        <f t="shared" si="87"/>
        <v>63.162137846276167</v>
      </c>
      <c r="AU156" s="13">
        <f t="shared" si="88"/>
        <v>7</v>
      </c>
      <c r="AV156" s="13">
        <f t="shared" si="89"/>
        <v>6</v>
      </c>
      <c r="AW156" s="173">
        <f t="shared" si="90"/>
        <v>43262</v>
      </c>
      <c r="AX156" s="742">
        <f t="shared" si="91"/>
        <v>0.7142857142857143</v>
      </c>
      <c r="AY156" s="758">
        <f t="shared" si="92"/>
        <v>63.18387317795839</v>
      </c>
      <c r="AZ156" s="735">
        <f t="shared" si="96"/>
        <v>63.173005512117278</v>
      </c>
      <c r="BA156" s="633">
        <f t="shared" si="93"/>
        <v>0.95275907775417168</v>
      </c>
      <c r="BC156" s="11">
        <v>43242</v>
      </c>
      <c r="BD156" s="289">
        <f>[2]!FeuilCaduc*(1-Persistant)+Persistant</f>
        <v>0.75036448247499921</v>
      </c>
      <c r="BE156" s="290">
        <f>[2]!CroissVégét</f>
        <v>0.3132918316722918</v>
      </c>
      <c r="BF156" s="804">
        <f>1+[2]!Salcycl*Ksac</f>
        <v>1.0250364482474998</v>
      </c>
      <c r="BH156" s="1036">
        <f t="shared" si="94"/>
        <v>1.8204964272176139E-3</v>
      </c>
      <c r="BI156" s="11">
        <v>44338</v>
      </c>
      <c r="BJ156" s="715">
        <v>1.8204964272176142E-3</v>
      </c>
      <c r="BK156" s="715">
        <v>1.8204964272176139E-3</v>
      </c>
      <c r="BL156" s="715">
        <v>1.8204964272176139E-3</v>
      </c>
      <c r="BM156" s="715">
        <v>1.8204964272176139E-3</v>
      </c>
      <c r="BN156" s="715">
        <v>1.8204964272176139E-3</v>
      </c>
      <c r="BO156" s="716">
        <v>1.8204964272176139E-3</v>
      </c>
      <c r="BP156" s="715">
        <v>1.8204964272176139E-3</v>
      </c>
      <c r="BQ156" s="715">
        <v>1.8204964272176139E-3</v>
      </c>
      <c r="BR156" s="715">
        <v>1.8204964272176139E-3</v>
      </c>
      <c r="BS156" s="715">
        <v>1.8204964272176139E-3</v>
      </c>
      <c r="BT156" s="715">
        <v>1.8204964272176142E-3</v>
      </c>
      <c r="BW156" s="1188">
        <f>'2019'!R\Max</f>
        <v>0.95275907775417168</v>
      </c>
      <c r="BX156" s="1188">
        <f>'2020'!R\Max</f>
        <v>0.8564843668255655</v>
      </c>
      <c r="BY156" s="1188">
        <f>'2021'!R\Max</f>
        <v>0.50903198063341881</v>
      </c>
      <c r="BZ156" s="1188">
        <f>'2022'!R\Max</f>
        <v>0.69910334547496078</v>
      </c>
      <c r="CA156" s="1188">
        <f>'2023'!R\Max</f>
        <v>0.69910334547496089</v>
      </c>
      <c r="CB156" s="1188">
        <f>'2024'!R\Max</f>
        <v>0.69910334547496078</v>
      </c>
      <c r="CC156" s="1188">
        <f>'2025'!R\Max</f>
        <v>0.69910334547496078</v>
      </c>
      <c r="CD156" s="1188">
        <f>'2026'!R\Max</f>
        <v>0.69910334547496089</v>
      </c>
      <c r="CE156" s="1189">
        <f>'2027'!R\Max</f>
        <v>0.69910334547496089</v>
      </c>
      <c r="CF156" s="1191">
        <f>'2028'!R\Max</f>
        <v>0.69910334547496078</v>
      </c>
    </row>
    <row r="157" spans="1:84" s="6" customFormat="1" ht="11.25" x14ac:dyDescent="0.2">
      <c r="A157" s="11">
        <v>43243</v>
      </c>
      <c r="B157" s="379">
        <f>'2023'!Maxi_hp</f>
        <v>58.544637750972903</v>
      </c>
      <c r="C157" s="13">
        <f>'2023'!An_max</f>
        <v>2020</v>
      </c>
      <c r="D157" s="1045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73">
        <f t="shared" si="80"/>
        <v>43234</v>
      </c>
      <c r="I157" s="742">
        <f t="shared" si="81"/>
        <v>0.6428571428571429</v>
      </c>
      <c r="J157" s="735">
        <f t="shared" si="82"/>
        <v>63.163896774660259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38">
        <v>43243</v>
      </c>
      <c r="AP157" s="13">
        <f t="shared" si="83"/>
        <v>7</v>
      </c>
      <c r="AQ157" s="13">
        <f t="shared" si="84"/>
        <v>6</v>
      </c>
      <c r="AR157" s="173">
        <f t="shared" si="85"/>
        <v>43248</v>
      </c>
      <c r="AS157" s="742">
        <f t="shared" si="86"/>
        <v>0.17857142857142858</v>
      </c>
      <c r="AT157" s="758">
        <f t="shared" si="87"/>
        <v>63.161619590222834</v>
      </c>
      <c r="AU157" s="13">
        <f t="shared" si="88"/>
        <v>7</v>
      </c>
      <c r="AV157" s="13">
        <f t="shared" si="89"/>
        <v>6</v>
      </c>
      <c r="AW157" s="173">
        <f t="shared" si="90"/>
        <v>43262</v>
      </c>
      <c r="AX157" s="742">
        <f t="shared" si="91"/>
        <v>0.6785714285714286</v>
      </c>
      <c r="AY157" s="758">
        <f t="shared" si="92"/>
        <v>63.185946200548543</v>
      </c>
      <c r="AZ157" s="735">
        <f t="shared" si="96"/>
        <v>63.173782895385685</v>
      </c>
      <c r="BA157" s="633">
        <f t="shared" si="93"/>
        <v>0.92686868195977923</v>
      </c>
      <c r="BC157" s="11">
        <v>43243</v>
      </c>
      <c r="BD157" s="289">
        <f>[2]!FeuilCaduc*(1-Persistant)+Persistant</f>
        <v>0.7575304928083314</v>
      </c>
      <c r="BE157" s="290">
        <f>[2]!CroissVégét</f>
        <v>0.3222284943358365</v>
      </c>
      <c r="BF157" s="804">
        <f>1+[2]!Salcycl*Ksac</f>
        <v>1.0257530492808331</v>
      </c>
      <c r="BH157" s="1036">
        <f t="shared" si="94"/>
        <v>1.8076425774788531E-3</v>
      </c>
      <c r="BI157" s="11">
        <v>44339</v>
      </c>
      <c r="BJ157" s="715">
        <v>1.8076425774788533E-3</v>
      </c>
      <c r="BK157" s="715">
        <v>1.8076425774788531E-3</v>
      </c>
      <c r="BL157" s="715">
        <v>1.8076425774788531E-3</v>
      </c>
      <c r="BM157" s="715">
        <v>1.8076425774788531E-3</v>
      </c>
      <c r="BN157" s="715">
        <v>1.8076425774788531E-3</v>
      </c>
      <c r="BO157" s="716">
        <v>1.8076425774788531E-3</v>
      </c>
      <c r="BP157" s="715">
        <v>1.8076425774788531E-3</v>
      </c>
      <c r="BQ157" s="715">
        <v>1.8076425774788531E-3</v>
      </c>
      <c r="BR157" s="715">
        <v>1.8076425774788531E-3</v>
      </c>
      <c r="BS157" s="715">
        <v>1.8076425774788531E-3</v>
      </c>
      <c r="BT157" s="715">
        <v>1.8076425774788533E-3</v>
      </c>
      <c r="BW157" s="1188">
        <f>'2019'!R\Max</f>
        <v>0.88943788002563717</v>
      </c>
      <c r="BX157" s="1188">
        <f>'2020'!R\Max</f>
        <v>0.92686868195977923</v>
      </c>
      <c r="BY157" s="1188">
        <f>'2021'!R\Max</f>
        <v>0.63644823000340578</v>
      </c>
      <c r="BZ157" s="1188">
        <f>'2022'!R\Max</f>
        <v>0.32770761573836865</v>
      </c>
      <c r="CA157" s="1188">
        <f>'2023'!R\Max</f>
        <v>0.32770761573836865</v>
      </c>
      <c r="CB157" s="1188">
        <f>'2024'!R\Max</f>
        <v>0.32770761573836865</v>
      </c>
      <c r="CC157" s="1188">
        <f>'2025'!R\Max</f>
        <v>0.32770761573836865</v>
      </c>
      <c r="CD157" s="1188">
        <f>'2026'!R\Max</f>
        <v>0.32770761573836865</v>
      </c>
      <c r="CE157" s="1189">
        <f>'2027'!R\Max</f>
        <v>0.3277076157383686</v>
      </c>
      <c r="CF157" s="1191">
        <f>'2028'!R\Max</f>
        <v>0.32770761573836865</v>
      </c>
    </row>
    <row r="158" spans="1:84" s="6" customFormat="1" ht="11.25" x14ac:dyDescent="0.2">
      <c r="A158" s="11">
        <v>43244</v>
      </c>
      <c r="B158" s="379">
        <f>'2023'!Maxi_hp</f>
        <v>26.742649720256367</v>
      </c>
      <c r="C158" s="13">
        <f>'2023'!An_max</f>
        <v>2021</v>
      </c>
      <c r="D158" s="1045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73">
        <f t="shared" si="80"/>
        <v>43234</v>
      </c>
      <c r="I158" s="742">
        <f t="shared" si="81"/>
        <v>0.7142857142857143</v>
      </c>
      <c r="J158" s="735">
        <f t="shared" si="82"/>
        <v>63.163483965130787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38">
        <v>43244</v>
      </c>
      <c r="AP158" s="13">
        <f t="shared" si="83"/>
        <v>7</v>
      </c>
      <c r="AQ158" s="13">
        <f t="shared" si="84"/>
        <v>6</v>
      </c>
      <c r="AR158" s="173">
        <f t="shared" si="85"/>
        <v>43248</v>
      </c>
      <c r="AS158" s="742">
        <f t="shared" si="86"/>
        <v>0.14285714285714285</v>
      </c>
      <c r="AT158" s="758">
        <f t="shared" si="87"/>
        <v>63.159463556749486</v>
      </c>
      <c r="AU158" s="13">
        <f t="shared" si="88"/>
        <v>7</v>
      </c>
      <c r="AV158" s="13">
        <f t="shared" si="89"/>
        <v>6</v>
      </c>
      <c r="AW158" s="173">
        <f t="shared" si="90"/>
        <v>43262</v>
      </c>
      <c r="AX158" s="742">
        <f t="shared" si="91"/>
        <v>0.6428571428571429</v>
      </c>
      <c r="AY158" s="758">
        <f t="shared" si="92"/>
        <v>63.184842383781714</v>
      </c>
      <c r="AZ158" s="735">
        <f t="shared" si="96"/>
        <v>63.1721529702656</v>
      </c>
      <c r="BA158" s="633">
        <f t="shared" si="93"/>
        <v>0.42338781906044903</v>
      </c>
      <c r="BC158" s="11">
        <v>43244</v>
      </c>
      <c r="BD158" s="289">
        <f>[2]!FeuilCaduc*(1-Persistant)+Persistant</f>
        <v>0.7647109546455817</v>
      </c>
      <c r="BE158" s="290">
        <f>[2]!CroissVégét</f>
        <v>0.33129605339749552</v>
      </c>
      <c r="BF158" s="804">
        <f>1+[2]!Salcycl*Ksac</f>
        <v>1.0264710954645582</v>
      </c>
      <c r="BH158" s="1036">
        <f t="shared" si="94"/>
        <v>1.7925341115948327E-3</v>
      </c>
      <c r="BI158" s="11">
        <v>44340</v>
      </c>
      <c r="BJ158" s="715">
        <v>1.7925341115948327E-3</v>
      </c>
      <c r="BK158" s="715">
        <v>1.7925341115948327E-3</v>
      </c>
      <c r="BL158" s="715">
        <v>1.7925341115948327E-3</v>
      </c>
      <c r="BM158" s="715">
        <v>1.7925341115948327E-3</v>
      </c>
      <c r="BN158" s="715">
        <v>1.7925341115948327E-3</v>
      </c>
      <c r="BO158" s="716">
        <v>1.7925341115948327E-3</v>
      </c>
      <c r="BP158" s="715">
        <v>1.7925341115948327E-3</v>
      </c>
      <c r="BQ158" s="715">
        <v>1.7925341115948327E-3</v>
      </c>
      <c r="BR158" s="715">
        <v>1.7925341115948327E-3</v>
      </c>
      <c r="BS158" s="715">
        <v>1.7925341115948327E-3</v>
      </c>
      <c r="BT158" s="715">
        <v>1.7925341115948327E-3</v>
      </c>
      <c r="BW158" s="1188">
        <f>'2019'!R\Max</f>
        <v>0.19887373696395916</v>
      </c>
      <c r="BX158" s="1188">
        <f>'2020'!R\Max</f>
        <v>0.29084692947801533</v>
      </c>
      <c r="BY158" s="1188">
        <f>'2021'!R\Max</f>
        <v>0.42338781906044903</v>
      </c>
      <c r="BZ158" s="1188">
        <f>'2022'!R\Max</f>
        <v>0.28629262057704186</v>
      </c>
      <c r="CA158" s="1188">
        <f>'2023'!R\Max</f>
        <v>0.28629262057704186</v>
      </c>
      <c r="CB158" s="1188">
        <f>'2024'!R\Max</f>
        <v>0.28629262057704191</v>
      </c>
      <c r="CC158" s="1188">
        <f>'2025'!R\Max</f>
        <v>0.28629262057704191</v>
      </c>
      <c r="CD158" s="1188">
        <f>'2026'!R\Max</f>
        <v>0.28629262057704186</v>
      </c>
      <c r="CE158" s="1189">
        <f>'2027'!R\Max</f>
        <v>0.28629262057704186</v>
      </c>
      <c r="CF158" s="1191">
        <f>'2028'!R\Max</f>
        <v>0.2862926205770418</v>
      </c>
    </row>
    <row r="159" spans="1:84" s="6" customFormat="1" ht="11.25" x14ac:dyDescent="0.2">
      <c r="A159" s="11">
        <v>43245</v>
      </c>
      <c r="B159" s="379">
        <f>'2023'!Maxi_hp</f>
        <v>59.02247557748224</v>
      </c>
      <c r="C159" s="13">
        <f>'2023'!An_max</f>
        <v>2020</v>
      </c>
      <c r="D159" s="1045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73">
        <f t="shared" si="80"/>
        <v>43234</v>
      </c>
      <c r="I159" s="742">
        <f t="shared" si="81"/>
        <v>0.7857142857142857</v>
      </c>
      <c r="J159" s="735">
        <f t="shared" si="82"/>
        <v>63.16063019274069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38">
        <v>43245</v>
      </c>
      <c r="AP159" s="13">
        <f t="shared" si="83"/>
        <v>7</v>
      </c>
      <c r="AQ159" s="13">
        <f t="shared" si="84"/>
        <v>6</v>
      </c>
      <c r="AR159" s="173">
        <f t="shared" si="85"/>
        <v>43248</v>
      </c>
      <c r="AS159" s="742">
        <f t="shared" si="86"/>
        <v>0.10714285714285714</v>
      </c>
      <c r="AT159" s="758">
        <f t="shared" si="87"/>
        <v>63.15587166325588</v>
      </c>
      <c r="AU159" s="13">
        <f t="shared" si="88"/>
        <v>7</v>
      </c>
      <c r="AV159" s="13">
        <f t="shared" si="89"/>
        <v>6</v>
      </c>
      <c r="AW159" s="173">
        <f t="shared" si="90"/>
        <v>43262</v>
      </c>
      <c r="AX159" s="742">
        <f t="shared" si="91"/>
        <v>0.6071428571428571</v>
      </c>
      <c r="AY159" s="758">
        <f t="shared" si="92"/>
        <v>63.180669414890666</v>
      </c>
      <c r="AZ159" s="735">
        <f t="shared" si="96"/>
        <v>63.168270539073276</v>
      </c>
      <c r="BA159" s="633">
        <f t="shared" si="93"/>
        <v>0.93448205626463077</v>
      </c>
      <c r="BC159" s="11">
        <v>43245</v>
      </c>
      <c r="BD159" s="289">
        <f>[2]!FeuilCaduc*(1-Persistant)+Persistant</f>
        <v>0.77189738142514019</v>
      </c>
      <c r="BE159" s="290">
        <f>[2]!CroissVégét</f>
        <v>0.34048958423292969</v>
      </c>
      <c r="BF159" s="804">
        <f>1+[2]!Salcycl*Ksac</f>
        <v>1.0271897381425139</v>
      </c>
      <c r="BH159" s="1036">
        <f t="shared" si="94"/>
        <v>1.7751774771602117E-3</v>
      </c>
      <c r="BI159" s="11">
        <v>44341</v>
      </c>
      <c r="BJ159" s="715">
        <v>1.7751774771602117E-3</v>
      </c>
      <c r="BK159" s="715">
        <v>1.7751774771602117E-3</v>
      </c>
      <c r="BL159" s="715">
        <v>1.7751774771602117E-3</v>
      </c>
      <c r="BM159" s="715">
        <v>1.7751774771602117E-3</v>
      </c>
      <c r="BN159" s="715">
        <v>1.7751774771602117E-3</v>
      </c>
      <c r="BO159" s="716">
        <v>1.7751774771602117E-3</v>
      </c>
      <c r="BP159" s="715">
        <v>1.7751774771602117E-3</v>
      </c>
      <c r="BQ159" s="715">
        <v>1.7751774771602117E-3</v>
      </c>
      <c r="BR159" s="715">
        <v>1.7751774771602117E-3</v>
      </c>
      <c r="BS159" s="715">
        <v>1.7751774771602117E-3</v>
      </c>
      <c r="BT159" s="715">
        <v>1.7751774771602117E-3</v>
      </c>
      <c r="BW159" s="1188">
        <f>'2019'!R\Max</f>
        <v>0.38324815883371705</v>
      </c>
      <c r="BX159" s="1188">
        <f>'2020'!R\Max</f>
        <v>0.93448205626463077</v>
      </c>
      <c r="BY159" s="1188">
        <f>'2021'!R\Max</f>
        <v>0.82412542961105306</v>
      </c>
      <c r="BZ159" s="1188">
        <f>'2022'!R\Max</f>
        <v>0.72829001861801534</v>
      </c>
      <c r="CA159" s="1188">
        <f>'2023'!R\Max</f>
        <v>0.72829001861801534</v>
      </c>
      <c r="CB159" s="1188">
        <f>'2024'!R\Max</f>
        <v>0.72829001861801534</v>
      </c>
      <c r="CC159" s="1188">
        <f>'2025'!R\Max</f>
        <v>0.72829001861801546</v>
      </c>
      <c r="CD159" s="1188">
        <f>'2026'!R\Max</f>
        <v>0.72829001861801546</v>
      </c>
      <c r="CE159" s="1189">
        <f>'2027'!R\Max</f>
        <v>0.72829001861801534</v>
      </c>
      <c r="CF159" s="1191">
        <f>'2028'!R\Max</f>
        <v>0.72829001861801546</v>
      </c>
    </row>
    <row r="160" spans="1:84" s="6" customFormat="1" ht="11.25" x14ac:dyDescent="0.2">
      <c r="A160" s="11">
        <v>43246</v>
      </c>
      <c r="B160" s="379">
        <f>'2023'!Maxi_hp</f>
        <v>61.793070992258549</v>
      </c>
      <c r="C160" s="13">
        <f>'2023'!An_max</f>
        <v>2020</v>
      </c>
      <c r="D160" s="1045">
        <f t="shared" si="78"/>
        <v>0.97842827018236467</v>
      </c>
      <c r="E160" s="13"/>
      <c r="F160" s="13">
        <f t="shared" si="95"/>
        <v>11</v>
      </c>
      <c r="G160" s="13">
        <f t="shared" si="79"/>
        <v>12</v>
      </c>
      <c r="H160" s="173">
        <f t="shared" si="80"/>
        <v>43234</v>
      </c>
      <c r="I160" s="742">
        <f t="shared" si="81"/>
        <v>0.8571428571428571</v>
      </c>
      <c r="J160" s="735">
        <f t="shared" si="82"/>
        <v>63.155443148368178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38">
        <v>43246</v>
      </c>
      <c r="AP160" s="13">
        <f t="shared" si="83"/>
        <v>7</v>
      </c>
      <c r="AQ160" s="13">
        <f t="shared" si="84"/>
        <v>6</v>
      </c>
      <c r="AR160" s="173">
        <f t="shared" si="85"/>
        <v>43248</v>
      </c>
      <c r="AS160" s="742">
        <f t="shared" si="86"/>
        <v>7.1428571428571425E-2</v>
      </c>
      <c r="AT160" s="758">
        <f t="shared" si="87"/>
        <v>63.15104582698217</v>
      </c>
      <c r="AU160" s="13">
        <f t="shared" si="88"/>
        <v>7</v>
      </c>
      <c r="AV160" s="13">
        <f t="shared" si="89"/>
        <v>6</v>
      </c>
      <c r="AW160" s="173">
        <f t="shared" si="90"/>
        <v>43262</v>
      </c>
      <c r="AX160" s="742">
        <f t="shared" si="91"/>
        <v>0.5714285714285714</v>
      </c>
      <c r="AY160" s="758">
        <f t="shared" si="92"/>
        <v>63.173534985738137</v>
      </c>
      <c r="AZ160" s="735">
        <f t="shared" si="96"/>
        <v>63.162290406360157</v>
      </c>
      <c r="BA160" s="633">
        <f t="shared" si="93"/>
        <v>0.97842827018236467</v>
      </c>
      <c r="BC160" s="11">
        <v>43246</v>
      </c>
      <c r="BD160" s="289">
        <f>[2]!FeuilCaduc*(1-Persistant)+Persistant</f>
        <v>0.77908116180847387</v>
      </c>
      <c r="BE160" s="290">
        <f>[2]!CroissVégét</f>
        <v>0.34980380891459434</v>
      </c>
      <c r="BF160" s="804">
        <f>1+[2]!Salcycl*Ksac</f>
        <v>1.0279081161808474</v>
      </c>
      <c r="BH160" s="1036">
        <f t="shared" si="94"/>
        <v>1.755579306199179E-3</v>
      </c>
      <c r="BI160" s="11">
        <v>44342</v>
      </c>
      <c r="BJ160" s="715">
        <v>1.755579306199179E-3</v>
      </c>
      <c r="BK160" s="715">
        <v>1.755579306199179E-3</v>
      </c>
      <c r="BL160" s="715">
        <v>1.755579306199179E-3</v>
      </c>
      <c r="BM160" s="715">
        <v>1.755579306199179E-3</v>
      </c>
      <c r="BN160" s="715">
        <v>1.755579306199179E-3</v>
      </c>
      <c r="BO160" s="716">
        <v>1.755579306199179E-3</v>
      </c>
      <c r="BP160" s="715">
        <v>1.755579306199179E-3</v>
      </c>
      <c r="BQ160" s="715">
        <v>1.755579306199179E-3</v>
      </c>
      <c r="BR160" s="715">
        <v>1.755579306199179E-3</v>
      </c>
      <c r="BS160" s="715">
        <v>1.755579306199179E-3</v>
      </c>
      <c r="BT160" s="715">
        <v>1.755579306199179E-3</v>
      </c>
      <c r="BW160" s="1188">
        <f>'2019'!R\Max</f>
        <v>0.37296679596734877</v>
      </c>
      <c r="BX160" s="1188">
        <f>'2020'!R\Max</f>
        <v>0.97842827018236467</v>
      </c>
      <c r="BY160" s="1188">
        <f>'2021'!R\Max</f>
        <v>0.88753872387922417</v>
      </c>
      <c r="BZ160" s="1188">
        <f>'2022'!R\Max</f>
        <v>0.47524551570704993</v>
      </c>
      <c r="CA160" s="1188">
        <f>'2023'!R\Max</f>
        <v>0.47524551570704998</v>
      </c>
      <c r="CB160" s="1188">
        <f>'2024'!R\Max</f>
        <v>0.47524551570704993</v>
      </c>
      <c r="CC160" s="1188">
        <f>'2025'!R\Max</f>
        <v>0.47524551570704998</v>
      </c>
      <c r="CD160" s="1188">
        <f>'2026'!R\Max</f>
        <v>0.47524551570704998</v>
      </c>
      <c r="CE160" s="1189">
        <f>'2027'!R\Max</f>
        <v>0.47524551570704998</v>
      </c>
      <c r="CF160" s="1191">
        <f>'2028'!R\Max</f>
        <v>0.47524551570704998</v>
      </c>
    </row>
    <row r="161" spans="1:84" s="6" customFormat="1" ht="11.25" x14ac:dyDescent="0.2">
      <c r="A161" s="11">
        <v>43247</v>
      </c>
      <c r="B161" s="379">
        <f>'2023'!Maxi_hp</f>
        <v>61.558653979625923</v>
      </c>
      <c r="C161" s="13">
        <f>'2023'!An_max</f>
        <v>2020</v>
      </c>
      <c r="D161" s="1045">
        <f t="shared" si="78"/>
        <v>0.97483094043765073</v>
      </c>
      <c r="E161" s="13"/>
      <c r="F161" s="13">
        <f t="shared" si="95"/>
        <v>11</v>
      </c>
      <c r="G161" s="13">
        <f t="shared" si="79"/>
        <v>12</v>
      </c>
      <c r="H161" s="173">
        <f t="shared" si="80"/>
        <v>43234</v>
      </c>
      <c r="I161" s="742">
        <f t="shared" si="81"/>
        <v>0.9285714285714286</v>
      </c>
      <c r="J161" s="735">
        <f t="shared" si="82"/>
        <v>63.148030521055418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38">
        <v>43247</v>
      </c>
      <c r="AP161" s="13">
        <f t="shared" si="83"/>
        <v>7</v>
      </c>
      <c r="AQ161" s="13">
        <f t="shared" si="84"/>
        <v>6</v>
      </c>
      <c r="AR161" s="173">
        <f t="shared" si="85"/>
        <v>43248</v>
      </c>
      <c r="AS161" s="742">
        <f t="shared" si="86"/>
        <v>3.5714285714285712E-2</v>
      </c>
      <c r="AT161" s="758">
        <f t="shared" si="87"/>
        <v>63.145187966751735</v>
      </c>
      <c r="AU161" s="13">
        <f t="shared" si="88"/>
        <v>7</v>
      </c>
      <c r="AV161" s="13">
        <f t="shared" si="89"/>
        <v>6</v>
      </c>
      <c r="AW161" s="173">
        <f t="shared" si="90"/>
        <v>43262</v>
      </c>
      <c r="AX161" s="742">
        <f t="shared" si="91"/>
        <v>0.5357142857142857</v>
      </c>
      <c r="AY161" s="758">
        <f t="shared" si="92"/>
        <v>63.163546783982646</v>
      </c>
      <c r="AZ161" s="735">
        <f t="shared" si="96"/>
        <v>63.154367375367187</v>
      </c>
      <c r="BA161" s="633">
        <f t="shared" si="93"/>
        <v>0.97483094043765073</v>
      </c>
      <c r="BC161" s="11">
        <v>43247</v>
      </c>
      <c r="BD161" s="289">
        <f>[2]!FeuilCaduc*(1-Persistant)+Persistant</f>
        <v>0.78625358716645866</v>
      </c>
      <c r="BE161" s="290">
        <f>[2]!CroissVégét</f>
        <v>0.35923310369654604</v>
      </c>
      <c r="BF161" s="804">
        <f>1+[2]!Salcycl*Ksac</f>
        <v>1.0286253587166458</v>
      </c>
      <c r="BH161" s="1036">
        <f t="shared" si="94"/>
        <v>1.7337463851945492E-3</v>
      </c>
      <c r="BI161" s="11">
        <v>44343</v>
      </c>
      <c r="BJ161" s="715">
        <v>1.7337463851945492E-3</v>
      </c>
      <c r="BK161" s="715">
        <v>1.7337463851945492E-3</v>
      </c>
      <c r="BL161" s="715">
        <v>1.7337463851945492E-3</v>
      </c>
      <c r="BM161" s="715">
        <v>1.7337463851945492E-3</v>
      </c>
      <c r="BN161" s="715">
        <v>1.7337463851945492E-3</v>
      </c>
      <c r="BO161" s="716">
        <v>1.7337463851945492E-3</v>
      </c>
      <c r="BP161" s="715">
        <v>1.7337463851945492E-3</v>
      </c>
      <c r="BQ161" s="715">
        <v>1.7337463851945492E-3</v>
      </c>
      <c r="BR161" s="715">
        <v>1.7337463851945492E-3</v>
      </c>
      <c r="BS161" s="715">
        <v>1.7337463851945492E-3</v>
      </c>
      <c r="BT161" s="715">
        <v>1.7337463851945492E-3</v>
      </c>
      <c r="BW161" s="1188">
        <f>'2019'!R\Max</f>
        <v>0.47348348426714587</v>
      </c>
      <c r="BX161" s="1188">
        <f>'2020'!R\Max</f>
        <v>0.97483094043765073</v>
      </c>
      <c r="BY161" s="1188">
        <f>'2021'!R\Max</f>
        <v>0.97439871112124676</v>
      </c>
      <c r="BZ161" s="1188">
        <f>'2022'!R\Max</f>
        <v>0.75407485018699716</v>
      </c>
      <c r="CA161" s="1188">
        <f>'2023'!R\Max</f>
        <v>0.75407485018699716</v>
      </c>
      <c r="CB161" s="1188">
        <f>'2024'!R\Max</f>
        <v>0.75407485018699727</v>
      </c>
      <c r="CC161" s="1188">
        <f>'2025'!R\Max</f>
        <v>0.75407485018699716</v>
      </c>
      <c r="CD161" s="1188">
        <f>'2026'!R\Max</f>
        <v>0.75407485018699727</v>
      </c>
      <c r="CE161" s="1189">
        <f>'2027'!R\Max</f>
        <v>0.75407485018699716</v>
      </c>
      <c r="CF161" s="1191">
        <f>'2028'!R\Max</f>
        <v>0.75407485018699727</v>
      </c>
    </row>
    <row r="162" spans="1:84" s="6" customFormat="1" ht="11.25" x14ac:dyDescent="0.2">
      <c r="A162" s="11">
        <v>43248</v>
      </c>
      <c r="B162" s="379">
        <f>'2023'!Maxi_hp</f>
        <v>60.976736931549574</v>
      </c>
      <c r="C162" s="13">
        <f>'2023'!An_max</f>
        <v>2020</v>
      </c>
      <c r="D162" s="1045" t="str">
        <f t="shared" si="78"/>
        <v/>
      </c>
      <c r="E162" s="1040">
        <f>X$13/10</f>
        <v>63.138500000000001</v>
      </c>
      <c r="F162" s="13">
        <f t="shared" si="95"/>
        <v>13</v>
      </c>
      <c r="G162" s="13">
        <f t="shared" si="79"/>
        <v>12</v>
      </c>
      <c r="H162" s="173">
        <f t="shared" si="80"/>
        <v>43262</v>
      </c>
      <c r="I162" s="742">
        <f t="shared" si="81"/>
        <v>1</v>
      </c>
      <c r="J162" s="735">
        <f t="shared" si="82"/>
        <v>63.138499999418855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38">
        <v>43248</v>
      </c>
      <c r="AP162" s="13">
        <f t="shared" si="83"/>
        <v>7</v>
      </c>
      <c r="AQ162" s="13">
        <f t="shared" si="84"/>
        <v>8</v>
      </c>
      <c r="AR162" s="173">
        <f t="shared" si="85"/>
        <v>43248</v>
      </c>
      <c r="AS162" s="742">
        <f t="shared" si="86"/>
        <v>0</v>
      </c>
      <c r="AT162" s="758">
        <f t="shared" si="87"/>
        <v>63.138499999418855</v>
      </c>
      <c r="AU162" s="13">
        <f t="shared" si="88"/>
        <v>7</v>
      </c>
      <c r="AV162" s="13">
        <f t="shared" si="89"/>
        <v>6</v>
      </c>
      <c r="AW162" s="173">
        <f t="shared" si="90"/>
        <v>43262</v>
      </c>
      <c r="AX162" s="742">
        <f t="shared" si="91"/>
        <v>0.5</v>
      </c>
      <c r="AY162" s="758">
        <f t="shared" si="92"/>
        <v>63.150812500342724</v>
      </c>
      <c r="AZ162" s="735">
        <f t="shared" si="96"/>
        <v>63.144656249880789</v>
      </c>
      <c r="BA162" s="633">
        <f t="shared" si="93"/>
        <v>0.96576157070742608</v>
      </c>
      <c r="BC162" s="11">
        <v>43248</v>
      </c>
      <c r="BD162" s="289">
        <f>[2]!FeuilCaduc*(1-Persistant)+Persistant</f>
        <v>0.79340588032111792</v>
      </c>
      <c r="BE162" s="290">
        <f>[2]!CroissVégét</f>
        <v>0.3687715084596308</v>
      </c>
      <c r="BF162" s="804">
        <f>1+[2]!Salcycl*Ksac</f>
        <v>1.0293405880321118</v>
      </c>
      <c r="BH162" s="1036">
        <f t="shared" si="94"/>
        <v>1.7096856251768865E-3</v>
      </c>
      <c r="BI162" s="11">
        <v>44344</v>
      </c>
      <c r="BJ162" s="715">
        <v>1.7096856251768862E-3</v>
      </c>
      <c r="BK162" s="715">
        <v>1.7096856251768865E-3</v>
      </c>
      <c r="BL162" s="715">
        <v>1.7096856251768865E-3</v>
      </c>
      <c r="BM162" s="715">
        <v>1.7096856251768865E-3</v>
      </c>
      <c r="BN162" s="715">
        <v>1.7096856251768865E-3</v>
      </c>
      <c r="BO162" s="716">
        <v>1.7096856251768865E-3</v>
      </c>
      <c r="BP162" s="715">
        <v>1.7096856251768865E-3</v>
      </c>
      <c r="BQ162" s="715">
        <v>1.7096856251768865E-3</v>
      </c>
      <c r="BR162" s="715">
        <v>1.7096856251768865E-3</v>
      </c>
      <c r="BS162" s="715">
        <v>1.7096856251768865E-3</v>
      </c>
      <c r="BT162" s="715">
        <v>1.7096856251768862E-3</v>
      </c>
      <c r="BW162" s="1188">
        <f>'2019'!R\Max</f>
        <v>0.4394253466376038</v>
      </c>
      <c r="BX162" s="1188">
        <f>'2020'!R\Max</f>
        <v>0.96576157070742608</v>
      </c>
      <c r="BY162" s="1188">
        <f>'2021'!R\Max</f>
        <v>0.87296997568326895</v>
      </c>
      <c r="BZ162" s="1188">
        <f>'2022'!R\Max</f>
        <v>0.93862669846152225</v>
      </c>
      <c r="CA162" s="1188">
        <f>'2023'!R\Max</f>
        <v>0.93862669846152225</v>
      </c>
      <c r="CB162" s="1188">
        <f>'2024'!R\Max</f>
        <v>0.93862669846152214</v>
      </c>
      <c r="CC162" s="1188">
        <f>'2025'!R\Max</f>
        <v>0.93862669846152225</v>
      </c>
      <c r="CD162" s="1188">
        <f>'2026'!R\Max</f>
        <v>0.93862669846152225</v>
      </c>
      <c r="CE162" s="1189">
        <f>'2027'!R\Max</f>
        <v>0.93862669846152225</v>
      </c>
      <c r="CF162" s="1191">
        <f>'2028'!R\Max</f>
        <v>0.93862669846152225</v>
      </c>
    </row>
    <row r="163" spans="1:84" s="6" customFormat="1" ht="11.25" x14ac:dyDescent="0.2">
      <c r="A163" s="11">
        <v>43249</v>
      </c>
      <c r="B163" s="379">
        <f>'2023'!Maxi_hp</f>
        <v>64.121433060958893</v>
      </c>
      <c r="C163" s="13">
        <f>'2023'!An_max</f>
        <v>2023</v>
      </c>
      <c r="D163" s="1045">
        <f t="shared" si="78"/>
        <v>1.0157616376594198</v>
      </c>
      <c r="E163" s="13"/>
      <c r="F163" s="13">
        <f t="shared" si="95"/>
        <v>13</v>
      </c>
      <c r="G163" s="13">
        <f t="shared" si="79"/>
        <v>12</v>
      </c>
      <c r="H163" s="173">
        <f t="shared" si="80"/>
        <v>43262</v>
      </c>
      <c r="I163" s="742">
        <f t="shared" si="81"/>
        <v>0.9285714285714286</v>
      </c>
      <c r="J163" s="735">
        <f t="shared" si="82"/>
        <v>63.12645672336221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38">
        <v>43249</v>
      </c>
      <c r="AP163" s="13">
        <f t="shared" si="83"/>
        <v>7</v>
      </c>
      <c r="AQ163" s="13">
        <f t="shared" si="84"/>
        <v>8</v>
      </c>
      <c r="AR163" s="173">
        <f t="shared" si="85"/>
        <v>43248</v>
      </c>
      <c r="AS163" s="742">
        <f t="shared" si="86"/>
        <v>3.5714285714285712E-2</v>
      </c>
      <c r="AT163" s="758">
        <f t="shared" si="87"/>
        <v>63.12984445571368</v>
      </c>
      <c r="AU163" s="13">
        <f t="shared" si="88"/>
        <v>7</v>
      </c>
      <c r="AV163" s="13">
        <f t="shared" si="89"/>
        <v>6</v>
      </c>
      <c r="AW163" s="173">
        <f t="shared" si="90"/>
        <v>43262</v>
      </c>
      <c r="AX163" s="742">
        <f t="shared" si="91"/>
        <v>0.4642857142857143</v>
      </c>
      <c r="AY163" s="758">
        <f t="shared" si="92"/>
        <v>63.135439823261869</v>
      </c>
      <c r="AZ163" s="735">
        <f t="shared" si="96"/>
        <v>63.132642139487771</v>
      </c>
      <c r="BA163" s="633">
        <f t="shared" si="93"/>
        <v>1.0157616376594198</v>
      </c>
      <c r="BC163" s="11">
        <v>43249</v>
      </c>
      <c r="BD163" s="289">
        <f>[2]!FeuilCaduc*(1-Persistant)+Persistant</f>
        <v>0.80052922539522431</v>
      </c>
      <c r="BE163" s="290">
        <f>[2]!CroissVégét</f>
        <v>0.37841273812207477</v>
      </c>
      <c r="BF163" s="804">
        <f>1+[2]!Salcycl*Ksac</f>
        <v>1.0300529225395225</v>
      </c>
      <c r="BH163" s="1036">
        <f t="shared" si="94"/>
        <v>1.6834040317708764E-3</v>
      </c>
      <c r="BI163" s="11">
        <v>44345</v>
      </c>
      <c r="BJ163" s="715">
        <v>1.6834040317708764E-3</v>
      </c>
      <c r="BK163" s="715">
        <v>1.6834040317708764E-3</v>
      </c>
      <c r="BL163" s="715">
        <v>1.6834040317708764E-3</v>
      </c>
      <c r="BM163" s="715">
        <v>1.6834040317708764E-3</v>
      </c>
      <c r="BN163" s="715">
        <v>1.6834040317708764E-3</v>
      </c>
      <c r="BO163" s="716">
        <v>1.6834040317708764E-3</v>
      </c>
      <c r="BP163" s="715">
        <v>1.6834040317708764E-3</v>
      </c>
      <c r="BQ163" s="715">
        <v>1.6834040317708764E-3</v>
      </c>
      <c r="BR163" s="715">
        <v>1.6834040317708764E-3</v>
      </c>
      <c r="BS163" s="715">
        <v>1.6834040317708764E-3</v>
      </c>
      <c r="BT163" s="715">
        <v>1.6834040317708764E-3</v>
      </c>
      <c r="BW163" s="1188">
        <f>'2019'!R\Max</f>
        <v>0.60348750060867185</v>
      </c>
      <c r="BX163" s="1188">
        <f>'2020'!R\Max</f>
        <v>0.96551607467598721</v>
      </c>
      <c r="BY163" s="1188">
        <f>'2021'!R\Max</f>
        <v>0.55359771969580984</v>
      </c>
      <c r="BZ163" s="1188">
        <f>'2022'!R\Max</f>
        <v>1.0157616376594201</v>
      </c>
      <c r="CA163" s="1188">
        <f>'2023'!R\Max</f>
        <v>1.0157616376594198</v>
      </c>
      <c r="CB163" s="1188">
        <f>'2024'!R\Max</f>
        <v>1.0157616376594198</v>
      </c>
      <c r="CC163" s="1188">
        <f>'2025'!R\Max</f>
        <v>1.0157616376594198</v>
      </c>
      <c r="CD163" s="1188">
        <f>'2026'!R\Max</f>
        <v>1.0157616376594198</v>
      </c>
      <c r="CE163" s="1189">
        <f>'2027'!R\Max</f>
        <v>1.0157616376594198</v>
      </c>
      <c r="CF163" s="1191">
        <f>'2028'!R\Max</f>
        <v>1.0157616376594198</v>
      </c>
    </row>
    <row r="164" spans="1:84" s="6" customFormat="1" ht="11.25" x14ac:dyDescent="0.2">
      <c r="A164" s="11">
        <v>43250</v>
      </c>
      <c r="B164" s="379">
        <f>'2023'!Maxi_hp</f>
        <v>59.216456207612119</v>
      </c>
      <c r="C164" s="13">
        <f>'2023'!An_max</f>
        <v>2020</v>
      </c>
      <c r="D164" s="1045" t="str">
        <f t="shared" si="78"/>
        <v/>
      </c>
      <c r="E164" s="13"/>
      <c r="F164" s="13">
        <f t="shared" si="95"/>
        <v>13</v>
      </c>
      <c r="G164" s="13">
        <f t="shared" si="79"/>
        <v>12</v>
      </c>
      <c r="H164" s="173">
        <f t="shared" si="80"/>
        <v>43262</v>
      </c>
      <c r="I164" s="742">
        <f t="shared" si="81"/>
        <v>0.8571428571428571</v>
      </c>
      <c r="J164" s="735">
        <f t="shared" si="82"/>
        <v>63.1115058301815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38">
        <v>43250</v>
      </c>
      <c r="AP164" s="13">
        <f t="shared" si="83"/>
        <v>7</v>
      </c>
      <c r="AQ164" s="13">
        <f t="shared" si="84"/>
        <v>8</v>
      </c>
      <c r="AR164" s="173">
        <f t="shared" si="85"/>
        <v>43248</v>
      </c>
      <c r="AS164" s="742">
        <f t="shared" si="86"/>
        <v>7.1428571428571425E-2</v>
      </c>
      <c r="AT164" s="758">
        <f t="shared" si="87"/>
        <v>63.118003098054658</v>
      </c>
      <c r="AU164" s="13">
        <f t="shared" si="88"/>
        <v>7</v>
      </c>
      <c r="AV164" s="13">
        <f t="shared" si="89"/>
        <v>6</v>
      </c>
      <c r="AW164" s="173">
        <f t="shared" si="90"/>
        <v>43262</v>
      </c>
      <c r="AX164" s="742">
        <f t="shared" si="91"/>
        <v>0.42857142857142855</v>
      </c>
      <c r="AY164" s="758">
        <f t="shared" si="92"/>
        <v>63.117536443525125</v>
      </c>
      <c r="AZ164" s="735">
        <f t="shared" si="96"/>
        <v>63.117769770789891</v>
      </c>
      <c r="BA164" s="633">
        <f t="shared" si="93"/>
        <v>0.93828305043061311</v>
      </c>
      <c r="BC164" s="11">
        <v>43250</v>
      </c>
      <c r="BD164" s="289">
        <f>[2]!FeuilCaduc*(1-Persistant)+Persistant</f>
        <v>0.80761479860862817</v>
      </c>
      <c r="BE164" s="290">
        <f>[2]!CroissVégét</f>
        <v>0.38815019600224987</v>
      </c>
      <c r="BF164" s="804">
        <f>1+[2]!Salcycl*Ksac</f>
        <v>1.0307614798608629</v>
      </c>
      <c r="BH164" s="1036">
        <f t="shared" si="94"/>
        <v>1.6560221038979933E-3</v>
      </c>
      <c r="BI164" s="11">
        <v>44346</v>
      </c>
      <c r="BJ164" s="715">
        <v>1.6560221038979933E-3</v>
      </c>
      <c r="BK164" s="715">
        <v>1.6560221038979933E-3</v>
      </c>
      <c r="BL164" s="715">
        <v>1.6560221038979933E-3</v>
      </c>
      <c r="BM164" s="715">
        <v>1.6560221038979933E-3</v>
      </c>
      <c r="BN164" s="715">
        <v>1.6560221038979933E-3</v>
      </c>
      <c r="BO164" s="716">
        <v>1.6560221038979933E-3</v>
      </c>
      <c r="BP164" s="715">
        <v>1.6560221038979933E-3</v>
      </c>
      <c r="BQ164" s="715">
        <v>1.6560221038979933E-3</v>
      </c>
      <c r="BR164" s="715">
        <v>1.6560221038979933E-3</v>
      </c>
      <c r="BS164" s="715">
        <v>1.6560221038979933E-3</v>
      </c>
      <c r="BT164" s="715">
        <v>1.6560221038979933E-3</v>
      </c>
      <c r="BW164" s="1188">
        <f>'2019'!R\Max</f>
        <v>0.9158912331025596</v>
      </c>
      <c r="BX164" s="1188">
        <f>'2020'!R\Max</f>
        <v>0.93828305043061311</v>
      </c>
      <c r="BY164" s="1188">
        <f>'2021'!R\Max</f>
        <v>0.88327621837885162</v>
      </c>
      <c r="BZ164" s="1188">
        <f>'2022'!R\Max</f>
        <v>0.8200569475233237</v>
      </c>
      <c r="CA164" s="1188">
        <f>'2023'!R\Max</f>
        <v>0.8200569475233237</v>
      </c>
      <c r="CB164" s="1188">
        <f>'2024'!R\Max</f>
        <v>0.82005694752332359</v>
      </c>
      <c r="CC164" s="1188">
        <f>'2025'!R\Max</f>
        <v>0.82005694752332359</v>
      </c>
      <c r="CD164" s="1188">
        <f>'2026'!R\Max</f>
        <v>0.82005694752332359</v>
      </c>
      <c r="CE164" s="1189">
        <f>'2027'!R\Max</f>
        <v>0.82005694752332359</v>
      </c>
      <c r="CF164" s="1191">
        <f>'2028'!R\Max</f>
        <v>0.82005694752332359</v>
      </c>
    </row>
    <row r="165" spans="1:84" s="6" customFormat="1" ht="11.25" x14ac:dyDescent="0.2">
      <c r="A165" s="11">
        <v>43251</v>
      </c>
      <c r="B165" s="379">
        <f>'2023'!Maxi_hp</f>
        <v>62.494074168087401</v>
      </c>
      <c r="C165" s="13">
        <f>'2023'!An_max</f>
        <v>2020</v>
      </c>
      <c r="D165" s="1045">
        <f t="shared" si="78"/>
        <v>0.99049540097428435</v>
      </c>
      <c r="E165" s="13"/>
      <c r="F165" s="13">
        <f t="shared" si="95"/>
        <v>13</v>
      </c>
      <c r="G165" s="13">
        <f t="shared" si="79"/>
        <v>12</v>
      </c>
      <c r="H165" s="173">
        <f t="shared" si="80"/>
        <v>43262</v>
      </c>
      <c r="I165" s="742">
        <f t="shared" si="81"/>
        <v>0.7857142857142857</v>
      </c>
      <c r="J165" s="735">
        <f t="shared" si="82"/>
        <v>63.093755010488835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38">
        <v>43251</v>
      </c>
      <c r="AP165" s="13">
        <f t="shared" si="83"/>
        <v>7</v>
      </c>
      <c r="AQ165" s="13">
        <f t="shared" si="84"/>
        <v>8</v>
      </c>
      <c r="AR165" s="173">
        <f t="shared" si="85"/>
        <v>43248</v>
      </c>
      <c r="AS165" s="742">
        <f t="shared" si="86"/>
        <v>0.10714285714285714</v>
      </c>
      <c r="AT165" s="758">
        <f t="shared" si="87"/>
        <v>63.103056691819802</v>
      </c>
      <c r="AU165" s="13">
        <f t="shared" si="88"/>
        <v>7</v>
      </c>
      <c r="AV165" s="13">
        <f t="shared" si="89"/>
        <v>6</v>
      </c>
      <c r="AW165" s="173">
        <f t="shared" si="90"/>
        <v>43262</v>
      </c>
      <c r="AX165" s="742">
        <f t="shared" si="91"/>
        <v>0.39285714285714285</v>
      </c>
      <c r="AY165" s="758">
        <f t="shared" si="92"/>
        <v>63.09721004899059</v>
      </c>
      <c r="AZ165" s="735">
        <f t="shared" si="96"/>
        <v>63.100133370405196</v>
      </c>
      <c r="BA165" s="633">
        <f t="shared" si="93"/>
        <v>0.99049540097428435</v>
      </c>
      <c r="BC165" s="11">
        <v>43251</v>
      </c>
      <c r="BD165" s="289">
        <f>[2]!FeuilCaduc*(1-Persistant)+Persistant</f>
        <v>0.81465379984775699</v>
      </c>
      <c r="BE165" s="290">
        <f>[2]!CroissVégét</f>
        <v>0.3979769891015032</v>
      </c>
      <c r="BF165" s="804">
        <f>1+[2]!Salcycl*Ksac</f>
        <v>1.0314653799847757</v>
      </c>
      <c r="BH165" s="1036">
        <f t="shared" si="94"/>
        <v>1.6305679582467286E-3</v>
      </c>
      <c r="BI165" s="11">
        <v>44347</v>
      </c>
      <c r="BJ165" s="715">
        <v>1.6305679582467288E-3</v>
      </c>
      <c r="BK165" s="715">
        <v>1.6305679582467286E-3</v>
      </c>
      <c r="BL165" s="715">
        <v>1.6305679582467286E-3</v>
      </c>
      <c r="BM165" s="715">
        <v>1.6305679582467286E-3</v>
      </c>
      <c r="BN165" s="715">
        <v>1.6305679582467286E-3</v>
      </c>
      <c r="BO165" s="716">
        <v>1.6305679582467286E-3</v>
      </c>
      <c r="BP165" s="715">
        <v>1.6305679582467286E-3</v>
      </c>
      <c r="BQ165" s="715">
        <v>1.6305679582467286E-3</v>
      </c>
      <c r="BR165" s="715">
        <v>1.6305679582467286E-3</v>
      </c>
      <c r="BS165" s="715">
        <v>1.6305679582467286E-3</v>
      </c>
      <c r="BT165" s="715">
        <v>1.6305679582467288E-3</v>
      </c>
      <c r="BW165" s="1188">
        <f>'2019'!R\Max</f>
        <v>0.98057493078624103</v>
      </c>
      <c r="BX165" s="1188">
        <f>'2020'!R\Max</f>
        <v>0.99049540097428435</v>
      </c>
      <c r="BY165" s="1188">
        <f>'2021'!R\Max</f>
        <v>0.95333893799065794</v>
      </c>
      <c r="BZ165" s="1188">
        <f>'2022'!R\Max</f>
        <v>0.91907106159188368</v>
      </c>
      <c r="CA165" s="1188">
        <f>'2023'!R\Max</f>
        <v>0.91907106159188368</v>
      </c>
      <c r="CB165" s="1188">
        <f>'2024'!R\Max</f>
        <v>0.91907106159188368</v>
      </c>
      <c r="CC165" s="1188">
        <f>'2025'!R\Max</f>
        <v>0.91907106159188356</v>
      </c>
      <c r="CD165" s="1188">
        <f>'2026'!R\Max</f>
        <v>0.91907106159188356</v>
      </c>
      <c r="CE165" s="1189">
        <f>'2027'!R\Max</f>
        <v>0.91907106159188356</v>
      </c>
      <c r="CF165" s="1191">
        <f>'2028'!R\Max</f>
        <v>0.91907106159188368</v>
      </c>
    </row>
    <row r="166" spans="1:84" s="6" customFormat="1" ht="11.25" x14ac:dyDescent="0.2">
      <c r="A166" s="11">
        <v>43252</v>
      </c>
      <c r="B166" s="379">
        <f>'2023'!Maxi_hp</f>
        <v>63.527407036379969</v>
      </c>
      <c r="C166" s="13">
        <f>'2023'!An_max</f>
        <v>2018</v>
      </c>
      <c r="D166" s="1045">
        <f t="shared" si="78"/>
        <v>1.0071994805596569</v>
      </c>
      <c r="E166" s="13"/>
      <c r="F166" s="13">
        <f t="shared" si="95"/>
        <v>13</v>
      </c>
      <c r="G166" s="13">
        <f t="shared" si="79"/>
        <v>12</v>
      </c>
      <c r="H166" s="173">
        <f t="shared" si="80"/>
        <v>43262</v>
      </c>
      <c r="I166" s="742">
        <f t="shared" si="81"/>
        <v>0.7142857142857143</v>
      </c>
      <c r="J166" s="735">
        <f t="shared" si="82"/>
        <v>63.073311953140163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38">
        <v>43252</v>
      </c>
      <c r="AP166" s="13">
        <f t="shared" si="83"/>
        <v>7</v>
      </c>
      <c r="AQ166" s="13">
        <f t="shared" si="84"/>
        <v>8</v>
      </c>
      <c r="AR166" s="173">
        <f t="shared" si="85"/>
        <v>43248</v>
      </c>
      <c r="AS166" s="742">
        <f t="shared" si="86"/>
        <v>0.14285714285714285</v>
      </c>
      <c r="AT166" s="758">
        <f t="shared" si="87"/>
        <v>63.085086005952746</v>
      </c>
      <c r="AU166" s="13">
        <f t="shared" si="88"/>
        <v>7</v>
      </c>
      <c r="AV166" s="13">
        <f t="shared" si="89"/>
        <v>6</v>
      </c>
      <c r="AW166" s="173">
        <f t="shared" si="90"/>
        <v>43262</v>
      </c>
      <c r="AX166" s="742">
        <f t="shared" si="91"/>
        <v>0.35714285714285715</v>
      </c>
      <c r="AY166" s="758">
        <f t="shared" si="92"/>
        <v>63.07456833132143</v>
      </c>
      <c r="AZ166" s="735">
        <f t="shared" si="96"/>
        <v>63.079827168637088</v>
      </c>
      <c r="BA166" s="633">
        <f t="shared" si="93"/>
        <v>1.0071994805596569</v>
      </c>
      <c r="BC166" s="11">
        <v>43252</v>
      </c>
      <c r="BD166" s="289">
        <f>[2]!FeuilCaduc*(1-Persistant)+Persistant</f>
        <v>0.82163748482358545</v>
      </c>
      <c r="BE166" s="290">
        <f>[2]!CroissVégét</f>
        <v>0.4078859452556679</v>
      </c>
      <c r="BF166" s="804">
        <f>1+[2]!Salcycl*Ksac</f>
        <v>1.0321637484823585</v>
      </c>
      <c r="BH166" s="1036">
        <f t="shared" si="94"/>
        <v>1.6070412794683302E-3</v>
      </c>
      <c r="BI166" s="11">
        <v>44348</v>
      </c>
      <c r="BJ166" s="715">
        <v>1.6070412794683302E-3</v>
      </c>
      <c r="BK166" s="715">
        <v>1.6070412794683302E-3</v>
      </c>
      <c r="BL166" s="715">
        <v>1.6070412794683302E-3</v>
      </c>
      <c r="BM166" s="715">
        <v>1.6070412794683302E-3</v>
      </c>
      <c r="BN166" s="715">
        <v>1.6070412794683302E-3</v>
      </c>
      <c r="BO166" s="716">
        <v>1.6070412794683302E-3</v>
      </c>
      <c r="BP166" s="715">
        <v>1.6070412794683302E-3</v>
      </c>
      <c r="BQ166" s="715">
        <v>1.6070412794683302E-3</v>
      </c>
      <c r="BR166" s="715">
        <v>1.6070412794683302E-3</v>
      </c>
      <c r="BS166" s="715">
        <v>1.6070412794683302E-3</v>
      </c>
      <c r="BT166" s="715">
        <v>1.6070412794683302E-3</v>
      </c>
      <c r="BW166" s="1188">
        <f>'2019'!R\Max</f>
        <v>1.0071994805596569</v>
      </c>
      <c r="BX166" s="1188">
        <f>'2020'!R\Max</f>
        <v>0.99686783473884144</v>
      </c>
      <c r="BY166" s="1188">
        <f>'2021'!R\Max</f>
        <v>0.62451206016369154</v>
      </c>
      <c r="BZ166" s="1188">
        <f>'2022'!R\Max</f>
        <v>0.95351641909032669</v>
      </c>
      <c r="CA166" s="1188">
        <f>'2023'!R\Max</f>
        <v>0.95351641909032669</v>
      </c>
      <c r="CB166" s="1188">
        <f>'2024'!R\Max</f>
        <v>0.95351641909032647</v>
      </c>
      <c r="CC166" s="1188">
        <f>'2025'!R\Max</f>
        <v>0.95351641909032658</v>
      </c>
      <c r="CD166" s="1188">
        <f>'2026'!R\Max</f>
        <v>0.95351641909032647</v>
      </c>
      <c r="CE166" s="1189">
        <f>'2027'!R\Max</f>
        <v>0.95351641909032658</v>
      </c>
      <c r="CF166" s="1191">
        <f>'2028'!R\Max</f>
        <v>0.95351641909032658</v>
      </c>
    </row>
    <row r="167" spans="1:84" s="6" customFormat="1" ht="11.25" x14ac:dyDescent="0.2">
      <c r="A167" s="11">
        <v>43253</v>
      </c>
      <c r="B167" s="379">
        <f>'2023'!Maxi_hp</f>
        <v>63.013679668505368</v>
      </c>
      <c r="C167" s="13">
        <f>'2023'!An_max</f>
        <v>2018</v>
      </c>
      <c r="D167" s="1045">
        <f t="shared" si="78"/>
        <v>0.99941943674093014</v>
      </c>
      <c r="E167" s="13"/>
      <c r="F167" s="13">
        <f t="shared" si="95"/>
        <v>13</v>
      </c>
      <c r="G167" s="13">
        <f t="shared" si="79"/>
        <v>12</v>
      </c>
      <c r="H167" s="173">
        <f t="shared" si="80"/>
        <v>43262</v>
      </c>
      <c r="I167" s="742">
        <f t="shared" si="81"/>
        <v>0.6428571428571429</v>
      </c>
      <c r="J167" s="735">
        <f t="shared" si="82"/>
        <v>63.050284347071184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38">
        <v>43253</v>
      </c>
      <c r="AP167" s="13">
        <f t="shared" si="83"/>
        <v>7</v>
      </c>
      <c r="AQ167" s="13">
        <f t="shared" si="84"/>
        <v>8</v>
      </c>
      <c r="AR167" s="173">
        <f t="shared" si="85"/>
        <v>43248</v>
      </c>
      <c r="AS167" s="742">
        <f t="shared" si="86"/>
        <v>0.17857142857142858</v>
      </c>
      <c r="AT167" s="758">
        <f t="shared" si="87"/>
        <v>63.064171806490052</v>
      </c>
      <c r="AU167" s="13">
        <f t="shared" si="88"/>
        <v>7</v>
      </c>
      <c r="AV167" s="13">
        <f t="shared" si="89"/>
        <v>6</v>
      </c>
      <c r="AW167" s="173">
        <f t="shared" si="90"/>
        <v>43262</v>
      </c>
      <c r="AX167" s="742">
        <f t="shared" si="91"/>
        <v>0.32142857142857145</v>
      </c>
      <c r="AY167" s="758">
        <f t="shared" si="92"/>
        <v>63.049718977750423</v>
      </c>
      <c r="AZ167" s="735">
        <f t="shared" si="96"/>
        <v>63.056945392120241</v>
      </c>
      <c r="BA167" s="633">
        <f t="shared" si="93"/>
        <v>0.99941943674093014</v>
      </c>
      <c r="BC167" s="11">
        <v>43253</v>
      </c>
      <c r="BD167" s="289">
        <f>[2]!FeuilCaduc*(1-Persistant)+Persistant</f>
        <v>0.82855719762368418</v>
      </c>
      <c r="BE167" s="290">
        <f>[2]!CroissVégét</f>
        <v>0.41786963208449301</v>
      </c>
      <c r="BF167" s="804">
        <f>1+[2]!Salcycl*Ksac</f>
        <v>1.0328557197623685</v>
      </c>
      <c r="BH167" s="1036">
        <f t="shared" si="94"/>
        <v>1.5854415031155784E-3</v>
      </c>
      <c r="BI167" s="11">
        <v>44349</v>
      </c>
      <c r="BJ167" s="715">
        <v>1.5854415031155784E-3</v>
      </c>
      <c r="BK167" s="715">
        <v>1.5854415031155784E-3</v>
      </c>
      <c r="BL167" s="715">
        <v>1.5854415031155784E-3</v>
      </c>
      <c r="BM167" s="715">
        <v>1.5854415031155784E-3</v>
      </c>
      <c r="BN167" s="715">
        <v>1.5854415031155784E-3</v>
      </c>
      <c r="BO167" s="716">
        <v>1.5854415031155784E-3</v>
      </c>
      <c r="BP167" s="715">
        <v>1.5854415031155784E-3</v>
      </c>
      <c r="BQ167" s="715">
        <v>1.5854415031155784E-3</v>
      </c>
      <c r="BR167" s="715">
        <v>1.5854415031155784E-3</v>
      </c>
      <c r="BS167" s="715">
        <v>1.5854415031155784E-3</v>
      </c>
      <c r="BT167" s="715">
        <v>1.5854415031155784E-3</v>
      </c>
      <c r="BW167" s="1188">
        <f>'2019'!R\Max</f>
        <v>0.99941943674093014</v>
      </c>
      <c r="BX167" s="1188">
        <f>'2020'!R\Max</f>
        <v>0.54051397984212712</v>
      </c>
      <c r="BY167" s="1188">
        <f>'2021'!R\Max</f>
        <v>0.71405850896143874</v>
      </c>
      <c r="BZ167" s="1188">
        <f>'2022'!R\Max</f>
        <v>0.72150849137454032</v>
      </c>
      <c r="CA167" s="1188">
        <f>'2023'!R\Max</f>
        <v>0.72150849137454043</v>
      </c>
      <c r="CB167" s="1188">
        <f>'2024'!R\Max</f>
        <v>0.72150849137454043</v>
      </c>
      <c r="CC167" s="1188">
        <f>'2025'!R\Max</f>
        <v>0.72150849137454032</v>
      </c>
      <c r="CD167" s="1188">
        <f>'2026'!R\Max</f>
        <v>0.72150849137454043</v>
      </c>
      <c r="CE167" s="1189">
        <f>'2027'!R\Max</f>
        <v>0.72150849137454043</v>
      </c>
      <c r="CF167" s="1191">
        <f>'2028'!R\Max</f>
        <v>0.72150849137454043</v>
      </c>
    </row>
    <row r="168" spans="1:84" s="6" customFormat="1" ht="11.25" x14ac:dyDescent="0.2">
      <c r="A168" s="11">
        <v>43254</v>
      </c>
      <c r="B168" s="379">
        <f>'2023'!Maxi_hp</f>
        <v>59.722823826763985</v>
      </c>
      <c r="C168" s="13">
        <f>'2023'!An_max</f>
        <v>2023</v>
      </c>
      <c r="D168" s="1045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73">
        <f t="shared" si="80"/>
        <v>43262</v>
      </c>
      <c r="I168" s="742">
        <f t="shared" si="81"/>
        <v>0.5714285714285714</v>
      </c>
      <c r="J168" s="735">
        <f t="shared" si="82"/>
        <v>63.02477988297386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38">
        <v>43254</v>
      </c>
      <c r="AP168" s="13">
        <f t="shared" si="83"/>
        <v>7</v>
      </c>
      <c r="AQ168" s="13">
        <f t="shared" si="84"/>
        <v>8</v>
      </c>
      <c r="AR168" s="173">
        <f t="shared" si="85"/>
        <v>43248</v>
      </c>
      <c r="AS168" s="742">
        <f t="shared" si="86"/>
        <v>0.21428571428571427</v>
      </c>
      <c r="AT168" s="758">
        <f t="shared" si="87"/>
        <v>63.040394861530515</v>
      </c>
      <c r="AU168" s="13">
        <f t="shared" si="88"/>
        <v>7</v>
      </c>
      <c r="AV168" s="13">
        <f t="shared" si="89"/>
        <v>6</v>
      </c>
      <c r="AW168" s="173">
        <f t="shared" si="90"/>
        <v>43262</v>
      </c>
      <c r="AX168" s="742">
        <f t="shared" si="91"/>
        <v>0.2857142857142857</v>
      </c>
      <c r="AY168" s="758">
        <f t="shared" si="92"/>
        <v>63.022769679661316</v>
      </c>
      <c r="AZ168" s="735">
        <f t="shared" si="96"/>
        <v>63.031582270595919</v>
      </c>
      <c r="BA168" s="633">
        <f t="shared" si="93"/>
        <v>0.94760860629198485</v>
      </c>
      <c r="BC168" s="11">
        <v>43254</v>
      </c>
      <c r="BD168" s="289">
        <f>[2]!FeuilCaduc*(1-Persistant)+Persistant</f>
        <v>0.83540440345579769</v>
      </c>
      <c r="BE168" s="290">
        <f>[2]!CroissVégét</f>
        <v>0.42792037764903684</v>
      </c>
      <c r="BF168" s="804">
        <f>1+[2]!Salcycl*Ksac</f>
        <v>1.0335404403455797</v>
      </c>
      <c r="BH168" s="1036">
        <f t="shared" si="94"/>
        <v>1.5657678415056336E-3</v>
      </c>
      <c r="BI168" s="11">
        <v>44350</v>
      </c>
      <c r="BJ168" s="715">
        <v>1.5657678415056339E-3</v>
      </c>
      <c r="BK168" s="715">
        <v>1.5657678415056336E-3</v>
      </c>
      <c r="BL168" s="715">
        <v>1.5657678415056336E-3</v>
      </c>
      <c r="BM168" s="715">
        <v>1.5657678415056336E-3</v>
      </c>
      <c r="BN168" s="715">
        <v>1.5657678415056336E-3</v>
      </c>
      <c r="BO168" s="716">
        <v>1.5657678415056336E-3</v>
      </c>
      <c r="BP168" s="715">
        <v>1.5657678415056336E-3</v>
      </c>
      <c r="BQ168" s="715">
        <v>1.5657678415056336E-3</v>
      </c>
      <c r="BR168" s="715">
        <v>1.5657678415056336E-3</v>
      </c>
      <c r="BS168" s="715">
        <v>1.5657678415056336E-3</v>
      </c>
      <c r="BT168" s="715">
        <v>1.5657678415056339E-3</v>
      </c>
      <c r="BW168" s="1188">
        <f>'2019'!R\Max</f>
        <v>0.72716486116877022</v>
      </c>
      <c r="BX168" s="1188">
        <f>'2020'!R\Max</f>
        <v>0.77757740711669499</v>
      </c>
      <c r="BY168" s="1188">
        <f>'2021'!R\Max</f>
        <v>0.92683557728785881</v>
      </c>
      <c r="BZ168" s="1188">
        <f>'2022'!R\Max</f>
        <v>0.94760860629198485</v>
      </c>
      <c r="CA168" s="1188">
        <f>'2023'!R\Max</f>
        <v>0.94760860629198485</v>
      </c>
      <c r="CB168" s="1188">
        <f>'2024'!R\Max</f>
        <v>0.94760860629198485</v>
      </c>
      <c r="CC168" s="1188">
        <f>'2025'!R\Max</f>
        <v>0.94760860629198485</v>
      </c>
      <c r="CD168" s="1188">
        <f>'2026'!R\Max</f>
        <v>0.94760860629198485</v>
      </c>
      <c r="CE168" s="1189">
        <f>'2027'!R\Max</f>
        <v>0.94760860629198485</v>
      </c>
      <c r="CF168" s="1191">
        <f>'2028'!R\Max</f>
        <v>0.94760860629198473</v>
      </c>
    </row>
    <row r="169" spans="1:84" s="6" customFormat="1" ht="11.25" x14ac:dyDescent="0.2">
      <c r="A169" s="11">
        <v>43255</v>
      </c>
      <c r="B169" s="379">
        <f>'2023'!Maxi_hp</f>
        <v>59.234814387524935</v>
      </c>
      <c r="C169" s="13">
        <f>'2023'!An_max</f>
        <v>2018</v>
      </c>
      <c r="D169" s="1045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73">
        <f t="shared" si="80"/>
        <v>43262</v>
      </c>
      <c r="I169" s="742">
        <f t="shared" si="81"/>
        <v>0.5</v>
      </c>
      <c r="J169" s="735">
        <f t="shared" si="82"/>
        <v>62.996906249597671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38">
        <v>43255</v>
      </c>
      <c r="AP169" s="13">
        <f t="shared" si="83"/>
        <v>7</v>
      </c>
      <c r="AQ169" s="13">
        <f t="shared" si="84"/>
        <v>8</v>
      </c>
      <c r="AR169" s="173">
        <f t="shared" si="85"/>
        <v>43248</v>
      </c>
      <c r="AS169" s="742">
        <f t="shared" si="86"/>
        <v>0.25</v>
      </c>
      <c r="AT169" s="758">
        <f t="shared" si="87"/>
        <v>63.013835937017575</v>
      </c>
      <c r="AU169" s="13">
        <f t="shared" si="88"/>
        <v>7</v>
      </c>
      <c r="AV169" s="13">
        <f t="shared" si="89"/>
        <v>6</v>
      </c>
      <c r="AW169" s="173">
        <f t="shared" si="90"/>
        <v>43262</v>
      </c>
      <c r="AX169" s="742">
        <f t="shared" si="91"/>
        <v>0.25</v>
      </c>
      <c r="AY169" s="758">
        <f t="shared" si="92"/>
        <v>62.993828124925493</v>
      </c>
      <c r="AZ169" s="735">
        <f t="shared" si="96"/>
        <v>63.003832030971537</v>
      </c>
      <c r="BA169" s="633">
        <f t="shared" si="93"/>
        <v>0.94028132354361826</v>
      </c>
      <c r="BC169" s="11">
        <v>43255</v>
      </c>
      <c r="BD169" s="289">
        <f>[2]!FeuilCaduc*(1-Persistant)+Persistant</f>
        <v>0.84217072137392845</v>
      </c>
      <c r="BE169" s="290">
        <f>[2]!CroissVégét</f>
        <v>0.43803029270835642</v>
      </c>
      <c r="BF169" s="804">
        <f>1+[2]!Salcycl*Ksac</f>
        <v>1.0342170721373929</v>
      </c>
      <c r="BH169" s="1036">
        <f t="shared" si="94"/>
        <v>1.5480193095918999E-3</v>
      </c>
      <c r="BI169" s="11">
        <v>44351</v>
      </c>
      <c r="BJ169" s="715">
        <v>1.5480193095918997E-3</v>
      </c>
      <c r="BK169" s="715">
        <v>1.5480193095918999E-3</v>
      </c>
      <c r="BL169" s="715">
        <v>1.5480193095918999E-3</v>
      </c>
      <c r="BM169" s="715">
        <v>1.5480193095918999E-3</v>
      </c>
      <c r="BN169" s="715">
        <v>1.5480193095918999E-3</v>
      </c>
      <c r="BO169" s="716">
        <v>1.5480193095918999E-3</v>
      </c>
      <c r="BP169" s="715">
        <v>1.5480193095918999E-3</v>
      </c>
      <c r="BQ169" s="715">
        <v>1.5480193095918999E-3</v>
      </c>
      <c r="BR169" s="715">
        <v>1.5480193095918999E-3</v>
      </c>
      <c r="BS169" s="715">
        <v>1.5480193095918999E-3</v>
      </c>
      <c r="BT169" s="715">
        <v>1.5480193095918997E-3</v>
      </c>
      <c r="BW169" s="1188">
        <f>'2019'!R\Max</f>
        <v>0.94028132354361826</v>
      </c>
      <c r="BX169" s="1188">
        <f>'2020'!R\Max</f>
        <v>0.48850221933267468</v>
      </c>
      <c r="BY169" s="1188">
        <f>'2021'!R\Max</f>
        <v>0.12809647652633818</v>
      </c>
      <c r="BZ169" s="1188">
        <f>'2022'!R\Max</f>
        <v>0.42902296046229343</v>
      </c>
      <c r="CA169" s="1188">
        <f>'2023'!R\Max</f>
        <v>0.42902296046229349</v>
      </c>
      <c r="CB169" s="1188">
        <f>'2024'!R\Max</f>
        <v>0.42902296046229349</v>
      </c>
      <c r="CC169" s="1188">
        <f>'2025'!R\Max</f>
        <v>0.42902296046229349</v>
      </c>
      <c r="CD169" s="1188">
        <f>'2026'!R\Max</f>
        <v>0.42902296046229349</v>
      </c>
      <c r="CE169" s="1189">
        <f>'2027'!R\Max</f>
        <v>0.42902296046229349</v>
      </c>
      <c r="CF169" s="1191">
        <f>'2028'!R\Max</f>
        <v>0.42902296046229349</v>
      </c>
    </row>
    <row r="170" spans="1:84" s="6" customFormat="1" ht="11.25" x14ac:dyDescent="0.2">
      <c r="A170" s="11">
        <v>43256</v>
      </c>
      <c r="B170" s="379">
        <f>'2023'!Maxi_hp</f>
        <v>42.628678562631272</v>
      </c>
      <c r="C170" s="13">
        <f>'2023'!An_max</f>
        <v>2021</v>
      </c>
      <c r="D170" s="1045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73">
        <f t="shared" si="80"/>
        <v>43262</v>
      </c>
      <c r="I170" s="742">
        <f t="shared" si="81"/>
        <v>0.42857142857142855</v>
      </c>
      <c r="J170" s="735">
        <f t="shared" si="82"/>
        <v>62.966771137022533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38">
        <v>43256</v>
      </c>
      <c r="AP170" s="13">
        <f t="shared" si="83"/>
        <v>7</v>
      </c>
      <c r="AQ170" s="13">
        <f t="shared" si="84"/>
        <v>8</v>
      </c>
      <c r="AR170" s="173">
        <f t="shared" si="85"/>
        <v>43248</v>
      </c>
      <c r="AS170" s="742">
        <f t="shared" si="86"/>
        <v>0.2857142857142857</v>
      </c>
      <c r="AT170" s="758">
        <f t="shared" si="87"/>
        <v>62.984575801502388</v>
      </c>
      <c r="AU170" s="13">
        <f t="shared" si="88"/>
        <v>7</v>
      </c>
      <c r="AV170" s="13">
        <f t="shared" si="89"/>
        <v>6</v>
      </c>
      <c r="AW170" s="173">
        <f t="shared" si="90"/>
        <v>43262</v>
      </c>
      <c r="AX170" s="742">
        <f t="shared" si="91"/>
        <v>0.21428571428571427</v>
      </c>
      <c r="AY170" s="758">
        <f t="shared" si="92"/>
        <v>62.963002004740495</v>
      </c>
      <c r="AZ170" s="735">
        <f t="shared" si="96"/>
        <v>62.973788903121445</v>
      </c>
      <c r="BA170" s="633">
        <f t="shared" si="93"/>
        <v>0.6770027713485044</v>
      </c>
      <c r="BC170" s="11">
        <v>43256</v>
      </c>
      <c r="BD170" s="289">
        <f>[2]!FeuilCaduc*(1-Persistant)+Persistant</f>
        <v>0.84884795677317237</v>
      </c>
      <c r="BE170" s="290">
        <f>[2]!CroissVégét</f>
        <v>0.44819129444890032</v>
      </c>
      <c r="BF170" s="804">
        <f>1+[2]!Salcycl*Ksac</f>
        <v>1.0348847956773173</v>
      </c>
      <c r="BH170" s="1036">
        <f t="shared" si="94"/>
        <v>1.5318951510520089E-3</v>
      </c>
      <c r="BI170" s="11">
        <v>44352</v>
      </c>
      <c r="BJ170" s="715">
        <v>1.5318951510520089E-3</v>
      </c>
      <c r="BK170" s="715">
        <v>1.5318951510520089E-3</v>
      </c>
      <c r="BL170" s="715">
        <v>1.5318951510520089E-3</v>
      </c>
      <c r="BM170" s="715">
        <v>1.5318951510520089E-3</v>
      </c>
      <c r="BN170" s="715">
        <v>1.5318951510520089E-3</v>
      </c>
      <c r="BO170" s="716">
        <v>1.5318951510520089E-3</v>
      </c>
      <c r="BP170" s="715">
        <v>1.5318951510520089E-3</v>
      </c>
      <c r="BQ170" s="715">
        <v>1.5318951510520089E-3</v>
      </c>
      <c r="BR170" s="715">
        <v>1.5318951510520089E-3</v>
      </c>
      <c r="BS170" s="715">
        <v>1.5318951510520089E-3</v>
      </c>
      <c r="BT170" s="715">
        <v>1.5318951510520089E-3</v>
      </c>
      <c r="BW170" s="1188">
        <f>'2019'!R\Max</f>
        <v>0.15993663807482722</v>
      </c>
      <c r="BX170" s="1188">
        <f>'2020'!R\Max</f>
        <v>0.58191976997372086</v>
      </c>
      <c r="BY170" s="1188">
        <f>'2021'!R\Max</f>
        <v>0.6770027713485044</v>
      </c>
      <c r="BZ170" s="1188">
        <f>'2022'!R\Max</f>
        <v>0.5941367600411972</v>
      </c>
      <c r="CA170" s="1188">
        <f>'2023'!R\Max</f>
        <v>0.5941367600411972</v>
      </c>
      <c r="CB170" s="1188">
        <f>'2024'!R\Max</f>
        <v>0.5941367600411972</v>
      </c>
      <c r="CC170" s="1188">
        <f>'2025'!R\Max</f>
        <v>0.5941367600411972</v>
      </c>
      <c r="CD170" s="1188">
        <f>'2026'!R\Max</f>
        <v>0.59413676004119731</v>
      </c>
      <c r="CE170" s="1189">
        <f>'2027'!R\Max</f>
        <v>0.5941367600411972</v>
      </c>
      <c r="CF170" s="1191">
        <f>'2028'!R\Max</f>
        <v>0.59413676004119731</v>
      </c>
    </row>
    <row r="171" spans="1:84" s="6" customFormat="1" ht="11.25" x14ac:dyDescent="0.2">
      <c r="A171" s="11">
        <v>43257</v>
      </c>
      <c r="B171" s="379">
        <f>'2023'!Maxi_hp</f>
        <v>54.411394736000254</v>
      </c>
      <c r="C171" s="13">
        <f>'2023'!An_max</f>
        <v>2018</v>
      </c>
      <c r="D171" s="1045" t="str">
        <f t="shared" si="78"/>
        <v/>
      </c>
      <c r="E171" s="13"/>
      <c r="F171" s="13">
        <f t="shared" si="95"/>
        <v>13</v>
      </c>
      <c r="G171" s="13">
        <f t="shared" si="79"/>
        <v>12</v>
      </c>
      <c r="H171" s="173">
        <f t="shared" si="80"/>
        <v>43262</v>
      </c>
      <c r="I171" s="742">
        <f t="shared" si="81"/>
        <v>0.35714285714285715</v>
      </c>
      <c r="J171" s="735">
        <f t="shared" si="82"/>
        <v>62.934482233971359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38">
        <v>43257</v>
      </c>
      <c r="AP171" s="13">
        <f t="shared" si="83"/>
        <v>7</v>
      </c>
      <c r="AQ171" s="13">
        <f t="shared" si="84"/>
        <v>8</v>
      </c>
      <c r="AR171" s="173">
        <f t="shared" si="85"/>
        <v>43248</v>
      </c>
      <c r="AS171" s="742">
        <f t="shared" si="86"/>
        <v>0.32142857142857145</v>
      </c>
      <c r="AT171" s="758">
        <f t="shared" si="87"/>
        <v>62.952695221560347</v>
      </c>
      <c r="AU171" s="13">
        <f t="shared" si="88"/>
        <v>7</v>
      </c>
      <c r="AV171" s="13">
        <f t="shared" si="89"/>
        <v>6</v>
      </c>
      <c r="AW171" s="173">
        <f t="shared" si="90"/>
        <v>43262</v>
      </c>
      <c r="AX171" s="742">
        <f t="shared" si="91"/>
        <v>0.17857142857142858</v>
      </c>
      <c r="AY171" s="758">
        <f t="shared" si="92"/>
        <v>62.930399007150626</v>
      </c>
      <c r="AZ171" s="735">
        <f t="shared" si="96"/>
        <v>62.941547114355487</v>
      </c>
      <c r="BA171" s="633">
        <f t="shared" si="93"/>
        <v>0.8645720565987205</v>
      </c>
      <c r="BC171" s="11">
        <v>43257</v>
      </c>
      <c r="BD171" s="289">
        <f>[2]!FeuilCaduc*(1-Persistant)+Persistant</f>
        <v>0.8554281334366628</v>
      </c>
      <c r="BE171" s="290">
        <f>[2]!CroissVégét</f>
        <v>0.45839513154318023</v>
      </c>
      <c r="BF171" s="804">
        <f>1+[2]!Salcycl*Ksac</f>
        <v>1.0355428133436664</v>
      </c>
      <c r="BH171" s="1036">
        <f t="shared" si="94"/>
        <v>1.5165933611042222E-3</v>
      </c>
      <c r="BI171" s="11">
        <v>44353</v>
      </c>
      <c r="BJ171" s="715">
        <v>1.5165933611042222E-3</v>
      </c>
      <c r="BK171" s="715">
        <v>1.5165933611042222E-3</v>
      </c>
      <c r="BL171" s="715">
        <v>1.5165933611042222E-3</v>
      </c>
      <c r="BM171" s="715">
        <v>1.5165933611042222E-3</v>
      </c>
      <c r="BN171" s="715">
        <v>1.5165933611042222E-3</v>
      </c>
      <c r="BO171" s="716">
        <v>1.5165933611042222E-3</v>
      </c>
      <c r="BP171" s="715">
        <v>1.5165933611042222E-3</v>
      </c>
      <c r="BQ171" s="715">
        <v>1.5165933611042222E-3</v>
      </c>
      <c r="BR171" s="715">
        <v>1.5165933611042222E-3</v>
      </c>
      <c r="BS171" s="715">
        <v>1.5165933611042222E-3</v>
      </c>
      <c r="BT171" s="715">
        <v>1.5165933611042222E-3</v>
      </c>
      <c r="BW171" s="1188">
        <f>'2019'!R\Max</f>
        <v>0.8645720565987205</v>
      </c>
      <c r="BX171" s="1188">
        <f>'2020'!R\Max</f>
        <v>0.36322995906420641</v>
      </c>
      <c r="BY171" s="1188">
        <f>'2021'!R\Max</f>
        <v>0.78036064998493715</v>
      </c>
      <c r="BZ171" s="1188">
        <f>'2022'!R\Max</f>
        <v>0.85199065576218946</v>
      </c>
      <c r="CA171" s="1188">
        <f>'2023'!R\Max</f>
        <v>0.85199065576218935</v>
      </c>
      <c r="CB171" s="1188">
        <f>'2024'!R\Max</f>
        <v>0.85199065576218946</v>
      </c>
      <c r="CC171" s="1188">
        <f>'2025'!R\Max</f>
        <v>0.85199065576218935</v>
      </c>
      <c r="CD171" s="1188">
        <f>'2026'!R\Max</f>
        <v>0.85199065576218935</v>
      </c>
      <c r="CE171" s="1189">
        <f>'2027'!R\Max</f>
        <v>0.85199065576218946</v>
      </c>
      <c r="CF171" s="1191">
        <f>'2028'!R\Max</f>
        <v>0.85199065576218946</v>
      </c>
    </row>
    <row r="172" spans="1:84" s="6" customFormat="1" ht="11.25" x14ac:dyDescent="0.2">
      <c r="A172" s="11">
        <v>43258</v>
      </c>
      <c r="B172" s="379">
        <f>'2023'!Maxi_hp</f>
        <v>54.292344061536546</v>
      </c>
      <c r="C172" s="13">
        <f>'2023'!An_max</f>
        <v>2021</v>
      </c>
      <c r="D172" s="1045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73">
        <f t="shared" si="80"/>
        <v>43262</v>
      </c>
      <c r="I172" s="742">
        <f t="shared" si="81"/>
        <v>0.2857142857142857</v>
      </c>
      <c r="J172" s="735">
        <f t="shared" si="82"/>
        <v>62.900147230018455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38">
        <v>43258</v>
      </c>
      <c r="AP172" s="13">
        <f t="shared" si="83"/>
        <v>7</v>
      </c>
      <c r="AQ172" s="13">
        <f t="shared" si="84"/>
        <v>8</v>
      </c>
      <c r="AR172" s="173">
        <f t="shared" si="85"/>
        <v>43248</v>
      </c>
      <c r="AS172" s="742">
        <f t="shared" si="86"/>
        <v>0.35714285714285715</v>
      </c>
      <c r="AT172" s="758">
        <f t="shared" si="87"/>
        <v>62.918274963221371</v>
      </c>
      <c r="AU172" s="13">
        <f t="shared" si="88"/>
        <v>7</v>
      </c>
      <c r="AV172" s="13">
        <f t="shared" si="89"/>
        <v>6</v>
      </c>
      <c r="AW172" s="173">
        <f t="shared" si="90"/>
        <v>43262</v>
      </c>
      <c r="AX172" s="742">
        <f t="shared" si="91"/>
        <v>0.14285714285714285</v>
      </c>
      <c r="AY172" s="758">
        <f t="shared" si="92"/>
        <v>62.896126822648306</v>
      </c>
      <c r="AZ172" s="735">
        <f t="shared" si="96"/>
        <v>62.907200892934839</v>
      </c>
      <c r="BA172" s="633">
        <f t="shared" si="93"/>
        <v>0.86315130333472545</v>
      </c>
      <c r="BC172" s="11">
        <v>43258</v>
      </c>
      <c r="BD172" s="289">
        <f>[2]!FeuilCaduc*(1-Persistant)+Persistant</f>
        <v>0.86190352491696698</v>
      </c>
      <c r="BE172" s="290">
        <f>[2]!CroissVégét</f>
        <v>0.46863341037883222</v>
      </c>
      <c r="BF172" s="804">
        <f>1+[2]!Salcycl*Ksac</f>
        <v>1.0361903524916967</v>
      </c>
      <c r="BH172" s="1036">
        <f t="shared" si="94"/>
        <v>1.502114611231302E-3</v>
      </c>
      <c r="BI172" s="11">
        <v>44354</v>
      </c>
      <c r="BJ172" s="715">
        <v>1.502114611231302E-3</v>
      </c>
      <c r="BK172" s="715">
        <v>1.502114611231302E-3</v>
      </c>
      <c r="BL172" s="715">
        <v>1.502114611231302E-3</v>
      </c>
      <c r="BM172" s="715">
        <v>1.502114611231302E-3</v>
      </c>
      <c r="BN172" s="715">
        <v>1.502114611231302E-3</v>
      </c>
      <c r="BO172" s="716">
        <v>1.502114611231302E-3</v>
      </c>
      <c r="BP172" s="715">
        <v>1.502114611231302E-3</v>
      </c>
      <c r="BQ172" s="715">
        <v>1.502114611231302E-3</v>
      </c>
      <c r="BR172" s="715">
        <v>1.502114611231302E-3</v>
      </c>
      <c r="BS172" s="715">
        <v>1.502114611231302E-3</v>
      </c>
      <c r="BT172" s="715">
        <v>1.502114611231302E-3</v>
      </c>
      <c r="BW172" s="1188">
        <f>'2019'!R\Max</f>
        <v>0.3683786744231039</v>
      </c>
      <c r="BX172" s="1188">
        <f>'2020'!R\Max</f>
        <v>0.44791953097123977</v>
      </c>
      <c r="BY172" s="1188">
        <f>'2021'!R\Max</f>
        <v>0.86315130333472545</v>
      </c>
      <c r="BZ172" s="1188">
        <f>'2022'!R\Max</f>
        <v>0.43857703834635148</v>
      </c>
      <c r="CA172" s="1188">
        <f>'2023'!R\Max</f>
        <v>0.43857703834635142</v>
      </c>
      <c r="CB172" s="1188">
        <f>'2024'!R\Max</f>
        <v>0.43857703834635142</v>
      </c>
      <c r="CC172" s="1188">
        <f>'2025'!R\Max</f>
        <v>0.43857703834635148</v>
      </c>
      <c r="CD172" s="1188">
        <f>'2026'!R\Max</f>
        <v>0.43857703834635142</v>
      </c>
      <c r="CE172" s="1189">
        <f>'2027'!R\Max</f>
        <v>0.43857703834635142</v>
      </c>
      <c r="CF172" s="1191">
        <f>'2028'!R\Max</f>
        <v>0.43857703834635137</v>
      </c>
    </row>
    <row r="173" spans="1:84" s="6" customFormat="1" ht="11.25" x14ac:dyDescent="0.2">
      <c r="A173" s="11">
        <v>43259</v>
      </c>
      <c r="B173" s="379">
        <f>'2023'!Maxi_hp</f>
        <v>63.783632046651569</v>
      </c>
      <c r="C173" s="13">
        <f>'2023'!An_max</f>
        <v>2018</v>
      </c>
      <c r="D173" s="1045">
        <f t="shared" si="78"/>
        <v>1.0146309505851316</v>
      </c>
      <c r="E173" s="13"/>
      <c r="F173" s="13">
        <f t="shared" si="95"/>
        <v>13</v>
      </c>
      <c r="G173" s="13">
        <f t="shared" si="79"/>
        <v>12</v>
      </c>
      <c r="H173" s="173">
        <f t="shared" si="80"/>
        <v>43262</v>
      </c>
      <c r="I173" s="742">
        <f t="shared" si="81"/>
        <v>0.21428571428571427</v>
      </c>
      <c r="J173" s="735">
        <f t="shared" si="82"/>
        <v>62.863873815270402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38">
        <v>43259</v>
      </c>
      <c r="AP173" s="13">
        <f t="shared" si="83"/>
        <v>7</v>
      </c>
      <c r="AQ173" s="13">
        <f t="shared" si="84"/>
        <v>8</v>
      </c>
      <c r="AR173" s="173">
        <f t="shared" si="85"/>
        <v>43248</v>
      </c>
      <c r="AS173" s="742">
        <f t="shared" si="86"/>
        <v>0.39285714285714285</v>
      </c>
      <c r="AT173" s="758">
        <f t="shared" si="87"/>
        <v>62.881395795455738</v>
      </c>
      <c r="AU173" s="13">
        <f t="shared" si="88"/>
        <v>7</v>
      </c>
      <c r="AV173" s="13">
        <f t="shared" si="89"/>
        <v>6</v>
      </c>
      <c r="AW173" s="173">
        <f t="shared" si="90"/>
        <v>43262</v>
      </c>
      <c r="AX173" s="742">
        <f t="shared" si="91"/>
        <v>0.10714285714285714</v>
      </c>
      <c r="AY173" s="758">
        <f t="shared" si="92"/>
        <v>62.860293139676955</v>
      </c>
      <c r="AZ173" s="735">
        <f t="shared" si="96"/>
        <v>62.870844467566343</v>
      </c>
      <c r="BA173" s="633">
        <f t="shared" si="93"/>
        <v>1.0146309505851316</v>
      </c>
      <c r="BC173" s="11">
        <v>43259</v>
      </c>
      <c r="BD173" s="289">
        <f>[2]!FeuilCaduc*(1-Persistant)+Persistant</f>
        <v>0.86826668503521454</v>
      </c>
      <c r="BE173" s="290">
        <f>[2]!CroissVégét</f>
        <v>0.4788976222853652</v>
      </c>
      <c r="BF173" s="804">
        <f>1+[2]!Salcycl*Ksac</f>
        <v>1.0368266685035215</v>
      </c>
      <c r="BH173" s="1036">
        <f t="shared" si="94"/>
        <v>1.4884594851640521E-3</v>
      </c>
      <c r="BI173" s="11">
        <v>44355</v>
      </c>
      <c r="BJ173" s="715">
        <v>1.4884594851640519E-3</v>
      </c>
      <c r="BK173" s="715">
        <v>1.4884594851640521E-3</v>
      </c>
      <c r="BL173" s="715">
        <v>1.4884594851640521E-3</v>
      </c>
      <c r="BM173" s="715">
        <v>1.4884594851640521E-3</v>
      </c>
      <c r="BN173" s="715">
        <v>1.4884594851640521E-3</v>
      </c>
      <c r="BO173" s="716">
        <v>1.4884594851640521E-3</v>
      </c>
      <c r="BP173" s="715">
        <v>1.4884594851640521E-3</v>
      </c>
      <c r="BQ173" s="715">
        <v>1.4884594851640521E-3</v>
      </c>
      <c r="BR173" s="715">
        <v>1.4884594851640521E-3</v>
      </c>
      <c r="BS173" s="715">
        <v>1.4884594851640521E-3</v>
      </c>
      <c r="BT173" s="715">
        <v>1.4884594851640519E-3</v>
      </c>
      <c r="BW173" s="1188">
        <f>'2019'!R\Max</f>
        <v>1.0146309505851316</v>
      </c>
      <c r="BX173" s="1188">
        <f>'2020'!R\Max</f>
        <v>0.65128522764365404</v>
      </c>
      <c r="BY173" s="1188">
        <f>'2021'!R\Max</f>
        <v>0.97114672312673989</v>
      </c>
      <c r="BZ173" s="1188">
        <f>'2022'!R\Max</f>
        <v>0.3623958548232934</v>
      </c>
      <c r="CA173" s="1188">
        <f>'2023'!R\Max</f>
        <v>0.36239585482329345</v>
      </c>
      <c r="CB173" s="1188">
        <f>'2024'!R\Max</f>
        <v>0.3623958548232934</v>
      </c>
      <c r="CC173" s="1188">
        <f>'2025'!R\Max</f>
        <v>0.36239585482329345</v>
      </c>
      <c r="CD173" s="1188">
        <f>'2026'!R\Max</f>
        <v>0.36239585482329351</v>
      </c>
      <c r="CE173" s="1189">
        <f>'2027'!R\Max</f>
        <v>0.36239585482329345</v>
      </c>
      <c r="CF173" s="1191">
        <f>'2028'!R\Max</f>
        <v>0.36239585482329345</v>
      </c>
    </row>
    <row r="174" spans="1:84" s="6" customFormat="1" ht="11.25" x14ac:dyDescent="0.2">
      <c r="A174" s="11">
        <v>43260</v>
      </c>
      <c r="B174" s="379">
        <f>'2023'!Maxi_hp</f>
        <v>60.032633975701692</v>
      </c>
      <c r="C174" s="13">
        <f>'2023'!An_max</f>
        <v>2021</v>
      </c>
      <c r="D174" s="1045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73">
        <f t="shared" si="80"/>
        <v>43262</v>
      </c>
      <c r="I174" s="742">
        <f t="shared" si="81"/>
        <v>0.14285714285714285</v>
      </c>
      <c r="J174" s="735">
        <f t="shared" si="82"/>
        <v>62.825769679674089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38">
        <v>43260</v>
      </c>
      <c r="AP174" s="13">
        <f t="shared" si="83"/>
        <v>7</v>
      </c>
      <c r="AQ174" s="13">
        <f t="shared" si="84"/>
        <v>8</v>
      </c>
      <c r="AR174" s="173">
        <f t="shared" si="85"/>
        <v>43248</v>
      </c>
      <c r="AS174" s="742">
        <f t="shared" si="86"/>
        <v>0.42857142857142855</v>
      </c>
      <c r="AT174" s="758">
        <f t="shared" si="87"/>
        <v>62.84213848390749</v>
      </c>
      <c r="AU174" s="13">
        <f t="shared" si="88"/>
        <v>7</v>
      </c>
      <c r="AV174" s="13">
        <f t="shared" si="89"/>
        <v>6</v>
      </c>
      <c r="AW174" s="173">
        <f t="shared" si="90"/>
        <v>43262</v>
      </c>
      <c r="AX174" s="742">
        <f t="shared" si="91"/>
        <v>7.1428571428571425E-2</v>
      </c>
      <c r="AY174" s="758">
        <f t="shared" si="92"/>
        <v>62.823005648941866</v>
      </c>
      <c r="AZ174" s="735">
        <f t="shared" si="96"/>
        <v>62.832572066424675</v>
      </c>
      <c r="BA174" s="633">
        <f t="shared" si="93"/>
        <v>0.95554156012391755</v>
      </c>
      <c r="BC174" s="11">
        <v>43260</v>
      </c>
      <c r="BD174" s="289">
        <f>[2]!FeuilCaduc*(1-Persistant)+Persistant</f>
        <v>0.87451047728410136</v>
      </c>
      <c r="BE174" s="290">
        <f>[2]!CroissVégét</f>
        <v>0.48917917157397695</v>
      </c>
      <c r="BF174" s="804">
        <f>1+[2]!Salcycl*Ksac</f>
        <v>1.0374510477284102</v>
      </c>
      <c r="BH174" s="1036">
        <f t="shared" si="94"/>
        <v>1.4756284898342943E-3</v>
      </c>
      <c r="BI174" s="11">
        <v>44356</v>
      </c>
      <c r="BJ174" s="715">
        <v>1.4756284898342943E-3</v>
      </c>
      <c r="BK174" s="715">
        <v>1.4756284898342943E-3</v>
      </c>
      <c r="BL174" s="715">
        <v>1.4756284898342943E-3</v>
      </c>
      <c r="BM174" s="715">
        <v>1.4756284898342943E-3</v>
      </c>
      <c r="BN174" s="715">
        <v>1.4756284898342943E-3</v>
      </c>
      <c r="BO174" s="716">
        <v>1.4756284898342943E-3</v>
      </c>
      <c r="BP174" s="715">
        <v>1.4756284898342943E-3</v>
      </c>
      <c r="BQ174" s="715">
        <v>1.4756284898342943E-3</v>
      </c>
      <c r="BR174" s="715">
        <v>1.4756284898342943E-3</v>
      </c>
      <c r="BS174" s="715">
        <v>1.4756284898342943E-3</v>
      </c>
      <c r="BT174" s="715">
        <v>1.4756284898342943E-3</v>
      </c>
      <c r="BW174" s="1188">
        <f>'2019'!R\Max</f>
        <v>0.80564936904791973</v>
      </c>
      <c r="BX174" s="1188">
        <f>'2020'!R\Max</f>
        <v>0.71606558006633403</v>
      </c>
      <c r="BY174" s="1188">
        <f>'2021'!R\Max</f>
        <v>0.95554156012391755</v>
      </c>
      <c r="BZ174" s="1188">
        <f>'2022'!R\Max</f>
        <v>0.85549905425975226</v>
      </c>
      <c r="CA174" s="1188">
        <f>'2023'!R\Max</f>
        <v>0.85549905425975237</v>
      </c>
      <c r="CB174" s="1188">
        <f>'2024'!R\Max</f>
        <v>0.85549905425975226</v>
      </c>
      <c r="CC174" s="1188">
        <f>'2025'!R\Max</f>
        <v>0.85549905425975237</v>
      </c>
      <c r="CD174" s="1188">
        <f>'2026'!R\Max</f>
        <v>0.85549905425975237</v>
      </c>
      <c r="CE174" s="1189">
        <f>'2027'!R\Max</f>
        <v>0.85549905425975226</v>
      </c>
      <c r="CF174" s="1191">
        <f>'2028'!R\Max</f>
        <v>0.85549905425975226</v>
      </c>
    </row>
    <row r="175" spans="1:84" s="6" customFormat="1" ht="11.25" x14ac:dyDescent="0.2">
      <c r="A175" s="11">
        <v>43261</v>
      </c>
      <c r="B175" s="379">
        <f>'2023'!Maxi_hp</f>
        <v>62.081644689027705</v>
      </c>
      <c r="C175" s="13">
        <f>'2023'!An_max</f>
        <v>2023</v>
      </c>
      <c r="D175" s="1045">
        <f t="shared" si="78"/>
        <v>0.98878255555832684</v>
      </c>
      <c r="E175" s="13"/>
      <c r="F175" s="13">
        <f t="shared" si="95"/>
        <v>13</v>
      </c>
      <c r="G175" s="13">
        <f t="shared" si="79"/>
        <v>12</v>
      </c>
      <c r="H175" s="173">
        <f t="shared" si="80"/>
        <v>43262</v>
      </c>
      <c r="I175" s="742">
        <f t="shared" si="81"/>
        <v>7.1428571428571425E-2</v>
      </c>
      <c r="J175" s="735">
        <f t="shared" si="82"/>
        <v>62.785942510861375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38">
        <v>43261</v>
      </c>
      <c r="AP175" s="13">
        <f t="shared" si="83"/>
        <v>7</v>
      </c>
      <c r="AQ175" s="13">
        <f t="shared" si="84"/>
        <v>8</v>
      </c>
      <c r="AR175" s="173">
        <f t="shared" si="85"/>
        <v>43248</v>
      </c>
      <c r="AS175" s="742">
        <f t="shared" si="86"/>
        <v>0.4642857142857143</v>
      </c>
      <c r="AT175" s="758">
        <f t="shared" si="87"/>
        <v>62.800583796595618</v>
      </c>
      <c r="AU175" s="13">
        <f t="shared" si="88"/>
        <v>7</v>
      </c>
      <c r="AV175" s="13">
        <f t="shared" si="89"/>
        <v>6</v>
      </c>
      <c r="AW175" s="173">
        <f t="shared" si="90"/>
        <v>43262</v>
      </c>
      <c r="AX175" s="742">
        <f t="shared" si="91"/>
        <v>3.5714285714285712E-2</v>
      </c>
      <c r="AY175" s="758">
        <f t="shared" si="92"/>
        <v>62.784372039006222</v>
      </c>
      <c r="AZ175" s="735">
        <f t="shared" si="96"/>
        <v>62.792477917800923</v>
      </c>
      <c r="BA175" s="633">
        <f t="shared" si="93"/>
        <v>0.98878255555832684</v>
      </c>
      <c r="BC175" s="11">
        <v>43261</v>
      </c>
      <c r="BD175" s="289">
        <f>[2]!FeuilCaduc*(1-Persistant)+Persistant</f>
        <v>0.8806281029257399</v>
      </c>
      <c r="BE175" s="290">
        <f>[2]!CroissVégét</f>
        <v>0.499469404196</v>
      </c>
      <c r="BF175" s="804">
        <f>1+[2]!Salcycl*Ksac</f>
        <v>1.038062810292574</v>
      </c>
      <c r="BH175" s="1036">
        <f t="shared" si="94"/>
        <v>1.4636220663463149E-3</v>
      </c>
      <c r="BI175" s="11">
        <v>44357</v>
      </c>
      <c r="BJ175" s="715">
        <v>1.4636220663463149E-3</v>
      </c>
      <c r="BK175" s="715">
        <v>1.4636220663463149E-3</v>
      </c>
      <c r="BL175" s="715">
        <v>1.4636220663463149E-3</v>
      </c>
      <c r="BM175" s="715">
        <v>1.4636220663463149E-3</v>
      </c>
      <c r="BN175" s="715">
        <v>1.4636220663463149E-3</v>
      </c>
      <c r="BO175" s="716">
        <v>1.4636220663463149E-3</v>
      </c>
      <c r="BP175" s="715">
        <v>1.4636220663463149E-3</v>
      </c>
      <c r="BQ175" s="715">
        <v>1.4636220663463149E-3</v>
      </c>
      <c r="BR175" s="715">
        <v>1.4636220663463149E-3</v>
      </c>
      <c r="BS175" s="715">
        <v>1.4636220663463149E-3</v>
      </c>
      <c r="BT175" s="715">
        <v>1.4636220663463149E-3</v>
      </c>
      <c r="BW175" s="1188">
        <f>'2019'!R\Max</f>
        <v>0.33452426504430982</v>
      </c>
      <c r="BX175" s="1188">
        <f>'2020'!R\Max</f>
        <v>0.38093309403228071</v>
      </c>
      <c r="BY175" s="1188">
        <f>'2021'!R\Max</f>
        <v>0.95797882857997707</v>
      </c>
      <c r="BZ175" s="1188">
        <f>'2022'!R\Max</f>
        <v>0.98878255555832673</v>
      </c>
      <c r="CA175" s="1188">
        <f>'2023'!R\Max</f>
        <v>0.98878255555832684</v>
      </c>
      <c r="CB175" s="1188">
        <f>'2024'!R\Max</f>
        <v>0.98878255555832673</v>
      </c>
      <c r="CC175" s="1188">
        <f>'2025'!R\Max</f>
        <v>0.98878255555832673</v>
      </c>
      <c r="CD175" s="1188">
        <f>'2026'!R\Max</f>
        <v>0.98878255555832673</v>
      </c>
      <c r="CE175" s="1189">
        <f>'2027'!R\Max</f>
        <v>0.98878255555832684</v>
      </c>
      <c r="CF175" s="1191">
        <f>'2028'!R\Max</f>
        <v>0.98878255555832684</v>
      </c>
    </row>
    <row r="176" spans="1:84" s="6" customFormat="1" ht="11.25" x14ac:dyDescent="0.2">
      <c r="A176" s="11">
        <v>43262</v>
      </c>
      <c r="B176" s="379">
        <f>'2023'!Maxi_hp</f>
        <v>60.315252242082352</v>
      </c>
      <c r="C176" s="13">
        <f>'2023'!An_max</f>
        <v>2023</v>
      </c>
      <c r="D176" s="1045" t="str">
        <f t="shared" si="78"/>
        <v/>
      </c>
      <c r="E176" s="1040">
        <f>Y$13/10</f>
        <v>62.744499999999995</v>
      </c>
      <c r="F176" s="13">
        <f t="shared" si="95"/>
        <v>13</v>
      </c>
      <c r="G176" s="13">
        <f t="shared" si="79"/>
        <v>14</v>
      </c>
      <c r="H176" s="173">
        <f t="shared" si="80"/>
        <v>43262</v>
      </c>
      <c r="I176" s="742">
        <f t="shared" si="81"/>
        <v>0</v>
      </c>
      <c r="J176" s="735">
        <f t="shared" si="82"/>
        <v>62.744500000029802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38">
        <v>43262</v>
      </c>
      <c r="AP176" s="13">
        <f t="shared" si="83"/>
        <v>7</v>
      </c>
      <c r="AQ176" s="13">
        <f t="shared" si="84"/>
        <v>8</v>
      </c>
      <c r="AR176" s="173">
        <f t="shared" si="85"/>
        <v>43248</v>
      </c>
      <c r="AS176" s="742">
        <f t="shared" si="86"/>
        <v>0.5</v>
      </c>
      <c r="AT176" s="758">
        <f t="shared" si="87"/>
        <v>62.756812500208618</v>
      </c>
      <c r="AU176" s="13">
        <f t="shared" si="88"/>
        <v>7</v>
      </c>
      <c r="AV176" s="13">
        <f t="shared" si="89"/>
        <v>8</v>
      </c>
      <c r="AW176" s="173">
        <f t="shared" si="90"/>
        <v>43262</v>
      </c>
      <c r="AX176" s="742">
        <f t="shared" si="91"/>
        <v>0</v>
      </c>
      <c r="AY176" s="758">
        <f t="shared" si="92"/>
        <v>62.744500000402333</v>
      </c>
      <c r="AZ176" s="735">
        <f t="shared" si="96"/>
        <v>62.750656250305475</v>
      </c>
      <c r="BA176" s="633">
        <f t="shared" si="93"/>
        <v>0.96128349484104114</v>
      </c>
      <c r="BC176" s="11">
        <v>43262</v>
      </c>
      <c r="BD176" s="289">
        <f>[2]!FeuilCaduc*(1-Persistant)+Persistant</f>
        <v>0.88661312758207367</v>
      </c>
      <c r="BE176" s="290">
        <f>[2]!CroissVégét</f>
        <v>0.50975963681802305</v>
      </c>
      <c r="BF176" s="804">
        <f>1+[2]!Salcycl*Ksac</f>
        <v>1.0386613127582074</v>
      </c>
      <c r="BH176" s="1036">
        <f t="shared" si="94"/>
        <v>1.452440600931355E-3</v>
      </c>
      <c r="BI176" s="11">
        <v>44358</v>
      </c>
      <c r="BJ176" s="715">
        <v>1.452440600931355E-3</v>
      </c>
      <c r="BK176" s="715">
        <v>1.452440600931355E-3</v>
      </c>
      <c r="BL176" s="715">
        <v>1.452440600931355E-3</v>
      </c>
      <c r="BM176" s="715">
        <v>1.452440600931355E-3</v>
      </c>
      <c r="BN176" s="715">
        <v>1.452440600931355E-3</v>
      </c>
      <c r="BO176" s="716">
        <v>1.452440600931355E-3</v>
      </c>
      <c r="BP176" s="715">
        <v>1.452440600931355E-3</v>
      </c>
      <c r="BQ176" s="715">
        <v>1.452440600931355E-3</v>
      </c>
      <c r="BR176" s="715">
        <v>1.452440600931355E-3</v>
      </c>
      <c r="BS176" s="715">
        <v>1.452440600931355E-3</v>
      </c>
      <c r="BT176" s="715">
        <v>1.452440600931355E-3</v>
      </c>
      <c r="BW176" s="1188">
        <f>'2019'!R\Max</f>
        <v>0.5042491968494347</v>
      </c>
      <c r="BX176" s="1188">
        <f>'2020'!R\Max</f>
        <v>0.71616682296859191</v>
      </c>
      <c r="BY176" s="1188">
        <f>'2021'!R\Max</f>
        <v>0.82909514644166538</v>
      </c>
      <c r="BZ176" s="1188">
        <f>'2022'!R\Max</f>
        <v>0.96128349484104114</v>
      </c>
      <c r="CA176" s="1188">
        <f>'2023'!R\Max</f>
        <v>0.96128349484104114</v>
      </c>
      <c r="CB176" s="1188">
        <f>'2024'!R\Max</f>
        <v>0.96128349484104125</v>
      </c>
      <c r="CC176" s="1188">
        <f>'2025'!R\Max</f>
        <v>0.96128349484104125</v>
      </c>
      <c r="CD176" s="1188">
        <f>'2026'!R\Max</f>
        <v>0.96128349484104125</v>
      </c>
      <c r="CE176" s="1189">
        <f>'2027'!R\Max</f>
        <v>0.96128349484104125</v>
      </c>
      <c r="CF176" s="1191">
        <f>'2028'!R\Max</f>
        <v>0.96128349484104125</v>
      </c>
    </row>
    <row r="177" spans="1:84" s="6" customFormat="1" ht="11.25" x14ac:dyDescent="0.2">
      <c r="A177" s="11">
        <v>43263</v>
      </c>
      <c r="B177" s="379">
        <f>'2023'!Maxi_hp</f>
        <v>58.629383345992608</v>
      </c>
      <c r="C177" s="13">
        <f>'2023'!An_max</f>
        <v>2018</v>
      </c>
      <c r="D177" s="1045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73">
        <f t="shared" si="80"/>
        <v>43262</v>
      </c>
      <c r="I177" s="742">
        <f t="shared" si="81"/>
        <v>7.1428571428571425E-2</v>
      </c>
      <c r="J177" s="735">
        <f t="shared" si="82"/>
        <v>62.701280612152608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38">
        <v>43263</v>
      </c>
      <c r="AP177" s="13">
        <f t="shared" si="83"/>
        <v>7</v>
      </c>
      <c r="AQ177" s="13">
        <f t="shared" si="84"/>
        <v>8</v>
      </c>
      <c r="AR177" s="173">
        <f t="shared" si="85"/>
        <v>43248</v>
      </c>
      <c r="AS177" s="742">
        <f t="shared" si="86"/>
        <v>0.5357142857142857</v>
      </c>
      <c r="AT177" s="758">
        <f t="shared" si="87"/>
        <v>62.710905361541414</v>
      </c>
      <c r="AU177" s="13">
        <f t="shared" si="88"/>
        <v>7</v>
      </c>
      <c r="AV177" s="13">
        <f t="shared" si="89"/>
        <v>8</v>
      </c>
      <c r="AW177" s="173">
        <f t="shared" si="90"/>
        <v>43262</v>
      </c>
      <c r="AX177" s="742">
        <f t="shared" si="91"/>
        <v>3.5714285714285712E-2</v>
      </c>
      <c r="AY177" s="758">
        <f t="shared" si="92"/>
        <v>62.702552694474754</v>
      </c>
      <c r="AZ177" s="735">
        <f t="shared" si="96"/>
        <v>62.706729028008084</v>
      </c>
      <c r="BA177" s="633">
        <f t="shared" si="93"/>
        <v>0.93505878625753625</v>
      </c>
      <c r="BC177" s="11">
        <v>43263</v>
      </c>
      <c r="BD177" s="289">
        <f>[2]!FeuilCaduc*(1-Persistant)+Persistant</f>
        <v>0.89245950612421099</v>
      </c>
      <c r="BE177" s="290">
        <f>[2]!CroissVégét</f>
        <v>0.52004118610663486</v>
      </c>
      <c r="BF177" s="804">
        <f>1+[2]!Salcycl*Ksac</f>
        <v>1.0392459506124212</v>
      </c>
      <c r="BH177" s="1036">
        <f t="shared" si="94"/>
        <v>1.4420844359101916E-3</v>
      </c>
      <c r="BI177" s="11">
        <v>44359</v>
      </c>
      <c r="BJ177" s="715">
        <v>1.4420844359101918E-3</v>
      </c>
      <c r="BK177" s="715">
        <v>1.4420844359101916E-3</v>
      </c>
      <c r="BL177" s="715">
        <v>1.4420844359101916E-3</v>
      </c>
      <c r="BM177" s="715">
        <v>1.4420844359101916E-3</v>
      </c>
      <c r="BN177" s="715">
        <v>1.4420844359101916E-3</v>
      </c>
      <c r="BO177" s="716">
        <v>1.4420844359101916E-3</v>
      </c>
      <c r="BP177" s="715">
        <v>1.4420844359101916E-3</v>
      </c>
      <c r="BQ177" s="715">
        <v>1.4420844359101916E-3</v>
      </c>
      <c r="BR177" s="715">
        <v>1.4420844359101916E-3</v>
      </c>
      <c r="BS177" s="715">
        <v>1.4420844359101916E-3</v>
      </c>
      <c r="BT177" s="715">
        <v>1.4420844359101918E-3</v>
      </c>
      <c r="BW177" s="1188">
        <f>'2019'!R\Max</f>
        <v>0.93505878625753625</v>
      </c>
      <c r="BX177" s="1188">
        <f>'2020'!R\Max</f>
        <v>0.45223066411293933</v>
      </c>
      <c r="BY177" s="1188">
        <f>'2021'!R\Max</f>
        <v>0.69687149747829491</v>
      </c>
      <c r="BZ177" s="1188">
        <f>'2022'!R\Max</f>
        <v>0.7577758536505671</v>
      </c>
      <c r="CA177" s="1188">
        <f>'2023'!R\Max</f>
        <v>0.7577758536505671</v>
      </c>
      <c r="CB177" s="1188">
        <f>'2024'!R\Max</f>
        <v>0.75777585365056721</v>
      </c>
      <c r="CC177" s="1188">
        <f>'2025'!R\Max</f>
        <v>0.7577758536505671</v>
      </c>
      <c r="CD177" s="1188">
        <f>'2026'!R\Max</f>
        <v>0.7577758536505671</v>
      </c>
      <c r="CE177" s="1189">
        <f>'2027'!R\Max</f>
        <v>0.7577758536505671</v>
      </c>
      <c r="CF177" s="1191">
        <f>'2028'!R\Max</f>
        <v>0.7577758536505671</v>
      </c>
    </row>
    <row r="178" spans="1:84" s="6" customFormat="1" ht="11.25" x14ac:dyDescent="0.2">
      <c r="A178" s="11">
        <v>43264</v>
      </c>
      <c r="B178" s="379">
        <f>'2023'!Maxi_hp</f>
        <v>65.55404847482302</v>
      </c>
      <c r="C178" s="13">
        <f>'2023'!An_max</f>
        <v>2018</v>
      </c>
      <c r="D178" s="1045">
        <f t="shared" si="78"/>
        <v>1.0462524753302593</v>
      </c>
      <c r="E178" s="13"/>
      <c r="F178" s="13">
        <f t="shared" si="95"/>
        <v>13</v>
      </c>
      <c r="G178" s="13">
        <f t="shared" si="79"/>
        <v>14</v>
      </c>
      <c r="H178" s="173">
        <f t="shared" si="80"/>
        <v>43262</v>
      </c>
      <c r="I178" s="742">
        <f t="shared" si="81"/>
        <v>0.14285714285714285</v>
      </c>
      <c r="J178" s="735">
        <f t="shared" si="82"/>
        <v>62.656051020696772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38">
        <v>43264</v>
      </c>
      <c r="AP178" s="13">
        <f t="shared" si="83"/>
        <v>7</v>
      </c>
      <c r="AQ178" s="13">
        <f t="shared" si="84"/>
        <v>8</v>
      </c>
      <c r="AR178" s="173">
        <f t="shared" si="85"/>
        <v>43248</v>
      </c>
      <c r="AS178" s="742">
        <f t="shared" si="86"/>
        <v>0.5714285714285714</v>
      </c>
      <c r="AT178" s="758">
        <f t="shared" si="87"/>
        <v>62.662943148719407</v>
      </c>
      <c r="AU178" s="13">
        <f t="shared" si="88"/>
        <v>7</v>
      </c>
      <c r="AV178" s="13">
        <f t="shared" si="89"/>
        <v>8</v>
      </c>
      <c r="AW178" s="173">
        <f t="shared" si="90"/>
        <v>43262</v>
      </c>
      <c r="AX178" s="742">
        <f t="shared" si="91"/>
        <v>7.1428571428571425E-2</v>
      </c>
      <c r="AY178" s="758">
        <f t="shared" si="92"/>
        <v>62.657684311736375</v>
      </c>
      <c r="AZ178" s="735">
        <f t="shared" si="96"/>
        <v>62.660313730227891</v>
      </c>
      <c r="BA178" s="633">
        <f t="shared" si="93"/>
        <v>1.0462524753302593</v>
      </c>
      <c r="BC178" s="11">
        <v>43264</v>
      </c>
      <c r="BD178" s="289">
        <f>[2]!FeuilCaduc*(1-Persistant)+Persistant</f>
        <v>0.89816160567750636</v>
      </c>
      <c r="BE178" s="290">
        <f>[2]!CroissVégét</f>
        <v>0.53030539801316789</v>
      </c>
      <c r="BF178" s="804">
        <f>1+[2]!Salcycl*Ksac</f>
        <v>1.0398161605677507</v>
      </c>
      <c r="BH178" s="1036">
        <f t="shared" si="94"/>
        <v>1.4332486532669033E-3</v>
      </c>
      <c r="BI178" s="11">
        <v>44360</v>
      </c>
      <c r="BJ178" s="715">
        <v>1.4332486532669033E-3</v>
      </c>
      <c r="BK178" s="715">
        <v>1.4332486532669033E-3</v>
      </c>
      <c r="BL178" s="715">
        <v>1.4332486532669033E-3</v>
      </c>
      <c r="BM178" s="715">
        <v>1.4332486532669033E-3</v>
      </c>
      <c r="BN178" s="715">
        <v>1.4332486532669033E-3</v>
      </c>
      <c r="BO178" s="716">
        <v>1.4332486532669033E-3</v>
      </c>
      <c r="BP178" s="715">
        <v>1.4332486532669033E-3</v>
      </c>
      <c r="BQ178" s="715">
        <v>1.4332486532669033E-3</v>
      </c>
      <c r="BR178" s="715">
        <v>1.4332486532669033E-3</v>
      </c>
      <c r="BS178" s="715">
        <v>1.4332486532669033E-3</v>
      </c>
      <c r="BT178" s="715">
        <v>1.4332486532669033E-3</v>
      </c>
      <c r="BW178" s="1188">
        <f>'2019'!R\Max</f>
        <v>1.0462524753302593</v>
      </c>
      <c r="BX178" s="1188">
        <f>'2020'!R\Max</f>
        <v>0.90709183972661067</v>
      </c>
      <c r="BY178" s="1188">
        <f>'2021'!R\Max</f>
        <v>0.93903770219413685</v>
      </c>
      <c r="BZ178" s="1188">
        <f>'2022'!R\Max</f>
        <v>0.91254474988575529</v>
      </c>
      <c r="CA178" s="1188">
        <f>'2023'!R\Max</f>
        <v>0.9125447498857554</v>
      </c>
      <c r="CB178" s="1188">
        <f>'2024'!R\Max</f>
        <v>0.9125447498857554</v>
      </c>
      <c r="CC178" s="1188">
        <f>'2025'!R\Max</f>
        <v>0.91254474988575518</v>
      </c>
      <c r="CD178" s="1188">
        <f>'2026'!R\Max</f>
        <v>0.91254474988575529</v>
      </c>
      <c r="CE178" s="1189">
        <f>'2027'!R\Max</f>
        <v>0.91254474988575518</v>
      </c>
      <c r="CF178" s="1191">
        <f>'2028'!R\Max</f>
        <v>0.91254474988575518</v>
      </c>
    </row>
    <row r="179" spans="1:84" s="6" customFormat="1" ht="11.25" x14ac:dyDescent="0.2">
      <c r="A179" s="11">
        <v>43265</v>
      </c>
      <c r="B179" s="379">
        <f>'2023'!Maxi_hp</f>
        <v>57.93177367847553</v>
      </c>
      <c r="C179" s="13">
        <f>'2023'!An_max</f>
        <v>2021</v>
      </c>
      <c r="D179" s="1045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73">
        <f t="shared" si="80"/>
        <v>43262</v>
      </c>
      <c r="I179" s="742">
        <f t="shared" si="81"/>
        <v>0.21428571428571427</v>
      </c>
      <c r="J179" s="735">
        <f t="shared" si="82"/>
        <v>62.608811224544681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38">
        <v>43265</v>
      </c>
      <c r="AP179" s="13">
        <f t="shared" si="83"/>
        <v>7</v>
      </c>
      <c r="AQ179" s="13">
        <f t="shared" si="84"/>
        <v>8</v>
      </c>
      <c r="AR179" s="173">
        <f t="shared" si="85"/>
        <v>43248</v>
      </c>
      <c r="AS179" s="742">
        <f t="shared" si="86"/>
        <v>0.6071428571428571</v>
      </c>
      <c r="AT179" s="758">
        <f t="shared" si="87"/>
        <v>62.613006627825754</v>
      </c>
      <c r="AU179" s="13">
        <f t="shared" si="88"/>
        <v>7</v>
      </c>
      <c r="AV179" s="13">
        <f t="shared" si="89"/>
        <v>8</v>
      </c>
      <c r="AW179" s="173">
        <f t="shared" si="90"/>
        <v>43262</v>
      </c>
      <c r="AX179" s="742">
        <f t="shared" si="91"/>
        <v>0.10714285714285714</v>
      </c>
      <c r="AY179" s="758">
        <f t="shared" si="92"/>
        <v>62.609989078389482</v>
      </c>
      <c r="AZ179" s="735">
        <f t="shared" si="96"/>
        <v>62.611497853107622</v>
      </c>
      <c r="BA179" s="633">
        <f t="shared" si="93"/>
        <v>0.92529745486948967</v>
      </c>
      <c r="BC179" s="11">
        <v>43265</v>
      </c>
      <c r="BD179" s="289">
        <f>[2]!FeuilCaduc*(1-Persistant)+Persistant</f>
        <v>0.90371422657142475</v>
      </c>
      <c r="BE179" s="290">
        <f>[2]!CroissVégét</f>
        <v>0.54054367684881977</v>
      </c>
      <c r="BF179" s="804">
        <f>1+[2]!Salcycl*Ksac</f>
        <v>1.0403714226571426</v>
      </c>
      <c r="BH179" s="1036">
        <f t="shared" si="94"/>
        <v>1.4248291496429097E-3</v>
      </c>
      <c r="BI179" s="11">
        <v>44361</v>
      </c>
      <c r="BJ179" s="715">
        <v>1.4248291496429097E-3</v>
      </c>
      <c r="BK179" s="715">
        <v>1.4248291496429097E-3</v>
      </c>
      <c r="BL179" s="715">
        <v>1.4248291496429097E-3</v>
      </c>
      <c r="BM179" s="715">
        <v>1.4248291496429097E-3</v>
      </c>
      <c r="BN179" s="715">
        <v>1.4248291496429097E-3</v>
      </c>
      <c r="BO179" s="716">
        <v>1.4248291496429097E-3</v>
      </c>
      <c r="BP179" s="715">
        <v>1.4248291496429097E-3</v>
      </c>
      <c r="BQ179" s="715">
        <v>1.4248291496429097E-3</v>
      </c>
      <c r="BR179" s="715">
        <v>1.4248291496429097E-3</v>
      </c>
      <c r="BS179" s="715">
        <v>1.4248291496429097E-3</v>
      </c>
      <c r="BT179" s="715">
        <v>1.4248291496429097E-3</v>
      </c>
      <c r="BW179" s="1188">
        <f>'2019'!R\Max</f>
        <v>0.3999822728759832</v>
      </c>
      <c r="BX179" s="1188">
        <f>'2020'!R\Max</f>
        <v>0.74191157129546237</v>
      </c>
      <c r="BY179" s="1188">
        <f>'2021'!R\Max</f>
        <v>0.92529745486948967</v>
      </c>
      <c r="BZ179" s="1188">
        <f>'2022'!R\Max</f>
        <v>0.87834098966709884</v>
      </c>
      <c r="CA179" s="1188">
        <f>'2023'!R\Max</f>
        <v>0.87834098966709873</v>
      </c>
      <c r="CB179" s="1188">
        <f>'2024'!R\Max</f>
        <v>0.87834098966709884</v>
      </c>
      <c r="CC179" s="1188">
        <f>'2025'!R\Max</f>
        <v>0.87834098966709873</v>
      </c>
      <c r="CD179" s="1188">
        <f>'2026'!R\Max</f>
        <v>0.87834098966709884</v>
      </c>
      <c r="CE179" s="1189">
        <f>'2027'!R\Max</f>
        <v>0.87834098966709884</v>
      </c>
      <c r="CF179" s="1191">
        <f>'2028'!R\Max</f>
        <v>0.87834098966709884</v>
      </c>
    </row>
    <row r="180" spans="1:84" s="6" customFormat="1" ht="11.25" x14ac:dyDescent="0.2">
      <c r="A180" s="11">
        <v>43266</v>
      </c>
      <c r="B180" s="379">
        <f>'2023'!Maxi_hp</f>
        <v>58.471371403840038</v>
      </c>
      <c r="C180" s="13">
        <f>'2023'!An_max</f>
        <v>2023</v>
      </c>
      <c r="D180" s="1045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73">
        <f t="shared" si="80"/>
        <v>43262</v>
      </c>
      <c r="I180" s="742">
        <f t="shared" si="81"/>
        <v>0.2857142857142857</v>
      </c>
      <c r="J180" s="735">
        <f t="shared" si="82"/>
        <v>62.559561224547885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38">
        <v>43266</v>
      </c>
      <c r="AP180" s="13">
        <f t="shared" si="83"/>
        <v>7</v>
      </c>
      <c r="AQ180" s="13">
        <f t="shared" si="84"/>
        <v>8</v>
      </c>
      <c r="AR180" s="173">
        <f t="shared" si="85"/>
        <v>43248</v>
      </c>
      <c r="AS180" s="742">
        <f t="shared" si="86"/>
        <v>0.6428571428571429</v>
      </c>
      <c r="AT180" s="758">
        <f t="shared" si="87"/>
        <v>62.561176566965877</v>
      </c>
      <c r="AU180" s="13">
        <f t="shared" si="88"/>
        <v>7</v>
      </c>
      <c r="AV180" s="13">
        <f t="shared" si="89"/>
        <v>8</v>
      </c>
      <c r="AW180" s="173">
        <f t="shared" si="90"/>
        <v>43262</v>
      </c>
      <c r="AX180" s="742">
        <f t="shared" si="91"/>
        <v>0.14285714285714285</v>
      </c>
      <c r="AY180" s="758">
        <f t="shared" si="92"/>
        <v>62.559561224760749</v>
      </c>
      <c r="AZ180" s="735">
        <f t="shared" si="96"/>
        <v>62.560368895863313</v>
      </c>
      <c r="BA180" s="633">
        <f t="shared" si="93"/>
        <v>0.93465123890441115</v>
      </c>
      <c r="BC180" s="11">
        <v>43266</v>
      </c>
      <c r="BD180" s="289">
        <f>[2]!FeuilCaduc*(1-Persistant)+Persistant</f>
        <v>0.90911262107710678</v>
      </c>
      <c r="BE180" s="290">
        <f>[2]!CroissVégét</f>
        <v>0.55074751394309984</v>
      </c>
      <c r="BF180" s="804">
        <f>1+[2]!Salcycl*Ksac</f>
        <v>1.0409112621077106</v>
      </c>
      <c r="BH180" s="1036">
        <f t="shared" si="94"/>
        <v>1.4168269641249163E-3</v>
      </c>
      <c r="BI180" s="11">
        <v>44362</v>
      </c>
      <c r="BJ180" s="715">
        <v>1.4168269641249161E-3</v>
      </c>
      <c r="BK180" s="715">
        <v>1.4168269641249163E-3</v>
      </c>
      <c r="BL180" s="715">
        <v>1.4168269641249163E-3</v>
      </c>
      <c r="BM180" s="715">
        <v>1.4168269641249163E-3</v>
      </c>
      <c r="BN180" s="715">
        <v>1.4168269641249163E-3</v>
      </c>
      <c r="BO180" s="716">
        <v>1.4168269641249163E-3</v>
      </c>
      <c r="BP180" s="715">
        <v>1.4168269641249163E-3</v>
      </c>
      <c r="BQ180" s="715">
        <v>1.4168269641249163E-3</v>
      </c>
      <c r="BR180" s="715">
        <v>1.4168269641249163E-3</v>
      </c>
      <c r="BS180" s="715">
        <v>1.4168269641249163E-3</v>
      </c>
      <c r="BT180" s="715">
        <v>1.4168269641249161E-3</v>
      </c>
      <c r="BW180" s="1188">
        <f>'2019'!R\Max</f>
        <v>0.40277184646683106</v>
      </c>
      <c r="BX180" s="1188">
        <f>'2020'!R\Max</f>
        <v>0.79040700667824848</v>
      </c>
      <c r="BY180" s="1188">
        <f>'2021'!R\Max</f>
        <v>0.87617461991097556</v>
      </c>
      <c r="BZ180" s="1188">
        <f>'2022'!R\Max</f>
        <v>0.93465123890441126</v>
      </c>
      <c r="CA180" s="1188">
        <f>'2023'!R\Max</f>
        <v>0.93465123890441115</v>
      </c>
      <c r="CB180" s="1188">
        <f>'2024'!R\Max</f>
        <v>0.93465123890441126</v>
      </c>
      <c r="CC180" s="1188">
        <f>'2025'!R\Max</f>
        <v>0.93465123890441115</v>
      </c>
      <c r="CD180" s="1188">
        <f>'2026'!R\Max</f>
        <v>0.93465123890441115</v>
      </c>
      <c r="CE180" s="1189">
        <f>'2027'!R\Max</f>
        <v>0.93465123890441126</v>
      </c>
      <c r="CF180" s="1191">
        <f>'2028'!R\Max</f>
        <v>0.93465123890441126</v>
      </c>
    </row>
    <row r="181" spans="1:84" s="6" customFormat="1" ht="11.25" x14ac:dyDescent="0.2">
      <c r="A181" s="11">
        <v>43267</v>
      </c>
      <c r="B181" s="379">
        <f>'2023'!Maxi_hp</f>
        <v>62.896396798110899</v>
      </c>
      <c r="C181" s="13">
        <f>'2023'!An_max</f>
        <v>2018</v>
      </c>
      <c r="D181" s="1045">
        <f t="shared" si="78"/>
        <v>1.0062087078271031</v>
      </c>
      <c r="E181" s="13"/>
      <c r="F181" s="13">
        <f t="shared" si="95"/>
        <v>13</v>
      </c>
      <c r="G181" s="13">
        <f t="shared" si="79"/>
        <v>14</v>
      </c>
      <c r="H181" s="173">
        <f t="shared" si="80"/>
        <v>43262</v>
      </c>
      <c r="I181" s="742">
        <f t="shared" si="81"/>
        <v>0.35714285714285715</v>
      </c>
      <c r="J181" s="735">
        <f t="shared" si="82"/>
        <v>62.508301020307201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38">
        <v>43267</v>
      </c>
      <c r="AP181" s="13">
        <f t="shared" si="83"/>
        <v>7</v>
      </c>
      <c r="AQ181" s="13">
        <f t="shared" si="84"/>
        <v>8</v>
      </c>
      <c r="AR181" s="173">
        <f t="shared" si="85"/>
        <v>43248</v>
      </c>
      <c r="AS181" s="742">
        <f t="shared" si="86"/>
        <v>0.6785714285714286</v>
      </c>
      <c r="AT181" s="758">
        <f t="shared" si="87"/>
        <v>62.507533732455748</v>
      </c>
      <c r="AU181" s="13">
        <f t="shared" si="88"/>
        <v>7</v>
      </c>
      <c r="AV181" s="13">
        <f t="shared" si="89"/>
        <v>8</v>
      </c>
      <c r="AW181" s="173">
        <f t="shared" si="90"/>
        <v>43262</v>
      </c>
      <c r="AX181" s="742">
        <f t="shared" si="91"/>
        <v>0.17857142857142858</v>
      </c>
      <c r="AY181" s="758">
        <f t="shared" si="92"/>
        <v>62.506494977597939</v>
      </c>
      <c r="AZ181" s="735">
        <f t="shared" si="96"/>
        <v>62.50701435502684</v>
      </c>
      <c r="BA181" s="633">
        <f t="shared" si="93"/>
        <v>1.0062087078271031</v>
      </c>
      <c r="BC181" s="11">
        <v>43267</v>
      </c>
      <c r="BD181" s="289">
        <f>[2]!FeuilCaduc*(1-Persistant)+Persistant</f>
        <v>0.91435250979095462</v>
      </c>
      <c r="BE181" s="290">
        <f>[2]!CroissVégét</f>
        <v>0.56090851568364364</v>
      </c>
      <c r="BF181" s="804">
        <f>1+[2]!Salcycl*Ksac</f>
        <v>1.0414352509790954</v>
      </c>
      <c r="BH181" s="1036">
        <f t="shared" si="94"/>
        <v>1.4092431157080379E-3</v>
      </c>
      <c r="BI181" s="11">
        <v>44363</v>
      </c>
      <c r="BJ181" s="715">
        <v>1.4092431157080379E-3</v>
      </c>
      <c r="BK181" s="715">
        <v>1.4092431157080379E-3</v>
      </c>
      <c r="BL181" s="715">
        <v>1.4092431157080379E-3</v>
      </c>
      <c r="BM181" s="715">
        <v>1.4092431157080379E-3</v>
      </c>
      <c r="BN181" s="715">
        <v>1.4092431157080379E-3</v>
      </c>
      <c r="BO181" s="716">
        <v>1.4092431157080379E-3</v>
      </c>
      <c r="BP181" s="715">
        <v>1.4092431157080379E-3</v>
      </c>
      <c r="BQ181" s="715">
        <v>1.4092431157080379E-3</v>
      </c>
      <c r="BR181" s="715">
        <v>1.4092431157080379E-3</v>
      </c>
      <c r="BS181" s="715">
        <v>1.4092431157080379E-3</v>
      </c>
      <c r="BT181" s="715">
        <v>1.4092431157080379E-3</v>
      </c>
      <c r="BW181" s="1188">
        <f>'2019'!R\Max</f>
        <v>1.0062087078271031</v>
      </c>
      <c r="BX181" s="1188">
        <f>'2020'!R\Max</f>
        <v>0.78323587802736161</v>
      </c>
      <c r="BY181" s="1188">
        <f>'2021'!R\Max</f>
        <v>0.8525303157026749</v>
      </c>
      <c r="BZ181" s="1188">
        <f>'2022'!R\Max</f>
        <v>0.90222302685284872</v>
      </c>
      <c r="CA181" s="1188">
        <f>'2023'!R\Max</f>
        <v>0.90222302685284883</v>
      </c>
      <c r="CB181" s="1188">
        <f>'2024'!R\Max</f>
        <v>0.90222302685284872</v>
      </c>
      <c r="CC181" s="1188">
        <f>'2025'!R\Max</f>
        <v>0.90222302685284872</v>
      </c>
      <c r="CD181" s="1188">
        <f>'2026'!R\Max</f>
        <v>0.90222302685284872</v>
      </c>
      <c r="CE181" s="1189">
        <f>'2027'!R\Max</f>
        <v>0.90222302685284872</v>
      </c>
      <c r="CF181" s="1191">
        <f>'2028'!R\Max</f>
        <v>0.90222302685284872</v>
      </c>
    </row>
    <row r="182" spans="1:84" s="6" customFormat="1" ht="11.25" x14ac:dyDescent="0.2">
      <c r="A182" s="11">
        <v>43268</v>
      </c>
      <c r="B182" s="379">
        <f>'2023'!Maxi_hp</f>
        <v>61.724084548861946</v>
      </c>
      <c r="C182" s="13">
        <f>'2023'!An_max</f>
        <v>2018</v>
      </c>
      <c r="D182" s="1045">
        <f t="shared" si="78"/>
        <v>0.98829644215273549</v>
      </c>
      <c r="E182" s="13"/>
      <c r="F182" s="13">
        <f t="shared" si="95"/>
        <v>13</v>
      </c>
      <c r="G182" s="13">
        <f t="shared" si="79"/>
        <v>14</v>
      </c>
      <c r="H182" s="173">
        <f t="shared" si="80"/>
        <v>43262</v>
      </c>
      <c r="I182" s="742">
        <f t="shared" si="81"/>
        <v>0.42857142857142855</v>
      </c>
      <c r="J182" s="735">
        <f t="shared" si="82"/>
        <v>62.455030612487874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38">
        <v>43268</v>
      </c>
      <c r="AP182" s="13">
        <f t="shared" si="83"/>
        <v>7</v>
      </c>
      <c r="AQ182" s="13">
        <f t="shared" si="84"/>
        <v>8</v>
      </c>
      <c r="AR182" s="173">
        <f t="shared" si="85"/>
        <v>43248</v>
      </c>
      <c r="AS182" s="742">
        <f t="shared" si="86"/>
        <v>0.7142857142857143</v>
      </c>
      <c r="AT182" s="758">
        <f t="shared" si="87"/>
        <v>62.452158891915211</v>
      </c>
      <c r="AU182" s="13">
        <f t="shared" si="88"/>
        <v>7</v>
      </c>
      <c r="AV182" s="13">
        <f t="shared" si="89"/>
        <v>8</v>
      </c>
      <c r="AW182" s="173">
        <f t="shared" si="90"/>
        <v>43262</v>
      </c>
      <c r="AX182" s="742">
        <f t="shared" si="91"/>
        <v>0.21428571428571427</v>
      </c>
      <c r="AY182" s="758">
        <f t="shared" si="92"/>
        <v>62.450884566469384</v>
      </c>
      <c r="AZ182" s="735">
        <f t="shared" si="96"/>
        <v>62.451521729192294</v>
      </c>
      <c r="BA182" s="633">
        <f t="shared" si="93"/>
        <v>0.98829644215273549</v>
      </c>
      <c r="BC182" s="11">
        <v>43268</v>
      </c>
      <c r="BD182" s="289">
        <f>[2]!FeuilCaduc*(1-Persistant)+Persistant</f>
        <v>0.91943009553937594</v>
      </c>
      <c r="BE182" s="290">
        <f>[2]!CroissVégét</f>
        <v>0.57101843074296321</v>
      </c>
      <c r="BF182" s="804">
        <f>1+[2]!Salcycl*Ksac</f>
        <v>1.0419430095539377</v>
      </c>
      <c r="BH182" s="1036">
        <f t="shared" si="94"/>
        <v>1.4020786086699612E-3</v>
      </c>
      <c r="BI182" s="11">
        <v>44364</v>
      </c>
      <c r="BJ182" s="715">
        <v>1.4020786086699614E-3</v>
      </c>
      <c r="BK182" s="715">
        <v>1.4020786086699612E-3</v>
      </c>
      <c r="BL182" s="715">
        <v>1.4020786086699612E-3</v>
      </c>
      <c r="BM182" s="715">
        <v>1.4020786086699612E-3</v>
      </c>
      <c r="BN182" s="715">
        <v>1.4020786086699612E-3</v>
      </c>
      <c r="BO182" s="716">
        <v>1.4020786086699612E-3</v>
      </c>
      <c r="BP182" s="715">
        <v>1.4020786086699612E-3</v>
      </c>
      <c r="BQ182" s="715">
        <v>1.4020786086699612E-3</v>
      </c>
      <c r="BR182" s="715">
        <v>1.4020786086699612E-3</v>
      </c>
      <c r="BS182" s="715">
        <v>1.4020786086699612E-3</v>
      </c>
      <c r="BT182" s="715">
        <v>1.4020786086699614E-3</v>
      </c>
      <c r="BW182" s="1188">
        <f>'2019'!R\Max</f>
        <v>0.98829644215273549</v>
      </c>
      <c r="BX182" s="1188">
        <f>'2020'!R\Max</f>
        <v>0.54022920146419751</v>
      </c>
      <c r="BY182" s="1188">
        <f>'2021'!R\Max</f>
        <v>0.26486298984411355</v>
      </c>
      <c r="BZ182" s="1188">
        <f>'2022'!R\Max</f>
        <v>0.90164627386345519</v>
      </c>
      <c r="CA182" s="1188">
        <f>'2023'!R\Max</f>
        <v>0.90164627386345519</v>
      </c>
      <c r="CB182" s="1188">
        <f>'2024'!R\Max</f>
        <v>0.90164627386345519</v>
      </c>
      <c r="CC182" s="1188">
        <f>'2025'!R\Max</f>
        <v>0.90164627386345508</v>
      </c>
      <c r="CD182" s="1188">
        <f>'2026'!R\Max</f>
        <v>0.90164627386345497</v>
      </c>
      <c r="CE182" s="1189">
        <f>'2027'!R\Max</f>
        <v>0.90164627386345508</v>
      </c>
      <c r="CF182" s="1191">
        <f>'2028'!R\Max</f>
        <v>0.90164627386345519</v>
      </c>
    </row>
    <row r="183" spans="1:84" s="6" customFormat="1" ht="11.25" x14ac:dyDescent="0.2">
      <c r="A183" s="11">
        <v>43269</v>
      </c>
      <c r="B183" s="379">
        <f>'2023'!Maxi_hp</f>
        <v>60.056691954059566</v>
      </c>
      <c r="C183" s="13">
        <f>'2023'!An_max</f>
        <v>2023</v>
      </c>
      <c r="D183" s="1045" t="str">
        <f t="shared" si="78"/>
        <v/>
      </c>
      <c r="E183" s="13"/>
      <c r="F183" s="13">
        <f t="shared" si="95"/>
        <v>13</v>
      </c>
      <c r="G183" s="13">
        <f t="shared" si="79"/>
        <v>14</v>
      </c>
      <c r="H183" s="173">
        <f t="shared" si="80"/>
        <v>43262</v>
      </c>
      <c r="I183" s="742">
        <f t="shared" si="81"/>
        <v>0.5</v>
      </c>
      <c r="J183" s="735">
        <f t="shared" si="82"/>
        <v>62.399750000052151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38">
        <v>43269</v>
      </c>
      <c r="AP183" s="13">
        <f t="shared" si="83"/>
        <v>7</v>
      </c>
      <c r="AQ183" s="13">
        <f t="shared" si="84"/>
        <v>8</v>
      </c>
      <c r="AR183" s="173">
        <f t="shared" si="85"/>
        <v>43248</v>
      </c>
      <c r="AS183" s="742">
        <f t="shared" si="86"/>
        <v>0.75</v>
      </c>
      <c r="AT183" s="758">
        <f t="shared" si="87"/>
        <v>62.395132812578233</v>
      </c>
      <c r="AU183" s="13">
        <f t="shared" si="88"/>
        <v>7</v>
      </c>
      <c r="AV183" s="13">
        <f t="shared" si="89"/>
        <v>8</v>
      </c>
      <c r="AW183" s="173">
        <f t="shared" si="90"/>
        <v>43262</v>
      </c>
      <c r="AX183" s="742">
        <f t="shared" si="91"/>
        <v>0.25</v>
      </c>
      <c r="AY183" s="758">
        <f t="shared" si="92"/>
        <v>62.39282421870157</v>
      </c>
      <c r="AZ183" s="735">
        <f t="shared" si="96"/>
        <v>62.393978515639901</v>
      </c>
      <c r="BA183" s="633">
        <f t="shared" si="93"/>
        <v>0.96245084241538426</v>
      </c>
      <c r="BC183" s="11">
        <v>43269</v>
      </c>
      <c r="BD183" s="289">
        <f>[2]!FeuilCaduc*(1-Persistant)+Persistant</f>
        <v>0.92434207469790586</v>
      </c>
      <c r="BE183" s="290">
        <f>[2]!CroissVégét</f>
        <v>0.5810691763075071</v>
      </c>
      <c r="BF183" s="804">
        <f>1+[2]!Salcycl*Ksac</f>
        <v>1.0424342074697905</v>
      </c>
      <c r="BH183" s="1036">
        <f t="shared" si="94"/>
        <v>1.3953344379903606E-3</v>
      </c>
      <c r="BI183" s="11">
        <v>44365</v>
      </c>
      <c r="BJ183" s="715">
        <v>1.3953344379903606E-3</v>
      </c>
      <c r="BK183" s="715">
        <v>1.3953344379903606E-3</v>
      </c>
      <c r="BL183" s="715">
        <v>1.3953344379903606E-3</v>
      </c>
      <c r="BM183" s="715">
        <v>1.3953344379903606E-3</v>
      </c>
      <c r="BN183" s="715">
        <v>1.3953344379903606E-3</v>
      </c>
      <c r="BO183" s="716">
        <v>1.3953344379903606E-3</v>
      </c>
      <c r="BP183" s="715">
        <v>1.3953344379903606E-3</v>
      </c>
      <c r="BQ183" s="715">
        <v>1.3953344379903606E-3</v>
      </c>
      <c r="BR183" s="715">
        <v>1.3953344379903606E-3</v>
      </c>
      <c r="BS183" s="715">
        <v>1.3953344379903606E-3</v>
      </c>
      <c r="BT183" s="715">
        <v>1.3953344379903606E-3</v>
      </c>
      <c r="BW183" s="1188">
        <f>'2019'!R\Max</f>
        <v>0.91937927341247172</v>
      </c>
      <c r="BX183" s="1188">
        <f>'2020'!R\Max</f>
        <v>0.89363664893525208</v>
      </c>
      <c r="BY183" s="1188">
        <f>'2021'!R\Max</f>
        <v>0.73661306197455467</v>
      </c>
      <c r="BZ183" s="1188">
        <f>'2022'!R\Max</f>
        <v>0.96245084241538426</v>
      </c>
      <c r="CA183" s="1188">
        <f>'2023'!R\Max</f>
        <v>0.96245084241538426</v>
      </c>
      <c r="CB183" s="1188">
        <f>'2024'!R\Max</f>
        <v>0.96245084241538426</v>
      </c>
      <c r="CC183" s="1188">
        <f>'2025'!R\Max</f>
        <v>0.96245084241538437</v>
      </c>
      <c r="CD183" s="1188">
        <f>'2026'!R\Max</f>
        <v>0.96245084241538426</v>
      </c>
      <c r="CE183" s="1189">
        <f>'2027'!R\Max</f>
        <v>0.96245084241538437</v>
      </c>
      <c r="CF183" s="1191">
        <f>'2028'!R\Max</f>
        <v>0.96245084241538426</v>
      </c>
    </row>
    <row r="184" spans="1:84" s="6" customFormat="1" ht="11.25" x14ac:dyDescent="0.2">
      <c r="A184" s="11">
        <v>43270</v>
      </c>
      <c r="B184" s="379">
        <f>'2023'!Maxi_hp</f>
        <v>61.235074740567256</v>
      </c>
      <c r="C184" s="13">
        <f>'2023'!An_max</f>
        <v>2023</v>
      </c>
      <c r="D184" s="1045">
        <f t="shared" si="78"/>
        <v>0.98223707474016986</v>
      </c>
      <c r="E184" s="13"/>
      <c r="F184" s="13">
        <f t="shared" si="95"/>
        <v>13</v>
      </c>
      <c r="G184" s="13">
        <f t="shared" si="79"/>
        <v>14</v>
      </c>
      <c r="H184" s="173">
        <f t="shared" si="80"/>
        <v>43262</v>
      </c>
      <c r="I184" s="742">
        <f t="shared" si="81"/>
        <v>0.5714285714285714</v>
      </c>
      <c r="J184" s="735">
        <f t="shared" si="82"/>
        <v>62.342459183558823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38">
        <v>43270</v>
      </c>
      <c r="AP184" s="13">
        <f t="shared" si="83"/>
        <v>7</v>
      </c>
      <c r="AQ184" s="13">
        <f t="shared" si="84"/>
        <v>8</v>
      </c>
      <c r="AR184" s="173">
        <f t="shared" si="85"/>
        <v>43248</v>
      </c>
      <c r="AS184" s="742">
        <f t="shared" si="86"/>
        <v>0.7857142857142857</v>
      </c>
      <c r="AT184" s="758">
        <f t="shared" si="87"/>
        <v>62.33653626112001</v>
      </c>
      <c r="AU184" s="13">
        <f t="shared" si="88"/>
        <v>7</v>
      </c>
      <c r="AV184" s="13">
        <f t="shared" si="89"/>
        <v>8</v>
      </c>
      <c r="AW184" s="173">
        <f t="shared" si="90"/>
        <v>43262</v>
      </c>
      <c r="AX184" s="742">
        <f t="shared" si="91"/>
        <v>0.2857142857142857</v>
      </c>
      <c r="AY184" s="758">
        <f t="shared" si="92"/>
        <v>62.332408163323997</v>
      </c>
      <c r="AZ184" s="735">
        <f t="shared" si="96"/>
        <v>62.334472212222003</v>
      </c>
      <c r="BA184" s="633">
        <f t="shared" si="93"/>
        <v>0.98223707474016986</v>
      </c>
      <c r="BC184" s="11">
        <v>43270</v>
      </c>
      <c r="BD184" s="289">
        <f>[2]!FeuilCaduc*(1-Persistant)+Persistant</f>
        <v>0.92908564583709452</v>
      </c>
      <c r="BE184" s="290">
        <f>[2]!CroissVégét</f>
        <v>0.5910528631363321</v>
      </c>
      <c r="BF184" s="804">
        <f>1+[2]!Salcycl*Ksac</f>
        <v>1.0429085645837095</v>
      </c>
      <c r="BH184" s="1036">
        <f t="shared" si="94"/>
        <v>1.3897039062771477E-3</v>
      </c>
      <c r="BI184" s="11">
        <v>44366</v>
      </c>
      <c r="BJ184" s="715">
        <v>1.3897039062771475E-3</v>
      </c>
      <c r="BK184" s="715">
        <v>1.3897039062771477E-3</v>
      </c>
      <c r="BL184" s="715">
        <v>1.3897039062771477E-3</v>
      </c>
      <c r="BM184" s="715">
        <v>1.3897039062771477E-3</v>
      </c>
      <c r="BN184" s="715">
        <v>1.3897039062771477E-3</v>
      </c>
      <c r="BO184" s="716">
        <v>1.3897039062771477E-3</v>
      </c>
      <c r="BP184" s="715">
        <v>1.3897039062771477E-3</v>
      </c>
      <c r="BQ184" s="715">
        <v>1.3897039062771477E-3</v>
      </c>
      <c r="BR184" s="715">
        <v>1.3897039062771477E-3</v>
      </c>
      <c r="BS184" s="715">
        <v>1.3897039062771477E-3</v>
      </c>
      <c r="BT184" s="715">
        <v>1.3897039062771475E-3</v>
      </c>
      <c r="BW184" s="1188">
        <f>'2019'!R\Max</f>
        <v>0.84429189892616219</v>
      </c>
      <c r="BX184" s="1188">
        <f>'2020'!R\Max</f>
        <v>0.72094138618245118</v>
      </c>
      <c r="BY184" s="1188">
        <f>'2021'!R\Max</f>
        <v>0.54107228643183103</v>
      </c>
      <c r="BZ184" s="1188">
        <f>'2022'!R\Max</f>
        <v>0.98223707474016986</v>
      </c>
      <c r="CA184" s="1188">
        <f>'2023'!R\Max</f>
        <v>0.98223707474016986</v>
      </c>
      <c r="CB184" s="1188">
        <f>'2024'!R\Max</f>
        <v>0.98223707474016986</v>
      </c>
      <c r="CC184" s="1188">
        <f>'2025'!R\Max</f>
        <v>0.98223707474016997</v>
      </c>
      <c r="CD184" s="1188">
        <f>'2026'!R\Max</f>
        <v>0.98223707474016997</v>
      </c>
      <c r="CE184" s="1189">
        <f>'2027'!R\Max</f>
        <v>0.98223707474016986</v>
      </c>
      <c r="CF184" s="1191">
        <f>'2028'!R\Max</f>
        <v>0.98223707474017008</v>
      </c>
    </row>
    <row r="185" spans="1:84" s="6" customFormat="1" ht="11.25" x14ac:dyDescent="0.2">
      <c r="A185" s="11">
        <v>43271</v>
      </c>
      <c r="B185" s="379">
        <f>'2023'!Maxi_hp</f>
        <v>58.11759070939933</v>
      </c>
      <c r="C185" s="13">
        <f>'2023'!An_max</f>
        <v>2020</v>
      </c>
      <c r="D185" s="1045" t="str">
        <f t="shared" si="78"/>
        <v/>
      </c>
      <c r="E185" s="13"/>
      <c r="F185" s="13">
        <f t="shared" si="95"/>
        <v>13</v>
      </c>
      <c r="G185" s="13">
        <f t="shared" si="79"/>
        <v>14</v>
      </c>
      <c r="H185" s="173">
        <f t="shared" si="80"/>
        <v>43262</v>
      </c>
      <c r="I185" s="742">
        <f t="shared" si="81"/>
        <v>0.6428571428571429</v>
      </c>
      <c r="J185" s="735">
        <f t="shared" si="82"/>
        <v>62.283158162981273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38">
        <v>43271</v>
      </c>
      <c r="AP185" s="13">
        <f t="shared" si="83"/>
        <v>7</v>
      </c>
      <c r="AQ185" s="13">
        <f t="shared" si="84"/>
        <v>8</v>
      </c>
      <c r="AR185" s="173">
        <f t="shared" si="85"/>
        <v>43248</v>
      </c>
      <c r="AS185" s="742">
        <f t="shared" si="86"/>
        <v>0.8214285714285714</v>
      </c>
      <c r="AT185" s="758">
        <f t="shared" si="87"/>
        <v>62.276450004761237</v>
      </c>
      <c r="AU185" s="13">
        <f t="shared" si="88"/>
        <v>7</v>
      </c>
      <c r="AV185" s="13">
        <f t="shared" si="89"/>
        <v>8</v>
      </c>
      <c r="AW185" s="173">
        <f t="shared" si="90"/>
        <v>43262</v>
      </c>
      <c r="AX185" s="742">
        <f t="shared" si="91"/>
        <v>0.32142857142857145</v>
      </c>
      <c r="AY185" s="758">
        <f t="shared" si="92"/>
        <v>62.269730628847284</v>
      </c>
      <c r="AZ185" s="735">
        <f t="shared" si="96"/>
        <v>62.273090316804257</v>
      </c>
      <c r="BA185" s="633">
        <f t="shared" si="93"/>
        <v>0.93311887873955313</v>
      </c>
      <c r="BC185" s="11">
        <v>43271</v>
      </c>
      <c r="BD185" s="289">
        <f>[2]!FeuilCaduc*(1-Persistant)+Persistant</f>
        <v>0.933658515627666</v>
      </c>
      <c r="BE185" s="290">
        <f>[2]!CroissVégét</f>
        <v>0.60096181929049675</v>
      </c>
      <c r="BF185" s="804">
        <f>1+[2]!Salcycl*Ksac</f>
        <v>1.0433658515627666</v>
      </c>
      <c r="BH185" s="1036">
        <f t="shared" si="94"/>
        <v>1.3854837414993646E-3</v>
      </c>
      <c r="BI185" s="11">
        <v>44367</v>
      </c>
      <c r="BJ185" s="715">
        <v>1.3854837414993646E-3</v>
      </c>
      <c r="BK185" s="715">
        <v>1.3854837414993646E-3</v>
      </c>
      <c r="BL185" s="715">
        <v>1.3854837414993646E-3</v>
      </c>
      <c r="BM185" s="715">
        <v>1.3854837414993646E-3</v>
      </c>
      <c r="BN185" s="715">
        <v>1.3854837414993646E-3</v>
      </c>
      <c r="BO185" s="716">
        <v>1.3854837414993646E-3</v>
      </c>
      <c r="BP185" s="715">
        <v>1.3854837414993646E-3</v>
      </c>
      <c r="BQ185" s="715">
        <v>1.3854837414993646E-3</v>
      </c>
      <c r="BR185" s="715">
        <v>1.3854837414993646E-3</v>
      </c>
      <c r="BS185" s="715">
        <v>1.3854837414993646E-3</v>
      </c>
      <c r="BT185" s="715">
        <v>1.3854837414993646E-3</v>
      </c>
      <c r="BW185" s="1188">
        <f>'2019'!R\Max</f>
        <v>0.50903139859512747</v>
      </c>
      <c r="BX185" s="1188">
        <f>'2020'!R\Max</f>
        <v>0.93311887873955313</v>
      </c>
      <c r="BY185" s="1188">
        <f>'2021'!R\Max</f>
        <v>0.56276658006432312</v>
      </c>
      <c r="BZ185" s="1188">
        <f>'2022'!R\Max</f>
        <v>0.51975592732939879</v>
      </c>
      <c r="CA185" s="1188">
        <f>'2023'!R\Max</f>
        <v>0.51975592732939879</v>
      </c>
      <c r="CB185" s="1188">
        <f>'2024'!R\Max</f>
        <v>0.51975592732939868</v>
      </c>
      <c r="CC185" s="1188">
        <f>'2025'!R\Max</f>
        <v>0.51975592732939868</v>
      </c>
      <c r="CD185" s="1188">
        <f>'2026'!R\Max</f>
        <v>0.51975592732939868</v>
      </c>
      <c r="CE185" s="1189">
        <f>'2027'!R\Max</f>
        <v>0.51975592732939868</v>
      </c>
      <c r="CF185" s="1191">
        <f>'2028'!R\Max</f>
        <v>0.51975592732939868</v>
      </c>
    </row>
    <row r="186" spans="1:84" s="6" customFormat="1" ht="11.25" x14ac:dyDescent="0.2">
      <c r="A186" s="11">
        <v>43272</v>
      </c>
      <c r="B186" s="379">
        <f>'2023'!Maxi_hp</f>
        <v>54.852267304881771</v>
      </c>
      <c r="C186" s="13">
        <f>'2023'!An_max</f>
        <v>2020</v>
      </c>
      <c r="D186" s="1045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73">
        <f t="shared" si="80"/>
        <v>43262</v>
      </c>
      <c r="I186" s="742">
        <f t="shared" si="81"/>
        <v>0.7142857142857143</v>
      </c>
      <c r="J186" s="735">
        <f t="shared" si="82"/>
        <v>62.221846938984733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38">
        <v>43272</v>
      </c>
      <c r="AP186" s="13">
        <f t="shared" si="83"/>
        <v>7</v>
      </c>
      <c r="AQ186" s="13">
        <f t="shared" si="84"/>
        <v>8</v>
      </c>
      <c r="AR186" s="173">
        <f t="shared" si="85"/>
        <v>43248</v>
      </c>
      <c r="AS186" s="742">
        <f t="shared" si="86"/>
        <v>0.8571428571428571</v>
      </c>
      <c r="AT186" s="758">
        <f t="shared" si="87"/>
        <v>62.214954810536334</v>
      </c>
      <c r="AU186" s="13">
        <f t="shared" si="88"/>
        <v>7</v>
      </c>
      <c r="AV186" s="13">
        <f t="shared" si="89"/>
        <v>8</v>
      </c>
      <c r="AW186" s="173">
        <f t="shared" si="90"/>
        <v>43262</v>
      </c>
      <c r="AX186" s="742">
        <f t="shared" si="91"/>
        <v>0.35714285714285715</v>
      </c>
      <c r="AY186" s="758">
        <f t="shared" si="92"/>
        <v>62.2048858419992</v>
      </c>
      <c r="AZ186" s="735">
        <f t="shared" si="96"/>
        <v>62.209920326267763</v>
      </c>
      <c r="BA186" s="633">
        <f t="shared" si="93"/>
        <v>0.88155961295508256</v>
      </c>
      <c r="BC186" s="11">
        <v>43272</v>
      </c>
      <c r="BD186" s="289">
        <f>[2]!FeuilCaduc*(1-Persistant)+Persistant</f>
        <v>0.93805890195828834</v>
      </c>
      <c r="BE186" s="290">
        <f>[2]!CroissVégét</f>
        <v>0.61078861238975013</v>
      </c>
      <c r="BF186" s="804">
        <f>1+[2]!Salcycl*Ksac</f>
        <v>1.0438058901958289</v>
      </c>
      <c r="BH186" s="1036">
        <f t="shared" si="94"/>
        <v>1.382673402434203E-3</v>
      </c>
      <c r="BI186" s="11">
        <v>44368</v>
      </c>
      <c r="BJ186" s="715">
        <v>1.382673402434203E-3</v>
      </c>
      <c r="BK186" s="715">
        <v>1.382673402434203E-3</v>
      </c>
      <c r="BL186" s="715">
        <v>1.382673402434203E-3</v>
      </c>
      <c r="BM186" s="715">
        <v>1.382673402434203E-3</v>
      </c>
      <c r="BN186" s="715">
        <v>1.382673402434203E-3</v>
      </c>
      <c r="BO186" s="716">
        <v>1.382673402434203E-3</v>
      </c>
      <c r="BP186" s="715">
        <v>1.382673402434203E-3</v>
      </c>
      <c r="BQ186" s="715">
        <v>1.382673402434203E-3</v>
      </c>
      <c r="BR186" s="715">
        <v>1.382673402434203E-3</v>
      </c>
      <c r="BS186" s="715">
        <v>1.382673402434203E-3</v>
      </c>
      <c r="BT186" s="715">
        <v>1.382673402434203E-3</v>
      </c>
      <c r="BW186" s="1188">
        <f>'2019'!R\Max</f>
        <v>0.18301613544587669</v>
      </c>
      <c r="BX186" s="1188">
        <f>'2020'!R\Max</f>
        <v>0.88155961295508256</v>
      </c>
      <c r="BY186" s="1188">
        <f>'2021'!R\Max</f>
        <v>0.58700645919328842</v>
      </c>
      <c r="BZ186" s="1188">
        <f>'2022'!R\Max</f>
        <v>0.38791609902370316</v>
      </c>
      <c r="CA186" s="1188">
        <f>'2023'!R\Max</f>
        <v>0.38791609902370316</v>
      </c>
      <c r="CB186" s="1188">
        <f>'2024'!R\Max</f>
        <v>0.38791609902370316</v>
      </c>
      <c r="CC186" s="1188">
        <f>'2025'!R\Max</f>
        <v>0.38791609902370316</v>
      </c>
      <c r="CD186" s="1188">
        <f>'2026'!R\Max</f>
        <v>0.38791609902370316</v>
      </c>
      <c r="CE186" s="1189">
        <f>'2027'!R\Max</f>
        <v>0.38791609902370316</v>
      </c>
      <c r="CF186" s="1191">
        <f>'2028'!R\Max</f>
        <v>0.38791609902370311</v>
      </c>
    </row>
    <row r="187" spans="1:84" s="6" customFormat="1" ht="11.25" x14ac:dyDescent="0.2">
      <c r="A187" s="11">
        <v>43273</v>
      </c>
      <c r="B187" s="379">
        <f>'2023'!Maxi_hp</f>
        <v>62.350039866865146</v>
      </c>
      <c r="C187" s="13">
        <f>'2023'!An_max</f>
        <v>2020</v>
      </c>
      <c r="D187" s="1045">
        <f t="shared" si="78"/>
        <v>1.0030810633804628</v>
      </c>
      <c r="E187" s="13"/>
      <c r="F187" s="13">
        <f t="shared" si="95"/>
        <v>13</v>
      </c>
      <c r="G187" s="13">
        <f t="shared" si="79"/>
        <v>14</v>
      </c>
      <c r="H187" s="173">
        <f t="shared" si="80"/>
        <v>43262</v>
      </c>
      <c r="I187" s="742">
        <f t="shared" si="81"/>
        <v>0.7857142857142857</v>
      </c>
      <c r="J187" s="735">
        <f t="shared" si="82"/>
        <v>62.158525510132314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38">
        <v>43273</v>
      </c>
      <c r="AP187" s="13">
        <f t="shared" si="83"/>
        <v>7</v>
      </c>
      <c r="AQ187" s="13">
        <f t="shared" si="84"/>
        <v>8</v>
      </c>
      <c r="AR187" s="173">
        <f t="shared" si="85"/>
        <v>43248</v>
      </c>
      <c r="AS187" s="742">
        <f t="shared" si="86"/>
        <v>0.8928571428571429</v>
      </c>
      <c r="AT187" s="758">
        <f t="shared" si="87"/>
        <v>62.152131445991941</v>
      </c>
      <c r="AU187" s="13">
        <f t="shared" si="88"/>
        <v>7</v>
      </c>
      <c r="AV187" s="13">
        <f t="shared" si="89"/>
        <v>8</v>
      </c>
      <c r="AW187" s="173">
        <f t="shared" si="90"/>
        <v>43262</v>
      </c>
      <c r="AX187" s="742">
        <f t="shared" si="91"/>
        <v>0.39285714285714285</v>
      </c>
      <c r="AY187" s="758">
        <f t="shared" si="92"/>
        <v>62.137968032853678</v>
      </c>
      <c r="AZ187" s="735">
        <f t="shared" si="96"/>
        <v>62.145049739422809</v>
      </c>
      <c r="BA187" s="633">
        <f t="shared" si="93"/>
        <v>1.0030810633804628</v>
      </c>
      <c r="BC187" s="11">
        <v>43273</v>
      </c>
      <c r="BD187" s="289">
        <f>[2]!FeuilCaduc*(1-Persistant)+Persistant</f>
        <v>0.94228553424070394</v>
      </c>
      <c r="BE187" s="290">
        <f>[2]!CroissVégét</f>
        <v>0.62052607026992535</v>
      </c>
      <c r="BF187" s="804">
        <f>1+[2]!Salcycl*Ksac</f>
        <v>1.0442285534240705</v>
      </c>
      <c r="BH187" s="1036">
        <f t="shared" si="94"/>
        <v>1.3812724703610674E-3</v>
      </c>
      <c r="BI187" s="11">
        <v>44369</v>
      </c>
      <c r="BJ187" s="715">
        <v>1.3812724703610676E-3</v>
      </c>
      <c r="BK187" s="715">
        <v>1.3812724703610674E-3</v>
      </c>
      <c r="BL187" s="715">
        <v>1.3812724703610674E-3</v>
      </c>
      <c r="BM187" s="715">
        <v>1.3812724703610674E-3</v>
      </c>
      <c r="BN187" s="715">
        <v>1.3812724703610674E-3</v>
      </c>
      <c r="BO187" s="716">
        <v>1.3812724703610674E-3</v>
      </c>
      <c r="BP187" s="715">
        <v>1.3812724703610674E-3</v>
      </c>
      <c r="BQ187" s="715">
        <v>1.3812724703610674E-3</v>
      </c>
      <c r="BR187" s="715">
        <v>1.3812724703610674E-3</v>
      </c>
      <c r="BS187" s="715">
        <v>1.3812724703610674E-3</v>
      </c>
      <c r="BT187" s="715">
        <v>1.3812724703610676E-3</v>
      </c>
      <c r="BW187" s="1188">
        <f>'2019'!R\Max</f>
        <v>0.82845643713502948</v>
      </c>
      <c r="BX187" s="1188">
        <f>'2020'!R\Max</f>
        <v>1.0030810633804628</v>
      </c>
      <c r="BY187" s="1188">
        <f>'2021'!R\Max</f>
        <v>0.71175804629636141</v>
      </c>
      <c r="BZ187" s="1188">
        <f>'2022'!R\Max</f>
        <v>0.73428045362943584</v>
      </c>
      <c r="CA187" s="1188">
        <f>'2023'!R\Max</f>
        <v>0.73428045362943595</v>
      </c>
      <c r="CB187" s="1188">
        <f>'2024'!R\Max</f>
        <v>0.73428045362943595</v>
      </c>
      <c r="CC187" s="1188">
        <f>'2025'!R\Max</f>
        <v>0.73428045362943595</v>
      </c>
      <c r="CD187" s="1188">
        <f>'2026'!R\Max</f>
        <v>0.73428045362943595</v>
      </c>
      <c r="CE187" s="1189">
        <f>'2027'!R\Max</f>
        <v>0.73428045362943584</v>
      </c>
      <c r="CF187" s="1191">
        <f>'2028'!R\Max</f>
        <v>0.73428045362943595</v>
      </c>
    </row>
    <row r="188" spans="1:84" s="6" customFormat="1" ht="11.25" x14ac:dyDescent="0.2">
      <c r="A188" s="11">
        <v>43274</v>
      </c>
      <c r="B188" s="379">
        <f>'2023'!Maxi_hp</f>
        <v>54.242625495320887</v>
      </c>
      <c r="C188" s="13">
        <f>'2023'!An_max</f>
        <v>2018</v>
      </c>
      <c r="D188" s="1045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73">
        <f t="shared" si="80"/>
        <v>43262</v>
      </c>
      <c r="I188" s="742">
        <f t="shared" si="81"/>
        <v>0.8571428571428571</v>
      </c>
      <c r="J188" s="735">
        <f t="shared" si="82"/>
        <v>62.093193877488375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38">
        <v>43274</v>
      </c>
      <c r="AP188" s="13">
        <f t="shared" si="83"/>
        <v>7</v>
      </c>
      <c r="AQ188" s="13">
        <f t="shared" si="84"/>
        <v>8</v>
      </c>
      <c r="AR188" s="173">
        <f t="shared" si="85"/>
        <v>43248</v>
      </c>
      <c r="AS188" s="742">
        <f t="shared" si="86"/>
        <v>0.9285714285714286</v>
      </c>
      <c r="AT188" s="758">
        <f t="shared" si="87"/>
        <v>62.088060678009484</v>
      </c>
      <c r="AU188" s="13">
        <f t="shared" si="88"/>
        <v>7</v>
      </c>
      <c r="AV188" s="13">
        <f t="shared" si="89"/>
        <v>8</v>
      </c>
      <c r="AW188" s="173">
        <f t="shared" si="90"/>
        <v>43262</v>
      </c>
      <c r="AX188" s="742">
        <f t="shared" si="91"/>
        <v>0.42857142857142855</v>
      </c>
      <c r="AY188" s="758">
        <f t="shared" si="92"/>
        <v>62.069071428770464</v>
      </c>
      <c r="AZ188" s="735">
        <f t="shared" si="96"/>
        <v>62.078566053389977</v>
      </c>
      <c r="BA188" s="633">
        <f t="shared" si="93"/>
        <v>0.87356797272086084</v>
      </c>
      <c r="BC188" s="11">
        <v>43274</v>
      </c>
      <c r="BD188" s="289">
        <f>[2]!FeuilCaduc*(1-Persistant)+Persistant</f>
        <v>0.94633765089871835</v>
      </c>
      <c r="BE188" s="290">
        <f>[2]!CroissVégét</f>
        <v>0.6301672999323692</v>
      </c>
      <c r="BF188" s="804">
        <f>1+[2]!Salcycl*Ksac</f>
        <v>1.0446337650898718</v>
      </c>
      <c r="BH188" s="1036">
        <f t="shared" si="94"/>
        <v>1.381266542960968E-3</v>
      </c>
      <c r="BI188" s="11">
        <v>44370</v>
      </c>
      <c r="BJ188" s="715">
        <v>1.381266542960968E-3</v>
      </c>
      <c r="BK188" s="715">
        <v>1.381266542960968E-3</v>
      </c>
      <c r="BL188" s="715">
        <v>1.381266542960968E-3</v>
      </c>
      <c r="BM188" s="715">
        <v>1.381266542960968E-3</v>
      </c>
      <c r="BN188" s="715">
        <v>1.381266542960968E-3</v>
      </c>
      <c r="BO188" s="716">
        <v>1.381266542960968E-3</v>
      </c>
      <c r="BP188" s="715">
        <v>1.381266542960968E-3</v>
      </c>
      <c r="BQ188" s="715">
        <v>1.381266542960968E-3</v>
      </c>
      <c r="BR188" s="715">
        <v>1.381266542960968E-3</v>
      </c>
      <c r="BS188" s="715">
        <v>1.381266542960968E-3</v>
      </c>
      <c r="BT188" s="715">
        <v>1.381266542960968E-3</v>
      </c>
      <c r="BW188" s="1188">
        <f>'2019'!R\Max</f>
        <v>0.87356797272086084</v>
      </c>
      <c r="BX188" s="1188">
        <f>'2020'!R\Max</f>
        <v>0.75478480977005047</v>
      </c>
      <c r="BY188" s="1188">
        <f>'2021'!R\Max</f>
        <v>0.34948041536154262</v>
      </c>
      <c r="BZ188" s="1188">
        <f>'2022'!R\Max</f>
        <v>0.74663808507722484</v>
      </c>
      <c r="CA188" s="1188">
        <f>'2023'!R\Max</f>
        <v>0.74663808507722496</v>
      </c>
      <c r="CB188" s="1188">
        <f>'2024'!R\Max</f>
        <v>0.74663808507722496</v>
      </c>
      <c r="CC188" s="1188">
        <f>'2025'!R\Max</f>
        <v>0.74663808507722507</v>
      </c>
      <c r="CD188" s="1188">
        <f>'2026'!R\Max</f>
        <v>0.74663808507722507</v>
      </c>
      <c r="CE188" s="1189">
        <f>'2027'!R\Max</f>
        <v>0.74663808507722496</v>
      </c>
      <c r="CF188" s="1191">
        <f>'2028'!R\Max</f>
        <v>0.74663808507722507</v>
      </c>
    </row>
    <row r="189" spans="1:84" s="6" customFormat="1" ht="11.25" x14ac:dyDescent="0.2">
      <c r="A189" s="11">
        <v>43275</v>
      </c>
      <c r="B189" s="379">
        <f>'2023'!Maxi_hp</f>
        <v>61.322953896057307</v>
      </c>
      <c r="C189" s="13">
        <f>'2023'!An_max</f>
        <v>2020</v>
      </c>
      <c r="D189" s="1045">
        <f t="shared" si="78"/>
        <v>0.98866765838126902</v>
      </c>
      <c r="E189" s="13"/>
      <c r="F189" s="13">
        <f t="shared" si="95"/>
        <v>13</v>
      </c>
      <c r="G189" s="13">
        <f t="shared" si="79"/>
        <v>14</v>
      </c>
      <c r="H189" s="173">
        <f t="shared" si="80"/>
        <v>43262</v>
      </c>
      <c r="I189" s="742">
        <f t="shared" si="81"/>
        <v>0.9285714285714286</v>
      </c>
      <c r="J189" s="735">
        <f t="shared" si="82"/>
        <v>62.025852040573952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38">
        <v>43275</v>
      </c>
      <c r="AP189" s="13">
        <f t="shared" si="83"/>
        <v>7</v>
      </c>
      <c r="AQ189" s="13">
        <f t="shared" si="84"/>
        <v>8</v>
      </c>
      <c r="AR189" s="173">
        <f t="shared" si="85"/>
        <v>43248</v>
      </c>
      <c r="AS189" s="742">
        <f t="shared" si="86"/>
        <v>0.9642857142857143</v>
      </c>
      <c r="AT189" s="758">
        <f t="shared" si="87"/>
        <v>62.022823273649976</v>
      </c>
      <c r="AU189" s="13">
        <f t="shared" si="88"/>
        <v>7</v>
      </c>
      <c r="AV189" s="13">
        <f t="shared" si="89"/>
        <v>8</v>
      </c>
      <c r="AW189" s="173">
        <f t="shared" si="90"/>
        <v>43262</v>
      </c>
      <c r="AX189" s="742">
        <f t="shared" si="91"/>
        <v>0.4642857142857143</v>
      </c>
      <c r="AY189" s="758">
        <f t="shared" si="92"/>
        <v>61.998290258705879</v>
      </c>
      <c r="AZ189" s="735">
        <f t="shared" si="96"/>
        <v>62.010556766177928</v>
      </c>
      <c r="BA189" s="633">
        <f t="shared" si="93"/>
        <v>0.98866765838126902</v>
      </c>
      <c r="BC189" s="11">
        <v>43275</v>
      </c>
      <c r="BD189" s="289">
        <f>[2]!FeuilCaduc*(1-Persistant)+Persistant</f>
        <v>0.95021499405944543</v>
      </c>
      <c r="BE189" s="290">
        <f>[2]!CroissVégét</f>
        <v>0.63970570469545396</v>
      </c>
      <c r="BF189" s="804">
        <f>1+[2]!Salcycl*Ksac</f>
        <v>1.0450214994059446</v>
      </c>
      <c r="BH189" s="1036">
        <f t="shared" si="94"/>
        <v>1.3826405719911193E-3</v>
      </c>
      <c r="BI189" s="11">
        <v>44371</v>
      </c>
      <c r="BJ189" s="715">
        <v>1.3826405719911193E-3</v>
      </c>
      <c r="BK189" s="715">
        <v>1.3826405719911193E-3</v>
      </c>
      <c r="BL189" s="715">
        <v>1.3826405719911193E-3</v>
      </c>
      <c r="BM189" s="715">
        <v>1.3826405719911193E-3</v>
      </c>
      <c r="BN189" s="715">
        <v>1.3826405719911193E-3</v>
      </c>
      <c r="BO189" s="716">
        <v>1.3826405719911193E-3</v>
      </c>
      <c r="BP189" s="715">
        <v>1.3826405719911193E-3</v>
      </c>
      <c r="BQ189" s="715">
        <v>1.3826405719911193E-3</v>
      </c>
      <c r="BR189" s="715">
        <v>1.3826405719911193E-3</v>
      </c>
      <c r="BS189" s="715">
        <v>1.3826405719911193E-3</v>
      </c>
      <c r="BT189" s="715">
        <v>1.3826405719911193E-3</v>
      </c>
      <c r="BW189" s="1188">
        <f>'2019'!R\Max</f>
        <v>0.67255541436388222</v>
      </c>
      <c r="BX189" s="1188">
        <f>'2020'!R\Max</f>
        <v>0.98866765838126902</v>
      </c>
      <c r="BY189" s="1188">
        <f>'2021'!R\Max</f>
        <v>0.58929962849692163</v>
      </c>
      <c r="BZ189" s="1188">
        <f>'2022'!R\Max</f>
        <v>0.68695445422333934</v>
      </c>
      <c r="CA189" s="1188">
        <f>'2023'!R\Max</f>
        <v>0.68695445422333945</v>
      </c>
      <c r="CB189" s="1188">
        <f>'2024'!R\Max</f>
        <v>0.68695445422333934</v>
      </c>
      <c r="CC189" s="1188">
        <f>'2025'!R\Max</f>
        <v>0.68695445422333945</v>
      </c>
      <c r="CD189" s="1188">
        <f>'2026'!R\Max</f>
        <v>0.68695445422333923</v>
      </c>
      <c r="CE189" s="1189">
        <f>'2027'!R\Max</f>
        <v>0.68695445422333945</v>
      </c>
      <c r="CF189" s="1191">
        <f>'2028'!R\Max</f>
        <v>0.68695445422333934</v>
      </c>
    </row>
    <row r="190" spans="1:84" s="6" customFormat="1" ht="11.25" x14ac:dyDescent="0.2">
      <c r="A190" s="11">
        <v>43276</v>
      </c>
      <c r="B190" s="379">
        <f>'2023'!Maxi_hp</f>
        <v>60.963352971258608</v>
      </c>
      <c r="C190" s="13">
        <f>'2023'!An_max</f>
        <v>2020</v>
      </c>
      <c r="D190" s="1045">
        <f t="shared" si="78"/>
        <v>0.98397025285686968</v>
      </c>
      <c r="E190" s="1040">
        <f>Z$13/10</f>
        <v>61.956499999999991</v>
      </c>
      <c r="F190" s="13">
        <f t="shared" si="95"/>
        <v>15</v>
      </c>
      <c r="G190" s="13">
        <f t="shared" si="79"/>
        <v>14</v>
      </c>
      <c r="H190" s="173">
        <f t="shared" si="80"/>
        <v>43290</v>
      </c>
      <c r="I190" s="742">
        <f t="shared" si="81"/>
        <v>1</v>
      </c>
      <c r="J190" s="735">
        <f t="shared" si="82"/>
        <v>61.956500000134113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38">
        <v>43276</v>
      </c>
      <c r="AP190" s="13">
        <f t="shared" si="83"/>
        <v>9</v>
      </c>
      <c r="AQ190" s="13">
        <f t="shared" si="84"/>
        <v>8</v>
      </c>
      <c r="AR190" s="173">
        <f t="shared" si="85"/>
        <v>43304</v>
      </c>
      <c r="AS190" s="742">
        <f t="shared" si="86"/>
        <v>1</v>
      </c>
      <c r="AT190" s="758">
        <f t="shared" si="87"/>
        <v>61.956500000134113</v>
      </c>
      <c r="AU190" s="13">
        <f t="shared" si="88"/>
        <v>7</v>
      </c>
      <c r="AV190" s="13">
        <f t="shared" si="89"/>
        <v>8</v>
      </c>
      <c r="AW190" s="173">
        <f t="shared" si="90"/>
        <v>43262</v>
      </c>
      <c r="AX190" s="742">
        <f t="shared" si="91"/>
        <v>0.5</v>
      </c>
      <c r="AY190" s="758">
        <f t="shared" si="92"/>
        <v>61.92571875015274</v>
      </c>
      <c r="AZ190" s="735">
        <f t="shared" si="96"/>
        <v>61.941109375143427</v>
      </c>
      <c r="BA190" s="633">
        <f t="shared" si="93"/>
        <v>0.98397025285686968</v>
      </c>
      <c r="BC190" s="11">
        <v>43276</v>
      </c>
      <c r="BD190" s="289">
        <f>[2]!FeuilCaduc*(1-Persistant)+Persistant</f>
        <v>0.95391780148704419</v>
      </c>
      <c r="BE190" s="290">
        <f>[2]!CroissVégét</f>
        <v>0.64913499947740572</v>
      </c>
      <c r="BF190" s="804">
        <f>1+[2]!Salcycl*Ksac</f>
        <v>1.0453917801487045</v>
      </c>
      <c r="BH190" s="1036">
        <f t="shared" si="94"/>
        <v>1.3853932750122729E-3</v>
      </c>
      <c r="BI190" s="11">
        <v>44372</v>
      </c>
      <c r="BJ190" s="715">
        <v>1.3853932750122729E-3</v>
      </c>
      <c r="BK190" s="715">
        <v>1.3853932750122729E-3</v>
      </c>
      <c r="BL190" s="715">
        <v>1.3853932750122729E-3</v>
      </c>
      <c r="BM190" s="715">
        <v>1.3853932750122729E-3</v>
      </c>
      <c r="BN190" s="715">
        <v>1.3853932750122729E-3</v>
      </c>
      <c r="BO190" s="716">
        <v>1.3853932750122729E-3</v>
      </c>
      <c r="BP190" s="715">
        <v>1.3853932750122729E-3</v>
      </c>
      <c r="BQ190" s="715">
        <v>1.3853932750122729E-3</v>
      </c>
      <c r="BR190" s="715">
        <v>1.3853932750122729E-3</v>
      </c>
      <c r="BS190" s="715">
        <v>1.3853932750122729E-3</v>
      </c>
      <c r="BT190" s="715">
        <v>1.3853932750122729E-3</v>
      </c>
      <c r="BW190" s="1188">
        <f>'2019'!R\Max</f>
        <v>0.86039436213994891</v>
      </c>
      <c r="BX190" s="1188">
        <f>'2020'!R\Max</f>
        <v>0.98397025285686968</v>
      </c>
      <c r="BY190" s="1188">
        <f>'2021'!R\Max</f>
        <v>0.92375321577557201</v>
      </c>
      <c r="BZ190" s="1188">
        <f>'2022'!R\Max</f>
        <v>0.6508346787641327</v>
      </c>
      <c r="CA190" s="1188">
        <f>'2023'!R\Max</f>
        <v>0.65083467876413281</v>
      </c>
      <c r="CB190" s="1188">
        <f>'2024'!R\Max</f>
        <v>0.6508346787641327</v>
      </c>
      <c r="CC190" s="1188">
        <f>'2025'!R\Max</f>
        <v>0.6508346787641327</v>
      </c>
      <c r="CD190" s="1188">
        <f>'2026'!R\Max</f>
        <v>0.6508346787641327</v>
      </c>
      <c r="CE190" s="1189">
        <f>'2027'!R\Max</f>
        <v>0.65083467876413281</v>
      </c>
      <c r="CF190" s="1191">
        <f>'2028'!R\Max</f>
        <v>0.6508346787641327</v>
      </c>
    </row>
    <row r="191" spans="1:84" s="6" customFormat="1" ht="11.25" x14ac:dyDescent="0.2">
      <c r="A191" s="11">
        <v>43277</v>
      </c>
      <c r="B191" s="379">
        <f>'2023'!Maxi_hp</f>
        <v>60.568355603676984</v>
      </c>
      <c r="C191" s="13">
        <f>'2023'!An_max</f>
        <v>2018</v>
      </c>
      <c r="D191" s="1045">
        <f t="shared" si="78"/>
        <v>0.97872953877835733</v>
      </c>
      <c r="E191" s="13"/>
      <c r="F191" s="13">
        <f t="shared" si="95"/>
        <v>15</v>
      </c>
      <c r="G191" s="13">
        <f t="shared" si="79"/>
        <v>14</v>
      </c>
      <c r="H191" s="173">
        <f t="shared" si="80"/>
        <v>43290</v>
      </c>
      <c r="I191" s="742">
        <f t="shared" si="81"/>
        <v>0.9285714285714286</v>
      </c>
      <c r="J191" s="735">
        <f t="shared" si="82"/>
        <v>61.884671100535023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38">
        <v>43277</v>
      </c>
      <c r="AP191" s="13">
        <f t="shared" si="83"/>
        <v>9</v>
      </c>
      <c r="AQ191" s="13">
        <f t="shared" si="84"/>
        <v>8</v>
      </c>
      <c r="AR191" s="173">
        <f t="shared" si="85"/>
        <v>43304</v>
      </c>
      <c r="AS191" s="742">
        <f t="shared" si="86"/>
        <v>0.9642857142857143</v>
      </c>
      <c r="AT191" s="758">
        <f t="shared" si="87"/>
        <v>61.888478373343652</v>
      </c>
      <c r="AU191" s="13">
        <f t="shared" si="88"/>
        <v>7</v>
      </c>
      <c r="AV191" s="13">
        <f t="shared" si="89"/>
        <v>8</v>
      </c>
      <c r="AW191" s="173">
        <f t="shared" si="90"/>
        <v>43262</v>
      </c>
      <c r="AX191" s="742">
        <f t="shared" si="91"/>
        <v>0.5357142857142857</v>
      </c>
      <c r="AY191" s="758">
        <f t="shared" si="92"/>
        <v>61.851451132300177</v>
      </c>
      <c r="AZ191" s="735">
        <f t="shared" si="96"/>
        <v>61.869964752821915</v>
      </c>
      <c r="BA191" s="633">
        <f t="shared" si="93"/>
        <v>0.97872953877835733</v>
      </c>
      <c r="BC191" s="11">
        <v>43277</v>
      </c>
      <c r="BD191" s="289">
        <f>[2]!FeuilCaduc*(1-Persistant)+Persistant</f>
        <v>0.95744679582076797</v>
      </c>
      <c r="BE191" s="290">
        <f>[2]!CroissVégét</f>
        <v>0.65844922415907026</v>
      </c>
      <c r="BF191" s="804">
        <f>1+[2]!Salcycl*Ksac</f>
        <v>1.0457446795820768</v>
      </c>
      <c r="BH191" s="1036">
        <f t="shared" si="94"/>
        <v>1.3895233787006545E-3</v>
      </c>
      <c r="BI191" s="11">
        <v>44373</v>
      </c>
      <c r="BJ191" s="715">
        <v>1.3895233787006547E-3</v>
      </c>
      <c r="BK191" s="715">
        <v>1.3895233787006545E-3</v>
      </c>
      <c r="BL191" s="715">
        <v>1.3895233787006545E-3</v>
      </c>
      <c r="BM191" s="715">
        <v>1.3895233787006545E-3</v>
      </c>
      <c r="BN191" s="715">
        <v>1.3895233787006545E-3</v>
      </c>
      <c r="BO191" s="716">
        <v>1.3895233787006545E-3</v>
      </c>
      <c r="BP191" s="715">
        <v>1.3895233787006545E-3</v>
      </c>
      <c r="BQ191" s="715">
        <v>1.3895233787006545E-3</v>
      </c>
      <c r="BR191" s="715">
        <v>1.3895233787006545E-3</v>
      </c>
      <c r="BS191" s="715">
        <v>1.3895233787006545E-3</v>
      </c>
      <c r="BT191" s="715">
        <v>1.3895233787006547E-3</v>
      </c>
      <c r="BW191" s="1188">
        <f>'2019'!R\Max</f>
        <v>0.97872953877835733</v>
      </c>
      <c r="BX191" s="1188">
        <f>'2020'!R\Max</f>
        <v>0.89911759861857843</v>
      </c>
      <c r="BY191" s="1188">
        <f>'2021'!R\Max</f>
        <v>0.97411953919907557</v>
      </c>
      <c r="BZ191" s="1188">
        <f>'2022'!R\Max</f>
        <v>0.21116648786525158</v>
      </c>
      <c r="CA191" s="1188">
        <f>'2023'!R\Max</f>
        <v>0.21116648786525161</v>
      </c>
      <c r="CB191" s="1188">
        <f>'2024'!R\Max</f>
        <v>0.21116648786525155</v>
      </c>
      <c r="CC191" s="1188">
        <f>'2025'!R\Max</f>
        <v>0.21116648786525158</v>
      </c>
      <c r="CD191" s="1188">
        <f>'2026'!R\Max</f>
        <v>0.21116648786525158</v>
      </c>
      <c r="CE191" s="1189">
        <f>'2027'!R\Max</f>
        <v>0.21116648786525158</v>
      </c>
      <c r="CF191" s="1191">
        <f>'2028'!R\Max</f>
        <v>0.21116648786525158</v>
      </c>
    </row>
    <row r="192" spans="1:84" s="6" customFormat="1" ht="11.25" x14ac:dyDescent="0.2">
      <c r="A192" s="11">
        <v>43278</v>
      </c>
      <c r="B192" s="379">
        <f>'2023'!Maxi_hp</f>
        <v>60.063496146867578</v>
      </c>
      <c r="C192" s="13">
        <f>'2023'!An_max</f>
        <v>2018</v>
      </c>
      <c r="D192" s="1045">
        <f t="shared" si="78"/>
        <v>0.97174332741290803</v>
      </c>
      <c r="E192" s="13"/>
      <c r="F192" s="13">
        <f t="shared" si="95"/>
        <v>15</v>
      </c>
      <c r="G192" s="13">
        <f t="shared" si="79"/>
        <v>14</v>
      </c>
      <c r="H192" s="173">
        <f t="shared" si="80"/>
        <v>43290</v>
      </c>
      <c r="I192" s="742">
        <f t="shared" si="81"/>
        <v>0.8571428571428571</v>
      </c>
      <c r="J192" s="735">
        <f t="shared" si="82"/>
        <v>61.810042273998263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38">
        <v>43278</v>
      </c>
      <c r="AP192" s="13">
        <f t="shared" si="83"/>
        <v>9</v>
      </c>
      <c r="AQ192" s="13">
        <f t="shared" si="84"/>
        <v>8</v>
      </c>
      <c r="AR192" s="173">
        <f t="shared" si="85"/>
        <v>43304</v>
      </c>
      <c r="AS192" s="742">
        <f t="shared" si="86"/>
        <v>0.9285714285714286</v>
      </c>
      <c r="AT192" s="758">
        <f t="shared" si="87"/>
        <v>61.818136935308573</v>
      </c>
      <c r="AU192" s="13">
        <f t="shared" si="88"/>
        <v>7</v>
      </c>
      <c r="AV192" s="13">
        <f t="shared" si="89"/>
        <v>8</v>
      </c>
      <c r="AW192" s="173">
        <f t="shared" si="90"/>
        <v>43262</v>
      </c>
      <c r="AX192" s="742">
        <f t="shared" si="91"/>
        <v>0.5714285714285714</v>
      </c>
      <c r="AY192" s="758">
        <f t="shared" si="92"/>
        <v>61.775581632820625</v>
      </c>
      <c r="AZ192" s="735">
        <f t="shared" si="96"/>
        <v>61.796859284064595</v>
      </c>
      <c r="BA192" s="633">
        <f t="shared" si="93"/>
        <v>0.97174332741290803</v>
      </c>
      <c r="BC192" s="11">
        <v>43278</v>
      </c>
      <c r="BD192" s="289">
        <f>[2]!FeuilCaduc*(1-Persistant)+Persistant</f>
        <v>0.96080317120023606</v>
      </c>
      <c r="BE192" s="290">
        <f>[2]!CroissVégét</f>
        <v>0.66764275499450454</v>
      </c>
      <c r="BF192" s="804">
        <f>1+[2]!Salcycl*Ksac</f>
        <v>1.0460803171200237</v>
      </c>
      <c r="BH192" s="1036">
        <f t="shared" si="94"/>
        <v>1.39473381192711E-3</v>
      </c>
      <c r="BI192" s="11">
        <v>44374</v>
      </c>
      <c r="BJ192" s="715">
        <v>1.39473381192711E-3</v>
      </c>
      <c r="BK192" s="715">
        <v>1.39473381192711E-3</v>
      </c>
      <c r="BL192" s="715">
        <v>1.39473381192711E-3</v>
      </c>
      <c r="BM192" s="715">
        <v>1.39473381192711E-3</v>
      </c>
      <c r="BN192" s="715">
        <v>1.39473381192711E-3</v>
      </c>
      <c r="BO192" s="716">
        <v>1.39473381192711E-3</v>
      </c>
      <c r="BP192" s="715">
        <v>1.39473381192711E-3</v>
      </c>
      <c r="BQ192" s="715">
        <v>1.39473381192711E-3</v>
      </c>
      <c r="BR192" s="715">
        <v>1.39473381192711E-3</v>
      </c>
      <c r="BS192" s="715">
        <v>1.39473381192711E-3</v>
      </c>
      <c r="BT192" s="715">
        <v>1.39473381192711E-3</v>
      </c>
      <c r="BW192" s="1188">
        <f>'2019'!R\Max</f>
        <v>0.97174332741290803</v>
      </c>
      <c r="BX192" s="1188">
        <f>'2020'!R\Max</f>
        <v>0.82946525531908899</v>
      </c>
      <c r="BY192" s="1188">
        <f>'2021'!R\Max</f>
        <v>0.15001659475974599</v>
      </c>
      <c r="BZ192" s="1188">
        <f>'2022'!R\Max</f>
        <v>0.26038509339637556</v>
      </c>
      <c r="CA192" s="1188">
        <f>'2023'!R\Max</f>
        <v>0.2603850933963755</v>
      </c>
      <c r="CB192" s="1188">
        <f>'2024'!R\Max</f>
        <v>0.26038509339637556</v>
      </c>
      <c r="CC192" s="1188">
        <f>'2025'!R\Max</f>
        <v>0.2603850933963755</v>
      </c>
      <c r="CD192" s="1188">
        <f>'2026'!R\Max</f>
        <v>0.2603850933963755</v>
      </c>
      <c r="CE192" s="1189">
        <f>'2027'!R\Max</f>
        <v>0.2603850933963755</v>
      </c>
      <c r="CF192" s="1191">
        <f>'2028'!R\Max</f>
        <v>0.26038509339637556</v>
      </c>
    </row>
    <row r="193" spans="1:84" s="6" customFormat="1" ht="11.25" x14ac:dyDescent="0.2">
      <c r="A193" s="11">
        <v>43279</v>
      </c>
      <c r="B193" s="379">
        <f>'2023'!Maxi_hp</f>
        <v>61.773732865744329</v>
      </c>
      <c r="C193" s="13">
        <f>'2023'!An_max</f>
        <v>2023</v>
      </c>
      <c r="D193" s="1045">
        <f t="shared" si="78"/>
        <v>1.0006625966645872</v>
      </c>
      <c r="E193" s="13"/>
      <c r="F193" s="13">
        <f t="shared" si="95"/>
        <v>15</v>
      </c>
      <c r="G193" s="13">
        <f t="shared" si="79"/>
        <v>14</v>
      </c>
      <c r="H193" s="173">
        <f t="shared" si="80"/>
        <v>43290</v>
      </c>
      <c r="I193" s="742">
        <f t="shared" si="81"/>
        <v>0.7857142857142857</v>
      </c>
      <c r="J193" s="735">
        <f t="shared" si="82"/>
        <v>61.732828899220166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38">
        <v>43279</v>
      </c>
      <c r="AP193" s="13">
        <f t="shared" si="83"/>
        <v>9</v>
      </c>
      <c r="AQ193" s="13">
        <f t="shared" si="84"/>
        <v>8</v>
      </c>
      <c r="AR193" s="173">
        <f t="shared" si="85"/>
        <v>43304</v>
      </c>
      <c r="AS193" s="742">
        <f t="shared" si="86"/>
        <v>0.8928571428571429</v>
      </c>
      <c r="AT193" s="758">
        <f t="shared" si="87"/>
        <v>61.745542991600402</v>
      </c>
      <c r="AU193" s="13">
        <f t="shared" si="88"/>
        <v>7</v>
      </c>
      <c r="AV193" s="13">
        <f t="shared" si="89"/>
        <v>8</v>
      </c>
      <c r="AW193" s="173">
        <f t="shared" si="90"/>
        <v>43262</v>
      </c>
      <c r="AX193" s="742">
        <f t="shared" si="91"/>
        <v>0.6071428571428571</v>
      </c>
      <c r="AY193" s="758">
        <f t="shared" si="92"/>
        <v>61.698204480397649</v>
      </c>
      <c r="AZ193" s="735">
        <f t="shared" si="96"/>
        <v>61.721873735999026</v>
      </c>
      <c r="BA193" s="633">
        <f t="shared" si="93"/>
        <v>1.0006625966645872</v>
      </c>
      <c r="BC193" s="11">
        <v>43279</v>
      </c>
      <c r="BD193" s="289">
        <f>[2]!FeuilCaduc*(1-Persistant)+Persistant</f>
        <v>0.96398857738127686</v>
      </c>
      <c r="BE193" s="290">
        <f>[2]!CroissVégét</f>
        <v>0.67671031405616355</v>
      </c>
      <c r="BF193" s="804">
        <f>1+[2]!Salcycl*Ksac</f>
        <v>1.0463988577381278</v>
      </c>
      <c r="BH193" s="1036">
        <f t="shared" si="94"/>
        <v>1.4003346651341325E-3</v>
      </c>
      <c r="BI193" s="11">
        <v>44375</v>
      </c>
      <c r="BJ193" s="715">
        <v>1.4003346651341325E-3</v>
      </c>
      <c r="BK193" s="715">
        <v>1.4003346651341325E-3</v>
      </c>
      <c r="BL193" s="715">
        <v>1.4003346651341325E-3</v>
      </c>
      <c r="BM193" s="715">
        <v>1.4003346651341325E-3</v>
      </c>
      <c r="BN193" s="715">
        <v>1.4003346651341325E-3</v>
      </c>
      <c r="BO193" s="716">
        <v>1.4003346651341325E-3</v>
      </c>
      <c r="BP193" s="715">
        <v>1.4003346651341325E-3</v>
      </c>
      <c r="BQ193" s="715">
        <v>1.4003346651341325E-3</v>
      </c>
      <c r="BR193" s="715">
        <v>1.4003346651341325E-3</v>
      </c>
      <c r="BS193" s="715">
        <v>1.4003346651341325E-3</v>
      </c>
      <c r="BT193" s="715">
        <v>1.4003346651341325E-3</v>
      </c>
      <c r="BW193" s="1188">
        <f>'2019'!R\Max</f>
        <v>0.89482206215322213</v>
      </c>
      <c r="BX193" s="1188">
        <f>'2020'!R\Max</f>
        <v>0.72358035201992232</v>
      </c>
      <c r="BY193" s="1188">
        <f>'2021'!R\Max</f>
        <v>0.56392547060480991</v>
      </c>
      <c r="BZ193" s="1188">
        <f>'2022'!R\Max</f>
        <v>1.0006625966645877</v>
      </c>
      <c r="CA193" s="1188">
        <f>'2023'!R\Max</f>
        <v>1.0006625966645872</v>
      </c>
      <c r="CB193" s="1188">
        <f>'2024'!R\Max</f>
        <v>1.0006625966645875</v>
      </c>
      <c r="CC193" s="1188">
        <f>'2025'!R\Max</f>
        <v>1.0006625966645875</v>
      </c>
      <c r="CD193" s="1188">
        <f>'2026'!R\Max</f>
        <v>1.0006625966645872</v>
      </c>
      <c r="CE193" s="1189">
        <f>'2027'!R\Max</f>
        <v>1.0006625966645875</v>
      </c>
      <c r="CF193" s="1191">
        <f>'2028'!R\Max</f>
        <v>1.0006625966645875</v>
      </c>
    </row>
    <row r="194" spans="1:84" s="6" customFormat="1" ht="11.25" x14ac:dyDescent="0.2">
      <c r="A194" s="11">
        <v>43280</v>
      </c>
      <c r="B194" s="379">
        <f>'2023'!Maxi_hp</f>
        <v>61.285763413908377</v>
      </c>
      <c r="C194" s="13">
        <f>'2023'!An_max</f>
        <v>2023</v>
      </c>
      <c r="D194" s="1045">
        <f t="shared" si="78"/>
        <v>0.99403951999911422</v>
      </c>
      <c r="E194" s="13"/>
      <c r="F194" s="13">
        <f t="shared" si="95"/>
        <v>15</v>
      </c>
      <c r="G194" s="13">
        <f t="shared" si="79"/>
        <v>14</v>
      </c>
      <c r="H194" s="173">
        <f t="shared" si="80"/>
        <v>43290</v>
      </c>
      <c r="I194" s="742">
        <f t="shared" si="81"/>
        <v>0.7142857142857143</v>
      </c>
      <c r="J194" s="735">
        <f t="shared" si="82"/>
        <v>61.653246355801819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38">
        <v>43280</v>
      </c>
      <c r="AP194" s="13">
        <f t="shared" si="83"/>
        <v>9</v>
      </c>
      <c r="AQ194" s="13">
        <f t="shared" si="84"/>
        <v>8</v>
      </c>
      <c r="AR194" s="173">
        <f t="shared" si="85"/>
        <v>43304</v>
      </c>
      <c r="AS194" s="742">
        <f t="shared" si="86"/>
        <v>0.8571428571428571</v>
      </c>
      <c r="AT194" s="758">
        <f t="shared" si="87"/>
        <v>61.670763848535714</v>
      </c>
      <c r="AU194" s="13">
        <f t="shared" si="88"/>
        <v>7</v>
      </c>
      <c r="AV194" s="13">
        <f t="shared" si="89"/>
        <v>8</v>
      </c>
      <c r="AW194" s="173">
        <f t="shared" si="90"/>
        <v>43262</v>
      </c>
      <c r="AX194" s="742">
        <f t="shared" si="91"/>
        <v>0.6428571428571429</v>
      </c>
      <c r="AY194" s="758">
        <f t="shared" si="92"/>
        <v>61.619413902943151</v>
      </c>
      <c r="AZ194" s="735">
        <f t="shared" si="96"/>
        <v>61.645088875739432</v>
      </c>
      <c r="BA194" s="633">
        <f t="shared" si="93"/>
        <v>0.99403951999911422</v>
      </c>
      <c r="BC194" s="11">
        <v>43280</v>
      </c>
      <c r="BD194" s="289">
        <f>[2]!FeuilCaduc*(1-Persistant)+Persistant</f>
        <v>0.96700510146524432</v>
      </c>
      <c r="BE194" s="290">
        <f>[2]!CroissVégét</f>
        <v>0.6856469767197082</v>
      </c>
      <c r="BF194" s="804">
        <f>1+[2]!Salcycl*Ksac</f>
        <v>1.0467005101465245</v>
      </c>
      <c r="BH194" s="1036">
        <f t="shared" si="94"/>
        <v>1.406326212113472E-3</v>
      </c>
      <c r="BI194" s="11">
        <v>44376</v>
      </c>
      <c r="BJ194" s="715">
        <v>1.406326212113472E-3</v>
      </c>
      <c r="BK194" s="715">
        <v>1.406326212113472E-3</v>
      </c>
      <c r="BL194" s="715">
        <v>1.406326212113472E-3</v>
      </c>
      <c r="BM194" s="715">
        <v>1.406326212113472E-3</v>
      </c>
      <c r="BN194" s="715">
        <v>1.406326212113472E-3</v>
      </c>
      <c r="BO194" s="716">
        <v>1.406326212113472E-3</v>
      </c>
      <c r="BP194" s="715">
        <v>1.406326212113472E-3</v>
      </c>
      <c r="BQ194" s="715">
        <v>1.406326212113472E-3</v>
      </c>
      <c r="BR194" s="715">
        <v>1.406326212113472E-3</v>
      </c>
      <c r="BS194" s="715">
        <v>1.406326212113472E-3</v>
      </c>
      <c r="BT194" s="715">
        <v>1.406326212113472E-3</v>
      </c>
      <c r="BW194" s="1188">
        <f>'2019'!R\Max</f>
        <v>0.9288195876210904</v>
      </c>
      <c r="BX194" s="1188">
        <f>'2020'!R\Max</f>
        <v>0.81461056761276474</v>
      </c>
      <c r="BY194" s="1188">
        <f>'2021'!R\Max</f>
        <v>0.69633667777123531</v>
      </c>
      <c r="BZ194" s="1188">
        <f>'2022'!R\Max</f>
        <v>0.99403951999911411</v>
      </c>
      <c r="CA194" s="1188">
        <f>'2023'!R\Max</f>
        <v>0.99403951999911422</v>
      </c>
      <c r="CB194" s="1188">
        <f>'2024'!R\Max</f>
        <v>0.99403951999911411</v>
      </c>
      <c r="CC194" s="1188">
        <f>'2025'!R\Max</f>
        <v>0.99403951999911422</v>
      </c>
      <c r="CD194" s="1188">
        <f>'2026'!R\Max</f>
        <v>0.99403951999911433</v>
      </c>
      <c r="CE194" s="1189">
        <f>'2027'!R\Max</f>
        <v>0.99403951999911422</v>
      </c>
      <c r="CF194" s="1191">
        <f>'2028'!R\Max</f>
        <v>0.99403951999911411</v>
      </c>
    </row>
    <row r="195" spans="1:84" s="6" customFormat="1" ht="11.25" x14ac:dyDescent="0.2">
      <c r="A195" s="11">
        <v>43281</v>
      </c>
      <c r="B195" s="379">
        <f>'2023'!Maxi_hp</f>
        <v>48.567329624942467</v>
      </c>
      <c r="C195" s="13">
        <f>'2023'!An_max</f>
        <v>2018</v>
      </c>
      <c r="D195" s="1045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73">
        <f t="shared" si="80"/>
        <v>43290</v>
      </c>
      <c r="I195" s="742">
        <f t="shared" si="81"/>
        <v>0.6428571428571429</v>
      </c>
      <c r="J195" s="735">
        <f t="shared" si="82"/>
        <v>61.571510022106985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38">
        <v>43281</v>
      </c>
      <c r="AP195" s="13">
        <f t="shared" si="83"/>
        <v>9</v>
      </c>
      <c r="AQ195" s="13">
        <f t="shared" si="84"/>
        <v>8</v>
      </c>
      <c r="AR195" s="173">
        <f t="shared" si="85"/>
        <v>43304</v>
      </c>
      <c r="AS195" s="742">
        <f t="shared" si="86"/>
        <v>0.8214285714285714</v>
      </c>
      <c r="AT195" s="758">
        <f t="shared" si="87"/>
        <v>61.593866811686063</v>
      </c>
      <c r="AU195" s="13">
        <f t="shared" si="88"/>
        <v>7</v>
      </c>
      <c r="AV195" s="13">
        <f t="shared" si="89"/>
        <v>8</v>
      </c>
      <c r="AW195" s="173">
        <f t="shared" si="90"/>
        <v>43262</v>
      </c>
      <c r="AX195" s="742">
        <f t="shared" si="91"/>
        <v>0.6785714285714286</v>
      </c>
      <c r="AY195" s="758">
        <f t="shared" si="92"/>
        <v>61.539304129519891</v>
      </c>
      <c r="AZ195" s="735">
        <f t="shared" si="96"/>
        <v>61.566585470602973</v>
      </c>
      <c r="BA195" s="633">
        <f t="shared" si="93"/>
        <v>0.78879549336218291</v>
      </c>
      <c r="BC195" s="11">
        <v>43281</v>
      </c>
      <c r="BD195" s="289">
        <f>[2]!FeuilCaduc*(1-Persistant)+Persistant</f>
        <v>0.96985524738320317</v>
      </c>
      <c r="BE195" s="290">
        <f>[2]!CroissVégét</f>
        <v>0.69444817721081942</v>
      </c>
      <c r="BF195" s="804">
        <f>1+[2]!Salcycl*Ksac</f>
        <v>1.0469855247383204</v>
      </c>
      <c r="BH195" s="1036">
        <f t="shared" si="94"/>
        <v>1.4127087482202324E-3</v>
      </c>
      <c r="BI195" s="11">
        <v>44377</v>
      </c>
      <c r="BJ195" s="715">
        <v>1.4127087482202324E-3</v>
      </c>
      <c r="BK195" s="715">
        <v>1.4127087482202324E-3</v>
      </c>
      <c r="BL195" s="715">
        <v>1.4127087482202324E-3</v>
      </c>
      <c r="BM195" s="715">
        <v>1.4127087482202324E-3</v>
      </c>
      <c r="BN195" s="715">
        <v>1.4127087482202324E-3</v>
      </c>
      <c r="BO195" s="716">
        <v>1.4127087482202324E-3</v>
      </c>
      <c r="BP195" s="715">
        <v>1.4127087482202324E-3</v>
      </c>
      <c r="BQ195" s="715">
        <v>1.4127087482202324E-3</v>
      </c>
      <c r="BR195" s="715">
        <v>1.4127087482202324E-3</v>
      </c>
      <c r="BS195" s="715">
        <v>1.4127087482202324E-3</v>
      </c>
      <c r="BT195" s="715">
        <v>1.4127087482202324E-3</v>
      </c>
      <c r="BW195" s="1188">
        <f>'2019'!R\Max</f>
        <v>0.78879549336218291</v>
      </c>
      <c r="BX195" s="1188">
        <f>'2020'!R\Max</f>
        <v>0.43423520938345983</v>
      </c>
      <c r="BY195" s="1188">
        <f>'2021'!R\Max</f>
        <v>0.78671309636778797</v>
      </c>
      <c r="BZ195" s="1188">
        <f>'2022'!R\Max</f>
        <v>0.24492132210197967</v>
      </c>
      <c r="CA195" s="1188">
        <f>'2023'!R\Max</f>
        <v>0.24492132210197967</v>
      </c>
      <c r="CB195" s="1188">
        <f>'2024'!R\Max</f>
        <v>0.24492132210197964</v>
      </c>
      <c r="CC195" s="1188">
        <f>'2025'!R\Max</f>
        <v>0.24492132210197964</v>
      </c>
      <c r="CD195" s="1188">
        <f>'2026'!R\Max</f>
        <v>0.24492132210197964</v>
      </c>
      <c r="CE195" s="1189">
        <f>'2027'!R\Max</f>
        <v>0.24492132210197964</v>
      </c>
      <c r="CF195" s="1191">
        <f>'2028'!R\Max</f>
        <v>0.24492132210197962</v>
      </c>
    </row>
    <row r="196" spans="1:84" s="6" customFormat="1" ht="11.25" x14ac:dyDescent="0.2">
      <c r="A196" s="11">
        <v>43282</v>
      </c>
      <c r="B196" s="379">
        <f>'2023'!Maxi_hp</f>
        <v>60.829668831248355</v>
      </c>
      <c r="C196" s="13">
        <f>'2023'!An_max</f>
        <v>2020</v>
      </c>
      <c r="D196" s="1045">
        <f t="shared" si="78"/>
        <v>0.98929598931531948</v>
      </c>
      <c r="E196" s="13"/>
      <c r="F196" s="13">
        <f t="shared" si="95"/>
        <v>15</v>
      </c>
      <c r="G196" s="13">
        <f t="shared" si="79"/>
        <v>14</v>
      </c>
      <c r="H196" s="173">
        <f t="shared" si="80"/>
        <v>43290</v>
      </c>
      <c r="I196" s="742">
        <f t="shared" si="81"/>
        <v>0.5714285714285714</v>
      </c>
      <c r="J196" s="735">
        <f t="shared" si="82"/>
        <v>61.487835277031579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38">
        <v>43282</v>
      </c>
      <c r="AP196" s="13">
        <f t="shared" si="83"/>
        <v>9</v>
      </c>
      <c r="AQ196" s="13">
        <f t="shared" si="84"/>
        <v>8</v>
      </c>
      <c r="AR196" s="173">
        <f t="shared" si="85"/>
        <v>43304</v>
      </c>
      <c r="AS196" s="742">
        <f t="shared" si="86"/>
        <v>0.7857142857142857</v>
      </c>
      <c r="AT196" s="758">
        <f t="shared" si="87"/>
        <v>61.514919187328111</v>
      </c>
      <c r="AU196" s="13">
        <f t="shared" si="88"/>
        <v>7</v>
      </c>
      <c r="AV196" s="13">
        <f t="shared" si="89"/>
        <v>8</v>
      </c>
      <c r="AW196" s="173">
        <f t="shared" si="90"/>
        <v>43262</v>
      </c>
      <c r="AX196" s="742">
        <f t="shared" si="91"/>
        <v>0.7142857142857143</v>
      </c>
      <c r="AY196" s="758">
        <f t="shared" si="92"/>
        <v>61.457969387806955</v>
      </c>
      <c r="AZ196" s="735">
        <f t="shared" si="96"/>
        <v>61.486444287567537</v>
      </c>
      <c r="BA196" s="633">
        <f t="shared" si="93"/>
        <v>0.98929598931531948</v>
      </c>
      <c r="BC196" s="11">
        <v>43282</v>
      </c>
      <c r="BD196" s="289">
        <f>[2]!FeuilCaduc*(1-Persistant)+Persistant</f>
        <v>0.97254191329364881</v>
      </c>
      <c r="BE196" s="290">
        <f>[2]!CroissVégét</f>
        <v>0.70310971225270513</v>
      </c>
      <c r="BF196" s="804">
        <f>1+[2]!Salcycl*Ksac</f>
        <v>1.0472541913293649</v>
      </c>
      <c r="BH196" s="1036">
        <f t="shared" si="94"/>
        <v>1.4194825926759655E-3</v>
      </c>
      <c r="BI196" s="11">
        <v>44378</v>
      </c>
      <c r="BJ196" s="715">
        <v>1.4194825926759655E-3</v>
      </c>
      <c r="BK196" s="715">
        <v>1.4194825926759655E-3</v>
      </c>
      <c r="BL196" s="715">
        <v>1.4194825926759655E-3</v>
      </c>
      <c r="BM196" s="715">
        <v>1.4194825926759655E-3</v>
      </c>
      <c r="BN196" s="715">
        <v>1.4194825926759655E-3</v>
      </c>
      <c r="BO196" s="716">
        <v>1.4194825926759655E-3</v>
      </c>
      <c r="BP196" s="715">
        <v>1.4194825926759655E-3</v>
      </c>
      <c r="BQ196" s="715">
        <v>1.4194825926759655E-3</v>
      </c>
      <c r="BR196" s="715">
        <v>1.4194825926759655E-3</v>
      </c>
      <c r="BS196" s="715">
        <v>1.4194825926759655E-3</v>
      </c>
      <c r="BT196" s="715">
        <v>1.4194825926759655E-3</v>
      </c>
      <c r="BW196" s="1188">
        <f>'2019'!R\Max</f>
        <v>0.28509064554228569</v>
      </c>
      <c r="BX196" s="1188">
        <f>'2020'!R\Max</f>
        <v>0.98929598931531948</v>
      </c>
      <c r="BY196" s="1188">
        <f>'2021'!R\Max</f>
        <v>0.90442594343008131</v>
      </c>
      <c r="BZ196" s="1188">
        <f>'2022'!R\Max</f>
        <v>0.83324806571576504</v>
      </c>
      <c r="CA196" s="1188">
        <f>'2023'!R\Max</f>
        <v>0.83324806571576493</v>
      </c>
      <c r="CB196" s="1188">
        <f>'2024'!R\Max</f>
        <v>0.83324806571576504</v>
      </c>
      <c r="CC196" s="1188">
        <f>'2025'!R\Max</f>
        <v>0.83324806571576482</v>
      </c>
      <c r="CD196" s="1188">
        <f>'2026'!R\Max</f>
        <v>0.83324806571576482</v>
      </c>
      <c r="CE196" s="1189">
        <f>'2027'!R\Max</f>
        <v>0.83324806571576493</v>
      </c>
      <c r="CF196" s="1191">
        <f>'2028'!R\Max</f>
        <v>0.83324806571576493</v>
      </c>
    </row>
    <row r="197" spans="1:84" s="6" customFormat="1" ht="11.25" x14ac:dyDescent="0.2">
      <c r="A197" s="11">
        <v>43283</v>
      </c>
      <c r="B197" s="379">
        <f>'2023'!Maxi_hp</f>
        <v>55.982473400012779</v>
      </c>
      <c r="C197" s="13">
        <f>'2023'!An_max</f>
        <v>2021</v>
      </c>
      <c r="D197" s="1045" t="str">
        <f t="shared" si="78"/>
        <v/>
      </c>
      <c r="E197" s="13"/>
      <c r="F197" s="13">
        <f t="shared" si="95"/>
        <v>15</v>
      </c>
      <c r="G197" s="13">
        <f t="shared" si="79"/>
        <v>14</v>
      </c>
      <c r="H197" s="173">
        <f t="shared" si="80"/>
        <v>43290</v>
      </c>
      <c r="I197" s="742">
        <f t="shared" si="81"/>
        <v>0.5</v>
      </c>
      <c r="J197" s="735">
        <f t="shared" si="82"/>
        <v>61.402437499724329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38">
        <v>43283</v>
      </c>
      <c r="AP197" s="13">
        <f t="shared" si="83"/>
        <v>9</v>
      </c>
      <c r="AQ197" s="13">
        <f t="shared" si="84"/>
        <v>8</v>
      </c>
      <c r="AR197" s="173">
        <f t="shared" si="85"/>
        <v>43304</v>
      </c>
      <c r="AS197" s="742">
        <f t="shared" si="86"/>
        <v>0.75</v>
      </c>
      <c r="AT197" s="758">
        <f t="shared" si="87"/>
        <v>61.433988281246272</v>
      </c>
      <c r="AU197" s="13">
        <f t="shared" si="88"/>
        <v>7</v>
      </c>
      <c r="AV197" s="13">
        <f t="shared" si="89"/>
        <v>8</v>
      </c>
      <c r="AW197" s="173">
        <f t="shared" si="90"/>
        <v>43262</v>
      </c>
      <c r="AX197" s="742">
        <f t="shared" si="91"/>
        <v>0.75</v>
      </c>
      <c r="AY197" s="758">
        <f t="shared" si="92"/>
        <v>61.375503906561065</v>
      </c>
      <c r="AZ197" s="735">
        <f t="shared" si="96"/>
        <v>61.404746093903668</v>
      </c>
      <c r="BA197" s="633">
        <f t="shared" si="93"/>
        <v>0.91173047324487921</v>
      </c>
      <c r="BC197" s="11">
        <v>43283</v>
      </c>
      <c r="BD197" s="289">
        <f>[2]!FeuilCaduc*(1-Persistant)+Persistant</f>
        <v>0.97506836706826228</v>
      </c>
      <c r="BE197" s="290">
        <f>[2]!CroissVégét</f>
        <v>0.71162774286802644</v>
      </c>
      <c r="BF197" s="804">
        <f>1+[2]!Salcycl*Ksac</f>
        <v>1.0475068367068263</v>
      </c>
      <c r="BH197" s="1036">
        <f t="shared" si="94"/>
        <v>1.4266480908839991E-3</v>
      </c>
      <c r="BI197" s="11">
        <v>44379</v>
      </c>
      <c r="BJ197" s="715">
        <v>1.4266480908839991E-3</v>
      </c>
      <c r="BK197" s="715">
        <v>1.4266480908839991E-3</v>
      </c>
      <c r="BL197" s="715">
        <v>1.4266480908839991E-3</v>
      </c>
      <c r="BM197" s="715">
        <v>1.4266480908839991E-3</v>
      </c>
      <c r="BN197" s="715">
        <v>1.4266480908839991E-3</v>
      </c>
      <c r="BO197" s="716">
        <v>1.4266480908839991E-3</v>
      </c>
      <c r="BP197" s="715">
        <v>1.4266480908839991E-3</v>
      </c>
      <c r="BQ197" s="715">
        <v>1.4266480908839991E-3</v>
      </c>
      <c r="BR197" s="715">
        <v>1.4266480908839991E-3</v>
      </c>
      <c r="BS197" s="715">
        <v>1.4266480908839991E-3</v>
      </c>
      <c r="BT197" s="715">
        <v>1.4266480908839991E-3</v>
      </c>
      <c r="BW197" s="1188">
        <f>'2019'!R\Max</f>
        <v>0.48830768278784253</v>
      </c>
      <c r="BX197" s="1188">
        <f>'2020'!R\Max</f>
        <v>0.74714323579985853</v>
      </c>
      <c r="BY197" s="1188">
        <f>'2021'!R\Max</f>
        <v>0.91173047324487921</v>
      </c>
      <c r="BZ197" s="1188">
        <f>'2022'!R\Max</f>
        <v>0.61032830202047483</v>
      </c>
      <c r="CA197" s="1188">
        <f>'2023'!R\Max</f>
        <v>0.61032830202047483</v>
      </c>
      <c r="CB197" s="1188">
        <f>'2024'!R\Max</f>
        <v>0.61032830202047483</v>
      </c>
      <c r="CC197" s="1188">
        <f>'2025'!R\Max</f>
        <v>0.61032830202047483</v>
      </c>
      <c r="CD197" s="1188">
        <f>'2026'!R\Max</f>
        <v>0.61032830202047472</v>
      </c>
      <c r="CE197" s="1189">
        <f>'2027'!R\Max</f>
        <v>0.61032830202047483</v>
      </c>
      <c r="CF197" s="1191">
        <f>'2028'!R\Max</f>
        <v>0.61032830202047472</v>
      </c>
    </row>
    <row r="198" spans="1:84" s="6" customFormat="1" ht="11.25" x14ac:dyDescent="0.2">
      <c r="A198" s="11">
        <v>43284</v>
      </c>
      <c r="B198" s="379">
        <f>'2023'!Maxi_hp</f>
        <v>53.260020411249151</v>
      </c>
      <c r="C198" s="13">
        <f>'2023'!An_max</f>
        <v>2023</v>
      </c>
      <c r="D198" s="1045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73">
        <f t="shared" si="80"/>
        <v>43290</v>
      </c>
      <c r="I198" s="742">
        <f t="shared" si="81"/>
        <v>0.42857142857142855</v>
      </c>
      <c r="J198" s="735">
        <f t="shared" si="82"/>
        <v>61.315532069759705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38">
        <v>43284</v>
      </c>
      <c r="AP198" s="13">
        <f t="shared" si="83"/>
        <v>9</v>
      </c>
      <c r="AQ198" s="13">
        <f t="shared" si="84"/>
        <v>8</v>
      </c>
      <c r="AR198" s="173">
        <f t="shared" si="85"/>
        <v>43304</v>
      </c>
      <c r="AS198" s="742">
        <f t="shared" si="86"/>
        <v>0.7142857142857143</v>
      </c>
      <c r="AT198" s="758">
        <f t="shared" si="87"/>
        <v>61.351141399437822</v>
      </c>
      <c r="AU198" s="13">
        <f t="shared" si="88"/>
        <v>7</v>
      </c>
      <c r="AV198" s="13">
        <f t="shared" si="89"/>
        <v>8</v>
      </c>
      <c r="AW198" s="173">
        <f t="shared" si="90"/>
        <v>43262</v>
      </c>
      <c r="AX198" s="742">
        <f t="shared" si="91"/>
        <v>0.7857142857142857</v>
      </c>
      <c r="AY198" s="758">
        <f t="shared" si="92"/>
        <v>61.292001913434696</v>
      </c>
      <c r="AZ198" s="735">
        <f t="shared" si="96"/>
        <v>61.321571656436262</v>
      </c>
      <c r="BA198" s="633">
        <f t="shared" si="93"/>
        <v>0.86862200511697973</v>
      </c>
      <c r="BC198" s="11">
        <v>43284</v>
      </c>
      <c r="BD198" s="289">
        <f>[2]!FeuilCaduc*(1-Persistant)+Persistant</f>
        <v>0.97743822005450909</v>
      </c>
      <c r="BE198" s="290">
        <f>[2]!CroissVégét</f>
        <v>0.71999879440261938</v>
      </c>
      <c r="BF198" s="804">
        <f>1+[2]!Salcycl*Ksac</f>
        <v>1.0477438220054509</v>
      </c>
      <c r="BH198" s="1036">
        <f t="shared" si="94"/>
        <v>1.4352977406136838E-3</v>
      </c>
      <c r="BI198" s="11">
        <v>44380</v>
      </c>
      <c r="BJ198" s="715">
        <v>1.4352977406136838E-3</v>
      </c>
      <c r="BK198" s="715">
        <v>1.4352977406136838E-3</v>
      </c>
      <c r="BL198" s="715">
        <v>1.4352977406136838E-3</v>
      </c>
      <c r="BM198" s="715">
        <v>1.4352977406136838E-3</v>
      </c>
      <c r="BN198" s="715">
        <v>1.4352977406136838E-3</v>
      </c>
      <c r="BO198" s="716">
        <v>1.4352977406136838E-3</v>
      </c>
      <c r="BP198" s="715">
        <v>1.4352977406136838E-3</v>
      </c>
      <c r="BQ198" s="715">
        <v>1.4352977406136838E-3</v>
      </c>
      <c r="BR198" s="715">
        <v>1.4352977406136838E-3</v>
      </c>
      <c r="BS198" s="715">
        <v>1.4352977406136838E-3</v>
      </c>
      <c r="BT198" s="715">
        <v>1.4352977406136838E-3</v>
      </c>
      <c r="BW198" s="1188">
        <f>'2019'!R\Max</f>
        <v>0.80854901426778791</v>
      </c>
      <c r="BX198" s="1188">
        <f>'2020'!R\Max</f>
        <v>0.32461524569167877</v>
      </c>
      <c r="BY198" s="1188">
        <f>'2021'!R\Max</f>
        <v>0.52108880561308946</v>
      </c>
      <c r="BZ198" s="1188">
        <f>'2022'!R\Max</f>
        <v>0.86862200511697962</v>
      </c>
      <c r="CA198" s="1188">
        <f>'2023'!R\Max</f>
        <v>0.86862200511697973</v>
      </c>
      <c r="CB198" s="1188">
        <f>'2024'!R\Max</f>
        <v>0.86862200511697962</v>
      </c>
      <c r="CC198" s="1188">
        <f>'2025'!R\Max</f>
        <v>0.86862200511697973</v>
      </c>
      <c r="CD198" s="1188">
        <f>'2026'!R\Max</f>
        <v>0.86862200511697973</v>
      </c>
      <c r="CE198" s="1189">
        <f>'2027'!R\Max</f>
        <v>0.86862200511697973</v>
      </c>
      <c r="CF198" s="1191">
        <f>'2028'!R\Max</f>
        <v>0.86862200511697962</v>
      </c>
    </row>
    <row r="199" spans="1:84" s="6" customFormat="1" ht="11.25" x14ac:dyDescent="0.2">
      <c r="A199" s="11">
        <v>43285</v>
      </c>
      <c r="B199" s="379">
        <f>'2023'!Maxi_hp</f>
        <v>58.038793817867159</v>
      </c>
      <c r="C199" s="13">
        <f>'2023'!An_max</f>
        <v>2018</v>
      </c>
      <c r="D199" s="1045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73">
        <f t="shared" si="80"/>
        <v>43290</v>
      </c>
      <c r="I199" s="742">
        <f t="shared" si="81"/>
        <v>0.35714285714285715</v>
      </c>
      <c r="J199" s="735">
        <f t="shared" si="82"/>
        <v>61.227334365900603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38">
        <v>43285</v>
      </c>
      <c r="AP199" s="13">
        <f t="shared" si="83"/>
        <v>9</v>
      </c>
      <c r="AQ199" s="13">
        <f t="shared" si="84"/>
        <v>8</v>
      </c>
      <c r="AR199" s="173">
        <f t="shared" si="85"/>
        <v>43304</v>
      </c>
      <c r="AS199" s="742">
        <f t="shared" si="86"/>
        <v>0.6785714285714286</v>
      </c>
      <c r="AT199" s="758">
        <f t="shared" si="87"/>
        <v>61.26644584768718</v>
      </c>
      <c r="AU199" s="13">
        <f t="shared" si="88"/>
        <v>7</v>
      </c>
      <c r="AV199" s="13">
        <f t="shared" si="89"/>
        <v>8</v>
      </c>
      <c r="AW199" s="173">
        <f t="shared" si="90"/>
        <v>43262</v>
      </c>
      <c r="AX199" s="742">
        <f t="shared" si="91"/>
        <v>0.8214285714285714</v>
      </c>
      <c r="AY199" s="758">
        <f t="shared" si="92"/>
        <v>61.207557637071503</v>
      </c>
      <c r="AZ199" s="735">
        <f t="shared" si="96"/>
        <v>61.237001742379341</v>
      </c>
      <c r="BA199" s="633">
        <f t="shared" si="93"/>
        <v>0.94792292395127953</v>
      </c>
      <c r="BC199" s="11">
        <v>43285</v>
      </c>
      <c r="BD199" s="289">
        <f>[2]!FeuilCaduc*(1-Persistant)+Persistant</f>
        <v>0.97965539931646983</v>
      </c>
      <c r="BE199" s="290">
        <f>[2]!CroissVégét</f>
        <v>0.72821975485053358</v>
      </c>
      <c r="BF199" s="804">
        <f>1+[2]!Salcycl*Ksac</f>
        <v>1.047965539931647</v>
      </c>
      <c r="BH199" s="1036">
        <f t="shared" si="94"/>
        <v>1.4447432781675396E-3</v>
      </c>
      <c r="BI199" s="11">
        <v>44381</v>
      </c>
      <c r="BJ199" s="715">
        <v>1.4447432781675399E-3</v>
      </c>
      <c r="BK199" s="715">
        <v>1.4447432781675396E-3</v>
      </c>
      <c r="BL199" s="715">
        <v>1.4447432781675396E-3</v>
      </c>
      <c r="BM199" s="715">
        <v>1.4447432781675396E-3</v>
      </c>
      <c r="BN199" s="715">
        <v>1.4447432781675396E-3</v>
      </c>
      <c r="BO199" s="716">
        <v>1.4447432781675396E-3</v>
      </c>
      <c r="BP199" s="715">
        <v>1.4447432781675396E-3</v>
      </c>
      <c r="BQ199" s="715">
        <v>1.4447432781675396E-3</v>
      </c>
      <c r="BR199" s="715">
        <v>1.4447432781675396E-3</v>
      </c>
      <c r="BS199" s="715">
        <v>1.4447432781675396E-3</v>
      </c>
      <c r="BT199" s="715">
        <v>1.4447432781675399E-3</v>
      </c>
      <c r="BW199" s="1188">
        <f>'2019'!R\Max</f>
        <v>0.94792292395127953</v>
      </c>
      <c r="BX199" s="1188">
        <f>'2020'!R\Max</f>
        <v>0.79714952716685694</v>
      </c>
      <c r="BY199" s="1188">
        <f>'2021'!R\Max</f>
        <v>0.60652809413328623</v>
      </c>
      <c r="BZ199" s="1188">
        <f>'2022'!R\Max</f>
        <v>0.78781973324448806</v>
      </c>
      <c r="CA199" s="1188">
        <f>'2023'!R\Max</f>
        <v>0.78781973324448795</v>
      </c>
      <c r="CB199" s="1188">
        <f>'2024'!R\Max</f>
        <v>0.78781973324448806</v>
      </c>
      <c r="CC199" s="1188">
        <f>'2025'!R\Max</f>
        <v>0.78781973324448795</v>
      </c>
      <c r="CD199" s="1188">
        <f>'2026'!R\Max</f>
        <v>0.78781973324448795</v>
      </c>
      <c r="CE199" s="1189">
        <f>'2027'!R\Max</f>
        <v>0.78781973324448795</v>
      </c>
      <c r="CF199" s="1191">
        <f>'2028'!R\Max</f>
        <v>0.78781973324448795</v>
      </c>
    </row>
    <row r="200" spans="1:84" s="6" customFormat="1" ht="11.25" x14ac:dyDescent="0.2">
      <c r="A200" s="11">
        <v>43286</v>
      </c>
      <c r="B200" s="379">
        <f>'2023'!Maxi_hp</f>
        <v>60.138519323498095</v>
      </c>
      <c r="C200" s="13">
        <f>'2023'!An_max</f>
        <v>2023</v>
      </c>
      <c r="D200" s="1045">
        <f t="shared" si="78"/>
        <v>0.98365109316285049</v>
      </c>
      <c r="E200" s="13"/>
      <c r="F200" s="13">
        <f t="shared" si="95"/>
        <v>15</v>
      </c>
      <c r="G200" s="13">
        <f t="shared" si="79"/>
        <v>14</v>
      </c>
      <c r="H200" s="173">
        <f t="shared" si="80"/>
        <v>43290</v>
      </c>
      <c r="I200" s="742">
        <f t="shared" si="81"/>
        <v>0.2857142857142857</v>
      </c>
      <c r="J200" s="735">
        <f t="shared" si="82"/>
        <v>61.138059766830075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38">
        <v>43286</v>
      </c>
      <c r="AP200" s="13">
        <f t="shared" si="83"/>
        <v>9</v>
      </c>
      <c r="AQ200" s="13">
        <f t="shared" si="84"/>
        <v>8</v>
      </c>
      <c r="AR200" s="173">
        <f t="shared" si="85"/>
        <v>43304</v>
      </c>
      <c r="AS200" s="742">
        <f t="shared" si="86"/>
        <v>0.6428571428571429</v>
      </c>
      <c r="AT200" s="758">
        <f t="shared" si="87"/>
        <v>61.179968932151255</v>
      </c>
      <c r="AU200" s="13">
        <f t="shared" si="88"/>
        <v>7</v>
      </c>
      <c r="AV200" s="13">
        <f t="shared" si="89"/>
        <v>8</v>
      </c>
      <c r="AW200" s="173">
        <f t="shared" si="90"/>
        <v>43262</v>
      </c>
      <c r="AX200" s="742">
        <f t="shared" si="91"/>
        <v>0.8571428571428571</v>
      </c>
      <c r="AY200" s="758">
        <f t="shared" si="92"/>
        <v>61.122265306115153</v>
      </c>
      <c r="AZ200" s="735">
        <f t="shared" si="96"/>
        <v>61.151117119133204</v>
      </c>
      <c r="BA200" s="633">
        <f t="shared" si="93"/>
        <v>0.98365109316285049</v>
      </c>
      <c r="BC200" s="11">
        <v>43286</v>
      </c>
      <c r="BD200" s="289">
        <f>[2]!FeuilCaduc*(1-Persistant)+Persistant</f>
        <v>0.98172411856607344</v>
      </c>
      <c r="BE200" s="290">
        <f>[2]!CroissVégét</f>
        <v>0.73628787157048126</v>
      </c>
      <c r="BF200" s="804">
        <f>1+[2]!Salcycl*Ksac</f>
        <v>1.0481724118566074</v>
      </c>
      <c r="BH200" s="1036">
        <f t="shared" si="94"/>
        <v>1.4549845891223469E-3</v>
      </c>
      <c r="BI200" s="11">
        <v>44382</v>
      </c>
      <c r="BJ200" s="715">
        <v>1.4549845891223469E-3</v>
      </c>
      <c r="BK200" s="715">
        <v>1.4549845891223469E-3</v>
      </c>
      <c r="BL200" s="715">
        <v>1.4549845891223469E-3</v>
      </c>
      <c r="BM200" s="715">
        <v>1.4549845891223469E-3</v>
      </c>
      <c r="BN200" s="715">
        <v>1.4549845891223469E-3</v>
      </c>
      <c r="BO200" s="716">
        <v>1.4549845891223469E-3</v>
      </c>
      <c r="BP200" s="715">
        <v>1.4549845891223469E-3</v>
      </c>
      <c r="BQ200" s="715">
        <v>1.4549845891223469E-3</v>
      </c>
      <c r="BR200" s="715">
        <v>1.4549845891223469E-3</v>
      </c>
      <c r="BS200" s="715">
        <v>1.4549845891223469E-3</v>
      </c>
      <c r="BT200" s="715">
        <v>1.4549845891223469E-3</v>
      </c>
      <c r="BW200" s="1188">
        <f>'2019'!R\Max</f>
        <v>0.9400661048630774</v>
      </c>
      <c r="BX200" s="1188">
        <f>'2020'!R\Max</f>
        <v>0.98346209525721306</v>
      </c>
      <c r="BY200" s="1188">
        <f>'2021'!R\Max</f>
        <v>0.98051212866432991</v>
      </c>
      <c r="BZ200" s="1188">
        <f>'2022'!R\Max</f>
        <v>0.98365109316285038</v>
      </c>
      <c r="CA200" s="1188">
        <f>'2023'!R\Max</f>
        <v>0.98365109316285049</v>
      </c>
      <c r="CB200" s="1188">
        <f>'2024'!R\Max</f>
        <v>0.98365109316285038</v>
      </c>
      <c r="CC200" s="1188">
        <f>'2025'!R\Max</f>
        <v>0.98365109316285027</v>
      </c>
      <c r="CD200" s="1188">
        <f>'2026'!R\Max</f>
        <v>0.98365109316285027</v>
      </c>
      <c r="CE200" s="1189">
        <f>'2027'!R\Max</f>
        <v>0.98365109316285049</v>
      </c>
      <c r="CF200" s="1191">
        <f>'2028'!R\Max</f>
        <v>0.98365109316285038</v>
      </c>
    </row>
    <row r="201" spans="1:84" s="6" customFormat="1" ht="11.25" x14ac:dyDescent="0.2">
      <c r="A201" s="11">
        <v>43287</v>
      </c>
      <c r="B201" s="379">
        <f>'2023'!Maxi_hp</f>
        <v>59.81714469792518</v>
      </c>
      <c r="C201" s="13">
        <f>'2023'!An_max</f>
        <v>2020</v>
      </c>
      <c r="D201" s="1045">
        <f t="shared" si="78"/>
        <v>0.97983913489460228</v>
      </c>
      <c r="E201" s="13"/>
      <c r="F201" s="13">
        <f t="shared" si="95"/>
        <v>15</v>
      </c>
      <c r="G201" s="13">
        <f t="shared" si="79"/>
        <v>14</v>
      </c>
      <c r="H201" s="173">
        <f t="shared" si="80"/>
        <v>43290</v>
      </c>
      <c r="I201" s="742">
        <f t="shared" si="81"/>
        <v>0.21428571428571427</v>
      </c>
      <c r="J201" s="735">
        <f t="shared" si="82"/>
        <v>61.04792365163032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38">
        <v>43287</v>
      </c>
      <c r="AP201" s="13">
        <f t="shared" si="83"/>
        <v>9</v>
      </c>
      <c r="AQ201" s="13">
        <f t="shared" si="84"/>
        <v>8</v>
      </c>
      <c r="AR201" s="173">
        <f t="shared" si="85"/>
        <v>43304</v>
      </c>
      <c r="AS201" s="742">
        <f t="shared" si="86"/>
        <v>0.6071428571428571</v>
      </c>
      <c r="AT201" s="758">
        <f t="shared" si="87"/>
        <v>61.091777958900536</v>
      </c>
      <c r="AU201" s="13">
        <f t="shared" si="88"/>
        <v>7</v>
      </c>
      <c r="AV201" s="13">
        <f t="shared" si="89"/>
        <v>8</v>
      </c>
      <c r="AW201" s="173">
        <f t="shared" si="90"/>
        <v>43262</v>
      </c>
      <c r="AX201" s="742">
        <f t="shared" si="91"/>
        <v>0.8928571428571429</v>
      </c>
      <c r="AY201" s="758">
        <f t="shared" si="92"/>
        <v>61.036219148557358</v>
      </c>
      <c r="AZ201" s="735">
        <f t="shared" si="96"/>
        <v>61.06399855372895</v>
      </c>
      <c r="BA201" s="633">
        <f t="shared" si="93"/>
        <v>0.97983913489460228</v>
      </c>
      <c r="BC201" s="11">
        <v>43287</v>
      </c>
      <c r="BD201" s="289">
        <f>[2]!FeuilCaduc*(1-Persistant)+Persistant</f>
        <v>0.98364884800573926</v>
      </c>
      <c r="BE201" s="290">
        <f>[2]!CroissVégét</f>
        <v>0.74420074649273349</v>
      </c>
      <c r="BF201" s="804">
        <f>1+[2]!Salcycl*Ksac</f>
        <v>1.048364884800574</v>
      </c>
      <c r="BH201" s="1036">
        <f t="shared" si="94"/>
        <v>1.4660216135424199E-3</v>
      </c>
      <c r="BI201" s="11">
        <v>44383</v>
      </c>
      <c r="BJ201" s="715">
        <v>1.4660216135424199E-3</v>
      </c>
      <c r="BK201" s="715">
        <v>1.4660216135424199E-3</v>
      </c>
      <c r="BL201" s="715">
        <v>1.4660216135424199E-3</v>
      </c>
      <c r="BM201" s="715">
        <v>1.4660216135424199E-3</v>
      </c>
      <c r="BN201" s="715">
        <v>1.4660216135424199E-3</v>
      </c>
      <c r="BO201" s="716">
        <v>1.4660216135424199E-3</v>
      </c>
      <c r="BP201" s="715">
        <v>1.4660216135424199E-3</v>
      </c>
      <c r="BQ201" s="715">
        <v>1.4660216135424199E-3</v>
      </c>
      <c r="BR201" s="715">
        <v>1.4660216135424199E-3</v>
      </c>
      <c r="BS201" s="715">
        <v>1.4660216135424199E-3</v>
      </c>
      <c r="BT201" s="715">
        <v>1.4660216135424199E-3</v>
      </c>
      <c r="BW201" s="1188">
        <f>'2019'!R\Max</f>
        <v>0.90671608048191821</v>
      </c>
      <c r="BX201" s="1188">
        <f>'2020'!R\Max</f>
        <v>0.97983913489460228</v>
      </c>
      <c r="BY201" s="1188">
        <f>'2021'!R\Max</f>
        <v>0.3493676133763679</v>
      </c>
      <c r="BZ201" s="1188">
        <f>'2022'!R\Max</f>
        <v>0.80341685655393902</v>
      </c>
      <c r="CA201" s="1188">
        <f>'2023'!R\Max</f>
        <v>0.80341685655393902</v>
      </c>
      <c r="CB201" s="1188">
        <f>'2024'!R\Max</f>
        <v>0.80341685655393902</v>
      </c>
      <c r="CC201" s="1188">
        <f>'2025'!R\Max</f>
        <v>0.80341685655393913</v>
      </c>
      <c r="CD201" s="1188">
        <f>'2026'!R\Max</f>
        <v>0.80341685655393913</v>
      </c>
      <c r="CE201" s="1189">
        <f>'2027'!R\Max</f>
        <v>0.80341685655393902</v>
      </c>
      <c r="CF201" s="1191">
        <f>'2028'!R\Max</f>
        <v>0.80341685655393913</v>
      </c>
    </row>
    <row r="202" spans="1:84" s="6" customFormat="1" ht="11.25" x14ac:dyDescent="0.2">
      <c r="A202" s="11">
        <v>43288</v>
      </c>
      <c r="B202" s="379">
        <f>'2023'!Maxi_hp</f>
        <v>59.818398101836763</v>
      </c>
      <c r="C202" s="13">
        <f>'2023'!An_max</f>
        <v>2023</v>
      </c>
      <c r="D202" s="1045">
        <f t="shared" si="78"/>
        <v>0.98131895178301876</v>
      </c>
      <c r="E202" s="13"/>
      <c r="F202" s="13">
        <f t="shared" si="95"/>
        <v>15</v>
      </c>
      <c r="G202" s="13">
        <f t="shared" si="79"/>
        <v>14</v>
      </c>
      <c r="H202" s="173">
        <f t="shared" si="80"/>
        <v>43290</v>
      </c>
      <c r="I202" s="742">
        <f t="shared" si="81"/>
        <v>0.14285714285714285</v>
      </c>
      <c r="J202" s="735">
        <f t="shared" si="82"/>
        <v>60.957141399489977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38">
        <v>43288</v>
      </c>
      <c r="AP202" s="13">
        <f t="shared" si="83"/>
        <v>9</v>
      </c>
      <c r="AQ202" s="13">
        <f t="shared" si="84"/>
        <v>8</v>
      </c>
      <c r="AR202" s="173">
        <f t="shared" si="85"/>
        <v>43304</v>
      </c>
      <c r="AS202" s="742">
        <f t="shared" si="86"/>
        <v>0.5714285714285714</v>
      </c>
      <c r="AT202" s="758">
        <f t="shared" si="87"/>
        <v>61.001940233366824</v>
      </c>
      <c r="AU202" s="13">
        <f t="shared" si="88"/>
        <v>7</v>
      </c>
      <c r="AV202" s="13">
        <f t="shared" si="89"/>
        <v>8</v>
      </c>
      <c r="AW202" s="173">
        <f t="shared" si="90"/>
        <v>43262</v>
      </c>
      <c r="AX202" s="742">
        <f t="shared" si="91"/>
        <v>0.9285714285714286</v>
      </c>
      <c r="AY202" s="758">
        <f t="shared" si="92"/>
        <v>60.949513392762412</v>
      </c>
      <c r="AZ202" s="735">
        <f t="shared" si="96"/>
        <v>60.975726813064618</v>
      </c>
      <c r="BA202" s="633">
        <f t="shared" si="93"/>
        <v>0.98131895178301876</v>
      </c>
      <c r="BC202" s="11">
        <v>43288</v>
      </c>
      <c r="BD202" s="289">
        <f>[2]!FeuilCaduc*(1-Persistant)+Persistant</f>
        <v>0.98543428331027694</v>
      </c>
      <c r="BE202" s="290">
        <f>[2]!CroissVégét</f>
        <v>0.75195632992281269</v>
      </c>
      <c r="BF202" s="804">
        <f>1+[2]!Salcycl*Ksac</f>
        <v>1.0485434283310278</v>
      </c>
      <c r="BH202" s="1036">
        <f t="shared" si="94"/>
        <v>1.4778543506794052E-3</v>
      </c>
      <c r="BI202" s="11">
        <v>44384</v>
      </c>
      <c r="BJ202" s="715">
        <v>1.4778543506794052E-3</v>
      </c>
      <c r="BK202" s="715">
        <v>1.4778543506794052E-3</v>
      </c>
      <c r="BL202" s="715">
        <v>1.4778543506794052E-3</v>
      </c>
      <c r="BM202" s="715">
        <v>1.4778543506794052E-3</v>
      </c>
      <c r="BN202" s="715">
        <v>1.4778543506794052E-3</v>
      </c>
      <c r="BO202" s="716">
        <v>1.4778543506794052E-3</v>
      </c>
      <c r="BP202" s="715">
        <v>1.4778543506794052E-3</v>
      </c>
      <c r="BQ202" s="715">
        <v>1.4778543506794052E-3</v>
      </c>
      <c r="BR202" s="715">
        <v>1.4778543506794052E-3</v>
      </c>
      <c r="BS202" s="715">
        <v>1.4778543506794052E-3</v>
      </c>
      <c r="BT202" s="715">
        <v>1.4778543506794052E-3</v>
      </c>
      <c r="BW202" s="1188">
        <f>'2019'!R\Max</f>
        <v>0.83730285293450046</v>
      </c>
      <c r="BX202" s="1188">
        <f>'2020'!R\Max</f>
        <v>0.61123937178756937</v>
      </c>
      <c r="BY202" s="1188">
        <f>'2021'!R\Max</f>
        <v>0.75501975261368448</v>
      </c>
      <c r="BZ202" s="1188">
        <f>'2022'!R\Max</f>
        <v>0.98131895178301876</v>
      </c>
      <c r="CA202" s="1188">
        <f>'2023'!R\Max</f>
        <v>0.98131895178301876</v>
      </c>
      <c r="CB202" s="1188">
        <f>'2024'!R\Max</f>
        <v>0.98131895178301887</v>
      </c>
      <c r="CC202" s="1188">
        <f>'2025'!R\Max</f>
        <v>0.98131895178301876</v>
      </c>
      <c r="CD202" s="1188">
        <f>'2026'!R\Max</f>
        <v>0.98131895178301876</v>
      </c>
      <c r="CE202" s="1189">
        <f>'2027'!R\Max</f>
        <v>0.98131895178301876</v>
      </c>
      <c r="CF202" s="1191">
        <f>'2028'!R\Max</f>
        <v>0.98131895178301898</v>
      </c>
    </row>
    <row r="203" spans="1:84" s="6" customFormat="1" ht="11.25" x14ac:dyDescent="0.2">
      <c r="A203" s="11">
        <v>43289</v>
      </c>
      <c r="B203" s="379">
        <f>'2023'!Maxi_hp</f>
        <v>63.269155638139843</v>
      </c>
      <c r="C203" s="13">
        <f>'2023'!An_max</f>
        <v>2020</v>
      </c>
      <c r="D203" s="1045">
        <f t="shared" si="78"/>
        <v>1.039483949603794</v>
      </c>
      <c r="E203" s="13"/>
      <c r="F203" s="13">
        <f t="shared" si="95"/>
        <v>15</v>
      </c>
      <c r="G203" s="13">
        <f t="shared" si="79"/>
        <v>14</v>
      </c>
      <c r="H203" s="173">
        <f t="shared" si="80"/>
        <v>43290</v>
      </c>
      <c r="I203" s="742">
        <f t="shared" si="81"/>
        <v>7.1428571428571425E-2</v>
      </c>
      <c r="J203" s="735">
        <f t="shared" si="82"/>
        <v>60.865928389038892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38">
        <v>43289</v>
      </c>
      <c r="AP203" s="13">
        <f t="shared" si="83"/>
        <v>9</v>
      </c>
      <c r="AQ203" s="13">
        <f t="shared" si="84"/>
        <v>8</v>
      </c>
      <c r="AR203" s="173">
        <f t="shared" si="85"/>
        <v>43304</v>
      </c>
      <c r="AS203" s="742">
        <f t="shared" si="86"/>
        <v>0.5357142857142857</v>
      </c>
      <c r="AT203" s="758">
        <f t="shared" si="87"/>
        <v>60.91052306191996</v>
      </c>
      <c r="AU203" s="13">
        <f t="shared" si="88"/>
        <v>7</v>
      </c>
      <c r="AV203" s="13">
        <f t="shared" si="89"/>
        <v>8</v>
      </c>
      <c r="AW203" s="173">
        <f t="shared" si="90"/>
        <v>43262</v>
      </c>
      <c r="AX203" s="742">
        <f t="shared" si="91"/>
        <v>0.9642857142857143</v>
      </c>
      <c r="AY203" s="758">
        <f t="shared" si="92"/>
        <v>60.86224226728082</v>
      </c>
      <c r="AZ203" s="735">
        <f t="shared" si="96"/>
        <v>60.88638266460039</v>
      </c>
      <c r="BA203" s="633">
        <f t="shared" si="93"/>
        <v>1.039483949603794</v>
      </c>
      <c r="BC203" s="11">
        <v>43289</v>
      </c>
      <c r="BD203" s="289">
        <f>[2]!FeuilCaduc*(1-Persistant)+Persistant</f>
        <v>0.98708531398064359</v>
      </c>
      <c r="BE203" s="290">
        <f>[2]!CroissVégét</f>
        <v>0.75955291305401751</v>
      </c>
      <c r="BF203" s="804">
        <f>1+[2]!Salcycl*Ksac</f>
        <v>1.0487085313980644</v>
      </c>
      <c r="BH203" s="1036">
        <f t="shared" si="94"/>
        <v>1.4904828636809421E-3</v>
      </c>
      <c r="BI203" s="11">
        <v>44385</v>
      </c>
      <c r="BJ203" s="715">
        <v>1.4904828636809421E-3</v>
      </c>
      <c r="BK203" s="715">
        <v>1.4904828636809421E-3</v>
      </c>
      <c r="BL203" s="715">
        <v>1.4904828636809421E-3</v>
      </c>
      <c r="BM203" s="715">
        <v>1.4904828636809421E-3</v>
      </c>
      <c r="BN203" s="715">
        <v>1.4904828636809421E-3</v>
      </c>
      <c r="BO203" s="716">
        <v>1.4904828636809421E-3</v>
      </c>
      <c r="BP203" s="715">
        <v>1.4904828636809421E-3</v>
      </c>
      <c r="BQ203" s="715">
        <v>1.4904828636809421E-3</v>
      </c>
      <c r="BR203" s="715">
        <v>1.4904828636809421E-3</v>
      </c>
      <c r="BS203" s="715">
        <v>1.4904828636809421E-3</v>
      </c>
      <c r="BT203" s="715">
        <v>1.4904828636809421E-3</v>
      </c>
      <c r="BW203" s="1188">
        <f>'2019'!R\Max</f>
        <v>0.63536132238213894</v>
      </c>
      <c r="BX203" s="1188">
        <f>'2020'!R\Max</f>
        <v>1.039483949603794</v>
      </c>
      <c r="BY203" s="1188">
        <f>'2021'!R\Max</f>
        <v>0.81588764089906607</v>
      </c>
      <c r="BZ203" s="1188">
        <f>'2022'!R\Max</f>
        <v>1.0152045670878949</v>
      </c>
      <c r="CA203" s="1188">
        <f>'2023'!R\Max</f>
        <v>1.0152045670878949</v>
      </c>
      <c r="CB203" s="1188">
        <f>'2024'!R\Max</f>
        <v>1.0152045670878951</v>
      </c>
      <c r="CC203" s="1188">
        <f>'2025'!R\Max</f>
        <v>1.0152045670878949</v>
      </c>
      <c r="CD203" s="1188">
        <f>'2026'!R\Max</f>
        <v>1.0152045670878949</v>
      </c>
      <c r="CE203" s="1189">
        <f>'2027'!R\Max</f>
        <v>1.0152045670878949</v>
      </c>
      <c r="CF203" s="1191">
        <f>'2028'!R\Max</f>
        <v>1.0152045670878949</v>
      </c>
    </row>
    <row r="204" spans="1:84" s="6" customFormat="1" ht="11.25" x14ac:dyDescent="0.2">
      <c r="A204" s="11">
        <v>43290</v>
      </c>
      <c r="B204" s="379">
        <f>'2023'!Maxi_hp</f>
        <v>61.067654283520106</v>
      </c>
      <c r="C204" s="13">
        <f>'2023'!An_max</f>
        <v>2023</v>
      </c>
      <c r="D204" s="1045">
        <f t="shared" si="78"/>
        <v>1.0048236395791403</v>
      </c>
      <c r="E204" s="1040">
        <f>AA$13/10</f>
        <v>60.774500000000003</v>
      </c>
      <c r="F204" s="13">
        <f t="shared" si="95"/>
        <v>15</v>
      </c>
      <c r="G204" s="13">
        <f t="shared" si="79"/>
        <v>16</v>
      </c>
      <c r="H204" s="173">
        <f t="shared" si="80"/>
        <v>43290</v>
      </c>
      <c r="I204" s="742">
        <f t="shared" si="81"/>
        <v>0</v>
      </c>
      <c r="J204" s="735">
        <f t="shared" si="82"/>
        <v>60.774499999918042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38">
        <v>43290</v>
      </c>
      <c r="AP204" s="13">
        <f t="shared" si="83"/>
        <v>9</v>
      </c>
      <c r="AQ204" s="13">
        <f t="shared" si="84"/>
        <v>8</v>
      </c>
      <c r="AR204" s="173">
        <f t="shared" si="85"/>
        <v>43304</v>
      </c>
      <c r="AS204" s="742">
        <f t="shared" si="86"/>
        <v>0.5</v>
      </c>
      <c r="AT204" s="758">
        <f t="shared" si="87"/>
        <v>60.8175937499851</v>
      </c>
      <c r="AU204" s="13">
        <f t="shared" si="88"/>
        <v>9</v>
      </c>
      <c r="AV204" s="13">
        <f t="shared" si="89"/>
        <v>8</v>
      </c>
      <c r="AW204" s="173">
        <f t="shared" si="90"/>
        <v>43318</v>
      </c>
      <c r="AX204" s="742">
        <f t="shared" si="91"/>
        <v>1</v>
      </c>
      <c r="AY204" s="758">
        <f t="shared" si="92"/>
        <v>60.774500000104311</v>
      </c>
      <c r="AZ204" s="735">
        <f t="shared" si="96"/>
        <v>60.796046875044709</v>
      </c>
      <c r="BA204" s="633">
        <f t="shared" si="93"/>
        <v>1.0048236395791403</v>
      </c>
      <c r="BC204" s="11">
        <v>43290</v>
      </c>
      <c r="BD204" s="289">
        <f>[2]!FeuilCaduc*(1-Persistant)+Persistant</f>
        <v>0.98860699130480645</v>
      </c>
      <c r="BE204" s="290">
        <f>[2]!CroissVégét</f>
        <v>0.76698911930492164</v>
      </c>
      <c r="BF204" s="804">
        <f>1+[2]!Salcycl*Ksac</f>
        <v>1.0488606991304807</v>
      </c>
      <c r="BH204" s="1036">
        <f t="shared" si="94"/>
        <v>1.5039072842542021E-3</v>
      </c>
      <c r="BI204" s="11">
        <v>44386</v>
      </c>
      <c r="BJ204" s="715">
        <v>1.5039072842542018E-3</v>
      </c>
      <c r="BK204" s="715">
        <v>1.5039072842542021E-3</v>
      </c>
      <c r="BL204" s="715">
        <v>1.5039072842542021E-3</v>
      </c>
      <c r="BM204" s="715">
        <v>1.5039072842542021E-3</v>
      </c>
      <c r="BN204" s="715">
        <v>1.5039072842542021E-3</v>
      </c>
      <c r="BO204" s="716">
        <v>1.5039072842542021E-3</v>
      </c>
      <c r="BP204" s="715">
        <v>1.5039072842542021E-3</v>
      </c>
      <c r="BQ204" s="715">
        <v>1.5039072842542021E-3</v>
      </c>
      <c r="BR204" s="715">
        <v>1.5039072842542021E-3</v>
      </c>
      <c r="BS204" s="715">
        <v>1.5039072842542021E-3</v>
      </c>
      <c r="BT204" s="715">
        <v>1.5039072842542018E-3</v>
      </c>
      <c r="BW204" s="1188">
        <f>'2019'!R\Max</f>
        <v>0.33951269508124715</v>
      </c>
      <c r="BX204" s="1188">
        <f>'2020'!R\Max</f>
        <v>0.99394173994334623</v>
      </c>
      <c r="BY204" s="1188">
        <f>'2021'!R\Max</f>
        <v>0.97445693860982996</v>
      </c>
      <c r="BZ204" s="1188">
        <f>'2022'!R\Max</f>
        <v>1.0048236395791403</v>
      </c>
      <c r="CA204" s="1188">
        <f>'2023'!R\Max</f>
        <v>1.0048236395791403</v>
      </c>
      <c r="CB204" s="1188">
        <f>'2024'!R\Max</f>
        <v>1.0048236395791403</v>
      </c>
      <c r="CC204" s="1188">
        <f>'2025'!R\Max</f>
        <v>1.0048236395791403</v>
      </c>
      <c r="CD204" s="1188">
        <f>'2026'!R\Max</f>
        <v>1.0048236395791403</v>
      </c>
      <c r="CE204" s="1189">
        <f>'2027'!R\Max</f>
        <v>1.0048236395791403</v>
      </c>
      <c r="CF204" s="1191">
        <f>'2028'!R\Max</f>
        <v>1.0048236395791403</v>
      </c>
    </row>
    <row r="205" spans="1:84" s="6" customFormat="1" ht="11.25" x14ac:dyDescent="0.2">
      <c r="A205" s="11">
        <v>43291</v>
      </c>
      <c r="B205" s="379">
        <f>'2023'!Maxi_hp</f>
        <v>60.317768017858469</v>
      </c>
      <c r="C205" s="13">
        <f>'2023'!An_max</f>
        <v>2023</v>
      </c>
      <c r="D205" s="1045">
        <f t="shared" si="78"/>
        <v>0.99398895981519908</v>
      </c>
      <c r="E205" s="13"/>
      <c r="F205" s="13">
        <f t="shared" si="95"/>
        <v>15</v>
      </c>
      <c r="G205" s="13">
        <f t="shared" si="79"/>
        <v>16</v>
      </c>
      <c r="H205" s="173">
        <f t="shared" si="80"/>
        <v>43290</v>
      </c>
      <c r="I205" s="742">
        <f t="shared" si="81"/>
        <v>7.1428571428571425E-2</v>
      </c>
      <c r="J205" s="735">
        <f t="shared" si="82"/>
        <v>60.682533163218089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38">
        <v>43291</v>
      </c>
      <c r="AP205" s="13">
        <f t="shared" si="83"/>
        <v>9</v>
      </c>
      <c r="AQ205" s="13">
        <f t="shared" si="84"/>
        <v>8</v>
      </c>
      <c r="AR205" s="173">
        <f t="shared" si="85"/>
        <v>43304</v>
      </c>
      <c r="AS205" s="742">
        <f t="shared" si="86"/>
        <v>0.4642857142857143</v>
      </c>
      <c r="AT205" s="758">
        <f t="shared" si="87"/>
        <v>60.723219604238082</v>
      </c>
      <c r="AU205" s="13">
        <f t="shared" si="88"/>
        <v>9</v>
      </c>
      <c r="AV205" s="13">
        <f t="shared" si="89"/>
        <v>8</v>
      </c>
      <c r="AW205" s="173">
        <f t="shared" si="90"/>
        <v>43318</v>
      </c>
      <c r="AX205" s="742">
        <f t="shared" si="91"/>
        <v>0.9642857142857143</v>
      </c>
      <c r="AY205" s="758">
        <f t="shared" si="92"/>
        <v>60.685925382389016</v>
      </c>
      <c r="AZ205" s="735">
        <f t="shared" si="96"/>
        <v>60.704572493313549</v>
      </c>
      <c r="BA205" s="633">
        <f t="shared" si="93"/>
        <v>0.99398895981519908</v>
      </c>
      <c r="BC205" s="11">
        <v>43291</v>
      </c>
      <c r="BD205" s="289">
        <f>[2]!FeuilCaduc*(1-Persistant)+Persistant</f>
        <v>0.99000449616144037</v>
      </c>
      <c r="BE205" s="290">
        <f>[2]!CroissVégét</f>
        <v>0.77426389460057909</v>
      </c>
      <c r="BF205" s="804">
        <f>1+[2]!Salcycl*Ksac</f>
        <v>1.049000449616144</v>
      </c>
      <c r="BH205" s="1036">
        <f t="shared" si="94"/>
        <v>1.518127817392559E-3</v>
      </c>
      <c r="BI205" s="11">
        <v>44387</v>
      </c>
      <c r="BJ205" s="715">
        <v>1.5181278173925588E-3</v>
      </c>
      <c r="BK205" s="715">
        <v>1.518127817392559E-3</v>
      </c>
      <c r="BL205" s="715">
        <v>1.518127817392559E-3</v>
      </c>
      <c r="BM205" s="715">
        <v>1.518127817392559E-3</v>
      </c>
      <c r="BN205" s="715">
        <v>1.518127817392559E-3</v>
      </c>
      <c r="BO205" s="716">
        <v>1.518127817392559E-3</v>
      </c>
      <c r="BP205" s="715">
        <v>1.518127817392559E-3</v>
      </c>
      <c r="BQ205" s="715">
        <v>1.518127817392559E-3</v>
      </c>
      <c r="BR205" s="715">
        <v>1.518127817392559E-3</v>
      </c>
      <c r="BS205" s="715">
        <v>1.518127817392559E-3</v>
      </c>
      <c r="BT205" s="715">
        <v>1.5181278173925588E-3</v>
      </c>
      <c r="BW205" s="1188">
        <f>'2019'!R\Max</f>
        <v>0.94082763622316989</v>
      </c>
      <c r="BX205" s="1188">
        <f>'2020'!R\Max</f>
        <v>0.93711156254068295</v>
      </c>
      <c r="BY205" s="1188">
        <f>'2021'!R\Max</f>
        <v>0.90808487892348033</v>
      </c>
      <c r="BZ205" s="1188">
        <f>'2022'!R\Max</f>
        <v>0.99398895981519897</v>
      </c>
      <c r="CA205" s="1188">
        <f>'2023'!R\Max</f>
        <v>0.99398895981519908</v>
      </c>
      <c r="CB205" s="1188">
        <f>'2024'!R\Max</f>
        <v>0.99398895981519886</v>
      </c>
      <c r="CC205" s="1188">
        <f>'2025'!R\Max</f>
        <v>0.99398895981519897</v>
      </c>
      <c r="CD205" s="1188">
        <f>'2026'!R\Max</f>
        <v>0.99398895981519908</v>
      </c>
      <c r="CE205" s="1189">
        <f>'2027'!R\Max</f>
        <v>0.99398895981519897</v>
      </c>
      <c r="CF205" s="1191">
        <f>'2028'!R\Max</f>
        <v>0.99398895981519897</v>
      </c>
    </row>
    <row r="206" spans="1:84" s="6" customFormat="1" ht="11.25" x14ac:dyDescent="0.2">
      <c r="A206" s="11">
        <v>43292</v>
      </c>
      <c r="B206" s="379">
        <f>'2023'!Maxi_hp</f>
        <v>60.058702365360794</v>
      </c>
      <c r="C206" s="13">
        <f>'2023'!An_max</f>
        <v>2018</v>
      </c>
      <c r="D206" s="1045">
        <f t="shared" si="78"/>
        <v>0.99123844357917656</v>
      </c>
      <c r="E206" s="13"/>
      <c r="F206" s="13">
        <f t="shared" si="95"/>
        <v>15</v>
      </c>
      <c r="G206" s="13">
        <f t="shared" si="79"/>
        <v>16</v>
      </c>
      <c r="H206" s="173">
        <f t="shared" si="80"/>
        <v>43290</v>
      </c>
      <c r="I206" s="742">
        <f t="shared" si="81"/>
        <v>0.14285714285714285</v>
      </c>
      <c r="J206" s="735">
        <f t="shared" si="82"/>
        <v>60.589561224542557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38">
        <v>43292</v>
      </c>
      <c r="AP206" s="13">
        <f t="shared" si="83"/>
        <v>9</v>
      </c>
      <c r="AQ206" s="13">
        <f t="shared" si="84"/>
        <v>8</v>
      </c>
      <c r="AR206" s="173">
        <f t="shared" si="85"/>
        <v>43304</v>
      </c>
      <c r="AS206" s="742">
        <f t="shared" si="86"/>
        <v>0.42857142857142855</v>
      </c>
      <c r="AT206" s="758">
        <f t="shared" si="87"/>
        <v>60.627467930130663</v>
      </c>
      <c r="AU206" s="13">
        <f t="shared" si="88"/>
        <v>9</v>
      </c>
      <c r="AV206" s="13">
        <f t="shared" si="89"/>
        <v>8</v>
      </c>
      <c r="AW206" s="173">
        <f t="shared" si="90"/>
        <v>43318</v>
      </c>
      <c r="AX206" s="742">
        <f t="shared" si="91"/>
        <v>0.9285714285714286</v>
      </c>
      <c r="AY206" s="758">
        <f t="shared" si="92"/>
        <v>60.596094387610037</v>
      </c>
      <c r="AZ206" s="735">
        <f t="shared" si="96"/>
        <v>60.61178115887035</v>
      </c>
      <c r="BA206" s="633">
        <f t="shared" si="93"/>
        <v>0.99123844357917656</v>
      </c>
      <c r="BC206" s="11">
        <v>43292</v>
      </c>
      <c r="BD206" s="289">
        <f>[2]!FeuilCaduc*(1-Persistant)+Persistant</f>
        <v>0.99128310690055033</v>
      </c>
      <c r="BE206" s="290">
        <f>[2]!CroissVégét</f>
        <v>0.78137649671730769</v>
      </c>
      <c r="BF206" s="804">
        <f>1+[2]!Salcycl*Ksac</f>
        <v>1.0491283106900551</v>
      </c>
      <c r="BH206" s="1036">
        <f t="shared" si="94"/>
        <v>1.5339311982614278E-3</v>
      </c>
      <c r="BI206" s="11">
        <v>44388</v>
      </c>
      <c r="BJ206" s="715">
        <v>1.5339311982614278E-3</v>
      </c>
      <c r="BK206" s="715">
        <v>1.5339311982614278E-3</v>
      </c>
      <c r="BL206" s="715">
        <v>1.5339311982614278E-3</v>
      </c>
      <c r="BM206" s="715">
        <v>1.5339311982614278E-3</v>
      </c>
      <c r="BN206" s="715">
        <v>1.5339311982614278E-3</v>
      </c>
      <c r="BO206" s="716">
        <v>1.5339311982614278E-3</v>
      </c>
      <c r="BP206" s="715">
        <v>1.5339311982614278E-3</v>
      </c>
      <c r="BQ206" s="715">
        <v>1.5339311982614278E-3</v>
      </c>
      <c r="BR206" s="715">
        <v>1.5339311982614278E-3</v>
      </c>
      <c r="BS206" s="715">
        <v>1.5339311982614278E-3</v>
      </c>
      <c r="BT206" s="715">
        <v>1.5339311982614278E-3</v>
      </c>
      <c r="BW206" s="1188">
        <f>'2019'!R\Max</f>
        <v>0.99123844357917656</v>
      </c>
      <c r="BX206" s="1188">
        <f>'2020'!R\Max</f>
        <v>0.81851074233374377</v>
      </c>
      <c r="BY206" s="1188">
        <f>'2021'!R\Max</f>
        <v>0.92339415337374364</v>
      </c>
      <c r="BZ206" s="1188">
        <f>'2022'!R\Max</f>
        <v>0.97846449096408616</v>
      </c>
      <c r="CA206" s="1188">
        <f>'2023'!R\Max</f>
        <v>0.97846449096408616</v>
      </c>
      <c r="CB206" s="1188">
        <f>'2024'!R\Max</f>
        <v>0.97846449096408616</v>
      </c>
      <c r="CC206" s="1188">
        <f>'2025'!R\Max</f>
        <v>0.97846449096408605</v>
      </c>
      <c r="CD206" s="1188">
        <f>'2026'!R\Max</f>
        <v>0.97846449096408605</v>
      </c>
      <c r="CE206" s="1189">
        <f>'2027'!R\Max</f>
        <v>0.97846449096408616</v>
      </c>
      <c r="CF206" s="1191">
        <f>'2028'!R\Max</f>
        <v>0.97846449096408616</v>
      </c>
    </row>
    <row r="207" spans="1:84" s="6" customFormat="1" ht="11.25" x14ac:dyDescent="0.2">
      <c r="A207" s="11">
        <v>43293</v>
      </c>
      <c r="B207" s="379">
        <f>'2023'!Maxi_hp</f>
        <v>60.040514635762435</v>
      </c>
      <c r="C207" s="13">
        <f>'2023'!An_max</f>
        <v>2018</v>
      </c>
      <c r="D207" s="1045">
        <f t="shared" ref="D207:D270" si="97">IF($BA207&gt;$D$11,BA207,"")</f>
        <v>0.99247764024295004</v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73">
        <f t="shared" ref="H207:H270" si="99">INDEX(x.2m,F207)</f>
        <v>43290</v>
      </c>
      <c r="I207" s="742">
        <f t="shared" ref="I207:I270" si="100">($A207-H207)/(INDEX(x.2m,G207)-H207)</f>
        <v>0.21428571428571427</v>
      </c>
      <c r="J207" s="735">
        <f t="shared" ref="J207:J270" si="101">((1-I207)*(INDEX(a.m,F207)*$A207*$A207+INDEX(b.m,F207)*$A207+INDEX(c.m,F207))+I207*(INDEX(a.m,G207)*$A207*$A207+INDEX(b.m,G207)*$A207+INDEX(c.m,G207)))/10</f>
        <v>60.495584183705169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38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3">
        <f t="shared" ref="AR207:AR270" si="104">INDEX(x.2lg,AP207)</f>
        <v>43304</v>
      </c>
      <c r="AS207" s="742">
        <f t="shared" ref="AS207:AS270" si="105">($A207-AR207)/(INDEX(x.2lg,AQ207)-AR207)</f>
        <v>0.39285714285714285</v>
      </c>
      <c r="AT207" s="758">
        <f t="shared" ref="AT207:AT270" si="106">((1-AS207)*(INDEX(a.lg,AP207)*$A207*$A207+INDEX(b.lg,AP207)*$A207+INDEX(c.lg,AP207))+AS207*(INDEX(a.lg,AQ207)*$A207*$A207+INDEX(b.lg,AQ207)*$A207+INDEX(c.lg,AQ207)))/10</f>
        <v>60.530406033626903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3">
        <f t="shared" ref="AW207:AW270" si="109">INDEX(x.2ld,AU207)</f>
        <v>43318</v>
      </c>
      <c r="AX207" s="742">
        <f t="shared" ref="AX207:AX270" si="110">($A207-AW207)/(INDEX(x.2ld,AV207)-AW207)</f>
        <v>0.8928571428571429</v>
      </c>
      <c r="AY207" s="758">
        <f t="shared" ref="AY207:AY270" si="111">((1-AX207)*(INDEX(a.ld,AU207)*$A207*$A207+INDEX(b.ld,AU207)*$A207+INDEX(c.ld,AU207))+AX207*(INDEX(a.ld,AV207)*$A207*$A207+INDEX(b.ld,AV207)*$A207+INDEX(c.ld,AV207)))/10</f>
        <v>60.505007015168665</v>
      </c>
      <c r="AZ207" s="735">
        <f t="shared" si="96"/>
        <v>60.517706524397781</v>
      </c>
      <c r="BA207" s="633">
        <f t="shared" ref="BA207:BA270" si="112">+B207/J207</f>
        <v>0.99247764024295004</v>
      </c>
      <c r="BC207" s="11">
        <v>43293</v>
      </c>
      <c r="BD207" s="289">
        <f>[2]!FeuilCaduc*(1-Persistant)+Persistant</f>
        <v>0.9924481675313197</v>
      </c>
      <c r="BE207" s="290">
        <f>[2]!CroissVégét</f>
        <v>0.78832648381074411</v>
      </c>
      <c r="BF207" s="804">
        <f>1+[2]!Salcycl*Ksac</f>
        <v>1.0492448167531321</v>
      </c>
      <c r="BH207" s="1036">
        <f t="shared" ref="BH207:BH270" si="113">INDEX($BJ207:$BT207,,$BH$10)*(1-Ratini)+INDEX($BJ207:$BT207,,$BH$10+1)*Ratini</f>
        <v>1.5516105704738751E-3</v>
      </c>
      <c r="BI207" s="11">
        <v>44389</v>
      </c>
      <c r="BJ207" s="715">
        <v>1.5516105704738751E-3</v>
      </c>
      <c r="BK207" s="715">
        <v>1.5516105704738751E-3</v>
      </c>
      <c r="BL207" s="715">
        <v>1.5516105704738751E-3</v>
      </c>
      <c r="BM207" s="715">
        <v>1.5516105704738751E-3</v>
      </c>
      <c r="BN207" s="715">
        <v>1.5516105704738751E-3</v>
      </c>
      <c r="BO207" s="716">
        <v>1.5516105704738751E-3</v>
      </c>
      <c r="BP207" s="715">
        <v>1.5516105704738751E-3</v>
      </c>
      <c r="BQ207" s="715">
        <v>1.5516105704738751E-3</v>
      </c>
      <c r="BR207" s="715">
        <v>1.5516105704738751E-3</v>
      </c>
      <c r="BS207" s="715">
        <v>1.5516105704738751E-3</v>
      </c>
      <c r="BT207" s="715">
        <v>1.5516105704738751E-3</v>
      </c>
      <c r="BW207" s="1188">
        <f>'2019'!R\Max</f>
        <v>0.99247764024295004</v>
      </c>
      <c r="BX207" s="1188">
        <f>'2020'!R\Max</f>
        <v>0.73919818715794761</v>
      </c>
      <c r="BY207" s="1188">
        <f>'2021'!R\Max</f>
        <v>0.22659789113719903</v>
      </c>
      <c r="BZ207" s="1188">
        <f>'2022'!R\Max</f>
        <v>0.97296595427046184</v>
      </c>
      <c r="CA207" s="1188">
        <f>'2023'!R\Max</f>
        <v>0.97296595427046184</v>
      </c>
      <c r="CB207" s="1188">
        <f>'2024'!R\Max</f>
        <v>0.97296595427046195</v>
      </c>
      <c r="CC207" s="1188">
        <f>'2025'!R\Max</f>
        <v>0.97296595427046195</v>
      </c>
      <c r="CD207" s="1188">
        <f>'2026'!R\Max</f>
        <v>0.97296595427046195</v>
      </c>
      <c r="CE207" s="1189">
        <f>'2027'!R\Max</f>
        <v>0.97296595427046195</v>
      </c>
      <c r="CF207" s="1191">
        <f>'2028'!R\Max</f>
        <v>0.97296595427046195</v>
      </c>
    </row>
    <row r="208" spans="1:84" s="6" customFormat="1" ht="11.25" x14ac:dyDescent="0.2">
      <c r="A208" s="11">
        <v>43294</v>
      </c>
      <c r="B208" s="379">
        <f>'2023'!Maxi_hp</f>
        <v>58.31890790849031</v>
      </c>
      <c r="C208" s="13">
        <f>'2023'!An_max</f>
        <v>2023</v>
      </c>
      <c r="D208" s="1045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73">
        <f t="shared" si="99"/>
        <v>43290</v>
      </c>
      <c r="I208" s="742">
        <f t="shared" si="100"/>
        <v>0.2857142857142857</v>
      </c>
      <c r="J208" s="735">
        <f t="shared" si="101"/>
        <v>60.400602040892203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38">
        <v>43294</v>
      </c>
      <c r="AP208" s="13">
        <f t="shared" si="102"/>
        <v>9</v>
      </c>
      <c r="AQ208" s="13">
        <f t="shared" si="103"/>
        <v>8</v>
      </c>
      <c r="AR208" s="173">
        <f t="shared" si="104"/>
        <v>43304</v>
      </c>
      <c r="AS208" s="742">
        <f t="shared" si="105"/>
        <v>0.35714285714285715</v>
      </c>
      <c r="AT208" s="758">
        <f t="shared" si="106"/>
        <v>60.432101220877044</v>
      </c>
      <c r="AU208" s="13">
        <f t="shared" si="107"/>
        <v>9</v>
      </c>
      <c r="AV208" s="13">
        <f t="shared" si="108"/>
        <v>8</v>
      </c>
      <c r="AW208" s="173">
        <f t="shared" si="109"/>
        <v>43318</v>
      </c>
      <c r="AX208" s="742">
        <f t="shared" si="110"/>
        <v>0.8571428571428571</v>
      </c>
      <c r="AY208" s="758">
        <f t="shared" si="111"/>
        <v>60.412663265291066</v>
      </c>
      <c r="AZ208" s="735">
        <f t="shared" ref="AZ208:AZ271" si="115">(AY208+AT208)/2</f>
        <v>60.422382243084058</v>
      </c>
      <c r="BA208" s="633">
        <f t="shared" si="112"/>
        <v>0.96553520888761091</v>
      </c>
      <c r="BC208" s="11">
        <v>43294</v>
      </c>
      <c r="BD208" s="289">
        <f>[2]!FeuilCaduc*(1-Persistant)+Persistant</f>
        <v>0.99350505644163523</v>
      </c>
      <c r="BE208" s="290">
        <f>[2]!CroissVégét</f>
        <v>0.79511370224543498</v>
      </c>
      <c r="BF208" s="804">
        <f>1+[2]!Salcycl*Ksac</f>
        <v>1.0493505056441634</v>
      </c>
      <c r="BH208" s="1036">
        <f t="shared" si="113"/>
        <v>1.5711651092595606E-3</v>
      </c>
      <c r="BI208" s="11">
        <v>44390</v>
      </c>
      <c r="BJ208" s="715">
        <v>1.5711651092595604E-3</v>
      </c>
      <c r="BK208" s="715">
        <v>1.5711651092595606E-3</v>
      </c>
      <c r="BL208" s="715">
        <v>1.5711651092595606E-3</v>
      </c>
      <c r="BM208" s="715">
        <v>1.5711651092595606E-3</v>
      </c>
      <c r="BN208" s="715">
        <v>1.5711651092595606E-3</v>
      </c>
      <c r="BO208" s="716">
        <v>1.5711651092595606E-3</v>
      </c>
      <c r="BP208" s="715">
        <v>1.5711651092595606E-3</v>
      </c>
      <c r="BQ208" s="715">
        <v>1.5711651092595606E-3</v>
      </c>
      <c r="BR208" s="715">
        <v>1.5711651092595606E-3</v>
      </c>
      <c r="BS208" s="715">
        <v>1.5711651092595606E-3</v>
      </c>
      <c r="BT208" s="715">
        <v>1.5711651092595604E-3</v>
      </c>
      <c r="BW208" s="1188">
        <f>'2019'!R\Max</f>
        <v>0.88404097595797715</v>
      </c>
      <c r="BX208" s="1188">
        <f>'2020'!R\Max</f>
        <v>0.72410287315947774</v>
      </c>
      <c r="BY208" s="1188">
        <f>'2021'!R\Max</f>
        <v>0.40909954091436879</v>
      </c>
      <c r="BZ208" s="1188">
        <f>'2022'!R\Max</f>
        <v>0.96553520888761091</v>
      </c>
      <c r="CA208" s="1188">
        <f>'2023'!R\Max</f>
        <v>0.96553520888761091</v>
      </c>
      <c r="CB208" s="1188">
        <f>'2024'!R\Max</f>
        <v>0.9655352088876108</v>
      </c>
      <c r="CC208" s="1188">
        <f>'2025'!R\Max</f>
        <v>0.9655352088876108</v>
      </c>
      <c r="CD208" s="1188">
        <f>'2026'!R\Max</f>
        <v>0.96553520888761091</v>
      </c>
      <c r="CE208" s="1189">
        <f>'2027'!R\Max</f>
        <v>0.96553520888761091</v>
      </c>
      <c r="CF208" s="1191">
        <f>'2028'!R\Max</f>
        <v>0.96553520888761091</v>
      </c>
    </row>
    <row r="209" spans="1:84" s="6" customFormat="1" ht="11.25" x14ac:dyDescent="0.2">
      <c r="A209" s="11">
        <v>43295</v>
      </c>
      <c r="B209" s="379">
        <f>'2023'!Maxi_hp</f>
        <v>60.412493272450547</v>
      </c>
      <c r="C209" s="13">
        <f>'2023'!An_max</f>
        <v>2018</v>
      </c>
      <c r="D209" s="1045">
        <f t="shared" si="97"/>
        <v>1.0017888925554306</v>
      </c>
      <c r="E209" s="13"/>
      <c r="F209" s="13">
        <f t="shared" si="114"/>
        <v>15</v>
      </c>
      <c r="G209" s="13">
        <f t="shared" si="98"/>
        <v>16</v>
      </c>
      <c r="H209" s="173">
        <f t="shared" si="99"/>
        <v>43290</v>
      </c>
      <c r="I209" s="742">
        <f t="shared" si="100"/>
        <v>0.35714285714285715</v>
      </c>
      <c r="J209" s="735">
        <f t="shared" si="101"/>
        <v>60.304614795983902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38">
        <v>43295</v>
      </c>
      <c r="AP209" s="13">
        <f t="shared" si="102"/>
        <v>9</v>
      </c>
      <c r="AQ209" s="13">
        <f t="shared" si="103"/>
        <v>8</v>
      </c>
      <c r="AR209" s="173">
        <f t="shared" si="104"/>
        <v>43304</v>
      </c>
      <c r="AS209" s="742">
        <f t="shared" si="105"/>
        <v>0.32142857142857145</v>
      </c>
      <c r="AT209" s="758">
        <f t="shared" si="106"/>
        <v>60.332620797525827</v>
      </c>
      <c r="AU209" s="13">
        <f t="shared" si="107"/>
        <v>9</v>
      </c>
      <c r="AV209" s="13">
        <f t="shared" si="108"/>
        <v>8</v>
      </c>
      <c r="AW209" s="173">
        <f t="shared" si="109"/>
        <v>43318</v>
      </c>
      <c r="AX209" s="742">
        <f t="shared" si="110"/>
        <v>0.8214285714285714</v>
      </c>
      <c r="AY209" s="758">
        <f t="shared" si="111"/>
        <v>60.319063137810943</v>
      </c>
      <c r="AZ209" s="735">
        <f t="shared" si="115"/>
        <v>60.325841967668381</v>
      </c>
      <c r="BA209" s="633">
        <f t="shared" si="112"/>
        <v>1.0017888925554306</v>
      </c>
      <c r="BC209" s="11">
        <v>43295</v>
      </c>
      <c r="BD209" s="289">
        <f>[2]!FeuilCaduc*(1-Persistant)+Persistant</f>
        <v>0.99445915586584843</v>
      </c>
      <c r="BE209" s="290">
        <f>[2]!CroissVégét</f>
        <v>0.80173827384170082</v>
      </c>
      <c r="BF209" s="804">
        <f>1+[2]!Salcycl*Ksac</f>
        <v>1.0494459155865847</v>
      </c>
      <c r="BH209" s="1036">
        <f t="shared" si="113"/>
        <v>1.5925941585806845E-3</v>
      </c>
      <c r="BI209" s="11">
        <v>44391</v>
      </c>
      <c r="BJ209" s="715">
        <v>1.5925941585806847E-3</v>
      </c>
      <c r="BK209" s="715">
        <v>1.5925941585806845E-3</v>
      </c>
      <c r="BL209" s="715">
        <v>1.5925941585806845E-3</v>
      </c>
      <c r="BM209" s="715">
        <v>1.5925941585806845E-3</v>
      </c>
      <c r="BN209" s="715">
        <v>1.5925941585806845E-3</v>
      </c>
      <c r="BO209" s="716">
        <v>1.5925941585806845E-3</v>
      </c>
      <c r="BP209" s="715">
        <v>1.5925941585806845E-3</v>
      </c>
      <c r="BQ209" s="715">
        <v>1.5925941585806845E-3</v>
      </c>
      <c r="BR209" s="715">
        <v>1.5925941585806845E-3</v>
      </c>
      <c r="BS209" s="715">
        <v>1.5925941585806845E-3</v>
      </c>
      <c r="BT209" s="715">
        <v>1.5925941585806847E-3</v>
      </c>
      <c r="BW209" s="1188">
        <f>'2019'!R\Max</f>
        <v>1.0017888925554306</v>
      </c>
      <c r="BX209" s="1188">
        <f>'2020'!R\Max</f>
        <v>0.97752637898610084</v>
      </c>
      <c r="BY209" s="1188">
        <f>'2021'!R\Max</f>
        <v>0.45954666484841317</v>
      </c>
      <c r="BZ209" s="1188">
        <f>'2022'!R\Max</f>
        <v>0.96158088096967798</v>
      </c>
      <c r="CA209" s="1188">
        <f>'2023'!R\Max</f>
        <v>0.96158088096967798</v>
      </c>
      <c r="CB209" s="1188">
        <f>'2024'!R\Max</f>
        <v>0.96158088096967798</v>
      </c>
      <c r="CC209" s="1188">
        <f>'2025'!R\Max</f>
        <v>0.96158088096967786</v>
      </c>
      <c r="CD209" s="1188">
        <f>'2026'!R\Max</f>
        <v>0.96158088096967798</v>
      </c>
      <c r="CE209" s="1189">
        <f>'2027'!R\Max</f>
        <v>0.96158088096967798</v>
      </c>
      <c r="CF209" s="1191">
        <f>'2028'!R\Max</f>
        <v>0.96158088096967798</v>
      </c>
    </row>
    <row r="210" spans="1:84" s="6" customFormat="1" ht="11.25" x14ac:dyDescent="0.2">
      <c r="A210" s="11">
        <v>43296</v>
      </c>
      <c r="B210" s="379">
        <f>'2023'!Maxi_hp</f>
        <v>62.029169256698459</v>
      </c>
      <c r="C210" s="13">
        <f>'2023'!An_max</f>
        <v>2018</v>
      </c>
      <c r="D210" s="1045">
        <f t="shared" si="97"/>
        <v>1.0302544218456717</v>
      </c>
      <c r="E210" s="13"/>
      <c r="F210" s="13">
        <f t="shared" si="114"/>
        <v>15</v>
      </c>
      <c r="G210" s="13">
        <f t="shared" si="98"/>
        <v>16</v>
      </c>
      <c r="H210" s="173">
        <f t="shared" si="99"/>
        <v>43290</v>
      </c>
      <c r="I210" s="742">
        <f t="shared" si="100"/>
        <v>0.42857142857142855</v>
      </c>
      <c r="J210" s="735">
        <f t="shared" si="101"/>
        <v>60.207622448807307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38">
        <v>43296</v>
      </c>
      <c r="AP210" s="13">
        <f t="shared" si="102"/>
        <v>9</v>
      </c>
      <c r="AQ210" s="13">
        <f t="shared" si="103"/>
        <v>8</v>
      </c>
      <c r="AR210" s="173">
        <f t="shared" si="104"/>
        <v>43304</v>
      </c>
      <c r="AS210" s="742">
        <f t="shared" si="105"/>
        <v>0.2857142857142857</v>
      </c>
      <c r="AT210" s="758">
        <f t="shared" si="106"/>
        <v>60.232032070069444</v>
      </c>
      <c r="AU210" s="13">
        <f t="shared" si="107"/>
        <v>9</v>
      </c>
      <c r="AV210" s="13">
        <f t="shared" si="108"/>
        <v>8</v>
      </c>
      <c r="AW210" s="173">
        <f t="shared" si="109"/>
        <v>43318</v>
      </c>
      <c r="AX210" s="742">
        <f t="shared" si="110"/>
        <v>0.7857142857142857</v>
      </c>
      <c r="AY210" s="758">
        <f t="shared" si="111"/>
        <v>60.224206632708331</v>
      </c>
      <c r="AZ210" s="735">
        <f t="shared" si="115"/>
        <v>60.228119351388884</v>
      </c>
      <c r="BA210" s="633">
        <f t="shared" si="112"/>
        <v>1.0302544218456717</v>
      </c>
      <c r="BC210" s="11">
        <v>43296</v>
      </c>
      <c r="BD210" s="289">
        <f>[2]!FeuilCaduc*(1-Persistant)+Persistant</f>
        <v>0.99531582230751603</v>
      </c>
      <c r="BE210" s="290">
        <f>[2]!CroissVégét</f>
        <v>0.80820058265200556</v>
      </c>
      <c r="BF210" s="804">
        <f>1+[2]!Salcycl*Ksac</f>
        <v>1.0495315822307516</v>
      </c>
      <c r="BH210" s="1036">
        <f t="shared" si="113"/>
        <v>1.6158972422444893E-3</v>
      </c>
      <c r="BI210" s="11">
        <v>44392</v>
      </c>
      <c r="BJ210" s="715">
        <v>1.6158972422444893E-3</v>
      </c>
      <c r="BK210" s="715">
        <v>1.6158972422444893E-3</v>
      </c>
      <c r="BL210" s="715">
        <v>1.6158972422444893E-3</v>
      </c>
      <c r="BM210" s="715">
        <v>1.6158972422444893E-3</v>
      </c>
      <c r="BN210" s="715">
        <v>1.6158972422444893E-3</v>
      </c>
      <c r="BO210" s="716">
        <v>1.6158972422444893E-3</v>
      </c>
      <c r="BP210" s="715">
        <v>1.6158972422444893E-3</v>
      </c>
      <c r="BQ210" s="715">
        <v>1.6158972422444893E-3</v>
      </c>
      <c r="BR210" s="715">
        <v>1.6158972422444893E-3</v>
      </c>
      <c r="BS210" s="715">
        <v>1.6158972422444893E-3</v>
      </c>
      <c r="BT210" s="715">
        <v>1.6158972422444893E-3</v>
      </c>
      <c r="BW210" s="1188">
        <f>'2019'!R\Max</f>
        <v>1.0302544218456717</v>
      </c>
      <c r="BX210" s="1188">
        <f>'2020'!R\Max</f>
        <v>0.79375445142311896</v>
      </c>
      <c r="BY210" s="1188">
        <f>'2021'!R\Max</f>
        <v>0.56207658461961019</v>
      </c>
      <c r="BZ210" s="1188">
        <f>'2022'!R\Max</f>
        <v>0.92397148011035024</v>
      </c>
      <c r="CA210" s="1188">
        <f>'2023'!R\Max</f>
        <v>0.92397148011035013</v>
      </c>
      <c r="CB210" s="1188">
        <f>'2024'!R\Max</f>
        <v>0.92397148011035013</v>
      </c>
      <c r="CC210" s="1188">
        <f>'2025'!R\Max</f>
        <v>0.92397148011035013</v>
      </c>
      <c r="CD210" s="1188">
        <f>'2026'!R\Max</f>
        <v>0.92397148011035013</v>
      </c>
      <c r="CE210" s="1189">
        <f>'2027'!R\Max</f>
        <v>0.92397148011035002</v>
      </c>
      <c r="CF210" s="1191">
        <f>'2028'!R\Max</f>
        <v>0.92397148011035002</v>
      </c>
    </row>
    <row r="211" spans="1:84" s="6" customFormat="1" ht="11.25" x14ac:dyDescent="0.2">
      <c r="A211" s="11">
        <v>43297</v>
      </c>
      <c r="B211" s="379">
        <f>'2023'!Maxi_hp</f>
        <v>60.446549664611396</v>
      </c>
      <c r="C211" s="13">
        <f>'2023'!An_max</f>
        <v>2018</v>
      </c>
      <c r="D211" s="1045">
        <f t="shared" si="97"/>
        <v>1.005605169965107</v>
      </c>
      <c r="E211" s="13"/>
      <c r="F211" s="13">
        <f t="shared" si="114"/>
        <v>15</v>
      </c>
      <c r="G211" s="13">
        <f t="shared" si="98"/>
        <v>16</v>
      </c>
      <c r="H211" s="173">
        <f t="shared" si="99"/>
        <v>43290</v>
      </c>
      <c r="I211" s="742">
        <f t="shared" si="100"/>
        <v>0.5</v>
      </c>
      <c r="J211" s="735">
        <f t="shared" si="101"/>
        <v>60.109624999947847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38">
        <v>43297</v>
      </c>
      <c r="AP211" s="13">
        <f t="shared" si="102"/>
        <v>9</v>
      </c>
      <c r="AQ211" s="13">
        <f t="shared" si="103"/>
        <v>8</v>
      </c>
      <c r="AR211" s="173">
        <f t="shared" si="104"/>
        <v>43304</v>
      </c>
      <c r="AS211" s="742">
        <f t="shared" si="105"/>
        <v>0.25</v>
      </c>
      <c r="AT211" s="758">
        <f t="shared" si="106"/>
        <v>60.13040234381333</v>
      </c>
      <c r="AU211" s="13">
        <f t="shared" si="107"/>
        <v>9</v>
      </c>
      <c r="AV211" s="13">
        <f t="shared" si="108"/>
        <v>8</v>
      </c>
      <c r="AW211" s="173">
        <f t="shared" si="109"/>
        <v>43318</v>
      </c>
      <c r="AX211" s="742">
        <f t="shared" si="110"/>
        <v>0.75</v>
      </c>
      <c r="AY211" s="758">
        <f t="shared" si="111"/>
        <v>60.128093750169498</v>
      </c>
      <c r="AZ211" s="735">
        <f t="shared" si="115"/>
        <v>60.129248046991414</v>
      </c>
      <c r="BA211" s="633">
        <f t="shared" si="112"/>
        <v>1.005605169965107</v>
      </c>
      <c r="BC211" s="11">
        <v>43297</v>
      </c>
      <c r="BD211" s="289">
        <f>[2]!FeuilCaduc*(1-Persistant)+Persistant</f>
        <v>0.9960803581122053</v>
      </c>
      <c r="BE211" s="290">
        <f>[2]!CroissVégét</f>
        <v>0.81450126137468837</v>
      </c>
      <c r="BF211" s="804">
        <f>1+[2]!Salcycl*Ksac</f>
        <v>1.0496080358112205</v>
      </c>
      <c r="BH211" s="1036">
        <f t="shared" si="113"/>
        <v>1.6410740749555532E-3</v>
      </c>
      <c r="BI211" s="11">
        <v>44393</v>
      </c>
      <c r="BJ211" s="715">
        <v>1.6410740749555532E-3</v>
      </c>
      <c r="BK211" s="715">
        <v>1.6410740749555532E-3</v>
      </c>
      <c r="BL211" s="715">
        <v>1.6410740749555532E-3</v>
      </c>
      <c r="BM211" s="715">
        <v>1.6410740749555532E-3</v>
      </c>
      <c r="BN211" s="715">
        <v>1.6410740749555532E-3</v>
      </c>
      <c r="BO211" s="716">
        <v>1.6410740749555532E-3</v>
      </c>
      <c r="BP211" s="715">
        <v>1.6410740749555532E-3</v>
      </c>
      <c r="BQ211" s="715">
        <v>1.6410740749555532E-3</v>
      </c>
      <c r="BR211" s="715">
        <v>1.6410740749555532E-3</v>
      </c>
      <c r="BS211" s="715">
        <v>1.6410740749555532E-3</v>
      </c>
      <c r="BT211" s="715">
        <v>1.6410740749555532E-3</v>
      </c>
      <c r="BW211" s="1188">
        <f>'2019'!R\Max</f>
        <v>1.005605169965107</v>
      </c>
      <c r="BX211" s="1188">
        <f>'2020'!R\Max</f>
        <v>0.33912324590371667</v>
      </c>
      <c r="BY211" s="1188">
        <f>'2021'!R\Max</f>
        <v>0.72302226646156298</v>
      </c>
      <c r="BZ211" s="1188">
        <f>'2022'!R\Max</f>
        <v>0.9509940773932033</v>
      </c>
      <c r="CA211" s="1188">
        <f>'2023'!R\Max</f>
        <v>0.9509940773932033</v>
      </c>
      <c r="CB211" s="1188">
        <f>'2024'!R\Max</f>
        <v>0.95099407739320352</v>
      </c>
      <c r="CC211" s="1188">
        <f>'2025'!R\Max</f>
        <v>0.95099407739320341</v>
      </c>
      <c r="CD211" s="1188">
        <f>'2026'!R\Max</f>
        <v>0.9509940773932033</v>
      </c>
      <c r="CE211" s="1189">
        <f>'2027'!R\Max</f>
        <v>0.9509940773932033</v>
      </c>
      <c r="CF211" s="1191">
        <f>'2028'!R\Max</f>
        <v>0.95099407739320352</v>
      </c>
    </row>
    <row r="212" spans="1:84" s="6" customFormat="1" ht="11.25" x14ac:dyDescent="0.2">
      <c r="A212" s="11">
        <v>43298</v>
      </c>
      <c r="B212" s="379">
        <f>'2023'!Maxi_hp</f>
        <v>60.566791048252</v>
      </c>
      <c r="C212" s="13">
        <f>'2023'!An_max</f>
        <v>2021</v>
      </c>
      <c r="D212" s="1045">
        <f t="shared" si="97"/>
        <v>1.0092678358697573</v>
      </c>
      <c r="E212" s="13"/>
      <c r="F212" s="13">
        <f t="shared" si="114"/>
        <v>15</v>
      </c>
      <c r="G212" s="13">
        <f t="shared" si="98"/>
        <v>16</v>
      </c>
      <c r="H212" s="173">
        <f t="shared" si="99"/>
        <v>43290</v>
      </c>
      <c r="I212" s="742">
        <f t="shared" si="100"/>
        <v>0.5714285714285714</v>
      </c>
      <c r="J212" s="735">
        <f t="shared" si="101"/>
        <v>60.010622448953129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38">
        <v>43298</v>
      </c>
      <c r="AP212" s="13">
        <f t="shared" si="102"/>
        <v>9</v>
      </c>
      <c r="AQ212" s="13">
        <f t="shared" si="103"/>
        <v>8</v>
      </c>
      <c r="AR212" s="173">
        <f t="shared" si="104"/>
        <v>43304</v>
      </c>
      <c r="AS212" s="742">
        <f t="shared" si="105"/>
        <v>0.21428571428571427</v>
      </c>
      <c r="AT212" s="758">
        <f t="shared" si="106"/>
        <v>60.027798925100697</v>
      </c>
      <c r="AU212" s="13">
        <f t="shared" si="107"/>
        <v>9</v>
      </c>
      <c r="AV212" s="13">
        <f t="shared" si="108"/>
        <v>8</v>
      </c>
      <c r="AW212" s="173">
        <f t="shared" si="109"/>
        <v>43318</v>
      </c>
      <c r="AX212" s="742">
        <f t="shared" si="110"/>
        <v>0.7142857142857143</v>
      </c>
      <c r="AY212" s="758">
        <f t="shared" si="111"/>
        <v>60.030724489742092</v>
      </c>
      <c r="AZ212" s="735">
        <f t="shared" si="115"/>
        <v>60.029261707421398</v>
      </c>
      <c r="BA212" s="633">
        <f t="shared" si="112"/>
        <v>1.0092678358697573</v>
      </c>
      <c r="BC212" s="11">
        <v>43298</v>
      </c>
      <c r="BD212" s="289">
        <f>[2]!FeuilCaduc*(1-Persistant)+Persistant</f>
        <v>0.9967579843720783</v>
      </c>
      <c r="BE212" s="290">
        <f>[2]!CroissVégét</f>
        <v>0.82064117750784105</v>
      </c>
      <c r="BF212" s="804">
        <f>1+[2]!Salcycl*Ksac</f>
        <v>1.0496757984372078</v>
      </c>
      <c r="BH212" s="1036">
        <f t="shared" si="113"/>
        <v>1.6651752521072408E-3</v>
      </c>
      <c r="BI212" s="11">
        <v>44394</v>
      </c>
      <c r="BJ212" s="715">
        <v>1.6651752521072405E-3</v>
      </c>
      <c r="BK212" s="715">
        <v>1.6651752521072408E-3</v>
      </c>
      <c r="BL212" s="715">
        <v>1.6651752521072408E-3</v>
      </c>
      <c r="BM212" s="715">
        <v>1.6651752521072408E-3</v>
      </c>
      <c r="BN212" s="715">
        <v>1.6651752521072408E-3</v>
      </c>
      <c r="BO212" s="716">
        <v>1.6651752521072408E-3</v>
      </c>
      <c r="BP212" s="715">
        <v>1.6651752521072408E-3</v>
      </c>
      <c r="BQ212" s="715">
        <v>1.6651752521072408E-3</v>
      </c>
      <c r="BR212" s="715">
        <v>1.6651752521072408E-3</v>
      </c>
      <c r="BS212" s="715">
        <v>1.6651752521072408E-3</v>
      </c>
      <c r="BT212" s="715">
        <v>1.6651752521072405E-3</v>
      </c>
      <c r="BW212" s="1188">
        <f>'2019'!R\Max</f>
        <v>0.89729807731508759</v>
      </c>
      <c r="BX212" s="1188">
        <f>'2020'!R\Max</f>
        <v>0.42249096347136267</v>
      </c>
      <c r="BY212" s="1188">
        <f>'2021'!R\Max</f>
        <v>1.0092678358697573</v>
      </c>
      <c r="BZ212" s="1188">
        <f>'2022'!R\Max</f>
        <v>0.95524573029177495</v>
      </c>
      <c r="CA212" s="1188">
        <f>'2023'!R\Max</f>
        <v>0.95524573029177495</v>
      </c>
      <c r="CB212" s="1188">
        <f>'2024'!R\Max</f>
        <v>0.95524573029177495</v>
      </c>
      <c r="CC212" s="1188">
        <f>'2025'!R\Max</f>
        <v>0.95524573029177495</v>
      </c>
      <c r="CD212" s="1188">
        <f>'2026'!R\Max</f>
        <v>0.95524573029177506</v>
      </c>
      <c r="CE212" s="1189">
        <f>'2027'!R\Max</f>
        <v>0.95524573029177517</v>
      </c>
      <c r="CF212" s="1191">
        <f>'2028'!R\Max</f>
        <v>0.95524573029177484</v>
      </c>
    </row>
    <row r="213" spans="1:84" s="6" customFormat="1" ht="11.25" x14ac:dyDescent="0.2">
      <c r="A213" s="11">
        <v>43299</v>
      </c>
      <c r="B213" s="379">
        <f>'2023'!Maxi_hp</f>
        <v>59.709716377353324</v>
      </c>
      <c r="C213" s="13">
        <f>'2023'!An_max</f>
        <v>2023</v>
      </c>
      <c r="D213" s="1045">
        <f t="shared" si="97"/>
        <v>0.99664669742893397</v>
      </c>
      <c r="E213" s="13"/>
      <c r="F213" s="13">
        <f t="shared" si="114"/>
        <v>15</v>
      </c>
      <c r="G213" s="13">
        <f t="shared" si="98"/>
        <v>16</v>
      </c>
      <c r="H213" s="173">
        <f t="shared" si="99"/>
        <v>43290</v>
      </c>
      <c r="I213" s="742">
        <f t="shared" si="100"/>
        <v>0.6428571428571429</v>
      </c>
      <c r="J213" s="735">
        <f t="shared" si="101"/>
        <v>59.910614795982838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38">
        <v>43299</v>
      </c>
      <c r="AP213" s="13">
        <f t="shared" si="102"/>
        <v>9</v>
      </c>
      <c r="AQ213" s="13">
        <f t="shared" si="103"/>
        <v>8</v>
      </c>
      <c r="AR213" s="173">
        <f t="shared" si="104"/>
        <v>43304</v>
      </c>
      <c r="AS213" s="742">
        <f t="shared" si="105"/>
        <v>0.17857142857142858</v>
      </c>
      <c r="AT213" s="758">
        <f t="shared" si="106"/>
        <v>59.924289119436537</v>
      </c>
      <c r="AU213" s="13">
        <f t="shared" si="107"/>
        <v>9</v>
      </c>
      <c r="AV213" s="13">
        <f t="shared" si="108"/>
        <v>8</v>
      </c>
      <c r="AW213" s="173">
        <f t="shared" si="109"/>
        <v>43318</v>
      </c>
      <c r="AX213" s="742">
        <f t="shared" si="110"/>
        <v>0.6785714285714286</v>
      </c>
      <c r="AY213" s="758">
        <f t="shared" si="111"/>
        <v>59.932098851851855</v>
      </c>
      <c r="AZ213" s="735">
        <f t="shared" si="115"/>
        <v>59.928193985644199</v>
      </c>
      <c r="BA213" s="633">
        <f t="shared" si="112"/>
        <v>0.99664669742893397</v>
      </c>
      <c r="BC213" s="11">
        <v>43299</v>
      </c>
      <c r="BD213" s="289">
        <f>[2]!FeuilCaduc*(1-Persistant)+Persistant</f>
        <v>0.99735381532902678</v>
      </c>
      <c r="BE213" s="290">
        <f>[2]!CroissVégét</f>
        <v>0.82662141934042188</v>
      </c>
      <c r="BF213" s="804">
        <f>1+[2]!Salcycl*Ksac</f>
        <v>1.0497353815329027</v>
      </c>
      <c r="BH213" s="1036">
        <f t="shared" si="113"/>
        <v>1.6871186055011456E-3</v>
      </c>
      <c r="BI213" s="11">
        <v>44395</v>
      </c>
      <c r="BJ213" s="715">
        <v>1.6871186055011456E-3</v>
      </c>
      <c r="BK213" s="715">
        <v>1.6871186055011456E-3</v>
      </c>
      <c r="BL213" s="715">
        <v>1.6871186055011456E-3</v>
      </c>
      <c r="BM213" s="715">
        <v>1.6871186055011456E-3</v>
      </c>
      <c r="BN213" s="715">
        <v>1.6871186055011456E-3</v>
      </c>
      <c r="BO213" s="716">
        <v>1.6871186055011456E-3</v>
      </c>
      <c r="BP213" s="715">
        <v>1.6871186055011456E-3</v>
      </c>
      <c r="BQ213" s="715">
        <v>1.6871186055011456E-3</v>
      </c>
      <c r="BR213" s="715">
        <v>1.6871186055011456E-3</v>
      </c>
      <c r="BS213" s="715">
        <v>1.6871186055011456E-3</v>
      </c>
      <c r="BT213" s="715">
        <v>1.6871186055011456E-3</v>
      </c>
      <c r="BW213" s="1188">
        <f>'2019'!R\Max</f>
        <v>0.60465768761498673</v>
      </c>
      <c r="BX213" s="1188">
        <f>'2020'!R\Max</f>
        <v>0.47897871445378776</v>
      </c>
      <c r="BY213" s="1188">
        <f>'2021'!R\Max</f>
        <v>0.91676480538982152</v>
      </c>
      <c r="BZ213" s="1188">
        <f>'2022'!R\Max</f>
        <v>0.99664669742893375</v>
      </c>
      <c r="CA213" s="1188">
        <f>'2023'!R\Max</f>
        <v>0.99664669742893397</v>
      </c>
      <c r="CB213" s="1188">
        <f>'2024'!R\Max</f>
        <v>0.99664669742893375</v>
      </c>
      <c r="CC213" s="1188">
        <f>'2025'!R\Max</f>
        <v>0.99664669742893386</v>
      </c>
      <c r="CD213" s="1188">
        <f>'2026'!R\Max</f>
        <v>0.99664669742893397</v>
      </c>
      <c r="CE213" s="1189">
        <f>'2027'!R\Max</f>
        <v>0.99664669742893386</v>
      </c>
      <c r="CF213" s="1191">
        <f>'2028'!R\Max</f>
        <v>0.99664669742893386</v>
      </c>
    </row>
    <row r="214" spans="1:84" s="6" customFormat="1" ht="11.25" x14ac:dyDescent="0.2">
      <c r="A214" s="11">
        <v>43300</v>
      </c>
      <c r="B214" s="379">
        <f>'2023'!Maxi_hp</f>
        <v>60.093272883435894</v>
      </c>
      <c r="C214" s="13">
        <f>'2023'!An_max</f>
        <v>2020</v>
      </c>
      <c r="D214" s="1045">
        <f t="shared" si="97"/>
        <v>1.0047428980101096</v>
      </c>
      <c r="E214" s="13"/>
      <c r="F214" s="13">
        <f t="shared" si="114"/>
        <v>15</v>
      </c>
      <c r="G214" s="13">
        <f t="shared" si="98"/>
        <v>16</v>
      </c>
      <c r="H214" s="173">
        <f t="shared" si="99"/>
        <v>43290</v>
      </c>
      <c r="I214" s="742">
        <f t="shared" si="100"/>
        <v>0.7142857142857143</v>
      </c>
      <c r="J214" s="735">
        <f t="shared" si="101"/>
        <v>59.809602040930521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38">
        <v>43300</v>
      </c>
      <c r="AP214" s="13">
        <f t="shared" si="102"/>
        <v>9</v>
      </c>
      <c r="AQ214" s="13">
        <f t="shared" si="103"/>
        <v>8</v>
      </c>
      <c r="AR214" s="173">
        <f t="shared" si="104"/>
        <v>43304</v>
      </c>
      <c r="AS214" s="742">
        <f t="shared" si="105"/>
        <v>0.14285714285714285</v>
      </c>
      <c r="AT214" s="758">
        <f t="shared" si="106"/>
        <v>59.819940233070938</v>
      </c>
      <c r="AU214" s="13">
        <f t="shared" si="107"/>
        <v>9</v>
      </c>
      <c r="AV214" s="13">
        <f t="shared" si="108"/>
        <v>8</v>
      </c>
      <c r="AW214" s="173">
        <f t="shared" si="109"/>
        <v>43318</v>
      </c>
      <c r="AX214" s="742">
        <f t="shared" si="110"/>
        <v>0.6428571428571429</v>
      </c>
      <c r="AY214" s="758">
        <f t="shared" si="111"/>
        <v>59.832216836631822</v>
      </c>
      <c r="AZ214" s="735">
        <f t="shared" si="115"/>
        <v>59.826078534851376</v>
      </c>
      <c r="BA214" s="633">
        <f t="shared" si="112"/>
        <v>1.0047428980101096</v>
      </c>
      <c r="BC214" s="11">
        <v>43300</v>
      </c>
      <c r="BD214" s="289">
        <f>[2]!FeuilCaduc*(1-Persistant)+Persistant</f>
        <v>0.99787283442676245</v>
      </c>
      <c r="BE214" s="290">
        <f>[2]!CroissVégét</f>
        <v>0.83244328187154937</v>
      </c>
      <c r="BF214" s="804">
        <f>1+[2]!Salcycl*Ksac</f>
        <v>1.0497872834426762</v>
      </c>
      <c r="BH214" s="1036">
        <f t="shared" si="113"/>
        <v>1.7069082923808242E-3</v>
      </c>
      <c r="BI214" s="11">
        <v>44396</v>
      </c>
      <c r="BJ214" s="715">
        <v>1.7069082923808242E-3</v>
      </c>
      <c r="BK214" s="715">
        <v>1.7069082923808242E-3</v>
      </c>
      <c r="BL214" s="715">
        <v>1.7069082923808242E-3</v>
      </c>
      <c r="BM214" s="715">
        <v>1.7069082923808242E-3</v>
      </c>
      <c r="BN214" s="715">
        <v>1.7069082923808242E-3</v>
      </c>
      <c r="BO214" s="716">
        <v>1.7069082923808242E-3</v>
      </c>
      <c r="BP214" s="715">
        <v>1.7069082923808242E-3</v>
      </c>
      <c r="BQ214" s="715">
        <v>1.7069082923808242E-3</v>
      </c>
      <c r="BR214" s="715">
        <v>1.7069082923808242E-3</v>
      </c>
      <c r="BS214" s="715">
        <v>1.7069082923808242E-3</v>
      </c>
      <c r="BT214" s="715">
        <v>1.7069082923808242E-3</v>
      </c>
      <c r="BW214" s="1188">
        <f>'2019'!R\Max</f>
        <v>0.98199381615281234</v>
      </c>
      <c r="BX214" s="1188">
        <f>'2020'!R\Max</f>
        <v>1.0047428980101096</v>
      </c>
      <c r="BY214" s="1188">
        <f>'2021'!R\Max</f>
        <v>0.9870910702566178</v>
      </c>
      <c r="BZ214" s="1188">
        <f>'2022'!R\Max</f>
        <v>0.78271928492841281</v>
      </c>
      <c r="CA214" s="1188">
        <f>'2023'!R\Max</f>
        <v>0.78271928492841281</v>
      </c>
      <c r="CB214" s="1188">
        <f>'2024'!R\Max</f>
        <v>0.7827192849284127</v>
      </c>
      <c r="CC214" s="1188">
        <f>'2025'!R\Max</f>
        <v>0.78271928492841281</v>
      </c>
      <c r="CD214" s="1188">
        <f>'2026'!R\Max</f>
        <v>0.78271928492841258</v>
      </c>
      <c r="CE214" s="1189">
        <f>'2027'!R\Max</f>
        <v>0.78271928492841247</v>
      </c>
      <c r="CF214" s="1191">
        <f>'2028'!R\Max</f>
        <v>0.7827192849284127</v>
      </c>
    </row>
    <row r="215" spans="1:84" s="6" customFormat="1" ht="11.25" x14ac:dyDescent="0.2">
      <c r="A215" s="11">
        <v>43301</v>
      </c>
      <c r="B215" s="379">
        <f>'2023'!Maxi_hp</f>
        <v>59.221861562396249</v>
      </c>
      <c r="C215" s="13">
        <f>'2023'!An_max</f>
        <v>2020</v>
      </c>
      <c r="D215" s="1045">
        <f t="shared" si="97"/>
        <v>0.99186497614912816</v>
      </c>
      <c r="E215" s="13"/>
      <c r="F215" s="13">
        <f t="shared" si="114"/>
        <v>15</v>
      </c>
      <c r="G215" s="13">
        <f t="shared" si="98"/>
        <v>16</v>
      </c>
      <c r="H215" s="173">
        <f t="shared" si="99"/>
        <v>43290</v>
      </c>
      <c r="I215" s="742">
        <f t="shared" si="100"/>
        <v>0.7857142857142857</v>
      </c>
      <c r="J215" s="735">
        <f t="shared" si="101"/>
        <v>59.70758418380948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38">
        <v>43301</v>
      </c>
      <c r="AP215" s="13">
        <f t="shared" si="102"/>
        <v>9</v>
      </c>
      <c r="AQ215" s="13">
        <f t="shared" si="103"/>
        <v>8</v>
      </c>
      <c r="AR215" s="173">
        <f t="shared" si="104"/>
        <v>43304</v>
      </c>
      <c r="AS215" s="742">
        <f t="shared" si="105"/>
        <v>0.10714285714285714</v>
      </c>
      <c r="AT215" s="758">
        <f t="shared" si="106"/>
        <v>59.714819572387</v>
      </c>
      <c r="AU215" s="13">
        <f t="shared" si="107"/>
        <v>9</v>
      </c>
      <c r="AV215" s="13">
        <f t="shared" si="108"/>
        <v>8</v>
      </c>
      <c r="AW215" s="173">
        <f t="shared" si="109"/>
        <v>43318</v>
      </c>
      <c r="AX215" s="742">
        <f t="shared" si="110"/>
        <v>0.6071428571428571</v>
      </c>
      <c r="AY215" s="758">
        <f t="shared" si="111"/>
        <v>59.731078443862501</v>
      </c>
      <c r="AZ215" s="735">
        <f t="shared" si="115"/>
        <v>59.72294900812475</v>
      </c>
      <c r="BA215" s="633">
        <f t="shared" si="112"/>
        <v>0.99186497614912816</v>
      </c>
      <c r="BC215" s="11">
        <v>43301</v>
      </c>
      <c r="BD215" s="289">
        <f>[2]!FeuilCaduc*(1-Persistant)+Persistant</f>
        <v>0.9983198721446559</v>
      </c>
      <c r="BE215" s="290">
        <f>[2]!CroissVégét</f>
        <v>0.83810825274241962</v>
      </c>
      <c r="BF215" s="804">
        <f>1+[2]!Salcycl*Ksac</f>
        <v>1.0498319872144657</v>
      </c>
      <c r="BH215" s="1036">
        <f t="shared" si="113"/>
        <v>1.7245483319984968E-3</v>
      </c>
      <c r="BI215" s="11">
        <v>44397</v>
      </c>
      <c r="BJ215" s="715">
        <v>1.7245483319984968E-3</v>
      </c>
      <c r="BK215" s="715">
        <v>1.7245483319984968E-3</v>
      </c>
      <c r="BL215" s="715">
        <v>1.7245483319984968E-3</v>
      </c>
      <c r="BM215" s="715">
        <v>1.7245483319984968E-3</v>
      </c>
      <c r="BN215" s="715">
        <v>1.7245483319984968E-3</v>
      </c>
      <c r="BO215" s="716">
        <v>1.7245483319984968E-3</v>
      </c>
      <c r="BP215" s="715">
        <v>1.7245483319984968E-3</v>
      </c>
      <c r="BQ215" s="715">
        <v>1.7245483319984968E-3</v>
      </c>
      <c r="BR215" s="715">
        <v>1.7245483319984968E-3</v>
      </c>
      <c r="BS215" s="715">
        <v>1.7245483319984968E-3</v>
      </c>
      <c r="BT215" s="715">
        <v>1.7245483319984968E-3</v>
      </c>
      <c r="BW215" s="1188">
        <f>'2019'!R\Max</f>
        <v>0.46456561184344858</v>
      </c>
      <c r="BX215" s="1188">
        <f>'2020'!R\Max</f>
        <v>0.99186497614912816</v>
      </c>
      <c r="BY215" s="1188">
        <f>'2021'!R\Max</f>
        <v>0.87858914070048455</v>
      </c>
      <c r="BZ215" s="1188">
        <f>'2022'!R\Max</f>
        <v>0.7859333044940946</v>
      </c>
      <c r="CA215" s="1188">
        <f>'2023'!R\Max</f>
        <v>0.7859333044940946</v>
      </c>
      <c r="CB215" s="1188">
        <f>'2024'!R\Max</f>
        <v>0.78593330449409471</v>
      </c>
      <c r="CC215" s="1188">
        <f>'2025'!R\Max</f>
        <v>0.78593330449409482</v>
      </c>
      <c r="CD215" s="1188">
        <f>'2026'!R\Max</f>
        <v>0.78593330449409482</v>
      </c>
      <c r="CE215" s="1189">
        <f>'2027'!R\Max</f>
        <v>0.78593330449409482</v>
      </c>
      <c r="CF215" s="1191">
        <f>'2028'!R\Max</f>
        <v>0.78593330449409471</v>
      </c>
    </row>
    <row r="216" spans="1:84" s="6" customFormat="1" ht="11.25" x14ac:dyDescent="0.2">
      <c r="A216" s="11">
        <v>43302</v>
      </c>
      <c r="B216" s="379">
        <f>'2023'!Maxi_hp</f>
        <v>56.773525960432131</v>
      </c>
      <c r="C216" s="13">
        <f>'2023'!An_max</f>
        <v>2023</v>
      </c>
      <c r="D216" s="1045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73">
        <f t="shared" si="99"/>
        <v>43290</v>
      </c>
      <c r="I216" s="742">
        <f t="shared" si="100"/>
        <v>0.8571428571428571</v>
      </c>
      <c r="J216" s="735">
        <f t="shared" si="101"/>
        <v>59.604561224366932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38">
        <v>43302</v>
      </c>
      <c r="AP216" s="13">
        <f t="shared" si="102"/>
        <v>9</v>
      </c>
      <c r="AQ216" s="13">
        <f t="shared" si="103"/>
        <v>8</v>
      </c>
      <c r="AR216" s="173">
        <f t="shared" si="104"/>
        <v>43304</v>
      </c>
      <c r="AS216" s="742">
        <f t="shared" si="105"/>
        <v>7.1428571428571425E-2</v>
      </c>
      <c r="AT216" s="758">
        <f t="shared" si="106"/>
        <v>59.608994442397467</v>
      </c>
      <c r="AU216" s="13">
        <f t="shared" si="107"/>
        <v>9</v>
      </c>
      <c r="AV216" s="13">
        <f t="shared" si="108"/>
        <v>8</v>
      </c>
      <c r="AW216" s="173">
        <f t="shared" si="109"/>
        <v>43318</v>
      </c>
      <c r="AX216" s="742">
        <f t="shared" si="110"/>
        <v>0.5714285714285714</v>
      </c>
      <c r="AY216" s="758">
        <f t="shared" si="111"/>
        <v>59.628683673404154</v>
      </c>
      <c r="AZ216" s="735">
        <f t="shared" si="115"/>
        <v>59.618839057900814</v>
      </c>
      <c r="BA216" s="633">
        <f t="shared" si="112"/>
        <v>0.95250304329432012</v>
      </c>
      <c r="BC216" s="11">
        <v>43302</v>
      </c>
      <c r="BD216" s="289">
        <f>[2]!FeuilCaduc*(1-Persistant)+Persistant</f>
        <v>0.99869958572743278</v>
      </c>
      <c r="BE216" s="290">
        <f>[2]!CroissVégét</f>
        <v>0.84361799825853956</v>
      </c>
      <c r="BF216" s="804">
        <f>1+[2]!Salcycl*Ksac</f>
        <v>1.0498699585727433</v>
      </c>
      <c r="BH216" s="1036">
        <f t="shared" si="113"/>
        <v>1.7400425927783416E-3</v>
      </c>
      <c r="BI216" s="11">
        <v>44398</v>
      </c>
      <c r="BJ216" s="715">
        <v>1.7400425927783416E-3</v>
      </c>
      <c r="BK216" s="715">
        <v>1.7400425927783416E-3</v>
      </c>
      <c r="BL216" s="715">
        <v>1.7400425927783416E-3</v>
      </c>
      <c r="BM216" s="715">
        <v>1.7400425927783416E-3</v>
      </c>
      <c r="BN216" s="715">
        <v>1.7400425927783416E-3</v>
      </c>
      <c r="BO216" s="716">
        <v>1.7400425927783416E-3</v>
      </c>
      <c r="BP216" s="715">
        <v>1.7400425927783416E-3</v>
      </c>
      <c r="BQ216" s="715">
        <v>1.7400425927783416E-3</v>
      </c>
      <c r="BR216" s="715">
        <v>1.7400425927783416E-3</v>
      </c>
      <c r="BS216" s="715">
        <v>1.7400425927783416E-3</v>
      </c>
      <c r="BT216" s="715">
        <v>1.7400425927783416E-3</v>
      </c>
      <c r="BW216" s="1188">
        <f>'2019'!R\Max</f>
        <v>0.76986117230148476</v>
      </c>
      <c r="BX216" s="1188">
        <f>'2020'!R\Max</f>
        <v>0.90124889032874211</v>
      </c>
      <c r="BY216" s="1188">
        <f>'2021'!R\Max</f>
        <v>0.69229102944750154</v>
      </c>
      <c r="BZ216" s="1188">
        <f>'2022'!R\Max</f>
        <v>0.95250304329432012</v>
      </c>
      <c r="CA216" s="1188">
        <f>'2023'!R\Max</f>
        <v>0.95250304329432012</v>
      </c>
      <c r="CB216" s="1188">
        <f>'2024'!R\Max</f>
        <v>0.95250304329432023</v>
      </c>
      <c r="CC216" s="1188">
        <f>'2025'!R\Max</f>
        <v>0.95250304329432023</v>
      </c>
      <c r="CD216" s="1188">
        <f>'2026'!R\Max</f>
        <v>0.95250304329432034</v>
      </c>
      <c r="CE216" s="1189">
        <f>'2027'!R\Max</f>
        <v>0.95250304329432034</v>
      </c>
      <c r="CF216" s="1191">
        <f>'2028'!R\Max</f>
        <v>0.95250304329432012</v>
      </c>
    </row>
    <row r="217" spans="1:84" s="6" customFormat="1" ht="11.25" x14ac:dyDescent="0.2">
      <c r="A217" s="11">
        <v>43303</v>
      </c>
      <c r="B217" s="379">
        <f>'2023'!Maxi_hp</f>
        <v>55.683659624670192</v>
      </c>
      <c r="C217" s="13">
        <f>'2023'!An_max</f>
        <v>2021</v>
      </c>
      <c r="D217" s="1045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73">
        <f t="shared" si="99"/>
        <v>43290</v>
      </c>
      <c r="I217" s="742">
        <f t="shared" si="100"/>
        <v>0.9285714285714286</v>
      </c>
      <c r="J217" s="735">
        <f t="shared" si="101"/>
        <v>59.500533163161684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38">
        <v>43303</v>
      </c>
      <c r="AP217" s="13">
        <f t="shared" si="102"/>
        <v>9</v>
      </c>
      <c r="AQ217" s="13">
        <f t="shared" si="103"/>
        <v>8</v>
      </c>
      <c r="AR217" s="173">
        <f t="shared" si="104"/>
        <v>43304</v>
      </c>
      <c r="AS217" s="742">
        <f t="shared" si="105"/>
        <v>3.5714285714285712E-2</v>
      </c>
      <c r="AT217" s="758">
        <f t="shared" si="106"/>
        <v>59.502532149851319</v>
      </c>
      <c r="AU217" s="13">
        <f t="shared" si="107"/>
        <v>9</v>
      </c>
      <c r="AV217" s="13">
        <f t="shared" si="108"/>
        <v>8</v>
      </c>
      <c r="AW217" s="173">
        <f t="shared" si="109"/>
        <v>43318</v>
      </c>
      <c r="AX217" s="742">
        <f t="shared" si="110"/>
        <v>0.5357142857142857</v>
      </c>
      <c r="AY217" s="758">
        <f t="shared" si="111"/>
        <v>59.525032525509594</v>
      </c>
      <c r="AZ217" s="735">
        <f t="shared" si="115"/>
        <v>59.513782337680453</v>
      </c>
      <c r="BA217" s="633">
        <f t="shared" si="112"/>
        <v>0.93585143971693652</v>
      </c>
      <c r="BC217" s="11">
        <v>43303</v>
      </c>
      <c r="BD217" s="289">
        <f>[2]!FeuilCaduc*(1-Persistant)+Persistant</f>
        <v>0.99901644090528263</v>
      </c>
      <c r="BE217" s="290">
        <f>[2]!CroissVégét</f>
        <v>0.84897434957309781</v>
      </c>
      <c r="BF217" s="804">
        <f>1+[2]!Salcycl*Ksac</f>
        <v>1.0499016440905282</v>
      </c>
      <c r="BH217" s="1036">
        <f t="shared" si="113"/>
        <v>1.7533947794889145E-3</v>
      </c>
      <c r="BI217" s="11">
        <v>44399</v>
      </c>
      <c r="BJ217" s="715">
        <v>1.7533947794889145E-3</v>
      </c>
      <c r="BK217" s="715">
        <v>1.7533947794889145E-3</v>
      </c>
      <c r="BL217" s="715">
        <v>1.7533947794889145E-3</v>
      </c>
      <c r="BM217" s="715">
        <v>1.7533947794889145E-3</v>
      </c>
      <c r="BN217" s="715">
        <v>1.7533947794889145E-3</v>
      </c>
      <c r="BO217" s="716">
        <v>1.7533947794889145E-3</v>
      </c>
      <c r="BP217" s="715">
        <v>1.7533947794889145E-3</v>
      </c>
      <c r="BQ217" s="715">
        <v>1.7533947794889145E-3</v>
      </c>
      <c r="BR217" s="715">
        <v>1.7533947794889145E-3</v>
      </c>
      <c r="BS217" s="715">
        <v>1.7533947794889145E-3</v>
      </c>
      <c r="BT217" s="715">
        <v>1.7533947794889145E-3</v>
      </c>
      <c r="BW217" s="1188">
        <f>'2019'!R\Max</f>
        <v>0.86243889200118229</v>
      </c>
      <c r="BX217" s="1188">
        <f>'2020'!R\Max</f>
        <v>0.92943165841453379</v>
      </c>
      <c r="BY217" s="1188">
        <f>'2021'!R\Max</f>
        <v>0.93585143971693652</v>
      </c>
      <c r="BZ217" s="1188">
        <f>'2022'!R\Max</f>
        <v>0.80209786637045499</v>
      </c>
      <c r="CA217" s="1188">
        <f>'2023'!R\Max</f>
        <v>0.80209786637045488</v>
      </c>
      <c r="CB217" s="1188">
        <f>'2024'!R\Max</f>
        <v>0.80209786637045488</v>
      </c>
      <c r="CC217" s="1188">
        <f>'2025'!R\Max</f>
        <v>0.80209786637045477</v>
      </c>
      <c r="CD217" s="1188">
        <f>'2026'!R\Max</f>
        <v>0.80209786637045499</v>
      </c>
      <c r="CE217" s="1189">
        <f>'2027'!R\Max</f>
        <v>0.80209786637045499</v>
      </c>
      <c r="CF217" s="1191">
        <f>'2028'!R\Max</f>
        <v>0.8020978663704551</v>
      </c>
    </row>
    <row r="218" spans="1:84" s="6" customFormat="1" ht="11.25" x14ac:dyDescent="0.2">
      <c r="A218" s="11">
        <v>43304</v>
      </c>
      <c r="B218" s="379">
        <f>'2023'!Maxi_hp</f>
        <v>57.020157721480658</v>
      </c>
      <c r="C218" s="13">
        <f>'2023'!An_max</f>
        <v>2018</v>
      </c>
      <c r="D218" s="1045" t="str">
        <f t="shared" si="97"/>
        <v/>
      </c>
      <c r="E218" s="1040">
        <f>AB$13/10</f>
        <v>59.395500000000006</v>
      </c>
      <c r="F218" s="13">
        <f t="shared" si="114"/>
        <v>17</v>
      </c>
      <c r="G218" s="13">
        <f t="shared" si="98"/>
        <v>16</v>
      </c>
      <c r="H218" s="173">
        <f t="shared" si="99"/>
        <v>43318</v>
      </c>
      <c r="I218" s="742">
        <f t="shared" si="100"/>
        <v>1</v>
      </c>
      <c r="J218" s="735">
        <f t="shared" si="101"/>
        <v>59.395500000007452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38">
        <v>43304</v>
      </c>
      <c r="AP218" s="13">
        <f t="shared" si="102"/>
        <v>9</v>
      </c>
      <c r="AQ218" s="13">
        <f t="shared" si="103"/>
        <v>10</v>
      </c>
      <c r="AR218" s="173">
        <f t="shared" si="104"/>
        <v>43304</v>
      </c>
      <c r="AS218" s="742">
        <f t="shared" si="105"/>
        <v>0</v>
      </c>
      <c r="AT218" s="758">
        <f t="shared" si="106"/>
        <v>59.395500000007452</v>
      </c>
      <c r="AU218" s="13">
        <f t="shared" si="107"/>
        <v>9</v>
      </c>
      <c r="AV218" s="13">
        <f t="shared" si="108"/>
        <v>8</v>
      </c>
      <c r="AW218" s="173">
        <f t="shared" si="109"/>
        <v>43318</v>
      </c>
      <c r="AX218" s="742">
        <f t="shared" si="110"/>
        <v>0.5</v>
      </c>
      <c r="AY218" s="758">
        <f t="shared" si="111"/>
        <v>59.420124999899414</v>
      </c>
      <c r="AZ218" s="735">
        <f t="shared" si="115"/>
        <v>59.407812499953437</v>
      </c>
      <c r="BA218" s="633">
        <f t="shared" si="112"/>
        <v>0.96000804305837151</v>
      </c>
      <c r="BC218" s="11">
        <v>43304</v>
      </c>
      <c r="BD218" s="289">
        <f>[2]!FeuilCaduc*(1-Persistant)+Persistant</f>
        <v>0.99927469567870597</v>
      </c>
      <c r="BE218" s="290">
        <f>[2]!CroissVégét</f>
        <v>0.854179289095362</v>
      </c>
      <c r="BF218" s="804">
        <f>1+[2]!Salcycl*Ksac</f>
        <v>1.0499274695678706</v>
      </c>
      <c r="BH218" s="1036">
        <f t="shared" si="113"/>
        <v>1.7646084204546823E-3</v>
      </c>
      <c r="BI218" s="11">
        <v>44400</v>
      </c>
      <c r="BJ218" s="715">
        <v>1.7646084204546823E-3</v>
      </c>
      <c r="BK218" s="715">
        <v>1.7646084204546823E-3</v>
      </c>
      <c r="BL218" s="715">
        <v>1.7646084204546823E-3</v>
      </c>
      <c r="BM218" s="715">
        <v>1.7646084204546823E-3</v>
      </c>
      <c r="BN218" s="715">
        <v>1.7646084204546823E-3</v>
      </c>
      <c r="BO218" s="716">
        <v>1.7646084204546823E-3</v>
      </c>
      <c r="BP218" s="715">
        <v>1.7646084204546823E-3</v>
      </c>
      <c r="BQ218" s="715">
        <v>1.7646084204546823E-3</v>
      </c>
      <c r="BR218" s="715">
        <v>1.7646084204546823E-3</v>
      </c>
      <c r="BS218" s="715">
        <v>1.7646084204546823E-3</v>
      </c>
      <c r="BT218" s="715">
        <v>1.7646084204546823E-3</v>
      </c>
      <c r="BW218" s="1188">
        <f>'2019'!R\Max</f>
        <v>0.96000804305837151</v>
      </c>
      <c r="BX218" s="1188">
        <f>'2020'!R\Max</f>
        <v>0.89340676556374099</v>
      </c>
      <c r="BY218" s="1188">
        <f>'2021'!R\Max</f>
        <v>0.80948595709869164</v>
      </c>
      <c r="BZ218" s="1188">
        <f>'2022'!R\Max</f>
        <v>0.80277390443400365</v>
      </c>
      <c r="CA218" s="1188">
        <f>'2023'!R\Max</f>
        <v>0.80277390443400354</v>
      </c>
      <c r="CB218" s="1188">
        <f>'2024'!R\Max</f>
        <v>0.80277390443400354</v>
      </c>
      <c r="CC218" s="1188">
        <f>'2025'!R\Max</f>
        <v>0.80277390443400365</v>
      </c>
      <c r="CD218" s="1188">
        <f>'2026'!R\Max</f>
        <v>0.80277390443400354</v>
      </c>
      <c r="CE218" s="1189">
        <f>'2027'!R\Max</f>
        <v>0.80277390443400365</v>
      </c>
      <c r="CF218" s="1191">
        <f>'2028'!R\Max</f>
        <v>0.80277390443400343</v>
      </c>
    </row>
    <row r="219" spans="1:84" s="6" customFormat="1" ht="11.25" x14ac:dyDescent="0.2">
      <c r="A219" s="11">
        <v>43305</v>
      </c>
      <c r="B219" s="379">
        <f>'2023'!Maxi_hp</f>
        <v>57.130225133334037</v>
      </c>
      <c r="C219" s="13">
        <f>'2023'!An_max</f>
        <v>2018</v>
      </c>
      <c r="D219" s="1045" t="str">
        <f t="shared" si="97"/>
        <v/>
      </c>
      <c r="E219" s="13"/>
      <c r="F219" s="13">
        <f t="shared" si="114"/>
        <v>17</v>
      </c>
      <c r="G219" s="13">
        <f t="shared" si="98"/>
        <v>16</v>
      </c>
      <c r="H219" s="173">
        <f t="shared" si="99"/>
        <v>43318</v>
      </c>
      <c r="I219" s="742">
        <f t="shared" si="100"/>
        <v>0.9285714285714286</v>
      </c>
      <c r="J219" s="735">
        <f t="shared" si="101"/>
        <v>59.289695061969439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38">
        <v>43305</v>
      </c>
      <c r="AP219" s="13">
        <f t="shared" si="102"/>
        <v>9</v>
      </c>
      <c r="AQ219" s="13">
        <f t="shared" si="103"/>
        <v>10</v>
      </c>
      <c r="AR219" s="173">
        <f t="shared" si="104"/>
        <v>43304</v>
      </c>
      <c r="AS219" s="742">
        <f t="shared" si="105"/>
        <v>3.5714285714285712E-2</v>
      </c>
      <c r="AT219" s="758">
        <f t="shared" si="106"/>
        <v>59.28788228884472</v>
      </c>
      <c r="AU219" s="13">
        <f t="shared" si="107"/>
        <v>9</v>
      </c>
      <c r="AV219" s="13">
        <f t="shared" si="108"/>
        <v>8</v>
      </c>
      <c r="AW219" s="173">
        <f t="shared" si="109"/>
        <v>43318</v>
      </c>
      <c r="AX219" s="742">
        <f t="shared" si="110"/>
        <v>0.4642857142857143</v>
      </c>
      <c r="AY219" s="758">
        <f t="shared" si="111"/>
        <v>59.313961096666752</v>
      </c>
      <c r="AZ219" s="735">
        <f t="shared" si="115"/>
        <v>59.300921692755736</v>
      </c>
      <c r="BA219" s="633">
        <f t="shared" si="112"/>
        <v>0.9635776516243113</v>
      </c>
      <c r="BC219" s="11">
        <v>43305</v>
      </c>
      <c r="BD219" s="289">
        <f>[2]!FeuilCaduc*(1-Persistant)+Persistant</f>
        <v>0.99947838622173213</v>
      </c>
      <c r="BE219" s="290">
        <f>[2]!CroissVégét</f>
        <v>0.85923493718111654</v>
      </c>
      <c r="BF219" s="804">
        <f>1+[2]!Salcycl*Ksac</f>
        <v>1.0499478386221732</v>
      </c>
      <c r="BH219" s="1036">
        <f t="shared" si="113"/>
        <v>1.7736839905029397E-3</v>
      </c>
      <c r="BI219" s="11">
        <v>44401</v>
      </c>
      <c r="BJ219" s="715">
        <v>1.7736839905029397E-3</v>
      </c>
      <c r="BK219" s="715">
        <v>1.7736839905029397E-3</v>
      </c>
      <c r="BL219" s="715">
        <v>1.7736839905029397E-3</v>
      </c>
      <c r="BM219" s="715">
        <v>1.7736839905029397E-3</v>
      </c>
      <c r="BN219" s="715">
        <v>1.7736839905029397E-3</v>
      </c>
      <c r="BO219" s="716">
        <v>1.7736839905029397E-3</v>
      </c>
      <c r="BP219" s="715">
        <v>1.7736839905029397E-3</v>
      </c>
      <c r="BQ219" s="715">
        <v>1.7736839905029397E-3</v>
      </c>
      <c r="BR219" s="715">
        <v>1.7736839905029397E-3</v>
      </c>
      <c r="BS219" s="715">
        <v>1.7736839905029397E-3</v>
      </c>
      <c r="BT219" s="715">
        <v>1.7736839905029397E-3</v>
      </c>
      <c r="BW219" s="1188">
        <f>'2019'!R\Max</f>
        <v>0.9635776516243113</v>
      </c>
      <c r="BX219" s="1188">
        <f>'2020'!R\Max</f>
        <v>0.86334687251166287</v>
      </c>
      <c r="BY219" s="1188">
        <f>'2021'!R\Max</f>
        <v>0.49172477076178583</v>
      </c>
      <c r="BZ219" s="1188">
        <f>'2022'!R\Max</f>
        <v>0.96247528086777845</v>
      </c>
      <c r="CA219" s="1188">
        <f>'2023'!R\Max</f>
        <v>0.96247528086777845</v>
      </c>
      <c r="CB219" s="1188">
        <f>'2024'!R\Max</f>
        <v>0.96247528086777845</v>
      </c>
      <c r="CC219" s="1188">
        <f>'2025'!R\Max</f>
        <v>0.96247528086777834</v>
      </c>
      <c r="CD219" s="1188">
        <f>'2026'!R\Max</f>
        <v>0.96247528086777856</v>
      </c>
      <c r="CE219" s="1189">
        <f>'2027'!R\Max</f>
        <v>0.96247528086777845</v>
      </c>
      <c r="CF219" s="1191">
        <f>'2028'!R\Max</f>
        <v>0.96247528086777856</v>
      </c>
    </row>
    <row r="220" spans="1:84" s="6" customFormat="1" ht="11.25" x14ac:dyDescent="0.2">
      <c r="A220" s="11">
        <v>43306</v>
      </c>
      <c r="B220" s="379">
        <f>'2023'!Maxi_hp</f>
        <v>58.039813998105629</v>
      </c>
      <c r="C220" s="13">
        <f>'2023'!An_max</f>
        <v>2018</v>
      </c>
      <c r="D220" s="1045">
        <f t="shared" si="97"/>
        <v>0.98067924103726611</v>
      </c>
      <c r="E220" s="13"/>
      <c r="F220" s="13">
        <f t="shared" si="114"/>
        <v>17</v>
      </c>
      <c r="G220" s="13">
        <f t="shared" si="98"/>
        <v>16</v>
      </c>
      <c r="H220" s="173">
        <f t="shared" si="99"/>
        <v>43318</v>
      </c>
      <c r="I220" s="742">
        <f t="shared" si="100"/>
        <v>0.8571428571428571</v>
      </c>
      <c r="J220" s="735">
        <f t="shared" si="101"/>
        <v>59.183279883355965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38">
        <v>43306</v>
      </c>
      <c r="AP220" s="13">
        <f t="shared" si="102"/>
        <v>9</v>
      </c>
      <c r="AQ220" s="13">
        <f t="shared" si="103"/>
        <v>10</v>
      </c>
      <c r="AR220" s="173">
        <f t="shared" si="104"/>
        <v>43304</v>
      </c>
      <c r="AS220" s="742">
        <f t="shared" si="105"/>
        <v>7.1428571428571425E-2</v>
      </c>
      <c r="AT220" s="758">
        <f t="shared" si="106"/>
        <v>59.17958254380418</v>
      </c>
      <c r="AU220" s="13">
        <f t="shared" si="107"/>
        <v>9</v>
      </c>
      <c r="AV220" s="13">
        <f t="shared" si="108"/>
        <v>8</v>
      </c>
      <c r="AW220" s="173">
        <f t="shared" si="109"/>
        <v>43318</v>
      </c>
      <c r="AX220" s="742">
        <f t="shared" si="110"/>
        <v>0.42857142857142855</v>
      </c>
      <c r="AY220" s="758">
        <f t="shared" si="111"/>
        <v>59.206540816170822</v>
      </c>
      <c r="AZ220" s="735">
        <f t="shared" si="115"/>
        <v>59.193061679987501</v>
      </c>
      <c r="BA220" s="633">
        <f t="shared" si="112"/>
        <v>0.98067924103726611</v>
      </c>
      <c r="BC220" s="11">
        <v>43306</v>
      </c>
      <c r="BD220" s="289">
        <f>[2]!FeuilCaduc*(1-Persistant)+Persistant</f>
        <v>0.99963131493620416</v>
      </c>
      <c r="BE220" s="290">
        <f>[2]!CroissVégét</f>
        <v>0.86414353915538655</v>
      </c>
      <c r="BF220" s="804">
        <f>1+[2]!Salcycl*Ksac</f>
        <v>1.0499631314936204</v>
      </c>
      <c r="BH220" s="1036">
        <f t="shared" si="113"/>
        <v>1.7797375336453204E-3</v>
      </c>
      <c r="BI220" s="11">
        <v>44402</v>
      </c>
      <c r="BJ220" s="715">
        <v>1.7797375336453202E-3</v>
      </c>
      <c r="BK220" s="715">
        <v>1.7797375336453204E-3</v>
      </c>
      <c r="BL220" s="715">
        <v>1.7797375336453204E-3</v>
      </c>
      <c r="BM220" s="715">
        <v>1.7797375336453204E-3</v>
      </c>
      <c r="BN220" s="715">
        <v>1.7797375336453204E-3</v>
      </c>
      <c r="BO220" s="716">
        <v>1.7797375336453204E-3</v>
      </c>
      <c r="BP220" s="715">
        <v>1.7797375336453204E-3</v>
      </c>
      <c r="BQ220" s="715">
        <v>1.7797375336453204E-3</v>
      </c>
      <c r="BR220" s="715">
        <v>1.7797375336453204E-3</v>
      </c>
      <c r="BS220" s="715">
        <v>1.7797375336453204E-3</v>
      </c>
      <c r="BT220" s="715">
        <v>1.7797375336453202E-3</v>
      </c>
      <c r="BW220" s="1188">
        <f>'2019'!R\Max</f>
        <v>0.98067924103726611</v>
      </c>
      <c r="BX220" s="1188">
        <f>'2020'!R\Max</f>
        <v>0.9610471466531425</v>
      </c>
      <c r="BY220" s="1188">
        <f>'2021'!R\Max</f>
        <v>0.66354144688773309</v>
      </c>
      <c r="BZ220" s="1188">
        <f>'2022'!R\Max</f>
        <v>0.47359645295049041</v>
      </c>
      <c r="CA220" s="1188">
        <f>'2023'!R\Max</f>
        <v>0.47359645295049035</v>
      </c>
      <c r="CB220" s="1188">
        <f>'2024'!R\Max</f>
        <v>0.47359645295049035</v>
      </c>
      <c r="CC220" s="1188">
        <f>'2025'!R\Max</f>
        <v>0.47359645295049041</v>
      </c>
      <c r="CD220" s="1188">
        <f>'2026'!R\Max</f>
        <v>0.47359645295049035</v>
      </c>
      <c r="CE220" s="1189">
        <f>'2027'!R\Max</f>
        <v>0.47359645295049035</v>
      </c>
      <c r="CF220" s="1191">
        <f>'2028'!R\Max</f>
        <v>0.47359645295049035</v>
      </c>
    </row>
    <row r="221" spans="1:84" s="6" customFormat="1" ht="11.25" x14ac:dyDescent="0.2">
      <c r="A221" s="11">
        <v>43307</v>
      </c>
      <c r="B221" s="379">
        <f>'2023'!Maxi_hp</f>
        <v>59.521934873943664</v>
      </c>
      <c r="C221" s="13">
        <f>'2023'!An_max</f>
        <v>2023</v>
      </c>
      <c r="D221" s="1045">
        <f t="shared" si="97"/>
        <v>1.0075459914600897</v>
      </c>
      <c r="E221" s="13"/>
      <c r="F221" s="13">
        <f t="shared" si="114"/>
        <v>17</v>
      </c>
      <c r="G221" s="13">
        <f t="shared" si="98"/>
        <v>16</v>
      </c>
      <c r="H221" s="173">
        <f t="shared" si="99"/>
        <v>43318</v>
      </c>
      <c r="I221" s="742">
        <f t="shared" si="100"/>
        <v>0.7857142857142857</v>
      </c>
      <c r="J221" s="735">
        <f t="shared" si="101"/>
        <v>59.076146774885373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38">
        <v>43307</v>
      </c>
      <c r="AP221" s="13">
        <f t="shared" si="102"/>
        <v>9</v>
      </c>
      <c r="AQ221" s="13">
        <f t="shared" si="103"/>
        <v>10</v>
      </c>
      <c r="AR221" s="173">
        <f t="shared" si="104"/>
        <v>43304</v>
      </c>
      <c r="AS221" s="742">
        <f t="shared" si="105"/>
        <v>0.10714285714285714</v>
      </c>
      <c r="AT221" s="758">
        <f t="shared" si="106"/>
        <v>59.070546920324809</v>
      </c>
      <c r="AU221" s="13">
        <f t="shared" si="107"/>
        <v>9</v>
      </c>
      <c r="AV221" s="13">
        <f t="shared" si="108"/>
        <v>8</v>
      </c>
      <c r="AW221" s="173">
        <f t="shared" si="109"/>
        <v>43318</v>
      </c>
      <c r="AX221" s="742">
        <f t="shared" si="110"/>
        <v>0.39285714285714285</v>
      </c>
      <c r="AY221" s="758">
        <f t="shared" si="111"/>
        <v>59.097864158152206</v>
      </c>
      <c r="AZ221" s="735">
        <f t="shared" si="115"/>
        <v>59.084205539238511</v>
      </c>
      <c r="BA221" s="633">
        <f t="shared" si="112"/>
        <v>1.0075459914600897</v>
      </c>
      <c r="BC221" s="11">
        <v>43307</v>
      </c>
      <c r="BD221" s="289">
        <f>[2]!FeuilCaduc*(1-Persistant)+Persistant</f>
        <v>0.99973704066884461</v>
      </c>
      <c r="BE221" s="290">
        <f>[2]!CroissVégét</f>
        <v>0.86890745271110437</v>
      </c>
      <c r="BF221" s="804">
        <f>1+[2]!Salcycl*Ksac</f>
        <v>1.0499737040668844</v>
      </c>
      <c r="BH221" s="1036">
        <f t="shared" si="113"/>
        <v>1.781988203230231E-3</v>
      </c>
      <c r="BI221" s="11">
        <v>44403</v>
      </c>
      <c r="BJ221" s="715">
        <v>1.781988203230231E-3</v>
      </c>
      <c r="BK221" s="715">
        <v>1.781988203230231E-3</v>
      </c>
      <c r="BL221" s="715">
        <v>1.781988203230231E-3</v>
      </c>
      <c r="BM221" s="715">
        <v>1.781988203230231E-3</v>
      </c>
      <c r="BN221" s="715">
        <v>1.781988203230231E-3</v>
      </c>
      <c r="BO221" s="716">
        <v>1.781988203230231E-3</v>
      </c>
      <c r="BP221" s="715">
        <v>1.781988203230231E-3</v>
      </c>
      <c r="BQ221" s="715">
        <v>1.781988203230231E-3</v>
      </c>
      <c r="BR221" s="715">
        <v>1.781988203230231E-3</v>
      </c>
      <c r="BS221" s="715">
        <v>1.781988203230231E-3</v>
      </c>
      <c r="BT221" s="715">
        <v>1.781988203230231E-3</v>
      </c>
      <c r="BW221" s="1188">
        <f>'2019'!R\Max</f>
        <v>0.37643819982855076</v>
      </c>
      <c r="BX221" s="1188">
        <f>'2020'!R\Max</f>
        <v>0.97888366525337545</v>
      </c>
      <c r="BY221" s="1188">
        <f>'2021'!R\Max</f>
        <v>0.57760038425595761</v>
      </c>
      <c r="BZ221" s="1188">
        <f>'2022'!R\Max</f>
        <v>1.0075459914600895</v>
      </c>
      <c r="CA221" s="1188">
        <f>'2023'!R\Max</f>
        <v>1.0075459914600897</v>
      </c>
      <c r="CB221" s="1188">
        <f>'2024'!R\Max</f>
        <v>1.0075459914600897</v>
      </c>
      <c r="CC221" s="1188">
        <f>'2025'!R\Max</f>
        <v>1.0075459914600897</v>
      </c>
      <c r="CD221" s="1188">
        <f>'2026'!R\Max</f>
        <v>1.0075459914600897</v>
      </c>
      <c r="CE221" s="1189">
        <f>'2027'!R\Max</f>
        <v>1.0075459914600895</v>
      </c>
      <c r="CF221" s="1191">
        <f>'2028'!R\Max</f>
        <v>1.0075459914600897</v>
      </c>
    </row>
    <row r="222" spans="1:84" s="6" customFormat="1" ht="11.25" x14ac:dyDescent="0.2">
      <c r="A222" s="11">
        <v>43308</v>
      </c>
      <c r="B222" s="379">
        <f>'2023'!Maxi_hp</f>
        <v>61.041045203793381</v>
      </c>
      <c r="C222" s="13">
        <f>'2023'!An_max</f>
        <v>2023</v>
      </c>
      <c r="D222" s="1045">
        <f t="shared" si="97"/>
        <v>1.0351521256731888</v>
      </c>
      <c r="E222" s="13"/>
      <c r="F222" s="13">
        <f t="shared" si="114"/>
        <v>17</v>
      </c>
      <c r="G222" s="13">
        <f t="shared" si="98"/>
        <v>16</v>
      </c>
      <c r="H222" s="173">
        <f t="shared" si="99"/>
        <v>43318</v>
      </c>
      <c r="I222" s="742">
        <f t="shared" si="100"/>
        <v>0.7142857142857143</v>
      </c>
      <c r="J222" s="735">
        <f t="shared" si="101"/>
        <v>58.968188046850265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38">
        <v>43308</v>
      </c>
      <c r="AP222" s="13">
        <f t="shared" si="102"/>
        <v>9</v>
      </c>
      <c r="AQ222" s="13">
        <f t="shared" si="103"/>
        <v>10</v>
      </c>
      <c r="AR222" s="173">
        <f t="shared" si="104"/>
        <v>43304</v>
      </c>
      <c r="AS222" s="742">
        <f t="shared" si="105"/>
        <v>0.14285714285714285</v>
      </c>
      <c r="AT222" s="758">
        <f t="shared" si="106"/>
        <v>58.960721574324587</v>
      </c>
      <c r="AU222" s="13">
        <f t="shared" si="107"/>
        <v>9</v>
      </c>
      <c r="AV222" s="13">
        <f t="shared" si="108"/>
        <v>8</v>
      </c>
      <c r="AW222" s="173">
        <f t="shared" si="109"/>
        <v>43318</v>
      </c>
      <c r="AX222" s="742">
        <f t="shared" si="110"/>
        <v>0.35714285714285715</v>
      </c>
      <c r="AY222" s="758">
        <f t="shared" si="111"/>
        <v>58.987931122391352</v>
      </c>
      <c r="AZ222" s="735">
        <f t="shared" si="115"/>
        <v>58.97432634835797</v>
      </c>
      <c r="BA222" s="633">
        <f t="shared" si="112"/>
        <v>1.0351521256731888</v>
      </c>
      <c r="BC222" s="11">
        <v>43308</v>
      </c>
      <c r="BD222" s="289">
        <f>[2]!FeuilCaduc*(1-Persistant)+Persistant</f>
        <v>0.99979887108202736</v>
      </c>
      <c r="BE222" s="290">
        <f>[2]!CroissVégét</f>
        <v>0.87352913572103608</v>
      </c>
      <c r="BF222" s="804">
        <f>1+[2]!Salcycl*Ksac</f>
        <v>1.0499798871082027</v>
      </c>
      <c r="BH222" s="1036">
        <f t="shared" si="113"/>
        <v>1.7804380497237822E-3</v>
      </c>
      <c r="BI222" s="11">
        <v>44404</v>
      </c>
      <c r="BJ222" s="715">
        <v>1.780438049723782E-3</v>
      </c>
      <c r="BK222" s="715">
        <v>1.7804380497237822E-3</v>
      </c>
      <c r="BL222" s="715">
        <v>1.7804380497237822E-3</v>
      </c>
      <c r="BM222" s="715">
        <v>1.7804380497237822E-3</v>
      </c>
      <c r="BN222" s="715">
        <v>1.7804380497237822E-3</v>
      </c>
      <c r="BO222" s="716">
        <v>1.7804380497237822E-3</v>
      </c>
      <c r="BP222" s="715">
        <v>1.7804380497237822E-3</v>
      </c>
      <c r="BQ222" s="715">
        <v>1.7804380497237822E-3</v>
      </c>
      <c r="BR222" s="715">
        <v>1.7804380497237822E-3</v>
      </c>
      <c r="BS222" s="715">
        <v>1.7804380497237822E-3</v>
      </c>
      <c r="BT222" s="715">
        <v>1.780438049723782E-3</v>
      </c>
      <c r="BW222" s="1188">
        <f>'2019'!R\Max</f>
        <v>0.22392057882849015</v>
      </c>
      <c r="BX222" s="1188">
        <f>'2020'!R\Max</f>
        <v>0.75356595492589951</v>
      </c>
      <c r="BY222" s="1188">
        <f>'2021'!R\Max</f>
        <v>0.88803139142469922</v>
      </c>
      <c r="BZ222" s="1188">
        <f>'2022'!R\Max</f>
        <v>1.0351521256731888</v>
      </c>
      <c r="CA222" s="1188">
        <f>'2023'!R\Max</f>
        <v>1.0351521256731888</v>
      </c>
      <c r="CB222" s="1188">
        <f>'2024'!R\Max</f>
        <v>1.0351521256731888</v>
      </c>
      <c r="CC222" s="1188">
        <f>'2025'!R\Max</f>
        <v>1.0351521256731888</v>
      </c>
      <c r="CD222" s="1188">
        <f>'2026'!R\Max</f>
        <v>1.035152125673189</v>
      </c>
      <c r="CE222" s="1189">
        <f>'2027'!R\Max</f>
        <v>1.035152125673189</v>
      </c>
      <c r="CF222" s="1191">
        <f>'2028'!R\Max</f>
        <v>1.0351521256731888</v>
      </c>
    </row>
    <row r="223" spans="1:84" s="6" customFormat="1" ht="11.25" x14ac:dyDescent="0.2">
      <c r="A223" s="11">
        <v>43309</v>
      </c>
      <c r="B223" s="379">
        <f>'2023'!Maxi_hp</f>
        <v>56.607198272356136</v>
      </c>
      <c r="C223" s="13">
        <f>'2023'!An_max</f>
        <v>2020</v>
      </c>
      <c r="D223" s="1045" t="str">
        <f t="shared" si="97"/>
        <v/>
      </c>
      <c r="E223" s="13"/>
      <c r="F223" s="13">
        <f t="shared" si="114"/>
        <v>17</v>
      </c>
      <c r="G223" s="13">
        <f t="shared" si="98"/>
        <v>16</v>
      </c>
      <c r="H223" s="173">
        <f t="shared" si="99"/>
        <v>43318</v>
      </c>
      <c r="I223" s="742">
        <f t="shared" si="100"/>
        <v>0.6428571428571429</v>
      </c>
      <c r="J223" s="735">
        <f t="shared" si="101"/>
        <v>58.859296009702874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38">
        <v>43309</v>
      </c>
      <c r="AP223" s="13">
        <f t="shared" si="102"/>
        <v>9</v>
      </c>
      <c r="AQ223" s="13">
        <f t="shared" si="103"/>
        <v>10</v>
      </c>
      <c r="AR223" s="173">
        <f t="shared" si="104"/>
        <v>43304</v>
      </c>
      <c r="AS223" s="742">
        <f t="shared" si="105"/>
        <v>0.17857142857142858</v>
      </c>
      <c r="AT223" s="758">
        <f t="shared" si="106"/>
        <v>58.850052660297862</v>
      </c>
      <c r="AU223" s="13">
        <f t="shared" si="107"/>
        <v>9</v>
      </c>
      <c r="AV223" s="13">
        <f t="shared" si="108"/>
        <v>8</v>
      </c>
      <c r="AW223" s="173">
        <f t="shared" si="109"/>
        <v>43318</v>
      </c>
      <c r="AX223" s="742">
        <f t="shared" si="110"/>
        <v>0.32142857142857145</v>
      </c>
      <c r="AY223" s="758">
        <f t="shared" si="111"/>
        <v>58.876741709247497</v>
      </c>
      <c r="AZ223" s="735">
        <f t="shared" si="115"/>
        <v>58.86339718477268</v>
      </c>
      <c r="BA223" s="633">
        <f t="shared" si="112"/>
        <v>0.9617376032330478</v>
      </c>
      <c r="BC223" s="11">
        <v>43309</v>
      </c>
      <c r="BD223" s="289">
        <f>[2]!FeuilCaduc*(1-Persistant)+Persistant</f>
        <v>0.99981985714877841</v>
      </c>
      <c r="BE223" s="290">
        <f>[2]!CroissVégét</f>
        <v>0.8780111344941991</v>
      </c>
      <c r="BF223" s="804">
        <f>1+[2]!Salcycl*Ksac</f>
        <v>1.0499819857148778</v>
      </c>
      <c r="BH223" s="1036">
        <f t="shared" si="113"/>
        <v>1.7750888087607849E-3</v>
      </c>
      <c r="BI223" s="11">
        <v>44405</v>
      </c>
      <c r="BJ223" s="715">
        <v>1.7750888087607847E-3</v>
      </c>
      <c r="BK223" s="715">
        <v>1.7750888087607849E-3</v>
      </c>
      <c r="BL223" s="715">
        <v>1.7750888087607849E-3</v>
      </c>
      <c r="BM223" s="715">
        <v>1.7750888087607849E-3</v>
      </c>
      <c r="BN223" s="715">
        <v>1.7750888087607849E-3</v>
      </c>
      <c r="BO223" s="716">
        <v>1.7750888087607849E-3</v>
      </c>
      <c r="BP223" s="715">
        <v>1.7750888087607849E-3</v>
      </c>
      <c r="BQ223" s="715">
        <v>1.7750888087607849E-3</v>
      </c>
      <c r="BR223" s="715">
        <v>1.7750888087607849E-3</v>
      </c>
      <c r="BS223" s="715">
        <v>1.7750888087607849E-3</v>
      </c>
      <c r="BT223" s="715">
        <v>1.7750888087607847E-3</v>
      </c>
      <c r="BW223" s="1188">
        <f>'2019'!R\Max</f>
        <v>0.869644167584945</v>
      </c>
      <c r="BX223" s="1188">
        <f>'2020'!R\Max</f>
        <v>0.9617376032330478</v>
      </c>
      <c r="BY223" s="1188">
        <f>'2021'!R\Max</f>
        <v>0.44339426969639395</v>
      </c>
      <c r="BZ223" s="1188">
        <f>'2022'!R\Max</f>
        <v>0.78544406126196076</v>
      </c>
      <c r="CA223" s="1188">
        <f>'2023'!R\Max</f>
        <v>0.78544406126196076</v>
      </c>
      <c r="CB223" s="1188">
        <f>'2024'!R\Max</f>
        <v>0.78544406126196076</v>
      </c>
      <c r="CC223" s="1188">
        <f>'2025'!R\Max</f>
        <v>0.78544406126196087</v>
      </c>
      <c r="CD223" s="1188">
        <f>'2026'!R\Max</f>
        <v>0.78544406126196087</v>
      </c>
      <c r="CE223" s="1189">
        <f>'2027'!R\Max</f>
        <v>0.78544406126196087</v>
      </c>
      <c r="CF223" s="1191">
        <f>'2028'!R\Max</f>
        <v>0.78544406126196087</v>
      </c>
    </row>
    <row r="224" spans="1:84" s="6" customFormat="1" ht="11.25" x14ac:dyDescent="0.2">
      <c r="A224" s="11">
        <v>43310</v>
      </c>
      <c r="B224" s="379">
        <f>'2023'!Maxi_hp</f>
        <v>59.144534762584179</v>
      </c>
      <c r="C224" s="13">
        <f>'2023'!An_max</f>
        <v>2018</v>
      </c>
      <c r="D224" s="1045">
        <f t="shared" si="97"/>
        <v>1.0067264012510901</v>
      </c>
      <c r="E224" s="13"/>
      <c r="F224" s="13">
        <f t="shared" si="114"/>
        <v>17</v>
      </c>
      <c r="G224" s="13">
        <f t="shared" si="98"/>
        <v>16</v>
      </c>
      <c r="H224" s="173">
        <f t="shared" si="99"/>
        <v>43318</v>
      </c>
      <c r="I224" s="742">
        <f t="shared" si="100"/>
        <v>0.5714285714285714</v>
      </c>
      <c r="J224" s="735">
        <f t="shared" si="101"/>
        <v>58.749362973975281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38">
        <v>43310</v>
      </c>
      <c r="AP224" s="13">
        <f t="shared" si="102"/>
        <v>9</v>
      </c>
      <c r="AQ224" s="13">
        <f t="shared" si="103"/>
        <v>10</v>
      </c>
      <c r="AR224" s="173">
        <f t="shared" si="104"/>
        <v>43304</v>
      </c>
      <c r="AS224" s="742">
        <f t="shared" si="105"/>
        <v>0.21428571428571427</v>
      </c>
      <c r="AT224" s="758">
        <f t="shared" si="106"/>
        <v>58.738486334002971</v>
      </c>
      <c r="AU224" s="13">
        <f t="shared" si="107"/>
        <v>9</v>
      </c>
      <c r="AV224" s="13">
        <f t="shared" si="108"/>
        <v>8</v>
      </c>
      <c r="AW224" s="173">
        <f t="shared" si="109"/>
        <v>43318</v>
      </c>
      <c r="AX224" s="742">
        <f t="shared" si="110"/>
        <v>0.2857142857142857</v>
      </c>
      <c r="AY224" s="758">
        <f t="shared" si="111"/>
        <v>58.76429591825498</v>
      </c>
      <c r="AZ224" s="735">
        <f t="shared" si="115"/>
        <v>58.751391126128979</v>
      </c>
      <c r="BA224" s="633">
        <f t="shared" si="112"/>
        <v>1.0067264012510901</v>
      </c>
      <c r="BC224" s="11">
        <v>43310</v>
      </c>
      <c r="BD224" s="289">
        <f>[2]!FeuilCaduc*(1-Persistant)+Persistant</f>
        <v>0.99980278972274117</v>
      </c>
      <c r="BE224" s="290">
        <f>[2]!CroissVégét</f>
        <v>0.88235607250226589</v>
      </c>
      <c r="BF224" s="804">
        <f>1+[2]!Salcycl*Ksac</f>
        <v>1.0499802789722741</v>
      </c>
      <c r="BH224" s="1036">
        <f t="shared" si="113"/>
        <v>1.7659419129883922E-3</v>
      </c>
      <c r="BI224" s="11">
        <v>44406</v>
      </c>
      <c r="BJ224" s="715">
        <v>1.7659419129883922E-3</v>
      </c>
      <c r="BK224" s="715">
        <v>1.7659419129883922E-3</v>
      </c>
      <c r="BL224" s="715">
        <v>1.7659419129883922E-3</v>
      </c>
      <c r="BM224" s="715">
        <v>1.7659419129883922E-3</v>
      </c>
      <c r="BN224" s="715">
        <v>1.7659419129883922E-3</v>
      </c>
      <c r="BO224" s="716">
        <v>1.7659419129883922E-3</v>
      </c>
      <c r="BP224" s="715">
        <v>1.7659419129883922E-3</v>
      </c>
      <c r="BQ224" s="715">
        <v>1.7659419129883922E-3</v>
      </c>
      <c r="BR224" s="715">
        <v>1.7659419129883922E-3</v>
      </c>
      <c r="BS224" s="715">
        <v>1.7659419129883922E-3</v>
      </c>
      <c r="BT224" s="715">
        <v>1.7659419129883922E-3</v>
      </c>
      <c r="BW224" s="1188">
        <f>'2019'!R\Max</f>
        <v>1.0067264012510901</v>
      </c>
      <c r="BX224" s="1188">
        <f>'2020'!R\Max</f>
        <v>0.59709056107413538</v>
      </c>
      <c r="BY224" s="1188">
        <f>'2021'!R\Max</f>
        <v>0.95529557055264069</v>
      </c>
      <c r="BZ224" s="1188">
        <f>'2022'!R\Max</f>
        <v>0.54481015365298768</v>
      </c>
      <c r="CA224" s="1188">
        <f>'2023'!R\Max</f>
        <v>0.54481015365298768</v>
      </c>
      <c r="CB224" s="1188">
        <f>'2024'!R\Max</f>
        <v>0.54481015365298768</v>
      </c>
      <c r="CC224" s="1188">
        <f>'2025'!R\Max</f>
        <v>0.54481015365298757</v>
      </c>
      <c r="CD224" s="1188">
        <f>'2026'!R\Max</f>
        <v>0.54481015365298768</v>
      </c>
      <c r="CE224" s="1189">
        <f>'2027'!R\Max</f>
        <v>0.54481015365298768</v>
      </c>
      <c r="CF224" s="1191">
        <f>'2028'!R\Max</f>
        <v>0.54481015365298768</v>
      </c>
    </row>
    <row r="225" spans="1:84" s="6" customFormat="1" ht="11.25" x14ac:dyDescent="0.2">
      <c r="A225" s="11">
        <v>43311</v>
      </c>
      <c r="B225" s="379">
        <f>'2023'!Maxi_hp</f>
        <v>51.485286251349898</v>
      </c>
      <c r="C225" s="13">
        <f>'2023'!An_max</f>
        <v>2023</v>
      </c>
      <c r="D225" s="1045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73">
        <f t="shared" si="99"/>
        <v>43318</v>
      </c>
      <c r="I225" s="742">
        <f t="shared" si="100"/>
        <v>0.5</v>
      </c>
      <c r="J225" s="735">
        <f t="shared" si="101"/>
        <v>58.638281250093129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38">
        <v>43311</v>
      </c>
      <c r="AP225" s="13">
        <f t="shared" si="102"/>
        <v>9</v>
      </c>
      <c r="AQ225" s="13">
        <f t="shared" si="103"/>
        <v>10</v>
      </c>
      <c r="AR225" s="173">
        <f t="shared" si="104"/>
        <v>43304</v>
      </c>
      <c r="AS225" s="742">
        <f t="shared" si="105"/>
        <v>0.25</v>
      </c>
      <c r="AT225" s="758">
        <f t="shared" si="106"/>
        <v>58.625968749960883</v>
      </c>
      <c r="AU225" s="13">
        <f t="shared" si="107"/>
        <v>9</v>
      </c>
      <c r="AV225" s="13">
        <f t="shared" si="108"/>
        <v>8</v>
      </c>
      <c r="AW225" s="173">
        <f t="shared" si="109"/>
        <v>43318</v>
      </c>
      <c r="AX225" s="742">
        <f t="shared" si="110"/>
        <v>0.25</v>
      </c>
      <c r="AY225" s="758">
        <f t="shared" si="111"/>
        <v>58.650593749806283</v>
      </c>
      <c r="AZ225" s="735">
        <f t="shared" si="115"/>
        <v>58.638281249883583</v>
      </c>
      <c r="BA225" s="633">
        <f t="shared" si="112"/>
        <v>0.87801492734352826</v>
      </c>
      <c r="BC225" s="11">
        <v>43311</v>
      </c>
      <c r="BD225" s="289">
        <f>[2]!FeuilCaduc*(1-Persistant)+Persistant</f>
        <v>0.99975019811484467</v>
      </c>
      <c r="BE225" s="290">
        <f>[2]!CroissVégét</f>
        <v>0.88656663959603077</v>
      </c>
      <c r="BF225" s="804">
        <f>1+[2]!Salcycl*Ksac</f>
        <v>1.0499750198114846</v>
      </c>
      <c r="BH225" s="1036">
        <f t="shared" si="113"/>
        <v>1.7529985039692216E-3</v>
      </c>
      <c r="BI225" s="11">
        <v>44407</v>
      </c>
      <c r="BJ225" s="715">
        <v>1.7529985039692216E-3</v>
      </c>
      <c r="BK225" s="715">
        <v>1.7529985039692216E-3</v>
      </c>
      <c r="BL225" s="715">
        <v>1.7529985039692216E-3</v>
      </c>
      <c r="BM225" s="715">
        <v>1.7529985039692216E-3</v>
      </c>
      <c r="BN225" s="715">
        <v>1.7529985039692216E-3</v>
      </c>
      <c r="BO225" s="716">
        <v>1.7529985039692216E-3</v>
      </c>
      <c r="BP225" s="715">
        <v>1.7529985039692216E-3</v>
      </c>
      <c r="BQ225" s="715">
        <v>1.7529985039692216E-3</v>
      </c>
      <c r="BR225" s="715">
        <v>1.7529985039692216E-3</v>
      </c>
      <c r="BS225" s="715">
        <v>1.7529985039692216E-3</v>
      </c>
      <c r="BT225" s="715">
        <v>1.7529985039692216E-3</v>
      </c>
      <c r="BW225" s="1188">
        <f>'2019'!R\Max</f>
        <v>0.480685135302238</v>
      </c>
      <c r="BX225" s="1188">
        <f>'2020'!R\Max</f>
        <v>0.85874572739071475</v>
      </c>
      <c r="BY225" s="1188">
        <f>'2021'!R\Max</f>
        <v>0.32204321063238306</v>
      </c>
      <c r="BZ225" s="1188">
        <f>'2022'!R\Max</f>
        <v>0.87801492734352826</v>
      </c>
      <c r="CA225" s="1188">
        <f>'2023'!R\Max</f>
        <v>0.87801492734352826</v>
      </c>
      <c r="CB225" s="1188">
        <f>'2024'!R\Max</f>
        <v>0.87801492734352826</v>
      </c>
      <c r="CC225" s="1188">
        <f>'2025'!R\Max</f>
        <v>0.87801492734352826</v>
      </c>
      <c r="CD225" s="1188">
        <f>'2026'!R\Max</f>
        <v>0.87801492734352848</v>
      </c>
      <c r="CE225" s="1189">
        <f>'2027'!R\Max</f>
        <v>0.87801492734352826</v>
      </c>
      <c r="CF225" s="1191">
        <f>'2028'!R\Max</f>
        <v>0.87801492734352815</v>
      </c>
    </row>
    <row r="226" spans="1:84" s="6" customFormat="1" ht="11.25" x14ac:dyDescent="0.2">
      <c r="A226" s="11">
        <v>43312</v>
      </c>
      <c r="B226" s="379">
        <f>'2023'!Maxi_hp</f>
        <v>58.548108667999664</v>
      </c>
      <c r="C226" s="13">
        <f>'2023'!An_max</f>
        <v>2023</v>
      </c>
      <c r="D226" s="1045">
        <f t="shared" si="97"/>
        <v>1.00037872980777</v>
      </c>
      <c r="E226" s="13"/>
      <c r="F226" s="13">
        <f t="shared" si="114"/>
        <v>17</v>
      </c>
      <c r="G226" s="13">
        <f t="shared" si="98"/>
        <v>16</v>
      </c>
      <c r="H226" s="173">
        <f t="shared" si="99"/>
        <v>43318</v>
      </c>
      <c r="I226" s="742">
        <f t="shared" si="100"/>
        <v>0.42857142857142855</v>
      </c>
      <c r="J226" s="735">
        <f t="shared" si="101"/>
        <v>58.525943148801367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38">
        <v>43312</v>
      </c>
      <c r="AP226" s="13">
        <f t="shared" si="102"/>
        <v>9</v>
      </c>
      <c r="AQ226" s="13">
        <f t="shared" si="103"/>
        <v>10</v>
      </c>
      <c r="AR226" s="173">
        <f t="shared" si="104"/>
        <v>43304</v>
      </c>
      <c r="AS226" s="742">
        <f t="shared" si="105"/>
        <v>0.2857142857142857</v>
      </c>
      <c r="AT226" s="758">
        <f t="shared" si="106"/>
        <v>58.512446064315739</v>
      </c>
      <c r="AU226" s="13">
        <f t="shared" si="107"/>
        <v>9</v>
      </c>
      <c r="AV226" s="13">
        <f t="shared" si="108"/>
        <v>8</v>
      </c>
      <c r="AW226" s="173">
        <f t="shared" si="109"/>
        <v>43318</v>
      </c>
      <c r="AX226" s="742">
        <f t="shared" si="110"/>
        <v>0.21428571428571427</v>
      </c>
      <c r="AY226" s="758">
        <f t="shared" si="111"/>
        <v>58.535635204014497</v>
      </c>
      <c r="AZ226" s="735">
        <f t="shared" si="115"/>
        <v>58.524040634165118</v>
      </c>
      <c r="BA226" s="633">
        <f t="shared" si="112"/>
        <v>1.00037872980777</v>
      </c>
      <c r="BC226" s="11">
        <v>43312</v>
      </c>
      <c r="BD226" s="289">
        <f>[2]!FeuilCaduc*(1-Persistant)+Persistant</f>
        <v>0.99966435059044079</v>
      </c>
      <c r="BE226" s="290">
        <f>[2]!CroissVégét</f>
        <v>0.89064558172697694</v>
      </c>
      <c r="BF226" s="804">
        <f>1+[2]!Salcycl*Ksac</f>
        <v>1.0499664350590441</v>
      </c>
      <c r="BH226" s="1036">
        <f t="shared" si="113"/>
        <v>1.7374652391460097E-3</v>
      </c>
      <c r="BI226" s="11">
        <v>44408</v>
      </c>
      <c r="BJ226" s="715">
        <v>1.7374652391460097E-3</v>
      </c>
      <c r="BK226" s="715">
        <v>1.7374652391460097E-3</v>
      </c>
      <c r="BL226" s="715">
        <v>1.7374652391460097E-3</v>
      </c>
      <c r="BM226" s="715">
        <v>1.7374652391460097E-3</v>
      </c>
      <c r="BN226" s="715">
        <v>1.7374652391460097E-3</v>
      </c>
      <c r="BO226" s="716">
        <v>1.7374652391460097E-3</v>
      </c>
      <c r="BP226" s="715">
        <v>1.7374652391460097E-3</v>
      </c>
      <c r="BQ226" s="715">
        <v>1.7374652391460097E-3</v>
      </c>
      <c r="BR226" s="715">
        <v>1.7374652391460097E-3</v>
      </c>
      <c r="BS226" s="715">
        <v>1.7374652391460097E-3</v>
      </c>
      <c r="BT226" s="715">
        <v>1.7374652391460097E-3</v>
      </c>
      <c r="BW226" s="1188">
        <f>'2019'!R\Max</f>
        <v>0.98983151168169747</v>
      </c>
      <c r="BX226" s="1188">
        <f>'2020'!R\Max</f>
        <v>0.95907529463955898</v>
      </c>
      <c r="BY226" s="1188">
        <f>'2021'!R\Max</f>
        <v>0.22847242399927792</v>
      </c>
      <c r="BZ226" s="1188">
        <f>'2022'!R\Max</f>
        <v>1.00037872980777</v>
      </c>
      <c r="CA226" s="1188">
        <f>'2023'!R\Max</f>
        <v>1.00037872980777</v>
      </c>
      <c r="CB226" s="1188">
        <f>'2024'!R\Max</f>
        <v>1.00037872980777</v>
      </c>
      <c r="CC226" s="1188">
        <f>'2025'!R\Max</f>
        <v>1.00037872980777</v>
      </c>
      <c r="CD226" s="1188">
        <f>'2026'!R\Max</f>
        <v>1.00037872980777</v>
      </c>
      <c r="CE226" s="1189">
        <f>'2027'!R\Max</f>
        <v>1.00037872980777</v>
      </c>
      <c r="CF226" s="1191">
        <f>'2028'!R\Max</f>
        <v>1.00037872980777</v>
      </c>
    </row>
    <row r="227" spans="1:84" s="6" customFormat="1" ht="11.25" x14ac:dyDescent="0.2">
      <c r="A227" s="11">
        <v>43313</v>
      </c>
      <c r="B227" s="379">
        <f>'2023'!Maxi_hp</f>
        <v>58.177629280464245</v>
      </c>
      <c r="C227" s="13">
        <f>'2023'!An_max</f>
        <v>2023</v>
      </c>
      <c r="D227" s="1045">
        <f t="shared" si="97"/>
        <v>0.99598351824544606</v>
      </c>
      <c r="E227" s="13"/>
      <c r="F227" s="13">
        <f t="shared" si="114"/>
        <v>17</v>
      </c>
      <c r="G227" s="13">
        <f t="shared" si="98"/>
        <v>16</v>
      </c>
      <c r="H227" s="173">
        <f t="shared" si="99"/>
        <v>43318</v>
      </c>
      <c r="I227" s="742">
        <f t="shared" si="100"/>
        <v>0.35714285714285715</v>
      </c>
      <c r="J227" s="735">
        <f t="shared" si="101"/>
        <v>58.412240980605453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38">
        <v>43313</v>
      </c>
      <c r="AP227" s="13">
        <f t="shared" si="102"/>
        <v>9</v>
      </c>
      <c r="AQ227" s="13">
        <f t="shared" si="103"/>
        <v>10</v>
      </c>
      <c r="AR227" s="173">
        <f t="shared" si="104"/>
        <v>43304</v>
      </c>
      <c r="AS227" s="742">
        <f t="shared" si="105"/>
        <v>0.32142857142857145</v>
      </c>
      <c r="AT227" s="758">
        <f t="shared" si="106"/>
        <v>58.397864431628435</v>
      </c>
      <c r="AU227" s="13">
        <f t="shared" si="107"/>
        <v>9</v>
      </c>
      <c r="AV227" s="13">
        <f t="shared" si="108"/>
        <v>8</v>
      </c>
      <c r="AW227" s="173">
        <f t="shared" si="109"/>
        <v>43318</v>
      </c>
      <c r="AX227" s="742">
        <f t="shared" si="110"/>
        <v>0.17857142857142858</v>
      </c>
      <c r="AY227" s="758">
        <f t="shared" si="111"/>
        <v>58.419420280493796</v>
      </c>
      <c r="AZ227" s="735">
        <f t="shared" si="115"/>
        <v>58.408642356061115</v>
      </c>
      <c r="BA227" s="633">
        <f t="shared" si="112"/>
        <v>0.99598351824544606</v>
      </c>
      <c r="BC227" s="11">
        <v>43313</v>
      </c>
      <c r="BD227" s="289">
        <f>[2]!FeuilCaduc*(1-Persistant)+Persistant</f>
        <v>0.99954725668386502</v>
      </c>
      <c r="BE227" s="290">
        <f>[2]!CroissVégét</f>
        <v>0.89459569118431537</v>
      </c>
      <c r="BF227" s="804">
        <f>1+[2]!Salcycl*Ksac</f>
        <v>1.0499547256683865</v>
      </c>
      <c r="BH227" s="1036">
        <f t="shared" si="113"/>
        <v>1.7222811393374558E-3</v>
      </c>
      <c r="BI227" s="11">
        <v>44409</v>
      </c>
      <c r="BJ227" s="715">
        <v>1.7222811393374558E-3</v>
      </c>
      <c r="BK227" s="715">
        <v>1.7222811393374558E-3</v>
      </c>
      <c r="BL227" s="715">
        <v>1.7222811393374558E-3</v>
      </c>
      <c r="BM227" s="715">
        <v>1.7222811393374558E-3</v>
      </c>
      <c r="BN227" s="715">
        <v>1.7222811393374558E-3</v>
      </c>
      <c r="BO227" s="716">
        <v>1.7222811393374558E-3</v>
      </c>
      <c r="BP227" s="715">
        <v>1.7222811393374558E-3</v>
      </c>
      <c r="BQ227" s="715">
        <v>1.7222811393374558E-3</v>
      </c>
      <c r="BR227" s="715">
        <v>1.7222811393374558E-3</v>
      </c>
      <c r="BS227" s="715">
        <v>1.7222811393374558E-3</v>
      </c>
      <c r="BT227" s="715">
        <v>1.7222811393374558E-3</v>
      </c>
      <c r="BW227" s="1188">
        <f>'2019'!R\Max</f>
        <v>0.81734883436118622</v>
      </c>
      <c r="BX227" s="1188">
        <f>'2020'!R\Max</f>
        <v>0.93787894369347846</v>
      </c>
      <c r="BY227" s="1188">
        <f>'2021'!R\Max</f>
        <v>0.82041378273444387</v>
      </c>
      <c r="BZ227" s="1188">
        <f>'2022'!R\Max</f>
        <v>0.99598351824544606</v>
      </c>
      <c r="CA227" s="1188">
        <f>'2023'!R\Max</f>
        <v>0.99598351824544606</v>
      </c>
      <c r="CB227" s="1188">
        <f>'2024'!R\Max</f>
        <v>0.99598351824544618</v>
      </c>
      <c r="CC227" s="1188">
        <f>'2025'!R\Max</f>
        <v>0.99598351824544618</v>
      </c>
      <c r="CD227" s="1188">
        <f>'2026'!R\Max</f>
        <v>0.99598351824544618</v>
      </c>
      <c r="CE227" s="1189">
        <f>'2027'!R\Max</f>
        <v>0.99598351824544606</v>
      </c>
      <c r="CF227" s="1191">
        <f>'2028'!R\Max</f>
        <v>0.99598351824544606</v>
      </c>
    </row>
    <row r="228" spans="1:84" s="6" customFormat="1" ht="11.25" x14ac:dyDescent="0.2">
      <c r="A228" s="11">
        <v>43314</v>
      </c>
      <c r="B228" s="379">
        <f>'2023'!Maxi_hp</f>
        <v>58.260640586923572</v>
      </c>
      <c r="C228" s="13">
        <f>'2023'!An_max</f>
        <v>2023</v>
      </c>
      <c r="D228" s="1045">
        <f t="shared" si="97"/>
        <v>0.99937515778508601</v>
      </c>
      <c r="E228" s="13"/>
      <c r="F228" s="13">
        <f t="shared" si="114"/>
        <v>17</v>
      </c>
      <c r="G228" s="13">
        <f t="shared" si="98"/>
        <v>16</v>
      </c>
      <c r="H228" s="173">
        <f t="shared" si="99"/>
        <v>43318</v>
      </c>
      <c r="I228" s="742">
        <f t="shared" si="100"/>
        <v>0.2857142857142857</v>
      </c>
      <c r="J228" s="735">
        <f t="shared" si="101"/>
        <v>58.297067055425472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38">
        <v>43314</v>
      </c>
      <c r="AP228" s="13">
        <f t="shared" si="102"/>
        <v>9</v>
      </c>
      <c r="AQ228" s="13">
        <f t="shared" si="103"/>
        <v>10</v>
      </c>
      <c r="AR228" s="173">
        <f t="shared" si="104"/>
        <v>43304</v>
      </c>
      <c r="AS228" s="742">
        <f t="shared" si="105"/>
        <v>0.35714285714285715</v>
      </c>
      <c r="AT228" s="758">
        <f t="shared" si="106"/>
        <v>58.282170007417768</v>
      </c>
      <c r="AU228" s="13">
        <f t="shared" si="107"/>
        <v>9</v>
      </c>
      <c r="AV228" s="13">
        <f t="shared" si="108"/>
        <v>8</v>
      </c>
      <c r="AW228" s="173">
        <f t="shared" si="109"/>
        <v>43318</v>
      </c>
      <c r="AX228" s="742">
        <f t="shared" si="110"/>
        <v>0.14285714285714285</v>
      </c>
      <c r="AY228" s="758">
        <f t="shared" si="111"/>
        <v>58.301948979656615</v>
      </c>
      <c r="AZ228" s="735">
        <f t="shared" si="115"/>
        <v>58.292059493537195</v>
      </c>
      <c r="BA228" s="633">
        <f t="shared" si="112"/>
        <v>0.99937515778508601</v>
      </c>
      <c r="BC228" s="11">
        <v>43314</v>
      </c>
      <c r="BD228" s="289">
        <f>[2]!FeuilCaduc*(1-Persistant)+Persistant</f>
        <v>0.9994006712119361</v>
      </c>
      <c r="BE228" s="290">
        <f>[2]!CroissVégét</f>
        <v>0.89841979735358901</v>
      </c>
      <c r="BF228" s="804">
        <f>1+[2]!Salcycl*Ksac</f>
        <v>1.0499400671211936</v>
      </c>
      <c r="BH228" s="1036">
        <f t="shared" si="113"/>
        <v>1.7074449941849783E-3</v>
      </c>
      <c r="BI228" s="11">
        <v>44410</v>
      </c>
      <c r="BJ228" s="715">
        <v>1.7074449941849783E-3</v>
      </c>
      <c r="BK228" s="715">
        <v>1.7074449941849783E-3</v>
      </c>
      <c r="BL228" s="715">
        <v>1.7074449941849783E-3</v>
      </c>
      <c r="BM228" s="715">
        <v>1.7074449941849783E-3</v>
      </c>
      <c r="BN228" s="715">
        <v>1.7074449941849783E-3</v>
      </c>
      <c r="BO228" s="716">
        <v>1.7074449941849783E-3</v>
      </c>
      <c r="BP228" s="715">
        <v>1.7074449941849783E-3</v>
      </c>
      <c r="BQ228" s="715">
        <v>1.7074449941849783E-3</v>
      </c>
      <c r="BR228" s="715">
        <v>1.7074449941849783E-3</v>
      </c>
      <c r="BS228" s="715">
        <v>1.7074449941849783E-3</v>
      </c>
      <c r="BT228" s="715">
        <v>1.7074449941849783E-3</v>
      </c>
      <c r="BW228" s="1188">
        <f>'2019'!R\Max</f>
        <v>0.9617583553864868</v>
      </c>
      <c r="BX228" s="1188">
        <f>'2020'!R\Max</f>
        <v>0.83971210435148391</v>
      </c>
      <c r="BY228" s="1188">
        <f>'2021'!R\Max</f>
        <v>0.92858275986628824</v>
      </c>
      <c r="BZ228" s="1188">
        <f>'2022'!R\Max</f>
        <v>0.99937515778508601</v>
      </c>
      <c r="CA228" s="1188">
        <f>'2023'!R\Max</f>
        <v>0.99937515778508601</v>
      </c>
      <c r="CB228" s="1188">
        <f>'2024'!R\Max</f>
        <v>0.9993751577850859</v>
      </c>
      <c r="CC228" s="1188">
        <f>'2025'!R\Max</f>
        <v>0.99937515778508601</v>
      </c>
      <c r="CD228" s="1188">
        <f>'2026'!R\Max</f>
        <v>0.99937515778508623</v>
      </c>
      <c r="CE228" s="1189">
        <f>'2027'!R\Max</f>
        <v>0.99937515778508601</v>
      </c>
      <c r="CF228" s="1191">
        <f>'2028'!R\Max</f>
        <v>0.9993751577850859</v>
      </c>
    </row>
    <row r="229" spans="1:84" s="6" customFormat="1" ht="11.25" x14ac:dyDescent="0.2">
      <c r="A229" s="11">
        <v>43315</v>
      </c>
      <c r="B229" s="379">
        <f>'2023'!Maxi_hp</f>
        <v>57.582416608335059</v>
      </c>
      <c r="C229" s="13">
        <f>'2023'!An_max</f>
        <v>2023</v>
      </c>
      <c r="D229" s="1045">
        <f t="shared" si="97"/>
        <v>0.98972337826311496</v>
      </c>
      <c r="E229" s="13"/>
      <c r="F229" s="13">
        <f t="shared" si="114"/>
        <v>17</v>
      </c>
      <c r="G229" s="13">
        <f t="shared" si="98"/>
        <v>16</v>
      </c>
      <c r="H229" s="173">
        <f t="shared" si="99"/>
        <v>43318</v>
      </c>
      <c r="I229" s="742">
        <f t="shared" si="100"/>
        <v>0.21428571428571427</v>
      </c>
      <c r="J229" s="735">
        <f t="shared" si="101"/>
        <v>58.180313684605061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38">
        <v>43315</v>
      </c>
      <c r="AP229" s="13">
        <f t="shared" si="102"/>
        <v>9</v>
      </c>
      <c r="AQ229" s="13">
        <f t="shared" si="103"/>
        <v>10</v>
      </c>
      <c r="AR229" s="173">
        <f t="shared" si="104"/>
        <v>43304</v>
      </c>
      <c r="AS229" s="742">
        <f t="shared" si="105"/>
        <v>0.39285714285714285</v>
      </c>
      <c r="AT229" s="758">
        <f t="shared" si="106"/>
        <v>58.165308946830088</v>
      </c>
      <c r="AU229" s="13">
        <f t="shared" si="107"/>
        <v>9</v>
      </c>
      <c r="AV229" s="13">
        <f t="shared" si="108"/>
        <v>8</v>
      </c>
      <c r="AW229" s="173">
        <f t="shared" si="109"/>
        <v>43318</v>
      </c>
      <c r="AX229" s="742">
        <f t="shared" si="110"/>
        <v>0.10714285714285714</v>
      </c>
      <c r="AY229" s="758">
        <f t="shared" si="111"/>
        <v>58.183221301063895</v>
      </c>
      <c r="AZ229" s="735">
        <f t="shared" si="115"/>
        <v>58.174265123946995</v>
      </c>
      <c r="BA229" s="633">
        <f t="shared" si="112"/>
        <v>0.98972337826311496</v>
      </c>
      <c r="BC229" s="11">
        <v>43315</v>
      </c>
      <c r="BD229" s="289">
        <f>[2]!FeuilCaduc*(1-Persistant)+Persistant</f>
        <v>0.99922609985397437</v>
      </c>
      <c r="BE229" s="290">
        <f>[2]!CroissVégét</f>
        <v>0.90212075799903491</v>
      </c>
      <c r="BF229" s="804">
        <f>1+[2]!Salcycl*Ksac</f>
        <v>1.0499226099853973</v>
      </c>
      <c r="BH229" s="1036">
        <f t="shared" si="113"/>
        <v>1.6929556346540347E-3</v>
      </c>
      <c r="BI229" s="11">
        <v>44411</v>
      </c>
      <c r="BJ229" s="715">
        <v>1.6929556346540347E-3</v>
      </c>
      <c r="BK229" s="715">
        <v>1.6929556346540347E-3</v>
      </c>
      <c r="BL229" s="715">
        <v>1.6929556346540347E-3</v>
      </c>
      <c r="BM229" s="715">
        <v>1.6929556346540347E-3</v>
      </c>
      <c r="BN229" s="715">
        <v>1.6929556346540347E-3</v>
      </c>
      <c r="BO229" s="716">
        <v>1.6929556346540347E-3</v>
      </c>
      <c r="BP229" s="715">
        <v>1.6929556346540347E-3</v>
      </c>
      <c r="BQ229" s="715">
        <v>1.6929556346540347E-3</v>
      </c>
      <c r="BR229" s="715">
        <v>1.6929556346540347E-3</v>
      </c>
      <c r="BS229" s="715">
        <v>1.6929556346540347E-3</v>
      </c>
      <c r="BT229" s="715">
        <v>1.6929556346540347E-3</v>
      </c>
      <c r="BW229" s="1188">
        <f>'2019'!R\Max</f>
        <v>0.98295928095838303</v>
      </c>
      <c r="BX229" s="1188">
        <f>'2020'!R\Max</f>
        <v>0.61775903091091811</v>
      </c>
      <c r="BY229" s="1188">
        <f>'2021'!R\Max</f>
        <v>0.6815923413015087</v>
      </c>
      <c r="BZ229" s="1188">
        <f>'2022'!R\Max</f>
        <v>0.98972337826311496</v>
      </c>
      <c r="CA229" s="1188">
        <f>'2023'!R\Max</f>
        <v>0.98972337826311496</v>
      </c>
      <c r="CB229" s="1188">
        <f>'2024'!R\Max</f>
        <v>0.98972337826311496</v>
      </c>
      <c r="CC229" s="1188">
        <f>'2025'!R\Max</f>
        <v>0.98972337826311496</v>
      </c>
      <c r="CD229" s="1188">
        <f>'2026'!R\Max</f>
        <v>0.98972337826311496</v>
      </c>
      <c r="CE229" s="1189">
        <f>'2027'!R\Max</f>
        <v>0.98972337826311507</v>
      </c>
      <c r="CF229" s="1191">
        <f>'2028'!R\Max</f>
        <v>0.98972337826311496</v>
      </c>
    </row>
    <row r="230" spans="1:84" s="6" customFormat="1" ht="11.25" x14ac:dyDescent="0.2">
      <c r="A230" s="11">
        <v>43316</v>
      </c>
      <c r="B230" s="379">
        <f>'2023'!Maxi_hp</f>
        <v>55.96960592532713</v>
      </c>
      <c r="C230" s="13">
        <f>'2023'!An_max</f>
        <v>2023</v>
      </c>
      <c r="D230" s="1045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73">
        <f t="shared" si="99"/>
        <v>43318</v>
      </c>
      <c r="I230" s="742">
        <f t="shared" si="100"/>
        <v>0.14285714285714285</v>
      </c>
      <c r="J230" s="735">
        <f t="shared" si="101"/>
        <v>58.061873178157427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38">
        <v>43316</v>
      </c>
      <c r="AP230" s="13">
        <f t="shared" si="102"/>
        <v>9</v>
      </c>
      <c r="AQ230" s="13">
        <f t="shared" si="103"/>
        <v>10</v>
      </c>
      <c r="AR230" s="173">
        <f t="shared" si="104"/>
        <v>43304</v>
      </c>
      <c r="AS230" s="742">
        <f t="shared" si="105"/>
        <v>0.42857142857142855</v>
      </c>
      <c r="AT230" s="758">
        <f t="shared" si="106"/>
        <v>58.047227405277752</v>
      </c>
      <c r="AU230" s="13">
        <f t="shared" si="107"/>
        <v>9</v>
      </c>
      <c r="AV230" s="13">
        <f t="shared" si="108"/>
        <v>8</v>
      </c>
      <c r="AW230" s="173">
        <f t="shared" si="109"/>
        <v>43318</v>
      </c>
      <c r="AX230" s="742">
        <f t="shared" si="110"/>
        <v>7.1428571428571425E-2</v>
      </c>
      <c r="AY230" s="758">
        <f t="shared" si="111"/>
        <v>58.063237244995051</v>
      </c>
      <c r="AZ230" s="735">
        <f t="shared" si="115"/>
        <v>58.055232325136402</v>
      </c>
      <c r="BA230" s="633">
        <f t="shared" si="112"/>
        <v>0.9639648681948243</v>
      </c>
      <c r="BC230" s="11">
        <v>43316</v>
      </c>
      <c r="BD230" s="289">
        <f>[2]!FeuilCaduc*(1-Persistant)+Persistant</f>
        <v>0.99902480615362221</v>
      </c>
      <c r="BE230" s="290">
        <f>[2]!CroissVégét</f>
        <v>0.90570145106838851</v>
      </c>
      <c r="BF230" s="804">
        <f>1+[2]!Salcycl*Ksac</f>
        <v>1.0499024806153623</v>
      </c>
      <c r="BH230" s="1036">
        <f t="shared" si="113"/>
        <v>1.6788119320349014E-3</v>
      </c>
      <c r="BI230" s="11">
        <v>44412</v>
      </c>
      <c r="BJ230" s="715">
        <v>1.6788119320349014E-3</v>
      </c>
      <c r="BK230" s="715">
        <v>1.6788119320349014E-3</v>
      </c>
      <c r="BL230" s="715">
        <v>1.6788119320349014E-3</v>
      </c>
      <c r="BM230" s="715">
        <v>1.6788119320349014E-3</v>
      </c>
      <c r="BN230" s="715">
        <v>1.6788119320349014E-3</v>
      </c>
      <c r="BO230" s="716">
        <v>1.6788119320349014E-3</v>
      </c>
      <c r="BP230" s="715">
        <v>1.6788119320349014E-3</v>
      </c>
      <c r="BQ230" s="715">
        <v>1.6788119320349014E-3</v>
      </c>
      <c r="BR230" s="715">
        <v>1.6788119320349014E-3</v>
      </c>
      <c r="BS230" s="715">
        <v>1.6788119320349014E-3</v>
      </c>
      <c r="BT230" s="715">
        <v>1.6788119320349014E-3</v>
      </c>
      <c r="BW230" s="1188">
        <f>'2019'!R\Max</f>
        <v>0.95244848650907565</v>
      </c>
      <c r="BX230" s="1188">
        <f>'2020'!R\Max</f>
        <v>0.89313935702123171</v>
      </c>
      <c r="BY230" s="1188">
        <f>'2021'!R\Max</f>
        <v>0.54734723958831655</v>
      </c>
      <c r="BZ230" s="1188">
        <f>'2022'!R\Max</f>
        <v>0.9639648681948243</v>
      </c>
      <c r="CA230" s="1188">
        <f>'2023'!R\Max</f>
        <v>0.9639648681948243</v>
      </c>
      <c r="CB230" s="1188">
        <f>'2024'!R\Max</f>
        <v>0.9639648681948243</v>
      </c>
      <c r="CC230" s="1188">
        <f>'2025'!R\Max</f>
        <v>0.9639648681948243</v>
      </c>
      <c r="CD230" s="1188">
        <f>'2026'!R\Max</f>
        <v>0.9639648681948243</v>
      </c>
      <c r="CE230" s="1189">
        <f>'2027'!R\Max</f>
        <v>0.96396486819482441</v>
      </c>
      <c r="CF230" s="1191">
        <f>'2028'!R\Max</f>
        <v>0.96396486819482441</v>
      </c>
    </row>
    <row r="231" spans="1:84" s="6" customFormat="1" ht="11.25" x14ac:dyDescent="0.2">
      <c r="A231" s="11">
        <v>43317</v>
      </c>
      <c r="B231" s="379">
        <f>'2023'!Maxi_hp</f>
        <v>54.752335956396053</v>
      </c>
      <c r="C231" s="13">
        <f>'2023'!An_max</f>
        <v>2020</v>
      </c>
      <c r="D231" s="1045" t="str">
        <f t="shared" si="97"/>
        <v/>
      </c>
      <c r="E231" s="13"/>
      <c r="F231" s="13">
        <f t="shared" si="114"/>
        <v>17</v>
      </c>
      <c r="G231" s="13">
        <f t="shared" si="98"/>
        <v>16</v>
      </c>
      <c r="H231" s="173">
        <f t="shared" si="99"/>
        <v>43318</v>
      </c>
      <c r="I231" s="742">
        <f t="shared" si="100"/>
        <v>7.1428571428571425E-2</v>
      </c>
      <c r="J231" s="735">
        <f t="shared" si="101"/>
        <v>57.941637846415063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38">
        <v>43317</v>
      </c>
      <c r="AP231" s="13">
        <f t="shared" si="102"/>
        <v>9</v>
      </c>
      <c r="AQ231" s="13">
        <f t="shared" si="103"/>
        <v>10</v>
      </c>
      <c r="AR231" s="173">
        <f t="shared" si="104"/>
        <v>43304</v>
      </c>
      <c r="AS231" s="742">
        <f t="shared" si="105"/>
        <v>0.4642857142857143</v>
      </c>
      <c r="AT231" s="758">
        <f t="shared" si="106"/>
        <v>57.927871538060046</v>
      </c>
      <c r="AU231" s="13">
        <f t="shared" si="107"/>
        <v>9</v>
      </c>
      <c r="AV231" s="13">
        <f t="shared" si="108"/>
        <v>8</v>
      </c>
      <c r="AW231" s="173">
        <f t="shared" si="109"/>
        <v>43318</v>
      </c>
      <c r="AX231" s="742">
        <f t="shared" si="110"/>
        <v>3.5714285714285712E-2</v>
      </c>
      <c r="AY231" s="758">
        <f t="shared" si="111"/>
        <v>57.94199681096444</v>
      </c>
      <c r="AZ231" s="735">
        <f t="shared" si="115"/>
        <v>57.934934174512243</v>
      </c>
      <c r="BA231" s="633">
        <f t="shared" si="112"/>
        <v>0.94495664933613299</v>
      </c>
      <c r="BC231" s="11">
        <v>43317</v>
      </c>
      <c r="BD231" s="289">
        <f>[2]!FeuilCaduc*(1-Persistant)+Persistant</f>
        <v>0.99879781978725124</v>
      </c>
      <c r="BE231" s="290">
        <f>[2]!CroissVégét</f>
        <v>0.90916476701567317</v>
      </c>
      <c r="BF231" s="804">
        <f>1+[2]!Salcycl*Ksac</f>
        <v>1.0498797819787251</v>
      </c>
      <c r="BH231" s="1036">
        <f t="shared" si="113"/>
        <v>1.665012796937112E-3</v>
      </c>
      <c r="BI231" s="11">
        <v>44413</v>
      </c>
      <c r="BJ231" s="715">
        <v>1.6650127969371118E-3</v>
      </c>
      <c r="BK231" s="715">
        <v>1.665012796937112E-3</v>
      </c>
      <c r="BL231" s="715">
        <v>1.665012796937112E-3</v>
      </c>
      <c r="BM231" s="715">
        <v>1.665012796937112E-3</v>
      </c>
      <c r="BN231" s="715">
        <v>1.665012796937112E-3</v>
      </c>
      <c r="BO231" s="716">
        <v>1.665012796937112E-3</v>
      </c>
      <c r="BP231" s="715">
        <v>1.665012796937112E-3</v>
      </c>
      <c r="BQ231" s="715">
        <v>1.665012796937112E-3</v>
      </c>
      <c r="BR231" s="715">
        <v>1.665012796937112E-3</v>
      </c>
      <c r="BS231" s="715">
        <v>1.665012796937112E-3</v>
      </c>
      <c r="BT231" s="715">
        <v>1.6650127969371118E-3</v>
      </c>
      <c r="BW231" s="1188">
        <f>'2019'!R\Max</f>
        <v>0.93699293024310359</v>
      </c>
      <c r="BX231" s="1188">
        <f>'2020'!R\Max</f>
        <v>0.94495664933613299</v>
      </c>
      <c r="BY231" s="1188">
        <f>'2021'!R\Max</f>
        <v>0.84153944130229408</v>
      </c>
      <c r="BZ231" s="1188">
        <f>'2022'!R\Max</f>
        <v>0.79595216320881057</v>
      </c>
      <c r="CA231" s="1188">
        <f>'2023'!R\Max</f>
        <v>0.79595216320881068</v>
      </c>
      <c r="CB231" s="1188">
        <f>'2024'!R\Max</f>
        <v>0.79595216320881057</v>
      </c>
      <c r="CC231" s="1188">
        <f>'2025'!R\Max</f>
        <v>0.79595216320881057</v>
      </c>
      <c r="CD231" s="1188">
        <f>'2026'!R\Max</f>
        <v>0.79595216320881057</v>
      </c>
      <c r="CE231" s="1189">
        <f>'2027'!R\Max</f>
        <v>0.79595216320881068</v>
      </c>
      <c r="CF231" s="1191">
        <f>'2028'!R\Max</f>
        <v>0.79595216320881068</v>
      </c>
    </row>
    <row r="232" spans="1:84" s="6" customFormat="1" ht="11.25" x14ac:dyDescent="0.2">
      <c r="A232" s="11">
        <v>43318</v>
      </c>
      <c r="B232" s="379">
        <f>'2023'!Maxi_hp</f>
        <v>57.804553829679008</v>
      </c>
      <c r="C232" s="13">
        <f>'2023'!An_max</f>
        <v>2020</v>
      </c>
      <c r="D232" s="1045">
        <f t="shared" si="97"/>
        <v>0.99974150294386832</v>
      </c>
      <c r="E232" s="1040">
        <f>AC$13/10</f>
        <v>57.819499999999991</v>
      </c>
      <c r="F232" s="13">
        <f t="shared" si="114"/>
        <v>17</v>
      </c>
      <c r="G232" s="13">
        <f t="shared" si="98"/>
        <v>18</v>
      </c>
      <c r="H232" s="173">
        <f t="shared" si="99"/>
        <v>43318</v>
      </c>
      <c r="I232" s="742">
        <f t="shared" si="100"/>
        <v>0</v>
      </c>
      <c r="J232" s="735">
        <f t="shared" si="101"/>
        <v>57.819500000216067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38">
        <v>43318</v>
      </c>
      <c r="AP232" s="13">
        <f t="shared" si="102"/>
        <v>9</v>
      </c>
      <c r="AQ232" s="13">
        <f t="shared" si="103"/>
        <v>10</v>
      </c>
      <c r="AR232" s="173">
        <f t="shared" si="104"/>
        <v>43304</v>
      </c>
      <c r="AS232" s="742">
        <f t="shared" si="105"/>
        <v>0.5</v>
      </c>
      <c r="AT232" s="758">
        <f t="shared" si="106"/>
        <v>57.807187500037251</v>
      </c>
      <c r="AU232" s="13">
        <f t="shared" si="107"/>
        <v>9</v>
      </c>
      <c r="AV232" s="13">
        <f t="shared" si="108"/>
        <v>10</v>
      </c>
      <c r="AW232" s="173">
        <f t="shared" si="109"/>
        <v>43318</v>
      </c>
      <c r="AX232" s="742">
        <f t="shared" si="110"/>
        <v>0</v>
      </c>
      <c r="AY232" s="758">
        <f t="shared" si="111"/>
        <v>57.819499999843536</v>
      </c>
      <c r="AZ232" s="735">
        <f t="shared" si="115"/>
        <v>57.813343749940394</v>
      </c>
      <c r="BA232" s="633">
        <f t="shared" si="112"/>
        <v>0.99974150294386832</v>
      </c>
      <c r="BC232" s="11">
        <v>43318</v>
      </c>
      <c r="BD232" s="289">
        <f>[2]!FeuilCaduc*(1-Persistant)+Persistant</f>
        <v>0.9985459459350885</v>
      </c>
      <c r="BE232" s="290">
        <f>[2]!CroissVégét</f>
        <v>0.91251360163473627</v>
      </c>
      <c r="BF232" s="804">
        <f>1+[2]!Salcycl*Ksac</f>
        <v>1.0498545945935089</v>
      </c>
      <c r="BH232" s="1036">
        <f t="shared" si="113"/>
        <v>1.6515571782902375E-3</v>
      </c>
      <c r="BI232" s="11">
        <v>44414</v>
      </c>
      <c r="BJ232" s="715">
        <v>1.6515571782902375E-3</v>
      </c>
      <c r="BK232" s="715">
        <v>1.6515571782902375E-3</v>
      </c>
      <c r="BL232" s="715">
        <v>1.6515571782902375E-3</v>
      </c>
      <c r="BM232" s="715">
        <v>1.6515571782902375E-3</v>
      </c>
      <c r="BN232" s="715">
        <v>1.6515571782902375E-3</v>
      </c>
      <c r="BO232" s="716">
        <v>1.6515571782902375E-3</v>
      </c>
      <c r="BP232" s="715">
        <v>1.6515571782902375E-3</v>
      </c>
      <c r="BQ232" s="715">
        <v>1.6515571782902375E-3</v>
      </c>
      <c r="BR232" s="715">
        <v>1.6515571782902375E-3</v>
      </c>
      <c r="BS232" s="715">
        <v>1.6515571782902375E-3</v>
      </c>
      <c r="BT232" s="715">
        <v>1.6515571782902375E-3</v>
      </c>
      <c r="BW232" s="1188">
        <f>'2019'!R\Max</f>
        <v>0.71102762273376707</v>
      </c>
      <c r="BX232" s="1188">
        <f>'2020'!R\Max</f>
        <v>0.99974150294386832</v>
      </c>
      <c r="BY232" s="1188">
        <f>'2021'!R\Max</f>
        <v>0.35948685776991185</v>
      </c>
      <c r="BZ232" s="1188">
        <f>'2022'!R\Max</f>
        <v>0.93918994082779939</v>
      </c>
      <c r="CA232" s="1188">
        <f>'2023'!R\Max</f>
        <v>0.93918994082779927</v>
      </c>
      <c r="CB232" s="1188">
        <f>'2024'!R\Max</f>
        <v>0.93918994082779927</v>
      </c>
      <c r="CC232" s="1188">
        <f>'2025'!R\Max</f>
        <v>0.93918994082779916</v>
      </c>
      <c r="CD232" s="1188">
        <f>'2026'!R\Max</f>
        <v>0.93918994082779916</v>
      </c>
      <c r="CE232" s="1189">
        <f>'2027'!R\Max</f>
        <v>0.93918994082779927</v>
      </c>
      <c r="CF232" s="1191">
        <f>'2028'!R\Max</f>
        <v>0.93918994082779927</v>
      </c>
    </row>
    <row r="233" spans="1:84" s="6" customFormat="1" ht="11.25" x14ac:dyDescent="0.2">
      <c r="A233" s="11">
        <v>43319</v>
      </c>
      <c r="B233" s="379">
        <f>'2023'!Maxi_hp</f>
        <v>56.930532447557674</v>
      </c>
      <c r="C233" s="13">
        <f>'2023'!An_max</f>
        <v>2023</v>
      </c>
      <c r="D233" s="1045">
        <f t="shared" si="97"/>
        <v>0.98674321419123134</v>
      </c>
      <c r="E233" s="13"/>
      <c r="F233" s="13">
        <f t="shared" si="114"/>
        <v>17</v>
      </c>
      <c r="G233" s="13">
        <f t="shared" si="98"/>
        <v>18</v>
      </c>
      <c r="H233" s="173">
        <f t="shared" si="99"/>
        <v>43318</v>
      </c>
      <c r="I233" s="742">
        <f t="shared" si="100"/>
        <v>7.1428571428571425E-2</v>
      </c>
      <c r="J233" s="735">
        <f t="shared" si="101"/>
        <v>57.695387846391114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38">
        <v>43319</v>
      </c>
      <c r="AP233" s="13">
        <f t="shared" si="102"/>
        <v>9</v>
      </c>
      <c r="AQ233" s="13">
        <f t="shared" si="103"/>
        <v>10</v>
      </c>
      <c r="AR233" s="173">
        <f t="shared" si="104"/>
        <v>43304</v>
      </c>
      <c r="AS233" s="742">
        <f t="shared" si="105"/>
        <v>0.5357142857142857</v>
      </c>
      <c r="AT233" s="758">
        <f t="shared" si="106"/>
        <v>57.685121446914444</v>
      </c>
      <c r="AU233" s="13">
        <f t="shared" si="107"/>
        <v>9</v>
      </c>
      <c r="AV233" s="13">
        <f t="shared" si="108"/>
        <v>10</v>
      </c>
      <c r="AW233" s="173">
        <f t="shared" si="109"/>
        <v>43318</v>
      </c>
      <c r="AX233" s="742">
        <f t="shared" si="110"/>
        <v>3.5714285714285712E-2</v>
      </c>
      <c r="AY233" s="758">
        <f t="shared" si="111"/>
        <v>57.696534290630382</v>
      </c>
      <c r="AZ233" s="735">
        <f t="shared" si="115"/>
        <v>57.690827868772416</v>
      </c>
      <c r="BA233" s="633">
        <f t="shared" si="112"/>
        <v>0.98674321419123134</v>
      </c>
      <c r="BC233" s="11">
        <v>43319</v>
      </c>
      <c r="BD233" s="289">
        <f>[2]!FeuilCaduc*(1-Persistant)+Persistant</f>
        <v>0.99826977558451058</v>
      </c>
      <c r="BE233" s="290">
        <f>[2]!CroissVégét</f>
        <v>0.91575084939386342</v>
      </c>
      <c r="BF233" s="804">
        <f>1+[2]!Salcycl*Ksac</f>
        <v>1.049826977558451</v>
      </c>
      <c r="BH233" s="1036">
        <f t="shared" si="113"/>
        <v>1.6384440623351986E-3</v>
      </c>
      <c r="BI233" s="11">
        <v>44415</v>
      </c>
      <c r="BJ233" s="715">
        <v>1.6384440623351986E-3</v>
      </c>
      <c r="BK233" s="715">
        <v>1.6384440623351986E-3</v>
      </c>
      <c r="BL233" s="715">
        <v>1.6384440623351986E-3</v>
      </c>
      <c r="BM233" s="715">
        <v>1.6384440623351986E-3</v>
      </c>
      <c r="BN233" s="715">
        <v>1.6384440623351986E-3</v>
      </c>
      <c r="BO233" s="716">
        <v>1.6384440623351986E-3</v>
      </c>
      <c r="BP233" s="715">
        <v>1.6384440623351986E-3</v>
      </c>
      <c r="BQ233" s="715">
        <v>1.6384440623351986E-3</v>
      </c>
      <c r="BR233" s="715">
        <v>1.6384440623351986E-3</v>
      </c>
      <c r="BS233" s="715">
        <v>1.6384440623351986E-3</v>
      </c>
      <c r="BT233" s="715">
        <v>1.6384440623351986E-3</v>
      </c>
      <c r="BW233" s="1188">
        <f>'2019'!R\Max</f>
        <v>0.73975939353500286</v>
      </c>
      <c r="BX233" s="1188">
        <f>'2020'!R\Max</f>
        <v>0.97676994791978744</v>
      </c>
      <c r="BY233" s="1188">
        <f>'2021'!R\Max</f>
        <v>0.45312896499850391</v>
      </c>
      <c r="BZ233" s="1188">
        <f>'2022'!R\Max</f>
        <v>0.98674321419123134</v>
      </c>
      <c r="CA233" s="1188">
        <f>'2023'!R\Max</f>
        <v>0.98674321419123134</v>
      </c>
      <c r="CB233" s="1188">
        <f>'2024'!R\Max</f>
        <v>0.98674321419123134</v>
      </c>
      <c r="CC233" s="1188">
        <f>'2025'!R\Max</f>
        <v>0.98674321419123123</v>
      </c>
      <c r="CD233" s="1188">
        <f>'2026'!R\Max</f>
        <v>0.98674321419123134</v>
      </c>
      <c r="CE233" s="1189">
        <f>'2027'!R\Max</f>
        <v>0.98674321419123123</v>
      </c>
      <c r="CF233" s="1191">
        <f>'2028'!R\Max</f>
        <v>0.98674321419123134</v>
      </c>
    </row>
    <row r="234" spans="1:84" s="6" customFormat="1" ht="11.25" x14ac:dyDescent="0.2">
      <c r="A234" s="11">
        <v>43320</v>
      </c>
      <c r="B234" s="379">
        <f>'2023'!Maxi_hp</f>
        <v>57.743751717164187</v>
      </c>
      <c r="C234" s="13">
        <f>'2023'!An_max</f>
        <v>2023</v>
      </c>
      <c r="D234" s="1045">
        <f t="shared" si="97"/>
        <v>1.0030290157698138</v>
      </c>
      <c r="E234" s="13"/>
      <c r="F234" s="13">
        <f t="shared" si="114"/>
        <v>17</v>
      </c>
      <c r="G234" s="13">
        <f t="shared" si="98"/>
        <v>18</v>
      </c>
      <c r="H234" s="173">
        <f t="shared" si="99"/>
        <v>43318</v>
      </c>
      <c r="I234" s="742">
        <f t="shared" si="100"/>
        <v>0.14285714285714285</v>
      </c>
      <c r="J234" s="735">
        <f t="shared" si="101"/>
        <v>57.569373177949878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38">
        <v>43320</v>
      </c>
      <c r="AP234" s="13">
        <f t="shared" si="102"/>
        <v>9</v>
      </c>
      <c r="AQ234" s="13">
        <f t="shared" si="103"/>
        <v>10</v>
      </c>
      <c r="AR234" s="173">
        <f t="shared" si="104"/>
        <v>43304</v>
      </c>
      <c r="AS234" s="742">
        <f t="shared" si="105"/>
        <v>0.5714285714285714</v>
      </c>
      <c r="AT234" s="758">
        <f t="shared" si="106"/>
        <v>57.561619533598424</v>
      </c>
      <c r="AU234" s="13">
        <f t="shared" si="107"/>
        <v>9</v>
      </c>
      <c r="AV234" s="13">
        <f t="shared" si="108"/>
        <v>10</v>
      </c>
      <c r="AW234" s="173">
        <f t="shared" si="109"/>
        <v>43318</v>
      </c>
      <c r="AX234" s="742">
        <f t="shared" si="110"/>
        <v>7.1428571428571425E-2</v>
      </c>
      <c r="AY234" s="758">
        <f t="shared" si="111"/>
        <v>57.573770499162904</v>
      </c>
      <c r="AZ234" s="735">
        <f t="shared" si="115"/>
        <v>57.567695016380668</v>
      </c>
      <c r="BA234" s="633">
        <f t="shared" si="112"/>
        <v>1.0030290157698138</v>
      </c>
      <c r="BC234" s="11">
        <v>43320</v>
      </c>
      <c r="BD234" s="289">
        <f>[2]!FeuilCaduc*(1-Persistant)+Persistant</f>
        <v>0.99796969659029156</v>
      </c>
      <c r="BE234" s="290">
        <f>[2]!CroissVégét</f>
        <v>0.91887939725970647</v>
      </c>
      <c r="BF234" s="804">
        <f>1+[2]!Salcycl*Ksac</f>
        <v>1.0497969696590292</v>
      </c>
      <c r="BH234" s="1036">
        <f t="shared" si="113"/>
        <v>1.6254138879377223E-3</v>
      </c>
      <c r="BI234" s="11">
        <v>44416</v>
      </c>
      <c r="BJ234" s="715">
        <v>1.6254138879377223E-3</v>
      </c>
      <c r="BK234" s="715">
        <v>1.6254138879377223E-3</v>
      </c>
      <c r="BL234" s="715">
        <v>1.6254138879377223E-3</v>
      </c>
      <c r="BM234" s="715">
        <v>1.6254138879377223E-3</v>
      </c>
      <c r="BN234" s="715">
        <v>1.6254138879377223E-3</v>
      </c>
      <c r="BO234" s="716">
        <v>1.6254138879377223E-3</v>
      </c>
      <c r="BP234" s="715">
        <v>1.6254138879377223E-3</v>
      </c>
      <c r="BQ234" s="715">
        <v>1.6254138879377223E-3</v>
      </c>
      <c r="BR234" s="715">
        <v>1.6254138879377223E-3</v>
      </c>
      <c r="BS234" s="715">
        <v>1.6254138879377223E-3</v>
      </c>
      <c r="BT234" s="715">
        <v>1.6254138879377223E-3</v>
      </c>
      <c r="BW234" s="1188">
        <f>'2019'!R\Max</f>
        <v>0.94615949045592262</v>
      </c>
      <c r="BX234" s="1188">
        <f>'2020'!R\Max</f>
        <v>0.96902267600587733</v>
      </c>
      <c r="BY234" s="1188">
        <f>'2021'!R\Max</f>
        <v>0.77307493639842662</v>
      </c>
      <c r="BZ234" s="1188">
        <f>'2022'!R\Max</f>
        <v>1.0030290157698138</v>
      </c>
      <c r="CA234" s="1188">
        <f>'2023'!R\Max</f>
        <v>1.0030290157698138</v>
      </c>
      <c r="CB234" s="1188">
        <f>'2024'!R\Max</f>
        <v>1.0030290157698138</v>
      </c>
      <c r="CC234" s="1188">
        <f>'2025'!R\Max</f>
        <v>1.0030290157698138</v>
      </c>
      <c r="CD234" s="1188">
        <f>'2026'!R\Max</f>
        <v>1.0030290157698138</v>
      </c>
      <c r="CE234" s="1189">
        <f>'2027'!R\Max</f>
        <v>1.0030290157698138</v>
      </c>
      <c r="CF234" s="1191">
        <f>'2028'!R\Max</f>
        <v>1.0030290157698138</v>
      </c>
    </row>
    <row r="235" spans="1:84" s="6" customFormat="1" ht="11.25" x14ac:dyDescent="0.2">
      <c r="A235" s="11">
        <v>43321</v>
      </c>
      <c r="B235" s="379">
        <f>'2023'!Maxi_hp</f>
        <v>56.250511188466319</v>
      </c>
      <c r="C235" s="13">
        <f>'2023'!An_max</f>
        <v>2021</v>
      </c>
      <c r="D235" s="1045">
        <f t="shared" si="97"/>
        <v>0.97926497087356268</v>
      </c>
      <c r="E235" s="13"/>
      <c r="F235" s="13">
        <f t="shared" si="114"/>
        <v>17</v>
      </c>
      <c r="G235" s="13">
        <f t="shared" si="98"/>
        <v>18</v>
      </c>
      <c r="H235" s="173">
        <f t="shared" si="99"/>
        <v>43318</v>
      </c>
      <c r="I235" s="742">
        <f t="shared" si="100"/>
        <v>0.21428571428571427</v>
      </c>
      <c r="J235" s="735">
        <f t="shared" si="101"/>
        <v>57.441563684533222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38">
        <v>43321</v>
      </c>
      <c r="AP235" s="13">
        <f t="shared" si="102"/>
        <v>9</v>
      </c>
      <c r="AQ235" s="13">
        <f t="shared" si="103"/>
        <v>10</v>
      </c>
      <c r="AR235" s="173">
        <f t="shared" si="104"/>
        <v>43304</v>
      </c>
      <c r="AS235" s="742">
        <f t="shared" si="105"/>
        <v>0.6071428571428571</v>
      </c>
      <c r="AT235" s="758">
        <f t="shared" si="106"/>
        <v>57.436627915448376</v>
      </c>
      <c r="AU235" s="13">
        <f t="shared" si="107"/>
        <v>9</v>
      </c>
      <c r="AV235" s="13">
        <f t="shared" si="108"/>
        <v>10</v>
      </c>
      <c r="AW235" s="173">
        <f t="shared" si="109"/>
        <v>43318</v>
      </c>
      <c r="AX235" s="742">
        <f t="shared" si="110"/>
        <v>0.10714285714285714</v>
      </c>
      <c r="AY235" s="758">
        <f t="shared" si="111"/>
        <v>57.451033630188832</v>
      </c>
      <c r="AZ235" s="735">
        <f t="shared" si="115"/>
        <v>57.4438307728186</v>
      </c>
      <c r="BA235" s="633">
        <f t="shared" si="112"/>
        <v>0.97926497087356268</v>
      </c>
      <c r="BC235" s="11">
        <v>43321</v>
      </c>
      <c r="BD235" s="289">
        <f>[2]!FeuilCaduc*(1-Persistant)+Persistant</f>
        <v>0.99764590531397745</v>
      </c>
      <c r="BE235" s="290">
        <f>[2]!CroissVégét</f>
        <v>0.92190211899696306</v>
      </c>
      <c r="BF235" s="804">
        <f>1+[2]!Salcycl*Ksac</f>
        <v>1.0497645905313977</v>
      </c>
      <c r="BH235" s="1036">
        <f t="shared" si="113"/>
        <v>1.61334713026977E-3</v>
      </c>
      <c r="BI235" s="11">
        <v>44417</v>
      </c>
      <c r="BJ235" s="715">
        <v>1.61334713026977E-3</v>
      </c>
      <c r="BK235" s="715">
        <v>1.61334713026977E-3</v>
      </c>
      <c r="BL235" s="715">
        <v>1.61334713026977E-3</v>
      </c>
      <c r="BM235" s="715">
        <v>1.61334713026977E-3</v>
      </c>
      <c r="BN235" s="715">
        <v>1.61334713026977E-3</v>
      </c>
      <c r="BO235" s="716">
        <v>1.61334713026977E-3</v>
      </c>
      <c r="BP235" s="715">
        <v>1.61334713026977E-3</v>
      </c>
      <c r="BQ235" s="715">
        <v>1.61334713026977E-3</v>
      </c>
      <c r="BR235" s="715">
        <v>1.61334713026977E-3</v>
      </c>
      <c r="BS235" s="715">
        <v>1.61334713026977E-3</v>
      </c>
      <c r="BT235" s="715">
        <v>1.61334713026977E-3</v>
      </c>
      <c r="BW235" s="1188">
        <f>'2019'!R\Max</f>
        <v>0.94277722695232902</v>
      </c>
      <c r="BX235" s="1188">
        <f>'2020'!R\Max</f>
        <v>0.92116233373403933</v>
      </c>
      <c r="BY235" s="1188">
        <f>'2021'!R\Max</f>
        <v>0.97926497087356268</v>
      </c>
      <c r="BZ235" s="1188">
        <f>'2022'!R\Max</f>
        <v>0.96548888644004527</v>
      </c>
      <c r="CA235" s="1188">
        <f>'2023'!R\Max</f>
        <v>0.96548888644004527</v>
      </c>
      <c r="CB235" s="1188">
        <f>'2024'!R\Max</f>
        <v>0.96548888644004527</v>
      </c>
      <c r="CC235" s="1188">
        <f>'2025'!R\Max</f>
        <v>0.96548888644004527</v>
      </c>
      <c r="CD235" s="1188">
        <f>'2026'!R\Max</f>
        <v>0.96548888644004505</v>
      </c>
      <c r="CE235" s="1189">
        <f>'2027'!R\Max</f>
        <v>0.96548888644004538</v>
      </c>
      <c r="CF235" s="1191">
        <f>'2028'!R\Max</f>
        <v>0.96548888644004538</v>
      </c>
    </row>
    <row r="236" spans="1:84" s="6" customFormat="1" ht="11.25" x14ac:dyDescent="0.2">
      <c r="A236" s="11">
        <v>43322</v>
      </c>
      <c r="B236" s="379">
        <f>'2023'!Maxi_hp</f>
        <v>54.321267794225101</v>
      </c>
      <c r="C236" s="13">
        <f>'2023'!An_max</f>
        <v>2021</v>
      </c>
      <c r="D236" s="1045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73">
        <f t="shared" si="99"/>
        <v>43318</v>
      </c>
      <c r="I236" s="742">
        <f t="shared" si="100"/>
        <v>0.2857142857142857</v>
      </c>
      <c r="J236" s="735">
        <f t="shared" si="101"/>
        <v>57.312067055648996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38">
        <v>43322</v>
      </c>
      <c r="AP236" s="13">
        <f t="shared" si="102"/>
        <v>9</v>
      </c>
      <c r="AQ236" s="13">
        <f t="shared" si="103"/>
        <v>10</v>
      </c>
      <c r="AR236" s="173">
        <f t="shared" si="104"/>
        <v>43304</v>
      </c>
      <c r="AS236" s="742">
        <f t="shared" si="105"/>
        <v>0.6428571428571429</v>
      </c>
      <c r="AT236" s="758">
        <f t="shared" si="106"/>
        <v>57.310092747850078</v>
      </c>
      <c r="AU236" s="13">
        <f t="shared" si="107"/>
        <v>9</v>
      </c>
      <c r="AV236" s="13">
        <f t="shared" si="108"/>
        <v>10</v>
      </c>
      <c r="AW236" s="173">
        <f t="shared" si="109"/>
        <v>43318</v>
      </c>
      <c r="AX236" s="742">
        <f t="shared" si="110"/>
        <v>0.14285714285714285</v>
      </c>
      <c r="AY236" s="758">
        <f t="shared" si="111"/>
        <v>57.328148687896984</v>
      </c>
      <c r="AZ236" s="735">
        <f t="shared" si="115"/>
        <v>57.319120717873531</v>
      </c>
      <c r="BA236" s="633">
        <f t="shared" si="112"/>
        <v>0.94781554016329783</v>
      </c>
      <c r="BC236" s="11">
        <v>43322</v>
      </c>
      <c r="BD236" s="289">
        <f>[2]!FeuilCaduc*(1-Persistant)+Persistant</f>
        <v>0.99729841866402535</v>
      </c>
      <c r="BE236" s="290">
        <f>[2]!CroissVégét</f>
        <v>0.92482186992875737</v>
      </c>
      <c r="BF236" s="804">
        <f>1+[2]!Salcycl*Ksac</f>
        <v>1.0497298418664025</v>
      </c>
      <c r="BH236" s="1036">
        <f t="shared" si="113"/>
        <v>1.602242790794485E-3</v>
      </c>
      <c r="BI236" s="11">
        <v>44418</v>
      </c>
      <c r="BJ236" s="715">
        <v>1.602242790794485E-3</v>
      </c>
      <c r="BK236" s="715">
        <v>1.602242790794485E-3</v>
      </c>
      <c r="BL236" s="715">
        <v>1.602242790794485E-3</v>
      </c>
      <c r="BM236" s="715">
        <v>1.602242790794485E-3</v>
      </c>
      <c r="BN236" s="715">
        <v>1.602242790794485E-3</v>
      </c>
      <c r="BO236" s="716">
        <v>1.602242790794485E-3</v>
      </c>
      <c r="BP236" s="715">
        <v>1.602242790794485E-3</v>
      </c>
      <c r="BQ236" s="715">
        <v>1.602242790794485E-3</v>
      </c>
      <c r="BR236" s="715">
        <v>1.602242790794485E-3</v>
      </c>
      <c r="BS236" s="715">
        <v>1.602242790794485E-3</v>
      </c>
      <c r="BT236" s="715">
        <v>1.602242790794485E-3</v>
      </c>
      <c r="BW236" s="1188">
        <f>'2019'!R\Max</f>
        <v>0.70974212402861625</v>
      </c>
      <c r="BX236" s="1188">
        <f>'2020'!R\Max</f>
        <v>0.77082878540950106</v>
      </c>
      <c r="BY236" s="1188">
        <f>'2021'!R\Max</f>
        <v>0.94781554016329783</v>
      </c>
      <c r="BZ236" s="1188">
        <f>'2022'!R\Max</f>
        <v>0.93213404417001011</v>
      </c>
      <c r="CA236" s="1188">
        <f>'2023'!R\Max</f>
        <v>0.93213404417001</v>
      </c>
      <c r="CB236" s="1188">
        <f>'2024'!R\Max</f>
        <v>0.93213404417001011</v>
      </c>
      <c r="CC236" s="1188">
        <f>'2025'!R\Max</f>
        <v>0.93213404417001011</v>
      </c>
      <c r="CD236" s="1188">
        <f>'2026'!R\Max</f>
        <v>0.93213404417001011</v>
      </c>
      <c r="CE236" s="1189">
        <f>'2027'!R\Max</f>
        <v>0.93213404417001</v>
      </c>
      <c r="CF236" s="1191">
        <f>'2028'!R\Max</f>
        <v>0.93213404417001</v>
      </c>
    </row>
    <row r="237" spans="1:84" s="6" customFormat="1" ht="11.25" x14ac:dyDescent="0.2">
      <c r="A237" s="11">
        <v>43323</v>
      </c>
      <c r="B237" s="379">
        <f>'2023'!Maxi_hp</f>
        <v>52.572729783905686</v>
      </c>
      <c r="C237" s="13">
        <f>'2023'!An_max</f>
        <v>2021</v>
      </c>
      <c r="D237" s="1045" t="str">
        <f t="shared" si="97"/>
        <v/>
      </c>
      <c r="E237" s="13"/>
      <c r="F237" s="13">
        <f t="shared" si="114"/>
        <v>17</v>
      </c>
      <c r="G237" s="13">
        <f t="shared" si="98"/>
        <v>18</v>
      </c>
      <c r="H237" s="173">
        <f t="shared" si="99"/>
        <v>43318</v>
      </c>
      <c r="I237" s="742">
        <f t="shared" si="100"/>
        <v>0.35714285714285715</v>
      </c>
      <c r="J237" s="735">
        <f t="shared" si="101"/>
        <v>57.180990980485717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38">
        <v>43323</v>
      </c>
      <c r="AP237" s="13">
        <f t="shared" si="102"/>
        <v>9</v>
      </c>
      <c r="AQ237" s="13">
        <f t="shared" si="103"/>
        <v>10</v>
      </c>
      <c r="AR237" s="173">
        <f t="shared" si="104"/>
        <v>43304</v>
      </c>
      <c r="AS237" s="742">
        <f t="shared" si="105"/>
        <v>0.6785714285714286</v>
      </c>
      <c r="AT237" s="758">
        <f t="shared" si="106"/>
        <v>57.181960185876655</v>
      </c>
      <c r="AU237" s="13">
        <f t="shared" si="107"/>
        <v>9</v>
      </c>
      <c r="AV237" s="13">
        <f t="shared" si="108"/>
        <v>10</v>
      </c>
      <c r="AW237" s="173">
        <f t="shared" si="109"/>
        <v>43318</v>
      </c>
      <c r="AX237" s="742">
        <f t="shared" si="110"/>
        <v>0.17857142857142858</v>
      </c>
      <c r="AY237" s="758">
        <f t="shared" si="111"/>
        <v>57.20494067744086</v>
      </c>
      <c r="AZ237" s="735">
        <f t="shared" si="115"/>
        <v>57.193450431658761</v>
      </c>
      <c r="BA237" s="633">
        <f t="shared" si="112"/>
        <v>0.91940921069114201</v>
      </c>
      <c r="BC237" s="11">
        <v>43323</v>
      </c>
      <c r="BD237" s="289">
        <f>[2]!FeuilCaduc*(1-Persistant)+Persistant</f>
        <v>0.99692708635987759</v>
      </c>
      <c r="BE237" s="290">
        <f>[2]!CroissVégét</f>
        <v>0.92764148214144238</v>
      </c>
      <c r="BF237" s="804">
        <f>1+[2]!Salcycl*Ksac</f>
        <v>1.0496927086359877</v>
      </c>
      <c r="BH237" s="1036">
        <f t="shared" si="113"/>
        <v>1.5920999383566405E-3</v>
      </c>
      <c r="BI237" s="11">
        <v>44419</v>
      </c>
      <c r="BJ237" s="715">
        <v>1.5920999383566407E-3</v>
      </c>
      <c r="BK237" s="715">
        <v>1.5920999383566405E-3</v>
      </c>
      <c r="BL237" s="715">
        <v>1.5920999383566405E-3</v>
      </c>
      <c r="BM237" s="715">
        <v>1.5920999383566405E-3</v>
      </c>
      <c r="BN237" s="715">
        <v>1.5920999383566405E-3</v>
      </c>
      <c r="BO237" s="716">
        <v>1.5920999383566405E-3</v>
      </c>
      <c r="BP237" s="715">
        <v>1.5920999383566405E-3</v>
      </c>
      <c r="BQ237" s="715">
        <v>1.5920999383566405E-3</v>
      </c>
      <c r="BR237" s="715">
        <v>1.5920999383566405E-3</v>
      </c>
      <c r="BS237" s="715">
        <v>1.5920999383566405E-3</v>
      </c>
      <c r="BT237" s="715">
        <v>1.5920999383566407E-3</v>
      </c>
      <c r="BW237" s="1188">
        <f>'2019'!R\Max</f>
        <v>0.46810268888135864</v>
      </c>
      <c r="BX237" s="1188">
        <f>'2020'!R\Max</f>
        <v>0.71239368004825143</v>
      </c>
      <c r="BY237" s="1188">
        <f>'2021'!R\Max</f>
        <v>0.91940921069114201</v>
      </c>
      <c r="BZ237" s="1188">
        <f>'2022'!R\Max</f>
        <v>0.90580030045709481</v>
      </c>
      <c r="CA237" s="1188">
        <f>'2023'!R\Max</f>
        <v>0.9058003004570947</v>
      </c>
      <c r="CB237" s="1188">
        <f>'2024'!R\Max</f>
        <v>0.90580030045709481</v>
      </c>
      <c r="CC237" s="1188">
        <f>'2025'!R\Max</f>
        <v>0.90580030045709481</v>
      </c>
      <c r="CD237" s="1188">
        <f>'2026'!R\Max</f>
        <v>0.90580030045709481</v>
      </c>
      <c r="CE237" s="1189">
        <f>'2027'!R\Max</f>
        <v>0.90580030045709492</v>
      </c>
      <c r="CF237" s="1191">
        <f>'2028'!R\Max</f>
        <v>0.90580030045709481</v>
      </c>
    </row>
    <row r="238" spans="1:84" s="6" customFormat="1" ht="11.25" x14ac:dyDescent="0.2">
      <c r="A238" s="11">
        <v>43324</v>
      </c>
      <c r="B238" s="379">
        <f>'2023'!Maxi_hp</f>
        <v>52.081518877229691</v>
      </c>
      <c r="C238" s="13">
        <f>'2023'!An_max</f>
        <v>2023</v>
      </c>
      <c r="D238" s="1045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73">
        <f t="shared" si="99"/>
        <v>43318</v>
      </c>
      <c r="I238" s="742">
        <f t="shared" si="100"/>
        <v>0.42857142857142855</v>
      </c>
      <c r="J238" s="735">
        <f t="shared" si="101"/>
        <v>57.048443148764115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38">
        <v>43324</v>
      </c>
      <c r="AP238" s="13">
        <f t="shared" si="102"/>
        <v>9</v>
      </c>
      <c r="AQ238" s="13">
        <f t="shared" si="103"/>
        <v>10</v>
      </c>
      <c r="AR238" s="173">
        <f t="shared" si="104"/>
        <v>43304</v>
      </c>
      <c r="AS238" s="742">
        <f t="shared" si="105"/>
        <v>0.7142857142857143</v>
      </c>
      <c r="AT238" s="758">
        <f t="shared" si="106"/>
        <v>57.052176384867302</v>
      </c>
      <c r="AU238" s="13">
        <f t="shared" si="107"/>
        <v>9</v>
      </c>
      <c r="AV238" s="13">
        <f t="shared" si="108"/>
        <v>10</v>
      </c>
      <c r="AW238" s="173">
        <f t="shared" si="109"/>
        <v>43318</v>
      </c>
      <c r="AX238" s="742">
        <f t="shared" si="110"/>
        <v>0.21428571428571427</v>
      </c>
      <c r="AY238" s="758">
        <f t="shared" si="111"/>
        <v>57.081234602869621</v>
      </c>
      <c r="AZ238" s="735">
        <f t="shared" si="115"/>
        <v>57.066705493868461</v>
      </c>
      <c r="BA238" s="633">
        <f t="shared" si="112"/>
        <v>0.91293497250078726</v>
      </c>
      <c r="BC238" s="11">
        <v>43324</v>
      </c>
      <c r="BD238" s="289">
        <f>[2]!FeuilCaduc*(1-Persistant)+Persistant</f>
        <v>0.99653160324671708</v>
      </c>
      <c r="BE238" s="290">
        <f>[2]!CroissVégét</f>
        <v>0.93036376011657451</v>
      </c>
      <c r="BF238" s="804">
        <f>1+[2]!Salcycl*Ksac</f>
        <v>1.0496531603246717</v>
      </c>
      <c r="BH238" s="1036">
        <f t="shared" si="113"/>
        <v>1.5829177062707575E-3</v>
      </c>
      <c r="BI238" s="11">
        <v>44420</v>
      </c>
      <c r="BJ238" s="715">
        <v>1.5829177062707577E-3</v>
      </c>
      <c r="BK238" s="715">
        <v>1.5829177062707575E-3</v>
      </c>
      <c r="BL238" s="715">
        <v>1.5829177062707575E-3</v>
      </c>
      <c r="BM238" s="715">
        <v>1.5829177062707575E-3</v>
      </c>
      <c r="BN238" s="715">
        <v>1.5829177062707575E-3</v>
      </c>
      <c r="BO238" s="716">
        <v>1.5829177062707575E-3</v>
      </c>
      <c r="BP238" s="715">
        <v>1.5829177062707575E-3</v>
      </c>
      <c r="BQ238" s="715">
        <v>1.5829177062707575E-3</v>
      </c>
      <c r="BR238" s="715">
        <v>1.5829177062707575E-3</v>
      </c>
      <c r="BS238" s="715">
        <v>1.5829177062707575E-3</v>
      </c>
      <c r="BT238" s="715">
        <v>1.5829177062707577E-3</v>
      </c>
      <c r="BW238" s="1188">
        <f>'2019'!R\Max</f>
        <v>0.49794436811012949</v>
      </c>
      <c r="BX238" s="1188">
        <f>'2020'!R\Max</f>
        <v>0.78398044797399968</v>
      </c>
      <c r="BY238" s="1188">
        <f>'2021'!R\Max</f>
        <v>0.88359849914203525</v>
      </c>
      <c r="BZ238" s="1188">
        <f>'2022'!R\Max</f>
        <v>0.91293497250078715</v>
      </c>
      <c r="CA238" s="1188">
        <f>'2023'!R\Max</f>
        <v>0.91293497250078726</v>
      </c>
      <c r="CB238" s="1188">
        <f>'2024'!R\Max</f>
        <v>0.91293497250078715</v>
      </c>
      <c r="CC238" s="1188">
        <f>'2025'!R\Max</f>
        <v>0.91293497250078726</v>
      </c>
      <c r="CD238" s="1188">
        <f>'2026'!R\Max</f>
        <v>0.91293497250078726</v>
      </c>
      <c r="CE238" s="1189">
        <f>'2027'!R\Max</f>
        <v>0.91293497250078726</v>
      </c>
      <c r="CF238" s="1191">
        <f>'2028'!R\Max</f>
        <v>0.91293497250078737</v>
      </c>
    </row>
    <row r="239" spans="1:84" s="6" customFormat="1" ht="11.25" x14ac:dyDescent="0.2">
      <c r="A239" s="11">
        <v>43325</v>
      </c>
      <c r="B239" s="379">
        <f>'2023'!Maxi_hp</f>
        <v>50.157042918193603</v>
      </c>
      <c r="C239" s="13">
        <f>'2023'!An_max</f>
        <v>2018</v>
      </c>
      <c r="D239" s="1045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73">
        <f t="shared" si="99"/>
        <v>43318</v>
      </c>
      <c r="I239" s="742">
        <f t="shared" si="100"/>
        <v>0.5</v>
      </c>
      <c r="J239" s="735">
        <f t="shared" si="101"/>
        <v>56.914531250204888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38">
        <v>43325</v>
      </c>
      <c r="AP239" s="13">
        <f t="shared" si="102"/>
        <v>9</v>
      </c>
      <c r="AQ239" s="13">
        <f t="shared" si="103"/>
        <v>10</v>
      </c>
      <c r="AR239" s="173">
        <f t="shared" si="104"/>
        <v>43304</v>
      </c>
      <c r="AS239" s="742">
        <f t="shared" si="105"/>
        <v>0.75</v>
      </c>
      <c r="AT239" s="758">
        <f t="shared" si="106"/>
        <v>56.920687499968338</v>
      </c>
      <c r="AU239" s="13">
        <f t="shared" si="107"/>
        <v>9</v>
      </c>
      <c r="AV239" s="13">
        <f t="shared" si="108"/>
        <v>10</v>
      </c>
      <c r="AW239" s="173">
        <f t="shared" si="109"/>
        <v>43318</v>
      </c>
      <c r="AX239" s="742">
        <f t="shared" si="110"/>
        <v>0.25</v>
      </c>
      <c r="AY239" s="758">
        <f t="shared" si="111"/>
        <v>56.956855468871069</v>
      </c>
      <c r="AZ239" s="735">
        <f t="shared" si="115"/>
        <v>56.938771484419703</v>
      </c>
      <c r="BA239" s="633">
        <f t="shared" si="112"/>
        <v>0.88126954253028378</v>
      </c>
      <c r="BC239" s="11">
        <v>43325</v>
      </c>
      <c r="BD239" s="289">
        <f>[2]!FeuilCaduc*(1-Persistant)+Persistant</f>
        <v>0.99611152149321724</v>
      </c>
      <c r="BE239" s="290">
        <f>[2]!CroissVégét</f>
        <v>0.93299147677206173</v>
      </c>
      <c r="BF239" s="804">
        <f>1+[2]!Salcycl*Ksac</f>
        <v>1.0496111521493217</v>
      </c>
      <c r="BH239" s="1036">
        <f t="shared" si="113"/>
        <v>1.5746952893697689E-3</v>
      </c>
      <c r="BI239" s="11">
        <v>44421</v>
      </c>
      <c r="BJ239" s="715">
        <v>1.5746952893697691E-3</v>
      </c>
      <c r="BK239" s="715">
        <v>1.5746952893697689E-3</v>
      </c>
      <c r="BL239" s="715">
        <v>1.5746952893697689E-3</v>
      </c>
      <c r="BM239" s="715">
        <v>1.5746952893697689E-3</v>
      </c>
      <c r="BN239" s="715">
        <v>1.5746952893697689E-3</v>
      </c>
      <c r="BO239" s="716">
        <v>1.5746952893697689E-3</v>
      </c>
      <c r="BP239" s="715">
        <v>1.5746952893697689E-3</v>
      </c>
      <c r="BQ239" s="715">
        <v>1.5746952893697689E-3</v>
      </c>
      <c r="BR239" s="715">
        <v>1.5746952893697689E-3</v>
      </c>
      <c r="BS239" s="715">
        <v>1.5746952893697689E-3</v>
      </c>
      <c r="BT239" s="715">
        <v>1.5746952893697691E-3</v>
      </c>
      <c r="BW239" s="1188">
        <f>'2019'!R\Max</f>
        <v>0.88126954253028378</v>
      </c>
      <c r="BX239" s="1188">
        <f>'2020'!R\Max</f>
        <v>0.56919915988931491</v>
      </c>
      <c r="BY239" s="1188">
        <f>'2021'!R\Max</f>
        <v>0.50337508857444302</v>
      </c>
      <c r="BZ239" s="1188">
        <f>'2022'!R\Max</f>
        <v>0.7148769953757238</v>
      </c>
      <c r="CA239" s="1188">
        <f>'2023'!R\Max</f>
        <v>0.71487699537572391</v>
      </c>
      <c r="CB239" s="1188">
        <f>'2024'!R\Max</f>
        <v>0.71487699537572391</v>
      </c>
      <c r="CC239" s="1188">
        <f>'2025'!R\Max</f>
        <v>0.71487699537572391</v>
      </c>
      <c r="CD239" s="1188">
        <f>'2026'!R\Max</f>
        <v>0.71487699537572391</v>
      </c>
      <c r="CE239" s="1189">
        <f>'2027'!R\Max</f>
        <v>0.71487699537572402</v>
      </c>
      <c r="CF239" s="1191">
        <f>'2028'!R\Max</f>
        <v>0.71487699537572391</v>
      </c>
    </row>
    <row r="240" spans="1:84" s="6" customFormat="1" ht="11.25" x14ac:dyDescent="0.2">
      <c r="A240" s="11">
        <v>43326</v>
      </c>
      <c r="B240" s="379">
        <f>'2023'!Maxi_hp</f>
        <v>57.247327740538942</v>
      </c>
      <c r="C240" s="13">
        <f>'2023'!An_max</f>
        <v>2018</v>
      </c>
      <c r="D240" s="1045">
        <f t="shared" si="97"/>
        <v>1.0082418107933044</v>
      </c>
      <c r="E240" s="13"/>
      <c r="F240" s="13">
        <f t="shared" si="114"/>
        <v>17</v>
      </c>
      <c r="G240" s="13">
        <f t="shared" si="98"/>
        <v>18</v>
      </c>
      <c r="H240" s="173">
        <f t="shared" si="99"/>
        <v>43318</v>
      </c>
      <c r="I240" s="742">
        <f t="shared" si="100"/>
        <v>0.5714285714285714</v>
      </c>
      <c r="J240" s="735">
        <f t="shared" si="101"/>
        <v>56.77936297394335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38">
        <v>43326</v>
      </c>
      <c r="AP240" s="13">
        <f t="shared" si="102"/>
        <v>9</v>
      </c>
      <c r="AQ240" s="13">
        <f t="shared" si="103"/>
        <v>10</v>
      </c>
      <c r="AR240" s="173">
        <f t="shared" si="104"/>
        <v>43304</v>
      </c>
      <c r="AS240" s="742">
        <f t="shared" si="105"/>
        <v>0.7857142857142857</v>
      </c>
      <c r="AT240" s="758">
        <f t="shared" si="106"/>
        <v>56.787439686632048</v>
      </c>
      <c r="AU240" s="13">
        <f t="shared" si="107"/>
        <v>9</v>
      </c>
      <c r="AV240" s="13">
        <f t="shared" si="108"/>
        <v>10</v>
      </c>
      <c r="AW240" s="173">
        <f t="shared" si="109"/>
        <v>43318</v>
      </c>
      <c r="AX240" s="742">
        <f t="shared" si="110"/>
        <v>0.2857142857142857</v>
      </c>
      <c r="AY240" s="758">
        <f t="shared" si="111"/>
        <v>56.831628280053181</v>
      </c>
      <c r="AZ240" s="735">
        <f t="shared" si="115"/>
        <v>56.809533983342618</v>
      </c>
      <c r="BA240" s="633">
        <f t="shared" si="112"/>
        <v>1.0082418107933044</v>
      </c>
      <c r="BC240" s="11">
        <v>43326</v>
      </c>
      <c r="BD240" s="289">
        <f>[2]!FeuilCaduc*(1-Persistant)+Persistant</f>
        <v>0.99566626251208401</v>
      </c>
      <c r="BE240" s="290">
        <f>[2]!CroissVégét</f>
        <v>0.93552736989395957</v>
      </c>
      <c r="BF240" s="804">
        <f>1+[2]!Salcycl*Ksac</f>
        <v>1.0495666262512084</v>
      </c>
      <c r="BH240" s="1036">
        <f t="shared" si="113"/>
        <v>1.5685136851564647E-3</v>
      </c>
      <c r="BI240" s="11">
        <v>44422</v>
      </c>
      <c r="BJ240" s="715">
        <v>1.5684524222077758E-3</v>
      </c>
      <c r="BK240" s="715">
        <v>1.5684524222077756E-3</v>
      </c>
      <c r="BL240" s="715">
        <v>1.568459900662523E-3</v>
      </c>
      <c r="BM240" s="715">
        <v>1.5684884904177512E-3</v>
      </c>
      <c r="BN240" s="715">
        <v>1.5685389694917163E-3</v>
      </c>
      <c r="BO240" s="716">
        <v>1.5686046698045518E-3</v>
      </c>
      <c r="BP240" s="715">
        <v>1.5686728025573148E-3</v>
      </c>
      <c r="BQ240" s="715">
        <v>1.5687434688097855E-3</v>
      </c>
      <c r="BR240" s="715">
        <v>1.5688167737004223E-3</v>
      </c>
      <c r="BS240" s="715">
        <v>1.5688928265804897E-3</v>
      </c>
      <c r="BT240" s="715">
        <v>1.5689707483719521E-3</v>
      </c>
      <c r="BW240" s="1188">
        <f>'2019'!R\Max</f>
        <v>1.0082418107933044</v>
      </c>
      <c r="BX240" s="1188">
        <f>'2020'!R\Max</f>
        <v>0.33161066772227493</v>
      </c>
      <c r="BY240" s="1188">
        <f>'2021'!R\Max</f>
        <v>0.90973808160449698</v>
      </c>
      <c r="BZ240" s="1188">
        <f>'2022'!R\Max</f>
        <v>0.64595570735213026</v>
      </c>
      <c r="CA240" s="1188">
        <f>'2023'!R\Max</f>
        <v>0.64595570629821619</v>
      </c>
      <c r="CB240" s="1188">
        <f>'2024'!R\Max</f>
        <v>0.64595570520770884</v>
      </c>
      <c r="CC240" s="1188">
        <f>'2025'!R\Max</f>
        <v>0.64595570411460501</v>
      </c>
      <c r="CD240" s="1188">
        <f>'2026'!R\Max</f>
        <v>0.64595571045955258</v>
      </c>
      <c r="CE240" s="1189">
        <f>'2027'!R\Max</f>
        <v>0.64595570947062964</v>
      </c>
      <c r="CF240" s="1191">
        <f>'2028'!R\Max</f>
        <v>0.64595570845434169</v>
      </c>
    </row>
    <row r="241" spans="1:84" s="6" customFormat="1" ht="11.25" x14ac:dyDescent="0.2">
      <c r="A241" s="11">
        <v>43327</v>
      </c>
      <c r="B241" s="379">
        <f>'2023'!Maxi_hp</f>
        <v>50.015473109752712</v>
      </c>
      <c r="C241" s="13">
        <f>'2023'!An_max</f>
        <v>2020</v>
      </c>
      <c r="D241" s="1045" t="str">
        <f t="shared" si="97"/>
        <v/>
      </c>
      <c r="E241" s="13"/>
      <c r="F241" s="13">
        <f t="shared" si="114"/>
        <v>17</v>
      </c>
      <c r="G241" s="13">
        <f t="shared" si="98"/>
        <v>18</v>
      </c>
      <c r="H241" s="173">
        <f t="shared" si="99"/>
        <v>43318</v>
      </c>
      <c r="I241" s="742">
        <f t="shared" si="100"/>
        <v>0.6428571428571429</v>
      </c>
      <c r="J241" s="735">
        <f t="shared" si="101"/>
        <v>56.643046009553856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38">
        <v>43327</v>
      </c>
      <c r="AP241" s="13">
        <f t="shared" si="102"/>
        <v>9</v>
      </c>
      <c r="AQ241" s="13">
        <f t="shared" si="103"/>
        <v>10</v>
      </c>
      <c r="AR241" s="173">
        <f t="shared" si="104"/>
        <v>43304</v>
      </c>
      <c r="AS241" s="742">
        <f t="shared" si="105"/>
        <v>0.8214285714285714</v>
      </c>
      <c r="AT241" s="758">
        <f t="shared" si="106"/>
        <v>56.652379099785222</v>
      </c>
      <c r="AU241" s="13">
        <f t="shared" si="107"/>
        <v>9</v>
      </c>
      <c r="AV241" s="13">
        <f t="shared" si="108"/>
        <v>10</v>
      </c>
      <c r="AW241" s="173">
        <f t="shared" si="109"/>
        <v>43318</v>
      </c>
      <c r="AX241" s="742">
        <f t="shared" si="110"/>
        <v>0.32142857142857145</v>
      </c>
      <c r="AY241" s="758">
        <f t="shared" si="111"/>
        <v>56.705378040930782</v>
      </c>
      <c r="AZ241" s="735">
        <f t="shared" si="115"/>
        <v>56.678878570358002</v>
      </c>
      <c r="BA241" s="633">
        <f t="shared" si="112"/>
        <v>0.88299405899387395</v>
      </c>
      <c r="BC241" s="11">
        <v>43327</v>
      </c>
      <c r="BD241" s="289">
        <f>[2]!FeuilCaduc*(1-Persistant)+Persistant</f>
        <v>0.99519512845250613</v>
      </c>
      <c r="BE241" s="290">
        <f>[2]!CroissVégét</f>
        <v>0.93797413894004</v>
      </c>
      <c r="BF241" s="804">
        <f>1+[2]!Salcycl*Ksac</f>
        <v>1.0495195128452506</v>
      </c>
      <c r="BH241" s="1036">
        <f t="shared" si="113"/>
        <v>1.5631676022749225E-3</v>
      </c>
      <c r="BI241" s="11">
        <v>44423</v>
      </c>
      <c r="BJ241" s="715">
        <v>1.5629838138978443E-3</v>
      </c>
      <c r="BK241" s="715">
        <v>1.5629838138978443E-3</v>
      </c>
      <c r="BL241" s="715">
        <v>1.5630062492048352E-3</v>
      </c>
      <c r="BM241" s="715">
        <v>1.5630920182516559E-3</v>
      </c>
      <c r="BN241" s="715">
        <v>1.5632434550871181E-3</v>
      </c>
      <c r="BO241" s="716">
        <v>1.5634405555226664E-3</v>
      </c>
      <c r="BP241" s="715">
        <v>1.5636449532593769E-3</v>
      </c>
      <c r="BQ241" s="715">
        <v>1.5638569514758156E-3</v>
      </c>
      <c r="BR241" s="715">
        <v>1.5640768655865525E-3</v>
      </c>
      <c r="BS241" s="715">
        <v>1.5643050236445455E-3</v>
      </c>
      <c r="BT241" s="715">
        <v>1.5645387884224153E-3</v>
      </c>
      <c r="BW241" s="1188">
        <f>'2019'!R\Max</f>
        <v>0.49971135119482224</v>
      </c>
      <c r="BX241" s="1188">
        <f>'2020'!R\Max</f>
        <v>0.88299405899387395</v>
      </c>
      <c r="BY241" s="1188">
        <f>'2021'!R\Max</f>
        <v>0.42391057241602642</v>
      </c>
      <c r="BZ241" s="1188">
        <f>'2022'!R\Max</f>
        <v>0.69236439779699499</v>
      </c>
      <c r="CA241" s="1188">
        <f>'2023'!R\Max</f>
        <v>0.69236439484663714</v>
      </c>
      <c r="CB241" s="1188">
        <f>'2024'!R\Max</f>
        <v>0.69236439179357034</v>
      </c>
      <c r="CC241" s="1188">
        <f>'2025'!R\Max</f>
        <v>0.69236438873350414</v>
      </c>
      <c r="CD241" s="1188">
        <f>'2026'!R\Max</f>
        <v>0.69236440649787467</v>
      </c>
      <c r="CE241" s="1189">
        <f>'2027'!R\Max</f>
        <v>0.69236440372784236</v>
      </c>
      <c r="CF241" s="1191">
        <f>'2028'!R\Max</f>
        <v>0.69236440088281659</v>
      </c>
    </row>
    <row r="242" spans="1:84" s="6" customFormat="1" ht="11.25" x14ac:dyDescent="0.2">
      <c r="A242" s="11">
        <v>43328</v>
      </c>
      <c r="B242" s="379">
        <f>'2023'!Maxi_hp</f>
        <v>56.868065915870055</v>
      </c>
      <c r="C242" s="13">
        <f>'2023'!An_max</f>
        <v>2018</v>
      </c>
      <c r="D242" s="1045">
        <f t="shared" si="97"/>
        <v>1.0064131219658239</v>
      </c>
      <c r="E242" s="13"/>
      <c r="F242" s="13">
        <f t="shared" si="114"/>
        <v>17</v>
      </c>
      <c r="G242" s="13">
        <f t="shared" si="98"/>
        <v>18</v>
      </c>
      <c r="H242" s="173">
        <f t="shared" si="99"/>
        <v>43318</v>
      </c>
      <c r="I242" s="742">
        <f t="shared" si="100"/>
        <v>0.7142857142857143</v>
      </c>
      <c r="J242" s="735">
        <f t="shared" si="101"/>
        <v>56.505688046663998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38">
        <v>43328</v>
      </c>
      <c r="AP242" s="13">
        <f t="shared" si="102"/>
        <v>9</v>
      </c>
      <c r="AQ242" s="13">
        <f t="shared" si="103"/>
        <v>10</v>
      </c>
      <c r="AR242" s="173">
        <f t="shared" si="104"/>
        <v>43304</v>
      </c>
      <c r="AS242" s="742">
        <f t="shared" si="105"/>
        <v>0.8571428571428571</v>
      </c>
      <c r="AT242" s="758">
        <f t="shared" si="106"/>
        <v>56.515451894940007</v>
      </c>
      <c r="AU242" s="13">
        <f t="shared" si="107"/>
        <v>9</v>
      </c>
      <c r="AV242" s="13">
        <f t="shared" si="108"/>
        <v>10</v>
      </c>
      <c r="AW242" s="173">
        <f t="shared" si="109"/>
        <v>43318</v>
      </c>
      <c r="AX242" s="742">
        <f t="shared" si="110"/>
        <v>0.35714285714285715</v>
      </c>
      <c r="AY242" s="758">
        <f t="shared" si="111"/>
        <v>56.577929755579682</v>
      </c>
      <c r="AZ242" s="735">
        <f t="shared" si="115"/>
        <v>56.546690825259844</v>
      </c>
      <c r="BA242" s="633">
        <f t="shared" si="112"/>
        <v>1.0064131219658239</v>
      </c>
      <c r="BC242" s="11">
        <v>43328</v>
      </c>
      <c r="BD242" s="289">
        <f>[2]!FeuilCaduc*(1-Persistant)+Persistant</f>
        <v>0.99469731312465792</v>
      </c>
      <c r="BE242" s="290">
        <f>[2]!CroissVégét</f>
        <v>0.94033444219607754</v>
      </c>
      <c r="BF242" s="804">
        <f>1+[2]!Salcycl*Ksac</f>
        <v>1.0494697313124659</v>
      </c>
      <c r="BH242" s="1036">
        <f t="shared" si="113"/>
        <v>1.5586564249523863E-3</v>
      </c>
      <c r="BI242" s="11">
        <v>44424</v>
      </c>
      <c r="BJ242" s="715">
        <v>1.558288846383368E-3</v>
      </c>
      <c r="BK242" s="715">
        <v>1.5582888463833678E-3</v>
      </c>
      <c r="BL242" s="715">
        <v>1.5583337172188924E-3</v>
      </c>
      <c r="BM242" s="715">
        <v>1.5585052561594807E-3</v>
      </c>
      <c r="BN242" s="715">
        <v>1.5588081313258042E-3</v>
      </c>
      <c r="BO242" s="716">
        <v>1.5592023341432166E-3</v>
      </c>
      <c r="BP242" s="715">
        <v>1.5596111316350109E-3</v>
      </c>
      <c r="BQ242" s="715">
        <v>1.5600351301613153E-3</v>
      </c>
      <c r="BR242" s="715">
        <v>1.5604749605543833E-3</v>
      </c>
      <c r="BS242" s="715">
        <v>1.5609312789233703E-3</v>
      </c>
      <c r="BT242" s="715">
        <v>1.5613988107874761E-3</v>
      </c>
      <c r="BW242" s="1188">
        <f>'2019'!R\Max</f>
        <v>1.0064131219658239</v>
      </c>
      <c r="BX242" s="1188">
        <f>'2020'!R\Max</f>
        <v>0.89841467247708817</v>
      </c>
      <c r="BY242" s="1188">
        <f>'2021'!R\Max</f>
        <v>0.58553690152424376</v>
      </c>
      <c r="BZ242" s="1188">
        <f>'2022'!R\Max</f>
        <v>0.71860045204152145</v>
      </c>
      <c r="CA242" s="1188">
        <f>'2023'!R\Max</f>
        <v>0.71860044642866983</v>
      </c>
      <c r="CB242" s="1188">
        <f>'2024'!R\Max</f>
        <v>0.718600440619929</v>
      </c>
      <c r="CC242" s="1188">
        <f>'2025'!R\Max</f>
        <v>0.71860043479836433</v>
      </c>
      <c r="CD242" s="1188">
        <f>'2026'!R\Max</f>
        <v>0.71860046859777349</v>
      </c>
      <c r="CE242" s="1189">
        <f>'2027'!R\Max</f>
        <v>0.71860046332501959</v>
      </c>
      <c r="CF242" s="1191">
        <f>'2028'!R\Max</f>
        <v>0.71860045791255545</v>
      </c>
    </row>
    <row r="243" spans="1:84" s="6" customFormat="1" ht="11.25" x14ac:dyDescent="0.2">
      <c r="A243" s="11">
        <v>43329</v>
      </c>
      <c r="B243" s="379">
        <f>'2023'!Maxi_hp</f>
        <v>54.878692753943</v>
      </c>
      <c r="C243" s="13">
        <f>'2023'!An_max</f>
        <v>2018</v>
      </c>
      <c r="D243" s="1045">
        <f t="shared" si="97"/>
        <v>0.9735892713522335</v>
      </c>
      <c r="E243" s="13"/>
      <c r="F243" s="13">
        <f t="shared" si="114"/>
        <v>17</v>
      </c>
      <c r="G243" s="13">
        <f t="shared" si="98"/>
        <v>18</v>
      </c>
      <c r="H243" s="173">
        <f t="shared" si="99"/>
        <v>43318</v>
      </c>
      <c r="I243" s="742">
        <f t="shared" si="100"/>
        <v>0.7857142857142857</v>
      </c>
      <c r="J243" s="735">
        <f t="shared" si="101"/>
        <v>56.367396774741692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38">
        <v>43329</v>
      </c>
      <c r="AP243" s="13">
        <f t="shared" si="102"/>
        <v>9</v>
      </c>
      <c r="AQ243" s="13">
        <f t="shared" si="103"/>
        <v>10</v>
      </c>
      <c r="AR243" s="173">
        <f t="shared" si="104"/>
        <v>43304</v>
      </c>
      <c r="AS243" s="742">
        <f t="shared" si="105"/>
        <v>0.8928571428571429</v>
      </c>
      <c r="AT243" s="758">
        <f t="shared" si="106"/>
        <v>56.376604227289292</v>
      </c>
      <c r="AU243" s="13">
        <f t="shared" si="107"/>
        <v>9</v>
      </c>
      <c r="AV243" s="13">
        <f t="shared" si="108"/>
        <v>10</v>
      </c>
      <c r="AW243" s="173">
        <f t="shared" si="109"/>
        <v>43318</v>
      </c>
      <c r="AX243" s="742">
        <f t="shared" si="110"/>
        <v>0.39285714285714285</v>
      </c>
      <c r="AY243" s="758">
        <f t="shared" si="111"/>
        <v>56.44910842983851</v>
      </c>
      <c r="AZ243" s="735">
        <f t="shared" si="115"/>
        <v>56.412856328563905</v>
      </c>
      <c r="BA243" s="633">
        <f t="shared" si="112"/>
        <v>0.9735892713522335</v>
      </c>
      <c r="BC243" s="11">
        <v>43329</v>
      </c>
      <c r="BD243" s="289">
        <f>[2]!FeuilCaduc*(1-Persistant)+Persistant</f>
        <v>0.99417191222901158</v>
      </c>
      <c r="BE243" s="290">
        <f>[2]!CroissVégét</f>
        <v>0.94261089426578282</v>
      </c>
      <c r="BF243" s="804">
        <f>1+[2]!Salcycl*Ksac</f>
        <v>1.0494171912229011</v>
      </c>
      <c r="BH243" s="1036">
        <f t="shared" si="113"/>
        <v>1.5549795805457822E-3</v>
      </c>
      <c r="BI243" s="11">
        <v>44425</v>
      </c>
      <c r="BJ243" s="715">
        <v>1.5543669421750014E-3</v>
      </c>
      <c r="BK243" s="715">
        <v>1.5543669421750012E-3</v>
      </c>
      <c r="BL243" s="715">
        <v>1.5544417278069405E-3</v>
      </c>
      <c r="BM243" s="715">
        <v>1.5547276295050951E-3</v>
      </c>
      <c r="BN243" s="715">
        <v>1.5552324275648454E-3</v>
      </c>
      <c r="BO243" s="716">
        <v>1.5558894402205664E-3</v>
      </c>
      <c r="BP243" s="715">
        <v>1.556570777628297E-3</v>
      </c>
      <c r="BQ243" s="715">
        <v>1.5572774504004942E-3</v>
      </c>
      <c r="BR243" s="715">
        <v>1.5580105099369872E-3</v>
      </c>
      <c r="BS243" s="715">
        <v>1.5587710497662812E-3</v>
      </c>
      <c r="BT243" s="715">
        <v>1.5595502789805388E-3</v>
      </c>
      <c r="BW243" s="1188">
        <f>'2019'!R\Max</f>
        <v>0.9735892713522335</v>
      </c>
      <c r="BX243" s="1188">
        <f>'2020'!R\Max</f>
        <v>0.31977297421106859</v>
      </c>
      <c r="BY243" s="1188">
        <f>'2021'!R\Max</f>
        <v>0.84290307940213227</v>
      </c>
      <c r="BZ243" s="1188">
        <f>'2022'!R\Max</f>
        <v>0.55714750223368825</v>
      </c>
      <c r="CA243" s="1188">
        <f>'2023'!R\Max</f>
        <v>0.55714749079725179</v>
      </c>
      <c r="CB243" s="1188">
        <f>'2024'!R\Max</f>
        <v>0.55714747896071426</v>
      </c>
      <c r="CC243" s="1188">
        <f>'2025'!R\Max</f>
        <v>0.55714746709901608</v>
      </c>
      <c r="CD243" s="1188">
        <f>'2026'!R\Max</f>
        <v>0.55714753597453925</v>
      </c>
      <c r="CE243" s="1189">
        <f>'2027'!R\Max</f>
        <v>0.55714752522525079</v>
      </c>
      <c r="CF243" s="1191">
        <f>'2028'!R\Max</f>
        <v>0.5571475141971125</v>
      </c>
    </row>
    <row r="244" spans="1:84" s="6" customFormat="1" ht="11.25" x14ac:dyDescent="0.2">
      <c r="A244" s="11">
        <v>43330</v>
      </c>
      <c r="B244" s="379">
        <f>'2023'!Maxi_hp</f>
        <v>51.155268788996608</v>
      </c>
      <c r="C244" s="13">
        <f>'2023'!An_max</f>
        <v>2021</v>
      </c>
      <c r="D244" s="1045" t="str">
        <f t="shared" si="97"/>
        <v/>
      </c>
      <c r="E244" s="13"/>
      <c r="F244" s="13">
        <f t="shared" si="114"/>
        <v>17</v>
      </c>
      <c r="G244" s="13">
        <f t="shared" si="98"/>
        <v>18</v>
      </c>
      <c r="H244" s="173">
        <f t="shared" si="99"/>
        <v>43318</v>
      </c>
      <c r="I244" s="742">
        <f t="shared" si="100"/>
        <v>0.8571428571428571</v>
      </c>
      <c r="J244" s="735">
        <f t="shared" si="101"/>
        <v>56.228279883627387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38">
        <v>43330</v>
      </c>
      <c r="AP244" s="13">
        <f t="shared" si="102"/>
        <v>9</v>
      </c>
      <c r="AQ244" s="13">
        <f t="shared" si="103"/>
        <v>10</v>
      </c>
      <c r="AR244" s="173">
        <f t="shared" si="104"/>
        <v>43304</v>
      </c>
      <c r="AS244" s="742">
        <f t="shared" si="105"/>
        <v>0.9285714285714286</v>
      </c>
      <c r="AT244" s="758">
        <f t="shared" si="106"/>
        <v>56.235782252451671</v>
      </c>
      <c r="AU244" s="13">
        <f t="shared" si="107"/>
        <v>9</v>
      </c>
      <c r="AV244" s="13">
        <f t="shared" si="108"/>
        <v>10</v>
      </c>
      <c r="AW244" s="173">
        <f t="shared" si="109"/>
        <v>43318</v>
      </c>
      <c r="AX244" s="742">
        <f t="shared" si="110"/>
        <v>0.42857142857142855</v>
      </c>
      <c r="AY244" s="758">
        <f t="shared" si="111"/>
        <v>56.318739067230901</v>
      </c>
      <c r="AZ244" s="735">
        <f t="shared" si="115"/>
        <v>56.277260659841289</v>
      </c>
      <c r="BA244" s="633">
        <f t="shared" si="112"/>
        <v>0.90977829830238244</v>
      </c>
      <c r="BC244" s="11">
        <v>43330</v>
      </c>
      <c r="BD244" s="289">
        <f>[2]!FeuilCaduc*(1-Persistant)+Persistant</f>
        <v>0.99361793277727073</v>
      </c>
      <c r="BE244" s="290">
        <f>[2]!CroissVégét</f>
        <v>0.94480606387541</v>
      </c>
      <c r="BF244" s="804">
        <f>1+[2]!Salcycl*Ksac</f>
        <v>1.0493617932777271</v>
      </c>
      <c r="BH244" s="1036">
        <f t="shared" si="113"/>
        <v>1.552136536965093E-3</v>
      </c>
      <c r="BI244" s="11">
        <v>44426</v>
      </c>
      <c r="BJ244" s="715">
        <v>1.5512175619644551E-3</v>
      </c>
      <c r="BK244" s="715">
        <v>1.5512175619644549E-3</v>
      </c>
      <c r="BL244" s="715">
        <v>1.5513297425418348E-3</v>
      </c>
      <c r="BM244" s="715">
        <v>1.5517586032299253E-3</v>
      </c>
      <c r="BN244" s="715">
        <v>1.5525158146933371E-3</v>
      </c>
      <c r="BO244" s="716">
        <v>1.5535013523849126E-3</v>
      </c>
      <c r="BP244" s="715">
        <v>1.5545233778971339E-3</v>
      </c>
      <c r="BQ244" s="715">
        <v>1.5555834071774629E-3</v>
      </c>
      <c r="BR244" s="715">
        <v>1.5566830173555802E-3</v>
      </c>
      <c r="BS244" s="715">
        <v>1.5578238487553829E-3</v>
      </c>
      <c r="BT244" s="715">
        <v>1.5589927147647976E-3</v>
      </c>
      <c r="BW244" s="1188">
        <f>'2019'!R\Max</f>
        <v>0.77265450283117609</v>
      </c>
      <c r="BX244" s="1188">
        <f>'2020'!R\Max</f>
        <v>0.789954854001091</v>
      </c>
      <c r="BY244" s="1188">
        <f>'2021'!R\Max</f>
        <v>0.90977829830238244</v>
      </c>
      <c r="BZ244" s="1188">
        <f>'2022'!R\Max</f>
        <v>0.70908266207313675</v>
      </c>
      <c r="CA244" s="1188">
        <f>'2023'!R\Max</f>
        <v>0.70908264770307805</v>
      </c>
      <c r="CB244" s="1188">
        <f>'2024'!R\Max</f>
        <v>0.70908263282911266</v>
      </c>
      <c r="CC244" s="1188">
        <f>'2025'!R\Max</f>
        <v>0.70908261792470528</v>
      </c>
      <c r="CD244" s="1188">
        <f>'2026'!R\Max</f>
        <v>0.70908270447720712</v>
      </c>
      <c r="CE244" s="1189">
        <f>'2027'!R\Max</f>
        <v>0.70908269096351417</v>
      </c>
      <c r="CF244" s="1191">
        <f>'2028'!R\Max</f>
        <v>0.70908267710648964</v>
      </c>
    </row>
    <row r="245" spans="1:84" s="6" customFormat="1" ht="11.25" x14ac:dyDescent="0.2">
      <c r="A245" s="11">
        <v>43331</v>
      </c>
      <c r="B245" s="379">
        <f>'2023'!Maxi_hp</f>
        <v>45.575246648150426</v>
      </c>
      <c r="C245" s="13">
        <f>'2023'!An_max</f>
        <v>2021</v>
      </c>
      <c r="D245" s="1045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73">
        <f t="shared" si="99"/>
        <v>43318</v>
      </c>
      <c r="I245" s="742">
        <f t="shared" si="100"/>
        <v>0.9285714285714286</v>
      </c>
      <c r="J245" s="735">
        <f t="shared" si="101"/>
        <v>56.088445062043945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38">
        <v>43331</v>
      </c>
      <c r="AP245" s="13">
        <f t="shared" si="102"/>
        <v>9</v>
      </c>
      <c r="AQ245" s="13">
        <f t="shared" si="103"/>
        <v>10</v>
      </c>
      <c r="AR245" s="173">
        <f t="shared" si="104"/>
        <v>43304</v>
      </c>
      <c r="AS245" s="742">
        <f t="shared" si="105"/>
        <v>0.9642857142857143</v>
      </c>
      <c r="AT245" s="758">
        <f t="shared" si="106"/>
        <v>56.092932124868298</v>
      </c>
      <c r="AU245" s="13">
        <f t="shared" si="107"/>
        <v>9</v>
      </c>
      <c r="AV245" s="13">
        <f t="shared" si="108"/>
        <v>10</v>
      </c>
      <c r="AW245" s="173">
        <f t="shared" si="109"/>
        <v>43318</v>
      </c>
      <c r="AX245" s="742">
        <f t="shared" si="110"/>
        <v>0.4642857142857143</v>
      </c>
      <c r="AY245" s="758">
        <f t="shared" si="111"/>
        <v>56.186646672531161</v>
      </c>
      <c r="AZ245" s="735">
        <f t="shared" si="115"/>
        <v>56.139789398699733</v>
      </c>
      <c r="BA245" s="633">
        <f t="shared" si="112"/>
        <v>0.81256035173975627</v>
      </c>
      <c r="BC245" s="11">
        <v>43331</v>
      </c>
      <c r="BD245" s="289">
        <f>[2]!FeuilCaduc*(1-Persistant)+Persistant</f>
        <v>0.99303430160705308</v>
      </c>
      <c r="BE245" s="290">
        <f>[2]!CroissVégét</f>
        <v>0.94692247197428869</v>
      </c>
      <c r="BF245" s="804">
        <f>1+[2]!Salcycl*Ksac</f>
        <v>1.0493034301607054</v>
      </c>
      <c r="BH245" s="1036">
        <f t="shared" si="113"/>
        <v>1.5501268001216319E-3</v>
      </c>
      <c r="BI245" s="11">
        <v>44427</v>
      </c>
      <c r="BJ245" s="715">
        <v>1.5488402022631929E-3</v>
      </c>
      <c r="BK245" s="715">
        <v>1.5488402022631931E-3</v>
      </c>
      <c r="BL245" s="715">
        <v>1.5489972590824914E-3</v>
      </c>
      <c r="BM245" s="715">
        <v>1.5495976793795429E-3</v>
      </c>
      <c r="BN245" s="715">
        <v>1.5506578025020819E-3</v>
      </c>
      <c r="BO245" s="716">
        <v>1.5520375905077536E-3</v>
      </c>
      <c r="BP245" s="715">
        <v>1.5534684627669354E-3</v>
      </c>
      <c r="BQ245" s="715">
        <v>1.5549525416602764E-3</v>
      </c>
      <c r="BR245" s="715">
        <v>1.5564920352257184E-3</v>
      </c>
      <c r="BS245" s="715">
        <v>1.5580892399753663E-3</v>
      </c>
      <c r="BT245" s="715">
        <v>1.5597256941808366E-3</v>
      </c>
      <c r="BW245" s="1188">
        <f>'2019'!R\Max</f>
        <v>0.63867268730353177</v>
      </c>
      <c r="BX245" s="1188">
        <f>'2020'!R\Max</f>
        <v>0.75722935586230045</v>
      </c>
      <c r="BY245" s="1188">
        <f>'2021'!R\Max</f>
        <v>0.81256035173975627</v>
      </c>
      <c r="BZ245" s="1188">
        <f>'2022'!R\Max</f>
        <v>0.74226092325854776</v>
      </c>
      <c r="CA245" s="1188">
        <f>'2023'!R\Max</f>
        <v>0.74226090456488891</v>
      </c>
      <c r="CB245" s="1188">
        <f>'2024'!R\Max</f>
        <v>0.74226088521423828</v>
      </c>
      <c r="CC245" s="1188">
        <f>'2025'!R\Max</f>
        <v>0.74226086582545692</v>
      </c>
      <c r="CD245" s="1188">
        <f>'2026'!R\Max</f>
        <v>0.74226097843121674</v>
      </c>
      <c r="CE245" s="1189">
        <f>'2027'!R\Max</f>
        <v>0.7422609608427464</v>
      </c>
      <c r="CF245" s="1191">
        <f>'2028'!R\Max</f>
        <v>0.74226094281648169</v>
      </c>
    </row>
    <row r="246" spans="1:84" s="6" customFormat="1" ht="11.25" x14ac:dyDescent="0.2">
      <c r="A246" s="11">
        <v>43332</v>
      </c>
      <c r="B246" s="379">
        <f>'2023'!Maxi_hp</f>
        <v>54.452136439558863</v>
      </c>
      <c r="C246" s="13">
        <f>'2023'!An_max</f>
        <v>2022</v>
      </c>
      <c r="D246" s="1045">
        <f t="shared" si="97"/>
        <v>0.97326332379200964</v>
      </c>
      <c r="E246" s="1040">
        <f>AD$13/10</f>
        <v>55.948</v>
      </c>
      <c r="F246" s="13">
        <f t="shared" si="114"/>
        <v>19</v>
      </c>
      <c r="G246" s="13">
        <f t="shared" si="98"/>
        <v>18</v>
      </c>
      <c r="H246" s="173">
        <f t="shared" si="99"/>
        <v>43346</v>
      </c>
      <c r="I246" s="742">
        <f t="shared" si="100"/>
        <v>1</v>
      </c>
      <c r="J246" s="735">
        <f t="shared" si="101"/>
        <v>55.948000000044701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38">
        <v>43332</v>
      </c>
      <c r="AP246" s="13">
        <f t="shared" si="102"/>
        <v>11</v>
      </c>
      <c r="AQ246" s="13">
        <f t="shared" si="103"/>
        <v>10</v>
      </c>
      <c r="AR246" s="173">
        <f t="shared" si="104"/>
        <v>43360</v>
      </c>
      <c r="AS246" s="742">
        <f t="shared" si="105"/>
        <v>1</v>
      </c>
      <c r="AT246" s="758">
        <f t="shared" si="106"/>
        <v>55.948000000044701</v>
      </c>
      <c r="AU246" s="13">
        <f t="shared" si="107"/>
        <v>9</v>
      </c>
      <c r="AV246" s="13">
        <f t="shared" si="108"/>
        <v>10</v>
      </c>
      <c r="AW246" s="173">
        <f t="shared" si="109"/>
        <v>43318</v>
      </c>
      <c r="AX246" s="742">
        <f t="shared" si="110"/>
        <v>0.5</v>
      </c>
      <c r="AY246" s="758">
        <f t="shared" si="111"/>
        <v>56.052656250447036</v>
      </c>
      <c r="AZ246" s="735">
        <f t="shared" si="115"/>
        <v>56.000328125245872</v>
      </c>
      <c r="BA246" s="633">
        <f t="shared" si="112"/>
        <v>0.97326332379200964</v>
      </c>
      <c r="BC246" s="11">
        <v>43332</v>
      </c>
      <c r="BD246" s="289">
        <f>[2]!FeuilCaduc*(1-Persistant)+Persistant</f>
        <v>0.9924198729088658</v>
      </c>
      <c r="BE246" s="290">
        <f>[2]!CroissVégét</f>
        <v>0.94896259011285922</v>
      </c>
      <c r="BF246" s="804">
        <f>1+[2]!Salcycl*Ksac</f>
        <v>1.0492419872908867</v>
      </c>
      <c r="BH246" s="1036">
        <f t="shared" si="113"/>
        <v>1.5489499113814612E-3</v>
      </c>
      <c r="BI246" s="11">
        <v>44428</v>
      </c>
      <c r="BJ246" s="715">
        <v>1.5472343930462559E-3</v>
      </c>
      <c r="BK246" s="715">
        <v>1.5472343930462559E-3</v>
      </c>
      <c r="BL246" s="715">
        <v>1.5474438087944703E-3</v>
      </c>
      <c r="BM246" s="715">
        <v>1.5482443946353878E-3</v>
      </c>
      <c r="BN246" s="715">
        <v>1.5496579370584233E-3</v>
      </c>
      <c r="BO246" s="716">
        <v>1.5514977128725212E-3</v>
      </c>
      <c r="BP246" s="715">
        <v>1.5534056031895011E-3</v>
      </c>
      <c r="BQ246" s="715">
        <v>1.5553844379401713E-3</v>
      </c>
      <c r="BR246" s="715">
        <v>1.5574371612686955E-3</v>
      </c>
      <c r="BS246" s="715">
        <v>1.5595668352885339E-3</v>
      </c>
      <c r="BT246" s="715">
        <v>1.5617488435794641E-3</v>
      </c>
      <c r="BW246" s="1188">
        <f>'2019'!R\Max</f>
        <v>0.50564464771463302</v>
      </c>
      <c r="BX246" s="1188">
        <f>'2020'!R\Max</f>
        <v>0.97032130308344777</v>
      </c>
      <c r="BY246" s="1188">
        <f>'2021'!R\Max</f>
        <v>0.97138467364157433</v>
      </c>
      <c r="BZ246" s="1188">
        <f>'2022'!R\Max</f>
        <v>0.97326332379200964</v>
      </c>
      <c r="CA246" s="1188">
        <f>'2023'!R\Max</f>
        <v>0.97326332039522645</v>
      </c>
      <c r="CB246" s="1188">
        <f>'2024'!R\Max</f>
        <v>0.97326331687880441</v>
      </c>
      <c r="CC246" s="1188">
        <f>'2025'!R\Max</f>
        <v>0.97326331335571137</v>
      </c>
      <c r="CD246" s="1188">
        <f>'2026'!R\Max</f>
        <v>0.97326333381910679</v>
      </c>
      <c r="CE246" s="1189">
        <f>'2027'!R\Max</f>
        <v>0.97326333062159742</v>
      </c>
      <c r="CF246" s="1191">
        <f>'2028'!R\Max</f>
        <v>0.97326332734608556</v>
      </c>
    </row>
    <row r="247" spans="1:84" s="6" customFormat="1" ht="11.25" x14ac:dyDescent="0.2">
      <c r="A247" s="11">
        <v>43333</v>
      </c>
      <c r="B247" s="379">
        <f>'2023'!Maxi_hp</f>
        <v>55.472998221971906</v>
      </c>
      <c r="C247" s="13">
        <f>'2023'!An_max</f>
        <v>2020</v>
      </c>
      <c r="D247" s="1045">
        <f t="shared" si="97"/>
        <v>0.99400229445735977</v>
      </c>
      <c r="E247" s="13"/>
      <c r="F247" s="13">
        <f t="shared" si="114"/>
        <v>19</v>
      </c>
      <c r="G247" s="13">
        <f t="shared" si="98"/>
        <v>18</v>
      </c>
      <c r="H247" s="173">
        <f t="shared" si="99"/>
        <v>43346</v>
      </c>
      <c r="I247" s="742">
        <f t="shared" si="100"/>
        <v>0.9285714285714286</v>
      </c>
      <c r="J247" s="735">
        <f t="shared" si="101"/>
        <v>55.807716472380399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38">
        <v>43333</v>
      </c>
      <c r="AP247" s="13">
        <f t="shared" si="102"/>
        <v>11</v>
      </c>
      <c r="AQ247" s="13">
        <f t="shared" si="103"/>
        <v>10</v>
      </c>
      <c r="AR247" s="173">
        <f t="shared" si="104"/>
        <v>43360</v>
      </c>
      <c r="AS247" s="742">
        <f t="shared" si="105"/>
        <v>0.9642857142857143</v>
      </c>
      <c r="AT247" s="758">
        <f t="shared" si="106"/>
        <v>55.802343214822145</v>
      </c>
      <c r="AU247" s="13">
        <f t="shared" si="107"/>
        <v>9</v>
      </c>
      <c r="AV247" s="13">
        <f t="shared" si="108"/>
        <v>10</v>
      </c>
      <c r="AW247" s="173">
        <f t="shared" si="109"/>
        <v>43318</v>
      </c>
      <c r="AX247" s="742">
        <f t="shared" si="110"/>
        <v>0.5357142857142857</v>
      </c>
      <c r="AY247" s="758">
        <f t="shared" si="111"/>
        <v>55.9165928050543</v>
      </c>
      <c r="AZ247" s="735">
        <f t="shared" si="115"/>
        <v>55.859468009938226</v>
      </c>
      <c r="BA247" s="633">
        <f t="shared" si="112"/>
        <v>0.99400229445735977</v>
      </c>
      <c r="BC247" s="11">
        <v>43333</v>
      </c>
      <c r="BD247" s="289">
        <f>[2]!FeuilCaduc*(1-Persistant)+Persistant</f>
        <v>0.99177343470123258</v>
      </c>
      <c r="BE247" s="290">
        <f>[2]!CroissVégét</f>
        <v>0.95092883908018766</v>
      </c>
      <c r="BF247" s="804">
        <f>1+[2]!Salcycl*Ksac</f>
        <v>1.0491773434701233</v>
      </c>
      <c r="BH247" s="1036">
        <f t="shared" si="113"/>
        <v>1.5486054449855642E-3</v>
      </c>
      <c r="BI247" s="11">
        <v>44429</v>
      </c>
      <c r="BJ247" s="715">
        <v>1.5463996953628731E-3</v>
      </c>
      <c r="BK247" s="715">
        <v>1.5463996953628729E-3</v>
      </c>
      <c r="BL247" s="715">
        <v>1.5466689543373352E-3</v>
      </c>
      <c r="BM247" s="715">
        <v>1.5476983178132585E-3</v>
      </c>
      <c r="BN247" s="715">
        <v>1.5495157980478227E-3</v>
      </c>
      <c r="BO247" s="716">
        <v>1.5518813133119284E-3</v>
      </c>
      <c r="BP247" s="715">
        <v>1.5543344076685737E-3</v>
      </c>
      <c r="BQ247" s="715">
        <v>1.55687871973746E-3</v>
      </c>
      <c r="BR247" s="715">
        <v>1.5595180349895687E-3</v>
      </c>
      <c r="BS247" s="715">
        <v>1.5622562905764157E-3</v>
      </c>
      <c r="BT247" s="715">
        <v>1.5650618356211163E-3</v>
      </c>
      <c r="BW247" s="1188">
        <f>'2019'!R\Max</f>
        <v>0.90265168158487719</v>
      </c>
      <c r="BX247" s="1188">
        <f>'2020'!R\Max</f>
        <v>0.99400229445735977</v>
      </c>
      <c r="BY247" s="1188">
        <f>'2021'!R\Max</f>
        <v>0.94394044899637464</v>
      </c>
      <c r="BZ247" s="1188">
        <f>'2022'!R\Max</f>
        <v>0.72884517720527642</v>
      </c>
      <c r="CA247" s="1188">
        <f>'2023'!R\Max</f>
        <v>0.72884514397370459</v>
      </c>
      <c r="CB247" s="1188">
        <f>'2024'!R\Max</f>
        <v>0.72884510956925164</v>
      </c>
      <c r="CC247" s="1188">
        <f>'2025'!R\Max</f>
        <v>0.72884507510196161</v>
      </c>
      <c r="CD247" s="1188">
        <f>'2026'!R\Max</f>
        <v>0.72884527531978549</v>
      </c>
      <c r="CE247" s="1189">
        <f>'2027'!R\Max</f>
        <v>0.72884524402316053</v>
      </c>
      <c r="CF247" s="1191">
        <f>'2028'!R\Max</f>
        <v>0.728845211978014</v>
      </c>
    </row>
    <row r="248" spans="1:84" s="6" customFormat="1" ht="11.25" x14ac:dyDescent="0.2">
      <c r="A248" s="11">
        <v>43334</v>
      </c>
      <c r="B248" s="379">
        <f>'2023'!Maxi_hp</f>
        <v>56.932210607769058</v>
      </c>
      <c r="C248" s="13">
        <f>'2023'!An_max</f>
        <v>2018</v>
      </c>
      <c r="D248" s="1045">
        <f t="shared" si="97"/>
        <v>1.0227096923491839</v>
      </c>
      <c r="E248" s="13"/>
      <c r="F248" s="13">
        <f t="shared" si="114"/>
        <v>19</v>
      </c>
      <c r="G248" s="13">
        <f t="shared" si="98"/>
        <v>18</v>
      </c>
      <c r="H248" s="173">
        <f t="shared" si="99"/>
        <v>43346</v>
      </c>
      <c r="I248" s="742">
        <f t="shared" si="100"/>
        <v>0.8571428571428571</v>
      </c>
      <c r="J248" s="735">
        <f t="shared" si="101"/>
        <v>55.668007288553881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38">
        <v>43334</v>
      </c>
      <c r="AP248" s="13">
        <f t="shared" si="102"/>
        <v>11</v>
      </c>
      <c r="AQ248" s="13">
        <f t="shared" si="103"/>
        <v>10</v>
      </c>
      <c r="AR248" s="173">
        <f t="shared" si="104"/>
        <v>43360</v>
      </c>
      <c r="AS248" s="742">
        <f t="shared" si="105"/>
        <v>0.9285714285714286</v>
      </c>
      <c r="AT248" s="758">
        <f t="shared" si="106"/>
        <v>55.657184493581632</v>
      </c>
      <c r="AU248" s="13">
        <f t="shared" si="107"/>
        <v>9</v>
      </c>
      <c r="AV248" s="13">
        <f t="shared" si="108"/>
        <v>10</v>
      </c>
      <c r="AW248" s="173">
        <f t="shared" si="109"/>
        <v>43318</v>
      </c>
      <c r="AX248" s="742">
        <f t="shared" si="110"/>
        <v>0.5714285714285714</v>
      </c>
      <c r="AY248" s="758">
        <f t="shared" si="111"/>
        <v>55.778281341466524</v>
      </c>
      <c r="AZ248" s="735">
        <f t="shared" si="115"/>
        <v>55.717732917524074</v>
      </c>
      <c r="BA248" s="633">
        <f t="shared" si="112"/>
        <v>1.0227096923491839</v>
      </c>
      <c r="BC248" s="11">
        <v>43334</v>
      </c>
      <c r="BD248" s="289">
        <f>[2]!FeuilCaduc*(1-Persistant)+Persistant</f>
        <v>0.99109371420784087</v>
      </c>
      <c r="BE248" s="290">
        <f>[2]!CroissVégét</f>
        <v>0.95282358778342446</v>
      </c>
      <c r="BF248" s="804">
        <f>1+[2]!Salcycl*Ksac</f>
        <v>1.049109371420784</v>
      </c>
      <c r="BH248" s="1036">
        <f t="shared" si="113"/>
        <v>1.5490162982593611E-3</v>
      </c>
      <c r="BI248" s="11">
        <v>44430</v>
      </c>
      <c r="BJ248" s="715">
        <v>1.5461321223488762E-3</v>
      </c>
      <c r="BK248" s="715">
        <v>1.5461321223488764E-3</v>
      </c>
      <c r="BL248" s="715">
        <v>1.5464840206049187E-3</v>
      </c>
      <c r="BM248" s="715">
        <v>1.5478298277744986E-3</v>
      </c>
      <c r="BN248" s="715">
        <v>1.5502069880238723E-3</v>
      </c>
      <c r="BO248" s="716">
        <v>1.5533026367395815E-3</v>
      </c>
      <c r="BP248" s="715">
        <v>1.5565154521935936E-3</v>
      </c>
      <c r="BQ248" s="715">
        <v>1.5598504024812061E-3</v>
      </c>
      <c r="BR248" s="715">
        <v>1.5633126598665239E-3</v>
      </c>
      <c r="BS248" s="715">
        <v>1.5669076075831101E-3</v>
      </c>
      <c r="BT248" s="715">
        <v>1.5705928333694112E-3</v>
      </c>
      <c r="BW248" s="1188">
        <f>'2019'!R\Max</f>
        <v>1.0227096923491839</v>
      </c>
      <c r="BX248" s="1188">
        <f>'2020'!R\Max</f>
        <v>0.8733048376112571</v>
      </c>
      <c r="BY248" s="1188">
        <f>'2021'!R\Max</f>
        <v>0.38360964353178129</v>
      </c>
      <c r="BZ248" s="1188">
        <f>'2022'!R\Max</f>
        <v>0.52782775311672692</v>
      </c>
      <c r="CA248" s="1188">
        <f>'2023'!R\Max</f>
        <v>0.52782769813057573</v>
      </c>
      <c r="CB248" s="1188">
        <f>'2024'!R\Max</f>
        <v>0.52782764115644976</v>
      </c>
      <c r="CC248" s="1188">
        <f>'2025'!R\Max</f>
        <v>0.52782758407999419</v>
      </c>
      <c r="CD248" s="1188">
        <f>'2026'!R\Max</f>
        <v>0.52782791539776175</v>
      </c>
      <c r="CE248" s="1189">
        <f>'2027'!R\Max</f>
        <v>0.52782786363337064</v>
      </c>
      <c r="CF248" s="1191">
        <f>'2028'!R\Max</f>
        <v>0.52782781065249573</v>
      </c>
    </row>
    <row r="249" spans="1:84" s="6" customFormat="1" ht="11.25" x14ac:dyDescent="0.2">
      <c r="A249" s="11">
        <v>43335</v>
      </c>
      <c r="B249" s="379">
        <f>'2023'!Maxi_hp</f>
        <v>54.337170768740876</v>
      </c>
      <c r="C249" s="13">
        <f>'2023'!An_max</f>
        <v>2018</v>
      </c>
      <c r="D249" s="1045">
        <f t="shared" si="97"/>
        <v>0.97854665309997479</v>
      </c>
      <c r="E249" s="13"/>
      <c r="F249" s="13">
        <f t="shared" si="114"/>
        <v>19</v>
      </c>
      <c r="G249" s="13">
        <f t="shared" si="98"/>
        <v>18</v>
      </c>
      <c r="H249" s="173">
        <f t="shared" si="99"/>
        <v>43346</v>
      </c>
      <c r="I249" s="742">
        <f t="shared" si="100"/>
        <v>0.7857142857142857</v>
      </c>
      <c r="J249" s="735">
        <f t="shared" si="101"/>
        <v>55.528441691159138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38">
        <v>43335</v>
      </c>
      <c r="AP249" s="13">
        <f t="shared" si="102"/>
        <v>11</v>
      </c>
      <c r="AQ249" s="13">
        <f t="shared" si="103"/>
        <v>10</v>
      </c>
      <c r="AR249" s="173">
        <f t="shared" si="104"/>
        <v>43360</v>
      </c>
      <c r="AS249" s="742">
        <f t="shared" si="105"/>
        <v>0.8928571428571429</v>
      </c>
      <c r="AT249" s="758">
        <f t="shared" si="106"/>
        <v>55.512268073863481</v>
      </c>
      <c r="AU249" s="13">
        <f t="shared" si="107"/>
        <v>9</v>
      </c>
      <c r="AV249" s="13">
        <f t="shared" si="108"/>
        <v>10</v>
      </c>
      <c r="AW249" s="173">
        <f t="shared" si="109"/>
        <v>43318</v>
      </c>
      <c r="AX249" s="742">
        <f t="shared" si="110"/>
        <v>0.6071428571428571</v>
      </c>
      <c r="AY249" s="758">
        <f t="shared" si="111"/>
        <v>55.637546863559898</v>
      </c>
      <c r="AZ249" s="735">
        <f t="shared" si="115"/>
        <v>55.574907468711686</v>
      </c>
      <c r="BA249" s="633">
        <f t="shared" si="112"/>
        <v>0.97854665309997479</v>
      </c>
      <c r="BC249" s="11">
        <v>43335</v>
      </c>
      <c r="BD249" s="289">
        <f>[2]!FeuilCaduc*(1-Persistant)+Persistant</f>
        <v>0.9903793821090876</v>
      </c>
      <c r="BE249" s="290">
        <f>[2]!CroissVégét</f>
        <v>0.95464915235219705</v>
      </c>
      <c r="BF249" s="804">
        <f>1+[2]!Salcycl*Ksac</f>
        <v>1.0490379382109087</v>
      </c>
      <c r="BH249" s="1036">
        <f t="shared" si="113"/>
        <v>1.5504406839116308E-3</v>
      </c>
      <c r="BI249" s="11">
        <v>44431</v>
      </c>
      <c r="BJ249" s="715">
        <v>1.5466898519745135E-3</v>
      </c>
      <c r="BK249" s="715">
        <v>1.5466898519745133E-3</v>
      </c>
      <c r="BL249" s="715">
        <v>1.5471471897821893E-3</v>
      </c>
      <c r="BM249" s="715">
        <v>1.5488971228923383E-3</v>
      </c>
      <c r="BN249" s="715">
        <v>1.5519897340818781E-3</v>
      </c>
      <c r="BO249" s="716">
        <v>1.556019947880242E-3</v>
      </c>
      <c r="BP249" s="715">
        <v>1.5602070408849498E-3</v>
      </c>
      <c r="BQ249" s="715">
        <v>1.5645578315416049E-3</v>
      </c>
      <c r="BR249" s="715">
        <v>1.5690794244658246E-3</v>
      </c>
      <c r="BS249" s="715">
        <v>1.5737792201135435E-3</v>
      </c>
      <c r="BT249" s="715">
        <v>1.5786003172622402E-3</v>
      </c>
      <c r="BW249" s="1188">
        <f>'2019'!R\Max</f>
        <v>0.97854665309997479</v>
      </c>
      <c r="BX249" s="1188">
        <f>'2020'!R\Max</f>
        <v>0.67359758935867475</v>
      </c>
      <c r="BY249" s="1188">
        <f>'2021'!R\Max</f>
        <v>0.9107356163062591</v>
      </c>
      <c r="BZ249" s="1188">
        <f>'2022'!R\Max</f>
        <v>0.94816485425205954</v>
      </c>
      <c r="CA249" s="1188">
        <f>'2023'!R\Max</f>
        <v>0.94816484009500812</v>
      </c>
      <c r="CB249" s="1188">
        <f>'2024'!R\Max</f>
        <v>0.94816482541055369</v>
      </c>
      <c r="CC249" s="1188">
        <f>'2025'!R\Max</f>
        <v>0.94816481070001002</v>
      </c>
      <c r="CD249" s="1188">
        <f>'2026'!R\Max</f>
        <v>0.9481648960105119</v>
      </c>
      <c r="CE249" s="1189">
        <f>'2027'!R\Max</f>
        <v>0.94816488269172983</v>
      </c>
      <c r="CF249" s="1191">
        <f>'2028'!R\Max</f>
        <v>0.94816486906511566</v>
      </c>
    </row>
    <row r="250" spans="1:84" s="6" customFormat="1" ht="11.25" x14ac:dyDescent="0.2">
      <c r="A250" s="11">
        <v>43336</v>
      </c>
      <c r="B250" s="379">
        <f>'2023'!Maxi_hp</f>
        <v>54.747664261265655</v>
      </c>
      <c r="C250" s="13">
        <f>'2023'!An_max</f>
        <v>2018</v>
      </c>
      <c r="D250" s="1045">
        <f t="shared" si="97"/>
        <v>0.98842857937337369</v>
      </c>
      <c r="E250" s="13"/>
      <c r="F250" s="13">
        <f t="shared" si="114"/>
        <v>19</v>
      </c>
      <c r="G250" s="13">
        <f t="shared" si="98"/>
        <v>18</v>
      </c>
      <c r="H250" s="173">
        <f t="shared" si="99"/>
        <v>43346</v>
      </c>
      <c r="I250" s="742">
        <f t="shared" si="100"/>
        <v>0.7142857142857143</v>
      </c>
      <c r="J250" s="735">
        <f t="shared" si="101"/>
        <v>55.388588921592699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38">
        <v>43336</v>
      </c>
      <c r="AP250" s="13">
        <f t="shared" si="102"/>
        <v>11</v>
      </c>
      <c r="AQ250" s="13">
        <f t="shared" si="103"/>
        <v>10</v>
      </c>
      <c r="AR250" s="173">
        <f t="shared" si="104"/>
        <v>43360</v>
      </c>
      <c r="AS250" s="742">
        <f t="shared" si="105"/>
        <v>0.8571428571428571</v>
      </c>
      <c r="AT250" s="758">
        <f t="shared" si="106"/>
        <v>55.367338192516137</v>
      </c>
      <c r="AU250" s="13">
        <f t="shared" si="107"/>
        <v>9</v>
      </c>
      <c r="AV250" s="13">
        <f t="shared" si="108"/>
        <v>10</v>
      </c>
      <c r="AW250" s="173">
        <f t="shared" si="109"/>
        <v>43318</v>
      </c>
      <c r="AX250" s="742">
        <f t="shared" si="110"/>
        <v>0.6428571428571429</v>
      </c>
      <c r="AY250" s="758">
        <f t="shared" si="111"/>
        <v>55.494214377259574</v>
      </c>
      <c r="AZ250" s="735">
        <f t="shared" si="115"/>
        <v>55.430776284887855</v>
      </c>
      <c r="BA250" s="633">
        <f t="shared" si="112"/>
        <v>0.98842857937337369</v>
      </c>
      <c r="BC250" s="11">
        <v>43336</v>
      </c>
      <c r="BD250" s="289">
        <f>[2]!FeuilCaduc*(1-Persistant)+Persistant</f>
        <v>0.98962905565918069</v>
      </c>
      <c r="BE250" s="290">
        <f>[2]!CroissVégét</f>
        <v>0.95640779545152554</v>
      </c>
      <c r="BF250" s="804">
        <f>1+[2]!Salcycl*Ksac</f>
        <v>1.048962905565918</v>
      </c>
      <c r="BH250" s="1036">
        <f t="shared" si="113"/>
        <v>1.5528795407706527E-3</v>
      </c>
      <c r="BI250" s="11">
        <v>44432</v>
      </c>
      <c r="BJ250" s="715">
        <v>1.5480737794144783E-3</v>
      </c>
      <c r="BK250" s="715">
        <v>1.5480737794144786E-3</v>
      </c>
      <c r="BL250" s="715">
        <v>1.5486593623406637E-3</v>
      </c>
      <c r="BM250" s="715">
        <v>1.5509011239814097E-3</v>
      </c>
      <c r="BN250" s="715">
        <v>1.5548649931278271E-3</v>
      </c>
      <c r="BO250" s="716">
        <v>1.5600342509196335E-3</v>
      </c>
      <c r="BP250" s="715">
        <v>1.5654102274206335E-3</v>
      </c>
      <c r="BQ250" s="715">
        <v>1.5710021124114854E-3</v>
      </c>
      <c r="BR250" s="715">
        <v>1.5768194885328564E-3</v>
      </c>
      <c r="BS250" s="715">
        <v>1.5828723447238013E-3</v>
      </c>
      <c r="BT250" s="715">
        <v>1.5890855624125515E-3</v>
      </c>
      <c r="BW250" s="1188">
        <f>'2019'!R\Max</f>
        <v>0.98842857937337369</v>
      </c>
      <c r="BX250" s="1188">
        <f>'2020'!R\Max</f>
        <v>0.807906712567938</v>
      </c>
      <c r="BY250" s="1188">
        <f>'2021'!R\Max</f>
        <v>0.89410148794731781</v>
      </c>
      <c r="BZ250" s="1188">
        <f>'2022'!R\Max</f>
        <v>0.9612927437672375</v>
      </c>
      <c r="CA250" s="1188">
        <f>'2023'!R\Max</f>
        <v>0.96129272998170534</v>
      </c>
      <c r="CB250" s="1188">
        <f>'2024'!R\Max</f>
        <v>0.96129271566763275</v>
      </c>
      <c r="CC250" s="1188">
        <f>'2025'!R\Max</f>
        <v>0.96129270132843503</v>
      </c>
      <c r="CD250" s="1188">
        <f>'2026'!R\Max</f>
        <v>0.96129278440733079</v>
      </c>
      <c r="CE250" s="1189">
        <f>'2027'!R\Max</f>
        <v>0.9612927714466053</v>
      </c>
      <c r="CF250" s="1191">
        <f>'2028'!R\Max</f>
        <v>0.96129275819117155</v>
      </c>
    </row>
    <row r="251" spans="1:84" s="6" customFormat="1" ht="11.25" x14ac:dyDescent="0.2">
      <c r="A251" s="11">
        <v>43337</v>
      </c>
      <c r="B251" s="379">
        <f>'2023'!Maxi_hp</f>
        <v>52.804588122486173</v>
      </c>
      <c r="C251" s="13">
        <f>'2023'!An_max</f>
        <v>2021</v>
      </c>
      <c r="D251" s="1045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73">
        <f t="shared" si="99"/>
        <v>43346</v>
      </c>
      <c r="I251" s="742">
        <f t="shared" si="100"/>
        <v>0.6428571428571429</v>
      </c>
      <c r="J251" s="735">
        <f t="shared" si="101"/>
        <v>55.248018221597057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38">
        <v>43337</v>
      </c>
      <c r="AP251" s="13">
        <f t="shared" si="102"/>
        <v>11</v>
      </c>
      <c r="AQ251" s="13">
        <f t="shared" si="103"/>
        <v>10</v>
      </c>
      <c r="AR251" s="173">
        <f t="shared" si="104"/>
        <v>43360</v>
      </c>
      <c r="AS251" s="742">
        <f t="shared" si="105"/>
        <v>0.8214285714285714</v>
      </c>
      <c r="AT251" s="758">
        <f t="shared" si="106"/>
        <v>55.222139087479022</v>
      </c>
      <c r="AU251" s="13">
        <f t="shared" si="107"/>
        <v>9</v>
      </c>
      <c r="AV251" s="13">
        <f t="shared" si="108"/>
        <v>10</v>
      </c>
      <c r="AW251" s="173">
        <f t="shared" si="109"/>
        <v>43318</v>
      </c>
      <c r="AX251" s="742">
        <f t="shared" si="110"/>
        <v>0.6785714285714286</v>
      </c>
      <c r="AY251" s="758">
        <f t="shared" si="111"/>
        <v>55.348108885171158</v>
      </c>
      <c r="AZ251" s="735">
        <f t="shared" si="115"/>
        <v>55.28512398632509</v>
      </c>
      <c r="BA251" s="633">
        <f t="shared" si="112"/>
        <v>0.95577343445496254</v>
      </c>
      <c r="BC251" s="11">
        <v>43337</v>
      </c>
      <c r="BD251" s="289">
        <f>[2]!FeuilCaduc*(1-Persistant)+Persistant</f>
        <v>0.98884130067878195</v>
      </c>
      <c r="BE251" s="290">
        <f>[2]!CroissVégét</f>
        <v>0.95810172578745478</v>
      </c>
      <c r="BF251" s="804">
        <f>1+[2]!Salcycl*Ksac</f>
        <v>1.0488841300678782</v>
      </c>
      <c r="BH251" s="1036">
        <f t="shared" si="113"/>
        <v>1.5563343518961619E-3</v>
      </c>
      <c r="BI251" s="11">
        <v>44433</v>
      </c>
      <c r="BJ251" s="715">
        <v>1.5502853336459618E-3</v>
      </c>
      <c r="BK251" s="715">
        <v>1.5502853336459618E-3</v>
      </c>
      <c r="BL251" s="715">
        <v>1.5510219738198014E-3</v>
      </c>
      <c r="BM251" s="715">
        <v>1.5538432917843346E-3</v>
      </c>
      <c r="BN251" s="715">
        <v>1.5588342706179311E-3</v>
      </c>
      <c r="BO251" s="716">
        <v>1.5653471098886259E-3</v>
      </c>
      <c r="BP251" s="715">
        <v>1.5721266371469401E-3</v>
      </c>
      <c r="BQ251" s="715">
        <v>1.579184934629636E-3</v>
      </c>
      <c r="BR251" s="715">
        <v>1.5865346088185922E-3</v>
      </c>
      <c r="BS251" s="715">
        <v>1.5941888085459056E-3</v>
      </c>
      <c r="BT251" s="715">
        <v>1.6020504684964435E-3</v>
      </c>
      <c r="BW251" s="1188">
        <f>'2019'!R\Max</f>
        <v>0.80319457310967357</v>
      </c>
      <c r="BX251" s="1188">
        <f>'2020'!R\Max</f>
        <v>0.89872049655977293</v>
      </c>
      <c r="BY251" s="1188">
        <f>'2021'!R\Max</f>
        <v>0.95577343445496254</v>
      </c>
      <c r="BZ251" s="1188">
        <f>'2022'!R\Max</f>
        <v>0.57975977868418893</v>
      </c>
      <c r="CA251" s="1188">
        <f>'2023'!R\Max</f>
        <v>0.57975966465369333</v>
      </c>
      <c r="CB251" s="1188">
        <f>'2024'!R\Max</f>
        <v>0.57975954613907943</v>
      </c>
      <c r="CC251" s="1188">
        <f>'2025'!R\Max</f>
        <v>0.57975942741965236</v>
      </c>
      <c r="CD251" s="1188">
        <f>'2026'!R\Max</f>
        <v>0.57976011468575706</v>
      </c>
      <c r="CE251" s="1189">
        <f>'2027'!R\Max</f>
        <v>0.57976000753817702</v>
      </c>
      <c r="CF251" s="1191">
        <f>'2028'!R\Max</f>
        <v>0.57975989799338623</v>
      </c>
    </row>
    <row r="252" spans="1:84" s="6" customFormat="1" ht="11.25" x14ac:dyDescent="0.2">
      <c r="A252" s="11">
        <v>43338</v>
      </c>
      <c r="B252" s="379">
        <f>'2023'!Maxi_hp</f>
        <v>54.205725811203237</v>
      </c>
      <c r="C252" s="13">
        <f>'2023'!An_max</f>
        <v>2020</v>
      </c>
      <c r="D252" s="1045">
        <f t="shared" si="97"/>
        <v>0.98365753023099978</v>
      </c>
      <c r="E252" s="13"/>
      <c r="F252" s="13">
        <f t="shared" si="114"/>
        <v>19</v>
      </c>
      <c r="G252" s="13">
        <f t="shared" si="98"/>
        <v>18</v>
      </c>
      <c r="H252" s="173">
        <f t="shared" si="99"/>
        <v>43346</v>
      </c>
      <c r="I252" s="742">
        <f t="shared" si="100"/>
        <v>0.5714285714285714</v>
      </c>
      <c r="J252" s="735">
        <f t="shared" si="101"/>
        <v>55.106298833979032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38">
        <v>43338</v>
      </c>
      <c r="AP252" s="13">
        <f t="shared" si="102"/>
        <v>11</v>
      </c>
      <c r="AQ252" s="13">
        <f t="shared" si="103"/>
        <v>10</v>
      </c>
      <c r="AR252" s="173">
        <f t="shared" si="104"/>
        <v>43360</v>
      </c>
      <c r="AS252" s="742">
        <f t="shared" si="105"/>
        <v>0.7857142857142857</v>
      </c>
      <c r="AT252" s="758">
        <f t="shared" si="106"/>
        <v>55.076414996438793</v>
      </c>
      <c r="AU252" s="13">
        <f t="shared" si="107"/>
        <v>9</v>
      </c>
      <c r="AV252" s="13">
        <f t="shared" si="108"/>
        <v>10</v>
      </c>
      <c r="AW252" s="173">
        <f t="shared" si="109"/>
        <v>43318</v>
      </c>
      <c r="AX252" s="742">
        <f t="shared" si="110"/>
        <v>0.7142857142857143</v>
      </c>
      <c r="AY252" s="758">
        <f t="shared" si="111"/>
        <v>55.199055393998108</v>
      </c>
      <c r="AZ252" s="735">
        <f t="shared" si="115"/>
        <v>55.137735195218454</v>
      </c>
      <c r="BA252" s="633">
        <f t="shared" si="112"/>
        <v>0.98365753023099978</v>
      </c>
      <c r="BC252" s="11">
        <v>43338</v>
      </c>
      <c r="BD252" s="289">
        <f>[2]!FeuilCaduc*(1-Persistant)+Persistant</f>
        <v>0.98801463245186594</v>
      </c>
      <c r="BE252" s="290">
        <f>[2]!CroissVégét</f>
        <v>0.95973309779026206</v>
      </c>
      <c r="BF252" s="804">
        <f>1+[2]!Salcycl*Ksac</f>
        <v>1.0488014632451865</v>
      </c>
      <c r="BH252" s="1036">
        <f t="shared" si="113"/>
        <v>1.560805643828917E-3</v>
      </c>
      <c r="BI252" s="11">
        <v>44434</v>
      </c>
      <c r="BJ252" s="715">
        <v>1.553324980690907E-3</v>
      </c>
      <c r="BK252" s="715">
        <v>1.553324980690907E-3</v>
      </c>
      <c r="BL252" s="715">
        <v>1.5542354975821282E-3</v>
      </c>
      <c r="BM252" s="715">
        <v>1.5577241278638002E-3</v>
      </c>
      <c r="BN252" s="715">
        <v>1.5638981181598458E-3</v>
      </c>
      <c r="BO252" s="716">
        <v>1.571959141978829E-3</v>
      </c>
      <c r="BP252" s="715">
        <v>1.5803569559460391E-3</v>
      </c>
      <c r="BQ252" s="715">
        <v>1.58910705603107E-3</v>
      </c>
      <c r="BR252" s="715">
        <v>1.5982256185360945E-3</v>
      </c>
      <c r="BS252" s="715">
        <v>1.6077295237666165E-3</v>
      </c>
      <c r="BT252" s="715">
        <v>1.6174960291291216E-3</v>
      </c>
      <c r="BW252" s="1188">
        <f>'2019'!R\Max</f>
        <v>0.8689673935740938</v>
      </c>
      <c r="BX252" s="1188">
        <f>'2020'!R\Max</f>
        <v>0.98365753023099978</v>
      </c>
      <c r="BY252" s="1188">
        <f>'2021'!R\Max</f>
        <v>0.96801553528933393</v>
      </c>
      <c r="BZ252" s="1188">
        <f>'2022'!R\Max</f>
        <v>0.77679672054133275</v>
      </c>
      <c r="CA252" s="1188">
        <f>'2023'!R\Max</f>
        <v>0.77679661984759107</v>
      </c>
      <c r="CB252" s="1188">
        <f>'2024'!R\Max</f>
        <v>0.7767965151073043</v>
      </c>
      <c r="CC252" s="1188">
        <f>'2025'!R\Max</f>
        <v>0.7767964101893664</v>
      </c>
      <c r="CD252" s="1188">
        <f>'2026'!R\Max</f>
        <v>0.77679701712434801</v>
      </c>
      <c r="CE252" s="1189">
        <f>'2027'!R\Max</f>
        <v>0.7767969225510738</v>
      </c>
      <c r="CF252" s="1191">
        <f>'2028'!R\Max</f>
        <v>0.77679682589571264</v>
      </c>
    </row>
    <row r="253" spans="1:84" s="6" customFormat="1" ht="11.25" x14ac:dyDescent="0.2">
      <c r="A253" s="11">
        <v>43339</v>
      </c>
      <c r="B253" s="379">
        <f>'2023'!Maxi_hp</f>
        <v>51.835560545336492</v>
      </c>
      <c r="C253" s="13">
        <f>'2023'!An_max</f>
        <v>2022</v>
      </c>
      <c r="D253" s="1045" t="str">
        <f t="shared" si="97"/>
        <v/>
      </c>
      <c r="E253" s="13"/>
      <c r="F253" s="13">
        <f t="shared" si="114"/>
        <v>19</v>
      </c>
      <c r="G253" s="13">
        <f t="shared" si="98"/>
        <v>18</v>
      </c>
      <c r="H253" s="173">
        <f t="shared" si="99"/>
        <v>43346</v>
      </c>
      <c r="I253" s="742">
        <f t="shared" si="100"/>
        <v>0.5</v>
      </c>
      <c r="J253" s="735">
        <f t="shared" si="101"/>
        <v>54.962999999895693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38">
        <v>43339</v>
      </c>
      <c r="AP253" s="13">
        <f t="shared" si="102"/>
        <v>11</v>
      </c>
      <c r="AQ253" s="13">
        <f t="shared" si="103"/>
        <v>10</v>
      </c>
      <c r="AR253" s="173">
        <f t="shared" si="104"/>
        <v>43360</v>
      </c>
      <c r="AS253" s="742">
        <f t="shared" si="105"/>
        <v>0.75</v>
      </c>
      <c r="AT253" s="758">
        <f t="shared" si="106"/>
        <v>54.929910156223926</v>
      </c>
      <c r="AU253" s="13">
        <f t="shared" si="107"/>
        <v>9</v>
      </c>
      <c r="AV253" s="13">
        <f t="shared" si="108"/>
        <v>10</v>
      </c>
      <c r="AW253" s="173">
        <f t="shared" si="109"/>
        <v>43318</v>
      </c>
      <c r="AX253" s="742">
        <f t="shared" si="110"/>
        <v>0.75</v>
      </c>
      <c r="AY253" s="758">
        <f t="shared" si="111"/>
        <v>55.046878906851632</v>
      </c>
      <c r="AZ253" s="735">
        <f t="shared" si="115"/>
        <v>54.988394531537779</v>
      </c>
      <c r="BA253" s="633">
        <f t="shared" si="112"/>
        <v>0.94309918573285412</v>
      </c>
      <c r="BC253" s="11">
        <v>43339</v>
      </c>
      <c r="BD253" s="289">
        <f>[2]!FeuilCaduc*(1-Persistant)+Persistant</f>
        <v>0.98714751557373748</v>
      </c>
      <c r="BE253" s="290">
        <f>[2]!CroissVégét</f>
        <v>0.9613040114607565</v>
      </c>
      <c r="BF253" s="804">
        <f>1+[2]!Salcycl*Ksac</f>
        <v>1.0487147515573738</v>
      </c>
      <c r="BH253" s="1036">
        <f t="shared" si="113"/>
        <v>1.5662939868726342E-3</v>
      </c>
      <c r="BI253" s="11">
        <v>44435</v>
      </c>
      <c r="BJ253" s="715">
        <v>1.5571932217066787E-3</v>
      </c>
      <c r="BK253" s="715">
        <v>1.5571932217066785E-3</v>
      </c>
      <c r="BL253" s="715">
        <v>1.558300443170967E-3</v>
      </c>
      <c r="BM253" s="715">
        <v>1.5625441739825104E-3</v>
      </c>
      <c r="BN253" s="715">
        <v>1.5700571346997962E-3</v>
      </c>
      <c r="BO253" s="716">
        <v>1.5798710210858874E-3</v>
      </c>
      <c r="BP253" s="715">
        <v>1.5901019362288399E-3</v>
      </c>
      <c r="BQ253" s="715">
        <v>1.6007693112869623E-3</v>
      </c>
      <c r="BR253" s="715">
        <v>1.6118934385493345E-3</v>
      </c>
      <c r="BS253" s="715">
        <v>1.6234955015714259E-3</v>
      </c>
      <c r="BT253" s="715">
        <v>1.6354233486364405E-3</v>
      </c>
      <c r="BW253" s="1188">
        <f>'2019'!R\Max</f>
        <v>0.61160600023931222</v>
      </c>
      <c r="BX253" s="1188">
        <f>'2020'!R\Max</f>
        <v>0.48505645244305873</v>
      </c>
      <c r="BY253" s="1188">
        <f>'2021'!R\Max</f>
        <v>0.8657900546831736</v>
      </c>
      <c r="BZ253" s="1188">
        <f>'2022'!R\Max</f>
        <v>0.94309918573285412</v>
      </c>
      <c r="CA253" s="1188">
        <f>'2023'!R\Max</f>
        <v>0.94309914769918191</v>
      </c>
      <c r="CB253" s="1188">
        <f>'2024'!R\Max</f>
        <v>0.94309910810858943</v>
      </c>
      <c r="CC253" s="1188">
        <f>'2025'!R\Max</f>
        <v>0.94309906845229241</v>
      </c>
      <c r="CD253" s="1188">
        <f>'2026'!R\Max</f>
        <v>0.94309929771993661</v>
      </c>
      <c r="CE253" s="1189">
        <f>'2027'!R\Max</f>
        <v>0.94309926201033734</v>
      </c>
      <c r="CF253" s="1191">
        <f>'2028'!R\Max</f>
        <v>0.94309922552704684</v>
      </c>
    </row>
    <row r="254" spans="1:84" s="6" customFormat="1" ht="11.25" x14ac:dyDescent="0.2">
      <c r="A254" s="11">
        <v>43340</v>
      </c>
      <c r="B254" s="379">
        <f>'2023'!Maxi_hp</f>
        <v>55.753732502644198</v>
      </c>
      <c r="C254" s="13">
        <f>'2023'!An_max</f>
        <v>2021</v>
      </c>
      <c r="D254" s="1045">
        <f t="shared" si="97"/>
        <v>1.0170755375452023</v>
      </c>
      <c r="E254" s="13"/>
      <c r="F254" s="13">
        <f t="shared" si="114"/>
        <v>19</v>
      </c>
      <c r="G254" s="13">
        <f t="shared" si="98"/>
        <v>18</v>
      </c>
      <c r="H254" s="173">
        <f t="shared" si="99"/>
        <v>43346</v>
      </c>
      <c r="I254" s="742">
        <f t="shared" si="100"/>
        <v>0.42857142857142855</v>
      </c>
      <c r="J254" s="735">
        <f t="shared" si="101"/>
        <v>54.817690962473193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38">
        <v>43340</v>
      </c>
      <c r="AP254" s="13">
        <f t="shared" si="102"/>
        <v>11</v>
      </c>
      <c r="AQ254" s="13">
        <f t="shared" si="103"/>
        <v>10</v>
      </c>
      <c r="AR254" s="173">
        <f t="shared" si="104"/>
        <v>43360</v>
      </c>
      <c r="AS254" s="742">
        <f t="shared" si="105"/>
        <v>0.7142857142857143</v>
      </c>
      <c r="AT254" s="758">
        <f t="shared" si="106"/>
        <v>54.782368804594242</v>
      </c>
      <c r="AU254" s="13">
        <f t="shared" si="107"/>
        <v>9</v>
      </c>
      <c r="AV254" s="13">
        <f t="shared" si="108"/>
        <v>10</v>
      </c>
      <c r="AW254" s="173">
        <f t="shared" si="109"/>
        <v>43318</v>
      </c>
      <c r="AX254" s="742">
        <f t="shared" si="110"/>
        <v>0.7857142857142857</v>
      </c>
      <c r="AY254" s="758">
        <f t="shared" si="111"/>
        <v>54.891404428386259</v>
      </c>
      <c r="AZ254" s="735">
        <f t="shared" si="115"/>
        <v>54.836886616490247</v>
      </c>
      <c r="BA254" s="633">
        <f t="shared" si="112"/>
        <v>1.0170755375452023</v>
      </c>
      <c r="BC254" s="11">
        <v>43340</v>
      </c>
      <c r="BD254" s="289">
        <f>[2]!FeuilCaduc*(1-Persistant)+Persistant</f>
        <v>0.98623836281486477</v>
      </c>
      <c r="BE254" s="290">
        <f>[2]!CroissVégét</f>
        <v>0.96281651236587618</v>
      </c>
      <c r="BF254" s="804">
        <f>1+[2]!Salcycl*Ksac</f>
        <v>1.0486238362814864</v>
      </c>
      <c r="BH254" s="1036">
        <f t="shared" si="113"/>
        <v>1.5704894606329122E-3</v>
      </c>
      <c r="BI254" s="11">
        <v>44436</v>
      </c>
      <c r="BJ254" s="715">
        <v>1.5595195357119536E-3</v>
      </c>
      <c r="BK254" s="715">
        <v>1.5595195357119534E-3</v>
      </c>
      <c r="BL254" s="715">
        <v>1.5608531489640738E-3</v>
      </c>
      <c r="BM254" s="715">
        <v>1.5659675587709344E-3</v>
      </c>
      <c r="BN254" s="715">
        <v>1.5750274431043463E-3</v>
      </c>
      <c r="BO254" s="716">
        <v>1.586871762716736E-3</v>
      </c>
      <c r="BP254" s="715">
        <v>1.5992341661156672E-3</v>
      </c>
      <c r="BQ254" s="715">
        <v>1.6121394399137429E-3</v>
      </c>
      <c r="BR254" s="715">
        <v>1.6256134957781806E-3</v>
      </c>
      <c r="BS254" s="715">
        <v>1.6396834104333363E-3</v>
      </c>
      <c r="BT254" s="715">
        <v>1.6541597192947961E-3</v>
      </c>
      <c r="BW254" s="1188">
        <f>'2019'!R\Max</f>
        <v>0.6660642237705634</v>
      </c>
      <c r="BX254" s="1188">
        <f>'2020'!R\Max</f>
        <v>0.94718107922966588</v>
      </c>
      <c r="BY254" s="1188">
        <f>'2021'!R\Max</f>
        <v>1.0170755375452023</v>
      </c>
      <c r="BZ254" s="1188">
        <f>'2022'!R\Max</f>
        <v>0.96691665467076116</v>
      </c>
      <c r="CA254" s="1188">
        <f>'2023'!R\Max</f>
        <v>0.96691662722792648</v>
      </c>
      <c r="CB254" s="1188">
        <f>'2024'!R\Max</f>
        <v>0.96691659862691048</v>
      </c>
      <c r="CC254" s="1188">
        <f>'2025'!R\Max</f>
        <v>0.96691656997891062</v>
      </c>
      <c r="CD254" s="1188">
        <f>'2026'!R\Max</f>
        <v>0.96691673541842993</v>
      </c>
      <c r="CE254" s="1189">
        <f>'2027'!R\Max</f>
        <v>0.96691670967546828</v>
      </c>
      <c r="CF254" s="1191">
        <f>'2028'!R\Max</f>
        <v>0.96691668338276948</v>
      </c>
    </row>
    <row r="255" spans="1:84" s="6" customFormat="1" ht="11.25" x14ac:dyDescent="0.2">
      <c r="A255" s="11">
        <v>43341</v>
      </c>
      <c r="B255" s="379">
        <f>'2023'!Maxi_hp</f>
        <v>55.057615254458725</v>
      </c>
      <c r="C255" s="13">
        <f>'2023'!An_max</f>
        <v>2021</v>
      </c>
      <c r="D255" s="1045">
        <f t="shared" si="97"/>
        <v>1.0070911781793244</v>
      </c>
      <c r="E255" s="13"/>
      <c r="F255" s="13">
        <f t="shared" si="114"/>
        <v>19</v>
      </c>
      <c r="G255" s="13">
        <f t="shared" si="98"/>
        <v>18</v>
      </c>
      <c r="H255" s="173">
        <f t="shared" si="99"/>
        <v>43346</v>
      </c>
      <c r="I255" s="742">
        <f t="shared" si="100"/>
        <v>0.35714285714285715</v>
      </c>
      <c r="J255" s="735">
        <f t="shared" si="101"/>
        <v>54.669940962043725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38">
        <v>43341</v>
      </c>
      <c r="AP255" s="13">
        <f t="shared" si="102"/>
        <v>11</v>
      </c>
      <c r="AQ255" s="13">
        <f t="shared" si="103"/>
        <v>10</v>
      </c>
      <c r="AR255" s="173">
        <f t="shared" si="104"/>
        <v>43360</v>
      </c>
      <c r="AS255" s="742">
        <f t="shared" si="105"/>
        <v>0.6785714285714286</v>
      </c>
      <c r="AT255" s="758">
        <f t="shared" si="106"/>
        <v>54.633535178797317</v>
      </c>
      <c r="AU255" s="13">
        <f t="shared" si="107"/>
        <v>9</v>
      </c>
      <c r="AV255" s="13">
        <f t="shared" si="108"/>
        <v>10</v>
      </c>
      <c r="AW255" s="173">
        <f t="shared" si="109"/>
        <v>43318</v>
      </c>
      <c r="AX255" s="742">
        <f t="shared" si="110"/>
        <v>0.8214285714285714</v>
      </c>
      <c r="AY255" s="758">
        <f t="shared" si="111"/>
        <v>54.732456963349669</v>
      </c>
      <c r="AZ255" s="735">
        <f t="shared" si="115"/>
        <v>54.682996071073489</v>
      </c>
      <c r="BA255" s="633">
        <f t="shared" si="112"/>
        <v>1.0070911781793244</v>
      </c>
      <c r="BC255" s="11">
        <v>43341</v>
      </c>
      <c r="BD255" s="289">
        <f>[2]!FeuilCaduc*(1-Persistant)+Persistant</f>
        <v>0.98528553308204958</v>
      </c>
      <c r="BE255" s="290">
        <f>[2]!CroissVégét</f>
        <v>0.96427259177046543</v>
      </c>
      <c r="BF255" s="804">
        <f>1+[2]!Salcycl*Ksac</f>
        <v>1.0485285533082049</v>
      </c>
      <c r="BH255" s="1036">
        <f t="shared" si="113"/>
        <v>1.5723096614429558E-3</v>
      </c>
      <c r="BI255" s="11">
        <v>44437</v>
      </c>
      <c r="BJ255" s="715">
        <v>1.5592827182112265E-3</v>
      </c>
      <c r="BK255" s="715">
        <v>1.5592827182112268E-3</v>
      </c>
      <c r="BL255" s="715">
        <v>1.5608649395809843E-3</v>
      </c>
      <c r="BM255" s="715">
        <v>1.5669370466609156E-3</v>
      </c>
      <c r="BN255" s="715">
        <v>1.5777013821062613E-3</v>
      </c>
      <c r="BO255" s="716">
        <v>1.5917880768403459E-3</v>
      </c>
      <c r="BP255" s="715">
        <v>1.6065123001891143E-3</v>
      </c>
      <c r="BQ255" s="715">
        <v>1.6219055138292846E-3</v>
      </c>
      <c r="BR255" s="715">
        <v>1.6380006474867135E-3</v>
      </c>
      <c r="BS255" s="715">
        <v>1.6548321520747245E-3</v>
      </c>
      <c r="BT255" s="715">
        <v>1.6721662232613592E-3</v>
      </c>
      <c r="BW255" s="1188">
        <f>'2019'!R\Max</f>
        <v>0.9450992290520539</v>
      </c>
      <c r="BX255" s="1188">
        <f>'2020'!R\Max</f>
        <v>0.18307392857540561</v>
      </c>
      <c r="BY255" s="1188">
        <f>'2021'!R\Max</f>
        <v>1.0070911781793244</v>
      </c>
      <c r="BZ255" s="1188">
        <f>'2022'!R\Max</f>
        <v>0.66672478549897463</v>
      </c>
      <c r="CA255" s="1188">
        <f>'2023'!R\Max</f>
        <v>0.66672455806152542</v>
      </c>
      <c r="CB255" s="1188">
        <f>'2024'!R\Max</f>
        <v>0.66672432067788623</v>
      </c>
      <c r="CC255" s="1188">
        <f>'2025'!R\Max</f>
        <v>0.66672408290652141</v>
      </c>
      <c r="CD255" s="1188">
        <f>'2026'!R\Max</f>
        <v>0.66672545413090423</v>
      </c>
      <c r="CE255" s="1189">
        <f>'2027'!R\Max</f>
        <v>0.66672524103079622</v>
      </c>
      <c r="CF255" s="1191">
        <f>'2028'!R\Max</f>
        <v>0.66672502344125206</v>
      </c>
    </row>
    <row r="256" spans="1:84" s="6" customFormat="1" ht="11.25" x14ac:dyDescent="0.2">
      <c r="A256" s="11">
        <v>43342</v>
      </c>
      <c r="B256" s="379">
        <f>'2023'!Maxi_hp</f>
        <v>53.730779388968067</v>
      </c>
      <c r="C256" s="13">
        <f>'2023'!An_max</f>
        <v>2021</v>
      </c>
      <c r="D256" s="1045">
        <f t="shared" si="97"/>
        <v>0.98553650588028607</v>
      </c>
      <c r="E256" s="13"/>
      <c r="F256" s="13">
        <f t="shared" si="114"/>
        <v>19</v>
      </c>
      <c r="G256" s="13">
        <f t="shared" si="98"/>
        <v>18</v>
      </c>
      <c r="H256" s="173">
        <f t="shared" si="99"/>
        <v>43346</v>
      </c>
      <c r="I256" s="742">
        <f t="shared" si="100"/>
        <v>0.2857142857142857</v>
      </c>
      <c r="J256" s="735">
        <f t="shared" si="101"/>
        <v>54.519319242239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38">
        <v>43342</v>
      </c>
      <c r="AP256" s="13">
        <f t="shared" si="102"/>
        <v>11</v>
      </c>
      <c r="AQ256" s="13">
        <f t="shared" si="103"/>
        <v>10</v>
      </c>
      <c r="AR256" s="173">
        <f t="shared" si="104"/>
        <v>43360</v>
      </c>
      <c r="AS256" s="742">
        <f t="shared" si="105"/>
        <v>0.6428571428571429</v>
      </c>
      <c r="AT256" s="758">
        <f t="shared" si="106"/>
        <v>54.483153516626246</v>
      </c>
      <c r="AU256" s="13">
        <f t="shared" si="107"/>
        <v>9</v>
      </c>
      <c r="AV256" s="13">
        <f t="shared" si="108"/>
        <v>10</v>
      </c>
      <c r="AW256" s="173">
        <f t="shared" si="109"/>
        <v>43318</v>
      </c>
      <c r="AX256" s="742">
        <f t="shared" si="110"/>
        <v>0.8571428571428571</v>
      </c>
      <c r="AY256" s="758">
        <f t="shared" si="111"/>
        <v>54.569861516436298</v>
      </c>
      <c r="AZ256" s="735">
        <f t="shared" si="115"/>
        <v>54.526507516531268</v>
      </c>
      <c r="BA256" s="633">
        <f t="shared" si="112"/>
        <v>0.98553650588028607</v>
      </c>
      <c r="BC256" s="11">
        <v>43342</v>
      </c>
      <c r="BD256" s="289">
        <f>[2]!FeuilCaduc*(1-Persistant)+Persistant</f>
        <v>0.98428732857434864</v>
      </c>
      <c r="BE256" s="290">
        <f>[2]!CroissVégét</f>
        <v>0.96567418689281481</v>
      </c>
      <c r="BF256" s="804">
        <f>1+[2]!Salcycl*Ksac</f>
        <v>1.0484287328574349</v>
      </c>
      <c r="BH256" s="1036">
        <f t="shared" si="113"/>
        <v>1.5717542637618724E-3</v>
      </c>
      <c r="BI256" s="11">
        <v>44438</v>
      </c>
      <c r="BJ256" s="715">
        <v>1.5564823455029959E-3</v>
      </c>
      <c r="BK256" s="715">
        <v>1.5564823455029959E-3</v>
      </c>
      <c r="BL256" s="715">
        <v>1.558335403054203E-3</v>
      </c>
      <c r="BM256" s="715">
        <v>1.5654522712682493E-3</v>
      </c>
      <c r="BN256" s="715">
        <v>1.5780786671532061E-3</v>
      </c>
      <c r="BO256" s="716">
        <v>1.5946197878097268E-3</v>
      </c>
      <c r="BP256" s="715">
        <v>1.6119362793935452E-3</v>
      </c>
      <c r="BQ256" s="715">
        <v>1.6300675987624164E-3</v>
      </c>
      <c r="BR256" s="715">
        <v>1.6490550929174966E-3</v>
      </c>
      <c r="BS256" s="715">
        <v>1.6689420685475395E-3</v>
      </c>
      <c r="BT256" s="715">
        <v>1.6894433517867192E-3</v>
      </c>
      <c r="BW256" s="1188">
        <f>'2019'!R\Max</f>
        <v>0.93746092133720815</v>
      </c>
      <c r="BX256" s="1188">
        <f>'2020'!R\Max</f>
        <v>0.46027592073619766</v>
      </c>
      <c r="BY256" s="1188">
        <f>'2021'!R\Max</f>
        <v>0.98553650588028607</v>
      </c>
      <c r="BZ256" s="1188">
        <f>'2022'!R\Max</f>
        <v>0.95952919952240479</v>
      </c>
      <c r="CA256" s="1188">
        <f>'2023'!R\Max</f>
        <v>0.95952915269521188</v>
      </c>
      <c r="CB256" s="1188">
        <f>'2024'!R\Max</f>
        <v>0.959529103744033</v>
      </c>
      <c r="CC256" s="1188">
        <f>'2025'!R\Max</f>
        <v>0.95952905471322469</v>
      </c>
      <c r="CD256" s="1188">
        <f>'2026'!R\Max</f>
        <v>0.95952933705857901</v>
      </c>
      <c r="CE256" s="1189">
        <f>'2027'!R\Max</f>
        <v>0.9595292932395747</v>
      </c>
      <c r="CF256" s="1191">
        <f>'2028'!R\Max</f>
        <v>0.95952924850928123</v>
      </c>
    </row>
    <row r="257" spans="1:84" s="6" customFormat="1" ht="11.25" x14ac:dyDescent="0.2">
      <c r="A257" s="11">
        <v>43343</v>
      </c>
      <c r="B257" s="379">
        <f>'2023'!Maxi_hp</f>
        <v>53.216072891494655</v>
      </c>
      <c r="C257" s="13">
        <f>'2023'!An_max</f>
        <v>2021</v>
      </c>
      <c r="D257" s="1045">
        <f t="shared" si="97"/>
        <v>0.978859306527606</v>
      </c>
      <c r="E257" s="13"/>
      <c r="F257" s="13">
        <f t="shared" si="114"/>
        <v>19</v>
      </c>
      <c r="G257" s="13">
        <f t="shared" si="98"/>
        <v>18</v>
      </c>
      <c r="H257" s="173">
        <f t="shared" si="99"/>
        <v>43346</v>
      </c>
      <c r="I257" s="742">
        <f t="shared" si="100"/>
        <v>0.21428571428571427</v>
      </c>
      <c r="J257" s="735">
        <f t="shared" si="101"/>
        <v>54.365395043617376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38">
        <v>43343</v>
      </c>
      <c r="AP257" s="13">
        <f t="shared" si="102"/>
        <v>11</v>
      </c>
      <c r="AQ257" s="13">
        <f t="shared" si="103"/>
        <v>10</v>
      </c>
      <c r="AR257" s="173">
        <f t="shared" si="104"/>
        <v>43360</v>
      </c>
      <c r="AS257" s="742">
        <f t="shared" si="105"/>
        <v>0.6071428571428571</v>
      </c>
      <c r="AT257" s="758">
        <f t="shared" si="106"/>
        <v>54.330968055348578</v>
      </c>
      <c r="AU257" s="13">
        <f t="shared" si="107"/>
        <v>9</v>
      </c>
      <c r="AV257" s="13">
        <f t="shared" si="108"/>
        <v>10</v>
      </c>
      <c r="AW257" s="173">
        <f t="shared" si="109"/>
        <v>43318</v>
      </c>
      <c r="AX257" s="742">
        <f t="shared" si="110"/>
        <v>0.8928571428571429</v>
      </c>
      <c r="AY257" s="758">
        <f t="shared" si="111"/>
        <v>54.403443092327301</v>
      </c>
      <c r="AZ257" s="735">
        <f t="shared" si="115"/>
        <v>54.367205573837936</v>
      </c>
      <c r="BA257" s="633">
        <f t="shared" si="112"/>
        <v>0.978859306527606</v>
      </c>
      <c r="BC257" s="11">
        <v>43343</v>
      </c>
      <c r="BD257" s="289">
        <f>[2]!FeuilCaduc*(1-Persistant)+Persistant</f>
        <v>0.98324199124582012</v>
      </c>
      <c r="BE257" s="290">
        <f>[2]!CroissVégét</f>
        <v>0.9670231812722152</v>
      </c>
      <c r="BF257" s="804">
        <f>1+[2]!Salcycl*Ksac</f>
        <v>1.048324199124582</v>
      </c>
      <c r="BH257" s="1036">
        <f t="shared" si="113"/>
        <v>1.56882283481303E-3</v>
      </c>
      <c r="BI257" s="11">
        <v>44439</v>
      </c>
      <c r="BJ257" s="715">
        <v>1.551117876686879E-3</v>
      </c>
      <c r="BK257" s="715">
        <v>1.551117876686879E-3</v>
      </c>
      <c r="BL257" s="715">
        <v>1.5532640113993213E-3</v>
      </c>
      <c r="BM257" s="715">
        <v>1.561512754810242E-3</v>
      </c>
      <c r="BN257" s="715">
        <v>1.5761589106346584E-3</v>
      </c>
      <c r="BO257" s="716">
        <v>1.5953666281056267E-3</v>
      </c>
      <c r="BP257" s="715">
        <v>1.6155059649053359E-3</v>
      </c>
      <c r="BQ257" s="715">
        <v>1.636625693761182E-3</v>
      </c>
      <c r="BR257" s="715">
        <v>1.6587769787708457E-3</v>
      </c>
      <c r="BS257" s="715">
        <v>1.6820134646237546E-3</v>
      </c>
      <c r="BT257" s="715">
        <v>1.7059915748774946E-3</v>
      </c>
      <c r="BW257" s="1188">
        <f>'2019'!R\Max</f>
        <v>0.91861524566039854</v>
      </c>
      <c r="BX257" s="1188">
        <f>'2020'!R\Max</f>
        <v>0.59066092926027258</v>
      </c>
      <c r="BY257" s="1188">
        <f>'2021'!R\Max</f>
        <v>0.978859306527606</v>
      </c>
      <c r="BZ257" s="1188">
        <f>'2022'!R\Max</f>
        <v>0.49867195929243663</v>
      </c>
      <c r="CA257" s="1188">
        <f>'2023'!R\Max</f>
        <v>0.49867160806645411</v>
      </c>
      <c r="CB257" s="1188">
        <f>'2024'!R\Max</f>
        <v>0.49867124033661153</v>
      </c>
      <c r="CC257" s="1188">
        <f>'2025'!R\Max</f>
        <v>0.49867087201236288</v>
      </c>
      <c r="CD257" s="1188">
        <f>'2026'!R\Max</f>
        <v>0.49867298991075171</v>
      </c>
      <c r="CE257" s="1189">
        <f>'2027'!R\Max</f>
        <v>0.49867266167290719</v>
      </c>
      <c r="CF257" s="1191">
        <f>'2028'!R\Max</f>
        <v>0.49867232669455658</v>
      </c>
    </row>
    <row r="258" spans="1:84" s="6" customFormat="1" ht="11.25" x14ac:dyDescent="0.2">
      <c r="A258" s="11">
        <v>43344</v>
      </c>
      <c r="B258" s="379">
        <f>'2023'!Maxi_hp</f>
        <v>44.616826041056136</v>
      </c>
      <c r="C258" s="13">
        <f>'2023'!An_max</f>
        <v>2020</v>
      </c>
      <c r="D258" s="1045" t="str">
        <f t="shared" si="97"/>
        <v/>
      </c>
      <c r="E258" s="13"/>
      <c r="F258" s="13">
        <f t="shared" si="114"/>
        <v>19</v>
      </c>
      <c r="G258" s="13">
        <f t="shared" si="98"/>
        <v>18</v>
      </c>
      <c r="H258" s="173">
        <f t="shared" si="99"/>
        <v>43346</v>
      </c>
      <c r="I258" s="742">
        <f t="shared" si="100"/>
        <v>0.14285714285714285</v>
      </c>
      <c r="J258" s="735">
        <f t="shared" si="101"/>
        <v>54.207737609690852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38">
        <v>43344</v>
      </c>
      <c r="AP258" s="13">
        <f t="shared" si="102"/>
        <v>11</v>
      </c>
      <c r="AQ258" s="13">
        <f t="shared" si="103"/>
        <v>10</v>
      </c>
      <c r="AR258" s="173">
        <f t="shared" si="104"/>
        <v>43360</v>
      </c>
      <c r="AS258" s="742">
        <f t="shared" si="105"/>
        <v>0.5714285714285714</v>
      </c>
      <c r="AT258" s="758">
        <f t="shared" si="106"/>
        <v>54.17672303233828</v>
      </c>
      <c r="AU258" s="13">
        <f t="shared" si="107"/>
        <v>9</v>
      </c>
      <c r="AV258" s="13">
        <f t="shared" si="108"/>
        <v>10</v>
      </c>
      <c r="AW258" s="173">
        <f t="shared" si="109"/>
        <v>43318</v>
      </c>
      <c r="AX258" s="742">
        <f t="shared" si="110"/>
        <v>0.9285714285714286</v>
      </c>
      <c r="AY258" s="758">
        <f t="shared" si="111"/>
        <v>54.233026694799108</v>
      </c>
      <c r="AZ258" s="735">
        <f t="shared" si="115"/>
        <v>54.204874863568691</v>
      </c>
      <c r="BA258" s="633">
        <f t="shared" si="112"/>
        <v>0.82307117043526778</v>
      </c>
      <c r="BC258" s="11">
        <v>43344</v>
      </c>
      <c r="BD258" s="289">
        <f>[2]!FeuilCaduc*(1-Persistant)+Persistant</f>
        <v>0.9821476987004818</v>
      </c>
      <c r="BE258" s="290">
        <f>[2]!CroissVégét</f>
        <v>0.96832140523745813</v>
      </c>
      <c r="BF258" s="804">
        <f>1+[2]!Salcycl*Ksac</f>
        <v>1.0482147698700481</v>
      </c>
      <c r="BH258" s="1036">
        <f t="shared" si="113"/>
        <v>1.5635148303859473E-3</v>
      </c>
      <c r="BI258" s="11">
        <v>44440</v>
      </c>
      <c r="BJ258" s="715">
        <v>1.5431886491346139E-3</v>
      </c>
      <c r="BK258" s="715">
        <v>1.5431886491346139E-3</v>
      </c>
      <c r="BL258" s="715">
        <v>1.5456501161251461E-3</v>
      </c>
      <c r="BM258" s="715">
        <v>1.5551179037691092E-3</v>
      </c>
      <c r="BN258" s="715">
        <v>1.5719416178227854E-3</v>
      </c>
      <c r="BO258" s="716">
        <v>1.5940282346507493E-3</v>
      </c>
      <c r="BP258" s="715">
        <v>1.6172211348528486E-3</v>
      </c>
      <c r="BQ258" s="715">
        <v>1.6415797283533158E-3</v>
      </c>
      <c r="BR258" s="715">
        <v>1.6671663968430199E-3</v>
      </c>
      <c r="BS258" s="715">
        <v>1.6940466059510986E-3</v>
      </c>
      <c r="BT258" s="715">
        <v>1.7218113399970372E-3</v>
      </c>
      <c r="BW258" s="1188">
        <f>'2019'!R\Max</f>
        <v>0.32453378509132969</v>
      </c>
      <c r="BX258" s="1188">
        <f>'2020'!R\Max</f>
        <v>0.82307117043526778</v>
      </c>
      <c r="BY258" s="1188">
        <f>'2021'!R\Max</f>
        <v>0.78786850408549181</v>
      </c>
      <c r="BZ258" s="1188">
        <f>'2022'!R\Max</f>
        <v>0.78453965597880715</v>
      </c>
      <c r="CA258" s="1188">
        <f>'2023'!R\Max</f>
        <v>0.78453938199818918</v>
      </c>
      <c r="CB258" s="1188">
        <f>'2024'!R\Max</f>
        <v>0.78453909470730832</v>
      </c>
      <c r="CC258" s="1188">
        <f>'2025'!R\Max</f>
        <v>0.78453880695527278</v>
      </c>
      <c r="CD258" s="1188">
        <f>'2026'!R\Max</f>
        <v>0.78454045919611426</v>
      </c>
      <c r="CE258" s="1189">
        <f>'2027'!R\Max</f>
        <v>0.78454020347228859</v>
      </c>
      <c r="CF258" s="1191">
        <f>'2028'!R\Max</f>
        <v>0.78453994256116255</v>
      </c>
    </row>
    <row r="259" spans="1:84" s="6" customFormat="1" ht="11.25" x14ac:dyDescent="0.2">
      <c r="A259" s="11">
        <v>43345</v>
      </c>
      <c r="B259" s="379">
        <f>'2023'!Maxi_hp</f>
        <v>52.82794412076764</v>
      </c>
      <c r="C259" s="13">
        <f>'2023'!An_max</f>
        <v>2018</v>
      </c>
      <c r="D259" s="1045">
        <f t="shared" si="97"/>
        <v>0.9774641241030021</v>
      </c>
      <c r="E259" s="13"/>
      <c r="F259" s="13">
        <f t="shared" si="114"/>
        <v>19</v>
      </c>
      <c r="G259" s="13">
        <f t="shared" si="98"/>
        <v>18</v>
      </c>
      <c r="H259" s="173">
        <f t="shared" si="99"/>
        <v>43346</v>
      </c>
      <c r="I259" s="742">
        <f t="shared" si="100"/>
        <v>7.1428571428571425E-2</v>
      </c>
      <c r="J259" s="735">
        <f t="shared" si="101"/>
        <v>54.045916180552112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38">
        <v>43345</v>
      </c>
      <c r="AP259" s="13">
        <f t="shared" si="102"/>
        <v>11</v>
      </c>
      <c r="AQ259" s="13">
        <f t="shared" si="103"/>
        <v>10</v>
      </c>
      <c r="AR259" s="173">
        <f t="shared" si="104"/>
        <v>43360</v>
      </c>
      <c r="AS259" s="742">
        <f t="shared" si="105"/>
        <v>0.5357142857142857</v>
      </c>
      <c r="AT259" s="758">
        <f t="shared" si="106"/>
        <v>54.020162684064623</v>
      </c>
      <c r="AU259" s="13">
        <f t="shared" si="107"/>
        <v>9</v>
      </c>
      <c r="AV259" s="13">
        <f t="shared" si="108"/>
        <v>10</v>
      </c>
      <c r="AW259" s="173">
        <f t="shared" si="109"/>
        <v>43318</v>
      </c>
      <c r="AX259" s="742">
        <f t="shared" si="110"/>
        <v>0.9642857142857143</v>
      </c>
      <c r="AY259" s="758">
        <f t="shared" si="111"/>
        <v>54.058437329810111</v>
      </c>
      <c r="AZ259" s="735">
        <f t="shared" si="115"/>
        <v>54.039300006937367</v>
      </c>
      <c r="BA259" s="633">
        <f t="shared" si="112"/>
        <v>0.9774641241030021</v>
      </c>
      <c r="BC259" s="11">
        <v>43345</v>
      </c>
      <c r="BD259" s="289">
        <f>[2]!FeuilCaduc*(1-Persistant)+Persistant</f>
        <v>0.98100255965661098</v>
      </c>
      <c r="BE259" s="290">
        <f>[2]!CroissVégét</f>
        <v>0.96957063646587138</v>
      </c>
      <c r="BF259" s="804">
        <f>1+[2]!Salcycl*Ksac</f>
        <v>1.0481002559656611</v>
      </c>
      <c r="BH259" s="1036">
        <f t="shared" si="113"/>
        <v>1.5558295906288214E-3</v>
      </c>
      <c r="BI259" s="11">
        <v>44441</v>
      </c>
      <c r="BJ259" s="715">
        <v>1.5326938739516887E-3</v>
      </c>
      <c r="BK259" s="715">
        <v>1.5326938739516887E-3</v>
      </c>
      <c r="BL259" s="715">
        <v>1.5354929437344596E-3</v>
      </c>
      <c r="BM259" s="715">
        <v>1.5462670045460114E-3</v>
      </c>
      <c r="BN259" s="715">
        <v>1.5654261828039534E-3</v>
      </c>
      <c r="BO259" s="716">
        <v>1.5906041451146057E-3</v>
      </c>
      <c r="BP259" s="715">
        <v>1.6170814810270492E-3</v>
      </c>
      <c r="BQ259" s="715">
        <v>1.6449295596973684E-3</v>
      </c>
      <c r="BR259" s="715">
        <v>1.6742233816550705E-3</v>
      </c>
      <c r="BS259" s="715">
        <v>1.7050417171994498E-3</v>
      </c>
      <c r="BT259" s="715">
        <v>1.7369030707568116E-3</v>
      </c>
      <c r="BW259" s="1188">
        <f>'2019'!R\Max</f>
        <v>0.9774641241030021</v>
      </c>
      <c r="BX259" s="1188">
        <f>'2020'!R\Max</f>
        <v>0.87681772965874127</v>
      </c>
      <c r="BY259" s="1188">
        <f>'2021'!R\Max</f>
        <v>0.35122152887375063</v>
      </c>
      <c r="BZ259" s="1188">
        <f>'2022'!R\Max</f>
        <v>0.74973162811631611</v>
      </c>
      <c r="CA259" s="1188">
        <f>'2023'!R\Max</f>
        <v>0.74973128029153602</v>
      </c>
      <c r="CB259" s="1188">
        <f>'2024'!R\Max</f>
        <v>0.74973091503901179</v>
      </c>
      <c r="CC259" s="1188">
        <f>'2025'!R\Max</f>
        <v>0.74973054920593074</v>
      </c>
      <c r="CD259" s="1188">
        <f>'2026'!R\Max</f>
        <v>0.74973264693078412</v>
      </c>
      <c r="CE259" s="1189">
        <f>'2027'!R\Max</f>
        <v>0.74973232267484813</v>
      </c>
      <c r="CF259" s="1191">
        <f>'2028'!R\Max</f>
        <v>0.74973199192066153</v>
      </c>
    </row>
    <row r="260" spans="1:84" s="6" customFormat="1" ht="11.25" x14ac:dyDescent="0.2">
      <c r="A260" s="11">
        <v>43346</v>
      </c>
      <c r="B260" s="379">
        <f>'2023'!Maxi_hp</f>
        <v>55.63834028982383</v>
      </c>
      <c r="C260" s="13">
        <f>'2023'!An_max</f>
        <v>2020</v>
      </c>
      <c r="D260" s="1045">
        <f t="shared" si="97"/>
        <v>1.032643960861821</v>
      </c>
      <c r="E260" s="1040">
        <f>AE$13/10</f>
        <v>53.879499999999993</v>
      </c>
      <c r="F260" s="13">
        <f t="shared" si="114"/>
        <v>19</v>
      </c>
      <c r="G260" s="13">
        <f t="shared" si="98"/>
        <v>20</v>
      </c>
      <c r="H260" s="173">
        <f t="shared" si="99"/>
        <v>43346</v>
      </c>
      <c r="I260" s="742">
        <f t="shared" si="100"/>
        <v>0</v>
      </c>
      <c r="J260" s="735">
        <f t="shared" si="101"/>
        <v>53.879500000551346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38">
        <v>43346</v>
      </c>
      <c r="AP260" s="13">
        <f t="shared" si="102"/>
        <v>11</v>
      </c>
      <c r="AQ260" s="13">
        <f t="shared" si="103"/>
        <v>10</v>
      </c>
      <c r="AR260" s="173">
        <f t="shared" si="104"/>
        <v>43360</v>
      </c>
      <c r="AS260" s="742">
        <f t="shared" si="105"/>
        <v>0.5</v>
      </c>
      <c r="AT260" s="758">
        <f t="shared" si="106"/>
        <v>53.861031249631196</v>
      </c>
      <c r="AU260" s="13">
        <f t="shared" si="107"/>
        <v>11</v>
      </c>
      <c r="AV260" s="13">
        <f t="shared" si="108"/>
        <v>10</v>
      </c>
      <c r="AW260" s="173">
        <f t="shared" si="109"/>
        <v>43374</v>
      </c>
      <c r="AX260" s="742">
        <f t="shared" si="110"/>
        <v>1</v>
      </c>
      <c r="AY260" s="758">
        <f t="shared" si="111"/>
        <v>53.879500000923869</v>
      </c>
      <c r="AZ260" s="735">
        <f t="shared" si="115"/>
        <v>53.870265625277533</v>
      </c>
      <c r="BA260" s="633">
        <f t="shared" si="112"/>
        <v>1.032643960861821</v>
      </c>
      <c r="BC260" s="11">
        <v>43346</v>
      </c>
      <c r="BD260" s="289">
        <f>[2]!FeuilCaduc*(1-Persistant)+Persistant</f>
        <v>0.97980460912758693</v>
      </c>
      <c r="BE260" s="290">
        <f>[2]!CroissVégét</f>
        <v>0.97077260062312232</v>
      </c>
      <c r="BF260" s="804">
        <f>1+[2]!Salcycl*Ksac</f>
        <v>1.0479804609127588</v>
      </c>
      <c r="BH260" s="1036">
        <f t="shared" si="113"/>
        <v>1.5457663358244345E-3</v>
      </c>
      <c r="BI260" s="11">
        <v>44442</v>
      </c>
      <c r="BJ260" s="715">
        <v>1.5196326314225609E-3</v>
      </c>
      <c r="BK260" s="715">
        <v>1.5196326314225606E-3</v>
      </c>
      <c r="BL260" s="715">
        <v>1.5227915912083441E-3</v>
      </c>
      <c r="BM260" s="715">
        <v>1.5349592190985533E-3</v>
      </c>
      <c r="BN260" s="715">
        <v>1.5566118843935359E-3</v>
      </c>
      <c r="BO260" s="716">
        <v>1.585093794201441E-3</v>
      </c>
      <c r="BP260" s="715">
        <v>1.6150866055749562E-3</v>
      </c>
      <c r="BQ260" s="715">
        <v>1.6466749697164179E-3</v>
      </c>
      <c r="BR260" s="715">
        <v>1.679947908064014E-3</v>
      </c>
      <c r="BS260" s="715">
        <v>1.7149989801892843E-3</v>
      </c>
      <c r="BT260" s="715">
        <v>1.751267165589545E-3</v>
      </c>
      <c r="BW260" s="1188">
        <f>'2019'!R\Max</f>
        <v>1.0157291963781749</v>
      </c>
      <c r="BX260" s="1188">
        <f>'2020'!R\Max</f>
        <v>1.032643960861821</v>
      </c>
      <c r="BY260" s="1188">
        <f>'2021'!R\Max</f>
        <v>0.68805474937688005</v>
      </c>
      <c r="BZ260" s="1188">
        <f>'2022'!R\Max</f>
        <v>0.78238591578282335</v>
      </c>
      <c r="CA260" s="1188">
        <f>'2023'!R\Max</f>
        <v>0.78238555759688577</v>
      </c>
      <c r="CB260" s="1188">
        <f>'2024'!R\Max</f>
        <v>0.78238518094619869</v>
      </c>
      <c r="CC260" s="1188">
        <f>'2025'!R\Max</f>
        <v>0.78238480370395191</v>
      </c>
      <c r="CD260" s="1188">
        <f>'2026'!R\Max</f>
        <v>0.78238696408410457</v>
      </c>
      <c r="CE260" s="1189">
        <f>'2027'!R\Max</f>
        <v>0.78238663054836166</v>
      </c>
      <c r="CF260" s="1191">
        <f>'2028'!R\Max</f>
        <v>0.78238629040759966</v>
      </c>
    </row>
    <row r="261" spans="1:84" s="6" customFormat="1" ht="11.25" x14ac:dyDescent="0.2">
      <c r="A261" s="11">
        <v>43347</v>
      </c>
      <c r="B261" s="379">
        <f>'2023'!Maxi_hp</f>
        <v>54.520522140500951</v>
      </c>
      <c r="C261" s="13">
        <f>'2023'!An_max</f>
        <v>2018</v>
      </c>
      <c r="D261" s="1045">
        <f t="shared" si="97"/>
        <v>1.0150938268951326</v>
      </c>
      <c r="E261" s="13"/>
      <c r="F261" s="13">
        <f t="shared" si="114"/>
        <v>19</v>
      </c>
      <c r="G261" s="13">
        <f t="shared" si="98"/>
        <v>20</v>
      </c>
      <c r="H261" s="173">
        <f t="shared" si="99"/>
        <v>43346</v>
      </c>
      <c r="I261" s="742">
        <f t="shared" si="100"/>
        <v>7.1428571428571425E-2</v>
      </c>
      <c r="J261" s="735">
        <f t="shared" si="101"/>
        <v>53.70983518564276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38">
        <v>43347</v>
      </c>
      <c r="AP261" s="13">
        <f t="shared" si="102"/>
        <v>11</v>
      </c>
      <c r="AQ261" s="13">
        <f t="shared" si="103"/>
        <v>10</v>
      </c>
      <c r="AR261" s="173">
        <f t="shared" si="104"/>
        <v>43360</v>
      </c>
      <c r="AS261" s="742">
        <f t="shared" si="105"/>
        <v>0.4642857142857143</v>
      </c>
      <c r="AT261" s="758">
        <f t="shared" si="106"/>
        <v>53.699072966052753</v>
      </c>
      <c r="AU261" s="13">
        <f t="shared" si="107"/>
        <v>11</v>
      </c>
      <c r="AV261" s="13">
        <f t="shared" si="108"/>
        <v>10</v>
      </c>
      <c r="AW261" s="173">
        <f t="shared" si="109"/>
        <v>43374</v>
      </c>
      <c r="AX261" s="742">
        <f t="shared" si="110"/>
        <v>0.9642857142857143</v>
      </c>
      <c r="AY261" s="758">
        <f t="shared" si="111"/>
        <v>53.697370126324572</v>
      </c>
      <c r="AZ261" s="735">
        <f t="shared" si="115"/>
        <v>53.698221546188663</v>
      </c>
      <c r="BA261" s="633">
        <f t="shared" si="112"/>
        <v>1.0150938268951326</v>
      </c>
      <c r="BC261" s="11">
        <v>43347</v>
      </c>
      <c r="BD261" s="289">
        <f>[2]!FeuilCaduc*(1-Persistant)+Persistant</f>
        <v>0.9785518034747176</v>
      </c>
      <c r="BE261" s="290">
        <f>[2]!CroissVégét</f>
        <v>0.97192897207465079</v>
      </c>
      <c r="BF261" s="804">
        <f>1+[2]!Salcycl*Ksac</f>
        <v>1.0478551803474718</v>
      </c>
      <c r="BH261" s="1036">
        <f t="shared" si="113"/>
        <v>1.5333241621640706E-3</v>
      </c>
      <c r="BI261" s="11">
        <v>44443</v>
      </c>
      <c r="BJ261" s="715">
        <v>1.5040038664540459E-3</v>
      </c>
      <c r="BK261" s="715">
        <v>1.5040038664540459E-3</v>
      </c>
      <c r="BL261" s="715">
        <v>1.5075450214886573E-3</v>
      </c>
      <c r="BM261" s="715">
        <v>1.5211935805763616E-3</v>
      </c>
      <c r="BN261" s="715">
        <v>1.5454978820486603E-3</v>
      </c>
      <c r="BO261" s="716">
        <v>1.5774965099359195E-3</v>
      </c>
      <c r="BP261" s="715">
        <v>1.611236017690665E-3</v>
      </c>
      <c r="BQ261" s="715">
        <v>1.6468156622291563E-3</v>
      </c>
      <c r="BR261" s="715">
        <v>1.684339888871167E-3</v>
      </c>
      <c r="BS261" s="715">
        <v>1.7239185320170622E-3</v>
      </c>
      <c r="BT261" s="715">
        <v>1.7649039964190796E-3</v>
      </c>
      <c r="BW261" s="1188">
        <f>'2019'!R\Max</f>
        <v>1.0150938268951326</v>
      </c>
      <c r="BX261" s="1188">
        <f>'2020'!R\Max</f>
        <v>0.99308210303922095</v>
      </c>
      <c r="BY261" s="1188">
        <f>'2021'!R\Max</f>
        <v>0.80136866818282571</v>
      </c>
      <c r="BZ261" s="1188">
        <f>'2022'!R\Max</f>
        <v>0.97606027516550842</v>
      </c>
      <c r="CA261" s="1188">
        <f>'2023'!R\Max</f>
        <v>0.97606021976262525</v>
      </c>
      <c r="CB261" s="1188">
        <f>'2024'!R\Max</f>
        <v>0.97606016142808882</v>
      </c>
      <c r="CC261" s="1188">
        <f>'2025'!R\Max</f>
        <v>0.97606010300316892</v>
      </c>
      <c r="CD261" s="1188">
        <f>'2026'!R\Max</f>
        <v>0.97606043718793412</v>
      </c>
      <c r="CE261" s="1189">
        <f>'2027'!R\Max</f>
        <v>0.97606038565272701</v>
      </c>
      <c r="CF261" s="1191">
        <f>'2028'!R\Max</f>
        <v>0.97606033310884366</v>
      </c>
    </row>
    <row r="262" spans="1:84" s="6" customFormat="1" ht="11.25" x14ac:dyDescent="0.2">
      <c r="A262" s="11">
        <v>43348</v>
      </c>
      <c r="B262" s="379">
        <f>'2023'!Maxi_hp</f>
        <v>54.53002186266891</v>
      </c>
      <c r="C262" s="13">
        <f>'2023'!An_max</f>
        <v>2020</v>
      </c>
      <c r="D262" s="1045">
        <f t="shared" si="97"/>
        <v>1.0185228421154429</v>
      </c>
      <c r="E262" s="13"/>
      <c r="F262" s="13">
        <f t="shared" si="114"/>
        <v>19</v>
      </c>
      <c r="G262" s="13">
        <f t="shared" si="98"/>
        <v>20</v>
      </c>
      <c r="H262" s="173">
        <f t="shared" si="99"/>
        <v>43346</v>
      </c>
      <c r="I262" s="742">
        <f t="shared" si="100"/>
        <v>0.14285714285714285</v>
      </c>
      <c r="J262" s="735">
        <f t="shared" si="101"/>
        <v>53.538339650205202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38">
        <v>43348</v>
      </c>
      <c r="AP262" s="13">
        <f t="shared" si="102"/>
        <v>11</v>
      </c>
      <c r="AQ262" s="13">
        <f t="shared" si="103"/>
        <v>10</v>
      </c>
      <c r="AR262" s="173">
        <f t="shared" si="104"/>
        <v>43360</v>
      </c>
      <c r="AS262" s="742">
        <f t="shared" si="105"/>
        <v>0.42857142857142855</v>
      </c>
      <c r="AT262" s="758">
        <f t="shared" si="106"/>
        <v>53.534032069758645</v>
      </c>
      <c r="AU262" s="13">
        <f t="shared" si="107"/>
        <v>11</v>
      </c>
      <c r="AV262" s="13">
        <f t="shared" si="108"/>
        <v>10</v>
      </c>
      <c r="AW262" s="173">
        <f t="shared" si="109"/>
        <v>43374</v>
      </c>
      <c r="AX262" s="742">
        <f t="shared" si="110"/>
        <v>0.9285714285714286</v>
      </c>
      <c r="AY262" s="758">
        <f t="shared" si="111"/>
        <v>53.513247996435631</v>
      </c>
      <c r="AZ262" s="735">
        <f t="shared" si="115"/>
        <v>53.523640033097138</v>
      </c>
      <c r="BA262" s="633">
        <f t="shared" si="112"/>
        <v>1.0185228421154429</v>
      </c>
      <c r="BC262" s="11">
        <v>43348</v>
      </c>
      <c r="BD262" s="289">
        <f>[2]!FeuilCaduc*(1-Persistant)+Persistant</f>
        <v>0.97724201549381062</v>
      </c>
      <c r="BE262" s="290">
        <f>[2]!CroissVégét</f>
        <v>0.97304137466019458</v>
      </c>
      <c r="BF262" s="804">
        <f>1+[2]!Salcycl*Ksac</f>
        <v>1.0477242015493811</v>
      </c>
      <c r="BH262" s="1036">
        <f t="shared" si="113"/>
        <v>1.5192618348803524E-3</v>
      </c>
      <c r="BI262" s="11">
        <v>44444</v>
      </c>
      <c r="BJ262" s="715">
        <v>1.486638162804887E-3</v>
      </c>
      <c r="BK262" s="715">
        <v>1.486638162804887E-3</v>
      </c>
      <c r="BL262" s="715">
        <v>1.4905746092329045E-3</v>
      </c>
      <c r="BM262" s="715">
        <v>1.5057575290241924E-3</v>
      </c>
      <c r="BN262" s="715">
        <v>1.5328141642175783E-3</v>
      </c>
      <c r="BO262" s="716">
        <v>1.5684720240041643E-3</v>
      </c>
      <c r="BP262" s="715">
        <v>1.6061237292595912E-3</v>
      </c>
      <c r="BQ262" s="715">
        <v>1.6458854368123341E-3</v>
      </c>
      <c r="BR262" s="715">
        <v>1.6878794803491986E-3</v>
      </c>
      <c r="BS262" s="715">
        <v>1.7322346115926995E-3</v>
      </c>
      <c r="BT262" s="715">
        <v>1.7782074316755345E-3</v>
      </c>
      <c r="BW262" s="1188">
        <f>'2019'!R\Max</f>
        <v>0.69246356680783494</v>
      </c>
      <c r="BX262" s="1188">
        <f>'2020'!R\Max</f>
        <v>1.0185228421154429</v>
      </c>
      <c r="BY262" s="1188">
        <f>'2021'!R\Max</f>
        <v>0.90229432544961796</v>
      </c>
      <c r="BZ262" s="1188">
        <f>'2022'!R\Max</f>
        <v>0.86521918936436859</v>
      </c>
      <c r="CA262" s="1188">
        <f>'2023'!R\Max</f>
        <v>0.86521888023230886</v>
      </c>
      <c r="CB262" s="1188">
        <f>'2024'!R\Max</f>
        <v>0.86521855427326255</v>
      </c>
      <c r="CC262" s="1188">
        <f>'2025'!R\Max</f>
        <v>0.86521822781539881</v>
      </c>
      <c r="CD262" s="1188">
        <f>'2026'!R\Max</f>
        <v>0.86522009261745514</v>
      </c>
      <c r="CE262" s="1189">
        <f>'2027'!R\Max</f>
        <v>0.86521980541640586</v>
      </c>
      <c r="CF262" s="1191">
        <f>'2028'!R\Max</f>
        <v>0.86521951265620078</v>
      </c>
    </row>
    <row r="263" spans="1:84" s="6" customFormat="1" ht="11.25" x14ac:dyDescent="0.2">
      <c r="A263" s="11">
        <v>43349</v>
      </c>
      <c r="B263" s="379">
        <f>'2023'!Maxi_hp</f>
        <v>55.510997901314788</v>
      </c>
      <c r="C263" s="13">
        <f>'2023'!An_max</f>
        <v>2018</v>
      </c>
      <c r="D263" s="1045">
        <f t="shared" si="97"/>
        <v>1.0402196202037532</v>
      </c>
      <c r="E263" s="13"/>
      <c r="F263" s="13">
        <f t="shared" si="114"/>
        <v>19</v>
      </c>
      <c r="G263" s="13">
        <f t="shared" si="98"/>
        <v>20</v>
      </c>
      <c r="H263" s="173">
        <f t="shared" si="99"/>
        <v>43346</v>
      </c>
      <c r="I263" s="742">
        <f t="shared" si="100"/>
        <v>0.21428571428571427</v>
      </c>
      <c r="J263" s="735">
        <f t="shared" si="101"/>
        <v>53.364690324185155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38">
        <v>43349</v>
      </c>
      <c r="AP263" s="13">
        <f t="shared" si="102"/>
        <v>11</v>
      </c>
      <c r="AQ263" s="13">
        <f t="shared" si="103"/>
        <v>10</v>
      </c>
      <c r="AR263" s="173">
        <f t="shared" si="104"/>
        <v>43360</v>
      </c>
      <c r="AS263" s="742">
        <f t="shared" si="105"/>
        <v>0.39285714285714285</v>
      </c>
      <c r="AT263" s="758">
        <f t="shared" si="106"/>
        <v>53.365652799499891</v>
      </c>
      <c r="AU263" s="13">
        <f t="shared" si="107"/>
        <v>11</v>
      </c>
      <c r="AV263" s="13">
        <f t="shared" si="108"/>
        <v>10</v>
      </c>
      <c r="AW263" s="173">
        <f t="shared" si="109"/>
        <v>43374</v>
      </c>
      <c r="AX263" s="742">
        <f t="shared" si="110"/>
        <v>0.8928571428571429</v>
      </c>
      <c r="AY263" s="758">
        <f t="shared" si="111"/>
        <v>53.327025920565106</v>
      </c>
      <c r="AZ263" s="735">
        <f t="shared" si="115"/>
        <v>53.346339360032502</v>
      </c>
      <c r="BA263" s="633">
        <f t="shared" si="112"/>
        <v>1.0402196202037532</v>
      </c>
      <c r="BC263" s="11">
        <v>43349</v>
      </c>
      <c r="BD263" s="289">
        <f>[2]!FeuilCaduc*(1-Persistant)+Persistant</f>
        <v>0.975873029701537</v>
      </c>
      <c r="BE263" s="290">
        <f>[2]!CroissVégét</f>
        <v>0.97411138252345786</v>
      </c>
      <c r="BF263" s="804">
        <f>1+[2]!Salcycl*Ksac</f>
        <v>1.0475873029701537</v>
      </c>
      <c r="BH263" s="1036">
        <f t="shared" si="113"/>
        <v>1.503655361578479E-3</v>
      </c>
      <c r="BI263" s="11">
        <v>44445</v>
      </c>
      <c r="BJ263" s="715">
        <v>1.4677384435161727E-3</v>
      </c>
      <c r="BK263" s="715">
        <v>1.4677384435161729E-3</v>
      </c>
      <c r="BL263" s="715">
        <v>1.4720679614527018E-3</v>
      </c>
      <c r="BM263" s="715">
        <v>1.4887796024791143E-3</v>
      </c>
      <c r="BN263" s="715">
        <v>1.5185840212669638E-3</v>
      </c>
      <c r="BO263" s="716">
        <v>1.5579049577633074E-3</v>
      </c>
      <c r="BP263" s="715">
        <v>1.5994880100209275E-3</v>
      </c>
      <c r="BQ263" s="715">
        <v>1.6434681101913761E-3</v>
      </c>
      <c r="BR263" s="715">
        <v>1.6899875055001593E-3</v>
      </c>
      <c r="BS263" s="715">
        <v>1.739196046884643E-3</v>
      </c>
      <c r="BT263" s="715">
        <v>1.7902481475217218E-3</v>
      </c>
      <c r="BW263" s="1188">
        <f>'2019'!R\Max</f>
        <v>1.0402196202037532</v>
      </c>
      <c r="BX263" s="1188">
        <f>'2020'!R\Max</f>
        <v>0.86753940026978871</v>
      </c>
      <c r="BY263" s="1188">
        <f>'2021'!R\Max</f>
        <v>0.97094604277302121</v>
      </c>
      <c r="BZ263" s="1188">
        <f>'2022'!R\Max</f>
        <v>0.89333240769902367</v>
      </c>
      <c r="CA263" s="1188">
        <f>'2023'!R\Max</f>
        <v>0.89333212820694397</v>
      </c>
      <c r="CB263" s="1188">
        <f>'2024'!R\Max</f>
        <v>0.89333183304824026</v>
      </c>
      <c r="CC263" s="1188">
        <f>'2025'!R\Max</f>
        <v>0.89333153744274263</v>
      </c>
      <c r="CD263" s="1188">
        <f>'2026'!R\Max</f>
        <v>0.89333322358238221</v>
      </c>
      <c r="CE263" s="1189">
        <f>'2027'!R\Max</f>
        <v>0.89333296426342346</v>
      </c>
      <c r="CF263" s="1191">
        <f>'2028'!R\Max</f>
        <v>0.89333269997755438</v>
      </c>
    </row>
    <row r="264" spans="1:84" s="6" customFormat="1" ht="11.25" x14ac:dyDescent="0.2">
      <c r="A264" s="11">
        <v>43350</v>
      </c>
      <c r="B264" s="379">
        <f>'2023'!Maxi_hp</f>
        <v>52.173352901498127</v>
      </c>
      <c r="C264" s="13">
        <f>'2023'!An_max</f>
        <v>2018</v>
      </c>
      <c r="D264" s="1045">
        <f t="shared" si="97"/>
        <v>0.98091297904469443</v>
      </c>
      <c r="E264" s="13"/>
      <c r="F264" s="13">
        <f t="shared" si="114"/>
        <v>19</v>
      </c>
      <c r="G264" s="13">
        <f t="shared" si="98"/>
        <v>20</v>
      </c>
      <c r="H264" s="173">
        <f t="shared" si="99"/>
        <v>43346</v>
      </c>
      <c r="I264" s="742">
        <f t="shared" si="100"/>
        <v>0.2857142857142857</v>
      </c>
      <c r="J264" s="735">
        <f t="shared" si="101"/>
        <v>53.188564139817437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38">
        <v>43350</v>
      </c>
      <c r="AP264" s="13">
        <f t="shared" si="102"/>
        <v>11</v>
      </c>
      <c r="AQ264" s="13">
        <f t="shared" si="103"/>
        <v>10</v>
      </c>
      <c r="AR264" s="173">
        <f t="shared" si="104"/>
        <v>43360</v>
      </c>
      <c r="AS264" s="742">
        <f t="shared" si="105"/>
        <v>0.35714285714285715</v>
      </c>
      <c r="AT264" s="758">
        <f t="shared" si="106"/>
        <v>53.193679390967418</v>
      </c>
      <c r="AU264" s="13">
        <f t="shared" si="107"/>
        <v>11</v>
      </c>
      <c r="AV264" s="13">
        <f t="shared" si="108"/>
        <v>10</v>
      </c>
      <c r="AW264" s="173">
        <f t="shared" si="109"/>
        <v>43374</v>
      </c>
      <c r="AX264" s="742">
        <f t="shared" si="110"/>
        <v>0.8571428571428571</v>
      </c>
      <c r="AY264" s="758">
        <f t="shared" si="111"/>
        <v>53.138596210522316</v>
      </c>
      <c r="AZ264" s="735">
        <f t="shared" si="115"/>
        <v>53.166137800744863</v>
      </c>
      <c r="BA264" s="633">
        <f t="shared" si="112"/>
        <v>0.98091297904469443</v>
      </c>
      <c r="BC264" s="11">
        <v>43350</v>
      </c>
      <c r="BD264" s="289">
        <f>[2]!FeuilCaduc*(1-Persistant)+Persistant</f>
        <v>0.97444253798984359</v>
      </c>
      <c r="BE264" s="290">
        <f>[2]!CroissVégét</f>
        <v>0.97514052098953308</v>
      </c>
      <c r="BF264" s="804">
        <f>1+[2]!Salcycl*Ksac</f>
        <v>1.0474442537989843</v>
      </c>
      <c r="BH264" s="1036">
        <f t="shared" si="113"/>
        <v>1.4865038707012131E-3</v>
      </c>
      <c r="BI264" s="11">
        <v>44446</v>
      </c>
      <c r="BJ264" s="715">
        <v>1.4473037492229357E-3</v>
      </c>
      <c r="BK264" s="715">
        <v>1.4473037492229357E-3</v>
      </c>
      <c r="BL264" s="715">
        <v>1.4520241288028353E-3</v>
      </c>
      <c r="BM264" s="715">
        <v>1.4702588919290292E-3</v>
      </c>
      <c r="BN264" s="715">
        <v>1.5028066192276359E-3</v>
      </c>
      <c r="BO264" s="716">
        <v>1.5457945818023401E-3</v>
      </c>
      <c r="BP264" s="715">
        <v>1.5913282496294076E-3</v>
      </c>
      <c r="BQ264" s="715">
        <v>1.6395632069780243E-3</v>
      </c>
      <c r="BR264" s="715">
        <v>1.6906636412681978E-3</v>
      </c>
      <c r="BS264" s="715">
        <v>1.7448026861339241E-3</v>
      </c>
      <c r="BT264" s="715">
        <v>1.8010261766798989E-3</v>
      </c>
      <c r="BW264" s="1188">
        <f>'2019'!R\Max</f>
        <v>0.98091297904469443</v>
      </c>
      <c r="BX264" s="1188">
        <f>'2020'!R\Max</f>
        <v>0.51900724091062855</v>
      </c>
      <c r="BY264" s="1188">
        <f>'2021'!R\Max</f>
        <v>0.79464003926552673</v>
      </c>
      <c r="BZ264" s="1188">
        <f>'2022'!R\Max</f>
        <v>0.74990734367094081</v>
      </c>
      <c r="CA264" s="1188">
        <f>'2023'!R\Max</f>
        <v>0.74990674021240578</v>
      </c>
      <c r="CB264" s="1188">
        <f>'2024'!R\Max</f>
        <v>0.74990610190527041</v>
      </c>
      <c r="CC264" s="1188">
        <f>'2025'!R\Max</f>
        <v>0.74990546264263236</v>
      </c>
      <c r="CD264" s="1188">
        <f>'2026'!R\Max</f>
        <v>0.74990910353366835</v>
      </c>
      <c r="CE264" s="1189">
        <f>'2027'!R\Max</f>
        <v>0.74990854441839416</v>
      </c>
      <c r="CF264" s="1191">
        <f>'2028'!R\Max</f>
        <v>0.74990797470146586</v>
      </c>
    </row>
    <row r="265" spans="1:84" s="6" customFormat="1" ht="11.25" x14ac:dyDescent="0.2">
      <c r="A265" s="11">
        <v>43351</v>
      </c>
      <c r="B265" s="379">
        <f>'2023'!Maxi_hp</f>
        <v>51.203240442877672</v>
      </c>
      <c r="C265" s="13">
        <f>'2023'!An_max</f>
        <v>2020</v>
      </c>
      <c r="D265" s="1045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73">
        <f t="shared" si="99"/>
        <v>43346</v>
      </c>
      <c r="I265" s="742">
        <f t="shared" si="100"/>
        <v>0.35714285714285715</v>
      </c>
      <c r="J265" s="735">
        <f t="shared" si="101"/>
        <v>53.00963802811291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38">
        <v>43351</v>
      </c>
      <c r="AP265" s="13">
        <f t="shared" si="102"/>
        <v>11</v>
      </c>
      <c r="AQ265" s="13">
        <f t="shared" si="103"/>
        <v>10</v>
      </c>
      <c r="AR265" s="173">
        <f t="shared" si="104"/>
        <v>43360</v>
      </c>
      <c r="AS265" s="742">
        <f t="shared" si="105"/>
        <v>0.32142857142857145</v>
      </c>
      <c r="AT265" s="758">
        <f t="shared" si="106"/>
        <v>53.017856083204968</v>
      </c>
      <c r="AU265" s="13">
        <f t="shared" si="107"/>
        <v>11</v>
      </c>
      <c r="AV265" s="13">
        <f t="shared" si="108"/>
        <v>10</v>
      </c>
      <c r="AW265" s="173">
        <f t="shared" si="109"/>
        <v>43374</v>
      </c>
      <c r="AX265" s="742">
        <f t="shared" si="110"/>
        <v>0.8214285714285714</v>
      </c>
      <c r="AY265" s="758">
        <f t="shared" si="111"/>
        <v>52.947851175309289</v>
      </c>
      <c r="AZ265" s="735">
        <f t="shared" si="115"/>
        <v>52.982853629257129</v>
      </c>
      <c r="BA265" s="633">
        <f t="shared" si="112"/>
        <v>0.96592322354140125</v>
      </c>
      <c r="BC265" s="11">
        <v>43351</v>
      </c>
      <c r="BD265" s="289">
        <f>[2]!FeuilCaduc*(1-Persistant)+Persistant</f>
        <v>0.97294813581674267</v>
      </c>
      <c r="BE265" s="290">
        <f>[2]!CroissVégét</f>
        <v>0.97613026748322473</v>
      </c>
      <c r="BF265" s="804">
        <f>1+[2]!Salcycl*Ksac</f>
        <v>1.0472948135816742</v>
      </c>
      <c r="BH265" s="1036">
        <f t="shared" si="113"/>
        <v>1.4678063959048288E-3</v>
      </c>
      <c r="BI265" s="11">
        <v>44447</v>
      </c>
      <c r="BJ265" s="715">
        <v>1.4253330240693793E-3</v>
      </c>
      <c r="BK265" s="715">
        <v>1.4253330240693791E-3</v>
      </c>
      <c r="BL265" s="715">
        <v>1.4304420655962416E-3</v>
      </c>
      <c r="BM265" s="715">
        <v>1.4501943927606755E-3</v>
      </c>
      <c r="BN265" s="715">
        <v>1.4854810301614979E-3</v>
      </c>
      <c r="BO265" s="716">
        <v>1.5321400754511169E-3</v>
      </c>
      <c r="BP265" s="715">
        <v>1.581643750198071E-3</v>
      </c>
      <c r="BQ265" s="715">
        <v>1.6341701690812747E-3</v>
      </c>
      <c r="BR265" s="715">
        <v>1.6899074879778472E-3</v>
      </c>
      <c r="BS265" s="715">
        <v>1.7490543084212071E-3</v>
      </c>
      <c r="BT265" s="715">
        <v>1.8105414911336239E-3</v>
      </c>
      <c r="BW265" s="1188">
        <f>'2019'!R\Max</f>
        <v>0.93549644730777226</v>
      </c>
      <c r="BX265" s="1188">
        <f>'2020'!R\Max</f>
        <v>0.96592322354140125</v>
      </c>
      <c r="BY265" s="1188">
        <f>'2021'!R\Max</f>
        <v>0.61123419129871326</v>
      </c>
      <c r="BZ265" s="1188">
        <f>'2022'!R\Max</f>
        <v>0.74850299136732479</v>
      </c>
      <c r="CA265" s="1188">
        <f>'2023'!R\Max</f>
        <v>0.74850233163590274</v>
      </c>
      <c r="CB265" s="1188">
        <f>'2024'!R\Max</f>
        <v>0.74850163265144509</v>
      </c>
      <c r="CC265" s="1188">
        <f>'2025'!R\Max</f>
        <v>0.74850093263156003</v>
      </c>
      <c r="CD265" s="1188">
        <f>'2026'!R\Max</f>
        <v>0.74850491337251912</v>
      </c>
      <c r="CE265" s="1189">
        <f>'2027'!R\Max</f>
        <v>0.74850430301794013</v>
      </c>
      <c r="CF265" s="1191">
        <f>'2028'!R\Max</f>
        <v>0.74850368120060473</v>
      </c>
    </row>
    <row r="266" spans="1:84" s="6" customFormat="1" ht="11.25" x14ac:dyDescent="0.2">
      <c r="A266" s="11">
        <v>43352</v>
      </c>
      <c r="B266" s="379">
        <f>'2023'!Maxi_hp</f>
        <v>51.228956112547721</v>
      </c>
      <c r="C266" s="13">
        <f>'2023'!An_max</f>
        <v>2020</v>
      </c>
      <c r="D266" s="1045" t="str">
        <f t="shared" si="97"/>
        <v/>
      </c>
      <c r="E266" s="13"/>
      <c r="F266" s="13">
        <f t="shared" si="114"/>
        <v>19</v>
      </c>
      <c r="G266" s="13">
        <f t="shared" si="98"/>
        <v>20</v>
      </c>
      <c r="H266" s="173">
        <f t="shared" si="99"/>
        <v>43346</v>
      </c>
      <c r="I266" s="742">
        <f t="shared" si="100"/>
        <v>0.42857142857142855</v>
      </c>
      <c r="J266" s="735">
        <f t="shared" si="101"/>
        <v>52.827588921040295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38">
        <v>43352</v>
      </c>
      <c r="AP266" s="13">
        <f t="shared" si="102"/>
        <v>11</v>
      </c>
      <c r="AQ266" s="13">
        <f t="shared" si="103"/>
        <v>10</v>
      </c>
      <c r="AR266" s="173">
        <f t="shared" si="104"/>
        <v>43360</v>
      </c>
      <c r="AS266" s="742">
        <f t="shared" si="105"/>
        <v>0.2857142857142857</v>
      </c>
      <c r="AT266" s="758">
        <f t="shared" si="106"/>
        <v>52.837927113952375</v>
      </c>
      <c r="AU266" s="13">
        <f t="shared" si="107"/>
        <v>11</v>
      </c>
      <c r="AV266" s="13">
        <f t="shared" si="108"/>
        <v>10</v>
      </c>
      <c r="AW266" s="173">
        <f t="shared" si="109"/>
        <v>43374</v>
      </c>
      <c r="AX266" s="742">
        <f t="shared" si="110"/>
        <v>0.7857142857142857</v>
      </c>
      <c r="AY266" s="758">
        <f t="shared" si="111"/>
        <v>52.754683127360678</v>
      </c>
      <c r="AZ266" s="735">
        <f t="shared" si="115"/>
        <v>52.796305120656527</v>
      </c>
      <c r="BA266" s="633">
        <f t="shared" si="112"/>
        <v>0.96973867554542381</v>
      </c>
      <c r="BC266" s="11">
        <v>43352</v>
      </c>
      <c r="BD266" s="289">
        <f>[2]!FeuilCaduc*(1-Persistant)+Persistant</f>
        <v>0.97138731909971887</v>
      </c>
      <c r="BE266" s="290">
        <f>[2]!CroissVégét</f>
        <v>0.97708205248193514</v>
      </c>
      <c r="BF266" s="804">
        <f>1+[2]!Salcycl*Ksac</f>
        <v>1.0471387319099719</v>
      </c>
      <c r="BH266" s="1036">
        <f t="shared" si="113"/>
        <v>1.4475618733611295E-3</v>
      </c>
      <c r="BI266" s="11">
        <v>44448</v>
      </c>
      <c r="BJ266" s="715">
        <v>1.4018251130300037E-3</v>
      </c>
      <c r="BK266" s="715">
        <v>1.4018251130300037E-3</v>
      </c>
      <c r="BL266" s="715">
        <v>1.4073206271210748E-3</v>
      </c>
      <c r="BM266" s="715">
        <v>1.4285850020661686E-3</v>
      </c>
      <c r="BN266" s="715">
        <v>1.4666062294590139E-3</v>
      </c>
      <c r="BO266" s="716">
        <v>1.5169405240832243E-3</v>
      </c>
      <c r="BP266" s="715">
        <v>1.5704337236334034E-3</v>
      </c>
      <c r="BQ266" s="715">
        <v>1.6272883531049595E-3</v>
      </c>
      <c r="BR266" s="715">
        <v>1.6877185668277949E-3</v>
      </c>
      <c r="BS266" s="715">
        <v>1.7519506212943313E-3</v>
      </c>
      <c r="BT266" s="715">
        <v>1.8187939999154304E-3</v>
      </c>
      <c r="BW266" s="1188">
        <f>'2019'!R\Max</f>
        <v>0.85735981300563668</v>
      </c>
      <c r="BX266" s="1188">
        <f>'2020'!R\Max</f>
        <v>0.96973867554542381</v>
      </c>
      <c r="BY266" s="1188">
        <f>'2021'!R\Max</f>
        <v>0.36105219752207157</v>
      </c>
      <c r="BZ266" s="1188">
        <f>'2022'!R\Max</f>
        <v>0.4147921072656981</v>
      </c>
      <c r="CA266" s="1188">
        <f>'2023'!R\Max</f>
        <v>0.41479118630929446</v>
      </c>
      <c r="CB266" s="1188">
        <f>'2024'!R\Max</f>
        <v>0.41479020890958646</v>
      </c>
      <c r="CC266" s="1188">
        <f>'2025'!R\Max</f>
        <v>0.41478923007992241</v>
      </c>
      <c r="CD266" s="1188">
        <f>'2026'!R\Max</f>
        <v>0.41479478749712612</v>
      </c>
      <c r="CE266" s="1189">
        <f>'2027'!R\Max</f>
        <v>0.41479393675643528</v>
      </c>
      <c r="CF266" s="1191">
        <f>'2028'!R\Max</f>
        <v>0.41479307018629274</v>
      </c>
    </row>
    <row r="267" spans="1:84" s="6" customFormat="1" ht="11.25" x14ac:dyDescent="0.2">
      <c r="A267" s="11">
        <v>43353</v>
      </c>
      <c r="B267" s="379">
        <f>'2023'!Maxi_hp</f>
        <v>50.90303337020184</v>
      </c>
      <c r="C267" s="13">
        <f>'2023'!An_max</f>
        <v>2022</v>
      </c>
      <c r="D267" s="1045" t="str">
        <f t="shared" si="97"/>
        <v/>
      </c>
      <c r="E267" s="13"/>
      <c r="F267" s="13">
        <f t="shared" si="114"/>
        <v>19</v>
      </c>
      <c r="G267" s="13">
        <f t="shared" si="98"/>
        <v>20</v>
      </c>
      <c r="H267" s="173">
        <f t="shared" si="99"/>
        <v>43346</v>
      </c>
      <c r="I267" s="742">
        <f t="shared" si="100"/>
        <v>0.5</v>
      </c>
      <c r="J267" s="735">
        <f t="shared" si="101"/>
        <v>52.642093749716878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38">
        <v>43353</v>
      </c>
      <c r="AP267" s="13">
        <f t="shared" si="102"/>
        <v>11</v>
      </c>
      <c r="AQ267" s="13">
        <f t="shared" si="103"/>
        <v>10</v>
      </c>
      <c r="AR267" s="173">
        <f t="shared" si="104"/>
        <v>43360</v>
      </c>
      <c r="AS267" s="742">
        <f t="shared" si="105"/>
        <v>0.25</v>
      </c>
      <c r="AT267" s="758">
        <f t="shared" si="106"/>
        <v>52.653636718867347</v>
      </c>
      <c r="AU267" s="13">
        <f t="shared" si="107"/>
        <v>11</v>
      </c>
      <c r="AV267" s="13">
        <f t="shared" si="108"/>
        <v>10</v>
      </c>
      <c r="AW267" s="173">
        <f t="shared" si="109"/>
        <v>43374</v>
      </c>
      <c r="AX267" s="742">
        <f t="shared" si="110"/>
        <v>0.75</v>
      </c>
      <c r="AY267" s="758">
        <f t="shared" si="111"/>
        <v>52.558984375093132</v>
      </c>
      <c r="AZ267" s="735">
        <f t="shared" si="115"/>
        <v>52.606310546980239</v>
      </c>
      <c r="BA267" s="633">
        <f t="shared" si="112"/>
        <v>0.96696445267197617</v>
      </c>
      <c r="BC267" s="11">
        <v>43353</v>
      </c>
      <c r="BD267" s="289">
        <f>[2]!FeuilCaduc*(1-Persistant)+Persistant</f>
        <v>0.96975748197375844</v>
      </c>
      <c r="BE267" s="290">
        <f>[2]!CroissVégét</f>
        <v>0.97799726049726488</v>
      </c>
      <c r="BF267" s="804">
        <f>1+[2]!Salcycl*Ksac</f>
        <v>1.0469757481973758</v>
      </c>
      <c r="BH267" s="1036">
        <f t="shared" si="113"/>
        <v>1.4257691389953321E-3</v>
      </c>
      <c r="BI267" s="11">
        <v>44449</v>
      </c>
      <c r="BJ267" s="715">
        <v>1.3767787591681714E-3</v>
      </c>
      <c r="BK267" s="715">
        <v>1.3767787591681714E-3</v>
      </c>
      <c r="BL267" s="715">
        <v>1.3826585668950148E-3</v>
      </c>
      <c r="BM267" s="715">
        <v>1.405429515886061E-3</v>
      </c>
      <c r="BN267" s="715">
        <v>1.4461810930719021E-3</v>
      </c>
      <c r="BO267" s="716">
        <v>1.5001949163523434E-3</v>
      </c>
      <c r="BP267" s="715">
        <v>1.5576972889021446E-3</v>
      </c>
      <c r="BQ267" s="715">
        <v>1.6189170276750822E-3</v>
      </c>
      <c r="BR267" s="715">
        <v>1.6840963173123714E-3</v>
      </c>
      <c r="BS267" s="715">
        <v>1.7534912583214077E-3</v>
      </c>
      <c r="BT267" s="715">
        <v>1.825783546817822E-3</v>
      </c>
      <c r="BW267" s="1188">
        <f>'2019'!R\Max</f>
        <v>0.27047421715322556</v>
      </c>
      <c r="BX267" s="1188">
        <f>'2020'!R\Max</f>
        <v>0.4478702034697003</v>
      </c>
      <c r="BY267" s="1188">
        <f>'2021'!R\Max</f>
        <v>0.72309851862117436</v>
      </c>
      <c r="BZ267" s="1188">
        <f>'2022'!R\Max</f>
        <v>0.96696445267197617</v>
      </c>
      <c r="CA267" s="1188">
        <f>'2023'!R\Max</f>
        <v>0.96696432215195527</v>
      </c>
      <c r="CB267" s="1188">
        <f>'2024'!R\Max</f>
        <v>0.966964183394038</v>
      </c>
      <c r="CC267" s="1188">
        <f>'2025'!R\Max</f>
        <v>0.96696404443467887</v>
      </c>
      <c r="CD267" s="1188">
        <f>'2026'!R\Max</f>
        <v>0.96696483210992046</v>
      </c>
      <c r="CE267" s="1189">
        <f>'2027'!R\Max</f>
        <v>0.96696471173041731</v>
      </c>
      <c r="CF267" s="1191">
        <f>'2028'!R\Max</f>
        <v>0.96696458913012084</v>
      </c>
    </row>
    <row r="268" spans="1:84" s="6" customFormat="1" ht="11.25" x14ac:dyDescent="0.2">
      <c r="A268" s="11">
        <v>43354</v>
      </c>
      <c r="B268" s="379">
        <f>'2023'!Maxi_hp</f>
        <v>51.348594776222477</v>
      </c>
      <c r="C268" s="13">
        <f>'2023'!An_max</f>
        <v>2022</v>
      </c>
      <c r="D268" s="1045">
        <f t="shared" si="97"/>
        <v>0.97894804377318489</v>
      </c>
      <c r="E268" s="13"/>
      <c r="F268" s="13">
        <f t="shared" si="114"/>
        <v>19</v>
      </c>
      <c r="G268" s="13">
        <f t="shared" si="98"/>
        <v>20</v>
      </c>
      <c r="H268" s="173">
        <f t="shared" si="99"/>
        <v>43346</v>
      </c>
      <c r="I268" s="742">
        <f t="shared" si="100"/>
        <v>0.5714285714285714</v>
      </c>
      <c r="J268" s="735">
        <f t="shared" si="101"/>
        <v>52.452829445685651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38">
        <v>43354</v>
      </c>
      <c r="AP268" s="13">
        <f t="shared" si="102"/>
        <v>11</v>
      </c>
      <c r="AQ268" s="13">
        <f t="shared" si="103"/>
        <v>10</v>
      </c>
      <c r="AR268" s="173">
        <f t="shared" si="104"/>
        <v>43360</v>
      </c>
      <c r="AS268" s="742">
        <f t="shared" si="105"/>
        <v>0.21428571428571427</v>
      </c>
      <c r="AT268" s="758">
        <f t="shared" si="106"/>
        <v>52.464729136095514</v>
      </c>
      <c r="AU268" s="13">
        <f t="shared" si="107"/>
        <v>11</v>
      </c>
      <c r="AV268" s="13">
        <f t="shared" si="108"/>
        <v>10</v>
      </c>
      <c r="AW268" s="173">
        <f t="shared" si="109"/>
        <v>43374</v>
      </c>
      <c r="AX268" s="742">
        <f t="shared" si="110"/>
        <v>0.7142857142857143</v>
      </c>
      <c r="AY268" s="758">
        <f t="shared" si="111"/>
        <v>52.360647230861446</v>
      </c>
      <c r="AZ268" s="735">
        <f t="shared" si="115"/>
        <v>52.41268818347848</v>
      </c>
      <c r="BA268" s="633">
        <f t="shared" si="112"/>
        <v>0.97894804377318489</v>
      </c>
      <c r="BC268" s="11">
        <v>43354</v>
      </c>
      <c r="BD268" s="289">
        <f>[2]!FeuilCaduc*(1-Persistant)+Persistant</f>
        <v>0.96805591556963244</v>
      </c>
      <c r="BE268" s="290">
        <f>[2]!CroissVégét</f>
        <v>0.97887723107993829</v>
      </c>
      <c r="BF268" s="804">
        <f>1+[2]!Salcycl*Ksac</f>
        <v>1.0468055915569632</v>
      </c>
      <c r="BH268" s="1036">
        <f t="shared" si="113"/>
        <v>1.4046749951157926E-3</v>
      </c>
      <c r="BI268" s="11">
        <v>44450</v>
      </c>
      <c r="BJ268" s="715">
        <v>1.3523338661945729E-3</v>
      </c>
      <c r="BK268" s="715">
        <v>1.3523338661945727E-3</v>
      </c>
      <c r="BL268" s="715">
        <v>1.3586076924084381E-3</v>
      </c>
      <c r="BM268" s="715">
        <v>1.3829285530910975E-3</v>
      </c>
      <c r="BN268" s="715">
        <v>1.4264987709818521E-3</v>
      </c>
      <c r="BO268" s="716">
        <v>1.4843284014185328E-3</v>
      </c>
      <c r="BP268" s="715">
        <v>1.5459879928749864E-3</v>
      </c>
      <c r="BQ268" s="715">
        <v>1.6116528915385536E-3</v>
      </c>
      <c r="BR268" s="715">
        <v>1.6815867339739186E-3</v>
      </c>
      <c r="BS268" s="715">
        <v>1.756095154699557E-3</v>
      </c>
      <c r="BT268" s="715">
        <v>1.8338004847888267E-3</v>
      </c>
      <c r="BW268" s="1188">
        <f>'2019'!R\Max</f>
        <v>0.85281935865052261</v>
      </c>
      <c r="BX268" s="1188">
        <f>'2020'!R\Max</f>
        <v>0.87872311296566907</v>
      </c>
      <c r="BY268" s="1188">
        <f>'2021'!R\Max</f>
        <v>0.81909463941375737</v>
      </c>
      <c r="BZ268" s="1188">
        <f>'2022'!R\Max</f>
        <v>0.97894804377318489</v>
      </c>
      <c r="CA268" s="1188">
        <f>'2023'!R\Max</f>
        <v>0.97894795331373685</v>
      </c>
      <c r="CB268" s="1188">
        <f>'2024'!R\Max</f>
        <v>0.97894785711215093</v>
      </c>
      <c r="CC268" s="1188">
        <f>'2025'!R\Max</f>
        <v>0.97894776077539991</v>
      </c>
      <c r="CD268" s="1188">
        <f>'2026'!R\Max</f>
        <v>0.97894830649761999</v>
      </c>
      <c r="CE268" s="1189">
        <f>'2027'!R\Max</f>
        <v>0.97894822318298513</v>
      </c>
      <c r="CF268" s="1191">
        <f>'2028'!R\Max</f>
        <v>0.97894813834340855</v>
      </c>
    </row>
    <row r="269" spans="1:84" s="6" customFormat="1" ht="11.25" x14ac:dyDescent="0.2">
      <c r="A269" s="11">
        <v>43355</v>
      </c>
      <c r="B269" s="379">
        <f>'2023'!Maxi_hp</f>
        <v>51.806611892360216</v>
      </c>
      <c r="C269" s="13">
        <f>'2023'!An_max</f>
        <v>2018</v>
      </c>
      <c r="D269" s="1045">
        <f t="shared" si="97"/>
        <v>0.99133437397355018</v>
      </c>
      <c r="E269" s="13"/>
      <c r="F269" s="13">
        <f t="shared" si="114"/>
        <v>19</v>
      </c>
      <c r="G269" s="13">
        <f t="shared" si="98"/>
        <v>20</v>
      </c>
      <c r="H269" s="173">
        <f t="shared" si="99"/>
        <v>43346</v>
      </c>
      <c r="I269" s="742">
        <f t="shared" si="100"/>
        <v>0.6428571428571429</v>
      </c>
      <c r="J269" s="735">
        <f t="shared" si="101"/>
        <v>52.259472941208102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38">
        <v>43355</v>
      </c>
      <c r="AP269" s="13">
        <f t="shared" si="102"/>
        <v>11</v>
      </c>
      <c r="AQ269" s="13">
        <f t="shared" si="103"/>
        <v>10</v>
      </c>
      <c r="AR269" s="173">
        <f t="shared" si="104"/>
        <v>43360</v>
      </c>
      <c r="AS269" s="742">
        <f t="shared" si="105"/>
        <v>0.17857142857142858</v>
      </c>
      <c r="AT269" s="758">
        <f t="shared" si="106"/>
        <v>52.270948603489828</v>
      </c>
      <c r="AU269" s="13">
        <f t="shared" si="107"/>
        <v>11</v>
      </c>
      <c r="AV269" s="13">
        <f t="shared" si="108"/>
        <v>10</v>
      </c>
      <c r="AW269" s="173">
        <f t="shared" si="109"/>
        <v>43374</v>
      </c>
      <c r="AX269" s="742">
        <f t="shared" si="110"/>
        <v>0.6785714285714286</v>
      </c>
      <c r="AY269" s="758">
        <f t="shared" si="111"/>
        <v>52.159564003720881</v>
      </c>
      <c r="AZ269" s="735">
        <f t="shared" si="115"/>
        <v>52.215256303605358</v>
      </c>
      <c r="BA269" s="633">
        <f t="shared" si="112"/>
        <v>0.99133437397355018</v>
      </c>
      <c r="BC269" s="11">
        <v>43355</v>
      </c>
      <c r="BD269" s="289">
        <f>[2]!FeuilCaduc*(1-Persistant)+Persistant</f>
        <v>0.96627980795962354</v>
      </c>
      <c r="BE269" s="290">
        <f>[2]!CroissVégét</f>
        <v>0.97972325984311226</v>
      </c>
      <c r="BF269" s="804">
        <f>1+[2]!Salcycl*Ksac</f>
        <v>1.0466279807959624</v>
      </c>
      <c r="BH269" s="1036">
        <f t="shared" si="113"/>
        <v>1.3865951260329534E-3</v>
      </c>
      <c r="BI269" s="11">
        <v>44451</v>
      </c>
      <c r="BJ269" s="715">
        <v>1.3308666111347533E-3</v>
      </c>
      <c r="BK269" s="715">
        <v>1.3308666111347533E-3</v>
      </c>
      <c r="BL269" s="715">
        <v>1.3375373338885598E-3</v>
      </c>
      <c r="BM269" s="715">
        <v>1.3634237034120152E-3</v>
      </c>
      <c r="BN269" s="715">
        <v>1.409848949955177E-3</v>
      </c>
      <c r="BO269" s="716">
        <v>1.4715578985424005E-3</v>
      </c>
      <c r="BP269" s="715">
        <v>1.5374393053268537E-3</v>
      </c>
      <c r="BQ269" s="715">
        <v>1.6075343329340879E-3</v>
      </c>
      <c r="BR269" s="715">
        <v>1.6821205290433912E-3</v>
      </c>
      <c r="BS269" s="715">
        <v>1.7615717453299091E-3</v>
      </c>
      <c r="BT269" s="715">
        <v>1.8445235889180331E-3</v>
      </c>
      <c r="BW269" s="1188">
        <f>'2019'!R\Max</f>
        <v>0.99133437397355018</v>
      </c>
      <c r="BX269" s="1188">
        <f>'2020'!R\Max</f>
        <v>0.89087413900517842</v>
      </c>
      <c r="BY269" s="1188">
        <f>'2021'!R\Max</f>
        <v>0.94299589943642492</v>
      </c>
      <c r="BZ269" s="1188">
        <f>'2022'!R\Max</f>
        <v>0.77041446625472743</v>
      </c>
      <c r="CA269" s="1188">
        <f>'2023'!R\Max</f>
        <v>0.77041363518165296</v>
      </c>
      <c r="CB269" s="1188">
        <f>'2024'!R\Max</f>
        <v>0.77041275212321714</v>
      </c>
      <c r="CC269" s="1188">
        <f>'2025'!R\Max</f>
        <v>0.77041186788846383</v>
      </c>
      <c r="CD269" s="1188">
        <f>'2026'!R\Max</f>
        <v>0.77041687804050918</v>
      </c>
      <c r="CE269" s="1189">
        <f>'2027'!R\Max</f>
        <v>0.77041611349852668</v>
      </c>
      <c r="CF269" s="1191">
        <f>'2028'!R\Max</f>
        <v>0.77041533506662019</v>
      </c>
    </row>
    <row r="270" spans="1:84" s="6" customFormat="1" ht="11.25" x14ac:dyDescent="0.2">
      <c r="A270" s="11">
        <v>43356</v>
      </c>
      <c r="B270" s="379">
        <f>'2023'!Maxi_hp</f>
        <v>49.476808548086147</v>
      </c>
      <c r="C270" s="13">
        <f>'2023'!An_max</f>
        <v>2020</v>
      </c>
      <c r="D270" s="1045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73">
        <f t="shared" si="99"/>
        <v>43346</v>
      </c>
      <c r="I270" s="742">
        <f t="shared" si="100"/>
        <v>0.7142857142857143</v>
      </c>
      <c r="J270" s="735">
        <f t="shared" si="101"/>
        <v>52.061701166204045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38">
        <v>43356</v>
      </c>
      <c r="AP270" s="13">
        <f t="shared" si="102"/>
        <v>11</v>
      </c>
      <c r="AQ270" s="13">
        <f t="shared" si="103"/>
        <v>10</v>
      </c>
      <c r="AR270" s="173">
        <f t="shared" si="104"/>
        <v>43360</v>
      </c>
      <c r="AS270" s="742">
        <f t="shared" si="105"/>
        <v>0.14285714285714285</v>
      </c>
      <c r="AT270" s="758">
        <f t="shared" si="106"/>
        <v>52.07203935858395</v>
      </c>
      <c r="AU270" s="13">
        <f t="shared" si="107"/>
        <v>11</v>
      </c>
      <c r="AV270" s="13">
        <f t="shared" si="108"/>
        <v>10</v>
      </c>
      <c r="AW270" s="173">
        <f t="shared" si="109"/>
        <v>43374</v>
      </c>
      <c r="AX270" s="742">
        <f t="shared" si="110"/>
        <v>0.6428571428571429</v>
      </c>
      <c r="AY270" s="758">
        <f t="shared" si="111"/>
        <v>51.955627004882061</v>
      </c>
      <c r="AZ270" s="735">
        <f t="shared" si="115"/>
        <v>52.013833181733006</v>
      </c>
      <c r="BA270" s="633">
        <f t="shared" si="112"/>
        <v>0.95034943998726096</v>
      </c>
      <c r="BC270" s="11">
        <v>43356</v>
      </c>
      <c r="BD270" s="289">
        <f>[2]!FeuilCaduc*(1-Persistant)+Persistant</f>
        <v>0.96442624540742083</v>
      </c>
      <c r="BE270" s="290">
        <f>[2]!CroissVégét</f>
        <v>0.98053659949953242</v>
      </c>
      <c r="BF270" s="804">
        <f>1+[2]!Salcycl*Ksac</f>
        <v>1.0464426245407421</v>
      </c>
      <c r="BH270" s="1036">
        <f t="shared" si="113"/>
        <v>1.371531130457267E-3</v>
      </c>
      <c r="BI270" s="11">
        <v>44452</v>
      </c>
      <c r="BJ270" s="715">
        <v>1.3123784612960512E-3</v>
      </c>
      <c r="BK270" s="715">
        <v>1.3123784612960512E-3</v>
      </c>
      <c r="BL270" s="715">
        <v>1.3194489731700413E-3</v>
      </c>
      <c r="BM270" s="715">
        <v>1.346916508592127E-3</v>
      </c>
      <c r="BN270" s="715">
        <v>1.3962332858720517E-3</v>
      </c>
      <c r="BO270" s="716">
        <v>1.4618852273369073E-3</v>
      </c>
      <c r="BP270" s="715">
        <v>1.5320532209985251E-3</v>
      </c>
      <c r="BQ270" s="715">
        <v>1.6065634783022312E-3</v>
      </c>
      <c r="BR270" s="715">
        <v>1.6856999129301758E-3</v>
      </c>
      <c r="BS270" s="715">
        <v>1.7699232907006591E-3</v>
      </c>
      <c r="BT270" s="715">
        <v>1.8579551818586127E-3</v>
      </c>
      <c r="BW270" s="1188">
        <f>'2019'!R\Max</f>
        <v>0.84800042676208154</v>
      </c>
      <c r="BX270" s="1188">
        <f>'2020'!R\Max</f>
        <v>0.95034943998726096</v>
      </c>
      <c r="BY270" s="1188">
        <f>'2021'!R\Max</f>
        <v>0.74043871054437749</v>
      </c>
      <c r="BZ270" s="1188">
        <f>'2022'!R\Max</f>
        <v>0.30746875149529851</v>
      </c>
      <c r="CA270" s="1188">
        <f>'2023'!R\Max</f>
        <v>0.30746768391917595</v>
      </c>
      <c r="CB270" s="1188">
        <f>'2024'!R\Max</f>
        <v>0.30746655168044085</v>
      </c>
      <c r="CC270" s="1188">
        <f>'2025'!R\Max</f>
        <v>0.30746541803844979</v>
      </c>
      <c r="CD270" s="1188">
        <f>'2026'!R\Max</f>
        <v>0.30747184756472451</v>
      </c>
      <c r="CE270" s="1189">
        <f>'2027'!R\Max</f>
        <v>0.30747086639776344</v>
      </c>
      <c r="CF270" s="1191">
        <f>'2028'!R\Max</f>
        <v>0.30746986753160138</v>
      </c>
    </row>
    <row r="271" spans="1:84" s="6" customFormat="1" ht="11.25" x14ac:dyDescent="0.2">
      <c r="A271" s="11">
        <v>43357</v>
      </c>
      <c r="B271" s="379">
        <f>'2023'!Maxi_hp</f>
        <v>49.421570563132221</v>
      </c>
      <c r="C271" s="13">
        <f>'2023'!An_max</f>
        <v>2020</v>
      </c>
      <c r="D271" s="1045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73">
        <f t="shared" ref="H271:H334" si="118">INDEX(x.2m,F271)</f>
        <v>43346</v>
      </c>
      <c r="I271" s="742">
        <f t="shared" ref="I271:I334" si="119">($A271-H271)/(INDEX(x.2m,G271)-H271)</f>
        <v>0.7857142857142857</v>
      </c>
      <c r="J271" s="735">
        <f t="shared" ref="J271:J334" si="120">((1-I271)*(INDEX(a.m,F271)*$A271*$A271+INDEX(b.m,F271)*$A271+INDEX(c.m,F271))+I271*(INDEX(a.m,G271)*$A271*$A271+INDEX(b.m,G271)*$A271+INDEX(c.m,G271)))/10</f>
        <v>51.859191053413916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38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3">
        <f t="shared" ref="AR271:AR334" si="123">INDEX(x.2lg,AP271)</f>
        <v>43360</v>
      </c>
      <c r="AS271" s="742">
        <f t="shared" ref="AS271:AS334" si="124">($A271-AR271)/(INDEX(x.2lg,AQ271)-AR271)</f>
        <v>0.10714285714285714</v>
      </c>
      <c r="AT271" s="758">
        <f t="shared" ref="AT271:AT334" si="125">((1-AS271)*(INDEX(a.lg,AP271)*$A271*$A271+INDEX(b.lg,AP271)*$A271+INDEX(c.lg,AP271))+AS271*(INDEX(a.lg,AQ271)*$A271*$A271+INDEX(b.lg,AQ271)*$A271+INDEX(c.lg,AQ271)))/10</f>
        <v>51.867745638738526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3">
        <f t="shared" ref="AW271:AW334" si="128">INDEX(x.2ld,AU271)</f>
        <v>43374</v>
      </c>
      <c r="AX271" s="742">
        <f t="shared" ref="AX271:AX334" si="129">($A271-AW271)/(INDEX(x.2ld,AV271)-AW271)</f>
        <v>0.6071428571428571</v>
      </c>
      <c r="AY271" s="758">
        <f t="shared" ref="AY271:AY334" si="130">((1-AX271)*(INDEX(a.ld,AU271)*$A271*$A271+INDEX(b.ld,AU271)*$A271+INDEX(c.ld,AU271))+AX271*(INDEX(a.ld,AV271)*$A271*$A271+INDEX(b.ld,AV271)*$A271+INDEX(c.ld,AV271)))/10</f>
        <v>51.748728544890355</v>
      </c>
      <c r="AZ271" s="735">
        <f t="shared" si="115"/>
        <v>51.808237091814441</v>
      </c>
      <c r="BA271" s="633">
        <f t="shared" ref="BA271:BA334" si="131">+B271/J271</f>
        <v>0.95299540080039047</v>
      </c>
      <c r="BC271" s="11">
        <v>43357</v>
      </c>
      <c r="BD271" s="289">
        <f>[2]!FeuilCaduc*(1-Persistant)+Persistant</f>
        <v>0.96249221504654114</v>
      </c>
      <c r="BE271" s="290">
        <f>[2]!CroissVégét</f>
        <v>0.98131846090840358</v>
      </c>
      <c r="BF271" s="804">
        <f>1+[2]!Salcycl*Ksac</f>
        <v>1.0462492215046542</v>
      </c>
      <c r="BH271" s="1036">
        <f t="shared" ref="BH271:BH334" si="132">INDEX($BJ271:$BT271,,$BH$10)*(1-Ratini)+INDEX($BJ271:$BT271,,$BH$10+1)*Ratini</f>
        <v>1.3594847750294952E-3</v>
      </c>
      <c r="BI271" s="11">
        <v>44453</v>
      </c>
      <c r="BJ271" s="715">
        <v>1.2968710474489215E-3</v>
      </c>
      <c r="BK271" s="715">
        <v>1.2968710474489215E-3</v>
      </c>
      <c r="BL271" s="715">
        <v>1.3043442559889146E-3</v>
      </c>
      <c r="BM271" s="715">
        <v>1.3334086762603087E-3</v>
      </c>
      <c r="BN271" s="715">
        <v>1.3856536045949808E-3</v>
      </c>
      <c r="BO271" s="716">
        <v>1.4553123838107838E-3</v>
      </c>
      <c r="BP271" s="715">
        <v>1.5298319177352616E-3</v>
      </c>
      <c r="BQ271" s="715">
        <v>1.6087426392475974E-3</v>
      </c>
      <c r="BR271" s="715">
        <v>1.6923272781740461E-3</v>
      </c>
      <c r="BS271" s="715">
        <v>1.7811522264729509E-3</v>
      </c>
      <c r="BT271" s="715">
        <v>1.8740977549332519E-3</v>
      </c>
      <c r="BW271" s="1188">
        <f>'2019'!R\Max</f>
        <v>0.78764891912040547</v>
      </c>
      <c r="BX271" s="1188">
        <f>'2020'!R\Max</f>
        <v>0.95299540080039047</v>
      </c>
      <c r="BY271" s="1188">
        <f>'2021'!R\Max</f>
        <v>0.45484095094099236</v>
      </c>
      <c r="BZ271" s="1188">
        <f>'2022'!R\Max</f>
        <v>0.77747698842683166</v>
      </c>
      <c r="CA271" s="1188">
        <f>'2023'!R\Max</f>
        <v>0.77747606548539538</v>
      </c>
      <c r="CB271" s="1188">
        <f>'2024'!R\Max</f>
        <v>0.77747508926555797</v>
      </c>
      <c r="CC271" s="1188">
        <f>'2025'!R\Max</f>
        <v>0.7774741119278693</v>
      </c>
      <c r="CD271" s="1188">
        <f>'2026'!R\Max</f>
        <v>0.77747966351587949</v>
      </c>
      <c r="CE271" s="1189">
        <f>'2027'!R\Max</f>
        <v>0.77747881597922786</v>
      </c>
      <c r="CF271" s="1191">
        <f>'2028'!R\Max</f>
        <v>0.77747795324819458</v>
      </c>
    </row>
    <row r="272" spans="1:84" s="6" customFormat="1" ht="11.25" x14ac:dyDescent="0.2">
      <c r="A272" s="11">
        <v>43358</v>
      </c>
      <c r="B272" s="379">
        <f>'2023'!Maxi_hp</f>
        <v>51.00676090295368</v>
      </c>
      <c r="C272" s="13">
        <f>'2023'!An_max</f>
        <v>2020</v>
      </c>
      <c r="D272" s="1045">
        <f t="shared" si="116"/>
        <v>0.98751522921298174</v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73">
        <f t="shared" si="118"/>
        <v>43346</v>
      </c>
      <c r="I272" s="742">
        <f t="shared" si="119"/>
        <v>0.8571428571428571</v>
      </c>
      <c r="J272" s="735">
        <f t="shared" si="120"/>
        <v>51.651619533609065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38">
        <v>43358</v>
      </c>
      <c r="AP272" s="13">
        <f t="shared" si="121"/>
        <v>11</v>
      </c>
      <c r="AQ272" s="13">
        <f t="shared" si="122"/>
        <v>10</v>
      </c>
      <c r="AR272" s="173">
        <f t="shared" si="123"/>
        <v>43360</v>
      </c>
      <c r="AS272" s="742">
        <f t="shared" si="124"/>
        <v>7.1428571428571425E-2</v>
      </c>
      <c r="AT272" s="758">
        <f t="shared" si="125"/>
        <v>51.657811679451598</v>
      </c>
      <c r="AU272" s="13">
        <f t="shared" si="126"/>
        <v>11</v>
      </c>
      <c r="AV272" s="13">
        <f t="shared" si="127"/>
        <v>10</v>
      </c>
      <c r="AW272" s="173">
        <f t="shared" si="128"/>
        <v>43374</v>
      </c>
      <c r="AX272" s="742">
        <f t="shared" si="129"/>
        <v>0.5714285714285714</v>
      </c>
      <c r="AY272" s="758">
        <f t="shared" si="130"/>
        <v>51.538760932641367</v>
      </c>
      <c r="AZ272" s="735">
        <f t="shared" ref="AZ272:AZ335" si="134">(AY272+AT272)/2</f>
        <v>51.598286306046482</v>
      </c>
      <c r="BA272" s="633">
        <f t="shared" si="131"/>
        <v>0.98751522921298174</v>
      </c>
      <c r="BC272" s="11">
        <v>43358</v>
      </c>
      <c r="BD272" s="289">
        <f>[2]!FeuilCaduc*(1-Persistant)+Persistant</f>
        <v>0.96047460909746163</v>
      </c>
      <c r="BE272" s="290">
        <f>[2]!CroissVégét</f>
        <v>0.98207001412819972</v>
      </c>
      <c r="BF272" s="804">
        <f>1+[2]!Salcycl*Ksac</f>
        <v>1.0460474609097461</v>
      </c>
      <c r="BH272" s="1036">
        <f t="shared" si="132"/>
        <v>1.350457999608153E-3</v>
      </c>
      <c r="BI272" s="11">
        <v>44454</v>
      </c>
      <c r="BJ272" s="715">
        <v>1.2843461690536778E-3</v>
      </c>
      <c r="BK272" s="715">
        <v>1.2843461690536775E-3</v>
      </c>
      <c r="BL272" s="715">
        <v>1.2922249972139404E-3</v>
      </c>
      <c r="BM272" s="715">
        <v>1.3229020851880547E-3</v>
      </c>
      <c r="BN272" s="715">
        <v>1.3781119072867349E-3</v>
      </c>
      <c r="BO272" s="716">
        <v>1.4518415457940045E-3</v>
      </c>
      <c r="BP272" s="715">
        <v>1.530777762021376E-3</v>
      </c>
      <c r="BQ272" s="715">
        <v>1.6140743180420095E-3</v>
      </c>
      <c r="BR272" s="715">
        <v>1.7020052047630385E-3</v>
      </c>
      <c r="BS272" s="715">
        <v>1.795261168492516E-3</v>
      </c>
      <c r="BT272" s="715">
        <v>1.8929539728465669E-3</v>
      </c>
      <c r="BW272" s="1188">
        <f>'2019'!R\Max</f>
        <v>0.81945653282951358</v>
      </c>
      <c r="BX272" s="1188">
        <f>'2020'!R\Max</f>
        <v>0.98751522921298174</v>
      </c>
      <c r="BY272" s="1188">
        <f>'2021'!R\Max</f>
        <v>0.63739409169145433</v>
      </c>
      <c r="BZ272" s="1188">
        <f>'2022'!R\Max</f>
        <v>0.85834639575592164</v>
      </c>
      <c r="CA272" s="1188">
        <f>'2023'!R\Max</f>
        <v>0.85834570735889271</v>
      </c>
      <c r="CB272" s="1188">
        <f>'2024'!R\Max</f>
        <v>0.85834498168027018</v>
      </c>
      <c r="CC272" s="1188">
        <f>'2025'!R\Max</f>
        <v>0.85834425524747227</v>
      </c>
      <c r="CD272" s="1188">
        <f>'2026'!R\Max</f>
        <v>0.85834839009538144</v>
      </c>
      <c r="CE272" s="1189">
        <f>'2027'!R\Max</f>
        <v>0.85834775837047472</v>
      </c>
      <c r="CF272" s="1191">
        <f>'2028'!R\Max</f>
        <v>0.85834711538781405</v>
      </c>
    </row>
    <row r="273" spans="1:84" s="6" customFormat="1" ht="11.25" x14ac:dyDescent="0.2">
      <c r="A273" s="11">
        <v>43359</v>
      </c>
      <c r="B273" s="379">
        <f>'2023'!Maxi_hp</f>
        <v>45.030086079266795</v>
      </c>
      <c r="C273" s="13">
        <f>'2023'!An_max</f>
        <v>2018</v>
      </c>
      <c r="D273" s="1045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73">
        <f t="shared" si="118"/>
        <v>43346</v>
      </c>
      <c r="I273" s="742">
        <f t="shared" si="119"/>
        <v>0.9285714285714286</v>
      </c>
      <c r="J273" s="735">
        <f t="shared" si="120"/>
        <v>51.438663538838071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38">
        <v>43359</v>
      </c>
      <c r="AP273" s="13">
        <f t="shared" si="121"/>
        <v>11</v>
      </c>
      <c r="AQ273" s="13">
        <f t="shared" si="122"/>
        <v>10</v>
      </c>
      <c r="AR273" s="173">
        <f t="shared" si="123"/>
        <v>43360</v>
      </c>
      <c r="AS273" s="742">
        <f t="shared" si="124"/>
        <v>3.5714285714285712E-2</v>
      </c>
      <c r="AT273" s="758">
        <f t="shared" si="125"/>
        <v>51.441981720797983</v>
      </c>
      <c r="AU273" s="13">
        <f t="shared" si="126"/>
        <v>11</v>
      </c>
      <c r="AV273" s="13">
        <f t="shared" si="127"/>
        <v>10</v>
      </c>
      <c r="AW273" s="173">
        <f t="shared" si="128"/>
        <v>43374</v>
      </c>
      <c r="AX273" s="742">
        <f t="shared" si="129"/>
        <v>0.5357142857142857</v>
      </c>
      <c r="AY273" s="758">
        <f t="shared" si="130"/>
        <v>51.32561648179378</v>
      </c>
      <c r="AZ273" s="735">
        <f t="shared" si="134"/>
        <v>51.383799101295878</v>
      </c>
      <c r="BA273" s="633">
        <f t="shared" si="131"/>
        <v>0.87541321996570598</v>
      </c>
      <c r="BC273" s="11">
        <v>43359</v>
      </c>
      <c r="BD273" s="289">
        <f>[2]!FeuilCaduc*(1-Persistant)+Persistant</f>
        <v>0.95837023071782013</v>
      </c>
      <c r="BE273" s="290">
        <f>[2]!CroissVégét</f>
        <v>0.98279238947199099</v>
      </c>
      <c r="BF273" s="804">
        <f>1+[2]!Salcycl*Ksac</f>
        <v>1.0458370230717819</v>
      </c>
      <c r="BH273" s="1036">
        <f t="shared" si="132"/>
        <v>1.3444529225703731E-3</v>
      </c>
      <c r="BI273" s="11">
        <v>44455</v>
      </c>
      <c r="BJ273" s="715">
        <v>1.2748057995001635E-3</v>
      </c>
      <c r="BK273" s="715">
        <v>1.2748057995001633E-3</v>
      </c>
      <c r="BL273" s="715">
        <v>1.283093186090957E-3</v>
      </c>
      <c r="BM273" s="715">
        <v>1.3153987905597543E-3</v>
      </c>
      <c r="BN273" s="715">
        <v>1.373610375741913E-3</v>
      </c>
      <c r="BO273" s="716">
        <v>1.4514750783774302E-3</v>
      </c>
      <c r="BP273" s="715">
        <v>1.5348933145295565E-3</v>
      </c>
      <c r="BQ273" s="715">
        <v>1.6225612131430117E-3</v>
      </c>
      <c r="BR273" s="715">
        <v>1.7147364654673718E-3</v>
      </c>
      <c r="BS273" s="715">
        <v>1.8122529178180682E-3</v>
      </c>
      <c r="BT273" s="715">
        <v>1.9145266784150227E-3</v>
      </c>
      <c r="BW273" s="1188">
        <f>'2019'!R\Max</f>
        <v>0.87541321996570598</v>
      </c>
      <c r="BX273" s="1188">
        <f>'2020'!R\Max</f>
        <v>0.81367008890351056</v>
      </c>
      <c r="BY273" s="1188">
        <f>'2021'!R\Max</f>
        <v>0.423582838844627</v>
      </c>
      <c r="BZ273" s="1188">
        <f>'2022'!R\Max</f>
        <v>0.62350123659841628</v>
      </c>
      <c r="CA273" s="1188">
        <f>'2023'!R\Max</f>
        <v>0.62349982933399661</v>
      </c>
      <c r="CB273" s="1188">
        <f>'2024'!R\Max</f>
        <v>0.62349835173289503</v>
      </c>
      <c r="CC273" s="1188">
        <f>'2025'!R\Max</f>
        <v>0.62349687276482624</v>
      </c>
      <c r="CD273" s="1188">
        <f>'2026'!R\Max</f>
        <v>0.62350531199082337</v>
      </c>
      <c r="CE273" s="1189">
        <f>'2027'!R\Max</f>
        <v>0.62350402129226457</v>
      </c>
      <c r="CF273" s="1191">
        <f>'2028'!R\Max</f>
        <v>0.62350270772612537</v>
      </c>
    </row>
    <row r="274" spans="1:84" s="6" customFormat="1" ht="11.25" x14ac:dyDescent="0.2">
      <c r="A274" s="11">
        <v>43360</v>
      </c>
      <c r="B274" s="379">
        <f>'2023'!Maxi_hp</f>
        <v>51.7558352691699</v>
      </c>
      <c r="C274" s="13">
        <f>'2023'!An_max</f>
        <v>2023</v>
      </c>
      <c r="D274" s="1045">
        <f t="shared" si="116"/>
        <v>1.010461446092713</v>
      </c>
      <c r="E274" s="1040">
        <f>AF$13/10</f>
        <v>51.220000000000006</v>
      </c>
      <c r="F274" s="13">
        <f t="shared" si="133"/>
        <v>21</v>
      </c>
      <c r="G274" s="13">
        <f t="shared" si="117"/>
        <v>20</v>
      </c>
      <c r="H274" s="173">
        <f t="shared" si="118"/>
        <v>43374</v>
      </c>
      <c r="I274" s="742">
        <f t="shared" si="119"/>
        <v>1</v>
      </c>
      <c r="J274" s="735">
        <f t="shared" si="120"/>
        <v>51.220000000298022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38">
        <v>43360</v>
      </c>
      <c r="AP274" s="13">
        <f t="shared" si="121"/>
        <v>11</v>
      </c>
      <c r="AQ274" s="13">
        <f t="shared" si="122"/>
        <v>12</v>
      </c>
      <c r="AR274" s="173">
        <f t="shared" si="123"/>
        <v>43360</v>
      </c>
      <c r="AS274" s="742">
        <f t="shared" si="124"/>
        <v>0</v>
      </c>
      <c r="AT274" s="758">
        <f t="shared" si="125"/>
        <v>51.219999999552968</v>
      </c>
      <c r="AU274" s="13">
        <f t="shared" si="126"/>
        <v>11</v>
      </c>
      <c r="AV274" s="13">
        <f t="shared" si="127"/>
        <v>10</v>
      </c>
      <c r="AW274" s="173">
        <f t="shared" si="128"/>
        <v>43374</v>
      </c>
      <c r="AX274" s="742">
        <f t="shared" si="129"/>
        <v>0.5</v>
      </c>
      <c r="AY274" s="758">
        <f t="shared" si="130"/>
        <v>51.109187500178813</v>
      </c>
      <c r="AZ274" s="735">
        <f t="shared" si="134"/>
        <v>51.164593749865887</v>
      </c>
      <c r="BA274" s="633">
        <f t="shared" si="131"/>
        <v>1.010461446092713</v>
      </c>
      <c r="BC274" s="11">
        <v>43360</v>
      </c>
      <c r="BD274" s="289">
        <f>[2]!FeuilCaduc*(1-Persistant)+Persistant</f>
        <v>0.95617580156270332</v>
      </c>
      <c r="BE274" s="290">
        <f>[2]!CroissVégét</f>
        <v>0.98348667856218763</v>
      </c>
      <c r="BF274" s="804">
        <f>1+[2]!Salcycl*Ksac</f>
        <v>1.0456175801562704</v>
      </c>
      <c r="BH274" s="1036">
        <f t="shared" si="132"/>
        <v>1.341471846131021E-3</v>
      </c>
      <c r="BI274" s="11">
        <v>44456</v>
      </c>
      <c r="BJ274" s="715">
        <v>1.2682520913646471E-3</v>
      </c>
      <c r="BK274" s="715">
        <v>1.2682520913646468E-3</v>
      </c>
      <c r="BL274" s="715">
        <v>1.2769509915045709E-3</v>
      </c>
      <c r="BM274" s="715">
        <v>1.3109010292607869E-3</v>
      </c>
      <c r="BN274" s="715">
        <v>1.3721513777371899E-3</v>
      </c>
      <c r="BO274" s="716">
        <v>1.4542155393722932E-3</v>
      </c>
      <c r="BP274" s="715">
        <v>1.5421813356912672E-3</v>
      </c>
      <c r="BQ274" s="715">
        <v>1.6342062247347636E-3</v>
      </c>
      <c r="BR274" s="715">
        <v>1.7305240311971087E-3</v>
      </c>
      <c r="BS274" s="715">
        <v>1.8321304657748835E-3</v>
      </c>
      <c r="BT274" s="715">
        <v>1.9388188973235416E-3</v>
      </c>
      <c r="BW274" s="1188">
        <f>'2019'!R\Max</f>
        <v>0.86060765101780579</v>
      </c>
      <c r="BX274" s="1188">
        <f>'2020'!R\Max</f>
        <v>0.8529404619702905</v>
      </c>
      <c r="BY274" s="1188">
        <f>'2021'!R\Max</f>
        <v>0.89685983897577937</v>
      </c>
      <c r="BZ274" s="1188">
        <f>'2022'!R\Max</f>
        <v>1.010461446092713</v>
      </c>
      <c r="CA274" s="1188">
        <f>'2023'!R\Max</f>
        <v>1.010461446092713</v>
      </c>
      <c r="CB274" s="1188">
        <f>'2024'!R\Max</f>
        <v>1.0104614460927128</v>
      </c>
      <c r="CC274" s="1188">
        <f>'2025'!R\Max</f>
        <v>1.010461446092713</v>
      </c>
      <c r="CD274" s="1188">
        <f>'2026'!R\Max</f>
        <v>1.010461446092713</v>
      </c>
      <c r="CE274" s="1189">
        <f>'2027'!R\Max</f>
        <v>1.0104614460927128</v>
      </c>
      <c r="CF274" s="1191">
        <f>'2028'!R\Max</f>
        <v>1.010461446092713</v>
      </c>
    </row>
    <row r="275" spans="1:84" s="6" customFormat="1" ht="11.25" x14ac:dyDescent="0.2">
      <c r="A275" s="11">
        <v>43361</v>
      </c>
      <c r="B275" s="379">
        <f>'2023'!Maxi_hp</f>
        <v>50.032297106703666</v>
      </c>
      <c r="C275" s="13">
        <f>'2023'!An_max</f>
        <v>2022</v>
      </c>
      <c r="D275" s="1045">
        <f t="shared" si="116"/>
        <v>0.98110468760861969</v>
      </c>
      <c r="E275" s="13"/>
      <c r="F275" s="13">
        <f t="shared" si="133"/>
        <v>21</v>
      </c>
      <c r="G275" s="13">
        <f t="shared" si="117"/>
        <v>20</v>
      </c>
      <c r="H275" s="173">
        <f t="shared" si="118"/>
        <v>43374</v>
      </c>
      <c r="I275" s="742">
        <f t="shared" si="119"/>
        <v>0.9285714285714286</v>
      </c>
      <c r="J275" s="735">
        <f t="shared" si="120"/>
        <v>50.99588019363582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38">
        <v>43361</v>
      </c>
      <c r="AP275" s="13">
        <f t="shared" si="121"/>
        <v>11</v>
      </c>
      <c r="AQ275" s="13">
        <f t="shared" si="122"/>
        <v>12</v>
      </c>
      <c r="AR275" s="173">
        <f t="shared" si="123"/>
        <v>43360</v>
      </c>
      <c r="AS275" s="742">
        <f t="shared" si="124"/>
        <v>3.5714285714285712E-2</v>
      </c>
      <c r="AT275" s="758">
        <f t="shared" si="125"/>
        <v>50.99181715806148</v>
      </c>
      <c r="AU275" s="13">
        <f t="shared" si="126"/>
        <v>11</v>
      </c>
      <c r="AV275" s="13">
        <f t="shared" si="127"/>
        <v>10</v>
      </c>
      <c r="AW275" s="173">
        <f t="shared" si="128"/>
        <v>43374</v>
      </c>
      <c r="AX275" s="742">
        <f t="shared" si="129"/>
        <v>0.4642857142857143</v>
      </c>
      <c r="AY275" s="758">
        <f t="shared" si="130"/>
        <v>50.889366299193355</v>
      </c>
      <c r="AZ275" s="735">
        <f t="shared" si="134"/>
        <v>50.940591728627417</v>
      </c>
      <c r="BA275" s="633">
        <f t="shared" si="131"/>
        <v>0.98110468760861969</v>
      </c>
      <c r="BC275" s="11">
        <v>43361</v>
      </c>
      <c r="BD275" s="289">
        <f>[2]!FeuilCaduc*(1-Persistant)+Persistant</f>
        <v>0.95388797111337031</v>
      </c>
      <c r="BE275" s="290">
        <f>[2]!CroissVégét</f>
        <v>0.98415393538190332</v>
      </c>
      <c r="BF275" s="804">
        <f>1+[2]!Salcycl*Ksac</f>
        <v>1.0453887971113371</v>
      </c>
      <c r="BH275" s="1036">
        <f t="shared" si="132"/>
        <v>1.3415172616206687E-3</v>
      </c>
      <c r="BI275" s="11">
        <v>44457</v>
      </c>
      <c r="BJ275" s="715">
        <v>1.2646873816275928E-3</v>
      </c>
      <c r="BK275" s="715">
        <v>1.2646873816275926E-3</v>
      </c>
      <c r="BL275" s="715">
        <v>1.2738007672004861E-3</v>
      </c>
      <c r="BM275" s="715">
        <v>1.3094112251253178E-3</v>
      </c>
      <c r="BN275" s="715">
        <v>1.3737374723395712E-3</v>
      </c>
      <c r="BO275" s="716">
        <v>1.4600656847254272E-3</v>
      </c>
      <c r="BP275" s="715">
        <v>1.5526447912204775E-3</v>
      </c>
      <c r="BQ275" s="715">
        <v>1.6490124602197016E-3</v>
      </c>
      <c r="BR275" s="715">
        <v>1.7493710763078893E-3</v>
      </c>
      <c r="BS275" s="715">
        <v>1.8548969989535874E-3</v>
      </c>
      <c r="BT275" s="715">
        <v>1.9658338428243331E-3</v>
      </c>
      <c r="BW275" s="1188">
        <f>'2019'!R\Max</f>
        <v>0.54086678430348134</v>
      </c>
      <c r="BX275" s="1188">
        <f>'2020'!R\Max</f>
        <v>0.88543711014270277</v>
      </c>
      <c r="BY275" s="1188">
        <f>'2021'!R\Max</f>
        <v>0.21258866709058427</v>
      </c>
      <c r="BZ275" s="1188">
        <f>'2022'!R\Max</f>
        <v>0.98110468760861969</v>
      </c>
      <c r="CA275" s="1188">
        <f>'2023'!R\Max</f>
        <v>0.98110456378131028</v>
      </c>
      <c r="CB275" s="1188">
        <f>'2024'!R\Max</f>
        <v>0.98110443497478439</v>
      </c>
      <c r="CC275" s="1188">
        <f>'2025'!R\Max</f>
        <v>0.98110430607774324</v>
      </c>
      <c r="CD275" s="1188">
        <f>'2026'!R\Max</f>
        <v>0.98110504599666959</v>
      </c>
      <c r="CE275" s="1189">
        <f>'2027'!R\Max</f>
        <v>0.98110493252241882</v>
      </c>
      <c r="CF275" s="1191">
        <f>'2028'!R\Max</f>
        <v>0.98110481705797992</v>
      </c>
    </row>
    <row r="276" spans="1:84" s="6" customFormat="1" ht="11.25" x14ac:dyDescent="0.2">
      <c r="A276" s="11">
        <v>43362</v>
      </c>
      <c r="B276" s="379">
        <f>'2023'!Maxi_hp</f>
        <v>50.64039652855579</v>
      </c>
      <c r="C276" s="13">
        <f>'2023'!An_max</f>
        <v>2022</v>
      </c>
      <c r="D276" s="1045">
        <f t="shared" si="116"/>
        <v>0.99750927906554754</v>
      </c>
      <c r="E276" s="13"/>
      <c r="F276" s="13">
        <f t="shared" si="133"/>
        <v>21</v>
      </c>
      <c r="G276" s="13">
        <f t="shared" si="117"/>
        <v>20</v>
      </c>
      <c r="H276" s="173">
        <f t="shared" si="118"/>
        <v>43374</v>
      </c>
      <c r="I276" s="742">
        <f t="shared" si="119"/>
        <v>0.8571428571428571</v>
      </c>
      <c r="J276" s="735">
        <f t="shared" si="120"/>
        <v>50.766842566111258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38">
        <v>43362</v>
      </c>
      <c r="AP276" s="13">
        <f t="shared" si="121"/>
        <v>11</v>
      </c>
      <c r="AQ276" s="13">
        <f t="shared" si="122"/>
        <v>12</v>
      </c>
      <c r="AR276" s="173">
        <f t="shared" si="123"/>
        <v>43360</v>
      </c>
      <c r="AS276" s="742">
        <f t="shared" si="124"/>
        <v>7.1428571428571425E-2</v>
      </c>
      <c r="AT276" s="758">
        <f t="shared" si="125"/>
        <v>50.757706905023333</v>
      </c>
      <c r="AU276" s="13">
        <f t="shared" si="126"/>
        <v>11</v>
      </c>
      <c r="AV276" s="13">
        <f t="shared" si="127"/>
        <v>10</v>
      </c>
      <c r="AW276" s="173">
        <f t="shared" si="128"/>
        <v>43374</v>
      </c>
      <c r="AX276" s="742">
        <f t="shared" si="129"/>
        <v>0.42857142857142855</v>
      </c>
      <c r="AY276" s="758">
        <f t="shared" si="130"/>
        <v>50.666045189223112</v>
      </c>
      <c r="AZ276" s="735">
        <f t="shared" si="134"/>
        <v>50.711876047123226</v>
      </c>
      <c r="BA276" s="633">
        <f t="shared" si="131"/>
        <v>0.99750927906554754</v>
      </c>
      <c r="BC276" s="11">
        <v>43362</v>
      </c>
      <c r="BD276" s="289">
        <f>[2]!FeuilCaduc*(1-Persistant)+Persistant</f>
        <v>0.95150332781295988</v>
      </c>
      <c r="BE276" s="290">
        <f>[2]!CroissVégét</f>
        <v>0.98479517732042654</v>
      </c>
      <c r="BF276" s="804">
        <f>1+[2]!Salcycl*Ksac</f>
        <v>1.0451503327812959</v>
      </c>
      <c r="BH276" s="1036">
        <f t="shared" si="132"/>
        <v>1.3445235524704897E-3</v>
      </c>
      <c r="BI276" s="11">
        <v>44458</v>
      </c>
      <c r="BJ276" s="715">
        <v>1.2638078287434246E-3</v>
      </c>
      <c r="BK276" s="715">
        <v>1.2638078287434248E-3</v>
      </c>
      <c r="BL276" s="715">
        <v>1.2733658933897643E-3</v>
      </c>
      <c r="BM276" s="715">
        <v>1.3107621872627325E-3</v>
      </c>
      <c r="BN276" s="715">
        <v>1.3784049785166251E-3</v>
      </c>
      <c r="BO276" s="716">
        <v>1.4692829812322514E-3</v>
      </c>
      <c r="BP276" s="715">
        <v>1.5666766477884734E-3</v>
      </c>
      <c r="BQ276" s="715">
        <v>1.6674119374201254E-3</v>
      </c>
      <c r="BR276" s="715">
        <v>1.7717032473770114E-3</v>
      </c>
      <c r="BS276" s="715">
        <v>1.8809772224955199E-3</v>
      </c>
      <c r="BT276" s="715">
        <v>1.9959996353865203E-3</v>
      </c>
      <c r="BW276" s="1188">
        <f>'2019'!R\Max</f>
        <v>0.81507036582849524</v>
      </c>
      <c r="BX276" s="1188">
        <f>'2020'!R\Max</f>
        <v>0.43979047736687166</v>
      </c>
      <c r="BY276" s="1188">
        <f>'2021'!R\Max</f>
        <v>0.74027182596853025</v>
      </c>
      <c r="BZ276" s="1188">
        <f>'2022'!R\Max</f>
        <v>0.99750927906554754</v>
      </c>
      <c r="CA276" s="1188">
        <f>'2023'!R\Max</f>
        <v>0.99750926157211572</v>
      </c>
      <c r="CB276" s="1188">
        <f>'2024'!R\Max</f>
        <v>0.99750924348848713</v>
      </c>
      <c r="CC276" s="1188">
        <f>'2025'!R\Max</f>
        <v>0.99750922539448295</v>
      </c>
      <c r="CD276" s="1188">
        <f>'2026'!R\Max</f>
        <v>0.99750932972070361</v>
      </c>
      <c r="CE276" s="1189">
        <f>'2027'!R\Max</f>
        <v>0.99750931367748485</v>
      </c>
      <c r="CF276" s="1191">
        <f>'2028'!R\Max</f>
        <v>0.9975092973546914</v>
      </c>
    </row>
    <row r="277" spans="1:84" s="6" customFormat="1" ht="11.25" x14ac:dyDescent="0.2">
      <c r="A277" s="11">
        <v>43363</v>
      </c>
      <c r="B277" s="379">
        <f>'2023'!Maxi_hp</f>
        <v>52.24702497422664</v>
      </c>
      <c r="C277" s="13">
        <f>'2023'!An_max</f>
        <v>2023</v>
      </c>
      <c r="D277" s="1045">
        <f t="shared" si="116"/>
        <v>1.0339190299948389</v>
      </c>
      <c r="E277" s="13"/>
      <c r="F277" s="13">
        <f t="shared" si="133"/>
        <v>21</v>
      </c>
      <c r="G277" s="13">
        <f t="shared" si="117"/>
        <v>20</v>
      </c>
      <c r="H277" s="173">
        <f t="shared" si="118"/>
        <v>43374</v>
      </c>
      <c r="I277" s="742">
        <f t="shared" si="119"/>
        <v>0.7857142857142857</v>
      </c>
      <c r="J277" s="735">
        <f t="shared" si="120"/>
        <v>50.532994807618003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38">
        <v>43363</v>
      </c>
      <c r="AP277" s="13">
        <f t="shared" si="121"/>
        <v>11</v>
      </c>
      <c r="AQ277" s="13">
        <f t="shared" si="122"/>
        <v>12</v>
      </c>
      <c r="AR277" s="173">
        <f t="shared" si="123"/>
        <v>43360</v>
      </c>
      <c r="AS277" s="742">
        <f t="shared" si="124"/>
        <v>0.10714285714285714</v>
      </c>
      <c r="AT277" s="758">
        <f t="shared" si="125"/>
        <v>50.517898084050316</v>
      </c>
      <c r="AU277" s="13">
        <f t="shared" si="126"/>
        <v>11</v>
      </c>
      <c r="AV277" s="13">
        <f t="shared" si="127"/>
        <v>10</v>
      </c>
      <c r="AW277" s="173">
        <f t="shared" si="128"/>
        <v>43374</v>
      </c>
      <c r="AX277" s="742">
        <f t="shared" si="129"/>
        <v>0.39285714285714285</v>
      </c>
      <c r="AY277" s="758">
        <f t="shared" si="130"/>
        <v>50.43911648203752</v>
      </c>
      <c r="AZ277" s="735">
        <f t="shared" si="134"/>
        <v>50.478507283043918</v>
      </c>
      <c r="BA277" s="633">
        <f t="shared" si="131"/>
        <v>1.0339190299948389</v>
      </c>
      <c r="BC277" s="11">
        <v>43363</v>
      </c>
      <c r="BD277" s="289">
        <f>[2]!FeuilCaduc*(1-Persistant)+Persistant</f>
        <v>0.94901841202696879</v>
      </c>
      <c r="BE277" s="290">
        <f>[2]!CroissVégét</f>
        <v>0.98541138621054403</v>
      </c>
      <c r="BF277" s="804">
        <f>1+[2]!Salcycl*Ksac</f>
        <v>1.0449018412026969</v>
      </c>
      <c r="BH277" s="1036">
        <f t="shared" si="132"/>
        <v>1.3497312169514931E-3</v>
      </c>
      <c r="BI277" s="11">
        <v>44459</v>
      </c>
      <c r="BJ277" s="715">
        <v>1.2647813358657861E-3</v>
      </c>
      <c r="BK277" s="715">
        <v>1.2647813358657861E-3</v>
      </c>
      <c r="BL277" s="715">
        <v>1.2748235741645679E-3</v>
      </c>
      <c r="BM277" s="715">
        <v>1.3141654140457354E-3</v>
      </c>
      <c r="BN277" s="715">
        <v>1.3854234975659626E-3</v>
      </c>
      <c r="BO277" s="716">
        <v>1.4812081089532123E-3</v>
      </c>
      <c r="BP277" s="715">
        <v>1.5836840637832421E-3</v>
      </c>
      <c r="BQ277" s="715">
        <v>1.6888726179144972E-3</v>
      </c>
      <c r="BR277" s="715">
        <v>1.7970426073201659E-3</v>
      </c>
      <c r="BS277" s="715">
        <v>1.9099395066286429E-3</v>
      </c>
      <c r="BT277" s="715">
        <v>2.0289254179248085E-3</v>
      </c>
      <c r="BW277" s="1188">
        <f>'2019'!R\Max</f>
        <v>0.95641468872871194</v>
      </c>
      <c r="BX277" s="1188">
        <f>'2020'!R\Max</f>
        <v>0.68439102231878257</v>
      </c>
      <c r="BY277" s="1188">
        <f>'2021'!R\Max</f>
        <v>0.62189005675374409</v>
      </c>
      <c r="BZ277" s="1188">
        <f>'2022'!R\Max</f>
        <v>1.0339190299948386</v>
      </c>
      <c r="CA277" s="1188">
        <f>'2023'!R\Max</f>
        <v>1.0339190299948389</v>
      </c>
      <c r="CB277" s="1188">
        <f>'2024'!R\Max</f>
        <v>1.0339190299948386</v>
      </c>
      <c r="CC277" s="1188">
        <f>'2025'!R\Max</f>
        <v>1.0339190299948386</v>
      </c>
      <c r="CD277" s="1188">
        <f>'2026'!R\Max</f>
        <v>1.0339190299948386</v>
      </c>
      <c r="CE277" s="1189">
        <f>'2027'!R\Max</f>
        <v>1.0339190299948386</v>
      </c>
      <c r="CF277" s="1191">
        <f>'2028'!R\Max</f>
        <v>1.0339190299948389</v>
      </c>
    </row>
    <row r="278" spans="1:84" s="6" customFormat="1" ht="11.25" x14ac:dyDescent="0.2">
      <c r="A278" s="11">
        <v>43364</v>
      </c>
      <c r="B278" s="379">
        <f>'2023'!Maxi_hp</f>
        <v>50.921191873462114</v>
      </c>
      <c r="C278" s="13">
        <f>'2023'!An_max</f>
        <v>2023</v>
      </c>
      <c r="D278" s="1045">
        <f t="shared" si="116"/>
        <v>1.0124615605457439</v>
      </c>
      <c r="E278" s="13"/>
      <c r="F278" s="13">
        <f t="shared" si="133"/>
        <v>21</v>
      </c>
      <c r="G278" s="13">
        <f t="shared" si="117"/>
        <v>20</v>
      </c>
      <c r="H278" s="173">
        <f t="shared" si="118"/>
        <v>43374</v>
      </c>
      <c r="I278" s="742">
        <f t="shared" si="119"/>
        <v>0.7142857142857143</v>
      </c>
      <c r="J278" s="735">
        <f t="shared" si="120"/>
        <v>50.294444606878926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38">
        <v>43364</v>
      </c>
      <c r="AP278" s="13">
        <f t="shared" si="121"/>
        <v>11</v>
      </c>
      <c r="AQ278" s="13">
        <f t="shared" si="122"/>
        <v>12</v>
      </c>
      <c r="AR278" s="173">
        <f t="shared" si="123"/>
        <v>43360</v>
      </c>
      <c r="AS278" s="742">
        <f t="shared" si="124"/>
        <v>0.14285714285714285</v>
      </c>
      <c r="AT278" s="758">
        <f t="shared" si="125"/>
        <v>50.272619533432383</v>
      </c>
      <c r="AU278" s="13">
        <f t="shared" si="126"/>
        <v>11</v>
      </c>
      <c r="AV278" s="13">
        <f t="shared" si="127"/>
        <v>10</v>
      </c>
      <c r="AW278" s="173">
        <f t="shared" si="128"/>
        <v>43374</v>
      </c>
      <c r="AX278" s="742">
        <f t="shared" si="129"/>
        <v>0.35714285714285715</v>
      </c>
      <c r="AY278" s="758">
        <f t="shared" si="130"/>
        <v>50.208472485175079</v>
      </c>
      <c r="AZ278" s="735">
        <f t="shared" si="134"/>
        <v>50.240546009303728</v>
      </c>
      <c r="BA278" s="633">
        <f t="shared" si="131"/>
        <v>1.0124615605457439</v>
      </c>
      <c r="BC278" s="11">
        <v>43364</v>
      </c>
      <c r="BD278" s="289">
        <f>[2]!FeuilCaduc*(1-Persistant)+Persistant</f>
        <v>0.94642973082482862</v>
      </c>
      <c r="BE278" s="290">
        <f>[2]!CroissVégét</f>
        <v>0.98600350935571934</v>
      </c>
      <c r="BF278" s="804">
        <f>1+[2]!Salcycl*Ksac</f>
        <v>1.0446429730824829</v>
      </c>
      <c r="BH278" s="1036">
        <f t="shared" si="132"/>
        <v>1.3571425821722149E-3</v>
      </c>
      <c r="BI278" s="11">
        <v>44460</v>
      </c>
      <c r="BJ278" s="715">
        <v>1.2676097687885492E-3</v>
      </c>
      <c r="BK278" s="715">
        <v>1.2676097687885494E-3</v>
      </c>
      <c r="BL278" s="715">
        <v>1.2781757278254272E-3</v>
      </c>
      <c r="BM278" s="715">
        <v>1.3196230354950702E-3</v>
      </c>
      <c r="BN278" s="715">
        <v>1.3947955543847877E-3</v>
      </c>
      <c r="BO278" s="716">
        <v>1.4958440856192093E-3</v>
      </c>
      <c r="BP278" s="715">
        <v>1.6036704779889043E-3</v>
      </c>
      <c r="BQ278" s="715">
        <v>1.7133981803273298E-3</v>
      </c>
      <c r="BR278" s="715">
        <v>1.8253929326953907E-3</v>
      </c>
      <c r="BS278" s="715">
        <v>1.9417876553087844E-3</v>
      </c>
      <c r="BT278" s="715">
        <v>2.0646150367467451E-3</v>
      </c>
      <c r="BW278" s="1188">
        <f>'2019'!R\Max</f>
        <v>0.67104304625194411</v>
      </c>
      <c r="BX278" s="1188">
        <f>'2020'!R\Max</f>
        <v>0.66743368299572492</v>
      </c>
      <c r="BY278" s="1188">
        <f>'2021'!R\Max</f>
        <v>0.24389881025031809</v>
      </c>
      <c r="BZ278" s="1188">
        <f>'2022'!R\Max</f>
        <v>1.0124615605457437</v>
      </c>
      <c r="CA278" s="1188">
        <f>'2023'!R\Max</f>
        <v>1.0124615605457439</v>
      </c>
      <c r="CB278" s="1188">
        <f>'2024'!R\Max</f>
        <v>1.0124615605457437</v>
      </c>
      <c r="CC278" s="1188">
        <f>'2025'!R\Max</f>
        <v>1.0124615605457437</v>
      </c>
      <c r="CD278" s="1188">
        <f>'2026'!R\Max</f>
        <v>1.0124615605457439</v>
      </c>
      <c r="CE278" s="1189">
        <f>'2027'!R\Max</f>
        <v>1.0124615605457437</v>
      </c>
      <c r="CF278" s="1191">
        <f>'2028'!R\Max</f>
        <v>1.0124615605457437</v>
      </c>
    </row>
    <row r="279" spans="1:84" s="6" customFormat="1" ht="11.25" x14ac:dyDescent="0.2">
      <c r="A279" s="11">
        <v>43365</v>
      </c>
      <c r="B279" s="379">
        <f>'2023'!Maxi_hp</f>
        <v>49.535355267430838</v>
      </c>
      <c r="C279" s="13">
        <f>'2023'!An_max</f>
        <v>2022</v>
      </c>
      <c r="D279" s="1045">
        <f t="shared" si="116"/>
        <v>0.98969168852168854</v>
      </c>
      <c r="E279" s="13"/>
      <c r="F279" s="13">
        <f t="shared" si="133"/>
        <v>21</v>
      </c>
      <c r="G279" s="13">
        <f t="shared" si="117"/>
        <v>20</v>
      </c>
      <c r="H279" s="173">
        <f t="shared" si="118"/>
        <v>43374</v>
      </c>
      <c r="I279" s="742">
        <f t="shared" si="119"/>
        <v>0.6428571428571429</v>
      </c>
      <c r="J279" s="735">
        <f t="shared" si="120"/>
        <v>50.051299654160225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38">
        <v>43365</v>
      </c>
      <c r="AP279" s="13">
        <f t="shared" si="121"/>
        <v>11</v>
      </c>
      <c r="AQ279" s="13">
        <f t="shared" si="122"/>
        <v>12</v>
      </c>
      <c r="AR279" s="173">
        <f t="shared" si="123"/>
        <v>43360</v>
      </c>
      <c r="AS279" s="742">
        <f t="shared" si="124"/>
        <v>0.17857142857142858</v>
      </c>
      <c r="AT279" s="758">
        <f t="shared" si="125"/>
        <v>50.022100093747888</v>
      </c>
      <c r="AU279" s="13">
        <f t="shared" si="126"/>
        <v>11</v>
      </c>
      <c r="AV279" s="13">
        <f t="shared" si="127"/>
        <v>10</v>
      </c>
      <c r="AW279" s="173">
        <f t="shared" si="128"/>
        <v>43374</v>
      </c>
      <c r="AX279" s="742">
        <f t="shared" si="129"/>
        <v>0.32142857142857145</v>
      </c>
      <c r="AY279" s="758">
        <f t="shared" si="130"/>
        <v>49.974005512041707</v>
      </c>
      <c r="AZ279" s="735">
        <f t="shared" si="134"/>
        <v>49.998052802894797</v>
      </c>
      <c r="BA279" s="633">
        <f t="shared" si="131"/>
        <v>0.98969168852168854</v>
      </c>
      <c r="BC279" s="11">
        <v>43365</v>
      </c>
      <c r="BD279" s="289">
        <f>[2]!FeuilCaduc*(1-Persistant)+Persistant</f>
        <v>0.94373377455694141</v>
      </c>
      <c r="BE279" s="290">
        <f>[2]!CroissVégét</f>
        <v>0.98657246054533965</v>
      </c>
      <c r="BF279" s="804">
        <f>1+[2]!Salcycl*Ksac</f>
        <v>1.0443733774556943</v>
      </c>
      <c r="BH279" s="1036">
        <f t="shared" si="132"/>
        <v>1.3667601937174471E-3</v>
      </c>
      <c r="BI279" s="11">
        <v>44461</v>
      </c>
      <c r="BJ279" s="715">
        <v>1.2722951806713588E-3</v>
      </c>
      <c r="BK279" s="715">
        <v>1.2722951806713588E-3</v>
      </c>
      <c r="BL279" s="715">
        <v>1.2834244635885844E-3</v>
      </c>
      <c r="BM279" s="715">
        <v>1.3271373868335558E-3</v>
      </c>
      <c r="BN279" s="715">
        <v>1.4065239056679467E-3</v>
      </c>
      <c r="BO279" s="716">
        <v>1.5131941934738095E-3</v>
      </c>
      <c r="BP279" s="715">
        <v>1.6266396207542607E-3</v>
      </c>
      <c r="BQ279" s="715">
        <v>1.7409926090584291E-3</v>
      </c>
      <c r="BR279" s="715">
        <v>1.8567583101696383E-3</v>
      </c>
      <c r="BS279" s="715">
        <v>1.9765257820839313E-3</v>
      </c>
      <c r="BT279" s="715">
        <v>2.1030726479905068E-3</v>
      </c>
      <c r="BW279" s="1188">
        <f>'2019'!R\Max</f>
        <v>0.17920517051675197</v>
      </c>
      <c r="BX279" s="1188">
        <f>'2020'!R\Max</f>
        <v>0.57534199560049892</v>
      </c>
      <c r="BY279" s="1188">
        <f>'2021'!R\Max</f>
        <v>0.94236108247666484</v>
      </c>
      <c r="BZ279" s="1188">
        <f>'2022'!R\Max</f>
        <v>0.98969168852168854</v>
      </c>
      <c r="CA279" s="1188">
        <f>'2023'!R\Max</f>
        <v>0.98969160434693948</v>
      </c>
      <c r="CB279" s="1188">
        <f>'2024'!R\Max</f>
        <v>0.98969151950806267</v>
      </c>
      <c r="CC279" s="1188">
        <f>'2025'!R\Max</f>
        <v>0.9896914346579746</v>
      </c>
      <c r="CD279" s="1188">
        <f>'2026'!R\Max</f>
        <v>0.98969193354597729</v>
      </c>
      <c r="CE279" s="1189">
        <f>'2027'!R\Max</f>
        <v>0.98969185572037488</v>
      </c>
      <c r="CF279" s="1191">
        <f>'2028'!R\Max</f>
        <v>0.98969177657449037</v>
      </c>
    </row>
    <row r="280" spans="1:84" s="6" customFormat="1" ht="11.25" x14ac:dyDescent="0.2">
      <c r="A280" s="11">
        <v>43366</v>
      </c>
      <c r="B280" s="379">
        <f>'2023'!Maxi_hp</f>
        <v>43.314137814675796</v>
      </c>
      <c r="C280" s="13">
        <f>'2023'!An_max</f>
        <v>2021</v>
      </c>
      <c r="D280" s="1045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73">
        <f t="shared" si="118"/>
        <v>43374</v>
      </c>
      <c r="I280" s="742">
        <f t="shared" si="119"/>
        <v>0.5714285714285714</v>
      </c>
      <c r="J280" s="735">
        <f t="shared" si="120"/>
        <v>49.803667638663732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38">
        <v>43366</v>
      </c>
      <c r="AP280" s="13">
        <f t="shared" si="121"/>
        <v>11</v>
      </c>
      <c r="AQ280" s="13">
        <f t="shared" si="122"/>
        <v>12</v>
      </c>
      <c r="AR280" s="173">
        <f t="shared" si="123"/>
        <v>43360</v>
      </c>
      <c r="AS280" s="742">
        <f t="shared" si="124"/>
        <v>0.21428571428571427</v>
      </c>
      <c r="AT280" s="758">
        <f t="shared" si="125"/>
        <v>49.76656860485673</v>
      </c>
      <c r="AU280" s="13">
        <f t="shared" si="126"/>
        <v>11</v>
      </c>
      <c r="AV280" s="13">
        <f t="shared" si="127"/>
        <v>10</v>
      </c>
      <c r="AW280" s="173">
        <f t="shared" si="128"/>
        <v>43374</v>
      </c>
      <c r="AX280" s="742">
        <f t="shared" si="129"/>
        <v>0.2857142857142857</v>
      </c>
      <c r="AY280" s="758">
        <f t="shared" si="130"/>
        <v>49.73560787173254</v>
      </c>
      <c r="AZ280" s="735">
        <f t="shared" si="134"/>
        <v>49.751088238294635</v>
      </c>
      <c r="BA280" s="633">
        <f t="shared" si="131"/>
        <v>0.86969775256170156</v>
      </c>
      <c r="BC280" s="11">
        <v>43366</v>
      </c>
      <c r="BD280" s="289">
        <f>[2]!FeuilCaduc*(1-Persistant)+Persistant</f>
        <v>0.94092703517929532</v>
      </c>
      <c r="BE280" s="290">
        <f>[2]!CroissVégét</f>
        <v>0.98711912105647015</v>
      </c>
      <c r="BF280" s="804">
        <f>1+[2]!Salcycl*Ksac</f>
        <v>1.0440927035179295</v>
      </c>
      <c r="BH280" s="1036">
        <f t="shared" si="132"/>
        <v>1.3785941433331291E-3</v>
      </c>
      <c r="BI280" s="11">
        <v>44462</v>
      </c>
      <c r="BJ280" s="715">
        <v>1.2788466081419705E-3</v>
      </c>
      <c r="BK280" s="715">
        <v>1.2788466081419703E-3</v>
      </c>
      <c r="BL280" s="715">
        <v>1.2905789402062452E-3</v>
      </c>
      <c r="BM280" s="715">
        <v>1.3367181129883201E-3</v>
      </c>
      <c r="BN280" s="715">
        <v>1.4206190915691498E-3</v>
      </c>
      <c r="BO280" s="716">
        <v>1.5332701312225883E-3</v>
      </c>
      <c r="BP280" s="715">
        <v>1.6526043015418713E-3</v>
      </c>
      <c r="BQ280" s="715">
        <v>1.7716696154019584E-3</v>
      </c>
      <c r="BR280" s="715">
        <v>1.8911531929452323E-3</v>
      </c>
      <c r="BS280" s="715">
        <v>2.0141690203484453E-3</v>
      </c>
      <c r="BT280" s="715">
        <v>2.1443141196556821E-3</v>
      </c>
      <c r="BW280" s="1188">
        <f>'2019'!R\Max</f>
        <v>0.8551484823660862</v>
      </c>
      <c r="BX280" s="1188">
        <f>'2020'!R\Max</f>
        <v>0.50475106533580483</v>
      </c>
      <c r="BY280" s="1188">
        <f>'2021'!R\Max</f>
        <v>0.86969775256170156</v>
      </c>
      <c r="BZ280" s="1188">
        <f>'2022'!R\Max</f>
        <v>0.70406400744060471</v>
      </c>
      <c r="CA280" s="1188">
        <f>'2023'!R\Max</f>
        <v>0.70406219550834104</v>
      </c>
      <c r="CB280" s="1188">
        <f>'2024'!R\Max</f>
        <v>0.70406038758578615</v>
      </c>
      <c r="CC280" s="1188">
        <f>'2025'!R\Max</f>
        <v>0.70405857971038577</v>
      </c>
      <c r="CD280" s="1188">
        <f>'2026'!R\Max</f>
        <v>0.7040692959965511</v>
      </c>
      <c r="CE280" s="1189">
        <f>'2027'!R\Max</f>
        <v>0.70406761378769611</v>
      </c>
      <c r="CF280" s="1191">
        <f>'2028'!R\Max</f>
        <v>0.70406590335423447</v>
      </c>
    </row>
    <row r="281" spans="1:84" s="6" customFormat="1" ht="11.25" x14ac:dyDescent="0.2">
      <c r="A281" s="11">
        <v>43367</v>
      </c>
      <c r="B281" s="379">
        <f>'2023'!Maxi_hp</f>
        <v>43.384541721518524</v>
      </c>
      <c r="C281" s="13">
        <f>'2023'!An_max</f>
        <v>2021</v>
      </c>
      <c r="D281" s="1045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73">
        <f t="shared" si="118"/>
        <v>43374</v>
      </c>
      <c r="I281" s="742">
        <f t="shared" si="119"/>
        <v>0.5</v>
      </c>
      <c r="J281" s="735">
        <f t="shared" si="120"/>
        <v>49.551656249538063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38">
        <v>43367</v>
      </c>
      <c r="AP281" s="13">
        <f t="shared" si="121"/>
        <v>11</v>
      </c>
      <c r="AQ281" s="13">
        <f t="shared" si="122"/>
        <v>12</v>
      </c>
      <c r="AR281" s="173">
        <f t="shared" si="123"/>
        <v>43360</v>
      </c>
      <c r="AS281" s="742">
        <f t="shared" si="124"/>
        <v>0.25</v>
      </c>
      <c r="AT281" s="758">
        <f t="shared" si="125"/>
        <v>49.506253905594349</v>
      </c>
      <c r="AU281" s="13">
        <f t="shared" si="126"/>
        <v>11</v>
      </c>
      <c r="AV281" s="13">
        <f t="shared" si="127"/>
        <v>10</v>
      </c>
      <c r="AW281" s="173">
        <f t="shared" si="128"/>
        <v>43374</v>
      </c>
      <c r="AX281" s="742">
        <f t="shared" si="129"/>
        <v>0.25</v>
      </c>
      <c r="AY281" s="758">
        <f t="shared" si="130"/>
        <v>49.493171874806286</v>
      </c>
      <c r="AZ281" s="735">
        <f t="shared" si="134"/>
        <v>49.499712890200314</v>
      </c>
      <c r="BA281" s="633">
        <f t="shared" si="131"/>
        <v>0.87554170748677995</v>
      </c>
      <c r="BC281" s="11">
        <v>43367</v>
      </c>
      <c r="BD281" s="289">
        <f>[2]!FeuilCaduc*(1-Persistant)+Persistant</f>
        <v>0.93800602625553786</v>
      </c>
      <c r="BE281" s="290">
        <f>[2]!CroissVégét</f>
        <v>0.98764434064074225</v>
      </c>
      <c r="BF281" s="804">
        <f>1+[2]!Salcycl*Ksac</f>
        <v>1.0438006026255537</v>
      </c>
      <c r="BH281" s="1036">
        <f t="shared" si="132"/>
        <v>1.3926513244085148E-3</v>
      </c>
      <c r="BI281" s="11">
        <v>44463</v>
      </c>
      <c r="BJ281" s="715">
        <v>1.2872700169638206E-3</v>
      </c>
      <c r="BK281" s="715">
        <v>1.2872700169638206E-3</v>
      </c>
      <c r="BL281" s="715">
        <v>1.2996452300794244E-3</v>
      </c>
      <c r="BM281" s="715">
        <v>1.3483717130980822E-3</v>
      </c>
      <c r="BN281" s="715">
        <v>1.4370884011302035E-3</v>
      </c>
      <c r="BO281" s="716">
        <v>1.5560801995013836E-3</v>
      </c>
      <c r="BP281" s="715">
        <v>1.6815737574327862E-3</v>
      </c>
      <c r="BQ281" s="715">
        <v>1.8054391252681032E-3</v>
      </c>
      <c r="BR281" s="715">
        <v>1.9285880027072998E-3</v>
      </c>
      <c r="BS281" s="715">
        <v>2.0547282009662667E-3</v>
      </c>
      <c r="BT281" s="715">
        <v>2.1883507345909024E-3</v>
      </c>
      <c r="BW281" s="1188">
        <f>'2019'!R\Max</f>
        <v>0.61186343168464863</v>
      </c>
      <c r="BX281" s="1188">
        <f>'2020'!R\Max</f>
        <v>0.85176299717797921</v>
      </c>
      <c r="BY281" s="1188">
        <f>'2021'!R\Max</f>
        <v>0.87554170748677995</v>
      </c>
      <c r="BZ281" s="1188">
        <f>'2022'!R\Max</f>
        <v>0.40230750791517195</v>
      </c>
      <c r="CA281" s="1188">
        <f>'2023'!R\Max</f>
        <v>0.40230530460011205</v>
      </c>
      <c r="CB281" s="1188">
        <f>'2024'!R\Max</f>
        <v>0.40230312946349223</v>
      </c>
      <c r="CC281" s="1188">
        <f>'2025'!R\Max</f>
        <v>0.40230095472680921</v>
      </c>
      <c r="CD281" s="1188">
        <f>'2026'!R\Max</f>
        <v>0.40231395825090821</v>
      </c>
      <c r="CE281" s="1189">
        <f>'2027'!R\Max</f>
        <v>0.40231190317565274</v>
      </c>
      <c r="CF281" s="1191">
        <f>'2028'!R\Max</f>
        <v>0.40230981402117899</v>
      </c>
    </row>
    <row r="282" spans="1:84" s="6" customFormat="1" ht="11.25" x14ac:dyDescent="0.2">
      <c r="A282" s="11">
        <v>43368</v>
      </c>
      <c r="B282" s="379">
        <f>'2023'!Maxi_hp</f>
        <v>38.971690131300377</v>
      </c>
      <c r="C282" s="13">
        <f>'2023'!An_max</f>
        <v>2022</v>
      </c>
      <c r="D282" s="1045" t="str">
        <f t="shared" si="116"/>
        <v/>
      </c>
      <c r="E282" s="13"/>
      <c r="F282" s="13">
        <f t="shared" si="133"/>
        <v>21</v>
      </c>
      <c r="G282" s="13">
        <f t="shared" si="117"/>
        <v>20</v>
      </c>
      <c r="H282" s="173">
        <f t="shared" si="118"/>
        <v>43374</v>
      </c>
      <c r="I282" s="742">
        <f t="shared" si="119"/>
        <v>0.42857142857142855</v>
      </c>
      <c r="J282" s="735">
        <f t="shared" si="120"/>
        <v>49.295373178166997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38">
        <v>43368</v>
      </c>
      <c r="AP282" s="13">
        <f t="shared" si="121"/>
        <v>11</v>
      </c>
      <c r="AQ282" s="13">
        <f t="shared" si="122"/>
        <v>12</v>
      </c>
      <c r="AR282" s="173">
        <f t="shared" si="123"/>
        <v>43360</v>
      </c>
      <c r="AS282" s="742">
        <f t="shared" si="124"/>
        <v>0.2857142857142857</v>
      </c>
      <c r="AT282" s="758">
        <f t="shared" si="125"/>
        <v>49.241384839798719</v>
      </c>
      <c r="AU282" s="13">
        <f t="shared" si="126"/>
        <v>11</v>
      </c>
      <c r="AV282" s="13">
        <f t="shared" si="127"/>
        <v>10</v>
      </c>
      <c r="AW282" s="173">
        <f t="shared" si="128"/>
        <v>43374</v>
      </c>
      <c r="AX282" s="742">
        <f t="shared" si="129"/>
        <v>0.21428571428571427</v>
      </c>
      <c r="AY282" s="758">
        <f t="shared" si="130"/>
        <v>49.246589832486848</v>
      </c>
      <c r="AZ282" s="735">
        <f t="shared" si="134"/>
        <v>49.24398733614278</v>
      </c>
      <c r="BA282" s="633">
        <f t="shared" si="131"/>
        <v>0.79057500975691986</v>
      </c>
      <c r="BC282" s="11">
        <v>43368</v>
      </c>
      <c r="BD282" s="289">
        <f>[2]!FeuilCaduc*(1-Persistant)+Persistant</f>
        <v>0.93496730454433918</v>
      </c>
      <c r="BE282" s="290">
        <f>[2]!CroissVégét</f>
        <v>0.98814893849517882</v>
      </c>
      <c r="BF282" s="804">
        <f>1+[2]!Salcycl*Ksac</f>
        <v>1.043496730454434</v>
      </c>
      <c r="BH282" s="1036">
        <f t="shared" si="132"/>
        <v>1.4064633431144446E-3</v>
      </c>
      <c r="BI282" s="11">
        <v>44464</v>
      </c>
      <c r="BJ282" s="715">
        <v>1.2954313580662989E-3</v>
      </c>
      <c r="BK282" s="715">
        <v>1.2954313580662987E-3</v>
      </c>
      <c r="BL282" s="715">
        <v>1.3084491517935941E-3</v>
      </c>
      <c r="BM282" s="715">
        <v>1.3597680150727407E-3</v>
      </c>
      <c r="BN282" s="715">
        <v>1.4533247272441813E-3</v>
      </c>
      <c r="BO282" s="716">
        <v>1.5786522806541005E-3</v>
      </c>
      <c r="BP282" s="715">
        <v>1.7102511582015006E-3</v>
      </c>
      <c r="BQ282" s="715">
        <v>1.8389079331064811E-3</v>
      </c>
      <c r="BR282" s="715">
        <v>1.9658904817771664E-3</v>
      </c>
      <c r="BS282" s="715">
        <v>2.0957506478629265E-3</v>
      </c>
      <c r="BT282" s="715">
        <v>2.2337650788032183E-3</v>
      </c>
      <c r="BW282" s="1188">
        <f>'2019'!R\Max</f>
        <v>0.61174709913233738</v>
      </c>
      <c r="BX282" s="1188">
        <f>'2020'!R\Max</f>
        <v>0.4842869112829859</v>
      </c>
      <c r="BY282" s="1188">
        <f>'2021'!R\Max</f>
        <v>0.73862262208797413</v>
      </c>
      <c r="BZ282" s="1188">
        <f>'2022'!R\Max</f>
        <v>0.79057500975691986</v>
      </c>
      <c r="CA282" s="1188">
        <f>'2023'!R\Max</f>
        <v>0.79057341575892481</v>
      </c>
      <c r="CB282" s="1188">
        <f>'2024'!R\Max</f>
        <v>0.79057185689712972</v>
      </c>
      <c r="CC282" s="1188">
        <f>'2025'!R\Max</f>
        <v>0.79057029850654814</v>
      </c>
      <c r="CD282" s="1188">
        <f>'2026'!R\Max</f>
        <v>0.7905796900953016</v>
      </c>
      <c r="CE282" s="1189">
        <f>'2027'!R\Max</f>
        <v>0.79057819657668393</v>
      </c>
      <c r="CF282" s="1191">
        <f>'2028'!R\Max</f>
        <v>0.79057667856942715</v>
      </c>
    </row>
    <row r="283" spans="1:84" s="6" customFormat="1" ht="11.25" x14ac:dyDescent="0.2">
      <c r="A283" s="11">
        <v>43369</v>
      </c>
      <c r="B283" s="379">
        <f>'2023'!Maxi_hp</f>
        <v>41.572893006475333</v>
      </c>
      <c r="C283" s="13">
        <f>'2023'!An_max</f>
        <v>2021</v>
      </c>
      <c r="D283" s="1045" t="str">
        <f t="shared" si="116"/>
        <v/>
      </c>
      <c r="E283" s="13"/>
      <c r="F283" s="13">
        <f t="shared" si="133"/>
        <v>21</v>
      </c>
      <c r="G283" s="13">
        <f t="shared" si="117"/>
        <v>20</v>
      </c>
      <c r="H283" s="173">
        <f t="shared" si="118"/>
        <v>43374</v>
      </c>
      <c r="I283" s="742">
        <f t="shared" si="119"/>
        <v>0.35714285714285715</v>
      </c>
      <c r="J283" s="735">
        <f t="shared" si="120"/>
        <v>49.034926111038239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38">
        <v>43369</v>
      </c>
      <c r="AP283" s="13">
        <f t="shared" si="121"/>
        <v>11</v>
      </c>
      <c r="AQ283" s="13">
        <f t="shared" si="122"/>
        <v>12</v>
      </c>
      <c r="AR283" s="173">
        <f t="shared" si="123"/>
        <v>43360</v>
      </c>
      <c r="AS283" s="742">
        <f t="shared" si="124"/>
        <v>0.32142857142857145</v>
      </c>
      <c r="AT283" s="758">
        <f t="shared" si="125"/>
        <v>48.97219024454909</v>
      </c>
      <c r="AU283" s="13">
        <f t="shared" si="126"/>
        <v>11</v>
      </c>
      <c r="AV283" s="13">
        <f t="shared" si="127"/>
        <v>10</v>
      </c>
      <c r="AW283" s="173">
        <f t="shared" si="128"/>
        <v>43374</v>
      </c>
      <c r="AX283" s="742">
        <f t="shared" si="129"/>
        <v>0.17857142857142858</v>
      </c>
      <c r="AY283" s="758">
        <f t="shared" si="130"/>
        <v>48.995754054694302</v>
      </c>
      <c r="AZ283" s="735">
        <f t="shared" si="134"/>
        <v>48.983972149621692</v>
      </c>
      <c r="BA283" s="633">
        <f t="shared" si="131"/>
        <v>0.8478220791509844</v>
      </c>
      <c r="BC283" s="11">
        <v>43369</v>
      </c>
      <c r="BD283" s="289">
        <f>[2]!FeuilCaduc*(1-Persistant)+Persistant</f>
        <v>0.93180749305828814</v>
      </c>
      <c r="BE283" s="290">
        <f>[2]!CroissVégét</f>
        <v>0.98863370421593466</v>
      </c>
      <c r="BF283" s="804">
        <f>1+[2]!Salcycl*Ksac</f>
        <v>1.0431807493058287</v>
      </c>
      <c r="BH283" s="1036">
        <f t="shared" si="132"/>
        <v>1.4177712421755695E-3</v>
      </c>
      <c r="BI283" s="11">
        <v>44465</v>
      </c>
      <c r="BJ283" s="715">
        <v>1.301178739139149E-3</v>
      </c>
      <c r="BK283" s="715">
        <v>1.301178739139149E-3</v>
      </c>
      <c r="BL283" s="715">
        <v>1.3148268883477947E-3</v>
      </c>
      <c r="BM283" s="715">
        <v>1.3686943116456914E-3</v>
      </c>
      <c r="BN283" s="715">
        <v>1.4670226981545282E-3</v>
      </c>
      <c r="BO283" s="716">
        <v>1.598548746238544E-3</v>
      </c>
      <c r="BP283" s="715">
        <v>1.7360701799183816E-3</v>
      </c>
      <c r="BQ283" s="715">
        <v>1.8694666380857042E-3</v>
      </c>
      <c r="BR283" s="715">
        <v>2.0005025859033011E-3</v>
      </c>
      <c r="BS283" s="715">
        <v>2.1348068529380986E-3</v>
      </c>
      <c r="BT283" s="715">
        <v>2.2782581111767449E-3</v>
      </c>
      <c r="BW283" s="1188">
        <f>'2019'!R\Max</f>
        <v>0.80998904301962682</v>
      </c>
      <c r="BX283" s="1188">
        <f>'2020'!R\Max</f>
        <v>0.46314541859167313</v>
      </c>
      <c r="BY283" s="1188">
        <f>'2021'!R\Max</f>
        <v>0.8478220791509844</v>
      </c>
      <c r="BZ283" s="1188">
        <f>'2022'!R\Max</f>
        <v>0.79183217075556733</v>
      </c>
      <c r="CA283" s="1188">
        <f>'2023'!R\Max</f>
        <v>0.79183050921112463</v>
      </c>
      <c r="CB283" s="1188">
        <f>'2024'!R\Max</f>
        <v>0.79182889683423263</v>
      </c>
      <c r="CC283" s="1188">
        <f>'2025'!R\Max</f>
        <v>0.79182728509680855</v>
      </c>
      <c r="CD283" s="1188">
        <f>'2026'!R\Max</f>
        <v>0.7918370635692723</v>
      </c>
      <c r="CE283" s="1189">
        <f>'2027'!R\Max</f>
        <v>0.79183549982385082</v>
      </c>
      <c r="CF283" s="1191">
        <f>'2028'!R\Max</f>
        <v>0.79183391074802767</v>
      </c>
    </row>
    <row r="284" spans="1:84" s="6" customFormat="1" ht="11.25" x14ac:dyDescent="0.2">
      <c r="A284" s="11">
        <v>43370</v>
      </c>
      <c r="B284" s="379">
        <f>'2023'!Maxi_hp</f>
        <v>41.366659117573256</v>
      </c>
      <c r="C284" s="13">
        <f>'2023'!An_max</f>
        <v>2018</v>
      </c>
      <c r="D284" s="1045" t="str">
        <f t="shared" si="116"/>
        <v/>
      </c>
      <c r="E284" s="13"/>
      <c r="F284" s="13">
        <f t="shared" si="133"/>
        <v>21</v>
      </c>
      <c r="G284" s="13">
        <f t="shared" si="117"/>
        <v>20</v>
      </c>
      <c r="H284" s="173">
        <f t="shared" si="118"/>
        <v>43374</v>
      </c>
      <c r="I284" s="742">
        <f t="shared" si="119"/>
        <v>0.2857142857142857</v>
      </c>
      <c r="J284" s="735">
        <f t="shared" si="120"/>
        <v>48.770422740387062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38">
        <v>43370</v>
      </c>
      <c r="AP284" s="13">
        <f t="shared" si="121"/>
        <v>11</v>
      </c>
      <c r="AQ284" s="13">
        <f t="shared" si="122"/>
        <v>12</v>
      </c>
      <c r="AR284" s="173">
        <f t="shared" si="123"/>
        <v>43360</v>
      </c>
      <c r="AS284" s="742">
        <f t="shared" si="124"/>
        <v>0.35714285714285715</v>
      </c>
      <c r="AT284" s="758">
        <f t="shared" si="125"/>
        <v>48.698898961315194</v>
      </c>
      <c r="AU284" s="13">
        <f t="shared" si="126"/>
        <v>11</v>
      </c>
      <c r="AV284" s="13">
        <f t="shared" si="127"/>
        <v>10</v>
      </c>
      <c r="AW284" s="173">
        <f t="shared" si="128"/>
        <v>43374</v>
      </c>
      <c r="AX284" s="742">
        <f t="shared" si="129"/>
        <v>0.14285714285714285</v>
      </c>
      <c r="AY284" s="758">
        <f t="shared" si="130"/>
        <v>48.740556850550433</v>
      </c>
      <c r="AZ284" s="735">
        <f t="shared" si="134"/>
        <v>48.719727905932814</v>
      </c>
      <c r="BA284" s="633">
        <f t="shared" si="131"/>
        <v>0.84819152250893437</v>
      </c>
      <c r="BC284" s="11">
        <v>43370</v>
      </c>
      <c r="BD284" s="289">
        <f>[2]!FeuilCaduc*(1-Persistant)+Persistant</f>
        <v>0.92852330545969419</v>
      </c>
      <c r="BE284" s="290">
        <f>[2]!CroissVégét</f>
        <v>0.98909939873407315</v>
      </c>
      <c r="BF284" s="804">
        <f>1+[2]!Salcycl*Ksac</f>
        <v>1.0428523305459694</v>
      </c>
      <c r="BH284" s="1036">
        <f t="shared" si="132"/>
        <v>1.4265710541071872E-3</v>
      </c>
      <c r="BI284" s="11">
        <v>44466</v>
      </c>
      <c r="BJ284" s="715">
        <v>1.3045081441903795E-3</v>
      </c>
      <c r="BK284" s="715">
        <v>1.3045081441903795E-3</v>
      </c>
      <c r="BL284" s="715">
        <v>1.3187744264098E-3</v>
      </c>
      <c r="BM284" s="715">
        <v>1.3751466083025859E-3</v>
      </c>
      <c r="BN284" s="715">
        <v>1.4781783735023097E-3</v>
      </c>
      <c r="BO284" s="716">
        <v>1.6157656651532813E-3</v>
      </c>
      <c r="BP284" s="715">
        <v>1.7590268263564387E-3</v>
      </c>
      <c r="BQ284" s="715">
        <v>1.8971112758862122E-3</v>
      </c>
      <c r="BR284" s="715">
        <v>2.0324206677500363E-3</v>
      </c>
      <c r="BS284" s="715">
        <v>2.1718940928839273E-3</v>
      </c>
      <c r="BT284" s="715">
        <v>2.3218284488798801E-3</v>
      </c>
      <c r="BW284" s="1188">
        <f>'2019'!R\Max</f>
        <v>0.84819152250893437</v>
      </c>
      <c r="BX284" s="1188">
        <f>'2020'!R\Max</f>
        <v>0.31453897803636305</v>
      </c>
      <c r="BY284" s="1188">
        <f>'2021'!R\Max</f>
        <v>0.4916611566321426</v>
      </c>
      <c r="BZ284" s="1188">
        <f>'2022'!R\Max</f>
        <v>0.37995106035055437</v>
      </c>
      <c r="CA284" s="1188">
        <f>'2023'!R\Max</f>
        <v>0.3799485818384768</v>
      </c>
      <c r="CB284" s="1188">
        <f>'2024'!R\Max</f>
        <v>0.37994619174767569</v>
      </c>
      <c r="CC284" s="1188">
        <f>'2025'!R\Max</f>
        <v>0.37994380278828371</v>
      </c>
      <c r="CD284" s="1188">
        <f>'2026'!R\Max</f>
        <v>0.37995837980046104</v>
      </c>
      <c r="CE284" s="1189">
        <f>'2027'!R\Max</f>
        <v>0.37995603691710067</v>
      </c>
      <c r="CF284" s="1191">
        <f>'2028'!R\Max</f>
        <v>0.37995365657480917</v>
      </c>
    </row>
    <row r="285" spans="1:84" s="6" customFormat="1" ht="11.25" x14ac:dyDescent="0.2">
      <c r="A285" s="11">
        <v>43371</v>
      </c>
      <c r="B285" s="379">
        <f>'2023'!Maxi_hp</f>
        <v>36.836006686533622</v>
      </c>
      <c r="C285" s="13">
        <f>'2023'!An_max</f>
        <v>2018</v>
      </c>
      <c r="D285" s="1045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73">
        <f t="shared" si="118"/>
        <v>43374</v>
      </c>
      <c r="I285" s="742">
        <f t="shared" si="119"/>
        <v>0.21428571428571427</v>
      </c>
      <c r="J285" s="735">
        <f t="shared" si="120"/>
        <v>48.501970754883118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38">
        <v>43371</v>
      </c>
      <c r="AP285" s="13">
        <f t="shared" si="121"/>
        <v>11</v>
      </c>
      <c r="AQ285" s="13">
        <f t="shared" si="122"/>
        <v>12</v>
      </c>
      <c r="AR285" s="173">
        <f t="shared" si="123"/>
        <v>43360</v>
      </c>
      <c r="AS285" s="742">
        <f t="shared" si="124"/>
        <v>0.39285714285714285</v>
      </c>
      <c r="AT285" s="758">
        <f t="shared" si="125"/>
        <v>48.421739829650946</v>
      </c>
      <c r="AU285" s="13">
        <f t="shared" si="126"/>
        <v>11</v>
      </c>
      <c r="AV285" s="13">
        <f t="shared" si="127"/>
        <v>10</v>
      </c>
      <c r="AW285" s="173">
        <f t="shared" si="128"/>
        <v>43374</v>
      </c>
      <c r="AX285" s="742">
        <f t="shared" si="129"/>
        <v>0.10714285714285714</v>
      </c>
      <c r="AY285" s="758">
        <f t="shared" si="130"/>
        <v>48.480890533993289</v>
      </c>
      <c r="AZ285" s="735">
        <f t="shared" si="134"/>
        <v>48.451315181822117</v>
      </c>
      <c r="BA285" s="633">
        <f t="shared" si="131"/>
        <v>0.75947443192965558</v>
      </c>
      <c r="BC285" s="11">
        <v>43371</v>
      </c>
      <c r="BD285" s="289">
        <f>[2]!FeuilCaduc*(1-Persistant)+Persistant</f>
        <v>0.92511157163868418</v>
      </c>
      <c r="BE285" s="290">
        <f>[2]!CroissVégét</f>
        <v>0.98954675523264646</v>
      </c>
      <c r="BF285" s="804">
        <f>1+[2]!Salcycl*Ksac</f>
        <v>1.0425111571638683</v>
      </c>
      <c r="BH285" s="1036">
        <f t="shared" si="132"/>
        <v>1.4328585141211091E-3</v>
      </c>
      <c r="BI285" s="11">
        <v>44467</v>
      </c>
      <c r="BJ285" s="715">
        <v>1.3054152937175545E-3</v>
      </c>
      <c r="BK285" s="715">
        <v>1.3054152937175543E-3</v>
      </c>
      <c r="BL285" s="715">
        <v>1.3202874851086469E-3</v>
      </c>
      <c r="BM285" s="715">
        <v>1.3791206272559559E-3</v>
      </c>
      <c r="BN285" s="715">
        <v>1.4867875015448452E-3</v>
      </c>
      <c r="BO285" s="716">
        <v>1.6302987536225503E-3</v>
      </c>
      <c r="BP285" s="715">
        <v>1.7791167040782181E-3</v>
      </c>
      <c r="BQ285" s="715">
        <v>1.9218374586484274E-3</v>
      </c>
      <c r="BR285" s="715">
        <v>2.0616406599238486E-3</v>
      </c>
      <c r="BS285" s="715">
        <v>2.2070092757483007E-3</v>
      </c>
      <c r="BT285" s="715">
        <v>2.364474418999841E-3</v>
      </c>
      <c r="BW285" s="1188">
        <f>'2019'!R\Max</f>
        <v>0.75947443192965558</v>
      </c>
      <c r="BX285" s="1188">
        <f>'2020'!R\Max</f>
        <v>0.27876624772109915</v>
      </c>
      <c r="BY285" s="1188">
        <f>'2021'!R\Max</f>
        <v>0.62207735039203194</v>
      </c>
      <c r="BZ285" s="1188">
        <f>'2022'!R\Max</f>
        <v>0.43591356645622314</v>
      </c>
      <c r="CA285" s="1188">
        <f>'2023'!R\Max</f>
        <v>0.43591087424384978</v>
      </c>
      <c r="CB285" s="1188">
        <f>'2024'!R\Max</f>
        <v>0.4359082909772734</v>
      </c>
      <c r="CC285" s="1188">
        <f>'2025'!R\Max</f>
        <v>0.43590570905219167</v>
      </c>
      <c r="CD285" s="1188">
        <f>'2026'!R\Max</f>
        <v>0.43592153928172894</v>
      </c>
      <c r="CE285" s="1189">
        <f>'2027'!R\Max</f>
        <v>0.43591898342996727</v>
      </c>
      <c r="CF285" s="1191">
        <f>'2028'!R\Max</f>
        <v>0.43591638723486409</v>
      </c>
    </row>
    <row r="286" spans="1:84" s="6" customFormat="1" ht="11.25" x14ac:dyDescent="0.2">
      <c r="A286" s="11">
        <v>43372</v>
      </c>
      <c r="B286" s="379">
        <f>'2023'!Maxi_hp</f>
        <v>46.051965901147405</v>
      </c>
      <c r="C286" s="13">
        <f>'2023'!An_max</f>
        <v>2018</v>
      </c>
      <c r="D286" s="1045" t="str">
        <f t="shared" si="116"/>
        <v/>
      </c>
      <c r="E286" s="13"/>
      <c r="F286" s="13">
        <f t="shared" si="133"/>
        <v>21</v>
      </c>
      <c r="G286" s="13">
        <f t="shared" si="117"/>
        <v>20</v>
      </c>
      <c r="H286" s="173">
        <f t="shared" si="118"/>
        <v>43374</v>
      </c>
      <c r="I286" s="742">
        <f t="shared" si="119"/>
        <v>0.14285714285714285</v>
      </c>
      <c r="J286" s="735">
        <f t="shared" si="120"/>
        <v>48.22967784330249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38">
        <v>43372</v>
      </c>
      <c r="AP286" s="13">
        <f t="shared" si="121"/>
        <v>11</v>
      </c>
      <c r="AQ286" s="13">
        <f t="shared" si="122"/>
        <v>12</v>
      </c>
      <c r="AR286" s="173">
        <f t="shared" si="123"/>
        <v>43360</v>
      </c>
      <c r="AS286" s="742">
        <f t="shared" si="124"/>
        <v>0.42857142857142855</v>
      </c>
      <c r="AT286" s="758">
        <f t="shared" si="125"/>
        <v>48.140941690600343</v>
      </c>
      <c r="AU286" s="13">
        <f t="shared" si="126"/>
        <v>11</v>
      </c>
      <c r="AV286" s="13">
        <f t="shared" si="127"/>
        <v>10</v>
      </c>
      <c r="AW286" s="173">
        <f t="shared" si="128"/>
        <v>43374</v>
      </c>
      <c r="AX286" s="742">
        <f t="shared" si="129"/>
        <v>7.1428571428571425E-2</v>
      </c>
      <c r="AY286" s="758">
        <f t="shared" si="130"/>
        <v>48.216647412388454</v>
      </c>
      <c r="AZ286" s="735">
        <f t="shared" si="134"/>
        <v>48.178794551494398</v>
      </c>
      <c r="BA286" s="633">
        <f t="shared" si="131"/>
        <v>0.95484705601330289</v>
      </c>
      <c r="BC286" s="11">
        <v>43372</v>
      </c>
      <c r="BD286" s="289">
        <f>[2]!FeuilCaduc*(1-Persistant)+Persistant</f>
        <v>0.92156926430020425</v>
      </c>
      <c r="BE286" s="290">
        <f>[2]!CroissVégét</f>
        <v>0.98997648004446692</v>
      </c>
      <c r="BF286" s="804">
        <f>1+[2]!Salcycl*Ksac</f>
        <v>1.0421569264300203</v>
      </c>
      <c r="BH286" s="1036">
        <f t="shared" si="132"/>
        <v>1.4366290880630109E-3</v>
      </c>
      <c r="BI286" s="11">
        <v>44468</v>
      </c>
      <c r="BJ286" s="715">
        <v>1.3038956715855287E-3</v>
      </c>
      <c r="BK286" s="715">
        <v>1.3038956715855287E-3</v>
      </c>
      <c r="BL286" s="715">
        <v>1.3193615430546555E-3</v>
      </c>
      <c r="BM286" s="715">
        <v>1.3806118349784895E-3</v>
      </c>
      <c r="BN286" s="715">
        <v>1.4928455474985669E-3</v>
      </c>
      <c r="BO286" s="716">
        <v>1.6421434051256806E-3</v>
      </c>
      <c r="BP286" s="715">
        <v>1.7963350544520729E-3</v>
      </c>
      <c r="BQ286" s="715">
        <v>1.9436404076211683E-3</v>
      </c>
      <c r="BR286" s="715">
        <v>2.0881581052560575E-3</v>
      </c>
      <c r="BS286" s="715">
        <v>2.2401489632963281E-3</v>
      </c>
      <c r="BT286" s="715">
        <v>2.4061940694570191E-3</v>
      </c>
      <c r="BW286" s="1188">
        <f>'2019'!R\Max</f>
        <v>0.95484705601330289</v>
      </c>
      <c r="BX286" s="1188">
        <f>'2020'!R\Max</f>
        <v>0.5788813711948384</v>
      </c>
      <c r="BY286" s="1188">
        <f>'2021'!R\Max</f>
        <v>0.72960180160516219</v>
      </c>
      <c r="BZ286" s="1188">
        <f>'2022'!R\Max</f>
        <v>0.52726808041884832</v>
      </c>
      <c r="CA286" s="1188">
        <f>'2023'!R\Max</f>
        <v>0.52726524775607242</v>
      </c>
      <c r="CB286" s="1188">
        <f>'2024'!R\Max</f>
        <v>0.52726254009543894</v>
      </c>
      <c r="CC286" s="1188">
        <f>'2025'!R\Max</f>
        <v>0.52725983391413678</v>
      </c>
      <c r="CD286" s="1188">
        <f>'2026'!R\Max</f>
        <v>0.52727649246186792</v>
      </c>
      <c r="CE286" s="1189">
        <f>'2027'!R\Max</f>
        <v>0.52727379180777467</v>
      </c>
      <c r="CF286" s="1191">
        <f>'2028'!R\Max</f>
        <v>0.52727104907789157</v>
      </c>
    </row>
    <row r="287" spans="1:84" s="6" customFormat="1" ht="11.25" x14ac:dyDescent="0.2">
      <c r="A287" s="11">
        <v>43373</v>
      </c>
      <c r="B287" s="379">
        <f>'2023'!Maxi_hp</f>
        <v>37.058781916389229</v>
      </c>
      <c r="C287" s="13">
        <f>'2023'!An_max</f>
        <v>2020</v>
      </c>
      <c r="D287" s="1045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73">
        <f t="shared" si="118"/>
        <v>43374</v>
      </c>
      <c r="I287" s="742">
        <f t="shared" si="119"/>
        <v>7.1428571428571425E-2</v>
      </c>
      <c r="J287" s="735">
        <f t="shared" si="120"/>
        <v>47.953651694634132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38">
        <v>43373</v>
      </c>
      <c r="AP287" s="13">
        <f t="shared" si="121"/>
        <v>11</v>
      </c>
      <c r="AQ287" s="13">
        <f t="shared" si="122"/>
        <v>12</v>
      </c>
      <c r="AR287" s="173">
        <f t="shared" si="123"/>
        <v>43360</v>
      </c>
      <c r="AS287" s="742">
        <f t="shared" si="124"/>
        <v>0.4642857142857143</v>
      </c>
      <c r="AT287" s="758">
        <f t="shared" si="125"/>
        <v>47.856733383890244</v>
      </c>
      <c r="AU287" s="13">
        <f t="shared" si="126"/>
        <v>11</v>
      </c>
      <c r="AV287" s="13">
        <f t="shared" si="127"/>
        <v>10</v>
      </c>
      <c r="AW287" s="173">
        <f t="shared" si="128"/>
        <v>43374</v>
      </c>
      <c r="AX287" s="742">
        <f t="shared" si="129"/>
        <v>3.5714285714285712E-2</v>
      </c>
      <c r="AY287" s="758">
        <f t="shared" si="130"/>
        <v>47.947719796933235</v>
      </c>
      <c r="AZ287" s="735">
        <f t="shared" si="134"/>
        <v>47.902226590411743</v>
      </c>
      <c r="BA287" s="633">
        <f t="shared" si="131"/>
        <v>0.77280416833273191</v>
      </c>
      <c r="BC287" s="11">
        <v>43373</v>
      </c>
      <c r="BD287" s="289">
        <f>[2]!FeuilCaduc*(1-Persistant)+Persistant</f>
        <v>0.91789352636908417</v>
      </c>
      <c r="BE287" s="290">
        <f>[2]!CroissVégét</f>
        <v>0.99038925353008489</v>
      </c>
      <c r="BF287" s="804">
        <f>1+[2]!Salcycl*Ksac</f>
        <v>1.0417893526369084</v>
      </c>
      <c r="BH287" s="1036">
        <f t="shared" si="132"/>
        <v>1.4378780003887798E-3</v>
      </c>
      <c r="BI287" s="11">
        <v>44469</v>
      </c>
      <c r="BJ287" s="715">
        <v>1.2999445519400409E-3</v>
      </c>
      <c r="BK287" s="715">
        <v>1.2999445519400411E-3</v>
      </c>
      <c r="BL287" s="715">
        <v>1.3159918653956758E-3</v>
      </c>
      <c r="BM287" s="715">
        <v>1.37961546977398E-3</v>
      </c>
      <c r="BN287" s="715">
        <v>1.4963477219222115E-3</v>
      </c>
      <c r="BO287" s="716">
        <v>1.6512947203703998E-3</v>
      </c>
      <c r="BP287" s="715">
        <v>1.810676785716025E-3</v>
      </c>
      <c r="BQ287" s="715">
        <v>1.9625149858612779E-3</v>
      </c>
      <c r="BR287" s="715">
        <v>2.1119681871403138E-3</v>
      </c>
      <c r="BS287" s="715">
        <v>2.2713093934302606E-3</v>
      </c>
      <c r="BT287" s="715">
        <v>2.4469851799816694E-3</v>
      </c>
      <c r="BW287" s="1188">
        <f>'2019'!R\Max</f>
        <v>0.51642951362204925</v>
      </c>
      <c r="BX287" s="1188">
        <f>'2020'!R\Max</f>
        <v>0.77280416833273191</v>
      </c>
      <c r="BY287" s="1188">
        <f>'2021'!R\Max</f>
        <v>0.38975939192085263</v>
      </c>
      <c r="BZ287" s="1188">
        <f>'2022'!R\Max</f>
        <v>0.58606987631929164</v>
      </c>
      <c r="CA287" s="1188">
        <f>'2023'!R\Max</f>
        <v>0.58606702161505342</v>
      </c>
      <c r="CB287" s="1188">
        <f>'2024'!R\Max</f>
        <v>0.58606430047316194</v>
      </c>
      <c r="CC287" s="1188">
        <f>'2025'!R\Max</f>
        <v>0.58606158085233306</v>
      </c>
      <c r="CD287" s="1188">
        <f>'2026'!R\Max</f>
        <v>0.58607837723724732</v>
      </c>
      <c r="CE287" s="1189">
        <f>'2027'!R\Max</f>
        <v>0.58607564402522794</v>
      </c>
      <c r="CF287" s="1191">
        <f>'2028'!R\Max</f>
        <v>0.58607286879582132</v>
      </c>
    </row>
    <row r="288" spans="1:84" s="6" customFormat="1" ht="11.25" x14ac:dyDescent="0.2">
      <c r="A288" s="11">
        <v>43374</v>
      </c>
      <c r="B288" s="379">
        <f>'2023'!Maxi_hp</f>
        <v>45.618686630492995</v>
      </c>
      <c r="C288" s="13">
        <f>'2023'!An_max</f>
        <v>2020</v>
      </c>
      <c r="D288" s="1045" t="str">
        <f t="shared" si="116"/>
        <v/>
      </c>
      <c r="E288" s="1040">
        <f>AG$13/10</f>
        <v>47.673999999999999</v>
      </c>
      <c r="F288" s="13">
        <f t="shared" si="133"/>
        <v>21</v>
      </c>
      <c r="G288" s="13">
        <f t="shared" si="117"/>
        <v>22</v>
      </c>
      <c r="H288" s="173">
        <f t="shared" si="118"/>
        <v>43374</v>
      </c>
      <c r="I288" s="742">
        <f t="shared" si="119"/>
        <v>0</v>
      </c>
      <c r="J288" s="735">
        <f t="shared" si="120"/>
        <v>47.674000000208615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38">
        <v>43374</v>
      </c>
      <c r="AP288" s="13">
        <f t="shared" si="121"/>
        <v>11</v>
      </c>
      <c r="AQ288" s="13">
        <f t="shared" si="122"/>
        <v>12</v>
      </c>
      <c r="AR288" s="173">
        <f t="shared" si="123"/>
        <v>43360</v>
      </c>
      <c r="AS288" s="742">
        <f t="shared" si="124"/>
        <v>0.5</v>
      </c>
      <c r="AT288" s="758">
        <f t="shared" si="125"/>
        <v>47.569343749992548</v>
      </c>
      <c r="AU288" s="13">
        <f t="shared" si="126"/>
        <v>11</v>
      </c>
      <c r="AV288" s="13">
        <f t="shared" si="127"/>
        <v>12</v>
      </c>
      <c r="AW288" s="173">
        <f t="shared" si="128"/>
        <v>43374</v>
      </c>
      <c r="AX288" s="742">
        <f t="shared" si="129"/>
        <v>0</v>
      </c>
      <c r="AY288" s="758">
        <f t="shared" si="130"/>
        <v>47.673999999463561</v>
      </c>
      <c r="AZ288" s="735">
        <f t="shared" si="134"/>
        <v>47.621671874728051</v>
      </c>
      <c r="BA288" s="633">
        <f t="shared" si="131"/>
        <v>0.95688817028764894</v>
      </c>
      <c r="BC288" s="11">
        <v>43374</v>
      </c>
      <c r="BD288" s="289">
        <f>[2]!FeuilCaduc*(1-Persistant)+Persistant</f>
        <v>0.91408169900647795</v>
      </c>
      <c r="BE288" s="290">
        <f>[2]!CroissVégét</f>
        <v>0.99078573093558142</v>
      </c>
      <c r="BF288" s="804">
        <f>1+[2]!Salcycl*Ksac</f>
        <v>1.0414081699006479</v>
      </c>
      <c r="BH288" s="1036">
        <f t="shared" si="132"/>
        <v>1.4366002621228661E-3</v>
      </c>
      <c r="BI288" s="11">
        <v>44470</v>
      </c>
      <c r="BJ288" s="715">
        <v>1.2935570261048976E-3</v>
      </c>
      <c r="BK288" s="715">
        <v>1.2935570261048974E-3</v>
      </c>
      <c r="BL288" s="715">
        <v>1.3101735308567429E-3</v>
      </c>
      <c r="BM288" s="715">
        <v>1.376126569330952E-3</v>
      </c>
      <c r="BN288" s="715">
        <v>1.4972890090813326E-3</v>
      </c>
      <c r="BO288" s="716">
        <v>1.6577475372456651E-3</v>
      </c>
      <c r="BP288" s="715">
        <v>1.8221365050192972E-3</v>
      </c>
      <c r="BQ288" s="715">
        <v>1.9784557309091323E-3</v>
      </c>
      <c r="BR288" s="715">
        <v>2.1330657598442027E-3</v>
      </c>
      <c r="BS288" s="715">
        <v>2.3004865025816877E-3</v>
      </c>
      <c r="BT288" s="715">
        <v>2.4868452730608765E-3</v>
      </c>
      <c r="BW288" s="1188">
        <f>'2019'!R\Max</f>
        <v>0.79466906742780075</v>
      </c>
      <c r="BX288" s="1188">
        <f>'2020'!R\Max</f>
        <v>0.95688817028764894</v>
      </c>
      <c r="BY288" s="1188">
        <f>'2021'!R\Max</f>
        <v>0.74066545964686903</v>
      </c>
      <c r="BZ288" s="1188">
        <f>'2022'!R\Max</f>
        <v>0.85171645319862899</v>
      </c>
      <c r="CA288" s="1188">
        <f>'2023'!R\Max</f>
        <v>0.85171491773181751</v>
      </c>
      <c r="CB288" s="1188">
        <f>'2024'!R\Max</f>
        <v>0.85171345679253962</v>
      </c>
      <c r="CC288" s="1188">
        <f>'2025'!R\Max</f>
        <v>0.85171199666299835</v>
      </c>
      <c r="CD288" s="1188">
        <f>'2026'!R\Max</f>
        <v>0.85172103817404732</v>
      </c>
      <c r="CE288" s="1189">
        <f>'2027'!R\Max</f>
        <v>0.85171956185576925</v>
      </c>
      <c r="CF288" s="1191">
        <f>'2028'!R\Max</f>
        <v>0.85171806314197662</v>
      </c>
    </row>
    <row r="289" spans="1:84" s="6" customFormat="1" ht="11.25" x14ac:dyDescent="0.2">
      <c r="A289" s="11">
        <v>43375</v>
      </c>
      <c r="B289" s="379">
        <f>'2023'!Maxi_hp</f>
        <v>43.967860921635577</v>
      </c>
      <c r="C289" s="13">
        <f>'2023'!An_max</f>
        <v>2022</v>
      </c>
      <c r="D289" s="1045" t="str">
        <f t="shared" si="116"/>
        <v/>
      </c>
      <c r="E289" s="13"/>
      <c r="F289" s="13">
        <f t="shared" si="133"/>
        <v>21</v>
      </c>
      <c r="G289" s="13">
        <f t="shared" si="117"/>
        <v>22</v>
      </c>
      <c r="H289" s="173">
        <f t="shared" si="118"/>
        <v>43374</v>
      </c>
      <c r="I289" s="742">
        <f t="shared" si="119"/>
        <v>7.1428571428571425E-2</v>
      </c>
      <c r="J289" s="735">
        <f t="shared" si="120"/>
        <v>47.390094570709131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38">
        <v>43375</v>
      </c>
      <c r="AP289" s="13">
        <f t="shared" si="121"/>
        <v>11</v>
      </c>
      <c r="AQ289" s="13">
        <f t="shared" si="122"/>
        <v>12</v>
      </c>
      <c r="AR289" s="173">
        <f t="shared" si="123"/>
        <v>43360</v>
      </c>
      <c r="AS289" s="742">
        <f t="shared" si="124"/>
        <v>0.5357142857142857</v>
      </c>
      <c r="AT289" s="758">
        <f t="shared" si="125"/>
        <v>47.279001628328118</v>
      </c>
      <c r="AU289" s="13">
        <f t="shared" si="126"/>
        <v>11</v>
      </c>
      <c r="AV289" s="13">
        <f t="shared" si="127"/>
        <v>12</v>
      </c>
      <c r="AW289" s="173">
        <f t="shared" si="128"/>
        <v>43374</v>
      </c>
      <c r="AX289" s="742">
        <f t="shared" si="129"/>
        <v>3.5714285714285712E-2</v>
      </c>
      <c r="AY289" s="758">
        <f t="shared" si="130"/>
        <v>47.39335666459187</v>
      </c>
      <c r="AZ289" s="735">
        <f t="shared" si="134"/>
        <v>47.336179146459997</v>
      </c>
      <c r="BA289" s="633">
        <f t="shared" si="131"/>
        <v>0.92778588690158958</v>
      </c>
      <c r="BC289" s="11">
        <v>43375</v>
      </c>
      <c r="BD289" s="289">
        <f>[2]!FeuilCaduc*(1-Persistant)+Persistant</f>
        <v>0.91013135001690548</v>
      </c>
      <c r="BE289" s="290">
        <f>[2]!CroissVégét</f>
        <v>0.99116654322989417</v>
      </c>
      <c r="BF289" s="804">
        <f>1+[2]!Salcycl*Ksac</f>
        <v>1.0410131350016905</v>
      </c>
      <c r="BH289" s="1036">
        <f t="shared" si="132"/>
        <v>1.4327906988354715E-3</v>
      </c>
      <c r="BI289" s="11">
        <v>44471</v>
      </c>
      <c r="BJ289" s="715">
        <v>1.2847280294962368E-3</v>
      </c>
      <c r="BK289" s="715">
        <v>1.2847280294962366E-3</v>
      </c>
      <c r="BL289" s="715">
        <v>1.3019014587970143E-3</v>
      </c>
      <c r="BM289" s="715">
        <v>1.3701399982943797E-3</v>
      </c>
      <c r="BN289" s="715">
        <v>1.495664195332404E-3</v>
      </c>
      <c r="BO289" s="716">
        <v>1.6614964607960692E-3</v>
      </c>
      <c r="BP289" s="715">
        <v>1.8307085504874669E-3</v>
      </c>
      <c r="BQ289" s="715">
        <v>1.9914568874897201E-3</v>
      </c>
      <c r="BR289" s="715">
        <v>2.1514453788483308E-3</v>
      </c>
      <c r="BS289" s="715">
        <v>2.3276759481332294E-3</v>
      </c>
      <c r="BT289" s="715">
        <v>2.5257716249172234E-3</v>
      </c>
      <c r="BW289" s="1188">
        <f>'2019'!R\Max</f>
        <v>0.50237100069424911</v>
      </c>
      <c r="BX289" s="1188">
        <f>'2020'!R\Max</f>
        <v>0.17731177293106451</v>
      </c>
      <c r="BY289" s="1188">
        <f>'2021'!R\Max</f>
        <v>0.91602316939011541</v>
      </c>
      <c r="BZ289" s="1188">
        <f>'2022'!R\Max</f>
        <v>0.92778588690158958</v>
      </c>
      <c r="CA289" s="1188">
        <f>'2023'!R\Max</f>
        <v>0.92778504706489395</v>
      </c>
      <c r="CB289" s="1188">
        <f>'2024'!R\Max</f>
        <v>0.92778424877774779</v>
      </c>
      <c r="CC289" s="1188">
        <f>'2025'!R\Max</f>
        <v>0.92778345092433356</v>
      </c>
      <c r="CD289" s="1188">
        <f>'2026'!R\Max</f>
        <v>0.92778840161815823</v>
      </c>
      <c r="CE289" s="1189">
        <f>'2027'!R\Max</f>
        <v>0.92778759071512984</v>
      </c>
      <c r="CF289" s="1191">
        <f>'2028'!R\Max</f>
        <v>0.92778676767965262</v>
      </c>
    </row>
    <row r="290" spans="1:84" s="6" customFormat="1" ht="11.25" x14ac:dyDescent="0.2">
      <c r="A290" s="11">
        <v>43376</v>
      </c>
      <c r="B290" s="379">
        <f>'2023'!Maxi_hp</f>
        <v>39.851429653028248</v>
      </c>
      <c r="C290" s="13">
        <f>'2023'!An_max</f>
        <v>2022</v>
      </c>
      <c r="D290" s="1045" t="str">
        <f t="shared" si="116"/>
        <v/>
      </c>
      <c r="E290" s="13"/>
      <c r="F290" s="13">
        <f t="shared" si="133"/>
        <v>21</v>
      </c>
      <c r="G290" s="13">
        <f t="shared" si="117"/>
        <v>22</v>
      </c>
      <c r="H290" s="173">
        <f t="shared" si="118"/>
        <v>43374</v>
      </c>
      <c r="I290" s="742">
        <f t="shared" si="119"/>
        <v>0.14285714285714285</v>
      </c>
      <c r="J290" s="735">
        <f t="shared" si="120"/>
        <v>47.101379009655545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38">
        <v>43376</v>
      </c>
      <c r="AP290" s="13">
        <f t="shared" si="121"/>
        <v>11</v>
      </c>
      <c r="AQ290" s="13">
        <f t="shared" si="122"/>
        <v>12</v>
      </c>
      <c r="AR290" s="173">
        <f t="shared" si="123"/>
        <v>43360</v>
      </c>
      <c r="AS290" s="742">
        <f t="shared" si="124"/>
        <v>0.5714285714285714</v>
      </c>
      <c r="AT290" s="758">
        <f t="shared" si="125"/>
        <v>46.985935859807896</v>
      </c>
      <c r="AU290" s="13">
        <f t="shared" si="126"/>
        <v>11</v>
      </c>
      <c r="AV290" s="13">
        <f t="shared" si="127"/>
        <v>12</v>
      </c>
      <c r="AW290" s="173">
        <f t="shared" si="128"/>
        <v>43374</v>
      </c>
      <c r="AX290" s="742">
        <f t="shared" si="129"/>
        <v>7.1428571428571425E-2</v>
      </c>
      <c r="AY290" s="758">
        <f t="shared" si="130"/>
        <v>47.104107142306333</v>
      </c>
      <c r="AZ290" s="735">
        <f t="shared" si="134"/>
        <v>47.045021501057114</v>
      </c>
      <c r="BA290" s="633">
        <f t="shared" si="131"/>
        <v>0.84607776865426609</v>
      </c>
      <c r="BC290" s="11">
        <v>43376</v>
      </c>
      <c r="BD290" s="289">
        <f>[2]!FeuilCaduc*(1-Persistant)+Persistant</f>
        <v>0.90604030241295674</v>
      </c>
      <c r="BE290" s="290">
        <f>[2]!CroissVégét</f>
        <v>0.99153229792147035</v>
      </c>
      <c r="BF290" s="804">
        <f>1+[2]!Salcycl*Ksac</f>
        <v>1.0406040302412958</v>
      </c>
      <c r="BH290" s="1036">
        <f t="shared" si="132"/>
        <v>1.4247935417144794E-3</v>
      </c>
      <c r="BI290" s="11">
        <v>44472</v>
      </c>
      <c r="BJ290" s="715">
        <v>1.2721316371155783E-3</v>
      </c>
      <c r="BK290" s="715">
        <v>1.2721316371155783E-3</v>
      </c>
      <c r="BL290" s="715">
        <v>1.289808276998902E-3</v>
      </c>
      <c r="BM290" s="715">
        <v>1.360131292037387E-3</v>
      </c>
      <c r="BN290" s="715">
        <v>1.4896857407392921E-3</v>
      </c>
      <c r="BO290" s="716">
        <v>1.660589853016874E-3</v>
      </c>
      <c r="BP290" s="715">
        <v>1.8346794483438467E-3</v>
      </c>
      <c r="BQ290" s="715">
        <v>2.0005814896846491E-3</v>
      </c>
      <c r="BR290" s="715">
        <v>2.1673578601654206E-3</v>
      </c>
      <c r="BS290" s="715">
        <v>2.3547763836271329E-3</v>
      </c>
      <c r="BT290" s="715">
        <v>2.5676250385970895E-3</v>
      </c>
      <c r="BW290" s="1188">
        <f>'2019'!R\Max</f>
        <v>0.7126710517918402</v>
      </c>
      <c r="BX290" s="1188">
        <f>'2020'!R\Max</f>
        <v>0.11829885387171547</v>
      </c>
      <c r="BY290" s="1188">
        <f>'2021'!R\Max</f>
        <v>0.14901008883579167</v>
      </c>
      <c r="BZ290" s="1188">
        <f>'2022'!R\Max</f>
        <v>0.84607776865426609</v>
      </c>
      <c r="CA290" s="1188">
        <f>'2023'!R\Max</f>
        <v>0.84607608646303833</v>
      </c>
      <c r="CB290" s="1188">
        <f>'2024'!R\Max</f>
        <v>0.84607448255393536</v>
      </c>
      <c r="CC290" s="1188">
        <f>'2025'!R\Max</f>
        <v>0.84607287943367604</v>
      </c>
      <c r="CD290" s="1188">
        <f>'2026'!R\Max</f>
        <v>0.84608281167977428</v>
      </c>
      <c r="CE290" s="1189">
        <f>'2027'!R\Max</f>
        <v>0.84608118439903168</v>
      </c>
      <c r="CF290" s="1191">
        <f>'2028'!R\Max</f>
        <v>0.8460795330359776</v>
      </c>
    </row>
    <row r="291" spans="1:84" s="6" customFormat="1" ht="11.25" x14ac:dyDescent="0.2">
      <c r="A291" s="11">
        <v>43377</v>
      </c>
      <c r="B291" s="379">
        <f>'2023'!Maxi_hp</f>
        <v>46.811239580800567</v>
      </c>
      <c r="C291" s="13">
        <f>'2023'!An_max</f>
        <v>2023</v>
      </c>
      <c r="D291" s="1045">
        <f t="shared" si="116"/>
        <v>1.0000677422919386</v>
      </c>
      <c r="E291" s="13"/>
      <c r="F291" s="13">
        <f t="shared" si="133"/>
        <v>21</v>
      </c>
      <c r="G291" s="13">
        <f t="shared" si="117"/>
        <v>22</v>
      </c>
      <c r="H291" s="173">
        <f t="shared" si="118"/>
        <v>43374</v>
      </c>
      <c r="I291" s="742">
        <f t="shared" si="119"/>
        <v>0.21428571428571427</v>
      </c>
      <c r="J291" s="735">
        <f t="shared" si="120"/>
        <v>46.808068694945952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38">
        <v>43377</v>
      </c>
      <c r="AP291" s="13">
        <f t="shared" si="121"/>
        <v>11</v>
      </c>
      <c r="AQ291" s="13">
        <f t="shared" si="122"/>
        <v>12</v>
      </c>
      <c r="AR291" s="173">
        <f t="shared" si="123"/>
        <v>43360</v>
      </c>
      <c r="AS291" s="742">
        <f t="shared" si="124"/>
        <v>0.6071428571428571</v>
      </c>
      <c r="AT291" s="758">
        <f t="shared" si="125"/>
        <v>46.690375284823986</v>
      </c>
      <c r="AU291" s="13">
        <f t="shared" si="126"/>
        <v>11</v>
      </c>
      <c r="AV291" s="13">
        <f t="shared" si="127"/>
        <v>12</v>
      </c>
      <c r="AW291" s="173">
        <f t="shared" si="128"/>
        <v>43374</v>
      </c>
      <c r="AX291" s="742">
        <f t="shared" si="129"/>
        <v>0.10714285714285714</v>
      </c>
      <c r="AY291" s="758">
        <f t="shared" si="130"/>
        <v>46.806816804628554</v>
      </c>
      <c r="AZ291" s="735">
        <f t="shared" si="134"/>
        <v>46.74859604472627</v>
      </c>
      <c r="BA291" s="633">
        <f t="shared" si="131"/>
        <v>1.0000677422919386</v>
      </c>
      <c r="BC291" s="11">
        <v>43377</v>
      </c>
      <c r="BD291" s="289">
        <f>[2]!FeuilCaduc*(1-Persistant)+Persistant</f>
        <v>0.90180666289468681</v>
      </c>
      <c r="BE291" s="290">
        <f>[2]!CroissVégét</f>
        <v>0.99188357985413123</v>
      </c>
      <c r="BF291" s="804">
        <f>1+[2]!Salcycl*Ksac</f>
        <v>1.0401806662894686</v>
      </c>
      <c r="BH291" s="1036">
        <f t="shared" si="132"/>
        <v>1.4126696055515829E-3</v>
      </c>
      <c r="BI291" s="11">
        <v>44473</v>
      </c>
      <c r="BJ291" s="715">
        <v>1.2560688135622752E-3</v>
      </c>
      <c r="BK291" s="715">
        <v>1.2560688135622754E-3</v>
      </c>
      <c r="BL291" s="715">
        <v>1.2741674982488271E-3</v>
      </c>
      <c r="BM291" s="715">
        <v>1.3462636367612621E-3</v>
      </c>
      <c r="BN291" s="715">
        <v>1.4793117246349157E-3</v>
      </c>
      <c r="BO291" s="716">
        <v>1.6547630324031213E-3</v>
      </c>
      <c r="BP291" s="715">
        <v>1.8336484398850793E-3</v>
      </c>
      <c r="BQ291" s="715">
        <v>2.0053906448418844E-3</v>
      </c>
      <c r="BR291" s="715">
        <v>2.1803728290189345E-3</v>
      </c>
      <c r="BS291" s="715">
        <v>2.3813619340421898E-3</v>
      </c>
      <c r="BT291" s="715">
        <v>2.6119807666152191E-3</v>
      </c>
      <c r="BW291" s="1188">
        <f>'2019'!R\Max</f>
        <v>0.2237006741435833</v>
      </c>
      <c r="BX291" s="1188">
        <f>'2020'!R\Max</f>
        <v>0.41203882628111915</v>
      </c>
      <c r="BY291" s="1188">
        <f>'2021'!R\Max</f>
        <v>0.70085491031543734</v>
      </c>
      <c r="BZ291" s="1188">
        <f>'2022'!R\Max</f>
        <v>1.0000677422919388</v>
      </c>
      <c r="CA291" s="1188">
        <f>'2023'!R\Max</f>
        <v>1.0000677422919386</v>
      </c>
      <c r="CB291" s="1188">
        <f>'2024'!R\Max</f>
        <v>1.0000677422919384</v>
      </c>
      <c r="CC291" s="1188">
        <f>'2025'!R\Max</f>
        <v>1.0000677422919388</v>
      </c>
      <c r="CD291" s="1188">
        <f>'2026'!R\Max</f>
        <v>1.0000677422919386</v>
      </c>
      <c r="CE291" s="1189">
        <f>'2027'!R\Max</f>
        <v>1.0000677422919388</v>
      </c>
      <c r="CF291" s="1191">
        <f>'2028'!R\Max</f>
        <v>1.0000677422919388</v>
      </c>
    </row>
    <row r="292" spans="1:84" s="6" customFormat="1" ht="11.25" x14ac:dyDescent="0.2">
      <c r="A292" s="11">
        <v>43378</v>
      </c>
      <c r="B292" s="379">
        <f>'2023'!Maxi_hp</f>
        <v>48.737288376896331</v>
      </c>
      <c r="C292" s="13">
        <f>'2023'!An_max</f>
        <v>2023</v>
      </c>
      <c r="D292" s="1045">
        <f t="shared" si="116"/>
        <v>1.0478798370423081</v>
      </c>
      <c r="E292" s="13"/>
      <c r="F292" s="13">
        <f t="shared" si="133"/>
        <v>21</v>
      </c>
      <c r="G292" s="13">
        <f t="shared" si="117"/>
        <v>22</v>
      </c>
      <c r="H292" s="173">
        <f t="shared" si="118"/>
        <v>43374</v>
      </c>
      <c r="I292" s="742">
        <f t="shared" si="119"/>
        <v>0.2857142857142857</v>
      </c>
      <c r="J292" s="735">
        <f t="shared" si="120"/>
        <v>46.510379009161682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38">
        <v>43378</v>
      </c>
      <c r="AP292" s="13">
        <f t="shared" si="121"/>
        <v>11</v>
      </c>
      <c r="AQ292" s="13">
        <f t="shared" si="122"/>
        <v>12</v>
      </c>
      <c r="AR292" s="173">
        <f t="shared" si="123"/>
        <v>43360</v>
      </c>
      <c r="AS292" s="742">
        <f t="shared" si="124"/>
        <v>0.6428571428571429</v>
      </c>
      <c r="AT292" s="758">
        <f t="shared" si="125"/>
        <v>46.392548742597661</v>
      </c>
      <c r="AU292" s="13">
        <f t="shared" si="126"/>
        <v>11</v>
      </c>
      <c r="AV292" s="13">
        <f t="shared" si="127"/>
        <v>12</v>
      </c>
      <c r="AW292" s="173">
        <f t="shared" si="128"/>
        <v>43374</v>
      </c>
      <c r="AX292" s="742">
        <f t="shared" si="129"/>
        <v>0.14285714285714285</v>
      </c>
      <c r="AY292" s="758">
        <f t="shared" si="130"/>
        <v>46.502051020732949</v>
      </c>
      <c r="AZ292" s="735">
        <f t="shared" si="134"/>
        <v>46.447299881665302</v>
      </c>
      <c r="BA292" s="633">
        <f t="shared" si="131"/>
        <v>1.0478798370423081</v>
      </c>
      <c r="BC292" s="11">
        <v>43378</v>
      </c>
      <c r="BD292" s="289">
        <f>[2]!FeuilCaduc*(1-Persistant)+Persistant</f>
        <v>0.89742884999288841</v>
      </c>
      <c r="BE292" s="290">
        <f>[2]!CroissVégét</f>
        <v>0.99222095198209459</v>
      </c>
      <c r="BF292" s="804">
        <f>1+[2]!Salcycl*Ksac</f>
        <v>1.0397428849992889</v>
      </c>
      <c r="BH292" s="1036">
        <f t="shared" si="132"/>
        <v>1.3964109150473958E-3</v>
      </c>
      <c r="BI292" s="11">
        <v>44474</v>
      </c>
      <c r="BJ292" s="715">
        <v>1.2365326372603138E-3</v>
      </c>
      <c r="BK292" s="715">
        <v>1.2365326372603138E-3</v>
      </c>
      <c r="BL292" s="715">
        <v>1.2549720712184962E-3</v>
      </c>
      <c r="BM292" s="715">
        <v>1.3285294841990254E-3</v>
      </c>
      <c r="BN292" s="715">
        <v>1.464533743168887E-3</v>
      </c>
      <c r="BO292" s="716">
        <v>1.6440067354598811E-3</v>
      </c>
      <c r="BP292" s="715">
        <v>1.8276060580500045E-3</v>
      </c>
      <c r="BQ292" s="715">
        <v>2.0058758498443306E-3</v>
      </c>
      <c r="BR292" s="715">
        <v>2.1904838804222269E-3</v>
      </c>
      <c r="BS292" s="715">
        <v>2.4074298190898129E-3</v>
      </c>
      <c r="BT292" s="715">
        <v>2.6588406599750295E-3</v>
      </c>
      <c r="BW292" s="1188">
        <f>'2019'!R\Max</f>
        <v>0.87427708174598839</v>
      </c>
      <c r="BX292" s="1188">
        <f>'2020'!R\Max</f>
        <v>0.48431342093014979</v>
      </c>
      <c r="BY292" s="1188">
        <f>'2021'!R\Max</f>
        <v>0.29313562169431945</v>
      </c>
      <c r="BZ292" s="1188">
        <f>'2022'!R\Max</f>
        <v>1.0478798370423081</v>
      </c>
      <c r="CA292" s="1188">
        <f>'2023'!R\Max</f>
        <v>1.0478798370423081</v>
      </c>
      <c r="CB292" s="1188">
        <f>'2024'!R\Max</f>
        <v>1.0478798370423081</v>
      </c>
      <c r="CC292" s="1188">
        <f>'2025'!R\Max</f>
        <v>1.0478798370423081</v>
      </c>
      <c r="CD292" s="1188">
        <f>'2026'!R\Max</f>
        <v>1.0478798370423084</v>
      </c>
      <c r="CE292" s="1189">
        <f>'2027'!R\Max</f>
        <v>1.0478798370423081</v>
      </c>
      <c r="CF292" s="1191">
        <f>'2028'!R\Max</f>
        <v>1.0478798370423084</v>
      </c>
    </row>
    <row r="293" spans="1:84" s="6" customFormat="1" ht="11.25" x14ac:dyDescent="0.2">
      <c r="A293" s="11">
        <v>43379</v>
      </c>
      <c r="B293" s="379">
        <f>'2023'!Maxi_hp</f>
        <v>32.037742700397558</v>
      </c>
      <c r="C293" s="13">
        <f>'2023'!An_max</f>
        <v>2020</v>
      </c>
      <c r="D293" s="1045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73">
        <f t="shared" si="118"/>
        <v>43374</v>
      </c>
      <c r="I293" s="742">
        <f t="shared" si="119"/>
        <v>0.35714285714285715</v>
      </c>
      <c r="J293" s="735">
        <f t="shared" si="120"/>
        <v>46.208525328684061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38">
        <v>43379</v>
      </c>
      <c r="AP293" s="13">
        <f t="shared" si="121"/>
        <v>11</v>
      </c>
      <c r="AQ293" s="13">
        <f t="shared" si="122"/>
        <v>12</v>
      </c>
      <c r="AR293" s="173">
        <f t="shared" si="123"/>
        <v>43360</v>
      </c>
      <c r="AS293" s="742">
        <f t="shared" si="124"/>
        <v>0.6785714285714286</v>
      </c>
      <c r="AT293" s="758">
        <f t="shared" si="125"/>
        <v>46.092685074319263</v>
      </c>
      <c r="AU293" s="13">
        <f t="shared" si="126"/>
        <v>11</v>
      </c>
      <c r="AV293" s="13">
        <f t="shared" si="127"/>
        <v>12</v>
      </c>
      <c r="AW293" s="173">
        <f t="shared" si="128"/>
        <v>43374</v>
      </c>
      <c r="AX293" s="742">
        <f t="shared" si="129"/>
        <v>0.17857142857142858</v>
      </c>
      <c r="AY293" s="758">
        <f t="shared" si="130"/>
        <v>46.190375159893712</v>
      </c>
      <c r="AZ293" s="735">
        <f t="shared" si="134"/>
        <v>46.141530117106484</v>
      </c>
      <c r="BA293" s="633">
        <f t="shared" si="131"/>
        <v>0.69332969343884354</v>
      </c>
      <c r="BC293" s="11">
        <v>43379</v>
      </c>
      <c r="BD293" s="289">
        <f>[2]!FeuilCaduc*(1-Persistant)+Persistant</f>
        <v>0.89290562161996168</v>
      </c>
      <c r="BE293" s="290">
        <f>[2]!CroissVégét</f>
        <v>0.99254495612417293</v>
      </c>
      <c r="BF293" s="804">
        <f>1+[2]!Salcycl*Ksac</f>
        <v>1.0392905621619961</v>
      </c>
      <c r="BH293" s="1036">
        <f t="shared" si="132"/>
        <v>1.3760093636711794E-3</v>
      </c>
      <c r="BI293" s="11">
        <v>44475</v>
      </c>
      <c r="BJ293" s="715">
        <v>1.2135161025994593E-3</v>
      </c>
      <c r="BK293" s="715">
        <v>1.2135161025994595E-3</v>
      </c>
      <c r="BL293" s="715">
        <v>1.2322148550176126E-3</v>
      </c>
      <c r="BM293" s="715">
        <v>1.3069211746380889E-3</v>
      </c>
      <c r="BN293" s="715">
        <v>1.4453432414033591E-3</v>
      </c>
      <c r="BO293" s="716">
        <v>1.628311503908712E-3</v>
      </c>
      <c r="BP293" s="715">
        <v>1.8165426163281693E-3</v>
      </c>
      <c r="BQ293" s="715">
        <v>2.0020283877179973E-3</v>
      </c>
      <c r="BR293" s="715">
        <v>2.1976844238738124E-3</v>
      </c>
      <c r="BS293" s="715">
        <v>2.432977121393357E-3</v>
      </c>
      <c r="BT293" s="715">
        <v>2.7082064912778928E-3</v>
      </c>
      <c r="BW293" s="1188">
        <f>'2019'!R\Max</f>
        <v>0.41715974041956438</v>
      </c>
      <c r="BX293" s="1188">
        <f>'2020'!R\Max</f>
        <v>0.69332969343884354</v>
      </c>
      <c r="BY293" s="1188">
        <f>'2021'!R\Max</f>
        <v>0.66490475760836021</v>
      </c>
      <c r="BZ293" s="1188">
        <f>'2022'!R\Max</f>
        <v>0.28253968552072967</v>
      </c>
      <c r="CA293" s="1188">
        <f>'2023'!R\Max</f>
        <v>0.28253691070804626</v>
      </c>
      <c r="CB293" s="1188">
        <f>'2024'!R\Max</f>
        <v>0.28253417599229547</v>
      </c>
      <c r="CC293" s="1188">
        <f>'2025'!R\Max</f>
        <v>0.2825314416501114</v>
      </c>
      <c r="CD293" s="1188">
        <f>'2026'!R\Max</f>
        <v>0.28254794999580624</v>
      </c>
      <c r="CE293" s="1189">
        <f>'2027'!R\Max</f>
        <v>0.28254529164497277</v>
      </c>
      <c r="CF293" s="1191">
        <f>'2028'!R\Max</f>
        <v>0.28254259441469576</v>
      </c>
    </row>
    <row r="294" spans="1:84" s="6" customFormat="1" ht="11.25" x14ac:dyDescent="0.2">
      <c r="A294" s="11">
        <v>43380</v>
      </c>
      <c r="B294" s="379">
        <f>'2023'!Maxi_hp</f>
        <v>45.95674728395548</v>
      </c>
      <c r="C294" s="13">
        <f>'2023'!An_max</f>
        <v>2021</v>
      </c>
      <c r="D294" s="1045">
        <f t="shared" si="116"/>
        <v>1.0011769291136683</v>
      </c>
      <c r="E294" s="13"/>
      <c r="F294" s="13">
        <f t="shared" si="133"/>
        <v>21</v>
      </c>
      <c r="G294" s="13">
        <f t="shared" si="117"/>
        <v>22</v>
      </c>
      <c r="H294" s="173">
        <f t="shared" si="118"/>
        <v>43374</v>
      </c>
      <c r="I294" s="742">
        <f t="shared" si="119"/>
        <v>0.42857142857142855</v>
      </c>
      <c r="J294" s="735">
        <f t="shared" si="120"/>
        <v>45.902723032821498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38">
        <v>43380</v>
      </c>
      <c r="AP294" s="13">
        <f t="shared" si="121"/>
        <v>11</v>
      </c>
      <c r="AQ294" s="13">
        <f t="shared" si="122"/>
        <v>12</v>
      </c>
      <c r="AR294" s="173">
        <f t="shared" si="123"/>
        <v>43360</v>
      </c>
      <c r="AS294" s="742">
        <f t="shared" si="124"/>
        <v>0.7142857142857143</v>
      </c>
      <c r="AT294" s="758">
        <f t="shared" si="125"/>
        <v>45.791013119476176</v>
      </c>
      <c r="AU294" s="13">
        <f t="shared" si="126"/>
        <v>11</v>
      </c>
      <c r="AV294" s="13">
        <f t="shared" si="127"/>
        <v>12</v>
      </c>
      <c r="AW294" s="173">
        <f t="shared" si="128"/>
        <v>43374</v>
      </c>
      <c r="AX294" s="742">
        <f t="shared" si="129"/>
        <v>0.21428571428571427</v>
      </c>
      <c r="AY294" s="758">
        <f t="shared" si="130"/>
        <v>45.872354591411671</v>
      </c>
      <c r="AZ294" s="735">
        <f t="shared" si="134"/>
        <v>45.831683855443927</v>
      </c>
      <c r="BA294" s="633">
        <f t="shared" si="131"/>
        <v>1.0011769291136683</v>
      </c>
      <c r="BC294" s="11">
        <v>43380</v>
      </c>
      <c r="BD294" s="289">
        <f>[2]!FeuilCaduc*(1-Persistant)+Persistant</f>
        <v>0.88823610176906076</v>
      </c>
      <c r="BE294" s="290">
        <f>[2]!CroissVégét</f>
        <v>0.9928561136972186</v>
      </c>
      <c r="BF294" s="804">
        <f>1+[2]!Salcycl*Ksac</f>
        <v>1.0388236101769062</v>
      </c>
      <c r="BH294" s="1036">
        <f t="shared" si="132"/>
        <v>1.3514567589881688E-3</v>
      </c>
      <c r="BI294" s="11">
        <v>44476</v>
      </c>
      <c r="BJ294" s="715">
        <v>1.1870121579534156E-3</v>
      </c>
      <c r="BK294" s="715">
        <v>1.1870121579534156E-3</v>
      </c>
      <c r="BL294" s="715">
        <v>1.2058886581096657E-3</v>
      </c>
      <c r="BM294" s="715">
        <v>1.2814309792812503E-3</v>
      </c>
      <c r="BN294" s="715">
        <v>1.4217315616172346E-3</v>
      </c>
      <c r="BO294" s="716">
        <v>1.6076677388187192E-3</v>
      </c>
      <c r="BP294" s="715">
        <v>1.8004482638552721E-3</v>
      </c>
      <c r="BQ294" s="715">
        <v>1.9938393752649518E-3</v>
      </c>
      <c r="BR294" s="715">
        <v>2.2019677155187631E-3</v>
      </c>
      <c r="BS294" s="715">
        <v>2.4580007926411382E-3</v>
      </c>
      <c r="BT294" s="715">
        <v>2.7600799279449521E-3</v>
      </c>
      <c r="BW294" s="1188">
        <f>'2019'!R\Max</f>
        <v>0.74316693479275553</v>
      </c>
      <c r="BX294" s="1188">
        <f>'2020'!R\Max</f>
        <v>0.14495788640096299</v>
      </c>
      <c r="BY294" s="1188">
        <f>'2021'!R\Max</f>
        <v>1.0011769291136683</v>
      </c>
      <c r="BZ294" s="1188">
        <f>'2022'!R\Max</f>
        <v>0.77653216661294344</v>
      </c>
      <c r="CA294" s="1188">
        <f>'2023'!R\Max</f>
        <v>0.7765296696887628</v>
      </c>
      <c r="CB294" s="1188">
        <f>'2024'!R\Max</f>
        <v>0.77652716489230378</v>
      </c>
      <c r="CC294" s="1188">
        <f>'2025'!R\Max</f>
        <v>0.77652465999084508</v>
      </c>
      <c r="CD294" s="1188">
        <f>'2026'!R\Max</f>
        <v>0.77653956464045593</v>
      </c>
      <c r="CE294" s="1189">
        <f>'2027'!R\Max</f>
        <v>0.77653719127425735</v>
      </c>
      <c r="CF294" s="1191">
        <f>'2028'!R\Max</f>
        <v>0.7765347830662116</v>
      </c>
    </row>
    <row r="295" spans="1:84" s="6" customFormat="1" ht="11.25" x14ac:dyDescent="0.2">
      <c r="A295" s="11">
        <v>43381</v>
      </c>
      <c r="B295" s="379">
        <f>'2023'!Maxi_hp</f>
        <v>44.08585911576052</v>
      </c>
      <c r="C295" s="13">
        <f>'2023'!An_max</f>
        <v>2021</v>
      </c>
      <c r="D295" s="1045" t="str">
        <f t="shared" si="116"/>
        <v/>
      </c>
      <c r="E295" s="13"/>
      <c r="F295" s="13">
        <f t="shared" si="133"/>
        <v>21</v>
      </c>
      <c r="G295" s="13">
        <f t="shared" si="117"/>
        <v>22</v>
      </c>
      <c r="H295" s="173">
        <f t="shared" si="118"/>
        <v>43374</v>
      </c>
      <c r="I295" s="742">
        <f t="shared" si="119"/>
        <v>0.5</v>
      </c>
      <c r="J295" s="735">
        <f t="shared" si="120"/>
        <v>45.593187500163914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38">
        <v>43381</v>
      </c>
      <c r="AP295" s="13">
        <f t="shared" si="121"/>
        <v>11</v>
      </c>
      <c r="AQ295" s="13">
        <f t="shared" si="122"/>
        <v>12</v>
      </c>
      <c r="AR295" s="173">
        <f t="shared" si="123"/>
        <v>43360</v>
      </c>
      <c r="AS295" s="742">
        <f t="shared" si="124"/>
        <v>0.75</v>
      </c>
      <c r="AT295" s="758">
        <f t="shared" si="125"/>
        <v>45.487761718221009</v>
      </c>
      <c r="AU295" s="13">
        <f t="shared" si="126"/>
        <v>11</v>
      </c>
      <c r="AV295" s="13">
        <f t="shared" si="127"/>
        <v>12</v>
      </c>
      <c r="AW295" s="173">
        <f t="shared" si="128"/>
        <v>43374</v>
      </c>
      <c r="AX295" s="742">
        <f t="shared" si="129"/>
        <v>0.25</v>
      </c>
      <c r="AY295" s="758">
        <f t="shared" si="130"/>
        <v>45.548554687574509</v>
      </c>
      <c r="AZ295" s="735">
        <f t="shared" si="134"/>
        <v>45.518158202897759</v>
      </c>
      <c r="BA295" s="633">
        <f t="shared" si="131"/>
        <v>0.96693961385353955</v>
      </c>
      <c r="BC295" s="11">
        <v>43381</v>
      </c>
      <c r="BD295" s="289">
        <f>[2]!FeuilCaduc*(1-Persistant)+Persistant</f>
        <v>0.88341980610164639</v>
      </c>
      <c r="BE295" s="290">
        <f>[2]!CroissVégét</f>
        <v>0.99315492642894099</v>
      </c>
      <c r="BF295" s="804">
        <f>1+[2]!Salcycl*Ksac</f>
        <v>1.0383419806101646</v>
      </c>
      <c r="BH295" s="1036">
        <f t="shared" si="132"/>
        <v>1.3227448679998311E-3</v>
      </c>
      <c r="BI295" s="11">
        <v>44477</v>
      </c>
      <c r="BJ295" s="715">
        <v>1.1570137437093998E-3</v>
      </c>
      <c r="BK295" s="715">
        <v>1.1570137437093998E-3</v>
      </c>
      <c r="BL295" s="715">
        <v>1.1759862772393161E-3</v>
      </c>
      <c r="BM295" s="715">
        <v>1.2520511426199756E-3</v>
      </c>
      <c r="BN295" s="715">
        <v>1.3936899916239514E-3</v>
      </c>
      <c r="BO295" s="716">
        <v>1.5820657547529029E-3</v>
      </c>
      <c r="BP295" s="715">
        <v>1.7793130405256638E-3</v>
      </c>
      <c r="BQ295" s="715">
        <v>1.9812998107150695E-3</v>
      </c>
      <c r="BR295" s="715">
        <v>2.2033268903307438E-3</v>
      </c>
      <c r="BS295" s="715">
        <v>2.48249765976232E-3</v>
      </c>
      <c r="BT295" s="715">
        <v>2.814462505464388E-3</v>
      </c>
      <c r="BW295" s="1188">
        <f>'2019'!R\Max</f>
        <v>0.91716803958414561</v>
      </c>
      <c r="BX295" s="1188">
        <f>'2020'!R\Max</f>
        <v>0.66243490281248008</v>
      </c>
      <c r="BY295" s="1188">
        <f>'2021'!R\Max</f>
        <v>0.96693961385353955</v>
      </c>
      <c r="BZ295" s="1188">
        <f>'2022'!R\Max</f>
        <v>0.36638105490165429</v>
      </c>
      <c r="CA295" s="1188">
        <f>'2023'!R\Max</f>
        <v>0.36637763262803497</v>
      </c>
      <c r="CB295" s="1188">
        <f>'2024'!R\Max</f>
        <v>0.36637412882550363</v>
      </c>
      <c r="CC295" s="1188">
        <f>'2025'!R\Max</f>
        <v>0.36637062430706568</v>
      </c>
      <c r="CD295" s="1188">
        <f>'2026'!R\Max</f>
        <v>0.36639112833652032</v>
      </c>
      <c r="CE295" s="1189">
        <f>'2027'!R\Max</f>
        <v>0.36638790751934441</v>
      </c>
      <c r="CF295" s="1191">
        <f>'2028'!R\Max</f>
        <v>0.36638463918109121</v>
      </c>
    </row>
    <row r="296" spans="1:84" s="6" customFormat="1" ht="11.25" x14ac:dyDescent="0.2">
      <c r="A296" s="11">
        <v>43382</v>
      </c>
      <c r="B296" s="379">
        <f>'2023'!Maxi_hp</f>
        <v>44.50891239902672</v>
      </c>
      <c r="C296" s="13">
        <f>'2023'!An_max</f>
        <v>2022</v>
      </c>
      <c r="D296" s="1045">
        <f t="shared" si="116"/>
        <v>0.98296776880982795</v>
      </c>
      <c r="E296" s="13"/>
      <c r="F296" s="13">
        <f t="shared" si="133"/>
        <v>21</v>
      </c>
      <c r="G296" s="13">
        <f t="shared" si="117"/>
        <v>22</v>
      </c>
      <c r="H296" s="173">
        <f t="shared" si="118"/>
        <v>43374</v>
      </c>
      <c r="I296" s="742">
        <f t="shared" si="119"/>
        <v>0.5714285714285714</v>
      </c>
      <c r="J296" s="735">
        <f t="shared" si="120"/>
        <v>45.280134111536405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38">
        <v>43382</v>
      </c>
      <c r="AP296" s="13">
        <f t="shared" si="121"/>
        <v>11</v>
      </c>
      <c r="AQ296" s="13">
        <f t="shared" si="122"/>
        <v>12</v>
      </c>
      <c r="AR296" s="173">
        <f t="shared" si="123"/>
        <v>43360</v>
      </c>
      <c r="AS296" s="742">
        <f t="shared" si="124"/>
        <v>0.7857142857142857</v>
      </c>
      <c r="AT296" s="758">
        <f t="shared" si="125"/>
        <v>45.183159712249676</v>
      </c>
      <c r="AU296" s="13">
        <f t="shared" si="126"/>
        <v>11</v>
      </c>
      <c r="AV296" s="13">
        <f t="shared" si="127"/>
        <v>12</v>
      </c>
      <c r="AW296" s="173">
        <f t="shared" si="128"/>
        <v>43374</v>
      </c>
      <c r="AX296" s="742">
        <f t="shared" si="129"/>
        <v>0.2857142857142857</v>
      </c>
      <c r="AY296" s="758">
        <f t="shared" si="130"/>
        <v>45.21954081649227</v>
      </c>
      <c r="AZ296" s="735">
        <f t="shared" si="134"/>
        <v>45.201350264370973</v>
      </c>
      <c r="BA296" s="633">
        <f t="shared" si="131"/>
        <v>0.98296776880982795</v>
      </c>
      <c r="BC296" s="11">
        <v>43382</v>
      </c>
      <c r="BD296" s="289">
        <f>[2]!FeuilCaduc*(1-Persistant)+Persistant</f>
        <v>0.87845666616559814</v>
      </c>
      <c r="BE296" s="290">
        <f>[2]!CroissVégét</f>
        <v>0.9934418770502661</v>
      </c>
      <c r="BF296" s="804">
        <f>1+[2]!Salcycl*Ksac</f>
        <v>1.0378456666165599</v>
      </c>
      <c r="BH296" s="1036">
        <f t="shared" si="132"/>
        <v>1.2921289299262235E-3</v>
      </c>
      <c r="BI296" s="11">
        <v>44478</v>
      </c>
      <c r="BJ296" s="715">
        <v>1.1254079230801758E-3</v>
      </c>
      <c r="BK296" s="715">
        <v>1.1254079230801756E-3</v>
      </c>
      <c r="BL296" s="715">
        <v>1.1444360759951262E-3</v>
      </c>
      <c r="BM296" s="715">
        <v>1.2208765631740279E-3</v>
      </c>
      <c r="BN296" s="715">
        <v>1.3636346815411482E-3</v>
      </c>
      <c r="BO296" s="716">
        <v>1.5543111531204181E-3</v>
      </c>
      <c r="BP296" s="715">
        <v>1.7563020323391589E-3</v>
      </c>
      <c r="BQ296" s="715">
        <v>1.9678992162132304E-3</v>
      </c>
      <c r="BR296" s="715">
        <v>2.2057092806613983E-3</v>
      </c>
      <c r="BS296" s="715">
        <v>2.5110010276037827E-3</v>
      </c>
      <c r="BT296" s="715">
        <v>2.8765772631002577E-3</v>
      </c>
      <c r="BW296" s="1188">
        <f>'2019'!R\Max</f>
        <v>0.21542503806024807</v>
      </c>
      <c r="BX296" s="1188">
        <f>'2020'!R\Max</f>
        <v>0.79864924436004125</v>
      </c>
      <c r="BY296" s="1188">
        <f>'2021'!R\Max</f>
        <v>0.37832177570873921</v>
      </c>
      <c r="BZ296" s="1188">
        <f>'2022'!R\Max</f>
        <v>0.98296776880982795</v>
      </c>
      <c r="CA296" s="1188">
        <f>'2023'!R\Max</f>
        <v>0.98296751574325703</v>
      </c>
      <c r="CB296" s="1188">
        <f>'2024'!R\Max</f>
        <v>0.98296725073601643</v>
      </c>
      <c r="CC296" s="1188">
        <f>'2025'!R\Max</f>
        <v>0.98296698562274187</v>
      </c>
      <c r="CD296" s="1188">
        <f>'2026'!R\Max</f>
        <v>0.98296850794900381</v>
      </c>
      <c r="CE296" s="1189">
        <f>'2027'!R\Max</f>
        <v>0.98296827257278274</v>
      </c>
      <c r="CF296" s="1191">
        <f>'2028'!R\Max</f>
        <v>0.98296803369155306</v>
      </c>
    </row>
    <row r="297" spans="1:84" s="6" customFormat="1" ht="11.25" x14ac:dyDescent="0.2">
      <c r="A297" s="11">
        <v>43383</v>
      </c>
      <c r="B297" s="379">
        <f>'2023'!Maxi_hp</f>
        <v>37.751152794670539</v>
      </c>
      <c r="C297" s="13">
        <f>'2023'!An_max</f>
        <v>2022</v>
      </c>
      <c r="D297" s="1045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73">
        <f t="shared" si="118"/>
        <v>43374</v>
      </c>
      <c r="I297" s="742">
        <f t="shared" si="119"/>
        <v>0.6428571428571429</v>
      </c>
      <c r="J297" s="735">
        <f t="shared" si="120"/>
        <v>44.963778244225047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38">
        <v>43383</v>
      </c>
      <c r="AP297" s="13">
        <f t="shared" si="121"/>
        <v>11</v>
      </c>
      <c r="AQ297" s="13">
        <f t="shared" si="122"/>
        <v>12</v>
      </c>
      <c r="AR297" s="173">
        <f t="shared" si="123"/>
        <v>43360</v>
      </c>
      <c r="AS297" s="742">
        <f t="shared" si="124"/>
        <v>0.8214285714285714</v>
      </c>
      <c r="AT297" s="758">
        <f t="shared" si="125"/>
        <v>44.877435939665887</v>
      </c>
      <c r="AU297" s="13">
        <f t="shared" si="126"/>
        <v>11</v>
      </c>
      <c r="AV297" s="13">
        <f t="shared" si="127"/>
        <v>12</v>
      </c>
      <c r="AW297" s="173">
        <f t="shared" si="128"/>
        <v>43374</v>
      </c>
      <c r="AX297" s="742">
        <f t="shared" si="129"/>
        <v>0.32142857142857145</v>
      </c>
      <c r="AY297" s="758">
        <f t="shared" si="130"/>
        <v>44.88587834772521</v>
      </c>
      <c r="AZ297" s="735">
        <f t="shared" si="134"/>
        <v>44.881657143695548</v>
      </c>
      <c r="BA297" s="633">
        <f t="shared" si="131"/>
        <v>0.83959031622346225</v>
      </c>
      <c r="BC297" s="11">
        <v>43383</v>
      </c>
      <c r="BD297" s="289">
        <f>[2]!FeuilCaduc*(1-Persistant)+Persistant</f>
        <v>0.8733470519905957</v>
      </c>
      <c r="BE297" s="290">
        <f>[2]!CroissVégét</f>
        <v>0.99371742996744827</v>
      </c>
      <c r="BF297" s="804">
        <f>1+[2]!Salcycl*Ksac</f>
        <v>1.0373347051990596</v>
      </c>
      <c r="BH297" s="1036">
        <f t="shared" si="132"/>
        <v>1.262091871721487E-3</v>
      </c>
      <c r="BI297" s="11">
        <v>44479</v>
      </c>
      <c r="BJ297" s="715">
        <v>1.0943409512112604E-3</v>
      </c>
      <c r="BK297" s="715">
        <v>1.0943409512112607E-3</v>
      </c>
      <c r="BL297" s="715">
        <v>1.1134247101464564E-3</v>
      </c>
      <c r="BM297" s="715">
        <v>1.1902509556826267E-3</v>
      </c>
      <c r="BN297" s="715">
        <v>1.3341882655988895E-3</v>
      </c>
      <c r="BO297" s="716">
        <v>1.5273943890890835E-3</v>
      </c>
      <c r="BP297" s="715">
        <v>1.7347334715250246E-3</v>
      </c>
      <c r="BQ297" s="715">
        <v>1.9570545426096163E-3</v>
      </c>
      <c r="BR297" s="715">
        <v>2.2123121328984818E-3</v>
      </c>
      <c r="BS297" s="715">
        <v>2.5459878632746948E-3</v>
      </c>
      <c r="BT297" s="715">
        <v>2.9478641262562343E-3</v>
      </c>
      <c r="BW297" s="1188">
        <f>'2019'!R\Max</f>
        <v>0.7134556098202689</v>
      </c>
      <c r="BX297" s="1188">
        <f>'2020'!R\Max</f>
        <v>0.57548805245293022</v>
      </c>
      <c r="BY297" s="1188">
        <f>'2021'!R\Max</f>
        <v>0.69835454490859461</v>
      </c>
      <c r="BZ297" s="1188">
        <f>'2022'!R\Max</f>
        <v>0.83959031622346225</v>
      </c>
      <c r="CA297" s="1188">
        <f>'2023'!R\Max</f>
        <v>0.83958822412501577</v>
      </c>
      <c r="CB297" s="1188">
        <f>'2024'!R\Max</f>
        <v>0.83958598203412493</v>
      </c>
      <c r="CC297" s="1188">
        <f>'2025'!R\Max</f>
        <v>0.83958373868473901</v>
      </c>
      <c r="CD297" s="1188">
        <f>'2026'!R\Max</f>
        <v>0.83959637454017377</v>
      </c>
      <c r="CE297" s="1189">
        <f>'2027'!R\Max</f>
        <v>0.83959445399156107</v>
      </c>
      <c r="CF297" s="1191">
        <f>'2028'!R\Max</f>
        <v>0.83959250456363355</v>
      </c>
    </row>
    <row r="298" spans="1:84" s="6" customFormat="1" ht="11.25" x14ac:dyDescent="0.2">
      <c r="A298" s="11">
        <v>43384</v>
      </c>
      <c r="B298" s="379">
        <f>'2023'!Maxi_hp</f>
        <v>44.857995782913029</v>
      </c>
      <c r="C298" s="13">
        <f>'2023'!An_max</f>
        <v>2021</v>
      </c>
      <c r="D298" s="1045">
        <f t="shared" si="116"/>
        <v>1.0047858368650906</v>
      </c>
      <c r="E298" s="13"/>
      <c r="F298" s="13">
        <f t="shared" si="133"/>
        <v>21</v>
      </c>
      <c r="G298" s="13">
        <f t="shared" si="117"/>
        <v>22</v>
      </c>
      <c r="H298" s="173">
        <f t="shared" si="118"/>
        <v>43374</v>
      </c>
      <c r="I298" s="742">
        <f t="shared" si="119"/>
        <v>0.7142857142857143</v>
      </c>
      <c r="J298" s="735">
        <f t="shared" si="120"/>
        <v>44.644335277325339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38">
        <v>43384</v>
      </c>
      <c r="AP298" s="13">
        <f t="shared" si="121"/>
        <v>11</v>
      </c>
      <c r="AQ298" s="13">
        <f t="shared" si="122"/>
        <v>12</v>
      </c>
      <c r="AR298" s="173">
        <f t="shared" si="123"/>
        <v>43360</v>
      </c>
      <c r="AS298" s="742">
        <f t="shared" si="124"/>
        <v>0.8571428571428571</v>
      </c>
      <c r="AT298" s="758">
        <f t="shared" si="125"/>
        <v>44.570819241979294</v>
      </c>
      <c r="AU298" s="13">
        <f t="shared" si="126"/>
        <v>11</v>
      </c>
      <c r="AV298" s="13">
        <f t="shared" si="127"/>
        <v>12</v>
      </c>
      <c r="AW298" s="173">
        <f t="shared" si="128"/>
        <v>43374</v>
      </c>
      <c r="AX298" s="742">
        <f t="shared" si="129"/>
        <v>0.35714285714285715</v>
      </c>
      <c r="AY298" s="758">
        <f t="shared" si="130"/>
        <v>44.548132653055447</v>
      </c>
      <c r="AZ298" s="735">
        <f t="shared" si="134"/>
        <v>44.55947594751737</v>
      </c>
      <c r="BA298" s="633">
        <f t="shared" si="131"/>
        <v>1.0047858368650906</v>
      </c>
      <c r="BC298" s="11">
        <v>43384</v>
      </c>
      <c r="BD298" s="289">
        <f>[2]!FeuilCaduc*(1-Persistant)+Persistant</f>
        <v>0.86809179281460946</v>
      </c>
      <c r="BE298" s="290">
        <f>[2]!CroissVégét</f>
        <v>0.99398203191418089</v>
      </c>
      <c r="BF298" s="804">
        <f>1+[2]!Salcycl*Ksac</f>
        <v>1.0368091792814609</v>
      </c>
      <c r="BH298" s="1036">
        <f t="shared" si="132"/>
        <v>1.2326330726684636E-3</v>
      </c>
      <c r="BI298" s="11">
        <v>44480</v>
      </c>
      <c r="BJ298" s="715">
        <v>1.0638123245644753E-3</v>
      </c>
      <c r="BK298" s="715">
        <v>1.063812324564475E-3</v>
      </c>
      <c r="BL298" s="715">
        <v>1.0829516553945669E-3</v>
      </c>
      <c r="BM298" s="715">
        <v>1.1601737289603795E-3</v>
      </c>
      <c r="BN298" s="715">
        <v>1.3053500934432302E-3</v>
      </c>
      <c r="BO298" s="716">
        <v>1.5013149696238744E-3</v>
      </c>
      <c r="BP298" s="715">
        <v>1.7146076076151042E-3</v>
      </c>
      <c r="BQ298" s="715">
        <v>1.9487675864963987E-3</v>
      </c>
      <c r="BR298" s="715">
        <v>2.2231396476704601E-3</v>
      </c>
      <c r="BS298" s="715">
        <v>2.5874656719075714E-3</v>
      </c>
      <c r="BT298" s="715">
        <v>3.028334531946938E-3</v>
      </c>
      <c r="BW298" s="1188">
        <f>'2019'!R\Max</f>
        <v>0.97069100010148801</v>
      </c>
      <c r="BX298" s="1188">
        <f>'2020'!R\Max</f>
        <v>0.49912492143619558</v>
      </c>
      <c r="BY298" s="1188">
        <f>'2021'!R\Max</f>
        <v>1.0047858368650906</v>
      </c>
      <c r="BZ298" s="1188">
        <f>'2022'!R\Max</f>
        <v>0.57777562055907572</v>
      </c>
      <c r="CA298" s="1188">
        <f>'2023'!R\Max</f>
        <v>0.57777171795027671</v>
      </c>
      <c r="CB298" s="1188">
        <f>'2024'!R\Max</f>
        <v>0.57776743646812156</v>
      </c>
      <c r="CC298" s="1188">
        <f>'2025'!R\Max</f>
        <v>0.57776315196851336</v>
      </c>
      <c r="CD298" s="1188">
        <f>'2026'!R\Max</f>
        <v>0.57778681714059277</v>
      </c>
      <c r="CE298" s="1189">
        <f>'2027'!R\Max</f>
        <v>0.5777832853523126</v>
      </c>
      <c r="CF298" s="1191">
        <f>'2028'!R\Max</f>
        <v>0.57777969985291833</v>
      </c>
    </row>
    <row r="299" spans="1:84" s="6" customFormat="1" ht="11.25" x14ac:dyDescent="0.2">
      <c r="A299" s="11">
        <v>43385</v>
      </c>
      <c r="B299" s="379">
        <f>'2023'!Maxi_hp</f>
        <v>43.06156480177809</v>
      </c>
      <c r="C299" s="13">
        <f>'2023'!An_max</f>
        <v>2021</v>
      </c>
      <c r="D299" s="1045">
        <f t="shared" si="116"/>
        <v>0.97156140960563198</v>
      </c>
      <c r="E299" s="13"/>
      <c r="F299" s="13">
        <f t="shared" si="133"/>
        <v>21</v>
      </c>
      <c r="G299" s="13">
        <f t="shared" si="117"/>
        <v>22</v>
      </c>
      <c r="H299" s="173">
        <f t="shared" si="118"/>
        <v>43374</v>
      </c>
      <c r="I299" s="742">
        <f t="shared" si="119"/>
        <v>0.7857142857142857</v>
      </c>
      <c r="J299" s="735">
        <f t="shared" si="120"/>
        <v>44.322020590810908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38">
        <v>43385</v>
      </c>
      <c r="AP299" s="13">
        <f t="shared" si="121"/>
        <v>11</v>
      </c>
      <c r="AQ299" s="13">
        <f t="shared" si="122"/>
        <v>12</v>
      </c>
      <c r="AR299" s="173">
        <f t="shared" si="123"/>
        <v>43360</v>
      </c>
      <c r="AS299" s="742">
        <f t="shared" si="124"/>
        <v>0.8928571428571429</v>
      </c>
      <c r="AT299" s="758">
        <f t="shared" si="125"/>
        <v>44.263538458743803</v>
      </c>
      <c r="AU299" s="13">
        <f t="shared" si="126"/>
        <v>11</v>
      </c>
      <c r="AV299" s="13">
        <f t="shared" si="127"/>
        <v>12</v>
      </c>
      <c r="AW299" s="173">
        <f t="shared" si="128"/>
        <v>43374</v>
      </c>
      <c r="AX299" s="742">
        <f t="shared" si="129"/>
        <v>0.39285714285714285</v>
      </c>
      <c r="AY299" s="758">
        <f t="shared" si="130"/>
        <v>44.206869100812561</v>
      </c>
      <c r="AZ299" s="735">
        <f t="shared" si="134"/>
        <v>44.235203779778182</v>
      </c>
      <c r="BA299" s="633">
        <f t="shared" si="131"/>
        <v>0.97156140960563198</v>
      </c>
      <c r="BC299" s="11">
        <v>43385</v>
      </c>
      <c r="BD299" s="289">
        <f>[2]!FeuilCaduc*(1-Persistant)+Persistant</f>
        <v>0.86269219570498645</v>
      </c>
      <c r="BE299" s="290">
        <f>[2]!CroissVégét</f>
        <v>0.99423611258398381</v>
      </c>
      <c r="BF299" s="804">
        <f>1+[2]!Salcycl*Ksac</f>
        <v>1.0362692195704986</v>
      </c>
      <c r="BH299" s="1036">
        <f t="shared" si="132"/>
        <v>1.203752050007945E-3</v>
      </c>
      <c r="BI299" s="11">
        <v>44481</v>
      </c>
      <c r="BJ299" s="715">
        <v>1.0338216814585286E-3</v>
      </c>
      <c r="BK299" s="715">
        <v>1.0338216814585286E-3</v>
      </c>
      <c r="BL299" s="715">
        <v>1.0530165290970951E-3</v>
      </c>
      <c r="BM299" s="715">
        <v>1.1306444320211533E-3</v>
      </c>
      <c r="BN299" s="715">
        <v>1.2771196504288986E-3</v>
      </c>
      <c r="BO299" s="716">
        <v>1.4760725280925648E-3</v>
      </c>
      <c r="BP299" s="715">
        <v>1.6959247971212656E-3</v>
      </c>
      <c r="BQ299" s="715">
        <v>1.9430402114799562E-3</v>
      </c>
      <c r="BR299" s="715">
        <v>2.2381960264903169E-3</v>
      </c>
      <c r="BS299" s="715">
        <v>2.6354418491380022E-3</v>
      </c>
      <c r="BT299" s="715">
        <v>3.1179996652598626E-3</v>
      </c>
      <c r="BW299" s="1188">
        <f>'2019'!R\Max</f>
        <v>0.46468304057714155</v>
      </c>
      <c r="BX299" s="1188">
        <f>'2020'!R\Max</f>
        <v>0.35117208498454666</v>
      </c>
      <c r="BY299" s="1188">
        <f>'2021'!R\Max</f>
        <v>0.97156140960563198</v>
      </c>
      <c r="BZ299" s="1188">
        <f>'2022'!R\Max</f>
        <v>0.68630929091368742</v>
      </c>
      <c r="CA299" s="1188">
        <f>'2023'!R\Max</f>
        <v>0.68630573732482614</v>
      </c>
      <c r="CB299" s="1188">
        <f>'2024'!R\Max</f>
        <v>0.68630174633564511</v>
      </c>
      <c r="CC299" s="1188">
        <f>'2025'!R\Max</f>
        <v>0.68629775196679199</v>
      </c>
      <c r="CD299" s="1188">
        <f>'2026'!R\Max</f>
        <v>0.68631938519732205</v>
      </c>
      <c r="CE299" s="1189">
        <f>'2027'!R\Max</f>
        <v>0.68631621831898892</v>
      </c>
      <c r="CF299" s="1191">
        <f>'2028'!R\Max</f>
        <v>0.68631300261997608</v>
      </c>
    </row>
    <row r="300" spans="1:84" s="6" customFormat="1" ht="11.25" x14ac:dyDescent="0.2">
      <c r="A300" s="11">
        <v>43386</v>
      </c>
      <c r="B300" s="379">
        <f>'2023'!Maxi_hp</f>
        <v>42.186291422825811</v>
      </c>
      <c r="C300" s="13">
        <f>'2023'!An_max</f>
        <v>2021</v>
      </c>
      <c r="D300" s="1045" t="str">
        <f t="shared" si="116"/>
        <v/>
      </c>
      <c r="E300" s="13"/>
      <c r="F300" s="13">
        <f t="shared" si="133"/>
        <v>21</v>
      </c>
      <c r="G300" s="13">
        <f t="shared" si="117"/>
        <v>22</v>
      </c>
      <c r="H300" s="173">
        <f t="shared" si="118"/>
        <v>43374</v>
      </c>
      <c r="I300" s="742">
        <f t="shared" si="119"/>
        <v>0.8571428571428571</v>
      </c>
      <c r="J300" s="735">
        <f t="shared" si="120"/>
        <v>43.997049563271659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38">
        <v>43386</v>
      </c>
      <c r="AP300" s="13">
        <f t="shared" si="121"/>
        <v>11</v>
      </c>
      <c r="AQ300" s="13">
        <f t="shared" si="122"/>
        <v>12</v>
      </c>
      <c r="AR300" s="173">
        <f t="shared" si="123"/>
        <v>43360</v>
      </c>
      <c r="AS300" s="742">
        <f t="shared" si="124"/>
        <v>0.9285714285714286</v>
      </c>
      <c r="AT300" s="758">
        <f t="shared" si="125"/>
        <v>43.955822430763924</v>
      </c>
      <c r="AU300" s="13">
        <f t="shared" si="126"/>
        <v>11</v>
      </c>
      <c r="AV300" s="13">
        <f t="shared" si="127"/>
        <v>12</v>
      </c>
      <c r="AW300" s="173">
        <f t="shared" si="128"/>
        <v>43374</v>
      </c>
      <c r="AX300" s="742">
        <f t="shared" si="129"/>
        <v>0.42857142857142855</v>
      </c>
      <c r="AY300" s="758">
        <f t="shared" si="130"/>
        <v>43.862653060656569</v>
      </c>
      <c r="AZ300" s="735">
        <f t="shared" si="134"/>
        <v>43.909237745710243</v>
      </c>
      <c r="BA300" s="633">
        <f t="shared" si="131"/>
        <v>0.95884364614400297</v>
      </c>
      <c r="BC300" s="11">
        <v>43386</v>
      </c>
      <c r="BD300" s="289">
        <f>[2]!FeuilCaduc*(1-Persistant)+Persistant</f>
        <v>0.85715006184970932</v>
      </c>
      <c r="BE300" s="290">
        <f>[2]!CroissVégét</f>
        <v>0.99448008524317211</v>
      </c>
      <c r="BF300" s="804">
        <f>1+[2]!Salcycl*Ksac</f>
        <v>1.0357150061849709</v>
      </c>
      <c r="BH300" s="1036">
        <f t="shared" si="132"/>
        <v>1.1754484522802171E-3</v>
      </c>
      <c r="BI300" s="11">
        <v>44482</v>
      </c>
      <c r="BJ300" s="715">
        <v>1.0043687958342863E-3</v>
      </c>
      <c r="BK300" s="715">
        <v>1.0043687958342861E-3</v>
      </c>
      <c r="BL300" s="715">
        <v>1.0236190840344388E-3</v>
      </c>
      <c r="BM300" s="715">
        <v>1.1016627477391857E-3</v>
      </c>
      <c r="BN300" s="715">
        <v>1.249496550640131E-3</v>
      </c>
      <c r="BO300" s="716">
        <v>1.451666814811563E-3</v>
      </c>
      <c r="BP300" s="715">
        <v>1.6786854875246134E-3</v>
      </c>
      <c r="BQ300" s="715">
        <v>1.9398743201023043E-3</v>
      </c>
      <c r="BR300" s="715">
        <v>2.2574854256514837E-3</v>
      </c>
      <c r="BS300" s="715">
        <v>2.6899236105470022E-3</v>
      </c>
      <c r="BT300" s="715">
        <v>3.216870359774234E-3</v>
      </c>
      <c r="BW300" s="1188">
        <f>'2019'!R\Max</f>
        <v>0.93576393142975445</v>
      </c>
      <c r="BX300" s="1188">
        <f>'2020'!R\Max</f>
        <v>0.53111010511638823</v>
      </c>
      <c r="BY300" s="1188">
        <f>'2021'!R\Max</f>
        <v>0.95884364614400297</v>
      </c>
      <c r="BZ300" s="1188">
        <f>'2022'!R\Max</f>
        <v>0.60830251064838636</v>
      </c>
      <c r="CA300" s="1188">
        <f>'2023'!R\Max</f>
        <v>0.60829844580910331</v>
      </c>
      <c r="CB300" s="1188">
        <f>'2024'!R\Max</f>
        <v>0.60829377355331937</v>
      </c>
      <c r="CC300" s="1188">
        <f>'2025'!R\Max</f>
        <v>0.60828909677734766</v>
      </c>
      <c r="CD300" s="1188">
        <f>'2026'!R\Max</f>
        <v>0.60831393704494763</v>
      </c>
      <c r="CE300" s="1189">
        <f>'2027'!R\Max</f>
        <v>0.60831037295143542</v>
      </c>
      <c r="CF300" s="1191">
        <f>'2028'!R\Max</f>
        <v>0.60830675310630233</v>
      </c>
    </row>
    <row r="301" spans="1:84" s="6" customFormat="1" ht="11.25" x14ac:dyDescent="0.2">
      <c r="A301" s="11">
        <v>43387</v>
      </c>
      <c r="B301" s="379">
        <f>'2023'!Maxi_hp</f>
        <v>45.549482417186574</v>
      </c>
      <c r="C301" s="13">
        <f>'2023'!An_max</f>
        <v>2021</v>
      </c>
      <c r="D301" s="1045">
        <f t="shared" si="116"/>
        <v>1.0430469531709821</v>
      </c>
      <c r="E301" s="13"/>
      <c r="F301" s="13">
        <f t="shared" si="133"/>
        <v>21</v>
      </c>
      <c r="G301" s="13">
        <f t="shared" si="117"/>
        <v>22</v>
      </c>
      <c r="H301" s="173">
        <f t="shared" si="118"/>
        <v>43374</v>
      </c>
      <c r="I301" s="742">
        <f t="shared" si="119"/>
        <v>0.9285714285714286</v>
      </c>
      <c r="J301" s="735">
        <f t="shared" si="120"/>
        <v>43.669637573563627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38">
        <v>43387</v>
      </c>
      <c r="AP301" s="13">
        <f t="shared" si="121"/>
        <v>11</v>
      </c>
      <c r="AQ301" s="13">
        <f t="shared" si="122"/>
        <v>12</v>
      </c>
      <c r="AR301" s="173">
        <f t="shared" si="123"/>
        <v>43360</v>
      </c>
      <c r="AS301" s="742">
        <f t="shared" si="124"/>
        <v>0.9642857142857143</v>
      </c>
      <c r="AT301" s="758">
        <f t="shared" si="125"/>
        <v>43.64789999763348</v>
      </c>
      <c r="AU301" s="13">
        <f t="shared" si="126"/>
        <v>11</v>
      </c>
      <c r="AV301" s="13">
        <f t="shared" si="127"/>
        <v>12</v>
      </c>
      <c r="AW301" s="173">
        <f t="shared" si="128"/>
        <v>43374</v>
      </c>
      <c r="AX301" s="742">
        <f t="shared" si="129"/>
        <v>0.4642857142857143</v>
      </c>
      <c r="AY301" s="758">
        <f t="shared" si="130"/>
        <v>43.516049904402884</v>
      </c>
      <c r="AZ301" s="735">
        <f t="shared" si="134"/>
        <v>43.581974951018182</v>
      </c>
      <c r="BA301" s="633">
        <f t="shared" si="131"/>
        <v>1.0430469531709821</v>
      </c>
      <c r="BC301" s="11">
        <v>43387</v>
      </c>
      <c r="BD301" s="289">
        <f>[2]!FeuilCaduc*(1-Persistant)+Persistant</f>
        <v>0.85146770030889862</v>
      </c>
      <c r="BE301" s="290">
        <f>[2]!CroissVégét</f>
        <v>0.99471434732473374</v>
      </c>
      <c r="BF301" s="804">
        <f>1+[2]!Salcycl*Ksac</f>
        <v>1.0351467700308898</v>
      </c>
      <c r="BH301" s="1036">
        <f t="shared" si="132"/>
        <v>1.147722052678094E-3</v>
      </c>
      <c r="BI301" s="11">
        <v>44483</v>
      </c>
      <c r="BJ301" s="715">
        <v>9.7545357102991491E-4</v>
      </c>
      <c r="BK301" s="715">
        <v>9.7545357102991502E-4</v>
      </c>
      <c r="BL301" s="715">
        <v>9.9475920218619683E-4</v>
      </c>
      <c r="BM301" s="715">
        <v>1.0732284865209928E-3</v>
      </c>
      <c r="BN301" s="715">
        <v>1.2224805299237006E-3</v>
      </c>
      <c r="BO301" s="716">
        <v>1.4280976876058298E-3</v>
      </c>
      <c r="BP301" s="715">
        <v>1.6628902012808906E-3</v>
      </c>
      <c r="BQ301" s="715">
        <v>1.9392718257810516E-3</v>
      </c>
      <c r="BR301" s="715">
        <v>2.2810119101451067E-3</v>
      </c>
      <c r="BS301" s="715">
        <v>2.7509179211284702E-3</v>
      </c>
      <c r="BT301" s="715">
        <v>3.3249569980095765E-3</v>
      </c>
      <c r="BW301" s="1188">
        <f>'2019'!R\Max</f>
        <v>0.35277118538368674</v>
      </c>
      <c r="BX301" s="1188">
        <f>'2020'!R\Max</f>
        <v>0.56194462088823904</v>
      </c>
      <c r="BY301" s="1188">
        <f>'2021'!R\Max</f>
        <v>1.0430469531709821</v>
      </c>
      <c r="BZ301" s="1188">
        <f>'2022'!R\Max</f>
        <v>0.43940200864094903</v>
      </c>
      <c r="CA301" s="1188">
        <f>'2023'!R\Max</f>
        <v>0.43939765889883631</v>
      </c>
      <c r="CB301" s="1188">
        <f>'2024'!R\Max</f>
        <v>0.43939254409419021</v>
      </c>
      <c r="CC301" s="1188">
        <f>'2025'!R\Max</f>
        <v>0.43938742381937312</v>
      </c>
      <c r="CD301" s="1188">
        <f>'2026'!R\Max</f>
        <v>0.43941410375189111</v>
      </c>
      <c r="CE301" s="1189">
        <f>'2027'!R\Max</f>
        <v>0.43941035412070117</v>
      </c>
      <c r="CF301" s="1191">
        <f>'2028'!R\Max</f>
        <v>0.4394065449154016</v>
      </c>
    </row>
    <row r="302" spans="1:84" s="6" customFormat="1" ht="11.25" x14ac:dyDescent="0.2">
      <c r="A302" s="11">
        <v>43388</v>
      </c>
      <c r="B302" s="379">
        <f>'2023'!Maxi_hp</f>
        <v>43.796338595835714</v>
      </c>
      <c r="C302" s="13">
        <f>'2023'!An_max</f>
        <v>2023</v>
      </c>
      <c r="D302" s="1045">
        <f t="shared" si="116"/>
        <v>1.0105292707627351</v>
      </c>
      <c r="E302" s="1040">
        <f>AH$13/10</f>
        <v>43.339999999999996</v>
      </c>
      <c r="F302" s="13">
        <f t="shared" si="133"/>
        <v>23</v>
      </c>
      <c r="G302" s="13">
        <f t="shared" si="117"/>
        <v>22</v>
      </c>
      <c r="H302" s="173">
        <f t="shared" si="118"/>
        <v>43402</v>
      </c>
      <c r="I302" s="742">
        <f t="shared" si="119"/>
        <v>1</v>
      </c>
      <c r="J302" s="735">
        <f t="shared" si="120"/>
        <v>43.340000000968573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38">
        <v>43388</v>
      </c>
      <c r="AP302" s="13">
        <f t="shared" si="121"/>
        <v>13</v>
      </c>
      <c r="AQ302" s="13">
        <f t="shared" si="122"/>
        <v>12</v>
      </c>
      <c r="AR302" s="173">
        <f t="shared" si="123"/>
        <v>43416</v>
      </c>
      <c r="AS302" s="742">
        <f t="shared" si="124"/>
        <v>1</v>
      </c>
      <c r="AT302" s="758">
        <f t="shared" si="125"/>
        <v>43.340000000223519</v>
      </c>
      <c r="AU302" s="13">
        <f t="shared" si="126"/>
        <v>11</v>
      </c>
      <c r="AV302" s="13">
        <f t="shared" si="127"/>
        <v>12</v>
      </c>
      <c r="AW302" s="173">
        <f t="shared" si="128"/>
        <v>43374</v>
      </c>
      <c r="AX302" s="742">
        <f t="shared" si="129"/>
        <v>0.5</v>
      </c>
      <c r="AY302" s="758">
        <f t="shared" si="130"/>
        <v>43.167625000048432</v>
      </c>
      <c r="AZ302" s="735">
        <f t="shared" si="134"/>
        <v>43.253812500135979</v>
      </c>
      <c r="BA302" s="633">
        <f t="shared" si="131"/>
        <v>1.0105292707627351</v>
      </c>
      <c r="BC302" s="11">
        <v>43388</v>
      </c>
      <c r="BD302" s="289">
        <f>[2]!FeuilCaduc*(1-Persistant)+Persistant</f>
        <v>0.84564793903334845</v>
      </c>
      <c r="BE302" s="290">
        <f>[2]!CroissVégét</f>
        <v>0.99493928100346574</v>
      </c>
      <c r="BF302" s="804">
        <f>1+[2]!Salcycl*Ksac</f>
        <v>1.0345647939033349</v>
      </c>
      <c r="BH302" s="1036">
        <f t="shared" si="132"/>
        <v>1.1205727423877941E-3</v>
      </c>
      <c r="BI302" s="11">
        <v>44484</v>
      </c>
      <c r="BJ302" s="715">
        <v>9.4707603354554073E-4</v>
      </c>
      <c r="BK302" s="715">
        <v>9.4707603354554084E-4</v>
      </c>
      <c r="BL302" s="715">
        <v>9.6643688849693422E-4</v>
      </c>
      <c r="BM302" s="715">
        <v>1.0453415799658379E-3</v>
      </c>
      <c r="BN302" s="715">
        <v>1.196071438909067E-3</v>
      </c>
      <c r="BO302" s="716">
        <v>1.4053651023539825E-3</v>
      </c>
      <c r="BP302" s="715">
        <v>1.6485395198089414E-3</v>
      </c>
      <c r="BQ302" s="715">
        <v>1.9412346247300964E-3</v>
      </c>
      <c r="BR302" s="715">
        <v>2.3087794075553072E-3</v>
      </c>
      <c r="BS302" s="715">
        <v>2.8184314247310018E-3</v>
      </c>
      <c r="BT302" s="715">
        <v>3.4422694118442119E-3</v>
      </c>
      <c r="BW302" s="1188">
        <f>'2019'!R\Max</f>
        <v>0.76478123376012785</v>
      </c>
      <c r="BX302" s="1188">
        <f>'2020'!R\Max</f>
        <v>0.35203057282002737</v>
      </c>
      <c r="BY302" s="1188">
        <f>'2021'!R\Max</f>
        <v>0.84562326325652848</v>
      </c>
      <c r="BZ302" s="1188">
        <f>'2022'!R\Max</f>
        <v>1.0105292707627349</v>
      </c>
      <c r="CA302" s="1188">
        <f>'2023'!R\Max</f>
        <v>1.0105292707627351</v>
      </c>
      <c r="CB302" s="1188">
        <f>'2024'!R\Max</f>
        <v>1.0105292707627349</v>
      </c>
      <c r="CC302" s="1188">
        <f>'2025'!R\Max</f>
        <v>1.0105292707627349</v>
      </c>
      <c r="CD302" s="1188">
        <f>'2026'!R\Max</f>
        <v>1.0105292707627351</v>
      </c>
      <c r="CE302" s="1189">
        <f>'2027'!R\Max</f>
        <v>1.0105292707627349</v>
      </c>
      <c r="CF302" s="1191">
        <f>'2028'!R\Max</f>
        <v>1.0105292707627351</v>
      </c>
    </row>
    <row r="303" spans="1:84" s="6" customFormat="1" ht="11.25" x14ac:dyDescent="0.2">
      <c r="A303" s="11">
        <v>43389</v>
      </c>
      <c r="B303" s="379">
        <f>'2023'!Maxi_hp</f>
        <v>41.812215939762069</v>
      </c>
      <c r="C303" s="13">
        <f>'2023'!An_max</f>
        <v>2021</v>
      </c>
      <c r="D303" s="1045">
        <f t="shared" si="116"/>
        <v>0.97225847274566091</v>
      </c>
      <c r="E303" s="13"/>
      <c r="F303" s="13">
        <f t="shared" si="133"/>
        <v>23</v>
      </c>
      <c r="G303" s="13">
        <f t="shared" si="117"/>
        <v>22</v>
      </c>
      <c r="H303" s="173">
        <f t="shared" si="118"/>
        <v>43402</v>
      </c>
      <c r="I303" s="742">
        <f t="shared" si="119"/>
        <v>0.9285714285714286</v>
      </c>
      <c r="J303" s="735">
        <f t="shared" si="120"/>
        <v>43.005247176385353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38">
        <v>43389</v>
      </c>
      <c r="AP303" s="13">
        <f t="shared" si="121"/>
        <v>13</v>
      </c>
      <c r="AQ303" s="13">
        <f t="shared" si="122"/>
        <v>12</v>
      </c>
      <c r="AR303" s="173">
        <f t="shared" si="123"/>
        <v>43416</v>
      </c>
      <c r="AS303" s="742">
        <f t="shared" si="124"/>
        <v>0.9642857142857143</v>
      </c>
      <c r="AT303" s="758">
        <f t="shared" si="125"/>
        <v>43.028216449410785</v>
      </c>
      <c r="AU303" s="13">
        <f t="shared" si="126"/>
        <v>11</v>
      </c>
      <c r="AV303" s="13">
        <f t="shared" si="127"/>
        <v>12</v>
      </c>
      <c r="AW303" s="173">
        <f t="shared" si="128"/>
        <v>43374</v>
      </c>
      <c r="AX303" s="742">
        <f t="shared" si="129"/>
        <v>0.5357142857142857</v>
      </c>
      <c r="AY303" s="758">
        <f t="shared" si="130"/>
        <v>42.817943717712275</v>
      </c>
      <c r="AZ303" s="735">
        <f t="shared" si="134"/>
        <v>42.92308008356153</v>
      </c>
      <c r="BA303" s="633">
        <f t="shared" si="131"/>
        <v>0.97225847274566091</v>
      </c>
      <c r="BC303" s="11">
        <v>43389</v>
      </c>
      <c r="BD303" s="289">
        <f>[2]!FeuilCaduc*(1-Persistant)+Persistant</f>
        <v>0.839694132975772</v>
      </c>
      <c r="BE303" s="290">
        <f>[2]!CroissVégét</f>
        <v>0.99515525375273173</v>
      </c>
      <c r="BF303" s="804">
        <f>1+[2]!Salcycl*Ksac</f>
        <v>1.0339694132975772</v>
      </c>
      <c r="BH303" s="1036">
        <f t="shared" si="132"/>
        <v>1.0940005239345849E-3</v>
      </c>
      <c r="BI303" s="11">
        <v>44485</v>
      </c>
      <c r="BJ303" s="715">
        <v>9.1923632681203331E-4</v>
      </c>
      <c r="BK303" s="715">
        <v>9.1923632681203341E-4</v>
      </c>
      <c r="BL303" s="715">
        <v>9.3865226464614484E-4</v>
      </c>
      <c r="BM303" s="715">
        <v>1.0180020745306896E-3</v>
      </c>
      <c r="BN303" s="715">
        <v>1.1702692360335682E-3</v>
      </c>
      <c r="BO303" s="716">
        <v>1.3834691035391731E-3</v>
      </c>
      <c r="BP303" s="715">
        <v>1.6356340674857455E-3</v>
      </c>
      <c r="BQ303" s="715">
        <v>1.9457645678877568E-3</v>
      </c>
      <c r="BR303" s="715">
        <v>2.3407916619628873E-3</v>
      </c>
      <c r="BS303" s="715">
        <v>2.8924703735094628E-3</v>
      </c>
      <c r="BT303" s="715">
        <v>3.5688167829451114E-3</v>
      </c>
      <c r="BW303" s="1188">
        <f>'2019'!R\Max</f>
        <v>0.86159968731993775</v>
      </c>
      <c r="BX303" s="1188">
        <f>'2020'!R\Max</f>
        <v>0.4084111268128971</v>
      </c>
      <c r="BY303" s="1188">
        <f>'2021'!R\Max</f>
        <v>0.97225847274566091</v>
      </c>
      <c r="BZ303" s="1188">
        <f>'2022'!R\Max</f>
        <v>0.87638683199111855</v>
      </c>
      <c r="CA303" s="1188">
        <f>'2023'!R\Max</f>
        <v>0.87638477455547636</v>
      </c>
      <c r="CB303" s="1188">
        <f>'2024'!R\Max</f>
        <v>0.87638224724342462</v>
      </c>
      <c r="CC303" s="1188">
        <f>'2025'!R\Max</f>
        <v>0.87637971673216153</v>
      </c>
      <c r="CD303" s="1188">
        <f>'2026'!R\Max</f>
        <v>0.87639242492410929</v>
      </c>
      <c r="CE303" s="1189">
        <f>'2027'!R\Max</f>
        <v>0.87639071364999088</v>
      </c>
      <c r="CF303" s="1191">
        <f>'2028'!R\Max</f>
        <v>0.87638897420871842</v>
      </c>
    </row>
    <row r="304" spans="1:84" s="6" customFormat="1" ht="11.25" x14ac:dyDescent="0.2">
      <c r="A304" s="11">
        <v>43390</v>
      </c>
      <c r="B304" s="379">
        <f>'2023'!Maxi_hp</f>
        <v>39.356868501239063</v>
      </c>
      <c r="C304" s="13">
        <f>'2023'!An_max</f>
        <v>2021</v>
      </c>
      <c r="D304" s="1045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73">
        <f t="shared" si="118"/>
        <v>43402</v>
      </c>
      <c r="I304" s="742">
        <f t="shared" si="119"/>
        <v>0.8571428571428571</v>
      </c>
      <c r="J304" s="735">
        <f t="shared" si="120"/>
        <v>42.663135569329775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38">
        <v>43390</v>
      </c>
      <c r="AP304" s="13">
        <f t="shared" si="121"/>
        <v>13</v>
      </c>
      <c r="AQ304" s="13">
        <f t="shared" si="122"/>
        <v>12</v>
      </c>
      <c r="AR304" s="173">
        <f t="shared" si="123"/>
        <v>43416</v>
      </c>
      <c r="AS304" s="742">
        <f t="shared" si="124"/>
        <v>0.9285714285714286</v>
      </c>
      <c r="AT304" s="758">
        <f t="shared" si="125"/>
        <v>42.708939504809678</v>
      </c>
      <c r="AU304" s="13">
        <f t="shared" si="126"/>
        <v>11</v>
      </c>
      <c r="AV304" s="13">
        <f t="shared" si="127"/>
        <v>12</v>
      </c>
      <c r="AW304" s="173">
        <f t="shared" si="128"/>
        <v>43374</v>
      </c>
      <c r="AX304" s="742">
        <f t="shared" si="129"/>
        <v>0.5714285714285714</v>
      </c>
      <c r="AY304" s="758">
        <f t="shared" si="130"/>
        <v>42.467571428737472</v>
      </c>
      <c r="AZ304" s="735">
        <f t="shared" si="134"/>
        <v>42.588255466773575</v>
      </c>
      <c r="BA304" s="633">
        <f t="shared" si="131"/>
        <v>0.92250295192865372</v>
      </c>
      <c r="BC304" s="11">
        <v>43390</v>
      </c>
      <c r="BD304" s="289">
        <f>[2]!FeuilCaduc*(1-Persistant)+Persistant</f>
        <v>0.83361016914127317</v>
      </c>
      <c r="BE304" s="290">
        <f>[2]!CroissVégét</f>
        <v>0.99536261888322142</v>
      </c>
      <c r="BF304" s="804">
        <f>1+[2]!Salcycl*Ksac</f>
        <v>1.0333610169141274</v>
      </c>
      <c r="BH304" s="1036">
        <f t="shared" si="132"/>
        <v>1.0689626817556187E-3</v>
      </c>
      <c r="BI304" s="11">
        <v>44486</v>
      </c>
      <c r="BJ304" s="715">
        <v>8.9298497852609315E-4</v>
      </c>
      <c r="BK304" s="715">
        <v>8.9298497852609326E-4</v>
      </c>
      <c r="BL304" s="715">
        <v>9.1244703664849472E-4</v>
      </c>
      <c r="BM304" s="715">
        <v>9.92213753632029E-4</v>
      </c>
      <c r="BN304" s="715">
        <v>1.145984541397186E-3</v>
      </c>
      <c r="BO304" s="716">
        <v>1.3630748609984398E-3</v>
      </c>
      <c r="BP304" s="715">
        <v>1.6242941902508568E-3</v>
      </c>
      <c r="BQ304" s="715">
        <v>1.9521304056234964E-3</v>
      </c>
      <c r="BR304" s="715">
        <v>2.3758854732014337E-3</v>
      </c>
      <c r="BS304" s="715">
        <v>2.9717140142875523E-3</v>
      </c>
      <c r="BT304" s="715">
        <v>3.703428740492302E-3</v>
      </c>
      <c r="BW304" s="1188">
        <f>'2019'!R\Max</f>
        <v>0.45804628105376721</v>
      </c>
      <c r="BX304" s="1188">
        <f>'2020'!R\Max</f>
        <v>0.2356109563640657</v>
      </c>
      <c r="BY304" s="1188">
        <f>'2021'!R\Max</f>
        <v>0.92250295192865372</v>
      </c>
      <c r="BZ304" s="1188">
        <f>'2022'!R\Max</f>
        <v>0.49386617366596652</v>
      </c>
      <c r="CA304" s="1188">
        <f>'2023'!R\Max</f>
        <v>0.49386125249331853</v>
      </c>
      <c r="CB304" s="1188">
        <f>'2024'!R\Max</f>
        <v>0.49385508430465813</v>
      </c>
      <c r="CC304" s="1188">
        <f>'2025'!R\Max</f>
        <v>0.49384890800849718</v>
      </c>
      <c r="CD304" s="1188">
        <f>'2026'!R\Max</f>
        <v>0.49387940608089437</v>
      </c>
      <c r="CE304" s="1189">
        <f>'2027'!R\Max</f>
        <v>0.49387538361586558</v>
      </c>
      <c r="CF304" s="1191">
        <f>'2028'!R\Max</f>
        <v>0.49387129386112294</v>
      </c>
    </row>
    <row r="305" spans="1:84" s="6" customFormat="1" ht="11.25" x14ac:dyDescent="0.2">
      <c r="A305" s="11">
        <v>43391</v>
      </c>
      <c r="B305" s="379">
        <f>'2023'!Maxi_hp</f>
        <v>40.626836245820606</v>
      </c>
      <c r="C305" s="13">
        <f>'2023'!An_max</f>
        <v>2022</v>
      </c>
      <c r="D305" s="1045" t="str">
        <f t="shared" si="116"/>
        <v/>
      </c>
      <c r="E305" s="13"/>
      <c r="F305" s="13">
        <f t="shared" si="133"/>
        <v>23</v>
      </c>
      <c r="G305" s="13">
        <f t="shared" si="117"/>
        <v>22</v>
      </c>
      <c r="H305" s="173">
        <f t="shared" si="118"/>
        <v>43402</v>
      </c>
      <c r="I305" s="742">
        <f t="shared" si="119"/>
        <v>0.7857142857142857</v>
      </c>
      <c r="J305" s="735">
        <f t="shared" si="120"/>
        <v>42.314849763416824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38">
        <v>43391</v>
      </c>
      <c r="AP305" s="13">
        <f t="shared" si="121"/>
        <v>13</v>
      </c>
      <c r="AQ305" s="13">
        <f t="shared" si="122"/>
        <v>12</v>
      </c>
      <c r="AR305" s="173">
        <f t="shared" si="123"/>
        <v>43416</v>
      </c>
      <c r="AS305" s="742">
        <f t="shared" si="124"/>
        <v>0.8928571428571429</v>
      </c>
      <c r="AT305" s="758">
        <f t="shared" si="125"/>
        <v>42.382842223838502</v>
      </c>
      <c r="AU305" s="13">
        <f t="shared" si="126"/>
        <v>11</v>
      </c>
      <c r="AV305" s="13">
        <f t="shared" si="127"/>
        <v>12</v>
      </c>
      <c r="AW305" s="173">
        <f t="shared" si="128"/>
        <v>43374</v>
      </c>
      <c r="AX305" s="742">
        <f t="shared" si="129"/>
        <v>0.6071428571428571</v>
      </c>
      <c r="AY305" s="758">
        <f t="shared" si="130"/>
        <v>42.117073501313904</v>
      </c>
      <c r="AZ305" s="735">
        <f t="shared" si="134"/>
        <v>42.249957862576203</v>
      </c>
      <c r="BA305" s="633">
        <f t="shared" si="131"/>
        <v>0.96010824741115863</v>
      </c>
      <c r="BC305" s="11">
        <v>43391</v>
      </c>
      <c r="BD305" s="289">
        <f>[2]!FeuilCaduc*(1-Persistant)+Persistant</f>
        <v>0.82740046844619153</v>
      </c>
      <c r="BE305" s="290">
        <f>[2]!CroissVégét</f>
        <v>0.99556171606410238</v>
      </c>
      <c r="BF305" s="804">
        <f>1+[2]!Salcycl*Ksac</f>
        <v>1.0327400468446191</v>
      </c>
      <c r="BH305" s="1036">
        <f t="shared" si="132"/>
        <v>1.0471240274040896E-3</v>
      </c>
      <c r="BI305" s="11">
        <v>44487</v>
      </c>
      <c r="BJ305" s="715">
        <v>8.6965484374236599E-4</v>
      </c>
      <c r="BK305" s="715">
        <v>8.696548437423661E-4</v>
      </c>
      <c r="BL305" s="715">
        <v>8.8919577172228575E-4</v>
      </c>
      <c r="BM305" s="715">
        <v>9.695092845609807E-4</v>
      </c>
      <c r="BN305" s="715">
        <v>1.1250147807414105E-3</v>
      </c>
      <c r="BO305" s="716">
        <v>1.3461446205219748E-3</v>
      </c>
      <c r="BP305" s="715">
        <v>1.6162414800625182E-3</v>
      </c>
      <c r="BQ305" s="715">
        <v>1.9612708487128879E-3</v>
      </c>
      <c r="BR305" s="715">
        <v>2.4138038226201703E-3</v>
      </c>
      <c r="BS305" s="715">
        <v>3.0542476775385127E-3</v>
      </c>
      <c r="BT305" s="715">
        <v>3.8422175256351068E-3</v>
      </c>
      <c r="BW305" s="1188">
        <f>'2019'!R\Max</f>
        <v>0.37608262035107876</v>
      </c>
      <c r="BX305" s="1188">
        <f>'2020'!R\Max</f>
        <v>0.93186975134291394</v>
      </c>
      <c r="BY305" s="1188">
        <f>'2021'!R\Max</f>
        <v>0.88219102683961992</v>
      </c>
      <c r="BZ305" s="1188">
        <f>'2022'!R\Max</f>
        <v>0.96010824741115863</v>
      </c>
      <c r="CA305" s="1188">
        <f>'2023'!R\Max</f>
        <v>0.96010746717035067</v>
      </c>
      <c r="CB305" s="1188">
        <f>'2024'!R\Max</f>
        <v>0.96010647178326169</v>
      </c>
      <c r="CC305" s="1188">
        <f>'2025'!R\Max</f>
        <v>0.96010547501685772</v>
      </c>
      <c r="CD305" s="1188">
        <f>'2026'!R\Max</f>
        <v>0.96011032551811615</v>
      </c>
      <c r="CE305" s="1189">
        <f>'2027'!R\Max</f>
        <v>0.9601096974290988</v>
      </c>
      <c r="CF305" s="1191">
        <f>'2028'!R\Max</f>
        <v>0.96010905867498408</v>
      </c>
    </row>
    <row r="306" spans="1:84" s="6" customFormat="1" ht="11.25" x14ac:dyDescent="0.2">
      <c r="A306" s="11">
        <v>43392</v>
      </c>
      <c r="B306" s="379">
        <f>'2023'!Maxi_hp</f>
        <v>40.405295591154072</v>
      </c>
      <c r="C306" s="13">
        <f>'2023'!An_max</f>
        <v>2020</v>
      </c>
      <c r="D306" s="1045" t="str">
        <f t="shared" si="116"/>
        <v/>
      </c>
      <c r="E306" s="13"/>
      <c r="F306" s="13">
        <f t="shared" si="133"/>
        <v>23</v>
      </c>
      <c r="G306" s="13">
        <f t="shared" si="117"/>
        <v>22</v>
      </c>
      <c r="H306" s="173">
        <f t="shared" si="118"/>
        <v>43402</v>
      </c>
      <c r="I306" s="742">
        <f t="shared" si="119"/>
        <v>0.7142857142857143</v>
      </c>
      <c r="J306" s="735">
        <f t="shared" si="120"/>
        <v>41.961574344177329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38">
        <v>43392</v>
      </c>
      <c r="AP306" s="13">
        <f t="shared" si="121"/>
        <v>13</v>
      </c>
      <c r="AQ306" s="13">
        <f t="shared" si="122"/>
        <v>12</v>
      </c>
      <c r="AR306" s="173">
        <f t="shared" si="123"/>
        <v>43416</v>
      </c>
      <c r="AS306" s="742">
        <f t="shared" si="124"/>
        <v>0.8571428571428571</v>
      </c>
      <c r="AT306" s="758">
        <f t="shared" si="125"/>
        <v>42.050597668013403</v>
      </c>
      <c r="AU306" s="13">
        <f t="shared" si="126"/>
        <v>11</v>
      </c>
      <c r="AV306" s="13">
        <f t="shared" si="127"/>
        <v>12</v>
      </c>
      <c r="AW306" s="173">
        <f t="shared" si="128"/>
        <v>43374</v>
      </c>
      <c r="AX306" s="742">
        <f t="shared" si="129"/>
        <v>0.6428571428571429</v>
      </c>
      <c r="AY306" s="758">
        <f t="shared" si="130"/>
        <v>41.767015305613839</v>
      </c>
      <c r="AZ306" s="735">
        <f t="shared" si="134"/>
        <v>41.908806486813617</v>
      </c>
      <c r="BA306" s="633">
        <f t="shared" si="131"/>
        <v>0.96291181211986132</v>
      </c>
      <c r="BC306" s="11">
        <v>43392</v>
      </c>
      <c r="BD306" s="289">
        <f>[2]!FeuilCaduc*(1-Persistant)+Persistant</f>
        <v>0.82106998427873479</v>
      </c>
      <c r="BE306" s="290">
        <f>[2]!CroissVégét</f>
        <v>0.99575287182696259</v>
      </c>
      <c r="BF306" s="804">
        <f>1+[2]!Salcycl*Ksac</f>
        <v>1.0321069984278735</v>
      </c>
      <c r="BH306" s="1036">
        <f t="shared" si="132"/>
        <v>1.0284887054089105E-3</v>
      </c>
      <c r="BI306" s="11">
        <v>44488</v>
      </c>
      <c r="BJ306" s="715">
        <v>8.4924987215634199E-4</v>
      </c>
      <c r="BK306" s="715">
        <v>8.492498721563421E-4</v>
      </c>
      <c r="BL306" s="715">
        <v>8.6890244606019622E-4</v>
      </c>
      <c r="BM306" s="715">
        <v>9.4989274056813582E-4</v>
      </c>
      <c r="BN306" s="715">
        <v>1.1073641701269525E-3</v>
      </c>
      <c r="BO306" s="716">
        <v>1.3326824983710822E-3</v>
      </c>
      <c r="BP306" s="715">
        <v>1.6114793086156297E-3</v>
      </c>
      <c r="BQ306" s="715">
        <v>1.9731877623236408E-3</v>
      </c>
      <c r="BR306" s="715">
        <v>2.4545475481382705E-3</v>
      </c>
      <c r="BS306" s="715">
        <v>3.1400712556333712E-3</v>
      </c>
      <c r="BT306" s="715">
        <v>3.9851823088991063E-3</v>
      </c>
      <c r="BW306" s="1188">
        <f>'2019'!R\Max</f>
        <v>0.713239938284148</v>
      </c>
      <c r="BX306" s="1188">
        <f>'2020'!R\Max</f>
        <v>0.96291181211986132</v>
      </c>
      <c r="BY306" s="1188">
        <f>'2021'!R\Max</f>
        <v>0.93883193101130291</v>
      </c>
      <c r="BZ306" s="1188">
        <f>'2022'!R\Max</f>
        <v>0.45479590929326325</v>
      </c>
      <c r="CA306" s="1188">
        <f>'2023'!R\Max</f>
        <v>0.45479069169616293</v>
      </c>
      <c r="CB306" s="1188">
        <f>'2024'!R\Max</f>
        <v>0.45478393172762122</v>
      </c>
      <c r="CC306" s="1188">
        <f>'2025'!R\Max</f>
        <v>0.45477716235665105</v>
      </c>
      <c r="CD306" s="1188">
        <f>'2026'!R\Max</f>
        <v>0.45480969386176284</v>
      </c>
      <c r="CE306" s="1189">
        <f>'2027'!R\Max</f>
        <v>0.45480554827515929</v>
      </c>
      <c r="CF306" s="1191">
        <f>'2028'!R\Max</f>
        <v>0.45480133156489416</v>
      </c>
    </row>
    <row r="307" spans="1:84" s="6" customFormat="1" ht="11.25" x14ac:dyDescent="0.2">
      <c r="A307" s="11">
        <v>43393</v>
      </c>
      <c r="B307" s="379">
        <f>'2023'!Maxi_hp</f>
        <v>35.276334723455363</v>
      </c>
      <c r="C307" s="13">
        <f>'2023'!An_max</f>
        <v>2020</v>
      </c>
      <c r="D307" s="1045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73">
        <f t="shared" si="118"/>
        <v>43402</v>
      </c>
      <c r="I307" s="742">
        <f t="shared" si="119"/>
        <v>0.6428571428571429</v>
      </c>
      <c r="J307" s="735">
        <f t="shared" si="120"/>
        <v>41.604493896397095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38">
        <v>43393</v>
      </c>
      <c r="AP307" s="13">
        <f t="shared" si="121"/>
        <v>13</v>
      </c>
      <c r="AQ307" s="13">
        <f t="shared" si="122"/>
        <v>12</v>
      </c>
      <c r="AR307" s="173">
        <f t="shared" si="123"/>
        <v>43416</v>
      </c>
      <c r="AS307" s="742">
        <f t="shared" si="124"/>
        <v>0.8214285714285714</v>
      </c>
      <c r="AT307" s="758">
        <f t="shared" si="125"/>
        <v>41.712878895045392</v>
      </c>
      <c r="AU307" s="13">
        <f t="shared" si="126"/>
        <v>11</v>
      </c>
      <c r="AV307" s="13">
        <f t="shared" si="127"/>
        <v>12</v>
      </c>
      <c r="AW307" s="173">
        <f t="shared" si="128"/>
        <v>43374</v>
      </c>
      <c r="AX307" s="742">
        <f t="shared" si="129"/>
        <v>0.6785714285714286</v>
      </c>
      <c r="AY307" s="758">
        <f t="shared" si="130"/>
        <v>41.417962212734196</v>
      </c>
      <c r="AZ307" s="735">
        <f t="shared" si="134"/>
        <v>41.565420553889794</v>
      </c>
      <c r="BA307" s="633">
        <f t="shared" si="131"/>
        <v>0.84789722022096892</v>
      </c>
      <c r="BC307" s="11">
        <v>43393</v>
      </c>
      <c r="BD307" s="289">
        <f>[2]!FeuilCaduc*(1-Persistant)+Persistant</f>
        <v>0.81462419768042005</v>
      </c>
      <c r="BE307" s="290">
        <f>[2]!CroissVégét</f>
        <v>0.99593640005294937</v>
      </c>
      <c r="BF307" s="804">
        <f>1+[2]!Salcycl*Ksac</f>
        <v>1.031462419768042</v>
      </c>
      <c r="BH307" s="1036">
        <f t="shared" si="132"/>
        <v>1.0130608076946452E-3</v>
      </c>
      <c r="BI307" s="11">
        <v>44489</v>
      </c>
      <c r="BJ307" s="715">
        <v>8.3177397988574162E-4</v>
      </c>
      <c r="BK307" s="715">
        <v>8.3177397988574173E-4</v>
      </c>
      <c r="BL307" s="715">
        <v>8.5157100045067788E-4</v>
      </c>
      <c r="BM307" s="715">
        <v>9.3336815125195959E-4</v>
      </c>
      <c r="BN307" s="715">
        <v>1.093036864026116E-3</v>
      </c>
      <c r="BO307" s="716">
        <v>1.3226925252769639E-3</v>
      </c>
      <c r="BP307" s="715">
        <v>1.6100109325105387E-3</v>
      </c>
      <c r="BQ307" s="715">
        <v>1.9878828468479627E-3</v>
      </c>
      <c r="BR307" s="715">
        <v>2.4981171973018691E-3</v>
      </c>
      <c r="BS307" s="715">
        <v>3.2291841376958889E-3</v>
      </c>
      <c r="BT307" s="715">
        <v>4.132321475172368E-3</v>
      </c>
      <c r="BW307" s="1188">
        <f>'2019'!R\Max</f>
        <v>0.32620644512736885</v>
      </c>
      <c r="BX307" s="1188">
        <f>'2020'!R\Max</f>
        <v>0.84789722022096892</v>
      </c>
      <c r="BY307" s="1188">
        <f>'2021'!R\Max</f>
        <v>0.72408244573821068</v>
      </c>
      <c r="BZ307" s="1188">
        <f>'2022'!R\Max</f>
        <v>0.1839973735194364</v>
      </c>
      <c r="CA307" s="1188">
        <f>'2023'!R\Max</f>
        <v>0.18399457855291346</v>
      </c>
      <c r="CB307" s="1188">
        <f>'2024'!R\Max</f>
        <v>0.18399090784657804</v>
      </c>
      <c r="CC307" s="1188">
        <f>'2025'!R\Max</f>
        <v>0.18398723199663616</v>
      </c>
      <c r="CD307" s="1188">
        <f>'2026'!R\Max</f>
        <v>0.18400470693342263</v>
      </c>
      <c r="CE307" s="1189">
        <f>'2027'!R\Max</f>
        <v>0.18400251089627406</v>
      </c>
      <c r="CF307" s="1191">
        <f>'2028'!R\Max</f>
        <v>0.18400027685950912</v>
      </c>
    </row>
    <row r="308" spans="1:84" s="6" customFormat="1" ht="11.25" x14ac:dyDescent="0.2">
      <c r="A308" s="11">
        <v>43394</v>
      </c>
      <c r="B308" s="379">
        <f>'2023'!Maxi_hp</f>
        <v>23.212774519208907</v>
      </c>
      <c r="C308" s="13">
        <f>'2023'!An_max</f>
        <v>2018</v>
      </c>
      <c r="D308" s="1045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73">
        <f t="shared" si="118"/>
        <v>43402</v>
      </c>
      <c r="I308" s="742">
        <f t="shared" si="119"/>
        <v>0.5714285714285714</v>
      </c>
      <c r="J308" s="735">
        <f t="shared" si="120"/>
        <v>41.24479300331857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38">
        <v>43394</v>
      </c>
      <c r="AP308" s="13">
        <f t="shared" si="121"/>
        <v>13</v>
      </c>
      <c r="AQ308" s="13">
        <f t="shared" si="122"/>
        <v>12</v>
      </c>
      <c r="AR308" s="173">
        <f t="shared" si="123"/>
        <v>43416</v>
      </c>
      <c r="AS308" s="742">
        <f t="shared" si="124"/>
        <v>0.7857142857142857</v>
      </c>
      <c r="AT308" s="758">
        <f t="shared" si="125"/>
        <v>41.370358964854049</v>
      </c>
      <c r="AU308" s="13">
        <f t="shared" si="126"/>
        <v>11</v>
      </c>
      <c r="AV308" s="13">
        <f t="shared" si="127"/>
        <v>12</v>
      </c>
      <c r="AW308" s="173">
        <f t="shared" si="128"/>
        <v>43374</v>
      </c>
      <c r="AX308" s="742">
        <f t="shared" si="129"/>
        <v>0.7142857142857143</v>
      </c>
      <c r="AY308" s="758">
        <f t="shared" si="130"/>
        <v>41.070479591829439</v>
      </c>
      <c r="AZ308" s="735">
        <f t="shared" si="134"/>
        <v>41.220419278341744</v>
      </c>
      <c r="BA308" s="633">
        <f t="shared" si="131"/>
        <v>0.56280497073512281</v>
      </c>
      <c r="BC308" s="11">
        <v>43394</v>
      </c>
      <c r="BD308" s="289">
        <f>[2]!FeuilCaduc*(1-Persistant)+Persistant</f>
        <v>0.80806910909415341</v>
      </c>
      <c r="BE308" s="290">
        <f>[2]!CroissVégét</f>
        <v>0.99611260244351996</v>
      </c>
      <c r="BF308" s="804">
        <f>1+[2]!Salcycl*Ksac</f>
        <v>1.0308069109094153</v>
      </c>
      <c r="BH308" s="1036">
        <f t="shared" si="132"/>
        <v>1.0008443383779601E-3</v>
      </c>
      <c r="BI308" s="11">
        <v>44490</v>
      </c>
      <c r="BJ308" s="715">
        <v>8.1723101729446346E-4</v>
      </c>
      <c r="BK308" s="715">
        <v>8.1723101729446357E-4</v>
      </c>
      <c r="BL308" s="715">
        <v>8.3720530774424734E-4</v>
      </c>
      <c r="BM308" s="715">
        <v>9.1993946860895583E-4</v>
      </c>
      <c r="BN308" s="715">
        <v>1.0820369188610777E-3</v>
      </c>
      <c r="BO308" s="716">
        <v>1.3161786083823344E-3</v>
      </c>
      <c r="BP308" s="715">
        <v>1.6118394572020526E-3</v>
      </c>
      <c r="BQ308" s="715">
        <v>2.0053576076067311E-3</v>
      </c>
      <c r="BR308" s="715">
        <v>2.544512996729371E-3</v>
      </c>
      <c r="BS308" s="715">
        <v>3.3215851744187266E-3</v>
      </c>
      <c r="BT308" s="715">
        <v>4.2836325794158095E-3</v>
      </c>
      <c r="BW308" s="1188">
        <f>'2019'!R\Max</f>
        <v>0.56280497073512281</v>
      </c>
      <c r="BX308" s="1188">
        <f>'2020'!R\Max</f>
        <v>0.13964414725723484</v>
      </c>
      <c r="BY308" s="1188">
        <f>'2021'!R\Max</f>
        <v>0.37388168188839926</v>
      </c>
      <c r="BZ308" s="1188">
        <f>'2022'!R\Max</f>
        <v>0.47938011045046697</v>
      </c>
      <c r="CA308" s="1188">
        <f>'2023'!R\Max</f>
        <v>0.47937453405584651</v>
      </c>
      <c r="CB308" s="1188">
        <f>'2024'!R\Max</f>
        <v>0.47936712237876172</v>
      </c>
      <c r="CC308" s="1188">
        <f>'2025'!R\Max</f>
        <v>0.4793597001705433</v>
      </c>
      <c r="CD308" s="1188">
        <f>'2026'!R\Max</f>
        <v>0.47939465735225656</v>
      </c>
      <c r="CE308" s="1189">
        <f>'2027'!R\Max</f>
        <v>0.47939031695392709</v>
      </c>
      <c r="CF308" s="1191">
        <f>'2028'!R\Max</f>
        <v>0.47938590092719824</v>
      </c>
    </row>
    <row r="309" spans="1:84" s="6" customFormat="1" ht="11.25" x14ac:dyDescent="0.2">
      <c r="A309" s="11">
        <v>43395</v>
      </c>
      <c r="B309" s="379">
        <f>'2023'!Maxi_hp</f>
        <v>38.539741779187835</v>
      </c>
      <c r="C309" s="13">
        <f>'2023'!An_max</f>
        <v>2022</v>
      </c>
      <c r="D309" s="1045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73">
        <f t="shared" si="118"/>
        <v>43402</v>
      </c>
      <c r="I309" s="742">
        <f t="shared" si="119"/>
        <v>0.5</v>
      </c>
      <c r="J309" s="735">
        <f t="shared" si="120"/>
        <v>40.883656250312924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38">
        <v>43395</v>
      </c>
      <c r="AP309" s="13">
        <f t="shared" si="121"/>
        <v>13</v>
      </c>
      <c r="AQ309" s="13">
        <f t="shared" si="122"/>
        <v>12</v>
      </c>
      <c r="AR309" s="173">
        <f t="shared" si="123"/>
        <v>43416</v>
      </c>
      <c r="AS309" s="742">
        <f t="shared" si="124"/>
        <v>0.75</v>
      </c>
      <c r="AT309" s="758">
        <f t="shared" si="125"/>
        <v>41.02371093761176</v>
      </c>
      <c r="AU309" s="13">
        <f t="shared" si="126"/>
        <v>11</v>
      </c>
      <c r="AV309" s="13">
        <f t="shared" si="127"/>
        <v>12</v>
      </c>
      <c r="AW309" s="173">
        <f t="shared" si="128"/>
        <v>43374</v>
      </c>
      <c r="AX309" s="742">
        <f t="shared" si="129"/>
        <v>0.75</v>
      </c>
      <c r="AY309" s="758">
        <f t="shared" si="130"/>
        <v>40.725132812280208</v>
      </c>
      <c r="AZ309" s="735">
        <f t="shared" si="134"/>
        <v>40.87442187494598</v>
      </c>
      <c r="BA309" s="633">
        <f t="shared" si="131"/>
        <v>0.94266866796907023</v>
      </c>
      <c r="BC309" s="11">
        <v>43395</v>
      </c>
      <c r="BD309" s="289">
        <f>[2]!FeuilCaduc*(1-Persistant)+Persistant</f>
        <v>0.80141122665248798</v>
      </c>
      <c r="BE309" s="290">
        <f>[2]!CroissVégét</f>
        <v>0.99628176897521181</v>
      </c>
      <c r="BF309" s="804">
        <f>1+[2]!Salcycl*Ksac</f>
        <v>1.0301411226652488</v>
      </c>
      <c r="BH309" s="1036">
        <f t="shared" si="132"/>
        <v>9.9184317855991106E-4</v>
      </c>
      <c r="BI309" s="11">
        <v>44491</v>
      </c>
      <c r="BJ309" s="715">
        <v>8.0562473681304765E-4</v>
      </c>
      <c r="BK309" s="715">
        <v>8.0562473681304765E-4</v>
      </c>
      <c r="BL309" s="715">
        <v>8.2580914031621562E-4</v>
      </c>
      <c r="BM309" s="715">
        <v>9.0961053307996118E-4</v>
      </c>
      <c r="BN309" s="715">
        <v>1.0743682565377071E-3</v>
      </c>
      <c r="BO309" s="716">
        <v>1.313144493177737E-3</v>
      </c>
      <c r="BP309" s="715">
        <v>1.616967800942173E-3</v>
      </c>
      <c r="BQ309" s="715">
        <v>2.0256133245461498E-3</v>
      </c>
      <c r="BR309" s="715">
        <v>2.5937348215476618E-3</v>
      </c>
      <c r="BS309" s="715">
        <v>3.4172726428683179E-3</v>
      </c>
      <c r="BT309" s="715">
        <v>4.4391123023595595E-3</v>
      </c>
      <c r="BW309" s="1188">
        <f>'2019'!R\Max</f>
        <v>0.12050483259022</v>
      </c>
      <c r="BX309" s="1188">
        <f>'2020'!R\Max</f>
        <v>0.64065824891277157</v>
      </c>
      <c r="BY309" s="1188">
        <f>'2021'!R\Max</f>
        <v>0.33807505832948892</v>
      </c>
      <c r="BZ309" s="1188">
        <f>'2022'!R\Max</f>
        <v>0.94266866796907023</v>
      </c>
      <c r="CA309" s="1188">
        <f>'2023'!R\Max</f>
        <v>0.94266742642435819</v>
      </c>
      <c r="CB309" s="1188">
        <f>'2024'!R\Max</f>
        <v>0.94266575882929571</v>
      </c>
      <c r="CC309" s="1188">
        <f>'2025'!R\Max</f>
        <v>0.94266408881463593</v>
      </c>
      <c r="CD309" s="1188">
        <f>'2026'!R\Max</f>
        <v>0.94267189134045914</v>
      </c>
      <c r="CE309" s="1189">
        <f>'2027'!R\Max</f>
        <v>0.94267093245887967</v>
      </c>
      <c r="CF309" s="1191">
        <f>'2028'!R\Max</f>
        <v>0.94266995677839915</v>
      </c>
    </row>
    <row r="310" spans="1:84" s="6" customFormat="1" ht="11.25" x14ac:dyDescent="0.2">
      <c r="A310" s="11">
        <v>43396</v>
      </c>
      <c r="B310" s="379">
        <f>'2023'!Maxi_hp</f>
        <v>37.731513799556055</v>
      </c>
      <c r="C310" s="13">
        <f>'2023'!An_max</f>
        <v>2021</v>
      </c>
      <c r="D310" s="1045" t="str">
        <f t="shared" si="116"/>
        <v/>
      </c>
      <c r="E310" s="13"/>
      <c r="F310" s="13">
        <f t="shared" si="133"/>
        <v>23</v>
      </c>
      <c r="G310" s="13">
        <f t="shared" si="117"/>
        <v>22</v>
      </c>
      <c r="H310" s="173">
        <f t="shared" si="118"/>
        <v>43402</v>
      </c>
      <c r="I310" s="742">
        <f t="shared" si="119"/>
        <v>0.42857142857142855</v>
      </c>
      <c r="J310" s="735">
        <f t="shared" si="120"/>
        <v>40.522268221899864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38">
        <v>43396</v>
      </c>
      <c r="AP310" s="13">
        <f t="shared" si="121"/>
        <v>13</v>
      </c>
      <c r="AQ310" s="13">
        <f t="shared" si="122"/>
        <v>12</v>
      </c>
      <c r="AR310" s="173">
        <f t="shared" si="123"/>
        <v>43416</v>
      </c>
      <c r="AS310" s="742">
        <f t="shared" si="124"/>
        <v>0.7142857142857143</v>
      </c>
      <c r="AT310" s="758">
        <f t="shared" si="125"/>
        <v>40.673607871734667</v>
      </c>
      <c r="AU310" s="13">
        <f t="shared" si="126"/>
        <v>11</v>
      </c>
      <c r="AV310" s="13">
        <f t="shared" si="127"/>
        <v>12</v>
      </c>
      <c r="AW310" s="173">
        <f t="shared" si="128"/>
        <v>43374</v>
      </c>
      <c r="AX310" s="742">
        <f t="shared" si="129"/>
        <v>0.7857142857142857</v>
      </c>
      <c r="AY310" s="758">
        <f t="shared" si="130"/>
        <v>40.38248724471778</v>
      </c>
      <c r="AZ310" s="735">
        <f t="shared" si="134"/>
        <v>40.52804755822622</v>
      </c>
      <c r="BA310" s="633">
        <f t="shared" si="131"/>
        <v>0.93113035018026036</v>
      </c>
      <c r="BC310" s="11">
        <v>43396</v>
      </c>
      <c r="BD310" s="289">
        <f>[2]!FeuilCaduc*(1-Persistant)+Persistant</f>
        <v>0.79465755100796143</v>
      </c>
      <c r="BE310" s="290">
        <f>[2]!CroissVégét</f>
        <v>0.99644417833885535</v>
      </c>
      <c r="BF310" s="804">
        <f>1+[2]!Salcycl*Ksac</f>
        <v>1.0294657551007962</v>
      </c>
      <c r="BH310" s="1036">
        <f t="shared" si="132"/>
        <v>9.8416411842334106E-4</v>
      </c>
      <c r="BI310" s="11">
        <v>44492</v>
      </c>
      <c r="BJ310" s="715">
        <v>7.9549094471526483E-4</v>
      </c>
      <c r="BK310" s="715">
        <v>7.9549094471526472E-4</v>
      </c>
      <c r="BL310" s="715">
        <v>8.1586694929895341E-4</v>
      </c>
      <c r="BM310" s="715">
        <v>9.0066792028550868E-4</v>
      </c>
      <c r="BN310" s="715">
        <v>1.0679572424552584E-3</v>
      </c>
      <c r="BO310" s="716">
        <v>1.3112474922541825E-3</v>
      </c>
      <c r="BP310" s="715">
        <v>1.6236161628028281E-3</v>
      </c>
      <c r="BQ310" s="715">
        <v>2.0485424210738338E-3</v>
      </c>
      <c r="BR310" s="715">
        <v>2.6494680040413548E-3</v>
      </c>
      <c r="BS310" s="715">
        <v>3.5268637352337639E-3</v>
      </c>
      <c r="BT310" s="715">
        <v>4.6191870628980915E-3</v>
      </c>
      <c r="BW310" s="1188">
        <f>'2019'!R\Max</f>
        <v>0.40559182820771145</v>
      </c>
      <c r="BX310" s="1188">
        <f>'2020'!R\Max</f>
        <v>0.13103260134454614</v>
      </c>
      <c r="BY310" s="1188">
        <f>'2021'!R\Max</f>
        <v>0.93113035018026036</v>
      </c>
      <c r="BZ310" s="1188">
        <f>'2022'!R\Max</f>
        <v>0.46238786459545567</v>
      </c>
      <c r="CA310" s="1188">
        <f>'2023'!R\Max</f>
        <v>0.46238199092968635</v>
      </c>
      <c r="CB310" s="1188">
        <f>'2024'!R\Max</f>
        <v>0.46237401198395645</v>
      </c>
      <c r="CC310" s="1188">
        <f>'2025'!R\Max</f>
        <v>0.46236602167097018</v>
      </c>
      <c r="CD310" s="1188">
        <f>'2026'!R\Max</f>
        <v>0.46240303019858037</v>
      </c>
      <c r="CE310" s="1189">
        <f>'2027'!R\Max</f>
        <v>0.46239853459003655</v>
      </c>
      <c r="CF310" s="1191">
        <f>'2028'!R\Max</f>
        <v>0.46239395991718429</v>
      </c>
    </row>
    <row r="311" spans="1:84" s="6" customFormat="1" ht="11.25" x14ac:dyDescent="0.2">
      <c r="A311" s="11">
        <v>43397</v>
      </c>
      <c r="B311" s="379">
        <f>'2023'!Maxi_hp</f>
        <v>41.981963629803325</v>
      </c>
      <c r="C311" s="13">
        <f>'2023'!An_max</f>
        <v>2021</v>
      </c>
      <c r="D311" s="1045">
        <f t="shared" si="116"/>
        <v>1.0453204168073562</v>
      </c>
      <c r="E311" s="13"/>
      <c r="F311" s="13">
        <f t="shared" si="133"/>
        <v>23</v>
      </c>
      <c r="G311" s="13">
        <f t="shared" si="117"/>
        <v>22</v>
      </c>
      <c r="H311" s="173">
        <f t="shared" si="118"/>
        <v>43402</v>
      </c>
      <c r="I311" s="742">
        <f t="shared" si="119"/>
        <v>0.35714285714285715</v>
      </c>
      <c r="J311" s="735">
        <f t="shared" si="120"/>
        <v>40.161813502146728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38">
        <v>43397</v>
      </c>
      <c r="AP311" s="13">
        <f t="shared" si="121"/>
        <v>13</v>
      </c>
      <c r="AQ311" s="13">
        <f t="shared" si="122"/>
        <v>12</v>
      </c>
      <c r="AR311" s="173">
        <f t="shared" si="123"/>
        <v>43416</v>
      </c>
      <c r="AS311" s="742">
        <f t="shared" si="124"/>
        <v>0.6785714285714286</v>
      </c>
      <c r="AT311" s="758">
        <f t="shared" si="125"/>
        <v>40.32072282720889</v>
      </c>
      <c r="AU311" s="13">
        <f t="shared" si="126"/>
        <v>11</v>
      </c>
      <c r="AV311" s="13">
        <f t="shared" si="127"/>
        <v>12</v>
      </c>
      <c r="AW311" s="173">
        <f t="shared" si="128"/>
        <v>43374</v>
      </c>
      <c r="AX311" s="742">
        <f t="shared" si="129"/>
        <v>0.8214285714285714</v>
      </c>
      <c r="AY311" s="758">
        <f t="shared" si="130"/>
        <v>40.043108258622567</v>
      </c>
      <c r="AZ311" s="735">
        <f t="shared" si="134"/>
        <v>40.181915542915732</v>
      </c>
      <c r="BA311" s="633">
        <f t="shared" si="131"/>
        <v>1.0453204168073562</v>
      </c>
      <c r="BC311" s="11">
        <v>43397</v>
      </c>
      <c r="BD311" s="289">
        <f>[2]!FeuilCaduc*(1-Persistant)+Persistant</f>
        <v>0.7878155567362094</v>
      </c>
      <c r="BE311" s="290">
        <f>[2]!CroissVégét</f>
        <v>0.99660009836364072</v>
      </c>
      <c r="BF311" s="804">
        <f>1+[2]!Salcycl*Ksac</f>
        <v>1.0287815556736208</v>
      </c>
      <c r="BH311" s="1036">
        <f t="shared" si="132"/>
        <v>9.7553963380474359E-4</v>
      </c>
      <c r="BI311" s="11">
        <v>44493</v>
      </c>
      <c r="BJ311" s="715">
        <v>7.849324357343786E-4</v>
      </c>
      <c r="BK311" s="715">
        <v>7.8493243573437871E-4</v>
      </c>
      <c r="BL311" s="715">
        <v>8.0543996770404507E-4</v>
      </c>
      <c r="BM311" s="715">
        <v>8.9100533454976479E-4</v>
      </c>
      <c r="BN311" s="715">
        <v>1.0603745506081489E-3</v>
      </c>
      <c r="BO311" s="716">
        <v>1.3076673198631746E-3</v>
      </c>
      <c r="BP311" s="715">
        <v>1.6286055460101052E-3</v>
      </c>
      <c r="BQ311" s="715">
        <v>2.0706458489994765E-3</v>
      </c>
      <c r="BR311" s="715">
        <v>2.7077654533228753E-3</v>
      </c>
      <c r="BS311" s="715">
        <v>3.6458431305061664E-3</v>
      </c>
      <c r="BT311" s="715">
        <v>4.8186762462622025E-3</v>
      </c>
      <c r="BW311" s="1188">
        <f>'2019'!R\Max</f>
        <v>0.4593038262766645</v>
      </c>
      <c r="BX311" s="1188">
        <f>'2020'!R\Max</f>
        <v>0.26880041008053229</v>
      </c>
      <c r="BY311" s="1188">
        <f>'2021'!R\Max</f>
        <v>1.0453204168073562</v>
      </c>
      <c r="BZ311" s="1188">
        <f>'2022'!R\Max</f>
        <v>0.79241627790545022</v>
      </c>
      <c r="CA311" s="1188">
        <f>'2023'!R\Max</f>
        <v>0.79241228339881853</v>
      </c>
      <c r="CB311" s="1188">
        <f>'2024'!R\Max</f>
        <v>0.79240678925920782</v>
      </c>
      <c r="CC311" s="1188">
        <f>'2025'!R\Max</f>
        <v>0.79240128713742408</v>
      </c>
      <c r="CD311" s="1188">
        <f>'2026'!R\Max</f>
        <v>0.79242652334437014</v>
      </c>
      <c r="CE311" s="1189">
        <f>'2027'!R\Max</f>
        <v>0.79242349913749122</v>
      </c>
      <c r="CF311" s="1191">
        <f>'2028'!R\Max</f>
        <v>0.79242042138885471</v>
      </c>
    </row>
    <row r="312" spans="1:84" s="6" customFormat="1" ht="11.25" x14ac:dyDescent="0.2">
      <c r="A312" s="11">
        <v>43398</v>
      </c>
      <c r="B312" s="379">
        <f>'2023'!Maxi_hp</f>
        <v>38.701357747255933</v>
      </c>
      <c r="C312" s="13">
        <f>'2023'!An_max</f>
        <v>2021</v>
      </c>
      <c r="D312" s="1045">
        <f t="shared" si="116"/>
        <v>0.97231098834486052</v>
      </c>
      <c r="E312" s="13"/>
      <c r="F312" s="13">
        <f t="shared" si="133"/>
        <v>23</v>
      </c>
      <c r="G312" s="13">
        <f t="shared" si="117"/>
        <v>22</v>
      </c>
      <c r="H312" s="173">
        <f t="shared" si="118"/>
        <v>43402</v>
      </c>
      <c r="I312" s="742">
        <f t="shared" si="119"/>
        <v>0.2857142857142857</v>
      </c>
      <c r="J312" s="735">
        <f t="shared" si="120"/>
        <v>39.803476676877054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38">
        <v>43398</v>
      </c>
      <c r="AP312" s="13">
        <f t="shared" si="121"/>
        <v>13</v>
      </c>
      <c r="AQ312" s="13">
        <f t="shared" si="122"/>
        <v>12</v>
      </c>
      <c r="AR312" s="173">
        <f t="shared" si="123"/>
        <v>43416</v>
      </c>
      <c r="AS312" s="742">
        <f t="shared" si="124"/>
        <v>0.6428571428571429</v>
      </c>
      <c r="AT312" s="758">
        <f t="shared" si="125"/>
        <v>39.965728863035999</v>
      </c>
      <c r="AU312" s="13">
        <f t="shared" si="126"/>
        <v>11</v>
      </c>
      <c r="AV312" s="13">
        <f t="shared" si="127"/>
        <v>12</v>
      </c>
      <c r="AW312" s="173">
        <f t="shared" si="128"/>
        <v>43374</v>
      </c>
      <c r="AX312" s="742">
        <f t="shared" si="129"/>
        <v>0.8571428571428571</v>
      </c>
      <c r="AY312" s="758">
        <f t="shared" si="130"/>
        <v>39.70756122432649</v>
      </c>
      <c r="AZ312" s="735">
        <f t="shared" si="134"/>
        <v>39.836645043681244</v>
      </c>
      <c r="BA312" s="633">
        <f t="shared" si="131"/>
        <v>0.97231098834486052</v>
      </c>
      <c r="BC312" s="11">
        <v>43398</v>
      </c>
      <c r="BD312" s="289">
        <f>[2]!FeuilCaduc*(1-Persistant)+Persistant</f>
        <v>0.78089317037145478</v>
      </c>
      <c r="BE312" s="290">
        <f>[2]!CroissVégét</f>
        <v>0.99674978642645717</v>
      </c>
      <c r="BF312" s="804">
        <f>1+[2]!Salcycl*Ksac</f>
        <v>1.0280893170371455</v>
      </c>
      <c r="BH312" s="1036">
        <f t="shared" si="132"/>
        <v>9.6597556590928774E-4</v>
      </c>
      <c r="BI312" s="11">
        <v>44494</v>
      </c>
      <c r="BJ312" s="715">
        <v>7.7395435030180545E-4</v>
      </c>
      <c r="BK312" s="715">
        <v>7.7395435030180534E-4</v>
      </c>
      <c r="BL312" s="715">
        <v>7.9453340552126191E-4</v>
      </c>
      <c r="BM312" s="715">
        <v>8.8062829804576943E-4</v>
      </c>
      <c r="BN312" s="715">
        <v>1.0516263423682064E-3</v>
      </c>
      <c r="BO312" s="716">
        <v>1.302411275985926E-3</v>
      </c>
      <c r="BP312" s="715">
        <v>1.6319456776601241E-3</v>
      </c>
      <c r="BQ312" s="715">
        <v>2.0919377884024205E-3</v>
      </c>
      <c r="BR312" s="715">
        <v>2.7686507916168022E-3</v>
      </c>
      <c r="BS312" s="715">
        <v>3.7742508753918123E-3</v>
      </c>
      <c r="BT312" s="715">
        <v>5.0376424842229527E-3</v>
      </c>
      <c r="BW312" s="1188">
        <f>'2019'!R\Max</f>
        <v>0.74379353589077934</v>
      </c>
      <c r="BX312" s="1188">
        <f>'2020'!R\Max</f>
        <v>0.88276441266033456</v>
      </c>
      <c r="BY312" s="1188">
        <f>'2021'!R\Max</f>
        <v>0.97231098834486052</v>
      </c>
      <c r="BZ312" s="1188">
        <f>'2022'!R\Max</f>
        <v>0.6508136570485904</v>
      </c>
      <c r="CA312" s="1188">
        <f>'2023'!R\Max</f>
        <v>0.65080798985698385</v>
      </c>
      <c r="CB312" s="1188">
        <f>'2024'!R\Max</f>
        <v>0.65080009021965346</v>
      </c>
      <c r="CC312" s="1188">
        <f>'2025'!R\Max</f>
        <v>0.65079217911342713</v>
      </c>
      <c r="CD312" s="1188">
        <f>'2026'!R\Max</f>
        <v>0.65082808284311477</v>
      </c>
      <c r="CE312" s="1189">
        <f>'2027'!R\Max</f>
        <v>0.65082384561885886</v>
      </c>
      <c r="CF312" s="1191">
        <f>'2028'!R\Max</f>
        <v>0.65081953287159011</v>
      </c>
    </row>
    <row r="313" spans="1:84" s="6" customFormat="1" ht="11.25" x14ac:dyDescent="0.2">
      <c r="A313" s="11">
        <v>43399</v>
      </c>
      <c r="B313" s="379">
        <f>'2023'!Maxi_hp</f>
        <v>38.488384875395617</v>
      </c>
      <c r="C313" s="13">
        <f>'2023'!An_max</f>
        <v>2018</v>
      </c>
      <c r="D313" s="1045">
        <f t="shared" si="116"/>
        <v>0.97566298195026147</v>
      </c>
      <c r="E313" s="13"/>
      <c r="F313" s="13">
        <f t="shared" si="133"/>
        <v>23</v>
      </c>
      <c r="G313" s="13">
        <f t="shared" si="117"/>
        <v>22</v>
      </c>
      <c r="H313" s="173">
        <f t="shared" si="118"/>
        <v>43402</v>
      </c>
      <c r="I313" s="742">
        <f t="shared" si="119"/>
        <v>0.21428571428571427</v>
      </c>
      <c r="J313" s="735">
        <f t="shared" si="120"/>
        <v>39.448442328375357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38">
        <v>43399</v>
      </c>
      <c r="AP313" s="13">
        <f t="shared" si="121"/>
        <v>13</v>
      </c>
      <c r="AQ313" s="13">
        <f t="shared" si="122"/>
        <v>12</v>
      </c>
      <c r="AR313" s="173">
        <f t="shared" si="123"/>
        <v>43416</v>
      </c>
      <c r="AS313" s="742">
        <f t="shared" si="124"/>
        <v>0.6071428571428571</v>
      </c>
      <c r="AT313" s="758">
        <f t="shared" si="125"/>
        <v>39.609299039095639</v>
      </c>
      <c r="AU313" s="13">
        <f t="shared" si="126"/>
        <v>11</v>
      </c>
      <c r="AV313" s="13">
        <f t="shared" si="127"/>
        <v>12</v>
      </c>
      <c r="AW313" s="173">
        <f t="shared" si="128"/>
        <v>43374</v>
      </c>
      <c r="AX313" s="742">
        <f t="shared" si="129"/>
        <v>0.8928571428571429</v>
      </c>
      <c r="AY313" s="758">
        <f t="shared" si="130"/>
        <v>39.376411511343235</v>
      </c>
      <c r="AZ313" s="735">
        <f t="shared" si="134"/>
        <v>39.492855275219441</v>
      </c>
      <c r="BA313" s="633">
        <f t="shared" si="131"/>
        <v>0.97566298195026147</v>
      </c>
      <c r="BC313" s="11">
        <v>43399</v>
      </c>
      <c r="BD313" s="289">
        <f>[2]!FeuilCaduc*(1-Persistant)+Persistant</f>
        <v>0.77389874516275903</v>
      </c>
      <c r="BE313" s="290">
        <f>[2]!CroissVégét</f>
        <v>0.99689348984691617</v>
      </c>
      <c r="BF313" s="804">
        <f>1+[2]!Salcycl*Ksac</f>
        <v>1.0273898745162759</v>
      </c>
      <c r="BH313" s="1036">
        <f t="shared" si="132"/>
        <v>9.5546954530144378E-4</v>
      </c>
      <c r="BI313" s="11">
        <v>44495</v>
      </c>
      <c r="BJ313" s="715">
        <v>7.6255518631349387E-4</v>
      </c>
      <c r="BK313" s="715">
        <v>7.6255518631349398E-4</v>
      </c>
      <c r="BL313" s="715">
        <v>7.831456603866533E-4</v>
      </c>
      <c r="BM313" s="715">
        <v>8.6953481528124175E-4</v>
      </c>
      <c r="BN313" s="715">
        <v>1.0417098730268499E-3</v>
      </c>
      <c r="BO313" s="716">
        <v>1.2954757442210643E-3</v>
      </c>
      <c r="BP313" s="715">
        <v>1.6336328237406921E-3</v>
      </c>
      <c r="BQ313" s="715">
        <v>2.1124155457972016E-3</v>
      </c>
      <c r="BR313" s="715">
        <v>2.8321260637127373E-3</v>
      </c>
      <c r="BS313" s="715">
        <v>3.9120986639771581E-3</v>
      </c>
      <c r="BT313" s="715">
        <v>5.2761116903494061E-3</v>
      </c>
      <c r="BW313" s="1188">
        <f>'2019'!R\Max</f>
        <v>0.97566298195026147</v>
      </c>
      <c r="BX313" s="1188">
        <f>'2020'!R\Max</f>
        <v>0.67121547568579876</v>
      </c>
      <c r="BY313" s="1188">
        <f>'2021'!R\Max</f>
        <v>0.69927723514582207</v>
      </c>
      <c r="BZ313" s="1188">
        <f>'2022'!R\Max</f>
        <v>0.36258502710303447</v>
      </c>
      <c r="CA313" s="1188">
        <f>'2023'!R\Max</f>
        <v>0.36257911305823987</v>
      </c>
      <c r="CB313" s="1188">
        <f>'2024'!R\Max</f>
        <v>0.36257075157971974</v>
      </c>
      <c r="CC313" s="1188">
        <f>'2025'!R\Max</f>
        <v>0.36256237805622882</v>
      </c>
      <c r="CD313" s="1188">
        <f>'2026'!R\Max</f>
        <v>0.3625999536263449</v>
      </c>
      <c r="CE313" s="1189">
        <f>'2027'!R\Max</f>
        <v>0.36259559381927636</v>
      </c>
      <c r="CF313" s="1191">
        <f>'2028'!R\Max</f>
        <v>0.3625911557234045</v>
      </c>
    </row>
    <row r="314" spans="1:84" s="6" customFormat="1" ht="11.25" x14ac:dyDescent="0.2">
      <c r="A314" s="11">
        <v>43400</v>
      </c>
      <c r="B314" s="379">
        <f>'2023'!Maxi_hp</f>
        <v>29.983519029323368</v>
      </c>
      <c r="C314" s="13">
        <f>'2023'!An_max</f>
        <v>2021</v>
      </c>
      <c r="D314" s="1045" t="str">
        <f t="shared" si="116"/>
        <v/>
      </c>
      <c r="E314" s="13"/>
      <c r="F314" s="13">
        <f t="shared" si="133"/>
        <v>23</v>
      </c>
      <c r="G314" s="13">
        <f t="shared" si="117"/>
        <v>22</v>
      </c>
      <c r="H314" s="173">
        <f t="shared" si="118"/>
        <v>43402</v>
      </c>
      <c r="I314" s="742">
        <f t="shared" si="119"/>
        <v>0.14285714285714285</v>
      </c>
      <c r="J314" s="735">
        <f t="shared" si="120"/>
        <v>39.097895043609398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38">
        <v>43400</v>
      </c>
      <c r="AP314" s="13">
        <f t="shared" si="121"/>
        <v>13</v>
      </c>
      <c r="AQ314" s="13">
        <f t="shared" si="122"/>
        <v>12</v>
      </c>
      <c r="AR314" s="173">
        <f t="shared" si="123"/>
        <v>43416</v>
      </c>
      <c r="AS314" s="742">
        <f t="shared" si="124"/>
        <v>0.5714285714285714</v>
      </c>
      <c r="AT314" s="758">
        <f t="shared" si="125"/>
        <v>39.252106414096701</v>
      </c>
      <c r="AU314" s="13">
        <f t="shared" si="126"/>
        <v>11</v>
      </c>
      <c r="AV314" s="13">
        <f t="shared" si="127"/>
        <v>12</v>
      </c>
      <c r="AW314" s="173">
        <f t="shared" si="128"/>
        <v>43374</v>
      </c>
      <c r="AX314" s="742">
        <f t="shared" si="129"/>
        <v>0.9285714285714286</v>
      </c>
      <c r="AY314" s="758">
        <f t="shared" si="130"/>
        <v>39.05022448954572</v>
      </c>
      <c r="AZ314" s="735">
        <f t="shared" si="134"/>
        <v>39.151165451821214</v>
      </c>
      <c r="BA314" s="633">
        <f t="shared" si="131"/>
        <v>0.76688320422058665</v>
      </c>
      <c r="BC314" s="11">
        <v>43400</v>
      </c>
      <c r="BD314" s="289">
        <f>[2]!FeuilCaduc*(1-Persistant)+Persistant</f>
        <v>0.76684103266780501</v>
      </c>
      <c r="BE314" s="290">
        <f>[2]!CroissVégét</f>
        <v>0.99703144626847073</v>
      </c>
      <c r="BF314" s="804">
        <f>1+[2]!Salcycl*Ksac</f>
        <v>1.0266841032667804</v>
      </c>
      <c r="BH314" s="1036">
        <f t="shared" si="132"/>
        <v>9.4401920837644429E-4</v>
      </c>
      <c r="BI314" s="11">
        <v>44496</v>
      </c>
      <c r="BJ314" s="715">
        <v>7.5073346975718775E-4</v>
      </c>
      <c r="BK314" s="715">
        <v>7.5073346975718764E-4</v>
      </c>
      <c r="BL314" s="715">
        <v>7.7127515579835748E-4</v>
      </c>
      <c r="BM314" s="715">
        <v>8.5772290697699123E-4</v>
      </c>
      <c r="BN314" s="715">
        <v>1.030622393287012E-3</v>
      </c>
      <c r="BO314" s="716">
        <v>1.2868570739843963E-3</v>
      </c>
      <c r="BP314" s="715">
        <v>1.6336631854083593E-3</v>
      </c>
      <c r="BQ314" s="715">
        <v>2.1320763245137393E-3</v>
      </c>
      <c r="BR314" s="715">
        <v>2.8981931776817875E-3</v>
      </c>
      <c r="BS314" s="715">
        <v>4.0593980308824204E-3</v>
      </c>
      <c r="BT314" s="715">
        <v>5.5341096171668772E-3</v>
      </c>
      <c r="BW314" s="1188">
        <f>'2019'!R\Max</f>
        <v>0.73175494252335949</v>
      </c>
      <c r="BX314" s="1188">
        <f>'2020'!R\Max</f>
        <v>0.64430740446316304</v>
      </c>
      <c r="BY314" s="1188">
        <f>'2021'!R\Max</f>
        <v>0.76688320422058665</v>
      </c>
      <c r="BZ314" s="1188">
        <f>'2022'!R\Max</f>
        <v>0.47199057267954547</v>
      </c>
      <c r="CA314" s="1188">
        <f>'2023'!R\Max</f>
        <v>0.47198403392741156</v>
      </c>
      <c r="CB314" s="1188">
        <f>'2024'!R\Max</f>
        <v>0.47197465020345447</v>
      </c>
      <c r="CC314" s="1188">
        <f>'2025'!R\Max</f>
        <v>0.47196525279686319</v>
      </c>
      <c r="CD314" s="1188">
        <f>'2026'!R\Max</f>
        <v>0.47200692073658557</v>
      </c>
      <c r="CE314" s="1189">
        <f>'2027'!R\Max</f>
        <v>0.47200217572597986</v>
      </c>
      <c r="CF314" s="1191">
        <f>'2028'!R\Max</f>
        <v>0.47199734470887783</v>
      </c>
    </row>
    <row r="315" spans="1:84" s="6" customFormat="1" ht="11.25" x14ac:dyDescent="0.2">
      <c r="A315" s="11">
        <v>43401</v>
      </c>
      <c r="B315" s="379">
        <f>'2023'!Maxi_hp</f>
        <v>39.257780539476109</v>
      </c>
      <c r="C315" s="13">
        <f>'2023'!An_max</f>
        <v>2021</v>
      </c>
      <c r="D315" s="1045">
        <f t="shared" si="116"/>
        <v>1.01302507885215</v>
      </c>
      <c r="E315" s="13"/>
      <c r="F315" s="13">
        <f t="shared" si="133"/>
        <v>23</v>
      </c>
      <c r="G315" s="13">
        <f t="shared" si="117"/>
        <v>22</v>
      </c>
      <c r="H315" s="173">
        <f t="shared" si="118"/>
        <v>43402</v>
      </c>
      <c r="I315" s="742">
        <f t="shared" si="119"/>
        <v>7.1428571428571425E-2</v>
      </c>
      <c r="J315" s="735">
        <f t="shared" si="120"/>
        <v>38.753019405954653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38">
        <v>43401</v>
      </c>
      <c r="AP315" s="13">
        <f t="shared" si="121"/>
        <v>13</v>
      </c>
      <c r="AQ315" s="13">
        <f t="shared" si="122"/>
        <v>12</v>
      </c>
      <c r="AR315" s="173">
        <f t="shared" si="123"/>
        <v>43416</v>
      </c>
      <c r="AS315" s="742">
        <f t="shared" si="124"/>
        <v>0.5357142857142857</v>
      </c>
      <c r="AT315" s="758">
        <f t="shared" si="125"/>
        <v>38.894824048464315</v>
      </c>
      <c r="AU315" s="13">
        <f t="shared" si="126"/>
        <v>11</v>
      </c>
      <c r="AV315" s="13">
        <f t="shared" si="127"/>
        <v>12</v>
      </c>
      <c r="AW315" s="173">
        <f t="shared" si="128"/>
        <v>43374</v>
      </c>
      <c r="AX315" s="742">
        <f t="shared" si="129"/>
        <v>0.9642857142857143</v>
      </c>
      <c r="AY315" s="758">
        <f t="shared" si="130"/>
        <v>38.729565529033003</v>
      </c>
      <c r="AZ315" s="735">
        <f t="shared" si="134"/>
        <v>38.812194788748656</v>
      </c>
      <c r="BA315" s="633">
        <f t="shared" si="131"/>
        <v>1.01302507885215</v>
      </c>
      <c r="BC315" s="11">
        <v>43401</v>
      </c>
      <c r="BD315" s="289">
        <f>[2]!FeuilCaduc*(1-Persistant)+Persistant</f>
        <v>0.75972915132866659</v>
      </c>
      <c r="BE315" s="290">
        <f>[2]!CroissVégét</f>
        <v>0.99716388402603495</v>
      </c>
      <c r="BF315" s="804">
        <f>1+[2]!Salcycl*Ksac</f>
        <v>1.0259729151328667</v>
      </c>
      <c r="BH315" s="1036">
        <f t="shared" si="132"/>
        <v>9.3162220602220169E-4</v>
      </c>
      <c r="BI315" s="11">
        <v>44497</v>
      </c>
      <c r="BJ315" s="715">
        <v>7.3848775854540045E-4</v>
      </c>
      <c r="BK315" s="715">
        <v>7.3848775854540034E-4</v>
      </c>
      <c r="BL315" s="715">
        <v>7.5892034550593403E-4</v>
      </c>
      <c r="BM315" s="715">
        <v>8.4519061663638074E-4</v>
      </c>
      <c r="BN315" s="715">
        <v>1.0183611600249503E-3</v>
      </c>
      <c r="BO315" s="716">
        <v>1.276551596031311E-3</v>
      </c>
      <c r="BP315" s="715">
        <v>1.6320329143562438E-3</v>
      </c>
      <c r="BQ315" s="715">
        <v>2.1509172325002222E-3</v>
      </c>
      <c r="BR315" s="715">
        <v>2.9668538816348213E-3</v>
      </c>
      <c r="BS315" s="715">
        <v>4.216160265427104E-3</v>
      </c>
      <c r="BT315" s="715">
        <v>5.8116616782883882E-3</v>
      </c>
      <c r="BW315" s="1188">
        <f>'2019'!R\Max</f>
        <v>0.25706527756782299</v>
      </c>
      <c r="BX315" s="1188">
        <f>'2020'!R\Max</f>
        <v>0.64149182659553994</v>
      </c>
      <c r="BY315" s="1188">
        <f>'2021'!R\Max</f>
        <v>1.01302507885215</v>
      </c>
      <c r="BZ315" s="1188">
        <f>'2022'!R\Max</f>
        <v>0.49643416262593465</v>
      </c>
      <c r="CA315" s="1188">
        <f>'2023'!R\Max</f>
        <v>0.49642744262075444</v>
      </c>
      <c r="CB315" s="1188">
        <f>'2024'!R\Max</f>
        <v>0.49641764776968494</v>
      </c>
      <c r="CC315" s="1188">
        <f>'2025'!R\Max</f>
        <v>0.49640783852205872</v>
      </c>
      <c r="CD315" s="1188">
        <f>'2026'!R\Max</f>
        <v>0.49645079168074358</v>
      </c>
      <c r="CE315" s="1189">
        <f>'2027'!R\Max</f>
        <v>0.49644599872454503</v>
      </c>
      <c r="CF315" s="1191">
        <f>'2028'!R\Max</f>
        <v>0.49644111800031521</v>
      </c>
    </row>
    <row r="316" spans="1:84" s="6" customFormat="1" ht="11.25" x14ac:dyDescent="0.2">
      <c r="A316" s="11">
        <v>43402</v>
      </c>
      <c r="B316" s="379">
        <f>'2023'!Maxi_hp</f>
        <v>31.534576892719645</v>
      </c>
      <c r="C316" s="13">
        <f>'2023'!An_max</f>
        <v>2022</v>
      </c>
      <c r="D316" s="1045" t="str">
        <f t="shared" si="116"/>
        <v/>
      </c>
      <c r="E316" s="1040">
        <f>AI$13/10</f>
        <v>38.414999999999999</v>
      </c>
      <c r="F316" s="13">
        <f t="shared" si="133"/>
        <v>23</v>
      </c>
      <c r="G316" s="13">
        <f t="shared" si="117"/>
        <v>24</v>
      </c>
      <c r="H316" s="173">
        <f t="shared" si="118"/>
        <v>43402</v>
      </c>
      <c r="I316" s="742">
        <f t="shared" si="119"/>
        <v>0</v>
      </c>
      <c r="J316" s="735">
        <f t="shared" si="120"/>
        <v>38.414999999850991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38">
        <v>43402</v>
      </c>
      <c r="AP316" s="13">
        <f t="shared" si="121"/>
        <v>13</v>
      </c>
      <c r="AQ316" s="13">
        <f t="shared" si="122"/>
        <v>12</v>
      </c>
      <c r="AR316" s="173">
        <f t="shared" si="123"/>
        <v>43416</v>
      </c>
      <c r="AS316" s="742">
        <f t="shared" si="124"/>
        <v>0.5</v>
      </c>
      <c r="AT316" s="758">
        <f t="shared" si="125"/>
        <v>38.538125000149009</v>
      </c>
      <c r="AU316" s="13">
        <f t="shared" si="126"/>
        <v>13</v>
      </c>
      <c r="AV316" s="13">
        <f t="shared" si="127"/>
        <v>12</v>
      </c>
      <c r="AW316" s="173">
        <f t="shared" si="128"/>
        <v>43430</v>
      </c>
      <c r="AX316" s="742">
        <f t="shared" si="129"/>
        <v>1</v>
      </c>
      <c r="AY316" s="758">
        <f t="shared" si="130"/>
        <v>38.415000000037253</v>
      </c>
      <c r="AZ316" s="735">
        <f t="shared" si="134"/>
        <v>38.476562500093131</v>
      </c>
      <c r="BA316" s="633">
        <f t="shared" si="131"/>
        <v>0.82089227887132543</v>
      </c>
      <c r="BC316" s="11">
        <v>43402</v>
      </c>
      <c r="BD316" s="289">
        <f>[2]!FeuilCaduc*(1-Persistant)+Persistant</f>
        <v>0.7525725522008142</v>
      </c>
      <c r="BE316" s="290">
        <f>[2]!CroissVégét</f>
        <v>0.99729102250050727</v>
      </c>
      <c r="BF316" s="804">
        <f>1+[2]!Salcycl*Ksac</f>
        <v>1.0252572552200814</v>
      </c>
      <c r="BH316" s="1036">
        <f t="shared" si="132"/>
        <v>9.1827621227830582E-4</v>
      </c>
      <c r="BI316" s="11">
        <v>44498</v>
      </c>
      <c r="BJ316" s="715">
        <v>7.2581664634605221E-4</v>
      </c>
      <c r="BK316" s="715">
        <v>7.2581664634605231E-4</v>
      </c>
      <c r="BL316" s="715">
        <v>7.4607971789729984E-4</v>
      </c>
      <c r="BM316" s="715">
        <v>8.3193601711213162E-4</v>
      </c>
      <c r="BN316" s="715">
        <v>1.0049234470488806E-3</v>
      </c>
      <c r="BO316" s="716">
        <v>1.2645556379752331E-3</v>
      </c>
      <c r="BP316" s="715">
        <v>1.6287381281768949E-3</v>
      </c>
      <c r="BQ316" s="715">
        <v>2.1689352901196083E-3</v>
      </c>
      <c r="BR316" s="715">
        <v>3.0381097404722176E-3</v>
      </c>
      <c r="BS316" s="715">
        <v>4.3823963257838619E-3</v>
      </c>
      <c r="BT316" s="715">
        <v>6.1087927705304676E-3</v>
      </c>
      <c r="BW316" s="1188">
        <f>'2019'!R\Max</f>
        <v>0.76893994615490535</v>
      </c>
      <c r="BX316" s="1188">
        <f>'2020'!R\Max</f>
        <v>0.34825771924330534</v>
      </c>
      <c r="BY316" s="1188">
        <f>'2021'!R\Max</f>
        <v>0.52570660889544507</v>
      </c>
      <c r="BZ316" s="1188">
        <f>'2022'!R\Max</f>
        <v>0.82089227887132543</v>
      </c>
      <c r="CA316" s="1188">
        <f>'2023'!R\Max</f>
        <v>0.82088823262040744</v>
      </c>
      <c r="CB316" s="1188">
        <f>'2024'!R\Max</f>
        <v>0.82088223931463655</v>
      </c>
      <c r="CC316" s="1188">
        <f>'2025'!R\Max</f>
        <v>0.82087623698348633</v>
      </c>
      <c r="CD316" s="1188">
        <f>'2026'!R\Max</f>
        <v>0.82090218044956942</v>
      </c>
      <c r="CE316" s="1189">
        <f>'2027'!R\Max</f>
        <v>0.82089934844299761</v>
      </c>
      <c r="CF316" s="1191">
        <f>'2028'!R\Max</f>
        <v>0.8208964639549432</v>
      </c>
    </row>
    <row r="317" spans="1:84" s="6" customFormat="1" ht="11.25" x14ac:dyDescent="0.2">
      <c r="A317" s="11">
        <v>43403</v>
      </c>
      <c r="B317" s="379">
        <f>'2023'!Maxi_hp</f>
        <v>30.400555520503801</v>
      </c>
      <c r="C317" s="13">
        <f>'2023'!An_max</f>
        <v>2020</v>
      </c>
      <c r="D317" s="1045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73">
        <f t="shared" si="118"/>
        <v>43402</v>
      </c>
      <c r="I317" s="742">
        <f t="shared" si="119"/>
        <v>7.1428571428571425E-2</v>
      </c>
      <c r="J317" s="735">
        <f t="shared" si="120"/>
        <v>38.081593294388483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38">
        <v>43403</v>
      </c>
      <c r="AP317" s="13">
        <f t="shared" si="121"/>
        <v>13</v>
      </c>
      <c r="AQ317" s="13">
        <f t="shared" si="122"/>
        <v>12</v>
      </c>
      <c r="AR317" s="173">
        <f t="shared" si="123"/>
        <v>43416</v>
      </c>
      <c r="AS317" s="742">
        <f t="shared" si="124"/>
        <v>0.4642857142857143</v>
      </c>
      <c r="AT317" s="758">
        <f t="shared" si="125"/>
        <v>38.182682329975066</v>
      </c>
      <c r="AU317" s="13">
        <f t="shared" si="126"/>
        <v>13</v>
      </c>
      <c r="AV317" s="13">
        <f t="shared" si="127"/>
        <v>12</v>
      </c>
      <c r="AW317" s="173">
        <f t="shared" si="128"/>
        <v>43430</v>
      </c>
      <c r="AX317" s="742">
        <f t="shared" si="129"/>
        <v>0.9642857142857143</v>
      </c>
      <c r="AY317" s="758">
        <f t="shared" si="130"/>
        <v>38.101513609236903</v>
      </c>
      <c r="AZ317" s="735">
        <f t="shared" si="134"/>
        <v>38.142097969605985</v>
      </c>
      <c r="BA317" s="633">
        <f t="shared" si="131"/>
        <v>0.79830051451611606</v>
      </c>
      <c r="BC317" s="11">
        <v>43403</v>
      </c>
      <c r="BD317" s="289">
        <f>[2]!FeuilCaduc*(1-Persistant)+Persistant</f>
        <v>0.74538098203215064</v>
      </c>
      <c r="BE317" s="290">
        <f>[2]!CroissVégét</f>
        <v>0.99741307246059263</v>
      </c>
      <c r="BF317" s="804">
        <f>1+[2]!Salcycl*Ksac</f>
        <v>1.0245380982032151</v>
      </c>
      <c r="BH317" s="1036">
        <f t="shared" si="132"/>
        <v>9.0397893299714888E-4</v>
      </c>
      <c r="BI317" s="11">
        <v>44499</v>
      </c>
      <c r="BJ317" s="715">
        <v>7.127187664148026E-4</v>
      </c>
      <c r="BK317" s="715">
        <v>7.127187664148026E-4</v>
      </c>
      <c r="BL317" s="715">
        <v>7.3275180038740188E-4</v>
      </c>
      <c r="BM317" s="715">
        <v>8.1795721717505996E-4</v>
      </c>
      <c r="BN317" s="715">
        <v>9.9030655585992757E-4</v>
      </c>
      <c r="BO317" s="716">
        <v>1.2508655398089669E-3</v>
      </c>
      <c r="BP317" s="715">
        <v>1.6237749257288195E-3</v>
      </c>
      <c r="BQ317" s="715">
        <v>2.1861274379508934E-3</v>
      </c>
      <c r="BR317" s="715">
        <v>3.1119621126400828E-3</v>
      </c>
      <c r="BS317" s="715">
        <v>4.5581167531413766E-3</v>
      </c>
      <c r="BT317" s="715">
        <v>6.425527096041217E-3</v>
      </c>
      <c r="BW317" s="1188">
        <f>'2019'!R\Max</f>
        <v>0.59084612531080305</v>
      </c>
      <c r="BX317" s="1188">
        <f>'2020'!R\Max</f>
        <v>0.79830051451611606</v>
      </c>
      <c r="BY317" s="1188">
        <f>'2021'!R\Max</f>
        <v>0.2949992359007666</v>
      </c>
      <c r="BZ317" s="1188">
        <f>'2022'!R\Max</f>
        <v>0.76009328823314426</v>
      </c>
      <c r="CA317" s="1188">
        <f>'2023'!R\Max</f>
        <v>0.7600881541717297</v>
      </c>
      <c r="CB317" s="1188">
        <f>'2024'!R\Max</f>
        <v>0.76008042306323409</v>
      </c>
      <c r="CC317" s="1188">
        <f>'2025'!R\Max</f>
        <v>0.76007268027398756</v>
      </c>
      <c r="CD317" s="1188">
        <f>'2026'!R\Max</f>
        <v>0.76010570282114676</v>
      </c>
      <c r="CE317" s="1189">
        <f>'2027'!R\Max</f>
        <v>0.76010218177829103</v>
      </c>
      <c r="CF317" s="1191">
        <f>'2028'!R\Max</f>
        <v>0.760098594685506</v>
      </c>
    </row>
    <row r="318" spans="1:84" s="6" customFormat="1" ht="11.25" x14ac:dyDescent="0.2">
      <c r="A318" s="11">
        <v>43404</v>
      </c>
      <c r="B318" s="379">
        <f>'2023'!Maxi_hp</f>
        <v>35.917509171902125</v>
      </c>
      <c r="C318" s="13">
        <f>'2023'!An_max</f>
        <v>2020</v>
      </c>
      <c r="D318" s="1045" t="str">
        <f t="shared" si="116"/>
        <v/>
      </c>
      <c r="E318" s="13"/>
      <c r="F318" s="13">
        <f t="shared" si="133"/>
        <v>23</v>
      </c>
      <c r="G318" s="13">
        <f t="shared" si="117"/>
        <v>24</v>
      </c>
      <c r="H318" s="173">
        <f t="shared" si="118"/>
        <v>43402</v>
      </c>
      <c r="I318" s="742">
        <f t="shared" si="119"/>
        <v>0.14285714285714285</v>
      </c>
      <c r="J318" s="735">
        <f t="shared" si="120"/>
        <v>37.74990962147713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38">
        <v>43404</v>
      </c>
      <c r="AP318" s="13">
        <f t="shared" si="121"/>
        <v>13</v>
      </c>
      <c r="AQ318" s="13">
        <f t="shared" si="122"/>
        <v>12</v>
      </c>
      <c r="AR318" s="173">
        <f t="shared" si="123"/>
        <v>43416</v>
      </c>
      <c r="AS318" s="742">
        <f t="shared" si="124"/>
        <v>0.42857142857142855</v>
      </c>
      <c r="AT318" s="758">
        <f t="shared" si="125"/>
        <v>37.829169096744479</v>
      </c>
      <c r="AU318" s="13">
        <f t="shared" si="126"/>
        <v>13</v>
      </c>
      <c r="AV318" s="13">
        <f t="shared" si="127"/>
        <v>12</v>
      </c>
      <c r="AW318" s="173">
        <f t="shared" si="128"/>
        <v>43430</v>
      </c>
      <c r="AX318" s="742">
        <f t="shared" si="129"/>
        <v>0.9285714285714286</v>
      </c>
      <c r="AY318" s="758">
        <f t="shared" si="130"/>
        <v>37.784136934897731</v>
      </c>
      <c r="AZ318" s="735">
        <f t="shared" si="134"/>
        <v>37.806653015821105</v>
      </c>
      <c r="BA318" s="633">
        <f t="shared" si="131"/>
        <v>0.95145947452725843</v>
      </c>
      <c r="BC318" s="11">
        <v>43404</v>
      </c>
      <c r="BD318" s="289">
        <f>[2]!FeuilCaduc*(1-Persistant)+Persistant</f>
        <v>0.73816444391302316</v>
      </c>
      <c r="BE318" s="290">
        <f>[2]!CroissVégét</f>
        <v>0.99753023639231442</v>
      </c>
      <c r="BF318" s="804">
        <f>1+[2]!Salcycl*Ksac</f>
        <v>1.0238164443913023</v>
      </c>
      <c r="BH318" s="1036">
        <f t="shared" si="132"/>
        <v>8.890928498695729E-4</v>
      </c>
      <c r="BI318" s="11">
        <v>44500</v>
      </c>
      <c r="BJ318" s="715">
        <v>6.9917873678911036E-4</v>
      </c>
      <c r="BK318" s="715">
        <v>6.9917873678911025E-4</v>
      </c>
      <c r="BL318" s="715">
        <v>7.189519077978574E-4</v>
      </c>
      <c r="BM318" s="715">
        <v>8.0338342263167615E-4</v>
      </c>
      <c r="BN318" s="715">
        <v>9.7510707359978535E-4</v>
      </c>
      <c r="BO318" s="716">
        <v>1.237233395642085E-3</v>
      </c>
      <c r="BP318" s="715">
        <v>1.62182844497778E-3</v>
      </c>
      <c r="BQ318" s="715">
        <v>2.2127732302318882E-3</v>
      </c>
      <c r="BR318" s="715">
        <v>3.2075766122015743E-3</v>
      </c>
      <c r="BS318" s="715">
        <v>4.7771741892702257E-3</v>
      </c>
      <c r="BT318" s="715">
        <v>6.815051160503606E-3</v>
      </c>
      <c r="BW318" s="1188">
        <f>'2019'!R\Max</f>
        <v>0.44478179319156907</v>
      </c>
      <c r="BX318" s="1188">
        <f>'2020'!R\Max</f>
        <v>0.95145947452725843</v>
      </c>
      <c r="BY318" s="1188">
        <f>'2021'!R\Max</f>
        <v>0.53892251536573477</v>
      </c>
      <c r="BZ318" s="1188">
        <f>'2022'!R\Max</f>
        <v>0.72182370861275136</v>
      </c>
      <c r="CA318" s="1188">
        <f>'2023'!R\Max</f>
        <v>0.72181788386310752</v>
      </c>
      <c r="CB318" s="1188">
        <f>'2024'!R\Max</f>
        <v>0.72180894690607911</v>
      </c>
      <c r="CC318" s="1188">
        <f>'2025'!R\Max</f>
        <v>0.72179999634487213</v>
      </c>
      <c r="CD318" s="1188">
        <f>'2026'!R\Max</f>
        <v>0.72183758896447436</v>
      </c>
      <c r="CE318" s="1189">
        <f>'2027'!R\Max</f>
        <v>0.72183369350225746</v>
      </c>
      <c r="CF318" s="1191">
        <f>'2028'!R\Max</f>
        <v>0.72182972374185905</v>
      </c>
    </row>
    <row r="319" spans="1:84" s="6" customFormat="1" ht="11.25" x14ac:dyDescent="0.2">
      <c r="A319" s="11">
        <v>43405</v>
      </c>
      <c r="B319" s="379">
        <f>'2023'!Maxi_hp</f>
        <v>33.217100495865481</v>
      </c>
      <c r="C319" s="13">
        <f>'2023'!An_max</f>
        <v>2020</v>
      </c>
      <c r="D319" s="1045" t="str">
        <f t="shared" si="116"/>
        <v/>
      </c>
      <c r="E319" s="13"/>
      <c r="F319" s="13">
        <f t="shared" si="133"/>
        <v>23</v>
      </c>
      <c r="G319" s="13">
        <f t="shared" si="117"/>
        <v>24</v>
      </c>
      <c r="H319" s="173">
        <f t="shared" si="118"/>
        <v>43402</v>
      </c>
      <c r="I319" s="742">
        <f t="shared" si="119"/>
        <v>0.21428571428571427</v>
      </c>
      <c r="J319" s="735">
        <f t="shared" si="120"/>
        <v>37.420164358775523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38">
        <v>43405</v>
      </c>
      <c r="AP319" s="13">
        <f t="shared" si="121"/>
        <v>13</v>
      </c>
      <c r="AQ319" s="13">
        <f t="shared" si="122"/>
        <v>12</v>
      </c>
      <c r="AR319" s="173">
        <f t="shared" si="123"/>
        <v>43416</v>
      </c>
      <c r="AS319" s="742">
        <f t="shared" si="124"/>
        <v>0.39285714285714285</v>
      </c>
      <c r="AT319" s="758">
        <f t="shared" si="125"/>
        <v>37.478258359285874</v>
      </c>
      <c r="AU319" s="13">
        <f t="shared" si="126"/>
        <v>13</v>
      </c>
      <c r="AV319" s="13">
        <f t="shared" si="127"/>
        <v>12</v>
      </c>
      <c r="AW319" s="173">
        <f t="shared" si="128"/>
        <v>43430</v>
      </c>
      <c r="AX319" s="742">
        <f t="shared" si="129"/>
        <v>0.8928571428571429</v>
      </c>
      <c r="AY319" s="758">
        <f t="shared" si="130"/>
        <v>37.463502653368877</v>
      </c>
      <c r="AZ319" s="735">
        <f t="shared" si="134"/>
        <v>37.470880506327376</v>
      </c>
      <c r="BA319" s="633">
        <f t="shared" si="131"/>
        <v>0.88767917151266151</v>
      </c>
      <c r="BC319" s="11">
        <v>43405</v>
      </c>
      <c r="BD319" s="289">
        <f>[2]!FeuilCaduc*(1-Persistant)+Persistant</f>
        <v>0.73093315574060769</v>
      </c>
      <c r="BE319" s="290">
        <f>[2]!CroissVégét</f>
        <v>0.99764270881659778</v>
      </c>
      <c r="BF319" s="804">
        <f>1+[2]!Salcycl*Ksac</f>
        <v>1.0230933155740607</v>
      </c>
      <c r="BH319" s="1036">
        <f t="shared" si="132"/>
        <v>8.7265231106905823E-4</v>
      </c>
      <c r="BI319" s="11">
        <v>44501</v>
      </c>
      <c r="BJ319" s="715">
        <v>6.841375355534406E-4</v>
      </c>
      <c r="BK319" s="715">
        <v>6.841375355534406E-4</v>
      </c>
      <c r="BL319" s="715">
        <v>7.0362981914032349E-4</v>
      </c>
      <c r="BM319" s="715">
        <v>7.8720227155355978E-4</v>
      </c>
      <c r="BN319" s="715">
        <v>9.5840622465246143E-4</v>
      </c>
      <c r="BO319" s="716">
        <v>1.2229883623804374E-3</v>
      </c>
      <c r="BP319" s="715">
        <v>1.6227809546073121E-3</v>
      </c>
      <c r="BQ319" s="715">
        <v>2.2496224034839148E-3</v>
      </c>
      <c r="BR319" s="715">
        <v>3.3261565122385366E-3</v>
      </c>
      <c r="BS319" s="715">
        <v>5.0409624326341104E-3</v>
      </c>
      <c r="BT319" s="715">
        <v>7.2786504306604945E-3</v>
      </c>
      <c r="BW319" s="1188">
        <f>'2019'!R\Max</f>
        <v>0.19137052494101028</v>
      </c>
      <c r="BX319" s="1188">
        <f>'2020'!R\Max</f>
        <v>0.88767917151266151</v>
      </c>
      <c r="BY319" s="1188">
        <f>'2021'!R\Max</f>
        <v>0.47696960912188646</v>
      </c>
      <c r="BZ319" s="1188">
        <f>'2022'!R\Max</f>
        <v>0.57634202260043998</v>
      </c>
      <c r="CA319" s="1188">
        <f>'2023'!R\Max</f>
        <v>0.57633466754342411</v>
      </c>
      <c r="CB319" s="1188">
        <f>'2024'!R\Max</f>
        <v>0.57632315244447851</v>
      </c>
      <c r="CC319" s="1188">
        <f>'2025'!R\Max</f>
        <v>0.57631161978123113</v>
      </c>
      <c r="CD319" s="1188">
        <f>'2026'!R\Max</f>
        <v>0.57635925233970897</v>
      </c>
      <c r="CE319" s="1189">
        <f>'2027'!R\Max</f>
        <v>0.57635447792681915</v>
      </c>
      <c r="CF319" s="1191">
        <f>'2028'!R\Max</f>
        <v>0.57634961051206257</v>
      </c>
    </row>
    <row r="320" spans="1:84" s="6" customFormat="1" ht="11.25" x14ac:dyDescent="0.2">
      <c r="A320" s="11">
        <v>43406</v>
      </c>
      <c r="B320" s="379">
        <f>'2023'!Maxi_hp</f>
        <v>33.300423626379668</v>
      </c>
      <c r="C320" s="13">
        <f>'2023'!An_max</f>
        <v>2022</v>
      </c>
      <c r="D320" s="1045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73">
        <f t="shared" si="118"/>
        <v>43402</v>
      </c>
      <c r="I320" s="742">
        <f t="shared" si="119"/>
        <v>0.2857142857142857</v>
      </c>
      <c r="J320" s="735">
        <f t="shared" si="120"/>
        <v>37.092572886603214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38">
        <v>43406</v>
      </c>
      <c r="AP320" s="13">
        <f t="shared" si="121"/>
        <v>13</v>
      </c>
      <c r="AQ320" s="13">
        <f t="shared" si="122"/>
        <v>12</v>
      </c>
      <c r="AR320" s="173">
        <f t="shared" si="123"/>
        <v>43416</v>
      </c>
      <c r="AS320" s="742">
        <f t="shared" si="124"/>
        <v>0.35714285714285715</v>
      </c>
      <c r="AT320" s="758">
        <f t="shared" si="125"/>
        <v>37.130623177758288</v>
      </c>
      <c r="AU320" s="13">
        <f t="shared" si="126"/>
        <v>13</v>
      </c>
      <c r="AV320" s="13">
        <f t="shared" si="127"/>
        <v>12</v>
      </c>
      <c r="AW320" s="173">
        <f t="shared" si="128"/>
        <v>43430</v>
      </c>
      <c r="AX320" s="742">
        <f t="shared" si="129"/>
        <v>0.8571428571428571</v>
      </c>
      <c r="AY320" s="758">
        <f t="shared" si="130"/>
        <v>37.140243440440727</v>
      </c>
      <c r="AZ320" s="735">
        <f t="shared" si="134"/>
        <v>37.135433309099511</v>
      </c>
      <c r="BA320" s="633">
        <f t="shared" si="131"/>
        <v>0.8977652676772615</v>
      </c>
      <c r="BC320" s="11">
        <v>43406</v>
      </c>
      <c r="BD320" s="289">
        <f>[2]!FeuilCaduc*(1-Persistant)+Persistant</f>
        <v>0.72369750676161737</v>
      </c>
      <c r="BE320" s="290">
        <f>[2]!CroissVégét</f>
        <v>0.99775067659530603</v>
      </c>
      <c r="BF320" s="804">
        <f>1+[2]!Salcycl*Ksac</f>
        <v>1.0223697506761618</v>
      </c>
      <c r="BH320" s="1036">
        <f t="shared" si="132"/>
        <v>8.5465431406334352E-4</v>
      </c>
      <c r="BI320" s="11">
        <v>44502</v>
      </c>
      <c r="BJ320" s="715">
        <v>6.6759240785799808E-4</v>
      </c>
      <c r="BK320" s="715">
        <v>6.6759240785799808E-4</v>
      </c>
      <c r="BL320" s="715">
        <v>6.8678273196144234E-4</v>
      </c>
      <c r="BM320" s="715">
        <v>7.6941076403263902E-4</v>
      </c>
      <c r="BN320" s="715">
        <v>9.402010038521727E-4</v>
      </c>
      <c r="BO320" s="716">
        <v>1.2081284583040802E-3</v>
      </c>
      <c r="BP320" s="715">
        <v>1.6266351050204771E-3</v>
      </c>
      <c r="BQ320" s="715">
        <v>2.2966874248931731E-3</v>
      </c>
      <c r="BR320" s="715">
        <v>3.4677314223967473E-3</v>
      </c>
      <c r="BS320" s="715">
        <v>5.349540432511333E-3</v>
      </c>
      <c r="BT320" s="715">
        <v>7.8164234745645364E-3</v>
      </c>
      <c r="BW320" s="1188">
        <f>'2019'!R\Max</f>
        <v>0.15206621890634664</v>
      </c>
      <c r="BX320" s="1188">
        <f>'2020'!R\Max</f>
        <v>0.821592653358449</v>
      </c>
      <c r="BY320" s="1188">
        <f>'2021'!R\Max</f>
        <v>0.74626926883996758</v>
      </c>
      <c r="BZ320" s="1188">
        <f>'2022'!R\Max</f>
        <v>0.8977652676772615</v>
      </c>
      <c r="CA320" s="1188">
        <f>'2023'!R\Max</f>
        <v>0.89776237684916449</v>
      </c>
      <c r="CB320" s="1188">
        <f>'2024'!R\Max</f>
        <v>0.89775775524056034</v>
      </c>
      <c r="CC320" s="1188">
        <f>'2025'!R\Max</f>
        <v>0.89775312635935067</v>
      </c>
      <c r="CD320" s="1188">
        <f>'2026'!R\Max</f>
        <v>0.89777191157442771</v>
      </c>
      <c r="CE320" s="1189">
        <f>'2027'!R\Max</f>
        <v>0.89777009727238966</v>
      </c>
      <c r="CF320" s="1191">
        <f>'2028'!R\Max</f>
        <v>0.89776824669666522</v>
      </c>
    </row>
    <row r="321" spans="1:84" s="6" customFormat="1" ht="11.25" x14ac:dyDescent="0.2">
      <c r="A321" s="11">
        <v>43407</v>
      </c>
      <c r="B321" s="379">
        <f>'2023'!Maxi_hp</f>
        <v>31.680473871325951</v>
      </c>
      <c r="C321" s="13">
        <f>'2023'!An_max</f>
        <v>2020</v>
      </c>
      <c r="D321" s="1045" t="str">
        <f t="shared" si="116"/>
        <v/>
      </c>
      <c r="E321" s="13"/>
      <c r="F321" s="13">
        <f t="shared" si="133"/>
        <v>23</v>
      </c>
      <c r="G321" s="13">
        <f t="shared" si="117"/>
        <v>24</v>
      </c>
      <c r="H321" s="173">
        <f t="shared" si="118"/>
        <v>43402</v>
      </c>
      <c r="I321" s="742">
        <f t="shared" si="119"/>
        <v>0.35714285714285715</v>
      </c>
      <c r="J321" s="735">
        <f t="shared" si="120"/>
        <v>36.767350582778455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38">
        <v>43407</v>
      </c>
      <c r="AP321" s="13">
        <f t="shared" si="121"/>
        <v>13</v>
      </c>
      <c r="AQ321" s="13">
        <f t="shared" si="122"/>
        <v>12</v>
      </c>
      <c r="AR321" s="173">
        <f t="shared" si="123"/>
        <v>43416</v>
      </c>
      <c r="AS321" s="742">
        <f t="shared" si="124"/>
        <v>0.32142857142857145</v>
      </c>
      <c r="AT321" s="758">
        <f t="shared" si="125"/>
        <v>36.786936612174451</v>
      </c>
      <c r="AU321" s="13">
        <f t="shared" si="126"/>
        <v>13</v>
      </c>
      <c r="AV321" s="13">
        <f t="shared" si="127"/>
        <v>12</v>
      </c>
      <c r="AW321" s="173">
        <f t="shared" si="128"/>
        <v>43430</v>
      </c>
      <c r="AX321" s="742">
        <f t="shared" si="129"/>
        <v>0.8214285714285714</v>
      </c>
      <c r="AY321" s="758">
        <f t="shared" si="130"/>
        <v>36.814991970985595</v>
      </c>
      <c r="AZ321" s="735">
        <f t="shared" si="134"/>
        <v>36.800964291580023</v>
      </c>
      <c r="BA321" s="633">
        <f t="shared" si="131"/>
        <v>0.86164690599612692</v>
      </c>
      <c r="BC321" s="11">
        <v>43407</v>
      </c>
      <c r="BD321" s="289">
        <f>[2]!FeuilCaduc*(1-Persistant)+Persistant</f>
        <v>0.7164680124757643</v>
      </c>
      <c r="BE321" s="290">
        <f>[2]!CroissVégét</f>
        <v>0.99785431922609247</v>
      </c>
      <c r="BF321" s="804">
        <f>1+[2]!Salcycl*Ksac</f>
        <v>1.0216468012475763</v>
      </c>
      <c r="BH321" s="1036">
        <f t="shared" si="132"/>
        <v>8.3509592696935956E-4</v>
      </c>
      <c r="BI321" s="11">
        <v>44503</v>
      </c>
      <c r="BJ321" s="715">
        <v>6.4954066372867368E-4</v>
      </c>
      <c r="BK321" s="715">
        <v>6.4954066372867358E-4</v>
      </c>
      <c r="BL321" s="715">
        <v>6.6840790986780283E-4</v>
      </c>
      <c r="BM321" s="715">
        <v>7.5000597000093405E-4</v>
      </c>
      <c r="BN321" s="715">
        <v>9.2048847749430594E-4</v>
      </c>
      <c r="BO321" s="716">
        <v>1.192651759638001E-3</v>
      </c>
      <c r="BP321" s="715">
        <v>1.6333935298155592E-3</v>
      </c>
      <c r="BQ321" s="715">
        <v>2.3539805732435528E-3</v>
      </c>
      <c r="BR321" s="715">
        <v>3.6323303941565698E-3</v>
      </c>
      <c r="BS321" s="715">
        <v>5.7029659277820629E-3</v>
      </c>
      <c r="BT321" s="715">
        <v>8.4284667555372221E-3</v>
      </c>
      <c r="BW321" s="1188">
        <f>'2019'!R\Max</f>
        <v>0.38398441153125651</v>
      </c>
      <c r="BX321" s="1188">
        <f>'2020'!R\Max</f>
        <v>0.86164690599612692</v>
      </c>
      <c r="BY321" s="1188">
        <f>'2021'!R\Max</f>
        <v>0.53610473290136118</v>
      </c>
      <c r="BZ321" s="1188">
        <f>'2022'!R\Max</f>
        <v>0.28638996899704589</v>
      </c>
      <c r="CA321" s="1188">
        <f>'2023'!R\Max</f>
        <v>0.28638332749130146</v>
      </c>
      <c r="CB321" s="1188">
        <f>'2024'!R\Max</f>
        <v>0.2863724855531315</v>
      </c>
      <c r="CC321" s="1188">
        <f>'2025'!R\Max</f>
        <v>0.28636162707927643</v>
      </c>
      <c r="CD321" s="1188">
        <f>'2026'!R\Max</f>
        <v>0.28640492534110806</v>
      </c>
      <c r="CE321" s="1189">
        <f>'2027'!R\Max</f>
        <v>0.28640090671417889</v>
      </c>
      <c r="CF321" s="1191">
        <f>'2028'!R\Max</f>
        <v>0.28639680550543473</v>
      </c>
    </row>
    <row r="322" spans="1:84" s="6" customFormat="1" ht="11.25" x14ac:dyDescent="0.2">
      <c r="A322" s="11">
        <v>43408</v>
      </c>
      <c r="B322" s="379">
        <f>'2023'!Maxi_hp</f>
        <v>18.886875032481147</v>
      </c>
      <c r="C322" s="13">
        <f>'2023'!An_max</f>
        <v>2022</v>
      </c>
      <c r="D322" s="1045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73">
        <f t="shared" si="118"/>
        <v>43402</v>
      </c>
      <c r="I322" s="742">
        <f t="shared" si="119"/>
        <v>0.42857142857142855</v>
      </c>
      <c r="J322" s="735">
        <f t="shared" si="120"/>
        <v>36.444712827886846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38">
        <v>43408</v>
      </c>
      <c r="AP322" s="13">
        <f t="shared" si="121"/>
        <v>13</v>
      </c>
      <c r="AQ322" s="13">
        <f t="shared" si="122"/>
        <v>12</v>
      </c>
      <c r="AR322" s="173">
        <f t="shared" si="123"/>
        <v>43416</v>
      </c>
      <c r="AS322" s="742">
        <f t="shared" si="124"/>
        <v>0.2857142857142857</v>
      </c>
      <c r="AT322" s="758">
        <f t="shared" si="125"/>
        <v>36.447871720471554</v>
      </c>
      <c r="AU322" s="13">
        <f t="shared" si="126"/>
        <v>13</v>
      </c>
      <c r="AV322" s="13">
        <f t="shared" si="127"/>
        <v>12</v>
      </c>
      <c r="AW322" s="173">
        <f t="shared" si="128"/>
        <v>43430</v>
      </c>
      <c r="AX322" s="742">
        <f t="shared" si="129"/>
        <v>0.7857142857142857</v>
      </c>
      <c r="AY322" s="758">
        <f t="shared" si="130"/>
        <v>36.488380921938059</v>
      </c>
      <c r="AZ322" s="735">
        <f t="shared" si="134"/>
        <v>36.468126321204807</v>
      </c>
      <c r="BA322" s="633">
        <f t="shared" si="131"/>
        <v>0.51823360830625742</v>
      </c>
      <c r="BC322" s="11">
        <v>43408</v>
      </c>
      <c r="BD322" s="289">
        <f>[2]!FeuilCaduc*(1-Persistant)+Persistant</f>
        <v>0.7092552681985711</v>
      </c>
      <c r="BE322" s="290">
        <f>[2]!CroissVégét</f>
        <v>0.99795380912643716</v>
      </c>
      <c r="BF322" s="804">
        <f>1+[2]!Salcycl*Ksac</f>
        <v>1.0209255268198572</v>
      </c>
      <c r="BH322" s="1036">
        <f t="shared" si="132"/>
        <v>8.1397430272782401E-4</v>
      </c>
      <c r="BI322" s="11">
        <v>44504</v>
      </c>
      <c r="BJ322" s="715">
        <v>6.2997969176302134E-4</v>
      </c>
      <c r="BK322" s="715">
        <v>6.2997969176302124E-4</v>
      </c>
      <c r="BL322" s="715">
        <v>6.485026964131225E-4</v>
      </c>
      <c r="BM322" s="715">
        <v>7.2898504389467416E-4</v>
      </c>
      <c r="BN322" s="715">
        <v>8.9926579701874853E-4</v>
      </c>
      <c r="BO322" s="716">
        <v>1.1765564060731077E-3</v>
      </c>
      <c r="BP322" s="715">
        <v>1.6430588190917237E-3</v>
      </c>
      <c r="BQ322" s="715">
        <v>2.4215138452548866E-3</v>
      </c>
      <c r="BR322" s="715">
        <v>3.8199817103346922E-3</v>
      </c>
      <c r="BS322" s="715">
        <v>6.1012950372184285E-3</v>
      </c>
      <c r="BT322" s="715">
        <v>9.114873953914731E-3</v>
      </c>
      <c r="BW322" s="1188">
        <f>'2019'!R\Max</f>
        <v>0.43739137300449971</v>
      </c>
      <c r="BX322" s="1188">
        <f>'2020'!R\Max</f>
        <v>0.14867508213958258</v>
      </c>
      <c r="BY322" s="1188">
        <f>'2021'!R\Max</f>
        <v>0.45764211672661609</v>
      </c>
      <c r="BZ322" s="1188">
        <f>'2022'!R\Max</f>
        <v>0.51823360830625742</v>
      </c>
      <c r="CA322" s="1188">
        <f>'2023'!R\Max</f>
        <v>0.51822486514477017</v>
      </c>
      <c r="CB322" s="1188">
        <f>'2024'!R\Max</f>
        <v>0.51821029743259139</v>
      </c>
      <c r="CC322" s="1188">
        <f>'2025'!R\Max</f>
        <v>0.51819570700391593</v>
      </c>
      <c r="CD322" s="1188">
        <f>'2026'!R\Max</f>
        <v>0.5182528832037282</v>
      </c>
      <c r="CE322" s="1189">
        <f>'2027'!R\Max</f>
        <v>0.51824779432125168</v>
      </c>
      <c r="CF322" s="1191">
        <f>'2028'!R\Max</f>
        <v>0.51824259750155477</v>
      </c>
    </row>
    <row r="323" spans="1:84" s="6" customFormat="1" ht="11.25" x14ac:dyDescent="0.2">
      <c r="A323" s="11">
        <v>43409</v>
      </c>
      <c r="B323" s="379">
        <f>'2023'!Maxi_hp</f>
        <v>35.327686274356154</v>
      </c>
      <c r="C323" s="13">
        <f>'2023'!An_max</f>
        <v>2022</v>
      </c>
      <c r="D323" s="1045">
        <f t="shared" si="116"/>
        <v>0.97793241566204936</v>
      </c>
      <c r="E323" s="13"/>
      <c r="F323" s="13">
        <f t="shared" si="133"/>
        <v>23</v>
      </c>
      <c r="G323" s="13">
        <f t="shared" si="117"/>
        <v>24</v>
      </c>
      <c r="H323" s="173">
        <f t="shared" si="118"/>
        <v>43402</v>
      </c>
      <c r="I323" s="742">
        <f t="shared" si="119"/>
        <v>0.5</v>
      </c>
      <c r="J323" s="735">
        <f t="shared" si="120"/>
        <v>36.124875000119211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38">
        <v>43409</v>
      </c>
      <c r="AP323" s="13">
        <f t="shared" si="121"/>
        <v>13</v>
      </c>
      <c r="AQ323" s="13">
        <f t="shared" si="122"/>
        <v>12</v>
      </c>
      <c r="AR323" s="173">
        <f t="shared" si="123"/>
        <v>43416</v>
      </c>
      <c r="AS323" s="742">
        <f t="shared" si="124"/>
        <v>0.25</v>
      </c>
      <c r="AT323" s="758">
        <f t="shared" si="125"/>
        <v>36.114101561997089</v>
      </c>
      <c r="AU323" s="13">
        <f t="shared" si="126"/>
        <v>13</v>
      </c>
      <c r="AV323" s="13">
        <f t="shared" si="127"/>
        <v>12</v>
      </c>
      <c r="AW323" s="173">
        <f t="shared" si="128"/>
        <v>43430</v>
      </c>
      <c r="AX323" s="742">
        <f t="shared" si="129"/>
        <v>0.75</v>
      </c>
      <c r="AY323" s="758">
        <f t="shared" si="130"/>
        <v>36.161042968882249</v>
      </c>
      <c r="AZ323" s="735">
        <f t="shared" si="134"/>
        <v>36.137572265439672</v>
      </c>
      <c r="BA323" s="633">
        <f t="shared" si="131"/>
        <v>0.97793241566204936</v>
      </c>
      <c r="BC323" s="11">
        <v>43409</v>
      </c>
      <c r="BD323" s="289">
        <f>[2]!FeuilCaduc*(1-Persistant)+Persistant</f>
        <v>0.70206990159587879</v>
      </c>
      <c r="BE323" s="290">
        <f>[2]!CroissVégét</f>
        <v>0.99804931190721602</v>
      </c>
      <c r="BF323" s="804">
        <f>1+[2]!Salcycl*Ksac</f>
        <v>1.0202069901595878</v>
      </c>
      <c r="BH323" s="1036">
        <f t="shared" si="132"/>
        <v>7.9128669327091527E-4</v>
      </c>
      <c r="BI323" s="11">
        <v>44505</v>
      </c>
      <c r="BJ323" s="715">
        <v>6.0890697282086714E-4</v>
      </c>
      <c r="BK323" s="715">
        <v>6.0890697282086714E-4</v>
      </c>
      <c r="BL323" s="715">
        <v>6.2706452897990435E-4</v>
      </c>
      <c r="BM323" s="715">
        <v>7.0634523931220909E-4</v>
      </c>
      <c r="BN323" s="715">
        <v>8.7653021268558316E-4</v>
      </c>
      <c r="BO323" s="716">
        <v>1.1598406062772724E-3</v>
      </c>
      <c r="BP323" s="715">
        <v>1.6556334927409243E-3</v>
      </c>
      <c r="BQ323" s="715">
        <v>2.4992988619011616E-3</v>
      </c>
      <c r="BR323" s="715">
        <v>4.0307126745545586E-3</v>
      </c>
      <c r="BS323" s="715">
        <v>6.5445818497249925E-3</v>
      </c>
      <c r="BT323" s="715">
        <v>9.8757352887200358E-3</v>
      </c>
      <c r="BW323" s="1188">
        <f>'2019'!R\Max</f>
        <v>0.39760742798729826</v>
      </c>
      <c r="BX323" s="1188">
        <f>'2020'!R\Max</f>
        <v>0.46201971247473383</v>
      </c>
      <c r="BY323" s="1188">
        <f>'2021'!R\Max</f>
        <v>0.28853873932132607</v>
      </c>
      <c r="BZ323" s="1188">
        <f>'2022'!R\Max</f>
        <v>0.97793241566204936</v>
      </c>
      <c r="CA323" s="1188">
        <f>'2023'!R\Max</f>
        <v>0.97793161355827074</v>
      </c>
      <c r="CB323" s="1188">
        <f>'2024'!R\Max</f>
        <v>0.97793025066375805</v>
      </c>
      <c r="CC323" s="1188">
        <f>'2025'!R\Max</f>
        <v>0.97792888555501978</v>
      </c>
      <c r="CD323" s="1188">
        <f>'2026'!R\Max</f>
        <v>0.97793414611595975</v>
      </c>
      <c r="CE323" s="1189">
        <f>'2027'!R\Max</f>
        <v>0.97793369765273686</v>
      </c>
      <c r="CF323" s="1191">
        <f>'2028'!R\Max</f>
        <v>0.97793323934930831</v>
      </c>
    </row>
    <row r="324" spans="1:84" s="6" customFormat="1" ht="11.25" x14ac:dyDescent="0.2">
      <c r="A324" s="11">
        <v>43410</v>
      </c>
      <c r="B324" s="379">
        <f>'2023'!Maxi_hp</f>
        <v>36.799919621138898</v>
      </c>
      <c r="C324" s="13">
        <f>'2023'!An_max</f>
        <v>2023</v>
      </c>
      <c r="D324" s="1045">
        <f t="shared" si="116"/>
        <v>1.0276995556652961</v>
      </c>
      <c r="E324" s="13"/>
      <c r="F324" s="13">
        <f t="shared" si="133"/>
        <v>23</v>
      </c>
      <c r="G324" s="13">
        <f t="shared" si="117"/>
        <v>24</v>
      </c>
      <c r="H324" s="173">
        <f t="shared" si="118"/>
        <v>43402</v>
      </c>
      <c r="I324" s="742">
        <f t="shared" si="119"/>
        <v>0.5714285714285714</v>
      </c>
      <c r="J324" s="735">
        <f t="shared" si="120"/>
        <v>35.808052478251717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38">
        <v>43410</v>
      </c>
      <c r="AP324" s="13">
        <f t="shared" si="121"/>
        <v>13</v>
      </c>
      <c r="AQ324" s="13">
        <f t="shared" si="122"/>
        <v>12</v>
      </c>
      <c r="AR324" s="173">
        <f t="shared" si="123"/>
        <v>43416</v>
      </c>
      <c r="AS324" s="742">
        <f t="shared" si="124"/>
        <v>0.21428571428571427</v>
      </c>
      <c r="AT324" s="758">
        <f t="shared" si="125"/>
        <v>35.786299198812671</v>
      </c>
      <c r="AU324" s="13">
        <f t="shared" si="126"/>
        <v>13</v>
      </c>
      <c r="AV324" s="13">
        <f t="shared" si="127"/>
        <v>12</v>
      </c>
      <c r="AW324" s="173">
        <f t="shared" si="128"/>
        <v>43430</v>
      </c>
      <c r="AX324" s="742">
        <f t="shared" si="129"/>
        <v>0.7142857142857143</v>
      </c>
      <c r="AY324" s="758">
        <f t="shared" si="130"/>
        <v>35.833610786816905</v>
      </c>
      <c r="AZ324" s="735">
        <f t="shared" si="134"/>
        <v>35.809954992814788</v>
      </c>
      <c r="BA324" s="633">
        <f t="shared" si="131"/>
        <v>1.0276995556652961</v>
      </c>
      <c r="BC324" s="11">
        <v>43410</v>
      </c>
      <c r="BD324" s="289">
        <f>[2]!FeuilCaduc*(1-Persistant)+Persistant</f>
        <v>0.69492252451354586</v>
      </c>
      <c r="BE324" s="290">
        <f>[2]!CroissVégét</f>
        <v>0.99814098663615436</v>
      </c>
      <c r="BF324" s="804">
        <f>1+[2]!Salcycl*Ksac</f>
        <v>1.0194922524513546</v>
      </c>
      <c r="BH324" s="1036">
        <f t="shared" si="132"/>
        <v>7.6873214862167806E-4</v>
      </c>
      <c r="BI324" s="11">
        <v>44506</v>
      </c>
      <c r="BJ324" s="715">
        <v>5.8651033111177813E-4</v>
      </c>
      <c r="BK324" s="715">
        <v>5.8651033111177802E-4</v>
      </c>
      <c r="BL324" s="715">
        <v>6.0432017023270823E-4</v>
      </c>
      <c r="BM324" s="715">
        <v>6.8306229833877644E-4</v>
      </c>
      <c r="BN324" s="715">
        <v>8.5470665465488553E-4</v>
      </c>
      <c r="BO324" s="716">
        <v>1.1498222719571025E-3</v>
      </c>
      <c r="BP324" s="715">
        <v>1.6843609010986169E-3</v>
      </c>
      <c r="BQ324" s="715">
        <v>2.6087208407985459E-3</v>
      </c>
      <c r="BR324" s="715">
        <v>4.2970918331167278E-3</v>
      </c>
      <c r="BS324" s="715">
        <v>7.0744446784926675E-3</v>
      </c>
      <c r="BT324" s="715">
        <v>1.0758411138982344E-2</v>
      </c>
      <c r="BW324" s="1188">
        <f>'2019'!R\Max</f>
        <v>0.39888008079295828</v>
      </c>
      <c r="BX324" s="1188">
        <f>'2020'!R\Max</f>
        <v>0.69642439774611953</v>
      </c>
      <c r="BY324" s="1188">
        <f>'2021'!R\Max</f>
        <v>0.36262752070380155</v>
      </c>
      <c r="BZ324" s="1188">
        <f>'2022'!R\Max</f>
        <v>1.0276995556652961</v>
      </c>
      <c r="CA324" s="1188">
        <f>'2023'!R\Max</f>
        <v>1.0276995556652961</v>
      </c>
      <c r="CB324" s="1188">
        <f>'2024'!R\Max</f>
        <v>1.0276995556652961</v>
      </c>
      <c r="CC324" s="1188">
        <f>'2025'!R\Max</f>
        <v>1.0276995556652961</v>
      </c>
      <c r="CD324" s="1188">
        <f>'2026'!R\Max</f>
        <v>1.0276995556652959</v>
      </c>
      <c r="CE324" s="1189">
        <f>'2027'!R\Max</f>
        <v>1.0276995556652959</v>
      </c>
      <c r="CF324" s="1191">
        <f>'2028'!R\Max</f>
        <v>1.0276995556652959</v>
      </c>
    </row>
    <row r="325" spans="1:84" s="6" customFormat="1" ht="11.25" x14ac:dyDescent="0.2">
      <c r="A325" s="11">
        <v>43411</v>
      </c>
      <c r="B325" s="379">
        <f>'2023'!Maxi_hp</f>
        <v>35.221815454766798</v>
      </c>
      <c r="C325" s="13">
        <f>'2023'!An_max</f>
        <v>2022</v>
      </c>
      <c r="D325" s="1045">
        <f t="shared" si="116"/>
        <v>0.99231865531819952</v>
      </c>
      <c r="E325" s="13"/>
      <c r="F325" s="13">
        <f t="shared" si="133"/>
        <v>23</v>
      </c>
      <c r="G325" s="13">
        <f t="shared" si="117"/>
        <v>24</v>
      </c>
      <c r="H325" s="173">
        <f t="shared" si="118"/>
        <v>43402</v>
      </c>
      <c r="I325" s="742">
        <f t="shared" si="119"/>
        <v>0.6428571428571429</v>
      </c>
      <c r="J325" s="735">
        <f t="shared" si="120"/>
        <v>35.494460641246818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38">
        <v>43411</v>
      </c>
      <c r="AP325" s="13">
        <f t="shared" si="121"/>
        <v>13</v>
      </c>
      <c r="AQ325" s="13">
        <f t="shared" si="122"/>
        <v>12</v>
      </c>
      <c r="AR325" s="173">
        <f t="shared" si="123"/>
        <v>43416</v>
      </c>
      <c r="AS325" s="742">
        <f t="shared" si="124"/>
        <v>0.17857142857142858</v>
      </c>
      <c r="AT325" s="758">
        <f t="shared" si="125"/>
        <v>35.465137687085999</v>
      </c>
      <c r="AU325" s="13">
        <f t="shared" si="126"/>
        <v>13</v>
      </c>
      <c r="AV325" s="13">
        <f t="shared" si="127"/>
        <v>12</v>
      </c>
      <c r="AW325" s="173">
        <f t="shared" si="128"/>
        <v>43430</v>
      </c>
      <c r="AX325" s="742">
        <f t="shared" si="129"/>
        <v>0.6785714285714286</v>
      </c>
      <c r="AY325" s="758">
        <f t="shared" si="130"/>
        <v>35.506717053022498</v>
      </c>
      <c r="AZ325" s="735">
        <f t="shared" si="134"/>
        <v>35.485927370054249</v>
      </c>
      <c r="BA325" s="633">
        <f t="shared" si="131"/>
        <v>0.99231865531819952</v>
      </c>
      <c r="BC325" s="11">
        <v>43411</v>
      </c>
      <c r="BD325" s="289">
        <f>[2]!FeuilCaduc*(1-Persistant)+Persistant</f>
        <v>0.68782368443427799</v>
      </c>
      <c r="BE325" s="290">
        <f>[2]!CroissVégét</f>
        <v>0.99822898609149657</v>
      </c>
      <c r="BF325" s="804">
        <f>1+[2]!Salcycl*Ksac</f>
        <v>1.0187823684434278</v>
      </c>
      <c r="BH325" s="1036">
        <f t="shared" si="132"/>
        <v>7.4822089210149322E-4</v>
      </c>
      <c r="BI325" s="11">
        <v>44507</v>
      </c>
      <c r="BJ325" s="715">
        <v>5.6426596984641996E-4</v>
      </c>
      <c r="BK325" s="715">
        <v>5.6426596984641985E-4</v>
      </c>
      <c r="BL325" s="715">
        <v>5.8179757323537605E-4</v>
      </c>
      <c r="BM325" s="715">
        <v>6.608643659756203E-4</v>
      </c>
      <c r="BN325" s="715">
        <v>8.3588807206793096E-4</v>
      </c>
      <c r="BO325" s="716">
        <v>1.1488727116524904E-3</v>
      </c>
      <c r="BP325" s="715">
        <v>1.7310567462400274E-3</v>
      </c>
      <c r="BQ325" s="715">
        <v>2.7499293036060274E-3</v>
      </c>
      <c r="BR325" s="715">
        <v>4.6154770709143124E-3</v>
      </c>
      <c r="BS325" s="715">
        <v>7.6802954629306237E-3</v>
      </c>
      <c r="BT325" s="715">
        <v>1.1742473627878697E-2</v>
      </c>
      <c r="BW325" s="1188">
        <f>'2019'!R\Max</f>
        <v>0.12321351761157336</v>
      </c>
      <c r="BX325" s="1188">
        <f>'2020'!R\Max</f>
        <v>0.52982079744687693</v>
      </c>
      <c r="BY325" s="1188">
        <f>'2021'!R\Max</f>
        <v>0.26871053710008841</v>
      </c>
      <c r="BZ325" s="1188">
        <f>'2022'!R\Max</f>
        <v>0.99231865531819952</v>
      </c>
      <c r="CA325" s="1188">
        <f>'2023'!R\Max</f>
        <v>0.99231832360563166</v>
      </c>
      <c r="CB325" s="1188">
        <f>'2024'!R\Max</f>
        <v>0.99231774391431238</v>
      </c>
      <c r="CC325" s="1188">
        <f>'2025'!R\Max</f>
        <v>0.99231716327930264</v>
      </c>
      <c r="CD325" s="1188">
        <f>'2026'!R\Max</f>
        <v>0.99231934778769926</v>
      </c>
      <c r="CE325" s="1189">
        <f>'2027'!R\Max</f>
        <v>0.99231917368917544</v>
      </c>
      <c r="CF325" s="1191">
        <f>'2028'!R\Max</f>
        <v>0.99231899537835</v>
      </c>
    </row>
    <row r="326" spans="1:84" s="6" customFormat="1" ht="11.25" x14ac:dyDescent="0.2">
      <c r="A326" s="11">
        <v>43412</v>
      </c>
      <c r="B326" s="379">
        <f>'2023'!Maxi_hp</f>
        <v>28.580031803596686</v>
      </c>
      <c r="C326" s="13">
        <f>'2023'!An_max</f>
        <v>2021</v>
      </c>
      <c r="D326" s="1045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73">
        <f t="shared" si="118"/>
        <v>43402</v>
      </c>
      <c r="I326" s="742">
        <f t="shared" si="119"/>
        <v>0.7142857142857143</v>
      </c>
      <c r="J326" s="735">
        <f t="shared" si="120"/>
        <v>35.184314868971704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38">
        <v>43412</v>
      </c>
      <c r="AP326" s="13">
        <f t="shared" si="121"/>
        <v>13</v>
      </c>
      <c r="AQ326" s="13">
        <f t="shared" si="122"/>
        <v>12</v>
      </c>
      <c r="AR326" s="173">
        <f t="shared" si="123"/>
        <v>43416</v>
      </c>
      <c r="AS326" s="742">
        <f t="shared" si="124"/>
        <v>0.14285714285714285</v>
      </c>
      <c r="AT326" s="758">
        <f t="shared" si="125"/>
        <v>35.151290088359801</v>
      </c>
      <c r="AU326" s="13">
        <f t="shared" si="126"/>
        <v>13</v>
      </c>
      <c r="AV326" s="13">
        <f t="shared" si="127"/>
        <v>12</v>
      </c>
      <c r="AW326" s="173">
        <f t="shared" si="128"/>
        <v>43430</v>
      </c>
      <c r="AX326" s="742">
        <f t="shared" si="129"/>
        <v>0.6428571428571429</v>
      </c>
      <c r="AY326" s="758">
        <f t="shared" si="130"/>
        <v>35.180994442052075</v>
      </c>
      <c r="AZ326" s="735">
        <f t="shared" si="134"/>
        <v>35.166142265205934</v>
      </c>
      <c r="BA326" s="633">
        <f t="shared" si="131"/>
        <v>0.81229468045719444</v>
      </c>
      <c r="BC326" s="11">
        <v>43412</v>
      </c>
      <c r="BD326" s="289">
        <f>[2]!FeuilCaduc*(1-Persistant)+Persistant</f>
        <v>0.68078381589920012</v>
      </c>
      <c r="BE326" s="290">
        <f>[2]!CroissVégét</f>
        <v>0.99831345700622864</v>
      </c>
      <c r="BF326" s="804">
        <f>1+[2]!Salcycl*Ksac</f>
        <v>1.0180783815899199</v>
      </c>
      <c r="BH326" s="1036">
        <f t="shared" si="132"/>
        <v>7.2975541981030729E-4</v>
      </c>
      <c r="BI326" s="11">
        <v>44508</v>
      </c>
      <c r="BJ326" s="715">
        <v>5.4217398532959641E-4</v>
      </c>
      <c r="BK326" s="715">
        <v>5.4217398532959641E-4</v>
      </c>
      <c r="BL326" s="715">
        <v>5.5949691884020806E-4</v>
      </c>
      <c r="BM326" s="715">
        <v>6.3975273132598246E-4</v>
      </c>
      <c r="BN326" s="715">
        <v>8.2007817231364438E-4</v>
      </c>
      <c r="BO326" s="716">
        <v>1.1570033585340011E-3</v>
      </c>
      <c r="BP326" s="715">
        <v>1.7957433077340791E-3</v>
      </c>
      <c r="BQ326" s="715">
        <v>2.9229629008801702E-3</v>
      </c>
      <c r="BR326" s="715">
        <v>4.9859299628897688E-3</v>
      </c>
      <c r="BS326" s="715">
        <v>8.3622208211931674E-3</v>
      </c>
      <c r="BT326" s="715">
        <v>1.282803384529735E-2</v>
      </c>
      <c r="BW326" s="1188">
        <f>'2019'!R\Max</f>
        <v>0.40761010333338515</v>
      </c>
      <c r="BX326" s="1188">
        <f>'2020'!R\Max</f>
        <v>0.15750282917740713</v>
      </c>
      <c r="BY326" s="1188">
        <f>'2021'!R\Max</f>
        <v>0.81229468045719444</v>
      </c>
      <c r="BZ326" s="1188">
        <f>'2022'!R\Max</f>
        <v>0.7417798337044299</v>
      </c>
      <c r="CA326" s="1188">
        <f>'2023'!R\Max</f>
        <v>0.74177070217508811</v>
      </c>
      <c r="CB326" s="1188">
        <f>'2024'!R\Max</f>
        <v>0.74175461050291736</v>
      </c>
      <c r="CC326" s="1188">
        <f>'2025'!R\Max</f>
        <v>0.74173849345500953</v>
      </c>
      <c r="CD326" s="1188">
        <f>'2026'!R\Max</f>
        <v>0.74179870363907274</v>
      </c>
      <c r="CE326" s="1189">
        <f>'2027'!R\Max</f>
        <v>0.74179400699416009</v>
      </c>
      <c r="CF326" s="1191">
        <f>'2028'!R\Max</f>
        <v>0.74178919062021476</v>
      </c>
    </row>
    <row r="327" spans="1:84" s="6" customFormat="1" ht="11.25" x14ac:dyDescent="0.2">
      <c r="A327" s="11">
        <v>43413</v>
      </c>
      <c r="B327" s="379">
        <f>'2023'!Maxi_hp</f>
        <v>26.22479613054475</v>
      </c>
      <c r="C327" s="13">
        <f>'2023'!An_max</f>
        <v>2020</v>
      </c>
      <c r="D327" s="1045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73">
        <f t="shared" si="118"/>
        <v>43402</v>
      </c>
      <c r="I327" s="742">
        <f t="shared" si="119"/>
        <v>0.7857142857142857</v>
      </c>
      <c r="J327" s="735">
        <f t="shared" si="120"/>
        <v>34.877830539484108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38">
        <v>43413</v>
      </c>
      <c r="AP327" s="13">
        <f t="shared" si="121"/>
        <v>13</v>
      </c>
      <c r="AQ327" s="13">
        <f t="shared" si="122"/>
        <v>12</v>
      </c>
      <c r="AR327" s="173">
        <f t="shared" si="123"/>
        <v>43416</v>
      </c>
      <c r="AS327" s="742">
        <f t="shared" si="124"/>
        <v>0.10714285714285714</v>
      </c>
      <c r="AT327" s="758">
        <f t="shared" si="125"/>
        <v>34.845429460544672</v>
      </c>
      <c r="AU327" s="13">
        <f t="shared" si="126"/>
        <v>13</v>
      </c>
      <c r="AV327" s="13">
        <f t="shared" si="127"/>
        <v>12</v>
      </c>
      <c r="AW327" s="173">
        <f t="shared" si="128"/>
        <v>43430</v>
      </c>
      <c r="AX327" s="742">
        <f t="shared" si="129"/>
        <v>0.6071428571428571</v>
      </c>
      <c r="AY327" s="758">
        <f t="shared" si="130"/>
        <v>34.857075630520868</v>
      </c>
      <c r="AZ327" s="735">
        <f t="shared" si="134"/>
        <v>34.851252545532773</v>
      </c>
      <c r="BA327" s="633">
        <f t="shared" si="131"/>
        <v>0.75190445405876016</v>
      </c>
      <c r="BC327" s="11">
        <v>43413</v>
      </c>
      <c r="BD327" s="289">
        <f>[2]!FeuilCaduc*(1-Persistant)+Persistant</f>
        <v>0.6738131922345636</v>
      </c>
      <c r="BE327" s="290">
        <f>[2]!CroissVégét</f>
        <v>0.99839454030316765</v>
      </c>
      <c r="BF327" s="804">
        <f>1+[2]!Salcycl*Ksac</f>
        <v>1.0173813192234564</v>
      </c>
      <c r="BH327" s="1036">
        <f t="shared" si="132"/>
        <v>7.1333822461799455E-4</v>
      </c>
      <c r="BI327" s="11">
        <v>44509</v>
      </c>
      <c r="BJ327" s="715">
        <v>5.2023454970300431E-4</v>
      </c>
      <c r="BK327" s="715">
        <v>5.2023454970300431E-4</v>
      </c>
      <c r="BL327" s="715">
        <v>5.3741846209038561E-4</v>
      </c>
      <c r="BM327" s="715">
        <v>6.1972872327914258E-4</v>
      </c>
      <c r="BN327" s="715">
        <v>8.0728061638179734E-4</v>
      </c>
      <c r="BO327" s="716">
        <v>1.1742253006562751E-3</v>
      </c>
      <c r="BP327" s="715">
        <v>1.8784420039007065E-3</v>
      </c>
      <c r="BQ327" s="715">
        <v>3.1278585460417564E-3</v>
      </c>
      <c r="BR327" s="715">
        <v>5.4085089243471442E-3</v>
      </c>
      <c r="BS327" s="715">
        <v>9.1203022446646898E-3</v>
      </c>
      <c r="BT327" s="715">
        <v>1.4015195403955209E-2</v>
      </c>
      <c r="BW327" s="1188">
        <f>'2019'!R\Max</f>
        <v>0.65672228883848371</v>
      </c>
      <c r="BX327" s="1188">
        <f>'2020'!R\Max</f>
        <v>0.75190445405876016</v>
      </c>
      <c r="BY327" s="1188">
        <f>'2021'!R\Max</f>
        <v>0.5402877406141956</v>
      </c>
      <c r="BZ327" s="1188">
        <f>'2022'!R\Max</f>
        <v>0.33404480007232196</v>
      </c>
      <c r="CA327" s="1188">
        <f>'2023'!R\Max</f>
        <v>0.33403312569970395</v>
      </c>
      <c r="CB327" s="1188">
        <f>'2024'!R\Max</f>
        <v>0.33401244356204279</v>
      </c>
      <c r="CC327" s="1188">
        <f>'2025'!R\Max</f>
        <v>0.33399173073464811</v>
      </c>
      <c r="CD327" s="1188">
        <f>'2026'!R\Max</f>
        <v>0.33406876702539945</v>
      </c>
      <c r="CE327" s="1189">
        <f>'2027'!R\Max</f>
        <v>0.33406284261321972</v>
      </c>
      <c r="CF327" s="1191">
        <f>'2028'!R\Max</f>
        <v>0.3340567595117942</v>
      </c>
    </row>
    <row r="328" spans="1:84" s="6" customFormat="1" ht="11.25" x14ac:dyDescent="0.2">
      <c r="A328" s="11">
        <v>43414</v>
      </c>
      <c r="B328" s="379">
        <f>'2023'!Maxi_hp</f>
        <v>21.857548277600785</v>
      </c>
      <c r="C328" s="13">
        <f>'2023'!An_max</f>
        <v>2022</v>
      </c>
      <c r="D328" s="1045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73">
        <f t="shared" si="118"/>
        <v>43402</v>
      </c>
      <c r="I328" s="742">
        <f t="shared" si="119"/>
        <v>0.8571428571428571</v>
      </c>
      <c r="J328" s="735">
        <f t="shared" si="120"/>
        <v>34.575223032385111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38">
        <v>43414</v>
      </c>
      <c r="AP328" s="13">
        <f t="shared" si="121"/>
        <v>13</v>
      </c>
      <c r="AQ328" s="13">
        <f t="shared" si="122"/>
        <v>12</v>
      </c>
      <c r="AR328" s="173">
        <f t="shared" si="123"/>
        <v>43416</v>
      </c>
      <c r="AS328" s="742">
        <f t="shared" si="124"/>
        <v>7.1428571428571425E-2</v>
      </c>
      <c r="AT328" s="758">
        <f t="shared" si="125"/>
        <v>34.548228863121139</v>
      </c>
      <c r="AU328" s="13">
        <f t="shared" si="126"/>
        <v>13</v>
      </c>
      <c r="AV328" s="13">
        <f t="shared" si="127"/>
        <v>12</v>
      </c>
      <c r="AW328" s="173">
        <f t="shared" si="128"/>
        <v>43430</v>
      </c>
      <c r="AX328" s="742">
        <f t="shared" si="129"/>
        <v>0.5714285714285714</v>
      </c>
      <c r="AY328" s="758">
        <f t="shared" si="130"/>
        <v>34.535593294565167</v>
      </c>
      <c r="AZ328" s="735">
        <f t="shared" si="134"/>
        <v>34.541911078843157</v>
      </c>
      <c r="BA328" s="633">
        <f t="shared" si="131"/>
        <v>0.63217374641742063</v>
      </c>
      <c r="BC328" s="11">
        <v>43414</v>
      </c>
      <c r="BD328" s="289">
        <f>[2]!FeuilCaduc*(1-Persistant)+Persistant</f>
        <v>0.66692187792389579</v>
      </c>
      <c r="BE328" s="290">
        <f>[2]!CroissVégét</f>
        <v>0.99847237132123801</v>
      </c>
      <c r="BF328" s="804">
        <f>1+[2]!Salcycl*Ksac</f>
        <v>1.0166921877923896</v>
      </c>
      <c r="BH328" s="1036">
        <f t="shared" si="132"/>
        <v>6.9897177718633411E-4</v>
      </c>
      <c r="BI328" s="11">
        <v>44510</v>
      </c>
      <c r="BJ328" s="715">
        <v>4.984479093304541E-4</v>
      </c>
      <c r="BK328" s="715">
        <v>4.984479093304542E-4</v>
      </c>
      <c r="BL328" s="715">
        <v>5.1556252996379226E-4</v>
      </c>
      <c r="BM328" s="715">
        <v>6.0079370032416668E-4</v>
      </c>
      <c r="BN328" s="715">
        <v>7.9749899106194638E-4</v>
      </c>
      <c r="BO328" s="716">
        <v>1.2005491975970305E-3</v>
      </c>
      <c r="BP328" s="715">
        <v>1.9791732270825024E-3</v>
      </c>
      <c r="BQ328" s="715">
        <v>3.3646511244817667E-3</v>
      </c>
      <c r="BR328" s="715">
        <v>5.8832687357559766E-3</v>
      </c>
      <c r="BS328" s="715">
        <v>9.954615404785443E-3</v>
      </c>
      <c r="BT328" s="715">
        <v>1.5304053515956394E-2</v>
      </c>
      <c r="BW328" s="1188">
        <f>'2019'!R\Max</f>
        <v>0.62319546064968268</v>
      </c>
      <c r="BX328" s="1188">
        <f>'2020'!R\Max</f>
        <v>0.47461498804880747</v>
      </c>
      <c r="BY328" s="1188">
        <f>'2021'!R\Max</f>
        <v>0.19052288523710514</v>
      </c>
      <c r="BZ328" s="1188">
        <f>'2022'!R\Max</f>
        <v>0.63217374641742063</v>
      </c>
      <c r="CA328" s="1188">
        <f>'2023'!R\Max</f>
        <v>0.63216027497902494</v>
      </c>
      <c r="CB328" s="1188">
        <f>'2024'!R\Max</f>
        <v>0.6321363374027309</v>
      </c>
      <c r="CC328" s="1188">
        <f>'2025'!R\Max</f>
        <v>0.63211236350194933</v>
      </c>
      <c r="CD328" s="1188">
        <f>'2026'!R\Max</f>
        <v>0.6322012998968658</v>
      </c>
      <c r="CE328" s="1189">
        <f>'2027'!R\Max</f>
        <v>0.63219451729422926</v>
      </c>
      <c r="CF328" s="1191">
        <f>'2028'!R\Max</f>
        <v>0.63218754436097446</v>
      </c>
    </row>
    <row r="329" spans="1:84" s="6" customFormat="1" ht="11.25" x14ac:dyDescent="0.2">
      <c r="A329" s="11">
        <v>43415</v>
      </c>
      <c r="B329" s="379">
        <f>'2023'!Maxi_hp</f>
        <v>34.489541172073217</v>
      </c>
      <c r="C329" s="13">
        <f>'2023'!An_max</f>
        <v>2023</v>
      </c>
      <c r="D329" s="1045">
        <f t="shared" si="116"/>
        <v>1.0062092732884729</v>
      </c>
      <c r="E329" s="13"/>
      <c r="F329" s="13">
        <f t="shared" si="133"/>
        <v>23</v>
      </c>
      <c r="G329" s="13">
        <f t="shared" si="117"/>
        <v>24</v>
      </c>
      <c r="H329" s="173">
        <f t="shared" si="118"/>
        <v>43402</v>
      </c>
      <c r="I329" s="742">
        <f t="shared" si="119"/>
        <v>0.9285714285714286</v>
      </c>
      <c r="J329" s="735">
        <f t="shared" si="120"/>
        <v>34.276707726371072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38">
        <v>43415</v>
      </c>
      <c r="AP329" s="13">
        <f t="shared" si="121"/>
        <v>13</v>
      </c>
      <c r="AQ329" s="13">
        <f t="shared" si="122"/>
        <v>12</v>
      </c>
      <c r="AR329" s="173">
        <f t="shared" si="123"/>
        <v>43416</v>
      </c>
      <c r="AS329" s="742">
        <f t="shared" si="124"/>
        <v>3.5714285714285712E-2</v>
      </c>
      <c r="AT329" s="758">
        <f t="shared" si="125"/>
        <v>34.260361357498915</v>
      </c>
      <c r="AU329" s="13">
        <f t="shared" si="126"/>
        <v>13</v>
      </c>
      <c r="AV329" s="13">
        <f t="shared" si="127"/>
        <v>12</v>
      </c>
      <c r="AW329" s="173">
        <f t="shared" si="128"/>
        <v>43430</v>
      </c>
      <c r="AX329" s="742">
        <f t="shared" si="129"/>
        <v>0.5357142857142857</v>
      </c>
      <c r="AY329" s="758">
        <f t="shared" si="130"/>
        <v>34.21718010911718</v>
      </c>
      <c r="AZ329" s="735">
        <f t="shared" si="134"/>
        <v>34.238770733308044</v>
      </c>
      <c r="BA329" s="633">
        <f t="shared" si="131"/>
        <v>1.0062092732884729</v>
      </c>
      <c r="BC329" s="11">
        <v>43415</v>
      </c>
      <c r="BD329" s="289">
        <f>[2]!FeuilCaduc*(1-Persistant)+Persistant</f>
        <v>0.66011968196288662</v>
      </c>
      <c r="BE329" s="290">
        <f>[2]!CroissVégét</f>
        <v>0.99854708003323223</v>
      </c>
      <c r="BF329" s="804">
        <f>1+[2]!Salcycl*Ksac</f>
        <v>1.0160119681962887</v>
      </c>
      <c r="BH329" s="1036">
        <f t="shared" si="132"/>
        <v>6.8665850698433042E-4</v>
      </c>
      <c r="BI329" s="11">
        <v>44511</v>
      </c>
      <c r="BJ329" s="715">
        <v>4.7681438317818666E-4</v>
      </c>
      <c r="BK329" s="715">
        <v>4.768143831781866E-4</v>
      </c>
      <c r="BL329" s="715">
        <v>4.9392951911177358E-4</v>
      </c>
      <c r="BM329" s="715">
        <v>5.8294904035784427E-4</v>
      </c>
      <c r="BN329" s="715">
        <v>7.9073678113487054E-4</v>
      </c>
      <c r="BO329" s="716">
        <v>1.2359851970853316E-3</v>
      </c>
      <c r="BP329" s="715">
        <v>2.0979561788995269E-3</v>
      </c>
      <c r="BQ329" s="715">
        <v>3.6333732026397557E-3</v>
      </c>
      <c r="BR329" s="715">
        <v>6.4102600675079629E-3</v>
      </c>
      <c r="BS329" s="715">
        <v>1.0865229459798112E-2</v>
      </c>
      <c r="BT329" s="715">
        <v>1.6694694069229438E-2</v>
      </c>
      <c r="BW329" s="1188">
        <f>'2019'!R\Max</f>
        <v>0.75701088962459417</v>
      </c>
      <c r="BX329" s="1188">
        <f>'2020'!R\Max</f>
        <v>0.31930909005818953</v>
      </c>
      <c r="BY329" s="1188">
        <f>'2021'!R\Max</f>
        <v>0.31227059372366428</v>
      </c>
      <c r="BZ329" s="1188">
        <f>'2022'!R\Max</f>
        <v>1.0062092732884731</v>
      </c>
      <c r="CA329" s="1188">
        <f>'2023'!R\Max</f>
        <v>1.0062092732884729</v>
      </c>
      <c r="CB329" s="1188">
        <f>'2024'!R\Max</f>
        <v>1.0062092732884733</v>
      </c>
      <c r="CC329" s="1188">
        <f>'2025'!R\Max</f>
        <v>1.0062092732884733</v>
      </c>
      <c r="CD329" s="1188">
        <f>'2026'!R\Max</f>
        <v>1.0062092732884731</v>
      </c>
      <c r="CE329" s="1189">
        <f>'2027'!R\Max</f>
        <v>1.0062092732884731</v>
      </c>
      <c r="CF329" s="1191">
        <f>'2028'!R\Max</f>
        <v>1.0062092732884733</v>
      </c>
    </row>
    <row r="330" spans="1:84" s="6" customFormat="1" ht="11.25" x14ac:dyDescent="0.2">
      <c r="A330" s="11">
        <v>43416</v>
      </c>
      <c r="B330" s="379">
        <f>'2023'!Maxi_hp</f>
        <v>33.686357160072951</v>
      </c>
      <c r="C330" s="13">
        <f>'2023'!An_max</f>
        <v>2022</v>
      </c>
      <c r="D330" s="1045">
        <f t="shared" si="116"/>
        <v>0.99128543103499767</v>
      </c>
      <c r="E330" s="1040">
        <f>AJ$13/10</f>
        <v>33.982500000000002</v>
      </c>
      <c r="F330" s="13">
        <f t="shared" si="133"/>
        <v>25</v>
      </c>
      <c r="G330" s="13">
        <f t="shared" si="117"/>
        <v>24</v>
      </c>
      <c r="H330" s="173">
        <f t="shared" si="118"/>
        <v>43430</v>
      </c>
      <c r="I330" s="742">
        <f t="shared" si="119"/>
        <v>1</v>
      </c>
      <c r="J330" s="735">
        <f t="shared" si="120"/>
        <v>33.982499999925494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38">
        <v>43416</v>
      </c>
      <c r="AP330" s="13">
        <f t="shared" si="121"/>
        <v>13</v>
      </c>
      <c r="AQ330" s="13">
        <f t="shared" si="122"/>
        <v>14</v>
      </c>
      <c r="AR330" s="173">
        <f t="shared" si="123"/>
        <v>43416</v>
      </c>
      <c r="AS330" s="742">
        <f t="shared" si="124"/>
        <v>0</v>
      </c>
      <c r="AT330" s="758">
        <f t="shared" si="125"/>
        <v>33.982500001043078</v>
      </c>
      <c r="AU330" s="13">
        <f t="shared" si="126"/>
        <v>13</v>
      </c>
      <c r="AV330" s="13">
        <f t="shared" si="127"/>
        <v>12</v>
      </c>
      <c r="AW330" s="173">
        <f t="shared" si="128"/>
        <v>43430</v>
      </c>
      <c r="AX330" s="742">
        <f t="shared" si="129"/>
        <v>0.5</v>
      </c>
      <c r="AY330" s="758">
        <f t="shared" si="130"/>
        <v>33.902468749508259</v>
      </c>
      <c r="AZ330" s="735">
        <f t="shared" si="134"/>
        <v>33.942484375275669</v>
      </c>
      <c r="BA330" s="633">
        <f t="shared" si="131"/>
        <v>0.99128543103499767</v>
      </c>
      <c r="BC330" s="11">
        <v>43416</v>
      </c>
      <c r="BD330" s="289">
        <f>[2]!FeuilCaduc*(1-Persistant)+Persistant</f>
        <v>0.65341611252840293</v>
      </c>
      <c r="BE330" s="290">
        <f>[2]!CroissVégét</f>
        <v>0.99861879125535868</v>
      </c>
      <c r="BF330" s="804">
        <f>1+[2]!Salcycl*Ksac</f>
        <v>1.0153416112528404</v>
      </c>
      <c r="BH330" s="1036">
        <f t="shared" si="132"/>
        <v>6.764007833123982E-4</v>
      </c>
      <c r="BI330" s="11">
        <v>44512</v>
      </c>
      <c r="BJ330" s="715">
        <v>4.5533436120155711E-4</v>
      </c>
      <c r="BK330" s="715">
        <v>4.5533436120155711E-4</v>
      </c>
      <c r="BL330" s="715">
        <v>4.7251989360447988E-4</v>
      </c>
      <c r="BM330" s="715">
        <v>5.6619613050027144E-4</v>
      </c>
      <c r="BN330" s="715">
        <v>7.8699734157409464E-4</v>
      </c>
      <c r="BO330" s="716">
        <v>1.2805428516448781E-3</v>
      </c>
      <c r="BP330" s="715">
        <v>2.2348087055286217E-3</v>
      </c>
      <c r="BQ330" s="715">
        <v>3.9340547371235889E-3</v>
      </c>
      <c r="BR330" s="715">
        <v>6.989529004745647E-3</v>
      </c>
      <c r="BS330" s="715">
        <v>1.1852206361616055E-2</v>
      </c>
      <c r="BT330" s="715">
        <v>1.8187192704151388E-2</v>
      </c>
      <c r="BW330" s="1188">
        <f>'2019'!R\Max</f>
        <v>0.58651140740270191</v>
      </c>
      <c r="BX330" s="1188">
        <f>'2020'!R\Max</f>
        <v>0.74725367742349003</v>
      </c>
      <c r="BY330" s="1188">
        <f>'2021'!R\Max</f>
        <v>0.2189275116722374</v>
      </c>
      <c r="BZ330" s="1188">
        <f>'2022'!R\Max</f>
        <v>0.99128543103499767</v>
      </c>
      <c r="CA330" s="1188">
        <f>'2023'!R\Max</f>
        <v>0.9912848195817362</v>
      </c>
      <c r="CB330" s="1188">
        <f>'2024'!R\Max</f>
        <v>0.99128373213569221</v>
      </c>
      <c r="CC330" s="1188">
        <f>'2025'!R\Max</f>
        <v>0.99128264299289159</v>
      </c>
      <c r="CD330" s="1188">
        <f>'2026'!R\Max</f>
        <v>0.99128668037569168</v>
      </c>
      <c r="CE330" s="1189">
        <f>'2027'!R\Max</f>
        <v>0.99128637348699788</v>
      </c>
      <c r="CF330" s="1191">
        <f>'2028'!R\Max</f>
        <v>0.9912860572990484</v>
      </c>
    </row>
    <row r="331" spans="1:84" s="6" customFormat="1" ht="11.25" x14ac:dyDescent="0.2">
      <c r="A331" s="11">
        <v>43417</v>
      </c>
      <c r="B331" s="379">
        <f>'2023'!Maxi_hp</f>
        <v>32.623038757538794</v>
      </c>
      <c r="C331" s="13">
        <f>'2023'!An_max</f>
        <v>2022</v>
      </c>
      <c r="D331" s="1045" t="str">
        <f t="shared" si="116"/>
        <v/>
      </c>
      <c r="E331" s="13"/>
      <c r="F331" s="13">
        <f t="shared" si="133"/>
        <v>25</v>
      </c>
      <c r="G331" s="13">
        <f t="shared" si="117"/>
        <v>24</v>
      </c>
      <c r="H331" s="173">
        <f t="shared" si="118"/>
        <v>43430</v>
      </c>
      <c r="I331" s="742">
        <f t="shared" si="119"/>
        <v>0.9285714285714286</v>
      </c>
      <c r="J331" s="735">
        <f t="shared" si="120"/>
        <v>33.690176840871572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38">
        <v>43417</v>
      </c>
      <c r="AP331" s="13">
        <f t="shared" si="121"/>
        <v>13</v>
      </c>
      <c r="AQ331" s="13">
        <f t="shared" si="122"/>
        <v>14</v>
      </c>
      <c r="AR331" s="173">
        <f t="shared" si="123"/>
        <v>43416</v>
      </c>
      <c r="AS331" s="742">
        <f t="shared" si="124"/>
        <v>3.5714285714285712E-2</v>
      </c>
      <c r="AT331" s="758">
        <f t="shared" si="125"/>
        <v>33.709579823352399</v>
      </c>
      <c r="AU331" s="13">
        <f t="shared" si="126"/>
        <v>13</v>
      </c>
      <c r="AV331" s="13">
        <f t="shared" si="127"/>
        <v>12</v>
      </c>
      <c r="AW331" s="173">
        <f t="shared" si="128"/>
        <v>43430</v>
      </c>
      <c r="AX331" s="742">
        <f t="shared" si="129"/>
        <v>0.4642857142857143</v>
      </c>
      <c r="AY331" s="758">
        <f t="shared" si="130"/>
        <v>33.59209189328498</v>
      </c>
      <c r="AZ331" s="735">
        <f t="shared" si="134"/>
        <v>33.650835858318686</v>
      </c>
      <c r="BA331" s="633">
        <f t="shared" si="131"/>
        <v>0.96832494859337848</v>
      </c>
      <c r="BC331" s="11">
        <v>43417</v>
      </c>
      <c r="BD331" s="289">
        <f>[2]!FeuilCaduc*(1-Persistant)+Persistant</f>
        <v>0.64682033328426958</v>
      </c>
      <c r="BE331" s="290">
        <f>[2]!CroissVégét</f>
        <v>0.99868762484886009</v>
      </c>
      <c r="BF331" s="804">
        <f>1+[2]!Salcycl*Ksac</f>
        <v>1.014682033328427</v>
      </c>
      <c r="BH331" s="1036">
        <f t="shared" si="132"/>
        <v>6.682008963157396E-4</v>
      </c>
      <c r="BI331" s="11">
        <v>44513</v>
      </c>
      <c r="BJ331" s="715">
        <v>4.3400830272402548E-4</v>
      </c>
      <c r="BK331" s="715">
        <v>4.3400830272402542E-4</v>
      </c>
      <c r="BL331" s="715">
        <v>4.5133418266824908E-4</v>
      </c>
      <c r="BM331" s="715">
        <v>5.5053635690115036E-4</v>
      </c>
      <c r="BN331" s="715">
        <v>7.8628386973507349E-4</v>
      </c>
      <c r="BO331" s="716">
        <v>1.3342310352186717E-3</v>
      </c>
      <c r="BP331" s="715">
        <v>2.3897471329519756E-3</v>
      </c>
      <c r="BQ331" s="715">
        <v>4.2667227837768504E-3</v>
      </c>
      <c r="BR331" s="715">
        <v>7.6211165720995733E-3</v>
      </c>
      <c r="BS331" s="715">
        <v>1.2915600162536659E-2</v>
      </c>
      <c r="BT331" s="715">
        <v>1.9781613889933894E-2</v>
      </c>
      <c r="BW331" s="1188">
        <f>'2019'!R\Max</f>
        <v>0.56647485112672913</v>
      </c>
      <c r="BX331" s="1188">
        <f>'2020'!R\Max</f>
        <v>0.90798666054146515</v>
      </c>
      <c r="BY331" s="1188">
        <f>'2021'!R\Max</f>
        <v>0.16612955692305367</v>
      </c>
      <c r="BZ331" s="1188">
        <f>'2022'!R\Max</f>
        <v>0.96832494859337848</v>
      </c>
      <c r="CA331" s="1188">
        <f>'2023'!R\Max</f>
        <v>0.96832255084995456</v>
      </c>
      <c r="CB331" s="1188">
        <f>'2024'!R\Max</f>
        <v>0.96831829219788745</v>
      </c>
      <c r="CC331" s="1188">
        <f>'2025'!R\Max</f>
        <v>0.96831402699072189</v>
      </c>
      <c r="CD331" s="1188">
        <f>'2026'!R\Max</f>
        <v>0.96832985603768107</v>
      </c>
      <c r="CE331" s="1189">
        <f>'2027'!R\Max</f>
        <v>0.96832864922599393</v>
      </c>
      <c r="CF331" s="1191">
        <f>'2028'!R\Max</f>
        <v>0.96832740472406498</v>
      </c>
    </row>
    <row r="332" spans="1:84" s="6" customFormat="1" ht="11.25" x14ac:dyDescent="0.2">
      <c r="A332" s="11">
        <v>43418</v>
      </c>
      <c r="B332" s="379">
        <f>'2023'!Maxi_hp</f>
        <v>19.58493615154913</v>
      </c>
      <c r="C332" s="13">
        <f>'2023'!An_max</f>
        <v>2020</v>
      </c>
      <c r="D332" s="1045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73">
        <f t="shared" si="118"/>
        <v>43430</v>
      </c>
      <c r="I332" s="742">
        <f t="shared" si="119"/>
        <v>0.8571428571428571</v>
      </c>
      <c r="J332" s="735">
        <f t="shared" si="120"/>
        <v>33.397817784441365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38">
        <v>43418</v>
      </c>
      <c r="AP332" s="13">
        <f t="shared" si="121"/>
        <v>13</v>
      </c>
      <c r="AQ332" s="13">
        <f t="shared" si="122"/>
        <v>14</v>
      </c>
      <c r="AR332" s="173">
        <f t="shared" si="123"/>
        <v>43416</v>
      </c>
      <c r="AS332" s="742">
        <f t="shared" si="124"/>
        <v>7.1428571428571425E-2</v>
      </c>
      <c r="AT332" s="758">
        <f t="shared" si="125"/>
        <v>33.43645528698606</v>
      </c>
      <c r="AU332" s="13">
        <f t="shared" si="126"/>
        <v>13</v>
      </c>
      <c r="AV332" s="13">
        <f t="shared" si="127"/>
        <v>12</v>
      </c>
      <c r="AW332" s="173">
        <f t="shared" si="128"/>
        <v>43430</v>
      </c>
      <c r="AX332" s="742">
        <f t="shared" si="129"/>
        <v>0.42857142857142855</v>
      </c>
      <c r="AY332" s="758">
        <f t="shared" si="130"/>
        <v>33.286682215545859</v>
      </c>
      <c r="AZ332" s="735">
        <f t="shared" si="134"/>
        <v>33.361568751265963</v>
      </c>
      <c r="BA332" s="633">
        <f t="shared" si="131"/>
        <v>0.58641364768068549</v>
      </c>
      <c r="BC332" s="11">
        <v>43418</v>
      </c>
      <c r="BD332" s="289">
        <f>[2]!FeuilCaduc*(1-Persistant)+Persistant</f>
        <v>0.64034112163493384</v>
      </c>
      <c r="BE332" s="290">
        <f>[2]!CroissVégét</f>
        <v>0.99875369591398344</v>
      </c>
      <c r="BF332" s="804">
        <f>1+[2]!Salcycl*Ksac</f>
        <v>1.0140341121634935</v>
      </c>
      <c r="BH332" s="1036">
        <f t="shared" si="132"/>
        <v>6.646821535412949E-4</v>
      </c>
      <c r="BI332" s="11">
        <v>44514</v>
      </c>
      <c r="BJ332" s="715">
        <v>4.1332909117978794E-4</v>
      </c>
      <c r="BK332" s="715">
        <v>4.1344863341512256E-4</v>
      </c>
      <c r="BL332" s="715">
        <v>4.3123526646725898E-4</v>
      </c>
      <c r="BM332" s="715">
        <v>5.3774557870253127E-4</v>
      </c>
      <c r="BN332" s="715">
        <v>7.9207013523230655E-4</v>
      </c>
      <c r="BO332" s="716">
        <v>1.4039587031699861E-3</v>
      </c>
      <c r="BP332" s="715">
        <v>2.5771588789282479E-3</v>
      </c>
      <c r="BQ332" s="715">
        <v>4.6518796432822923E-3</v>
      </c>
      <c r="BR332" s="715">
        <v>8.3271976072029543E-3</v>
      </c>
      <c r="BS332" s="715">
        <v>1.4066924714153719E-2</v>
      </c>
      <c r="BT332" s="715">
        <v>2.1471722621471061E-2</v>
      </c>
      <c r="BW332" s="1188">
        <f>'2019'!R\Max</f>
        <v>0.17786591599639565</v>
      </c>
      <c r="BX332" s="1188">
        <f>'2020'!R\Max</f>
        <v>0.58641364768068549</v>
      </c>
      <c r="BY332" s="1188">
        <f>'2021'!R\Max</f>
        <v>0.19896416539460732</v>
      </c>
      <c r="BZ332" s="1188">
        <f>'2022'!R\Max</f>
        <v>0.36996893530764297</v>
      </c>
      <c r="CA332" s="1188">
        <f>'2023'!R\Max</f>
        <v>0.36994871000794549</v>
      </c>
      <c r="CB332" s="1188">
        <f>'2024'!R\Max</f>
        <v>0.36991298937361872</v>
      </c>
      <c r="CC332" s="1188">
        <f>'2025'!R\Max</f>
        <v>0.36987722100583426</v>
      </c>
      <c r="CD332" s="1188">
        <f>'2026'!R\Max</f>
        <v>0.37001042831001041</v>
      </c>
      <c r="CE332" s="1189">
        <f>'2027'!R\Max</f>
        <v>0.37000020667358569</v>
      </c>
      <c r="CF332" s="1191">
        <f>'2028'!R\Max</f>
        <v>0.36998965829362396</v>
      </c>
    </row>
    <row r="333" spans="1:84" s="6" customFormat="1" ht="11.25" x14ac:dyDescent="0.2">
      <c r="A333" s="11">
        <v>43419</v>
      </c>
      <c r="B333" s="379">
        <f>'2023'!Maxi_hp</f>
        <v>27.924813714733766</v>
      </c>
      <c r="C333" s="13">
        <f>'2023'!An_max</f>
        <v>2020</v>
      </c>
      <c r="D333" s="1045" t="str">
        <f t="shared" si="116"/>
        <v/>
      </c>
      <c r="E333" s="13"/>
      <c r="F333" s="13">
        <f t="shared" si="133"/>
        <v>25</v>
      </c>
      <c r="G333" s="13">
        <f t="shared" si="117"/>
        <v>24</v>
      </c>
      <c r="H333" s="173">
        <f t="shared" si="118"/>
        <v>43430</v>
      </c>
      <c r="I333" s="742">
        <f t="shared" si="119"/>
        <v>0.7857142857142857</v>
      </c>
      <c r="J333" s="735">
        <f t="shared" si="120"/>
        <v>33.10639203736293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38">
        <v>43419</v>
      </c>
      <c r="AP333" s="13">
        <f t="shared" si="121"/>
        <v>13</v>
      </c>
      <c r="AQ333" s="13">
        <f t="shared" si="122"/>
        <v>14</v>
      </c>
      <c r="AR333" s="173">
        <f t="shared" si="123"/>
        <v>43416</v>
      </c>
      <c r="AS333" s="742">
        <f t="shared" si="124"/>
        <v>0.10714285714285714</v>
      </c>
      <c r="AT333" s="758">
        <f t="shared" si="125"/>
        <v>33.163678590314724</v>
      </c>
      <c r="AU333" s="13">
        <f t="shared" si="126"/>
        <v>13</v>
      </c>
      <c r="AV333" s="13">
        <f t="shared" si="127"/>
        <v>12</v>
      </c>
      <c r="AW333" s="173">
        <f t="shared" si="128"/>
        <v>43430</v>
      </c>
      <c r="AX333" s="742">
        <f t="shared" si="129"/>
        <v>0.39285714285714285</v>
      </c>
      <c r="AY333" s="758">
        <f t="shared" si="130"/>
        <v>32.98687239171538</v>
      </c>
      <c r="AZ333" s="735">
        <f t="shared" si="134"/>
        <v>33.075275491015049</v>
      </c>
      <c r="BA333" s="633">
        <f t="shared" si="131"/>
        <v>0.84348707292593583</v>
      </c>
      <c r="BC333" s="11">
        <v>43419</v>
      </c>
      <c r="BD333" s="289">
        <f>[2]!FeuilCaduc*(1-Persistant)+Persistant</f>
        <v>0.63398682922389349</v>
      </c>
      <c r="BE333" s="290">
        <f>[2]!CroissVégét</f>
        <v>0.99881711497657366</v>
      </c>
      <c r="BF333" s="804">
        <f>1+[2]!Salcycl*Ksac</f>
        <v>1.0133986829223893</v>
      </c>
      <c r="BH333" s="1036">
        <f t="shared" si="132"/>
        <v>6.6548246535260975E-4</v>
      </c>
      <c r="BI333" s="11">
        <v>44515</v>
      </c>
      <c r="BJ333" s="715">
        <v>3.9331203603418306E-4</v>
      </c>
      <c r="BK333" s="715">
        <v>3.9367079965464826E-4</v>
      </c>
      <c r="BL333" s="715">
        <v>4.1220792976469697E-4</v>
      </c>
      <c r="BM333" s="715">
        <v>5.2769525379662728E-4</v>
      </c>
      <c r="BN333" s="715">
        <v>8.0375967036814113E-4</v>
      </c>
      <c r="BO333" s="716">
        <v>1.4879735966498678E-3</v>
      </c>
      <c r="BP333" s="715">
        <v>2.7923528984390212E-3</v>
      </c>
      <c r="BQ333" s="715">
        <v>5.0792179254855541E-3</v>
      </c>
      <c r="BR333" s="715">
        <v>9.0885347161177178E-3</v>
      </c>
      <c r="BS333" s="715">
        <v>1.5272161139393699E-2</v>
      </c>
      <c r="BT333" s="715">
        <v>2.3204033512180127E-2</v>
      </c>
      <c r="BW333" s="1188">
        <f>'2019'!R\Max</f>
        <v>0.42780639267431242</v>
      </c>
      <c r="BX333" s="1188">
        <f>'2020'!R\Max</f>
        <v>0.84348707292593583</v>
      </c>
      <c r="BY333" s="1188">
        <f>'2021'!R\Max</f>
        <v>0.14757759782350036</v>
      </c>
      <c r="BZ333" s="1188">
        <f>'2022'!R\Max</f>
        <v>0.42825781974427785</v>
      </c>
      <c r="CA333" s="1188">
        <f>'2023'!R\Max</f>
        <v>0.4282342265554735</v>
      </c>
      <c r="CB333" s="1188">
        <f>'2024'!R\Max</f>
        <v>0.42819291365311346</v>
      </c>
      <c r="CC333" s="1188">
        <f>'2025'!R\Max</f>
        <v>0.4281515463829309</v>
      </c>
      <c r="CD333" s="1188">
        <f>'2026'!R\Max</f>
        <v>0.42830635730788197</v>
      </c>
      <c r="CE333" s="1189">
        <f>'2027'!R\Max</f>
        <v>0.42829437293556982</v>
      </c>
      <c r="CF333" s="1191">
        <f>'2028'!R\Max</f>
        <v>0.42828199764331465</v>
      </c>
    </row>
    <row r="334" spans="1:84" s="6" customFormat="1" ht="11.25" x14ac:dyDescent="0.2">
      <c r="A334" s="11">
        <v>43420</v>
      </c>
      <c r="B334" s="379">
        <f>'2023'!Maxi_hp</f>
        <v>33.23954058727778</v>
      </c>
      <c r="C334" s="13">
        <f>'2023'!An_max</f>
        <v>2023</v>
      </c>
      <c r="D334" s="1045">
        <f t="shared" si="116"/>
        <v>1.0128797109208914</v>
      </c>
      <c r="E334" s="13"/>
      <c r="F334" s="13">
        <f t="shared" si="133"/>
        <v>25</v>
      </c>
      <c r="G334" s="13">
        <f t="shared" si="117"/>
        <v>24</v>
      </c>
      <c r="H334" s="173">
        <f t="shared" si="118"/>
        <v>43430</v>
      </c>
      <c r="I334" s="742">
        <f t="shared" si="119"/>
        <v>0.7142857142857143</v>
      </c>
      <c r="J334" s="735">
        <f t="shared" si="120"/>
        <v>32.816868803756577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38">
        <v>43420</v>
      </c>
      <c r="AP334" s="13">
        <f t="shared" si="121"/>
        <v>13</v>
      </c>
      <c r="AQ334" s="13">
        <f t="shared" si="122"/>
        <v>14</v>
      </c>
      <c r="AR334" s="173">
        <f t="shared" si="123"/>
        <v>43416</v>
      </c>
      <c r="AS334" s="742">
        <f t="shared" si="124"/>
        <v>0.14285714285714285</v>
      </c>
      <c r="AT334" s="758">
        <f t="shared" si="125"/>
        <v>32.891801936498709</v>
      </c>
      <c r="AU334" s="13">
        <f t="shared" si="126"/>
        <v>13</v>
      </c>
      <c r="AV334" s="13">
        <f t="shared" si="127"/>
        <v>12</v>
      </c>
      <c r="AW334" s="173">
        <f t="shared" si="128"/>
        <v>43430</v>
      </c>
      <c r="AX334" s="742">
        <f t="shared" si="129"/>
        <v>0.35714285714285715</v>
      </c>
      <c r="AY334" s="758">
        <f t="shared" si="130"/>
        <v>32.693295098907711</v>
      </c>
      <c r="AZ334" s="735">
        <f t="shared" si="134"/>
        <v>32.79254851770321</v>
      </c>
      <c r="BA334" s="633">
        <f t="shared" si="131"/>
        <v>1.0128797109208914</v>
      </c>
      <c r="BC334" s="11">
        <v>43420</v>
      </c>
      <c r="BD334" s="289">
        <f>[2]!FeuilCaduc*(1-Persistant)+Persistant</f>
        <v>0.62776534495701308</v>
      </c>
      <c r="BE334" s="290">
        <f>[2]!CroissVégét</f>
        <v>0.9988779881675528</v>
      </c>
      <c r="BF334" s="804">
        <f>1+[2]!Salcycl*Ksac</f>
        <v>1.0127765344957014</v>
      </c>
      <c r="BH334" s="1036">
        <f t="shared" si="132"/>
        <v>6.7060615584153404E-4</v>
      </c>
      <c r="BI334" s="11">
        <v>44516</v>
      </c>
      <c r="BJ334" s="715">
        <v>3.7395833489495104E-4</v>
      </c>
      <c r="BK334" s="715">
        <v>3.7467612633465715E-4</v>
      </c>
      <c r="BL334" s="715">
        <v>3.9425378322484024E-4</v>
      </c>
      <c r="BM334" s="715">
        <v>5.2038844797235994E-4</v>
      </c>
      <c r="BN334" s="715">
        <v>8.2135806201208232E-4</v>
      </c>
      <c r="BO334" s="716">
        <v>1.5862874491113553E-3</v>
      </c>
      <c r="BP334" s="715">
        <v>3.0353500579716453E-3</v>
      </c>
      <c r="BQ334" s="715">
        <v>5.5487646090681903E-3</v>
      </c>
      <c r="BR334" s="715">
        <v>9.9051531532972636E-3</v>
      </c>
      <c r="BS334" s="715">
        <v>1.6531310211274155E-2</v>
      </c>
      <c r="BT334" s="715">
        <v>2.4978506165813069E-2</v>
      </c>
      <c r="BW334" s="1188">
        <f>'2019'!R\Max</f>
        <v>0.50054544385996957</v>
      </c>
      <c r="BX334" s="1188">
        <f>'2020'!R\Max</f>
        <v>0.70959965308963713</v>
      </c>
      <c r="BY334" s="1188">
        <f>'2021'!R\Max</f>
        <v>0.31005012836340617</v>
      </c>
      <c r="BZ334" s="1188">
        <f>'2022'!R\Max</f>
        <v>1.0128797109208916</v>
      </c>
      <c r="CA334" s="1188">
        <f>'2023'!R\Max</f>
        <v>1.0128797109208914</v>
      </c>
      <c r="CB334" s="1188">
        <f>'2024'!R\Max</f>
        <v>1.0128797109208916</v>
      </c>
      <c r="CC334" s="1188">
        <f>'2025'!R\Max</f>
        <v>1.0128797109208911</v>
      </c>
      <c r="CD334" s="1188">
        <f>'2026'!R\Max</f>
        <v>1.0128797109208914</v>
      </c>
      <c r="CE334" s="1189">
        <f>'2027'!R\Max</f>
        <v>1.0128797109208914</v>
      </c>
      <c r="CF334" s="1191">
        <f>'2028'!R\Max</f>
        <v>1.0128797109208914</v>
      </c>
    </row>
    <row r="335" spans="1:84" s="6" customFormat="1" ht="11.25" x14ac:dyDescent="0.2">
      <c r="A335" s="11">
        <v>43421</v>
      </c>
      <c r="B335" s="379">
        <f>'2023'!Maxi_hp</f>
        <v>24.838157791635798</v>
      </c>
      <c r="C335" s="13">
        <f>'2023'!An_max</f>
        <v>2020</v>
      </c>
      <c r="D335" s="1045" t="str">
        <f t="shared" ref="D335:D380" si="135">IF($BA335&gt;$D$11,BA335,"")</f>
        <v/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73">
        <f t="shared" ref="H335:H380" si="137">INDEX(x.2m,F335)</f>
        <v>43430</v>
      </c>
      <c r="I335" s="742">
        <f t="shared" ref="I335:I380" si="138">($A335-H335)/(INDEX(x.2m,G335)-H335)</f>
        <v>0.6428571428571429</v>
      </c>
      <c r="J335" s="735">
        <f t="shared" ref="J335:J380" si="139">((1-I335)*(INDEX(a.m,F335)*$A335*$A335+INDEX(b.m,F335)*$A335+INDEX(c.m,F335))+I335*(INDEX(a.m,G335)*$A335*$A335+INDEX(b.m,G335)*$A335+INDEX(c.m,G335)))/10</f>
        <v>32.53021729255893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38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3">
        <f t="shared" ref="AR335:AR380" si="142">INDEX(x.2lg,AP335)</f>
        <v>43416</v>
      </c>
      <c r="AS335" s="742">
        <f t="shared" ref="AS335:AS380" si="143">($A335-AR335)/(INDEX(x.2lg,AQ335)-AR335)</f>
        <v>0.17857142857142858</v>
      </c>
      <c r="AT335" s="758">
        <f t="shared" ref="AT335:AT380" si="144">((1-AS335)*(INDEX(a.lg,AP335)*$A335*$A335+INDEX(b.lg,AP335)*$A335+INDEX(c.lg,AP335))+AS335*(INDEX(a.lg,AQ335)*$A335*$A335+INDEX(b.lg,AQ335)*$A335+INDEX(c.lg,AQ335)))/10</f>
        <v>32.62137752880475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3">
        <f t="shared" ref="AW335:AW380" si="147">INDEX(x.2ld,AU335)</f>
        <v>43430</v>
      </c>
      <c r="AX335" s="742">
        <f t="shared" ref="AX335:AX380" si="148">($A335-AW335)/(INDEX(x.2ld,AV335)-AW335)</f>
        <v>0.32142857142857145</v>
      </c>
      <c r="AY335" s="758">
        <f t="shared" ref="AY335:AY380" si="149">((1-AX335)*(INDEX(a.ld,AU335)*$A335*$A335+INDEX(b.ld,AU335)*$A335+INDEX(c.ld,AU335))+AX335*(INDEX(a.ld,AV335)*$A335*$A335+INDEX(b.ld,AV335)*$A335+INDEX(c.ld,AV335)))/10</f>
        <v>32.406583011070538</v>
      </c>
      <c r="AZ335" s="735">
        <f t="shared" si="134"/>
        <v>32.513980269937647</v>
      </c>
      <c r="BA335" s="633">
        <f t="shared" ref="BA335:BA380" si="150">+B335/J335</f>
        <v>0.76354109682868176</v>
      </c>
      <c r="BC335" s="11">
        <v>43421</v>
      </c>
      <c r="BD335" s="289">
        <f>[2]!FeuilCaduc*(1-Persistant)+Persistant</f>
        <v>0.62168406081163563</v>
      </c>
      <c r="BE335" s="290">
        <f>[2]!CroissVégét</f>
        <v>0.99893641739554129</v>
      </c>
      <c r="BF335" s="804">
        <f>1+[2]!Salcycl*Ksac</f>
        <v>1.0121684060811635</v>
      </c>
      <c r="BH335" s="1036">
        <f t="shared" ref="BH335:BH380" si="151">INDEX($BJ335:$BT335,,$BH$10)*(1-Ratini)+INDEX($BJ335:$BT335,,$BH$10+1)*Ratini</f>
        <v>6.800571904674842E-4</v>
      </c>
      <c r="BI335" s="11">
        <v>44517</v>
      </c>
      <c r="BJ335" s="715">
        <v>3.5526920288434465E-4</v>
      </c>
      <c r="BK335" s="715">
        <v>3.5646594513782118E-4</v>
      </c>
      <c r="BL335" s="715">
        <v>3.773744177300079E-4</v>
      </c>
      <c r="BM335" s="715">
        <v>5.1582803745515678E-4</v>
      </c>
      <c r="BN335" s="715">
        <v>8.4487036873102711E-4</v>
      </c>
      <c r="BO335" s="716">
        <v>1.6989105149284348E-3</v>
      </c>
      <c r="BP335" s="715">
        <v>3.3061681615398487E-3</v>
      </c>
      <c r="BQ335" s="715">
        <v>6.0605416616063322E-3</v>
      </c>
      <c r="BR335" s="715">
        <v>1.0777070885165043E-2</v>
      </c>
      <c r="BS335" s="715">
        <v>1.7844363931939316E-2</v>
      </c>
      <c r="BT335" s="715">
        <v>2.6795090488334387E-2</v>
      </c>
      <c r="BW335" s="1188">
        <f>'2019'!R\Max</f>
        <v>0.39499765517246449</v>
      </c>
      <c r="BX335" s="1188">
        <f>'2020'!R\Max</f>
        <v>0.76354109682868176</v>
      </c>
      <c r="BY335" s="1188">
        <f>'2021'!R\Max</f>
        <v>8.7222115877789122E-2</v>
      </c>
      <c r="BZ335" s="1188">
        <f>'2022'!R\Max</f>
        <v>0.45931181570089219</v>
      </c>
      <c r="CA335" s="1188">
        <f>'2023'!R\Max</f>
        <v>0.4592823888865315</v>
      </c>
      <c r="CB335" s="1188">
        <f>'2024'!R\Max</f>
        <v>0.45923201690913251</v>
      </c>
      <c r="CC335" s="1188">
        <f>'2025'!R\Max</f>
        <v>0.45918158203836001</v>
      </c>
      <c r="CD335" s="1188">
        <f>'2026'!R\Max</f>
        <v>0.45937274637048237</v>
      </c>
      <c r="CE335" s="1189">
        <f>'2027'!R\Max</f>
        <v>0.45935761897581984</v>
      </c>
      <c r="CF335" s="1191">
        <f>'2028'!R\Max</f>
        <v>0.45934198365989826</v>
      </c>
    </row>
    <row r="336" spans="1:84" s="6" customFormat="1" ht="11.25" x14ac:dyDescent="0.2">
      <c r="A336" s="11">
        <v>43422</v>
      </c>
      <c r="B336" s="379">
        <f>'2023'!Maxi_hp</f>
        <v>29.745287536442678</v>
      </c>
      <c r="C336" s="13">
        <f>'2023'!An_max</f>
        <v>2020</v>
      </c>
      <c r="D336" s="1045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73">
        <f t="shared" si="137"/>
        <v>43430</v>
      </c>
      <c r="I336" s="742">
        <f t="shared" si="138"/>
        <v>0.5714285714285714</v>
      </c>
      <c r="J336" s="735">
        <f t="shared" si="139"/>
        <v>32.247406705362458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38">
        <v>43422</v>
      </c>
      <c r="AP336" s="13">
        <f t="shared" si="140"/>
        <v>13</v>
      </c>
      <c r="AQ336" s="13">
        <f t="shared" si="141"/>
        <v>14</v>
      </c>
      <c r="AR336" s="173">
        <f t="shared" si="142"/>
        <v>43416</v>
      </c>
      <c r="AS336" s="742">
        <f t="shared" si="143"/>
        <v>0.21428571428571427</v>
      </c>
      <c r="AT336" s="758">
        <f t="shared" si="144"/>
        <v>32.352957566401791</v>
      </c>
      <c r="AU336" s="13">
        <f t="shared" si="145"/>
        <v>13</v>
      </c>
      <c r="AV336" s="13">
        <f t="shared" si="146"/>
        <v>12</v>
      </c>
      <c r="AW336" s="173">
        <f t="shared" si="147"/>
        <v>43430</v>
      </c>
      <c r="AX336" s="742">
        <f t="shared" si="148"/>
        <v>0.2857142857142857</v>
      </c>
      <c r="AY336" s="758">
        <f t="shared" si="149"/>
        <v>32.127368804865647</v>
      </c>
      <c r="AZ336" s="735">
        <f t="shared" ref="AZ336:AZ380" si="153">(AY336+AT336)/2</f>
        <v>32.240163185633719</v>
      </c>
      <c r="BA336" s="633">
        <f t="shared" si="150"/>
        <v>0.92240867019847217</v>
      </c>
      <c r="BC336" s="11">
        <v>43422</v>
      </c>
      <c r="BD336" s="289">
        <f>[2]!FeuilCaduc*(1-Persistant)+Persistant</f>
        <v>0.61574984067096328</v>
      </c>
      <c r="BE336" s="290">
        <f>[2]!CroissVégét</f>
        <v>0.99899250051286803</v>
      </c>
      <c r="BF336" s="804">
        <f>1+[2]!Salcycl*Ksac</f>
        <v>1.0115749840670962</v>
      </c>
      <c r="BH336" s="1036">
        <f t="shared" si="151"/>
        <v>6.9383913645433798E-4</v>
      </c>
      <c r="BI336" s="11">
        <v>44518</v>
      </c>
      <c r="BJ336" s="715">
        <v>3.3724586638896568E-4</v>
      </c>
      <c r="BK336" s="715">
        <v>3.3904158719351755E-4</v>
      </c>
      <c r="BL336" s="715">
        <v>3.6157139438788773E-4</v>
      </c>
      <c r="BM336" s="715">
        <v>5.1401668369044763E-4</v>
      </c>
      <c r="BN336" s="715">
        <v>8.7430106674839453E-4</v>
      </c>
      <c r="BO336" s="716">
        <v>1.8258514390593172E-3</v>
      </c>
      <c r="BP336" s="715">
        <v>3.6048216976222957E-3</v>
      </c>
      <c r="BQ336" s="715">
        <v>6.6145656559805201E-3</v>
      </c>
      <c r="BR336" s="715">
        <v>1.1704298088800353E-2</v>
      </c>
      <c r="BS336" s="715">
        <v>1.9211305046142185E-2</v>
      </c>
      <c r="BT336" s="715">
        <v>2.8653726311475489E-2</v>
      </c>
      <c r="BW336" s="1188">
        <f>'2019'!R\Max</f>
        <v>0.38630219818565614</v>
      </c>
      <c r="BX336" s="1188">
        <f>'2020'!R\Max</f>
        <v>0.92240867019847217</v>
      </c>
      <c r="BY336" s="1188">
        <f>'2021'!R\Max</f>
        <v>0.59689286279015341</v>
      </c>
      <c r="BZ336" s="1188">
        <f>'2022'!R\Max</f>
        <v>0.59081799287165138</v>
      </c>
      <c r="CA336" s="1188">
        <f>'2023'!R\Max</f>
        <v>0.59078631307916885</v>
      </c>
      <c r="CB336" s="1188">
        <f>'2024'!R\Max</f>
        <v>0.59073277125253321</v>
      </c>
      <c r="CC336" s="1188">
        <f>'2025'!R\Max</f>
        <v>0.59067916151157418</v>
      </c>
      <c r="CD336" s="1188">
        <f>'2026'!R\Max</f>
        <v>0.59088380558808362</v>
      </c>
      <c r="CE336" s="1189">
        <f>'2027'!R\Max</f>
        <v>0.59086741884278837</v>
      </c>
      <c r="CF336" s="1191">
        <f>'2028'!R\Max</f>
        <v>0.59085047600833607</v>
      </c>
    </row>
    <row r="337" spans="1:84" s="6" customFormat="1" ht="11.25" x14ac:dyDescent="0.2">
      <c r="A337" s="11">
        <v>43423</v>
      </c>
      <c r="B337" s="379">
        <f>'2023'!Maxi_hp</f>
        <v>31.924931644225545</v>
      </c>
      <c r="C337" s="13">
        <f>'2023'!An_max</f>
        <v>2020</v>
      </c>
      <c r="D337" s="1045">
        <f t="shared" si="135"/>
        <v>0.99860883855684746</v>
      </c>
      <c r="E337" s="13"/>
      <c r="F337" s="13">
        <f t="shared" si="152"/>
        <v>25</v>
      </c>
      <c r="G337" s="13">
        <f t="shared" si="136"/>
        <v>24</v>
      </c>
      <c r="H337" s="173">
        <f t="shared" si="137"/>
        <v>43430</v>
      </c>
      <c r="I337" s="742">
        <f t="shared" si="138"/>
        <v>0.5</v>
      </c>
      <c r="J337" s="735">
        <f t="shared" si="139"/>
        <v>31.969406249560414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38">
        <v>43423</v>
      </c>
      <c r="AP337" s="13">
        <f t="shared" si="140"/>
        <v>13</v>
      </c>
      <c r="AQ337" s="13">
        <f t="shared" si="141"/>
        <v>14</v>
      </c>
      <c r="AR337" s="173">
        <f t="shared" si="142"/>
        <v>43416</v>
      </c>
      <c r="AS337" s="742">
        <f t="shared" si="143"/>
        <v>0.25</v>
      </c>
      <c r="AT337" s="758">
        <f t="shared" si="144"/>
        <v>32.08709425274283</v>
      </c>
      <c r="AU337" s="13">
        <f t="shared" si="145"/>
        <v>13</v>
      </c>
      <c r="AV337" s="13">
        <f t="shared" si="146"/>
        <v>12</v>
      </c>
      <c r="AW337" s="173">
        <f t="shared" si="147"/>
        <v>43430</v>
      </c>
      <c r="AX337" s="742">
        <f t="shared" si="148"/>
        <v>0.25</v>
      </c>
      <c r="AY337" s="758">
        <f t="shared" si="149"/>
        <v>31.856285156123342</v>
      </c>
      <c r="AZ337" s="735">
        <f t="shared" si="153"/>
        <v>31.971689704433086</v>
      </c>
      <c r="BA337" s="633">
        <f t="shared" si="150"/>
        <v>0.99860883855684746</v>
      </c>
      <c r="BC337" s="11">
        <v>43423</v>
      </c>
      <c r="BD337" s="289">
        <f>[2]!FeuilCaduc*(1-Persistant)+Persistant</f>
        <v>0.60996899239967906</v>
      </c>
      <c r="BE337" s="290">
        <f>[2]!CroissVégét</f>
        <v>0.99904633147520905</v>
      </c>
      <c r="BF337" s="804">
        <f>1+[2]!Salcycl*Ksac</f>
        <v>1.0109968992399678</v>
      </c>
      <c r="BH337" s="1036">
        <f t="shared" si="151"/>
        <v>7.1195512319042922E-4</v>
      </c>
      <c r="BI337" s="11">
        <v>44519</v>
      </c>
      <c r="BJ337" s="715">
        <v>3.1988955681064106E-4</v>
      </c>
      <c r="BK337" s="715">
        <v>3.2240437573497166E-4</v>
      </c>
      <c r="BL337" s="715">
        <v>3.468462345400394E-4</v>
      </c>
      <c r="BM337" s="715">
        <v>5.149568081292249E-4</v>
      </c>
      <c r="BN337" s="715">
        <v>9.0965399590739893E-4</v>
      </c>
      <c r="BO337" s="716">
        <v>1.9671171267196578E-3</v>
      </c>
      <c r="BP337" s="715">
        <v>3.9313215861217568E-3</v>
      </c>
      <c r="BQ337" s="715">
        <v>7.2108473868237053E-3</v>
      </c>
      <c r="BR337" s="715">
        <v>1.2686836650691024E-2</v>
      </c>
      <c r="BS337" s="715">
        <v>2.0632106554834228E-2</v>
      </c>
      <c r="BT337" s="715">
        <v>3.0554343016446738E-2</v>
      </c>
      <c r="BW337" s="1188">
        <f>'2019'!R\Max</f>
        <v>0.56287268387461431</v>
      </c>
      <c r="BX337" s="1188">
        <f>'2020'!R\Max</f>
        <v>0.99860883855684746</v>
      </c>
      <c r="BY337" s="1188">
        <f>'2021'!R\Max</f>
        <v>0.96484749737993292</v>
      </c>
      <c r="BZ337" s="1188">
        <f>'2022'!R\Max</f>
        <v>0.23515924376939776</v>
      </c>
      <c r="CA337" s="1188">
        <f>'2023'!R\Max</f>
        <v>0.23513544329400116</v>
      </c>
      <c r="CB337" s="1188">
        <f>'2024'!R\Max</f>
        <v>0.23509574842721637</v>
      </c>
      <c r="CC337" s="1188">
        <f>'2025'!R\Max</f>
        <v>0.23505601006252702</v>
      </c>
      <c r="CD337" s="1188">
        <f>'2026'!R\Max</f>
        <v>0.23520885815259138</v>
      </c>
      <c r="CE337" s="1189">
        <f>'2027'!R\Max</f>
        <v>0.23519646802096639</v>
      </c>
      <c r="CF337" s="1191">
        <f>'2028'!R\Max</f>
        <v>0.23518365462717372</v>
      </c>
    </row>
    <row r="338" spans="1:84" s="6" customFormat="1" ht="11.25" x14ac:dyDescent="0.2">
      <c r="A338" s="11">
        <v>43424</v>
      </c>
      <c r="B338" s="379">
        <f>'2023'!Maxi_hp</f>
        <v>32.554516773217912</v>
      </c>
      <c r="C338" s="13">
        <f>'2023'!An_max</f>
        <v>2018</v>
      </c>
      <c r="D338" s="1045">
        <f t="shared" si="135"/>
        <v>1.0270475640041317</v>
      </c>
      <c r="E338" s="13"/>
      <c r="F338" s="13">
        <f t="shared" si="152"/>
        <v>25</v>
      </c>
      <c r="G338" s="13">
        <f t="shared" si="136"/>
        <v>24</v>
      </c>
      <c r="H338" s="173">
        <f t="shared" si="137"/>
        <v>43430</v>
      </c>
      <c r="I338" s="742">
        <f t="shared" si="138"/>
        <v>0.42857142857142855</v>
      </c>
      <c r="J338" s="735">
        <f t="shared" si="139"/>
        <v>31.697185129672288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38">
        <v>43424</v>
      </c>
      <c r="AP338" s="13">
        <f t="shared" si="140"/>
        <v>13</v>
      </c>
      <c r="AQ338" s="13">
        <f t="shared" si="141"/>
        <v>14</v>
      </c>
      <c r="AR338" s="173">
        <f t="shared" si="142"/>
        <v>43416</v>
      </c>
      <c r="AS338" s="742">
        <f t="shared" si="143"/>
        <v>0.2857142857142857</v>
      </c>
      <c r="AT338" s="758">
        <f t="shared" si="144"/>
        <v>31.82433978979077</v>
      </c>
      <c r="AU338" s="13">
        <f t="shared" si="145"/>
        <v>13</v>
      </c>
      <c r="AV338" s="13">
        <f t="shared" si="146"/>
        <v>12</v>
      </c>
      <c r="AW338" s="173">
        <f t="shared" si="147"/>
        <v>43430</v>
      </c>
      <c r="AX338" s="742">
        <f t="shared" si="148"/>
        <v>0.21428571428571427</v>
      </c>
      <c r="AY338" s="758">
        <f t="shared" si="149"/>
        <v>31.593964741844683</v>
      </c>
      <c r="AZ338" s="735">
        <f t="shared" si="153"/>
        <v>31.709152265817728</v>
      </c>
      <c r="BA338" s="633">
        <f t="shared" si="150"/>
        <v>1.0270475640041317</v>
      </c>
      <c r="BC338" s="11">
        <v>43424</v>
      </c>
      <c r="BD338" s="289">
        <f>[2]!FeuilCaduc*(1-Persistant)+Persistant</f>
        <v>0.60434724335141232</v>
      </c>
      <c r="BE338" s="290">
        <f>[2]!CroissVégét</f>
        <v>0.99909800049508712</v>
      </c>
      <c r="BF338" s="804">
        <f>1+[2]!Salcycl*Ksac</f>
        <v>1.0104347243351413</v>
      </c>
      <c r="BH338" s="1036">
        <f t="shared" si="151"/>
        <v>7.3754345493955696E-4</v>
      </c>
      <c r="BI338" s="11">
        <v>44520</v>
      </c>
      <c r="BJ338" s="715">
        <v>3.0483456166166664E-4</v>
      </c>
      <c r="BK338" s="715">
        <v>3.0837356079462371E-4</v>
      </c>
      <c r="BL338" s="715">
        <v>3.3538022805353849E-4</v>
      </c>
      <c r="BM338" s="715">
        <v>5.2104230329634918E-4</v>
      </c>
      <c r="BN338" s="715">
        <v>9.5481451945850953E-4</v>
      </c>
      <c r="BO338" s="716">
        <v>2.1240707977901179E-3</v>
      </c>
      <c r="BP338" s="715">
        <v>4.2851829244940067E-3</v>
      </c>
      <c r="BQ338" s="715">
        <v>7.8441333454709137E-3</v>
      </c>
      <c r="BR338" s="715">
        <v>1.3706212665417683E-2</v>
      </c>
      <c r="BS338" s="715">
        <v>2.2072335391254735E-2</v>
      </c>
      <c r="BT338" s="715">
        <v>3.2445933568493547E-2</v>
      </c>
      <c r="BW338" s="1188">
        <f>'2019'!R\Max</f>
        <v>1.0270475640041317</v>
      </c>
      <c r="BX338" s="1188">
        <f>'2020'!R\Max</f>
        <v>0.27652920038480594</v>
      </c>
      <c r="BY338" s="1188">
        <f>'2021'!R\Max</f>
        <v>0.82964873980948917</v>
      </c>
      <c r="BZ338" s="1188">
        <f>'2022'!R\Max</f>
        <v>0.61031711402532229</v>
      </c>
      <c r="CA338" s="1188">
        <f>'2023'!R\Max</f>
        <v>0.61027930808068154</v>
      </c>
      <c r="CB338" s="1188">
        <f>'2024'!R\Max</f>
        <v>0.61021710606679369</v>
      </c>
      <c r="CC338" s="1188">
        <f>'2025'!R\Max</f>
        <v>0.61015482845380609</v>
      </c>
      <c r="CD338" s="1188">
        <f>'2026'!R\Max</f>
        <v>0.6103961156066795</v>
      </c>
      <c r="CE338" s="1189">
        <f>'2027'!R\Max</f>
        <v>0.6103763429337139</v>
      </c>
      <c r="CF338" s="1191">
        <f>'2028'!R\Max</f>
        <v>0.61035589188777162</v>
      </c>
    </row>
    <row r="339" spans="1:84" s="6" customFormat="1" ht="11.25" x14ac:dyDescent="0.2">
      <c r="A339" s="11">
        <v>43425</v>
      </c>
      <c r="B339" s="379">
        <f>'2023'!Maxi_hp</f>
        <v>29.917682231011785</v>
      </c>
      <c r="C339" s="13">
        <f>'2023'!An_max</f>
        <v>2018</v>
      </c>
      <c r="D339" s="1045" t="str">
        <f t="shared" si="135"/>
        <v/>
      </c>
      <c r="E339" s="13"/>
      <c r="F339" s="13">
        <f>INT(MATCH($A339,x.2m)/2)*2+1</f>
        <v>25</v>
      </c>
      <c r="G339" s="13">
        <f>INT((MATCH($A339,x.2m)+1)/2)*2</f>
        <v>24</v>
      </c>
      <c r="H339" s="173">
        <f t="shared" si="137"/>
        <v>43430</v>
      </c>
      <c r="I339" s="742">
        <f t="shared" si="138"/>
        <v>0.35714285714285715</v>
      </c>
      <c r="J339" s="735">
        <f t="shared" si="139"/>
        <v>31.431712554501633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38">
        <v>43425</v>
      </c>
      <c r="AP339" s="13">
        <f t="shared" si="140"/>
        <v>13</v>
      </c>
      <c r="AQ339" s="13">
        <f t="shared" si="141"/>
        <v>14</v>
      </c>
      <c r="AR339" s="173">
        <f t="shared" si="142"/>
        <v>43416</v>
      </c>
      <c r="AS339" s="742">
        <f t="shared" si="143"/>
        <v>0.32142857142857145</v>
      </c>
      <c r="AT339" s="758">
        <f t="shared" si="144"/>
        <v>31.565246379189194</v>
      </c>
      <c r="AU339" s="13">
        <f t="shared" si="145"/>
        <v>13</v>
      </c>
      <c r="AV339" s="13">
        <f t="shared" si="146"/>
        <v>12</v>
      </c>
      <c r="AW339" s="173">
        <f t="shared" si="147"/>
        <v>43430</v>
      </c>
      <c r="AX339" s="742">
        <f t="shared" si="148"/>
        <v>0.17857142857142858</v>
      </c>
      <c r="AY339" s="758">
        <f t="shared" si="149"/>
        <v>31.341040235538305</v>
      </c>
      <c r="AZ339" s="735">
        <f t="shared" si="153"/>
        <v>31.453143307363749</v>
      </c>
      <c r="BA339" s="633">
        <f t="shared" si="150"/>
        <v>0.9518311221234107</v>
      </c>
      <c r="BC339" s="11">
        <v>43425</v>
      </c>
      <c r="BD339" s="289">
        <f>[2]!FeuilCaduc*(1-Persistant)+Persistant</f>
        <v>0.598889719471694</v>
      </c>
      <c r="BE339" s="290">
        <f>[2]!CroissVégét</f>
        <v>0.99914759418945731</v>
      </c>
      <c r="BF339" s="804">
        <f>1+[2]!Salcycl*Ksac</f>
        <v>1.0098889719471693</v>
      </c>
      <c r="BH339" s="1036">
        <f t="shared" si="151"/>
        <v>7.6889740036012238E-4</v>
      </c>
      <c r="BI339" s="11">
        <v>44521</v>
      </c>
      <c r="BJ339" s="715">
        <v>2.9189216725097482E-4</v>
      </c>
      <c r="BK339" s="715">
        <v>2.9676065053762033E-4</v>
      </c>
      <c r="BL339" s="715">
        <v>3.2694611448215617E-4</v>
      </c>
      <c r="BM339" s="715">
        <v>5.3129303834807294E-4</v>
      </c>
      <c r="BN339" s="715">
        <v>1.0073467216541794E-3</v>
      </c>
      <c r="BO339" s="716">
        <v>2.2893545289337613E-3</v>
      </c>
      <c r="BP339" s="715">
        <v>4.6530905073436241E-3</v>
      </c>
      <c r="BQ339" s="715">
        <v>8.4929189276047156E-3</v>
      </c>
      <c r="BR339" s="715">
        <v>1.4729662662877334E-2</v>
      </c>
      <c r="BS339" s="715">
        <v>2.3490106000717909E-2</v>
      </c>
      <c r="BT339" s="715">
        <v>3.428081270797162E-2</v>
      </c>
      <c r="BW339" s="1188">
        <f>'2019'!R\Max</f>
        <v>0.9518311221234107</v>
      </c>
      <c r="BX339" s="1188">
        <f>'2020'!R\Max</f>
        <v>0.69386904083633327</v>
      </c>
      <c r="BY339" s="1188">
        <f>'2021'!R\Max</f>
        <v>0.34853993553518864</v>
      </c>
      <c r="BZ339" s="1188">
        <f>'2022'!R\Max</f>
        <v>0.10997836401847973</v>
      </c>
      <c r="CA339" s="1188">
        <f>'2023'!R\Max</f>
        <v>0.10996498669091995</v>
      </c>
      <c r="CB339" s="1188">
        <f>'2024'!R\Max</f>
        <v>0.10994327751906262</v>
      </c>
      <c r="CC339" s="1188">
        <f>'2025'!R\Max</f>
        <v>0.10992154639383532</v>
      </c>
      <c r="CD339" s="1188">
        <f>'2026'!R\Max</f>
        <v>0.11000635871098337</v>
      </c>
      <c r="CE339" s="1189">
        <f>'2027'!R\Max</f>
        <v>0.1099993432521376</v>
      </c>
      <c r="CF339" s="1191">
        <f>'2028'!R\Max</f>
        <v>0.10999208785706441</v>
      </c>
    </row>
    <row r="340" spans="1:84" s="6" customFormat="1" ht="11.25" x14ac:dyDescent="0.2">
      <c r="A340" s="11">
        <v>43426</v>
      </c>
      <c r="B340" s="379">
        <f>'2023'!Maxi_hp</f>
        <v>32.069171926586371</v>
      </c>
      <c r="C340" s="13">
        <f>'2023'!An_max</f>
        <v>2020</v>
      </c>
      <c r="D340" s="1045">
        <f t="shared" si="135"/>
        <v>1.0287167323576156</v>
      </c>
      <c r="E340" s="13"/>
      <c r="F340" s="13">
        <f t="shared" si="152"/>
        <v>25</v>
      </c>
      <c r="G340" s="13">
        <f t="shared" si="136"/>
        <v>24</v>
      </c>
      <c r="H340" s="173">
        <f t="shared" si="137"/>
        <v>43430</v>
      </c>
      <c r="I340" s="742">
        <f t="shared" si="138"/>
        <v>0.2857142857142857</v>
      </c>
      <c r="J340" s="735">
        <f t="shared" si="139"/>
        <v>31.173957726040054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38">
        <v>43426</v>
      </c>
      <c r="AP340" s="13">
        <f t="shared" si="140"/>
        <v>13</v>
      </c>
      <c r="AQ340" s="13">
        <f t="shared" si="141"/>
        <v>14</v>
      </c>
      <c r="AR340" s="173">
        <f t="shared" si="142"/>
        <v>43416</v>
      </c>
      <c r="AS340" s="742">
        <f t="shared" si="143"/>
        <v>0.35714285714285715</v>
      </c>
      <c r="AT340" s="758">
        <f t="shared" si="144"/>
        <v>31.310366221517324</v>
      </c>
      <c r="AU340" s="13">
        <f t="shared" si="145"/>
        <v>13</v>
      </c>
      <c r="AV340" s="13">
        <f t="shared" si="146"/>
        <v>12</v>
      </c>
      <c r="AW340" s="173">
        <f t="shared" si="147"/>
        <v>43430</v>
      </c>
      <c r="AX340" s="742">
        <f t="shared" si="148"/>
        <v>0.14285714285714285</v>
      </c>
      <c r="AY340" s="758">
        <f t="shared" si="149"/>
        <v>31.09814431427845</v>
      </c>
      <c r="AZ340" s="735">
        <f t="shared" si="153"/>
        <v>31.204255267897885</v>
      </c>
      <c r="BA340" s="633">
        <f t="shared" si="150"/>
        <v>1.0287167323576156</v>
      </c>
      <c r="BC340" s="11">
        <v>43426</v>
      </c>
      <c r="BD340" s="289">
        <f>[2]!FeuilCaduc*(1-Persistant)+Persistant</f>
        <v>0.59360092813166976</v>
      </c>
      <c r="BE340" s="290">
        <f>[2]!CroissVégét</f>
        <v>0.99919519572159454</v>
      </c>
      <c r="BF340" s="804">
        <f>1+[2]!Salcycl*Ksac</f>
        <v>1.009360092813167</v>
      </c>
      <c r="BH340" s="1036">
        <f t="shared" si="151"/>
        <v>8.0601945853917933E-4</v>
      </c>
      <c r="BI340" s="11">
        <v>44522</v>
      </c>
      <c r="BJ340" s="715">
        <v>2.810646329027495E-4</v>
      </c>
      <c r="BK340" s="715">
        <v>2.8756808863191402E-4</v>
      </c>
      <c r="BL340" s="715">
        <v>3.2154666107852642E-4</v>
      </c>
      <c r="BM340" s="715">
        <v>5.4571152823826579E-4</v>
      </c>
      <c r="BN340" s="715">
        <v>1.067253085658221E-3</v>
      </c>
      <c r="BO340" s="716">
        <v>2.4629641776150574E-3</v>
      </c>
      <c r="BP340" s="715">
        <v>5.0350316636254165E-3</v>
      </c>
      <c r="BQ340" s="715">
        <v>9.1571735461627637E-3</v>
      </c>
      <c r="BR340" s="715">
        <v>1.5757119616984838E-2</v>
      </c>
      <c r="BS340" s="715">
        <v>2.4885298466198236E-2</v>
      </c>
      <c r="BT340" s="715">
        <v>3.6058797816763175E-2</v>
      </c>
      <c r="BW340" s="1188">
        <f>'2019'!R\Max</f>
        <v>0.50512669508752295</v>
      </c>
      <c r="BX340" s="1188">
        <f>'2020'!R\Max</f>
        <v>1.0287167323576156</v>
      </c>
      <c r="BY340" s="1188">
        <f>'2021'!R\Max</f>
        <v>0.63751534371533036</v>
      </c>
      <c r="BZ340" s="1188">
        <f>'2022'!R\Max</f>
        <v>0.28414847678563476</v>
      </c>
      <c r="CA340" s="1188">
        <f>'2023'!R\Max</f>
        <v>0.28411089085470809</v>
      </c>
      <c r="CB340" s="1188">
        <f>'2024'!R\Max</f>
        <v>0.28405071194913756</v>
      </c>
      <c r="CC340" s="1188">
        <f>'2025'!R\Max</f>
        <v>0.28399047459498189</v>
      </c>
      <c r="CD340" s="1188">
        <f>'2026'!R\Max</f>
        <v>0.28422715768446677</v>
      </c>
      <c r="CE340" s="1189">
        <f>'2027'!R\Max</f>
        <v>0.28420743335860477</v>
      </c>
      <c r="CF340" s="1191">
        <f>'2028'!R\Max</f>
        <v>0.28418703766487546</v>
      </c>
    </row>
    <row r="341" spans="1:84" s="6" customFormat="1" ht="11.25" x14ac:dyDescent="0.2">
      <c r="A341" s="11">
        <v>43427</v>
      </c>
      <c r="B341" s="379">
        <f>'2023'!Maxi_hp</f>
        <v>32.348955390885784</v>
      </c>
      <c r="C341" s="13">
        <f>'2023'!An_max</f>
        <v>2020</v>
      </c>
      <c r="D341" s="1045">
        <f t="shared" si="135"/>
        <v>1.0460491709917212</v>
      </c>
      <c r="E341" s="13"/>
      <c r="F341" s="13">
        <f t="shared" si="152"/>
        <v>25</v>
      </c>
      <c r="G341" s="13">
        <f t="shared" si="136"/>
        <v>24</v>
      </c>
      <c r="H341" s="173">
        <f t="shared" si="137"/>
        <v>43430</v>
      </c>
      <c r="I341" s="742">
        <f t="shared" si="138"/>
        <v>0.21428571428571427</v>
      </c>
      <c r="J341" s="735">
        <f t="shared" si="139"/>
        <v>30.924889850270535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38">
        <v>43427</v>
      </c>
      <c r="AP341" s="13">
        <f t="shared" si="140"/>
        <v>13</v>
      </c>
      <c r="AQ341" s="13">
        <f t="shared" si="141"/>
        <v>14</v>
      </c>
      <c r="AR341" s="173">
        <f t="shared" si="142"/>
        <v>43416</v>
      </c>
      <c r="AS341" s="742">
        <f t="shared" si="143"/>
        <v>0.39285714285714285</v>
      </c>
      <c r="AT341" s="758">
        <f t="shared" si="144"/>
        <v>31.060251521585247</v>
      </c>
      <c r="AU341" s="13">
        <f t="shared" si="145"/>
        <v>13</v>
      </c>
      <c r="AV341" s="13">
        <f t="shared" si="146"/>
        <v>12</v>
      </c>
      <c r="AW341" s="173">
        <f t="shared" si="147"/>
        <v>43430</v>
      </c>
      <c r="AX341" s="742">
        <f t="shared" si="148"/>
        <v>0.10714285714285714</v>
      </c>
      <c r="AY341" s="758">
        <f t="shared" si="149"/>
        <v>30.865909655086163</v>
      </c>
      <c r="AZ341" s="735">
        <f t="shared" si="153"/>
        <v>30.963080588335707</v>
      </c>
      <c r="BA341" s="633">
        <f t="shared" si="150"/>
        <v>1.0460491709917212</v>
      </c>
      <c r="BC341" s="11">
        <v>43427</v>
      </c>
      <c r="BD341" s="289">
        <f>[2]!FeuilCaduc*(1-Persistant)+Persistant</f>
        <v>0.58848474479836355</v>
      </c>
      <c r="BE341" s="290">
        <f>[2]!CroissVégét</f>
        <v>0.99924088493749397</v>
      </c>
      <c r="BF341" s="804">
        <f>1+[2]!Salcycl*Ksac</f>
        <v>1.0088484744798363</v>
      </c>
      <c r="BH341" s="1036">
        <f t="shared" si="151"/>
        <v>8.4890606183377591E-4</v>
      </c>
      <c r="BI341" s="11">
        <v>44523</v>
      </c>
      <c r="BJ341" s="715">
        <v>2.7235232889874001E-4</v>
      </c>
      <c r="BK341" s="715">
        <v>2.8079633681695512E-4</v>
      </c>
      <c r="BL341" s="715">
        <v>3.1918233129054322E-4</v>
      </c>
      <c r="BM341" s="715">
        <v>5.6429625710032729E-4</v>
      </c>
      <c r="BN341" s="715">
        <v>1.134527984754885E-3</v>
      </c>
      <c r="BO341" s="716">
        <v>2.6448775553537078E-3</v>
      </c>
      <c r="BP341" s="715">
        <v>5.4309569117828513E-3</v>
      </c>
      <c r="BQ341" s="715">
        <v>9.836801157357378E-3</v>
      </c>
      <c r="BR341" s="715">
        <v>1.678840769347105E-2</v>
      </c>
      <c r="BS341" s="715">
        <v>2.6257626721046996E-2</v>
      </c>
      <c r="BT341" s="715">
        <v>3.7779470822602225E-2</v>
      </c>
      <c r="BW341" s="1188">
        <f>'2019'!R\Max</f>
        <v>0.27969553200614722</v>
      </c>
      <c r="BX341" s="1188">
        <f>'2020'!R\Max</f>
        <v>1.0460491709917212</v>
      </c>
      <c r="BY341" s="1188">
        <f>'2021'!R\Max</f>
        <v>0.4317780767699857</v>
      </c>
      <c r="BZ341" s="1188">
        <f>'2022'!R\Max</f>
        <v>0.47222586410655809</v>
      </c>
      <c r="CA341" s="1188">
        <f>'2023'!R\Max</f>
        <v>0.47217488636043453</v>
      </c>
      <c r="CB341" s="1188">
        <f>'2024'!R\Max</f>
        <v>0.47209433907695753</v>
      </c>
      <c r="CC341" s="1188">
        <f>'2025'!R\Max</f>
        <v>0.47201370768153555</v>
      </c>
      <c r="CD341" s="1188">
        <f>'2026'!R\Max</f>
        <v>0.47233251957299605</v>
      </c>
      <c r="CE341" s="1189">
        <f>'2027'!R\Max</f>
        <v>0.47230579189744598</v>
      </c>
      <c r="CF341" s="1191">
        <f>'2028'!R\Max</f>
        <v>0.47227816006981826</v>
      </c>
    </row>
    <row r="342" spans="1:84" s="6" customFormat="1" ht="11.25" x14ac:dyDescent="0.2">
      <c r="A342" s="11">
        <v>43428</v>
      </c>
      <c r="B342" s="379">
        <f>'2023'!Maxi_hp</f>
        <v>29.959800379951087</v>
      </c>
      <c r="C342" s="13">
        <f>'2023'!An_max</f>
        <v>2020</v>
      </c>
      <c r="D342" s="1045">
        <f t="shared" si="135"/>
        <v>0.97635110166418571</v>
      </c>
      <c r="E342" s="13"/>
      <c r="F342" s="13">
        <f t="shared" si="152"/>
        <v>25</v>
      </c>
      <c r="G342" s="13">
        <f t="shared" si="136"/>
        <v>24</v>
      </c>
      <c r="H342" s="173">
        <f t="shared" si="137"/>
        <v>43430</v>
      </c>
      <c r="I342" s="742">
        <f t="shared" si="138"/>
        <v>0.14285714285714285</v>
      </c>
      <c r="J342" s="735">
        <f t="shared" si="139"/>
        <v>30.685478132697092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38">
        <v>43428</v>
      </c>
      <c r="AP342" s="13">
        <f t="shared" si="140"/>
        <v>13</v>
      </c>
      <c r="AQ342" s="13">
        <f t="shared" si="141"/>
        <v>14</v>
      </c>
      <c r="AR342" s="173">
        <f t="shared" si="142"/>
        <v>43416</v>
      </c>
      <c r="AS342" s="742">
        <f t="shared" si="143"/>
        <v>0.42857142857142855</v>
      </c>
      <c r="AT342" s="758">
        <f t="shared" si="144"/>
        <v>30.815454478987625</v>
      </c>
      <c r="AU342" s="13">
        <f t="shared" si="145"/>
        <v>13</v>
      </c>
      <c r="AV342" s="13">
        <f t="shared" si="146"/>
        <v>12</v>
      </c>
      <c r="AW342" s="173">
        <f t="shared" si="147"/>
        <v>43430</v>
      </c>
      <c r="AX342" s="742">
        <f t="shared" si="148"/>
        <v>7.1428571428571425E-2</v>
      </c>
      <c r="AY342" s="758">
        <f t="shared" si="149"/>
        <v>30.644968932574351</v>
      </c>
      <c r="AZ342" s="735">
        <f t="shared" si="153"/>
        <v>30.730211705780988</v>
      </c>
      <c r="BA342" s="633">
        <f t="shared" si="150"/>
        <v>0.97635110166418571</v>
      </c>
      <c r="BC342" s="11">
        <v>43428</v>
      </c>
      <c r="BD342" s="289">
        <f>[2]!FeuilCaduc*(1-Persistant)+Persistant</f>
        <v>0.58354440361693261</v>
      </c>
      <c r="BE342" s="290">
        <f>[2]!CroissVégét</f>
        <v>0.99928473849698995</v>
      </c>
      <c r="BF342" s="804">
        <f>1+[2]!Salcycl*Ksac</f>
        <v>1.0083544403616933</v>
      </c>
      <c r="BH342" s="1036">
        <f t="shared" si="151"/>
        <v>8.9755531283614075E-4</v>
      </c>
      <c r="BI342" s="11">
        <v>44524</v>
      </c>
      <c r="BJ342" s="715">
        <v>2.6575667629879655E-4</v>
      </c>
      <c r="BK342" s="715">
        <v>2.7644685274825495E-4</v>
      </c>
      <c r="BL342" s="715">
        <v>3.1985455053762309E-4</v>
      </c>
      <c r="BM342" s="715">
        <v>5.8704701673058376E-4</v>
      </c>
      <c r="BN342" s="715">
        <v>1.2091678263252213E-3</v>
      </c>
      <c r="BO342" s="716">
        <v>2.8350778265258526E-3</v>
      </c>
      <c r="BP342" s="715">
        <v>5.8408276360124231E-3</v>
      </c>
      <c r="BQ342" s="715">
        <v>1.0531727694285682E-2</v>
      </c>
      <c r="BR342" s="715">
        <v>1.7823394820305278E-2</v>
      </c>
      <c r="BS342" s="715">
        <v>2.7606883039948436E-2</v>
      </c>
      <c r="BT342" s="715">
        <v>3.9442535976517312E-2</v>
      </c>
      <c r="BW342" s="1188">
        <f>'2019'!R\Max</f>
        <v>0.50067525715638406</v>
      </c>
      <c r="BX342" s="1188">
        <f>'2020'!R\Max</f>
        <v>0.97635110166418571</v>
      </c>
      <c r="BY342" s="1188">
        <f>'2021'!R\Max</f>
        <v>6.5083434257412087E-2</v>
      </c>
      <c r="BZ342" s="1188">
        <f>'2022'!R\Max</f>
        <v>0.510353781745987</v>
      </c>
      <c r="CA342" s="1188">
        <f>'2023'!R\Max</f>
        <v>0.51029867293875808</v>
      </c>
      <c r="CB342" s="1188">
        <f>'2024'!R\Max</f>
        <v>0.51021273455681726</v>
      </c>
      <c r="CC342" s="1188">
        <f>'2025'!R\Max</f>
        <v>0.5101267067519536</v>
      </c>
      <c r="CD342" s="1188">
        <f>'2026'!R\Max</f>
        <v>0.51046895561222738</v>
      </c>
      <c r="CE342" s="1189">
        <f>'2027'!R\Max</f>
        <v>0.51044011724823335</v>
      </c>
      <c r="CF342" s="1191">
        <f>'2028'!R\Max</f>
        <v>0.51041031203231491</v>
      </c>
    </row>
    <row r="343" spans="1:84" s="6" customFormat="1" ht="11.25" x14ac:dyDescent="0.2">
      <c r="A343" s="11">
        <v>43429</v>
      </c>
      <c r="B343" s="379">
        <f>'2023'!Maxi_hp</f>
        <v>29.033907399331543</v>
      </c>
      <c r="C343" s="13">
        <f>'2023'!An_max</f>
        <v>2020</v>
      </c>
      <c r="D343" s="1045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73">
        <f t="shared" si="137"/>
        <v>43430</v>
      </c>
      <c r="I343" s="742">
        <f t="shared" si="138"/>
        <v>7.1428571428571425E-2</v>
      </c>
      <c r="J343" s="735">
        <f t="shared" si="139"/>
        <v>30.456691782788511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38">
        <v>43429</v>
      </c>
      <c r="AP343" s="13">
        <f t="shared" si="140"/>
        <v>13</v>
      </c>
      <c r="AQ343" s="13">
        <f t="shared" si="141"/>
        <v>14</v>
      </c>
      <c r="AR343" s="173">
        <f t="shared" si="142"/>
        <v>43416</v>
      </c>
      <c r="AS343" s="742">
        <f t="shared" si="143"/>
        <v>0.4642857142857143</v>
      </c>
      <c r="AT343" s="758">
        <f t="shared" si="144"/>
        <v>30.576527296725128</v>
      </c>
      <c r="AU343" s="13">
        <f t="shared" si="145"/>
        <v>13</v>
      </c>
      <c r="AV343" s="13">
        <f t="shared" si="146"/>
        <v>12</v>
      </c>
      <c r="AW343" s="173">
        <f t="shared" si="147"/>
        <v>43430</v>
      </c>
      <c r="AX343" s="742">
        <f t="shared" si="148"/>
        <v>3.5714285714285712E-2</v>
      </c>
      <c r="AY343" s="758">
        <f t="shared" si="149"/>
        <v>30.435954821202905</v>
      </c>
      <c r="AZ343" s="735">
        <f t="shared" si="153"/>
        <v>30.506241058964015</v>
      </c>
      <c r="BA343" s="633">
        <f t="shared" si="150"/>
        <v>0.95328499911927389</v>
      </c>
      <c r="BC343" s="11">
        <v>43429</v>
      </c>
      <c r="BD343" s="289">
        <f>[2]!FeuilCaduc*(1-Persistant)+Persistant</f>
        <v>0.57878249194941001</v>
      </c>
      <c r="BE343" s="290">
        <f>[2]!CroissVégét</f>
        <v>0.99932682999978462</v>
      </c>
      <c r="BF343" s="804">
        <f>1+[2]!Salcycl*Ksac</f>
        <v>1.007878249194941</v>
      </c>
      <c r="BH343" s="1036">
        <f t="shared" si="151"/>
        <v>9.5196862982520271E-4</v>
      </c>
      <c r="BI343" s="11">
        <v>44525</v>
      </c>
      <c r="BJ343" s="715">
        <v>2.6128015724026038E-4</v>
      </c>
      <c r="BK343" s="715">
        <v>2.7452214421067175E-4</v>
      </c>
      <c r="BL343" s="715">
        <v>3.2356588114198977E-4</v>
      </c>
      <c r="BM343" s="715">
        <v>6.1396576582733911E-4</v>
      </c>
      <c r="BN343" s="715">
        <v>1.2911734863069655E-3</v>
      </c>
      <c r="BO343" s="716">
        <v>3.0335599974670893E-3</v>
      </c>
      <c r="BP343" s="715">
        <v>6.2646300036779306E-3</v>
      </c>
      <c r="BQ343" s="715">
        <v>1.1241925697478295E-2</v>
      </c>
      <c r="BR343" s="715">
        <v>1.8862032420294255E-2</v>
      </c>
      <c r="BS343" s="715">
        <v>2.8932995511750156E-2</v>
      </c>
      <c r="BT343" s="715">
        <v>4.1047897452645046E-2</v>
      </c>
      <c r="BW343" s="1188">
        <f>'2019'!R\Max</f>
        <v>0.42471344855659532</v>
      </c>
      <c r="BX343" s="1188">
        <f>'2020'!R\Max</f>
        <v>0.95328499911927389</v>
      </c>
      <c r="BY343" s="1188">
        <f>'2021'!R\Max</f>
        <v>0.64079762643845151</v>
      </c>
      <c r="BZ343" s="1188">
        <f>'2022'!R\Max</f>
        <v>0.16388664640708495</v>
      </c>
      <c r="CA343" s="1188">
        <f>'2023'!R\Max</f>
        <v>0.16385946631562856</v>
      </c>
      <c r="CB343" s="1188">
        <f>'2024'!R\Max</f>
        <v>0.16381763276526162</v>
      </c>
      <c r="CC343" s="1188">
        <f>'2025'!R\Max</f>
        <v>0.1637757632446685</v>
      </c>
      <c r="CD343" s="1188">
        <f>'2026'!R\Max</f>
        <v>0.16394337287015998</v>
      </c>
      <c r="CE343" s="1189">
        <f>'2027'!R\Max</f>
        <v>0.16392918547908314</v>
      </c>
      <c r="CF343" s="1191">
        <f>'2028'!R\Max</f>
        <v>0.16391452834549122</v>
      </c>
    </row>
    <row r="344" spans="1:84" s="6" customFormat="1" ht="11.25" x14ac:dyDescent="0.2">
      <c r="A344" s="11">
        <v>43430</v>
      </c>
      <c r="B344" s="379">
        <f>'2023'!Maxi_hp</f>
        <v>28.857430187211506</v>
      </c>
      <c r="C344" s="13">
        <f>'2023'!An_max</f>
        <v>2020</v>
      </c>
      <c r="D344" s="1045" t="str">
        <f t="shared" si="135"/>
        <v/>
      </c>
      <c r="E344" s="1040">
        <f>AK$13/10</f>
        <v>30.2395</v>
      </c>
      <c r="F344" s="13">
        <f t="shared" si="152"/>
        <v>25</v>
      </c>
      <c r="G344" s="13">
        <f t="shared" si="136"/>
        <v>26</v>
      </c>
      <c r="H344" s="173">
        <f t="shared" si="137"/>
        <v>43430</v>
      </c>
      <c r="I344" s="742">
        <f t="shared" si="138"/>
        <v>0</v>
      </c>
      <c r="J344" s="735">
        <f t="shared" si="139"/>
        <v>30.239499999582769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38">
        <v>43430</v>
      </c>
      <c r="AP344" s="13">
        <f t="shared" si="140"/>
        <v>13</v>
      </c>
      <c r="AQ344" s="13">
        <f t="shared" si="141"/>
        <v>14</v>
      </c>
      <c r="AR344" s="173">
        <f t="shared" si="142"/>
        <v>43416</v>
      </c>
      <c r="AS344" s="742">
        <f t="shared" si="143"/>
        <v>0.5</v>
      </c>
      <c r="AT344" s="758">
        <f t="shared" si="144"/>
        <v>30.344022175297141</v>
      </c>
      <c r="AU344" s="13">
        <f t="shared" si="145"/>
        <v>13</v>
      </c>
      <c r="AV344" s="13">
        <f t="shared" si="146"/>
        <v>14</v>
      </c>
      <c r="AW344" s="173">
        <f t="shared" si="147"/>
        <v>43430</v>
      </c>
      <c r="AX344" s="742">
        <f t="shared" si="148"/>
        <v>0</v>
      </c>
      <c r="AY344" s="758">
        <f t="shared" si="149"/>
        <v>30.239499999582769</v>
      </c>
      <c r="AZ344" s="735">
        <f t="shared" si="153"/>
        <v>30.291761087439955</v>
      </c>
      <c r="BA344" s="633">
        <f t="shared" si="150"/>
        <v>0.95429587749829425</v>
      </c>
      <c r="BC344" s="11">
        <v>43430</v>
      </c>
      <c r="BD344" s="289">
        <f>[2]!FeuilCaduc*(1-Persistant)+Persistant</f>
        <v>0.57420094888319018</v>
      </c>
      <c r="BE344" s="290">
        <f>[2]!CroissVégét</f>
        <v>0.99936723010658135</v>
      </c>
      <c r="BF344" s="804">
        <f>1+[2]!Salcycl*Ksac</f>
        <v>1.007420094888319</v>
      </c>
      <c r="BH344" s="1036">
        <f t="shared" si="151"/>
        <v>1.0121469217900926E-3</v>
      </c>
      <c r="BI344" s="11">
        <v>44526</v>
      </c>
      <c r="BJ344" s="715">
        <v>2.5892486161186394E-4</v>
      </c>
      <c r="BK344" s="715">
        <v>2.7502429716100274E-4</v>
      </c>
      <c r="BL344" s="715">
        <v>3.3031840826388127E-4</v>
      </c>
      <c r="BM344" s="715">
        <v>6.450539909306865E-4</v>
      </c>
      <c r="BN344" s="715">
        <v>1.3805452940844219E-3</v>
      </c>
      <c r="BO344" s="716">
        <v>3.240319342713445E-3</v>
      </c>
      <c r="BP344" s="715">
        <v>6.7023513812379948E-3</v>
      </c>
      <c r="BQ344" s="715">
        <v>1.1967371057760709E-2</v>
      </c>
      <c r="BR344" s="715">
        <v>1.9904279914185533E-2</v>
      </c>
      <c r="BS344" s="715">
        <v>3.0235907040182326E-2</v>
      </c>
      <c r="BT344" s="715">
        <v>4.2595482269337029E-2</v>
      </c>
      <c r="BW344" s="1188">
        <f>'2019'!R\Max</f>
        <v>0.72691145922887368</v>
      </c>
      <c r="BX344" s="1188">
        <f>'2020'!R\Max</f>
        <v>0.95429587749829425</v>
      </c>
      <c r="BY344" s="1188">
        <f>'2021'!R\Max</f>
        <v>0.25574058112901521</v>
      </c>
      <c r="BZ344" s="1188">
        <f>'2022'!R\Max</f>
        <v>0.38433859206229015</v>
      </c>
      <c r="CA344" s="1188">
        <f>'2023'!R\Max</f>
        <v>0.38427857814817445</v>
      </c>
      <c r="CB344" s="1188">
        <f>'2024'!R\Max</f>
        <v>0.38418738000636032</v>
      </c>
      <c r="CC344" s="1188">
        <f>'2025'!R\Max</f>
        <v>0.38409610064477145</v>
      </c>
      <c r="CD344" s="1188">
        <f>'2026'!R\Max</f>
        <v>0.38446359901787763</v>
      </c>
      <c r="CE344" s="1189">
        <f>'2027'!R\Max</f>
        <v>0.38443238408872998</v>
      </c>
      <c r="CF344" s="1191">
        <f>'2028'!R\Max</f>
        <v>0.38440014760470453</v>
      </c>
    </row>
    <row r="345" spans="1:84" s="6" customFormat="1" ht="11.25" x14ac:dyDescent="0.2">
      <c r="A345" s="11">
        <v>43431</v>
      </c>
      <c r="B345" s="379">
        <f>'2023'!Maxi_hp</f>
        <v>26.802315744867702</v>
      </c>
      <c r="C345" s="13">
        <f>'2023'!An_max</f>
        <v>2020</v>
      </c>
      <c r="D345" s="1045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73">
        <f t="shared" si="137"/>
        <v>43430</v>
      </c>
      <c r="I345" s="742">
        <f t="shared" si="138"/>
        <v>7.1428571428571425E-2</v>
      </c>
      <c r="J345" s="735">
        <f t="shared" si="139"/>
        <v>30.031748996994327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38">
        <v>43431</v>
      </c>
      <c r="AP345" s="13">
        <f t="shared" si="140"/>
        <v>13</v>
      </c>
      <c r="AQ345" s="13">
        <f t="shared" si="141"/>
        <v>14</v>
      </c>
      <c r="AR345" s="173">
        <f t="shared" si="142"/>
        <v>43416</v>
      </c>
      <c r="AS345" s="742">
        <f t="shared" si="143"/>
        <v>0.5357142857142857</v>
      </c>
      <c r="AT345" s="758">
        <f t="shared" si="144"/>
        <v>30.118491317012477</v>
      </c>
      <c r="AU345" s="13">
        <f t="shared" si="145"/>
        <v>13</v>
      </c>
      <c r="AV345" s="13">
        <f t="shared" si="146"/>
        <v>14</v>
      </c>
      <c r="AW345" s="173">
        <f t="shared" si="147"/>
        <v>43430</v>
      </c>
      <c r="AX345" s="742">
        <f t="shared" si="148"/>
        <v>3.5714285714285712E-2</v>
      </c>
      <c r="AY345" s="758">
        <f t="shared" si="149"/>
        <v>30.051699675300291</v>
      </c>
      <c r="AZ345" s="735">
        <f t="shared" si="153"/>
        <v>30.085095496156384</v>
      </c>
      <c r="BA345" s="633">
        <f t="shared" si="150"/>
        <v>0.89246602812077858</v>
      </c>
      <c r="BC345" s="11">
        <v>43431</v>
      </c>
      <c r="BD345" s="289">
        <f>[2]!FeuilCaduc*(1-Persistant)+Persistant</f>
        <v>0.56980106769121786</v>
      </c>
      <c r="BE345" s="290">
        <f>[2]!CroissVégét</f>
        <v>0.9994060066555025</v>
      </c>
      <c r="BF345" s="804">
        <f>1+[2]!Salcycl*Ksac</f>
        <v>1.0069801067691218</v>
      </c>
      <c r="BH345" s="1036">
        <f t="shared" si="151"/>
        <v>1.0780907084735475E-3</v>
      </c>
      <c r="BI345" s="11">
        <v>44527</v>
      </c>
      <c r="BJ345" s="715">
        <v>2.5869253135443358E-4</v>
      </c>
      <c r="BK345" s="715">
        <v>2.7795502637625375E-4</v>
      </c>
      <c r="BL345" s="715">
        <v>3.4011380331633599E-4</v>
      </c>
      <c r="BM345" s="715">
        <v>6.8031279329431248E-4</v>
      </c>
      <c r="BN345" s="715">
        <v>1.4772831858214321E-3</v>
      </c>
      <c r="BO345" s="716">
        <v>3.4553515773445165E-3</v>
      </c>
      <c r="BP345" s="715">
        <v>7.1539806240092244E-3</v>
      </c>
      <c r="BQ345" s="715">
        <v>1.2708043334145524E-2</v>
      </c>
      <c r="BR345" s="715">
        <v>2.0950104797973462E-2</v>
      </c>
      <c r="BS345" s="715">
        <v>3.1515574866430279E-2</v>
      </c>
      <c r="BT345" s="715">
        <v>4.4085239096549517E-2</v>
      </c>
      <c r="BW345" s="1188">
        <f>'2019'!R\Max</f>
        <v>0.76953590740170508</v>
      </c>
      <c r="BX345" s="1188">
        <f>'2020'!R\Max</f>
        <v>0.89246602812077858</v>
      </c>
      <c r="BY345" s="1188">
        <f>'2021'!R\Max</f>
        <v>0.52694037984653186</v>
      </c>
      <c r="BZ345" s="1188">
        <f>'2022'!R\Max</f>
        <v>0.60200550647287743</v>
      </c>
      <c r="CA345" s="1188">
        <f>'2023'!R\Max</f>
        <v>0.60194063264518272</v>
      </c>
      <c r="CB345" s="1188">
        <f>'2024'!R\Max</f>
        <v>0.60184327177474528</v>
      </c>
      <c r="CC345" s="1188">
        <f>'2025'!R\Max</f>
        <v>0.60174580983742365</v>
      </c>
      <c r="CD345" s="1188">
        <f>'2026'!R\Max</f>
        <v>0.60214031488799402</v>
      </c>
      <c r="CE345" s="1189">
        <f>'2027'!R\Max</f>
        <v>0.60210671679090177</v>
      </c>
      <c r="CF345" s="1191">
        <f>'2028'!R\Max</f>
        <v>0.60207203171441437</v>
      </c>
    </row>
    <row r="346" spans="1:84" s="6" customFormat="1" ht="11.25" x14ac:dyDescent="0.2">
      <c r="A346" s="11">
        <v>43432</v>
      </c>
      <c r="B346" s="379">
        <f>'2023'!Maxi_hp</f>
        <v>18.703888708428419</v>
      </c>
      <c r="C346" s="13">
        <f>'2023'!An_max</f>
        <v>2020</v>
      </c>
      <c r="D346" s="1045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73">
        <f t="shared" si="137"/>
        <v>43430</v>
      </c>
      <c r="I346" s="742">
        <f t="shared" si="138"/>
        <v>0.14285714285714285</v>
      </c>
      <c r="J346" s="735">
        <f t="shared" si="139"/>
        <v>29.830854226648807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38">
        <v>43432</v>
      </c>
      <c r="AP346" s="13">
        <f t="shared" si="140"/>
        <v>13</v>
      </c>
      <c r="AQ346" s="13">
        <f t="shared" si="141"/>
        <v>14</v>
      </c>
      <c r="AR346" s="173">
        <f t="shared" si="142"/>
        <v>43416</v>
      </c>
      <c r="AS346" s="742">
        <f t="shared" si="143"/>
        <v>0.5714285714285714</v>
      </c>
      <c r="AT346" s="758">
        <f t="shared" si="144"/>
        <v>29.900486924712148</v>
      </c>
      <c r="AU346" s="13">
        <f t="shared" si="145"/>
        <v>13</v>
      </c>
      <c r="AV346" s="13">
        <f t="shared" si="146"/>
        <v>14</v>
      </c>
      <c r="AW346" s="173">
        <f t="shared" si="147"/>
        <v>43430</v>
      </c>
      <c r="AX346" s="742">
        <f t="shared" si="148"/>
        <v>7.1428571428571425E-2</v>
      </c>
      <c r="AY346" s="758">
        <f t="shared" si="149"/>
        <v>29.868446463665794</v>
      </c>
      <c r="AZ346" s="735">
        <f t="shared" si="153"/>
        <v>29.884466694188973</v>
      </c>
      <c r="BA346" s="633">
        <f t="shared" si="150"/>
        <v>0.62699809285781927</v>
      </c>
      <c r="BC346" s="11">
        <v>43432</v>
      </c>
      <c r="BD346" s="289">
        <f>[2]!FeuilCaduc*(1-Persistant)+Persistant</f>
        <v>0.56558350219481845</v>
      </c>
      <c r="BE346" s="290">
        <f>[2]!CroissVégét</f>
        <v>0.99944322477397196</v>
      </c>
      <c r="BF346" s="804">
        <f>1+[2]!Salcycl*Ksac</f>
        <v>1.0065583502194819</v>
      </c>
      <c r="BH346" s="1036">
        <f t="shared" si="151"/>
        <v>1.1507011181974957E-3</v>
      </c>
      <c r="BI346" s="11">
        <v>44528</v>
      </c>
      <c r="BJ346" s="715">
        <v>2.6025591167624625E-4</v>
      </c>
      <c r="BK346" s="715">
        <v>2.8306120177030736E-4</v>
      </c>
      <c r="BL346" s="715">
        <v>3.527575594896273E-4</v>
      </c>
      <c r="BM346" s="715">
        <v>7.1962953189173146E-4</v>
      </c>
      <c r="BN346" s="715">
        <v>1.5833056643150007E-3</v>
      </c>
      <c r="BO346" s="716">
        <v>3.6804303942253856E-3</v>
      </c>
      <c r="BP346" s="715">
        <v>7.6113869552670715E-3</v>
      </c>
      <c r="BQ346" s="715">
        <v>1.3442342484176528E-2</v>
      </c>
      <c r="BR346" s="715">
        <v>2.196569018760278E-2</v>
      </c>
      <c r="BS346" s="715">
        <v>3.2736272897280795E-2</v>
      </c>
      <c r="BT346" s="715">
        <v>4.5481709483360867E-2</v>
      </c>
      <c r="BW346" s="1188">
        <f>'2019'!R\Max</f>
        <v>0.43065465002984255</v>
      </c>
      <c r="BX346" s="1188">
        <f>'2020'!R\Max</f>
        <v>0.62699809285781927</v>
      </c>
      <c r="BY346" s="1188">
        <f>'2021'!R\Max</f>
        <v>0.22599770954434714</v>
      </c>
      <c r="BZ346" s="1188">
        <f>'2022'!R\Max</f>
        <v>0.3762094483801654</v>
      </c>
      <c r="CA346" s="1188">
        <f>'2023'!R\Max</f>
        <v>0.37614196650813841</v>
      </c>
      <c r="CB346" s="1188">
        <f>'2024'!R\Max</f>
        <v>0.37604193839126826</v>
      </c>
      <c r="CC346" s="1188">
        <f>'2025'!R\Max</f>
        <v>0.37594182767949241</v>
      </c>
      <c r="CD346" s="1188">
        <f>'2026'!R\Max</f>
        <v>0.37634954074322363</v>
      </c>
      <c r="CE346" s="1189">
        <f>'2027'!R\Max</f>
        <v>0.37631465099779937</v>
      </c>
      <c r="CF346" s="1191">
        <f>'2028'!R\Max</f>
        <v>0.37627865294893037</v>
      </c>
    </row>
    <row r="347" spans="1:84" s="6" customFormat="1" ht="11.25" x14ac:dyDescent="0.2">
      <c r="A347" s="11">
        <v>43433</v>
      </c>
      <c r="B347" s="379">
        <f>'2023'!Maxi_hp</f>
        <v>16.758916593732387</v>
      </c>
      <c r="C347" s="13">
        <f>'2023'!An_max</f>
        <v>2018</v>
      </c>
      <c r="D347" s="1045" t="str">
        <f t="shared" si="135"/>
        <v/>
      </c>
      <c r="E347" s="13"/>
      <c r="F347" s="13">
        <f t="shared" si="152"/>
        <v>25</v>
      </c>
      <c r="G347" s="13">
        <f t="shared" si="136"/>
        <v>26</v>
      </c>
      <c r="H347" s="173">
        <f t="shared" si="137"/>
        <v>43430</v>
      </c>
      <c r="I347" s="742">
        <f t="shared" si="138"/>
        <v>0.21428571428571427</v>
      </c>
      <c r="J347" s="735">
        <f t="shared" si="139"/>
        <v>29.637138755087342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38">
        <v>43433</v>
      </c>
      <c r="AP347" s="13">
        <f t="shared" si="140"/>
        <v>13</v>
      </c>
      <c r="AQ347" s="13">
        <f t="shared" si="141"/>
        <v>14</v>
      </c>
      <c r="AR347" s="173">
        <f t="shared" si="142"/>
        <v>43416</v>
      </c>
      <c r="AS347" s="742">
        <f t="shared" si="143"/>
        <v>0.6071428571428571</v>
      </c>
      <c r="AT347" s="758">
        <f t="shared" si="144"/>
        <v>29.690561198469783</v>
      </c>
      <c r="AU347" s="13">
        <f t="shared" si="145"/>
        <v>13</v>
      </c>
      <c r="AV347" s="13">
        <f t="shared" si="146"/>
        <v>14</v>
      </c>
      <c r="AW347" s="173">
        <f t="shared" si="147"/>
        <v>43430</v>
      </c>
      <c r="AX347" s="742">
        <f t="shared" si="148"/>
        <v>0.10714285714285714</v>
      </c>
      <c r="AY347" s="758">
        <f t="shared" si="149"/>
        <v>29.690069150019969</v>
      </c>
      <c r="AZ347" s="735">
        <f t="shared" si="153"/>
        <v>29.690315174244876</v>
      </c>
      <c r="BA347" s="633">
        <f t="shared" si="150"/>
        <v>0.56547012625689608</v>
      </c>
      <c r="BC347" s="11">
        <v>43433</v>
      </c>
      <c r="BD347" s="289">
        <f>[2]!FeuilCaduc*(1-Persistant)+Persistant</f>
        <v>0.56154827694959564</v>
      </c>
      <c r="BE347" s="290">
        <f>[2]!CroissVégét</f>
        <v>0.9994789469862303</v>
      </c>
      <c r="BF347" s="804">
        <f>1+[2]!Salcycl*Ksac</f>
        <v>1.0061548276949595</v>
      </c>
      <c r="BH347" s="1036">
        <f t="shared" si="151"/>
        <v>1.2273474874377156E-3</v>
      </c>
      <c r="BI347" s="11">
        <v>44529</v>
      </c>
      <c r="BJ347" s="715">
        <v>2.6312186645644517E-4</v>
      </c>
      <c r="BK347" s="715">
        <v>2.8972966002908674E-4</v>
      </c>
      <c r="BL347" s="715">
        <v>3.673851040090354E-4</v>
      </c>
      <c r="BM347" s="715">
        <v>7.6122356896621073E-4</v>
      </c>
      <c r="BN347" s="715">
        <v>1.6951290174452335E-3</v>
      </c>
      <c r="BO347" s="716">
        <v>3.9086264839682883E-3</v>
      </c>
      <c r="BP347" s="715">
        <v>8.06013355486721E-3</v>
      </c>
      <c r="BQ347" s="715">
        <v>1.4149694129856567E-2</v>
      </c>
      <c r="BR347" s="715">
        <v>2.2928786956719131E-2</v>
      </c>
      <c r="BS347" s="715">
        <v>3.3886463370419832E-2</v>
      </c>
      <c r="BT347" s="715">
        <v>4.6791182587947837E-2</v>
      </c>
      <c r="BW347" s="1188">
        <f>'2019'!R\Max</f>
        <v>0.56547012625689608</v>
      </c>
      <c r="BX347" s="1188">
        <f>'2020'!R\Max</f>
        <v>0.29766494159091617</v>
      </c>
      <c r="BY347" s="1188">
        <f>'2021'!R\Max</f>
        <v>0.26407946249571312</v>
      </c>
      <c r="BZ347" s="1188">
        <f>'2022'!R\Max</f>
        <v>0.56346553264077859</v>
      </c>
      <c r="CA347" s="1188">
        <f>'2023'!R\Max</f>
        <v>0.56339087682689371</v>
      </c>
      <c r="CB347" s="1188">
        <f>'2024'!R\Max</f>
        <v>0.56328142779068824</v>
      </c>
      <c r="CC347" s="1188">
        <f>'2025'!R\Max</f>
        <v>0.5631718729929861</v>
      </c>
      <c r="CD347" s="1188">
        <f>'2026'!R\Max</f>
        <v>0.56362046664317211</v>
      </c>
      <c r="CE347" s="1189">
        <f>'2027'!R\Max</f>
        <v>0.56358187883988908</v>
      </c>
      <c r="CF347" s="1191">
        <f>'2028'!R\Max</f>
        <v>0.56354208532072669</v>
      </c>
    </row>
    <row r="348" spans="1:84" s="6" customFormat="1" ht="11.25" x14ac:dyDescent="0.2">
      <c r="A348" s="11">
        <v>43434</v>
      </c>
      <c r="B348" s="379">
        <f>'2023'!Maxi_hp</f>
        <v>27.894604255922708</v>
      </c>
      <c r="C348" s="13">
        <f>'2023'!An_max</f>
        <v>2020</v>
      </c>
      <c r="D348" s="1045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73">
        <f t="shared" si="137"/>
        <v>43430</v>
      </c>
      <c r="I348" s="742">
        <f t="shared" si="138"/>
        <v>0.2857142857142857</v>
      </c>
      <c r="J348" s="735">
        <f t="shared" si="139"/>
        <v>29.450925655875885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38">
        <v>43434</v>
      </c>
      <c r="AP348" s="13">
        <f t="shared" si="140"/>
        <v>13</v>
      </c>
      <c r="AQ348" s="13">
        <f t="shared" si="141"/>
        <v>14</v>
      </c>
      <c r="AR348" s="173">
        <f t="shared" si="142"/>
        <v>43416</v>
      </c>
      <c r="AS348" s="742">
        <f t="shared" si="143"/>
        <v>0.6428571428571429</v>
      </c>
      <c r="AT348" s="758">
        <f t="shared" si="144"/>
        <v>29.489266343361567</v>
      </c>
      <c r="AU348" s="13">
        <f t="shared" si="145"/>
        <v>13</v>
      </c>
      <c r="AV348" s="13">
        <f t="shared" si="146"/>
        <v>14</v>
      </c>
      <c r="AW348" s="173">
        <f t="shared" si="147"/>
        <v>43430</v>
      </c>
      <c r="AX348" s="742">
        <f t="shared" si="148"/>
        <v>0.14285714285714285</v>
      </c>
      <c r="AY348" s="758">
        <f t="shared" si="149"/>
        <v>29.516896519916401</v>
      </c>
      <c r="AZ348" s="735">
        <f t="shared" si="153"/>
        <v>29.503081431638982</v>
      </c>
      <c r="BA348" s="633">
        <f t="shared" si="150"/>
        <v>0.94715543347810982</v>
      </c>
      <c r="BC348" s="11">
        <v>43434</v>
      </c>
      <c r="BD348" s="289">
        <f>[2]!FeuilCaduc*(1-Persistant)+Persistant</f>
        <v>0.55769480114511016</v>
      </c>
      <c r="BE348" s="290">
        <f>[2]!CroissVégét</f>
        <v>0.99951323331664843</v>
      </c>
      <c r="BF348" s="804">
        <f>1+[2]!Salcycl*Ksac</f>
        <v>1.0057694801145109</v>
      </c>
      <c r="BH348" s="1036">
        <f t="shared" si="151"/>
        <v>1.3080294221739404E-3</v>
      </c>
      <c r="BI348" s="11">
        <v>44530</v>
      </c>
      <c r="BJ348" s="715">
        <v>2.6729117561066681E-4</v>
      </c>
      <c r="BK348" s="715">
        <v>2.9796110743100871E-4</v>
      </c>
      <c r="BL348" s="715">
        <v>3.8399699884191272E-4</v>
      </c>
      <c r="BM348" s="715">
        <v>8.0509491542053344E-4</v>
      </c>
      <c r="BN348" s="715">
        <v>1.8127524448288423E-3</v>
      </c>
      <c r="BO348" s="716">
        <v>4.1399365746624239E-3</v>
      </c>
      <c r="BP348" s="715">
        <v>8.5002103976657591E-3</v>
      </c>
      <c r="BQ348" s="715">
        <v>1.4830081557790628E-2</v>
      </c>
      <c r="BR348" s="715">
        <v>2.3839375337307799E-2</v>
      </c>
      <c r="BS348" s="715">
        <v>3.4966133961973206E-2</v>
      </c>
      <c r="BT348" s="715">
        <v>4.8013659560423722E-2</v>
      </c>
      <c r="BW348" s="1188">
        <f>'2019'!R\Max</f>
        <v>0.41472719467199259</v>
      </c>
      <c r="BX348" s="1188">
        <f>'2020'!R\Max</f>
        <v>0.94715543347810982</v>
      </c>
      <c r="BY348" s="1188">
        <f>'2021'!R\Max</f>
        <v>0.75197761991992662</v>
      </c>
      <c r="BZ348" s="1188">
        <f>'2022'!R\Max</f>
        <v>0.14525759611403938</v>
      </c>
      <c r="CA348" s="1188">
        <f>'2023'!R\Max</f>
        <v>0.14522519675788603</v>
      </c>
      <c r="CB348" s="1188">
        <f>'2024'!R\Max</f>
        <v>0.14517819526394474</v>
      </c>
      <c r="CC348" s="1188">
        <f>'2025'!R\Max</f>
        <v>0.14513116066051227</v>
      </c>
      <c r="CD348" s="1188">
        <f>'2026'!R\Max</f>
        <v>0.14532489796632939</v>
      </c>
      <c r="CE348" s="1189">
        <f>'2027'!R\Max</f>
        <v>0.14530811782710254</v>
      </c>
      <c r="CF348" s="1191">
        <f>'2028'!R\Max</f>
        <v>0.14529082550315281</v>
      </c>
    </row>
    <row r="349" spans="1:84" s="6" customFormat="1" ht="11.25" x14ac:dyDescent="0.2">
      <c r="A349" s="11">
        <v>43435</v>
      </c>
      <c r="B349" s="379">
        <f>'2023'!Maxi_hp</f>
        <v>28.876381708820084</v>
      </c>
      <c r="C349" s="13">
        <f>'2023'!An_max</f>
        <v>2020</v>
      </c>
      <c r="D349" s="1045">
        <f t="shared" si="135"/>
        <v>0.98646662335272084</v>
      </c>
      <c r="E349" s="13"/>
      <c r="F349" s="13">
        <f t="shared" si="152"/>
        <v>25</v>
      </c>
      <c r="G349" s="13">
        <f t="shared" si="136"/>
        <v>26</v>
      </c>
      <c r="H349" s="173">
        <f t="shared" si="137"/>
        <v>43430</v>
      </c>
      <c r="I349" s="742">
        <f t="shared" si="138"/>
        <v>0.35714285714285715</v>
      </c>
      <c r="J349" s="735">
        <f t="shared" si="139"/>
        <v>29.272537990872348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38">
        <v>43435</v>
      </c>
      <c r="AP349" s="13">
        <f t="shared" si="140"/>
        <v>13</v>
      </c>
      <c r="AQ349" s="13">
        <f t="shared" si="141"/>
        <v>14</v>
      </c>
      <c r="AR349" s="173">
        <f t="shared" si="142"/>
        <v>43416</v>
      </c>
      <c r="AS349" s="742">
        <f t="shared" si="143"/>
        <v>0.6785714285714286</v>
      </c>
      <c r="AT349" s="758">
        <f t="shared" si="144"/>
        <v>29.297154558636247</v>
      </c>
      <c r="AU349" s="13">
        <f t="shared" si="145"/>
        <v>13</v>
      </c>
      <c r="AV349" s="13">
        <f t="shared" si="146"/>
        <v>14</v>
      </c>
      <c r="AW349" s="173">
        <f t="shared" si="147"/>
        <v>43430</v>
      </c>
      <c r="AX349" s="742">
        <f t="shared" si="148"/>
        <v>0.17857142857142858</v>
      </c>
      <c r="AY349" s="758">
        <f t="shared" si="149"/>
        <v>29.349257358482909</v>
      </c>
      <c r="AZ349" s="735">
        <f t="shared" si="153"/>
        <v>29.323205958559576</v>
      </c>
      <c r="BA349" s="633">
        <f t="shared" si="150"/>
        <v>0.98646662335272084</v>
      </c>
      <c r="BC349" s="11">
        <v>43435</v>
      </c>
      <c r="BD349" s="289">
        <f>[2]!FeuilCaduc*(1-Persistant)+Persistant</f>
        <v>0.55402188608041736</v>
      </c>
      <c r="BE349" s="290">
        <f>[2]!CroissVégét</f>
        <v>0.99954614138899944</v>
      </c>
      <c r="BF349" s="804">
        <f>1+[2]!Salcycl*Ksac</f>
        <v>1.0054021886080418</v>
      </c>
      <c r="BH349" s="1036">
        <f t="shared" si="151"/>
        <v>1.3927467780964372E-3</v>
      </c>
      <c r="BI349" s="11">
        <v>44531</v>
      </c>
      <c r="BJ349" s="715">
        <v>2.7276451753137463E-4</v>
      </c>
      <c r="BK349" s="715">
        <v>3.0775615551306663E-4</v>
      </c>
      <c r="BL349" s="715">
        <v>4.0259373704448591E-4</v>
      </c>
      <c r="BM349" s="715">
        <v>8.5124370908010042E-4</v>
      </c>
      <c r="BN349" s="715">
        <v>1.9361755190176429E-3</v>
      </c>
      <c r="BO349" s="716">
        <v>4.3743589894051143E-3</v>
      </c>
      <c r="BP349" s="715">
        <v>8.9316120105075048E-3</v>
      </c>
      <c r="BQ349" s="715">
        <v>1.5483496499482477E-2</v>
      </c>
      <c r="BR349" s="715">
        <v>2.4697448562905813E-2</v>
      </c>
      <c r="BS349" s="715">
        <v>3.5975288607454338E-2</v>
      </c>
      <c r="BT349" s="715">
        <v>4.9149160684564729E-2</v>
      </c>
      <c r="BW349" s="1188">
        <f>'2019'!R\Max</f>
        <v>0.2803763518824165</v>
      </c>
      <c r="BX349" s="1188">
        <f>'2020'!R\Max</f>
        <v>0.98646662335272084</v>
      </c>
      <c r="BY349" s="1188">
        <f>'2021'!R\Max</f>
        <v>0.14961580925765552</v>
      </c>
      <c r="BZ349" s="1188">
        <f>'2022'!R\Max</f>
        <v>0.13906280537554186</v>
      </c>
      <c r="CA349" s="1188">
        <f>'2023'!R\Max</f>
        <v>0.13903040293777286</v>
      </c>
      <c r="CB349" s="1188">
        <f>'2024'!R\Max</f>
        <v>0.13898385012623715</v>
      </c>
      <c r="CC349" s="1188">
        <f>'2025'!R\Max</f>
        <v>0.13893726569731898</v>
      </c>
      <c r="CD349" s="1188">
        <f>'2026'!R\Max</f>
        <v>0.13913020966117334</v>
      </c>
      <c r="CE349" s="1189">
        <f>'2027'!R\Max</f>
        <v>0.13911337628183532</v>
      </c>
      <c r="CF349" s="1191">
        <f>'2028'!R\Max</f>
        <v>0.13909604060005448</v>
      </c>
    </row>
    <row r="350" spans="1:84" s="6" customFormat="1" ht="11.25" x14ac:dyDescent="0.2">
      <c r="A350" s="11">
        <v>43436</v>
      </c>
      <c r="B350" s="379">
        <f>'2023'!Maxi_hp</f>
        <v>10.012976509324043</v>
      </c>
      <c r="C350" s="13">
        <f>'2023'!An_max</f>
        <v>2021</v>
      </c>
      <c r="D350" s="1045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73">
        <f t="shared" si="137"/>
        <v>43430</v>
      </c>
      <c r="I350" s="742">
        <f t="shared" si="138"/>
        <v>0.42857142857142855</v>
      </c>
      <c r="J350" s="735">
        <f t="shared" si="139"/>
        <v>29.102298832578317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38">
        <v>43436</v>
      </c>
      <c r="AP350" s="13">
        <f t="shared" si="140"/>
        <v>13</v>
      </c>
      <c r="AQ350" s="13">
        <f t="shared" si="141"/>
        <v>14</v>
      </c>
      <c r="AR350" s="173">
        <f t="shared" si="142"/>
        <v>43416</v>
      </c>
      <c r="AS350" s="742">
        <f t="shared" si="143"/>
        <v>0.7142857142857143</v>
      </c>
      <c r="AT350" s="758">
        <f t="shared" si="144"/>
        <v>29.114778045458451</v>
      </c>
      <c r="AU350" s="13">
        <f t="shared" si="145"/>
        <v>13</v>
      </c>
      <c r="AV350" s="13">
        <f t="shared" si="146"/>
        <v>14</v>
      </c>
      <c r="AW350" s="173">
        <f t="shared" si="147"/>
        <v>43430</v>
      </c>
      <c r="AX350" s="742">
        <f t="shared" si="148"/>
        <v>0.21428571428571427</v>
      </c>
      <c r="AY350" s="758">
        <f t="shared" si="149"/>
        <v>29.187480450315132</v>
      </c>
      <c r="AZ350" s="735">
        <f t="shared" si="153"/>
        <v>29.151129247886793</v>
      </c>
      <c r="BA350" s="633">
        <f t="shared" si="150"/>
        <v>0.34406135978904534</v>
      </c>
      <c r="BC350" s="11">
        <v>43436</v>
      </c>
      <c r="BD350" s="289">
        <f>[2]!FeuilCaduc*(1-Persistant)+Persistant</f>
        <v>0.55052776605019982</v>
      </c>
      <c r="BE350" s="290">
        <f>[2]!CroissVégét</f>
        <v>0.99957772652184329</v>
      </c>
      <c r="BF350" s="804">
        <f>1+[2]!Salcycl*Ksac</f>
        <v>1.0050527766050199</v>
      </c>
      <c r="BH350" s="1036">
        <f t="shared" si="151"/>
        <v>1.4814997446843069E-3</v>
      </c>
      <c r="BI350" s="11">
        <v>44532</v>
      </c>
      <c r="BJ350" s="715">
        <v>2.79542496276619E-4</v>
      </c>
      <c r="BK350" s="715">
        <v>3.1911535365452724E-4</v>
      </c>
      <c r="BL350" s="715">
        <v>4.2317578410656855E-4</v>
      </c>
      <c r="BM350" s="715">
        <v>8.9967026216968048E-4</v>
      </c>
      <c r="BN350" s="715">
        <v>2.0653983063085644E-3</v>
      </c>
      <c r="BO350" s="716">
        <v>4.6118937116013158E-3</v>
      </c>
      <c r="BP350" s="715">
        <v>9.3543372931089389E-3</v>
      </c>
      <c r="BQ350" s="715">
        <v>1.6109938572943409E-2</v>
      </c>
      <c r="BR350" s="715">
        <v>2.5503011781128571E-2</v>
      </c>
      <c r="BS350" s="715">
        <v>3.6913946042895947E-2</v>
      </c>
      <c r="BT350" s="715">
        <v>5.019772358027004E-2</v>
      </c>
      <c r="BW350" s="1188">
        <f>'2019'!R\Max</f>
        <v>0.14798274496914363</v>
      </c>
      <c r="BX350" s="1188">
        <f>'2020'!R\Max</f>
        <v>0.16375221969138049</v>
      </c>
      <c r="BY350" s="1188">
        <f>'2021'!R\Max</f>
        <v>0.34406135978904534</v>
      </c>
      <c r="BZ350" s="1188">
        <f>'2022'!R\Max</f>
        <v>0.20966839176070376</v>
      </c>
      <c r="CA350" s="1188">
        <f>'2023'!R\Max</f>
        <v>0.20961757643937651</v>
      </c>
      <c r="CB350" s="1188">
        <f>'2024'!R\Max</f>
        <v>0.20954523752617646</v>
      </c>
      <c r="CC350" s="1188">
        <f>'2025'!R\Max</f>
        <v>0.20947285120383161</v>
      </c>
      <c r="CD350" s="1188">
        <f>'2026'!R\Max</f>
        <v>0.20977431854816958</v>
      </c>
      <c r="CE350" s="1189">
        <f>'2027'!R\Max</f>
        <v>0.20974780473164734</v>
      </c>
      <c r="CF350" s="1191">
        <f>'2028'!R\Max</f>
        <v>0.20972051901278657</v>
      </c>
    </row>
    <row r="351" spans="1:84" s="6" customFormat="1" ht="11.25" x14ac:dyDescent="0.2">
      <c r="A351" s="11">
        <v>43437</v>
      </c>
      <c r="B351" s="379">
        <f>'2023'!Maxi_hp</f>
        <v>19.179192393399582</v>
      </c>
      <c r="C351" s="13">
        <f>'2023'!An_max</f>
        <v>2021</v>
      </c>
      <c r="D351" s="1045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73">
        <f t="shared" si="137"/>
        <v>43430</v>
      </c>
      <c r="I351" s="742">
        <f t="shared" si="138"/>
        <v>0.5</v>
      </c>
      <c r="J351" s="735">
        <f t="shared" si="139"/>
        <v>28.94053124934435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38">
        <v>43437</v>
      </c>
      <c r="AP351" s="13">
        <f t="shared" si="140"/>
        <v>13</v>
      </c>
      <c r="AQ351" s="13">
        <f t="shared" si="141"/>
        <v>14</v>
      </c>
      <c r="AR351" s="173">
        <f t="shared" si="142"/>
        <v>43416</v>
      </c>
      <c r="AS351" s="742">
        <f t="shared" si="143"/>
        <v>0.75</v>
      </c>
      <c r="AT351" s="758">
        <f t="shared" si="144"/>
        <v>28.942689008824527</v>
      </c>
      <c r="AU351" s="13">
        <f t="shared" si="145"/>
        <v>13</v>
      </c>
      <c r="AV351" s="13">
        <f t="shared" si="146"/>
        <v>14</v>
      </c>
      <c r="AW351" s="173">
        <f t="shared" si="147"/>
        <v>43430</v>
      </c>
      <c r="AX351" s="742">
        <f t="shared" si="148"/>
        <v>0.25</v>
      </c>
      <c r="AY351" s="758">
        <f t="shared" si="149"/>
        <v>29.03189458064735</v>
      </c>
      <c r="AZ351" s="735">
        <f t="shared" si="153"/>
        <v>28.987291794735938</v>
      </c>
      <c r="BA351" s="633">
        <f t="shared" si="150"/>
        <v>0.66271044674876478</v>
      </c>
      <c r="BC351" s="11">
        <v>43437</v>
      </c>
      <c r="BD351" s="289">
        <f>[2]!FeuilCaduc*(1-Persistant)+Persistant</f>
        <v>0.54721012245046285</v>
      </c>
      <c r="BE351" s="290">
        <f>[2]!CroissVégét</f>
        <v>0.99960804182016849</v>
      </c>
      <c r="BF351" s="804">
        <f>1+[2]!Salcycl*Ksac</f>
        <v>1.0047210122450463</v>
      </c>
      <c r="BH351" s="1036">
        <f t="shared" si="151"/>
        <v>1.5742889292673522E-3</v>
      </c>
      <c r="BI351" s="11">
        <v>44533</v>
      </c>
      <c r="BJ351" s="715">
        <v>2.8762566875530722E-4</v>
      </c>
      <c r="BK351" s="715">
        <v>3.3203922165677243E-4</v>
      </c>
      <c r="BL351" s="715">
        <v>4.4574361929136902E-4</v>
      </c>
      <c r="BM351" s="715">
        <v>9.5037510877998908E-4</v>
      </c>
      <c r="BN351" s="715">
        <v>2.2004214875309472E-3</v>
      </c>
      <c r="BO351" s="716">
        <v>4.8525424502110052E-3</v>
      </c>
      <c r="BP351" s="715">
        <v>9.7683893388340551E-3</v>
      </c>
      <c r="BQ351" s="715">
        <v>1.6709414724113112E-2</v>
      </c>
      <c r="BR351" s="715">
        <v>2.6256080965892686E-2</v>
      </c>
      <c r="BS351" s="715">
        <v>3.778213834553356E-2</v>
      </c>
      <c r="BT351" s="715">
        <v>5.115940140540394E-2</v>
      </c>
      <c r="BW351" s="1188">
        <f>'2019'!R\Max</f>
        <v>0.16357754873865343</v>
      </c>
      <c r="BX351" s="1188">
        <f>'2020'!R\Max</f>
        <v>4.3803037435082563E-2</v>
      </c>
      <c r="BY351" s="1188">
        <f>'2021'!R\Max</f>
        <v>0.66271044674876478</v>
      </c>
      <c r="BZ351" s="1188">
        <f>'2022'!R\Max</f>
        <v>0.40849604016481356</v>
      </c>
      <c r="CA351" s="1188">
        <f>'2023'!R\Max</f>
        <v>0.40840938002943428</v>
      </c>
      <c r="CB351" s="1188">
        <f>'2024'!R\Max</f>
        <v>0.40828708446077772</v>
      </c>
      <c r="CC351" s="1188">
        <f>'2025'!R\Max</f>
        <v>0.40816469803604039</v>
      </c>
      <c r="CD351" s="1188">
        <f>'2026'!R\Max</f>
        <v>0.40867714680341571</v>
      </c>
      <c r="CE351" s="1189">
        <f>'2027'!R\Max</f>
        <v>0.40863169033906704</v>
      </c>
      <c r="CF351" s="1191">
        <f>'2028'!R\Max</f>
        <v>0.40858494335947448</v>
      </c>
    </row>
    <row r="352" spans="1:84" s="6" customFormat="1" ht="11.25" x14ac:dyDescent="0.2">
      <c r="A352" s="11">
        <v>43438</v>
      </c>
      <c r="B352" s="379">
        <f>'2023'!Maxi_hp</f>
        <v>19.158831148998573</v>
      </c>
      <c r="C352" s="13">
        <f>'2023'!An_max</f>
        <v>2022</v>
      </c>
      <c r="D352" s="1045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73">
        <f t="shared" si="137"/>
        <v>43430</v>
      </c>
      <c r="I352" s="742">
        <f t="shared" si="138"/>
        <v>0.5714285714285714</v>
      </c>
      <c r="J352" s="735">
        <f t="shared" si="139"/>
        <v>28.78755830739226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38">
        <v>43438</v>
      </c>
      <c r="AP352" s="13">
        <f t="shared" si="140"/>
        <v>13</v>
      </c>
      <c r="AQ352" s="13">
        <f t="shared" si="141"/>
        <v>14</v>
      </c>
      <c r="AR352" s="173">
        <f t="shared" si="142"/>
        <v>43416</v>
      </c>
      <c r="AS352" s="742">
        <f t="shared" si="143"/>
        <v>0.7857142857142857</v>
      </c>
      <c r="AT352" s="758">
        <f t="shared" si="144"/>
        <v>28.781439647238169</v>
      </c>
      <c r="AU352" s="13">
        <f t="shared" si="145"/>
        <v>13</v>
      </c>
      <c r="AV352" s="13">
        <f t="shared" si="146"/>
        <v>14</v>
      </c>
      <c r="AW352" s="173">
        <f t="shared" si="147"/>
        <v>43430</v>
      </c>
      <c r="AX352" s="742">
        <f t="shared" si="148"/>
        <v>0.2857142857142857</v>
      </c>
      <c r="AY352" s="758">
        <f t="shared" si="149"/>
        <v>28.882828536842549</v>
      </c>
      <c r="AZ352" s="735">
        <f t="shared" si="153"/>
        <v>28.832134092040359</v>
      </c>
      <c r="BA352" s="633">
        <f t="shared" si="150"/>
        <v>0.66552470148462861</v>
      </c>
      <c r="BC352" s="11">
        <v>43438</v>
      </c>
      <c r="BD352" s="289">
        <f>[2]!FeuilCaduc*(1-Persistant)+Persistant</f>
        <v>0.54406611088876966</v>
      </c>
      <c r="BE352" s="290">
        <f>[2]!CroissVégét</f>
        <v>0.99963713826343847</v>
      </c>
      <c r="BF352" s="804">
        <f>1+[2]!Salcycl*Ksac</f>
        <v>1.004406611088877</v>
      </c>
      <c r="BH352" s="1036">
        <f t="shared" si="151"/>
        <v>1.6699573408372843E-3</v>
      </c>
      <c r="BI352" s="11">
        <v>44534</v>
      </c>
      <c r="BJ352" s="715">
        <v>2.9651353565394122E-4</v>
      </c>
      <c r="BK352" s="715">
        <v>3.4598486735916336E-4</v>
      </c>
      <c r="BL352" s="715">
        <v>4.6960198341371753E-4</v>
      </c>
      <c r="BM352" s="715">
        <v>1.0023358000094934E-3</v>
      </c>
      <c r="BN352" s="715">
        <v>2.3399530511164003E-3</v>
      </c>
      <c r="BO352" s="716">
        <v>5.0951999959467156E-3</v>
      </c>
      <c r="BP352" s="715">
        <v>1.0168707481904439E-2</v>
      </c>
      <c r="BQ352" s="715">
        <v>1.7269461270894324E-2</v>
      </c>
      <c r="BR352" s="715">
        <v>2.6939862162935136E-2</v>
      </c>
      <c r="BS352" s="715">
        <v>3.8561705244573884E-2</v>
      </c>
      <c r="BT352" s="715">
        <v>5.2016697685890997E-2</v>
      </c>
      <c r="BW352" s="1188">
        <f>'2019'!R\Max</f>
        <v>0.23006023695298156</v>
      </c>
      <c r="BX352" s="1188">
        <f>'2020'!R\Max</f>
        <v>0.50093051863354154</v>
      </c>
      <c r="BY352" s="1188">
        <f>'2021'!R\Max</f>
        <v>0.23827949202374557</v>
      </c>
      <c r="BZ352" s="1188">
        <f>'2022'!R\Max</f>
        <v>0.66552470148462861</v>
      </c>
      <c r="CA352" s="1188">
        <f>'2023'!R\Max</f>
        <v>0.66544233343939607</v>
      </c>
      <c r="CB352" s="1188">
        <f>'2024'!R\Max</f>
        <v>0.66532708616571201</v>
      </c>
      <c r="CC352" s="1188">
        <f>'2025'!R\Max</f>
        <v>0.66521172480596091</v>
      </c>
      <c r="CD352" s="1188">
        <f>'2026'!R\Max</f>
        <v>0.66569741523734716</v>
      </c>
      <c r="CE352" s="1189">
        <f>'2027'!R\Max</f>
        <v>0.66565391088009407</v>
      </c>
      <c r="CF352" s="1191">
        <f>'2028'!R\Max</f>
        <v>0.66560920138922153</v>
      </c>
    </row>
    <row r="353" spans="1:84" s="6" customFormat="1" ht="11.25" x14ac:dyDescent="0.2">
      <c r="A353" s="11">
        <v>43439</v>
      </c>
      <c r="B353" s="379">
        <f>'2023'!Maxi_hp</f>
        <v>29.675148577196847</v>
      </c>
      <c r="C353" s="13">
        <f>'2023'!An_max</f>
        <v>2023</v>
      </c>
      <c r="D353" s="1045">
        <f t="shared" si="135"/>
        <v>1.0360095025616596</v>
      </c>
      <c r="E353" s="13"/>
      <c r="F353" s="13">
        <f t="shared" si="152"/>
        <v>25</v>
      </c>
      <c r="G353" s="13">
        <f t="shared" si="136"/>
        <v>26</v>
      </c>
      <c r="H353" s="173">
        <f t="shared" si="137"/>
        <v>43430</v>
      </c>
      <c r="I353" s="742">
        <f t="shared" si="138"/>
        <v>0.6428571428571429</v>
      </c>
      <c r="J353" s="735">
        <f t="shared" si="139"/>
        <v>28.643703077839955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38">
        <v>43439</v>
      </c>
      <c r="AP353" s="13">
        <f t="shared" si="140"/>
        <v>13</v>
      </c>
      <c r="AQ353" s="13">
        <f t="shared" si="141"/>
        <v>14</v>
      </c>
      <c r="AR353" s="173">
        <f t="shared" si="142"/>
        <v>43416</v>
      </c>
      <c r="AS353" s="742">
        <f t="shared" si="143"/>
        <v>0.8214285714285714</v>
      </c>
      <c r="AT353" s="758">
        <f t="shared" si="144"/>
        <v>28.63158216428544</v>
      </c>
      <c r="AU353" s="13">
        <f t="shared" si="145"/>
        <v>13</v>
      </c>
      <c r="AV353" s="13">
        <f t="shared" si="146"/>
        <v>14</v>
      </c>
      <c r="AW353" s="173">
        <f t="shared" si="147"/>
        <v>43430</v>
      </c>
      <c r="AX353" s="742">
        <f t="shared" si="148"/>
        <v>0.32142857142857145</v>
      </c>
      <c r="AY353" s="758">
        <f t="shared" si="149"/>
        <v>28.74061109982431</v>
      </c>
      <c r="AZ353" s="735">
        <f t="shared" si="153"/>
        <v>28.686096632054877</v>
      </c>
      <c r="BA353" s="633">
        <f t="shared" si="150"/>
        <v>1.0360095025616596</v>
      </c>
      <c r="BC353" s="11">
        <v>43439</v>
      </c>
      <c r="BD353" s="289">
        <f>[2]!FeuilCaduc*(1-Persistant)+Persistant</f>
        <v>0.54109239106197982</v>
      </c>
      <c r="BE353" s="290">
        <f>[2]!CroissVégét</f>
        <v>0.99966506479017636</v>
      </c>
      <c r="BF353" s="804">
        <f>1+[2]!Salcycl*Ksac</f>
        <v>1.0041092391061979</v>
      </c>
      <c r="BH353" s="1036">
        <f t="shared" si="151"/>
        <v>1.7653645919521615E-3</v>
      </c>
      <c r="BI353" s="11">
        <v>44535</v>
      </c>
      <c r="BJ353" s="715">
        <v>3.0457024376030794E-4</v>
      </c>
      <c r="BK353" s="715">
        <v>3.591311901901953E-4</v>
      </c>
      <c r="BL353" s="715">
        <v>4.9256722835854547E-4</v>
      </c>
      <c r="BM353" s="715">
        <v>1.0531568027896214E-3</v>
      </c>
      <c r="BN353" s="715">
        <v>2.4801051064278017E-3</v>
      </c>
      <c r="BO353" s="716">
        <v>5.3385106816406349E-3</v>
      </c>
      <c r="BP353" s="715">
        <v>1.0555795216649152E-2</v>
      </c>
      <c r="BQ353" s="715">
        <v>1.7795365804468832E-2</v>
      </c>
      <c r="BR353" s="715">
        <v>2.7572892541507705E-2</v>
      </c>
      <c r="BS353" s="715">
        <v>3.9287164796098277E-2</v>
      </c>
      <c r="BT353" s="715">
        <v>5.2820718107830573E-2</v>
      </c>
      <c r="BW353" s="1188">
        <f>'2019'!R\Max</f>
        <v>0.36466338213896615</v>
      </c>
      <c r="BX353" s="1188">
        <f>'2020'!R\Max</f>
        <v>0.30670440509917457</v>
      </c>
      <c r="BY353" s="1188">
        <f>'2021'!R\Max</f>
        <v>0.35571436754274233</v>
      </c>
      <c r="BZ353" s="1188">
        <f>'2022'!R\Max</f>
        <v>1.0360095025616596</v>
      </c>
      <c r="CA353" s="1188">
        <f>'2023'!R\Max</f>
        <v>1.0360095025616596</v>
      </c>
      <c r="CB353" s="1188">
        <f>'2024'!R\Max</f>
        <v>1.0360095025616594</v>
      </c>
      <c r="CC353" s="1188">
        <f>'2025'!R\Max</f>
        <v>1.0360095025616594</v>
      </c>
      <c r="CD353" s="1188">
        <f>'2026'!R\Max</f>
        <v>1.0360095025616596</v>
      </c>
      <c r="CE353" s="1189">
        <f>'2027'!R\Max</f>
        <v>1.0360095025616591</v>
      </c>
      <c r="CF353" s="1191">
        <f>'2028'!R\Max</f>
        <v>1.0360095025616596</v>
      </c>
    </row>
    <row r="354" spans="1:84" s="6" customFormat="1" ht="11.25" x14ac:dyDescent="0.2">
      <c r="A354" s="11">
        <v>43440</v>
      </c>
      <c r="B354" s="379">
        <f>'2023'!Maxi_hp</f>
        <v>22.171647596043584</v>
      </c>
      <c r="C354" s="13">
        <f>'2023'!An_max</f>
        <v>2020</v>
      </c>
      <c r="D354" s="1045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73">
        <f t="shared" si="137"/>
        <v>43430</v>
      </c>
      <c r="I354" s="742">
        <f t="shared" si="138"/>
        <v>0.7142857142857143</v>
      </c>
      <c r="J354" s="735">
        <f t="shared" si="139"/>
        <v>28.509288626696382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38">
        <v>43440</v>
      </c>
      <c r="AP354" s="13">
        <f t="shared" si="140"/>
        <v>13</v>
      </c>
      <c r="AQ354" s="13">
        <f t="shared" si="141"/>
        <v>14</v>
      </c>
      <c r="AR354" s="173">
        <f t="shared" si="142"/>
        <v>43416</v>
      </c>
      <c r="AS354" s="742">
        <f t="shared" si="143"/>
        <v>0.8571428571428571</v>
      </c>
      <c r="AT354" s="758">
        <f t="shared" si="144"/>
        <v>28.493668762275149</v>
      </c>
      <c r="AU354" s="13">
        <f t="shared" si="145"/>
        <v>13</v>
      </c>
      <c r="AV354" s="13">
        <f t="shared" si="146"/>
        <v>14</v>
      </c>
      <c r="AW354" s="173">
        <f t="shared" si="147"/>
        <v>43430</v>
      </c>
      <c r="AX354" s="742">
        <f t="shared" si="148"/>
        <v>0.35714285714285715</v>
      </c>
      <c r="AY354" s="758">
        <f t="shared" si="149"/>
        <v>28.605571059137581</v>
      </c>
      <c r="AZ354" s="735">
        <f t="shared" si="153"/>
        <v>28.549619910706365</v>
      </c>
      <c r="BA354" s="633">
        <f t="shared" si="150"/>
        <v>0.77769908209080441</v>
      </c>
      <c r="BC354" s="11">
        <v>43440</v>
      </c>
      <c r="BD354" s="289">
        <f>[2]!FeuilCaduc*(1-Persistant)+Persistant</f>
        <v>0.53828515914463693</v>
      </c>
      <c r="BE354" s="290">
        <f>[2]!CroissVégét</f>
        <v>0.9996918683792223</v>
      </c>
      <c r="BF354" s="804">
        <f>1+[2]!Salcycl*Ksac</f>
        <v>1.0038285159144638</v>
      </c>
      <c r="BH354" s="1036">
        <f t="shared" si="151"/>
        <v>1.8605127406010758E-3</v>
      </c>
      <c r="BI354" s="11">
        <v>44536</v>
      </c>
      <c r="BJ354" s="715">
        <v>3.1179621797149229E-4</v>
      </c>
      <c r="BK354" s="715">
        <v>3.7147864651654669E-4</v>
      </c>
      <c r="BL354" s="715">
        <v>5.1463991593804351E-4</v>
      </c>
      <c r="BM354" s="715">
        <v>1.1028393585139345E-3</v>
      </c>
      <c r="BN354" s="715">
        <v>2.6208805309537188E-3</v>
      </c>
      <c r="BO354" s="716">
        <v>5.5824816136104448E-3</v>
      </c>
      <c r="BP354" s="715">
        <v>1.0929666863388587E-2</v>
      </c>
      <c r="BQ354" s="715">
        <v>1.8287153520269002E-2</v>
      </c>
      <c r="BR354" s="715">
        <v>2.8155214365143889E-2</v>
      </c>
      <c r="BS354" s="715">
        <v>3.9958581791005525E-2</v>
      </c>
      <c r="BT354" s="715">
        <v>5.3571554379934175E-2</v>
      </c>
      <c r="BW354" s="1188">
        <f>'2019'!R\Max</f>
        <v>0.3231096658748262</v>
      </c>
      <c r="BX354" s="1188">
        <f>'2020'!R\Max</f>
        <v>0.77769908209080441</v>
      </c>
      <c r="BY354" s="1188">
        <f>'2021'!R\Max</f>
        <v>0.48503136274215786</v>
      </c>
      <c r="BZ354" s="1188">
        <f>'2022'!R\Max</f>
        <v>0.46791192878982762</v>
      </c>
      <c r="CA354" s="1188">
        <f>'2023'!R\Max</f>
        <v>0.46781493257487067</v>
      </c>
      <c r="CB354" s="1188">
        <f>'2024'!R\Max</f>
        <v>0.46768152537386143</v>
      </c>
      <c r="CC354" s="1188">
        <f>'2025'!R\Max</f>
        <v>0.46754801812200097</v>
      </c>
      <c r="CD354" s="1188">
        <f>'2026'!R\Max</f>
        <v>0.46811755943981859</v>
      </c>
      <c r="CE354" s="1189">
        <f>'2027'!R\Max</f>
        <v>0.46806521627754721</v>
      </c>
      <c r="CF354" s="1191">
        <f>'2028'!R\Max</f>
        <v>0.46801150647924333</v>
      </c>
    </row>
    <row r="355" spans="1:84" s="6" customFormat="1" ht="11.25" x14ac:dyDescent="0.2">
      <c r="A355" s="11">
        <v>43441</v>
      </c>
      <c r="B355" s="379">
        <f>'2023'!Maxi_hp</f>
        <v>24.51491938242404</v>
      </c>
      <c r="C355" s="13">
        <f>'2023'!An_max</f>
        <v>2022</v>
      </c>
      <c r="D355" s="1045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73">
        <f t="shared" si="137"/>
        <v>43430</v>
      </c>
      <c r="I355" s="742">
        <f t="shared" si="138"/>
        <v>0.7857142857142857</v>
      </c>
      <c r="J355" s="735">
        <f t="shared" si="139"/>
        <v>28.384638026037386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38">
        <v>43441</v>
      </c>
      <c r="AP355" s="13">
        <f t="shared" si="140"/>
        <v>13</v>
      </c>
      <c r="AQ355" s="13">
        <f t="shared" si="141"/>
        <v>14</v>
      </c>
      <c r="AR355" s="173">
        <f t="shared" si="142"/>
        <v>43416</v>
      </c>
      <c r="AS355" s="742">
        <f t="shared" si="143"/>
        <v>0.8928571428571429</v>
      </c>
      <c r="AT355" s="758">
        <f t="shared" si="144"/>
        <v>28.36825164330325</v>
      </c>
      <c r="AU355" s="13">
        <f t="shared" si="145"/>
        <v>13</v>
      </c>
      <c r="AV355" s="13">
        <f t="shared" si="146"/>
        <v>14</v>
      </c>
      <c r="AW355" s="173">
        <f t="shared" si="147"/>
        <v>43430</v>
      </c>
      <c r="AX355" s="742">
        <f t="shared" si="148"/>
        <v>0.39285714285714285</v>
      </c>
      <c r="AY355" s="758">
        <f t="shared" si="149"/>
        <v>28.478037197994336</v>
      </c>
      <c r="AZ355" s="735">
        <f t="shared" si="153"/>
        <v>28.423144420648793</v>
      </c>
      <c r="BA355" s="633">
        <f t="shared" si="150"/>
        <v>0.8636685576168478</v>
      </c>
      <c r="BC355" s="11">
        <v>43441</v>
      </c>
      <c r="BD355" s="289">
        <f>[2]!FeuilCaduc*(1-Persistant)+Persistant</f>
        <v>0.53564018241365929</v>
      </c>
      <c r="BE355" s="290">
        <f>[2]!CroissVégét</f>
        <v>0.99971759412779237</v>
      </c>
      <c r="BF355" s="804">
        <f>1+[2]!Salcycl*Ksac</f>
        <v>1.0035640182413659</v>
      </c>
      <c r="BH355" s="1036">
        <f t="shared" si="151"/>
        <v>1.9554046432202397E-3</v>
      </c>
      <c r="BI355" s="11">
        <v>44537</v>
      </c>
      <c r="BJ355" s="715">
        <v>3.1819196743450209E-4</v>
      </c>
      <c r="BK355" s="715">
        <v>3.8302781860881455E-4</v>
      </c>
      <c r="BL355" s="715">
        <v>5.3582081745569559E-4</v>
      </c>
      <c r="BM355" s="715">
        <v>1.151385154724388E-3</v>
      </c>
      <c r="BN355" s="715">
        <v>2.7622833541813968E-3</v>
      </c>
      <c r="BO355" s="716">
        <v>5.8271219065593712E-3</v>
      </c>
      <c r="BP355" s="715">
        <v>1.1290340234601357E-2</v>
      </c>
      <c r="BQ355" s="715">
        <v>1.8744854694285981E-2</v>
      </c>
      <c r="BR355" s="715">
        <v>2.8686876211972689E-2</v>
      </c>
      <c r="BS355" s="715">
        <v>4.0576028169315E-2</v>
      </c>
      <c r="BT355" s="715">
        <v>5.4269305991120856E-2</v>
      </c>
      <c r="BW355" s="1188">
        <f>'2019'!R\Max</f>
        <v>0.5370386119198336</v>
      </c>
      <c r="BX355" s="1188">
        <f>'2020'!R\Max</f>
        <v>0.47780162020082773</v>
      </c>
      <c r="BY355" s="1188">
        <f>'2021'!R\Max</f>
        <v>0.22512970217171163</v>
      </c>
      <c r="BZ355" s="1188">
        <f>'2022'!R\Max</f>
        <v>0.8636685576168478</v>
      </c>
      <c r="CA355" s="1188">
        <f>'2023'!R\Max</f>
        <v>0.86362170740770927</v>
      </c>
      <c r="CB355" s="1188">
        <f>'2024'!R\Max</f>
        <v>0.86355778194846011</v>
      </c>
      <c r="CC355" s="1188">
        <f>'2025'!R\Max</f>
        <v>0.86349378215310202</v>
      </c>
      <c r="CD355" s="1188">
        <f>'2026'!R\Max</f>
        <v>0.86376852539608384</v>
      </c>
      <c r="CE355" s="1189">
        <f>'2027'!R\Max</f>
        <v>0.86374291857430985</v>
      </c>
      <c r="CF355" s="1191">
        <f>'2028'!R\Max</f>
        <v>0.86371665714135548</v>
      </c>
    </row>
    <row r="356" spans="1:84" s="6" customFormat="1" ht="11.25" x14ac:dyDescent="0.2">
      <c r="A356" s="11">
        <v>43442</v>
      </c>
      <c r="B356" s="379">
        <f>'2023'!Maxi_hp</f>
        <v>18.001380759086484</v>
      </c>
      <c r="C356" s="13">
        <f>'2023'!An_max</f>
        <v>2018</v>
      </c>
      <c r="D356" s="1045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73">
        <f t="shared" si="137"/>
        <v>43430</v>
      </c>
      <c r="I356" s="742">
        <f t="shared" si="138"/>
        <v>0.8571428571428571</v>
      </c>
      <c r="J356" s="735">
        <f t="shared" si="139"/>
        <v>28.270074340701104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38">
        <v>43442</v>
      </c>
      <c r="AP356" s="13">
        <f t="shared" si="140"/>
        <v>13</v>
      </c>
      <c r="AQ356" s="13">
        <f t="shared" si="141"/>
        <v>14</v>
      </c>
      <c r="AR356" s="173">
        <f t="shared" si="142"/>
        <v>43416</v>
      </c>
      <c r="AS356" s="742">
        <f t="shared" si="143"/>
        <v>0.9285714285714286</v>
      </c>
      <c r="AT356" s="758">
        <f t="shared" si="144"/>
        <v>28.255883006166137</v>
      </c>
      <c r="AU356" s="13">
        <f t="shared" si="145"/>
        <v>13</v>
      </c>
      <c r="AV356" s="13">
        <f t="shared" si="146"/>
        <v>14</v>
      </c>
      <c r="AW356" s="173">
        <f t="shared" si="147"/>
        <v>43430</v>
      </c>
      <c r="AX356" s="742">
        <f t="shared" si="148"/>
        <v>0.42857142857142855</v>
      </c>
      <c r="AY356" s="758">
        <f t="shared" si="149"/>
        <v>28.358338303438256</v>
      </c>
      <c r="AZ356" s="735">
        <f t="shared" si="153"/>
        <v>28.307110654802194</v>
      </c>
      <c r="BA356" s="633">
        <f t="shared" si="150"/>
        <v>0.63676453560539326</v>
      </c>
      <c r="BC356" s="11">
        <v>43442</v>
      </c>
      <c r="BD356" s="289">
        <f>[2]!FeuilCaduc*(1-Persistant)+Persistant</f>
        <v>0.53315283581999529</v>
      </c>
      <c r="BE356" s="290">
        <f>[2]!CroissVégét</f>
        <v>0.99974228532646048</v>
      </c>
      <c r="BF356" s="804">
        <f>1+[2]!Salcycl*Ksac</f>
        <v>1.0033152835819996</v>
      </c>
      <c r="BH356" s="1036">
        <f t="shared" si="151"/>
        <v>2.0500439493582809E-3</v>
      </c>
      <c r="BI356" s="11">
        <v>44538</v>
      </c>
      <c r="BJ356" s="715">
        <v>3.2375806829231803E-4</v>
      </c>
      <c r="BK356" s="715">
        <v>3.9377939804935484E-4</v>
      </c>
      <c r="BL356" s="715">
        <v>5.5611089516714415E-4</v>
      </c>
      <c r="BM356" s="715">
        <v>1.1987963014791208E-3</v>
      </c>
      <c r="BN356" s="715">
        <v>2.9043187706246291E-3</v>
      </c>
      <c r="BO356" s="716">
        <v>6.0724426975137065E-3</v>
      </c>
      <c r="BP356" s="715">
        <v>1.1637836360658323E-2</v>
      </c>
      <c r="BQ356" s="715">
        <v>1.9168503974739143E-2</v>
      </c>
      <c r="BR356" s="715">
        <v>2.9167931922181273E-2</v>
      </c>
      <c r="BS356" s="715">
        <v>4.113958189926737E-2</v>
      </c>
      <c r="BT356" s="715">
        <v>5.4914079108604519E-2</v>
      </c>
      <c r="BW356" s="1188">
        <f>'2019'!R\Max</f>
        <v>0.63676453560539326</v>
      </c>
      <c r="BX356" s="1188">
        <f>'2020'!R\Max</f>
        <v>9.8346238032979358E-2</v>
      </c>
      <c r="BY356" s="1188">
        <f>'2021'!R\Max</f>
        <v>0.37183761315175806</v>
      </c>
      <c r="BZ356" s="1188">
        <f>'2022'!R\Max</f>
        <v>0.15929335055824551</v>
      </c>
      <c r="CA356" s="1188">
        <f>'2023'!R\Max</f>
        <v>0.1592481771519394</v>
      </c>
      <c r="CB356" s="1188">
        <f>'2024'!R\Max</f>
        <v>0.15918708436686438</v>
      </c>
      <c r="CC356" s="1188">
        <f>'2025'!R\Max</f>
        <v>0.15912595914761171</v>
      </c>
      <c r="CD356" s="1188">
        <f>'2026'!R\Max</f>
        <v>0.15939058242543636</v>
      </c>
      <c r="CE356" s="1189">
        <f>'2027'!R\Max</f>
        <v>0.15936548470617076</v>
      </c>
      <c r="CF356" s="1191">
        <f>'2028'!R\Max</f>
        <v>0.15933976955320228</v>
      </c>
    </row>
    <row r="357" spans="1:84" s="6" customFormat="1" ht="11.25" x14ac:dyDescent="0.2">
      <c r="A357" s="11">
        <v>43443</v>
      </c>
      <c r="B357" s="379">
        <f>'2023'!Maxi_hp</f>
        <v>12.508888202524682</v>
      </c>
      <c r="C357" s="13">
        <f>'2023'!An_max</f>
        <v>2018</v>
      </c>
      <c r="D357" s="1045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73">
        <f t="shared" si="137"/>
        <v>43430</v>
      </c>
      <c r="I357" s="742">
        <f t="shared" si="138"/>
        <v>0.9285714285714286</v>
      </c>
      <c r="J357" s="735">
        <f t="shared" si="139"/>
        <v>28.165920643295561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38">
        <v>43443</v>
      </c>
      <c r="AP357" s="13">
        <f t="shared" si="140"/>
        <v>13</v>
      </c>
      <c r="AQ357" s="13">
        <f t="shared" si="141"/>
        <v>14</v>
      </c>
      <c r="AR357" s="173">
        <f t="shared" si="142"/>
        <v>43416</v>
      </c>
      <c r="AS357" s="742">
        <f t="shared" si="143"/>
        <v>0.9642857142857143</v>
      </c>
      <c r="AT357" s="758">
        <f t="shared" si="144"/>
        <v>28.157115059931364</v>
      </c>
      <c r="AU357" s="13">
        <f t="shared" si="145"/>
        <v>13</v>
      </c>
      <c r="AV357" s="13">
        <f t="shared" si="146"/>
        <v>14</v>
      </c>
      <c r="AW357" s="173">
        <f t="shared" si="147"/>
        <v>43430</v>
      </c>
      <c r="AX357" s="742">
        <f t="shared" si="148"/>
        <v>0.4642857142857143</v>
      </c>
      <c r="AY357" s="758">
        <f t="shared" si="149"/>
        <v>28.246803158947397</v>
      </c>
      <c r="AZ357" s="735">
        <f t="shared" si="153"/>
        <v>28.201959109439379</v>
      </c>
      <c r="BA357" s="633">
        <f t="shared" si="150"/>
        <v>0.44411430256238471</v>
      </c>
      <c r="BC357" s="11">
        <v>43443</v>
      </c>
      <c r="BD357" s="289">
        <f>[2]!FeuilCaduc*(1-Persistant)+Persistant</f>
        <v>0.53081814020552298</v>
      </c>
      <c r="BE357" s="290">
        <f>[2]!CroissVégét</f>
        <v>0.99976598353118062</v>
      </c>
      <c r="BF357" s="804">
        <f>1+[2]!Salcycl*Ksac</f>
        <v>1.0030818140205524</v>
      </c>
      <c r="BH357" s="1036">
        <f t="shared" si="151"/>
        <v>2.1444350963420872E-3</v>
      </c>
      <c r="BI357" s="11">
        <v>44539</v>
      </c>
      <c r="BJ357" s="715">
        <v>3.2849514642983412E-4</v>
      </c>
      <c r="BK357" s="715">
        <v>4.0373416914007515E-4</v>
      </c>
      <c r="BL357" s="715">
        <v>5.7551128374109725E-4</v>
      </c>
      <c r="BM357" s="715">
        <v>1.2450753077204114E-3</v>
      </c>
      <c r="BN357" s="715">
        <v>3.0469931528525553E-3</v>
      </c>
      <c r="BO357" s="716">
        <v>6.3184571597610754E-3</v>
      </c>
      <c r="BP357" s="715">
        <v>1.1972179215555606E-2</v>
      </c>
      <c r="BQ357" s="715">
        <v>1.9558139673740732E-2</v>
      </c>
      <c r="BR357" s="715">
        <v>2.9598439545466482E-2</v>
      </c>
      <c r="BS357" s="715">
        <v>4.164932585640669E-2</v>
      </c>
      <c r="BT357" s="715">
        <v>5.5505985475953479E-2</v>
      </c>
      <c r="BW357" s="1188">
        <f>'2019'!R\Max</f>
        <v>0.44411430256238471</v>
      </c>
      <c r="BX357" s="1188">
        <f>'2020'!R\Max</f>
        <v>0.31318706863167234</v>
      </c>
      <c r="BY357" s="1188">
        <f>'2021'!R\Max</f>
        <v>0.33773942671459412</v>
      </c>
      <c r="BZ357" s="1188">
        <f>'2022'!R\Max</f>
        <v>0.19321506141793973</v>
      </c>
      <c r="CA357" s="1188">
        <f>'2023'!R\Max</f>
        <v>0.19315943639345112</v>
      </c>
      <c r="CB357" s="1188">
        <f>'2024'!R\Max</f>
        <v>0.19308483894369954</v>
      </c>
      <c r="CC357" s="1188">
        <f>'2025'!R\Max</f>
        <v>0.19301020329092214</v>
      </c>
      <c r="CD357" s="1188">
        <f>'2026'!R\Max</f>
        <v>0.19333586991987181</v>
      </c>
      <c r="CE357" s="1189">
        <f>'2027'!R\Max</f>
        <v>0.19330443473220485</v>
      </c>
      <c r="CF357" s="1191">
        <f>'2028'!R\Max</f>
        <v>0.19327224792434583</v>
      </c>
    </row>
    <row r="358" spans="1:84" s="6" customFormat="1" ht="11.25" x14ac:dyDescent="0.2">
      <c r="A358" s="11">
        <v>43444</v>
      </c>
      <c r="B358" s="379">
        <f>'2023'!Maxi_hp</f>
        <v>24.237624658257118</v>
      </c>
      <c r="C358" s="13">
        <f>'2023'!An_max</f>
        <v>2018</v>
      </c>
      <c r="D358" s="1045" t="str">
        <f t="shared" si="135"/>
        <v/>
      </c>
      <c r="E358" s="1040">
        <f>AL$13/10</f>
        <v>28.072500000000002</v>
      </c>
      <c r="F358" s="13">
        <f t="shared" si="152"/>
        <v>27</v>
      </c>
      <c r="G358" s="13">
        <f t="shared" si="136"/>
        <v>26</v>
      </c>
      <c r="H358" s="173">
        <f t="shared" si="137"/>
        <v>43458</v>
      </c>
      <c r="I358" s="742">
        <f t="shared" si="138"/>
        <v>1</v>
      </c>
      <c r="J358" s="735">
        <f t="shared" si="139"/>
        <v>28.072499996423723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38">
        <v>43444</v>
      </c>
      <c r="AP358" s="13">
        <f t="shared" si="140"/>
        <v>15</v>
      </c>
      <c r="AQ358" s="13">
        <f t="shared" si="141"/>
        <v>14</v>
      </c>
      <c r="AR358" s="173">
        <f t="shared" si="142"/>
        <v>43473</v>
      </c>
      <c r="AS358" s="742">
        <f t="shared" si="143"/>
        <v>1</v>
      </c>
      <c r="AT358" s="758">
        <f t="shared" si="144"/>
        <v>28.072499997913837</v>
      </c>
      <c r="AU358" s="13">
        <f t="shared" si="145"/>
        <v>13</v>
      </c>
      <c r="AV358" s="13">
        <f t="shared" si="146"/>
        <v>14</v>
      </c>
      <c r="AW358" s="173">
        <f t="shared" si="147"/>
        <v>43430</v>
      </c>
      <c r="AX358" s="742">
        <f t="shared" si="148"/>
        <v>0.5</v>
      </c>
      <c r="AY358" s="758">
        <f t="shared" si="149"/>
        <v>28.14376054778695</v>
      </c>
      <c r="AZ358" s="735">
        <f t="shared" si="153"/>
        <v>28.108130272850396</v>
      </c>
      <c r="BA358" s="633">
        <f t="shared" si="150"/>
        <v>0.86339387875482609</v>
      </c>
      <c r="BC358" s="11">
        <v>43444</v>
      </c>
      <c r="BD358" s="289">
        <f>[2]!FeuilCaduc*(1-Persistant)+Persistant</f>
        <v>0.52863080185378175</v>
      </c>
      <c r="BE358" s="290">
        <f>[2]!CroissVégét</f>
        <v>0.9997887286324697</v>
      </c>
      <c r="BF358" s="804">
        <f>1+[2]!Salcycl*Ksac</f>
        <v>1.0028630801853782</v>
      </c>
      <c r="BH358" s="1036">
        <f t="shared" si="151"/>
        <v>2.2385833039174044E-3</v>
      </c>
      <c r="BI358" s="11">
        <v>44540</v>
      </c>
      <c r="BJ358" s="715">
        <v>3.324038602158495E-4</v>
      </c>
      <c r="BK358" s="715">
        <v>4.1289299230540889E-4</v>
      </c>
      <c r="BL358" s="715">
        <v>5.9402327171340845E-4</v>
      </c>
      <c r="BM358" s="715">
        <v>1.2902250576278989E-3</v>
      </c>
      <c r="BN358" s="715">
        <v>3.1903140644826793E-3</v>
      </c>
      <c r="BO358" s="716">
        <v>6.5651805167141856E-3</v>
      </c>
      <c r="BP358" s="715">
        <v>1.22933954425052E-2</v>
      </c>
      <c r="BQ358" s="715">
        <v>1.9913803058726542E-2</v>
      </c>
      <c r="BR358" s="715">
        <v>2.9978460288131305E-2</v>
      </c>
      <c r="BS358" s="715">
        <v>4.2105346702162462E-2</v>
      </c>
      <c r="BT358" s="715">
        <v>5.6045141310483389E-2</v>
      </c>
      <c r="BW358" s="1188">
        <f>'2019'!R\Max</f>
        <v>0.86339387875482609</v>
      </c>
      <c r="BX358" s="1188">
        <f>'2020'!R\Max</f>
        <v>0.31493102110739607</v>
      </c>
      <c r="BY358" s="1188">
        <f>'2021'!R\Max</f>
        <v>7.8670624935377895E-2</v>
      </c>
      <c r="BZ358" s="1188">
        <f>'2022'!R\Max</f>
        <v>0.44826034852122837</v>
      </c>
      <c r="CA358" s="1188">
        <f>'2023'!R\Max</f>
        <v>0.44815739785724767</v>
      </c>
      <c r="CB358" s="1188">
        <f>'2024'!R\Max</f>
        <v>0.44802048750854484</v>
      </c>
      <c r="CC358" s="1188">
        <f>'2025'!R\Max</f>
        <v>0.44788348705992459</v>
      </c>
      <c r="CD358" s="1188">
        <f>'2026'!R\Max</f>
        <v>0.44848613456721853</v>
      </c>
      <c r="CE358" s="1189">
        <f>'2027'!R\Max</f>
        <v>0.44842687450478469</v>
      </c>
      <c r="CF358" s="1191">
        <f>'2028'!R\Max</f>
        <v>0.44836623319539726</v>
      </c>
    </row>
    <row r="359" spans="1:84" s="6" customFormat="1" ht="11.25" x14ac:dyDescent="0.2">
      <c r="A359" s="11">
        <v>43445</v>
      </c>
      <c r="B359" s="379">
        <f>'2023'!Maxi_hp</f>
        <v>19.806310126672773</v>
      </c>
      <c r="C359" s="13">
        <f>'2023'!An_max</f>
        <v>2022</v>
      </c>
      <c r="D359" s="1045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73">
        <f t="shared" si="137"/>
        <v>43458</v>
      </c>
      <c r="I359" s="742">
        <f t="shared" si="138"/>
        <v>0.9285714285714286</v>
      </c>
      <c r="J359" s="735">
        <f t="shared" si="139"/>
        <v>27.988669659623078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38">
        <v>43445</v>
      </c>
      <c r="AP359" s="13">
        <f t="shared" si="140"/>
        <v>15</v>
      </c>
      <c r="AQ359" s="13">
        <f t="shared" si="141"/>
        <v>14</v>
      </c>
      <c r="AR359" s="173">
        <f t="shared" si="142"/>
        <v>43473</v>
      </c>
      <c r="AS359" s="742">
        <f t="shared" si="143"/>
        <v>0.96551724137931039</v>
      </c>
      <c r="AT359" s="758">
        <f t="shared" si="144"/>
        <v>28.000145021748949</v>
      </c>
      <c r="AU359" s="13">
        <f t="shared" si="145"/>
        <v>13</v>
      </c>
      <c r="AV359" s="13">
        <f t="shared" si="146"/>
        <v>14</v>
      </c>
      <c r="AW359" s="173">
        <f t="shared" si="147"/>
        <v>43430</v>
      </c>
      <c r="AX359" s="742">
        <f t="shared" si="148"/>
        <v>0.5357142857142857</v>
      </c>
      <c r="AY359" s="758">
        <f t="shared" si="149"/>
        <v>28.049539260034049</v>
      </c>
      <c r="AZ359" s="735">
        <f t="shared" si="153"/>
        <v>28.024842140891501</v>
      </c>
      <c r="BA359" s="633">
        <f t="shared" si="150"/>
        <v>0.70765457478122606</v>
      </c>
      <c r="BC359" s="11">
        <v>43445</v>
      </c>
      <c r="BD359" s="289">
        <f>[2]!FeuilCaduc*(1-Persistant)+Persistant</f>
        <v>0.52658525305622883</v>
      </c>
      <c r="BE359" s="290">
        <f>[2]!CroissVégét</f>
        <v>0.99981055892185233</v>
      </c>
      <c r="BF359" s="804">
        <f>1+[2]!Salcycl*Ksac</f>
        <v>1.0026585253056228</v>
      </c>
      <c r="BH359" s="1036">
        <f t="shared" si="151"/>
        <v>2.3324945689210349E-3</v>
      </c>
      <c r="BI359" s="11">
        <v>44541</v>
      </c>
      <c r="BJ359" s="715">
        <v>3.3548488325011523E-4</v>
      </c>
      <c r="BK359" s="715">
        <v>4.2125678750140849E-4</v>
      </c>
      <c r="BL359" s="715">
        <v>6.1164828294976356E-4</v>
      </c>
      <c r="BM359" s="715">
        <v>1.3342487869903363E-3</v>
      </c>
      <c r="BN359" s="715">
        <v>3.3342902732185812E-3</v>
      </c>
      <c r="BO359" s="716">
        <v>6.8126300558683447E-3</v>
      </c>
      <c r="BP359" s="715">
        <v>1.2601514079706189E-2</v>
      </c>
      <c r="BQ359" s="715">
        <v>2.0235537644185144E-2</v>
      </c>
      <c r="BR359" s="715">
        <v>3.0308057460636584E-2</v>
      </c>
      <c r="BS359" s="715">
        <v>4.2507733763074478E-2</v>
      </c>
      <c r="BT359" s="715">
        <v>5.6531666201508769E-2</v>
      </c>
      <c r="BW359" s="1188">
        <f>'2019'!R\Max</f>
        <v>6.9850451209029552E-2</v>
      </c>
      <c r="BX359" s="1188">
        <f>'2020'!R\Max</f>
        <v>0.17922937125823549</v>
      </c>
      <c r="BY359" s="1188">
        <f>'2021'!R\Max</f>
        <v>0.56997349596598101</v>
      </c>
      <c r="BZ359" s="1188">
        <f>'2022'!R\Max</f>
        <v>0.70765457478122606</v>
      </c>
      <c r="CA359" s="1188">
        <f>'2023'!R\Max</f>
        <v>0.70756761369555421</v>
      </c>
      <c r="CB359" s="1188">
        <f>'2024'!R\Max</f>
        <v>0.70745294367227807</v>
      </c>
      <c r="CC359" s="1188">
        <f>'2025'!R\Max</f>
        <v>0.70733816727299159</v>
      </c>
      <c r="CD359" s="1188">
        <f>'2026'!R\Max</f>
        <v>0.70784732304672693</v>
      </c>
      <c r="CE359" s="1189">
        <f>'2027'!R\Max</f>
        <v>0.70779626703620713</v>
      </c>
      <c r="CF359" s="1191">
        <f>'2028'!R\Max</f>
        <v>0.70774404789844392</v>
      </c>
    </row>
    <row r="360" spans="1:84" s="6" customFormat="1" ht="11.25" x14ac:dyDescent="0.2">
      <c r="A360" s="11">
        <v>43446</v>
      </c>
      <c r="B360" s="379">
        <f>'2023'!Maxi_hp</f>
        <v>26.814406326002654</v>
      </c>
      <c r="C360" s="13">
        <f>'2023'!An_max</f>
        <v>2021</v>
      </c>
      <c r="D360" s="1045" t="str">
        <f t="shared" si="135"/>
        <v/>
      </c>
      <c r="E360" s="13"/>
      <c r="F360" s="13">
        <f t="shared" si="152"/>
        <v>27</v>
      </c>
      <c r="G360" s="13">
        <f t="shared" si="136"/>
        <v>26</v>
      </c>
      <c r="H360" s="173">
        <f t="shared" si="137"/>
        <v>43458</v>
      </c>
      <c r="I360" s="742">
        <f t="shared" si="138"/>
        <v>0.8571428571428571</v>
      </c>
      <c r="J360" s="735">
        <f t="shared" si="139"/>
        <v>27.913274008461407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38">
        <v>43446</v>
      </c>
      <c r="AP360" s="13">
        <f t="shared" si="140"/>
        <v>15</v>
      </c>
      <c r="AQ360" s="13">
        <f t="shared" si="141"/>
        <v>14</v>
      </c>
      <c r="AR360" s="173">
        <f t="shared" si="142"/>
        <v>43473</v>
      </c>
      <c r="AS360" s="742">
        <f t="shared" si="143"/>
        <v>0.93103448275862066</v>
      </c>
      <c r="AT360" s="758">
        <f t="shared" si="144"/>
        <v>27.937757197998724</v>
      </c>
      <c r="AU360" s="13">
        <f t="shared" si="145"/>
        <v>13</v>
      </c>
      <c r="AV360" s="13">
        <f t="shared" si="146"/>
        <v>14</v>
      </c>
      <c r="AW360" s="173">
        <f t="shared" si="147"/>
        <v>43430</v>
      </c>
      <c r="AX360" s="742">
        <f t="shared" si="148"/>
        <v>0.5714285714285714</v>
      </c>
      <c r="AY360" s="758">
        <f t="shared" si="149"/>
        <v>27.964468077250888</v>
      </c>
      <c r="AZ360" s="735">
        <f t="shared" si="153"/>
        <v>27.951112637624806</v>
      </c>
      <c r="BA360" s="633">
        <f t="shared" si="150"/>
        <v>0.96063279133341184</v>
      </c>
      <c r="BC360" s="11">
        <v>43446</v>
      </c>
      <c r="BD360" s="289">
        <f>[2]!FeuilCaduc*(1-Persistant)+Persistant</f>
        <v>0.52467569337161468</v>
      </c>
      <c r="BE360" s="290">
        <f>[2]!CroissVégét</f>
        <v>0.99983151115568181</v>
      </c>
      <c r="BF360" s="804">
        <f>1+[2]!Salcycl*Ksac</f>
        <v>1.0024675693371614</v>
      </c>
      <c r="BH360" s="1036">
        <f t="shared" si="151"/>
        <v>2.4261756599312533E-3</v>
      </c>
      <c r="BI360" s="11">
        <v>44542</v>
      </c>
      <c r="BJ360" s="715">
        <v>3.3773888710696782E-4</v>
      </c>
      <c r="BK360" s="715">
        <v>4.28826517620679E-4</v>
      </c>
      <c r="BL360" s="715">
        <v>6.2838785810248197E-4</v>
      </c>
      <c r="BM360" s="715">
        <v>1.3771500595646368E-3</v>
      </c>
      <c r="BN360" s="715">
        <v>3.478931763856758E-3</v>
      </c>
      <c r="BO360" s="716">
        <v>7.0608251426945157E-3</v>
      </c>
      <c r="BP360" s="715">
        <v>1.2896566285992809E-2</v>
      </c>
      <c r="BQ360" s="715">
        <v>2.0523388483184645E-2</v>
      </c>
      <c r="BR360" s="715">
        <v>3.0587295424844965E-2</v>
      </c>
      <c r="BS360" s="715">
        <v>4.2856577909583367E-2</v>
      </c>
      <c r="BT360" s="715">
        <v>5.6965682008014759E-2</v>
      </c>
      <c r="BW360" s="1188">
        <f>'2019'!R\Max</f>
        <v>0.17334992619039918</v>
      </c>
      <c r="BX360" s="1188">
        <f>'2020'!R\Max</f>
        <v>0.27231799823485847</v>
      </c>
      <c r="BY360" s="1188">
        <f>'2021'!R\Max</f>
        <v>0.96063279133341184</v>
      </c>
      <c r="BZ360" s="1188">
        <f>'2022'!R\Max</f>
        <v>0.27345618150902135</v>
      </c>
      <c r="CA360" s="1188">
        <f>'2023'!R\Max</f>
        <v>0.27337513012538928</v>
      </c>
      <c r="CB360" s="1188">
        <f>'2024'!R\Max</f>
        <v>0.27326925115268996</v>
      </c>
      <c r="CC360" s="1188">
        <f>'2025'!R\Max</f>
        <v>0.27316332382030506</v>
      </c>
      <c r="CD360" s="1188">
        <f>'2026'!R\Max</f>
        <v>0.27363808729379591</v>
      </c>
      <c r="CE360" s="1189">
        <f>'2027'!R\Max</f>
        <v>0.27358940643858037</v>
      </c>
      <c r="CF360" s="1191">
        <f>'2028'!R\Max</f>
        <v>0.27353965827339477</v>
      </c>
    </row>
    <row r="361" spans="1:84" s="6" customFormat="1" ht="11.25" x14ac:dyDescent="0.2">
      <c r="A361" s="11">
        <v>43447</v>
      </c>
      <c r="B361" s="379">
        <f>'2023'!Maxi_hp</f>
        <v>28.151976192045886</v>
      </c>
      <c r="C361" s="13">
        <f>'2023'!An_max</f>
        <v>2021</v>
      </c>
      <c r="D361" s="1045">
        <f t="shared" si="135"/>
        <v>1.0109657625022384</v>
      </c>
      <c r="E361" s="13"/>
      <c r="F361" s="13">
        <f t="shared" si="152"/>
        <v>27</v>
      </c>
      <c r="G361" s="13">
        <f t="shared" si="136"/>
        <v>26</v>
      </c>
      <c r="H361" s="173">
        <f t="shared" si="137"/>
        <v>43458</v>
      </c>
      <c r="I361" s="742">
        <f t="shared" si="138"/>
        <v>0.7857142857142857</v>
      </c>
      <c r="J361" s="735">
        <f t="shared" si="139"/>
        <v>27.846616805664134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38">
        <v>43447</v>
      </c>
      <c r="AP361" s="13">
        <f t="shared" si="140"/>
        <v>15</v>
      </c>
      <c r="AQ361" s="13">
        <f t="shared" si="141"/>
        <v>14</v>
      </c>
      <c r="AR361" s="173">
        <f t="shared" si="142"/>
        <v>43473</v>
      </c>
      <c r="AS361" s="742">
        <f t="shared" si="143"/>
        <v>0.89655172413793105</v>
      </c>
      <c r="AT361" s="758">
        <f t="shared" si="144"/>
        <v>27.885288531358903</v>
      </c>
      <c r="AU361" s="13">
        <f t="shared" si="145"/>
        <v>13</v>
      </c>
      <c r="AV361" s="13">
        <f t="shared" si="146"/>
        <v>14</v>
      </c>
      <c r="AW361" s="173">
        <f t="shared" si="147"/>
        <v>43430</v>
      </c>
      <c r="AX361" s="742">
        <f t="shared" si="148"/>
        <v>0.6071428571428571</v>
      </c>
      <c r="AY361" s="758">
        <f t="shared" si="149"/>
        <v>27.888875787172999</v>
      </c>
      <c r="AZ361" s="735">
        <f t="shared" si="153"/>
        <v>27.887082159265951</v>
      </c>
      <c r="BA361" s="633">
        <f t="shared" si="150"/>
        <v>1.0109657625022384</v>
      </c>
      <c r="BC361" s="11">
        <v>43447</v>
      </c>
      <c r="BD361" s="289">
        <f>[2]!FeuilCaduc*(1-Persistant)+Persistant</f>
        <v>0.52289613125482126</v>
      </c>
      <c r="BE361" s="290">
        <f>[2]!CroissVégét</f>
        <v>0.99985162061643362</v>
      </c>
      <c r="BF361" s="804">
        <f>1+[2]!Salcycl*Ksac</f>
        <v>1.0022896131254821</v>
      </c>
      <c r="BH361" s="1036">
        <f t="shared" si="151"/>
        <v>2.5129570412645661E-3</v>
      </c>
      <c r="BI361" s="11">
        <v>44543</v>
      </c>
      <c r="BJ361" s="715">
        <v>3.3954660756103493E-4</v>
      </c>
      <c r="BK361" s="715">
        <v>4.3557184193435448E-4</v>
      </c>
      <c r="BL361" s="715">
        <v>6.4360373668495183E-4</v>
      </c>
      <c r="BM361" s="715">
        <v>1.4165993184368291E-3</v>
      </c>
      <c r="BN361" s="715">
        <v>3.6132135882824793E-3</v>
      </c>
      <c r="BO361" s="716">
        <v>7.2919248591568828E-3</v>
      </c>
      <c r="BP361" s="715">
        <v>1.3169104977112841E-2</v>
      </c>
      <c r="BQ361" s="715">
        <v>2.0784859502254446E-2</v>
      </c>
      <c r="BR361" s="715">
        <v>3.0838254548545871E-2</v>
      </c>
      <c r="BS361" s="715">
        <v>4.3171841138535692E-2</v>
      </c>
      <c r="BT361" s="715">
        <v>5.7361018578087994E-2</v>
      </c>
      <c r="BW361" s="1188">
        <f>'2019'!R\Max</f>
        <v>8.9927065809047635E-2</v>
      </c>
      <c r="BX361" s="1188">
        <f>'2020'!R\Max</f>
        <v>0.41237131966830087</v>
      </c>
      <c r="BY361" s="1188">
        <f>'2021'!R\Max</f>
        <v>1.0109657625022384</v>
      </c>
      <c r="BZ361" s="1188">
        <f>'2022'!R\Max</f>
        <v>0.21276905438002894</v>
      </c>
      <c r="CA361" s="1188">
        <f>'2023'!R\Max</f>
        <v>0.21270560550947912</v>
      </c>
      <c r="CB361" s="1188">
        <f>'2024'!R\Max</f>
        <v>0.21262342344527566</v>
      </c>
      <c r="CC361" s="1188">
        <f>'2025'!R\Max</f>
        <v>0.2125412052703505</v>
      </c>
      <c r="CD361" s="1188">
        <f>'2026'!R\Max</f>
        <v>0.21291304124228391</v>
      </c>
      <c r="CE361" s="1189">
        <f>'2027'!R\Max</f>
        <v>0.21287415701978982</v>
      </c>
      <c r="CF361" s="1191">
        <f>'2028'!R\Max</f>
        <v>0.21283444238274762</v>
      </c>
    </row>
    <row r="362" spans="1:84" s="6" customFormat="1" ht="11.25" x14ac:dyDescent="0.2">
      <c r="A362" s="11">
        <v>43448</v>
      </c>
      <c r="B362" s="379">
        <f>'2023'!Maxi_hp</f>
        <v>27.05277642016825</v>
      </c>
      <c r="C362" s="13">
        <f>'2023'!An_max</f>
        <v>2021</v>
      </c>
      <c r="D362" s="1045">
        <f t="shared" si="135"/>
        <v>0.97350659106995907</v>
      </c>
      <c r="E362" s="13"/>
      <c r="F362" s="13">
        <f t="shared" si="152"/>
        <v>27</v>
      </c>
      <c r="G362" s="13">
        <f t="shared" si="136"/>
        <v>26</v>
      </c>
      <c r="H362" s="173">
        <f t="shared" si="137"/>
        <v>43458</v>
      </c>
      <c r="I362" s="742">
        <f t="shared" si="138"/>
        <v>0.7142857142857143</v>
      </c>
      <c r="J362" s="735">
        <f t="shared" si="139"/>
        <v>27.789001808847701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38">
        <v>43448</v>
      </c>
      <c r="AP362" s="13">
        <f t="shared" si="140"/>
        <v>15</v>
      </c>
      <c r="AQ362" s="13">
        <f t="shared" si="141"/>
        <v>14</v>
      </c>
      <c r="AR362" s="173">
        <f t="shared" si="142"/>
        <v>43473</v>
      </c>
      <c r="AS362" s="742">
        <f t="shared" si="143"/>
        <v>0.86206896551724133</v>
      </c>
      <c r="AT362" s="758">
        <f t="shared" si="144"/>
        <v>27.842691029916551</v>
      </c>
      <c r="AU362" s="13">
        <f t="shared" si="145"/>
        <v>13</v>
      </c>
      <c r="AV362" s="13">
        <f t="shared" si="146"/>
        <v>14</v>
      </c>
      <c r="AW362" s="173">
        <f t="shared" si="147"/>
        <v>43430</v>
      </c>
      <c r="AX362" s="742">
        <f t="shared" si="148"/>
        <v>0.6428571428571429</v>
      </c>
      <c r="AY362" s="758">
        <f t="shared" si="149"/>
        <v>27.823091171469009</v>
      </c>
      <c r="AZ362" s="735">
        <f t="shared" si="153"/>
        <v>27.83289110069278</v>
      </c>
      <c r="BA362" s="633">
        <f t="shared" si="150"/>
        <v>0.97350659106995907</v>
      </c>
      <c r="BC362" s="11">
        <v>43448</v>
      </c>
      <c r="BD362" s="289">
        <f>[2]!FeuilCaduc*(1-Persistant)+Persistant</f>
        <v>0.52124042573307883</v>
      </c>
      <c r="BE362" s="290">
        <f>[2]!CroissVégét</f>
        <v>0.99987092117157228</v>
      </c>
      <c r="BF362" s="804">
        <f>1+[2]!Salcycl*Ksac</f>
        <v>1.0021240425733078</v>
      </c>
      <c r="BH362" s="1036">
        <f t="shared" si="151"/>
        <v>2.5928456785689986E-3</v>
      </c>
      <c r="BI362" s="11">
        <v>44544</v>
      </c>
      <c r="BJ362" s="715">
        <v>3.4090873610210582E-4</v>
      </c>
      <c r="BK362" s="715">
        <v>4.4149375318601144E-4</v>
      </c>
      <c r="BL362" s="715">
        <v>6.5729750980228106E-4</v>
      </c>
      <c r="BM362" s="715">
        <v>1.4526002474637596E-3</v>
      </c>
      <c r="BN362" s="715">
        <v>3.7371460056055262E-3</v>
      </c>
      <c r="BO362" s="716">
        <v>7.5059492093983897E-3</v>
      </c>
      <c r="BP362" s="715">
        <v>1.3419162841388424E-2</v>
      </c>
      <c r="BQ362" s="715">
        <v>2.1019998192469691E-2</v>
      </c>
      <c r="BR362" s="715">
        <v>3.1061002525187509E-2</v>
      </c>
      <c r="BS362" s="715">
        <v>4.3453618004310246E-2</v>
      </c>
      <c r="BT362" s="715">
        <v>5.7717801734878796E-2</v>
      </c>
      <c r="BW362" s="1188">
        <f>'2019'!R\Max</f>
        <v>0.71994666112121175</v>
      </c>
      <c r="BX362" s="1188">
        <f>'2020'!R\Max</f>
        <v>0.4528795452069605</v>
      </c>
      <c r="BY362" s="1188">
        <f>'2021'!R\Max</f>
        <v>0.97350659106995907</v>
      </c>
      <c r="BZ362" s="1188">
        <f>'2022'!R\Max</f>
        <v>0.69295046461790033</v>
      </c>
      <c r="CA362" s="1188">
        <f>'2023'!R\Max</f>
        <v>0.6928593819094333</v>
      </c>
      <c r="CB362" s="1188">
        <f>'2024'!R\Max</f>
        <v>0.69274230883569399</v>
      </c>
      <c r="CC362" s="1188">
        <f>'2025'!R\Max</f>
        <v>0.69262513554138561</v>
      </c>
      <c r="CD362" s="1188">
        <f>'2026'!R\Max</f>
        <v>0.69315918748395144</v>
      </c>
      <c r="CE362" s="1189">
        <f>'2027'!R\Max</f>
        <v>0.69310236922552093</v>
      </c>
      <c r="CF362" s="1191">
        <f>'2028'!R\Max</f>
        <v>0.69304435353739269</v>
      </c>
    </row>
    <row r="363" spans="1:84" s="6" customFormat="1" ht="11.25" x14ac:dyDescent="0.2">
      <c r="A363" s="11">
        <v>43449</v>
      </c>
      <c r="B363" s="379">
        <f>'2023'!Maxi_hp</f>
        <v>28.710535852153466</v>
      </c>
      <c r="C363" s="13">
        <f>'2023'!An_max</f>
        <v>2018</v>
      </c>
      <c r="D363" s="1045">
        <f t="shared" si="135"/>
        <v>1.0349595336097843</v>
      </c>
      <c r="E363" s="13"/>
      <c r="F363" s="13">
        <f t="shared" si="152"/>
        <v>27</v>
      </c>
      <c r="G363" s="13">
        <f t="shared" si="136"/>
        <v>26</v>
      </c>
      <c r="H363" s="173">
        <f t="shared" si="137"/>
        <v>43458</v>
      </c>
      <c r="I363" s="742">
        <f t="shared" si="138"/>
        <v>0.6428571428571429</v>
      </c>
      <c r="J363" s="735">
        <f t="shared" si="139"/>
        <v>27.740732772435461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38">
        <v>43449</v>
      </c>
      <c r="AP363" s="13">
        <f t="shared" si="140"/>
        <v>15</v>
      </c>
      <c r="AQ363" s="13">
        <f t="shared" si="141"/>
        <v>14</v>
      </c>
      <c r="AR363" s="173">
        <f t="shared" si="142"/>
        <v>43473</v>
      </c>
      <c r="AS363" s="742">
        <f t="shared" si="143"/>
        <v>0.82758620689655171</v>
      </c>
      <c r="AT363" s="758">
        <f t="shared" si="144"/>
        <v>27.809916697904981</v>
      </c>
      <c r="AU363" s="13">
        <f t="shared" si="145"/>
        <v>13</v>
      </c>
      <c r="AV363" s="13">
        <f t="shared" si="146"/>
        <v>14</v>
      </c>
      <c r="AW363" s="173">
        <f t="shared" si="147"/>
        <v>43430</v>
      </c>
      <c r="AX363" s="742">
        <f t="shared" si="148"/>
        <v>0.6785714285714286</v>
      </c>
      <c r="AY363" s="758">
        <f t="shared" si="149"/>
        <v>27.767443020535371</v>
      </c>
      <c r="AZ363" s="735">
        <f t="shared" si="153"/>
        <v>27.788679859220174</v>
      </c>
      <c r="BA363" s="633">
        <f t="shared" si="150"/>
        <v>1.0349595336097843</v>
      </c>
      <c r="BC363" s="11">
        <v>43449</v>
      </c>
      <c r="BD363" s="289">
        <f>[2]!FeuilCaduc*(1-Persistant)+Persistant</f>
        <v>0.51970232781182812</v>
      </c>
      <c r="BE363" s="290">
        <f>[2]!CroissVégét</f>
        <v>0.99988944533008528</v>
      </c>
      <c r="BF363" s="804">
        <f>1+[2]!Salcycl*Ksac</f>
        <v>1.0019702327811828</v>
      </c>
      <c r="BH363" s="1036">
        <f t="shared" si="151"/>
        <v>2.665848710764647E-3</v>
      </c>
      <c r="BI363" s="11">
        <v>44545</v>
      </c>
      <c r="BJ363" s="715">
        <v>3.4182594358689452E-4</v>
      </c>
      <c r="BK363" s="715">
        <v>4.4659323454468224E-4</v>
      </c>
      <c r="BL363" s="715">
        <v>6.6947077390665407E-4</v>
      </c>
      <c r="BM363" s="715">
        <v>1.4851565840187113E-3</v>
      </c>
      <c r="BN363" s="715">
        <v>3.8507395683892547E-3</v>
      </c>
      <c r="BO363" s="716">
        <v>7.70291875914583E-3</v>
      </c>
      <c r="BP363" s="715">
        <v>1.3646773037958512E-2</v>
      </c>
      <c r="BQ363" s="715">
        <v>2.1228852108993709E-2</v>
      </c>
      <c r="BR363" s="715">
        <v>3.1255606862384232E-2</v>
      </c>
      <c r="BS363" s="715">
        <v>4.3702002975659175E-2</v>
      </c>
      <c r="BT363" s="715">
        <v>5.8036157460871547E-2</v>
      </c>
      <c r="BW363" s="1188">
        <f>'2019'!R\Max</f>
        <v>1.0349595336097843</v>
      </c>
      <c r="BX363" s="1188">
        <f>'2020'!R\Max</f>
        <v>0.14183728557009229</v>
      </c>
      <c r="BY363" s="1188">
        <f>'2021'!R\Max</f>
        <v>0.95119690524755751</v>
      </c>
      <c r="BZ363" s="1188">
        <f>'2022'!R\Max</f>
        <v>0.23240432256066579</v>
      </c>
      <c r="CA363" s="1188">
        <f>'2023'!R\Max</f>
        <v>0.23233439239454415</v>
      </c>
      <c r="CB363" s="1188">
        <f>'2024'!R\Max</f>
        <v>0.23224522466767231</v>
      </c>
      <c r="CC363" s="1188">
        <f>'2025'!R\Max</f>
        <v>0.23215602058827978</v>
      </c>
      <c r="CD363" s="1188">
        <f>'2026'!R\Max</f>
        <v>0.23256620695991609</v>
      </c>
      <c r="CE363" s="1189">
        <f>'2027'!R\Max</f>
        <v>0.23252179266519124</v>
      </c>
      <c r="CF363" s="1191">
        <f>'2028'!R\Max</f>
        <v>0.23247647131003957</v>
      </c>
    </row>
    <row r="364" spans="1:84" s="6" customFormat="1" ht="11.25" x14ac:dyDescent="0.2">
      <c r="A364" s="11">
        <v>43450</v>
      </c>
      <c r="B364" s="379">
        <f>'2023'!Maxi_hp</f>
        <v>28.36247847047073</v>
      </c>
      <c r="C364" s="13">
        <f>'2023'!An_max</f>
        <v>2021</v>
      </c>
      <c r="D364" s="1045">
        <f t="shared" si="135"/>
        <v>1.0238380732726338</v>
      </c>
      <c r="E364" s="13"/>
      <c r="F364" s="13">
        <f t="shared" si="152"/>
        <v>27</v>
      </c>
      <c r="G364" s="13">
        <f t="shared" si="136"/>
        <v>26</v>
      </c>
      <c r="H364" s="173">
        <f t="shared" si="137"/>
        <v>43458</v>
      </c>
      <c r="I364" s="742">
        <f t="shared" si="138"/>
        <v>0.5714285714285714</v>
      </c>
      <c r="J364" s="735">
        <f t="shared" si="139"/>
        <v>27.70211346000433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38">
        <v>43450</v>
      </c>
      <c r="AP364" s="13">
        <f t="shared" si="140"/>
        <v>15</v>
      </c>
      <c r="AQ364" s="13">
        <f t="shared" si="141"/>
        <v>14</v>
      </c>
      <c r="AR364" s="173">
        <f t="shared" si="142"/>
        <v>43473</v>
      </c>
      <c r="AS364" s="742">
        <f t="shared" si="143"/>
        <v>0.7931034482758621</v>
      </c>
      <c r="AT364" s="758">
        <f t="shared" si="144"/>
        <v>27.786917541972525</v>
      </c>
      <c r="AU364" s="13">
        <f t="shared" si="145"/>
        <v>13</v>
      </c>
      <c r="AV364" s="13">
        <f t="shared" si="146"/>
        <v>14</v>
      </c>
      <c r="AW364" s="173">
        <f t="shared" si="147"/>
        <v>43430</v>
      </c>
      <c r="AX364" s="742">
        <f t="shared" si="148"/>
        <v>0.7142857142857143</v>
      </c>
      <c r="AY364" s="758">
        <f t="shared" si="149"/>
        <v>27.722260115827833</v>
      </c>
      <c r="AZ364" s="735">
        <f t="shared" si="153"/>
        <v>27.754588828900179</v>
      </c>
      <c r="BA364" s="633">
        <f t="shared" si="150"/>
        <v>1.0238380732726338</v>
      </c>
      <c r="BC364" s="11">
        <v>43450</v>
      </c>
      <c r="BD364" s="289">
        <f>[2]!FeuilCaduc*(1-Persistant)+Persistant</f>
        <v>0.51827552129958876</v>
      </c>
      <c r="BE364" s="290">
        <f>[2]!CroissVégét</f>
        <v>0.9999072242967757</v>
      </c>
      <c r="BF364" s="804">
        <f>1+[2]!Salcycl*Ksac</f>
        <v>1.0018275521299589</v>
      </c>
      <c r="BH364" s="1036">
        <f t="shared" si="151"/>
        <v>2.7319733058846188E-3</v>
      </c>
      <c r="BI364" s="11">
        <v>44546</v>
      </c>
      <c r="BJ364" s="715">
        <v>3.4229887088186391E-4</v>
      </c>
      <c r="BK364" s="715">
        <v>4.5087124235639216E-4</v>
      </c>
      <c r="BL364" s="715">
        <v>6.8012509894928817E-4</v>
      </c>
      <c r="BM364" s="715">
        <v>1.514272046838271E-3</v>
      </c>
      <c r="BN364" s="715">
        <v>3.9540049062295459E-3</v>
      </c>
      <c r="BO364" s="716">
        <v>7.8828542782597658E-3</v>
      </c>
      <c r="BP364" s="715">
        <v>1.3851968725298397E-2</v>
      </c>
      <c r="BQ364" s="715">
        <v>2.1411468317534248E-2</v>
      </c>
      <c r="BR364" s="715">
        <v>3.1422134286659985E-2</v>
      </c>
      <c r="BS364" s="715">
        <v>4.3917089727345322E-2</v>
      </c>
      <c r="BT364" s="715">
        <v>5.8316211080207556E-2</v>
      </c>
      <c r="BW364" s="1188">
        <f>'2019'!R\Max</f>
        <v>0.55964453695682448</v>
      </c>
      <c r="BX364" s="1188">
        <f>'2020'!R\Max</f>
        <v>8.9894108565840444E-2</v>
      </c>
      <c r="BY364" s="1188">
        <f>'2021'!R\Max</f>
        <v>1.0238380732726338</v>
      </c>
      <c r="BZ364" s="1188">
        <f>'2022'!R\Max</f>
        <v>0.20780123942684073</v>
      </c>
      <c r="CA364" s="1188">
        <f>'2023'!R\Max</f>
        <v>0.20773853093137543</v>
      </c>
      <c r="CB364" s="1188">
        <f>'2024'!R\Max</f>
        <v>0.2076591458699476</v>
      </c>
      <c r="CC364" s="1188">
        <f>'2025'!R\Max</f>
        <v>0.20757972959302645</v>
      </c>
      <c r="CD364" s="1188">
        <f>'2026'!R\Max</f>
        <v>0.20794770859214498</v>
      </c>
      <c r="CE364" s="1189">
        <f>'2027'!R\Max</f>
        <v>0.20790724513042882</v>
      </c>
      <c r="CF364" s="1191">
        <f>'2028'!R\Max</f>
        <v>0.20786597062728168</v>
      </c>
    </row>
    <row r="365" spans="1:84" s="6" customFormat="1" ht="11.25" x14ac:dyDescent="0.2">
      <c r="A365" s="11">
        <v>43451</v>
      </c>
      <c r="B365" s="379">
        <f>'2023'!Maxi_hp</f>
        <v>28.942207486281909</v>
      </c>
      <c r="C365" s="13">
        <f>'2023'!An_max</f>
        <v>2021</v>
      </c>
      <c r="D365" s="1045">
        <f t="shared" si="135"/>
        <v>1.0458475530408533</v>
      </c>
      <c r="E365" s="13"/>
      <c r="F365" s="13">
        <f t="shared" si="152"/>
        <v>27</v>
      </c>
      <c r="G365" s="13">
        <f t="shared" si="136"/>
        <v>26</v>
      </c>
      <c r="H365" s="173">
        <f t="shared" si="137"/>
        <v>43458</v>
      </c>
      <c r="I365" s="742">
        <f t="shared" si="138"/>
        <v>0.5</v>
      </c>
      <c r="J365" s="735">
        <f t="shared" si="139"/>
        <v>27.673447628319263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38">
        <v>43451</v>
      </c>
      <c r="AP365" s="13">
        <f t="shared" si="140"/>
        <v>15</v>
      </c>
      <c r="AQ365" s="13">
        <f t="shared" si="141"/>
        <v>14</v>
      </c>
      <c r="AR365" s="173">
        <f t="shared" si="142"/>
        <v>43473</v>
      </c>
      <c r="AS365" s="742">
        <f t="shared" si="143"/>
        <v>0.75862068965517238</v>
      </c>
      <c r="AT365" s="758">
        <f t="shared" si="144"/>
        <v>27.773645569229949</v>
      </c>
      <c r="AU365" s="13">
        <f t="shared" si="145"/>
        <v>13</v>
      </c>
      <c r="AV365" s="13">
        <f t="shared" si="146"/>
        <v>14</v>
      </c>
      <c r="AW365" s="173">
        <f t="shared" si="147"/>
        <v>43430</v>
      </c>
      <c r="AX365" s="742">
        <f t="shared" si="148"/>
        <v>0.75</v>
      </c>
      <c r="AY365" s="758">
        <f t="shared" si="149"/>
        <v>27.687871241942048</v>
      </c>
      <c r="AZ365" s="735">
        <f t="shared" si="153"/>
        <v>27.730758405585998</v>
      </c>
      <c r="BA365" s="633">
        <f t="shared" si="150"/>
        <v>1.0458475530408533</v>
      </c>
      <c r="BC365" s="11">
        <v>43451</v>
      </c>
      <c r="BD365" s="289">
        <f>[2]!FeuilCaduc*(1-Persistant)+Persistant</f>
        <v>0.51695366275090715</v>
      </c>
      <c r="BE365" s="290">
        <f>[2]!CroissVégét</f>
        <v>0.99992428802440059</v>
      </c>
      <c r="BF365" s="804">
        <f>1+[2]!Salcycl*Ksac</f>
        <v>1.0016953662750907</v>
      </c>
      <c r="BH365" s="1036">
        <f t="shared" si="151"/>
        <v>2.7912265169779413E-3</v>
      </c>
      <c r="BI365" s="11">
        <v>44547</v>
      </c>
      <c r="BJ365" s="715">
        <v>3.4232811951403846E-4</v>
      </c>
      <c r="BK365" s="715">
        <v>4.5432868890611438E-4</v>
      </c>
      <c r="BL365" s="715">
        <v>6.8926199654798003E-4</v>
      </c>
      <c r="BM365" s="715">
        <v>1.5399502639037548E-3</v>
      </c>
      <c r="BN365" s="715">
        <v>4.0469525094232297E-3</v>
      </c>
      <c r="BO365" s="716">
        <v>8.045776383463616E-3</v>
      </c>
      <c r="BP365" s="715">
        <v>1.4034782590057368E-2</v>
      </c>
      <c r="BQ365" s="715">
        <v>2.1567892841295178E-2</v>
      </c>
      <c r="BR365" s="715">
        <v>3.1560650148922086E-2</v>
      </c>
      <c r="BS365" s="715">
        <v>4.4098970432801275E-2</v>
      </c>
      <c r="BT365" s="715">
        <v>5.8558086442364793E-2</v>
      </c>
      <c r="BW365" s="1188">
        <f>'2019'!R\Max</f>
        <v>0.51118605137204964</v>
      </c>
      <c r="BX365" s="1188">
        <f>'2020'!R\Max</f>
        <v>0.78798199213853004</v>
      </c>
      <c r="BY365" s="1188">
        <f>'2021'!R\Max</f>
        <v>1.0458475530408533</v>
      </c>
      <c r="BZ365" s="1188">
        <f>'2022'!R\Max</f>
        <v>0.13726595178707263</v>
      </c>
      <c r="CA365" s="1188">
        <f>'2023'!R\Max</f>
        <v>0.13722445342771203</v>
      </c>
      <c r="CB365" s="1188">
        <f>'2024'!R\Max</f>
        <v>0.13717227564043208</v>
      </c>
      <c r="CC365" s="1188">
        <f>'2025'!R\Max</f>
        <v>0.13712007804611928</v>
      </c>
      <c r="CD365" s="1188">
        <f>'2026'!R\Max</f>
        <v>0.13736369005693302</v>
      </c>
      <c r="CE365" s="1189">
        <f>'2027'!R\Max</f>
        <v>0.13733651758134335</v>
      </c>
      <c r="CF365" s="1191">
        <f>'2028'!R\Max</f>
        <v>0.13730880937326678</v>
      </c>
    </row>
    <row r="366" spans="1:84" s="6" customFormat="1" ht="11.25" x14ac:dyDescent="0.2">
      <c r="A366" s="11">
        <v>43452</v>
      </c>
      <c r="B366" s="379">
        <f>'2023'!Maxi_hp</f>
        <v>28.845869606100038</v>
      </c>
      <c r="C366" s="13">
        <f>'2023'!An_max</f>
        <v>2021</v>
      </c>
      <c r="D366" s="1045">
        <f t="shared" si="135"/>
        <v>1.0430601659585526</v>
      </c>
      <c r="E366" s="13"/>
      <c r="F366" s="13">
        <f t="shared" si="152"/>
        <v>27</v>
      </c>
      <c r="G366" s="13">
        <f t="shared" si="136"/>
        <v>26</v>
      </c>
      <c r="H366" s="173">
        <f t="shared" si="137"/>
        <v>43458</v>
      </c>
      <c r="I366" s="742">
        <f t="shared" si="138"/>
        <v>0.42857142857142855</v>
      </c>
      <c r="J366" s="735">
        <f t="shared" si="139"/>
        <v>27.655039035635333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38">
        <v>43452</v>
      </c>
      <c r="AP366" s="13">
        <f t="shared" si="140"/>
        <v>15</v>
      </c>
      <c r="AQ366" s="13">
        <f t="shared" si="141"/>
        <v>14</v>
      </c>
      <c r="AR366" s="173">
        <f t="shared" si="142"/>
        <v>43473</v>
      </c>
      <c r="AS366" s="742">
        <f t="shared" si="143"/>
        <v>0.72413793103448276</v>
      </c>
      <c r="AT366" s="758">
        <f t="shared" si="144"/>
        <v>27.770052786120051</v>
      </c>
      <c r="AU366" s="13">
        <f t="shared" si="145"/>
        <v>13</v>
      </c>
      <c r="AV366" s="13">
        <f t="shared" si="146"/>
        <v>14</v>
      </c>
      <c r="AW366" s="173">
        <f t="shared" si="147"/>
        <v>43430</v>
      </c>
      <c r="AX366" s="742">
        <f t="shared" si="148"/>
        <v>0.7857142857142857</v>
      </c>
      <c r="AY366" s="758">
        <f t="shared" si="149"/>
        <v>27.664605186560323</v>
      </c>
      <c r="AZ366" s="735">
        <f t="shared" si="153"/>
        <v>27.717328986340185</v>
      </c>
      <c r="BA366" s="633">
        <f t="shared" si="150"/>
        <v>1.0430601659585526</v>
      </c>
      <c r="BC366" s="11">
        <v>43452</v>
      </c>
      <c r="BD366" s="289">
        <f>[2]!FeuilCaduc*(1-Persistant)+Persistant</f>
        <v>0.51573042023871185</v>
      </c>
      <c r="BE366" s="290">
        <f>[2]!CroissVégét</f>
        <v>0.99994066526373915</v>
      </c>
      <c r="BF366" s="804">
        <f>1+[2]!Salcycl*Ksac</f>
        <v>1.0015730420238711</v>
      </c>
      <c r="BH366" s="1036">
        <f t="shared" si="151"/>
        <v>2.8378366668477557E-3</v>
      </c>
      <c r="BI366" s="11">
        <v>44548</v>
      </c>
      <c r="BJ366" s="715">
        <v>3.4196543943264106E-4</v>
      </c>
      <c r="BK366" s="715">
        <v>4.5668025894735211E-4</v>
      </c>
      <c r="BL366" s="715">
        <v>6.9604661403995384E-4</v>
      </c>
      <c r="BM366" s="715">
        <v>1.5597465366692838E-3</v>
      </c>
      <c r="BN366" s="715">
        <v>4.120471890851911E-3</v>
      </c>
      <c r="BO366" s="716">
        <v>8.1756133392241991E-3</v>
      </c>
      <c r="BP366" s="715">
        <v>1.4177630697166071E-2</v>
      </c>
      <c r="BQ366" s="715">
        <v>2.1684023152314491E-2</v>
      </c>
      <c r="BR366" s="715">
        <v>3.1659412933286113E-2</v>
      </c>
      <c r="BS366" s="715">
        <v>4.4231876907725926E-2</v>
      </c>
      <c r="BT366" s="715">
        <v>5.8740149931079823E-2</v>
      </c>
      <c r="BW366" s="1188">
        <f>'2019'!R\Max</f>
        <v>0.72376582407730161</v>
      </c>
      <c r="BX366" s="1188">
        <f>'2020'!R\Max</f>
        <v>0.34059862388504603</v>
      </c>
      <c r="BY366" s="1188">
        <f>'2021'!R\Max</f>
        <v>1.0430601659585526</v>
      </c>
      <c r="BZ366" s="1188">
        <f>'2022'!R\Max</f>
        <v>0.97332024375184334</v>
      </c>
      <c r="CA366" s="1188">
        <f>'2023'!R\Max</f>
        <v>0.97330902398574415</v>
      </c>
      <c r="CB366" s="1188">
        <f>'2024'!R\Max</f>
        <v>0.97329498801347181</v>
      </c>
      <c r="CC366" s="1188">
        <f>'2025'!R\Max</f>
        <v>0.97328093665117632</v>
      </c>
      <c r="CD366" s="1188">
        <f>'2026'!R\Max</f>
        <v>0.97334682567894304</v>
      </c>
      <c r="CE366" s="1189">
        <f>'2027'!R\Max</f>
        <v>0.97333940098695471</v>
      </c>
      <c r="CF366" s="1191">
        <f>'2028'!R\Max</f>
        <v>0.97333182882652802</v>
      </c>
    </row>
    <row r="367" spans="1:84" s="6" customFormat="1" ht="11.25" x14ac:dyDescent="0.2">
      <c r="A367" s="11">
        <v>43453</v>
      </c>
      <c r="B367" s="379">
        <f>'2023'!Maxi_hp</f>
        <v>28.572996708311734</v>
      </c>
      <c r="C367" s="13">
        <f>'2023'!An_max</f>
        <v>2021</v>
      </c>
      <c r="D367" s="1045">
        <f t="shared" si="135"/>
        <v>1.0334864128964545</v>
      </c>
      <c r="E367" s="13"/>
      <c r="F367" s="13">
        <f t="shared" si="152"/>
        <v>27</v>
      </c>
      <c r="G367" s="13">
        <f t="shared" si="136"/>
        <v>26</v>
      </c>
      <c r="H367" s="173">
        <f t="shared" si="137"/>
        <v>43458</v>
      </c>
      <c r="I367" s="742">
        <f t="shared" si="138"/>
        <v>0.35714285714285715</v>
      </c>
      <c r="J367" s="735">
        <f t="shared" si="139"/>
        <v>27.647191440314053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38">
        <v>43453</v>
      </c>
      <c r="AP367" s="13">
        <f t="shared" si="140"/>
        <v>15</v>
      </c>
      <c r="AQ367" s="13">
        <f t="shared" si="141"/>
        <v>14</v>
      </c>
      <c r="AR367" s="173">
        <f t="shared" si="142"/>
        <v>43473</v>
      </c>
      <c r="AS367" s="742">
        <f t="shared" si="143"/>
        <v>0.68965517241379315</v>
      </c>
      <c r="AT367" s="758">
        <f t="shared" si="144"/>
        <v>27.776091197801048</v>
      </c>
      <c r="AU367" s="13">
        <f t="shared" si="145"/>
        <v>13</v>
      </c>
      <c r="AV367" s="13">
        <f t="shared" si="146"/>
        <v>14</v>
      </c>
      <c r="AW367" s="173">
        <f t="shared" si="147"/>
        <v>43430</v>
      </c>
      <c r="AX367" s="742">
        <f t="shared" si="148"/>
        <v>0.8214285714285714</v>
      </c>
      <c r="AY367" s="758">
        <f t="shared" si="149"/>
        <v>27.652790733107498</v>
      </c>
      <c r="AZ367" s="735">
        <f t="shared" si="153"/>
        <v>27.714440965454273</v>
      </c>
      <c r="BA367" s="633">
        <f t="shared" si="150"/>
        <v>1.0334864128964545</v>
      </c>
      <c r="BC367" s="11">
        <v>43453</v>
      </c>
      <c r="BD367" s="289">
        <f>[2]!FeuilCaduc*(1-Persistant)+Persistant</f>
        <v>0.51459951068204202</v>
      </c>
      <c r="BE367" s="290">
        <f>[2]!CroissVégét</f>
        <v>0.99995638361167161</v>
      </c>
      <c r="BF367" s="804">
        <f>1+[2]!Salcycl*Ksac</f>
        <v>1.0014599510682043</v>
      </c>
      <c r="BH367" s="1036">
        <f t="shared" si="151"/>
        <v>2.8729665701424331E-3</v>
      </c>
      <c r="BI367" s="11">
        <v>44549</v>
      </c>
      <c r="BJ367" s="715">
        <v>3.417128596531426E-4</v>
      </c>
      <c r="BK367" s="715">
        <v>4.5847051613592463E-4</v>
      </c>
      <c r="BL367" s="715">
        <v>7.0117630090078256E-4</v>
      </c>
      <c r="BM367" s="715">
        <v>1.5746871405717862E-3</v>
      </c>
      <c r="BN367" s="715">
        <v>4.1758628899307747E-3</v>
      </c>
      <c r="BO367" s="716">
        <v>8.2734864250429488E-3</v>
      </c>
      <c r="BP367" s="715">
        <v>1.428560749145223E-2</v>
      </c>
      <c r="BQ367" s="715">
        <v>2.1772383932767533E-2</v>
      </c>
      <c r="BR367" s="715">
        <v>3.1735313353564117E-2</v>
      </c>
      <c r="BS367" s="715">
        <v>4.4334110025900125E-2</v>
      </c>
      <c r="BT367" s="715">
        <v>5.8880089530546804E-2</v>
      </c>
      <c r="BW367" s="1188">
        <f>'2019'!R\Max</f>
        <v>0.4400953930184377</v>
      </c>
      <c r="BX367" s="1188">
        <f>'2020'!R\Max</f>
        <v>0.41175295590658778</v>
      </c>
      <c r="BY367" s="1188">
        <f>'2021'!R\Max</f>
        <v>1.0334864128964545</v>
      </c>
      <c r="BZ367" s="1188">
        <f>'2022'!R\Max</f>
        <v>0.78405595286285534</v>
      </c>
      <c r="CA367" s="1188">
        <f>'2023'!R\Max</f>
        <v>0.78398282201767211</v>
      </c>
      <c r="CB367" s="1188">
        <f>'2024'!R\Max</f>
        <v>0.78389174348120894</v>
      </c>
      <c r="CC367" s="1188">
        <f>'2025'!R\Max</f>
        <v>0.7838005848135432</v>
      </c>
      <c r="CD367" s="1188">
        <f>'2026'!R\Max</f>
        <v>0.7842301523889863</v>
      </c>
      <c r="CE367" s="1189">
        <f>'2027'!R\Max</f>
        <v>0.78418130421370158</v>
      </c>
      <c r="CF367" s="1191">
        <f>'2028'!R\Max</f>
        <v>0.78413150018423816</v>
      </c>
    </row>
    <row r="368" spans="1:84" s="6" customFormat="1" ht="11.25" x14ac:dyDescent="0.2">
      <c r="A368" s="11">
        <v>43454</v>
      </c>
      <c r="B368" s="379">
        <f>'2023'!Maxi_hp</f>
        <v>25.354958891522763</v>
      </c>
      <c r="C368" s="13">
        <f>'2023'!An_max</f>
        <v>2021</v>
      </c>
      <c r="D368" s="1045" t="str">
        <f t="shared" si="135"/>
        <v/>
      </c>
      <c r="E368" s="13"/>
      <c r="F368" s="13">
        <f t="shared" si="152"/>
        <v>27</v>
      </c>
      <c r="G368" s="13">
        <f t="shared" si="136"/>
        <v>26</v>
      </c>
      <c r="H368" s="173">
        <f t="shared" si="137"/>
        <v>43458</v>
      </c>
      <c r="I368" s="742">
        <f t="shared" si="138"/>
        <v>0.2857142857142857</v>
      </c>
      <c r="J368" s="735">
        <f t="shared" si="139"/>
        <v>27.650208602419923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38">
        <v>43454</v>
      </c>
      <c r="AP368" s="13">
        <f t="shared" si="140"/>
        <v>15</v>
      </c>
      <c r="AQ368" s="13">
        <f t="shared" si="141"/>
        <v>14</v>
      </c>
      <c r="AR368" s="173">
        <f t="shared" si="142"/>
        <v>43473</v>
      </c>
      <c r="AS368" s="742">
        <f t="shared" si="143"/>
        <v>0.65517241379310343</v>
      </c>
      <c r="AT368" s="758">
        <f t="shared" si="144"/>
        <v>27.791712811075406</v>
      </c>
      <c r="AU368" s="13">
        <f t="shared" si="145"/>
        <v>13</v>
      </c>
      <c r="AV368" s="13">
        <f t="shared" si="146"/>
        <v>14</v>
      </c>
      <c r="AW368" s="173">
        <f t="shared" si="147"/>
        <v>43430</v>
      </c>
      <c r="AX368" s="742">
        <f t="shared" si="148"/>
        <v>0.8571428571428571</v>
      </c>
      <c r="AY368" s="758">
        <f t="shared" si="149"/>
        <v>27.652756671181749</v>
      </c>
      <c r="AZ368" s="735">
        <f t="shared" si="153"/>
        <v>27.722234741128577</v>
      </c>
      <c r="BA368" s="633">
        <f t="shared" si="150"/>
        <v>0.91698978680774645</v>
      </c>
      <c r="BC368" s="11">
        <v>43454</v>
      </c>
      <c r="BD368" s="289">
        <f>[2]!FeuilCaduc*(1-Persistant)+Persistant</f>
        <v>0.51355473547198693</v>
      </c>
      <c r="BE368" s="290">
        <f>[2]!CroissVégét</f>
        <v>0.99997146955734828</v>
      </c>
      <c r="BF368" s="804">
        <f>1+[2]!Salcycl*Ksac</f>
        <v>1.0013554735471988</v>
      </c>
      <c r="BH368" s="1036">
        <f t="shared" si="151"/>
        <v>2.8966190778433477E-3</v>
      </c>
      <c r="BI368" s="11">
        <v>44550</v>
      </c>
      <c r="BJ368" s="715">
        <v>3.4157111764172301E-4</v>
      </c>
      <c r="BK368" s="715">
        <v>4.5970025849634044E-4</v>
      </c>
      <c r="BL368" s="715">
        <v>7.0465206258686055E-4</v>
      </c>
      <c r="BM368" s="715">
        <v>1.5847740261255244E-3</v>
      </c>
      <c r="BN368" s="715">
        <v>4.2131292613105135E-3</v>
      </c>
      <c r="BO368" s="716">
        <v>8.3394041471532235E-3</v>
      </c>
      <c r="BP368" s="715">
        <v>1.435873314626987E-2</v>
      </c>
      <c r="BQ368" s="715">
        <v>2.1833012779624697E-2</v>
      </c>
      <c r="BR368" s="715">
        <v>3.178841096635663E-2</v>
      </c>
      <c r="BS368" s="715">
        <v>4.4405753329258953E-2</v>
      </c>
      <c r="BT368" s="715">
        <v>5.8978015818373065E-2</v>
      </c>
      <c r="BW368" s="1188">
        <f>'2019'!R\Max</f>
        <v>0.31885448614302969</v>
      </c>
      <c r="BX368" s="1188">
        <f>'2020'!R\Max</f>
        <v>0.35355507044082157</v>
      </c>
      <c r="BY368" s="1188">
        <f>'2021'!R\Max</f>
        <v>0.91698978680774645</v>
      </c>
      <c r="BZ368" s="1188">
        <f>'2022'!R\Max</f>
        <v>0.17276308401512705</v>
      </c>
      <c r="CA368" s="1188">
        <f>'2023'!R\Max</f>
        <v>0.17271089018807226</v>
      </c>
      <c r="CB368" s="1188">
        <f>'2024'!R\Max</f>
        <v>0.17264610318970069</v>
      </c>
      <c r="CC368" s="1188">
        <f>'2025'!R\Max</f>
        <v>0.17258129343123768</v>
      </c>
      <c r="CD368" s="1188">
        <f>'2026'!R\Max</f>
        <v>0.1728879219641031</v>
      </c>
      <c r="CE368" s="1189">
        <f>'2027'!R\Max</f>
        <v>0.17285281542140857</v>
      </c>
      <c r="CF368" s="1191">
        <f>'2028'!R\Max</f>
        <v>0.17281703633742701</v>
      </c>
    </row>
    <row r="369" spans="1:84" s="6" customFormat="1" ht="11.25" x14ac:dyDescent="0.2">
      <c r="A369" s="11">
        <v>43455</v>
      </c>
      <c r="B369" s="379">
        <f>'2023'!Maxi_hp</f>
        <v>24.6464004878308</v>
      </c>
      <c r="C369" s="13">
        <f>'2023'!An_max</f>
        <v>2022</v>
      </c>
      <c r="D369" s="1045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73">
        <f t="shared" si="137"/>
        <v>43458</v>
      </c>
      <c r="I369" s="742">
        <f t="shared" si="138"/>
        <v>0.21428571428571427</v>
      </c>
      <c r="J369" s="735">
        <f t="shared" si="139"/>
        <v>27.664394282230308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38">
        <v>43455</v>
      </c>
      <c r="AP369" s="13">
        <f t="shared" si="140"/>
        <v>15</v>
      </c>
      <c r="AQ369" s="13">
        <f t="shared" si="141"/>
        <v>14</v>
      </c>
      <c r="AR369" s="173">
        <f t="shared" si="142"/>
        <v>43473</v>
      </c>
      <c r="AS369" s="742">
        <f t="shared" si="143"/>
        <v>0.62068965517241381</v>
      </c>
      <c r="AT369" s="758">
        <f t="shared" si="144"/>
        <v>27.816869633105295</v>
      </c>
      <c r="AU369" s="13">
        <f t="shared" si="145"/>
        <v>13</v>
      </c>
      <c r="AV369" s="13">
        <f t="shared" si="146"/>
        <v>14</v>
      </c>
      <c r="AW369" s="173">
        <f t="shared" si="147"/>
        <v>43430</v>
      </c>
      <c r="AX369" s="742">
        <f t="shared" si="148"/>
        <v>0.8928571428571429</v>
      </c>
      <c r="AY369" s="758">
        <f t="shared" si="149"/>
        <v>27.664831779311811</v>
      </c>
      <c r="AZ369" s="735">
        <f t="shared" si="153"/>
        <v>27.740850706208555</v>
      </c>
      <c r="BA369" s="633">
        <f t="shared" si="150"/>
        <v>0.8909069266577776</v>
      </c>
      <c r="BC369" s="11">
        <v>43455</v>
      </c>
      <c r="BD369" s="289">
        <f>[2]!FeuilCaduc*(1-Persistant)+Persistant</f>
        <v>0.51259001415760874</v>
      </c>
      <c r="BE369" s="290">
        <f>[2]!CroissVégét</f>
        <v>0.99998594852652212</v>
      </c>
      <c r="BF369" s="804">
        <f>1+[2]!Salcycl*Ksac</f>
        <v>1.001259001415761</v>
      </c>
      <c r="BH369" s="1036">
        <f t="shared" si="151"/>
        <v>2.9087955531276743E-3</v>
      </c>
      <c r="BI369" s="11">
        <v>44551</v>
      </c>
      <c r="BJ369" s="715">
        <v>3.4154096405506645E-4</v>
      </c>
      <c r="BK369" s="715">
        <v>4.6037021038024007E-4</v>
      </c>
      <c r="BL369" s="715">
        <v>7.064746892426957E-4</v>
      </c>
      <c r="BM369" s="715">
        <v>1.5900085135154406E-3</v>
      </c>
      <c r="BN369" s="715">
        <v>4.2322724113134196E-3</v>
      </c>
      <c r="BO369" s="716">
        <v>8.3733708685691192E-3</v>
      </c>
      <c r="BP369" s="715">
        <v>1.4397023299528898E-2</v>
      </c>
      <c r="BQ369" s="715">
        <v>2.1865943647732828E-2</v>
      </c>
      <c r="BR369" s="715">
        <v>3.1818762289419746E-2</v>
      </c>
      <c r="BS369" s="715">
        <v>4.4446886277535014E-2</v>
      </c>
      <c r="BT369" s="715">
        <v>5.9034033771906455E-2</v>
      </c>
      <c r="BW369" s="1188">
        <f>'2019'!R\Max</f>
        <v>0.84243062016880477</v>
      </c>
      <c r="BX369" s="1188">
        <f>'2020'!R\Max</f>
        <v>0.24173791002705305</v>
      </c>
      <c r="BY369" s="1188">
        <f>'2021'!R\Max</f>
        <v>0.68316473169335645</v>
      </c>
      <c r="BZ369" s="1188">
        <f>'2022'!R\Max</f>
        <v>0.8909069266577776</v>
      </c>
      <c r="CA369" s="1188">
        <f>'2023'!R\Max</f>
        <v>0.89086505451663356</v>
      </c>
      <c r="CB369" s="1188">
        <f>'2024'!R\Max</f>
        <v>0.89081312426982828</v>
      </c>
      <c r="CC369" s="1188">
        <f>'2025'!R\Max</f>
        <v>0.89076114320903366</v>
      </c>
      <c r="CD369" s="1188">
        <f>'2026'!R\Max</f>
        <v>0.89100715990987711</v>
      </c>
      <c r="CE369" s="1189">
        <f>'2027'!R\Max</f>
        <v>0.89097895004800387</v>
      </c>
      <c r="CF369" s="1191">
        <f>'2028'!R\Max</f>
        <v>0.89095019158781086</v>
      </c>
    </row>
    <row r="370" spans="1:84" s="6" customFormat="1" ht="11.25" x14ac:dyDescent="0.2">
      <c r="A370" s="11">
        <v>43456</v>
      </c>
      <c r="B370" s="379">
        <f>'2023'!Maxi_hp</f>
        <v>28.339103776749631</v>
      </c>
      <c r="C370" s="13">
        <f>'2023'!An_max</f>
        <v>2021</v>
      </c>
      <c r="D370" s="1045">
        <f t="shared" si="135"/>
        <v>1.0234398813987282</v>
      </c>
      <c r="E370" s="13"/>
      <c r="F370" s="13">
        <f t="shared" si="152"/>
        <v>27</v>
      </c>
      <c r="G370" s="13">
        <f t="shared" si="136"/>
        <v>26</v>
      </c>
      <c r="H370" s="173">
        <f t="shared" si="137"/>
        <v>43458</v>
      </c>
      <c r="I370" s="742">
        <f t="shared" si="138"/>
        <v>0.14285714285714285</v>
      </c>
      <c r="J370" s="735">
        <f t="shared" si="139"/>
        <v>27.690052236403737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38">
        <v>43456</v>
      </c>
      <c r="AP370" s="13">
        <f t="shared" si="140"/>
        <v>15</v>
      </c>
      <c r="AQ370" s="13">
        <f t="shared" si="141"/>
        <v>14</v>
      </c>
      <c r="AR370" s="173">
        <f t="shared" si="142"/>
        <v>43473</v>
      </c>
      <c r="AS370" s="742">
        <f t="shared" si="143"/>
        <v>0.58620689655172409</v>
      </c>
      <c r="AT370" s="758">
        <f t="shared" si="144"/>
        <v>27.851513667507419</v>
      </c>
      <c r="AU370" s="13">
        <f t="shared" si="145"/>
        <v>13</v>
      </c>
      <c r="AV370" s="13">
        <f t="shared" si="146"/>
        <v>14</v>
      </c>
      <c r="AW370" s="173">
        <f t="shared" si="147"/>
        <v>43430</v>
      </c>
      <c r="AX370" s="742">
        <f t="shared" si="148"/>
        <v>0.9285714285714286</v>
      </c>
      <c r="AY370" s="758">
        <f t="shared" si="149"/>
        <v>27.689344846882996</v>
      </c>
      <c r="AZ370" s="735">
        <f t="shared" si="153"/>
        <v>27.770429257195207</v>
      </c>
      <c r="BA370" s="633">
        <f t="shared" si="150"/>
        <v>1.0234398813987282</v>
      </c>
      <c r="BC370" s="11">
        <v>43456</v>
      </c>
      <c r="BD370" s="289">
        <f>[2]!FeuilCaduc*(1-Persistant)+Persistant</f>
        <v>0.51169941597441659</v>
      </c>
      <c r="BE370" s="290">
        <f>[2]!CroissVégét</f>
        <v>0.99999984492411664</v>
      </c>
      <c r="BF370" s="804">
        <f>1+[2]!Salcycl*Ksac</f>
        <v>1.0011699415974418</v>
      </c>
      <c r="BH370" s="1036">
        <f t="shared" si="151"/>
        <v>2.9094956311091881E-3</v>
      </c>
      <c r="BI370" s="11">
        <v>44552</v>
      </c>
      <c r="BJ370" s="717">
        <v>3.4162316485067163E-4</v>
      </c>
      <c r="BK370" s="717">
        <v>4.6048101055225129E-4</v>
      </c>
      <c r="BL370" s="717">
        <v>7.0664472091573757E-4</v>
      </c>
      <c r="BM370" s="717">
        <v>1.5903911907886974E-3</v>
      </c>
      <c r="BN370" s="717">
        <v>4.2332910187310993E-3</v>
      </c>
      <c r="BO370" s="718">
        <v>8.37538613999988E-3</v>
      </c>
      <c r="BP370" s="717">
        <v>1.4400488320987869E-2</v>
      </c>
      <c r="BQ370" s="717">
        <v>2.1871206260870541E-2</v>
      </c>
      <c r="BR370" s="717">
        <v>3.1826420309542164E-2</v>
      </c>
      <c r="BS370" s="717">
        <v>4.4457583587078242E-2</v>
      </c>
      <c r="BT370" s="717">
        <v>5.9048241861285308E-2</v>
      </c>
      <c r="BW370" s="1188">
        <f>'2019'!R\Max</f>
        <v>0.31125983077420832</v>
      </c>
      <c r="BX370" s="1188">
        <f>'2020'!R\Max</f>
        <v>0.32594863036288052</v>
      </c>
      <c r="BY370" s="1188">
        <f>'2021'!R\Max</f>
        <v>1.0234398813987282</v>
      </c>
      <c r="BZ370" s="1188">
        <f>'2022'!R\Max</f>
        <v>0.7967123059313338</v>
      </c>
      <c r="CA370" s="1188">
        <f>'2023'!R\Max</f>
        <v>0.79664270154711869</v>
      </c>
      <c r="CB370" s="1188">
        <f>'2024'!R\Max</f>
        <v>0.79655638521115402</v>
      </c>
      <c r="CC370" s="1188">
        <f>'2025'!R\Max</f>
        <v>0.79646999345779323</v>
      </c>
      <c r="CD370" s="1188">
        <f>'2026'!R\Max</f>
        <v>0.79687894822725625</v>
      </c>
      <c r="CE370" s="1189">
        <f>'2027'!R\Max</f>
        <v>0.79683204465786128</v>
      </c>
      <c r="CF370" s="1191">
        <f>'2028'!R\Max</f>
        <v>0.79678423187177061</v>
      </c>
    </row>
    <row r="371" spans="1:84" s="6" customFormat="1" ht="11.25" x14ac:dyDescent="0.2">
      <c r="A371" s="11">
        <v>43457</v>
      </c>
      <c r="B371" s="379">
        <f>'2023'!Maxi_hp</f>
        <v>22.446630123759167</v>
      </c>
      <c r="C371" s="13">
        <f>'2023'!An_max</f>
        <v>2022</v>
      </c>
      <c r="D371" s="1045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73">
        <f t="shared" si="137"/>
        <v>43458</v>
      </c>
      <c r="I371" s="742">
        <f t="shared" si="138"/>
        <v>7.1428571428571425E-2</v>
      </c>
      <c r="J371" s="735">
        <f t="shared" si="139"/>
        <v>27.727486219789302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38">
        <v>43457</v>
      </c>
      <c r="AP371" s="13">
        <f t="shared" si="140"/>
        <v>15</v>
      </c>
      <c r="AQ371" s="13">
        <f t="shared" si="141"/>
        <v>14</v>
      </c>
      <c r="AR371" s="173">
        <f t="shared" si="142"/>
        <v>43473</v>
      </c>
      <c r="AS371" s="742">
        <f t="shared" si="143"/>
        <v>0.55172413793103448</v>
      </c>
      <c r="AT371" s="758">
        <f t="shared" si="144"/>
        <v>27.895596922317459</v>
      </c>
      <c r="AU371" s="13">
        <f t="shared" si="145"/>
        <v>13</v>
      </c>
      <c r="AV371" s="13">
        <f t="shared" si="146"/>
        <v>14</v>
      </c>
      <c r="AW371" s="173">
        <f t="shared" si="147"/>
        <v>43430</v>
      </c>
      <c r="AX371" s="742">
        <f t="shared" si="148"/>
        <v>0.9642857142857143</v>
      </c>
      <c r="AY371" s="758">
        <f t="shared" si="149"/>
        <v>27.7266246589699</v>
      </c>
      <c r="AZ371" s="735">
        <f t="shared" si="153"/>
        <v>27.811110790643681</v>
      </c>
      <c r="BA371" s="633">
        <f t="shared" si="150"/>
        <v>0.80954436135428853</v>
      </c>
      <c r="BC371" s="11">
        <v>43457</v>
      </c>
      <c r="BD371" s="289">
        <f>[2]!FeuilCaduc*(1-Persistant)+Persistant</f>
        <v>0.51087718902040757</v>
      </c>
      <c r="BE371" s="290">
        <f>[2]!CroissVégét</f>
        <v>0.99999984492411664</v>
      </c>
      <c r="BF371" s="804">
        <f>1+[2]!Salcycl*Ksac</f>
        <v>1.0010877189020408</v>
      </c>
      <c r="BH371" s="1036">
        <f t="shared" si="151"/>
        <v>2.8987189819062583E-3</v>
      </c>
      <c r="BI371" s="11">
        <v>44553</v>
      </c>
      <c r="BJ371" s="715">
        <v>3.4181873963081897E-4</v>
      </c>
      <c r="BK371" s="715">
        <v>4.6003351820864499E-4</v>
      </c>
      <c r="BL371" s="715">
        <v>7.0516290011481966E-4</v>
      </c>
      <c r="BM371" s="715">
        <v>1.5859229080899193E-3</v>
      </c>
      <c r="BN371" s="715">
        <v>4.2161835694593018E-3</v>
      </c>
      <c r="BO371" s="716">
        <v>8.3454497983694344E-3</v>
      </c>
      <c r="BP371" s="715">
        <v>1.4369142510173717E-2</v>
      </c>
      <c r="BQ371" s="715">
        <v>2.1848840622709836E-2</v>
      </c>
      <c r="BR371" s="715">
        <v>3.1811455975571806E-2</v>
      </c>
      <c r="BS371" s="715">
        <v>4.4437945281092045E-2</v>
      </c>
      <c r="BT371" s="715">
        <v>5.9020771932211696E-2</v>
      </c>
      <c r="BW371" s="1188">
        <f>'2019'!R\Max</f>
        <v>0.28229608697359626</v>
      </c>
      <c r="BX371" s="1188">
        <f>'2020'!R\Max</f>
        <v>0.80677100378936595</v>
      </c>
      <c r="BY371" s="1188">
        <f>'2021'!R\Max</f>
        <v>0.24101682170988534</v>
      </c>
      <c r="BZ371" s="1188">
        <f>'2022'!R\Max</f>
        <v>0.80954436135428853</v>
      </c>
      <c r="CA371" s="1188">
        <f>'2023'!R\Max</f>
        <v>0.80947831137188397</v>
      </c>
      <c r="CB371" s="1188">
        <f>'2024'!R\Max</f>
        <v>0.80939628445169942</v>
      </c>
      <c r="CC371" s="1188">
        <f>'2025'!R\Max</f>
        <v>0.80931418464849258</v>
      </c>
      <c r="CD371" s="1188">
        <f>'2026'!R\Max</f>
        <v>0.80970222477476028</v>
      </c>
      <c r="CE371" s="1189">
        <f>'2027'!R\Max</f>
        <v>0.80965784739980817</v>
      </c>
      <c r="CF371" s="1191">
        <f>'2028'!R\Max</f>
        <v>0.80961260694709836</v>
      </c>
    </row>
    <row r="372" spans="1:84" s="6" customFormat="1" ht="11.25" x14ac:dyDescent="0.2">
      <c r="A372" s="11">
        <v>43458</v>
      </c>
      <c r="B372" s="379">
        <f>'2023'!Maxi_hp</f>
        <v>24.686219605998851</v>
      </c>
      <c r="C372" s="13">
        <f>'2023'!An_max</f>
        <v>2022</v>
      </c>
      <c r="D372" s="1045" t="str">
        <f t="shared" si="135"/>
        <v/>
      </c>
      <c r="E372" s="1040">
        <f>AM$13/10</f>
        <v>27.776999999999997</v>
      </c>
      <c r="F372" s="13">
        <f t="shared" si="152"/>
        <v>27</v>
      </c>
      <c r="G372" s="13">
        <f t="shared" si="136"/>
        <v>28</v>
      </c>
      <c r="H372" s="173">
        <f t="shared" si="137"/>
        <v>43458</v>
      </c>
      <c r="I372" s="742">
        <f t="shared" si="138"/>
        <v>0</v>
      </c>
      <c r="J372" s="735">
        <f t="shared" si="139"/>
        <v>27.776999999582767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38">
        <v>43458</v>
      </c>
      <c r="AP372" s="13">
        <f t="shared" si="140"/>
        <v>15</v>
      </c>
      <c r="AQ372" s="13">
        <f t="shared" si="141"/>
        <v>14</v>
      </c>
      <c r="AR372" s="173">
        <f t="shared" si="142"/>
        <v>43473</v>
      </c>
      <c r="AS372" s="742">
        <f t="shared" si="143"/>
        <v>0.51724137931034486</v>
      </c>
      <c r="AT372" s="758">
        <f t="shared" si="144"/>
        <v>27.949071406444602</v>
      </c>
      <c r="AU372" s="13">
        <f t="shared" si="145"/>
        <v>15</v>
      </c>
      <c r="AV372" s="13">
        <f t="shared" si="146"/>
        <v>14</v>
      </c>
      <c r="AW372" s="173">
        <f t="shared" si="147"/>
        <v>43487</v>
      </c>
      <c r="AX372" s="742">
        <f t="shared" si="148"/>
        <v>1</v>
      </c>
      <c r="AY372" s="758">
        <f t="shared" si="149"/>
        <v>27.776999998092652</v>
      </c>
      <c r="AZ372" s="735">
        <f t="shared" si="153"/>
        <v>27.863035702268625</v>
      </c>
      <c r="BA372" s="633">
        <f t="shared" si="150"/>
        <v>0.88872879023543427</v>
      </c>
      <c r="BC372" s="11">
        <v>43458</v>
      </c>
      <c r="BD372" s="289">
        <f>[2]!FeuilCaduc*(1-Persistant)+Persistant</f>
        <v>0.51011778690856846</v>
      </c>
      <c r="BE372" s="290">
        <f>[2]!CroissVégét</f>
        <v>0.99999984492411664</v>
      </c>
      <c r="BF372" s="804">
        <f>1+[2]!Salcycl*Ksac</f>
        <v>1.0010117786908568</v>
      </c>
      <c r="BH372" s="1036">
        <f t="shared" si="151"/>
        <v>2.8764546082352543E-3</v>
      </c>
      <c r="BI372" s="11">
        <v>44554</v>
      </c>
      <c r="BJ372" s="715">
        <v>3.4212772959408254E-4</v>
      </c>
      <c r="BK372" s="715">
        <v>4.5902714030320073E-4</v>
      </c>
      <c r="BL372" s="715">
        <v>7.02027591574591E-4</v>
      </c>
      <c r="BM372" s="715">
        <v>1.5765989514461877E-3</v>
      </c>
      <c r="BN372" s="715">
        <v>4.1809327605592233E-3</v>
      </c>
      <c r="BO372" s="716">
        <v>8.2835311767330329E-3</v>
      </c>
      <c r="BP372" s="715">
        <v>1.430295149525204E-2</v>
      </c>
      <c r="BQ372" s="715">
        <v>2.1798817552050914E-2</v>
      </c>
      <c r="BR372" s="715">
        <v>3.1773842859272691E-2</v>
      </c>
      <c r="BS372" s="715">
        <v>4.4387935596371005E-2</v>
      </c>
      <c r="BT372" s="715">
        <v>5.8951575219703671E-2</v>
      </c>
      <c r="BW372" s="1188">
        <f>'2019'!R\Max</f>
        <v>0.50717057075041827</v>
      </c>
      <c r="BX372" s="1188">
        <f>'2020'!R\Max</f>
        <v>0.40507343308442861</v>
      </c>
      <c r="BY372" s="1188">
        <f>'2021'!R\Max</f>
        <v>0.48212345251558142</v>
      </c>
      <c r="BZ372" s="1188">
        <f>'2022'!R\Max</f>
        <v>0.88872879023543427</v>
      </c>
      <c r="CA372" s="1188">
        <f>'2023'!R\Max</f>
        <v>0.88868659398738248</v>
      </c>
      <c r="CB372" s="1188">
        <f>'2024'!R\Max</f>
        <v>0.88863403656193318</v>
      </c>
      <c r="CC372" s="1188">
        <f>'2025'!R\Max</f>
        <v>0.88858142782467586</v>
      </c>
      <c r="CD372" s="1188">
        <f>'2026'!R\Max</f>
        <v>0.88882928949001028</v>
      </c>
      <c r="CE372" s="1189">
        <f>'2027'!R\Max</f>
        <v>0.88880110985291194</v>
      </c>
      <c r="CF372" s="1191">
        <f>'2028'!R\Max</f>
        <v>0.88877237763305039</v>
      </c>
    </row>
    <row r="373" spans="1:84" s="6" customFormat="1" ht="11.25" x14ac:dyDescent="0.2">
      <c r="A373" s="11">
        <v>43459</v>
      </c>
      <c r="B373" s="379">
        <f>'2023'!Maxi_hp</f>
        <v>14.565704855109912</v>
      </c>
      <c r="C373" s="13">
        <f>'2023'!An_max</f>
        <v>2022</v>
      </c>
      <c r="D373" s="1045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73">
        <f t="shared" si="137"/>
        <v>43458</v>
      </c>
      <c r="I373" s="742">
        <f t="shared" si="138"/>
        <v>6.6666666666666666E-2</v>
      </c>
      <c r="J373" s="735">
        <f t="shared" si="139"/>
        <v>27.838636090060071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38">
        <v>43459</v>
      </c>
      <c r="AP373" s="13">
        <f t="shared" si="140"/>
        <v>15</v>
      </c>
      <c r="AQ373" s="13">
        <f t="shared" si="141"/>
        <v>14</v>
      </c>
      <c r="AR373" s="173">
        <f t="shared" si="142"/>
        <v>43473</v>
      </c>
      <c r="AS373" s="742">
        <f t="shared" si="143"/>
        <v>0.48275862068965519</v>
      </c>
      <c r="AT373" s="758">
        <f t="shared" si="144"/>
        <v>28.011889119600426</v>
      </c>
      <c r="AU373" s="13">
        <f t="shared" si="145"/>
        <v>15</v>
      </c>
      <c r="AV373" s="13">
        <f t="shared" si="146"/>
        <v>14</v>
      </c>
      <c r="AW373" s="173">
        <f t="shared" si="147"/>
        <v>43487</v>
      </c>
      <c r="AX373" s="742">
        <f t="shared" si="148"/>
        <v>0.96551724137931039</v>
      </c>
      <c r="AY373" s="758">
        <f t="shared" si="149"/>
        <v>27.84146256575297</v>
      </c>
      <c r="AZ373" s="735">
        <f t="shared" si="153"/>
        <v>27.926675842676698</v>
      </c>
      <c r="BA373" s="633">
        <f t="shared" si="150"/>
        <v>0.52321905455384976</v>
      </c>
      <c r="BC373" s="11">
        <v>43459</v>
      </c>
      <c r="BD373" s="289">
        <f>[2]!FeuilCaduc*(1-Persistant)+Persistant</f>
        <v>0.5094158927498017</v>
      </c>
      <c r="BE373" s="290">
        <f>[2]!CroissVégét</f>
        <v>0.99999984492411664</v>
      </c>
      <c r="BF373" s="804">
        <f>1+[2]!Salcycl*Ksac</f>
        <v>1.0009415892749802</v>
      </c>
      <c r="BH373" s="1036">
        <f t="shared" si="151"/>
        <v>2.8426824804645783E-3</v>
      </c>
      <c r="BI373" s="11">
        <v>44555</v>
      </c>
      <c r="BJ373" s="715">
        <v>3.4254937042565563E-4</v>
      </c>
      <c r="BK373" s="715">
        <v>4.5746007388286042E-4</v>
      </c>
      <c r="BL373" s="715">
        <v>6.9723516452971986E-4</v>
      </c>
      <c r="BM373" s="715">
        <v>1.5624099179323708E-3</v>
      </c>
      <c r="BN373" s="715">
        <v>4.127507897902523E-3</v>
      </c>
      <c r="BO373" s="716">
        <v>8.1895737968177978E-3</v>
      </c>
      <c r="BP373" s="715">
        <v>1.420184003827763E-2</v>
      </c>
      <c r="BQ373" s="715">
        <v>2.172105020742535E-2</v>
      </c>
      <c r="BR373" s="715">
        <v>3.1713473695868043E-2</v>
      </c>
      <c r="BS373" s="715">
        <v>4.4307406071867422E-2</v>
      </c>
      <c r="BT373" s="715">
        <v>5.8840453032282053E-2</v>
      </c>
      <c r="BW373" s="1188">
        <f>'2019'!R\Max</f>
        <v>0.41520639957249583</v>
      </c>
      <c r="BX373" s="1188">
        <f>'2020'!R\Max</f>
        <v>0.44861933330468201</v>
      </c>
      <c r="BY373" s="1188">
        <f>'2021'!R\Max</f>
        <v>0.36133677325075436</v>
      </c>
      <c r="BZ373" s="1188">
        <f>'2022'!R\Max</f>
        <v>0.52321905455384976</v>
      </c>
      <c r="CA373" s="1188">
        <f>'2023'!R\Max</f>
        <v>0.52311313480913157</v>
      </c>
      <c r="CB373" s="1188">
        <f>'2024'!R\Max</f>
        <v>0.52298068568544243</v>
      </c>
      <c r="CC373" s="1188">
        <f>'2025'!R\Max</f>
        <v>0.52284815796288264</v>
      </c>
      <c r="CD373" s="1188">
        <f>'2026'!R\Max</f>
        <v>0.52347016964270432</v>
      </c>
      <c r="CE373" s="1189">
        <f>'2027'!R\Max</f>
        <v>0.52340000574816936</v>
      </c>
      <c r="CF373" s="1191">
        <f>'2028'!R\Max</f>
        <v>0.52332846861873294</v>
      </c>
    </row>
    <row r="374" spans="1:84" s="6" customFormat="1" ht="11.25" x14ac:dyDescent="0.2">
      <c r="A374" s="11">
        <v>43460</v>
      </c>
      <c r="B374" s="379">
        <f>'2023'!Maxi_hp</f>
        <v>24.401144284830412</v>
      </c>
      <c r="C374" s="13">
        <f>'2023'!An_max</f>
        <v>2022</v>
      </c>
      <c r="D374" s="1045" t="str">
        <f t="shared" si="135"/>
        <v/>
      </c>
      <c r="E374" s="13"/>
      <c r="F374" s="13">
        <f t="shared" si="152"/>
        <v>27</v>
      </c>
      <c r="G374" s="13">
        <f t="shared" si="136"/>
        <v>28</v>
      </c>
      <c r="H374" s="173">
        <f t="shared" si="137"/>
        <v>43458</v>
      </c>
      <c r="I374" s="742">
        <f t="shared" si="138"/>
        <v>0.13333333333333333</v>
      </c>
      <c r="J374" s="735">
        <f t="shared" si="139"/>
        <v>27.912092181245487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38">
        <v>43460</v>
      </c>
      <c r="AP374" s="13">
        <f t="shared" si="140"/>
        <v>15</v>
      </c>
      <c r="AQ374" s="13">
        <f t="shared" si="141"/>
        <v>14</v>
      </c>
      <c r="AR374" s="173">
        <f t="shared" si="142"/>
        <v>43473</v>
      </c>
      <c r="AS374" s="742">
        <f t="shared" si="143"/>
        <v>0.44827586206896552</v>
      </c>
      <c r="AT374" s="758">
        <f t="shared" si="144"/>
        <v>28.084002072749467</v>
      </c>
      <c r="AU374" s="13">
        <f t="shared" si="145"/>
        <v>15</v>
      </c>
      <c r="AV374" s="13">
        <f t="shared" si="146"/>
        <v>14</v>
      </c>
      <c r="AW374" s="173">
        <f t="shared" si="147"/>
        <v>43487</v>
      </c>
      <c r="AX374" s="742">
        <f t="shared" si="148"/>
        <v>0.93103448275862066</v>
      </c>
      <c r="AY374" s="758">
        <f t="shared" si="149"/>
        <v>27.920463140360237</v>
      </c>
      <c r="AZ374" s="735">
        <f t="shared" si="153"/>
        <v>28.002232606554852</v>
      </c>
      <c r="BA374" s="633">
        <f t="shared" si="150"/>
        <v>0.87421409066662048</v>
      </c>
      <c r="BC374" s="11">
        <v>43460</v>
      </c>
      <c r="BD374" s="289">
        <f>[2]!FeuilCaduc*(1-Persistant)+Persistant</f>
        <v>0.50876644034625396</v>
      </c>
      <c r="BE374" s="290">
        <f>[2]!CroissVégét</f>
        <v>0.99999984492411664</v>
      </c>
      <c r="BF374" s="804">
        <f>1+[2]!Salcycl*Ksac</f>
        <v>1.0008766440346255</v>
      </c>
      <c r="BH374" s="1036">
        <f t="shared" si="151"/>
        <v>2.7973808457498516E-3</v>
      </c>
      <c r="BI374" s="11">
        <v>44556</v>
      </c>
      <c r="BJ374" s="715">
        <v>3.4308291307254913E-4</v>
      </c>
      <c r="BK374" s="715">
        <v>4.5533043065119731E-4</v>
      </c>
      <c r="BL374" s="715">
        <v>6.9078173882290391E-4</v>
      </c>
      <c r="BM374" s="715">
        <v>1.5433456745444919E-3</v>
      </c>
      <c r="BN374" s="715">
        <v>4.0558755674824027E-3</v>
      </c>
      <c r="BO374" s="716">
        <v>8.0635163815568969E-3</v>
      </c>
      <c r="BP374" s="715">
        <v>1.4065727648000936E-2</v>
      </c>
      <c r="BQ374" s="715">
        <v>2.16154475283316E-2</v>
      </c>
      <c r="BR374" s="715">
        <v>3.1630237699803478E-2</v>
      </c>
      <c r="BS374" s="715">
        <v>4.4196203516857824E-2</v>
      </c>
      <c r="BT374" s="715">
        <v>5.8687200190040992E-2</v>
      </c>
      <c r="BW374" s="1188">
        <f>'2019'!R\Max</f>
        <v>0.33298659356263471</v>
      </c>
      <c r="BX374" s="1188">
        <f>'2020'!R\Max</f>
        <v>0.15318691679378402</v>
      </c>
      <c r="BY374" s="1188">
        <f>'2021'!R\Max</f>
        <v>0.45080471094802177</v>
      </c>
      <c r="BZ374" s="1188">
        <f>'2022'!R\Max</f>
        <v>0.87421409066662048</v>
      </c>
      <c r="CA374" s="1188">
        <f>'2023'!R\Max</f>
        <v>0.87416765409809916</v>
      </c>
      <c r="CB374" s="1188">
        <f>'2024'!R\Max</f>
        <v>0.87410923438634569</v>
      </c>
      <c r="CC374" s="1188">
        <f>'2025'!R\Max</f>
        <v>0.87405075772377738</v>
      </c>
      <c r="CD374" s="1188">
        <f>'2026'!R\Max</f>
        <v>0.87432337265542015</v>
      </c>
      <c r="CE374" s="1189">
        <f>'2027'!R\Max</f>
        <v>0.87429300309813329</v>
      </c>
      <c r="CF374" s="1191">
        <f>'2028'!R\Max</f>
        <v>0.87426202573469092</v>
      </c>
    </row>
    <row r="375" spans="1:84" s="6" customFormat="1" ht="11.25" x14ac:dyDescent="0.2">
      <c r="A375" s="11">
        <v>43461</v>
      </c>
      <c r="B375" s="379">
        <f>'2023'!Maxi_hp</f>
        <v>23.939485558369796</v>
      </c>
      <c r="C375" s="13">
        <f>'2023'!An_max</f>
        <v>2018</v>
      </c>
      <c r="D375" s="1045" t="str">
        <f t="shared" si="135"/>
        <v/>
      </c>
      <c r="E375" s="13"/>
      <c r="F375" s="13">
        <f t="shared" si="152"/>
        <v>27</v>
      </c>
      <c r="G375" s="13">
        <f t="shared" si="136"/>
        <v>28</v>
      </c>
      <c r="H375" s="173">
        <f t="shared" si="137"/>
        <v>43458</v>
      </c>
      <c r="I375" s="742">
        <f t="shared" si="138"/>
        <v>0.2</v>
      </c>
      <c r="J375" s="735">
        <f t="shared" si="139"/>
        <v>27.997154779434208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38">
        <v>43461</v>
      </c>
      <c r="AP375" s="13">
        <f t="shared" si="140"/>
        <v>15</v>
      </c>
      <c r="AQ375" s="13">
        <f t="shared" si="141"/>
        <v>14</v>
      </c>
      <c r="AR375" s="173">
        <f t="shared" si="142"/>
        <v>43473</v>
      </c>
      <c r="AS375" s="742">
        <f t="shared" si="143"/>
        <v>0.41379310344827586</v>
      </c>
      <c r="AT375" s="758">
        <f t="shared" si="144"/>
        <v>28.165362269816729</v>
      </c>
      <c r="AU375" s="13">
        <f t="shared" si="145"/>
        <v>15</v>
      </c>
      <c r="AV375" s="13">
        <f t="shared" si="146"/>
        <v>14</v>
      </c>
      <c r="AW375" s="173">
        <f t="shared" si="147"/>
        <v>43487</v>
      </c>
      <c r="AX375" s="742">
        <f t="shared" si="148"/>
        <v>0.89655172413793105</v>
      </c>
      <c r="AY375" s="758">
        <f t="shared" si="149"/>
        <v>28.01351914768075</v>
      </c>
      <c r="AZ375" s="735">
        <f t="shared" si="153"/>
        <v>28.089440708748739</v>
      </c>
      <c r="BA375" s="633">
        <f t="shared" si="150"/>
        <v>0.85506851488905422</v>
      </c>
      <c r="BC375" s="11">
        <v>43461</v>
      </c>
      <c r="BD375" s="289">
        <f>[2]!FeuilCaduc*(1-Persistant)+Persistant</f>
        <v>0.5081646325017376</v>
      </c>
      <c r="BE375" s="290">
        <f>[2]!CroissVégét</f>
        <v>0.99999984492411664</v>
      </c>
      <c r="BF375" s="804">
        <f>1+[2]!Salcycl*Ksac</f>
        <v>1.0008164632501737</v>
      </c>
      <c r="BH375" s="1036">
        <f t="shared" si="151"/>
        <v>2.739364673809321E-3</v>
      </c>
      <c r="BI375" s="11">
        <v>44557</v>
      </c>
      <c r="BJ375" s="715">
        <v>3.4322496224939241E-4</v>
      </c>
      <c r="BK375" s="715">
        <v>4.5209107683711171E-4</v>
      </c>
      <c r="BL375" s="715">
        <v>6.8196518092605233E-4</v>
      </c>
      <c r="BM375" s="715">
        <v>1.5183689177016007E-3</v>
      </c>
      <c r="BN375" s="715">
        <v>3.9647024869764258E-3</v>
      </c>
      <c r="BO375" s="716">
        <v>7.9041813813255004E-3</v>
      </c>
      <c r="BP375" s="715">
        <v>1.3889445298407516E-2</v>
      </c>
      <c r="BQ375" s="715">
        <v>2.1469397155931793E-2</v>
      </c>
      <c r="BR375" s="715">
        <v>3.1507147033670302E-2</v>
      </c>
      <c r="BS375" s="715">
        <v>4.4035907640996887E-2</v>
      </c>
      <c r="BT375" s="715">
        <v>5.8473985891235161E-2</v>
      </c>
      <c r="BW375" s="1188">
        <f>'2019'!R\Max</f>
        <v>0.85506851488905422</v>
      </c>
      <c r="BX375" s="1188">
        <f>'2020'!R\Max</f>
        <v>0.66186586864389596</v>
      </c>
      <c r="BY375" s="1188">
        <f>'2021'!R\Max</f>
        <v>0.40712200596061093</v>
      </c>
      <c r="BZ375" s="1188">
        <f>'2022'!R\Max</f>
        <v>0.28464209975667737</v>
      </c>
      <c r="CA375" s="1188">
        <f>'2023'!R\Max</f>
        <v>0.28455854256775182</v>
      </c>
      <c r="CB375" s="1188">
        <f>'2024'!R\Max</f>
        <v>0.28445276229300775</v>
      </c>
      <c r="CC375" s="1188">
        <f>'2025'!R\Max</f>
        <v>0.28434694248653308</v>
      </c>
      <c r="CD375" s="1188">
        <f>'2026'!R\Max</f>
        <v>0.28483727010124676</v>
      </c>
      <c r="CE375" s="1189">
        <f>'2027'!R\Max</f>
        <v>0.28478335182175091</v>
      </c>
      <c r="CF375" s="1191">
        <f>'2028'!R\Max</f>
        <v>0.28472835478456027</v>
      </c>
    </row>
    <row r="376" spans="1:84" s="6" customFormat="1" ht="11.25" x14ac:dyDescent="0.2">
      <c r="A376" s="11">
        <v>43462</v>
      </c>
      <c r="B376" s="379">
        <f>'2023'!Maxi_hp</f>
        <v>26.954334776843393</v>
      </c>
      <c r="C376" s="13">
        <f>'2023'!An_max</f>
        <v>2022</v>
      </c>
      <c r="D376" s="1045" t="str">
        <f t="shared" si="135"/>
        <v/>
      </c>
      <c r="E376" s="13"/>
      <c r="F376" s="13">
        <f t="shared" si="152"/>
        <v>27</v>
      </c>
      <c r="G376" s="13">
        <f t="shared" si="136"/>
        <v>28</v>
      </c>
      <c r="H376" s="173">
        <f t="shared" si="137"/>
        <v>43458</v>
      </c>
      <c r="I376" s="742">
        <f t="shared" si="138"/>
        <v>0.26666666666666666</v>
      </c>
      <c r="J376" s="735">
        <f t="shared" si="139"/>
        <v>28.093610377609728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38">
        <v>43462</v>
      </c>
      <c r="AP376" s="13">
        <f t="shared" si="140"/>
        <v>15</v>
      </c>
      <c r="AQ376" s="13">
        <f t="shared" si="141"/>
        <v>14</v>
      </c>
      <c r="AR376" s="173">
        <f t="shared" si="142"/>
        <v>43473</v>
      </c>
      <c r="AS376" s="742">
        <f t="shared" si="143"/>
        <v>0.37931034482758619</v>
      </c>
      <c r="AT376" s="758">
        <f t="shared" si="144"/>
        <v>28.255921717912987</v>
      </c>
      <c r="AU376" s="13">
        <f t="shared" si="145"/>
        <v>15</v>
      </c>
      <c r="AV376" s="13">
        <f t="shared" si="146"/>
        <v>14</v>
      </c>
      <c r="AW376" s="173">
        <f t="shared" si="147"/>
        <v>43487</v>
      </c>
      <c r="AX376" s="742">
        <f t="shared" si="148"/>
        <v>0.86206896551724133</v>
      </c>
      <c r="AY376" s="758">
        <f t="shared" si="149"/>
        <v>28.120148003974862</v>
      </c>
      <c r="AZ376" s="735">
        <f t="shared" si="153"/>
        <v>28.188034860943922</v>
      </c>
      <c r="BA376" s="633">
        <f t="shared" si="150"/>
        <v>0.95944716305760669</v>
      </c>
      <c r="BC376" s="11">
        <v>43462</v>
      </c>
      <c r="BD376" s="289">
        <f>[2]!FeuilCaduc*(1-Persistant)+Persistant</f>
        <v>0.50760595638308248</v>
      </c>
      <c r="BE376" s="290">
        <f>[2]!CroissVégét</f>
        <v>0.99999984492411664</v>
      </c>
      <c r="BF376" s="804">
        <f>1+[2]!Salcycl*Ksac</f>
        <v>1.0007605956383083</v>
      </c>
      <c r="BH376" s="1036">
        <f t="shared" si="151"/>
        <v>2.6744032258202276E-3</v>
      </c>
      <c r="BI376" s="11">
        <v>44558</v>
      </c>
      <c r="BJ376" s="715">
        <v>3.4292283823398933E-4</v>
      </c>
      <c r="BK376" s="715">
        <v>4.4802631982563106E-4</v>
      </c>
      <c r="BL376" s="715">
        <v>6.7161905703747471E-4</v>
      </c>
      <c r="BM376" s="715">
        <v>1.489922343720896E-3</v>
      </c>
      <c r="BN376" s="715">
        <v>3.8630963122209248E-3</v>
      </c>
      <c r="BO376" s="716">
        <v>7.7276368664528751E-3</v>
      </c>
      <c r="BP376" s="715">
        <v>1.3690564542308293E-2</v>
      </c>
      <c r="BQ376" s="715">
        <v>2.1296973954860576E-2</v>
      </c>
      <c r="BR376" s="715">
        <v>3.1355903836625836E-2</v>
      </c>
      <c r="BS376" s="715">
        <v>4.3842239531809081E-2</v>
      </c>
      <c r="BT376" s="715">
        <v>5.8222391278553075E-2</v>
      </c>
      <c r="BW376" s="1188">
        <f>'2019'!R\Max</f>
        <v>0.15857167930220581</v>
      </c>
      <c r="BX376" s="1188">
        <f>'2020'!R\Max</f>
        <v>0.22906582206754753</v>
      </c>
      <c r="BY376" s="1188">
        <f>'2021'!R\Max</f>
        <v>0.1765150972812034</v>
      </c>
      <c r="BZ376" s="1188">
        <f>'2022'!R\Max</f>
        <v>0.95944716305760669</v>
      </c>
      <c r="CA376" s="1188">
        <f>'2023'!R\Max</f>
        <v>0.95943098224362477</v>
      </c>
      <c r="CB376" s="1188">
        <f>'2024'!R\Max</f>
        <v>0.9594103367654877</v>
      </c>
      <c r="CC376" s="1188">
        <f>'2025'!R\Max</f>
        <v>0.95938966890041932</v>
      </c>
      <c r="CD376" s="1188">
        <f>'2026'!R\Max</f>
        <v>0.95948458777099099</v>
      </c>
      <c r="CE376" s="1189">
        <f>'2027'!R\Max</f>
        <v>0.95947432457504256</v>
      </c>
      <c r="CF376" s="1191">
        <f>'2028'!R\Max</f>
        <v>0.95946384854734079</v>
      </c>
    </row>
    <row r="377" spans="1:84" s="6" customFormat="1" ht="11.25" x14ac:dyDescent="0.2">
      <c r="A377" s="11">
        <v>43463</v>
      </c>
      <c r="B377" s="379">
        <f>'2023'!Maxi_hp</f>
        <v>26.417584370860784</v>
      </c>
      <c r="C377" s="13">
        <f>'2023'!An_max</f>
        <v>2018</v>
      </c>
      <c r="D377" s="1045" t="str">
        <f t="shared" si="135"/>
        <v/>
      </c>
      <c r="E377" s="13"/>
      <c r="F377" s="13">
        <f t="shared" si="152"/>
        <v>27</v>
      </c>
      <c r="G377" s="13">
        <f t="shared" si="136"/>
        <v>28</v>
      </c>
      <c r="H377" s="173">
        <f t="shared" si="137"/>
        <v>43458</v>
      </c>
      <c r="I377" s="742">
        <f t="shared" si="138"/>
        <v>0.33333333333333331</v>
      </c>
      <c r="J377" s="735">
        <f t="shared" si="139"/>
        <v>28.20124548226595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38">
        <v>43463</v>
      </c>
      <c r="AP377" s="13">
        <f t="shared" si="140"/>
        <v>15</v>
      </c>
      <c r="AQ377" s="13">
        <f t="shared" si="141"/>
        <v>14</v>
      </c>
      <c r="AR377" s="173">
        <f t="shared" si="142"/>
        <v>43473</v>
      </c>
      <c r="AS377" s="742">
        <f t="shared" si="143"/>
        <v>0.34482758620689657</v>
      </c>
      <c r="AT377" s="758">
        <f t="shared" si="144"/>
        <v>28.355632422915818</v>
      </c>
      <c r="AU377" s="13">
        <f t="shared" si="145"/>
        <v>15</v>
      </c>
      <c r="AV377" s="13">
        <f t="shared" si="146"/>
        <v>14</v>
      </c>
      <c r="AW377" s="173">
        <f t="shared" si="147"/>
        <v>43487</v>
      </c>
      <c r="AX377" s="742">
        <f t="shared" si="148"/>
        <v>0.82758620689655171</v>
      </c>
      <c r="AY377" s="758">
        <f t="shared" si="149"/>
        <v>28.239867133056293</v>
      </c>
      <c r="AZ377" s="735">
        <f t="shared" si="153"/>
        <v>28.297749777986056</v>
      </c>
      <c r="BA377" s="633">
        <f t="shared" si="150"/>
        <v>0.9367523993744602</v>
      </c>
      <c r="BC377" s="11">
        <v>43463</v>
      </c>
      <c r="BD377" s="289">
        <f>[2]!FeuilCaduc*(1-Persistant)+Persistant</f>
        <v>0.50708619589358506</v>
      </c>
      <c r="BE377" s="290">
        <f>[2]!CroissVégét</f>
        <v>0.99999984492411664</v>
      </c>
      <c r="BF377" s="804">
        <f>1+[2]!Salcycl*Ksac</f>
        <v>1.0007086195893584</v>
      </c>
      <c r="BH377" s="1036">
        <f t="shared" si="151"/>
        <v>2.6024771732101075E-3</v>
      </c>
      <c r="BI377" s="11">
        <v>44559</v>
      </c>
      <c r="BJ377" s="715">
        <v>3.4217509016706762E-4</v>
      </c>
      <c r="BK377" s="715">
        <v>4.4313374462593433E-4</v>
      </c>
      <c r="BL377" s="715">
        <v>6.5973913503883147E-4</v>
      </c>
      <c r="BM377" s="715">
        <v>1.4579961380155034E-3</v>
      </c>
      <c r="BN377" s="715">
        <v>3.7510281668245837E-3</v>
      </c>
      <c r="BO377" s="716">
        <v>7.5338311270089471E-3</v>
      </c>
      <c r="BP377" s="715">
        <v>1.3469010233411511E-2</v>
      </c>
      <c r="BQ377" s="715">
        <v>2.1098079970193778E-2</v>
      </c>
      <c r="BR377" s="715">
        <v>3.1176383043913142E-2</v>
      </c>
      <c r="BS377" s="715">
        <v>4.361503265864336E-2</v>
      </c>
      <c r="BT377" s="715">
        <v>5.793220273170667E-2</v>
      </c>
      <c r="BW377" s="1188">
        <f>'2019'!R\Max</f>
        <v>0.9367523993744602</v>
      </c>
      <c r="BX377" s="1188">
        <f>'2020'!R\Max</f>
        <v>0.26807683894895562</v>
      </c>
      <c r="BY377" s="1188">
        <f>'2021'!R\Max</f>
        <v>0.15857278006488959</v>
      </c>
      <c r="BZ377" s="1188">
        <f>'2022'!R\Max</f>
        <v>0.42385421472101026</v>
      </c>
      <c r="CA377" s="1188">
        <f>'2023'!R\Max</f>
        <v>0.42375364333525728</v>
      </c>
      <c r="CB377" s="1188">
        <f>'2024'!R\Max</f>
        <v>0.42362440491495151</v>
      </c>
      <c r="CC377" s="1188">
        <f>'2025'!R\Max</f>
        <v>0.42349509853677697</v>
      </c>
      <c r="CD377" s="1188">
        <f>'2026'!R\Max</f>
        <v>0.42408477849591081</v>
      </c>
      <c r="CE377" s="1189">
        <f>'2027'!R\Max</f>
        <v>0.42402200137581358</v>
      </c>
      <c r="CF377" s="1191">
        <f>'2028'!R\Max</f>
        <v>0.4239579140396631</v>
      </c>
    </row>
    <row r="378" spans="1:84" s="6" customFormat="1" ht="11.25" x14ac:dyDescent="0.2">
      <c r="A378" s="11">
        <v>43464</v>
      </c>
      <c r="B378" s="379">
        <f>'2023'!Maxi_hp</f>
        <v>29.01951581106924</v>
      </c>
      <c r="C378" s="13">
        <f>'2023'!An_max</f>
        <v>2018</v>
      </c>
      <c r="D378" s="1045">
        <f t="shared" si="135"/>
        <v>1.0247059675483288</v>
      </c>
      <c r="E378" s="13"/>
      <c r="F378" s="13">
        <f t="shared" si="152"/>
        <v>27</v>
      </c>
      <c r="G378" s="13">
        <f t="shared" si="136"/>
        <v>28</v>
      </c>
      <c r="H378" s="173">
        <f t="shared" si="137"/>
        <v>43458</v>
      </c>
      <c r="I378" s="742">
        <f t="shared" si="138"/>
        <v>0.4</v>
      </c>
      <c r="J378" s="735">
        <f t="shared" si="139"/>
        <v>28.31984659999609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38">
        <v>43464</v>
      </c>
      <c r="AP378" s="13">
        <f t="shared" si="140"/>
        <v>15</v>
      </c>
      <c r="AQ378" s="13">
        <f t="shared" si="141"/>
        <v>14</v>
      </c>
      <c r="AR378" s="173">
        <f t="shared" si="142"/>
        <v>43473</v>
      </c>
      <c r="AS378" s="742">
        <f t="shared" si="143"/>
        <v>0.31034482758620691</v>
      </c>
      <c r="AT378" s="758">
        <f t="shared" si="144"/>
        <v>28.464446392912286</v>
      </c>
      <c r="AU378" s="13">
        <f t="shared" si="145"/>
        <v>15</v>
      </c>
      <c r="AV378" s="13">
        <f t="shared" si="146"/>
        <v>14</v>
      </c>
      <c r="AW378" s="173">
        <f t="shared" si="147"/>
        <v>43487</v>
      </c>
      <c r="AX378" s="742">
        <f t="shared" si="148"/>
        <v>0.7931034482758621</v>
      </c>
      <c r="AY378" s="758">
        <f t="shared" si="149"/>
        <v>28.372193954165642</v>
      </c>
      <c r="AZ378" s="735">
        <f t="shared" si="153"/>
        <v>28.418320173538966</v>
      </c>
      <c r="BA378" s="633">
        <f t="shared" si="150"/>
        <v>1.0247059675483288</v>
      </c>
      <c r="BC378" s="11">
        <v>43464</v>
      </c>
      <c r="BD378" s="289">
        <f>[2]!FeuilCaduc*(1-Persistant)+Persistant</f>
        <v>0.50660144104696869</v>
      </c>
      <c r="BE378" s="290">
        <f>[2]!CroissVégét</f>
        <v>0.99999984492411664</v>
      </c>
      <c r="BF378" s="804">
        <f>1+[2]!Salcycl*Ksac</f>
        <v>1.0006601441046969</v>
      </c>
      <c r="BH378" s="1036">
        <f t="shared" si="151"/>
        <v>2.5235671137752028E-3</v>
      </c>
      <c r="BI378" s="11">
        <v>44560</v>
      </c>
      <c r="BJ378" s="715">
        <v>3.4098022304582254E-4</v>
      </c>
      <c r="BK378" s="715">
        <v>4.3741089001620668E-4</v>
      </c>
      <c r="BL378" s="715">
        <v>6.463211258811106E-4</v>
      </c>
      <c r="BM378" s="715">
        <v>1.4225804081412395E-3</v>
      </c>
      <c r="BN378" s="715">
        <v>3.6284691050058383E-3</v>
      </c>
      <c r="BO378" s="716">
        <v>7.322712433407986E-3</v>
      </c>
      <c r="BP378" s="715">
        <v>1.3224706866207222E-2</v>
      </c>
      <c r="BQ378" s="715">
        <v>2.0872616221856516E-2</v>
      </c>
      <c r="BR378" s="715">
        <v>3.096845817379244E-2</v>
      </c>
      <c r="BS378" s="715">
        <v>4.3354118971931137E-2</v>
      </c>
      <c r="BT378" s="715">
        <v>5.7603205195846954E-2</v>
      </c>
      <c r="BW378" s="1188">
        <f>'2019'!R\Max</f>
        <v>1.0247059675483288</v>
      </c>
      <c r="BX378" s="1188">
        <f>'2020'!R\Max</f>
        <v>0.27752938363754065</v>
      </c>
      <c r="BY378" s="1188">
        <f>'2021'!R\Max</f>
        <v>0.64961184572613517</v>
      </c>
      <c r="BZ378" s="1188">
        <f>'2022'!R\Max</f>
        <v>0.54768317512064713</v>
      </c>
      <c r="CA378" s="1188">
        <f>'2023'!R\Max</f>
        <v>0.54758224011919876</v>
      </c>
      <c r="CB378" s="1188">
        <f>'2024'!R\Max</f>
        <v>0.54745146945320244</v>
      </c>
      <c r="CC378" s="1188">
        <f>'2025'!R\Max</f>
        <v>0.54732061150659328</v>
      </c>
      <c r="CD378" s="1188">
        <f>'2026'!R\Max</f>
        <v>0.54791216438998402</v>
      </c>
      <c r="CE378" s="1189">
        <f>'2027'!R\Max</f>
        <v>0.5478503340333275</v>
      </c>
      <c r="CF378" s="1191">
        <f>'2028'!R\Max</f>
        <v>0.54778717917413522</v>
      </c>
    </row>
    <row r="379" spans="1:84" s="6" customFormat="1" ht="11.25" x14ac:dyDescent="0.2">
      <c r="A379" s="11">
        <v>43465</v>
      </c>
      <c r="B379" s="379">
        <f>'2023'!Maxi_hp</f>
        <v>28.959989458050305</v>
      </c>
      <c r="C379" s="13">
        <f>'2023'!An_max</f>
        <v>2021</v>
      </c>
      <c r="D379" s="1045">
        <f t="shared" si="135"/>
        <v>1.017954431909593</v>
      </c>
      <c r="E379" s="13"/>
      <c r="F379" s="13">
        <f t="shared" si="152"/>
        <v>27</v>
      </c>
      <c r="G379" s="13">
        <f t="shared" si="136"/>
        <v>28</v>
      </c>
      <c r="H379" s="173">
        <f t="shared" si="137"/>
        <v>43458</v>
      </c>
      <c r="I379" s="742">
        <f t="shared" si="138"/>
        <v>0.46666666666666667</v>
      </c>
      <c r="J379" s="735">
        <f t="shared" si="139"/>
        <v>28.44920022964477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38">
        <v>43465</v>
      </c>
      <c r="AP379" s="13">
        <f t="shared" si="140"/>
        <v>15</v>
      </c>
      <c r="AQ379" s="13">
        <f t="shared" si="141"/>
        <v>14</v>
      </c>
      <c r="AR379" s="173">
        <f t="shared" si="142"/>
        <v>43473</v>
      </c>
      <c r="AS379" s="742">
        <f t="shared" si="143"/>
        <v>0.27586206896551724</v>
      </c>
      <c r="AT379" s="758">
        <f t="shared" si="144"/>
        <v>28.582315631673254</v>
      </c>
      <c r="AU379" s="13">
        <f t="shared" si="145"/>
        <v>15</v>
      </c>
      <c r="AV379" s="13">
        <f t="shared" si="146"/>
        <v>14</v>
      </c>
      <c r="AW379" s="173">
        <f t="shared" si="147"/>
        <v>43487</v>
      </c>
      <c r="AX379" s="742">
        <f t="shared" si="148"/>
        <v>0.75862068965517238</v>
      </c>
      <c r="AY379" s="758">
        <f t="shared" si="149"/>
        <v>28.516645882509909</v>
      </c>
      <c r="AZ379" s="735">
        <f t="shared" si="153"/>
        <v>28.54948075709158</v>
      </c>
      <c r="BA379" s="633">
        <f t="shared" si="150"/>
        <v>1.017954431909593</v>
      </c>
      <c r="BC379" s="11">
        <v>43465</v>
      </c>
      <c r="BD379" s="289">
        <f>[2]!FeuilCaduc*(1-Persistant)+Persistant</f>
        <v>0.50614809435719088</v>
      </c>
      <c r="BE379" s="290">
        <f>[2]!CroissVégét</f>
        <v>0.99999984492411664</v>
      </c>
      <c r="BF379" s="804">
        <f>1+[2]!Salcycl*Ksac</f>
        <v>1.000614809435719</v>
      </c>
      <c r="BH379" s="1036">
        <f t="shared" si="151"/>
        <v>2.4376537497012365E-3</v>
      </c>
      <c r="BI379" s="11">
        <v>44561</v>
      </c>
      <c r="BJ379" s="715">
        <v>3.3933670927996644E-4</v>
      </c>
      <c r="BK379" s="715">
        <v>4.3085526984430766E-4</v>
      </c>
      <c r="BL379" s="715">
        <v>6.3136072291387478E-4</v>
      </c>
      <c r="BM379" s="715">
        <v>1.3836652728987237E-3</v>
      </c>
      <c r="BN379" s="715">
        <v>3.4953903788485208E-3</v>
      </c>
      <c r="BO379" s="716">
        <v>7.0942294778283919E-3</v>
      </c>
      <c r="BP379" s="715">
        <v>1.2957579158226202E-2</v>
      </c>
      <c r="BQ379" s="715">
        <v>2.0620483388258785E-2</v>
      </c>
      <c r="BR379" s="715">
        <v>3.0732002062746566E-2</v>
      </c>
      <c r="BS379" s="715">
        <v>4.3059329778132899E-2</v>
      </c>
      <c r="BT379" s="715">
        <v>5.7235183191583133E-2</v>
      </c>
      <c r="BW379" s="1188">
        <f>'2019'!R\Max</f>
        <v>0.76986875344558581</v>
      </c>
      <c r="BX379" s="1188">
        <f>'2020'!R\Max</f>
        <v>0.47275745092346516</v>
      </c>
      <c r="BY379" s="1188">
        <f>'2021'!R\Max</f>
        <v>1.017954431909593</v>
      </c>
      <c r="BZ379" s="1188">
        <f>'2022'!R\Max</f>
        <v>0.51063554101456532</v>
      </c>
      <c r="CA379" s="1188">
        <f>'2023'!R\Max</f>
        <v>0.51053494512017705</v>
      </c>
      <c r="CB379" s="1188">
        <f>'2024'!R\Max</f>
        <v>0.51040350385185362</v>
      </c>
      <c r="CC379" s="1188">
        <f>'2025'!R\Max</f>
        <v>0.51027197857371842</v>
      </c>
      <c r="CD379" s="1188">
        <f>'2026'!R\Max</f>
        <v>0.51086125973961072</v>
      </c>
      <c r="CE379" s="1189">
        <f>'2027'!R\Max</f>
        <v>0.51080086088271326</v>
      </c>
      <c r="CF379" s="1191">
        <f>'2028'!R\Max</f>
        <v>0.51073913582895636</v>
      </c>
    </row>
    <row r="380" spans="1:84" s="6" customFormat="1" ht="12" customHeight="1" thickBot="1" x14ac:dyDescent="0.25">
      <c r="A380" s="11">
        <v>43466</v>
      </c>
      <c r="B380" s="380">
        <f>'2023'!Maxi_hp</f>
        <v>16.432050764210434</v>
      </c>
      <c r="C380" s="14">
        <f>'2023'!An_max</f>
        <v>2020</v>
      </c>
      <c r="D380" s="1046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37">
        <f t="shared" si="137"/>
        <v>43458</v>
      </c>
      <c r="I380" s="738">
        <f t="shared" si="138"/>
        <v>0.53333333333333333</v>
      </c>
      <c r="J380" s="736">
        <f t="shared" si="139"/>
        <v>28.589092873434225</v>
      </c>
      <c r="M380" s="794" t="s">
        <v>240</v>
      </c>
      <c r="N380" s="795">
        <f>$AZ22*10</f>
        <v>299.48177882116931</v>
      </c>
      <c r="O380" s="795">
        <f>$AZ36*10</f>
        <v>337.90643243538216</v>
      </c>
      <c r="P380" s="795">
        <f>$AZ50*10</f>
        <v>387.58843135391362</v>
      </c>
      <c r="Q380" s="795">
        <f>$AZ64*10</f>
        <v>440.54125000024214</v>
      </c>
      <c r="R380" s="795">
        <f>$AZ78*10</f>
        <v>492.09984375210479</v>
      </c>
      <c r="S380" s="795">
        <f>$AZ92*10</f>
        <v>539.96468750527129</v>
      </c>
      <c r="T380" s="795">
        <f>$AZ106*10</f>
        <v>580.10343749634922</v>
      </c>
      <c r="U380" s="795">
        <f>$AZ120*10</f>
        <v>608.08359375223517</v>
      </c>
      <c r="V380" s="795">
        <f>$AZ134*10</f>
        <v>623.78203125111759</v>
      </c>
      <c r="W380" s="795">
        <f>$AZ148*10</f>
        <v>630.61546874791384</v>
      </c>
      <c r="X380" s="795">
        <f>$AZ162*10</f>
        <v>631.44656249880791</v>
      </c>
      <c r="Y380" s="795">
        <f>$AZ176*10</f>
        <v>627.50656250305474</v>
      </c>
      <c r="Z380" s="795">
        <f>$AZ190*10</f>
        <v>619.41109375143424</v>
      </c>
      <c r="AA380" s="795">
        <f>$AZ204*10</f>
        <v>607.96046875044703</v>
      </c>
      <c r="AB380" s="795">
        <f>$AZ218*10</f>
        <v>594.07812499953434</v>
      </c>
      <c r="AC380" s="795">
        <f>$AZ232*10</f>
        <v>578.13343749940395</v>
      </c>
      <c r="AD380" s="795">
        <f>$AZ246*10</f>
        <v>560.00328125245869</v>
      </c>
      <c r="AE380" s="795">
        <f>$AZ260*10</f>
        <v>538.70265625277534</v>
      </c>
      <c r="AF380" s="795">
        <f>$AZ274*10</f>
        <v>511.6459374986589</v>
      </c>
      <c r="AG380" s="795">
        <f>$AZ288*10</f>
        <v>476.21671874728054</v>
      </c>
      <c r="AH380" s="795">
        <f>$AZ302*10</f>
        <v>432.53812500135979</v>
      </c>
      <c r="AI380" s="795">
        <f>$AZ316*10</f>
        <v>384.76562500093132</v>
      </c>
      <c r="AJ380" s="795">
        <f>$AZ330*10</f>
        <v>339.42484375275671</v>
      </c>
      <c r="AK380" s="795">
        <f>$AZ344*10</f>
        <v>302.91761087439954</v>
      </c>
      <c r="AL380" s="795">
        <f>$AZ358*10</f>
        <v>281.08130272850394</v>
      </c>
      <c r="AM380" s="795">
        <f>$AZ372*10</f>
        <v>278.63035702268627</v>
      </c>
      <c r="AO380" s="1038">
        <v>43466</v>
      </c>
      <c r="AP380" s="14">
        <f t="shared" si="140"/>
        <v>15</v>
      </c>
      <c r="AQ380" s="14">
        <f t="shared" si="141"/>
        <v>14</v>
      </c>
      <c r="AR380" s="737">
        <f t="shared" si="142"/>
        <v>43473</v>
      </c>
      <c r="AS380" s="738">
        <f t="shared" si="143"/>
        <v>0.2413793103448276</v>
      </c>
      <c r="AT380" s="759">
        <f t="shared" si="144"/>
        <v>28.709192146874706</v>
      </c>
      <c r="AU380" s="14">
        <f t="shared" si="145"/>
        <v>15</v>
      </c>
      <c r="AV380" s="14">
        <f t="shared" si="146"/>
        <v>14</v>
      </c>
      <c r="AW380" s="737">
        <f t="shared" si="147"/>
        <v>43487</v>
      </c>
      <c r="AX380" s="738">
        <f t="shared" si="148"/>
        <v>0.72413793103448276</v>
      </c>
      <c r="AY380" s="759">
        <f t="shared" si="149"/>
        <v>28.672740346296081</v>
      </c>
      <c r="AZ380" s="736">
        <f t="shared" si="153"/>
        <v>28.690966246585393</v>
      </c>
      <c r="BA380" s="633">
        <f t="shared" si="150"/>
        <v>0.57476642707609482</v>
      </c>
      <c r="BC380" s="11">
        <v>43466</v>
      </c>
      <c r="BD380" s="291">
        <f>[2]!FeuilCaduc*(1-Persistant)+Persistant</f>
        <v>0.50572287428576723</v>
      </c>
      <c r="BE380" s="292">
        <f>[2]!CroissVégét</f>
        <v>0.99999984492411664</v>
      </c>
      <c r="BF380" s="805">
        <f>1+[2]!Salcycl*Ksac</f>
        <v>1.0005722874285767</v>
      </c>
      <c r="BH380" s="1037">
        <f t="shared" si="151"/>
        <v>2.3447180655474659E-3</v>
      </c>
      <c r="BI380" s="11">
        <v>44562</v>
      </c>
      <c r="BJ380" s="810">
        <v>3.3724300024351233E-4</v>
      </c>
      <c r="BK380" s="719">
        <v>4.2346439432266124E-4</v>
      </c>
      <c r="BL380" s="719">
        <v>6.1485364120560625E-4</v>
      </c>
      <c r="BM380" s="719">
        <v>1.3412409514154567E-3</v>
      </c>
      <c r="BN380" s="719">
        <v>3.3517637055040348E-3</v>
      </c>
      <c r="BO380" s="720">
        <v>6.8483318155271268E-3</v>
      </c>
      <c r="BP380" s="719">
        <v>1.2667552632118542E-2</v>
      </c>
      <c r="BQ380" s="719">
        <v>2.0341582489658092E-2</v>
      </c>
      <c r="BR380" s="719">
        <v>3.0466887600290538E-2</v>
      </c>
      <c r="BS380" s="719">
        <v>4.2730496614132495E-2</v>
      </c>
      <c r="BT380" s="719">
        <v>5.6827921824269059E-2</v>
      </c>
      <c r="BW380" s="1192">
        <f>'2019'!R\Max</f>
        <v>0</v>
      </c>
      <c r="BX380" s="1192">
        <f>'2020'!R\Max</f>
        <v>0.57476642707609482</v>
      </c>
      <c r="BY380" s="1192">
        <f>'2021'!R\Max</f>
        <v>0</v>
      </c>
      <c r="BZ380" s="1192">
        <f>'2022'!R\Max</f>
        <v>0</v>
      </c>
      <c r="CA380" s="1192">
        <f>'2023'!R\Max</f>
        <v>0</v>
      </c>
      <c r="CB380" s="1192">
        <f>'2024'!R\Max</f>
        <v>0.65756936967971436</v>
      </c>
      <c r="CC380" s="1192">
        <f>'2025'!R\Max</f>
        <v>0</v>
      </c>
      <c r="CD380" s="1192">
        <f>'2026'!R\Max</f>
        <v>0</v>
      </c>
      <c r="CE380" s="1193">
        <f>'2027'!R\Max</f>
        <v>0</v>
      </c>
      <c r="CF380" s="1194">
        <f>'2028'!R\Max</f>
        <v>0.65789802968787192</v>
      </c>
    </row>
    <row r="381" spans="1:84" ht="12" customHeight="1" x14ac:dyDescent="0.25">
      <c r="B381" s="625" t="s">
        <v>362</v>
      </c>
      <c r="M381" s="136" t="s">
        <v>241</v>
      </c>
      <c r="N381" s="796">
        <f t="shared" ref="N381:AM381" si="154">1-N3/N380*Ajust_M</f>
        <v>3.428518506905287E-3</v>
      </c>
      <c r="O381" s="796">
        <f t="shared" si="154"/>
        <v>1.5220910419333489E-4</v>
      </c>
      <c r="P381" s="796">
        <f t="shared" si="154"/>
        <v>-1.2940753787060721E-3</v>
      </c>
      <c r="Q381" s="796">
        <f t="shared" si="154"/>
        <v>-1.6769144768109534E-3</v>
      </c>
      <c r="R381" s="796">
        <f t="shared" si="154"/>
        <v>1.1884656325951148E-3</v>
      </c>
      <c r="S381" s="796">
        <f t="shared" si="154"/>
        <v>3.420362656021414E-4</v>
      </c>
      <c r="T381" s="796">
        <f t="shared" si="154"/>
        <v>-1.8040963662748766E-3</v>
      </c>
      <c r="U381" s="796">
        <f t="shared" si="154"/>
        <v>-1.0630220160621207E-3</v>
      </c>
      <c r="V381" s="796">
        <f t="shared" si="154"/>
        <v>4.4411547181311128E-4</v>
      </c>
      <c r="W381" s="796">
        <f t="shared" si="154"/>
        <v>3.4168008650603543E-4</v>
      </c>
      <c r="X381" s="796">
        <f t="shared" si="154"/>
        <v>9.749439218453837E-5</v>
      </c>
      <c r="Y381" s="796">
        <f t="shared" si="154"/>
        <v>9.8106548574006247E-5</v>
      </c>
      <c r="Z381" s="796">
        <f t="shared" si="154"/>
        <v>-2.484718955122478E-4</v>
      </c>
      <c r="AA381" s="796">
        <f t="shared" si="154"/>
        <v>3.5441243554845681E-4</v>
      </c>
      <c r="AB381" s="796">
        <f t="shared" si="154"/>
        <v>2.0725388522679911E-4</v>
      </c>
      <c r="AC381" s="796">
        <f t="shared" si="154"/>
        <v>-1.0648493341314236E-4</v>
      </c>
      <c r="AD381" s="796">
        <f t="shared" si="154"/>
        <v>9.3442533280940765E-4</v>
      </c>
      <c r="AE381" s="796">
        <f t="shared" si="154"/>
        <v>-1.714187709171977E-4</v>
      </c>
      <c r="AF381" s="796">
        <f t="shared" si="154"/>
        <v>-1.0829021804605876E-3</v>
      </c>
      <c r="AG381" s="796">
        <f t="shared" si="154"/>
        <v>-1.0988300748784319E-3</v>
      </c>
      <c r="AH381" s="796">
        <f t="shared" si="154"/>
        <v>-1.9925989151534651E-3</v>
      </c>
      <c r="AI381" s="796">
        <f t="shared" si="154"/>
        <v>1.6000000024165573E-3</v>
      </c>
      <c r="AJ381" s="796">
        <f t="shared" si="154"/>
        <v>-1.1789244500168827E-3</v>
      </c>
      <c r="AK381" s="796">
        <f t="shared" si="154"/>
        <v>1.7252574813693133E-3</v>
      </c>
      <c r="AL381" s="796">
        <f t="shared" si="154"/>
        <v>1.2676144768265507E-3</v>
      </c>
      <c r="AM381" s="796">
        <f t="shared" si="154"/>
        <v>3.0878079182743434E-3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9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63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8" priority="24" stopIfTrue="1" operator="lessThan">
      <formula>0.01</formula>
    </cfRule>
    <cfRule type="cellIs" dxfId="37" priority="25" stopIfTrue="1" operator="greaterThan">
      <formula>0.05</formula>
    </cfRule>
  </conditionalFormatting>
  <conditionalFormatting sqref="A9:J9 A7:E7 G7:J7">
    <cfRule type="cellIs" dxfId="36" priority="54" stopIfTrue="1" operator="lessThan">
      <formula>0.01</formula>
    </cfRule>
    <cfRule type="cellIs" dxfId="35" priority="55" stopIfTrue="1" operator="greaterThan">
      <formula>0.05</formula>
    </cfRule>
  </conditionalFormatting>
  <conditionalFormatting sqref="N381:AM381">
    <cfRule type="cellIs" dxfId="34" priority="5" stopIfTrue="1" operator="notBetween">
      <formula>-0.01</formula>
      <formula>0.01</formula>
    </cfRule>
  </conditionalFormatting>
  <conditionalFormatting sqref="F7">
    <cfRule type="cellIs" dxfId="33" priority="1" stopIfTrue="1" operator="lessThan">
      <formula>0.01</formula>
    </cfRule>
    <cfRule type="cellIs" dxfId="32" priority="2" stopIfTrue="1" operator="greaterThan">
      <formula>0.05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tabSelected="1" zoomScaleNormal="100" workbookViewId="0">
      <pane ySplit="7" topLeftCell="A17" activePane="bottomLeft" state="frozen"/>
      <selection activeCell="B15" sqref="B15:B380"/>
      <selection pane="bottomLeft" activeCell="A24" sqref="A24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6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72" t="s">
        <v>24</v>
      </c>
      <c r="I1" s="1272"/>
      <c r="J1" s="1272"/>
      <c r="K1" s="1272"/>
      <c r="L1" s="15"/>
      <c r="M1" s="34"/>
      <c r="N1" s="537"/>
      <c r="O1" s="538"/>
      <c r="P1" s="539" t="s">
        <v>4</v>
      </c>
      <c r="Q1" s="417">
        <v>7.0000000000000001E-3</v>
      </c>
      <c r="R1" s="540"/>
      <c r="S1" s="541" t="s">
        <v>105</v>
      </c>
      <c r="T1" s="808">
        <f>PertePVan/365.25</f>
        <v>1.9164955509924711E-5</v>
      </c>
      <c r="U1" s="538"/>
      <c r="V1" s="542"/>
      <c r="W1" s="208"/>
      <c r="X1" s="543"/>
      <c r="Y1" s="535" t="s">
        <v>164</v>
      </c>
      <c r="Z1" s="1270">
        <v>0.12</v>
      </c>
      <c r="AA1" s="1271"/>
      <c r="AB1" s="619"/>
      <c r="AC1" s="620"/>
      <c r="AE1" s="535" t="s">
        <v>244</v>
      </c>
      <c r="AF1" s="806">
        <v>0.05</v>
      </c>
      <c r="AG1" s="538"/>
      <c r="AH1" s="208"/>
      <c r="AI1" s="208"/>
      <c r="AJ1" s="208"/>
      <c r="AK1" s="208"/>
      <c r="AL1" s="535" t="s">
        <v>123</v>
      </c>
      <c r="AM1" s="637">
        <v>0.6</v>
      </c>
      <c r="AN1" s="618"/>
      <c r="AO1" s="208"/>
      <c r="AP1" s="208"/>
      <c r="AQ1" s="208"/>
      <c r="AR1" s="535" t="s">
        <v>104</v>
      </c>
      <c r="AS1" s="367">
        <v>0.5</v>
      </c>
      <c r="AT1" s="638" t="s">
        <v>54</v>
      </c>
      <c r="AU1" s="536"/>
    </row>
    <row r="2" spans="1:78" s="532" customFormat="1" ht="18" customHeight="1" thickBot="1" x14ac:dyDescent="0.35">
      <c r="A2" s="83" t="s">
        <v>132</v>
      </c>
      <c r="B2" s="1220" t="str">
        <f>Station</f>
        <v>Esp. Berjean Escalquens</v>
      </c>
      <c r="C2" s="1221"/>
      <c r="D2" s="1221"/>
      <c r="E2" s="1221"/>
      <c r="F2" s="1222"/>
      <c r="G2" s="807" t="s">
        <v>245</v>
      </c>
      <c r="K2" s="81"/>
      <c r="L2" s="533"/>
      <c r="M2" s="38"/>
      <c r="U2" s="35"/>
      <c r="V2" s="35"/>
      <c r="W2" s="35">
        <f>+U5/Recap!L38</f>
        <v>8.3629426547456906E-2</v>
      </c>
      <c r="X2" s="534"/>
      <c r="AA2" s="536"/>
      <c r="AB2" s="536"/>
      <c r="AC2" s="536"/>
      <c r="AD2" s="536"/>
      <c r="AE2" s="535" t="s">
        <v>165</v>
      </c>
      <c r="AF2" s="643">
        <v>3</v>
      </c>
      <c r="AG2" s="644">
        <f>+Tau_i*365</f>
        <v>1095</v>
      </c>
      <c r="AH2" s="542"/>
      <c r="AI2" s="239"/>
      <c r="AJ2" s="543"/>
      <c r="AL2" s="635" t="s">
        <v>195</v>
      </c>
      <c r="AM2" s="1267">
        <v>0.5</v>
      </c>
      <c r="AN2" s="1268"/>
      <c r="AS2" s="209" t="s">
        <v>124</v>
      </c>
      <c r="AT2" s="639">
        <f>H_i</f>
        <v>-1.5008874621829826</v>
      </c>
      <c r="AU2" s="636"/>
      <c r="AY2" s="646"/>
      <c r="AZ2" s="646"/>
      <c r="BB2" s="534"/>
      <c r="BE2" s="31"/>
      <c r="BF2" s="29"/>
      <c r="BH2" s="534"/>
      <c r="BI2" s="534"/>
      <c r="BJ2" s="534"/>
      <c r="BK2" s="70"/>
      <c r="BL2" s="70"/>
      <c r="BM2" s="534"/>
      <c r="BN2" s="534"/>
      <c r="BO2" s="534"/>
      <c r="BP2" s="534"/>
      <c r="BQ2" s="70"/>
      <c r="BR2" s="70"/>
      <c r="BS2" s="534"/>
      <c r="BT2" s="534"/>
      <c r="BU2" s="534"/>
      <c r="BW2" s="31"/>
      <c r="BX2" s="29"/>
      <c r="BZ2" s="534"/>
    </row>
    <row r="3" spans="1:78" s="80" customFormat="1" ht="12.75" customHeight="1" x14ac:dyDescent="0.25">
      <c r="A3" s="1264">
        <f>'2019'!An</f>
        <v>2019</v>
      </c>
      <c r="B3" s="1265"/>
      <c r="C3" s="1265"/>
      <c r="D3" s="1265"/>
      <c r="E3" s="1265"/>
      <c r="F3" s="1266"/>
      <c r="G3" s="1264">
        <f>'2020'!An</f>
        <v>2020</v>
      </c>
      <c r="H3" s="1265"/>
      <c r="I3" s="1265"/>
      <c r="J3" s="1265"/>
      <c r="K3" s="1265"/>
      <c r="L3" s="1266"/>
      <c r="M3" s="1264">
        <f>'2021'!An</f>
        <v>2021</v>
      </c>
      <c r="N3" s="1265"/>
      <c r="O3" s="1265"/>
      <c r="P3" s="1265"/>
      <c r="Q3" s="1265"/>
      <c r="R3" s="1266"/>
      <c r="S3" s="1264">
        <f>'2022'!An</f>
        <v>2022</v>
      </c>
      <c r="T3" s="1265"/>
      <c r="U3" s="1265"/>
      <c r="V3" s="1265"/>
      <c r="W3" s="1265"/>
      <c r="X3" s="1266"/>
      <c r="Y3" s="1264">
        <f>'2023'!An</f>
        <v>2023</v>
      </c>
      <c r="Z3" s="1265"/>
      <c r="AA3" s="1265"/>
      <c r="AB3" s="1265"/>
      <c r="AC3" s="1265"/>
      <c r="AD3" s="1266"/>
      <c r="AE3" s="1264">
        <f>'2024'!An</f>
        <v>2024</v>
      </c>
      <c r="AF3" s="1265"/>
      <c r="AG3" s="1265"/>
      <c r="AH3" s="1265"/>
      <c r="AI3" s="1265"/>
      <c r="AJ3" s="1266"/>
      <c r="AK3" s="1264">
        <f>'2025'!An</f>
        <v>2025</v>
      </c>
      <c r="AL3" s="1265"/>
      <c r="AM3" s="1269"/>
      <c r="AN3" s="1269"/>
      <c r="AO3" s="1265"/>
      <c r="AP3" s="1266"/>
      <c r="AQ3" s="1264">
        <f>'2026'!An</f>
        <v>2026</v>
      </c>
      <c r="AR3" s="1265"/>
      <c r="AS3" s="1265"/>
      <c r="AT3" s="1265"/>
      <c r="AU3" s="1265"/>
      <c r="AV3" s="1266"/>
      <c r="AW3" s="1264">
        <f>'2027'!An</f>
        <v>2027</v>
      </c>
      <c r="AX3" s="1265"/>
      <c r="AY3" s="1265"/>
      <c r="AZ3" s="1265"/>
      <c r="BA3" s="1265"/>
      <c r="BB3" s="1266"/>
      <c r="BC3" s="1264">
        <f>'2028'!An</f>
        <v>2028</v>
      </c>
      <c r="BD3" s="1265"/>
      <c r="BE3" s="1265"/>
      <c r="BF3" s="1265"/>
      <c r="BG3" s="1265"/>
      <c r="BH3" s="1266"/>
      <c r="BI3" s="1260" t="e">
        <v>#NAME?</v>
      </c>
      <c r="BJ3" s="1261"/>
      <c r="BK3" s="1261"/>
      <c r="BL3" s="1261"/>
      <c r="BM3" s="1261"/>
      <c r="BN3" s="1262"/>
      <c r="BO3" s="1260" t="e">
        <v>#NAME?</v>
      </c>
      <c r="BP3" s="1261"/>
      <c r="BQ3" s="1261"/>
      <c r="BR3" s="1261"/>
      <c r="BS3" s="1261"/>
      <c r="BT3" s="1262"/>
      <c r="BU3" s="1260" t="e">
        <v>#NAME?</v>
      </c>
      <c r="BV3" s="1261"/>
      <c r="BW3" s="1261"/>
      <c r="BX3" s="1261"/>
      <c r="BY3" s="1261"/>
      <c r="BZ3" s="1262"/>
    </row>
    <row r="4" spans="1:78" s="426" customFormat="1" ht="15" customHeight="1" x14ac:dyDescent="0.25">
      <c r="A4" s="213" t="s">
        <v>77</v>
      </c>
      <c r="B4" s="440" t="s">
        <v>135</v>
      </c>
      <c r="C4" s="441" t="s">
        <v>135</v>
      </c>
      <c r="D4" s="442" t="s">
        <v>80</v>
      </c>
      <c r="E4" s="575" t="s">
        <v>80</v>
      </c>
      <c r="F4" s="430"/>
      <c r="G4" s="357" t="s">
        <v>92</v>
      </c>
      <c r="H4" s="440" t="s">
        <v>135</v>
      </c>
      <c r="I4" s="441" t="s">
        <v>135</v>
      </c>
      <c r="J4" s="442" t="s">
        <v>80</v>
      </c>
      <c r="K4" s="575" t="s">
        <v>80</v>
      </c>
      <c r="L4" s="430"/>
      <c r="M4" s="357" t="s">
        <v>92</v>
      </c>
      <c r="N4" s="440" t="s">
        <v>135</v>
      </c>
      <c r="O4" s="441" t="s">
        <v>135</v>
      </c>
      <c r="P4" s="442" t="s">
        <v>80</v>
      </c>
      <c r="Q4" s="575" t="s">
        <v>80</v>
      </c>
      <c r="R4" s="430"/>
      <c r="S4" s="357" t="s">
        <v>92</v>
      </c>
      <c r="T4" s="440" t="s">
        <v>135</v>
      </c>
      <c r="U4" s="441" t="s">
        <v>135</v>
      </c>
      <c r="V4" s="442" t="s">
        <v>80</v>
      </c>
      <c r="W4" s="575" t="s">
        <v>80</v>
      </c>
      <c r="X4" s="430"/>
      <c r="Y4" s="357" t="s">
        <v>92</v>
      </c>
      <c r="Z4" s="440" t="s">
        <v>135</v>
      </c>
      <c r="AA4" s="441" t="s">
        <v>135</v>
      </c>
      <c r="AB4" s="442" t="s">
        <v>80</v>
      </c>
      <c r="AC4" s="575" t="s">
        <v>80</v>
      </c>
      <c r="AD4" s="430"/>
      <c r="AE4" s="357" t="s">
        <v>92</v>
      </c>
      <c r="AF4" s="440" t="s">
        <v>135</v>
      </c>
      <c r="AG4" s="441" t="s">
        <v>135</v>
      </c>
      <c r="AH4" s="442" t="s">
        <v>80</v>
      </c>
      <c r="AI4" s="575" t="s">
        <v>80</v>
      </c>
      <c r="AJ4" s="430"/>
      <c r="AK4" s="357" t="s">
        <v>92</v>
      </c>
      <c r="AL4" s="440" t="s">
        <v>135</v>
      </c>
      <c r="AM4" s="441" t="s">
        <v>135</v>
      </c>
      <c r="AN4" s="442" t="s">
        <v>80</v>
      </c>
      <c r="AO4" s="575" t="s">
        <v>80</v>
      </c>
      <c r="AP4" s="430"/>
      <c r="AQ4" s="357" t="s">
        <v>92</v>
      </c>
      <c r="AR4" s="440" t="s">
        <v>135</v>
      </c>
      <c r="AS4" s="441" t="s">
        <v>135</v>
      </c>
      <c r="AT4" s="442" t="s">
        <v>80</v>
      </c>
      <c r="AU4" s="575" t="s">
        <v>80</v>
      </c>
      <c r="AV4" s="430"/>
      <c r="AW4" s="357" t="s">
        <v>92</v>
      </c>
      <c r="AX4" s="440" t="s">
        <v>135</v>
      </c>
      <c r="AY4" s="441" t="s">
        <v>135</v>
      </c>
      <c r="AZ4" s="442" t="s">
        <v>80</v>
      </c>
      <c r="BA4" s="575" t="s">
        <v>80</v>
      </c>
      <c r="BB4" s="430"/>
      <c r="BC4" s="357" t="s">
        <v>92</v>
      </c>
      <c r="BD4" s="440" t="s">
        <v>135</v>
      </c>
      <c r="BE4" s="441" t="s">
        <v>135</v>
      </c>
      <c r="BF4" s="442" t="s">
        <v>80</v>
      </c>
      <c r="BG4" s="575" t="s">
        <v>80</v>
      </c>
      <c r="BH4" s="430"/>
      <c r="BI4" s="357" t="s">
        <v>92</v>
      </c>
      <c r="BJ4" s="440" t="s">
        <v>135</v>
      </c>
      <c r="BK4" s="441" t="s">
        <v>135</v>
      </c>
      <c r="BL4" s="442" t="s">
        <v>80</v>
      </c>
      <c r="BM4" s="575" t="s">
        <v>80</v>
      </c>
      <c r="BN4" s="430"/>
      <c r="BO4" s="357" t="s">
        <v>92</v>
      </c>
      <c r="BP4" s="440" t="s">
        <v>135</v>
      </c>
      <c r="BQ4" s="441" t="s">
        <v>135</v>
      </c>
      <c r="BR4" s="442" t="s">
        <v>80</v>
      </c>
      <c r="BS4" s="575" t="s">
        <v>80</v>
      </c>
      <c r="BT4" s="430"/>
      <c r="BU4" s="357" t="s">
        <v>92</v>
      </c>
      <c r="BV4" s="440" t="s">
        <v>135</v>
      </c>
      <c r="BW4" s="441" t="s">
        <v>135</v>
      </c>
      <c r="BX4" s="442" t="s">
        <v>80</v>
      </c>
      <c r="BY4" s="575" t="s">
        <v>80</v>
      </c>
      <c r="BZ4" s="430"/>
    </row>
    <row r="5" spans="1:78" s="426" customFormat="1" ht="15" customHeight="1" x14ac:dyDescent="0.25">
      <c r="A5" s="213" t="s">
        <v>16</v>
      </c>
      <c r="B5" s="431" t="s">
        <v>135</v>
      </c>
      <c r="C5" s="437" t="s">
        <v>135</v>
      </c>
      <c r="D5" s="438" t="s">
        <v>135</v>
      </c>
      <c r="E5" s="439" t="s">
        <v>135</v>
      </c>
      <c r="F5" s="187"/>
      <c r="G5" s="357" t="s">
        <v>93</v>
      </c>
      <c r="H5" s="431">
        <v>43831</v>
      </c>
      <c r="I5" s="437" t="s">
        <v>341</v>
      </c>
      <c r="J5" s="438">
        <v>0.1</v>
      </c>
      <c r="K5" s="439" t="s">
        <v>135</v>
      </c>
      <c r="L5" s="187"/>
      <c r="M5" s="357" t="s">
        <v>93</v>
      </c>
      <c r="N5" s="431">
        <v>44228</v>
      </c>
      <c r="O5" s="437" t="s">
        <v>341</v>
      </c>
      <c r="P5" s="1152">
        <v>0.15</v>
      </c>
      <c r="Q5" s="1153">
        <v>1.2</v>
      </c>
      <c r="R5" s="187"/>
      <c r="S5" s="357" t="s">
        <v>93</v>
      </c>
      <c r="T5" s="431">
        <v>44683</v>
      </c>
      <c r="U5" s="437">
        <v>8.9999999999999993E-3</v>
      </c>
      <c r="V5" s="438">
        <v>0.1</v>
      </c>
      <c r="W5" s="439">
        <f>Tau_i</f>
        <v>3</v>
      </c>
      <c r="X5" s="187"/>
      <c r="Y5" s="357" t="s">
        <v>93</v>
      </c>
      <c r="Z5" s="431">
        <v>45046</v>
      </c>
      <c r="AA5" s="437" t="s">
        <v>135</v>
      </c>
      <c r="AB5" s="438">
        <f>AVERAGE(V10,P10,J10)</f>
        <v>0.11666666666666665</v>
      </c>
      <c r="AC5" s="439">
        <f>AVERAGE(W10,Q10,K10)</f>
        <v>2.4</v>
      </c>
      <c r="AD5" s="187"/>
      <c r="AE5" s="357" t="s">
        <v>93</v>
      </c>
      <c r="AF5" s="431" t="s">
        <v>135</v>
      </c>
      <c r="AG5" s="437" t="s">
        <v>135</v>
      </c>
      <c r="AH5" s="438" t="s">
        <v>135</v>
      </c>
      <c r="AI5" s="439" t="s">
        <v>135</v>
      </c>
      <c r="AJ5" s="187"/>
      <c r="AK5" s="357" t="s">
        <v>93</v>
      </c>
      <c r="AL5" s="431" t="s">
        <v>135</v>
      </c>
      <c r="AM5" s="437" t="s">
        <v>135</v>
      </c>
      <c r="AN5" s="438" t="s">
        <v>135</v>
      </c>
      <c r="AO5" s="439" t="s">
        <v>135</v>
      </c>
      <c r="AP5" s="187"/>
      <c r="AQ5" s="357" t="s">
        <v>93</v>
      </c>
      <c r="AR5" s="431" t="s">
        <v>135</v>
      </c>
      <c r="AS5" s="437" t="s">
        <v>135</v>
      </c>
      <c r="AT5" s="438" t="s">
        <v>135</v>
      </c>
      <c r="AU5" s="439" t="s">
        <v>135</v>
      </c>
      <c r="AV5" s="187"/>
      <c r="AW5" s="357" t="s">
        <v>93</v>
      </c>
      <c r="AX5" s="431" t="s">
        <v>135</v>
      </c>
      <c r="AY5" s="437" t="s">
        <v>135</v>
      </c>
      <c r="AZ5" s="438" t="s">
        <v>135</v>
      </c>
      <c r="BA5" s="439" t="s">
        <v>135</v>
      </c>
      <c r="BB5" s="187"/>
      <c r="BC5" s="357" t="s">
        <v>93</v>
      </c>
      <c r="BD5" s="431" t="s">
        <v>135</v>
      </c>
      <c r="BE5" s="437" t="s">
        <v>135</v>
      </c>
      <c r="BF5" s="438" t="s">
        <v>135</v>
      </c>
      <c r="BG5" s="439" t="s">
        <v>135</v>
      </c>
      <c r="BH5" s="187"/>
      <c r="BI5" s="357" t="s">
        <v>93</v>
      </c>
      <c r="BJ5" s="431" t="s">
        <v>135</v>
      </c>
      <c r="BK5" s="437" t="s">
        <v>135</v>
      </c>
      <c r="BL5" s="438" t="s">
        <v>135</v>
      </c>
      <c r="BM5" s="439" t="s">
        <v>135</v>
      </c>
      <c r="BN5" s="187"/>
      <c r="BO5" s="357" t="s">
        <v>93</v>
      </c>
      <c r="BP5" s="431" t="s">
        <v>135</v>
      </c>
      <c r="BQ5" s="437" t="s">
        <v>135</v>
      </c>
      <c r="BR5" s="438" t="s">
        <v>135</v>
      </c>
      <c r="BS5" s="439" t="s">
        <v>135</v>
      </c>
      <c r="BT5" s="187"/>
      <c r="BU5" s="357" t="s">
        <v>93</v>
      </c>
      <c r="BV5" s="431" t="s">
        <v>135</v>
      </c>
      <c r="BW5" s="437" t="s">
        <v>135</v>
      </c>
      <c r="BX5" s="438" t="s">
        <v>135</v>
      </c>
      <c r="BY5" s="439" t="s">
        <v>135</v>
      </c>
      <c r="BZ5" s="187"/>
    </row>
    <row r="6" spans="1:78" s="426" customFormat="1" ht="15" customHeight="1" x14ac:dyDescent="0.25">
      <c r="A6" s="213" t="s">
        <v>18</v>
      </c>
      <c r="B6" s="418" t="s">
        <v>135</v>
      </c>
      <c r="C6" s="432" t="s">
        <v>135</v>
      </c>
      <c r="D6" s="1259" t="s">
        <v>135</v>
      </c>
      <c r="E6" s="1259"/>
      <c r="F6" s="188"/>
      <c r="G6" s="357" t="s">
        <v>94</v>
      </c>
      <c r="H6" s="418" t="s">
        <v>135</v>
      </c>
      <c r="I6" s="432" t="s">
        <v>135</v>
      </c>
      <c r="J6" s="1259" t="s">
        <v>135</v>
      </c>
      <c r="K6" s="1259"/>
      <c r="L6" s="188"/>
      <c r="M6" s="357" t="s">
        <v>94</v>
      </c>
      <c r="N6" s="418" t="s">
        <v>135</v>
      </c>
      <c r="O6" s="432" t="s">
        <v>135</v>
      </c>
      <c r="P6" s="1259" t="s">
        <v>135</v>
      </c>
      <c r="Q6" s="1259"/>
      <c r="R6" s="188"/>
      <c r="S6" s="357" t="s">
        <v>94</v>
      </c>
      <c r="T6" s="418" t="s">
        <v>135</v>
      </c>
      <c r="U6" s="432" t="s">
        <v>135</v>
      </c>
      <c r="V6" s="1259" t="s">
        <v>135</v>
      </c>
      <c r="W6" s="1259"/>
      <c r="X6" s="188"/>
      <c r="Y6" s="357" t="s">
        <v>94</v>
      </c>
      <c r="Z6" s="418" t="s">
        <v>135</v>
      </c>
      <c r="AA6" s="432" t="s">
        <v>135</v>
      </c>
      <c r="AB6" s="1259" t="s">
        <v>135</v>
      </c>
      <c r="AC6" s="1259"/>
      <c r="AD6" s="188"/>
      <c r="AE6" s="357" t="s">
        <v>94</v>
      </c>
      <c r="AF6" s="418" t="s">
        <v>135</v>
      </c>
      <c r="AG6" s="432" t="s">
        <v>135</v>
      </c>
      <c r="AH6" s="1259" t="s">
        <v>135</v>
      </c>
      <c r="AI6" s="1259"/>
      <c r="AJ6" s="188"/>
      <c r="AK6" s="357" t="s">
        <v>94</v>
      </c>
      <c r="AL6" s="418" t="s">
        <v>135</v>
      </c>
      <c r="AM6" s="432" t="s">
        <v>135</v>
      </c>
      <c r="AN6" s="1259" t="s">
        <v>135</v>
      </c>
      <c r="AO6" s="1259"/>
      <c r="AP6" s="188"/>
      <c r="AQ6" s="357" t="s">
        <v>94</v>
      </c>
      <c r="AR6" s="418" t="s">
        <v>135</v>
      </c>
      <c r="AS6" s="432" t="s">
        <v>135</v>
      </c>
      <c r="AT6" s="1259" t="s">
        <v>135</v>
      </c>
      <c r="AU6" s="1259"/>
      <c r="AV6" s="188"/>
      <c r="AW6" s="357" t="s">
        <v>94</v>
      </c>
      <c r="AX6" s="418" t="s">
        <v>135</v>
      </c>
      <c r="AY6" s="432" t="s">
        <v>135</v>
      </c>
      <c r="AZ6" s="1259" t="s">
        <v>135</v>
      </c>
      <c r="BA6" s="1259"/>
      <c r="BB6" s="188"/>
      <c r="BC6" s="357" t="s">
        <v>94</v>
      </c>
      <c r="BD6" s="418" t="s">
        <v>135</v>
      </c>
      <c r="BE6" s="432" t="s">
        <v>135</v>
      </c>
      <c r="BF6" s="1259" t="s">
        <v>135</v>
      </c>
      <c r="BG6" s="1259"/>
      <c r="BH6" s="188"/>
      <c r="BI6" s="357" t="s">
        <v>94</v>
      </c>
      <c r="BJ6" s="418" t="s">
        <v>135</v>
      </c>
      <c r="BK6" s="432" t="s">
        <v>135</v>
      </c>
      <c r="BL6" s="1259" t="s">
        <v>135</v>
      </c>
      <c r="BM6" s="1259"/>
      <c r="BN6" s="188"/>
      <c r="BO6" s="357" t="s">
        <v>94</v>
      </c>
      <c r="BP6" s="418" t="s">
        <v>135</v>
      </c>
      <c r="BQ6" s="432" t="s">
        <v>135</v>
      </c>
      <c r="BR6" s="1259" t="s">
        <v>135</v>
      </c>
      <c r="BS6" s="1259"/>
      <c r="BT6" s="188"/>
      <c r="BU6" s="357" t="s">
        <v>94</v>
      </c>
      <c r="BV6" s="418" t="s">
        <v>135</v>
      </c>
      <c r="BW6" s="432" t="s">
        <v>135</v>
      </c>
      <c r="BX6" s="1259" t="s">
        <v>135</v>
      </c>
      <c r="BY6" s="1259"/>
      <c r="BZ6" s="188"/>
    </row>
    <row r="7" spans="1:78" ht="15.75" x14ac:dyDescent="0.25">
      <c r="A7" s="816" t="s">
        <v>250</v>
      </c>
      <c r="B7" s="429"/>
      <c r="C7" s="429"/>
      <c r="D7" s="220"/>
      <c r="E7" s="1257">
        <f>'2019'!Dépas_env</f>
        <v>4.6252475330259335E-2</v>
      </c>
      <c r="F7" s="1258"/>
      <c r="G7" s="816" t="s">
        <v>249</v>
      </c>
      <c r="H7" s="429"/>
      <c r="I7" s="429"/>
      <c r="J7" s="220"/>
      <c r="K7" s="1257">
        <f>'2020'!Dépas_env</f>
        <v>4.6561616092291702E-2</v>
      </c>
      <c r="L7" s="1258"/>
      <c r="M7" s="816" t="s">
        <v>249</v>
      </c>
      <c r="N7" s="429"/>
      <c r="O7" s="429"/>
      <c r="P7" s="220"/>
      <c r="Q7" s="1257">
        <f>'2021'!Dépas_env</f>
        <v>4.5847553040853306E-2</v>
      </c>
      <c r="R7" s="1258"/>
      <c r="S7" s="816" t="s">
        <v>249</v>
      </c>
      <c r="T7" s="429"/>
      <c r="U7" s="429"/>
      <c r="V7" s="220"/>
      <c r="W7" s="1257">
        <f>'2022'!Dépas_env</f>
        <v>4.7879837042308138E-2</v>
      </c>
      <c r="X7" s="1258"/>
      <c r="Y7" s="816" t="s">
        <v>249</v>
      </c>
      <c r="Z7" s="429"/>
      <c r="AA7" s="429"/>
      <c r="AB7" s="220"/>
      <c r="AC7" s="1257">
        <f>'2023'!Dépas_env</f>
        <v>4.7879837042308138E-2</v>
      </c>
      <c r="AD7" s="1258"/>
      <c r="AE7" s="816" t="s">
        <v>249</v>
      </c>
      <c r="AF7" s="429"/>
      <c r="AG7" s="429"/>
      <c r="AH7" s="220"/>
      <c r="AI7" s="1257">
        <f>'2024'!Dépas_env</f>
        <v>4.7879837042308138E-2</v>
      </c>
      <c r="AJ7" s="1258"/>
      <c r="AK7" s="816" t="s">
        <v>249</v>
      </c>
      <c r="AL7" s="429"/>
      <c r="AM7" s="429"/>
      <c r="AN7" s="220"/>
      <c r="AO7" s="1257">
        <f>'2025'!Dépas_env</f>
        <v>4.7879837042308138E-2</v>
      </c>
      <c r="AP7" s="1258"/>
      <c r="AQ7" s="816" t="s">
        <v>249</v>
      </c>
      <c r="AR7" s="429"/>
      <c r="AS7" s="429"/>
      <c r="AT7" s="220"/>
      <c r="AU7" s="1257">
        <f>'2026'!Dépas_env</f>
        <v>4.787983704230836E-2</v>
      </c>
      <c r="AV7" s="1258"/>
      <c r="AW7" s="816" t="s">
        <v>249</v>
      </c>
      <c r="AX7" s="429"/>
      <c r="AY7" s="429"/>
      <c r="AZ7" s="220"/>
      <c r="BA7" s="1257">
        <f>'2027'!Dépas_env</f>
        <v>4.7879837042308138E-2</v>
      </c>
      <c r="BB7" s="1258"/>
      <c r="BC7" s="816" t="s">
        <v>249</v>
      </c>
      <c r="BD7" s="429"/>
      <c r="BE7" s="429"/>
      <c r="BF7" s="220"/>
      <c r="BG7" s="1257">
        <f>'2028'!Dépas_env</f>
        <v>4.787983704230836E-2</v>
      </c>
      <c r="BH7" s="1258"/>
      <c r="BI7" s="816" t="s">
        <v>249</v>
      </c>
      <c r="BJ7" s="429"/>
      <c r="BK7" s="429"/>
      <c r="BL7" s="220"/>
      <c r="BM7" s="1257"/>
      <c r="BN7" s="1258"/>
      <c r="BO7" s="816" t="s">
        <v>249</v>
      </c>
      <c r="BP7" s="429"/>
      <c r="BQ7" s="429"/>
      <c r="BR7" s="220"/>
      <c r="BS7" s="1257"/>
      <c r="BT7" s="1258"/>
      <c r="BU7" s="816" t="s">
        <v>249</v>
      </c>
      <c r="BV7" s="429"/>
      <c r="BW7" s="429"/>
      <c r="BX7" s="220"/>
      <c r="BY7" s="1257"/>
      <c r="BZ7" s="1258"/>
    </row>
    <row r="8" spans="1:78" ht="15.75" x14ac:dyDescent="0.25">
      <c r="A8" s="425" t="s">
        <v>134</v>
      </c>
      <c r="T8" s="645" t="s">
        <v>192</v>
      </c>
    </row>
    <row r="9" spans="1:78" s="28" customFormat="1" ht="15" customHeight="1" x14ac:dyDescent="0.25">
      <c r="A9" s="444" t="s">
        <v>77</v>
      </c>
      <c r="B9" s="578">
        <f>IF(B4="D",T0,IF(YEAR(B4)=A3,B4, "err."))</f>
        <v>43496</v>
      </c>
      <c r="C9" s="579">
        <f>IF(B9&gt;T0,IF(C4="D",0,C4),0)</f>
        <v>0</v>
      </c>
      <c r="D9" s="580" t="s">
        <v>80</v>
      </c>
      <c r="E9" s="461" t="s">
        <v>80</v>
      </c>
      <c r="F9" s="1197">
        <f>IF(C5="I",T0,B10)</f>
        <v>43496</v>
      </c>
      <c r="G9" s="445" t="s">
        <v>92</v>
      </c>
      <c r="H9" s="578">
        <f>IF(H4="D",B9,IF(YEAR(H4)=G3,H4, "err."))</f>
        <v>43496</v>
      </c>
      <c r="I9" s="579">
        <f>IF(YEAR(H9)=G3,IF(I4="D",C9,I4),C9)</f>
        <v>0</v>
      </c>
      <c r="J9" s="581" t="s">
        <v>80</v>
      </c>
      <c r="K9" s="449" t="s">
        <v>80</v>
      </c>
      <c r="L9" s="1197">
        <f>IF(I5="I",F9,IF(YEAR(H10)=G3,H10,F9))</f>
        <v>43496</v>
      </c>
      <c r="M9" s="447" t="s">
        <v>92</v>
      </c>
      <c r="N9" s="578">
        <f>IF(N4="D",H9,IF(YEAR(N4)=M3,N4, "err."))</f>
        <v>43496</v>
      </c>
      <c r="O9" s="579">
        <f>IF(YEAR(N9)=M3,IF(O4="D",I9,O4),I9)</f>
        <v>0</v>
      </c>
      <c r="P9" s="581" t="s">
        <v>80</v>
      </c>
      <c r="Q9" s="449" t="s">
        <v>80</v>
      </c>
      <c r="R9" s="1197">
        <f>IF(O5="I",L9,IF(YEAR(N10)=M3,N10,L9))</f>
        <v>43496</v>
      </c>
      <c r="S9" s="445" t="s">
        <v>92</v>
      </c>
      <c r="T9" s="578">
        <f>IF(T4="D",N9,IF(YEAR(T4)=S3,T4, "err."))</f>
        <v>43496</v>
      </c>
      <c r="U9" s="579">
        <f>IF(YEAR(T9)=S3,IF(U4="D",O9,U4),O9)</f>
        <v>0</v>
      </c>
      <c r="V9" s="581" t="s">
        <v>80</v>
      </c>
      <c r="W9" s="449" t="s">
        <v>80</v>
      </c>
      <c r="X9" s="1197">
        <f>IF(U5="I",R9,IF(YEAR(T10)=S3,T10,R9))</f>
        <v>44683</v>
      </c>
      <c r="Y9" s="445" t="s">
        <v>92</v>
      </c>
      <c r="Z9" s="578">
        <f>IF(Z4="D",T9,IF(YEAR(Z4)=Y3,Z4, "err."))</f>
        <v>43496</v>
      </c>
      <c r="AA9" s="579">
        <f>IF(YEAR(Z9)=Y3,IF(AA4="D",U9,AA4),U9)</f>
        <v>0</v>
      </c>
      <c r="AB9" s="581" t="s">
        <v>80</v>
      </c>
      <c r="AC9" s="449" t="s">
        <v>80</v>
      </c>
      <c r="AD9" s="1197">
        <f>IF(AA5="I",X9,IF(YEAR(Z10)=Y3,Z10,X9))</f>
        <v>45046</v>
      </c>
      <c r="AE9" s="445" t="s">
        <v>92</v>
      </c>
      <c r="AF9" s="578">
        <f>IF(AF4="D",Z9,IF(YEAR(AF4)=AE3,AF4, "err."))</f>
        <v>43496</v>
      </c>
      <c r="AG9" s="579">
        <f>IF(YEAR(AF9)=AE3,IF(AG4="D",AA9,AG4),AA9)</f>
        <v>0</v>
      </c>
      <c r="AH9" s="581" t="s">
        <v>80</v>
      </c>
      <c r="AI9" s="449" t="s">
        <v>80</v>
      </c>
      <c r="AJ9" s="1197">
        <f>IF(AG5="I",AD9,IF(YEAR(AF10)=AE3,AF10,AD9))</f>
        <v>45412</v>
      </c>
      <c r="AK9" s="445" t="s">
        <v>92</v>
      </c>
      <c r="AL9" s="594">
        <f>IF(AL4="D",AF9,AL4)</f>
        <v>43496</v>
      </c>
      <c r="AM9" s="595">
        <f>IF(AM4="D",AG9,AM4)</f>
        <v>0</v>
      </c>
      <c r="AN9" s="581" t="s">
        <v>80</v>
      </c>
      <c r="AO9" s="596" t="s">
        <v>80</v>
      </c>
      <c r="AP9" s="1197">
        <f>IF(AM5="I",AJ9,IF(YEAR(AL10)=AK3,AL10,AJ9))</f>
        <v>45777</v>
      </c>
      <c r="AQ9" s="445" t="s">
        <v>92</v>
      </c>
      <c r="AR9" s="578">
        <f>IF(AR4="D",AL9,AR4)</f>
        <v>43496</v>
      </c>
      <c r="AS9" s="579">
        <f>IF(AS4="D",AM9,AS4)</f>
        <v>0</v>
      </c>
      <c r="AT9" s="581" t="s">
        <v>80</v>
      </c>
      <c r="AU9" s="449" t="s">
        <v>80</v>
      </c>
      <c r="AV9" s="1197">
        <f>IF(AS5="I",AP9,IF(YEAR(AR10)=AQ3,AR10,AP9))</f>
        <v>46142</v>
      </c>
      <c r="AW9" s="445" t="s">
        <v>92</v>
      </c>
      <c r="AX9" s="578">
        <f>IF(AX4="D",AR9,AX4)</f>
        <v>43496</v>
      </c>
      <c r="AY9" s="579">
        <f>IF(AY4="D",AS9,AY4)</f>
        <v>0</v>
      </c>
      <c r="AZ9" s="581" t="s">
        <v>80</v>
      </c>
      <c r="BA9" s="449" t="s">
        <v>80</v>
      </c>
      <c r="BB9" s="1197">
        <f>IF(AY5="I",AV9,IF(YEAR(AX10)=AW3,AX10,AV9))</f>
        <v>46507</v>
      </c>
      <c r="BC9" s="445" t="s">
        <v>92</v>
      </c>
      <c r="BD9" s="578">
        <f>IF(BD4="D",AX9,BD4)</f>
        <v>43496</v>
      </c>
      <c r="BE9" s="579">
        <f>IF(BE4="D",AY9,BE4)</f>
        <v>0</v>
      </c>
      <c r="BF9" s="581" t="s">
        <v>80</v>
      </c>
      <c r="BG9" s="449" t="s">
        <v>80</v>
      </c>
      <c r="BH9" s="1197">
        <f>IF(BE5="I",BB9,IF(YEAR(BD10)=BC3,BD10,BB9))</f>
        <v>46873</v>
      </c>
      <c r="BI9" s="445" t="s">
        <v>92</v>
      </c>
      <c r="BJ9" s="578">
        <f>IF(BJ4="D",BD9,BJ4)</f>
        <v>43496</v>
      </c>
      <c r="BK9" s="579">
        <f>IF(BK4="D",BE9,BK4)</f>
        <v>0</v>
      </c>
      <c r="BL9" s="581" t="s">
        <v>80</v>
      </c>
      <c r="BM9" s="449" t="s">
        <v>80</v>
      </c>
      <c r="BN9" s="1197" t="e">
        <f>IF(BK5="I",BH9,IF(YEAR(BJ10)=BI3,BJ10,BH9))</f>
        <v>#NAME?</v>
      </c>
      <c r="BO9" s="445" t="s">
        <v>92</v>
      </c>
      <c r="BP9" s="578">
        <f>IF(BP4="D",BJ9,BP4)</f>
        <v>43496</v>
      </c>
      <c r="BQ9" s="579">
        <f>IF(BQ4="D",BK9,BQ4)</f>
        <v>0</v>
      </c>
      <c r="BR9" s="581" t="s">
        <v>80</v>
      </c>
      <c r="BS9" s="449" t="s">
        <v>80</v>
      </c>
      <c r="BT9" s="1197" t="e">
        <f>IF(BQ5="I",BN9,IF(YEAR(BP10)=BO3,BP10,BN9))</f>
        <v>#NAME?</v>
      </c>
      <c r="BU9" s="445" t="s">
        <v>92</v>
      </c>
      <c r="BV9" s="578">
        <f>IF(BV4="D",BP9,BV4)</f>
        <v>43496</v>
      </c>
      <c r="BW9" s="579">
        <f>IF(BW4="D",BQ9,BW4)</f>
        <v>0</v>
      </c>
      <c r="BX9" s="581" t="s">
        <v>80</v>
      </c>
      <c r="BY9" s="449" t="s">
        <v>80</v>
      </c>
      <c r="BZ9" s="1197" t="e">
        <f>IF(BW5="I",BT9,IF(YEAR(BV10)=BU3,BV10,BT9))</f>
        <v>#NAME?</v>
      </c>
    </row>
    <row r="10" spans="1:78" s="448" customFormat="1" ht="15" customHeight="1" x14ac:dyDescent="0.25">
      <c r="A10" s="462" t="s">
        <v>16</v>
      </c>
      <c r="B10" s="576">
        <f>IF(B5="D",T0,IF(YEAR(B5)=A3,B5, "err."))</f>
        <v>43496</v>
      </c>
      <c r="C10" s="582">
        <f>IF(B10&gt;T0,IF(C5="D",0,C5),0)</f>
        <v>0</v>
      </c>
      <c r="D10" s="583">
        <f>IF(YEAR(B10)=A3,IF(D5="D",Salim_i,D5),Salim_i)</f>
        <v>0.12</v>
      </c>
      <c r="E10" s="584">
        <f>IF(E5="D",Tau_i,IF(YEAR(B10)=A3,E5,Tau_i))</f>
        <v>3</v>
      </c>
      <c r="F10" s="1198">
        <f>C10</f>
        <v>0</v>
      </c>
      <c r="G10" s="447" t="s">
        <v>93</v>
      </c>
      <c r="H10" s="576">
        <f>IF(H5="D",IF(AND(G3&gt;=YEAR(F9)+Inter_net,G3&gt;Amaj),DATE(G3,4,30),B10),IF(YEAR(H5)=G3,H5,"err."))</f>
        <v>43831</v>
      </c>
      <c r="I10" s="582" t="str">
        <f>IF(G3=YEAR(H10),IF(I5="D",F10,I5),C13)</f>
        <v>I</v>
      </c>
      <c r="J10" s="583">
        <f>IF(G3=YEAR(H10),IF(J5="D",D10,J5),D10)</f>
        <v>0.1</v>
      </c>
      <c r="K10" s="584">
        <f>IF(G3=YEAR(H10),IF(K5="D",E10,K5),E10)</f>
        <v>3</v>
      </c>
      <c r="L10" s="1198">
        <f>IF(I5="I",F10,IF(I5="D",F10,I5))</f>
        <v>0</v>
      </c>
      <c r="M10" s="447" t="s">
        <v>93</v>
      </c>
      <c r="N10" s="576">
        <f>IF(N5="D",IF(AND(M3&gt;=YEAR(L9)+Inter_net,M3&gt;Amaj),DATE(M3,4,30),H10),IF(YEAR(N5)=M3,N5,"err."))</f>
        <v>44228</v>
      </c>
      <c r="O10" s="582" t="str">
        <f>IF(M3=YEAR(N10),IF(O5="D",L10,O5),I13)</f>
        <v>I</v>
      </c>
      <c r="P10" s="583">
        <f>IF(M3=YEAR(N10),IF(P5="D",J10,P5),J10)</f>
        <v>0.15</v>
      </c>
      <c r="Q10" s="584">
        <f>IF(M3=YEAR(N10),IF(Q5="D",K10,Q5),K10)</f>
        <v>1.2</v>
      </c>
      <c r="R10" s="1198">
        <f>IF(O5="I",L10,IF(O5="D",L10,O5))</f>
        <v>0</v>
      </c>
      <c r="S10" s="447" t="s">
        <v>93</v>
      </c>
      <c r="T10" s="576">
        <f>IF(T5="D",IF(AND(S3&gt;=YEAR(R9)+Inter_net,S3&gt;Amaj),DATE(S3,4,30),N10),IF(YEAR(T5)=S3,T5,"err."))</f>
        <v>44683</v>
      </c>
      <c r="U10" s="582">
        <f>IF(S3=YEAR(T10),IF(U5="D",R10,U5),O13)</f>
        <v>8.9999999999999993E-3</v>
      </c>
      <c r="V10" s="583">
        <f>IF(S3=YEAR(T10),IF(V5="D",P10,V5),P10)</f>
        <v>0.1</v>
      </c>
      <c r="W10" s="584">
        <f>IF(S3=YEAR(T10),IF(W5="D",Q10,W5),Q10)</f>
        <v>3</v>
      </c>
      <c r="X10" s="1198">
        <f>IF(U5="I",R10,IF(U5="D",R10,U5))</f>
        <v>8.9999999999999993E-3</v>
      </c>
      <c r="Y10" s="447" t="s">
        <v>93</v>
      </c>
      <c r="Z10" s="576">
        <f>IF(Z5="D",IF(AND(Y3&gt;=YEAR(X9)+Inter_net,Y3&gt;Amaj),DATE(Y3,4,30),T10),IF(YEAR(Z5)=Y3,Z5,"err."))</f>
        <v>45046</v>
      </c>
      <c r="AA10" s="582">
        <f>IF(Y3=YEAR(Z10),IF(AA5="D",X10,AA5),U13)</f>
        <v>8.9999999999999993E-3</v>
      </c>
      <c r="AB10" s="583">
        <f>IF(Y3=YEAR(Z10),IF(AB5="D",V10,AB5),V10)</f>
        <v>0.11666666666666665</v>
      </c>
      <c r="AC10" s="584">
        <f>IF(Y3=YEAR(Z10),IF(AC5="D",W10,AC5),W10)</f>
        <v>2.4</v>
      </c>
      <c r="AD10" s="1198">
        <f>IF(AA5="I",X10,IF(AA5="D",X10,AA5))</f>
        <v>8.9999999999999993E-3</v>
      </c>
      <c r="AE10" s="447" t="s">
        <v>93</v>
      </c>
      <c r="AF10" s="576">
        <f>IF(AF5="D",IF(AND(AE3&gt;=YEAR(AD9)+Inter_net,AE3&gt;Amaj),DATE(AE3,4,30),Z10),IF(YEAR(AF5)=AE3,AF5,"err."))</f>
        <v>45412</v>
      </c>
      <c r="AG10" s="582">
        <f>IF(AE3=YEAR(AF10),IF(AG5="D",AD10,AG5),AA13)</f>
        <v>8.9999999999999993E-3</v>
      </c>
      <c r="AH10" s="583">
        <f>IF(AE3=YEAR(AF10),IF(AH5="D",AB10,AH5),AB10)</f>
        <v>0.11666666666666665</v>
      </c>
      <c r="AI10" s="584">
        <f>IF(AE3=YEAR(AF10),IF(AI5="D",AC10,AI5),AC10)</f>
        <v>2.4</v>
      </c>
      <c r="AJ10" s="1198">
        <f>IF(AG5="I",AD10,IF(AG5="D",AD10,AG5))</f>
        <v>8.9999999999999993E-3</v>
      </c>
      <c r="AK10" s="447" t="s">
        <v>93</v>
      </c>
      <c r="AL10" s="576">
        <f>IF(AL5="D",IF(AND(AK3&gt;=YEAR(AJ9)+Inter_net,AK3&gt;Amaj),DATE(AK3,4,30),AF10),IF(YEAR(AL5)=AK3,AL5,"err."))</f>
        <v>45777</v>
      </c>
      <c r="AM10" s="582">
        <f>IF(AK3=YEAR(AL10),IF(AM5="D",AJ10,AM5),AG13)</f>
        <v>8.9999999999999993E-3</v>
      </c>
      <c r="AN10" s="583">
        <f>IF(AN5="D",AH10,AN5)</f>
        <v>0.11666666666666665</v>
      </c>
      <c r="AO10" s="584">
        <f>IF(AO5="D",AI10,AO5)</f>
        <v>2.4</v>
      </c>
      <c r="AP10" s="1198">
        <f>IF(AM5="I",AJ10,IF(AM5="D",AJ10,AM5))</f>
        <v>8.9999999999999993E-3</v>
      </c>
      <c r="AQ10" s="447" t="s">
        <v>93</v>
      </c>
      <c r="AR10" s="576">
        <f>IF(AR5="D",IF(AND(AQ3&gt;=YEAR(AP9)+Inter_net,AQ3&gt;Amaj),DATE(AQ3,4,30),AL10),IF(YEAR(AR5)=AQ3,AR5,"err."))</f>
        <v>46142</v>
      </c>
      <c r="AS10" s="582">
        <f>IF(AQ3=YEAR(AR10),IF(AS5="D",AP10,AS5),AM13)</f>
        <v>8.9999999999999993E-3</v>
      </c>
      <c r="AT10" s="583">
        <f>IF(AT5="D",AN10,AT5)</f>
        <v>0.11666666666666665</v>
      </c>
      <c r="AU10" s="584">
        <f>IF(AU5="D",AO10,AU5)</f>
        <v>2.4</v>
      </c>
      <c r="AV10" s="1198">
        <f>IF(AS5="I",AP10,IF(AS5="D",AP10,AS5))</f>
        <v>8.9999999999999993E-3</v>
      </c>
      <c r="AW10" s="447" t="s">
        <v>93</v>
      </c>
      <c r="AX10" s="576">
        <f>IF(AX5="D",IF(AND(AW3&gt;=YEAR(AV9)+Inter_net,AW3&gt;Amaj),DATE(AW3,4,30),AR10),IF(YEAR(AX5)=AW3,AX5,"err."))</f>
        <v>46507</v>
      </c>
      <c r="AY10" s="582">
        <f>IF(AW3=YEAR(AX10),IF(AY5="D",AV10,AY5),AS13)</f>
        <v>8.9999999999999993E-3</v>
      </c>
      <c r="AZ10" s="583">
        <f>IF(AZ5="D",AT10,AZ5)</f>
        <v>0.11666666666666665</v>
      </c>
      <c r="BA10" s="584">
        <f>IF(BA5="D",AU10,BA5)</f>
        <v>2.4</v>
      </c>
      <c r="BB10" s="1198">
        <f>IF(AY5="I",AV10,IF(AY5="D",AV10,AY5))</f>
        <v>8.9999999999999993E-3</v>
      </c>
      <c r="BC10" s="447" t="s">
        <v>93</v>
      </c>
      <c r="BD10" s="576">
        <f>IF(BD5="D",IF(AND(BC3&gt;=YEAR(BB9)+Inter_net,BC3&gt;Amaj),DATE(BC3,4,30),AX10),IF(YEAR(BD5)=BC3,BD5,"err."))</f>
        <v>46873</v>
      </c>
      <c r="BE10" s="582">
        <f>IF(BC3=YEAR(BD10),IF(BE5="D",BB10,BE5),AY13)</f>
        <v>8.9999999999999993E-3</v>
      </c>
      <c r="BF10" s="583">
        <f>IF(BF5="D",AZ10,BF5)</f>
        <v>0.11666666666666665</v>
      </c>
      <c r="BG10" s="584">
        <f>IF(BG5="D",BA10,BG5)</f>
        <v>2.4</v>
      </c>
      <c r="BH10" s="1198">
        <f>IF(BE5="I",BB10,IF(BE5="D",BB10,BE5))</f>
        <v>8.9999999999999993E-3</v>
      </c>
      <c r="BI10" s="447" t="s">
        <v>93</v>
      </c>
      <c r="BJ10" s="576" t="e">
        <f>IF(BJ5="D",IF(AND(BI3&gt;=YEAR(BH9)+Inter_net,BI3&gt;Amaj),DATE(BI3,4,30),BD10),IF(YEAR(BJ5)=BI3,BJ5,"err."))</f>
        <v>#NAME?</v>
      </c>
      <c r="BK10" s="582" t="e">
        <f>IF(BI3=YEAR(BJ10),IF(BK5="D",BH10,BK5),BE13)</f>
        <v>#NAME?</v>
      </c>
      <c r="BL10" s="583">
        <f>IF(BL5="D",BF10,BL5)</f>
        <v>0.11666666666666665</v>
      </c>
      <c r="BM10" s="584">
        <f>IF(BM5="D",BG10,BM5)</f>
        <v>2.4</v>
      </c>
      <c r="BN10" s="1198">
        <f>IF(BK5="I",BH10,IF(BK5="D",BH10,BK5))</f>
        <v>8.9999999999999993E-3</v>
      </c>
      <c r="BO10" s="447" t="s">
        <v>93</v>
      </c>
      <c r="BP10" s="576" t="e">
        <f>IF(BP5="D",IF(AND(BO3&gt;=YEAR(BN9)+Inter_net,BO3&gt;Amaj),DATE(BO3,4,30),BJ10),IF(YEAR(BP5)=BO3,BP5,"err."))</f>
        <v>#NAME?</v>
      </c>
      <c r="BQ10" s="582" t="e">
        <f>IF(BO3=YEAR(BP10),IF(BQ5="D",BN10,BQ5),BK13)</f>
        <v>#NAME?</v>
      </c>
      <c r="BR10" s="583">
        <f>IF(BR5="D",BL10,BR5)</f>
        <v>0.11666666666666665</v>
      </c>
      <c r="BS10" s="584">
        <f>IF(BS5="D",BM10,BS5)</f>
        <v>2.4</v>
      </c>
      <c r="BT10" s="1198">
        <f>IF(BQ5="I",BN10,IF(BQ5="D",BN10,BQ5))</f>
        <v>8.9999999999999993E-3</v>
      </c>
      <c r="BU10" s="447" t="s">
        <v>93</v>
      </c>
      <c r="BV10" s="576" t="e">
        <f>IF(BV5="D",IF(AND(BU3&gt;=YEAR(BT9)+Inter_net,BU3&gt;Amaj),DATE(BU3,4,30),BP10),IF(YEAR(BV5)=BU3,BV5,"err."))</f>
        <v>#NAME?</v>
      </c>
      <c r="BW10" s="582" t="e">
        <f>IF(BU3=YEAR(BV10),IF(BW5="D",BT10,BW5),BQ13)</f>
        <v>#NAME?</v>
      </c>
      <c r="BX10" s="583">
        <f>IF(BX5="D",BR10,BX5)</f>
        <v>0.11666666666666665</v>
      </c>
      <c r="BY10" s="584">
        <f>IF(BY5="D",BS10,BY5)</f>
        <v>2.4</v>
      </c>
      <c r="BZ10" s="1198">
        <f>IF(BW5="I",BT10,IF(BW5="D",BT10,BW5))</f>
        <v>8.9999999999999993E-3</v>
      </c>
    </row>
    <row r="11" spans="1:78" s="448" customFormat="1" ht="15" customHeight="1" x14ac:dyDescent="0.25">
      <c r="A11" s="446" t="s">
        <v>18</v>
      </c>
      <c r="B11" s="577">
        <f>IF(B6="D",DATE(A3,1,1),IF(YEAR(B6)=A3,B6, "err."))</f>
        <v>43466</v>
      </c>
      <c r="C11" s="585">
        <f>IF(C6="D",D_i,C6)</f>
        <v>0.6</v>
      </c>
      <c r="D11" s="1263">
        <f>IF(D6="D",IF(B11&gt;DATE(A3,1,1),H_i,H_i+PousHi),D6)</f>
        <v>-1.0008874621829826</v>
      </c>
      <c r="E11" s="1263"/>
      <c r="F11" s="188"/>
      <c r="G11" s="447" t="s">
        <v>94</v>
      </c>
      <c r="H11" s="577">
        <f>IF(H6="D",IF(AND(G3&gt;=YEAR(B11)+Inter_tai,G3&gt;Amaj),DATE(G3,3,31),B11),IF(YEAR(H6)=G3,H6,"err."))</f>
        <v>43466</v>
      </c>
      <c r="I11" s="585">
        <f>IF(I6="D",IF(G3=YEAR(H11),D_i,C11),I6)</f>
        <v>0.6</v>
      </c>
      <c r="J11" s="1263">
        <f>IF(J6="D",IF(G3=YEAR(H11),H_i,D16+E16),J6)</f>
        <v>-0.50088753972092426</v>
      </c>
      <c r="K11" s="1263"/>
      <c r="L11" s="188"/>
      <c r="M11" s="447" t="s">
        <v>94</v>
      </c>
      <c r="N11" s="577">
        <f>IF(N6="D",IF(AND(M3&gt;=YEAR(H11)+Inter_tai,M3&gt;Amaj),DATE(M3,3,31),H11),IF(YEAR(N6)=M3,N6,"err."))</f>
        <v>43466</v>
      </c>
      <c r="O11" s="585">
        <f>IF(O6="D",IF(M3=YEAR(N11),D_i,I11),O6)</f>
        <v>0.6</v>
      </c>
      <c r="P11" s="1263">
        <f>IF(P6="D",IF(M3=YEAR(N11),H_i,J16+K16),P6)</f>
        <v>-8.8761725886588039E-4</v>
      </c>
      <c r="Q11" s="1263"/>
      <c r="R11" s="188"/>
      <c r="S11" s="447" t="s">
        <v>94</v>
      </c>
      <c r="T11" s="577">
        <f>IF(T6="D",IF(AND(S3&gt;=YEAR(N11)+Inter_tai,S3&gt;Amaj),DATE(S3,3,31),N11),IF(YEAR(T6)=S3,T6,"err."))</f>
        <v>43466</v>
      </c>
      <c r="U11" s="585">
        <f>IF(U6="D",IF(S3=YEAR(T11),D_i,O11),U6)</f>
        <v>0.6</v>
      </c>
      <c r="V11" s="1263">
        <f>IF(V6="D",IF(S3=YEAR(T11),H_i,P16+Q16),V6)</f>
        <v>0.49911230520319244</v>
      </c>
      <c r="W11" s="1263"/>
      <c r="X11" s="188"/>
      <c r="Y11" s="447" t="s">
        <v>94</v>
      </c>
      <c r="Z11" s="577">
        <f>IF(Z6="D",IF(AND(Y3&gt;=YEAR(T11)+Inter_tai,Y3&gt;Amaj),DATE(Y3,3,31),T11),IF(YEAR(Z6)=Y3,Z6,"err."))</f>
        <v>43466</v>
      </c>
      <c r="AA11" s="585">
        <f>IF(AA6="D",IF(Y3=YEAR(Z11),D_i,U11),AA6)</f>
        <v>0.6</v>
      </c>
      <c r="AB11" s="1263">
        <f>IF(AB6="D",IF(Y3=YEAR(Z11),H_i,V16+W16),AB6)</f>
        <v>0.99911222766525076</v>
      </c>
      <c r="AC11" s="1263"/>
      <c r="AD11" s="188"/>
      <c r="AE11" s="447" t="s">
        <v>94</v>
      </c>
      <c r="AF11" s="577">
        <f>IF(AF6="D",IF(AND(AE3&gt;=YEAR(Z11)+Inter_tai,AE3&gt;Amaj),DATE(AE3,3,31),Z11),IF(YEAR(AF6)=AE3,AF6,"err."))</f>
        <v>43466</v>
      </c>
      <c r="AG11" s="585">
        <f>IF(AG6="D",IF(AE3=YEAR(AF11),D_i,AA11),AG6)</f>
        <v>0.6</v>
      </c>
      <c r="AH11" s="1263">
        <f>IF(AH6="D",IF(AE3=YEAR(AF11),H_i,AB16+AC16),AH6)</f>
        <v>1.499112150127309</v>
      </c>
      <c r="AI11" s="1263"/>
      <c r="AJ11" s="188"/>
      <c r="AK11" s="447" t="s">
        <v>94</v>
      </c>
      <c r="AL11" s="577">
        <f>IF(AL6="D",IF(AND(AK3&gt;=YEAR(AF11)+Inter_tai,AK3&gt;Amaj),DATE(AK3,3,31),AF11),IF(YEAR(AL6)=AK3,AL6,"err."))</f>
        <v>43466</v>
      </c>
      <c r="AM11" s="585">
        <f>IF(AM6="D",IF(AK3=YEAR(AL11),D_i,AG11),AM6)</f>
        <v>0.6</v>
      </c>
      <c r="AN11" s="1263">
        <f>IF(AN6="D",IF(AK3=YEAR(AL11),H_i,AH16+PousHi),AN6)</f>
        <v>1.9991120725893674</v>
      </c>
      <c r="AO11" s="1263"/>
      <c r="AP11" s="188"/>
      <c r="AQ11" s="447" t="s">
        <v>94</v>
      </c>
      <c r="AR11" s="577">
        <f>IF(AR6="D",IF(AND(AQ3&gt;=YEAR(AL11)+Inter_tai,AQ3&gt;Amaj),DATE(AQ3,3,31),AL11),IF(YEAR(AR6)=AQ3,AR6,"err."))</f>
        <v>46112</v>
      </c>
      <c r="AS11" s="585">
        <f>IF(AS6="D",IF(AQ3=YEAR(AR11),D_i,AM11),AS6)</f>
        <v>0.6</v>
      </c>
      <c r="AT11" s="1263">
        <f>IF(AT6="D",IF(AQ3=YEAR(AR11),H_i,AN16+PousHi),AT6)</f>
        <v>-1.5008874621829826</v>
      </c>
      <c r="AU11" s="1263"/>
      <c r="AV11" s="188"/>
      <c r="AW11" s="447" t="s">
        <v>94</v>
      </c>
      <c r="AX11" s="577">
        <f>IF(AX6="D",IF(AND(AW3&gt;=YEAR(AR11)+Inter_tai,AW3&gt;Amaj),DATE(AW3,3,31),AR11),IF(YEAR(AX6)=AW3,AX6,"err."))</f>
        <v>46112</v>
      </c>
      <c r="AY11" s="585">
        <f>IF(AY6="D",IF(AW3=YEAR(AX11),D_i,AS11),AY6)</f>
        <v>0.6</v>
      </c>
      <c r="AZ11" s="1263">
        <f>IF(AZ6="D",IF(AW3=YEAR(AX11),H_i,AT16+PousHi),AZ6)</f>
        <v>-0.52587564886049476</v>
      </c>
      <c r="BA11" s="1263"/>
      <c r="BB11" s="188"/>
      <c r="BC11" s="447" t="s">
        <v>94</v>
      </c>
      <c r="BD11" s="577">
        <f>IF(BD6="D",IF(AND(BC3&gt;=YEAR(AX11)+Inter_tai,BC3&gt;Amaj),DATE(BC3,3,31),AX11),IF(YEAR(BD6)=BC3,BD6,"err."))</f>
        <v>46112</v>
      </c>
      <c r="BE11" s="585">
        <f>IF(BE6="D",IF(BC3=YEAR(BD11),D_i,AY11),BE6)</f>
        <v>0.6</v>
      </c>
      <c r="BF11" s="1263">
        <f>IF(BF6="D",IF(BC3=YEAR(BD11),H_i,AZ16+PousHi),BF6)</f>
        <v>-2.5875726398436383E-2</v>
      </c>
      <c r="BG11" s="1263"/>
      <c r="BH11" s="188"/>
      <c r="BI11" s="447" t="s">
        <v>94</v>
      </c>
      <c r="BJ11" s="577" t="e">
        <f>IF(BJ6="D",IF(AND(BI3&gt;=YEAR(BD11)+Inter_tai,BI3&gt;Amaj),DATE(BI3,3,31),BD11),IF(YEAR(BJ6)=BI3,BJ6,"err."))</f>
        <v>#NAME?</v>
      </c>
      <c r="BK11" s="585" t="e">
        <f>IF(BK6="D",IF(BI3=YEAR(BJ11),D_i,BE11),BK6)</f>
        <v>#NAME?</v>
      </c>
      <c r="BL11" s="1263" t="e">
        <f>IF(BL6="D",IF(BI3=YEAR(BJ11),H_i,BF16+PousHi),BL6)</f>
        <v>#NAME?</v>
      </c>
      <c r="BM11" s="1263"/>
      <c r="BN11" s="188"/>
      <c r="BO11" s="447" t="s">
        <v>94</v>
      </c>
      <c r="BP11" s="577" t="e">
        <f>IF(BP6="D",IF(AND(BO3&gt;=YEAR(BJ11)+Inter_tai,BO3&gt;Amaj),DATE(BO3,3,31),BJ11),IF(YEAR(BP6)=BO3,BP6,"err."))</f>
        <v>#NAME?</v>
      </c>
      <c r="BQ11" s="585" t="e">
        <f>IF(BQ6="D",IF(BO3=YEAR(BP11),D_i,BK11),BQ6)</f>
        <v>#NAME?</v>
      </c>
      <c r="BR11" s="1263" t="e">
        <f>IF(BR6="D",IF(BO3=YEAR(BP11),H_i,BL16+PousHi),BR6)</f>
        <v>#NAME?</v>
      </c>
      <c r="BS11" s="1263"/>
      <c r="BT11" s="188"/>
      <c r="BU11" s="447" t="s">
        <v>94</v>
      </c>
      <c r="BV11" s="577" t="e">
        <f>IF(BV6="D",IF(AND(BU3&gt;=YEAR(BP11)+Inter_tai,BU3&gt;Amaj),DATE(BU3,3,31),BP11),IF(YEAR(BV6)=BU3,BV6,"err."))</f>
        <v>#NAME?</v>
      </c>
      <c r="BW11" s="585" t="e">
        <f>IF(BW6="D",IF(BU3=YEAR(BV11),D_i,BQ11),BW6)</f>
        <v>#NAME?</v>
      </c>
      <c r="BX11" s="1263" t="e">
        <f>IF(BX6="D",IF(BU3=YEAR(BV11),H_i,BR16+PousHi),BX6)</f>
        <v>#NAME?</v>
      </c>
      <c r="BY11" s="1263"/>
      <c r="BZ11" s="188"/>
    </row>
    <row r="12" spans="1:78" x14ac:dyDescent="0.25">
      <c r="A12" s="8" t="s">
        <v>163</v>
      </c>
      <c r="B12" s="443"/>
      <c r="C12" s="453"/>
      <c r="D12" s="401"/>
      <c r="E12" s="454"/>
      <c r="H12" s="443"/>
      <c r="L12" s="464"/>
      <c r="M12" s="454"/>
      <c r="AL12" s="454"/>
      <c r="AM12" s="453"/>
      <c r="AN12" s="401"/>
      <c r="AO12" s="454"/>
    </row>
    <row r="13" spans="1:78" s="407" customFormat="1" ht="15" customHeight="1" x14ac:dyDescent="0.25">
      <c r="A13" s="458" t="s">
        <v>16</v>
      </c>
      <c r="B13" s="586">
        <f>+'2019'!Tnet</f>
        <v>43496</v>
      </c>
      <c r="C13" s="587">
        <f>+'2019'!Resal</f>
        <v>0</v>
      </c>
      <c r="D13" s="588">
        <f>+'2019'!Salim</f>
        <v>0.12</v>
      </c>
      <c r="E13" s="589">
        <f>+'2019'!Tau_j/365</f>
        <v>3</v>
      </c>
      <c r="F13" s="463"/>
      <c r="G13" s="465" t="s">
        <v>93</v>
      </c>
      <c r="H13" s="586">
        <f>+'2020'!Tnet</f>
        <v>43831</v>
      </c>
      <c r="I13" s="587">
        <f>+'2020'!Resal</f>
        <v>3.1627956491457568E-2</v>
      </c>
      <c r="J13" s="588">
        <f>+'2020'!Salim</f>
        <v>0.1</v>
      </c>
      <c r="K13" s="589">
        <f>+'2020'!Tau_j/365</f>
        <v>3</v>
      </c>
      <c r="L13" s="466"/>
      <c r="M13" s="447" t="s">
        <v>93</v>
      </c>
      <c r="N13" s="586">
        <f>+'2021'!Tnet</f>
        <v>44228</v>
      </c>
      <c r="O13" s="587">
        <f>+'2021'!Resal</f>
        <v>5.2420264641901221E-2</v>
      </c>
      <c r="P13" s="588">
        <f>+'2021'!Salim</f>
        <v>0.15</v>
      </c>
      <c r="Q13" s="589">
        <f>+'2021'!Tau_j/365</f>
        <v>1.2</v>
      </c>
      <c r="R13" s="466"/>
      <c r="S13" s="447" t="s">
        <v>93</v>
      </c>
      <c r="T13" s="586">
        <f>+'2022'!Tnet</f>
        <v>44683</v>
      </c>
      <c r="U13" s="587">
        <f>+'2022'!Resal</f>
        <v>8.9999999999999993E-3</v>
      </c>
      <c r="V13" s="588">
        <f>+'2022'!Salim</f>
        <v>0.1</v>
      </c>
      <c r="W13" s="589">
        <f>+'2022'!Tau_j/365</f>
        <v>3</v>
      </c>
      <c r="X13" s="466"/>
      <c r="Y13" s="447" t="s">
        <v>93</v>
      </c>
      <c r="Z13" s="586">
        <f>+'2023'!Tnet</f>
        <v>45046</v>
      </c>
      <c r="AA13" s="587">
        <f>+'2023'!Resal</f>
        <v>8.9999999999999993E-3</v>
      </c>
      <c r="AB13" s="588">
        <f>+'2023'!Salim</f>
        <v>0.11666666666666665</v>
      </c>
      <c r="AC13" s="589">
        <f>+'2023'!Tau_j/365</f>
        <v>2.4</v>
      </c>
      <c r="AD13" s="466"/>
      <c r="AE13" s="447" t="s">
        <v>93</v>
      </c>
      <c r="AF13" s="586">
        <f>+'2024'!Tnet</f>
        <v>45412</v>
      </c>
      <c r="AG13" s="587">
        <f>+'2024'!Resal</f>
        <v>8.9999999999999993E-3</v>
      </c>
      <c r="AH13" s="588">
        <f>+'2024'!Salim</f>
        <v>0.11666666666666665</v>
      </c>
      <c r="AI13" s="589">
        <f>+'2024'!Tau_j/365</f>
        <v>2.4</v>
      </c>
      <c r="AJ13" s="466"/>
      <c r="AK13" s="447" t="s">
        <v>93</v>
      </c>
      <c r="AL13" s="586">
        <f>+'2025'!Tnet</f>
        <v>45777</v>
      </c>
      <c r="AM13" s="587">
        <f>+'2025'!Resal</f>
        <v>8.9999999999999993E-3</v>
      </c>
      <c r="AN13" s="588">
        <f>+'2025'!Salim</f>
        <v>0.11666666666666665</v>
      </c>
      <c r="AO13" s="589">
        <f>+'2025'!Tau_j/365</f>
        <v>2.4</v>
      </c>
      <c r="AP13" s="463"/>
      <c r="AQ13" s="447" t="s">
        <v>93</v>
      </c>
      <c r="AR13" s="586">
        <f>+'2026'!Tnet</f>
        <v>46142</v>
      </c>
      <c r="AS13" s="587">
        <f>+'2026'!Resal</f>
        <v>8.9999999999999993E-3</v>
      </c>
      <c r="AT13" s="588">
        <f>+'2026'!Salim</f>
        <v>0.11666666666666665</v>
      </c>
      <c r="AU13" s="589">
        <f>+'2026'!Tau_j/365</f>
        <v>2.4</v>
      </c>
      <c r="AV13" s="463"/>
      <c r="AW13" s="447" t="s">
        <v>93</v>
      </c>
      <c r="AX13" s="586">
        <f>+'2027'!Tnet</f>
        <v>46507</v>
      </c>
      <c r="AY13" s="587">
        <f>+'2027'!Resal</f>
        <v>8.9999999999999993E-3</v>
      </c>
      <c r="AZ13" s="588">
        <f>+'2027'!Salim</f>
        <v>0.11666666666666665</v>
      </c>
      <c r="BA13" s="589">
        <f>+'2027'!Tau_j/365</f>
        <v>2.4</v>
      </c>
      <c r="BB13" s="463"/>
      <c r="BC13" s="447" t="s">
        <v>93</v>
      </c>
      <c r="BD13" s="586">
        <f>+'2028'!Tnet</f>
        <v>46873</v>
      </c>
      <c r="BE13" s="587">
        <f>+'2028'!Resal</f>
        <v>8.9999999999999993E-3</v>
      </c>
      <c r="BF13" s="588">
        <f>+'2028'!Salim</f>
        <v>0.11666666666666665</v>
      </c>
      <c r="BG13" s="589">
        <f>+'2028'!Tau_j/365</f>
        <v>2.4</v>
      </c>
      <c r="BH13" s="463"/>
      <c r="BI13" s="447" t="s">
        <v>93</v>
      </c>
      <c r="BJ13" s="586">
        <f>+'2019'!Tnet</f>
        <v>43496</v>
      </c>
      <c r="BK13" s="587">
        <f>+'2019'!Resal</f>
        <v>0</v>
      </c>
      <c r="BL13" s="588">
        <f>+'2019'!Salim</f>
        <v>0.12</v>
      </c>
      <c r="BM13" s="589">
        <f>+'2019'!Tau_j/365</f>
        <v>3</v>
      </c>
      <c r="BN13" s="463"/>
      <c r="BO13" s="447" t="s">
        <v>93</v>
      </c>
      <c r="BP13" s="586">
        <f>+'2019'!Tnet</f>
        <v>43496</v>
      </c>
      <c r="BQ13" s="587">
        <f>+'2019'!Resal</f>
        <v>0</v>
      </c>
      <c r="BR13" s="588">
        <f>+'2019'!Salim</f>
        <v>0.12</v>
      </c>
      <c r="BS13" s="589">
        <f>+'2019'!Tau_j/365</f>
        <v>3</v>
      </c>
      <c r="BT13" s="463"/>
      <c r="BU13" s="447" t="s">
        <v>93</v>
      </c>
      <c r="BV13" s="586">
        <f>+'2019'!Tnet</f>
        <v>43496</v>
      </c>
      <c r="BW13" s="587">
        <f>+'2019'!Resal</f>
        <v>0</v>
      </c>
      <c r="BX13" s="588">
        <f>+'2019'!Salim</f>
        <v>0.12</v>
      </c>
      <c r="BY13" s="589">
        <f>+'2019'!Tau_j/365</f>
        <v>3</v>
      </c>
      <c r="BZ13" s="463"/>
    </row>
    <row r="14" spans="1:78" s="457" customFormat="1" ht="12.75" customHeight="1" x14ac:dyDescent="0.25">
      <c r="A14" s="475"/>
      <c r="B14" s="476" t="s">
        <v>2</v>
      </c>
      <c r="C14" s="476" t="s">
        <v>129</v>
      </c>
      <c r="D14" s="476" t="s">
        <v>130</v>
      </c>
      <c r="E14" s="476" t="s">
        <v>131</v>
      </c>
      <c r="F14" s="477"/>
      <c r="G14" s="478"/>
      <c r="H14" s="479" t="s">
        <v>2</v>
      </c>
      <c r="I14" s="479" t="s">
        <v>129</v>
      </c>
      <c r="J14" s="479" t="s">
        <v>130</v>
      </c>
      <c r="K14" s="479" t="s">
        <v>131</v>
      </c>
      <c r="L14" s="480"/>
      <c r="M14" s="481"/>
      <c r="N14" s="479" t="s">
        <v>2</v>
      </c>
      <c r="O14" s="479" t="s">
        <v>129</v>
      </c>
      <c r="P14" s="479" t="s">
        <v>130</v>
      </c>
      <c r="Q14" s="479" t="s">
        <v>131</v>
      </c>
      <c r="R14" s="477"/>
      <c r="S14" s="478"/>
      <c r="T14" s="479" t="s">
        <v>2</v>
      </c>
      <c r="U14" s="479" t="s">
        <v>129</v>
      </c>
      <c r="V14" s="479" t="s">
        <v>130</v>
      </c>
      <c r="W14" s="479" t="s">
        <v>131</v>
      </c>
      <c r="X14" s="477"/>
      <c r="Y14" s="478"/>
      <c r="Z14" s="479" t="s">
        <v>2</v>
      </c>
      <c r="AA14" s="479" t="s">
        <v>129</v>
      </c>
      <c r="AB14" s="479" t="s">
        <v>130</v>
      </c>
      <c r="AC14" s="479" t="s">
        <v>131</v>
      </c>
      <c r="AD14" s="477"/>
      <c r="AE14" s="478"/>
      <c r="AF14" s="479" t="s">
        <v>2</v>
      </c>
      <c r="AG14" s="479" t="s">
        <v>129</v>
      </c>
      <c r="AH14" s="479" t="s">
        <v>130</v>
      </c>
      <c r="AI14" s="479" t="s">
        <v>131</v>
      </c>
      <c r="AJ14" s="477"/>
      <c r="AK14" s="478"/>
      <c r="AL14" s="479" t="s">
        <v>2</v>
      </c>
      <c r="AM14" s="479" t="s">
        <v>129</v>
      </c>
      <c r="AN14" s="479" t="s">
        <v>130</v>
      </c>
      <c r="AO14" s="479" t="s">
        <v>131</v>
      </c>
      <c r="AP14" s="477"/>
      <c r="AQ14" s="478"/>
      <c r="AR14" s="479" t="s">
        <v>2</v>
      </c>
      <c r="AS14" s="479" t="s">
        <v>129</v>
      </c>
      <c r="AT14" s="479" t="s">
        <v>130</v>
      </c>
      <c r="AU14" s="479" t="s">
        <v>131</v>
      </c>
      <c r="AV14" s="477"/>
      <c r="AW14" s="478"/>
      <c r="AX14" s="479" t="s">
        <v>2</v>
      </c>
      <c r="AY14" s="479" t="s">
        <v>129</v>
      </c>
      <c r="AZ14" s="479" t="s">
        <v>130</v>
      </c>
      <c r="BA14" s="479" t="s">
        <v>131</v>
      </c>
      <c r="BB14" s="477"/>
      <c r="BC14" s="478"/>
      <c r="BD14" s="479" t="s">
        <v>2</v>
      </c>
      <c r="BE14" s="479" t="s">
        <v>129</v>
      </c>
      <c r="BF14" s="479" t="s">
        <v>130</v>
      </c>
      <c r="BG14" s="479" t="s">
        <v>131</v>
      </c>
      <c r="BH14" s="477"/>
      <c r="BI14" s="478"/>
      <c r="BJ14" s="479" t="s">
        <v>2</v>
      </c>
      <c r="BK14" s="479" t="s">
        <v>129</v>
      </c>
      <c r="BL14" s="479" t="s">
        <v>130</v>
      </c>
      <c r="BM14" s="479" t="s">
        <v>131</v>
      </c>
      <c r="BN14" s="477"/>
      <c r="BO14" s="478"/>
      <c r="BP14" s="479" t="s">
        <v>2</v>
      </c>
      <c r="BQ14" s="479" t="s">
        <v>129</v>
      </c>
      <c r="BR14" s="479" t="s">
        <v>130</v>
      </c>
      <c r="BS14" s="479" t="s">
        <v>131</v>
      </c>
      <c r="BT14" s="477"/>
      <c r="BU14" s="478"/>
      <c r="BV14" s="479" t="s">
        <v>2</v>
      </c>
      <c r="BW14" s="479" t="s">
        <v>129</v>
      </c>
      <c r="BX14" s="479" t="s">
        <v>130</v>
      </c>
      <c r="BY14" s="479" t="s">
        <v>131</v>
      </c>
      <c r="BZ14" s="477"/>
    </row>
    <row r="15" spans="1:78" s="460" customFormat="1" ht="15" customHeight="1" x14ac:dyDescent="0.25">
      <c r="A15" s="482" t="s">
        <v>125</v>
      </c>
      <c r="B15" s="590">
        <f>B11</f>
        <v>43466</v>
      </c>
      <c r="C15" s="591">
        <f>'2019'!Dd</f>
        <v>0.6</v>
      </c>
      <c r="D15" s="591">
        <f>'2019'!Df</f>
        <v>0.6</v>
      </c>
      <c r="E15" s="591">
        <f>'2019'!PousD</f>
        <v>0</v>
      </c>
      <c r="F15" s="467"/>
      <c r="G15" s="483" t="s">
        <v>128</v>
      </c>
      <c r="H15" s="590">
        <f>H11</f>
        <v>43466</v>
      </c>
      <c r="I15" s="591">
        <f>'2020'!Dd</f>
        <v>0.6</v>
      </c>
      <c r="J15" s="591">
        <f>'2020'!Df</f>
        <v>0.6</v>
      </c>
      <c r="K15" s="591">
        <f>'2020'!PousD</f>
        <v>0</v>
      </c>
      <c r="L15" s="467"/>
      <c r="M15" s="483" t="s">
        <v>128</v>
      </c>
      <c r="N15" s="590">
        <f>N11</f>
        <v>43466</v>
      </c>
      <c r="O15" s="591">
        <f>'2021'!Dd</f>
        <v>0.6</v>
      </c>
      <c r="P15" s="591">
        <f>'2021'!Df</f>
        <v>0.6</v>
      </c>
      <c r="Q15" s="591">
        <f>'2021'!PousD</f>
        <v>0</v>
      </c>
      <c r="R15" s="467"/>
      <c r="S15" s="484" t="s">
        <v>128</v>
      </c>
      <c r="T15" s="590">
        <f>T11</f>
        <v>43466</v>
      </c>
      <c r="U15" s="591">
        <f>'2022'!Dd</f>
        <v>0.6</v>
      </c>
      <c r="V15" s="591">
        <f>'2022'!Df</f>
        <v>0.6</v>
      </c>
      <c r="W15" s="591">
        <f>'2022'!PousD</f>
        <v>0</v>
      </c>
      <c r="X15" s="467"/>
      <c r="Y15" s="484" t="s">
        <v>128</v>
      </c>
      <c r="Z15" s="590">
        <f>Z11</f>
        <v>43466</v>
      </c>
      <c r="AA15" s="591">
        <f>'2023'!Dd</f>
        <v>0.6</v>
      </c>
      <c r="AB15" s="591">
        <f>'2023'!Df</f>
        <v>0.6</v>
      </c>
      <c r="AC15" s="591">
        <f>'2023'!PousD</f>
        <v>0</v>
      </c>
      <c r="AD15" s="467"/>
      <c r="AE15" s="484" t="s">
        <v>128</v>
      </c>
      <c r="AF15" s="590">
        <f>AF11</f>
        <v>43466</v>
      </c>
      <c r="AG15" s="591">
        <f>'2024'!Dd</f>
        <v>0.6</v>
      </c>
      <c r="AH15" s="591">
        <f>'2024'!Df</f>
        <v>0.6</v>
      </c>
      <c r="AI15" s="591">
        <f>'2024'!PousD</f>
        <v>0</v>
      </c>
      <c r="AJ15" s="467"/>
      <c r="AK15" s="484" t="s">
        <v>128</v>
      </c>
      <c r="AL15" s="590">
        <f>AL11</f>
        <v>43466</v>
      </c>
      <c r="AM15" s="591">
        <f>'2025'!Dd</f>
        <v>0.6</v>
      </c>
      <c r="AN15" s="591">
        <f>'2025'!Df</f>
        <v>0.6</v>
      </c>
      <c r="AO15" s="591">
        <f>'2025'!PousD</f>
        <v>0</v>
      </c>
      <c r="AP15" s="467"/>
      <c r="AQ15" s="484" t="s">
        <v>128</v>
      </c>
      <c r="AR15" s="590">
        <f>AR11</f>
        <v>46112</v>
      </c>
      <c r="AS15" s="591">
        <f>'2026'!Dd</f>
        <v>0.6</v>
      </c>
      <c r="AT15" s="591">
        <f>'2026'!Df</f>
        <v>0.6</v>
      </c>
      <c r="AU15" s="591">
        <f>'2026'!PousD</f>
        <v>0</v>
      </c>
      <c r="AV15" s="467"/>
      <c r="AW15" s="484" t="s">
        <v>128</v>
      </c>
      <c r="AX15" s="590">
        <f>AX11</f>
        <v>46112</v>
      </c>
      <c r="AY15" s="591">
        <f>'2027'!Dd</f>
        <v>0.6</v>
      </c>
      <c r="AZ15" s="591">
        <f>'2027'!Df</f>
        <v>0.6</v>
      </c>
      <c r="BA15" s="591">
        <f>'2027'!PousD</f>
        <v>0</v>
      </c>
      <c r="BB15" s="467"/>
      <c r="BC15" s="484" t="s">
        <v>128</v>
      </c>
      <c r="BD15" s="590">
        <f>BD11</f>
        <v>46112</v>
      </c>
      <c r="BE15" s="591">
        <f>'2028'!Dd</f>
        <v>0.6</v>
      </c>
      <c r="BF15" s="591">
        <f>'2028'!Df</f>
        <v>0.6</v>
      </c>
      <c r="BG15" s="591">
        <f>'2028'!PousD</f>
        <v>0</v>
      </c>
      <c r="BH15" s="467"/>
      <c r="BI15" s="484" t="s">
        <v>128</v>
      </c>
      <c r="BJ15" s="590" t="e">
        <f>BJ11</f>
        <v>#NAME?</v>
      </c>
      <c r="BK15" s="591">
        <f>'2019'!Dd</f>
        <v>0.6</v>
      </c>
      <c r="BL15" s="591">
        <f>'2019'!Df</f>
        <v>0.6</v>
      </c>
      <c r="BM15" s="591">
        <f>'2019'!PousD</f>
        <v>0</v>
      </c>
      <c r="BN15" s="467"/>
      <c r="BO15" s="484" t="s">
        <v>128</v>
      </c>
      <c r="BP15" s="590" t="e">
        <f>BP11</f>
        <v>#NAME?</v>
      </c>
      <c r="BQ15" s="591">
        <f>'2019'!Dd</f>
        <v>0.6</v>
      </c>
      <c r="BR15" s="591">
        <f>'2019'!Df</f>
        <v>0.6</v>
      </c>
      <c r="BS15" s="591">
        <f>'2019'!PousD</f>
        <v>0</v>
      </c>
      <c r="BT15" s="467"/>
      <c r="BU15" s="484" t="s">
        <v>128</v>
      </c>
      <c r="BV15" s="590" t="e">
        <f>BV11</f>
        <v>#NAME?</v>
      </c>
      <c r="BW15" s="591">
        <f>'2019'!Dd</f>
        <v>0.6</v>
      </c>
      <c r="BX15" s="591">
        <f>'2019'!Df</f>
        <v>0.6</v>
      </c>
      <c r="BY15" s="591">
        <f>'2019'!PousD</f>
        <v>0</v>
      </c>
      <c r="BZ15" s="467"/>
    </row>
    <row r="16" spans="1:78" s="460" customFormat="1" ht="15" customHeight="1" x14ac:dyDescent="0.25">
      <c r="A16" s="472" t="s">
        <v>126</v>
      </c>
      <c r="B16" s="592"/>
      <c r="C16" s="593">
        <f>'2019'!Hdd</f>
        <v>-1.5008874621829826</v>
      </c>
      <c r="D16" s="593">
        <f>'2019'!Hdf</f>
        <v>-1.0008875397209243</v>
      </c>
      <c r="E16" s="593">
        <f>'2019'!PousH</f>
        <v>0.5</v>
      </c>
      <c r="F16" s="459"/>
      <c r="G16" s="473" t="s">
        <v>127</v>
      </c>
      <c r="H16" s="592"/>
      <c r="I16" s="593">
        <f>'2020'!Hdd</f>
        <v>-1.0008875397209243</v>
      </c>
      <c r="J16" s="593">
        <f>'2020'!Hdf</f>
        <v>-0.50088761725886588</v>
      </c>
      <c r="K16" s="593">
        <f>'2020'!PousH</f>
        <v>0.5</v>
      </c>
      <c r="L16" s="459"/>
      <c r="M16" s="473" t="s">
        <v>127</v>
      </c>
      <c r="N16" s="592"/>
      <c r="O16" s="593">
        <f>'2021'!Hdd</f>
        <v>-0.50088761725886588</v>
      </c>
      <c r="P16" s="593">
        <f>'2021'!Hdf</f>
        <v>-8.8769479680755881E-4</v>
      </c>
      <c r="Q16" s="593">
        <f>'2021'!PousH</f>
        <v>0.5</v>
      </c>
      <c r="R16" s="459"/>
      <c r="S16" s="474" t="s">
        <v>127</v>
      </c>
      <c r="T16" s="592"/>
      <c r="U16" s="593">
        <f>'2022'!Hdd</f>
        <v>-8.8769479680755881E-4</v>
      </c>
      <c r="V16" s="593">
        <f>'2022'!Hdf</f>
        <v>0.49911222766525076</v>
      </c>
      <c r="W16" s="593">
        <f>'2022'!PousH</f>
        <v>0.5</v>
      </c>
      <c r="X16" s="459"/>
      <c r="Y16" s="474" t="s">
        <v>127</v>
      </c>
      <c r="Z16" s="592"/>
      <c r="AA16" s="593">
        <f>'2023'!Hdd</f>
        <v>0.49911222766525076</v>
      </c>
      <c r="AB16" s="593">
        <f>'2023'!Hdf</f>
        <v>0.99911215012730903</v>
      </c>
      <c r="AC16" s="593">
        <f>'2023'!PousH</f>
        <v>0.5</v>
      </c>
      <c r="AD16" s="459"/>
      <c r="AE16" s="474" t="s">
        <v>127</v>
      </c>
      <c r="AF16" s="592"/>
      <c r="AG16" s="593">
        <f>'2024'!Hdd</f>
        <v>0.99911215012730903</v>
      </c>
      <c r="AH16" s="593">
        <f>'2024'!Hdf</f>
        <v>1.4991120725893674</v>
      </c>
      <c r="AI16" s="593">
        <f>'2024'!PousH</f>
        <v>0.5</v>
      </c>
      <c r="AJ16" s="459"/>
      <c r="AK16" s="474" t="s">
        <v>127</v>
      </c>
      <c r="AL16" s="592"/>
      <c r="AM16" s="593">
        <f>'2025'!Hdd</f>
        <v>1.4991120725893674</v>
      </c>
      <c r="AN16" s="593">
        <f>'2025'!Hdf</f>
        <v>1.9991119950514258</v>
      </c>
      <c r="AO16" s="593">
        <f>'2025'!PousH</f>
        <v>0.5</v>
      </c>
      <c r="AP16" s="459"/>
      <c r="AQ16" s="474" t="s">
        <v>127</v>
      </c>
      <c r="AR16" s="592"/>
      <c r="AS16" s="593">
        <f>'2026'!Hdd</f>
        <v>1.9991119950514258</v>
      </c>
      <c r="AT16" s="593">
        <f>'2026'!Hdf</f>
        <v>-1.0258756488604948</v>
      </c>
      <c r="AU16" s="593">
        <f>'2026'!PousH</f>
        <v>0.5</v>
      </c>
      <c r="AV16" s="459"/>
      <c r="AW16" s="474" t="s">
        <v>127</v>
      </c>
      <c r="AX16" s="592"/>
      <c r="AY16" s="593">
        <f>'2027'!Hdd</f>
        <v>-1.0258756488604948</v>
      </c>
      <c r="AZ16" s="593">
        <f>'2027'!Hdf</f>
        <v>-0.52587572639843638</v>
      </c>
      <c r="BA16" s="593">
        <f>'2027'!PousH</f>
        <v>0.5</v>
      </c>
      <c r="BB16" s="459"/>
      <c r="BC16" s="474" t="s">
        <v>127</v>
      </c>
      <c r="BD16" s="592"/>
      <c r="BE16" s="593">
        <f>'2028'!Hdd</f>
        <v>-0.52587572639843638</v>
      </c>
      <c r="BF16" s="593">
        <f>'2028'!Hdf</f>
        <v>-2.5875803936378061E-2</v>
      </c>
      <c r="BG16" s="593">
        <f>'2028'!PousH</f>
        <v>0.5</v>
      </c>
      <c r="BH16" s="459"/>
      <c r="BI16" s="474" t="s">
        <v>127</v>
      </c>
      <c r="BJ16" s="592"/>
      <c r="BK16" s="593">
        <f>'2019'!Hdd</f>
        <v>-1.5008874621829826</v>
      </c>
      <c r="BL16" s="593">
        <f>'2019'!Hdf</f>
        <v>-1.0008875397209243</v>
      </c>
      <c r="BM16" s="593">
        <f>'2019'!PousH</f>
        <v>0.5</v>
      </c>
      <c r="BN16" s="459"/>
      <c r="BO16" s="474" t="s">
        <v>127</v>
      </c>
      <c r="BP16" s="592"/>
      <c r="BQ16" s="593">
        <f>'2019'!Hdd</f>
        <v>-1.5008874621829826</v>
      </c>
      <c r="BR16" s="593">
        <f>'2019'!Hdf</f>
        <v>-1.0008875397209243</v>
      </c>
      <c r="BS16" s="593">
        <f>'2019'!PousH</f>
        <v>0.5</v>
      </c>
      <c r="BT16" s="459"/>
      <c r="BU16" s="474" t="s">
        <v>127</v>
      </c>
      <c r="BV16" s="592"/>
      <c r="BW16" s="593">
        <f>'2019'!Hdd</f>
        <v>-1.5008874621829826</v>
      </c>
      <c r="BX16" s="593">
        <f>'2019'!Hdf</f>
        <v>-1.0008875397209243</v>
      </c>
      <c r="BY16" s="593">
        <f>'2019'!PousH</f>
        <v>0.5</v>
      </c>
      <c r="BZ16" s="459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7" t="s">
        <v>64</v>
      </c>
      <c r="C19" s="428" t="s">
        <v>65</v>
      </c>
      <c r="D19" s="428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8" t="s">
        <v>2</v>
      </c>
      <c r="AF19" s="427" t="s">
        <v>64</v>
      </c>
      <c r="AG19" s="428" t="s">
        <v>65</v>
      </c>
      <c r="AH19" s="428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'2019'!A29</f>
        <v>43480</v>
      </c>
      <c r="B20" s="91">
        <f>'2019'!L29</f>
        <v>0</v>
      </c>
      <c r="C20" s="48">
        <f>'2019'!O29</f>
        <v>0</v>
      </c>
      <c r="D20" s="66">
        <f>'2019'!P29</f>
        <v>3.7462356919169214E-8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59">
        <f>'2024'!A29</f>
        <v>45306</v>
      </c>
      <c r="AF20" s="91">
        <f>'2024'!L29</f>
        <v>3.4093817907339008E-2</v>
      </c>
      <c r="AG20" s="48">
        <f>'2024'!O29</f>
        <v>3.6655731272327727E-2</v>
      </c>
      <c r="AH20" s="66">
        <f>'2024'!P29</f>
        <v>5.2659436345274904E-4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'2019'!A60</f>
        <v>43511</v>
      </c>
      <c r="B21" s="91">
        <f>'2019'!L60</f>
        <v>2.8743301586220404E-4</v>
      </c>
      <c r="C21" s="48">
        <f>'2019'!O60</f>
        <v>1.6328964377414236E-3</v>
      </c>
      <c r="D21" s="66">
        <f>'2019'!P60</f>
        <v>4.1712922169250748E-8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59">
        <f>'2024'!A60</f>
        <v>45337</v>
      </c>
      <c r="AF21" s="91">
        <f>'2024'!L60</f>
        <v>3.4667505491863926E-2</v>
      </c>
      <c r="AG21" s="48">
        <f>'2024'!O60</f>
        <v>3.9438502361930243E-2</v>
      </c>
      <c r="AH21" s="66">
        <f>'2024'!P60</f>
        <v>4.5019533024604127E-5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'2019'!A88</f>
        <v>43539</v>
      </c>
      <c r="B22" s="91">
        <f>'2019'!L88</f>
        <v>8.2375361547726289E-4</v>
      </c>
      <c r="C22" s="48">
        <f>'2019'!O88</f>
        <v>4.6238712519325476E-3</v>
      </c>
      <c r="D22" s="66">
        <f>'2019'!P88</f>
        <v>7.838115383392926E-8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59">
        <f>'2024'!A88</f>
        <v>45365</v>
      </c>
      <c r="AF22" s="91">
        <f>'2024'!L88</f>
        <v>3.5185382048967151E-2</v>
      </c>
      <c r="AG22" s="48">
        <f>'2024'!O88</f>
        <v>4.1887646629386481E-2</v>
      </c>
      <c r="AH22" s="66">
        <f>'2024'!P88</f>
        <v>1.9496155582905586E-5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'2019'!A119</f>
        <v>43570</v>
      </c>
      <c r="B23" s="91">
        <f>'2019'!L119</f>
        <v>1.4172015278419714E-3</v>
      </c>
      <c r="C23" s="48">
        <f>'2019'!O119</f>
        <v>7.8804754373574364E-3</v>
      </c>
      <c r="D23" s="66">
        <f>'2019'!P119</f>
        <v>2.4662540913233035E-8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59">
        <f>'2024'!A119</f>
        <v>45396</v>
      </c>
      <c r="AF23" s="91">
        <f>'2024'!L119</f>
        <v>3.5758421312974686E-2</v>
      </c>
      <c r="AG23" s="48">
        <f>'2024'!O119</f>
        <v>4.468279966646814E-2</v>
      </c>
      <c r="AH23" s="66">
        <f>'2024'!P119</f>
        <v>1.780349992452856E-6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'2019'!A149</f>
        <v>43600</v>
      </c>
      <c r="B24" s="91">
        <f>'2019'!L149</f>
        <v>1.9911703578952E-3</v>
      </c>
      <c r="C24" s="48">
        <f>'2019'!O149</f>
        <v>1.10916058416398E-2</v>
      </c>
      <c r="D24" s="66">
        <f>'2019'!P149</f>
        <v>0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59">
        <f>'2024'!A149</f>
        <v>45426</v>
      </c>
      <c r="AF24" s="91">
        <f>'2024'!L149</f>
        <v>3.6312651379479366E-2</v>
      </c>
      <c r="AG24" s="48">
        <f>'2024'!O149</f>
        <v>1.0922536744346628E-2</v>
      </c>
      <c r="AH24" s="66">
        <f>'2024'!P149</f>
        <v>0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'2019'!A180</f>
        <v>43631</v>
      </c>
      <c r="B25" s="91">
        <f>'2019'!L180</f>
        <v>2.5839248980633611E-3</v>
      </c>
      <c r="C25" s="48">
        <f>'2019'!O180</f>
        <v>1.4488320372581085E-2</v>
      </c>
      <c r="D25" s="66">
        <f>'2019'!P180</f>
        <v>1.7016021344672509E-20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59">
        <f>'2024'!A180</f>
        <v>45457</v>
      </c>
      <c r="AF25" s="91">
        <f>'2024'!L180</f>
        <v>3.688502111633063E-2</v>
      </c>
      <c r="AG25" s="48">
        <f>'2024'!O180</f>
        <v>1.4979925440036254E-2</v>
      </c>
      <c r="AH25" s="66">
        <f>'2024'!P180</f>
        <v>-1.7016021344672509E-20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'2019'!A210</f>
        <v>43661</v>
      </c>
      <c r="B26" s="91">
        <f>'2019'!L210</f>
        <v>3.1572231148747631E-3</v>
      </c>
      <c r="C26" s="48">
        <f>'2019'!O210</f>
        <v>1.7617187066151788E-2</v>
      </c>
      <c r="D26" s="66">
        <f>'2019'!P210</f>
        <v>-1.9357241086780245E-20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59">
        <f>'2024'!A210</f>
        <v>45487</v>
      </c>
      <c r="AF26" s="91">
        <f>'2024'!L210</f>
        <v>3.743860363195417E-2</v>
      </c>
      <c r="AG26" s="48">
        <f>'2024'!O210</f>
        <v>1.8717822159789236E-2</v>
      </c>
      <c r="AH26" s="66">
        <f>'2024'!P210</f>
        <v>0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'2019'!A241</f>
        <v>43692</v>
      </c>
      <c r="B27" s="91">
        <f>'2019'!L241</f>
        <v>3.7492850929681243E-3</v>
      </c>
      <c r="C27" s="48">
        <f>'2019'!O241</f>
        <v>2.0640725966566974E-2</v>
      </c>
      <c r="D27" s="66">
        <f>'2019'!P241</f>
        <v>6.7382604907311641E-9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59">
        <f>'2024'!A241</f>
        <v>45518</v>
      </c>
      <c r="AF27" s="91">
        <f>'2024'!L241</f>
        <v>3.8010304623910751E-2</v>
      </c>
      <c r="AG27" s="48">
        <f>'2024'!O241</f>
        <v>2.2324097910395156E-2</v>
      </c>
      <c r="AH27" s="66">
        <f>'2024'!P241</f>
        <v>5.4704164144607394E-8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'2019'!A272</f>
        <v>43723</v>
      </c>
      <c r="B28" s="91">
        <f>'2019'!L272</f>
        <v>4.3409954234455705E-3</v>
      </c>
      <c r="C28" s="48">
        <f>'2019'!O272</f>
        <v>2.3502055931086736E-2</v>
      </c>
      <c r="D28" s="66">
        <f>'2019'!P272</f>
        <v>2.7222280693491381E-6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59">
        <f>'2024'!A272</f>
        <v>45549</v>
      </c>
      <c r="AF28" s="91">
        <f>'2024'!L272</f>
        <v>3.8581666061397901E-2</v>
      </c>
      <c r="AG28" s="48">
        <f>'2024'!O272</f>
        <v>2.5719824266455346E-2</v>
      </c>
      <c r="AH28" s="66">
        <f>'2024'!P272</f>
        <v>2.2206361744179761E-5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'2019'!A302</f>
        <v>43753</v>
      </c>
      <c r="B29" s="91">
        <f>'2019'!L302</f>
        <v>4.9132837052617839E-3</v>
      </c>
      <c r="C29" s="48">
        <f>'2019'!O302</f>
        <v>2.5971028201663054E-2</v>
      </c>
      <c r="D29" s="66">
        <f>'2019'!P302</f>
        <v>7.9006045066196718E-6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59">
        <f>'2024'!A302</f>
        <v>45579</v>
      </c>
      <c r="AF29" s="91">
        <f>'2024'!L302</f>
        <v>3.913427337364761E-2</v>
      </c>
      <c r="AG29" s="48">
        <f>'2024'!O302</f>
        <v>2.8644650333139045E-2</v>
      </c>
      <c r="AH29" s="66">
        <f>'2024'!P302</f>
        <v>7.0943398132098349E-5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'2019'!A333</f>
        <v>43784</v>
      </c>
      <c r="B30" s="91">
        <f>'2019'!L333</f>
        <v>5.5043026936972828E-3</v>
      </c>
      <c r="C30" s="48">
        <f>'2019'!O333</f>
        <v>2.8124079409858227E-2</v>
      </c>
      <c r="D30" s="66">
        <f>'2019'!P333</f>
        <v>1.4257013259139723E-5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59">
        <f>'2024'!A333</f>
        <v>45610</v>
      </c>
      <c r="AF30" s="91">
        <f>'2024'!L333</f>
        <v>3.9704967244316158E-2</v>
      </c>
      <c r="AG30" s="48">
        <f>'2024'!O333</f>
        <v>3.1193800601627852E-2</v>
      </c>
      <c r="AH30" s="66">
        <f>'2024'!P333</f>
        <v>3.378318895211208E-4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'2019'!A363</f>
        <v>43814</v>
      </c>
      <c r="B31" s="92">
        <f>'2019'!L363</f>
        <v>6.0759223257891293E-3</v>
      </c>
      <c r="C31" s="49">
        <f>'2019'!O363</f>
        <v>3.0304855190903486E-2</v>
      </c>
      <c r="D31" s="67">
        <f>'2019'!P363</f>
        <v>1.196439297517959E-4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0">
        <f>'2024'!A363</f>
        <v>45640</v>
      </c>
      <c r="AF31" s="92">
        <f>'2024'!L363</f>
        <v>4.025692890167698E-2</v>
      </c>
      <c r="AG31" s="49">
        <f>'2024'!O363</f>
        <v>3.3739197101447925E-2</v>
      </c>
      <c r="AH31" s="67">
        <f>'2024'!P363</f>
        <v>1.4936830197192618E-3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'2020'!A29</f>
        <v>43845</v>
      </c>
      <c r="B32" s="91">
        <f>'2020'!L29</f>
        <v>6.6662507799323256E-3</v>
      </c>
      <c r="C32" s="48">
        <f>'2020'!O29</f>
        <v>3.2501738697605337E-2</v>
      </c>
      <c r="D32" s="66">
        <f>'2020'!P29</f>
        <v>3.4581238622597586E-5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59">
        <f>'2025'!A29</f>
        <v>45672</v>
      </c>
      <c r="AF32" s="91">
        <f>'2025'!L29</f>
        <v>4.0845338318064028E-2</v>
      </c>
      <c r="AG32" s="48">
        <f>'2025'!O29</f>
        <v>3.6655731272327727E-2</v>
      </c>
      <c r="AH32" s="66">
        <f>'2025'!P29</f>
        <v>7.6727331361551719E-4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'2020'!A60</f>
        <v>43876</v>
      </c>
      <c r="B33" s="91">
        <f>'2020'!L60</f>
        <v>7.2562286160638978E-3</v>
      </c>
      <c r="C33" s="48">
        <f>'2020'!O60</f>
        <v>3.4386472659588746E-2</v>
      </c>
      <c r="D33" s="66">
        <f>'2020'!P60</f>
        <v>5.6889250774062676E-6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59">
        <f>'2025'!A60</f>
        <v>45703</v>
      </c>
      <c r="AF33" s="91">
        <f>'2025'!L60</f>
        <v>4.1415015923661258E-2</v>
      </c>
      <c r="AG33" s="48">
        <f>'2025'!O60</f>
        <v>3.9438502361930243E-2</v>
      </c>
      <c r="AH33" s="66">
        <f>'2025'!P60</f>
        <v>6.1254547727458041E-5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'2020'!A88</f>
        <v>43904</v>
      </c>
      <c r="B34" s="91">
        <f>'2020'!L88</f>
        <v>7.788810632451848E-3</v>
      </c>
      <c r="C34" s="48">
        <f>'2020'!O88</f>
        <v>3.605984469366675E-2</v>
      </c>
      <c r="D34" s="66">
        <f>'2020'!P88</f>
        <v>3.1290903945623531E-6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59">
        <f>'2025'!A88</f>
        <v>45731</v>
      </c>
      <c r="AF34" s="91">
        <f>'2025'!L88</f>
        <v>4.1929272611453849E-2</v>
      </c>
      <c r="AG34" s="48">
        <f>'2025'!O88</f>
        <v>4.1887646629386481E-2</v>
      </c>
      <c r="AH34" s="66">
        <f>'2025'!P88</f>
        <v>2.3468528893192554E-5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'2020'!A119</f>
        <v>43935</v>
      </c>
      <c r="B35" s="91">
        <f>'2020'!L119</f>
        <v>8.3781217385612283E-3</v>
      </c>
      <c r="C35" s="48">
        <f>'2020'!O119</f>
        <v>3.8010229002636585E-2</v>
      </c>
      <c r="D35" s="66">
        <f>'2020'!P119</f>
        <v>3.0684191425908951E-7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59">
        <f>'2025'!A119</f>
        <v>45762</v>
      </c>
      <c r="AF35" s="91">
        <f>'2025'!L119</f>
        <v>4.2498306428184085E-2</v>
      </c>
      <c r="AG35" s="48">
        <f>'2025'!O119</f>
        <v>4.468279966646814E-2</v>
      </c>
      <c r="AH35" s="66">
        <f>'2025'!P119</f>
        <v>2.1732020651888146E-6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'2020'!A149</f>
        <v>43965</v>
      </c>
      <c r="B36" s="91">
        <f>'2020'!L149</f>
        <v>8.9480895471312216E-3</v>
      </c>
      <c r="C36" s="48">
        <f>'2020'!O149</f>
        <v>4.0298384148881441E-2</v>
      </c>
      <c r="D36" s="66">
        <f>'2020'!P149</f>
        <v>0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59">
        <f>'2025'!A149</f>
        <v>45792</v>
      </c>
      <c r="AF36" s="91">
        <f>'2025'!L149</f>
        <v>4.3048662520512426E-2</v>
      </c>
      <c r="AG36" s="48">
        <f>'2025'!O149</f>
        <v>1.1045859519857619E-2</v>
      </c>
      <c r="AH36" s="66">
        <f>'2025'!P149</f>
        <v>0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'2020'!A180</f>
        <v>43996</v>
      </c>
      <c r="B37" s="91">
        <f>'2020'!L180</f>
        <v>9.5367121144025457E-3</v>
      </c>
      <c r="C37" s="48">
        <f>'2020'!O180</f>
        <v>4.2877143933593695E-2</v>
      </c>
      <c r="D37" s="66">
        <f>'2020'!P180</f>
        <v>0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59">
        <f>'2025'!A180</f>
        <v>45823</v>
      </c>
      <c r="AF37" s="91">
        <f>'2025'!L180</f>
        <v>4.3617031489967761E-2</v>
      </c>
      <c r="AG37" s="48">
        <f>'2025'!O180</f>
        <v>1.5101385463141168E-2</v>
      </c>
      <c r="AH37" s="66">
        <f>'2025'!P180</f>
        <v>1.7016021344672509E-20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'2020'!A210</f>
        <v>44026</v>
      </c>
      <c r="B38" s="91">
        <f>'2020'!L210</f>
        <v>1.0106013984440887E-2</v>
      </c>
      <c r="C38" s="48">
        <f>'2020'!O210</f>
        <v>4.4900261785119404E-2</v>
      </c>
      <c r="D38" s="66">
        <f>'2020'!P210</f>
        <v>0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59">
        <f>'2025'!A210</f>
        <v>45853</v>
      </c>
      <c r="AF38" s="91">
        <f>'2025'!L210</f>
        <v>4.4166744557685766E-2</v>
      </c>
      <c r="AG38" s="48">
        <f>'2025'!O210</f>
        <v>1.8836165020990135E-2</v>
      </c>
      <c r="AH38" s="66">
        <f>'2025'!P210</f>
        <v>0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'2020'!A241</f>
        <v>44057</v>
      </c>
      <c r="B39" s="91">
        <f>'2020'!L241</f>
        <v>1.0693948817348531E-2</v>
      </c>
      <c r="C39" s="48">
        <f>'2020'!O241</f>
        <v>4.65760135986358E-2</v>
      </c>
      <c r="D39" s="66">
        <f>'2020'!P241</f>
        <v>1.5950084421843349E-8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59">
        <f>'2025'!A241</f>
        <v>45884</v>
      </c>
      <c r="AF39" s="91">
        <f>'2025'!L241</f>
        <v>4.4734449456659831E-2</v>
      </c>
      <c r="AG39" s="48">
        <f>'2025'!O241</f>
        <v>2.2438324760809945E-2</v>
      </c>
      <c r="AH39" s="66">
        <f>'2025'!P241</f>
        <v>6.476091163333322E-8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'2020'!A272</f>
        <v>44088</v>
      </c>
      <c r="B40" s="91">
        <f>'2020'!L272</f>
        <v>1.1281534453905118E-2</v>
      </c>
      <c r="C40" s="48">
        <f>'2020'!O272</f>
        <v>4.8046016366752695E-2</v>
      </c>
      <c r="D40" s="66">
        <f>'2020'!P272</f>
        <v>6.4056615396222675E-6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59">
        <f>'2025'!A272</f>
        <v>45915</v>
      </c>
      <c r="AF40" s="91">
        <f>'2025'!L272</f>
        <v>4.5301817174592696E-2</v>
      </c>
      <c r="AG40" s="48">
        <f>'2025'!O272</f>
        <v>2.5829714780681468E-2</v>
      </c>
      <c r="AH40" s="66">
        <f>'2025'!P272</f>
        <v>2.6388445124655517E-5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'2020'!A302</f>
        <v>44118</v>
      </c>
      <c r="B41" s="91">
        <f>'2020'!L302</f>
        <v>1.1849833429002476E-2</v>
      </c>
      <c r="C41" s="48">
        <f>'2020'!O302</f>
        <v>4.9030347011608029E-2</v>
      </c>
      <c r="D41" s="66">
        <f>'2020'!P302</f>
        <v>1.8905577543873612E-5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59">
        <f>'2025'!A302</f>
        <v>45945</v>
      </c>
      <c r="AF41" s="91">
        <f>'2025'!L302</f>
        <v>4.5850561855443006E-2</v>
      </c>
      <c r="AG41" s="48">
        <f>'2025'!O302</f>
        <v>2.8749675507846708E-2</v>
      </c>
      <c r="AH41" s="66">
        <f>'2025'!P302</f>
        <v>8.6363237296868515E-5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'2020'!A333</f>
        <v>44149</v>
      </c>
      <c r="B42" s="91">
        <f>'2020'!L333</f>
        <v>1.2436732542723705E-2</v>
      </c>
      <c r="C42" s="48">
        <f>'2020'!O333</f>
        <v>4.951538044431858E-2</v>
      </c>
      <c r="D42" s="66">
        <f>'2020'!P333</f>
        <v>4.957183687181231E-5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59">
        <f>'2025'!A333</f>
        <v>45976</v>
      </c>
      <c r="AF42" s="91">
        <f>'2025'!L333</f>
        <v>4.6417266672736046E-2</v>
      </c>
      <c r="AG42" s="48">
        <f>'2025'!O333</f>
        <v>3.1293100129629006E-2</v>
      </c>
      <c r="AH42" s="66">
        <f>'2025'!P333</f>
        <v>4.5607411955327678E-4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'2020'!A363</f>
        <v>44179</v>
      </c>
      <c r="B43" s="92">
        <f>'2020'!L363</f>
        <v>1.3004367529119709E-2</v>
      </c>
      <c r="C43" s="49">
        <f>'2020'!O363</f>
        <v>5.0341758876238006E-2</v>
      </c>
      <c r="D43" s="67">
        <f>'2020'!P363</f>
        <v>3.143550663557463E-4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0">
        <f>'2025'!A363</f>
        <v>46006</v>
      </c>
      <c r="AF43" s="92">
        <f>'2025'!L363</f>
        <v>4.6965370211715762E-2</v>
      </c>
      <c r="AG43" s="49">
        <f>'2025'!O363</f>
        <v>3.3834071398117657E-2</v>
      </c>
      <c r="AH43" s="67">
        <f>'2025'!P363</f>
        <v>1.8772036578779858E-3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'2021'!A29</f>
        <v>44211</v>
      </c>
      <c r="B44" s="91">
        <f>'2021'!L29</f>
        <v>1.3609485233605056E-2</v>
      </c>
      <c r="C44" s="48">
        <f>'2021'!O29</f>
        <v>5.1684062921977997E-2</v>
      </c>
      <c r="D44" s="66">
        <f>'2021'!P29</f>
        <v>1.202830122322232E-4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59">
        <f>'2026'!A29</f>
        <v>46037</v>
      </c>
      <c r="AF44" s="91">
        <f>'2026'!L29</f>
        <v>4.7531412902888204E-2</v>
      </c>
      <c r="AG44" s="48">
        <f>'2026'!O29</f>
        <v>3.6655731272327727E-2</v>
      </c>
      <c r="AH44" s="66">
        <f>'2026'!P29</f>
        <v>1.0080078520920733E-3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'2021'!A60</f>
        <v>44242</v>
      </c>
      <c r="B45" s="91">
        <f>'2021'!L60</f>
        <v>1.4195339224712833E-2</v>
      </c>
      <c r="C45" s="48">
        <f>'2021'!O60</f>
        <v>5.5499065406242568E-2</v>
      </c>
      <c r="D45" s="66">
        <f>'2021'!P60</f>
        <v>1.4035361963018871E-5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59">
        <f>'2026'!A60</f>
        <v>46068</v>
      </c>
      <c r="AF45" s="91">
        <f>'2026'!L60</f>
        <v>4.8097119400266508E-2</v>
      </c>
      <c r="AG45" s="48">
        <f>'2026'!O60</f>
        <v>3.9438502361930243E-2</v>
      </c>
      <c r="AH45" s="66">
        <f>'2026'!P60</f>
        <v>7.7538660529007862E-5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'2021'!A88</f>
        <v>44270</v>
      </c>
      <c r="B46" s="91">
        <f>'2021'!L88</f>
        <v>1.472419858312346E-2</v>
      </c>
      <c r="C46" s="48">
        <f>'2021'!O88</f>
        <v>6.1380682616723851E-2</v>
      </c>
      <c r="D46" s="66">
        <f>'2021'!P88</f>
        <v>7.1551954352948193E-6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59">
        <f>'2026'!A88</f>
        <v>46096</v>
      </c>
      <c r="AF46" s="91">
        <f>'2026'!L88</f>
        <v>4.860779130793158E-2</v>
      </c>
      <c r="AG46" s="48">
        <f>'2026'!O88</f>
        <v>4.1887646629386481E-2</v>
      </c>
      <c r="AH46" s="66">
        <f>'2026'!P88</f>
        <v>2.7439088886866837E-5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'2021'!A119</f>
        <v>44301</v>
      </c>
      <c r="B47" s="91">
        <f>'2021'!L119</f>
        <v>1.5309390504538833E-2</v>
      </c>
      <c r="C47" s="48">
        <f>'2021'!O119</f>
        <v>6.7734367882386501E-2</v>
      </c>
      <c r="D47" s="66">
        <f>'2021'!P119</f>
        <v>6.6635015949272799E-7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59">
        <f>'2026'!A119</f>
        <v>46127</v>
      </c>
      <c r="AF47" s="91">
        <f>'2026'!L119</f>
        <v>4.9172858504165862E-2</v>
      </c>
      <c r="AG47" s="48">
        <f>'2026'!O119</f>
        <v>4.468279966646814E-2</v>
      </c>
      <c r="AH47" s="66">
        <f>'2026'!P119</f>
        <v>1.0933176510095261E-8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'2021'!A149</f>
        <v>44331</v>
      </c>
      <c r="B48" s="91">
        <f>'2021'!L149</f>
        <v>1.5875374334784365E-2</v>
      </c>
      <c r="C48" s="48">
        <f>'2021'!O149</f>
        <v>7.433535089710902E-2</v>
      </c>
      <c r="D48" s="66">
        <f>'2021'!P149</f>
        <v>0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59">
        <f>'2026'!A149</f>
        <v>46157</v>
      </c>
      <c r="AF48" s="91">
        <f>'2026'!L149</f>
        <v>4.9719378174665096E-2</v>
      </c>
      <c r="AG48" s="48">
        <f>'2026'!O149</f>
        <v>1.1045859519857619E-2</v>
      </c>
      <c r="AH48" s="66">
        <f>'2026'!P149</f>
        <v>0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'2021'!A180</f>
        <v>44362</v>
      </c>
      <c r="B49" s="91">
        <f>'2021'!L180</f>
        <v>1.6459882530131198E-2</v>
      </c>
      <c r="C49" s="48">
        <f>'2021'!O180</f>
        <v>8.133575974378103E-2</v>
      </c>
      <c r="D49" s="66">
        <f>'2021'!P180</f>
        <v>0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59">
        <f>'2026'!A180</f>
        <v>46188</v>
      </c>
      <c r="AF49" s="91">
        <f>'2026'!L180</f>
        <v>5.0283785158141248E-2</v>
      </c>
      <c r="AG49" s="48">
        <f>'2026'!O180</f>
        <v>1.5101385463141168E-2</v>
      </c>
      <c r="AH49" s="66">
        <f>'2026'!P180</f>
        <v>0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'2021'!A210</f>
        <v>44392</v>
      </c>
      <c r="B50" s="91">
        <f>'2021'!L210</f>
        <v>1.7025205076642513E-2</v>
      </c>
      <c r="C50" s="48">
        <f>'2021'!O210</f>
        <v>8.7002183868162886E-2</v>
      </c>
      <c r="D50" s="66">
        <f>'2021'!P210</f>
        <v>0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59">
        <f>'2026'!A210</f>
        <v>46218</v>
      </c>
      <c r="AF50" s="91">
        <f>'2026'!L210</f>
        <v>5.0829666286425601E-2</v>
      </c>
      <c r="AG50" s="48">
        <f>'2026'!O210</f>
        <v>1.8836165020990135E-2</v>
      </c>
      <c r="AH50" s="66">
        <f>'2026'!P210</f>
        <v>0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'2021'!A241</f>
        <v>44423</v>
      </c>
      <c r="B51" s="91">
        <f>'2021'!L241</f>
        <v>1.7609030344772347E-2</v>
      </c>
      <c r="C51" s="48">
        <f>'2021'!O241</f>
        <v>9.1813419880292971E-2</v>
      </c>
      <c r="D51" s="66">
        <f>'2021'!P241</f>
        <v>2.5300112660422838E-8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59">
        <f>'2026'!A241</f>
        <v>46249</v>
      </c>
      <c r="AF51" s="91">
        <f>'2026'!L241</f>
        <v>5.1393413828522472E-2</v>
      </c>
      <c r="AG51" s="48">
        <f>'2026'!O241</f>
        <v>2.2438324760809945E-2</v>
      </c>
      <c r="AH51" s="66">
        <f>'2026'!P241</f>
        <v>6.3792391029167047E-9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'2021'!A272</f>
        <v>44454</v>
      </c>
      <c r="B52" s="91">
        <f>'2021'!L272</f>
        <v>1.8192508857374445E-2</v>
      </c>
      <c r="C52" s="48">
        <f>'2021'!O272</f>
        <v>9.5978265752401842E-2</v>
      </c>
      <c r="D52" s="66">
        <f>'2021'!P272</f>
        <v>1.0107417177314618E-5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59">
        <f>'2026'!A272</f>
        <v>46280</v>
      </c>
      <c r="AF52" s="91">
        <f>'2026'!L272</f>
        <v>5.1956826539999446E-2</v>
      </c>
      <c r="AG52" s="48">
        <f>'2026'!O272</f>
        <v>2.5829714780681468E-2</v>
      </c>
      <c r="AH52" s="66">
        <f>'2026'!P272</f>
        <v>2.58369755498436E-6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'2021'!A302</f>
        <v>44484</v>
      </c>
      <c r="B53" s="91">
        <f>'2021'!L302</f>
        <v>1.8756835519010195E-2</v>
      </c>
      <c r="C53" s="48">
        <f>'2021'!O302</f>
        <v>9.8913915974735644E-2</v>
      </c>
      <c r="D53" s="66">
        <f>'2021'!P302</f>
        <v>2.9931640413614746E-5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59">
        <f>'2026'!A302</f>
        <v>46310</v>
      </c>
      <c r="AF53" s="91">
        <f>'2026'!L302</f>
        <v>5.2501746031846652E-2</v>
      </c>
      <c r="AG53" s="48">
        <f>'2026'!O302</f>
        <v>2.8749675507846708E-2</v>
      </c>
      <c r="AH53" s="66">
        <f>'2026'!P302</f>
        <v>7.5037538214585075E-6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'2021'!A333</f>
        <v>44515</v>
      </c>
      <c r="B54" s="91">
        <f>'2021'!L333</f>
        <v>1.9339632307455168E-2</v>
      </c>
      <c r="C54" s="48">
        <f>'2021'!O333</f>
        <v>0.10065654269836391</v>
      </c>
      <c r="D54" s="66">
        <f>'2021'!P333</f>
        <v>8.4949080174664382E-5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59">
        <f>'2026'!A333</f>
        <v>46341</v>
      </c>
      <c r="AF54" s="91">
        <f>'2026'!L333</f>
        <v>5.3064500463631092E-2</v>
      </c>
      <c r="AG54" s="48">
        <f>'2026'!O333</f>
        <v>3.1293100129629006E-2</v>
      </c>
      <c r="AH54" s="66">
        <f>'2026'!P333</f>
        <v>1.3543657835044811E-5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'2021'!A363</f>
        <v>44545</v>
      </c>
      <c r="B55" s="92">
        <f>'2021'!L363</f>
        <v>1.9903299621558013E-2</v>
      </c>
      <c r="C55" s="49">
        <f>'2021'!O363</f>
        <v>0.10288265857900811</v>
      </c>
      <c r="D55" s="67">
        <f>'2021'!P363</f>
        <v>5.0920798304248901E-4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0">
        <f>'2026'!A363</f>
        <v>46371</v>
      </c>
      <c r="AF55" s="92">
        <f>'2026'!L363</f>
        <v>5.360878328287888E-2</v>
      </c>
      <c r="AG55" s="49">
        <f>'2026'!O363</f>
        <v>3.3834071398117657E-2</v>
      </c>
      <c r="AH55" s="67">
        <f>'2026'!P363</f>
        <v>1.1366391748446359E-4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'2022'!A29</f>
        <v>44576</v>
      </c>
      <c r="B56" s="91">
        <f>'2022'!L29</f>
        <v>2.0485415482358049E-2</v>
      </c>
      <c r="C56" s="48">
        <f>'2022'!O29</f>
        <v>0.10593058496653392</v>
      </c>
      <c r="D56" s="66">
        <f>'2022'!P29</f>
        <v>2.0602013947771083E-4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59">
        <f>'2027'!A29</f>
        <v>46402</v>
      </c>
      <c r="AF56" s="91">
        <f>'2027'!L29</f>
        <v>5.4170880204090999E-2</v>
      </c>
      <c r="AG56" s="48">
        <f>'2027'!O29</f>
        <v>3.6655731272327727E-2</v>
      </c>
      <c r="AH56" s="66">
        <f>'2027'!P29</f>
        <v>3.2854871052040264E-5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'2022'!A60</f>
        <v>44607</v>
      </c>
      <c r="B57" s="91">
        <f>'2022'!L60</f>
        <v>2.1067185602910987E-2</v>
      </c>
      <c r="C57" s="48">
        <f>'2022'!O60</f>
        <v>0.10894402303856182</v>
      </c>
      <c r="D57" s="66">
        <f>'2022'!P60</f>
        <v>2.2398411897751317E-5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59">
        <f>'2027'!A60</f>
        <v>46433</v>
      </c>
      <c r="AF57" s="91">
        <f>'2027'!L60</f>
        <v>5.4732643275048454E-2</v>
      </c>
      <c r="AG57" s="48">
        <f>'2027'!O60</f>
        <v>3.9438502361930243E-2</v>
      </c>
      <c r="AH57" s="66">
        <f>'2027'!P60</f>
        <v>5.3921761065361415E-6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'2022'!A88</f>
        <v>44635</v>
      </c>
      <c r="B58" s="91">
        <f>'2022'!L88</f>
        <v>2.159235838890905E-2</v>
      </c>
      <c r="C58" s="48">
        <f>'2022'!O88</f>
        <v>0.11153884637335194</v>
      </c>
      <c r="D58" s="66">
        <f>'2022'!P88</f>
        <v>1.1184483875798519E-5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59">
        <f>'2027'!A88</f>
        <v>46461</v>
      </c>
      <c r="AF58" s="91">
        <f>'2027'!L88</f>
        <v>5.5239755391368717E-2</v>
      </c>
      <c r="AG58" s="48">
        <f>'2027'!O88</f>
        <v>4.1887646629386481E-2</v>
      </c>
      <c r="AH58" s="66">
        <f>'2027'!P88</f>
        <v>2.9537219616173406E-6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'2022'!A119</f>
        <v>44666</v>
      </c>
      <c r="B59" s="91">
        <f>'2022'!L119</f>
        <v>2.217347105492451E-2</v>
      </c>
      <c r="C59" s="48">
        <f>'2022'!O119</f>
        <v>0.11466756353724213</v>
      </c>
      <c r="D59" s="66">
        <f>'2022'!P119</f>
        <v>1.0272901821825979E-6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59">
        <f>'2027'!A119</f>
        <v>46492</v>
      </c>
      <c r="AF59" s="91">
        <f>'2027'!L119</f>
        <v>5.5800883617621921E-2</v>
      </c>
      <c r="AG59" s="48">
        <f>'2027'!O119</f>
        <v>4.468279966646814E-2</v>
      </c>
      <c r="AH59" s="66">
        <f>'2027'!P119</f>
        <v>2.8887504893591737E-7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'2022'!A149</f>
        <v>44696</v>
      </c>
      <c r="B60" s="91">
        <f>'2022'!L149</f>
        <v>2.2735509525517283E-2</v>
      </c>
      <c r="C60" s="48">
        <f>'2022'!O149</f>
        <v>1.0276748899326265E-2</v>
      </c>
      <c r="D60" s="66">
        <f>'2022'!P149</f>
        <v>0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59">
        <f>'2027'!A149</f>
        <v>46522</v>
      </c>
      <c r="AF60" s="91">
        <f>'2027'!L149</f>
        <v>5.6343593609218479E-2</v>
      </c>
      <c r="AG60" s="48">
        <f>'2027'!O149</f>
        <v>1.1045859519857619E-2</v>
      </c>
      <c r="AH60" s="66">
        <f>'2027'!P149</f>
        <v>0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'2022'!A180</f>
        <v>44727</v>
      </c>
      <c r="B61" s="91">
        <f>'2022'!L180</f>
        <v>2.3315943231581482E-2</v>
      </c>
      <c r="C61" s="48">
        <f>'2022'!O180</f>
        <v>1.309896145887322E-2</v>
      </c>
      <c r="D61" s="66">
        <f>'2022'!P180</f>
        <v>0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59">
        <f>'2027'!A180</f>
        <v>46553</v>
      </c>
      <c r="AF61" s="91">
        <f>'2027'!L180</f>
        <v>5.6904066224924277E-2</v>
      </c>
      <c r="AG61" s="48">
        <f>'2027'!O180</f>
        <v>1.5101385463141168E-2</v>
      </c>
      <c r="AH61" s="66">
        <f>'2027'!P180</f>
        <v>0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'2022'!A210</f>
        <v>44757</v>
      </c>
      <c r="B62" s="91">
        <f>'2022'!L210</f>
        <v>2.3877325028116236E-2</v>
      </c>
      <c r="C62" s="48">
        <f>'2022'!O210</f>
        <v>1.5686901671286984E-2</v>
      </c>
      <c r="D62" s="66">
        <f>'2022'!P210</f>
        <v>-1.9357241086780245E-20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59">
        <f>'2027'!A210</f>
        <v>46583</v>
      </c>
      <c r="AF62" s="91">
        <f>'2027'!L210</f>
        <v>5.7446142125455624E-2</v>
      </c>
      <c r="AG62" s="48">
        <f>'2027'!O210</f>
        <v>1.8836165020990135E-2</v>
      </c>
      <c r="AH62" s="66">
        <f>'2027'!P210</f>
        <v>-1.9357241086780245E-20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'2022'!A241</f>
        <v>44788</v>
      </c>
      <c r="B63" s="91">
        <f>'2022'!L241</f>
        <v>2.4457080567511835E-2</v>
      </c>
      <c r="C63" s="48">
        <f>'2022'!O241</f>
        <v>1.8178427624370073E-2</v>
      </c>
      <c r="D63" s="66">
        <f>'2022'!P241</f>
        <v>3.497422351260562E-8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59">
        <f>'2027'!A241</f>
        <v>46614</v>
      </c>
      <c r="AF63" s="91">
        <f>'2027'!L241</f>
        <v>5.80059598966155E-2</v>
      </c>
      <c r="AG63" s="48">
        <f>'2027'!O241</f>
        <v>2.2438324760809945E-2</v>
      </c>
      <c r="AH63" s="66">
        <f>'2027'!P241</f>
        <v>1.5482805297239522E-8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'2022'!A272</f>
        <v>44819</v>
      </c>
      <c r="B64" s="91">
        <f>'2022'!L272</f>
        <v>2.5036491768542946E-2</v>
      </c>
      <c r="C64" s="48">
        <f>'2022'!O272</f>
        <v>2.0532430228211117E-2</v>
      </c>
      <c r="D64" s="66">
        <f>'2022'!P272</f>
        <v>1.4065429194557851E-5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59">
        <f>'2027'!A272</f>
        <v>46645</v>
      </c>
      <c r="AF64" s="91">
        <f>'2027'!L272</f>
        <v>5.8565445171192665E-2</v>
      </c>
      <c r="AG64" s="48">
        <f>'2027'!O272</f>
        <v>2.5829714780681468E-2</v>
      </c>
      <c r="AH64" s="66">
        <f>'2027'!P272</f>
        <v>6.220661763167903E-6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'2022'!A302</f>
        <v>44849</v>
      </c>
      <c r="B65" s="91">
        <f>'2022'!L302</f>
        <v>2.5596884622315685E-2</v>
      </c>
      <c r="C65" s="48">
        <f>'2022'!O302</f>
        <v>2.2554185176091656E-2</v>
      </c>
      <c r="D65" s="66">
        <f>'2022'!P302</f>
        <v>4.2730416327231274E-5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59">
        <f>'2027'!A302</f>
        <v>46675</v>
      </c>
      <c r="AF65" s="91">
        <f>'2027'!L302</f>
        <v>5.9106566138661276E-2</v>
      </c>
      <c r="AG65" s="48">
        <f>'2027'!O302</f>
        <v>2.8749675507846708E-2</v>
      </c>
      <c r="AH65" s="66">
        <f>'2027'!P302</f>
        <v>1.8354536533682718E-5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'2022'!A333</f>
        <v>44880</v>
      </c>
      <c r="B66" s="91">
        <f>'2022'!L333</f>
        <v>2.6175618851351889E-2</v>
      </c>
      <c r="C66" s="48">
        <f>'2022'!O333</f>
        <v>2.4304815825168209E-2</v>
      </c>
      <c r="D66" s="66">
        <f>'2022'!P333</f>
        <v>1.522970860553057E-4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59">
        <f>'2027'!A333</f>
        <v>46706</v>
      </c>
      <c r="AF66" s="91">
        <f>'2027'!L333</f>
        <v>5.966539772228141E-2</v>
      </c>
      <c r="AG66" s="48">
        <f>'2027'!O333</f>
        <v>3.1293100129629006E-2</v>
      </c>
      <c r="AH66" s="66">
        <f>'2027'!P333</f>
        <v>4.7803815764217268E-5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'2022'!A363</f>
        <v>44910</v>
      </c>
      <c r="B67" s="92">
        <f>'2022'!L363</f>
        <v>2.673535695377105E-2</v>
      </c>
      <c r="C67" s="49">
        <f>'2022'!O363</f>
        <v>2.6089143616502875E-2</v>
      </c>
      <c r="D67" s="67">
        <f>'2022'!P363</f>
        <v>8.0966356829874277E-4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0">
        <f>'2027'!A363</f>
        <v>46736</v>
      </c>
      <c r="AF67" s="92">
        <f>'2027'!L363</f>
        <v>6.0205886455267477E-2</v>
      </c>
      <c r="AG67" s="49">
        <f>'2027'!O363</f>
        <v>3.3834071398117657E-2</v>
      </c>
      <c r="AH67" s="67">
        <f>'2027'!P363</f>
        <v>3.046170529489513E-4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'2023'!A29</f>
        <v>44941</v>
      </c>
      <c r="B68" s="91">
        <f>'2023'!L29</f>
        <v>2.7313415001772201E-2</v>
      </c>
      <c r="C68" s="48">
        <f>'2023'!O29</f>
        <v>2.8106869478341959E-2</v>
      </c>
      <c r="D68" s="66">
        <f>'2023'!P29</f>
        <v>3.662814892535013E-4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59">
        <f>'2028'!A29</f>
        <v>46767</v>
      </c>
      <c r="AF68" s="91">
        <f>'2028'!L29</f>
        <v>6.0764065111689525E-2</v>
      </c>
      <c r="AG68" s="48">
        <f>'2028'!O29</f>
        <v>3.6655731272327727E-2</v>
      </c>
      <c r="AH68" s="66">
        <f>'2028'!P29</f>
        <v>1.1599819418190428E-4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'2023'!A60</f>
        <v>44972</v>
      </c>
      <c r="B69" s="91">
        <f>'2023'!L60</f>
        <v>2.7891129719612051E-2</v>
      </c>
      <c r="C69" s="48">
        <f>'2023'!O60</f>
        <v>3.0114257950617826E-2</v>
      </c>
      <c r="D69" s="66">
        <f>'2023'!P60</f>
        <v>3.3695068980495661E-5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59">
        <f>'2028'!A60</f>
        <v>46798</v>
      </c>
      <c r="AF69" s="91">
        <f>'2028'!L60</f>
        <v>6.1321912245060006E-2</v>
      </c>
      <c r="AG69" s="48">
        <f>'2028'!O60</f>
        <v>3.9438502361930243E-2</v>
      </c>
      <c r="AH69" s="66">
        <f>'2028'!P60</f>
        <v>1.3618238546684634E-5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'2023'!A88</f>
        <v>45000</v>
      </c>
      <c r="B70" s="91">
        <f>'2023'!L88</f>
        <v>2.8412641631553659E-2</v>
      </c>
      <c r="C70" s="48">
        <f>'2023'!O88</f>
        <v>3.1893589833026141E-2</v>
      </c>
      <c r="D70" s="66">
        <f>'2023'!P88</f>
        <v>1.5342559460126934E-5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59">
        <f>'2028'!A88</f>
        <v>46826</v>
      </c>
      <c r="AF70" s="91">
        <f>'2028'!L88</f>
        <v>6.1825489384626175E-2</v>
      </c>
      <c r="AG70" s="48">
        <f>'2028'!O88</f>
        <v>4.1887646629386481E-2</v>
      </c>
      <c r="AH70" s="66">
        <f>'2028'!P88</f>
        <v>6.9539858997616737E-6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'2023'!A119</f>
        <v>45031</v>
      </c>
      <c r="B71" s="91">
        <f>'2023'!L119</f>
        <v>2.8989703477839579E-2</v>
      </c>
      <c r="C71" s="48">
        <f>'2023'!O119</f>
        <v>3.3942734517135698E-2</v>
      </c>
      <c r="D71" s="66">
        <f>'2023'!P119</f>
        <v>1.4030688725332639E-6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59">
        <f>'2028'!A119</f>
        <v>46857</v>
      </c>
      <c r="AF71" s="91">
        <f>'2028'!L119</f>
        <v>6.2382706098667473E-2</v>
      </c>
      <c r="AG71" s="48">
        <f>'2028'!O119</f>
        <v>4.468279966646814E-2</v>
      </c>
      <c r="AH71" s="66">
        <f>'2028'!P119</f>
        <v>6.4838329416954494E-7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'2023'!A149</f>
        <v>45061</v>
      </c>
      <c r="B72" s="91">
        <f>'2023'!L149</f>
        <v>2.9547824091089914E-2</v>
      </c>
      <c r="C72" s="48">
        <f>'2023'!O149</f>
        <v>1.1045859519857619E-2</v>
      </c>
      <c r="D72" s="66">
        <f>'2023'!P149</f>
        <v>0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59">
        <f>'2028'!A149</f>
        <v>46887</v>
      </c>
      <c r="AF72" s="91">
        <f>'2028'!L149</f>
        <v>6.2921632967868124E-2</v>
      </c>
      <c r="AG72" s="48">
        <f>'2028'!O149</f>
        <v>1.0922536744346628E-2</v>
      </c>
      <c r="AH72" s="66">
        <f>'2028'!P149</f>
        <v>0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'2023'!A180</f>
        <v>45092</v>
      </c>
      <c r="B73" s="91">
        <f>'2023'!L180</f>
        <v>3.0124211710318094E-2</v>
      </c>
      <c r="C73" s="48">
        <f>'2023'!O180</f>
        <v>1.5101385463141168E-2</v>
      </c>
      <c r="D73" s="66">
        <f>'2023'!P180</f>
        <v>-1.7016021344672509E-20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59">
        <f>'2028'!A180</f>
        <v>46918</v>
      </c>
      <c r="AF73" s="91">
        <f>'2028'!L180</f>
        <v>6.347819864149129E-2</v>
      </c>
      <c r="AG73" s="48">
        <f>'2028'!O180</f>
        <v>1.4979925440036254E-2</v>
      </c>
      <c r="AH73" s="66">
        <f>'2028'!P180</f>
        <v>0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'2023'!A210</f>
        <v>45122</v>
      </c>
      <c r="B74" s="91">
        <f>'2023'!L210</f>
        <v>3.068168022705331E-2</v>
      </c>
      <c r="C74" s="48">
        <f>'2023'!O210</f>
        <v>1.8836165020990135E-2</v>
      </c>
      <c r="D74" s="66">
        <f>'2023'!P210</f>
        <v>0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59">
        <f>'2028'!A210</f>
        <v>46948</v>
      </c>
      <c r="AF74" s="91">
        <f>'2028'!L210</f>
        <v>6.4016495839748222E-2</v>
      </c>
      <c r="AG74" s="48">
        <f>'2028'!O210</f>
        <v>1.8717822159789236E-2</v>
      </c>
      <c r="AH74" s="66">
        <f>'2028'!P210</f>
        <v>0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'2023'!A241</f>
        <v>45153</v>
      </c>
      <c r="B75" s="91">
        <f>'2023'!L241</f>
        <v>3.1257394406976613E-2</v>
      </c>
      <c r="C75" s="48">
        <f>'2023'!O241</f>
        <v>2.2438324760809945E-2</v>
      </c>
      <c r="D75" s="66">
        <f>'2023'!P241</f>
        <v>4.4670420300958817E-8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59">
        <f>'2028'!A241</f>
        <v>46979</v>
      </c>
      <c r="AF75" s="91">
        <f>'2028'!L241</f>
        <v>6.4572411233615568E-2</v>
      </c>
      <c r="AG75" s="48">
        <f>'2028'!O241</f>
        <v>2.2324097910395156E-2</v>
      </c>
      <c r="AH75" s="66">
        <f>'2028'!P241</f>
        <v>2.4832833535777864E-8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'2023'!A272</f>
        <v>45184</v>
      </c>
      <c r="B76" s="91">
        <f>'2023'!L272</f>
        <v>3.1832766648849042E-2</v>
      </c>
      <c r="C76" s="48">
        <f>'2023'!O272</f>
        <v>2.5829714780681468E-2</v>
      </c>
      <c r="D76" s="66">
        <f>'2023'!P272</f>
        <v>1.8028592304451102E-5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59">
        <f>'2028'!A272</f>
        <v>47010</v>
      </c>
      <c r="AF76" s="91">
        <f>'2028'!L272</f>
        <v>6.5127996448666958E-2</v>
      </c>
      <c r="AG76" s="48">
        <f>'2028'!O272</f>
        <v>2.5719824266455346E-2</v>
      </c>
      <c r="AH76" s="66">
        <f>'2028'!P272</f>
        <v>9.9224174008602768E-6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'2023'!A302</f>
        <v>45214</v>
      </c>
      <c r="B77" s="91">
        <f>'2023'!L302</f>
        <v>3.2389253116543726E-2</v>
      </c>
      <c r="C77" s="48">
        <f>'2023'!O302</f>
        <v>2.8749675507846708E-2</v>
      </c>
      <c r="D77" s="66">
        <f>'2023'!P302</f>
        <v>5.5541393836240938E-5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59">
        <f>'2028'!A302</f>
        <v>47040</v>
      </c>
      <c r="AF77" s="91">
        <f>'2028'!L302</f>
        <v>6.5665345370507833E-2</v>
      </c>
      <c r="AG77" s="48">
        <f>'2028'!O302</f>
        <v>2.8644650333139045E-2</v>
      </c>
      <c r="AH77" s="66">
        <f>'2028'!P302</f>
        <v>2.9380599403423858E-5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'2023'!A333</f>
        <v>45245</v>
      </c>
      <c r="B78" s="91">
        <f>'2023'!L333</f>
        <v>3.2963953105457078E-2</v>
      </c>
      <c r="C78" s="48">
        <f>'2023'!O333</f>
        <v>3.1293100129629006E-2</v>
      </c>
      <c r="D78" s="66">
        <f>'2023'!P333</f>
        <v>2.1973994587748169E-4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59">
        <f>'2028'!A333</f>
        <v>47071</v>
      </c>
      <c r="AF78" s="91">
        <f>'2028'!L333</f>
        <v>6.6220281451350727E-2</v>
      </c>
      <c r="AG78" s="48">
        <f>'2028'!O333</f>
        <v>3.1193800601627852E-2</v>
      </c>
      <c r="AH78" s="66">
        <f>'2028'!P333</f>
        <v>8.3181059067069339E-5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'2023'!A363</f>
        <v>45275</v>
      </c>
      <c r="B79" s="92">
        <f>'2023'!L363</f>
        <v>3.3519789385938359E-2</v>
      </c>
      <c r="C79" s="49">
        <f>'2023'!O363</f>
        <v>3.3834071398117657E-2</v>
      </c>
      <c r="D79" s="67">
        <f>'2023'!P363</f>
        <v>1.1103186742104068E-3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0">
        <f>'2028'!A363</f>
        <v>47101</v>
      </c>
      <c r="AF79" s="92">
        <f>'2028'!L363</f>
        <v>6.6757002545888677E-2</v>
      </c>
      <c r="AG79" s="49">
        <f>'2028'!O363</f>
        <v>3.3739197101447925E-2</v>
      </c>
      <c r="AH79" s="67">
        <f>'2028'!P363</f>
        <v>4.9946996963569411E-4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Z1:AA1"/>
    <mergeCell ref="W7:X7"/>
    <mergeCell ref="K7:L7"/>
    <mergeCell ref="M3:R3"/>
    <mergeCell ref="H1:K1"/>
    <mergeCell ref="B2:F2"/>
    <mergeCell ref="A3:F3"/>
    <mergeCell ref="G3:L3"/>
    <mergeCell ref="Q7:R7"/>
    <mergeCell ref="AB11:AC11"/>
    <mergeCell ref="AH11:AI11"/>
    <mergeCell ref="E7:F7"/>
    <mergeCell ref="AI7:AJ7"/>
    <mergeCell ref="V11:W11"/>
    <mergeCell ref="P11:Q11"/>
    <mergeCell ref="J11:K11"/>
    <mergeCell ref="D11:E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N6:AO6"/>
    <mergeCell ref="AT6:AU6"/>
    <mergeCell ref="AZ11:BA11"/>
    <mergeCell ref="AO7:AP7"/>
    <mergeCell ref="BA7:BB7"/>
    <mergeCell ref="AT11:AU11"/>
    <mergeCell ref="AN11:AO11"/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</mergeCells>
  <conditionalFormatting sqref="B5 H5 N5 T5 Z5 AF5 AL5 AR5 AX5 BD5 BJ5 BP5 BV5">
    <cfRule type="expression" dxfId="31" priority="132" stopIfTrue="1">
      <formula>AND(B5="D",C5&lt;&gt;"D")</formula>
    </cfRule>
    <cfRule type="expression" dxfId="30" priority="992" stopIfTrue="1">
      <formula>YEAR(B5)&lt;&gt;A3</formula>
    </cfRule>
  </conditionalFormatting>
  <conditionalFormatting sqref="B4 H4 N4 T4 Z4 AF4 AL4 AR4 AX4 BD4 BJ4 BP4 BV4">
    <cfRule type="expression" dxfId="29" priority="133" stopIfTrue="1">
      <formula>YEAR(B4)&lt;&gt;A3</formula>
    </cfRule>
    <cfRule type="expression" dxfId="28" priority="149" stopIfTrue="1">
      <formula>AND(B4="D",C4&lt;&gt;"D")</formula>
    </cfRule>
  </conditionalFormatting>
  <conditionalFormatting sqref="B6 H6 N6 T6 Z6 AF6 AL6 AR6 AX6 BD6 BJ6 BP6 BV6">
    <cfRule type="expression" dxfId="27" priority="154" stopIfTrue="1">
      <formula>YEAR(B6)&lt;&gt;A3</formula>
    </cfRule>
  </conditionalFormatting>
  <conditionalFormatting sqref="C4:BY6">
    <cfRule type="cellIs" dxfId="26" priority="1162" stopIfTrue="1" operator="equal">
      <formula>"D"</formula>
    </cfRule>
  </conditionalFormatting>
  <conditionalFormatting sqref="B6 H6 N6 T6 Z6 AL6 AR6 BD6 BJ6 BP6 BV6 AF6 AX6">
    <cfRule type="expression" dxfId="25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4" priority="4" stopIfTrue="1">
      <formula>B6&lt;&gt;"D"</formula>
    </cfRule>
  </conditionalFormatting>
  <conditionalFormatting sqref="E7 K7 Q7 W7 AC7 AI7 AO7 AU7 BA7 BG7 BM7 BS7 BY7">
    <cfRule type="cellIs" dxfId="23" priority="5" stopIfTrue="1" operator="lessThan">
      <formula>0.01</formula>
    </cfRule>
    <cfRule type="cellIs" dxfId="22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1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0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7">
        <f>YEAR(E6)</f>
        <v>2019</v>
      </c>
      <c r="K1" s="1278"/>
      <c r="L1" s="113" t="str">
        <f>"Calcul pertes et enveloppes en "&amp;TEXT(An,0)</f>
        <v>Calcul pertes et enveloppes en 2019</v>
      </c>
      <c r="M1" s="242"/>
      <c r="N1" s="242"/>
      <c r="O1" s="456"/>
      <c r="P1" s="456"/>
      <c r="Q1" s="456"/>
      <c r="R1" s="456"/>
      <c r="S1" s="456"/>
      <c r="T1" s="456"/>
      <c r="U1" s="456"/>
      <c r="V1" s="456"/>
      <c r="W1" s="454"/>
      <c r="X1" s="485" t="str">
        <f>"Prévision sans nettoyage ni taille végétation en "&amp;TEXT(An,0)</f>
        <v>Prévision sans nettoyage ni taille végétation en 2019</v>
      </c>
      <c r="Y1" s="486"/>
      <c r="Z1" s="487"/>
      <c r="AA1" s="488"/>
      <c r="AB1" s="489"/>
      <c r="AC1" s="490"/>
      <c r="AD1" s="490"/>
      <c r="AE1" s="490"/>
      <c r="AF1" s="456"/>
      <c r="AG1" s="456"/>
      <c r="AH1" s="456"/>
      <c r="AI1" s="490"/>
      <c r="AL1" s="817" t="s">
        <v>264</v>
      </c>
    </row>
    <row r="2" spans="1:40" s="6" customFormat="1" ht="16.5" thickBot="1" x14ac:dyDescent="0.3"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96"/>
      <c r="AD2" s="496"/>
      <c r="AE2" s="496"/>
      <c r="AF2" s="460"/>
      <c r="AG2" s="497"/>
      <c r="AH2" s="498"/>
      <c r="AI2" s="496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82">
        <v>44947</v>
      </c>
      <c r="F3" s="1283"/>
      <c r="G3" s="605">
        <f>YEAR(Tmaj)</f>
        <v>2023</v>
      </c>
      <c r="H3" s="563"/>
      <c r="I3" s="563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503"/>
      <c r="AD3" s="493"/>
      <c r="AE3" s="503"/>
      <c r="AF3" s="493"/>
      <c r="AG3" s="497"/>
      <c r="AH3" s="498"/>
      <c r="AI3" s="503"/>
      <c r="AJ3" s="821">
        <f>AL11-AJ11</f>
        <v>0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thickBot="1" x14ac:dyDescent="0.3">
      <c r="D4" s="105" t="s">
        <v>133</v>
      </c>
      <c r="E4" s="1284" t="s">
        <v>324</v>
      </c>
      <c r="F4" s="1285"/>
      <c r="G4" s="1285"/>
      <c r="H4" s="1285"/>
      <c r="I4" s="1286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503"/>
      <c r="AD4" s="503"/>
      <c r="AE4" s="503"/>
      <c r="AF4" s="493"/>
      <c r="AG4" s="497"/>
      <c r="AH4" s="498"/>
      <c r="AI4" s="503"/>
      <c r="AJ4" s="821">
        <f>AL12-AJ12</f>
        <v>0</v>
      </c>
      <c r="AK4" s="822">
        <f>AM12-AK12</f>
        <v>0</v>
      </c>
      <c r="AL4" s="821"/>
      <c r="AM4" s="822"/>
      <c r="AN4" s="820" t="s">
        <v>266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82">
        <v>43496</v>
      </c>
      <c r="F5" s="1283"/>
      <c r="G5" s="558"/>
      <c r="H5" s="558"/>
      <c r="I5" s="558"/>
      <c r="J5" s="19"/>
      <c r="K5" s="192"/>
      <c r="L5" s="504"/>
      <c r="M5" s="503"/>
      <c r="N5" s="503"/>
      <c r="O5" s="426"/>
      <c r="P5" s="506"/>
      <c r="Q5" s="506"/>
      <c r="R5" s="493"/>
      <c r="S5" s="497"/>
      <c r="T5" s="497"/>
      <c r="U5" s="493"/>
      <c r="V5" s="505"/>
      <c r="W5" s="506"/>
      <c r="X5" s="507"/>
      <c r="Y5" s="508"/>
      <c r="Z5" s="235">
        <f>Wh_Psa_s-Wh_Psa</f>
        <v>0</v>
      </c>
      <c r="AA5" s="236">
        <f>Wh_Pvg_s-Wh_Pvg</f>
        <v>0</v>
      </c>
      <c r="AB5" s="512" t="s">
        <v>6</v>
      </c>
      <c r="AC5" s="493"/>
      <c r="AD5" s="503"/>
      <c r="AE5" s="506"/>
      <c r="AF5" s="493"/>
      <c r="AG5" s="497"/>
      <c r="AH5" s="498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262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82">
        <v>43535</v>
      </c>
      <c r="F6" s="1283"/>
      <c r="G6" s="574"/>
      <c r="H6" s="555"/>
      <c r="I6" s="555"/>
      <c r="J6" s="35"/>
      <c r="K6" s="193"/>
      <c r="L6" s="154" t="s">
        <v>83</v>
      </c>
      <c r="M6" s="41"/>
      <c r="N6" s="41"/>
      <c r="O6" s="506"/>
      <c r="P6" s="496"/>
      <c r="Q6" s="496"/>
      <c r="R6" s="513"/>
      <c r="S6" s="497"/>
      <c r="T6" s="497"/>
      <c r="U6" s="513"/>
      <c r="V6" s="498"/>
      <c r="W6" s="460"/>
      <c r="X6" s="495"/>
      <c r="Y6" s="496"/>
      <c r="Z6" s="460"/>
      <c r="AA6" s="460"/>
      <c r="AB6" s="514"/>
      <c r="AC6" s="498"/>
      <c r="AD6" s="513"/>
      <c r="AE6" s="513"/>
      <c r="AF6" s="498"/>
      <c r="AG6" s="497"/>
      <c r="AH6" s="497"/>
      <c r="AI6" s="498"/>
      <c r="AJ6" s="514">
        <f>SUMIF(AJ15:AJ380,"FAUX",Wh)</f>
        <v>10361.953000000012</v>
      </c>
      <c r="AK6" s="514">
        <f>SUMIF(AK15:AK380,"FAUX",Wh)</f>
        <v>10361.953000000012</v>
      </c>
      <c r="AL6" s="514">
        <f>SUMIF(AJ15:AJ380,"FAUX",Wh_s)</f>
        <v>10361.953000000012</v>
      </c>
      <c r="AM6" s="514">
        <f>SUMIF(AK15:AK380,"FAUX",Wh_s)</f>
        <v>10361.953000000012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AND(YEAR(Tnet)=An,Resal_2019="I")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496"/>
      <c r="P7" s="247"/>
      <c r="Q7" s="247"/>
      <c r="R7" s="515"/>
      <c r="S7" s="515"/>
      <c r="T7" s="515"/>
      <c r="U7" s="247"/>
      <c r="V7" s="426"/>
      <c r="W7" s="516"/>
      <c r="X7" s="517"/>
      <c r="Y7" s="247"/>
      <c r="Z7" s="516"/>
      <c r="AA7" s="516"/>
      <c r="AB7" s="247"/>
      <c r="AC7" s="496"/>
      <c r="AD7" s="247"/>
      <c r="AE7" s="247"/>
      <c r="AF7" s="491"/>
      <c r="AG7" s="491"/>
      <c r="AH7" s="491"/>
      <c r="AI7" s="491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19" t="b">
        <f>AND(YEAR(Tnet)=An,Tnet&gt;T0,Resal_2019&lt;&gt;"I")</f>
        <v>0</v>
      </c>
      <c r="F8" s="320" t="b">
        <f>AND(YEAR(Ttai)=An,Ttai&gt;DATE(An,1,1))</f>
        <v>0</v>
      </c>
      <c r="H8" s="179" t="s">
        <v>76</v>
      </c>
      <c r="I8" s="98"/>
      <c r="J8" s="158"/>
      <c r="K8" s="191"/>
      <c r="L8" s="114"/>
      <c r="M8" s="114"/>
      <c r="N8" s="114"/>
      <c r="O8" s="518" t="s">
        <v>95</v>
      </c>
      <c r="P8" s="496"/>
      <c r="Q8" s="496"/>
      <c r="R8" s="496"/>
      <c r="S8" s="496"/>
      <c r="T8" s="496"/>
      <c r="U8" s="496"/>
      <c r="W8" s="402"/>
      <c r="X8" s="1275" t="s">
        <v>102</v>
      </c>
      <c r="Y8" s="1276"/>
      <c r="Z8" s="496"/>
      <c r="AA8" s="496"/>
      <c r="AB8" s="460"/>
      <c r="AC8" s="518" t="s">
        <v>95</v>
      </c>
      <c r="AD8" s="460"/>
      <c r="AE8" s="460"/>
      <c r="AF8" s="460"/>
      <c r="AG8" s="460"/>
      <c r="AH8" s="460"/>
      <c r="AI8" s="460"/>
      <c r="AJ8" s="514">
        <f>SUMIF(AJ15:AJ380,"FAUX",Wh_pvt)</f>
        <v>10394.58862161383</v>
      </c>
      <c r="AK8" s="514">
        <f>SUMIF(AK15:AK380,"FAUX",Wh_sa)</f>
        <v>10575.217071204985</v>
      </c>
      <c r="AL8" s="514">
        <f>SUMIF(AJ15:AJ380,"FAUX",Wh_pvt_s)</f>
        <v>10394.58862161383</v>
      </c>
      <c r="AM8" s="514">
        <f>SUMIF(AK15:AK380,"FAUX",Wh_sa_s)</f>
        <v>10575.217071204985</v>
      </c>
      <c r="AN8" s="820" t="s">
        <v>255</v>
      </c>
    </row>
    <row r="9" spans="1:40" s="19" customFormat="1" ht="15" customHeight="1" x14ac:dyDescent="0.25">
      <c r="A9" s="183"/>
      <c r="D9" s="73">
        <f>SUM(D$15:D$380)</f>
        <v>10394.58862161383</v>
      </c>
      <c r="E9" s="73">
        <f>SUM(E$15:E$380)</f>
        <v>10575.217071204985</v>
      </c>
      <c r="F9" s="73">
        <f>SUM(F$15:F$380)</f>
        <v>10575.251860749995</v>
      </c>
      <c r="H9" s="1279">
        <f>+SUM(Wh)</f>
        <v>10361.953000000012</v>
      </c>
      <c r="I9" s="1280"/>
      <c r="J9" s="1281"/>
      <c r="K9" s="191"/>
      <c r="L9" s="114"/>
      <c r="M9" s="114"/>
      <c r="N9" s="114"/>
      <c r="O9" s="324">
        <f>MAX(T0,Tnet_2019)</f>
        <v>43496</v>
      </c>
      <c r="P9" s="243" t="s">
        <v>112</v>
      </c>
      <c r="Q9" s="244"/>
      <c r="R9" s="244"/>
      <c r="S9" s="244"/>
      <c r="T9" s="244"/>
      <c r="U9" s="244"/>
      <c r="V9" s="460"/>
      <c r="W9" s="519"/>
      <c r="X9" s="1273">
        <f>+SUM(Wh_s)</f>
        <v>10361.953000000012</v>
      </c>
      <c r="Y9" s="1274"/>
      <c r="Z9" s="514">
        <f>SUM(Z$15:Z$380)</f>
        <v>10394.58862161383</v>
      </c>
      <c r="AA9" s="514">
        <f>SUM(AA$15:AA$380)</f>
        <v>10575.217071204985</v>
      </c>
      <c r="AB9" s="514">
        <f>F9</f>
        <v>10575.251860749995</v>
      </c>
      <c r="AC9" s="324">
        <f>IF(An_Tnet,Tnet,T0)</f>
        <v>43496</v>
      </c>
      <c r="AD9" s="314" t="s">
        <v>103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114"/>
      <c r="M10" s="114"/>
      <c r="N10" s="114"/>
      <c r="O10" s="317">
        <f>IF(Inflex,Salim_i*(1-EXP((T0-Tnet)/Tau_j)),IF(Acti_net,Resal_2019,0))</f>
        <v>0</v>
      </c>
      <c r="P10" s="419" t="b">
        <f>NOT(Acti_tai)</f>
        <v>1</v>
      </c>
      <c r="Q10" s="256">
        <f>IF(Acti_tai,0,Dens-Dd)</f>
        <v>0</v>
      </c>
      <c r="R10" s="259"/>
      <c r="S10" s="260"/>
      <c r="T10" s="262"/>
      <c r="U10" s="265">
        <f>IF(Acti_tai,PousHi,Htf_2019-H_i)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IF(OR(Inflex,GainD),Salim_i*(1-EXP((T0-Tnet)/Tau_ij)),IF(Acti_net,Salim_i*(1-EXP((T0-Tnet)/Tau_ij)),0))</f>
        <v>0</v>
      </c>
      <c r="AD10" s="426"/>
      <c r="AE10" s="426"/>
      <c r="AF10" s="259"/>
      <c r="AG10" s="260"/>
      <c r="AH10" s="261"/>
      <c r="AI10" s="426"/>
      <c r="AJ10" s="514">
        <f>SUMIF(AJ15:AJ380,"FAUX",Wh_sa)</f>
        <v>10575.217071204985</v>
      </c>
      <c r="AK10" s="514">
        <f>SUMIF(AK15:AK380,"FAUX",Wh_hp)</f>
        <v>10575.251860749995</v>
      </c>
      <c r="AL10" s="514">
        <f>SUMIF(AJ15:AJ380,"FAUX",Wh_sa_s)</f>
        <v>10575.217071204985</v>
      </c>
      <c r="AM10" s="514">
        <f>SUMIF(AK15:AK380,"FAUX",Wh_hp)</f>
        <v>10575.251860749995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217">
        <f>D$9-Prod_an</f>
        <v>32.63562161381742</v>
      </c>
      <c r="E11" s="218">
        <f>(E$9-D$9)*Prod_an/D$9</f>
        <v>180.06133510994408</v>
      </c>
      <c r="F11" s="219">
        <f>(F$9-E$9)*Prod_an/E$9</f>
        <v>3.4087965084989458E-2</v>
      </c>
      <c r="G11" s="185" t="s">
        <v>6</v>
      </c>
      <c r="K11" s="194"/>
      <c r="L11" s="182">
        <f>Tvie_2019</f>
        <v>43496</v>
      </c>
      <c r="M11" s="831"/>
      <c r="N11" s="831"/>
      <c r="O11" s="317">
        <f>Salim_2019</f>
        <v>0.12</v>
      </c>
      <c r="P11" s="255">
        <f>Ttai_2019</f>
        <v>43466</v>
      </c>
      <c r="Q11" s="271">
        <f>Dens_2019</f>
        <v>0.6</v>
      </c>
      <c r="R11" s="522"/>
      <c r="S11" s="246"/>
      <c r="T11" s="523"/>
      <c r="U11" s="265">
        <f>Htf_2019</f>
        <v>-1.0008874621829826</v>
      </c>
      <c r="V11" s="426"/>
      <c r="W11" s="517"/>
      <c r="X11" s="524" t="s">
        <v>43</v>
      </c>
      <c r="Y11" s="50">
        <f>Z$9-Prod_an_s</f>
        <v>32.63562161381742</v>
      </c>
      <c r="Z11" s="51">
        <f>(AA$9-Z$9)*Prod_an_s/Z$9</f>
        <v>180.06133510994408</v>
      </c>
      <c r="AA11" s="186">
        <f>(AB$9-AA$9)*Prod_an_s/AA$9</f>
        <v>3.4087965084989458E-2</v>
      </c>
      <c r="AB11" s="525" t="s">
        <v>6</v>
      </c>
      <c r="AC11" s="471"/>
      <c r="AD11" s="255"/>
      <c r="AE11" s="271" t="str">
        <f>IF(Acti_tai,IF(GainD,Di,Dd)+PousD*Croi_tai,"NA")</f>
        <v>NA</v>
      </c>
      <c r="AF11" s="246"/>
      <c r="AG11" s="246"/>
      <c r="AH11" s="246"/>
      <c r="AI11" s="265" t="str">
        <f>IF(Acti_tai,IF(GainD,H_i,Hdd)+PousH*Croi_tai,"NA")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0" t="s">
        <v>17</v>
      </c>
      <c r="G12" s="109">
        <f>G383-1</f>
        <v>4.6252475330259335E-2</v>
      </c>
      <c r="I12" s="102"/>
      <c r="J12" s="99"/>
      <c r="K12" s="191"/>
      <c r="L12" s="204">
        <f>Pspv_2019</f>
        <v>0</v>
      </c>
      <c r="M12" s="212"/>
      <c r="N12" s="212"/>
      <c r="O12" s="526">
        <f>Tau_2019*365</f>
        <v>1095</v>
      </c>
      <c r="P12" s="527">
        <f>INDEX(Croivg,MIN(MAX(Ttai-$A$15,0)+1,366))</f>
        <v>2.3909964587625958E-6</v>
      </c>
      <c r="Q12" s="295">
        <f>D_i</f>
        <v>0.6</v>
      </c>
      <c r="R12" s="277"/>
      <c r="S12" s="278"/>
      <c r="T12" s="528"/>
      <c r="U12" s="296">
        <f>H_i</f>
        <v>-1.5008874621829826</v>
      </c>
      <c r="V12" s="516"/>
      <c r="W12" s="503"/>
      <c r="X12" s="504"/>
      <c r="Y12" s="503"/>
      <c r="Z12" s="426"/>
      <c r="AA12" s="426"/>
      <c r="AB12" s="503"/>
      <c r="AC12" s="317" t="b">
        <f>NOT(An_Tnet)</f>
        <v>0</v>
      </c>
      <c r="AD12" s="426"/>
      <c r="AE12" s="295">
        <f>D_i</f>
        <v>0.6</v>
      </c>
      <c r="AF12" s="203"/>
      <c r="AG12" s="203"/>
      <c r="AH12" s="203"/>
      <c r="AI12" s="296">
        <f>H_i</f>
        <v>-1.5008874621829826</v>
      </c>
      <c r="AJ12" s="821">
        <f>IF($AJ8=0,0,($AJ10-$AJ8)*$AJ6/$AJ8)</f>
        <v>180.06133510994408</v>
      </c>
      <c r="AK12" s="822">
        <f>IF($AK8=0,0,($AK10-$AK8)*$AK6/$AK8)</f>
        <v>3.4087965084989458E-2</v>
      </c>
      <c r="AL12" s="821">
        <f>IF($AL8=0,0,($AL10-$AL8)*$AL6/$AL8)</f>
        <v>180.06133510994408</v>
      </c>
      <c r="AM12" s="822">
        <f>IF($AM8=0,0,($AM10-$AM8)*$AM6/$AM8)</f>
        <v>3.4087965084989458E-2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200</v>
      </c>
      <c r="V13" s="124" t="s">
        <v>41</v>
      </c>
      <c r="W13" s="825" t="s">
        <v>46</v>
      </c>
      <c r="X13" s="258"/>
      <c r="Y13" s="124" t="s">
        <v>119</v>
      </c>
      <c r="Z13" s="124" t="s">
        <v>120</v>
      </c>
      <c r="AA13" s="124" t="s">
        <v>121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180.06133510994408</v>
      </c>
      <c r="AK13" s="73">
        <f>+AK11+AK12</f>
        <v>3.4087965084989458E-2</v>
      </c>
      <c r="AL13" s="73">
        <f>+AL11+AL12</f>
        <v>180.06133510994408</v>
      </c>
      <c r="AM13" s="73">
        <f>+AM11+AM12</f>
        <v>3.4087965084989458E-2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387" t="s">
        <v>186</v>
      </c>
      <c r="C14" s="387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205</v>
      </c>
      <c r="V14" s="45" t="str">
        <f>"Enveloppe "&amp; TEXT(An,0)</f>
        <v>Enveloppe 2019</v>
      </c>
      <c r="W14" s="433"/>
      <c r="X14" s="155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56">
        <f>DATE(An,1,1)</f>
        <v>43466</v>
      </c>
      <c r="B15" s="610"/>
      <c r="C15" s="840"/>
      <c r="D15" s="391"/>
      <c r="E15" s="383"/>
      <c r="F15" s="383"/>
      <c r="G15" s="110"/>
      <c r="I15" s="378">
        <f t="shared" ref="I15:I78" si="0">Wh_hp</f>
        <v>0</v>
      </c>
      <c r="J15" s="84">
        <v>2018</v>
      </c>
      <c r="K15" s="197">
        <f t="shared" ref="K15:K78" si="1">t</f>
        <v>43466</v>
      </c>
      <c r="L15" s="435">
        <f t="shared" ref="L15:L78" si="2">IF(t&lt;T0,0,IF(t&lt;Tvie,1-EXP((T0-t)*PertePVj),1-EXP((T0-t)*PertePVj)+Pspv))</f>
        <v>0</v>
      </c>
      <c r="M15" s="842"/>
      <c r="N15" s="842"/>
      <c r="O15" s="323">
        <f t="shared" ref="O15:O78" si="3">IF(t&lt;T0,0,IF(t&lt;Tnet,Salim_i*(1-EXP((T0-t)/Tau_ij)),Resal+(Salim-Resal)*(1-EXP((Tnet-t)/(Tau_j)))))*Salcycl</f>
        <v>0</v>
      </c>
      <c r="P15" s="301">
        <f>(INDEX(Models!$BJ15:$BT15,,T15)*(1-R15)+INDEX(Models!$BJ15:$BT15,,T15+1)*R15-ERP_i)*Q15*Ramure*Pc/MaxiM</f>
        <v>2.295957854493387E-10</v>
      </c>
      <c r="Q15" s="302">
        <f>IF(OR(t&lt;Ttai,Notai),Dd+PousD*Croivg,Dens+PousD*(Croivg-Croi_tai))</f>
        <v>0.6</v>
      </c>
      <c r="R15" s="303">
        <f t="shared" ref="R15:R78" si="4">(Hp_vg-S15)/(INDEX(Echel_vg,T15+1)-S15)</f>
        <v>0.49911373331524667</v>
      </c>
      <c r="S15" s="798">
        <f>INDEX(Echel_vg,T15)</f>
        <v>-2</v>
      </c>
      <c r="T15" s="248">
        <f>MIN(MATCH(Hp_vg,Echel_vg),10)</f>
        <v>4</v>
      </c>
      <c r="U15" s="249">
        <f>IF(OR(t&lt;Ttai,Notai),Hdd+PousH*Croivg,Hdtf+PousH*(Croivg-Croi_tai))</f>
        <v>-1.5008862666847533</v>
      </c>
      <c r="V15" s="381">
        <f t="shared" ref="V15:V78" si="5">MaxiM*(1-Ppv)*(1-Pvg)*(1-Psa)</f>
        <v>28.589092868360403</v>
      </c>
      <c r="W15" s="58"/>
      <c r="X15" s="156">
        <f t="shared" ref="X15:X78" si="6">t</f>
        <v>43466</v>
      </c>
      <c r="Y15" s="383">
        <f t="shared" ref="Y15:Y78" si="7">Wh_pvt_s*(1-Ppv)</f>
        <v>0</v>
      </c>
      <c r="Z15" s="383">
        <f t="shared" ref="Z15:Z78" si="8">Wh_sa_s*(1-Psa_s)</f>
        <v>0</v>
      </c>
      <c r="AA15" s="384">
        <f t="shared" ref="AA15:AA78" si="9">Wh_hp*(1-Pvg_s*MEDIAN((-Sdif+Wh/Env_an)/Csdif,0,1))</f>
        <v>0</v>
      </c>
      <c r="AB15" s="197">
        <f t="shared" ref="AB15:AB78" si="10">t</f>
        <v>43466</v>
      </c>
      <c r="AC15" s="452">
        <f t="shared" ref="AC15:AC78" si="11">IF(t&lt;T0,0,IF(OR(t&lt;Tnet,NoTnet),Salim_i*(1-EXP((T0-t)/Tau_ij)),Resal_s+(Salim-Resal_s)*(1-EXP((Tnet_s-t)/Tau_j))))*Salcycl</f>
        <v>0</v>
      </c>
      <c r="AD15" s="301">
        <f>(INDEX(Models!$BJ15:$BT15,,AH15)*(1-AF15)+INDEX(Models!$BJ15:$BT15,,AH15+1)*AF15-ERP_i)*AE15*Ramure*Pc/MaxiM</f>
        <v>2.295957854493387E-10</v>
      </c>
      <c r="AE15" s="302">
        <f t="shared" ref="AE15:AE78" si="12">Dd+PousD*Croivg</f>
        <v>0.6</v>
      </c>
      <c r="AF15" s="303">
        <f t="shared" ref="AF15:AF78" si="13">(Hp_vg_s-AG15)/(INDEX(Echel_vg,AH15+1)-AG15)</f>
        <v>0.49911373331524667</v>
      </c>
      <c r="AG15" s="798">
        <f>INDEX(Echel_vg,AH15)</f>
        <v>-2</v>
      </c>
      <c r="AH15" s="248">
        <f t="shared" ref="AH15:AH78" si="14">MIN(MATCH(Hp_vg_s,Echel_vg),10)</f>
        <v>4</v>
      </c>
      <c r="AI15" s="223">
        <f t="shared" ref="AI15:AI78" si="15">Hdd+PousH*Croivg</f>
        <v>-1.5008862666847533</v>
      </c>
      <c r="AJ15" s="264" t="b">
        <f t="shared" ref="AJ15:AJ78" si="16">t&lt;Tnet</f>
        <v>1</v>
      </c>
      <c r="AK15" s="264" t="b">
        <f t="shared" ref="AK15:AK78" si="17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8">A15+1</f>
        <v>43467</v>
      </c>
      <c r="B16" s="607"/>
      <c r="C16" s="388"/>
      <c r="D16" s="391"/>
      <c r="E16" s="383"/>
      <c r="F16" s="383"/>
      <c r="G16" s="110"/>
      <c r="I16" s="379">
        <f t="shared" si="0"/>
        <v>0</v>
      </c>
      <c r="J16" s="85">
        <v>2018</v>
      </c>
      <c r="K16" s="197">
        <f t="shared" si="1"/>
        <v>43467</v>
      </c>
      <c r="L16" s="435">
        <f t="shared" si="2"/>
        <v>0</v>
      </c>
      <c r="M16" s="842"/>
      <c r="N16" s="842"/>
      <c r="O16" s="323">
        <f t="shared" si="3"/>
        <v>0</v>
      </c>
      <c r="P16" s="169">
        <f>(INDEX(Models!$BJ16:$BT16,,T16)*(1-R16)+INDEX(Models!$BJ16:$BT16,,T16+1)*R16-ERP_i)*Q16*Ramure*Pc/MaxiM</f>
        <v>5.5178323639899391E-9</v>
      </c>
      <c r="Q16" s="304">
        <f t="shared" ref="Q16:Q78" si="19">IF(OR(t&lt;Ttai,Notai),Dd+PousD*Croivg,Dens+PousD*(Croivg-Croi_tai))</f>
        <v>0.6</v>
      </c>
      <c r="R16" s="177">
        <f t="shared" si="4"/>
        <v>0.49914294792924108</v>
      </c>
      <c r="S16" s="799">
        <f t="shared" ref="S16:S79" si="20">INDEX(Echel_vg,T16)</f>
        <v>-2</v>
      </c>
      <c r="T16" s="176">
        <f t="shared" ref="T16:T78" si="21">MIN(MATCH(Hp_vg,Echel_vg),10)</f>
        <v>4</v>
      </c>
      <c r="U16" s="250">
        <f t="shared" ref="U16:U78" si="22">IF(OR(t&lt;Ttai,Notai),Hdd+PousH*Croivg,Hdtf+PousH*(Croivg-Croi_tai))</f>
        <v>-1.5008570520707589</v>
      </c>
      <c r="V16" s="382">
        <f t="shared" si="5"/>
        <v>28.739310876994786</v>
      </c>
      <c r="W16" s="58"/>
      <c r="X16" s="157">
        <f t="shared" si="6"/>
        <v>43467</v>
      </c>
      <c r="Y16" s="383">
        <f t="shared" si="7"/>
        <v>0</v>
      </c>
      <c r="Z16" s="383">
        <f t="shared" si="8"/>
        <v>0</v>
      </c>
      <c r="AA16" s="384">
        <f t="shared" si="9"/>
        <v>0</v>
      </c>
      <c r="AB16" s="197">
        <f t="shared" si="10"/>
        <v>43467</v>
      </c>
      <c r="AC16" s="424">
        <f t="shared" si="11"/>
        <v>0</v>
      </c>
      <c r="AD16" s="169">
        <f>(INDEX(Models!$BJ16:$BT16,,AH16)*(1-AF16)+INDEX(Models!$BJ16:$BT16,,AH16+1)*AF16-ERP_i)*AE16*Ramure*Pc/MaxiM</f>
        <v>5.5178323639899391E-9</v>
      </c>
      <c r="AE16" s="304">
        <f t="shared" si="12"/>
        <v>0.6</v>
      </c>
      <c r="AF16" s="177">
        <f t="shared" si="13"/>
        <v>0.49914294792924108</v>
      </c>
      <c r="AG16" s="799">
        <f t="shared" ref="AG16:AG78" si="23">INDEX(Echel_vg,AH16)</f>
        <v>-2</v>
      </c>
      <c r="AH16" s="176">
        <f t="shared" si="14"/>
        <v>4</v>
      </c>
      <c r="AI16" s="224">
        <f t="shared" si="15"/>
        <v>-1.5008570520707589</v>
      </c>
      <c r="AJ16" s="264" t="b">
        <f t="shared" si="16"/>
        <v>1</v>
      </c>
      <c r="AK16" s="264" t="b">
        <f t="shared" si="17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8"/>
        <v>43468</v>
      </c>
      <c r="B17" s="607"/>
      <c r="C17" s="388"/>
      <c r="D17" s="391"/>
      <c r="E17" s="383"/>
      <c r="F17" s="383"/>
      <c r="G17" s="110"/>
      <c r="I17" s="379">
        <f t="shared" si="0"/>
        <v>0</v>
      </c>
      <c r="J17" s="85">
        <v>2018</v>
      </c>
      <c r="K17" s="197">
        <f t="shared" si="1"/>
        <v>43468</v>
      </c>
      <c r="L17" s="435">
        <f t="shared" si="2"/>
        <v>0</v>
      </c>
      <c r="M17" s="842"/>
      <c r="N17" s="842"/>
      <c r="O17" s="323">
        <f t="shared" si="3"/>
        <v>0</v>
      </c>
      <c r="P17" s="169">
        <f>(INDEX(Models!$BJ17:$BT17,,T17)*(1-R17)+INDEX(Models!$BJ17:$BT17,,T17+1)*R17-ERP_i)*Q17*Ramure*Pc/MaxiM</f>
        <v>1.0409453856692066E-8</v>
      </c>
      <c r="Q17" s="304">
        <f t="shared" si="19"/>
        <v>0.6</v>
      </c>
      <c r="R17" s="177">
        <f t="shared" si="4"/>
        <v>0.49917338452473059</v>
      </c>
      <c r="S17" s="799">
        <f t="shared" si="20"/>
        <v>-2</v>
      </c>
      <c r="T17" s="176">
        <f t="shared" si="21"/>
        <v>4</v>
      </c>
      <c r="U17" s="250">
        <f t="shared" si="22"/>
        <v>-1.5008266154752694</v>
      </c>
      <c r="V17" s="382">
        <f t="shared" si="5"/>
        <v>28.899640914475054</v>
      </c>
      <c r="W17" s="58"/>
      <c r="X17" s="157">
        <f t="shared" si="6"/>
        <v>43468</v>
      </c>
      <c r="Y17" s="383">
        <f t="shared" si="7"/>
        <v>0</v>
      </c>
      <c r="Z17" s="383">
        <f t="shared" si="8"/>
        <v>0</v>
      </c>
      <c r="AA17" s="384">
        <f t="shared" si="9"/>
        <v>0</v>
      </c>
      <c r="AB17" s="197">
        <f t="shared" si="10"/>
        <v>43468</v>
      </c>
      <c r="AC17" s="424">
        <f t="shared" si="11"/>
        <v>0</v>
      </c>
      <c r="AD17" s="169">
        <f>(INDEX(Models!$BJ17:$BT17,,AH17)*(1-AF17)+INDEX(Models!$BJ17:$BT17,,AH17+1)*AF17-ERP_i)*AE17*Ramure*Pc/MaxiM</f>
        <v>1.0409453856692066E-8</v>
      </c>
      <c r="AE17" s="304">
        <f t="shared" si="12"/>
        <v>0.6</v>
      </c>
      <c r="AF17" s="177">
        <f t="shared" si="13"/>
        <v>0.49917338452473059</v>
      </c>
      <c r="AG17" s="799">
        <f t="shared" si="23"/>
        <v>-2</v>
      </c>
      <c r="AH17" s="176">
        <f t="shared" si="14"/>
        <v>4</v>
      </c>
      <c r="AI17" s="224">
        <f t="shared" si="15"/>
        <v>-1.5008266154752694</v>
      </c>
      <c r="AJ17" s="264" t="b">
        <f t="shared" si="16"/>
        <v>1</v>
      </c>
      <c r="AK17" s="264" t="b">
        <f t="shared" si="17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8"/>
        <v>43469</v>
      </c>
      <c r="B18" s="607"/>
      <c r="C18" s="388"/>
      <c r="D18" s="391"/>
      <c r="E18" s="383"/>
      <c r="F18" s="383"/>
      <c r="G18" s="110"/>
      <c r="I18" s="379">
        <f t="shared" si="0"/>
        <v>0</v>
      </c>
      <c r="J18" s="85">
        <v>2018</v>
      </c>
      <c r="K18" s="197">
        <f t="shared" si="1"/>
        <v>43469</v>
      </c>
      <c r="L18" s="435">
        <f t="shared" si="2"/>
        <v>0</v>
      </c>
      <c r="M18" s="842"/>
      <c r="N18" s="842"/>
      <c r="O18" s="323">
        <f t="shared" si="3"/>
        <v>0</v>
      </c>
      <c r="P18" s="169">
        <f>(INDEX(Models!$BJ18:$BT18,,T18)*(1-R18)+INDEX(Models!$BJ18:$BT18,,T18+1)*R18-ERP_i)*Q18*Ramure*Pc/MaxiM</f>
        <v>1.4896372903204874E-8</v>
      </c>
      <c r="Q18" s="304">
        <f t="shared" si="19"/>
        <v>0.6</v>
      </c>
      <c r="R18" s="177">
        <f t="shared" si="4"/>
        <v>0.49920509405602576</v>
      </c>
      <c r="S18" s="799">
        <f t="shared" si="20"/>
        <v>-2</v>
      </c>
      <c r="T18" s="176">
        <f t="shared" si="21"/>
        <v>4</v>
      </c>
      <c r="U18" s="250">
        <f t="shared" si="22"/>
        <v>-1.5007949059439742</v>
      </c>
      <c r="V18" s="382">
        <f t="shared" si="5"/>
        <v>29.06986948568828</v>
      </c>
      <c r="W18" s="58"/>
      <c r="X18" s="157">
        <f t="shared" si="6"/>
        <v>43469</v>
      </c>
      <c r="Y18" s="383">
        <f t="shared" si="7"/>
        <v>0</v>
      </c>
      <c r="Z18" s="383">
        <f t="shared" si="8"/>
        <v>0</v>
      </c>
      <c r="AA18" s="384">
        <f t="shared" si="9"/>
        <v>0</v>
      </c>
      <c r="AB18" s="197">
        <f t="shared" si="10"/>
        <v>43469</v>
      </c>
      <c r="AC18" s="424">
        <f t="shared" si="11"/>
        <v>0</v>
      </c>
      <c r="AD18" s="169">
        <f>(INDEX(Models!$BJ18:$BT18,,AH18)*(1-AF18)+INDEX(Models!$BJ18:$BT18,,AH18+1)*AF18-ERP_i)*AE18*Ramure*Pc/MaxiM</f>
        <v>1.4896372903204874E-8</v>
      </c>
      <c r="AE18" s="304">
        <f t="shared" si="12"/>
        <v>0.6</v>
      </c>
      <c r="AF18" s="177">
        <f t="shared" si="13"/>
        <v>0.49920509405602576</v>
      </c>
      <c r="AG18" s="799">
        <f t="shared" si="23"/>
        <v>-2</v>
      </c>
      <c r="AH18" s="176">
        <f t="shared" si="14"/>
        <v>4</v>
      </c>
      <c r="AI18" s="224">
        <f t="shared" si="15"/>
        <v>-1.5007949059439742</v>
      </c>
      <c r="AJ18" s="264" t="b">
        <f t="shared" si="16"/>
        <v>1</v>
      </c>
      <c r="AK18" s="264" t="b">
        <f t="shared" si="17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8"/>
        <v>43470</v>
      </c>
      <c r="B19" s="607"/>
      <c r="C19" s="388"/>
      <c r="D19" s="391"/>
      <c r="E19" s="383"/>
      <c r="F19" s="383"/>
      <c r="G19" s="110"/>
      <c r="I19" s="379">
        <f t="shared" si="0"/>
        <v>0</v>
      </c>
      <c r="J19" s="85">
        <v>2018</v>
      </c>
      <c r="K19" s="197">
        <f t="shared" si="1"/>
        <v>43470</v>
      </c>
      <c r="L19" s="435">
        <f t="shared" si="2"/>
        <v>0</v>
      </c>
      <c r="M19" s="842"/>
      <c r="N19" s="842"/>
      <c r="O19" s="323">
        <f t="shared" si="3"/>
        <v>0</v>
      </c>
      <c r="P19" s="169">
        <f>(INDEX(Models!$BJ19:$BT19,,T19)*(1-R19)+INDEX(Models!$BJ19:$BT19,,T19+1)*R19-ERP_i)*Q19*Ramure*Pc/MaxiM</f>
        <v>1.897116713896163E-8</v>
      </c>
      <c r="Q19" s="304">
        <f t="shared" si="19"/>
        <v>0.6</v>
      </c>
      <c r="R19" s="177">
        <f t="shared" si="4"/>
        <v>0.49923812958858726</v>
      </c>
      <c r="S19" s="799">
        <f t="shared" si="20"/>
        <v>-2</v>
      </c>
      <c r="T19" s="176">
        <f t="shared" si="21"/>
        <v>4</v>
      </c>
      <c r="U19" s="250">
        <f t="shared" si="22"/>
        <v>-1.5007618704114127</v>
      </c>
      <c r="V19" s="382">
        <f t="shared" si="5"/>
        <v>29.249783091263794</v>
      </c>
      <c r="W19" s="58"/>
      <c r="X19" s="157">
        <f t="shared" si="6"/>
        <v>43470</v>
      </c>
      <c r="Y19" s="383">
        <f t="shared" si="7"/>
        <v>0</v>
      </c>
      <c r="Z19" s="383">
        <f t="shared" si="8"/>
        <v>0</v>
      </c>
      <c r="AA19" s="384">
        <f t="shared" si="9"/>
        <v>0</v>
      </c>
      <c r="AB19" s="197">
        <f t="shared" si="10"/>
        <v>43470</v>
      </c>
      <c r="AC19" s="424">
        <f t="shared" si="11"/>
        <v>0</v>
      </c>
      <c r="AD19" s="169">
        <f>(INDEX(Models!$BJ19:$BT19,,AH19)*(1-AF19)+INDEX(Models!$BJ19:$BT19,,AH19+1)*AF19-ERP_i)*AE19*Ramure*Pc/MaxiM</f>
        <v>1.897116713896163E-8</v>
      </c>
      <c r="AE19" s="304">
        <f t="shared" si="12"/>
        <v>0.6</v>
      </c>
      <c r="AF19" s="177">
        <f t="shared" si="13"/>
        <v>0.49923812958858726</v>
      </c>
      <c r="AG19" s="799">
        <f t="shared" si="23"/>
        <v>-2</v>
      </c>
      <c r="AH19" s="176">
        <f t="shared" si="14"/>
        <v>4</v>
      </c>
      <c r="AI19" s="224">
        <f t="shared" si="15"/>
        <v>-1.5007618704114127</v>
      </c>
      <c r="AJ19" s="264" t="b">
        <f t="shared" si="16"/>
        <v>1</v>
      </c>
      <c r="AK19" s="264" t="b">
        <f t="shared" si="17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8"/>
        <v>43471</v>
      </c>
      <c r="B20" s="607"/>
      <c r="C20" s="388"/>
      <c r="D20" s="391"/>
      <c r="E20" s="383"/>
      <c r="F20" s="383"/>
      <c r="G20" s="110"/>
      <c r="I20" s="379">
        <f t="shared" si="0"/>
        <v>0</v>
      </c>
      <c r="J20" s="85">
        <v>2018</v>
      </c>
      <c r="K20" s="197">
        <f t="shared" si="1"/>
        <v>43471</v>
      </c>
      <c r="L20" s="435">
        <f t="shared" si="2"/>
        <v>0</v>
      </c>
      <c r="M20" s="842"/>
      <c r="N20" s="842"/>
      <c r="O20" s="323">
        <f t="shared" si="3"/>
        <v>0</v>
      </c>
      <c r="P20" s="169">
        <f>(INDEX(Models!$BJ20:$BT20,,T20)*(1-R20)+INDEX(Models!$BJ20:$BT20,,T20+1)*R20-ERP_i)*Q20*Ramure*Pc/MaxiM</f>
        <v>2.262709129379005E-8</v>
      </c>
      <c r="Q20" s="304">
        <f t="shared" si="19"/>
        <v>0.6</v>
      </c>
      <c r="R20" s="177">
        <f t="shared" si="4"/>
        <v>0.49927254638533802</v>
      </c>
      <c r="S20" s="799">
        <f t="shared" si="20"/>
        <v>-2</v>
      </c>
      <c r="T20" s="176">
        <f t="shared" si="21"/>
        <v>4</v>
      </c>
      <c r="U20" s="250">
        <f t="shared" si="22"/>
        <v>-1.500727453614662</v>
      </c>
      <c r="V20" s="382">
        <f t="shared" si="5"/>
        <v>29.439168235320718</v>
      </c>
      <c r="W20" s="58"/>
      <c r="X20" s="157">
        <f t="shared" si="6"/>
        <v>43471</v>
      </c>
      <c r="Y20" s="383">
        <f t="shared" si="7"/>
        <v>0</v>
      </c>
      <c r="Z20" s="383">
        <f t="shared" si="8"/>
        <v>0</v>
      </c>
      <c r="AA20" s="384">
        <f t="shared" si="9"/>
        <v>0</v>
      </c>
      <c r="AB20" s="197">
        <f t="shared" si="10"/>
        <v>43471</v>
      </c>
      <c r="AC20" s="424">
        <f t="shared" si="11"/>
        <v>0</v>
      </c>
      <c r="AD20" s="169">
        <f>(INDEX(Models!$BJ20:$BT20,,AH20)*(1-AF20)+INDEX(Models!$BJ20:$BT20,,AH20+1)*AF20-ERP_i)*AE20*Ramure*Pc/MaxiM</f>
        <v>2.262709129379005E-8</v>
      </c>
      <c r="AE20" s="304">
        <f t="shared" si="12"/>
        <v>0.6</v>
      </c>
      <c r="AF20" s="177">
        <f t="shared" si="13"/>
        <v>0.49927254638533802</v>
      </c>
      <c r="AG20" s="799">
        <f t="shared" si="23"/>
        <v>-2</v>
      </c>
      <c r="AH20" s="176">
        <f t="shared" si="14"/>
        <v>4</v>
      </c>
      <c r="AI20" s="224">
        <f t="shared" si="15"/>
        <v>-1.500727453614662</v>
      </c>
      <c r="AJ20" s="264" t="b">
        <f t="shared" si="16"/>
        <v>1</v>
      </c>
      <c r="AK20" s="264" t="b">
        <f t="shared" si="17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8"/>
        <v>43472</v>
      </c>
      <c r="B21" s="607"/>
      <c r="C21" s="388"/>
      <c r="D21" s="391"/>
      <c r="E21" s="383"/>
      <c r="F21" s="383"/>
      <c r="G21" s="110"/>
      <c r="I21" s="379">
        <f t="shared" si="0"/>
        <v>0</v>
      </c>
      <c r="J21" s="85">
        <v>2018</v>
      </c>
      <c r="K21" s="197">
        <f t="shared" si="1"/>
        <v>43472</v>
      </c>
      <c r="L21" s="435">
        <f t="shared" si="2"/>
        <v>0</v>
      </c>
      <c r="M21" s="842"/>
      <c r="N21" s="842"/>
      <c r="O21" s="323">
        <f t="shared" si="3"/>
        <v>0</v>
      </c>
      <c r="P21" s="169">
        <f>(INDEX(Models!$BJ21:$BT21,,T21)*(1-R21)+INDEX(Models!$BJ21:$BT21,,T21+1)*R21-ERP_i)*Q21*Ramure*Pc/MaxiM</f>
        <v>2.5858083357764263E-8</v>
      </c>
      <c r="Q21" s="304">
        <f t="shared" si="19"/>
        <v>0.6</v>
      </c>
      <c r="R21" s="177">
        <f t="shared" si="4"/>
        <v>0.49930840199640114</v>
      </c>
      <c r="S21" s="799">
        <f t="shared" si="20"/>
        <v>-2</v>
      </c>
      <c r="T21" s="176">
        <f t="shared" si="21"/>
        <v>4</v>
      </c>
      <c r="U21" s="250">
        <f t="shared" si="22"/>
        <v>-1.5006915980035989</v>
      </c>
      <c r="V21" s="382">
        <f t="shared" si="5"/>
        <v>29.637811418811118</v>
      </c>
      <c r="W21" s="58"/>
      <c r="X21" s="157">
        <f t="shared" si="6"/>
        <v>43472</v>
      </c>
      <c r="Y21" s="383">
        <f t="shared" si="7"/>
        <v>0</v>
      </c>
      <c r="Z21" s="383">
        <f t="shared" si="8"/>
        <v>0</v>
      </c>
      <c r="AA21" s="384">
        <f t="shared" si="9"/>
        <v>0</v>
      </c>
      <c r="AB21" s="197">
        <f t="shared" si="10"/>
        <v>43472</v>
      </c>
      <c r="AC21" s="424">
        <f t="shared" si="11"/>
        <v>0</v>
      </c>
      <c r="AD21" s="169">
        <f>(INDEX(Models!$BJ21:$BT21,,AH21)*(1-AF21)+INDEX(Models!$BJ21:$BT21,,AH21+1)*AF21-ERP_i)*AE21*Ramure*Pc/MaxiM</f>
        <v>2.5858083357764263E-8</v>
      </c>
      <c r="AE21" s="304">
        <f t="shared" si="12"/>
        <v>0.6</v>
      </c>
      <c r="AF21" s="177">
        <f t="shared" si="13"/>
        <v>0.49930840199640114</v>
      </c>
      <c r="AG21" s="799">
        <f t="shared" si="23"/>
        <v>-2</v>
      </c>
      <c r="AH21" s="176">
        <f t="shared" si="14"/>
        <v>4</v>
      </c>
      <c r="AI21" s="224">
        <f t="shared" si="15"/>
        <v>-1.5006915980035989</v>
      </c>
      <c r="AJ21" s="264" t="b">
        <f t="shared" si="16"/>
        <v>1</v>
      </c>
      <c r="AK21" s="264" t="b">
        <f t="shared" si="17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8"/>
        <v>43473</v>
      </c>
      <c r="B22" s="607"/>
      <c r="C22" s="388"/>
      <c r="D22" s="391"/>
      <c r="E22" s="383"/>
      <c r="F22" s="383"/>
      <c r="G22" s="110"/>
      <c r="I22" s="379">
        <f t="shared" si="0"/>
        <v>0</v>
      </c>
      <c r="J22" s="85">
        <v>2018</v>
      </c>
      <c r="K22" s="197">
        <f t="shared" si="1"/>
        <v>43473</v>
      </c>
      <c r="L22" s="435">
        <f t="shared" si="2"/>
        <v>0</v>
      </c>
      <c r="M22" s="842"/>
      <c r="N22" s="842"/>
      <c r="O22" s="323">
        <f t="shared" si="3"/>
        <v>0</v>
      </c>
      <c r="P22" s="169">
        <f>(INDEX(Models!$BJ22:$BT22,,T22)*(1-R22)+INDEX(Models!$BJ22:$BT22,,T22+1)*R22-ERP_i)*Q22*Ramure*Pc/MaxiM</f>
        <v>2.8658765193259917E-8</v>
      </c>
      <c r="Q22" s="304">
        <f t="shared" si="19"/>
        <v>0.6</v>
      </c>
      <c r="R22" s="177">
        <f t="shared" si="4"/>
        <v>0.49934575635239842</v>
      </c>
      <c r="S22" s="799">
        <f t="shared" si="20"/>
        <v>-2</v>
      </c>
      <c r="T22" s="176">
        <f t="shared" si="21"/>
        <v>4</v>
      </c>
      <c r="U22" s="250">
        <f t="shared" si="22"/>
        <v>-1.5006542436476016</v>
      </c>
      <c r="V22" s="382">
        <f t="shared" si="5"/>
        <v>29.845499145976127</v>
      </c>
      <c r="W22" s="58"/>
      <c r="X22" s="157">
        <f t="shared" si="6"/>
        <v>43473</v>
      </c>
      <c r="Y22" s="383">
        <f t="shared" si="7"/>
        <v>0</v>
      </c>
      <c r="Z22" s="383">
        <f t="shared" si="8"/>
        <v>0</v>
      </c>
      <c r="AA22" s="384">
        <f t="shared" si="9"/>
        <v>0</v>
      </c>
      <c r="AB22" s="197">
        <f t="shared" si="10"/>
        <v>43473</v>
      </c>
      <c r="AC22" s="424">
        <f t="shared" si="11"/>
        <v>0</v>
      </c>
      <c r="AD22" s="169">
        <f>(INDEX(Models!$BJ22:$BT22,,AH22)*(1-AF22)+INDEX(Models!$BJ22:$BT22,,AH22+1)*AF22-ERP_i)*AE22*Ramure*Pc/MaxiM</f>
        <v>2.8658765193259917E-8</v>
      </c>
      <c r="AE22" s="304">
        <f t="shared" si="12"/>
        <v>0.6</v>
      </c>
      <c r="AF22" s="177">
        <f t="shared" si="13"/>
        <v>0.49934575635239842</v>
      </c>
      <c r="AG22" s="799">
        <f t="shared" si="23"/>
        <v>-2</v>
      </c>
      <c r="AH22" s="176">
        <f t="shared" si="14"/>
        <v>4</v>
      </c>
      <c r="AI22" s="224">
        <f t="shared" si="15"/>
        <v>-1.5006542436476016</v>
      </c>
      <c r="AJ22" s="264" t="b">
        <f t="shared" si="16"/>
        <v>1</v>
      </c>
      <c r="AK22" s="264" t="b">
        <f t="shared" si="17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8"/>
        <v>43474</v>
      </c>
      <c r="B23" s="607"/>
      <c r="C23" s="388"/>
      <c r="D23" s="391"/>
      <c r="E23" s="383"/>
      <c r="F23" s="383"/>
      <c r="G23" s="110"/>
      <c r="I23" s="379">
        <f t="shared" si="0"/>
        <v>0</v>
      </c>
      <c r="J23" s="85">
        <v>2018</v>
      </c>
      <c r="K23" s="197">
        <f t="shared" si="1"/>
        <v>43474</v>
      </c>
      <c r="L23" s="435">
        <f t="shared" si="2"/>
        <v>0</v>
      </c>
      <c r="M23" s="842"/>
      <c r="N23" s="842"/>
      <c r="O23" s="323">
        <f t="shared" si="3"/>
        <v>0</v>
      </c>
      <c r="P23" s="169">
        <f>(INDEX(Models!$BJ23:$BT23,,T23)*(1-R23)+INDEX(Models!$BJ23:$BT23,,T23+1)*R23-ERP_i)*Q23*Ramure*Pc/MaxiM</f>
        <v>3.1021756672803187E-8</v>
      </c>
      <c r="Q23" s="304">
        <f t="shared" si="19"/>
        <v>0.6</v>
      </c>
      <c r="R23" s="177">
        <f t="shared" si="4"/>
        <v>0.49938467186143343</v>
      </c>
      <c r="S23" s="799">
        <f t="shared" si="20"/>
        <v>-2</v>
      </c>
      <c r="T23" s="176">
        <f t="shared" si="21"/>
        <v>4</v>
      </c>
      <c r="U23" s="250">
        <f t="shared" si="22"/>
        <v>-1.5006153281385666</v>
      </c>
      <c r="V23" s="382">
        <f t="shared" si="5"/>
        <v>30.064616386055995</v>
      </c>
      <c r="W23" s="58"/>
      <c r="X23" s="157">
        <f t="shared" si="6"/>
        <v>43474</v>
      </c>
      <c r="Y23" s="383">
        <f t="shared" si="7"/>
        <v>0</v>
      </c>
      <c r="Z23" s="383">
        <f t="shared" si="8"/>
        <v>0</v>
      </c>
      <c r="AA23" s="384">
        <f t="shared" si="9"/>
        <v>0</v>
      </c>
      <c r="AB23" s="197">
        <f t="shared" si="10"/>
        <v>43474</v>
      </c>
      <c r="AC23" s="424">
        <f t="shared" si="11"/>
        <v>0</v>
      </c>
      <c r="AD23" s="169">
        <f>(INDEX(Models!$BJ23:$BT23,,AH23)*(1-AF23)+INDEX(Models!$BJ23:$BT23,,AH23+1)*AF23-ERP_i)*AE23*Ramure*Pc/MaxiM</f>
        <v>3.1021756672803187E-8</v>
      </c>
      <c r="AE23" s="304">
        <f t="shared" si="12"/>
        <v>0.6</v>
      </c>
      <c r="AF23" s="177">
        <f t="shared" si="13"/>
        <v>0.49938467186143343</v>
      </c>
      <c r="AG23" s="799">
        <f t="shared" si="23"/>
        <v>-2</v>
      </c>
      <c r="AH23" s="176">
        <f t="shared" si="14"/>
        <v>4</v>
      </c>
      <c r="AI23" s="224">
        <f t="shared" si="15"/>
        <v>-1.5006153281385666</v>
      </c>
      <c r="AJ23" s="264" t="b">
        <f t="shared" si="16"/>
        <v>1</v>
      </c>
      <c r="AK23" s="264" t="b">
        <f t="shared" si="17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8"/>
        <v>43475</v>
      </c>
      <c r="B24" s="607"/>
      <c r="C24" s="388"/>
      <c r="D24" s="391"/>
      <c r="E24" s="383"/>
      <c r="F24" s="383"/>
      <c r="G24" s="110"/>
      <c r="I24" s="379">
        <f t="shared" si="0"/>
        <v>0</v>
      </c>
      <c r="J24" s="85">
        <v>2018</v>
      </c>
      <c r="K24" s="197">
        <f t="shared" si="1"/>
        <v>43475</v>
      </c>
      <c r="L24" s="435">
        <f t="shared" si="2"/>
        <v>0</v>
      </c>
      <c r="M24" s="842"/>
      <c r="N24" s="842"/>
      <c r="O24" s="323">
        <f t="shared" si="3"/>
        <v>0</v>
      </c>
      <c r="P24" s="169">
        <f>(INDEX(Models!$BJ24:$BT24,,T24)*(1-R24)+INDEX(Models!$BJ24:$BT24,,T24+1)*R24-ERP_i)*Q24*Ramure*Pc/MaxiM</f>
        <v>3.298254512919445E-8</v>
      </c>
      <c r="Q24" s="304">
        <f t="shared" si="19"/>
        <v>0.6</v>
      </c>
      <c r="R24" s="177">
        <f t="shared" si="4"/>
        <v>0.4994252135099031</v>
      </c>
      <c r="S24" s="799">
        <f t="shared" si="20"/>
        <v>-2</v>
      </c>
      <c r="T24" s="176">
        <f t="shared" si="21"/>
        <v>4</v>
      </c>
      <c r="U24" s="250">
        <f t="shared" si="22"/>
        <v>-1.5005747864900969</v>
      </c>
      <c r="V24" s="382">
        <f t="shared" si="5"/>
        <v>30.297066098406528</v>
      </c>
      <c r="W24" s="58"/>
      <c r="X24" s="157">
        <f t="shared" si="6"/>
        <v>43475</v>
      </c>
      <c r="Y24" s="383">
        <f t="shared" si="7"/>
        <v>0</v>
      </c>
      <c r="Z24" s="383">
        <f t="shared" si="8"/>
        <v>0</v>
      </c>
      <c r="AA24" s="384">
        <f t="shared" si="9"/>
        <v>0</v>
      </c>
      <c r="AB24" s="197">
        <f t="shared" si="10"/>
        <v>43475</v>
      </c>
      <c r="AC24" s="424">
        <f t="shared" si="11"/>
        <v>0</v>
      </c>
      <c r="AD24" s="169">
        <f>(INDEX(Models!$BJ24:$BT24,,AH24)*(1-AF24)+INDEX(Models!$BJ24:$BT24,,AH24+1)*AF24-ERP_i)*AE24*Ramure*Pc/MaxiM</f>
        <v>3.298254512919445E-8</v>
      </c>
      <c r="AE24" s="304">
        <f t="shared" si="12"/>
        <v>0.6</v>
      </c>
      <c r="AF24" s="177">
        <f t="shared" si="13"/>
        <v>0.4994252135099031</v>
      </c>
      <c r="AG24" s="799">
        <f t="shared" si="23"/>
        <v>-2</v>
      </c>
      <c r="AH24" s="176">
        <f t="shared" si="14"/>
        <v>4</v>
      </c>
      <c r="AI24" s="224">
        <f t="shared" si="15"/>
        <v>-1.5005747864900969</v>
      </c>
      <c r="AJ24" s="264" t="b">
        <f t="shared" si="16"/>
        <v>1</v>
      </c>
      <c r="AK24" s="264" t="b">
        <f t="shared" si="17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8"/>
        <v>43476</v>
      </c>
      <c r="B25" s="607"/>
      <c r="C25" s="388"/>
      <c r="D25" s="391"/>
      <c r="E25" s="383"/>
      <c r="F25" s="383"/>
      <c r="G25" s="110"/>
      <c r="I25" s="379">
        <f t="shared" si="0"/>
        <v>0</v>
      </c>
      <c r="J25" s="85">
        <v>2018</v>
      </c>
      <c r="K25" s="197">
        <f t="shared" si="1"/>
        <v>43476</v>
      </c>
      <c r="L25" s="435">
        <f t="shared" si="2"/>
        <v>0</v>
      </c>
      <c r="M25" s="842"/>
      <c r="N25" s="842"/>
      <c r="O25" s="323">
        <f t="shared" si="3"/>
        <v>0</v>
      </c>
      <c r="P25" s="169">
        <f>(INDEX(Models!$BJ25:$BT25,,T25)*(1-R25)+INDEX(Models!$BJ25:$BT25,,T25+1)*R25-ERP_i)*Q25*Ramure*Pc/MaxiM</f>
        <v>3.4562696885427011E-8</v>
      </c>
      <c r="Q25" s="304">
        <f t="shared" si="19"/>
        <v>0.6</v>
      </c>
      <c r="R25" s="177">
        <f t="shared" si="4"/>
        <v>0.49946744896726902</v>
      </c>
      <c r="S25" s="799">
        <f t="shared" si="20"/>
        <v>-2</v>
      </c>
      <c r="T25" s="176">
        <f t="shared" si="21"/>
        <v>4</v>
      </c>
      <c r="U25" s="250">
        <f t="shared" si="22"/>
        <v>-1.500532551032731</v>
      </c>
      <c r="V25" s="382">
        <f t="shared" si="5"/>
        <v>30.54191174334516</v>
      </c>
      <c r="W25" s="58"/>
      <c r="X25" s="157">
        <f t="shared" si="6"/>
        <v>43476</v>
      </c>
      <c r="Y25" s="383">
        <f t="shared" si="7"/>
        <v>0</v>
      </c>
      <c r="Z25" s="383">
        <f t="shared" si="8"/>
        <v>0</v>
      </c>
      <c r="AA25" s="384">
        <f t="shared" si="9"/>
        <v>0</v>
      </c>
      <c r="AB25" s="197">
        <f t="shared" si="10"/>
        <v>43476</v>
      </c>
      <c r="AC25" s="424">
        <f t="shared" si="11"/>
        <v>0</v>
      </c>
      <c r="AD25" s="169">
        <f>(INDEX(Models!$BJ25:$BT25,,AH25)*(1-AF25)+INDEX(Models!$BJ25:$BT25,,AH25+1)*AF25-ERP_i)*AE25*Ramure*Pc/MaxiM</f>
        <v>3.4562696885427011E-8</v>
      </c>
      <c r="AE25" s="304">
        <f t="shared" si="12"/>
        <v>0.6</v>
      </c>
      <c r="AF25" s="177">
        <f t="shared" si="13"/>
        <v>0.49946744896726902</v>
      </c>
      <c r="AG25" s="799">
        <f t="shared" si="23"/>
        <v>-2</v>
      </c>
      <c r="AH25" s="176">
        <f t="shared" si="14"/>
        <v>4</v>
      </c>
      <c r="AI25" s="224">
        <f t="shared" si="15"/>
        <v>-1.500532551032731</v>
      </c>
      <c r="AJ25" s="264" t="b">
        <f t="shared" si="16"/>
        <v>1</v>
      </c>
      <c r="AK25" s="264" t="b">
        <f t="shared" si="17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8"/>
        <v>43477</v>
      </c>
      <c r="B26" s="607"/>
      <c r="C26" s="388"/>
      <c r="D26" s="391"/>
      <c r="E26" s="383"/>
      <c r="F26" s="383"/>
      <c r="G26" s="110"/>
      <c r="I26" s="379">
        <f t="shared" si="0"/>
        <v>0</v>
      </c>
      <c r="J26" s="85">
        <v>2018</v>
      </c>
      <c r="K26" s="197">
        <f t="shared" si="1"/>
        <v>43477</v>
      </c>
      <c r="L26" s="435">
        <f t="shared" si="2"/>
        <v>0</v>
      </c>
      <c r="M26" s="842"/>
      <c r="N26" s="842"/>
      <c r="O26" s="323">
        <f t="shared" si="3"/>
        <v>0</v>
      </c>
      <c r="P26" s="169">
        <f>(INDEX(Models!$BJ26:$BT26,,T26)*(1-R26)+INDEX(Models!$BJ26:$BT26,,T26+1)*R26-ERP_i)*Q26*Ramure*Pc/MaxiM</f>
        <v>3.578005542161926E-8</v>
      </c>
      <c r="Q26" s="304">
        <f t="shared" si="19"/>
        <v>0.6</v>
      </c>
      <c r="R26" s="177">
        <f t="shared" si="4"/>
        <v>0.49951144869494013</v>
      </c>
      <c r="S26" s="799">
        <f t="shared" si="20"/>
        <v>-2</v>
      </c>
      <c r="T26" s="176">
        <f t="shared" si="21"/>
        <v>4</v>
      </c>
      <c r="U26" s="250">
        <f t="shared" si="22"/>
        <v>-1.5004885513050599</v>
      </c>
      <c r="V26" s="382">
        <f t="shared" si="5"/>
        <v>30.798216804521633</v>
      </c>
      <c r="W26" s="58"/>
      <c r="X26" s="157">
        <f t="shared" si="6"/>
        <v>43477</v>
      </c>
      <c r="Y26" s="383">
        <f t="shared" si="7"/>
        <v>0</v>
      </c>
      <c r="Z26" s="383">
        <f t="shared" si="8"/>
        <v>0</v>
      </c>
      <c r="AA26" s="384">
        <f t="shared" si="9"/>
        <v>0</v>
      </c>
      <c r="AB26" s="197">
        <f t="shared" si="10"/>
        <v>43477</v>
      </c>
      <c r="AC26" s="424">
        <f t="shared" si="11"/>
        <v>0</v>
      </c>
      <c r="AD26" s="169">
        <f>(INDEX(Models!$BJ26:$BT26,,AH26)*(1-AF26)+INDEX(Models!$BJ26:$BT26,,AH26+1)*AF26-ERP_i)*AE26*Ramure*Pc/MaxiM</f>
        <v>3.578005542161926E-8</v>
      </c>
      <c r="AE26" s="304">
        <f t="shared" si="12"/>
        <v>0.6</v>
      </c>
      <c r="AF26" s="177">
        <f t="shared" si="13"/>
        <v>0.49951144869494013</v>
      </c>
      <c r="AG26" s="799">
        <f t="shared" si="23"/>
        <v>-2</v>
      </c>
      <c r="AH26" s="176">
        <f t="shared" si="14"/>
        <v>4</v>
      </c>
      <c r="AI26" s="224">
        <f t="shared" si="15"/>
        <v>-1.5004885513050599</v>
      </c>
      <c r="AJ26" s="264" t="b">
        <f t="shared" si="16"/>
        <v>1</v>
      </c>
      <c r="AK26" s="264" t="b">
        <f t="shared" si="17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8"/>
        <v>43478</v>
      </c>
      <c r="B27" s="607"/>
      <c r="C27" s="388"/>
      <c r="D27" s="391"/>
      <c r="E27" s="383"/>
      <c r="F27" s="383"/>
      <c r="G27" s="110"/>
      <c r="I27" s="379">
        <f t="shared" si="0"/>
        <v>0</v>
      </c>
      <c r="J27" s="85">
        <v>2018</v>
      </c>
      <c r="K27" s="197">
        <f t="shared" si="1"/>
        <v>43478</v>
      </c>
      <c r="L27" s="435">
        <f t="shared" si="2"/>
        <v>0</v>
      </c>
      <c r="M27" s="842"/>
      <c r="N27" s="842"/>
      <c r="O27" s="323">
        <f t="shared" si="3"/>
        <v>0</v>
      </c>
      <c r="P27" s="169">
        <f>(INDEX(Models!$BJ27:$BT27,,T27)*(1-R27)+INDEX(Models!$BJ27:$BT27,,T27+1)*R27-ERP_i)*Q27*Ramure*Pc/MaxiM</f>
        <v>3.665440960725263E-8</v>
      </c>
      <c r="Q27" s="304">
        <f t="shared" si="19"/>
        <v>0.6</v>
      </c>
      <c r="R27" s="177">
        <f t="shared" si="4"/>
        <v>0.4995572860594093</v>
      </c>
      <c r="S27" s="799">
        <f t="shared" si="20"/>
        <v>-2</v>
      </c>
      <c r="T27" s="176">
        <f t="shared" si="21"/>
        <v>4</v>
      </c>
      <c r="U27" s="250">
        <f t="shared" si="22"/>
        <v>-1.5004427139405907</v>
      </c>
      <c r="V27" s="382">
        <f t="shared" si="5"/>
        <v>31.065044744569523</v>
      </c>
      <c r="W27" s="58"/>
      <c r="X27" s="157">
        <f t="shared" si="6"/>
        <v>43478</v>
      </c>
      <c r="Y27" s="383">
        <f t="shared" si="7"/>
        <v>0</v>
      </c>
      <c r="Z27" s="383">
        <f t="shared" si="8"/>
        <v>0</v>
      </c>
      <c r="AA27" s="384">
        <f t="shared" si="9"/>
        <v>0</v>
      </c>
      <c r="AB27" s="197">
        <f t="shared" si="10"/>
        <v>43478</v>
      </c>
      <c r="AC27" s="424">
        <f t="shared" si="11"/>
        <v>0</v>
      </c>
      <c r="AD27" s="169">
        <f>(INDEX(Models!$BJ27:$BT27,,AH27)*(1-AF27)+INDEX(Models!$BJ27:$BT27,,AH27+1)*AF27-ERP_i)*AE27*Ramure*Pc/MaxiM</f>
        <v>3.665440960725263E-8</v>
      </c>
      <c r="AE27" s="304">
        <f t="shared" si="12"/>
        <v>0.6</v>
      </c>
      <c r="AF27" s="177">
        <f t="shared" si="13"/>
        <v>0.4995572860594093</v>
      </c>
      <c r="AG27" s="799">
        <f t="shared" si="23"/>
        <v>-2</v>
      </c>
      <c r="AH27" s="176">
        <f t="shared" si="14"/>
        <v>4</v>
      </c>
      <c r="AI27" s="224">
        <f t="shared" si="15"/>
        <v>-1.5004427139405907</v>
      </c>
      <c r="AJ27" s="264" t="b">
        <f t="shared" si="16"/>
        <v>1</v>
      </c>
      <c r="AK27" s="264" t="b">
        <f t="shared" si="17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8"/>
        <v>43479</v>
      </c>
      <c r="B28" s="607"/>
      <c r="C28" s="388"/>
      <c r="D28" s="391"/>
      <c r="E28" s="383"/>
      <c r="F28" s="383"/>
      <c r="G28" s="110"/>
      <c r="I28" s="379">
        <f t="shared" si="0"/>
        <v>0</v>
      </c>
      <c r="J28" s="85">
        <v>2018</v>
      </c>
      <c r="K28" s="197">
        <f t="shared" si="1"/>
        <v>43479</v>
      </c>
      <c r="L28" s="435">
        <f t="shared" si="2"/>
        <v>0</v>
      </c>
      <c r="M28" s="842"/>
      <c r="N28" s="842"/>
      <c r="O28" s="323">
        <f t="shared" si="3"/>
        <v>0</v>
      </c>
      <c r="P28" s="169">
        <f>(INDEX(Models!$BJ28:$BT28,,T28)*(1-R28)+INDEX(Models!$BJ28:$BT28,,T28+1)*R28-ERP_i)*Q28*Ramure*Pc/MaxiM</f>
        <v>3.7207386017940635E-8</v>
      </c>
      <c r="Q28" s="304">
        <f t="shared" si="19"/>
        <v>0.6</v>
      </c>
      <c r="R28" s="177">
        <f t="shared" si="4"/>
        <v>0.49960503744979889</v>
      </c>
      <c r="S28" s="799">
        <f t="shared" si="20"/>
        <v>-2</v>
      </c>
      <c r="T28" s="176">
        <f t="shared" si="21"/>
        <v>4</v>
      </c>
      <c r="U28" s="250">
        <f t="shared" si="22"/>
        <v>-1.5003949625502011</v>
      </c>
      <c r="V28" s="382">
        <f t="shared" si="5"/>
        <v>31.341459043844672</v>
      </c>
      <c r="W28" s="58"/>
      <c r="X28" s="157">
        <f t="shared" si="6"/>
        <v>43479</v>
      </c>
      <c r="Y28" s="383">
        <f t="shared" si="7"/>
        <v>0</v>
      </c>
      <c r="Z28" s="383">
        <f t="shared" si="8"/>
        <v>0</v>
      </c>
      <c r="AA28" s="384">
        <f t="shared" si="9"/>
        <v>0</v>
      </c>
      <c r="AB28" s="197">
        <f t="shared" si="10"/>
        <v>43479</v>
      </c>
      <c r="AC28" s="424">
        <f t="shared" si="11"/>
        <v>0</v>
      </c>
      <c r="AD28" s="169">
        <f>(INDEX(Models!$BJ28:$BT28,,AH28)*(1-AF28)+INDEX(Models!$BJ28:$BT28,,AH28+1)*AF28-ERP_i)*AE28*Ramure*Pc/MaxiM</f>
        <v>3.7207386017940635E-8</v>
      </c>
      <c r="AE28" s="304">
        <f t="shared" si="12"/>
        <v>0.6</v>
      </c>
      <c r="AF28" s="177">
        <f t="shared" si="13"/>
        <v>0.49960503744979889</v>
      </c>
      <c r="AG28" s="799">
        <f t="shared" si="23"/>
        <v>-2</v>
      </c>
      <c r="AH28" s="176">
        <f t="shared" si="14"/>
        <v>4</v>
      </c>
      <c r="AI28" s="224">
        <f t="shared" si="15"/>
        <v>-1.5003949625502011</v>
      </c>
      <c r="AJ28" s="264" t="b">
        <f t="shared" si="16"/>
        <v>1</v>
      </c>
      <c r="AK28" s="264" t="b">
        <f t="shared" si="17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8"/>
        <v>43480</v>
      </c>
      <c r="B29" s="607"/>
      <c r="C29" s="388"/>
      <c r="D29" s="391"/>
      <c r="E29" s="383"/>
      <c r="F29" s="383"/>
      <c r="G29" s="110"/>
      <c r="I29" s="379">
        <f t="shared" si="0"/>
        <v>0</v>
      </c>
      <c r="J29" s="85">
        <v>2018</v>
      </c>
      <c r="K29" s="197">
        <f t="shared" si="1"/>
        <v>43480</v>
      </c>
      <c r="L29" s="435">
        <f t="shared" si="2"/>
        <v>0</v>
      </c>
      <c r="M29" s="842"/>
      <c r="N29" s="842"/>
      <c r="O29" s="323">
        <f t="shared" si="3"/>
        <v>0</v>
      </c>
      <c r="P29" s="169">
        <f>(INDEX(Models!$BJ29:$BT29,,T29)*(1-R29)+INDEX(Models!$BJ29:$BT29,,T29+1)*R29-ERP_i)*Q29*Ramure*Pc/MaxiM</f>
        <v>3.7462356919169214E-8</v>
      </c>
      <c r="Q29" s="304">
        <f t="shared" si="19"/>
        <v>0.6</v>
      </c>
      <c r="R29" s="177">
        <f t="shared" si="4"/>
        <v>0.49965478239997108</v>
      </c>
      <c r="S29" s="799">
        <f t="shared" si="20"/>
        <v>-2</v>
      </c>
      <c r="T29" s="176">
        <f t="shared" si="21"/>
        <v>4</v>
      </c>
      <c r="U29" s="250">
        <f t="shared" si="22"/>
        <v>-1.5003452176000289</v>
      </c>
      <c r="V29" s="382">
        <f t="shared" si="5"/>
        <v>31.626523168595732</v>
      </c>
      <c r="W29" s="58"/>
      <c r="X29" s="157">
        <f t="shared" si="6"/>
        <v>43480</v>
      </c>
      <c r="Y29" s="383">
        <f t="shared" si="7"/>
        <v>0</v>
      </c>
      <c r="Z29" s="383">
        <f t="shared" si="8"/>
        <v>0</v>
      </c>
      <c r="AA29" s="384">
        <f t="shared" si="9"/>
        <v>0</v>
      </c>
      <c r="AB29" s="197">
        <f t="shared" si="10"/>
        <v>43480</v>
      </c>
      <c r="AC29" s="424">
        <f t="shared" si="11"/>
        <v>0</v>
      </c>
      <c r="AD29" s="169">
        <f>(INDEX(Models!$BJ29:$BT29,,AH29)*(1-AF29)+INDEX(Models!$BJ29:$BT29,,AH29+1)*AF29-ERP_i)*AE29*Ramure*Pc/MaxiM</f>
        <v>3.7462356919169214E-8</v>
      </c>
      <c r="AE29" s="304">
        <f t="shared" si="12"/>
        <v>0.6</v>
      </c>
      <c r="AF29" s="177">
        <f t="shared" si="13"/>
        <v>0.49965478239997108</v>
      </c>
      <c r="AG29" s="799">
        <f t="shared" si="23"/>
        <v>-2</v>
      </c>
      <c r="AH29" s="176">
        <f t="shared" si="14"/>
        <v>4</v>
      </c>
      <c r="AI29" s="224">
        <f t="shared" si="15"/>
        <v>-1.5003452176000289</v>
      </c>
      <c r="AJ29" s="264" t="b">
        <f t="shared" si="16"/>
        <v>1</v>
      </c>
      <c r="AK29" s="264" t="b">
        <f t="shared" si="17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8"/>
        <v>43481</v>
      </c>
      <c r="B30" s="607"/>
      <c r="C30" s="388"/>
      <c r="D30" s="391"/>
      <c r="E30" s="383"/>
      <c r="F30" s="383"/>
      <c r="G30" s="110"/>
      <c r="I30" s="379">
        <f t="shared" si="0"/>
        <v>0</v>
      </c>
      <c r="J30" s="85">
        <v>2018</v>
      </c>
      <c r="K30" s="197">
        <f t="shared" si="1"/>
        <v>43481</v>
      </c>
      <c r="L30" s="435">
        <f t="shared" si="2"/>
        <v>0</v>
      </c>
      <c r="M30" s="842"/>
      <c r="N30" s="842"/>
      <c r="O30" s="323">
        <f t="shared" si="3"/>
        <v>0</v>
      </c>
      <c r="P30" s="169">
        <f>(INDEX(Models!$BJ30:$BT30,,T30)*(1-R30)+INDEX(Models!$BJ30:$BT30,,T30+1)*R30-ERP_i)*Q30*Ramure*Pc/MaxiM</f>
        <v>3.7531221742434398E-8</v>
      </c>
      <c r="Q30" s="304">
        <f t="shared" si="19"/>
        <v>0.6</v>
      </c>
      <c r="R30" s="177">
        <f t="shared" si="4"/>
        <v>0.49970660371536435</v>
      </c>
      <c r="S30" s="799">
        <f t="shared" si="20"/>
        <v>-2</v>
      </c>
      <c r="T30" s="176">
        <f t="shared" si="21"/>
        <v>4</v>
      </c>
      <c r="U30" s="250">
        <f t="shared" si="22"/>
        <v>-1.5002933962846356</v>
      </c>
      <c r="V30" s="382">
        <f t="shared" si="5"/>
        <v>31.919300592454359</v>
      </c>
      <c r="W30" s="58"/>
      <c r="X30" s="157">
        <f t="shared" si="6"/>
        <v>43481</v>
      </c>
      <c r="Y30" s="383">
        <f t="shared" si="7"/>
        <v>0</v>
      </c>
      <c r="Z30" s="383">
        <f t="shared" si="8"/>
        <v>0</v>
      </c>
      <c r="AA30" s="384">
        <f t="shared" si="9"/>
        <v>0</v>
      </c>
      <c r="AB30" s="197">
        <f t="shared" si="10"/>
        <v>43481</v>
      </c>
      <c r="AC30" s="424">
        <f t="shared" si="11"/>
        <v>0</v>
      </c>
      <c r="AD30" s="169">
        <f>(INDEX(Models!$BJ30:$BT30,,AH30)*(1-AF30)+INDEX(Models!$BJ30:$BT30,,AH30+1)*AF30-ERP_i)*AE30*Ramure*Pc/MaxiM</f>
        <v>3.7531221742434398E-8</v>
      </c>
      <c r="AE30" s="304">
        <f t="shared" si="12"/>
        <v>0.6</v>
      </c>
      <c r="AF30" s="177">
        <f t="shared" si="13"/>
        <v>0.49970660371536435</v>
      </c>
      <c r="AG30" s="799">
        <f t="shared" si="23"/>
        <v>-2</v>
      </c>
      <c r="AH30" s="176">
        <f t="shared" si="14"/>
        <v>4</v>
      </c>
      <c r="AI30" s="224">
        <f t="shared" si="15"/>
        <v>-1.5002933962846356</v>
      </c>
      <c r="AJ30" s="264" t="b">
        <f t="shared" si="16"/>
        <v>1</v>
      </c>
      <c r="AK30" s="264" t="b">
        <f t="shared" si="17"/>
        <v>0</v>
      </c>
      <c r="AL30" s="264"/>
      <c r="AM30" s="264"/>
      <c r="AN30" s="75"/>
    </row>
    <row r="31" spans="1:40" s="6" customFormat="1" ht="11.25" x14ac:dyDescent="0.2">
      <c r="A31" s="56">
        <f t="shared" si="18"/>
        <v>43482</v>
      </c>
      <c r="B31" s="607"/>
      <c r="C31" s="388"/>
      <c r="D31" s="391"/>
      <c r="E31" s="383"/>
      <c r="F31" s="383"/>
      <c r="G31" s="110"/>
      <c r="I31" s="379">
        <f t="shared" si="0"/>
        <v>0</v>
      </c>
      <c r="J31" s="85">
        <v>2018</v>
      </c>
      <c r="K31" s="197">
        <f t="shared" si="1"/>
        <v>43482</v>
      </c>
      <c r="L31" s="435">
        <f t="shared" si="2"/>
        <v>0</v>
      </c>
      <c r="M31" s="842"/>
      <c r="N31" s="842"/>
      <c r="O31" s="323">
        <f t="shared" si="3"/>
        <v>0</v>
      </c>
      <c r="P31" s="169">
        <f>(INDEX(Models!$BJ31:$BT31,,T31)*(1-R31)+INDEX(Models!$BJ31:$BT31,,T31+1)*R31-ERP_i)*Q31*Ramure*Pc/MaxiM</f>
        <v>3.7349615821960633E-8</v>
      </c>
      <c r="Q31" s="304">
        <f t="shared" si="19"/>
        <v>0.6</v>
      </c>
      <c r="R31" s="177">
        <f t="shared" si="4"/>
        <v>0.49976058760471842</v>
      </c>
      <c r="S31" s="799">
        <f t="shared" si="20"/>
        <v>-2</v>
      </c>
      <c r="T31" s="176">
        <f t="shared" si="21"/>
        <v>4</v>
      </c>
      <c r="U31" s="250">
        <f t="shared" si="22"/>
        <v>-1.5002394123952816</v>
      </c>
      <c r="V31" s="382">
        <f t="shared" si="5"/>
        <v>32.218854785404567</v>
      </c>
      <c r="W31" s="58"/>
      <c r="X31" s="157">
        <f t="shared" si="6"/>
        <v>43482</v>
      </c>
      <c r="Y31" s="383">
        <f t="shared" si="7"/>
        <v>0</v>
      </c>
      <c r="Z31" s="383">
        <f t="shared" si="8"/>
        <v>0</v>
      </c>
      <c r="AA31" s="384">
        <f t="shared" si="9"/>
        <v>0</v>
      </c>
      <c r="AB31" s="197">
        <f t="shared" si="10"/>
        <v>43482</v>
      </c>
      <c r="AC31" s="424">
        <f t="shared" si="11"/>
        <v>0</v>
      </c>
      <c r="AD31" s="169">
        <f>(INDEX(Models!$BJ31:$BT31,,AH31)*(1-AF31)+INDEX(Models!$BJ31:$BT31,,AH31+1)*AF31-ERP_i)*AE31*Ramure*Pc/MaxiM</f>
        <v>3.7349615821960633E-8</v>
      </c>
      <c r="AE31" s="304">
        <f t="shared" si="12"/>
        <v>0.6</v>
      </c>
      <c r="AF31" s="177">
        <f t="shared" si="13"/>
        <v>0.49976058760471842</v>
      </c>
      <c r="AG31" s="799">
        <f t="shared" si="23"/>
        <v>-2</v>
      </c>
      <c r="AH31" s="176">
        <f t="shared" si="14"/>
        <v>4</v>
      </c>
      <c r="AI31" s="224">
        <f t="shared" si="15"/>
        <v>-1.5002394123952816</v>
      </c>
      <c r="AJ31" s="264" t="b">
        <f t="shared" si="16"/>
        <v>1</v>
      </c>
      <c r="AK31" s="264" t="b">
        <f t="shared" si="17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8"/>
        <v>43483</v>
      </c>
      <c r="B32" s="607"/>
      <c r="C32" s="388"/>
      <c r="D32" s="391"/>
      <c r="E32" s="383"/>
      <c r="F32" s="383"/>
      <c r="G32" s="110"/>
      <c r="I32" s="379">
        <f t="shared" si="0"/>
        <v>0</v>
      </c>
      <c r="J32" s="85">
        <v>2018</v>
      </c>
      <c r="K32" s="197">
        <f t="shared" si="1"/>
        <v>43483</v>
      </c>
      <c r="L32" s="435">
        <f t="shared" si="2"/>
        <v>0</v>
      </c>
      <c r="M32" s="842"/>
      <c r="N32" s="842"/>
      <c r="O32" s="323">
        <f t="shared" si="3"/>
        <v>0</v>
      </c>
      <c r="P32" s="169">
        <f>(INDEX(Models!$BJ32:$BT32,,T32)*(1-R32)+INDEX(Models!$BJ32:$BT32,,T32+1)*R32-ERP_i)*Q32*Ramure*Pc/MaxiM</f>
        <v>3.6942136551141215E-8</v>
      </c>
      <c r="Q32" s="304">
        <f t="shared" si="19"/>
        <v>0.6</v>
      </c>
      <c r="R32" s="177">
        <f t="shared" si="4"/>
        <v>0.4998168238168601</v>
      </c>
      <c r="S32" s="799">
        <f t="shared" si="20"/>
        <v>-2</v>
      </c>
      <c r="T32" s="176">
        <f t="shared" si="21"/>
        <v>4</v>
      </c>
      <c r="U32" s="250">
        <f t="shared" si="22"/>
        <v>-1.5001831761831399</v>
      </c>
      <c r="V32" s="382">
        <f t="shared" si="5"/>
        <v>32.524249226118222</v>
      </c>
      <c r="W32" s="58"/>
      <c r="X32" s="157">
        <f t="shared" si="6"/>
        <v>43483</v>
      </c>
      <c r="Y32" s="383">
        <f t="shared" si="7"/>
        <v>0</v>
      </c>
      <c r="Z32" s="383">
        <f t="shared" si="8"/>
        <v>0</v>
      </c>
      <c r="AA32" s="384">
        <f t="shared" si="9"/>
        <v>0</v>
      </c>
      <c r="AB32" s="197">
        <f t="shared" si="10"/>
        <v>43483</v>
      </c>
      <c r="AC32" s="424">
        <f t="shared" si="11"/>
        <v>0</v>
      </c>
      <c r="AD32" s="169">
        <f>(INDEX(Models!$BJ32:$BT32,,AH32)*(1-AF32)+INDEX(Models!$BJ32:$BT32,,AH32+1)*AF32-ERP_i)*AE32*Ramure*Pc/MaxiM</f>
        <v>3.6942136551141215E-8</v>
      </c>
      <c r="AE32" s="304">
        <f t="shared" si="12"/>
        <v>0.6</v>
      </c>
      <c r="AF32" s="177">
        <f t="shared" si="13"/>
        <v>0.4998168238168601</v>
      </c>
      <c r="AG32" s="799">
        <f t="shared" si="23"/>
        <v>-2</v>
      </c>
      <c r="AH32" s="176">
        <f t="shared" si="14"/>
        <v>4</v>
      </c>
      <c r="AI32" s="224">
        <f t="shared" si="15"/>
        <v>-1.5001831761831399</v>
      </c>
      <c r="AJ32" s="264" t="b">
        <f t="shared" si="16"/>
        <v>1</v>
      </c>
      <c r="AK32" s="264" t="b">
        <f t="shared" si="17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8"/>
        <v>43484</v>
      </c>
      <c r="B33" s="607"/>
      <c r="C33" s="388"/>
      <c r="D33" s="391"/>
      <c r="E33" s="383"/>
      <c r="F33" s="383"/>
      <c r="G33" s="110"/>
      <c r="I33" s="379">
        <f t="shared" si="0"/>
        <v>0</v>
      </c>
      <c r="J33" s="85">
        <v>2018</v>
      </c>
      <c r="K33" s="197">
        <f t="shared" si="1"/>
        <v>43484</v>
      </c>
      <c r="L33" s="435">
        <f t="shared" si="2"/>
        <v>0</v>
      </c>
      <c r="M33" s="842"/>
      <c r="N33" s="842"/>
      <c r="O33" s="323">
        <f t="shared" si="3"/>
        <v>0</v>
      </c>
      <c r="P33" s="169">
        <f>(INDEX(Models!$BJ33:$BT33,,T33)*(1-R33)+INDEX(Models!$BJ33:$BT33,,T33+1)*R33-ERP_i)*Q33*Ramure*Pc/MaxiM</f>
        <v>3.6334774676141411E-8</v>
      </c>
      <c r="Q33" s="304">
        <f t="shared" si="19"/>
        <v>0.6</v>
      </c>
      <c r="R33" s="177">
        <f t="shared" si="4"/>
        <v>0.49987540578272105</v>
      </c>
      <c r="S33" s="799">
        <f t="shared" si="20"/>
        <v>-2</v>
      </c>
      <c r="T33" s="176">
        <f t="shared" si="21"/>
        <v>4</v>
      </c>
      <c r="U33" s="250">
        <f t="shared" si="22"/>
        <v>-1.500124594217279</v>
      </c>
      <c r="V33" s="382">
        <f t="shared" si="5"/>
        <v>32.83454738026645</v>
      </c>
      <c r="W33" s="58"/>
      <c r="X33" s="157">
        <f t="shared" si="6"/>
        <v>43484</v>
      </c>
      <c r="Y33" s="383">
        <f t="shared" si="7"/>
        <v>0</v>
      </c>
      <c r="Z33" s="383">
        <f t="shared" si="8"/>
        <v>0</v>
      </c>
      <c r="AA33" s="384">
        <f t="shared" si="9"/>
        <v>0</v>
      </c>
      <c r="AB33" s="197">
        <f t="shared" si="10"/>
        <v>43484</v>
      </c>
      <c r="AC33" s="424">
        <f t="shared" si="11"/>
        <v>0</v>
      </c>
      <c r="AD33" s="169">
        <f>(INDEX(Models!$BJ33:$BT33,,AH33)*(1-AF33)+INDEX(Models!$BJ33:$BT33,,AH33+1)*AF33-ERP_i)*AE33*Ramure*Pc/MaxiM</f>
        <v>3.6334774676141411E-8</v>
      </c>
      <c r="AE33" s="304">
        <f t="shared" si="12"/>
        <v>0.6</v>
      </c>
      <c r="AF33" s="177">
        <f t="shared" si="13"/>
        <v>0.49987540578272105</v>
      </c>
      <c r="AG33" s="799">
        <f t="shared" si="23"/>
        <v>-2</v>
      </c>
      <c r="AH33" s="176">
        <f t="shared" si="14"/>
        <v>4</v>
      </c>
      <c r="AI33" s="224">
        <f t="shared" si="15"/>
        <v>-1.500124594217279</v>
      </c>
      <c r="AJ33" s="264" t="b">
        <f t="shared" si="16"/>
        <v>1</v>
      </c>
      <c r="AK33" s="264" t="b">
        <f t="shared" si="17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8"/>
        <v>43485</v>
      </c>
      <c r="B34" s="607"/>
      <c r="C34" s="388"/>
      <c r="D34" s="391"/>
      <c r="E34" s="383"/>
      <c r="F34" s="383"/>
      <c r="G34" s="110"/>
      <c r="I34" s="379">
        <f t="shared" si="0"/>
        <v>0</v>
      </c>
      <c r="J34" s="85">
        <v>2018</v>
      </c>
      <c r="K34" s="197">
        <f t="shared" si="1"/>
        <v>43485</v>
      </c>
      <c r="L34" s="435">
        <f t="shared" si="2"/>
        <v>0</v>
      </c>
      <c r="M34" s="842"/>
      <c r="N34" s="842"/>
      <c r="O34" s="323">
        <f t="shared" si="3"/>
        <v>0</v>
      </c>
      <c r="P34" s="169">
        <f>(INDEX(Models!$BJ34:$BT34,,T34)*(1-R34)+INDEX(Models!$BJ34:$BT34,,T34+1)*R34-ERP_i)*Q34*Ramure*Pc/MaxiM</f>
        <v>3.5555115044183439E-8</v>
      </c>
      <c r="Q34" s="304">
        <f t="shared" si="19"/>
        <v>0.6</v>
      </c>
      <c r="R34" s="177">
        <f t="shared" si="4"/>
        <v>0.49993643076276384</v>
      </c>
      <c r="S34" s="799">
        <f t="shared" si="20"/>
        <v>-2</v>
      </c>
      <c r="T34" s="176">
        <f t="shared" si="21"/>
        <v>4</v>
      </c>
      <c r="U34" s="250">
        <f t="shared" si="22"/>
        <v>-1.5000635692372362</v>
      </c>
      <c r="V34" s="382">
        <f t="shared" si="5"/>
        <v>33.148812724721864</v>
      </c>
      <c r="W34" s="58"/>
      <c r="X34" s="157">
        <f t="shared" si="6"/>
        <v>43485</v>
      </c>
      <c r="Y34" s="383">
        <f t="shared" si="7"/>
        <v>0</v>
      </c>
      <c r="Z34" s="383">
        <f t="shared" si="8"/>
        <v>0</v>
      </c>
      <c r="AA34" s="384">
        <f t="shared" si="9"/>
        <v>0</v>
      </c>
      <c r="AB34" s="197">
        <f t="shared" si="10"/>
        <v>43485</v>
      </c>
      <c r="AC34" s="424">
        <f t="shared" si="11"/>
        <v>0</v>
      </c>
      <c r="AD34" s="169">
        <f>(INDEX(Models!$BJ34:$BT34,,AH34)*(1-AF34)+INDEX(Models!$BJ34:$BT34,,AH34+1)*AF34-ERP_i)*AE34*Ramure*Pc/MaxiM</f>
        <v>3.5555115044183439E-8</v>
      </c>
      <c r="AE34" s="304">
        <f t="shared" si="12"/>
        <v>0.6</v>
      </c>
      <c r="AF34" s="177">
        <f t="shared" si="13"/>
        <v>0.49993643076276384</v>
      </c>
      <c r="AG34" s="799">
        <f t="shared" si="23"/>
        <v>-2</v>
      </c>
      <c r="AH34" s="176">
        <f t="shared" si="14"/>
        <v>4</v>
      </c>
      <c r="AI34" s="224">
        <f t="shared" si="15"/>
        <v>-1.5000635692372362</v>
      </c>
      <c r="AJ34" s="264" t="b">
        <f t="shared" si="16"/>
        <v>1</v>
      </c>
      <c r="AK34" s="264" t="b">
        <f t="shared" si="17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8"/>
        <v>43486</v>
      </c>
      <c r="B35" s="607"/>
      <c r="C35" s="388"/>
      <c r="D35" s="391"/>
      <c r="E35" s="383"/>
      <c r="F35" s="383"/>
      <c r="G35" s="110"/>
      <c r="I35" s="379">
        <f t="shared" si="0"/>
        <v>0</v>
      </c>
      <c r="J35" s="85">
        <v>2018</v>
      </c>
      <c r="K35" s="197">
        <f t="shared" si="1"/>
        <v>43486</v>
      </c>
      <c r="L35" s="435">
        <f t="shared" si="2"/>
        <v>0</v>
      </c>
      <c r="M35" s="842"/>
      <c r="N35" s="842"/>
      <c r="O35" s="323">
        <f t="shared" si="3"/>
        <v>0</v>
      </c>
      <c r="P35" s="169">
        <f>(INDEX(Models!$BJ35:$BT35,,T35)*(1-R35)+INDEX(Models!$BJ35:$BT35,,T35+1)*R35-ERP_i)*Q35*Ramure*Pc/MaxiM</f>
        <v>3.4632229480989167E-8</v>
      </c>
      <c r="Q35" s="304">
        <f t="shared" si="19"/>
        <v>0.6</v>
      </c>
      <c r="R35" s="177">
        <f t="shared" si="4"/>
        <v>0.5</v>
      </c>
      <c r="S35" s="799">
        <f t="shared" si="20"/>
        <v>-2</v>
      </c>
      <c r="T35" s="176">
        <f t="shared" si="21"/>
        <v>4</v>
      </c>
      <c r="U35" s="250">
        <f t="shared" si="22"/>
        <v>-1.5</v>
      </c>
      <c r="V35" s="382">
        <f t="shared" si="5"/>
        <v>33.466108728504544</v>
      </c>
      <c r="W35" s="58"/>
      <c r="X35" s="157">
        <f t="shared" si="6"/>
        <v>43486</v>
      </c>
      <c r="Y35" s="383">
        <f t="shared" si="7"/>
        <v>0</v>
      </c>
      <c r="Z35" s="383">
        <f t="shared" si="8"/>
        <v>0</v>
      </c>
      <c r="AA35" s="384">
        <f t="shared" si="9"/>
        <v>0</v>
      </c>
      <c r="AB35" s="197">
        <f t="shared" si="10"/>
        <v>43486</v>
      </c>
      <c r="AC35" s="424">
        <f t="shared" si="11"/>
        <v>0</v>
      </c>
      <c r="AD35" s="169">
        <f>(INDEX(Models!$BJ35:$BT35,,AH35)*(1-AF35)+INDEX(Models!$BJ35:$BT35,,AH35+1)*AF35-ERP_i)*AE35*Ramure*Pc/MaxiM</f>
        <v>3.4632229480989167E-8</v>
      </c>
      <c r="AE35" s="304">
        <f t="shared" si="12"/>
        <v>0.6</v>
      </c>
      <c r="AF35" s="177">
        <f t="shared" si="13"/>
        <v>0.5</v>
      </c>
      <c r="AG35" s="799">
        <f t="shared" si="23"/>
        <v>-2</v>
      </c>
      <c r="AH35" s="176">
        <f t="shared" si="14"/>
        <v>4</v>
      </c>
      <c r="AI35" s="224">
        <f t="shared" si="15"/>
        <v>-1.5</v>
      </c>
      <c r="AJ35" s="264" t="b">
        <f t="shared" si="16"/>
        <v>1</v>
      </c>
      <c r="AK35" s="264" t="b">
        <f t="shared" si="17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8"/>
        <v>43487</v>
      </c>
      <c r="B36" s="607"/>
      <c r="C36" s="388"/>
      <c r="D36" s="391"/>
      <c r="E36" s="383"/>
      <c r="F36" s="383"/>
      <c r="G36" s="110"/>
      <c r="I36" s="379">
        <f t="shared" si="0"/>
        <v>0</v>
      </c>
      <c r="J36" s="85">
        <v>2018</v>
      </c>
      <c r="K36" s="197">
        <f t="shared" si="1"/>
        <v>43487</v>
      </c>
      <c r="L36" s="435">
        <f t="shared" si="2"/>
        <v>0</v>
      </c>
      <c r="M36" s="842"/>
      <c r="N36" s="842"/>
      <c r="O36" s="323">
        <f t="shared" si="3"/>
        <v>0</v>
      </c>
      <c r="P36" s="169">
        <f>(INDEX(Models!$BJ36:$BT36,,T36)*(1-R36)+INDEX(Models!$BJ36:$BT36,,T36+1)*R36-ERP_i)*Q36*Ramure*Pc/MaxiM</f>
        <v>3.35964748486298E-8</v>
      </c>
      <c r="Q36" s="304">
        <f t="shared" si="19"/>
        <v>0.6</v>
      </c>
      <c r="R36" s="177">
        <f t="shared" si="4"/>
        <v>0.50006621887878211</v>
      </c>
      <c r="S36" s="799">
        <f t="shared" si="20"/>
        <v>-2</v>
      </c>
      <c r="T36" s="176">
        <f t="shared" si="21"/>
        <v>4</v>
      </c>
      <c r="U36" s="250">
        <f t="shared" si="22"/>
        <v>-1.4999337811212179</v>
      </c>
      <c r="V36" s="382">
        <f t="shared" si="5"/>
        <v>33.785498863853412</v>
      </c>
      <c r="W36" s="58"/>
      <c r="X36" s="157">
        <f t="shared" si="6"/>
        <v>43487</v>
      </c>
      <c r="Y36" s="383">
        <f t="shared" si="7"/>
        <v>0</v>
      </c>
      <c r="Z36" s="383">
        <f t="shared" si="8"/>
        <v>0</v>
      </c>
      <c r="AA36" s="384">
        <f t="shared" si="9"/>
        <v>0</v>
      </c>
      <c r="AB36" s="197">
        <f t="shared" si="10"/>
        <v>43487</v>
      </c>
      <c r="AC36" s="424">
        <f t="shared" si="11"/>
        <v>0</v>
      </c>
      <c r="AD36" s="169">
        <f>(INDEX(Models!$BJ36:$BT36,,AH36)*(1-AF36)+INDEX(Models!$BJ36:$BT36,,AH36+1)*AF36-ERP_i)*AE36*Ramure*Pc/MaxiM</f>
        <v>3.35964748486298E-8</v>
      </c>
      <c r="AE36" s="304">
        <f t="shared" si="12"/>
        <v>0.6</v>
      </c>
      <c r="AF36" s="177">
        <f t="shared" si="13"/>
        <v>0.50006621887878211</v>
      </c>
      <c r="AG36" s="799">
        <f t="shared" si="23"/>
        <v>-2</v>
      </c>
      <c r="AH36" s="176">
        <f t="shared" si="14"/>
        <v>4</v>
      </c>
      <c r="AI36" s="224">
        <f t="shared" si="15"/>
        <v>-1.4999337811212179</v>
      </c>
      <c r="AJ36" s="264" t="b">
        <f t="shared" si="16"/>
        <v>1</v>
      </c>
      <c r="AK36" s="264" t="b">
        <f t="shared" si="17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8"/>
        <v>43488</v>
      </c>
      <c r="B37" s="607"/>
      <c r="C37" s="388"/>
      <c r="D37" s="391"/>
      <c r="E37" s="383"/>
      <c r="F37" s="383"/>
      <c r="G37" s="110"/>
      <c r="I37" s="379">
        <f t="shared" si="0"/>
        <v>0</v>
      </c>
      <c r="J37" s="85">
        <v>2018</v>
      </c>
      <c r="K37" s="197">
        <f t="shared" si="1"/>
        <v>43488</v>
      </c>
      <c r="L37" s="435">
        <f t="shared" si="2"/>
        <v>0</v>
      </c>
      <c r="M37" s="842"/>
      <c r="N37" s="842"/>
      <c r="O37" s="323">
        <f t="shared" si="3"/>
        <v>0</v>
      </c>
      <c r="P37" s="169">
        <f>(INDEX(Models!$BJ37:$BT37,,T37)*(1-R37)+INDEX(Models!$BJ37:$BT37,,T37+1)*R37-ERP_i)*Q37*Ramure*Pc/MaxiM</f>
        <v>3.2475716116738353E-8</v>
      </c>
      <c r="Q37" s="304">
        <f t="shared" si="19"/>
        <v>0.6</v>
      </c>
      <c r="R37" s="177">
        <f t="shared" si="4"/>
        <v>0.50013519708955934</v>
      </c>
      <c r="S37" s="799">
        <f t="shared" si="20"/>
        <v>-2</v>
      </c>
      <c r="T37" s="176">
        <f t="shared" si="21"/>
        <v>4</v>
      </c>
      <c r="U37" s="250">
        <f t="shared" si="22"/>
        <v>-1.4998648029104407</v>
      </c>
      <c r="V37" s="382">
        <f t="shared" si="5"/>
        <v>34.110254540746773</v>
      </c>
      <c r="W37" s="58"/>
      <c r="X37" s="157">
        <f t="shared" si="6"/>
        <v>43488</v>
      </c>
      <c r="Y37" s="383">
        <f t="shared" si="7"/>
        <v>0</v>
      </c>
      <c r="Z37" s="383">
        <f t="shared" si="8"/>
        <v>0</v>
      </c>
      <c r="AA37" s="384">
        <f t="shared" si="9"/>
        <v>0</v>
      </c>
      <c r="AB37" s="197">
        <f t="shared" si="10"/>
        <v>43488</v>
      </c>
      <c r="AC37" s="424">
        <f t="shared" si="11"/>
        <v>0</v>
      </c>
      <c r="AD37" s="169">
        <f>(INDEX(Models!$BJ37:$BT37,,AH37)*(1-AF37)+INDEX(Models!$BJ37:$BT37,,AH37+1)*AF37-ERP_i)*AE37*Ramure*Pc/MaxiM</f>
        <v>3.2475716116738353E-8</v>
      </c>
      <c r="AE37" s="304">
        <f t="shared" si="12"/>
        <v>0.6</v>
      </c>
      <c r="AF37" s="177">
        <f t="shared" si="13"/>
        <v>0.50013519708955934</v>
      </c>
      <c r="AG37" s="799">
        <f t="shared" si="23"/>
        <v>-2</v>
      </c>
      <c r="AH37" s="176">
        <f t="shared" si="14"/>
        <v>4</v>
      </c>
      <c r="AI37" s="224">
        <f t="shared" si="15"/>
        <v>-1.4998648029104407</v>
      </c>
      <c r="AJ37" s="264" t="b">
        <f t="shared" si="16"/>
        <v>1</v>
      </c>
      <c r="AK37" s="264" t="b">
        <f t="shared" si="17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8"/>
        <v>43489</v>
      </c>
      <c r="B38" s="607"/>
      <c r="C38" s="388"/>
      <c r="D38" s="391"/>
      <c r="E38" s="383"/>
      <c r="F38" s="383"/>
      <c r="G38" s="110"/>
      <c r="I38" s="379">
        <f t="shared" si="0"/>
        <v>0</v>
      </c>
      <c r="J38" s="85">
        <v>2018</v>
      </c>
      <c r="K38" s="197">
        <f t="shared" si="1"/>
        <v>43489</v>
      </c>
      <c r="L38" s="435">
        <f t="shared" si="2"/>
        <v>0</v>
      </c>
      <c r="M38" s="842"/>
      <c r="N38" s="842"/>
      <c r="O38" s="323">
        <f t="shared" si="3"/>
        <v>0</v>
      </c>
      <c r="P38" s="169">
        <f>(INDEX(Models!$BJ38:$BT38,,T38)*(1-R38)+INDEX(Models!$BJ38:$BT38,,T38+1)*R38-ERP_i)*Q38*Ramure*Pc/MaxiM</f>
        <v>3.1427137446841043E-8</v>
      </c>
      <c r="Q38" s="304">
        <f t="shared" si="19"/>
        <v>0.6</v>
      </c>
      <c r="R38" s="177">
        <f t="shared" si="4"/>
        <v>0.50020704879978872</v>
      </c>
      <c r="S38" s="799">
        <f t="shared" si="20"/>
        <v>-2</v>
      </c>
      <c r="T38" s="176">
        <f t="shared" si="21"/>
        <v>4</v>
      </c>
      <c r="U38" s="250">
        <f t="shared" si="22"/>
        <v>-1.4997929512002113</v>
      </c>
      <c r="V38" s="382">
        <f t="shared" si="5"/>
        <v>34.443697168088732</v>
      </c>
      <c r="W38" s="58"/>
      <c r="X38" s="157">
        <f t="shared" si="6"/>
        <v>43489</v>
      </c>
      <c r="Y38" s="383">
        <f t="shared" si="7"/>
        <v>0</v>
      </c>
      <c r="Z38" s="383">
        <f t="shared" si="8"/>
        <v>0</v>
      </c>
      <c r="AA38" s="384">
        <f t="shared" si="9"/>
        <v>0</v>
      </c>
      <c r="AB38" s="197">
        <f t="shared" si="10"/>
        <v>43489</v>
      </c>
      <c r="AC38" s="424">
        <f t="shared" si="11"/>
        <v>0</v>
      </c>
      <c r="AD38" s="169">
        <f>(INDEX(Models!$BJ38:$BT38,,AH38)*(1-AF38)+INDEX(Models!$BJ38:$BT38,,AH38+1)*AF38-ERP_i)*AE38*Ramure*Pc/MaxiM</f>
        <v>3.1427137446841043E-8</v>
      </c>
      <c r="AE38" s="304">
        <f t="shared" si="12"/>
        <v>0.6</v>
      </c>
      <c r="AF38" s="177">
        <f t="shared" si="13"/>
        <v>0.50020704879978872</v>
      </c>
      <c r="AG38" s="799">
        <f t="shared" si="23"/>
        <v>-2</v>
      </c>
      <c r="AH38" s="176">
        <f t="shared" si="14"/>
        <v>4</v>
      </c>
      <c r="AI38" s="224">
        <f t="shared" si="15"/>
        <v>-1.4997929512002113</v>
      </c>
      <c r="AJ38" s="264" t="b">
        <f t="shared" si="16"/>
        <v>1</v>
      </c>
      <c r="AK38" s="264" t="b">
        <f t="shared" si="17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8"/>
        <v>43490</v>
      </c>
      <c r="B39" s="607"/>
      <c r="C39" s="388"/>
      <c r="D39" s="391"/>
      <c r="E39" s="383"/>
      <c r="F39" s="383"/>
      <c r="G39" s="110"/>
      <c r="I39" s="379">
        <f t="shared" si="0"/>
        <v>0</v>
      </c>
      <c r="J39" s="85">
        <v>2018</v>
      </c>
      <c r="K39" s="197">
        <f t="shared" si="1"/>
        <v>43490</v>
      </c>
      <c r="L39" s="435">
        <f t="shared" si="2"/>
        <v>0</v>
      </c>
      <c r="M39" s="842"/>
      <c r="N39" s="842"/>
      <c r="O39" s="323">
        <f t="shared" si="3"/>
        <v>0</v>
      </c>
      <c r="P39" s="169">
        <f>(INDEX(Models!$BJ39:$BT39,,T39)*(1-R39)+INDEX(Models!$BJ39:$BT39,,T39+1)*R39-ERP_i)*Q39*Ramure*Pc/MaxiM</f>
        <v>3.0371563640664545E-8</v>
      </c>
      <c r="Q39" s="304">
        <f t="shared" si="19"/>
        <v>0.6</v>
      </c>
      <c r="R39" s="177">
        <f t="shared" si="4"/>
        <v>0.50028189283119695</v>
      </c>
      <c r="S39" s="799">
        <f t="shared" si="20"/>
        <v>-2</v>
      </c>
      <c r="T39" s="176">
        <f t="shared" si="21"/>
        <v>4</v>
      </c>
      <c r="U39" s="250">
        <f t="shared" si="22"/>
        <v>-1.499718107168803</v>
      </c>
      <c r="V39" s="382">
        <f t="shared" si="5"/>
        <v>34.784965233909126</v>
      </c>
      <c r="W39" s="58"/>
      <c r="X39" s="157">
        <f t="shared" si="6"/>
        <v>43490</v>
      </c>
      <c r="Y39" s="383">
        <f t="shared" si="7"/>
        <v>0</v>
      </c>
      <c r="Z39" s="383">
        <f t="shared" si="8"/>
        <v>0</v>
      </c>
      <c r="AA39" s="384">
        <f t="shared" si="9"/>
        <v>0</v>
      </c>
      <c r="AB39" s="197">
        <f t="shared" si="10"/>
        <v>43490</v>
      </c>
      <c r="AC39" s="424">
        <f t="shared" si="11"/>
        <v>0</v>
      </c>
      <c r="AD39" s="169">
        <f>(INDEX(Models!$BJ39:$BT39,,AH39)*(1-AF39)+INDEX(Models!$BJ39:$BT39,,AH39+1)*AF39-ERP_i)*AE39*Ramure*Pc/MaxiM</f>
        <v>3.0371563640664545E-8</v>
      </c>
      <c r="AE39" s="304">
        <f t="shared" si="12"/>
        <v>0.6</v>
      </c>
      <c r="AF39" s="177">
        <f t="shared" si="13"/>
        <v>0.50028189283119695</v>
      </c>
      <c r="AG39" s="799">
        <f t="shared" si="23"/>
        <v>-2</v>
      </c>
      <c r="AH39" s="176">
        <f t="shared" si="14"/>
        <v>4</v>
      </c>
      <c r="AI39" s="224">
        <f t="shared" si="15"/>
        <v>-1.499718107168803</v>
      </c>
      <c r="AJ39" s="264" t="b">
        <f t="shared" si="16"/>
        <v>1</v>
      </c>
      <c r="AK39" s="264" t="b">
        <f t="shared" si="17"/>
        <v>0</v>
      </c>
      <c r="AL39" s="264"/>
      <c r="AM39" s="264"/>
      <c r="AN39" s="75"/>
    </row>
    <row r="40" spans="1:40" s="6" customFormat="1" ht="11.25" x14ac:dyDescent="0.2">
      <c r="A40" s="56">
        <f t="shared" si="18"/>
        <v>43491</v>
      </c>
      <c r="B40" s="607"/>
      <c r="C40" s="388"/>
      <c r="D40" s="391"/>
      <c r="E40" s="383"/>
      <c r="F40" s="383"/>
      <c r="G40" s="110"/>
      <c r="I40" s="379">
        <f t="shared" si="0"/>
        <v>0</v>
      </c>
      <c r="J40" s="85">
        <v>2018</v>
      </c>
      <c r="K40" s="197">
        <f t="shared" si="1"/>
        <v>43491</v>
      </c>
      <c r="L40" s="435">
        <f t="shared" si="2"/>
        <v>0</v>
      </c>
      <c r="M40" s="842"/>
      <c r="N40" s="842"/>
      <c r="O40" s="323">
        <f t="shared" si="3"/>
        <v>0</v>
      </c>
      <c r="P40" s="169">
        <f>(INDEX(Models!$BJ40:$BT40,,T40)*(1-R40)+INDEX(Models!$BJ40:$BT40,,T40+1)*R40-ERP_i)*Q40*Ramure*Pc/MaxiM</f>
        <v>2.9347076829679266E-8</v>
      </c>
      <c r="Q40" s="304">
        <f t="shared" si="19"/>
        <v>0.6</v>
      </c>
      <c r="R40" s="177">
        <f t="shared" si="4"/>
        <v>0.50035985284358975</v>
      </c>
      <c r="S40" s="799">
        <f t="shared" si="20"/>
        <v>-2</v>
      </c>
      <c r="T40" s="176">
        <f t="shared" si="21"/>
        <v>4</v>
      </c>
      <c r="U40" s="250">
        <f t="shared" si="22"/>
        <v>-1.4996401471564103</v>
      </c>
      <c r="V40" s="382">
        <f t="shared" si="5"/>
        <v>35.133197219773507</v>
      </c>
      <c r="W40" s="58"/>
      <c r="X40" s="157">
        <f t="shared" si="6"/>
        <v>43491</v>
      </c>
      <c r="Y40" s="383">
        <f t="shared" si="7"/>
        <v>0</v>
      </c>
      <c r="Z40" s="383">
        <f t="shared" si="8"/>
        <v>0</v>
      </c>
      <c r="AA40" s="384">
        <f t="shared" si="9"/>
        <v>0</v>
      </c>
      <c r="AB40" s="197">
        <f t="shared" si="10"/>
        <v>43491</v>
      </c>
      <c r="AC40" s="424">
        <f t="shared" si="11"/>
        <v>0</v>
      </c>
      <c r="AD40" s="169">
        <f>(INDEX(Models!$BJ40:$BT40,,AH40)*(1-AF40)+INDEX(Models!$BJ40:$BT40,,AH40+1)*AF40-ERP_i)*AE40*Ramure*Pc/MaxiM</f>
        <v>2.9347076829679266E-8</v>
      </c>
      <c r="AE40" s="304">
        <f t="shared" si="12"/>
        <v>0.6</v>
      </c>
      <c r="AF40" s="177">
        <f t="shared" si="13"/>
        <v>0.50035985284358975</v>
      </c>
      <c r="AG40" s="799">
        <f t="shared" si="23"/>
        <v>-2</v>
      </c>
      <c r="AH40" s="176">
        <f t="shared" si="14"/>
        <v>4</v>
      </c>
      <c r="AI40" s="224">
        <f t="shared" si="15"/>
        <v>-1.4996401471564103</v>
      </c>
      <c r="AJ40" s="264" t="b">
        <f t="shared" si="16"/>
        <v>1</v>
      </c>
      <c r="AK40" s="264" t="b">
        <f t="shared" si="17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8"/>
        <v>43492</v>
      </c>
      <c r="B41" s="607"/>
      <c r="C41" s="388"/>
      <c r="D41" s="391"/>
      <c r="E41" s="383"/>
      <c r="F41" s="383"/>
      <c r="G41" s="110"/>
      <c r="I41" s="379">
        <f t="shared" si="0"/>
        <v>0</v>
      </c>
      <c r="J41" s="85">
        <v>2018</v>
      </c>
      <c r="K41" s="197">
        <f t="shared" si="1"/>
        <v>43492</v>
      </c>
      <c r="L41" s="435">
        <f t="shared" si="2"/>
        <v>0</v>
      </c>
      <c r="M41" s="842"/>
      <c r="N41" s="842"/>
      <c r="O41" s="323">
        <f t="shared" si="3"/>
        <v>0</v>
      </c>
      <c r="P41" s="169">
        <f>(INDEX(Models!$BJ41:$BT41,,T41)*(1-R41)+INDEX(Models!$BJ41:$BT41,,T41+1)*R41-ERP_i)*Q41*Ramure*Pc/MaxiM</f>
        <v>2.8393662514448823E-8</v>
      </c>
      <c r="Q41" s="304">
        <f t="shared" si="19"/>
        <v>0.6</v>
      </c>
      <c r="R41" s="177">
        <f t="shared" si="4"/>
        <v>0.50044105752541146</v>
      </c>
      <c r="S41" s="799">
        <f t="shared" si="20"/>
        <v>-2</v>
      </c>
      <c r="T41" s="176">
        <f t="shared" si="21"/>
        <v>4</v>
      </c>
      <c r="U41" s="250">
        <f t="shared" si="22"/>
        <v>-1.4995589424745885</v>
      </c>
      <c r="V41" s="382">
        <f t="shared" si="5"/>
        <v>35.4875316083466</v>
      </c>
      <c r="W41" s="58"/>
      <c r="X41" s="157">
        <f t="shared" si="6"/>
        <v>43492</v>
      </c>
      <c r="Y41" s="383">
        <f t="shared" si="7"/>
        <v>0</v>
      </c>
      <c r="Z41" s="383">
        <f t="shared" si="8"/>
        <v>0</v>
      </c>
      <c r="AA41" s="384">
        <f t="shared" si="9"/>
        <v>0</v>
      </c>
      <c r="AB41" s="197">
        <f t="shared" si="10"/>
        <v>43492</v>
      </c>
      <c r="AC41" s="424">
        <f t="shared" si="11"/>
        <v>0</v>
      </c>
      <c r="AD41" s="169">
        <f>(INDEX(Models!$BJ41:$BT41,,AH41)*(1-AF41)+INDEX(Models!$BJ41:$BT41,,AH41+1)*AF41-ERP_i)*AE41*Ramure*Pc/MaxiM</f>
        <v>2.8393662514448823E-8</v>
      </c>
      <c r="AE41" s="304">
        <f t="shared" si="12"/>
        <v>0.6</v>
      </c>
      <c r="AF41" s="177">
        <f t="shared" si="13"/>
        <v>0.50044105752541146</v>
      </c>
      <c r="AG41" s="799">
        <f t="shared" si="23"/>
        <v>-2</v>
      </c>
      <c r="AH41" s="176">
        <f t="shared" si="14"/>
        <v>4</v>
      </c>
      <c r="AI41" s="224">
        <f t="shared" si="15"/>
        <v>-1.4995589424745885</v>
      </c>
      <c r="AJ41" s="264" t="b">
        <f t="shared" si="16"/>
        <v>1</v>
      </c>
      <c r="AK41" s="264" t="b">
        <f t="shared" si="17"/>
        <v>0</v>
      </c>
      <c r="AL41" s="264"/>
      <c r="AM41" s="264"/>
      <c r="AN41" s="75"/>
    </row>
    <row r="42" spans="1:40" s="6" customFormat="1" ht="11.25" x14ac:dyDescent="0.2">
      <c r="A42" s="56">
        <f t="shared" si="18"/>
        <v>43493</v>
      </c>
      <c r="B42" s="607"/>
      <c r="C42" s="388"/>
      <c r="D42" s="391"/>
      <c r="E42" s="383"/>
      <c r="F42" s="383"/>
      <c r="G42" s="110"/>
      <c r="I42" s="379">
        <f t="shared" si="0"/>
        <v>0</v>
      </c>
      <c r="J42" s="85">
        <v>2018</v>
      </c>
      <c r="K42" s="197">
        <f t="shared" si="1"/>
        <v>43493</v>
      </c>
      <c r="L42" s="435">
        <f t="shared" si="2"/>
        <v>0</v>
      </c>
      <c r="M42" s="842"/>
      <c r="N42" s="842"/>
      <c r="O42" s="323">
        <f t="shared" si="3"/>
        <v>0</v>
      </c>
      <c r="P42" s="169">
        <f>(INDEX(Models!$BJ42:$BT42,,T42)*(1-R42)+INDEX(Models!$BJ42:$BT42,,T42+1)*R42-ERP_i)*Q42*Ramure*Pc/MaxiM</f>
        <v>2.7553321808628879E-8</v>
      </c>
      <c r="Q42" s="304">
        <f t="shared" si="19"/>
        <v>0.6</v>
      </c>
      <c r="R42" s="177">
        <f t="shared" si="4"/>
        <v>0.5005256407912575</v>
      </c>
      <c r="S42" s="799">
        <f t="shared" si="20"/>
        <v>-2</v>
      </c>
      <c r="T42" s="176">
        <f t="shared" si="21"/>
        <v>4</v>
      </c>
      <c r="U42" s="250">
        <f t="shared" si="22"/>
        <v>-1.4994743592087425</v>
      </c>
      <c r="V42" s="382">
        <f t="shared" si="5"/>
        <v>35.847106883569026</v>
      </c>
      <c r="W42" s="58"/>
      <c r="X42" s="157">
        <f t="shared" si="6"/>
        <v>43493</v>
      </c>
      <c r="Y42" s="383">
        <f t="shared" si="7"/>
        <v>0</v>
      </c>
      <c r="Z42" s="383">
        <f t="shared" si="8"/>
        <v>0</v>
      </c>
      <c r="AA42" s="384">
        <f t="shared" si="9"/>
        <v>0</v>
      </c>
      <c r="AB42" s="197">
        <f t="shared" si="10"/>
        <v>43493</v>
      </c>
      <c r="AC42" s="424">
        <f t="shared" si="11"/>
        <v>0</v>
      </c>
      <c r="AD42" s="169">
        <f>(INDEX(Models!$BJ42:$BT42,,AH42)*(1-AF42)+INDEX(Models!$BJ42:$BT42,,AH42+1)*AF42-ERP_i)*AE42*Ramure*Pc/MaxiM</f>
        <v>2.7553321808628879E-8</v>
      </c>
      <c r="AE42" s="304">
        <f t="shared" si="12"/>
        <v>0.6</v>
      </c>
      <c r="AF42" s="177">
        <f t="shared" si="13"/>
        <v>0.5005256407912575</v>
      </c>
      <c r="AG42" s="799">
        <f t="shared" si="23"/>
        <v>-2</v>
      </c>
      <c r="AH42" s="176">
        <f t="shared" si="14"/>
        <v>4</v>
      </c>
      <c r="AI42" s="224">
        <f t="shared" si="15"/>
        <v>-1.4994743592087425</v>
      </c>
      <c r="AJ42" s="264" t="b">
        <f t="shared" si="16"/>
        <v>1</v>
      </c>
      <c r="AK42" s="264" t="b">
        <f t="shared" si="17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8"/>
        <v>43494</v>
      </c>
      <c r="B43" s="607"/>
      <c r="C43" s="388"/>
      <c r="D43" s="391"/>
      <c r="E43" s="383"/>
      <c r="F43" s="383"/>
      <c r="G43" s="110"/>
      <c r="I43" s="379">
        <f t="shared" si="0"/>
        <v>0</v>
      </c>
      <c r="J43" s="85">
        <v>2018</v>
      </c>
      <c r="K43" s="197">
        <f t="shared" si="1"/>
        <v>43494</v>
      </c>
      <c r="L43" s="435">
        <f t="shared" si="2"/>
        <v>0</v>
      </c>
      <c r="M43" s="842"/>
      <c r="N43" s="842"/>
      <c r="O43" s="323">
        <f t="shared" si="3"/>
        <v>0</v>
      </c>
      <c r="P43" s="169">
        <f>(INDEX(Models!$BJ43:$BT43,,T43)*(1-R43)+INDEX(Models!$BJ43:$BT43,,T43+1)*R43-ERP_i)*Q43*Ramure*Pc/MaxiM</f>
        <v>2.6870209945318441E-8</v>
      </c>
      <c r="Q43" s="304">
        <f t="shared" si="19"/>
        <v>0.6</v>
      </c>
      <c r="R43" s="177">
        <f t="shared" si="4"/>
        <v>0.50061374198654263</v>
      </c>
      <c r="S43" s="799">
        <f t="shared" si="20"/>
        <v>-2</v>
      </c>
      <c r="T43" s="176">
        <f t="shared" si="21"/>
        <v>4</v>
      </c>
      <c r="U43" s="250">
        <f t="shared" si="22"/>
        <v>-1.4993862580134574</v>
      </c>
      <c r="V43" s="382">
        <f t="shared" si="5"/>
        <v>36.211061526602542</v>
      </c>
      <c r="W43" s="58"/>
      <c r="X43" s="157">
        <f t="shared" si="6"/>
        <v>43494</v>
      </c>
      <c r="Y43" s="383">
        <f t="shared" si="7"/>
        <v>0</v>
      </c>
      <c r="Z43" s="383">
        <f t="shared" si="8"/>
        <v>0</v>
      </c>
      <c r="AA43" s="384">
        <f t="shared" si="9"/>
        <v>0</v>
      </c>
      <c r="AB43" s="197">
        <f t="shared" si="10"/>
        <v>43494</v>
      </c>
      <c r="AC43" s="424">
        <f t="shared" si="11"/>
        <v>0</v>
      </c>
      <c r="AD43" s="169">
        <f>(INDEX(Models!$BJ43:$BT43,,AH43)*(1-AF43)+INDEX(Models!$BJ43:$BT43,,AH43+1)*AF43-ERP_i)*AE43*Ramure*Pc/MaxiM</f>
        <v>2.6870209945318441E-8</v>
      </c>
      <c r="AE43" s="304">
        <f t="shared" si="12"/>
        <v>0.6</v>
      </c>
      <c r="AF43" s="177">
        <f t="shared" si="13"/>
        <v>0.50061374198654263</v>
      </c>
      <c r="AG43" s="799">
        <f t="shared" si="23"/>
        <v>-2</v>
      </c>
      <c r="AH43" s="176">
        <f t="shared" si="14"/>
        <v>4</v>
      </c>
      <c r="AI43" s="224">
        <f t="shared" si="15"/>
        <v>-1.4993862580134574</v>
      </c>
      <c r="AJ43" s="264" t="b">
        <f t="shared" si="16"/>
        <v>1</v>
      </c>
      <c r="AK43" s="264" t="b">
        <f t="shared" si="17"/>
        <v>0</v>
      </c>
      <c r="AL43" s="264"/>
      <c r="AM43" s="264"/>
      <c r="AN43" s="75"/>
    </row>
    <row r="44" spans="1:40" s="6" customFormat="1" ht="11.25" x14ac:dyDescent="0.2">
      <c r="A44" s="56">
        <f t="shared" si="18"/>
        <v>43495</v>
      </c>
      <c r="B44" s="607"/>
      <c r="C44" s="388"/>
      <c r="D44" s="391"/>
      <c r="E44" s="383"/>
      <c r="F44" s="383"/>
      <c r="G44" s="110"/>
      <c r="I44" s="379">
        <f t="shared" si="0"/>
        <v>0</v>
      </c>
      <c r="J44" s="85">
        <v>2018</v>
      </c>
      <c r="K44" s="197">
        <f t="shared" si="1"/>
        <v>43495</v>
      </c>
      <c r="L44" s="435">
        <f t="shared" si="2"/>
        <v>0</v>
      </c>
      <c r="M44" s="842"/>
      <c r="N44" s="842"/>
      <c r="O44" s="323">
        <f t="shared" si="3"/>
        <v>0</v>
      </c>
      <c r="P44" s="169">
        <f>(INDEX(Models!$BJ44:$BT44,,T44)*(1-R44)+INDEX(Models!$BJ44:$BT44,,T44+1)*R44-ERP_i)*Q44*Ramure*Pc/MaxiM</f>
        <v>2.6447187804642739E-8</v>
      </c>
      <c r="Q44" s="304">
        <f t="shared" si="19"/>
        <v>0.6</v>
      </c>
      <c r="R44" s="177">
        <f t="shared" si="4"/>
        <v>0.50070550609953623</v>
      </c>
      <c r="S44" s="799">
        <f t="shared" si="20"/>
        <v>-2</v>
      </c>
      <c r="T44" s="176">
        <f t="shared" si="21"/>
        <v>4</v>
      </c>
      <c r="U44" s="250">
        <f t="shared" si="22"/>
        <v>-1.4992944939004638</v>
      </c>
      <c r="V44" s="382">
        <f t="shared" si="5"/>
        <v>36.578534017721431</v>
      </c>
      <c r="W44" s="58"/>
      <c r="X44" s="157">
        <f t="shared" si="6"/>
        <v>43495</v>
      </c>
      <c r="Y44" s="383">
        <f t="shared" si="7"/>
        <v>0</v>
      </c>
      <c r="Z44" s="383">
        <f t="shared" si="8"/>
        <v>0</v>
      </c>
      <c r="AA44" s="384">
        <f t="shared" si="9"/>
        <v>0</v>
      </c>
      <c r="AB44" s="197">
        <f t="shared" si="10"/>
        <v>43495</v>
      </c>
      <c r="AC44" s="424">
        <f t="shared" si="11"/>
        <v>0</v>
      </c>
      <c r="AD44" s="169">
        <f>(INDEX(Models!$BJ44:$BT44,,AH44)*(1-AF44)+INDEX(Models!$BJ44:$BT44,,AH44+1)*AF44-ERP_i)*AE44*Ramure*Pc/MaxiM</f>
        <v>2.6447187804642739E-8</v>
      </c>
      <c r="AE44" s="304">
        <f t="shared" si="12"/>
        <v>0.6</v>
      </c>
      <c r="AF44" s="177">
        <f t="shared" si="13"/>
        <v>0.50070550609953623</v>
      </c>
      <c r="AG44" s="799">
        <f t="shared" si="23"/>
        <v>-2</v>
      </c>
      <c r="AH44" s="176">
        <f t="shared" si="14"/>
        <v>4</v>
      </c>
      <c r="AI44" s="224">
        <f t="shared" si="15"/>
        <v>-1.4992944939004638</v>
      </c>
      <c r="AJ44" s="264" t="b">
        <f t="shared" si="16"/>
        <v>1</v>
      </c>
      <c r="AK44" s="264" t="b">
        <f t="shared" si="17"/>
        <v>0</v>
      </c>
      <c r="AL44" s="264"/>
      <c r="AM44" s="264"/>
      <c r="AN44" s="75"/>
    </row>
    <row r="45" spans="1:40" s="6" customFormat="1" ht="11.25" x14ac:dyDescent="0.2">
      <c r="A45" s="56">
        <f t="shared" si="18"/>
        <v>43496</v>
      </c>
      <c r="B45" s="607"/>
      <c r="C45" s="388"/>
      <c r="D45" s="391"/>
      <c r="E45" s="383"/>
      <c r="F45" s="383"/>
      <c r="G45" s="110"/>
      <c r="I45" s="379">
        <f t="shared" si="0"/>
        <v>0</v>
      </c>
      <c r="J45" s="85">
        <v>2018</v>
      </c>
      <c r="K45" s="197">
        <f t="shared" si="1"/>
        <v>43496</v>
      </c>
      <c r="L45" s="435">
        <f t="shared" si="2"/>
        <v>0</v>
      </c>
      <c r="M45" s="842"/>
      <c r="N45" s="842"/>
      <c r="O45" s="323">
        <f t="shared" si="3"/>
        <v>0</v>
      </c>
      <c r="P45" s="169">
        <f>(INDEX(Models!$BJ45:$BT45,,T45)*(1-R45)+INDEX(Models!$BJ45:$BT45,,T45+1)*R45-ERP_i)*Q45*Ramure*Pc/MaxiM</f>
        <v>2.6128555069061126E-8</v>
      </c>
      <c r="Q45" s="304">
        <f t="shared" si="19"/>
        <v>0.6</v>
      </c>
      <c r="R45" s="177">
        <f t="shared" si="4"/>
        <v>0.50080108398096623</v>
      </c>
      <c r="S45" s="799">
        <f t="shared" si="20"/>
        <v>-2</v>
      </c>
      <c r="T45" s="176">
        <f t="shared" si="21"/>
        <v>4</v>
      </c>
      <c r="U45" s="250">
        <f t="shared" si="22"/>
        <v>-1.4991989160190338</v>
      </c>
      <c r="V45" s="382">
        <f t="shared" si="5"/>
        <v>36.948662846609061</v>
      </c>
      <c r="W45" s="58"/>
      <c r="X45" s="157">
        <f t="shared" si="6"/>
        <v>43496</v>
      </c>
      <c r="Y45" s="383">
        <f t="shared" si="7"/>
        <v>0</v>
      </c>
      <c r="Z45" s="383">
        <f t="shared" si="8"/>
        <v>0</v>
      </c>
      <c r="AA45" s="384">
        <f t="shared" si="9"/>
        <v>0</v>
      </c>
      <c r="AB45" s="197">
        <f t="shared" si="10"/>
        <v>43496</v>
      </c>
      <c r="AC45" s="424">
        <f t="shared" si="11"/>
        <v>0</v>
      </c>
      <c r="AD45" s="169">
        <f>(INDEX(Models!$BJ45:$BT45,,AH45)*(1-AF45)+INDEX(Models!$BJ45:$BT45,,AH45+1)*AF45-ERP_i)*AE45*Ramure*Pc/MaxiM</f>
        <v>2.6128555069061126E-8</v>
      </c>
      <c r="AE45" s="304">
        <f t="shared" si="12"/>
        <v>0.6</v>
      </c>
      <c r="AF45" s="177">
        <f t="shared" si="13"/>
        <v>0.50080108398096623</v>
      </c>
      <c r="AG45" s="799">
        <f t="shared" si="23"/>
        <v>-2</v>
      </c>
      <c r="AH45" s="176">
        <f t="shared" si="14"/>
        <v>4</v>
      </c>
      <c r="AI45" s="224">
        <f t="shared" si="15"/>
        <v>-1.4991989160190338</v>
      </c>
      <c r="AJ45" s="264" t="b">
        <f t="shared" si="16"/>
        <v>0</v>
      </c>
      <c r="AK45" s="264" t="b">
        <f t="shared" si="17"/>
        <v>0</v>
      </c>
      <c r="AL45" s="264"/>
      <c r="AM45" s="264"/>
      <c r="AN45" s="75"/>
    </row>
    <row r="46" spans="1:40" s="6" customFormat="1" ht="11.25" x14ac:dyDescent="0.2">
      <c r="A46" s="56">
        <f t="shared" si="18"/>
        <v>43497</v>
      </c>
      <c r="B46" s="607"/>
      <c r="C46" s="388"/>
      <c r="D46" s="391"/>
      <c r="E46" s="383"/>
      <c r="F46" s="383"/>
      <c r="G46" s="110"/>
      <c r="I46" s="379">
        <f t="shared" si="0"/>
        <v>0</v>
      </c>
      <c r="J46" s="85">
        <v>2018</v>
      </c>
      <c r="K46" s="197">
        <f t="shared" si="1"/>
        <v>43497</v>
      </c>
      <c r="L46" s="435">
        <f t="shared" si="2"/>
        <v>1.9164771863366958E-5</v>
      </c>
      <c r="M46" s="842"/>
      <c r="N46" s="842"/>
      <c r="O46" s="323">
        <f t="shared" si="3"/>
        <v>1.0953959066109387E-4</v>
      </c>
      <c r="P46" s="169">
        <f>(INDEX(Models!$BJ46:$BT46,,T46)*(1-R46)+INDEX(Models!$BJ46:$BT46,,T46+1)*R46-ERP_i)*Q46*Ramure*Pc/MaxiM</f>
        <v>2.5943916080547381E-8</v>
      </c>
      <c r="Q46" s="304">
        <f t="shared" si="19"/>
        <v>0.6</v>
      </c>
      <c r="R46" s="177">
        <f t="shared" si="4"/>
        <v>0.50090063257140671</v>
      </c>
      <c r="S46" s="799">
        <f t="shared" si="20"/>
        <v>-2</v>
      </c>
      <c r="T46" s="176">
        <f t="shared" si="21"/>
        <v>4</v>
      </c>
      <c r="U46" s="250">
        <f t="shared" si="22"/>
        <v>-1.4990993674285933</v>
      </c>
      <c r="V46" s="382">
        <f t="shared" si="5"/>
        <v>37.31578325154117</v>
      </c>
      <c r="W46" s="58"/>
      <c r="X46" s="157">
        <f t="shared" si="6"/>
        <v>43497</v>
      </c>
      <c r="Y46" s="383">
        <f t="shared" si="7"/>
        <v>0</v>
      </c>
      <c r="Z46" s="383">
        <f t="shared" si="8"/>
        <v>0</v>
      </c>
      <c r="AA46" s="384">
        <f t="shared" si="9"/>
        <v>0</v>
      </c>
      <c r="AB46" s="197">
        <f t="shared" si="10"/>
        <v>43497</v>
      </c>
      <c r="AC46" s="424">
        <f t="shared" si="11"/>
        <v>1.0953959066109387E-4</v>
      </c>
      <c r="AD46" s="169">
        <f>(INDEX(Models!$BJ46:$BT46,,AH46)*(1-AF46)+INDEX(Models!$BJ46:$BT46,,AH46+1)*AF46-ERP_i)*AE46*Ramure*Pc/MaxiM</f>
        <v>2.5943916080547381E-8</v>
      </c>
      <c r="AE46" s="304">
        <f t="shared" si="12"/>
        <v>0.6</v>
      </c>
      <c r="AF46" s="177">
        <f t="shared" si="13"/>
        <v>0.50090063257140671</v>
      </c>
      <c r="AG46" s="799">
        <f t="shared" si="23"/>
        <v>-2</v>
      </c>
      <c r="AH46" s="176">
        <f t="shared" si="14"/>
        <v>4</v>
      </c>
      <c r="AI46" s="224">
        <f t="shared" si="15"/>
        <v>-1.4990993674285933</v>
      </c>
      <c r="AJ46" s="264" t="b">
        <f t="shared" si="16"/>
        <v>0</v>
      </c>
      <c r="AK46" s="264" t="b">
        <f t="shared" si="17"/>
        <v>0</v>
      </c>
      <c r="AL46" s="264"/>
      <c r="AM46" s="264"/>
      <c r="AN46" s="75"/>
    </row>
    <row r="47" spans="1:40" s="6" customFormat="1" ht="11.25" x14ac:dyDescent="0.2">
      <c r="A47" s="56">
        <f t="shared" si="18"/>
        <v>43498</v>
      </c>
      <c r="B47" s="607"/>
      <c r="C47" s="388"/>
      <c r="D47" s="391"/>
      <c r="E47" s="383"/>
      <c r="F47" s="383"/>
      <c r="G47" s="110"/>
      <c r="I47" s="379">
        <f t="shared" si="0"/>
        <v>0</v>
      </c>
      <c r="J47" s="85">
        <v>2018</v>
      </c>
      <c r="K47" s="197">
        <f t="shared" si="1"/>
        <v>43498</v>
      </c>
      <c r="L47" s="435">
        <f t="shared" si="2"/>
        <v>3.8329176438200996E-5</v>
      </c>
      <c r="M47" s="842"/>
      <c r="N47" s="842"/>
      <c r="O47" s="323">
        <f t="shared" si="3"/>
        <v>2.1898017120385271E-4</v>
      </c>
      <c r="P47" s="169">
        <f>(INDEX(Models!$BJ47:$BT47,,T47)*(1-R47)+INDEX(Models!$BJ47:$BT47,,T47+1)*R47-ERP_i)*Q47*Ramure*Pc/MaxiM</f>
        <v>2.5924542862207131E-8</v>
      </c>
      <c r="Q47" s="304">
        <f t="shared" si="19"/>
        <v>0.6</v>
      </c>
      <c r="R47" s="177">
        <f t="shared" si="4"/>
        <v>0.50100431513665145</v>
      </c>
      <c r="S47" s="799">
        <f t="shared" si="20"/>
        <v>-2</v>
      </c>
      <c r="T47" s="176">
        <f t="shared" si="21"/>
        <v>4</v>
      </c>
      <c r="U47" s="250">
        <f t="shared" si="22"/>
        <v>-1.4989956848633486</v>
      </c>
      <c r="V47" s="382">
        <f t="shared" si="5"/>
        <v>37.683744888272962</v>
      </c>
      <c r="W47" s="58"/>
      <c r="X47" s="157">
        <f t="shared" si="6"/>
        <v>43498</v>
      </c>
      <c r="Y47" s="383">
        <f t="shared" si="7"/>
        <v>0</v>
      </c>
      <c r="Z47" s="383">
        <f t="shared" si="8"/>
        <v>0</v>
      </c>
      <c r="AA47" s="384">
        <f t="shared" si="9"/>
        <v>0</v>
      </c>
      <c r="AB47" s="197">
        <f t="shared" si="10"/>
        <v>43498</v>
      </c>
      <c r="AC47" s="424">
        <f t="shared" si="11"/>
        <v>2.1898017120385271E-4</v>
      </c>
      <c r="AD47" s="169">
        <f>(INDEX(Models!$BJ47:$BT47,,AH47)*(1-AF47)+INDEX(Models!$BJ47:$BT47,,AH47+1)*AF47-ERP_i)*AE47*Ramure*Pc/MaxiM</f>
        <v>2.5924542862207131E-8</v>
      </c>
      <c r="AE47" s="304">
        <f t="shared" si="12"/>
        <v>0.6</v>
      </c>
      <c r="AF47" s="177">
        <f t="shared" si="13"/>
        <v>0.50100431513665145</v>
      </c>
      <c r="AG47" s="799">
        <f t="shared" si="23"/>
        <v>-2</v>
      </c>
      <c r="AH47" s="176">
        <f t="shared" si="14"/>
        <v>4</v>
      </c>
      <c r="AI47" s="224">
        <f t="shared" si="15"/>
        <v>-1.4989956848633486</v>
      </c>
      <c r="AJ47" s="264" t="b">
        <f t="shared" si="16"/>
        <v>0</v>
      </c>
      <c r="AK47" s="264" t="b">
        <f t="shared" si="17"/>
        <v>0</v>
      </c>
      <c r="AL47" s="264"/>
      <c r="AM47" s="264"/>
      <c r="AN47" s="75"/>
    </row>
    <row r="48" spans="1:40" s="6" customFormat="1" ht="11.25" x14ac:dyDescent="0.2">
      <c r="A48" s="56">
        <f t="shared" si="18"/>
        <v>43499</v>
      </c>
      <c r="B48" s="607"/>
      <c r="C48" s="388"/>
      <c r="D48" s="391"/>
      <c r="E48" s="383"/>
      <c r="F48" s="383"/>
      <c r="G48" s="110"/>
      <c r="I48" s="379">
        <f t="shared" si="0"/>
        <v>0</v>
      </c>
      <c r="J48" s="85">
        <v>2018</v>
      </c>
      <c r="K48" s="197">
        <f t="shared" si="1"/>
        <v>43499</v>
      </c>
      <c r="L48" s="435">
        <f t="shared" si="2"/>
        <v>5.749321373160754E-5</v>
      </c>
      <c r="M48" s="842"/>
      <c r="N48" s="842"/>
      <c r="O48" s="323">
        <f t="shared" si="3"/>
        <v>3.2832229357801431E-4</v>
      </c>
      <c r="P48" s="169">
        <f>(INDEX(Models!$BJ48:$BT48,,T48)*(1-R48)+INDEX(Models!$BJ48:$BT48,,T48+1)*R48-ERP_i)*Q48*Ramure*Pc/MaxiM</f>
        <v>2.6103528587966069E-8</v>
      </c>
      <c r="Q48" s="304">
        <f t="shared" si="19"/>
        <v>0.6</v>
      </c>
      <c r="R48" s="177">
        <f t="shared" si="4"/>
        <v>0.50111230151128461</v>
      </c>
      <c r="S48" s="799">
        <f t="shared" si="20"/>
        <v>-2</v>
      </c>
      <c r="T48" s="176">
        <f t="shared" si="21"/>
        <v>4</v>
      </c>
      <c r="U48" s="250">
        <f t="shared" si="22"/>
        <v>-1.4988876984887154</v>
      </c>
      <c r="V48" s="382">
        <f t="shared" si="5"/>
        <v>38.051686306552718</v>
      </c>
      <c r="W48" s="58"/>
      <c r="X48" s="157">
        <f t="shared" si="6"/>
        <v>43499</v>
      </c>
      <c r="Y48" s="383">
        <f t="shared" si="7"/>
        <v>0</v>
      </c>
      <c r="Z48" s="383">
        <f t="shared" si="8"/>
        <v>0</v>
      </c>
      <c r="AA48" s="384">
        <f t="shared" si="9"/>
        <v>0</v>
      </c>
      <c r="AB48" s="197">
        <f t="shared" si="10"/>
        <v>43499</v>
      </c>
      <c r="AC48" s="424">
        <f t="shared" si="11"/>
        <v>3.2832229357801431E-4</v>
      </c>
      <c r="AD48" s="169">
        <f>(INDEX(Models!$BJ48:$BT48,,AH48)*(1-AF48)+INDEX(Models!$BJ48:$BT48,,AH48+1)*AF48-ERP_i)*AE48*Ramure*Pc/MaxiM</f>
        <v>2.6103528587966069E-8</v>
      </c>
      <c r="AE48" s="304">
        <f t="shared" si="12"/>
        <v>0.6</v>
      </c>
      <c r="AF48" s="177">
        <f t="shared" si="13"/>
        <v>0.50111230151128461</v>
      </c>
      <c r="AG48" s="799">
        <f t="shared" si="23"/>
        <v>-2</v>
      </c>
      <c r="AH48" s="176">
        <f t="shared" si="14"/>
        <v>4</v>
      </c>
      <c r="AI48" s="224">
        <f t="shared" si="15"/>
        <v>-1.4988876984887154</v>
      </c>
      <c r="AJ48" s="264" t="b">
        <f t="shared" si="16"/>
        <v>0</v>
      </c>
      <c r="AK48" s="264" t="b">
        <f t="shared" si="17"/>
        <v>0</v>
      </c>
      <c r="AL48" s="264"/>
      <c r="AM48" s="264"/>
      <c r="AN48" s="75"/>
    </row>
    <row r="49" spans="1:40" s="6" customFormat="1" ht="11.25" x14ac:dyDescent="0.2">
      <c r="A49" s="56">
        <f t="shared" si="18"/>
        <v>43500</v>
      </c>
      <c r="B49" s="607"/>
      <c r="C49" s="388"/>
      <c r="D49" s="391"/>
      <c r="E49" s="383"/>
      <c r="F49" s="383"/>
      <c r="G49" s="110"/>
      <c r="I49" s="379">
        <f t="shared" si="0"/>
        <v>0</v>
      </c>
      <c r="J49" s="85">
        <v>2018</v>
      </c>
      <c r="K49" s="197">
        <f t="shared" si="1"/>
        <v>43500</v>
      </c>
      <c r="L49" s="435">
        <f t="shared" si="2"/>
        <v>7.6656883750580995E-5</v>
      </c>
      <c r="M49" s="842"/>
      <c r="N49" s="842"/>
      <c r="O49" s="323">
        <f t="shared" si="3"/>
        <v>4.3756648013720969E-4</v>
      </c>
      <c r="P49" s="169">
        <f>(INDEX(Models!$BJ49:$BT49,,T49)*(1-R49)+INDEX(Models!$BJ49:$BT49,,T49+1)*R49-ERP_i)*Q49*Ramure*Pc/MaxiM</f>
        <v>2.6515959174828614E-8</v>
      </c>
      <c r="Q49" s="304">
        <f t="shared" si="19"/>
        <v>0.6</v>
      </c>
      <c r="R49" s="177">
        <f t="shared" si="4"/>
        <v>0.50122476835065055</v>
      </c>
      <c r="S49" s="799">
        <f t="shared" si="20"/>
        <v>-2</v>
      </c>
      <c r="T49" s="176">
        <f t="shared" si="21"/>
        <v>4</v>
      </c>
      <c r="U49" s="250">
        <f t="shared" si="22"/>
        <v>-1.4987752316493494</v>
      </c>
      <c r="V49" s="382">
        <f t="shared" si="5"/>
        <v>38.418746498300862</v>
      </c>
      <c r="W49" s="58"/>
      <c r="X49" s="157">
        <f t="shared" si="6"/>
        <v>43500</v>
      </c>
      <c r="Y49" s="383">
        <f t="shared" si="7"/>
        <v>0</v>
      </c>
      <c r="Z49" s="383">
        <f t="shared" si="8"/>
        <v>0</v>
      </c>
      <c r="AA49" s="384">
        <f t="shared" si="9"/>
        <v>0</v>
      </c>
      <c r="AB49" s="197">
        <f t="shared" si="10"/>
        <v>43500</v>
      </c>
      <c r="AC49" s="424">
        <f t="shared" si="11"/>
        <v>4.3756648013720969E-4</v>
      </c>
      <c r="AD49" s="169">
        <f>(INDEX(Models!$BJ49:$BT49,,AH49)*(1-AF49)+INDEX(Models!$BJ49:$BT49,,AH49+1)*AF49-ERP_i)*AE49*Ramure*Pc/MaxiM</f>
        <v>2.6515959174828614E-8</v>
      </c>
      <c r="AE49" s="304">
        <f t="shared" si="12"/>
        <v>0.6</v>
      </c>
      <c r="AF49" s="177">
        <f t="shared" si="13"/>
        <v>0.50122476835065055</v>
      </c>
      <c r="AG49" s="799">
        <f t="shared" si="23"/>
        <v>-2</v>
      </c>
      <c r="AH49" s="176">
        <f t="shared" si="14"/>
        <v>4</v>
      </c>
      <c r="AI49" s="224">
        <f t="shared" si="15"/>
        <v>-1.4987752316493494</v>
      </c>
      <c r="AJ49" s="264" t="b">
        <f t="shared" si="16"/>
        <v>0</v>
      </c>
      <c r="AK49" s="264" t="b">
        <f t="shared" si="17"/>
        <v>0</v>
      </c>
      <c r="AL49" s="264"/>
      <c r="AM49" s="264"/>
      <c r="AN49" s="75"/>
    </row>
    <row r="50" spans="1:40" s="6" customFormat="1" ht="11.25" x14ac:dyDescent="0.2">
      <c r="A50" s="56">
        <f t="shared" si="18"/>
        <v>43501</v>
      </c>
      <c r="B50" s="607"/>
      <c r="C50" s="388"/>
      <c r="D50" s="391"/>
      <c r="E50" s="383"/>
      <c r="F50" s="383"/>
      <c r="G50" s="110"/>
      <c r="I50" s="379">
        <f t="shared" si="0"/>
        <v>0</v>
      </c>
      <c r="J50" s="85">
        <v>2018</v>
      </c>
      <c r="K50" s="197">
        <f t="shared" si="1"/>
        <v>43501</v>
      </c>
      <c r="L50" s="435">
        <f t="shared" si="2"/>
        <v>9.582018650222679E-5</v>
      </c>
      <c r="M50" s="842"/>
      <c r="N50" s="842"/>
      <c r="O50" s="323">
        <f t="shared" si="3"/>
        <v>5.4671321853627371E-4</v>
      </c>
      <c r="P50" s="169">
        <f>(INDEX(Models!$BJ50:$BT50,,T50)*(1-R50)+INDEX(Models!$BJ50:$BT50,,T50+1)*R50-ERP_i)*Q50*Ramure*Pc/MaxiM</f>
        <v>2.7199103775185966E-8</v>
      </c>
      <c r="Q50" s="304">
        <f t="shared" si="19"/>
        <v>0.6</v>
      </c>
      <c r="R50" s="177">
        <f t="shared" si="4"/>
        <v>0.50134189939143137</v>
      </c>
      <c r="S50" s="799">
        <f t="shared" si="20"/>
        <v>-2</v>
      </c>
      <c r="T50" s="176">
        <f t="shared" si="21"/>
        <v>4</v>
      </c>
      <c r="U50" s="250">
        <f t="shared" si="22"/>
        <v>-1.4986581006085686</v>
      </c>
      <c r="V50" s="382">
        <f t="shared" si="5"/>
        <v>38.784064899604012</v>
      </c>
      <c r="W50" s="58"/>
      <c r="X50" s="157">
        <f t="shared" si="6"/>
        <v>43501</v>
      </c>
      <c r="Y50" s="383">
        <f t="shared" si="7"/>
        <v>0</v>
      </c>
      <c r="Z50" s="383">
        <f t="shared" si="8"/>
        <v>0</v>
      </c>
      <c r="AA50" s="384">
        <f t="shared" si="9"/>
        <v>0</v>
      </c>
      <c r="AB50" s="197">
        <f t="shared" si="10"/>
        <v>43501</v>
      </c>
      <c r="AC50" s="424">
        <f t="shared" si="11"/>
        <v>5.4671321853627371E-4</v>
      </c>
      <c r="AD50" s="169">
        <f>(INDEX(Models!$BJ50:$BT50,,AH50)*(1-AF50)+INDEX(Models!$BJ50:$BT50,,AH50+1)*AF50-ERP_i)*AE50*Ramure*Pc/MaxiM</f>
        <v>2.7199103775185966E-8</v>
      </c>
      <c r="AE50" s="304">
        <f t="shared" si="12"/>
        <v>0.6</v>
      </c>
      <c r="AF50" s="177">
        <f t="shared" si="13"/>
        <v>0.50134189939143137</v>
      </c>
      <c r="AG50" s="799">
        <f t="shared" si="23"/>
        <v>-2</v>
      </c>
      <c r="AH50" s="176">
        <f t="shared" si="14"/>
        <v>4</v>
      </c>
      <c r="AI50" s="224">
        <f t="shared" si="15"/>
        <v>-1.4986581006085686</v>
      </c>
      <c r="AJ50" s="264" t="b">
        <f t="shared" si="16"/>
        <v>0</v>
      </c>
      <c r="AK50" s="264" t="b">
        <f t="shared" si="17"/>
        <v>0</v>
      </c>
      <c r="AL50" s="264"/>
      <c r="AM50" s="264"/>
      <c r="AN50" s="75"/>
    </row>
    <row r="51" spans="1:40" s="6" customFormat="1" ht="11.25" x14ac:dyDescent="0.2">
      <c r="A51" s="56">
        <f t="shared" si="18"/>
        <v>43502</v>
      </c>
      <c r="B51" s="607"/>
      <c r="C51" s="388"/>
      <c r="D51" s="391"/>
      <c r="E51" s="383"/>
      <c r="F51" s="383"/>
      <c r="G51" s="110"/>
      <c r="I51" s="379">
        <f t="shared" si="0"/>
        <v>0</v>
      </c>
      <c r="J51" s="85">
        <v>2018</v>
      </c>
      <c r="K51" s="197">
        <f t="shared" si="1"/>
        <v>43502</v>
      </c>
      <c r="L51" s="435">
        <f t="shared" si="2"/>
        <v>1.1498312199365035E-4</v>
      </c>
      <c r="M51" s="842"/>
      <c r="N51" s="842"/>
      <c r="O51" s="323">
        <f t="shared" si="3"/>
        <v>6.5576295714578976E-4</v>
      </c>
      <c r="P51" s="169">
        <f>(INDEX(Models!$BJ51:$BT51,,T51)*(1-R51)+INDEX(Models!$BJ51:$BT51,,T51+1)*R51-ERP_i)*Q51*Ramure*Pc/MaxiM</f>
        <v>2.8190068024822752E-8</v>
      </c>
      <c r="Q51" s="304">
        <f t="shared" si="19"/>
        <v>0.6</v>
      </c>
      <c r="R51" s="177">
        <f t="shared" si="4"/>
        <v>0.5014638857210254</v>
      </c>
      <c r="S51" s="799">
        <f t="shared" si="20"/>
        <v>-2</v>
      </c>
      <c r="T51" s="176">
        <f t="shared" si="21"/>
        <v>4</v>
      </c>
      <c r="U51" s="250">
        <f t="shared" si="22"/>
        <v>-1.4985361142789746</v>
      </c>
      <c r="V51" s="382">
        <f t="shared" si="5"/>
        <v>39.150332402013845</v>
      </c>
      <c r="W51" s="58"/>
      <c r="X51" s="157">
        <f t="shared" si="6"/>
        <v>43502</v>
      </c>
      <c r="Y51" s="383">
        <f t="shared" si="7"/>
        <v>0</v>
      </c>
      <c r="Z51" s="383">
        <f t="shared" si="8"/>
        <v>0</v>
      </c>
      <c r="AA51" s="384">
        <f t="shared" si="9"/>
        <v>0</v>
      </c>
      <c r="AB51" s="197">
        <f t="shared" si="10"/>
        <v>43502</v>
      </c>
      <c r="AC51" s="424">
        <f t="shared" si="11"/>
        <v>6.5576295714578976E-4</v>
      </c>
      <c r="AD51" s="169">
        <f>(INDEX(Models!$BJ51:$BT51,,AH51)*(1-AF51)+INDEX(Models!$BJ51:$BT51,,AH51+1)*AF51-ERP_i)*AE51*Ramure*Pc/MaxiM</f>
        <v>2.8190068024822752E-8</v>
      </c>
      <c r="AE51" s="304">
        <f t="shared" si="12"/>
        <v>0.6</v>
      </c>
      <c r="AF51" s="177">
        <f t="shared" si="13"/>
        <v>0.5014638857210254</v>
      </c>
      <c r="AG51" s="799">
        <f t="shared" si="23"/>
        <v>-2</v>
      </c>
      <c r="AH51" s="176">
        <f t="shared" si="14"/>
        <v>4</v>
      </c>
      <c r="AI51" s="224">
        <f t="shared" si="15"/>
        <v>-1.4985361142789746</v>
      </c>
      <c r="AJ51" s="264" t="b">
        <f t="shared" si="16"/>
        <v>0</v>
      </c>
      <c r="AK51" s="264" t="b">
        <f t="shared" si="17"/>
        <v>0</v>
      </c>
      <c r="AL51" s="264"/>
      <c r="AM51" s="264"/>
      <c r="AN51" s="75"/>
    </row>
    <row r="52" spans="1:40" s="6" customFormat="1" ht="11.25" x14ac:dyDescent="0.2">
      <c r="A52" s="56">
        <f t="shared" si="18"/>
        <v>43503</v>
      </c>
      <c r="B52" s="607"/>
      <c r="C52" s="388"/>
      <c r="D52" s="391"/>
      <c r="E52" s="383"/>
      <c r="F52" s="383"/>
      <c r="G52" s="110"/>
      <c r="I52" s="379">
        <f t="shared" si="0"/>
        <v>0</v>
      </c>
      <c r="J52" s="85">
        <v>2018</v>
      </c>
      <c r="K52" s="197">
        <f t="shared" si="1"/>
        <v>43503</v>
      </c>
      <c r="L52" s="435">
        <f t="shared" si="2"/>
        <v>1.3414569023162404E-4</v>
      </c>
      <c r="M52" s="842"/>
      <c r="N52" s="842"/>
      <c r="O52" s="323">
        <f t="shared" si="3"/>
        <v>7.6471610109516439E-4</v>
      </c>
      <c r="P52" s="169">
        <f>(INDEX(Models!$BJ52:$BT52,,T52)*(1-R52)+INDEX(Models!$BJ52:$BT52,,T52+1)*R52-ERP_i)*Q52*Ramure*Pc/MaxiM</f>
        <v>2.9465393298375034E-8</v>
      </c>
      <c r="Q52" s="304">
        <f t="shared" si="19"/>
        <v>0.6</v>
      </c>
      <c r="R52" s="177">
        <f t="shared" si="4"/>
        <v>0.50159092605592703</v>
      </c>
      <c r="S52" s="799">
        <f t="shared" si="20"/>
        <v>-2</v>
      </c>
      <c r="T52" s="176">
        <f t="shared" si="21"/>
        <v>4</v>
      </c>
      <c r="U52" s="250">
        <f t="shared" si="22"/>
        <v>-1.498409073944073</v>
      </c>
      <c r="V52" s="382">
        <f t="shared" si="5"/>
        <v>39.520381977908514</v>
      </c>
      <c r="W52" s="58"/>
      <c r="X52" s="157">
        <f t="shared" si="6"/>
        <v>43503</v>
      </c>
      <c r="Y52" s="383">
        <f t="shared" si="7"/>
        <v>0</v>
      </c>
      <c r="Z52" s="383">
        <f t="shared" si="8"/>
        <v>0</v>
      </c>
      <c r="AA52" s="384">
        <f t="shared" si="9"/>
        <v>0</v>
      </c>
      <c r="AB52" s="197">
        <f t="shared" si="10"/>
        <v>43503</v>
      </c>
      <c r="AC52" s="424">
        <f t="shared" si="11"/>
        <v>7.6471610109516439E-4</v>
      </c>
      <c r="AD52" s="169">
        <f>(INDEX(Models!$BJ52:$BT52,,AH52)*(1-AF52)+INDEX(Models!$BJ52:$BT52,,AH52+1)*AF52-ERP_i)*AE52*Ramure*Pc/MaxiM</f>
        <v>2.9465393298375034E-8</v>
      </c>
      <c r="AE52" s="304">
        <f t="shared" si="12"/>
        <v>0.6</v>
      </c>
      <c r="AF52" s="177">
        <f t="shared" si="13"/>
        <v>0.50159092605592703</v>
      </c>
      <c r="AG52" s="799">
        <f t="shared" si="23"/>
        <v>-2</v>
      </c>
      <c r="AH52" s="176">
        <f t="shared" si="14"/>
        <v>4</v>
      </c>
      <c r="AI52" s="224">
        <f t="shared" si="15"/>
        <v>-1.498409073944073</v>
      </c>
      <c r="AJ52" s="264" t="b">
        <f t="shared" si="16"/>
        <v>0</v>
      </c>
      <c r="AK52" s="264" t="b">
        <f t="shared" si="17"/>
        <v>0</v>
      </c>
      <c r="AL52" s="264"/>
      <c r="AM52" s="264"/>
      <c r="AN52" s="75"/>
    </row>
    <row r="53" spans="1:40" s="6" customFormat="1" ht="11.25" x14ac:dyDescent="0.2">
      <c r="A53" s="56">
        <f t="shared" si="18"/>
        <v>43504</v>
      </c>
      <c r="B53" s="607"/>
      <c r="C53" s="388"/>
      <c r="D53" s="391"/>
      <c r="E53" s="383"/>
      <c r="F53" s="383"/>
      <c r="G53" s="110"/>
      <c r="I53" s="379">
        <f t="shared" si="0"/>
        <v>0</v>
      </c>
      <c r="J53" s="85">
        <v>2018</v>
      </c>
      <c r="K53" s="197">
        <f t="shared" si="1"/>
        <v>43504</v>
      </c>
      <c r="L53" s="435">
        <f t="shared" si="2"/>
        <v>1.5330789122347532E-4</v>
      </c>
      <c r="M53" s="842"/>
      <c r="N53" s="842"/>
      <c r="O53" s="323">
        <f t="shared" si="3"/>
        <v>8.7357300904353577E-4</v>
      </c>
      <c r="P53" s="169">
        <f>(INDEX(Models!$BJ53:$BT53,,T53)*(1-R53)+INDEX(Models!$BJ53:$BT53,,T53+1)*R53-ERP_i)*Q53*Ramure*Pc/MaxiM</f>
        <v>3.0799544780660138E-8</v>
      </c>
      <c r="Q53" s="304">
        <f t="shared" si="19"/>
        <v>0.6</v>
      </c>
      <c r="R53" s="177">
        <f t="shared" si="4"/>
        <v>0.50172322702929328</v>
      </c>
      <c r="S53" s="799">
        <f t="shared" si="20"/>
        <v>-2</v>
      </c>
      <c r="T53" s="176">
        <f t="shared" si="21"/>
        <v>4</v>
      </c>
      <c r="U53" s="250">
        <f t="shared" si="22"/>
        <v>-1.4982767729707067</v>
      </c>
      <c r="V53" s="382">
        <f t="shared" si="5"/>
        <v>39.893566771856221</v>
      </c>
      <c r="W53" s="58"/>
      <c r="X53" s="157">
        <f t="shared" si="6"/>
        <v>43504</v>
      </c>
      <c r="Y53" s="383">
        <f t="shared" si="7"/>
        <v>0</v>
      </c>
      <c r="Z53" s="383">
        <f t="shared" si="8"/>
        <v>0</v>
      </c>
      <c r="AA53" s="384">
        <f t="shared" si="9"/>
        <v>0</v>
      </c>
      <c r="AB53" s="197">
        <f t="shared" si="10"/>
        <v>43504</v>
      </c>
      <c r="AC53" s="424">
        <f t="shared" si="11"/>
        <v>8.7357300904353577E-4</v>
      </c>
      <c r="AD53" s="169">
        <f>(INDEX(Models!$BJ53:$BT53,,AH53)*(1-AF53)+INDEX(Models!$BJ53:$BT53,,AH53+1)*AF53-ERP_i)*AE53*Ramure*Pc/MaxiM</f>
        <v>3.0799544780660138E-8</v>
      </c>
      <c r="AE53" s="304">
        <f t="shared" si="12"/>
        <v>0.6</v>
      </c>
      <c r="AF53" s="177">
        <f t="shared" si="13"/>
        <v>0.50172322702929328</v>
      </c>
      <c r="AG53" s="799">
        <f t="shared" si="23"/>
        <v>-2</v>
      </c>
      <c r="AH53" s="176">
        <f t="shared" si="14"/>
        <v>4</v>
      </c>
      <c r="AI53" s="224">
        <f t="shared" si="15"/>
        <v>-1.4982767729707067</v>
      </c>
      <c r="AJ53" s="264" t="b">
        <f t="shared" si="16"/>
        <v>0</v>
      </c>
      <c r="AK53" s="264" t="b">
        <f t="shared" si="17"/>
        <v>0</v>
      </c>
      <c r="AL53" s="264"/>
      <c r="AM53" s="264"/>
      <c r="AN53" s="75"/>
    </row>
    <row r="54" spans="1:40" s="6" customFormat="1" ht="11.25" x14ac:dyDescent="0.2">
      <c r="A54" s="56">
        <f t="shared" si="18"/>
        <v>43505</v>
      </c>
      <c r="B54" s="607"/>
      <c r="C54" s="388"/>
      <c r="D54" s="391"/>
      <c r="E54" s="383"/>
      <c r="F54" s="383"/>
      <c r="G54" s="110"/>
      <c r="I54" s="379">
        <f t="shared" si="0"/>
        <v>0</v>
      </c>
      <c r="J54" s="85">
        <v>2018</v>
      </c>
      <c r="K54" s="197">
        <f t="shared" si="1"/>
        <v>43505</v>
      </c>
      <c r="L54" s="435">
        <f t="shared" si="2"/>
        <v>1.7246972497597657E-4</v>
      </c>
      <c r="M54" s="842"/>
      <c r="N54" s="842"/>
      <c r="O54" s="323">
        <f t="shared" si="3"/>
        <v>9.823339907659664E-4</v>
      </c>
      <c r="P54" s="169">
        <f>(INDEX(Models!$BJ54:$BT54,,T54)*(1-R54)+INDEX(Models!$BJ54:$BT54,,T54+1)*R54-ERP_i)*Q54*Ramure*Pc/MaxiM</f>
        <v>3.2196874789140601E-8</v>
      </c>
      <c r="Q54" s="304">
        <f t="shared" si="19"/>
        <v>0.6</v>
      </c>
      <c r="R54" s="177">
        <f t="shared" si="4"/>
        <v>0.50186100348788432</v>
      </c>
      <c r="S54" s="799">
        <f t="shared" si="20"/>
        <v>-2</v>
      </c>
      <c r="T54" s="176">
        <f t="shared" si="21"/>
        <v>4</v>
      </c>
      <c r="U54" s="250">
        <f t="shared" si="22"/>
        <v>-1.4981389965121157</v>
      </c>
      <c r="V54" s="382">
        <f t="shared" si="5"/>
        <v>40.269240253562444</v>
      </c>
      <c r="W54" s="58"/>
      <c r="X54" s="157">
        <f t="shared" si="6"/>
        <v>43505</v>
      </c>
      <c r="Y54" s="383">
        <f t="shared" si="7"/>
        <v>0</v>
      </c>
      <c r="Z54" s="383">
        <f t="shared" si="8"/>
        <v>0</v>
      </c>
      <c r="AA54" s="384">
        <f t="shared" si="9"/>
        <v>0</v>
      </c>
      <c r="AB54" s="197">
        <f t="shared" si="10"/>
        <v>43505</v>
      </c>
      <c r="AC54" s="424">
        <f t="shared" si="11"/>
        <v>9.823339907659664E-4</v>
      </c>
      <c r="AD54" s="169">
        <f>(INDEX(Models!$BJ54:$BT54,,AH54)*(1-AF54)+INDEX(Models!$BJ54:$BT54,,AH54+1)*AF54-ERP_i)*AE54*Ramure*Pc/MaxiM</f>
        <v>3.2196874789140601E-8</v>
      </c>
      <c r="AE54" s="304">
        <f t="shared" si="12"/>
        <v>0.6</v>
      </c>
      <c r="AF54" s="177">
        <f t="shared" si="13"/>
        <v>0.50186100348788432</v>
      </c>
      <c r="AG54" s="799">
        <f t="shared" si="23"/>
        <v>-2</v>
      </c>
      <c r="AH54" s="176">
        <f t="shared" si="14"/>
        <v>4</v>
      </c>
      <c r="AI54" s="224">
        <f t="shared" si="15"/>
        <v>-1.4981389965121157</v>
      </c>
      <c r="AJ54" s="264" t="b">
        <f t="shared" si="16"/>
        <v>0</v>
      </c>
      <c r="AK54" s="264" t="b">
        <f t="shared" si="17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8"/>
        <v>43506</v>
      </c>
      <c r="B55" s="607"/>
      <c r="C55" s="388"/>
      <c r="D55" s="391"/>
      <c r="E55" s="383"/>
      <c r="F55" s="383"/>
      <c r="G55" s="110"/>
      <c r="I55" s="379">
        <f t="shared" si="0"/>
        <v>0</v>
      </c>
      <c r="J55" s="85">
        <v>2018</v>
      </c>
      <c r="K55" s="197">
        <f t="shared" si="1"/>
        <v>43506</v>
      </c>
      <c r="L55" s="435">
        <f t="shared" si="2"/>
        <v>1.9163119149645524E-4</v>
      </c>
      <c r="M55" s="842"/>
      <c r="N55" s="842"/>
      <c r="O55" s="323">
        <f t="shared" si="3"/>
        <v>1.0909993056279486E-3</v>
      </c>
      <c r="P55" s="169">
        <f>(INDEX(Models!$BJ55:$BT55,,T55)*(1-R55)+INDEX(Models!$BJ55:$BT55,,T55+1)*R55-ERP_i)*Q55*Ramure*Pc/MaxiM</f>
        <v>3.3661996391684174E-8</v>
      </c>
      <c r="Q55" s="304">
        <f t="shared" si="19"/>
        <v>0.6</v>
      </c>
      <c r="R55" s="177">
        <f t="shared" si="4"/>
        <v>0.50200447879854693</v>
      </c>
      <c r="S55" s="799">
        <f t="shared" si="20"/>
        <v>-2</v>
      </c>
      <c r="T55" s="176">
        <f t="shared" si="21"/>
        <v>4</v>
      </c>
      <c r="U55" s="250">
        <f t="shared" si="22"/>
        <v>-1.4979955212014531</v>
      </c>
      <c r="V55" s="382">
        <f t="shared" si="5"/>
        <v>40.646756227187758</v>
      </c>
      <c r="W55" s="58"/>
      <c r="X55" s="157">
        <f t="shared" si="6"/>
        <v>43506</v>
      </c>
      <c r="Y55" s="383">
        <f t="shared" si="7"/>
        <v>0</v>
      </c>
      <c r="Z55" s="383">
        <f t="shared" si="8"/>
        <v>0</v>
      </c>
      <c r="AA55" s="384">
        <f t="shared" si="9"/>
        <v>0</v>
      </c>
      <c r="AB55" s="197">
        <f t="shared" si="10"/>
        <v>43506</v>
      </c>
      <c r="AC55" s="424">
        <f t="shared" si="11"/>
        <v>1.0909993056279486E-3</v>
      </c>
      <c r="AD55" s="169">
        <f>(INDEX(Models!$BJ55:$BT55,,AH55)*(1-AF55)+INDEX(Models!$BJ55:$BT55,,AH55+1)*AF55-ERP_i)*AE55*Ramure*Pc/MaxiM</f>
        <v>3.3661996391684174E-8</v>
      </c>
      <c r="AE55" s="304">
        <f t="shared" si="12"/>
        <v>0.6</v>
      </c>
      <c r="AF55" s="177">
        <f t="shared" si="13"/>
        <v>0.50200447879854693</v>
      </c>
      <c r="AG55" s="799">
        <f t="shared" si="23"/>
        <v>-2</v>
      </c>
      <c r="AH55" s="176">
        <f t="shared" si="14"/>
        <v>4</v>
      </c>
      <c r="AI55" s="224">
        <f t="shared" si="15"/>
        <v>-1.4979955212014531</v>
      </c>
      <c r="AJ55" s="264" t="b">
        <f t="shared" si="16"/>
        <v>0</v>
      </c>
      <c r="AK55" s="264" t="b">
        <f t="shared" si="17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8"/>
        <v>43507</v>
      </c>
      <c r="B56" s="607"/>
      <c r="C56" s="388"/>
      <c r="D56" s="391"/>
      <c r="E56" s="383"/>
      <c r="F56" s="383"/>
      <c r="G56" s="110"/>
      <c r="I56" s="379">
        <f t="shared" si="0"/>
        <v>0</v>
      </c>
      <c r="J56" s="85">
        <v>2018</v>
      </c>
      <c r="K56" s="197">
        <f t="shared" si="1"/>
        <v>43507</v>
      </c>
      <c r="L56" s="435">
        <f t="shared" si="2"/>
        <v>2.1079229079168371E-4</v>
      </c>
      <c r="M56" s="842"/>
      <c r="N56" s="842"/>
      <c r="O56" s="323">
        <f t="shared" si="3"/>
        <v>1.1995691620081169E-3</v>
      </c>
      <c r="P56" s="169">
        <f>(INDEX(Models!$BJ56:$BT56,,T56)*(1-R56)+INDEX(Models!$BJ56:$BT56,,T56+1)*R56-ERP_i)*Q56*Ramure*Pc/MaxiM</f>
        <v>3.5199800544975393E-8</v>
      </c>
      <c r="Q56" s="304">
        <f t="shared" si="19"/>
        <v>0.6</v>
      </c>
      <c r="R56" s="177">
        <f t="shared" si="4"/>
        <v>0.50215388516440806</v>
      </c>
      <c r="S56" s="799">
        <f t="shared" si="20"/>
        <v>-2</v>
      </c>
      <c r="T56" s="176">
        <f t="shared" si="21"/>
        <v>4</v>
      </c>
      <c r="U56" s="250">
        <f t="shared" si="22"/>
        <v>-1.4978461148355919</v>
      </c>
      <c r="V56" s="382">
        <f t="shared" si="5"/>
        <v>41.025468829921621</v>
      </c>
      <c r="W56" s="58"/>
      <c r="X56" s="157">
        <f t="shared" si="6"/>
        <v>43507</v>
      </c>
      <c r="Y56" s="383">
        <f t="shared" si="7"/>
        <v>0</v>
      </c>
      <c r="Z56" s="383">
        <f t="shared" si="8"/>
        <v>0</v>
      </c>
      <c r="AA56" s="384">
        <f t="shared" si="9"/>
        <v>0</v>
      </c>
      <c r="AB56" s="197">
        <f t="shared" si="10"/>
        <v>43507</v>
      </c>
      <c r="AC56" s="424">
        <f t="shared" si="11"/>
        <v>1.1995691620081169E-3</v>
      </c>
      <c r="AD56" s="169">
        <f>(INDEX(Models!$BJ56:$BT56,,AH56)*(1-AF56)+INDEX(Models!$BJ56:$BT56,,AH56+1)*AF56-ERP_i)*AE56*Ramure*Pc/MaxiM</f>
        <v>3.5199800544975393E-8</v>
      </c>
      <c r="AE56" s="304">
        <f t="shared" si="12"/>
        <v>0.6</v>
      </c>
      <c r="AF56" s="177">
        <f t="shared" si="13"/>
        <v>0.50215388516440806</v>
      </c>
      <c r="AG56" s="799">
        <f t="shared" si="23"/>
        <v>-2</v>
      </c>
      <c r="AH56" s="176">
        <f t="shared" si="14"/>
        <v>4</v>
      </c>
      <c r="AI56" s="224">
        <f t="shared" si="15"/>
        <v>-1.4978461148355919</v>
      </c>
      <c r="AJ56" s="264" t="b">
        <f t="shared" si="16"/>
        <v>0</v>
      </c>
      <c r="AK56" s="264" t="b">
        <f t="shared" si="17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8"/>
        <v>43508</v>
      </c>
      <c r="B57" s="607"/>
      <c r="C57" s="388"/>
      <c r="D57" s="391"/>
      <c r="E57" s="383"/>
      <c r="F57" s="383"/>
      <c r="G57" s="110"/>
      <c r="I57" s="379">
        <f t="shared" si="0"/>
        <v>0</v>
      </c>
      <c r="J57" s="85">
        <v>2018</v>
      </c>
      <c r="K57" s="197">
        <f t="shared" si="1"/>
        <v>43508</v>
      </c>
      <c r="L57" s="435">
        <f t="shared" si="2"/>
        <v>2.2995302286887842E-4</v>
      </c>
      <c r="M57" s="842"/>
      <c r="N57" s="842"/>
      <c r="O57" s="323">
        <f t="shared" si="3"/>
        <v>1.3080437177135779E-3</v>
      </c>
      <c r="P57" s="169">
        <f>(INDEX(Models!$BJ57:$BT57,,T57)*(1-R57)+INDEX(Models!$BJ57:$BT57,,T57+1)*R57-ERP_i)*Q57*Ramure*Pc/MaxiM</f>
        <v>3.6815474926424817E-8</v>
      </c>
      <c r="Q57" s="304">
        <f t="shared" si="19"/>
        <v>0.6</v>
      </c>
      <c r="R57" s="177">
        <f t="shared" si="4"/>
        <v>0.5023094639509309</v>
      </c>
      <c r="S57" s="799">
        <f t="shared" si="20"/>
        <v>-2</v>
      </c>
      <c r="T57" s="176">
        <f t="shared" si="21"/>
        <v>4</v>
      </c>
      <c r="U57" s="250">
        <f t="shared" si="22"/>
        <v>-1.4976905360490691</v>
      </c>
      <c r="V57" s="382">
        <f t="shared" si="5"/>
        <v>41.404732531318615</v>
      </c>
      <c r="W57" s="58"/>
      <c r="X57" s="157">
        <f t="shared" si="6"/>
        <v>43508</v>
      </c>
      <c r="Y57" s="383">
        <f t="shared" si="7"/>
        <v>0</v>
      </c>
      <c r="Z57" s="383">
        <f t="shared" si="8"/>
        <v>0</v>
      </c>
      <c r="AA57" s="384">
        <f t="shared" si="9"/>
        <v>0</v>
      </c>
      <c r="AB57" s="197">
        <f t="shared" si="10"/>
        <v>43508</v>
      </c>
      <c r="AC57" s="424">
        <f t="shared" si="11"/>
        <v>1.3080437177135779E-3</v>
      </c>
      <c r="AD57" s="169">
        <f>(INDEX(Models!$BJ57:$BT57,,AH57)*(1-AF57)+INDEX(Models!$BJ57:$BT57,,AH57+1)*AF57-ERP_i)*AE57*Ramure*Pc/MaxiM</f>
        <v>3.6815474926424817E-8</v>
      </c>
      <c r="AE57" s="304">
        <f t="shared" si="12"/>
        <v>0.6</v>
      </c>
      <c r="AF57" s="177">
        <f t="shared" si="13"/>
        <v>0.5023094639509309</v>
      </c>
      <c r="AG57" s="799">
        <f t="shared" si="23"/>
        <v>-2</v>
      </c>
      <c r="AH57" s="176">
        <f t="shared" si="14"/>
        <v>4</v>
      </c>
      <c r="AI57" s="224">
        <f t="shared" si="15"/>
        <v>-1.4976905360490691</v>
      </c>
      <c r="AJ57" s="264" t="b">
        <f t="shared" si="16"/>
        <v>0</v>
      </c>
      <c r="AK57" s="264" t="b">
        <f t="shared" si="17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8"/>
        <v>43509</v>
      </c>
      <c r="B58" s="607"/>
      <c r="C58" s="388"/>
      <c r="D58" s="391"/>
      <c r="E58" s="383"/>
      <c r="F58" s="383"/>
      <c r="G58" s="110"/>
      <c r="I58" s="379">
        <f t="shared" si="0"/>
        <v>0</v>
      </c>
      <c r="J58" s="85">
        <v>2018</v>
      </c>
      <c r="K58" s="197">
        <f t="shared" si="1"/>
        <v>43509</v>
      </c>
      <c r="L58" s="435">
        <f t="shared" si="2"/>
        <v>2.4911338773492275E-4</v>
      </c>
      <c r="M58" s="842"/>
      <c r="N58" s="842"/>
      <c r="O58" s="323">
        <f t="shared" si="3"/>
        <v>1.4164230814179277E-3</v>
      </c>
      <c r="P58" s="169">
        <f>(INDEX(Models!$BJ58:$BT58,,T58)*(1-R58)+INDEX(Models!$BJ58:$BT58,,T58+1)*R58-ERP_i)*Q58*Ramure*Pc/MaxiM</f>
        <v>3.8493697727533373E-8</v>
      </c>
      <c r="Q58" s="304">
        <f t="shared" si="19"/>
        <v>0.6</v>
      </c>
      <c r="R58" s="177">
        <f t="shared" si="4"/>
        <v>0.50247146602197001</v>
      </c>
      <c r="S58" s="799">
        <f t="shared" si="20"/>
        <v>-2</v>
      </c>
      <c r="T58" s="176">
        <f t="shared" si="21"/>
        <v>4</v>
      </c>
      <c r="U58" s="250">
        <f t="shared" si="22"/>
        <v>-1.49752853397803</v>
      </c>
      <c r="V58" s="382">
        <f t="shared" si="5"/>
        <v>41.783902134128716</v>
      </c>
      <c r="W58" s="58"/>
      <c r="X58" s="157">
        <f t="shared" si="6"/>
        <v>43509</v>
      </c>
      <c r="Y58" s="383">
        <f t="shared" si="7"/>
        <v>0</v>
      </c>
      <c r="Z58" s="383">
        <f t="shared" si="8"/>
        <v>0</v>
      </c>
      <c r="AA58" s="384">
        <f t="shared" si="9"/>
        <v>0</v>
      </c>
      <c r="AB58" s="197">
        <f t="shared" si="10"/>
        <v>43509</v>
      </c>
      <c r="AC58" s="424">
        <f t="shared" si="11"/>
        <v>1.4164230814179277E-3</v>
      </c>
      <c r="AD58" s="169">
        <f>(INDEX(Models!$BJ58:$BT58,,AH58)*(1-AF58)+INDEX(Models!$BJ58:$BT58,,AH58+1)*AF58-ERP_i)*AE58*Ramure*Pc/MaxiM</f>
        <v>3.8493697727533373E-8</v>
      </c>
      <c r="AE58" s="304">
        <f t="shared" si="12"/>
        <v>0.6</v>
      </c>
      <c r="AF58" s="177">
        <f t="shared" si="13"/>
        <v>0.50247146602197001</v>
      </c>
      <c r="AG58" s="799">
        <f t="shared" si="23"/>
        <v>-2</v>
      </c>
      <c r="AH58" s="176">
        <f t="shared" si="14"/>
        <v>4</v>
      </c>
      <c r="AI58" s="224">
        <f t="shared" si="15"/>
        <v>-1.49752853397803</v>
      </c>
      <c r="AJ58" s="264" t="b">
        <f t="shared" si="16"/>
        <v>0</v>
      </c>
      <c r="AK58" s="264" t="b">
        <f t="shared" si="17"/>
        <v>0</v>
      </c>
      <c r="AL58" s="264"/>
      <c r="AM58" s="264"/>
      <c r="AN58" s="75"/>
    </row>
    <row r="59" spans="1:40" s="6" customFormat="1" ht="11.25" x14ac:dyDescent="0.2">
      <c r="A59" s="56">
        <f t="shared" si="18"/>
        <v>43510</v>
      </c>
      <c r="B59" s="607"/>
      <c r="C59" s="388"/>
      <c r="D59" s="391"/>
      <c r="E59" s="383"/>
      <c r="F59" s="383"/>
      <c r="G59" s="110"/>
      <c r="I59" s="379">
        <f t="shared" si="0"/>
        <v>0</v>
      </c>
      <c r="J59" s="85">
        <v>2018</v>
      </c>
      <c r="K59" s="197">
        <f t="shared" si="1"/>
        <v>43510</v>
      </c>
      <c r="L59" s="435">
        <f t="shared" si="2"/>
        <v>2.6827338539703316E-4</v>
      </c>
      <c r="M59" s="842"/>
      <c r="N59" s="842"/>
      <c r="O59" s="323">
        <f t="shared" si="3"/>
        <v>1.5247073151368788E-3</v>
      </c>
      <c r="P59" s="169">
        <f>(INDEX(Models!$BJ59:$BT59,,T59)*(1-R59)+INDEX(Models!$BJ59:$BT59,,T59+1)*R59-ERP_i)*Q59*Ramure*Pc/MaxiM</f>
        <v>4.0129417323533047E-8</v>
      </c>
      <c r="Q59" s="304">
        <f t="shared" si="19"/>
        <v>0.6</v>
      </c>
      <c r="R59" s="177">
        <f t="shared" si="4"/>
        <v>0.50264015208595181</v>
      </c>
      <c r="S59" s="799">
        <f t="shared" si="20"/>
        <v>-2</v>
      </c>
      <c r="T59" s="176">
        <f t="shared" si="21"/>
        <v>4</v>
      </c>
      <c r="U59" s="250">
        <f t="shared" si="22"/>
        <v>-1.4973598479140482</v>
      </c>
      <c r="V59" s="382">
        <f t="shared" si="5"/>
        <v>42.16233277649355</v>
      </c>
      <c r="W59" s="58"/>
      <c r="X59" s="157">
        <f t="shared" si="6"/>
        <v>43510</v>
      </c>
      <c r="Y59" s="383">
        <f t="shared" si="7"/>
        <v>0</v>
      </c>
      <c r="Z59" s="383">
        <f t="shared" si="8"/>
        <v>0</v>
      </c>
      <c r="AA59" s="384">
        <f t="shared" si="9"/>
        <v>0</v>
      </c>
      <c r="AB59" s="197">
        <f t="shared" si="10"/>
        <v>43510</v>
      </c>
      <c r="AC59" s="424">
        <f t="shared" si="11"/>
        <v>1.5247073151368788E-3</v>
      </c>
      <c r="AD59" s="169">
        <f>(INDEX(Models!$BJ59:$BT59,,AH59)*(1-AF59)+INDEX(Models!$BJ59:$BT59,,AH59+1)*AF59-ERP_i)*AE59*Ramure*Pc/MaxiM</f>
        <v>4.0129417323533047E-8</v>
      </c>
      <c r="AE59" s="304">
        <f t="shared" si="12"/>
        <v>0.6</v>
      </c>
      <c r="AF59" s="177">
        <f t="shared" si="13"/>
        <v>0.50264015208595181</v>
      </c>
      <c r="AG59" s="799">
        <f t="shared" si="23"/>
        <v>-2</v>
      </c>
      <c r="AH59" s="176">
        <f t="shared" si="14"/>
        <v>4</v>
      </c>
      <c r="AI59" s="224">
        <f t="shared" si="15"/>
        <v>-1.4973598479140482</v>
      </c>
      <c r="AJ59" s="264" t="b">
        <f t="shared" si="16"/>
        <v>0</v>
      </c>
      <c r="AK59" s="264" t="b">
        <f t="shared" si="17"/>
        <v>0</v>
      </c>
      <c r="AL59" s="264"/>
      <c r="AM59" s="264"/>
      <c r="AN59" s="75"/>
    </row>
    <row r="60" spans="1:40" s="6" customFormat="1" ht="11.25" x14ac:dyDescent="0.2">
      <c r="A60" s="56">
        <f t="shared" si="18"/>
        <v>43511</v>
      </c>
      <c r="B60" s="607"/>
      <c r="C60" s="388"/>
      <c r="D60" s="391"/>
      <c r="E60" s="383"/>
      <c r="F60" s="383"/>
      <c r="G60" s="110"/>
      <c r="I60" s="379">
        <f t="shared" si="0"/>
        <v>0</v>
      </c>
      <c r="J60" s="85">
        <v>2018</v>
      </c>
      <c r="K60" s="197">
        <f t="shared" si="1"/>
        <v>43511</v>
      </c>
      <c r="L60" s="435">
        <f t="shared" si="2"/>
        <v>2.8743301586220404E-4</v>
      </c>
      <c r="M60" s="842"/>
      <c r="N60" s="842"/>
      <c r="O60" s="323">
        <f t="shared" si="3"/>
        <v>1.6328964377414236E-3</v>
      </c>
      <c r="P60" s="169">
        <f>(INDEX(Models!$BJ60:$BT60,,T60)*(1-R60)+INDEX(Models!$BJ60:$BT60,,T60+1)*R60-ERP_i)*Q60*Ramure*Pc/MaxiM</f>
        <v>4.1712922169250748E-8</v>
      </c>
      <c r="Q60" s="304">
        <f t="shared" si="19"/>
        <v>0.6</v>
      </c>
      <c r="R60" s="177">
        <f t="shared" si="4"/>
        <v>0.5028157930522823</v>
      </c>
      <c r="S60" s="799">
        <f t="shared" si="20"/>
        <v>-2</v>
      </c>
      <c r="T60" s="176">
        <f t="shared" si="21"/>
        <v>4</v>
      </c>
      <c r="U60" s="250">
        <f t="shared" si="22"/>
        <v>-1.4971842069477177</v>
      </c>
      <c r="V60" s="382">
        <f t="shared" si="5"/>
        <v>42.539379922901624</v>
      </c>
      <c r="W60" s="58"/>
      <c r="X60" s="157">
        <f t="shared" si="6"/>
        <v>43511</v>
      </c>
      <c r="Y60" s="383">
        <f t="shared" si="7"/>
        <v>0</v>
      </c>
      <c r="Z60" s="383">
        <f t="shared" si="8"/>
        <v>0</v>
      </c>
      <c r="AA60" s="384">
        <f t="shared" si="9"/>
        <v>0</v>
      </c>
      <c r="AB60" s="197">
        <f t="shared" si="10"/>
        <v>43511</v>
      </c>
      <c r="AC60" s="424">
        <f t="shared" si="11"/>
        <v>1.6328964377414236E-3</v>
      </c>
      <c r="AD60" s="169">
        <f>(INDEX(Models!$BJ60:$BT60,,AH60)*(1-AF60)+INDEX(Models!$BJ60:$BT60,,AH60+1)*AF60-ERP_i)*AE60*Ramure*Pc/MaxiM</f>
        <v>4.1712922169250748E-8</v>
      </c>
      <c r="AE60" s="304">
        <f t="shared" si="12"/>
        <v>0.6</v>
      </c>
      <c r="AF60" s="177">
        <f t="shared" si="13"/>
        <v>0.5028157930522823</v>
      </c>
      <c r="AG60" s="799">
        <f t="shared" si="23"/>
        <v>-2</v>
      </c>
      <c r="AH60" s="176">
        <f t="shared" si="14"/>
        <v>4</v>
      </c>
      <c r="AI60" s="224">
        <f t="shared" si="15"/>
        <v>-1.4971842069477177</v>
      </c>
      <c r="AJ60" s="264" t="b">
        <f t="shared" si="16"/>
        <v>0</v>
      </c>
      <c r="AK60" s="264" t="b">
        <f t="shared" si="17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8"/>
        <v>43512</v>
      </c>
      <c r="B61" s="607"/>
      <c r="C61" s="388"/>
      <c r="D61" s="391"/>
      <c r="E61" s="383"/>
      <c r="F61" s="383"/>
      <c r="G61" s="110"/>
      <c r="I61" s="379">
        <f t="shared" si="0"/>
        <v>0</v>
      </c>
      <c r="J61" s="85">
        <v>2018</v>
      </c>
      <c r="K61" s="197">
        <f t="shared" si="1"/>
        <v>43512</v>
      </c>
      <c r="L61" s="435">
        <f t="shared" si="2"/>
        <v>3.0659227913731879E-4</v>
      </c>
      <c r="M61" s="842"/>
      <c r="N61" s="842"/>
      <c r="O61" s="323">
        <f t="shared" si="3"/>
        <v>1.7409904294941943E-3</v>
      </c>
      <c r="P61" s="169">
        <f>(INDEX(Models!$BJ61:$BT61,,T61)*(1-R61)+INDEX(Models!$BJ61:$BT61,,T61+1)*R61-ERP_i)*Q61*Ramure*Pc/MaxiM</f>
        <v>4.3233815024868198E-8</v>
      </c>
      <c r="Q61" s="304">
        <f t="shared" si="19"/>
        <v>0.6</v>
      </c>
      <c r="R61" s="177">
        <f t="shared" si="4"/>
        <v>0.50299867039807022</v>
      </c>
      <c r="S61" s="799">
        <f t="shared" si="20"/>
        <v>-2</v>
      </c>
      <c r="T61" s="176">
        <f t="shared" si="21"/>
        <v>4</v>
      </c>
      <c r="U61" s="250">
        <f t="shared" si="22"/>
        <v>-1.4970013296019298</v>
      </c>
      <c r="V61" s="382">
        <f t="shared" si="5"/>
        <v>42.914399367877735</v>
      </c>
      <c r="W61" s="58"/>
      <c r="X61" s="157">
        <f t="shared" si="6"/>
        <v>43512</v>
      </c>
      <c r="Y61" s="383">
        <f t="shared" si="7"/>
        <v>0</v>
      </c>
      <c r="Z61" s="383">
        <f t="shared" si="8"/>
        <v>0</v>
      </c>
      <c r="AA61" s="384">
        <f t="shared" si="9"/>
        <v>0</v>
      </c>
      <c r="AB61" s="197">
        <f t="shared" si="10"/>
        <v>43512</v>
      </c>
      <c r="AC61" s="424">
        <f t="shared" si="11"/>
        <v>1.7409904294941943E-3</v>
      </c>
      <c r="AD61" s="169">
        <f>(INDEX(Models!$BJ61:$BT61,,AH61)*(1-AF61)+INDEX(Models!$BJ61:$BT61,,AH61+1)*AF61-ERP_i)*AE61*Ramure*Pc/MaxiM</f>
        <v>4.3233815024868198E-8</v>
      </c>
      <c r="AE61" s="304">
        <f t="shared" si="12"/>
        <v>0.6</v>
      </c>
      <c r="AF61" s="177">
        <f t="shared" si="13"/>
        <v>0.50299867039807022</v>
      </c>
      <c r="AG61" s="799">
        <f t="shared" si="23"/>
        <v>-2</v>
      </c>
      <c r="AH61" s="176">
        <f t="shared" si="14"/>
        <v>4</v>
      </c>
      <c r="AI61" s="224">
        <f t="shared" si="15"/>
        <v>-1.4970013296019298</v>
      </c>
      <c r="AJ61" s="264" t="b">
        <f t="shared" si="16"/>
        <v>0</v>
      </c>
      <c r="AK61" s="264" t="b">
        <f t="shared" si="17"/>
        <v>0</v>
      </c>
      <c r="AL61" s="264"/>
      <c r="AM61" s="264"/>
      <c r="AN61" s="75"/>
    </row>
    <row r="62" spans="1:40" s="6" customFormat="1" ht="11.25" x14ac:dyDescent="0.2">
      <c r="A62" s="56">
        <f t="shared" si="18"/>
        <v>43513</v>
      </c>
      <c r="B62" s="607"/>
      <c r="C62" s="388"/>
      <c r="D62" s="391"/>
      <c r="E62" s="383"/>
      <c r="F62" s="383"/>
      <c r="G62" s="110"/>
      <c r="I62" s="379">
        <f t="shared" si="0"/>
        <v>0</v>
      </c>
      <c r="J62" s="85">
        <v>2018</v>
      </c>
      <c r="K62" s="197">
        <f t="shared" si="1"/>
        <v>43513</v>
      </c>
      <c r="L62" s="435">
        <f t="shared" si="2"/>
        <v>3.2575117522959385E-4</v>
      </c>
      <c r="M62" s="842"/>
      <c r="N62" s="842"/>
      <c r="O62" s="323">
        <f t="shared" si="3"/>
        <v>1.8489892375803949E-3</v>
      </c>
      <c r="P62" s="169">
        <f>(INDEX(Models!$BJ62:$BT62,,T62)*(1-R62)+INDEX(Models!$BJ62:$BT62,,T62+1)*R62-ERP_i)*Q62*Ramure*Pc/MaxiM</f>
        <v>4.4680952412625959E-8</v>
      </c>
      <c r="Q62" s="304">
        <f t="shared" si="19"/>
        <v>0.6</v>
      </c>
      <c r="R62" s="177">
        <f t="shared" si="4"/>
        <v>0.50318907654522671</v>
      </c>
      <c r="S62" s="799">
        <f t="shared" si="20"/>
        <v>-2</v>
      </c>
      <c r="T62" s="176">
        <f t="shared" si="21"/>
        <v>4</v>
      </c>
      <c r="U62" s="250">
        <f t="shared" si="22"/>
        <v>-1.4968109234547733</v>
      </c>
      <c r="V62" s="382">
        <f t="shared" si="5"/>
        <v>43.286747236211887</v>
      </c>
      <c r="W62" s="58"/>
      <c r="X62" s="157">
        <f t="shared" si="6"/>
        <v>43513</v>
      </c>
      <c r="Y62" s="383">
        <f t="shared" si="7"/>
        <v>0</v>
      </c>
      <c r="Z62" s="383">
        <f t="shared" si="8"/>
        <v>0</v>
      </c>
      <c r="AA62" s="384">
        <f t="shared" si="9"/>
        <v>0</v>
      </c>
      <c r="AB62" s="197">
        <f t="shared" si="10"/>
        <v>43513</v>
      </c>
      <c r="AC62" s="424">
        <f t="shared" si="11"/>
        <v>1.8489892375803949E-3</v>
      </c>
      <c r="AD62" s="169">
        <f>(INDEX(Models!$BJ62:$BT62,,AH62)*(1-AF62)+INDEX(Models!$BJ62:$BT62,,AH62+1)*AF62-ERP_i)*AE62*Ramure*Pc/MaxiM</f>
        <v>4.4680952412625959E-8</v>
      </c>
      <c r="AE62" s="304">
        <f t="shared" si="12"/>
        <v>0.6</v>
      </c>
      <c r="AF62" s="177">
        <f t="shared" si="13"/>
        <v>0.50318907654522671</v>
      </c>
      <c r="AG62" s="799">
        <f t="shared" si="23"/>
        <v>-2</v>
      </c>
      <c r="AH62" s="176">
        <f t="shared" si="14"/>
        <v>4</v>
      </c>
      <c r="AI62" s="224">
        <f t="shared" si="15"/>
        <v>-1.4968109234547733</v>
      </c>
      <c r="AJ62" s="264" t="b">
        <f t="shared" si="16"/>
        <v>0</v>
      </c>
      <c r="AK62" s="264" t="b">
        <f t="shared" si="17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8"/>
        <v>43514</v>
      </c>
      <c r="B63" s="607"/>
      <c r="C63" s="388"/>
      <c r="D63" s="391"/>
      <c r="E63" s="383"/>
      <c r="F63" s="383"/>
      <c r="G63" s="110"/>
      <c r="I63" s="379">
        <f t="shared" si="0"/>
        <v>0</v>
      </c>
      <c r="J63" s="85">
        <v>2018</v>
      </c>
      <c r="K63" s="197">
        <f t="shared" si="1"/>
        <v>43514</v>
      </c>
      <c r="L63" s="435">
        <f t="shared" si="2"/>
        <v>3.4490970414602362E-4</v>
      </c>
      <c r="M63" s="842"/>
      <c r="N63" s="842"/>
      <c r="O63" s="323">
        <f t="shared" si="3"/>
        <v>1.9568927825915979E-3</v>
      </c>
      <c r="P63" s="169">
        <f>(INDEX(Models!$BJ63:$BT63,,T63)*(1-R63)+INDEX(Models!$BJ63:$BT63,,T63+1)*R63-ERP_i)*Q63*Ramure*Pc/MaxiM</f>
        <v>4.6042379046352874E-8</v>
      </c>
      <c r="Q63" s="304">
        <f t="shared" si="19"/>
        <v>0.6</v>
      </c>
      <c r="R63" s="177">
        <f t="shared" si="4"/>
        <v>0.50338731524797486</v>
      </c>
      <c r="S63" s="799">
        <f t="shared" si="20"/>
        <v>-2</v>
      </c>
      <c r="T63" s="176">
        <f t="shared" si="21"/>
        <v>4</v>
      </c>
      <c r="U63" s="250">
        <f t="shared" si="22"/>
        <v>-1.4966126847520251</v>
      </c>
      <c r="V63" s="382">
        <f t="shared" si="5"/>
        <v>43.655779979202656</v>
      </c>
      <c r="W63" s="58"/>
      <c r="X63" s="157">
        <f t="shared" si="6"/>
        <v>43514</v>
      </c>
      <c r="Y63" s="383">
        <f t="shared" si="7"/>
        <v>0</v>
      </c>
      <c r="Z63" s="383">
        <f t="shared" si="8"/>
        <v>0</v>
      </c>
      <c r="AA63" s="384">
        <f t="shared" si="9"/>
        <v>0</v>
      </c>
      <c r="AB63" s="197">
        <f t="shared" si="10"/>
        <v>43514</v>
      </c>
      <c r="AC63" s="424">
        <f t="shared" si="11"/>
        <v>1.9568927825915979E-3</v>
      </c>
      <c r="AD63" s="169">
        <f>(INDEX(Models!$BJ63:$BT63,,AH63)*(1-AF63)+INDEX(Models!$BJ63:$BT63,,AH63+1)*AF63-ERP_i)*AE63*Ramure*Pc/MaxiM</f>
        <v>4.6042379046352874E-8</v>
      </c>
      <c r="AE63" s="304">
        <f t="shared" si="12"/>
        <v>0.6</v>
      </c>
      <c r="AF63" s="177">
        <f t="shared" si="13"/>
        <v>0.50338731524797486</v>
      </c>
      <c r="AG63" s="799">
        <f t="shared" si="23"/>
        <v>-2</v>
      </c>
      <c r="AH63" s="176">
        <f t="shared" si="14"/>
        <v>4</v>
      </c>
      <c r="AI63" s="224">
        <f t="shared" si="15"/>
        <v>-1.4966126847520251</v>
      </c>
      <c r="AJ63" s="264" t="b">
        <f t="shared" si="16"/>
        <v>0</v>
      </c>
      <c r="AK63" s="264" t="b">
        <f t="shared" si="17"/>
        <v>0</v>
      </c>
      <c r="AL63" s="264"/>
      <c r="AM63" s="264"/>
      <c r="AN63" s="75"/>
    </row>
    <row r="64" spans="1:40" s="6" customFormat="1" ht="11.25" x14ac:dyDescent="0.2">
      <c r="A64" s="56">
        <f t="shared" si="18"/>
        <v>43515</v>
      </c>
      <c r="B64" s="607"/>
      <c r="C64" s="388"/>
      <c r="D64" s="391"/>
      <c r="E64" s="383"/>
      <c r="F64" s="383"/>
      <c r="G64" s="110"/>
      <c r="I64" s="379">
        <f t="shared" si="0"/>
        <v>0</v>
      </c>
      <c r="J64" s="85">
        <v>2018</v>
      </c>
      <c r="K64" s="197">
        <f t="shared" si="1"/>
        <v>43515</v>
      </c>
      <c r="L64" s="435">
        <f t="shared" si="2"/>
        <v>3.6406786589349149E-4</v>
      </c>
      <c r="M64" s="842"/>
      <c r="N64" s="842"/>
      <c r="O64" s="323">
        <f t="shared" si="3"/>
        <v>2.0647009659077327E-3</v>
      </c>
      <c r="P64" s="169">
        <f>(INDEX(Models!$BJ64:$BT64,,T64)*(1-R64)+INDEX(Models!$BJ64:$BT64,,T64+1)*R64-ERP_i)*Q64*Ramure*Pc/MaxiM</f>
        <v>4.7305256709327831E-8</v>
      </c>
      <c r="Q64" s="304">
        <f t="shared" si="19"/>
        <v>0.6</v>
      </c>
      <c r="R64" s="177">
        <f t="shared" si="4"/>
        <v>0.5035937019907839</v>
      </c>
      <c r="S64" s="799">
        <f t="shared" si="20"/>
        <v>-2</v>
      </c>
      <c r="T64" s="176">
        <f t="shared" si="21"/>
        <v>4</v>
      </c>
      <c r="U64" s="250">
        <f t="shared" si="22"/>
        <v>-1.4964062980092161</v>
      </c>
      <c r="V64" s="382">
        <f t="shared" si="5"/>
        <v>44.020854377323836</v>
      </c>
      <c r="W64" s="58"/>
      <c r="X64" s="157">
        <f t="shared" si="6"/>
        <v>43515</v>
      </c>
      <c r="Y64" s="383">
        <f t="shared" si="7"/>
        <v>0</v>
      </c>
      <c r="Z64" s="383">
        <f t="shared" si="8"/>
        <v>0</v>
      </c>
      <c r="AA64" s="384">
        <f t="shared" si="9"/>
        <v>0</v>
      </c>
      <c r="AB64" s="197">
        <f t="shared" si="10"/>
        <v>43515</v>
      </c>
      <c r="AC64" s="424">
        <f t="shared" si="11"/>
        <v>2.0647009659077327E-3</v>
      </c>
      <c r="AD64" s="169">
        <f>(INDEX(Models!$BJ64:$BT64,,AH64)*(1-AF64)+INDEX(Models!$BJ64:$BT64,,AH64+1)*AF64-ERP_i)*AE64*Ramure*Pc/MaxiM</f>
        <v>4.7305256709327831E-8</v>
      </c>
      <c r="AE64" s="304">
        <f t="shared" si="12"/>
        <v>0.6</v>
      </c>
      <c r="AF64" s="177">
        <f t="shared" si="13"/>
        <v>0.5035937019907839</v>
      </c>
      <c r="AG64" s="799">
        <f t="shared" si="23"/>
        <v>-2</v>
      </c>
      <c r="AH64" s="176">
        <f t="shared" si="14"/>
        <v>4</v>
      </c>
      <c r="AI64" s="224">
        <f t="shared" si="15"/>
        <v>-1.4964062980092161</v>
      </c>
      <c r="AJ64" s="264" t="b">
        <f t="shared" si="16"/>
        <v>0</v>
      </c>
      <c r="AK64" s="264" t="b">
        <f t="shared" si="17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8"/>
        <v>43516</v>
      </c>
      <c r="B65" s="607"/>
      <c r="C65" s="388"/>
      <c r="D65" s="391"/>
      <c r="E65" s="383"/>
      <c r="F65" s="383"/>
      <c r="G65" s="110"/>
      <c r="I65" s="379">
        <f t="shared" si="0"/>
        <v>0</v>
      </c>
      <c r="J65" s="85">
        <v>2018</v>
      </c>
      <c r="K65" s="197">
        <f t="shared" si="1"/>
        <v>43516</v>
      </c>
      <c r="L65" s="435">
        <f t="shared" si="2"/>
        <v>3.8322566047921391E-4</v>
      </c>
      <c r="M65" s="842"/>
      <c r="N65" s="842"/>
      <c r="O65" s="323">
        <f t="shared" si="3"/>
        <v>2.1724136779115834E-3</v>
      </c>
      <c r="P65" s="169">
        <f>(INDEX(Models!$BJ65:$BT65,,T65)*(1-R65)+INDEX(Models!$BJ65:$BT65,,T65+1)*R65-ERP_i)*Q65*Ramure*Pc/MaxiM</f>
        <v>4.8454282012113592E-8</v>
      </c>
      <c r="Q65" s="304">
        <f t="shared" si="19"/>
        <v>0.6</v>
      </c>
      <c r="R65" s="177">
        <f t="shared" si="4"/>
        <v>0.50380856439669408</v>
      </c>
      <c r="S65" s="799">
        <f t="shared" si="20"/>
        <v>-2</v>
      </c>
      <c r="T65" s="176">
        <f t="shared" si="21"/>
        <v>4</v>
      </c>
      <c r="U65" s="250">
        <f t="shared" si="22"/>
        <v>-1.4961914356033059</v>
      </c>
      <c r="V65" s="382">
        <f t="shared" si="5"/>
        <v>44.382706021126459</v>
      </c>
      <c r="W65" s="58"/>
      <c r="X65" s="157">
        <f t="shared" si="6"/>
        <v>43516</v>
      </c>
      <c r="Y65" s="383">
        <f t="shared" si="7"/>
        <v>0</v>
      </c>
      <c r="Z65" s="383">
        <f t="shared" si="8"/>
        <v>0</v>
      </c>
      <c r="AA65" s="384">
        <f t="shared" si="9"/>
        <v>0</v>
      </c>
      <c r="AB65" s="197">
        <f t="shared" si="10"/>
        <v>43516</v>
      </c>
      <c r="AC65" s="424">
        <f t="shared" si="11"/>
        <v>2.1724136779115834E-3</v>
      </c>
      <c r="AD65" s="169">
        <f>(INDEX(Models!$BJ65:$BT65,,AH65)*(1-AF65)+INDEX(Models!$BJ65:$BT65,,AH65+1)*AF65-ERP_i)*AE65*Ramure*Pc/MaxiM</f>
        <v>4.8454282012113592E-8</v>
      </c>
      <c r="AE65" s="304">
        <f t="shared" si="12"/>
        <v>0.6</v>
      </c>
      <c r="AF65" s="177">
        <f t="shared" si="13"/>
        <v>0.50380856439669408</v>
      </c>
      <c r="AG65" s="799">
        <f t="shared" si="23"/>
        <v>-2</v>
      </c>
      <c r="AH65" s="176">
        <f t="shared" si="14"/>
        <v>4</v>
      </c>
      <c r="AI65" s="224">
        <f t="shared" si="15"/>
        <v>-1.4961914356033059</v>
      </c>
      <c r="AJ65" s="264" t="b">
        <f t="shared" si="16"/>
        <v>0</v>
      </c>
      <c r="AK65" s="264" t="b">
        <f t="shared" si="17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8"/>
        <v>43517</v>
      </c>
      <c r="B66" s="607"/>
      <c r="C66" s="388"/>
      <c r="D66" s="391"/>
      <c r="E66" s="383"/>
      <c r="F66" s="383"/>
      <c r="G66" s="110"/>
      <c r="I66" s="379">
        <f t="shared" si="0"/>
        <v>0</v>
      </c>
      <c r="J66" s="85">
        <v>2018</v>
      </c>
      <c r="K66" s="197">
        <f t="shared" si="1"/>
        <v>43517</v>
      </c>
      <c r="L66" s="435">
        <f t="shared" si="2"/>
        <v>4.0238308791029631E-4</v>
      </c>
      <c r="M66" s="842"/>
      <c r="N66" s="842"/>
      <c r="O66" s="323">
        <f t="shared" si="3"/>
        <v>2.280030806959175E-3</v>
      </c>
      <c r="P66" s="169">
        <f>(INDEX(Models!$BJ66:$BT66,,T66)*(1-R66)+INDEX(Models!$BJ66:$BT66,,T66+1)*R66-ERP_i)*Q66*Ramure*Pc/MaxiM</f>
        <v>4.9571620431035632E-8</v>
      </c>
      <c r="Q66" s="304">
        <f t="shared" si="19"/>
        <v>0.6</v>
      </c>
      <c r="R66" s="177">
        <f t="shared" si="4"/>
        <v>0.5040322426459809</v>
      </c>
      <c r="S66" s="799">
        <f t="shared" si="20"/>
        <v>-2</v>
      </c>
      <c r="T66" s="176">
        <f t="shared" si="21"/>
        <v>4</v>
      </c>
      <c r="U66" s="250">
        <f t="shared" si="22"/>
        <v>-1.4959677573540191</v>
      </c>
      <c r="V66" s="382">
        <f t="shared" si="5"/>
        <v>44.742571325026091</v>
      </c>
      <c r="W66" s="58"/>
      <c r="X66" s="157">
        <f t="shared" si="6"/>
        <v>43517</v>
      </c>
      <c r="Y66" s="383">
        <f t="shared" si="7"/>
        <v>0</v>
      </c>
      <c r="Z66" s="383">
        <f t="shared" si="8"/>
        <v>0</v>
      </c>
      <c r="AA66" s="384">
        <f t="shared" si="9"/>
        <v>0</v>
      </c>
      <c r="AB66" s="197">
        <f t="shared" si="10"/>
        <v>43517</v>
      </c>
      <c r="AC66" s="424">
        <f t="shared" si="11"/>
        <v>2.280030806959175E-3</v>
      </c>
      <c r="AD66" s="169">
        <f>(INDEX(Models!$BJ66:$BT66,,AH66)*(1-AF66)+INDEX(Models!$BJ66:$BT66,,AH66+1)*AF66-ERP_i)*AE66*Ramure*Pc/MaxiM</f>
        <v>4.9571620431035632E-8</v>
      </c>
      <c r="AE66" s="304">
        <f t="shared" si="12"/>
        <v>0.6</v>
      </c>
      <c r="AF66" s="177">
        <f t="shared" si="13"/>
        <v>0.5040322426459809</v>
      </c>
      <c r="AG66" s="799">
        <f t="shared" si="23"/>
        <v>-2</v>
      </c>
      <c r="AH66" s="176">
        <f t="shared" si="14"/>
        <v>4</v>
      </c>
      <c r="AI66" s="224">
        <f t="shared" si="15"/>
        <v>-1.4959677573540191</v>
      </c>
      <c r="AJ66" s="264" t="b">
        <f t="shared" si="16"/>
        <v>0</v>
      </c>
      <c r="AK66" s="264" t="b">
        <f t="shared" si="17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8"/>
        <v>43518</v>
      </c>
      <c r="B67" s="607"/>
      <c r="C67" s="388"/>
      <c r="D67" s="391"/>
      <c r="E67" s="383"/>
      <c r="F67" s="383"/>
      <c r="G67" s="110"/>
      <c r="I67" s="379">
        <f t="shared" si="0"/>
        <v>0</v>
      </c>
      <c r="J67" s="85">
        <v>2018</v>
      </c>
      <c r="K67" s="197">
        <f t="shared" si="1"/>
        <v>43518</v>
      </c>
      <c r="L67" s="435">
        <f t="shared" si="2"/>
        <v>4.2154014819351104E-4</v>
      </c>
      <c r="M67" s="842"/>
      <c r="N67" s="842"/>
      <c r="O67" s="323">
        <f t="shared" si="3"/>
        <v>2.3875522490205826E-3</v>
      </c>
      <c r="P67" s="169">
        <f>(INDEX(Models!$BJ67:$BT67,,T67)*(1-R67)+INDEX(Models!$BJ67:$BT67,,T67+1)*R67-ERP_i)*Q67*Ramure*Pc/MaxiM</f>
        <v>5.0766133851544396E-8</v>
      </c>
      <c r="Q67" s="304">
        <f t="shared" si="19"/>
        <v>0.6</v>
      </c>
      <c r="R67" s="177">
        <f t="shared" si="4"/>
        <v>0.50426508990505003</v>
      </c>
      <c r="S67" s="799">
        <f t="shared" si="20"/>
        <v>-2</v>
      </c>
      <c r="T67" s="176">
        <f t="shared" si="21"/>
        <v>4</v>
      </c>
      <c r="U67" s="250">
        <f t="shared" si="22"/>
        <v>-1.49573491009495</v>
      </c>
      <c r="V67" s="382">
        <f t="shared" si="5"/>
        <v>45.100558508804205</v>
      </c>
      <c r="W67" s="58"/>
      <c r="X67" s="157">
        <f t="shared" si="6"/>
        <v>43518</v>
      </c>
      <c r="Y67" s="383">
        <f t="shared" si="7"/>
        <v>0</v>
      </c>
      <c r="Z67" s="383">
        <f t="shared" si="8"/>
        <v>0</v>
      </c>
      <c r="AA67" s="384">
        <f t="shared" si="9"/>
        <v>0</v>
      </c>
      <c r="AB67" s="197">
        <f t="shared" si="10"/>
        <v>43518</v>
      </c>
      <c r="AC67" s="424">
        <f t="shared" si="11"/>
        <v>2.3875522490205826E-3</v>
      </c>
      <c r="AD67" s="169">
        <f>(INDEX(Models!$BJ67:$BT67,,AH67)*(1-AF67)+INDEX(Models!$BJ67:$BT67,,AH67+1)*AF67-ERP_i)*AE67*Ramure*Pc/MaxiM</f>
        <v>5.0766133851544396E-8</v>
      </c>
      <c r="AE67" s="304">
        <f t="shared" si="12"/>
        <v>0.6</v>
      </c>
      <c r="AF67" s="177">
        <f t="shared" si="13"/>
        <v>0.50426508990505003</v>
      </c>
      <c r="AG67" s="799">
        <f t="shared" si="23"/>
        <v>-2</v>
      </c>
      <c r="AH67" s="176">
        <f t="shared" si="14"/>
        <v>4</v>
      </c>
      <c r="AI67" s="224">
        <f t="shared" si="15"/>
        <v>-1.49573491009495</v>
      </c>
      <c r="AJ67" s="264" t="b">
        <f t="shared" si="16"/>
        <v>0</v>
      </c>
      <c r="AK67" s="264" t="b">
        <f t="shared" si="17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8"/>
        <v>43519</v>
      </c>
      <c r="B68" s="607"/>
      <c r="C68" s="388"/>
      <c r="D68" s="391"/>
      <c r="E68" s="383"/>
      <c r="F68" s="383"/>
      <c r="G68" s="110"/>
      <c r="I68" s="379">
        <f t="shared" si="0"/>
        <v>0</v>
      </c>
      <c r="J68" s="85">
        <v>2018</v>
      </c>
      <c r="K68" s="197">
        <f t="shared" si="1"/>
        <v>43519</v>
      </c>
      <c r="L68" s="435">
        <f t="shared" si="2"/>
        <v>4.4069684133607456E-4</v>
      </c>
      <c r="M68" s="842"/>
      <c r="N68" s="842"/>
      <c r="O68" s="323">
        <f t="shared" si="3"/>
        <v>2.4949779178974614E-3</v>
      </c>
      <c r="P68" s="169">
        <f>(INDEX(Models!$BJ68:$BT68,,T68)*(1-R68)+INDEX(Models!$BJ68:$BT68,,T68+1)*R68-ERP_i)*Q68*Ramure*Pc/MaxiM</f>
        <v>5.2045220728288501E-8</v>
      </c>
      <c r="Q68" s="304">
        <f t="shared" si="19"/>
        <v>0.6</v>
      </c>
      <c r="R68" s="177">
        <f t="shared" si="4"/>
        <v>0.50450747276542796</v>
      </c>
      <c r="S68" s="799">
        <f t="shared" si="20"/>
        <v>-2</v>
      </c>
      <c r="T68" s="176">
        <f t="shared" si="21"/>
        <v>4</v>
      </c>
      <c r="U68" s="250">
        <f t="shared" si="22"/>
        <v>-1.495492527234572</v>
      </c>
      <c r="V68" s="382">
        <f t="shared" si="5"/>
        <v>45.456775740983808</v>
      </c>
      <c r="W68" s="58"/>
      <c r="X68" s="157">
        <f t="shared" si="6"/>
        <v>43519</v>
      </c>
      <c r="Y68" s="383">
        <f t="shared" si="7"/>
        <v>0</v>
      </c>
      <c r="Z68" s="383">
        <f t="shared" si="8"/>
        <v>0</v>
      </c>
      <c r="AA68" s="384">
        <f t="shared" si="9"/>
        <v>0</v>
      </c>
      <c r="AB68" s="197">
        <f t="shared" si="10"/>
        <v>43519</v>
      </c>
      <c r="AC68" s="424">
        <f t="shared" si="11"/>
        <v>2.4949779178974614E-3</v>
      </c>
      <c r="AD68" s="169">
        <f>(INDEX(Models!$BJ68:$BT68,,AH68)*(1-AF68)+INDEX(Models!$BJ68:$BT68,,AH68+1)*AF68-ERP_i)*AE68*Ramure*Pc/MaxiM</f>
        <v>5.2045220728288501E-8</v>
      </c>
      <c r="AE68" s="304">
        <f t="shared" si="12"/>
        <v>0.6</v>
      </c>
      <c r="AF68" s="177">
        <f t="shared" si="13"/>
        <v>0.50450747276542796</v>
      </c>
      <c r="AG68" s="799">
        <f t="shared" si="23"/>
        <v>-2</v>
      </c>
      <c r="AH68" s="176">
        <f t="shared" si="14"/>
        <v>4</v>
      </c>
      <c r="AI68" s="224">
        <f t="shared" si="15"/>
        <v>-1.495492527234572</v>
      </c>
      <c r="AJ68" s="264" t="b">
        <f t="shared" si="16"/>
        <v>0</v>
      </c>
      <c r="AK68" s="264" t="b">
        <f t="shared" si="17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8"/>
        <v>43520</v>
      </c>
      <c r="B69" s="607"/>
      <c r="C69" s="388"/>
      <c r="D69" s="391"/>
      <c r="E69" s="383"/>
      <c r="F69" s="383"/>
      <c r="G69" s="110"/>
      <c r="I69" s="379">
        <f t="shared" si="0"/>
        <v>0</v>
      </c>
      <c r="J69" s="85">
        <v>2018</v>
      </c>
      <c r="K69" s="197">
        <f t="shared" si="1"/>
        <v>43520</v>
      </c>
      <c r="L69" s="435">
        <f t="shared" si="2"/>
        <v>4.5985316734498127E-4</v>
      </c>
      <c r="M69" s="842"/>
      <c r="N69" s="842"/>
      <c r="O69" s="323">
        <f t="shared" si="3"/>
        <v>2.6023077559173451E-3</v>
      </c>
      <c r="P69" s="169">
        <f>(INDEX(Models!$BJ69:$BT69,,T69)*(1-R69)+INDEX(Models!$BJ69:$BT69,,T69+1)*R69-ERP_i)*Q69*Ramure*Pc/MaxiM</f>
        <v>5.3417038398474897E-8</v>
      </c>
      <c r="Q69" s="304">
        <f t="shared" si="19"/>
        <v>0.6</v>
      </c>
      <c r="R69" s="177">
        <f t="shared" si="4"/>
        <v>0.50475977169264619</v>
      </c>
      <c r="S69" s="799">
        <f t="shared" si="20"/>
        <v>-2</v>
      </c>
      <c r="T69" s="176">
        <f t="shared" si="21"/>
        <v>4</v>
      </c>
      <c r="U69" s="250">
        <f t="shared" si="22"/>
        <v>-1.4952402283073538</v>
      </c>
      <c r="V69" s="382">
        <f t="shared" si="5"/>
        <v>45.811331131960777</v>
      </c>
      <c r="W69" s="58"/>
      <c r="X69" s="157">
        <f t="shared" si="6"/>
        <v>43520</v>
      </c>
      <c r="Y69" s="383">
        <f t="shared" si="7"/>
        <v>0</v>
      </c>
      <c r="Z69" s="383">
        <f t="shared" si="8"/>
        <v>0</v>
      </c>
      <c r="AA69" s="384">
        <f t="shared" si="9"/>
        <v>0</v>
      </c>
      <c r="AB69" s="197">
        <f t="shared" si="10"/>
        <v>43520</v>
      </c>
      <c r="AC69" s="424">
        <f t="shared" si="11"/>
        <v>2.6023077559173451E-3</v>
      </c>
      <c r="AD69" s="169">
        <f>(INDEX(Models!$BJ69:$BT69,,AH69)*(1-AF69)+INDEX(Models!$BJ69:$BT69,,AH69+1)*AF69-ERP_i)*AE69*Ramure*Pc/MaxiM</f>
        <v>5.3417038398474897E-8</v>
      </c>
      <c r="AE69" s="304">
        <f t="shared" si="12"/>
        <v>0.6</v>
      </c>
      <c r="AF69" s="177">
        <f t="shared" si="13"/>
        <v>0.50475977169264619</v>
      </c>
      <c r="AG69" s="799">
        <f t="shared" si="23"/>
        <v>-2</v>
      </c>
      <c r="AH69" s="176">
        <f t="shared" si="14"/>
        <v>4</v>
      </c>
      <c r="AI69" s="224">
        <f t="shared" si="15"/>
        <v>-1.4952402283073538</v>
      </c>
      <c r="AJ69" s="264" t="b">
        <f t="shared" si="16"/>
        <v>0</v>
      </c>
      <c r="AK69" s="264" t="b">
        <f t="shared" si="17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8"/>
        <v>43521</v>
      </c>
      <c r="B70" s="607"/>
      <c r="C70" s="388"/>
      <c r="D70" s="391"/>
      <c r="E70" s="383"/>
      <c r="F70" s="383"/>
      <c r="G70" s="110"/>
      <c r="I70" s="379">
        <f t="shared" si="0"/>
        <v>0</v>
      </c>
      <c r="J70" s="85">
        <v>2018</v>
      </c>
      <c r="K70" s="197">
        <f t="shared" si="1"/>
        <v>43521</v>
      </c>
      <c r="L70" s="435">
        <f t="shared" si="2"/>
        <v>4.7900912622722558E-4</v>
      </c>
      <c r="M70" s="842"/>
      <c r="N70" s="842"/>
      <c r="O70" s="323">
        <f t="shared" si="3"/>
        <v>2.7095417449994907E-3</v>
      </c>
      <c r="P70" s="169">
        <f>(INDEX(Models!$BJ70:$BT70,,T70)*(1-R70)+INDEX(Models!$BJ70:$BT70,,T70+1)*R70-ERP_i)*Q70*Ramure*Pc/MaxiM</f>
        <v>5.4890295384547567E-8</v>
      </c>
      <c r="Q70" s="304">
        <f t="shared" si="19"/>
        <v>0.6</v>
      </c>
      <c r="R70" s="177">
        <f t="shared" si="4"/>
        <v>0.50502238148478229</v>
      </c>
      <c r="S70" s="799">
        <f t="shared" si="20"/>
        <v>-2</v>
      </c>
      <c r="T70" s="176">
        <f t="shared" si="21"/>
        <v>4</v>
      </c>
      <c r="U70" s="250">
        <f t="shared" si="22"/>
        <v>-1.4949776185152177</v>
      </c>
      <c r="V70" s="382">
        <f t="shared" si="5"/>
        <v>46.164332736142455</v>
      </c>
      <c r="W70" s="58"/>
      <c r="X70" s="157">
        <f t="shared" si="6"/>
        <v>43521</v>
      </c>
      <c r="Y70" s="383">
        <f t="shared" si="7"/>
        <v>0</v>
      </c>
      <c r="Z70" s="383">
        <f t="shared" si="8"/>
        <v>0</v>
      </c>
      <c r="AA70" s="384">
        <f t="shared" si="9"/>
        <v>0</v>
      </c>
      <c r="AB70" s="197">
        <f t="shared" si="10"/>
        <v>43521</v>
      </c>
      <c r="AC70" s="424">
        <f t="shared" si="11"/>
        <v>2.7095417449994907E-3</v>
      </c>
      <c r="AD70" s="169">
        <f>(INDEX(Models!$BJ70:$BT70,,AH70)*(1-AF70)+INDEX(Models!$BJ70:$BT70,,AH70+1)*AF70-ERP_i)*AE70*Ramure*Pc/MaxiM</f>
        <v>5.4890295384547567E-8</v>
      </c>
      <c r="AE70" s="304">
        <f t="shared" si="12"/>
        <v>0.6</v>
      </c>
      <c r="AF70" s="177">
        <f t="shared" si="13"/>
        <v>0.50502238148478229</v>
      </c>
      <c r="AG70" s="799">
        <f t="shared" si="23"/>
        <v>-2</v>
      </c>
      <c r="AH70" s="176">
        <f t="shared" si="14"/>
        <v>4</v>
      </c>
      <c r="AI70" s="224">
        <f t="shared" si="15"/>
        <v>-1.4949776185152177</v>
      </c>
      <c r="AJ70" s="264" t="b">
        <f t="shared" si="16"/>
        <v>0</v>
      </c>
      <c r="AK70" s="264" t="b">
        <f t="shared" si="17"/>
        <v>0</v>
      </c>
      <c r="AL70" s="264"/>
      <c r="AM70" s="264"/>
      <c r="AN70" s="75"/>
    </row>
    <row r="71" spans="1:40" s="6" customFormat="1" ht="11.25" x14ac:dyDescent="0.2">
      <c r="A71" s="56">
        <f t="shared" si="18"/>
        <v>43522</v>
      </c>
      <c r="B71" s="607"/>
      <c r="C71" s="388"/>
      <c r="D71" s="391"/>
      <c r="E71" s="383"/>
      <c r="F71" s="383"/>
      <c r="G71" s="110"/>
      <c r="I71" s="379">
        <f t="shared" si="0"/>
        <v>0</v>
      </c>
      <c r="J71" s="85">
        <v>2018</v>
      </c>
      <c r="K71" s="197">
        <f t="shared" si="1"/>
        <v>43522</v>
      </c>
      <c r="L71" s="435">
        <f t="shared" si="2"/>
        <v>4.9816471799002393E-4</v>
      </c>
      <c r="M71" s="842"/>
      <c r="N71" s="842"/>
      <c r="O71" s="323">
        <f t="shared" si="3"/>
        <v>2.8166799179835146E-3</v>
      </c>
      <c r="P71" s="169">
        <f>(INDEX(Models!$BJ71:$BT71,,T71)*(1-R71)+INDEX(Models!$BJ71:$BT71,,T71+1)*R71-ERP_i)*Q71*Ramure*Pc/MaxiM</f>
        <v>5.6474285504962432E-8</v>
      </c>
      <c r="Q71" s="304">
        <f t="shared" si="19"/>
        <v>0.6</v>
      </c>
      <c r="R71" s="177">
        <f t="shared" si="4"/>
        <v>0.5052957117403476</v>
      </c>
      <c r="S71" s="799">
        <f t="shared" si="20"/>
        <v>-2</v>
      </c>
      <c r="T71" s="176">
        <f t="shared" si="21"/>
        <v>4</v>
      </c>
      <c r="U71" s="250">
        <f t="shared" si="22"/>
        <v>-1.4947042882596524</v>
      </c>
      <c r="V71" s="382">
        <f t="shared" si="5"/>
        <v>46.515888549383583</v>
      </c>
      <c r="W71" s="58"/>
      <c r="X71" s="157">
        <f t="shared" si="6"/>
        <v>43522</v>
      </c>
      <c r="Y71" s="383">
        <f t="shared" si="7"/>
        <v>0</v>
      </c>
      <c r="Z71" s="383">
        <f t="shared" si="8"/>
        <v>0</v>
      </c>
      <c r="AA71" s="384">
        <f t="shared" si="9"/>
        <v>0</v>
      </c>
      <c r="AB71" s="197">
        <f t="shared" si="10"/>
        <v>43522</v>
      </c>
      <c r="AC71" s="424">
        <f t="shared" si="11"/>
        <v>2.8166799179835146E-3</v>
      </c>
      <c r="AD71" s="169">
        <f>(INDEX(Models!$BJ71:$BT71,,AH71)*(1-AF71)+INDEX(Models!$BJ71:$BT71,,AH71+1)*AF71-ERP_i)*AE71*Ramure*Pc/MaxiM</f>
        <v>5.6474285504962432E-8</v>
      </c>
      <c r="AE71" s="304">
        <f t="shared" si="12"/>
        <v>0.6</v>
      </c>
      <c r="AF71" s="177">
        <f t="shared" si="13"/>
        <v>0.5052957117403476</v>
      </c>
      <c r="AG71" s="799">
        <f t="shared" si="23"/>
        <v>-2</v>
      </c>
      <c r="AH71" s="176">
        <f t="shared" si="14"/>
        <v>4</v>
      </c>
      <c r="AI71" s="224">
        <f t="shared" si="15"/>
        <v>-1.4947042882596524</v>
      </c>
      <c r="AJ71" s="264" t="b">
        <f t="shared" si="16"/>
        <v>0</v>
      </c>
      <c r="AK71" s="264" t="b">
        <f t="shared" si="17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8"/>
        <v>43523</v>
      </c>
      <c r="B72" s="607"/>
      <c r="C72" s="388"/>
      <c r="D72" s="391"/>
      <c r="E72" s="383"/>
      <c r="F72" s="383"/>
      <c r="G72" s="110"/>
      <c r="I72" s="379">
        <f t="shared" si="0"/>
        <v>0</v>
      </c>
      <c r="J72" s="85">
        <v>2018</v>
      </c>
      <c r="K72" s="197">
        <f t="shared" si="1"/>
        <v>43523</v>
      </c>
      <c r="L72" s="435">
        <f t="shared" si="2"/>
        <v>5.1731994264014869E-4</v>
      </c>
      <c r="M72" s="842"/>
      <c r="N72" s="842"/>
      <c r="O72" s="323">
        <f t="shared" si="3"/>
        <v>2.9237223701099502E-3</v>
      </c>
      <c r="P72" s="169">
        <f>(INDEX(Models!$BJ72:$BT72,,T72)*(1-R72)+INDEX(Models!$BJ72:$BT72,,T72+1)*R72-ERP_i)*Q72*Ramure*Pc/MaxiM</f>
        <v>5.8076971971104274E-8</v>
      </c>
      <c r="Q72" s="304">
        <f t="shared" si="19"/>
        <v>0.6</v>
      </c>
      <c r="R72" s="177">
        <f t="shared" si="4"/>
        <v>0.50558018733515775</v>
      </c>
      <c r="S72" s="799">
        <f t="shared" si="20"/>
        <v>-2</v>
      </c>
      <c r="T72" s="176">
        <f t="shared" si="21"/>
        <v>4</v>
      </c>
      <c r="U72" s="250">
        <f t="shared" si="22"/>
        <v>-1.4944198126648423</v>
      </c>
      <c r="V72" s="382">
        <f t="shared" si="5"/>
        <v>46.866106515387763</v>
      </c>
      <c r="W72" s="58"/>
      <c r="X72" s="157">
        <f t="shared" si="6"/>
        <v>43523</v>
      </c>
      <c r="Y72" s="383">
        <f t="shared" si="7"/>
        <v>0</v>
      </c>
      <c r="Z72" s="383">
        <f t="shared" si="8"/>
        <v>0</v>
      </c>
      <c r="AA72" s="384">
        <f t="shared" si="9"/>
        <v>0</v>
      </c>
      <c r="AB72" s="197">
        <f t="shared" si="10"/>
        <v>43523</v>
      </c>
      <c r="AC72" s="424">
        <f t="shared" si="11"/>
        <v>2.9237223701099502E-3</v>
      </c>
      <c r="AD72" s="169">
        <f>(INDEX(Models!$BJ72:$BT72,,AH72)*(1-AF72)+INDEX(Models!$BJ72:$BT72,,AH72+1)*AF72-ERP_i)*AE72*Ramure*Pc/MaxiM</f>
        <v>5.8076971971104274E-8</v>
      </c>
      <c r="AE72" s="304">
        <f t="shared" si="12"/>
        <v>0.6</v>
      </c>
      <c r="AF72" s="177">
        <f t="shared" si="13"/>
        <v>0.50558018733515775</v>
      </c>
      <c r="AG72" s="799">
        <f t="shared" si="23"/>
        <v>-2</v>
      </c>
      <c r="AH72" s="176">
        <f t="shared" si="14"/>
        <v>4</v>
      </c>
      <c r="AI72" s="224">
        <f t="shared" si="15"/>
        <v>-1.4944198126648423</v>
      </c>
      <c r="AJ72" s="264" t="b">
        <f t="shared" si="16"/>
        <v>0</v>
      </c>
      <c r="AK72" s="264" t="b">
        <f t="shared" si="17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8"/>
        <v>43524</v>
      </c>
      <c r="B73" s="607"/>
      <c r="C73" s="388"/>
      <c r="D73" s="391"/>
      <c r="E73" s="383"/>
      <c r="F73" s="383"/>
      <c r="G73" s="110"/>
      <c r="I73" s="379">
        <f t="shared" si="0"/>
        <v>0</v>
      </c>
      <c r="J73" s="85">
        <v>2018</v>
      </c>
      <c r="K73" s="197">
        <f t="shared" si="1"/>
        <v>43524</v>
      </c>
      <c r="L73" s="435">
        <f t="shared" si="2"/>
        <v>5.364748001848163E-4</v>
      </c>
      <c r="M73" s="842"/>
      <c r="N73" s="842"/>
      <c r="O73" s="323">
        <f t="shared" si="3"/>
        <v>3.0306692705410823E-3</v>
      </c>
      <c r="P73" s="169">
        <f>(INDEX(Models!$BJ73:$BT73,,T73)*(1-R73)+INDEX(Models!$BJ73:$BT73,,T73+1)*R73-ERP_i)*Q73*Ramure*Pc/MaxiM</f>
        <v>5.9734439908629873E-8</v>
      </c>
      <c r="Q73" s="304">
        <f t="shared" si="19"/>
        <v>0.6</v>
      </c>
      <c r="R73" s="177">
        <f t="shared" si="4"/>
        <v>0.5058762489077453</v>
      </c>
      <c r="S73" s="799">
        <f t="shared" si="20"/>
        <v>-2</v>
      </c>
      <c r="T73" s="176">
        <f t="shared" si="21"/>
        <v>4</v>
      </c>
      <c r="U73" s="250">
        <f t="shared" si="22"/>
        <v>-1.4941237510922547</v>
      </c>
      <c r="V73" s="382">
        <f t="shared" si="5"/>
        <v>47.215094510909061</v>
      </c>
      <c r="W73" s="58"/>
      <c r="X73" s="157">
        <f t="shared" si="6"/>
        <v>43524</v>
      </c>
      <c r="Y73" s="383">
        <f t="shared" si="7"/>
        <v>0</v>
      </c>
      <c r="Z73" s="383">
        <f t="shared" si="8"/>
        <v>0</v>
      </c>
      <c r="AA73" s="384">
        <f t="shared" si="9"/>
        <v>0</v>
      </c>
      <c r="AB73" s="197">
        <f t="shared" si="10"/>
        <v>43524</v>
      </c>
      <c r="AC73" s="424">
        <f t="shared" si="11"/>
        <v>3.0306692705410823E-3</v>
      </c>
      <c r="AD73" s="169">
        <f>(INDEX(Models!$BJ73:$BT73,,AH73)*(1-AF73)+INDEX(Models!$BJ73:$BT73,,AH73+1)*AF73-ERP_i)*AE73*Ramure*Pc/MaxiM</f>
        <v>5.9734439908629873E-8</v>
      </c>
      <c r="AE73" s="304">
        <f t="shared" si="12"/>
        <v>0.6</v>
      </c>
      <c r="AF73" s="177">
        <f t="shared" si="13"/>
        <v>0.5058762489077453</v>
      </c>
      <c r="AG73" s="799">
        <f t="shared" si="23"/>
        <v>-2</v>
      </c>
      <c r="AH73" s="176">
        <f t="shared" si="14"/>
        <v>4</v>
      </c>
      <c r="AI73" s="224">
        <f t="shared" si="15"/>
        <v>-1.4941237510922547</v>
      </c>
      <c r="AJ73" s="264" t="b">
        <f t="shared" si="16"/>
        <v>0</v>
      </c>
      <c r="AK73" s="264" t="b">
        <f t="shared" si="17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8"/>
        <v>43525</v>
      </c>
      <c r="B74" s="607"/>
      <c r="C74" s="388"/>
      <c r="D74" s="391"/>
      <c r="E74" s="383"/>
      <c r="F74" s="383"/>
      <c r="G74" s="110"/>
      <c r="I74" s="379">
        <f t="shared" si="0"/>
        <v>0</v>
      </c>
      <c r="J74" s="85">
        <v>2018</v>
      </c>
      <c r="K74" s="197">
        <f t="shared" si="1"/>
        <v>43525</v>
      </c>
      <c r="L74" s="435">
        <f t="shared" si="2"/>
        <v>5.5562929063102118E-4</v>
      </c>
      <c r="M74" s="842"/>
      <c r="N74" s="842"/>
      <c r="O74" s="323">
        <f t="shared" si="3"/>
        <v>3.1375208738114364E-3</v>
      </c>
      <c r="P74" s="169">
        <f>(INDEX(Models!$BJ74:$BT74,,T74)*(1-R74)+INDEX(Models!$BJ74:$BT74,,T74+1)*R74-ERP_i)*Q74*Ramure*Pc/MaxiM</f>
        <v>6.1449725631142625E-8</v>
      </c>
      <c r="Q74" s="304">
        <f t="shared" si="19"/>
        <v>0.6</v>
      </c>
      <c r="R74" s="177">
        <f t="shared" si="4"/>
        <v>0.5061843533528041</v>
      </c>
      <c r="S74" s="799">
        <f t="shared" si="20"/>
        <v>-2</v>
      </c>
      <c r="T74" s="176">
        <f t="shared" si="21"/>
        <v>4</v>
      </c>
      <c r="U74" s="250">
        <f t="shared" si="22"/>
        <v>-1.4938156466471959</v>
      </c>
      <c r="V74" s="382">
        <f t="shared" si="5"/>
        <v>47.56296035735938</v>
      </c>
      <c r="W74" s="58"/>
      <c r="X74" s="157">
        <f t="shared" si="6"/>
        <v>43525</v>
      </c>
      <c r="Y74" s="383">
        <f t="shared" si="7"/>
        <v>0</v>
      </c>
      <c r="Z74" s="383">
        <f t="shared" si="8"/>
        <v>0</v>
      </c>
      <c r="AA74" s="384">
        <f t="shared" si="9"/>
        <v>0</v>
      </c>
      <c r="AB74" s="197">
        <f t="shared" si="10"/>
        <v>43525</v>
      </c>
      <c r="AC74" s="424">
        <f t="shared" si="11"/>
        <v>3.1375208738114364E-3</v>
      </c>
      <c r="AD74" s="169">
        <f>(INDEX(Models!$BJ74:$BT74,,AH74)*(1-AF74)+INDEX(Models!$BJ74:$BT74,,AH74+1)*AF74-ERP_i)*AE74*Ramure*Pc/MaxiM</f>
        <v>6.1449725631142625E-8</v>
      </c>
      <c r="AE74" s="304">
        <f t="shared" si="12"/>
        <v>0.6</v>
      </c>
      <c r="AF74" s="177">
        <f t="shared" si="13"/>
        <v>0.5061843533528041</v>
      </c>
      <c r="AG74" s="799">
        <f t="shared" si="23"/>
        <v>-2</v>
      </c>
      <c r="AH74" s="176">
        <f t="shared" si="14"/>
        <v>4</v>
      </c>
      <c r="AI74" s="224">
        <f t="shared" si="15"/>
        <v>-1.4938156466471959</v>
      </c>
      <c r="AJ74" s="264" t="b">
        <f t="shared" si="16"/>
        <v>0</v>
      </c>
      <c r="AK74" s="264" t="b">
        <f t="shared" si="17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8"/>
        <v>43526</v>
      </c>
      <c r="B75" s="607"/>
      <c r="C75" s="388"/>
      <c r="D75" s="391"/>
      <c r="E75" s="383"/>
      <c r="F75" s="383"/>
      <c r="G75" s="110"/>
      <c r="I75" s="379">
        <f t="shared" si="0"/>
        <v>0</v>
      </c>
      <c r="J75" s="85">
        <v>2018</v>
      </c>
      <c r="K75" s="197">
        <f t="shared" si="1"/>
        <v>43526</v>
      </c>
      <c r="L75" s="435">
        <f t="shared" si="2"/>
        <v>5.7478341398575772E-4</v>
      </c>
      <c r="M75" s="842"/>
      <c r="N75" s="842"/>
      <c r="O75" s="323">
        <f t="shared" si="3"/>
        <v>3.2442775310991411E-3</v>
      </c>
      <c r="P75" s="169">
        <f>(INDEX(Models!$BJ75:$BT75,,T75)*(1-R75)+INDEX(Models!$BJ75:$BT75,,T75+1)*R75-ERP_i)*Q75*Ramure*Pc/MaxiM</f>
        <v>6.322604995620691E-8</v>
      </c>
      <c r="Q75" s="304">
        <f t="shared" si="19"/>
        <v>0.6</v>
      </c>
      <c r="R75" s="177">
        <f t="shared" si="4"/>
        <v>0.50650497432206576</v>
      </c>
      <c r="S75" s="799">
        <f t="shared" si="20"/>
        <v>-2</v>
      </c>
      <c r="T75" s="176">
        <f t="shared" si="21"/>
        <v>4</v>
      </c>
      <c r="U75" s="250">
        <f t="shared" si="22"/>
        <v>-1.4934950256779342</v>
      </c>
      <c r="V75" s="382">
        <f t="shared" si="5"/>
        <v>47.909811814726403</v>
      </c>
      <c r="W75" s="58"/>
      <c r="X75" s="157">
        <f t="shared" si="6"/>
        <v>43526</v>
      </c>
      <c r="Y75" s="383">
        <f t="shared" si="7"/>
        <v>0</v>
      </c>
      <c r="Z75" s="383">
        <f t="shared" si="8"/>
        <v>0</v>
      </c>
      <c r="AA75" s="384">
        <f t="shared" si="9"/>
        <v>0</v>
      </c>
      <c r="AB75" s="197">
        <f t="shared" si="10"/>
        <v>43526</v>
      </c>
      <c r="AC75" s="424">
        <f t="shared" si="11"/>
        <v>3.2442775310991411E-3</v>
      </c>
      <c r="AD75" s="169">
        <f>(INDEX(Models!$BJ75:$BT75,,AH75)*(1-AF75)+INDEX(Models!$BJ75:$BT75,,AH75+1)*AF75-ERP_i)*AE75*Ramure*Pc/MaxiM</f>
        <v>6.322604995620691E-8</v>
      </c>
      <c r="AE75" s="304">
        <f t="shared" si="12"/>
        <v>0.6</v>
      </c>
      <c r="AF75" s="177">
        <f t="shared" si="13"/>
        <v>0.50650497432206576</v>
      </c>
      <c r="AG75" s="799">
        <f t="shared" si="23"/>
        <v>-2</v>
      </c>
      <c r="AH75" s="176">
        <f t="shared" si="14"/>
        <v>4</v>
      </c>
      <c r="AI75" s="224">
        <f t="shared" si="15"/>
        <v>-1.4934950256779342</v>
      </c>
      <c r="AJ75" s="264" t="b">
        <f t="shared" si="16"/>
        <v>0</v>
      </c>
      <c r="AK75" s="264" t="b">
        <f t="shared" si="17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8"/>
        <v>43527</v>
      </c>
      <c r="B76" s="607"/>
      <c r="C76" s="388"/>
      <c r="D76" s="391"/>
      <c r="E76" s="383"/>
      <c r="F76" s="383"/>
      <c r="G76" s="110"/>
      <c r="I76" s="379">
        <f t="shared" si="0"/>
        <v>0</v>
      </c>
      <c r="J76" s="85">
        <v>2018</v>
      </c>
      <c r="K76" s="197">
        <f t="shared" si="1"/>
        <v>43527</v>
      </c>
      <c r="L76" s="435">
        <f t="shared" si="2"/>
        <v>5.9393717025602033E-4</v>
      </c>
      <c r="M76" s="842"/>
      <c r="N76" s="842"/>
      <c r="O76" s="323">
        <f t="shared" si="3"/>
        <v>3.3509397012132353E-3</v>
      </c>
      <c r="P76" s="169">
        <f>(INDEX(Models!$BJ76:$BT76,,T76)*(1-R76)+INDEX(Models!$BJ76:$BT76,,T76+1)*R76-ERP_i)*Q76*Ramure*Pc/MaxiM</f>
        <v>6.5066830502296376E-8</v>
      </c>
      <c r="Q76" s="304">
        <f t="shared" si="19"/>
        <v>0.6</v>
      </c>
      <c r="R76" s="177">
        <f t="shared" si="4"/>
        <v>0.5068386027319236</v>
      </c>
      <c r="S76" s="799">
        <f t="shared" si="20"/>
        <v>-2</v>
      </c>
      <c r="T76" s="176">
        <f t="shared" si="21"/>
        <v>4</v>
      </c>
      <c r="U76" s="250">
        <f t="shared" si="22"/>
        <v>-1.4931613972680764</v>
      </c>
      <c r="V76" s="382">
        <f t="shared" si="5"/>
        <v>48.255756583088363</v>
      </c>
      <c r="W76" s="58"/>
      <c r="X76" s="157">
        <f t="shared" si="6"/>
        <v>43527</v>
      </c>
      <c r="Y76" s="383">
        <f t="shared" si="7"/>
        <v>0</v>
      </c>
      <c r="Z76" s="383">
        <f t="shared" si="8"/>
        <v>0</v>
      </c>
      <c r="AA76" s="384">
        <f t="shared" si="9"/>
        <v>0</v>
      </c>
      <c r="AB76" s="197">
        <f t="shared" si="10"/>
        <v>43527</v>
      </c>
      <c r="AC76" s="424">
        <f t="shared" si="11"/>
        <v>3.3509397012132353E-3</v>
      </c>
      <c r="AD76" s="169">
        <f>(INDEX(Models!$BJ76:$BT76,,AH76)*(1-AF76)+INDEX(Models!$BJ76:$BT76,,AH76+1)*AF76-ERP_i)*AE76*Ramure*Pc/MaxiM</f>
        <v>6.5066830502296376E-8</v>
      </c>
      <c r="AE76" s="304">
        <f t="shared" si="12"/>
        <v>0.6</v>
      </c>
      <c r="AF76" s="177">
        <f t="shared" si="13"/>
        <v>0.5068386027319236</v>
      </c>
      <c r="AG76" s="799">
        <f t="shared" si="23"/>
        <v>-2</v>
      </c>
      <c r="AH76" s="176">
        <f t="shared" si="14"/>
        <v>4</v>
      </c>
      <c r="AI76" s="224">
        <f t="shared" si="15"/>
        <v>-1.4931613972680764</v>
      </c>
      <c r="AJ76" s="264" t="b">
        <f t="shared" si="16"/>
        <v>0</v>
      </c>
      <c r="AK76" s="264" t="b">
        <f t="shared" si="17"/>
        <v>0</v>
      </c>
      <c r="AL76" s="264"/>
      <c r="AM76" s="264"/>
      <c r="AN76" s="75"/>
    </row>
    <row r="77" spans="1:40" s="6" customFormat="1" ht="11.25" x14ac:dyDescent="0.2">
      <c r="A77" s="56">
        <f t="shared" si="18"/>
        <v>43528</v>
      </c>
      <c r="B77" s="607"/>
      <c r="C77" s="388"/>
      <c r="D77" s="391"/>
      <c r="E77" s="383"/>
      <c r="F77" s="383"/>
      <c r="G77" s="110"/>
      <c r="I77" s="379">
        <f t="shared" si="0"/>
        <v>0</v>
      </c>
      <c r="J77" s="85">
        <v>2018</v>
      </c>
      <c r="K77" s="197">
        <f t="shared" si="1"/>
        <v>43528</v>
      </c>
      <c r="L77" s="435">
        <f t="shared" si="2"/>
        <v>6.1309055944902546E-4</v>
      </c>
      <c r="M77" s="842"/>
      <c r="N77" s="842"/>
      <c r="O77" s="323">
        <f t="shared" si="3"/>
        <v>3.4575079611965636E-3</v>
      </c>
      <c r="P77" s="169">
        <f>(INDEX(Models!$BJ77:$BT77,,T77)*(1-R77)+INDEX(Models!$BJ77:$BT77,,T77+1)*R77-ERP_i)*Q77*Ramure*Pc/MaxiM</f>
        <v>6.697569458518267E-8</v>
      </c>
      <c r="Q77" s="304">
        <f t="shared" si="19"/>
        <v>0.6</v>
      </c>
      <c r="R77" s="177">
        <f t="shared" si="4"/>
        <v>0.50718574727702181</v>
      </c>
      <c r="S77" s="799">
        <f t="shared" si="20"/>
        <v>-2</v>
      </c>
      <c r="T77" s="176">
        <f t="shared" si="21"/>
        <v>4</v>
      </c>
      <c r="U77" s="250">
        <f t="shared" si="22"/>
        <v>-1.4928142527229782</v>
      </c>
      <c r="V77" s="382">
        <f t="shared" si="5"/>
        <v>48.600902301221367</v>
      </c>
      <c r="W77" s="58"/>
      <c r="X77" s="157">
        <f t="shared" si="6"/>
        <v>43528</v>
      </c>
      <c r="Y77" s="383">
        <f t="shared" si="7"/>
        <v>0</v>
      </c>
      <c r="Z77" s="383">
        <f t="shared" si="8"/>
        <v>0</v>
      </c>
      <c r="AA77" s="384">
        <f t="shared" si="9"/>
        <v>0</v>
      </c>
      <c r="AB77" s="197">
        <f t="shared" si="10"/>
        <v>43528</v>
      </c>
      <c r="AC77" s="424">
        <f t="shared" si="11"/>
        <v>3.4575079611965636E-3</v>
      </c>
      <c r="AD77" s="169">
        <f>(INDEX(Models!$BJ77:$BT77,,AH77)*(1-AF77)+INDEX(Models!$BJ77:$BT77,,AH77+1)*AF77-ERP_i)*AE77*Ramure*Pc/MaxiM</f>
        <v>6.697569458518267E-8</v>
      </c>
      <c r="AE77" s="304">
        <f t="shared" si="12"/>
        <v>0.6</v>
      </c>
      <c r="AF77" s="177">
        <f t="shared" si="13"/>
        <v>0.50718574727702181</v>
      </c>
      <c r="AG77" s="799">
        <f t="shared" si="23"/>
        <v>-2</v>
      </c>
      <c r="AH77" s="176">
        <f t="shared" si="14"/>
        <v>4</v>
      </c>
      <c r="AI77" s="224">
        <f t="shared" si="15"/>
        <v>-1.4928142527229782</v>
      </c>
      <c r="AJ77" s="264" t="b">
        <f t="shared" si="16"/>
        <v>0</v>
      </c>
      <c r="AK77" s="264" t="b">
        <f t="shared" si="17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8"/>
        <v>43529</v>
      </c>
      <c r="B78" s="607"/>
      <c r="C78" s="388"/>
      <c r="D78" s="391"/>
      <c r="E78" s="383"/>
      <c r="F78" s="383"/>
      <c r="G78" s="110"/>
      <c r="I78" s="379">
        <f t="shared" si="0"/>
        <v>0</v>
      </c>
      <c r="J78" s="85">
        <v>2018</v>
      </c>
      <c r="K78" s="197">
        <f t="shared" si="1"/>
        <v>43529</v>
      </c>
      <c r="L78" s="435">
        <f t="shared" si="2"/>
        <v>6.322435815716565E-4</v>
      </c>
      <c r="M78" s="842"/>
      <c r="N78" s="842"/>
      <c r="O78" s="323">
        <f t="shared" si="3"/>
        <v>3.5639830164498464E-3</v>
      </c>
      <c r="P78" s="169">
        <f>(INDEX(Models!$BJ78:$BT78,,T78)*(1-R78)+INDEX(Models!$BJ78:$BT78,,T78+1)*R78-ERP_i)*Q78*Ramure*Pc/MaxiM</f>
        <v>6.8956492737740548E-8</v>
      </c>
      <c r="Q78" s="304">
        <f t="shared" si="19"/>
        <v>0.6</v>
      </c>
      <c r="R78" s="177">
        <f t="shared" si="4"/>
        <v>0.50754693494891745</v>
      </c>
      <c r="S78" s="799">
        <f t="shared" si="20"/>
        <v>-2</v>
      </c>
      <c r="T78" s="176">
        <f t="shared" si="21"/>
        <v>4</v>
      </c>
      <c r="U78" s="250">
        <f t="shared" si="22"/>
        <v>-1.4924530650510826</v>
      </c>
      <c r="V78" s="382">
        <f t="shared" si="5"/>
        <v>48.945356546480582</v>
      </c>
      <c r="W78" s="58"/>
      <c r="X78" s="157">
        <f t="shared" si="6"/>
        <v>43529</v>
      </c>
      <c r="Y78" s="383">
        <f t="shared" si="7"/>
        <v>0</v>
      </c>
      <c r="Z78" s="383">
        <f t="shared" si="8"/>
        <v>0</v>
      </c>
      <c r="AA78" s="384">
        <f t="shared" si="9"/>
        <v>0</v>
      </c>
      <c r="AB78" s="197">
        <f t="shared" si="10"/>
        <v>43529</v>
      </c>
      <c r="AC78" s="424">
        <f t="shared" si="11"/>
        <v>3.5639830164498464E-3</v>
      </c>
      <c r="AD78" s="169">
        <f>(INDEX(Models!$BJ78:$BT78,,AH78)*(1-AF78)+INDEX(Models!$BJ78:$BT78,,AH78+1)*AF78-ERP_i)*AE78*Ramure*Pc/MaxiM</f>
        <v>6.8956492737740548E-8</v>
      </c>
      <c r="AE78" s="304">
        <f t="shared" si="12"/>
        <v>0.6</v>
      </c>
      <c r="AF78" s="177">
        <f t="shared" si="13"/>
        <v>0.50754693494891745</v>
      </c>
      <c r="AG78" s="799">
        <f t="shared" si="23"/>
        <v>-2</v>
      </c>
      <c r="AH78" s="176">
        <f t="shared" si="14"/>
        <v>4</v>
      </c>
      <c r="AI78" s="224">
        <f t="shared" si="15"/>
        <v>-1.4924530650510826</v>
      </c>
      <c r="AJ78" s="264" t="b">
        <f t="shared" si="16"/>
        <v>0</v>
      </c>
      <c r="AK78" s="264" t="b">
        <f t="shared" si="17"/>
        <v>0</v>
      </c>
      <c r="AL78" s="264"/>
      <c r="AM78" s="264"/>
      <c r="AN78" s="75"/>
    </row>
    <row r="79" spans="1:40" s="6" customFormat="1" ht="11.25" x14ac:dyDescent="0.2">
      <c r="A79" s="56">
        <f t="shared" si="18"/>
        <v>43530</v>
      </c>
      <c r="B79" s="607"/>
      <c r="C79" s="388"/>
      <c r="D79" s="391"/>
      <c r="E79" s="383"/>
      <c r="F79" s="383"/>
      <c r="G79" s="110"/>
      <c r="I79" s="379">
        <f t="shared" ref="I79:I142" si="24">Wh_hp</f>
        <v>0</v>
      </c>
      <c r="J79" s="85">
        <v>2018</v>
      </c>
      <c r="K79" s="197">
        <f t="shared" ref="K79:K142" si="25">t</f>
        <v>43530</v>
      </c>
      <c r="L79" s="435">
        <f t="shared" ref="L79:L142" si="26">IF(t&lt;T0,0,IF(t&lt;Tvie,1-EXP((T0-t)*PertePVj),1-EXP((T0-t)*PertePVj)+Pspv))</f>
        <v>6.5139623663101887E-4</v>
      </c>
      <c r="M79" s="842"/>
      <c r="N79" s="842"/>
      <c r="O79" s="323">
        <f t="shared" ref="O79:O142" si="27">IF(t&lt;T0,0,IF(t&lt;Tnet,Salim_i*(1-EXP((T0-t)/Tau_ij)),Resal+(Salim-Resal)*(1-EXP((Tnet-t)/(Tau_j)))))*Salcycl</f>
        <v>3.6703657102893157E-3</v>
      </c>
      <c r="P79" s="169">
        <f>(INDEX(Models!$BJ79:$BT79,,T79)*(1-R79)+INDEX(Models!$BJ79:$BT79,,T79+1)*R79-ERP_i)*Q79*Ramure*Pc/MaxiM</f>
        <v>7.1012025551924034E-8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0.50792271155881563</v>
      </c>
      <c r="S79" s="799">
        <f t="shared" si="20"/>
        <v>-2</v>
      </c>
      <c r="T79" s="176">
        <f t="shared" ref="T79:T142" si="30">MIN(MATCH(Hp_vg,Echel_vg),10)</f>
        <v>4</v>
      </c>
      <c r="U79" s="250">
        <f t="shared" ref="U79:U142" si="31">IF(OR(t&lt;Ttai,Notai),Hdd+PousH*Croivg,Hdtf+PousH*(Croivg-Croi_tai))</f>
        <v>-1.4920772884411844</v>
      </c>
      <c r="V79" s="382">
        <f t="shared" ref="V79:V142" si="32">MaxiM*(1-Ppv)*(1-Pvg)*(1-Psa)</f>
        <v>49.290120369652655</v>
      </c>
      <c r="W79" s="58"/>
      <c r="X79" s="157">
        <f t="shared" ref="X79:X142" si="33">t</f>
        <v>43530</v>
      </c>
      <c r="Y79" s="383">
        <f t="shared" ref="Y79:Y142" si="34">Wh_pvt_s*(1-Ppv)</f>
        <v>0</v>
      </c>
      <c r="Z79" s="383">
        <f t="shared" ref="Z79:Z142" si="35">Wh_sa_s*(1-Psa_s)</f>
        <v>0</v>
      </c>
      <c r="AA79" s="384">
        <f t="shared" ref="AA79:AA142" si="36">Wh_hp*(1-Pvg_s*MEDIAN((-Sdif+Wh/Env_an)/Csdif,0,1))</f>
        <v>0</v>
      </c>
      <c r="AB79" s="197">
        <f t="shared" ref="AB79:AB142" si="37">t</f>
        <v>43530</v>
      </c>
      <c r="AC79" s="424">
        <f t="shared" ref="AC79:AC142" si="38">IF(t&lt;T0,0,IF(OR(t&lt;Tnet,NoTnet),Salim_i*(1-EXP((T0-t)/Tau_ij)),Resal_s+(Salim-Resal_s)*(1-EXP((Tnet_s-t)/Tau_j))))*Salcycl</f>
        <v>3.6703657102893157E-3</v>
      </c>
      <c r="AD79" s="169">
        <f>(INDEX(Models!$BJ79:$BT79,,AH79)*(1-AF79)+INDEX(Models!$BJ79:$BT79,,AH79+1)*AF79-ERP_i)*AE79*Ramure*Pc/MaxiM</f>
        <v>7.1012025551924034E-8</v>
      </c>
      <c r="AE79" s="304">
        <f t="shared" ref="AE79:AE142" si="39">Dd+PousD*Croivg</f>
        <v>0.6</v>
      </c>
      <c r="AF79" s="177">
        <f t="shared" ref="AF79:AF142" si="40">(Hp_vg_s-AG79)/(INDEX(Echel_vg,AH79+1)-AG79)</f>
        <v>0.50792271155881563</v>
      </c>
      <c r="AG79" s="799">
        <f t="shared" ref="AG79:AG142" si="41">INDEX(Echel_vg,AH79)</f>
        <v>-2</v>
      </c>
      <c r="AH79" s="176">
        <f t="shared" ref="AH79:AH142" si="42">MIN(MATCH(Hp_vg_s,Echel_vg),10)</f>
        <v>4</v>
      </c>
      <c r="AI79" s="224">
        <f t="shared" ref="AI79:AI142" si="43">Hdd+PousH*Croivg</f>
        <v>-1.4920772884411844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43531</v>
      </c>
      <c r="B80" s="607"/>
      <c r="C80" s="388"/>
      <c r="D80" s="391"/>
      <c r="E80" s="383"/>
      <c r="F80" s="383"/>
      <c r="G80" s="110"/>
      <c r="I80" s="379">
        <f t="shared" si="24"/>
        <v>0</v>
      </c>
      <c r="J80" s="85">
        <v>2018</v>
      </c>
      <c r="K80" s="197">
        <f t="shared" si="25"/>
        <v>43531</v>
      </c>
      <c r="L80" s="435">
        <f t="shared" si="26"/>
        <v>6.7054852463410697E-4</v>
      </c>
      <c r="M80" s="842"/>
      <c r="N80" s="842"/>
      <c r="O80" s="323">
        <f t="shared" si="27"/>
        <v>3.7766570328584786E-3</v>
      </c>
      <c r="P80" s="169">
        <f>(INDEX(Models!$BJ80:$BT80,,T80)*(1-R80)+INDEX(Models!$BJ80:$BT80,,T80+1)*R80-ERP_i)*Q80*Ramure*Pc/MaxiM</f>
        <v>7.3000705323473195E-8</v>
      </c>
      <c r="Q80" s="304">
        <f t="shared" si="28"/>
        <v>0.6</v>
      </c>
      <c r="R80" s="177">
        <f t="shared" si="29"/>
        <v>0.50831364226325126</v>
      </c>
      <c r="S80" s="799">
        <f t="shared" ref="S80:S143" si="47">INDEX(Echel_vg,T80)</f>
        <v>-2</v>
      </c>
      <c r="T80" s="176">
        <f t="shared" si="30"/>
        <v>4</v>
      </c>
      <c r="U80" s="250">
        <f t="shared" si="31"/>
        <v>-1.4916863577367487</v>
      </c>
      <c r="V80" s="382">
        <f t="shared" si="32"/>
        <v>49.63576547393113</v>
      </c>
      <c r="W80" s="58"/>
      <c r="X80" s="157">
        <f t="shared" si="33"/>
        <v>43531</v>
      </c>
      <c r="Y80" s="383">
        <f t="shared" si="34"/>
        <v>0</v>
      </c>
      <c r="Z80" s="383">
        <f t="shared" si="35"/>
        <v>0</v>
      </c>
      <c r="AA80" s="384">
        <f t="shared" si="36"/>
        <v>0</v>
      </c>
      <c r="AB80" s="197">
        <f t="shared" si="37"/>
        <v>43531</v>
      </c>
      <c r="AC80" s="424">
        <f t="shared" si="38"/>
        <v>3.7766570328584786E-3</v>
      </c>
      <c r="AD80" s="169">
        <f>(INDEX(Models!$BJ80:$BT80,,AH80)*(1-AF80)+INDEX(Models!$BJ80:$BT80,,AH80+1)*AF80-ERP_i)*AE80*Ramure*Pc/MaxiM</f>
        <v>7.3000705323473195E-8</v>
      </c>
      <c r="AE80" s="304">
        <f t="shared" si="39"/>
        <v>0.6</v>
      </c>
      <c r="AF80" s="177">
        <f t="shared" si="40"/>
        <v>0.50831364226325126</v>
      </c>
      <c r="AG80" s="799">
        <f t="shared" si="41"/>
        <v>-2</v>
      </c>
      <c r="AH80" s="176">
        <f t="shared" si="42"/>
        <v>4</v>
      </c>
      <c r="AI80" s="224">
        <f t="shared" si="43"/>
        <v>-1.4916863577367487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43532</v>
      </c>
      <c r="B81" s="607"/>
      <c r="C81" s="388"/>
      <c r="D81" s="391"/>
      <c r="E81" s="383"/>
      <c r="F81" s="383"/>
      <c r="G81" s="110"/>
      <c r="I81" s="379">
        <f t="shared" si="24"/>
        <v>0</v>
      </c>
      <c r="J81" s="85">
        <v>2018</v>
      </c>
      <c r="K81" s="197">
        <f t="shared" si="25"/>
        <v>43532</v>
      </c>
      <c r="L81" s="435">
        <f t="shared" si="26"/>
        <v>6.8970044558791521E-4</v>
      </c>
      <c r="M81" s="842"/>
      <c r="N81" s="842"/>
      <c r="O81" s="323">
        <f t="shared" si="27"/>
        <v>3.8828581293227481E-3</v>
      </c>
      <c r="P81" s="169">
        <f>(INDEX(Models!$BJ81:$BT81,,T81)*(1-R81)+INDEX(Models!$BJ81:$BT81,,T81+1)*R81-ERP_i)*Q81*Ramure*Pc/MaxiM</f>
        <v>7.4738072693203559E-8</v>
      </c>
      <c r="Q81" s="304">
        <f t="shared" si="28"/>
        <v>0.6</v>
      </c>
      <c r="R81" s="177">
        <f t="shared" si="29"/>
        <v>0.5087203120914614</v>
      </c>
      <c r="S81" s="799">
        <f t="shared" si="47"/>
        <v>-2</v>
      </c>
      <c r="T81" s="176">
        <f t="shared" si="30"/>
        <v>4</v>
      </c>
      <c r="U81" s="250">
        <f t="shared" si="31"/>
        <v>-1.4912796879085386</v>
      </c>
      <c r="V81" s="382">
        <f t="shared" si="32"/>
        <v>49.981755560048235</v>
      </c>
      <c r="W81" s="58"/>
      <c r="X81" s="157">
        <f t="shared" si="33"/>
        <v>43532</v>
      </c>
      <c r="Y81" s="383">
        <f t="shared" si="34"/>
        <v>0</v>
      </c>
      <c r="Z81" s="383">
        <f t="shared" si="35"/>
        <v>0</v>
      </c>
      <c r="AA81" s="384">
        <f t="shared" si="36"/>
        <v>0</v>
      </c>
      <c r="AB81" s="197">
        <f t="shared" si="37"/>
        <v>43532</v>
      </c>
      <c r="AC81" s="424">
        <f t="shared" si="38"/>
        <v>3.8828581293227481E-3</v>
      </c>
      <c r="AD81" s="169">
        <f>(INDEX(Models!$BJ81:$BT81,,AH81)*(1-AF81)+INDEX(Models!$BJ81:$BT81,,AH81+1)*AF81-ERP_i)*AE81*Ramure*Pc/MaxiM</f>
        <v>7.4738072693203559E-8</v>
      </c>
      <c r="AE81" s="304">
        <f t="shared" si="39"/>
        <v>0.6</v>
      </c>
      <c r="AF81" s="177">
        <f t="shared" si="40"/>
        <v>0.5087203120914614</v>
      </c>
      <c r="AG81" s="799">
        <f t="shared" si="41"/>
        <v>-2</v>
      </c>
      <c r="AH81" s="176">
        <f t="shared" si="42"/>
        <v>4</v>
      </c>
      <c r="AI81" s="224">
        <f t="shared" si="43"/>
        <v>-1.4912796879085386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43533</v>
      </c>
      <c r="B82" s="607"/>
      <c r="C82" s="388"/>
      <c r="D82" s="391"/>
      <c r="E82" s="383"/>
      <c r="F82" s="383"/>
      <c r="G82" s="110"/>
      <c r="I82" s="379">
        <f t="shared" si="24"/>
        <v>0</v>
      </c>
      <c r="J82" s="85">
        <v>2018</v>
      </c>
      <c r="K82" s="197">
        <f t="shared" si="25"/>
        <v>43533</v>
      </c>
      <c r="L82" s="435">
        <f t="shared" si="26"/>
        <v>7.0885199949954902E-4</v>
      </c>
      <c r="M82" s="842"/>
      <c r="N82" s="842"/>
      <c r="O82" s="323">
        <f t="shared" si="27"/>
        <v>3.9889703072850972E-3</v>
      </c>
      <c r="P82" s="169">
        <f>(INDEX(Models!$BJ82:$BT82,,T82)*(1-R82)+INDEX(Models!$BJ82:$BT82,,T82+1)*R82-ERP_i)*Q82*Ramure*Pc/MaxiM</f>
        <v>7.6193307604734409E-8</v>
      </c>
      <c r="Q82" s="304">
        <f t="shared" si="28"/>
        <v>0.6</v>
      </c>
      <c r="R82" s="177">
        <f t="shared" si="29"/>
        <v>0.50914332647304827</v>
      </c>
      <c r="S82" s="799">
        <f t="shared" si="47"/>
        <v>-2</v>
      </c>
      <c r="T82" s="176">
        <f t="shared" si="30"/>
        <v>4</v>
      </c>
      <c r="U82" s="250">
        <f t="shared" si="31"/>
        <v>-1.4908566735269517</v>
      </c>
      <c r="V82" s="382">
        <f t="shared" si="32"/>
        <v>50.327554583544703</v>
      </c>
      <c r="W82" s="58"/>
      <c r="X82" s="157">
        <f t="shared" si="33"/>
        <v>43533</v>
      </c>
      <c r="Y82" s="383">
        <f t="shared" si="34"/>
        <v>0</v>
      </c>
      <c r="Z82" s="383">
        <f t="shared" si="35"/>
        <v>0</v>
      </c>
      <c r="AA82" s="384">
        <f t="shared" si="36"/>
        <v>0</v>
      </c>
      <c r="AB82" s="197">
        <f t="shared" si="37"/>
        <v>43533</v>
      </c>
      <c r="AC82" s="424">
        <f t="shared" si="38"/>
        <v>3.9889703072850972E-3</v>
      </c>
      <c r="AD82" s="169">
        <f>(INDEX(Models!$BJ82:$BT82,,AH82)*(1-AF82)+INDEX(Models!$BJ82:$BT82,,AH82+1)*AF82-ERP_i)*AE82*Ramure*Pc/MaxiM</f>
        <v>7.6193307604734409E-8</v>
      </c>
      <c r="AE82" s="304">
        <f t="shared" si="39"/>
        <v>0.6</v>
      </c>
      <c r="AF82" s="177">
        <f t="shared" si="40"/>
        <v>0.50914332647304827</v>
      </c>
      <c r="AG82" s="799">
        <f t="shared" si="41"/>
        <v>-2</v>
      </c>
      <c r="AH82" s="176">
        <f t="shared" si="42"/>
        <v>4</v>
      </c>
      <c r="AI82" s="224">
        <f t="shared" si="43"/>
        <v>-1.4908566735269517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6"/>
        <v>43534</v>
      </c>
      <c r="B83" s="607"/>
      <c r="C83" s="388"/>
      <c r="D83" s="391"/>
      <c r="E83" s="383"/>
      <c r="F83" s="383"/>
      <c r="G83" s="110"/>
      <c r="I83" s="379">
        <f t="shared" si="24"/>
        <v>0</v>
      </c>
      <c r="J83" s="85">
        <v>2018</v>
      </c>
      <c r="K83" s="197">
        <f t="shared" si="25"/>
        <v>43534</v>
      </c>
      <c r="L83" s="435">
        <f t="shared" si="26"/>
        <v>7.2800318637600281E-4</v>
      </c>
      <c r="M83" s="842"/>
      <c r="N83" s="842"/>
      <c r="O83" s="323">
        <f t="shared" si="27"/>
        <v>4.0949950433705907E-3</v>
      </c>
      <c r="P83" s="169">
        <f>(INDEX(Models!$BJ83:$BT83,,T83)*(1-R83)+INDEX(Models!$BJ83:$BT83,,T83+1)*R83-ERP_i)*Q83*Ramure*Pc/MaxiM</f>
        <v>7.7333417515524407E-8</v>
      </c>
      <c r="Q83" s="304">
        <f t="shared" si="28"/>
        <v>0.6</v>
      </c>
      <c r="R83" s="177">
        <f t="shared" si="29"/>
        <v>0.50958331176438509</v>
      </c>
      <c r="S83" s="799">
        <f t="shared" si="47"/>
        <v>-2</v>
      </c>
      <c r="T83" s="176">
        <f t="shared" si="30"/>
        <v>4</v>
      </c>
      <c r="U83" s="250">
        <f t="shared" si="31"/>
        <v>-1.4904166882356149</v>
      </c>
      <c r="V83" s="382">
        <f t="shared" si="32"/>
        <v>50.672626757679943</v>
      </c>
      <c r="W83" s="58"/>
      <c r="X83" s="157">
        <f t="shared" si="33"/>
        <v>43534</v>
      </c>
      <c r="Y83" s="383">
        <f t="shared" si="34"/>
        <v>0</v>
      </c>
      <c r="Z83" s="383">
        <f t="shared" si="35"/>
        <v>0</v>
      </c>
      <c r="AA83" s="384">
        <f t="shared" si="36"/>
        <v>0</v>
      </c>
      <c r="AB83" s="197">
        <f t="shared" si="37"/>
        <v>43534</v>
      </c>
      <c r="AC83" s="424">
        <f t="shared" si="38"/>
        <v>4.0949950433705907E-3</v>
      </c>
      <c r="AD83" s="169">
        <f>(INDEX(Models!$BJ83:$BT83,,AH83)*(1-AF83)+INDEX(Models!$BJ83:$BT83,,AH83+1)*AF83-ERP_i)*AE83*Ramure*Pc/MaxiM</f>
        <v>7.7333417515524407E-8</v>
      </c>
      <c r="AE83" s="304">
        <f t="shared" si="39"/>
        <v>0.6</v>
      </c>
      <c r="AF83" s="177">
        <f t="shared" si="40"/>
        <v>0.50958331176438509</v>
      </c>
      <c r="AG83" s="799">
        <f t="shared" si="41"/>
        <v>-2</v>
      </c>
      <c r="AH83" s="176">
        <f t="shared" si="42"/>
        <v>4</v>
      </c>
      <c r="AI83" s="224">
        <f t="shared" si="43"/>
        <v>-1.4904166882356149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6"/>
        <v>43535</v>
      </c>
      <c r="B84" s="607">
        <v>8.4489999999999998</v>
      </c>
      <c r="C84" s="388"/>
      <c r="D84" s="391">
        <f t="shared" ref="D84:D143" si="48">Wh/(1-Ppv)</f>
        <v>8.4553174242874558</v>
      </c>
      <c r="E84" s="383">
        <f t="shared" ref="E84:E143" si="49">Wh_pvt/(1-Psa)</f>
        <v>8.4909875022854528</v>
      </c>
      <c r="F84" s="383">
        <f t="shared" ref="F84:F143" si="50">Wh_sa/(1-Pvg*MEDIAN((-Sdif+Wh/Env_an)/Csdif,0,1))</f>
        <v>8.4909875022854528</v>
      </c>
      <c r="G84" s="110">
        <f t="shared" ref="G84:G143" si="51">+Wh_hp/MaxiM</f>
        <v>0.16561327898467423</v>
      </c>
      <c r="I84" s="379">
        <f t="shared" si="24"/>
        <v>8.4909875022854528</v>
      </c>
      <c r="J84" s="85">
        <v>2018</v>
      </c>
      <c r="K84" s="197">
        <f t="shared" si="25"/>
        <v>43535</v>
      </c>
      <c r="L84" s="435">
        <f t="shared" si="26"/>
        <v>7.4715400622438199E-4</v>
      </c>
      <c r="M84" s="842"/>
      <c r="N84" s="842"/>
      <c r="O84" s="323">
        <f t="shared" si="27"/>
        <v>4.2009339889376779E-3</v>
      </c>
      <c r="P84" s="169">
        <f>(INDEX(Models!$BJ84:$BT84,,T84)*(1-R84)+INDEX(Models!$BJ84:$BT84,,T84+1)*R84-ERP_i)*Q84*Ramure*Pc/MaxiM</f>
        <v>7.8123056410748334E-8</v>
      </c>
      <c r="Q84" s="304">
        <f t="shared" si="28"/>
        <v>0.6</v>
      </c>
      <c r="R84" s="177">
        <f t="shared" si="29"/>
        <v>0.5100409157720498</v>
      </c>
      <c r="S84" s="799">
        <f t="shared" si="47"/>
        <v>-2</v>
      </c>
      <c r="T84" s="176">
        <f t="shared" si="30"/>
        <v>4</v>
      </c>
      <c r="U84" s="250">
        <f t="shared" si="31"/>
        <v>-1.4899590842279502</v>
      </c>
      <c r="V84" s="382">
        <f t="shared" si="32"/>
        <v>51.016436554705038</v>
      </c>
      <c r="W84" s="58"/>
      <c r="X84" s="157">
        <f t="shared" si="33"/>
        <v>43535</v>
      </c>
      <c r="Y84" s="383">
        <f t="shared" si="34"/>
        <v>8.4489999999999998</v>
      </c>
      <c r="Z84" s="383">
        <f t="shared" si="35"/>
        <v>8.4553174242874558</v>
      </c>
      <c r="AA84" s="384">
        <f t="shared" si="36"/>
        <v>8.4909875022854528</v>
      </c>
      <c r="AB84" s="197">
        <f t="shared" si="37"/>
        <v>43535</v>
      </c>
      <c r="AC84" s="424">
        <f t="shared" si="38"/>
        <v>4.2009339889376779E-3</v>
      </c>
      <c r="AD84" s="169">
        <f>(INDEX(Models!$BJ84:$BT84,,AH84)*(1-AF84)+INDEX(Models!$BJ84:$BT84,,AH84+1)*AF84-ERP_i)*AE84*Ramure*Pc/MaxiM</f>
        <v>7.8123056410748334E-8</v>
      </c>
      <c r="AE84" s="304">
        <f t="shared" si="39"/>
        <v>0.6</v>
      </c>
      <c r="AF84" s="177">
        <f t="shared" si="40"/>
        <v>0.5100409157720498</v>
      </c>
      <c r="AG84" s="799">
        <f t="shared" si="41"/>
        <v>-2</v>
      </c>
      <c r="AH84" s="176">
        <f t="shared" si="42"/>
        <v>4</v>
      </c>
      <c r="AI84" s="224">
        <f t="shared" si="43"/>
        <v>-1.4899590842279502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6"/>
        <v>43536</v>
      </c>
      <c r="B85" s="607">
        <v>45.325000000000003</v>
      </c>
      <c r="C85" s="388"/>
      <c r="D85" s="391">
        <f t="shared" si="48"/>
        <v>45.35975938587891</v>
      </c>
      <c r="E85" s="383">
        <f t="shared" si="49"/>
        <v>45.555959289085408</v>
      </c>
      <c r="F85" s="383">
        <f t="shared" si="50"/>
        <v>45.555962265985798</v>
      </c>
      <c r="G85" s="110">
        <f t="shared" si="51"/>
        <v>0.88252275032939398</v>
      </c>
      <c r="I85" s="379">
        <f t="shared" si="24"/>
        <v>45.555962265985798</v>
      </c>
      <c r="J85" s="85">
        <v>2018</v>
      </c>
      <c r="K85" s="197">
        <f t="shared" si="25"/>
        <v>43536</v>
      </c>
      <c r="L85" s="435">
        <f t="shared" si="26"/>
        <v>7.6630445905168099E-4</v>
      </c>
      <c r="M85" s="842"/>
      <c r="N85" s="842"/>
      <c r="O85" s="323">
        <f t="shared" si="27"/>
        <v>4.3067889748839789E-3</v>
      </c>
      <c r="P85" s="169">
        <f>(INDEX(Models!$BJ85:$BT85,,T85)*(1-R85)+INDEX(Models!$BJ85:$BT85,,T85+1)*R85-ERP_i)*Q85*Ramure*Pc/MaxiM</f>
        <v>7.8524326320507421E-8</v>
      </c>
      <c r="Q85" s="304">
        <f t="shared" si="28"/>
        <v>0.6</v>
      </c>
      <c r="R85" s="177">
        <f t="shared" si="29"/>
        <v>0.51051680827140511</v>
      </c>
      <c r="S85" s="799">
        <f t="shared" si="47"/>
        <v>-2</v>
      </c>
      <c r="T85" s="176">
        <f t="shared" si="30"/>
        <v>4</v>
      </c>
      <c r="U85" s="250">
        <f t="shared" si="31"/>
        <v>-1.4894831917285949</v>
      </c>
      <c r="V85" s="382">
        <f t="shared" si="32"/>
        <v>51.358448703759343</v>
      </c>
      <c r="W85" s="58"/>
      <c r="X85" s="157">
        <f t="shared" si="33"/>
        <v>43536</v>
      </c>
      <c r="Y85" s="383">
        <f t="shared" si="34"/>
        <v>45.325000000000003</v>
      </c>
      <c r="Z85" s="383">
        <f t="shared" si="35"/>
        <v>45.35975938587891</v>
      </c>
      <c r="AA85" s="384">
        <f t="shared" si="36"/>
        <v>45.555959289085408</v>
      </c>
      <c r="AB85" s="197">
        <f t="shared" si="37"/>
        <v>43536</v>
      </c>
      <c r="AC85" s="424">
        <f t="shared" si="38"/>
        <v>4.3067889748839789E-3</v>
      </c>
      <c r="AD85" s="169">
        <f>(INDEX(Models!$BJ85:$BT85,,AH85)*(1-AF85)+INDEX(Models!$BJ85:$BT85,,AH85+1)*AF85-ERP_i)*AE85*Ramure*Pc/MaxiM</f>
        <v>7.8524326320507421E-8</v>
      </c>
      <c r="AE85" s="304">
        <f t="shared" si="39"/>
        <v>0.6</v>
      </c>
      <c r="AF85" s="177">
        <f t="shared" si="40"/>
        <v>0.51051680827140511</v>
      </c>
      <c r="AG85" s="799">
        <f t="shared" si="41"/>
        <v>-2</v>
      </c>
      <c r="AH85" s="176">
        <f t="shared" si="42"/>
        <v>4</v>
      </c>
      <c r="AI85" s="224">
        <f t="shared" si="43"/>
        <v>-1.4894831917285949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6"/>
        <v>43537</v>
      </c>
      <c r="B86" s="607">
        <v>27.33</v>
      </c>
      <c r="C86" s="388"/>
      <c r="D86" s="391">
        <f t="shared" si="48"/>
        <v>27.35148334690362</v>
      </c>
      <c r="E86" s="383">
        <f t="shared" si="49"/>
        <v>27.472708376348685</v>
      </c>
      <c r="F86" s="383">
        <f t="shared" si="50"/>
        <v>27.472709081935182</v>
      </c>
      <c r="G86" s="110">
        <f t="shared" si="51"/>
        <v>0.52864580427528751</v>
      </c>
      <c r="I86" s="379">
        <f t="shared" si="24"/>
        <v>27.472709081935182</v>
      </c>
      <c r="J86" s="85">
        <v>2018</v>
      </c>
      <c r="K86" s="197">
        <f t="shared" si="25"/>
        <v>43537</v>
      </c>
      <c r="L86" s="435">
        <f t="shared" si="26"/>
        <v>7.8545454486489419E-4</v>
      </c>
      <c r="M86" s="842"/>
      <c r="N86" s="842"/>
      <c r="O86" s="323">
        <f t="shared" si="27"/>
        <v>4.41256201552473E-3</v>
      </c>
      <c r="P86" s="169">
        <f>(INDEX(Models!$BJ86:$BT86,,T86)*(1-R86)+INDEX(Models!$BJ86:$BT86,,T86+1)*R86-ERP_i)*Q86*Ramure*Pc/MaxiM</f>
        <v>7.8629139553171446E-8</v>
      </c>
      <c r="Q86" s="304">
        <f t="shared" si="28"/>
        <v>0.6</v>
      </c>
      <c r="R86" s="177">
        <f t="shared" si="29"/>
        <v>0.51101168151825083</v>
      </c>
      <c r="S86" s="799">
        <f t="shared" si="47"/>
        <v>-2</v>
      </c>
      <c r="T86" s="176">
        <f t="shared" si="30"/>
        <v>4</v>
      </c>
      <c r="U86" s="250">
        <f t="shared" si="31"/>
        <v>-1.4889883184817492</v>
      </c>
      <c r="V86" s="382">
        <f t="shared" si="32"/>
        <v>51.698128183298707</v>
      </c>
      <c r="W86" s="58"/>
      <c r="X86" s="157">
        <f t="shared" si="33"/>
        <v>43537</v>
      </c>
      <c r="Y86" s="383">
        <f t="shared" si="34"/>
        <v>27.33</v>
      </c>
      <c r="Z86" s="383">
        <f t="shared" si="35"/>
        <v>27.35148334690362</v>
      </c>
      <c r="AA86" s="384">
        <f t="shared" si="36"/>
        <v>27.472708376348685</v>
      </c>
      <c r="AB86" s="197">
        <f t="shared" si="37"/>
        <v>43537</v>
      </c>
      <c r="AC86" s="424">
        <f t="shared" si="38"/>
        <v>4.41256201552473E-3</v>
      </c>
      <c r="AD86" s="169">
        <f>(INDEX(Models!$BJ86:$BT86,,AH86)*(1-AF86)+INDEX(Models!$BJ86:$BT86,,AH86+1)*AF86-ERP_i)*AE86*Ramure*Pc/MaxiM</f>
        <v>7.8629139553171446E-8</v>
      </c>
      <c r="AE86" s="304">
        <f t="shared" si="39"/>
        <v>0.6</v>
      </c>
      <c r="AF86" s="177">
        <f t="shared" si="40"/>
        <v>0.51101168151825083</v>
      </c>
      <c r="AG86" s="799">
        <f t="shared" si="41"/>
        <v>-2</v>
      </c>
      <c r="AH86" s="176">
        <f t="shared" si="42"/>
        <v>4</v>
      </c>
      <c r="AI86" s="224">
        <f t="shared" si="43"/>
        <v>-1.4889883184817492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6"/>
        <v>43538</v>
      </c>
      <c r="B87" s="607">
        <v>25.468</v>
      </c>
      <c r="C87" s="388"/>
      <c r="D87" s="391">
        <f t="shared" si="48"/>
        <v>25.488508162342033</v>
      </c>
      <c r="E87" s="383">
        <f t="shared" si="49"/>
        <v>25.60419444991285</v>
      </c>
      <c r="F87" s="383">
        <f t="shared" si="50"/>
        <v>25.604194994449113</v>
      </c>
      <c r="G87" s="110">
        <f t="shared" si="51"/>
        <v>0.48944033433814688</v>
      </c>
      <c r="I87" s="379">
        <f t="shared" si="24"/>
        <v>25.604194994449113</v>
      </c>
      <c r="J87" s="85">
        <v>2018</v>
      </c>
      <c r="K87" s="197">
        <f t="shared" si="25"/>
        <v>43538</v>
      </c>
      <c r="L87" s="435">
        <f t="shared" si="26"/>
        <v>8.0460426367101601E-4</v>
      </c>
      <c r="M87" s="842"/>
      <c r="N87" s="842"/>
      <c r="O87" s="323">
        <f t="shared" si="27"/>
        <v>4.5182553115320438E-3</v>
      </c>
      <c r="P87" s="169">
        <f>(INDEX(Models!$BJ87:$BT87,,T87)*(1-R87)+INDEX(Models!$BJ87:$BT87,,T87+1)*R87-ERP_i)*Q87*Ramure*Pc/MaxiM</f>
        <v>7.8585279780627342E-8</v>
      </c>
      <c r="Q87" s="304">
        <f t="shared" si="28"/>
        <v>0.6</v>
      </c>
      <c r="R87" s="177">
        <f t="shared" si="29"/>
        <v>0.51152625075128855</v>
      </c>
      <c r="S87" s="799">
        <f t="shared" si="47"/>
        <v>-2</v>
      </c>
      <c r="T87" s="176">
        <f t="shared" si="30"/>
        <v>4</v>
      </c>
      <c r="U87" s="250">
        <f t="shared" si="31"/>
        <v>-1.4884737492487115</v>
      </c>
      <c r="V87" s="382">
        <f t="shared" si="32"/>
        <v>52.034940223447855</v>
      </c>
      <c r="W87" s="58"/>
      <c r="X87" s="157">
        <f t="shared" si="33"/>
        <v>43538</v>
      </c>
      <c r="Y87" s="383">
        <f t="shared" si="34"/>
        <v>25.468</v>
      </c>
      <c r="Z87" s="383">
        <f t="shared" si="35"/>
        <v>25.488508162342033</v>
      </c>
      <c r="AA87" s="384">
        <f t="shared" si="36"/>
        <v>25.60419444991285</v>
      </c>
      <c r="AB87" s="197">
        <f t="shared" si="37"/>
        <v>43538</v>
      </c>
      <c r="AC87" s="424">
        <f t="shared" si="38"/>
        <v>4.5182553115320438E-3</v>
      </c>
      <c r="AD87" s="169">
        <f>(INDEX(Models!$BJ87:$BT87,,AH87)*(1-AF87)+INDEX(Models!$BJ87:$BT87,,AH87+1)*AF87-ERP_i)*AE87*Ramure*Pc/MaxiM</f>
        <v>7.8585279780627342E-8</v>
      </c>
      <c r="AE87" s="304">
        <f t="shared" si="39"/>
        <v>0.6</v>
      </c>
      <c r="AF87" s="177">
        <f t="shared" si="40"/>
        <v>0.51152625075128855</v>
      </c>
      <c r="AG87" s="799">
        <f t="shared" si="41"/>
        <v>-2</v>
      </c>
      <c r="AH87" s="176">
        <f t="shared" si="42"/>
        <v>4</v>
      </c>
      <c r="AI87" s="224">
        <f t="shared" si="43"/>
        <v>-1.4884737492487115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43539</v>
      </c>
      <c r="B88" s="607">
        <v>12.98</v>
      </c>
      <c r="C88" s="388"/>
      <c r="D88" s="391">
        <f t="shared" si="48"/>
        <v>12.990701137029212</v>
      </c>
      <c r="E88" s="383">
        <f t="shared" si="49"/>
        <v>13.051047500373796</v>
      </c>
      <c r="F88" s="383">
        <f t="shared" si="50"/>
        <v>13.051047500373796</v>
      </c>
      <c r="G88" s="110">
        <f t="shared" si="51"/>
        <v>0.24785961184455391</v>
      </c>
      <c r="I88" s="379">
        <f t="shared" si="24"/>
        <v>13.051047500373796</v>
      </c>
      <c r="J88" s="85">
        <v>2018</v>
      </c>
      <c r="K88" s="197">
        <f t="shared" si="25"/>
        <v>43539</v>
      </c>
      <c r="L88" s="435">
        <f t="shared" si="26"/>
        <v>8.2375361547726289E-4</v>
      </c>
      <c r="M88" s="842"/>
      <c r="N88" s="842"/>
      <c r="O88" s="323">
        <f t="shared" si="27"/>
        <v>4.6238712519325476E-3</v>
      </c>
      <c r="P88" s="169">
        <f>(INDEX(Models!$BJ88:$BT88,,T88)*(1-R88)+INDEX(Models!$BJ88:$BT88,,T88+1)*R88-ERP_i)*Q88*Ramure*Pc/MaxiM</f>
        <v>7.838115383392926E-8</v>
      </c>
      <c r="Q88" s="304">
        <f t="shared" si="28"/>
        <v>0.6</v>
      </c>
      <c r="R88" s="177">
        <f t="shared" si="29"/>
        <v>0.51206125468292019</v>
      </c>
      <c r="S88" s="799">
        <f t="shared" si="47"/>
        <v>-2</v>
      </c>
      <c r="T88" s="176">
        <f t="shared" si="30"/>
        <v>4</v>
      </c>
      <c r="U88" s="250">
        <f t="shared" si="31"/>
        <v>-1.4879387453170798</v>
      </c>
      <c r="V88" s="382">
        <f t="shared" si="32"/>
        <v>52.368350317409032</v>
      </c>
      <c r="W88" s="58"/>
      <c r="X88" s="157">
        <f t="shared" si="33"/>
        <v>43539</v>
      </c>
      <c r="Y88" s="383">
        <f t="shared" si="34"/>
        <v>12.98</v>
      </c>
      <c r="Z88" s="383">
        <f t="shared" si="35"/>
        <v>12.990701137029212</v>
      </c>
      <c r="AA88" s="384">
        <f t="shared" si="36"/>
        <v>13.051047500373796</v>
      </c>
      <c r="AB88" s="197">
        <f t="shared" si="37"/>
        <v>43539</v>
      </c>
      <c r="AC88" s="424">
        <f t="shared" si="38"/>
        <v>4.6238712519325476E-3</v>
      </c>
      <c r="AD88" s="169">
        <f>(INDEX(Models!$BJ88:$BT88,,AH88)*(1-AF88)+INDEX(Models!$BJ88:$BT88,,AH88+1)*AF88-ERP_i)*AE88*Ramure*Pc/MaxiM</f>
        <v>7.838115383392926E-8</v>
      </c>
      <c r="AE88" s="304">
        <f t="shared" si="39"/>
        <v>0.6</v>
      </c>
      <c r="AF88" s="177">
        <f t="shared" si="40"/>
        <v>0.51206125468292019</v>
      </c>
      <c r="AG88" s="799">
        <f t="shared" si="41"/>
        <v>-2</v>
      </c>
      <c r="AH88" s="176">
        <f t="shared" si="42"/>
        <v>4</v>
      </c>
      <c r="AI88" s="224">
        <f t="shared" si="43"/>
        <v>-1.4879387453170798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6"/>
        <v>43540</v>
      </c>
      <c r="B89" s="607">
        <v>50.070999999999998</v>
      </c>
      <c r="C89" s="388"/>
      <c r="D89" s="391">
        <f t="shared" si="48"/>
        <v>50.113240580794532</v>
      </c>
      <c r="E89" s="383">
        <f t="shared" si="49"/>
        <v>50.351372989331146</v>
      </c>
      <c r="F89" s="383">
        <f t="shared" si="50"/>
        <v>50.351376637269212</v>
      </c>
      <c r="G89" s="110">
        <f t="shared" si="51"/>
        <v>0.95015307504171453</v>
      </c>
      <c r="I89" s="379">
        <f t="shared" si="24"/>
        <v>50.351376637269212</v>
      </c>
      <c r="J89" s="85">
        <v>2018</v>
      </c>
      <c r="K89" s="197">
        <f t="shared" si="25"/>
        <v>43540</v>
      </c>
      <c r="L89" s="435">
        <f t="shared" si="26"/>
        <v>8.429026002904072E-4</v>
      </c>
      <c r="M89" s="842"/>
      <c r="N89" s="842"/>
      <c r="O89" s="323">
        <f t="shared" si="27"/>
        <v>4.72941241517037E-3</v>
      </c>
      <c r="P89" s="169">
        <f>(INDEX(Models!$BJ89:$BT89,,T89)*(1-R89)+INDEX(Models!$BJ89:$BT89,,T89+1)*R89-ERP_i)*Q89*Ramure*Pc/MaxiM</f>
        <v>7.8004296229328853E-8</v>
      </c>
      <c r="Q89" s="304">
        <f t="shared" si="28"/>
        <v>0.6</v>
      </c>
      <c r="R89" s="177">
        <f t="shared" si="29"/>
        <v>0.51261745597569197</v>
      </c>
      <c r="S89" s="799">
        <f t="shared" si="47"/>
        <v>-2</v>
      </c>
      <c r="T89" s="176">
        <f t="shared" si="30"/>
        <v>4</v>
      </c>
      <c r="U89" s="250">
        <f t="shared" si="31"/>
        <v>-1.487382544024308</v>
      </c>
      <c r="V89" s="382">
        <f t="shared" si="32"/>
        <v>52.697824210770975</v>
      </c>
      <c r="W89" s="58"/>
      <c r="X89" s="157">
        <f t="shared" si="33"/>
        <v>43540</v>
      </c>
      <c r="Y89" s="383">
        <f t="shared" si="34"/>
        <v>50.070999999999998</v>
      </c>
      <c r="Z89" s="383">
        <f t="shared" si="35"/>
        <v>50.113240580794532</v>
      </c>
      <c r="AA89" s="384">
        <f t="shared" si="36"/>
        <v>50.351372989331146</v>
      </c>
      <c r="AB89" s="197">
        <f t="shared" si="37"/>
        <v>43540</v>
      </c>
      <c r="AC89" s="424">
        <f t="shared" si="38"/>
        <v>4.72941241517037E-3</v>
      </c>
      <c r="AD89" s="169">
        <f>(INDEX(Models!$BJ89:$BT89,,AH89)*(1-AF89)+INDEX(Models!$BJ89:$BT89,,AH89+1)*AF89-ERP_i)*AE89*Ramure*Pc/MaxiM</f>
        <v>7.8004296229328853E-8</v>
      </c>
      <c r="AE89" s="304">
        <f t="shared" si="39"/>
        <v>0.6</v>
      </c>
      <c r="AF89" s="177">
        <f t="shared" si="40"/>
        <v>0.51261745597569197</v>
      </c>
      <c r="AG89" s="799">
        <f t="shared" si="41"/>
        <v>-2</v>
      </c>
      <c r="AH89" s="176">
        <f t="shared" si="42"/>
        <v>4</v>
      </c>
      <c r="AI89" s="224">
        <f t="shared" si="43"/>
        <v>-1.487382544024308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6"/>
        <v>43541</v>
      </c>
      <c r="B90" s="607">
        <v>15.760999999999999</v>
      </c>
      <c r="C90" s="388"/>
      <c r="D90" s="391">
        <f t="shared" si="48"/>
        <v>15.77459851186247</v>
      </c>
      <c r="E90" s="383">
        <f t="shared" si="49"/>
        <v>15.851237367259257</v>
      </c>
      <c r="F90" s="383">
        <f t="shared" si="50"/>
        <v>15.851237367259257</v>
      </c>
      <c r="G90" s="110">
        <f t="shared" si="51"/>
        <v>0.29724930567481239</v>
      </c>
      <c r="I90" s="379">
        <f t="shared" si="24"/>
        <v>15.851237367259257</v>
      </c>
      <c r="J90" s="85">
        <v>2018</v>
      </c>
      <c r="K90" s="197">
        <f t="shared" si="25"/>
        <v>43541</v>
      </c>
      <c r="L90" s="435">
        <f t="shared" si="26"/>
        <v>8.6205121811777641E-4</v>
      </c>
      <c r="M90" s="842"/>
      <c r="N90" s="842"/>
      <c r="O90" s="323">
        <f t="shared" si="27"/>
        <v>4.8348815692511081E-3</v>
      </c>
      <c r="P90" s="169">
        <f>(INDEX(Models!$BJ90:$BT90,,T90)*(1-R90)+INDEX(Models!$BJ90:$BT90,,T90+1)*R90-ERP_i)*Q90*Ramure*Pc/MaxiM</f>
        <v>7.7441291188101899E-8</v>
      </c>
      <c r="Q90" s="304">
        <f t="shared" si="28"/>
        <v>0.6</v>
      </c>
      <c r="R90" s="177">
        <f t="shared" si="29"/>
        <v>0.51319564170145626</v>
      </c>
      <c r="S90" s="799">
        <f t="shared" si="47"/>
        <v>-2</v>
      </c>
      <c r="T90" s="176">
        <f t="shared" si="30"/>
        <v>4</v>
      </c>
      <c r="U90" s="250">
        <f t="shared" si="31"/>
        <v>-1.4868043582985437</v>
      </c>
      <c r="V90" s="382">
        <f t="shared" si="32"/>
        <v>53.022827904231256</v>
      </c>
      <c r="W90" s="58"/>
      <c r="X90" s="157">
        <f t="shared" si="33"/>
        <v>43541</v>
      </c>
      <c r="Y90" s="383">
        <f t="shared" si="34"/>
        <v>15.760999999999999</v>
      </c>
      <c r="Z90" s="383">
        <f t="shared" si="35"/>
        <v>15.77459851186247</v>
      </c>
      <c r="AA90" s="384">
        <f t="shared" si="36"/>
        <v>15.851237367259257</v>
      </c>
      <c r="AB90" s="197">
        <f t="shared" si="37"/>
        <v>43541</v>
      </c>
      <c r="AC90" s="424">
        <f t="shared" si="38"/>
        <v>4.8348815692511081E-3</v>
      </c>
      <c r="AD90" s="169">
        <f>(INDEX(Models!$BJ90:$BT90,,AH90)*(1-AF90)+INDEX(Models!$BJ90:$BT90,,AH90+1)*AF90-ERP_i)*AE90*Ramure*Pc/MaxiM</f>
        <v>7.7441291188101899E-8</v>
      </c>
      <c r="AE90" s="304">
        <f t="shared" si="39"/>
        <v>0.6</v>
      </c>
      <c r="AF90" s="177">
        <f t="shared" si="40"/>
        <v>0.51319564170145626</v>
      </c>
      <c r="AG90" s="799">
        <f t="shared" si="41"/>
        <v>-2</v>
      </c>
      <c r="AH90" s="176">
        <f t="shared" si="42"/>
        <v>4</v>
      </c>
      <c r="AI90" s="224">
        <f t="shared" si="43"/>
        <v>-1.4868043582985437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6"/>
        <v>43542</v>
      </c>
      <c r="B91" s="607">
        <v>35.951000000000001</v>
      </c>
      <c r="C91" s="388"/>
      <c r="D91" s="391">
        <f t="shared" si="48"/>
        <v>35.982707943131452</v>
      </c>
      <c r="E91" s="383">
        <f t="shared" si="49"/>
        <v>36.161355223540475</v>
      </c>
      <c r="F91" s="383">
        <f t="shared" si="50"/>
        <v>36.161356704838056</v>
      </c>
      <c r="G91" s="110">
        <f t="shared" si="51"/>
        <v>0.67396124841825755</v>
      </c>
      <c r="I91" s="379">
        <f t="shared" si="24"/>
        <v>36.161356704838056</v>
      </c>
      <c r="J91" s="85">
        <v>2018</v>
      </c>
      <c r="K91" s="197">
        <f t="shared" si="25"/>
        <v>43542</v>
      </c>
      <c r="L91" s="435">
        <f t="shared" si="26"/>
        <v>8.8119946896614287E-4</v>
      </c>
      <c r="M91" s="842"/>
      <c r="N91" s="842"/>
      <c r="O91" s="323">
        <f t="shared" si="27"/>
        <v>4.9402816709902611E-3</v>
      </c>
      <c r="P91" s="169">
        <f>(INDEX(Models!$BJ91:$BT91,,T91)*(1-R91)+INDEX(Models!$BJ91:$BT91,,T91+1)*R91-ERP_i)*Q91*Ramure*Pc/MaxiM</f>
        <v>7.6677687865096027E-8</v>
      </c>
      <c r="Q91" s="304">
        <f t="shared" si="28"/>
        <v>0.6</v>
      </c>
      <c r="R91" s="177">
        <f t="shared" si="29"/>
        <v>0.51379662378008173</v>
      </c>
      <c r="S91" s="799">
        <f t="shared" si="47"/>
        <v>-2</v>
      </c>
      <c r="T91" s="176">
        <f t="shared" si="30"/>
        <v>4</v>
      </c>
      <c r="U91" s="250">
        <f t="shared" si="31"/>
        <v>-1.4862033762199183</v>
      </c>
      <c r="V91" s="382">
        <f t="shared" si="32"/>
        <v>53.342827648348667</v>
      </c>
      <c r="W91" s="58"/>
      <c r="X91" s="157">
        <f t="shared" si="33"/>
        <v>43542</v>
      </c>
      <c r="Y91" s="383">
        <f t="shared" si="34"/>
        <v>35.951000000000001</v>
      </c>
      <c r="Z91" s="383">
        <f t="shared" si="35"/>
        <v>35.982707943131452</v>
      </c>
      <c r="AA91" s="384">
        <f t="shared" si="36"/>
        <v>36.161355223540475</v>
      </c>
      <c r="AB91" s="197">
        <f t="shared" si="37"/>
        <v>43542</v>
      </c>
      <c r="AC91" s="424">
        <f t="shared" si="38"/>
        <v>4.9402816709902611E-3</v>
      </c>
      <c r="AD91" s="169">
        <f>(INDEX(Models!$BJ91:$BT91,,AH91)*(1-AF91)+INDEX(Models!$BJ91:$BT91,,AH91+1)*AF91-ERP_i)*AE91*Ramure*Pc/MaxiM</f>
        <v>7.6677687865096027E-8</v>
      </c>
      <c r="AE91" s="304">
        <f t="shared" si="39"/>
        <v>0.6</v>
      </c>
      <c r="AF91" s="177">
        <f t="shared" si="40"/>
        <v>0.51379662378008173</v>
      </c>
      <c r="AG91" s="799">
        <f t="shared" si="41"/>
        <v>-2</v>
      </c>
      <c r="AH91" s="176">
        <f t="shared" si="42"/>
        <v>4</v>
      </c>
      <c r="AI91" s="224">
        <f t="shared" si="43"/>
        <v>-1.4862033762199183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6"/>
        <v>43543</v>
      </c>
      <c r="B92" s="607">
        <v>12.385999999999999</v>
      </c>
      <c r="C92" s="388"/>
      <c r="D92" s="391">
        <f t="shared" si="48"/>
        <v>12.397161751765966</v>
      </c>
      <c r="E92" s="383">
        <f t="shared" si="49"/>
        <v>12.460030278208558</v>
      </c>
      <c r="F92" s="383">
        <f t="shared" si="50"/>
        <v>12.460030278208558</v>
      </c>
      <c r="G92" s="110">
        <f t="shared" si="51"/>
        <v>0.23083534547902912</v>
      </c>
      <c r="I92" s="379">
        <f t="shared" si="24"/>
        <v>12.460030278208558</v>
      </c>
      <c r="J92" s="85">
        <v>2018</v>
      </c>
      <c r="K92" s="197">
        <f t="shared" si="25"/>
        <v>43543</v>
      </c>
      <c r="L92" s="435">
        <f t="shared" si="26"/>
        <v>9.0034735284272305E-4</v>
      </c>
      <c r="M92" s="842"/>
      <c r="N92" s="842"/>
      <c r="O92" s="323">
        <f t="shared" si="27"/>
        <v>5.045615864396823E-3</v>
      </c>
      <c r="P92" s="169">
        <f>(INDEX(Models!$BJ92:$BT92,,T92)*(1-R92)+INDEX(Models!$BJ92:$BT92,,T92+1)*R92-ERP_i)*Q92*Ramure*Pc/MaxiM</f>
        <v>7.569790821845397E-8</v>
      </c>
      <c r="Q92" s="304">
        <f t="shared" si="28"/>
        <v>0.6</v>
      </c>
      <c r="R92" s="177">
        <f t="shared" si="29"/>
        <v>0.51442123939428819</v>
      </c>
      <c r="S92" s="799">
        <f t="shared" si="47"/>
        <v>-2</v>
      </c>
      <c r="T92" s="176">
        <f t="shared" si="30"/>
        <v>4</v>
      </c>
      <c r="U92" s="250">
        <f t="shared" si="31"/>
        <v>-1.4855787606057118</v>
      </c>
      <c r="V92" s="382">
        <f t="shared" si="32"/>
        <v>53.657289947093261</v>
      </c>
      <c r="W92" s="58"/>
      <c r="X92" s="157">
        <f t="shared" si="33"/>
        <v>43543</v>
      </c>
      <c r="Y92" s="383">
        <f t="shared" si="34"/>
        <v>12.385999999999999</v>
      </c>
      <c r="Z92" s="383">
        <f t="shared" si="35"/>
        <v>12.397161751765966</v>
      </c>
      <c r="AA92" s="384">
        <f t="shared" si="36"/>
        <v>12.460030278208558</v>
      </c>
      <c r="AB92" s="197">
        <f t="shared" si="37"/>
        <v>43543</v>
      </c>
      <c r="AC92" s="424">
        <f t="shared" si="38"/>
        <v>5.045615864396823E-3</v>
      </c>
      <c r="AD92" s="169">
        <f>(INDEX(Models!$BJ92:$BT92,,AH92)*(1-AF92)+INDEX(Models!$BJ92:$BT92,,AH92+1)*AF92-ERP_i)*AE92*Ramure*Pc/MaxiM</f>
        <v>7.569790821845397E-8</v>
      </c>
      <c r="AE92" s="304">
        <f t="shared" si="39"/>
        <v>0.6</v>
      </c>
      <c r="AF92" s="177">
        <f t="shared" si="40"/>
        <v>0.51442123939428819</v>
      </c>
      <c r="AG92" s="799">
        <f t="shared" si="41"/>
        <v>-2</v>
      </c>
      <c r="AH92" s="176">
        <f t="shared" si="42"/>
        <v>4</v>
      </c>
      <c r="AI92" s="224">
        <f t="shared" si="43"/>
        <v>-1.4855787606057118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43544</v>
      </c>
      <c r="B93" s="607">
        <v>52.890999999999998</v>
      </c>
      <c r="C93" s="388"/>
      <c r="D93" s="391">
        <f t="shared" si="48"/>
        <v>52.939677762108708</v>
      </c>
      <c r="E93" s="383">
        <f t="shared" si="49"/>
        <v>53.213775934237653</v>
      </c>
      <c r="F93" s="383">
        <f t="shared" si="50"/>
        <v>53.213779784597463</v>
      </c>
      <c r="G93" s="110">
        <f t="shared" si="51"/>
        <v>0.98003205293743434</v>
      </c>
      <c r="I93" s="379">
        <f t="shared" si="24"/>
        <v>53.213779784597463</v>
      </c>
      <c r="J93" s="85">
        <v>2018</v>
      </c>
      <c r="K93" s="197">
        <f t="shared" si="25"/>
        <v>43544</v>
      </c>
      <c r="L93" s="435">
        <f t="shared" si="26"/>
        <v>9.1949486975440031E-4</v>
      </c>
      <c r="M93" s="842"/>
      <c r="N93" s="842"/>
      <c r="O93" s="323">
        <f t="shared" si="27"/>
        <v>5.1508874782289034E-3</v>
      </c>
      <c r="P93" s="169">
        <f>(INDEX(Models!$BJ93:$BT93,,T93)*(1-R93)+INDEX(Models!$BJ93:$BT93,,T93+1)*R93-ERP_i)*Q93*Ramure*Pc/MaxiM</f>
        <v>7.4481062320839448E-8</v>
      </c>
      <c r="Q93" s="304">
        <f t="shared" si="28"/>
        <v>0.6</v>
      </c>
      <c r="R93" s="177">
        <f t="shared" si="29"/>
        <v>0.51507035137690971</v>
      </c>
      <c r="S93" s="799">
        <f t="shared" si="47"/>
        <v>-2</v>
      </c>
      <c r="T93" s="176">
        <f t="shared" si="30"/>
        <v>4</v>
      </c>
      <c r="U93" s="250">
        <f t="shared" si="31"/>
        <v>-1.4849296486230903</v>
      </c>
      <c r="V93" s="382">
        <f t="shared" si="32"/>
        <v>53.968642891931331</v>
      </c>
      <c r="W93" s="58"/>
      <c r="X93" s="157">
        <f t="shared" si="33"/>
        <v>43544</v>
      </c>
      <c r="Y93" s="383">
        <f t="shared" si="34"/>
        <v>52.890999999999998</v>
      </c>
      <c r="Z93" s="383">
        <f t="shared" si="35"/>
        <v>52.939677762108708</v>
      </c>
      <c r="AA93" s="384">
        <f t="shared" si="36"/>
        <v>53.213775934237653</v>
      </c>
      <c r="AB93" s="197">
        <f t="shared" si="37"/>
        <v>43544</v>
      </c>
      <c r="AC93" s="424">
        <f t="shared" si="38"/>
        <v>5.1508874782289034E-3</v>
      </c>
      <c r="AD93" s="169">
        <f>(INDEX(Models!$BJ93:$BT93,,AH93)*(1-AF93)+INDEX(Models!$BJ93:$BT93,,AH93+1)*AF93-ERP_i)*AE93*Ramure*Pc/MaxiM</f>
        <v>7.4481062320839448E-8</v>
      </c>
      <c r="AE93" s="304">
        <f t="shared" si="39"/>
        <v>0.6</v>
      </c>
      <c r="AF93" s="177">
        <f t="shared" si="40"/>
        <v>0.51507035137690971</v>
      </c>
      <c r="AG93" s="799">
        <f t="shared" si="41"/>
        <v>-2</v>
      </c>
      <c r="AH93" s="176">
        <f t="shared" si="42"/>
        <v>4</v>
      </c>
      <c r="AI93" s="224">
        <f t="shared" si="43"/>
        <v>-1.4849296486230903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6"/>
        <v>43545</v>
      </c>
      <c r="B94" s="607">
        <v>52.713000000000001</v>
      </c>
      <c r="C94" s="388"/>
      <c r="D94" s="391">
        <f t="shared" si="48"/>
        <v>52.762525123146503</v>
      </c>
      <c r="E94" s="383">
        <f t="shared" si="49"/>
        <v>53.041315583190716</v>
      </c>
      <c r="F94" s="383">
        <f t="shared" si="50"/>
        <v>53.041319300007032</v>
      </c>
      <c r="G94" s="110">
        <f t="shared" si="51"/>
        <v>0.97114600708985632</v>
      </c>
      <c r="I94" s="379">
        <f t="shared" si="24"/>
        <v>53.041319300007032</v>
      </c>
      <c r="J94" s="85">
        <v>2018</v>
      </c>
      <c r="K94" s="197">
        <f t="shared" si="25"/>
        <v>43545</v>
      </c>
      <c r="L94" s="435">
        <f t="shared" si="26"/>
        <v>9.3864201970839112E-4</v>
      </c>
      <c r="M94" s="842"/>
      <c r="N94" s="842"/>
      <c r="O94" s="323">
        <f t="shared" si="27"/>
        <v>5.2561000227634817E-3</v>
      </c>
      <c r="P94" s="169">
        <f>(INDEX(Models!$BJ94:$BT94,,T94)*(1-R94)+INDEX(Models!$BJ94:$BT94,,T94+1)*R94-ERP_i)*Q94*Ramure*Pc/MaxiM</f>
        <v>7.3086608378444096E-8</v>
      </c>
      <c r="Q94" s="304">
        <f t="shared" si="28"/>
        <v>0.6</v>
      </c>
      <c r="R94" s="177">
        <f t="shared" si="29"/>
        <v>0.51574484856661007</v>
      </c>
      <c r="S94" s="799">
        <f t="shared" si="47"/>
        <v>-2</v>
      </c>
      <c r="T94" s="176">
        <f t="shared" si="30"/>
        <v>4</v>
      </c>
      <c r="U94" s="250">
        <f t="shared" si="31"/>
        <v>-1.4842551514333899</v>
      </c>
      <c r="V94" s="382">
        <f t="shared" si="32"/>
        <v>54.279170646188895</v>
      </c>
      <c r="W94" s="58"/>
      <c r="X94" s="157">
        <f t="shared" si="33"/>
        <v>43545</v>
      </c>
      <c r="Y94" s="383">
        <f t="shared" si="34"/>
        <v>52.713000000000001</v>
      </c>
      <c r="Z94" s="383">
        <f t="shared" si="35"/>
        <v>52.762525123146503</v>
      </c>
      <c r="AA94" s="384">
        <f t="shared" si="36"/>
        <v>53.041315583190716</v>
      </c>
      <c r="AB94" s="197">
        <f t="shared" si="37"/>
        <v>43545</v>
      </c>
      <c r="AC94" s="424">
        <f t="shared" si="38"/>
        <v>5.2561000227634817E-3</v>
      </c>
      <c r="AD94" s="169">
        <f>(INDEX(Models!$BJ94:$BT94,,AH94)*(1-AF94)+INDEX(Models!$BJ94:$BT94,,AH94+1)*AF94-ERP_i)*AE94*Ramure*Pc/MaxiM</f>
        <v>7.3086608378444096E-8</v>
      </c>
      <c r="AE94" s="304">
        <f t="shared" si="39"/>
        <v>0.6</v>
      </c>
      <c r="AF94" s="177">
        <f t="shared" si="40"/>
        <v>0.51574484856661007</v>
      </c>
      <c r="AG94" s="799">
        <f t="shared" si="41"/>
        <v>-2</v>
      </c>
      <c r="AH94" s="176">
        <f t="shared" si="42"/>
        <v>4</v>
      </c>
      <c r="AI94" s="224">
        <f t="shared" si="43"/>
        <v>-1.4842551514333899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6"/>
        <v>43546</v>
      </c>
      <c r="B95" s="607">
        <v>51.292999999999999</v>
      </c>
      <c r="C95" s="388"/>
      <c r="D95" s="391">
        <f t="shared" si="48"/>
        <v>51.34217496028382</v>
      </c>
      <c r="E95" s="383">
        <f t="shared" si="49"/>
        <v>51.618917251322067</v>
      </c>
      <c r="F95" s="383">
        <f t="shared" si="50"/>
        <v>51.618920635867852</v>
      </c>
      <c r="G95" s="110">
        <f t="shared" si="51"/>
        <v>0.93963660355902867</v>
      </c>
      <c r="I95" s="379">
        <f t="shared" si="24"/>
        <v>51.618920635867852</v>
      </c>
      <c r="J95" s="85">
        <v>2018</v>
      </c>
      <c r="K95" s="197">
        <f t="shared" si="25"/>
        <v>43546</v>
      </c>
      <c r="L95" s="435">
        <f t="shared" si="26"/>
        <v>9.5778880271157885E-4</v>
      </c>
      <c r="M95" s="842"/>
      <c r="N95" s="842"/>
      <c r="O95" s="323">
        <f t="shared" si="27"/>
        <v>5.3612571858267354E-3</v>
      </c>
      <c r="P95" s="169">
        <f>(INDEX(Models!$BJ95:$BT95,,T95)*(1-R95)+INDEX(Models!$BJ95:$BT95,,T95+1)*R95-ERP_i)*Q95*Ramure*Pc/MaxiM</f>
        <v>7.1755666405451329E-8</v>
      </c>
      <c r="Q95" s="304">
        <f t="shared" si="28"/>
        <v>0.6</v>
      </c>
      <c r="R95" s="177">
        <f t="shared" si="29"/>
        <v>0.51644564612778465</v>
      </c>
      <c r="S95" s="799">
        <f t="shared" si="47"/>
        <v>-2</v>
      </c>
      <c r="T95" s="176">
        <f t="shared" si="30"/>
        <v>4</v>
      </c>
      <c r="U95" s="250">
        <f t="shared" si="31"/>
        <v>-1.4835543538722153</v>
      </c>
      <c r="V95" s="382">
        <f t="shared" si="32"/>
        <v>54.588124268820238</v>
      </c>
      <c r="W95" s="58"/>
      <c r="X95" s="157">
        <f t="shared" si="33"/>
        <v>43546</v>
      </c>
      <c r="Y95" s="383">
        <f t="shared" si="34"/>
        <v>51.292999999999999</v>
      </c>
      <c r="Z95" s="383">
        <f t="shared" si="35"/>
        <v>51.34217496028382</v>
      </c>
      <c r="AA95" s="384">
        <f t="shared" si="36"/>
        <v>51.618917251322067</v>
      </c>
      <c r="AB95" s="197">
        <f t="shared" si="37"/>
        <v>43546</v>
      </c>
      <c r="AC95" s="424">
        <f t="shared" si="38"/>
        <v>5.3612571858267354E-3</v>
      </c>
      <c r="AD95" s="169">
        <f>(INDEX(Models!$BJ95:$BT95,,AH95)*(1-AF95)+INDEX(Models!$BJ95:$BT95,,AH95+1)*AF95-ERP_i)*AE95*Ramure*Pc/MaxiM</f>
        <v>7.1755666405451329E-8</v>
      </c>
      <c r="AE95" s="304">
        <f t="shared" si="39"/>
        <v>0.6</v>
      </c>
      <c r="AF95" s="177">
        <f t="shared" si="40"/>
        <v>0.51644564612778465</v>
      </c>
      <c r="AG95" s="799">
        <f t="shared" si="41"/>
        <v>-2</v>
      </c>
      <c r="AH95" s="176">
        <f t="shared" si="42"/>
        <v>4</v>
      </c>
      <c r="AI95" s="224">
        <f t="shared" si="43"/>
        <v>-1.4835543538722153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43547</v>
      </c>
      <c r="B96" s="607">
        <v>48.139000000000003</v>
      </c>
      <c r="C96" s="388"/>
      <c r="D96" s="391">
        <f t="shared" si="48"/>
        <v>48.186074673402779</v>
      </c>
      <c r="E96" s="383">
        <f t="shared" si="49"/>
        <v>48.45092500885994</v>
      </c>
      <c r="F96" s="383">
        <f t="shared" si="50"/>
        <v>48.450927824356008</v>
      </c>
      <c r="G96" s="110">
        <f t="shared" si="51"/>
        <v>0.87693258193416013</v>
      </c>
      <c r="I96" s="379">
        <f t="shared" si="24"/>
        <v>48.450927824356008</v>
      </c>
      <c r="J96" s="85">
        <v>2018</v>
      </c>
      <c r="K96" s="197">
        <f t="shared" si="25"/>
        <v>43547</v>
      </c>
      <c r="L96" s="435">
        <f t="shared" si="26"/>
        <v>9.769352187709579E-4</v>
      </c>
      <c r="M96" s="842"/>
      <c r="N96" s="842"/>
      <c r="O96" s="323">
        <f t="shared" si="27"/>
        <v>5.4663628281343621E-3</v>
      </c>
      <c r="P96" s="169">
        <f>(INDEX(Models!$BJ96:$BT96,,T96)*(1-R96)+INDEX(Models!$BJ96:$BT96,,T96+1)*R96-ERP_i)*Q96*Ramure*Pc/MaxiM</f>
        <v>7.0505953945347424E-8</v>
      </c>
      <c r="Q96" s="304">
        <f t="shared" si="28"/>
        <v>0.6</v>
      </c>
      <c r="R96" s="177">
        <f t="shared" si="29"/>
        <v>0.51717368583007928</v>
      </c>
      <c r="S96" s="799">
        <f t="shared" si="47"/>
        <v>-2</v>
      </c>
      <c r="T96" s="176">
        <f t="shared" si="30"/>
        <v>4</v>
      </c>
      <c r="U96" s="250">
        <f t="shared" si="31"/>
        <v>-1.4828263141699207</v>
      </c>
      <c r="V96" s="382">
        <f t="shared" si="32"/>
        <v>54.894755189855609</v>
      </c>
      <c r="W96" s="58"/>
      <c r="X96" s="157">
        <f t="shared" si="33"/>
        <v>43547</v>
      </c>
      <c r="Y96" s="383">
        <f t="shared" si="34"/>
        <v>48.139000000000003</v>
      </c>
      <c r="Z96" s="383">
        <f t="shared" si="35"/>
        <v>48.186074673402779</v>
      </c>
      <c r="AA96" s="384">
        <f t="shared" si="36"/>
        <v>48.45092500885994</v>
      </c>
      <c r="AB96" s="197">
        <f t="shared" si="37"/>
        <v>43547</v>
      </c>
      <c r="AC96" s="424">
        <f t="shared" si="38"/>
        <v>5.4663628281343621E-3</v>
      </c>
      <c r="AD96" s="169">
        <f>(INDEX(Models!$BJ96:$BT96,,AH96)*(1-AF96)+INDEX(Models!$BJ96:$BT96,,AH96+1)*AF96-ERP_i)*AE96*Ramure*Pc/MaxiM</f>
        <v>7.0505953945347424E-8</v>
      </c>
      <c r="AE96" s="304">
        <f t="shared" si="39"/>
        <v>0.6</v>
      </c>
      <c r="AF96" s="177">
        <f t="shared" si="40"/>
        <v>0.51717368583007928</v>
      </c>
      <c r="AG96" s="799">
        <f t="shared" si="41"/>
        <v>-2</v>
      </c>
      <c r="AH96" s="176">
        <f t="shared" si="42"/>
        <v>4</v>
      </c>
      <c r="AI96" s="224">
        <f t="shared" si="43"/>
        <v>-1.4828263141699207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6"/>
        <v>43548</v>
      </c>
      <c r="B97" s="607">
        <v>52.584000000000003</v>
      </c>
      <c r="C97" s="388"/>
      <c r="D97" s="391">
        <f t="shared" si="48"/>
        <v>52.636430162093262</v>
      </c>
      <c r="E97" s="383">
        <f t="shared" si="49"/>
        <v>52.931332900608865</v>
      </c>
      <c r="F97" s="383">
        <f t="shared" si="50"/>
        <v>52.931336323355495</v>
      </c>
      <c r="G97" s="110">
        <f t="shared" si="51"/>
        <v>0.95263776735870886</v>
      </c>
      <c r="I97" s="379">
        <f t="shared" si="24"/>
        <v>52.931336323355495</v>
      </c>
      <c r="J97" s="85">
        <v>2018</v>
      </c>
      <c r="K97" s="197">
        <f t="shared" si="25"/>
        <v>43548</v>
      </c>
      <c r="L97" s="435">
        <f t="shared" si="26"/>
        <v>9.9608126789374474E-4</v>
      </c>
      <c r="M97" s="842"/>
      <c r="N97" s="842"/>
      <c r="O97" s="323">
        <f t="shared" si="27"/>
        <v>5.5714209779933925E-3</v>
      </c>
      <c r="P97" s="169">
        <f>(INDEX(Models!$BJ97:$BT97,,T97)*(1-R97)+INDEX(Models!$BJ97:$BT97,,T97+1)*R97-ERP_i)*Q97*Ramure*Pc/MaxiM</f>
        <v>6.9356589355752801E-8</v>
      </c>
      <c r="Q97" s="304">
        <f t="shared" si="28"/>
        <v>0.6</v>
      </c>
      <c r="R97" s="177">
        <f t="shared" si="29"/>
        <v>0.51792993628263906</v>
      </c>
      <c r="S97" s="799">
        <f t="shared" si="47"/>
        <v>-2</v>
      </c>
      <c r="T97" s="176">
        <f t="shared" si="30"/>
        <v>4</v>
      </c>
      <c r="U97" s="250">
        <f t="shared" si="31"/>
        <v>-1.4820700637173609</v>
      </c>
      <c r="V97" s="382">
        <f t="shared" si="32"/>
        <v>55.198315199107036</v>
      </c>
      <c r="W97" s="58"/>
      <c r="X97" s="157">
        <f t="shared" si="33"/>
        <v>43548</v>
      </c>
      <c r="Y97" s="383">
        <f t="shared" si="34"/>
        <v>52.584000000000003</v>
      </c>
      <c r="Z97" s="383">
        <f t="shared" si="35"/>
        <v>52.636430162093262</v>
      </c>
      <c r="AA97" s="384">
        <f t="shared" si="36"/>
        <v>52.931332900608865</v>
      </c>
      <c r="AB97" s="197">
        <f t="shared" si="37"/>
        <v>43548</v>
      </c>
      <c r="AC97" s="424">
        <f t="shared" si="38"/>
        <v>5.5714209779933925E-3</v>
      </c>
      <c r="AD97" s="169">
        <f>(INDEX(Models!$BJ97:$BT97,,AH97)*(1-AF97)+INDEX(Models!$BJ97:$BT97,,AH97+1)*AF97-ERP_i)*AE97*Ramure*Pc/MaxiM</f>
        <v>6.9356589355752801E-8</v>
      </c>
      <c r="AE97" s="304">
        <f t="shared" si="39"/>
        <v>0.6</v>
      </c>
      <c r="AF97" s="177">
        <f t="shared" si="40"/>
        <v>0.51792993628263906</v>
      </c>
      <c r="AG97" s="799">
        <f t="shared" si="41"/>
        <v>-2</v>
      </c>
      <c r="AH97" s="176">
        <f t="shared" si="42"/>
        <v>4</v>
      </c>
      <c r="AI97" s="224">
        <f t="shared" si="43"/>
        <v>-1.4820700637173609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43549</v>
      </c>
      <c r="B98" s="607">
        <v>45.759</v>
      </c>
      <c r="C98" s="388"/>
      <c r="D98" s="391">
        <f t="shared" si="48"/>
        <v>45.805502981088686</v>
      </c>
      <c r="E98" s="383">
        <f t="shared" si="49"/>
        <v>46.066999346548947</v>
      </c>
      <c r="F98" s="383">
        <f t="shared" si="50"/>
        <v>46.067001705127169</v>
      </c>
      <c r="G98" s="110">
        <f t="shared" si="51"/>
        <v>0.82451534606877297</v>
      </c>
      <c r="I98" s="379">
        <f t="shared" si="24"/>
        <v>46.067001705127169</v>
      </c>
      <c r="J98" s="85">
        <v>2018</v>
      </c>
      <c r="K98" s="197">
        <f t="shared" si="25"/>
        <v>43549</v>
      </c>
      <c r="L98" s="435">
        <f t="shared" si="26"/>
        <v>1.0152269500868227E-3</v>
      </c>
      <c r="M98" s="842"/>
      <c r="N98" s="842"/>
      <c r="O98" s="323">
        <f t="shared" si="27"/>
        <v>5.6764358254179957E-3</v>
      </c>
      <c r="P98" s="169">
        <f>(INDEX(Models!$BJ98:$BT98,,T98)*(1-R98)+INDEX(Models!$BJ98:$BT98,,T98+1)*R98-ERP_i)*Q98*Ramure*Pc/MaxiM</f>
        <v>6.8328229380122696E-8</v>
      </c>
      <c r="Q98" s="304">
        <f t="shared" si="28"/>
        <v>0.6</v>
      </c>
      <c r="R98" s="177">
        <f t="shared" si="29"/>
        <v>0.51871539311788628</v>
      </c>
      <c r="S98" s="799">
        <f t="shared" si="47"/>
        <v>-2</v>
      </c>
      <c r="T98" s="176">
        <f t="shared" si="30"/>
        <v>4</v>
      </c>
      <c r="U98" s="250">
        <f t="shared" si="31"/>
        <v>-1.4812846068821137</v>
      </c>
      <c r="V98" s="382">
        <f t="shared" si="32"/>
        <v>55.498056445344361</v>
      </c>
      <c r="W98" s="58"/>
      <c r="X98" s="157">
        <f t="shared" si="33"/>
        <v>43549</v>
      </c>
      <c r="Y98" s="383">
        <f t="shared" si="34"/>
        <v>45.759</v>
      </c>
      <c r="Z98" s="383">
        <f t="shared" si="35"/>
        <v>45.805502981088686</v>
      </c>
      <c r="AA98" s="384">
        <f t="shared" si="36"/>
        <v>46.066999346548947</v>
      </c>
      <c r="AB98" s="197">
        <f t="shared" si="37"/>
        <v>43549</v>
      </c>
      <c r="AC98" s="424">
        <f t="shared" si="38"/>
        <v>5.6764358254179957E-3</v>
      </c>
      <c r="AD98" s="169">
        <f>(INDEX(Models!$BJ98:$BT98,,AH98)*(1-AF98)+INDEX(Models!$BJ98:$BT98,,AH98+1)*AF98-ERP_i)*AE98*Ramure*Pc/MaxiM</f>
        <v>6.8328229380122696E-8</v>
      </c>
      <c r="AE98" s="304">
        <f t="shared" si="39"/>
        <v>0.6</v>
      </c>
      <c r="AF98" s="177">
        <f t="shared" si="40"/>
        <v>0.51871539311788628</v>
      </c>
      <c r="AG98" s="799">
        <f t="shared" si="41"/>
        <v>-2</v>
      </c>
      <c r="AH98" s="176">
        <f t="shared" si="42"/>
        <v>4</v>
      </c>
      <c r="AI98" s="224">
        <f t="shared" si="43"/>
        <v>-1.4812846068821137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43550</v>
      </c>
      <c r="B99" s="607">
        <v>56.151000000000003</v>
      </c>
      <c r="C99" s="388"/>
      <c r="D99" s="391">
        <f t="shared" si="48"/>
        <v>56.209141176692725</v>
      </c>
      <c r="E99" s="383">
        <f t="shared" si="49"/>
        <v>56.535999064041008</v>
      </c>
      <c r="F99" s="383">
        <f t="shared" si="50"/>
        <v>56.536002877011185</v>
      </c>
      <c r="G99" s="110">
        <f t="shared" si="51"/>
        <v>1.0064124008490956</v>
      </c>
      <c r="I99" s="379">
        <f t="shared" si="24"/>
        <v>56.536002877011185</v>
      </c>
      <c r="J99" s="85">
        <v>2018</v>
      </c>
      <c r="K99" s="197">
        <f t="shared" si="25"/>
        <v>43550</v>
      </c>
      <c r="L99" s="435">
        <f t="shared" si="26"/>
        <v>1.0343722653572973E-3</v>
      </c>
      <c r="M99" s="842"/>
      <c r="N99" s="842"/>
      <c r="O99" s="323">
        <f t="shared" si="27"/>
        <v>5.7814117157112812E-3</v>
      </c>
      <c r="P99" s="169">
        <f>(INDEX(Models!$BJ99:$BT99,,T99)*(1-R99)+INDEX(Models!$BJ99:$BT99,,T99+1)*R99-ERP_i)*Q99*Ramure*Pc/MaxiM</f>
        <v>6.7443221775895889E-8</v>
      </c>
      <c r="Q99" s="304">
        <f t="shared" si="28"/>
        <v>0.6</v>
      </c>
      <c r="R99" s="177">
        <f t="shared" si="29"/>
        <v>0.51953107911928997</v>
      </c>
      <c r="S99" s="799">
        <f t="shared" si="47"/>
        <v>-2</v>
      </c>
      <c r="T99" s="176">
        <f t="shared" si="30"/>
        <v>4</v>
      </c>
      <c r="U99" s="250">
        <f t="shared" si="31"/>
        <v>-1.48046892088071</v>
      </c>
      <c r="V99" s="382">
        <f t="shared" si="32"/>
        <v>55.793231435370046</v>
      </c>
      <c r="W99" s="58"/>
      <c r="X99" s="157">
        <f t="shared" si="33"/>
        <v>43550</v>
      </c>
      <c r="Y99" s="383">
        <f t="shared" si="34"/>
        <v>56.151000000000003</v>
      </c>
      <c r="Z99" s="383">
        <f t="shared" si="35"/>
        <v>56.209141176692725</v>
      </c>
      <c r="AA99" s="384">
        <f t="shared" si="36"/>
        <v>56.535999064041008</v>
      </c>
      <c r="AB99" s="197">
        <f t="shared" si="37"/>
        <v>43550</v>
      </c>
      <c r="AC99" s="424">
        <f t="shared" si="38"/>
        <v>5.7814117157112812E-3</v>
      </c>
      <c r="AD99" s="169">
        <f>(INDEX(Models!$BJ99:$BT99,,AH99)*(1-AF99)+INDEX(Models!$BJ99:$BT99,,AH99+1)*AF99-ERP_i)*AE99*Ramure*Pc/MaxiM</f>
        <v>6.7443221775895889E-8</v>
      </c>
      <c r="AE99" s="304">
        <f t="shared" si="39"/>
        <v>0.6</v>
      </c>
      <c r="AF99" s="177">
        <f t="shared" si="40"/>
        <v>0.51953107911928997</v>
      </c>
      <c r="AG99" s="799">
        <f t="shared" si="41"/>
        <v>-2</v>
      </c>
      <c r="AH99" s="176">
        <f t="shared" si="42"/>
        <v>4</v>
      </c>
      <c r="AI99" s="224">
        <f t="shared" si="43"/>
        <v>-1.48046892088071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43551</v>
      </c>
      <c r="B100" s="607">
        <v>55.44</v>
      </c>
      <c r="C100" s="388"/>
      <c r="D100" s="391">
        <f t="shared" si="48"/>
        <v>55.498468591996321</v>
      </c>
      <c r="E100" s="383">
        <f t="shared" si="49"/>
        <v>55.827086538281137</v>
      </c>
      <c r="F100" s="383">
        <f t="shared" si="50"/>
        <v>55.827090198915265</v>
      </c>
      <c r="G100" s="110">
        <f t="shared" si="51"/>
        <v>0.98853320912611475</v>
      </c>
      <c r="I100" s="379">
        <f t="shared" si="24"/>
        <v>55.827090198915265</v>
      </c>
      <c r="J100" s="85">
        <v>2018</v>
      </c>
      <c r="K100" s="197">
        <f t="shared" si="25"/>
        <v>43551</v>
      </c>
      <c r="L100" s="435">
        <f t="shared" si="26"/>
        <v>1.0535172137120519E-3</v>
      </c>
      <c r="M100" s="842"/>
      <c r="N100" s="842"/>
      <c r="O100" s="323">
        <f t="shared" si="27"/>
        <v>5.8863531425642317E-3</v>
      </c>
      <c r="P100" s="169">
        <f>(INDEX(Models!$BJ100:$BT100,,T100)*(1-R100)+INDEX(Models!$BJ100:$BT100,,T100+1)*R100-ERP_i)*Q100*Ramure*Pc/MaxiM</f>
        <v>6.6662942433826288E-8</v>
      </c>
      <c r="Q100" s="304">
        <f t="shared" si="28"/>
        <v>0.6</v>
      </c>
      <c r="R100" s="177">
        <f t="shared" si="29"/>
        <v>0.52037804428725454</v>
      </c>
      <c r="S100" s="799">
        <f t="shared" si="47"/>
        <v>-2</v>
      </c>
      <c r="T100" s="176">
        <f t="shared" si="30"/>
        <v>4</v>
      </c>
      <c r="U100" s="250">
        <f t="shared" si="31"/>
        <v>-1.4796219557127455</v>
      </c>
      <c r="V100" s="382">
        <f t="shared" si="32"/>
        <v>56.083093038896408</v>
      </c>
      <c r="W100" s="58"/>
      <c r="X100" s="157">
        <f t="shared" si="33"/>
        <v>43551</v>
      </c>
      <c r="Y100" s="383">
        <f t="shared" si="34"/>
        <v>55.44</v>
      </c>
      <c r="Z100" s="383">
        <f t="shared" si="35"/>
        <v>55.498468591996321</v>
      </c>
      <c r="AA100" s="384">
        <f t="shared" si="36"/>
        <v>55.827086538281137</v>
      </c>
      <c r="AB100" s="197">
        <f t="shared" si="37"/>
        <v>43551</v>
      </c>
      <c r="AC100" s="424">
        <f t="shared" si="38"/>
        <v>5.8863531425642317E-3</v>
      </c>
      <c r="AD100" s="169">
        <f>(INDEX(Models!$BJ100:$BT100,,AH100)*(1-AF100)+INDEX(Models!$BJ100:$BT100,,AH100+1)*AF100-ERP_i)*AE100*Ramure*Pc/MaxiM</f>
        <v>6.6662942433826288E-8</v>
      </c>
      <c r="AE100" s="304">
        <f t="shared" si="39"/>
        <v>0.6</v>
      </c>
      <c r="AF100" s="177">
        <f t="shared" si="40"/>
        <v>0.52037804428725454</v>
      </c>
      <c r="AG100" s="799">
        <f t="shared" si="41"/>
        <v>-2</v>
      </c>
      <c r="AH100" s="176">
        <f t="shared" si="42"/>
        <v>4</v>
      </c>
      <c r="AI100" s="224">
        <f t="shared" si="43"/>
        <v>-1.4796219557127455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43552</v>
      </c>
      <c r="B101" s="607">
        <v>53.976999999999997</v>
      </c>
      <c r="C101" s="388"/>
      <c r="D101" s="391">
        <f t="shared" si="48"/>
        <v>54.034961238523429</v>
      </c>
      <c r="E101" s="383">
        <f t="shared" si="49"/>
        <v>54.360650285863748</v>
      </c>
      <c r="F101" s="383">
        <f t="shared" si="50"/>
        <v>54.360653644959861</v>
      </c>
      <c r="G101" s="110">
        <f t="shared" si="51"/>
        <v>0.9576010931498079</v>
      </c>
      <c r="I101" s="379">
        <f t="shared" si="24"/>
        <v>54.360653644959861</v>
      </c>
      <c r="J101" s="85">
        <v>2018</v>
      </c>
      <c r="K101" s="197">
        <f t="shared" si="25"/>
        <v>43552</v>
      </c>
      <c r="L101" s="435">
        <f t="shared" si="26"/>
        <v>1.0726617951584139E-3</v>
      </c>
      <c r="M101" s="842"/>
      <c r="N101" s="842"/>
      <c r="O101" s="323">
        <f t="shared" si="27"/>
        <v>5.9912647407201706E-3</v>
      </c>
      <c r="P101" s="169">
        <f>(INDEX(Models!$BJ101:$BT101,,T101)*(1-R101)+INDEX(Models!$BJ101:$BT101,,T101+1)*R101-ERP_i)*Q101*Ramure*Pc/MaxiM</f>
        <v>6.5776880204394909E-8</v>
      </c>
      <c r="Q101" s="304">
        <f t="shared" si="28"/>
        <v>0.6</v>
      </c>
      <c r="R101" s="177">
        <f t="shared" si="29"/>
        <v>0.52125736583691884</v>
      </c>
      <c r="S101" s="799">
        <f t="shared" si="47"/>
        <v>-2</v>
      </c>
      <c r="T101" s="176">
        <f t="shared" si="30"/>
        <v>4</v>
      </c>
      <c r="U101" s="250">
        <f t="shared" si="31"/>
        <v>-1.4787426341630812</v>
      </c>
      <c r="V101" s="382">
        <f t="shared" si="32"/>
        <v>56.36689449403773</v>
      </c>
      <c r="W101" s="58"/>
      <c r="X101" s="157">
        <f t="shared" si="33"/>
        <v>43552</v>
      </c>
      <c r="Y101" s="383">
        <f t="shared" si="34"/>
        <v>53.976999999999997</v>
      </c>
      <c r="Z101" s="383">
        <f t="shared" si="35"/>
        <v>54.034961238523429</v>
      </c>
      <c r="AA101" s="384">
        <f t="shared" si="36"/>
        <v>54.360650285863748</v>
      </c>
      <c r="AB101" s="197">
        <f t="shared" si="37"/>
        <v>43552</v>
      </c>
      <c r="AC101" s="424">
        <f t="shared" si="38"/>
        <v>5.9912647407201706E-3</v>
      </c>
      <c r="AD101" s="169">
        <f>(INDEX(Models!$BJ101:$BT101,,AH101)*(1-AF101)+INDEX(Models!$BJ101:$BT101,,AH101+1)*AF101-ERP_i)*AE101*Ramure*Pc/MaxiM</f>
        <v>6.5776880204394909E-8</v>
      </c>
      <c r="AE101" s="304">
        <f t="shared" si="39"/>
        <v>0.6</v>
      </c>
      <c r="AF101" s="177">
        <f t="shared" si="40"/>
        <v>0.52125736583691884</v>
      </c>
      <c r="AG101" s="799">
        <f t="shared" si="41"/>
        <v>-2</v>
      </c>
      <c r="AH101" s="176">
        <f t="shared" si="42"/>
        <v>4</v>
      </c>
      <c r="AI101" s="224">
        <f t="shared" si="43"/>
        <v>-1.4787426341630812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43553</v>
      </c>
      <c r="B102" s="607">
        <v>55.264000000000003</v>
      </c>
      <c r="C102" s="388"/>
      <c r="D102" s="391">
        <f t="shared" si="48"/>
        <v>55.324403516242278</v>
      </c>
      <c r="E102" s="383">
        <f t="shared" si="49"/>
        <v>55.663738084317174</v>
      </c>
      <c r="F102" s="383">
        <f t="shared" si="50"/>
        <v>55.663741564699173</v>
      </c>
      <c r="G102" s="110">
        <f t="shared" si="51"/>
        <v>0.97563921676277376</v>
      </c>
      <c r="I102" s="379">
        <f t="shared" si="24"/>
        <v>55.663741564699173</v>
      </c>
      <c r="J102" s="85">
        <v>2018</v>
      </c>
      <c r="K102" s="197">
        <f t="shared" si="25"/>
        <v>43553</v>
      </c>
      <c r="L102" s="435">
        <f t="shared" si="26"/>
        <v>1.0918060097031557E-3</v>
      </c>
      <c r="M102" s="842"/>
      <c r="N102" s="842"/>
      <c r="O102" s="323">
        <f t="shared" si="27"/>
        <v>6.096151278250272E-3</v>
      </c>
      <c r="P102" s="169">
        <f>(INDEX(Models!$BJ102:$BT102,,T102)*(1-R102)+INDEX(Models!$BJ102:$BT102,,T102+1)*R102-ERP_i)*Q102*Ramure*Pc/MaxiM</f>
        <v>6.4779517240924476E-8</v>
      </c>
      <c r="Q102" s="304">
        <f t="shared" si="28"/>
        <v>0.6</v>
      </c>
      <c r="R102" s="177">
        <f t="shared" si="29"/>
        <v>0.52217014812130524</v>
      </c>
      <c r="S102" s="799">
        <f t="shared" si="47"/>
        <v>-2</v>
      </c>
      <c r="T102" s="176">
        <f t="shared" si="30"/>
        <v>4</v>
      </c>
      <c r="U102" s="250">
        <f t="shared" si="31"/>
        <v>-1.4778298518786948</v>
      </c>
      <c r="V102" s="382">
        <f t="shared" si="32"/>
        <v>56.643889386470086</v>
      </c>
      <c r="W102" s="58"/>
      <c r="X102" s="157">
        <f t="shared" si="33"/>
        <v>43553</v>
      </c>
      <c r="Y102" s="383">
        <f t="shared" si="34"/>
        <v>55.264000000000003</v>
      </c>
      <c r="Z102" s="383">
        <f t="shared" si="35"/>
        <v>55.324403516242278</v>
      </c>
      <c r="AA102" s="384">
        <f t="shared" si="36"/>
        <v>55.663738084317174</v>
      </c>
      <c r="AB102" s="197">
        <f t="shared" si="37"/>
        <v>43553</v>
      </c>
      <c r="AC102" s="424">
        <f t="shared" si="38"/>
        <v>6.096151278250272E-3</v>
      </c>
      <c r="AD102" s="169">
        <f>(INDEX(Models!$BJ102:$BT102,,AH102)*(1-AF102)+INDEX(Models!$BJ102:$BT102,,AH102+1)*AF102-ERP_i)*AE102*Ramure*Pc/MaxiM</f>
        <v>6.4779517240924476E-8</v>
      </c>
      <c r="AE102" s="304">
        <f t="shared" si="39"/>
        <v>0.6</v>
      </c>
      <c r="AF102" s="177">
        <f t="shared" si="40"/>
        <v>0.52217014812130524</v>
      </c>
      <c r="AG102" s="799">
        <f t="shared" si="41"/>
        <v>-2</v>
      </c>
      <c r="AH102" s="176">
        <f t="shared" si="42"/>
        <v>4</v>
      </c>
      <c r="AI102" s="224">
        <f t="shared" si="43"/>
        <v>-1.4778298518786948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43554</v>
      </c>
      <c r="B103" s="607">
        <v>56.331000000000003</v>
      </c>
      <c r="C103" s="388"/>
      <c r="D103" s="391">
        <f t="shared" si="48"/>
        <v>56.393650517998609</v>
      </c>
      <c r="E103" s="383">
        <f t="shared" si="49"/>
        <v>56.745530554439114</v>
      </c>
      <c r="F103" s="383">
        <f t="shared" si="50"/>
        <v>56.745534114329011</v>
      </c>
      <c r="G103" s="110">
        <f t="shared" si="51"/>
        <v>0.98976809656042419</v>
      </c>
      <c r="I103" s="379">
        <f t="shared" si="24"/>
        <v>56.745534114329011</v>
      </c>
      <c r="J103" s="85">
        <v>2018</v>
      </c>
      <c r="K103" s="197">
        <f t="shared" si="25"/>
        <v>43554</v>
      </c>
      <c r="L103" s="435">
        <f t="shared" si="26"/>
        <v>1.1109498573533827E-3</v>
      </c>
      <c r="M103" s="842"/>
      <c r="N103" s="842"/>
      <c r="O103" s="323">
        <f t="shared" si="27"/>
        <v>6.2010176484812362E-3</v>
      </c>
      <c r="P103" s="169">
        <f>(INDEX(Models!$BJ103:$BT103,,T103)*(1-R103)+INDEX(Models!$BJ103:$BT103,,T103+1)*R103-ERP_i)*Q103*Ramure*Pc/MaxiM</f>
        <v>6.3664863782584381E-8</v>
      </c>
      <c r="Q103" s="304">
        <f t="shared" si="28"/>
        <v>0.6</v>
      </c>
      <c r="R103" s="177">
        <f t="shared" si="29"/>
        <v>0.52311752247292342</v>
      </c>
      <c r="S103" s="799">
        <f t="shared" si="47"/>
        <v>-2</v>
      </c>
      <c r="T103" s="176">
        <f t="shared" si="30"/>
        <v>4</v>
      </c>
      <c r="U103" s="250">
        <f t="shared" si="31"/>
        <v>-1.4768824775270766</v>
      </c>
      <c r="V103" s="382">
        <f t="shared" si="32"/>
        <v>56.913331661564634</v>
      </c>
      <c r="W103" s="58"/>
      <c r="X103" s="157">
        <f t="shared" si="33"/>
        <v>43554</v>
      </c>
      <c r="Y103" s="383">
        <f t="shared" si="34"/>
        <v>56.331000000000003</v>
      </c>
      <c r="Z103" s="383">
        <f t="shared" si="35"/>
        <v>56.393650517998609</v>
      </c>
      <c r="AA103" s="384">
        <f t="shared" si="36"/>
        <v>56.745530554439114</v>
      </c>
      <c r="AB103" s="197">
        <f t="shared" si="37"/>
        <v>43554</v>
      </c>
      <c r="AC103" s="424">
        <f t="shared" si="38"/>
        <v>6.2010176484812362E-3</v>
      </c>
      <c r="AD103" s="169">
        <f>(INDEX(Models!$BJ103:$BT103,,AH103)*(1-AF103)+INDEX(Models!$BJ103:$BT103,,AH103+1)*AF103-ERP_i)*AE103*Ramure*Pc/MaxiM</f>
        <v>6.3664863782584381E-8</v>
      </c>
      <c r="AE103" s="304">
        <f t="shared" si="39"/>
        <v>0.6</v>
      </c>
      <c r="AF103" s="177">
        <f t="shared" si="40"/>
        <v>0.52311752247292342</v>
      </c>
      <c r="AG103" s="799">
        <f t="shared" si="41"/>
        <v>-2</v>
      </c>
      <c r="AH103" s="176">
        <f t="shared" si="42"/>
        <v>4</v>
      </c>
      <c r="AI103" s="224">
        <f t="shared" si="43"/>
        <v>-1.4768824775270766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43555</v>
      </c>
      <c r="B104" s="607">
        <v>49.469000000000001</v>
      </c>
      <c r="C104" s="388"/>
      <c r="D104" s="391">
        <f t="shared" si="48"/>
        <v>49.524967836222132</v>
      </c>
      <c r="E104" s="383">
        <f t="shared" si="49"/>
        <v>49.839247595722128</v>
      </c>
      <c r="F104" s="383">
        <f t="shared" si="50"/>
        <v>49.839250107991163</v>
      </c>
      <c r="G104" s="110">
        <f t="shared" si="51"/>
        <v>0.86522873827899049</v>
      </c>
      <c r="I104" s="379">
        <f t="shared" si="24"/>
        <v>49.839250107991163</v>
      </c>
      <c r="J104" s="85">
        <v>2018</v>
      </c>
      <c r="K104" s="197">
        <f t="shared" si="25"/>
        <v>43555</v>
      </c>
      <c r="L104" s="435">
        <f t="shared" si="26"/>
        <v>1.1300933381162004E-3</v>
      </c>
      <c r="M104" s="842"/>
      <c r="N104" s="842"/>
      <c r="O104" s="323">
        <f t="shared" si="27"/>
        <v>6.3058688616112165E-3</v>
      </c>
      <c r="P104" s="169">
        <f>(INDEX(Models!$BJ104:$BT104,,T104)*(1-R104)+INDEX(Models!$BJ104:$BT104,,T104+1)*R104-ERP_i)*Q104*Ramure*Pc/MaxiM</f>
        <v>6.2426422013888735E-8</v>
      </c>
      <c r="Q104" s="304">
        <f t="shared" si="28"/>
        <v>0.6</v>
      </c>
      <c r="R104" s="177">
        <f t="shared" si="29"/>
        <v>0.52410064695658787</v>
      </c>
      <c r="S104" s="799">
        <f t="shared" si="47"/>
        <v>-2</v>
      </c>
      <c r="T104" s="176">
        <f t="shared" si="30"/>
        <v>4</v>
      </c>
      <c r="U104" s="250">
        <f t="shared" si="31"/>
        <v>-1.4758993530434121</v>
      </c>
      <c r="V104" s="382">
        <f t="shared" si="32"/>
        <v>57.174475623441253</v>
      </c>
      <c r="W104" s="58"/>
      <c r="X104" s="157">
        <f t="shared" si="33"/>
        <v>43555</v>
      </c>
      <c r="Y104" s="383">
        <f t="shared" si="34"/>
        <v>49.469000000000001</v>
      </c>
      <c r="Z104" s="383">
        <f t="shared" si="35"/>
        <v>49.524967836222132</v>
      </c>
      <c r="AA104" s="384">
        <f t="shared" si="36"/>
        <v>49.839247595722128</v>
      </c>
      <c r="AB104" s="197">
        <f t="shared" si="37"/>
        <v>43555</v>
      </c>
      <c r="AC104" s="424">
        <f t="shared" si="38"/>
        <v>6.3058688616112165E-3</v>
      </c>
      <c r="AD104" s="169">
        <f>(INDEX(Models!$BJ104:$BT104,,AH104)*(1-AF104)+INDEX(Models!$BJ104:$BT104,,AH104+1)*AF104-ERP_i)*AE104*Ramure*Pc/MaxiM</f>
        <v>6.2426422013888735E-8</v>
      </c>
      <c r="AE104" s="304">
        <f t="shared" si="39"/>
        <v>0.6</v>
      </c>
      <c r="AF104" s="177">
        <f t="shared" si="40"/>
        <v>0.52410064695658787</v>
      </c>
      <c r="AG104" s="799">
        <f t="shared" si="41"/>
        <v>-2</v>
      </c>
      <c r="AH104" s="176">
        <f t="shared" si="42"/>
        <v>4</v>
      </c>
      <c r="AI104" s="224">
        <f t="shared" si="43"/>
        <v>-1.4758993530434121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6"/>
        <v>43556</v>
      </c>
      <c r="B105" s="607">
        <v>40.826000000000001</v>
      </c>
      <c r="C105" s="388"/>
      <c r="D105" s="391">
        <f t="shared" si="48"/>
        <v>40.872972710140033</v>
      </c>
      <c r="E105" s="383">
        <f t="shared" si="49"/>
        <v>41.136688089323918</v>
      </c>
      <c r="F105" s="383">
        <f t="shared" si="50"/>
        <v>41.136689563775747</v>
      </c>
      <c r="G105" s="110">
        <f t="shared" si="51"/>
        <v>0.71092518232432866</v>
      </c>
      <c r="I105" s="379">
        <f t="shared" si="24"/>
        <v>41.136689563775747</v>
      </c>
      <c r="J105" s="85">
        <v>2018</v>
      </c>
      <c r="K105" s="197">
        <f t="shared" si="25"/>
        <v>43556</v>
      </c>
      <c r="L105" s="435">
        <f t="shared" si="26"/>
        <v>1.1492364519984921E-3</v>
      </c>
      <c r="M105" s="842"/>
      <c r="N105" s="842"/>
      <c r="O105" s="323">
        <f t="shared" si="27"/>
        <v>6.4107100360450663E-3</v>
      </c>
      <c r="P105" s="169">
        <f>(INDEX(Models!$BJ105:$BT105,,T105)*(1-R105)+INDEX(Models!$BJ105:$BT105,,T105+1)*R105-ERP_i)*Q105*Ramure*Pc/MaxiM</f>
        <v>6.1057147813514774E-8</v>
      </c>
      <c r="Q105" s="304">
        <f t="shared" si="28"/>
        <v>0.6</v>
      </c>
      <c r="R105" s="177">
        <f t="shared" si="29"/>
        <v>0.52512070602587313</v>
      </c>
      <c r="S105" s="799">
        <f t="shared" si="47"/>
        <v>-2</v>
      </c>
      <c r="T105" s="176">
        <f t="shared" si="30"/>
        <v>4</v>
      </c>
      <c r="U105" s="250">
        <f t="shared" si="31"/>
        <v>-1.4748792939741269</v>
      </c>
      <c r="V105" s="382">
        <f t="shared" si="32"/>
        <v>57.426575940267682</v>
      </c>
      <c r="W105" s="58"/>
      <c r="X105" s="157">
        <f t="shared" si="33"/>
        <v>43556</v>
      </c>
      <c r="Y105" s="383">
        <f t="shared" si="34"/>
        <v>40.826000000000001</v>
      </c>
      <c r="Z105" s="383">
        <f t="shared" si="35"/>
        <v>40.872972710140033</v>
      </c>
      <c r="AA105" s="384">
        <f t="shared" si="36"/>
        <v>41.136688089323918</v>
      </c>
      <c r="AB105" s="197">
        <f t="shared" si="37"/>
        <v>43556</v>
      </c>
      <c r="AC105" s="424">
        <f t="shared" si="38"/>
        <v>6.4107100360450663E-3</v>
      </c>
      <c r="AD105" s="169">
        <f>(INDEX(Models!$BJ105:$BT105,,AH105)*(1-AF105)+INDEX(Models!$BJ105:$BT105,,AH105+1)*AF105-ERP_i)*AE105*Ramure*Pc/MaxiM</f>
        <v>6.1057147813514774E-8</v>
      </c>
      <c r="AE105" s="304">
        <f t="shared" si="39"/>
        <v>0.6</v>
      </c>
      <c r="AF105" s="177">
        <f t="shared" si="40"/>
        <v>0.52512070602587313</v>
      </c>
      <c r="AG105" s="799">
        <f t="shared" si="41"/>
        <v>-2</v>
      </c>
      <c r="AH105" s="176">
        <f t="shared" si="42"/>
        <v>4</v>
      </c>
      <c r="AI105" s="224">
        <f t="shared" si="43"/>
        <v>-1.4748792939741269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6"/>
        <v>43557</v>
      </c>
      <c r="B106" s="607">
        <v>15.173</v>
      </c>
      <c r="C106" s="388"/>
      <c r="D106" s="391">
        <f t="shared" si="48"/>
        <v>15.190748554628579</v>
      </c>
      <c r="E106" s="383">
        <f t="shared" si="49"/>
        <v>15.290373693742533</v>
      </c>
      <c r="F106" s="383">
        <f t="shared" si="50"/>
        <v>15.290373693742533</v>
      </c>
      <c r="G106" s="110">
        <f t="shared" si="51"/>
        <v>0.26310545803296409</v>
      </c>
      <c r="I106" s="379">
        <f t="shared" si="24"/>
        <v>15.290373693742533</v>
      </c>
      <c r="J106" s="85">
        <v>2018</v>
      </c>
      <c r="K106" s="197">
        <f t="shared" si="25"/>
        <v>43557</v>
      </c>
      <c r="L106" s="435">
        <f t="shared" si="26"/>
        <v>1.1683791990073633E-3</v>
      </c>
      <c r="M106" s="842"/>
      <c r="N106" s="842"/>
      <c r="O106" s="323">
        <f t="shared" si="27"/>
        <v>6.5155463894727905E-3</v>
      </c>
      <c r="P106" s="169">
        <f>(INDEX(Models!$BJ106:$BT106,,T106)*(1-R106)+INDEX(Models!$BJ106:$BT106,,T106+1)*R106-ERP_i)*Q106*Ramure*Pc/MaxiM</f>
        <v>5.9549410233041314E-8</v>
      </c>
      <c r="Q106" s="304">
        <f t="shared" si="28"/>
        <v>0.6</v>
      </c>
      <c r="R106" s="177">
        <f t="shared" si="29"/>
        <v>0.52617891007531248</v>
      </c>
      <c r="S106" s="799">
        <f t="shared" si="47"/>
        <v>-2</v>
      </c>
      <c r="T106" s="176">
        <f t="shared" si="30"/>
        <v>4</v>
      </c>
      <c r="U106" s="250">
        <f t="shared" si="31"/>
        <v>-1.4738210899246875</v>
      </c>
      <c r="V106" s="382">
        <f t="shared" si="32"/>
        <v>57.668887638795368</v>
      </c>
      <c r="W106" s="58"/>
      <c r="X106" s="157">
        <f t="shared" si="33"/>
        <v>43557</v>
      </c>
      <c r="Y106" s="383">
        <f t="shared" si="34"/>
        <v>15.173</v>
      </c>
      <c r="Z106" s="383">
        <f t="shared" si="35"/>
        <v>15.190748554628579</v>
      </c>
      <c r="AA106" s="384">
        <f t="shared" si="36"/>
        <v>15.290373693742533</v>
      </c>
      <c r="AB106" s="197">
        <f t="shared" si="37"/>
        <v>43557</v>
      </c>
      <c r="AC106" s="424">
        <f t="shared" si="38"/>
        <v>6.5155463894727905E-3</v>
      </c>
      <c r="AD106" s="169">
        <f>(INDEX(Models!$BJ106:$BT106,,AH106)*(1-AF106)+INDEX(Models!$BJ106:$BT106,,AH106+1)*AF106-ERP_i)*AE106*Ramure*Pc/MaxiM</f>
        <v>5.9549410233041314E-8</v>
      </c>
      <c r="AE106" s="304">
        <f t="shared" si="39"/>
        <v>0.6</v>
      </c>
      <c r="AF106" s="177">
        <f t="shared" si="40"/>
        <v>0.52617891007531248</v>
      </c>
      <c r="AG106" s="799">
        <f t="shared" si="41"/>
        <v>-2</v>
      </c>
      <c r="AH106" s="176">
        <f t="shared" si="42"/>
        <v>4</v>
      </c>
      <c r="AI106" s="224">
        <f t="shared" si="43"/>
        <v>-1.4738210899246875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43558</v>
      </c>
      <c r="B107" s="607">
        <v>15.244999999999999</v>
      </c>
      <c r="C107" s="388"/>
      <c r="D107" s="391">
        <f t="shared" si="48"/>
        <v>15.263125290647913</v>
      </c>
      <c r="E107" s="383">
        <f t="shared" si="49"/>
        <v>15.364846462495281</v>
      </c>
      <c r="F107" s="383">
        <f t="shared" si="50"/>
        <v>15.364846462495281</v>
      </c>
      <c r="G107" s="110">
        <f t="shared" si="51"/>
        <v>0.26328829669254511</v>
      </c>
      <c r="I107" s="379">
        <f t="shared" si="24"/>
        <v>15.364846462495281</v>
      </c>
      <c r="J107" s="85">
        <v>2018</v>
      </c>
      <c r="K107" s="197">
        <f t="shared" si="25"/>
        <v>43558</v>
      </c>
      <c r="L107" s="435">
        <f t="shared" si="26"/>
        <v>1.1875215791499194E-3</v>
      </c>
      <c r="M107" s="842"/>
      <c r="N107" s="842"/>
      <c r="O107" s="323">
        <f t="shared" si="27"/>
        <v>6.6203832297097118E-3</v>
      </c>
      <c r="P107" s="169">
        <f>(INDEX(Models!$BJ107:$BT107,,T107)*(1-R107)+INDEX(Models!$BJ107:$BT107,,T107+1)*R107-ERP_i)*Q107*Ramure*Pc/MaxiM</f>
        <v>5.7893310337608427E-8</v>
      </c>
      <c r="Q107" s="304">
        <f t="shared" si="28"/>
        <v>0.6</v>
      </c>
      <c r="R107" s="177">
        <f t="shared" si="29"/>
        <v>0.52727649488012585</v>
      </c>
      <c r="S107" s="799">
        <f t="shared" si="47"/>
        <v>-2</v>
      </c>
      <c r="T107" s="176">
        <f t="shared" si="30"/>
        <v>4</v>
      </c>
      <c r="U107" s="250">
        <f t="shared" si="31"/>
        <v>-1.4727235051198742</v>
      </c>
      <c r="V107" s="382">
        <f t="shared" si="32"/>
        <v>57.902304465962757</v>
      </c>
      <c r="W107" s="58"/>
      <c r="X107" s="157">
        <f t="shared" si="33"/>
        <v>43558</v>
      </c>
      <c r="Y107" s="383">
        <f t="shared" si="34"/>
        <v>15.244999999999999</v>
      </c>
      <c r="Z107" s="383">
        <f t="shared" si="35"/>
        <v>15.263125290647913</v>
      </c>
      <c r="AA107" s="384">
        <f t="shared" si="36"/>
        <v>15.364846462495281</v>
      </c>
      <c r="AB107" s="197">
        <f t="shared" si="37"/>
        <v>43558</v>
      </c>
      <c r="AC107" s="424">
        <f t="shared" si="38"/>
        <v>6.6203832297097118E-3</v>
      </c>
      <c r="AD107" s="169">
        <f>(INDEX(Models!$BJ107:$BT107,,AH107)*(1-AF107)+INDEX(Models!$BJ107:$BT107,,AH107+1)*AF107-ERP_i)*AE107*Ramure*Pc/MaxiM</f>
        <v>5.7893310337608427E-8</v>
      </c>
      <c r="AE107" s="304">
        <f t="shared" si="39"/>
        <v>0.6</v>
      </c>
      <c r="AF107" s="177">
        <f t="shared" si="40"/>
        <v>0.52727649488012585</v>
      </c>
      <c r="AG107" s="799">
        <f t="shared" si="41"/>
        <v>-2</v>
      </c>
      <c r="AH107" s="176">
        <f t="shared" si="42"/>
        <v>4</v>
      </c>
      <c r="AI107" s="224">
        <f t="shared" si="43"/>
        <v>-1.4727235051198742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43559</v>
      </c>
      <c r="B108" s="607">
        <v>37.435000000000002</v>
      </c>
      <c r="C108" s="388"/>
      <c r="D108" s="391">
        <f t="shared" si="48"/>
        <v>37.480226024179544</v>
      </c>
      <c r="E108" s="383">
        <f t="shared" si="49"/>
        <v>37.733995670885555</v>
      </c>
      <c r="F108" s="383">
        <f t="shared" si="50"/>
        <v>37.733996712215074</v>
      </c>
      <c r="G108" s="110">
        <f t="shared" si="51"/>
        <v>0.64400654567701299</v>
      </c>
      <c r="I108" s="379">
        <f t="shared" si="24"/>
        <v>37.733996712215074</v>
      </c>
      <c r="J108" s="85">
        <v>2018</v>
      </c>
      <c r="K108" s="197">
        <f t="shared" si="25"/>
        <v>43559</v>
      </c>
      <c r="L108" s="435">
        <f t="shared" si="26"/>
        <v>1.2066635924331548E-3</v>
      </c>
      <c r="M108" s="842"/>
      <c r="N108" s="842"/>
      <c r="O108" s="323">
        <f t="shared" si="27"/>
        <v>6.7252259453087918E-3</v>
      </c>
      <c r="P108" s="169">
        <f>(INDEX(Models!$BJ108:$BT108,,T108)*(1-R108)+INDEX(Models!$BJ108:$BT108,,T108+1)*R108-ERP_i)*Q108*Ramure*Pc/MaxiM</f>
        <v>5.6154774000214779E-8</v>
      </c>
      <c r="Q108" s="304">
        <f t="shared" si="28"/>
        <v>0.6</v>
      </c>
      <c r="R108" s="177">
        <f t="shared" si="29"/>
        <v>0.52841472091497854</v>
      </c>
      <c r="S108" s="799">
        <f t="shared" si="47"/>
        <v>-2</v>
      </c>
      <c r="T108" s="176">
        <f t="shared" si="30"/>
        <v>4</v>
      </c>
      <c r="U108" s="250">
        <f t="shared" si="31"/>
        <v>-1.4715852790850215</v>
      </c>
      <c r="V108" s="382">
        <f t="shared" si="32"/>
        <v>58.128289506080456</v>
      </c>
      <c r="W108" s="58"/>
      <c r="X108" s="157">
        <f t="shared" si="33"/>
        <v>43559</v>
      </c>
      <c r="Y108" s="383">
        <f t="shared" si="34"/>
        <v>37.435000000000002</v>
      </c>
      <c r="Z108" s="383">
        <f t="shared" si="35"/>
        <v>37.480226024179544</v>
      </c>
      <c r="AA108" s="384">
        <f t="shared" si="36"/>
        <v>37.733995670885555</v>
      </c>
      <c r="AB108" s="197">
        <f t="shared" si="37"/>
        <v>43559</v>
      </c>
      <c r="AC108" s="424">
        <f t="shared" si="38"/>
        <v>6.7252259453087918E-3</v>
      </c>
      <c r="AD108" s="169">
        <f>(INDEX(Models!$BJ108:$BT108,,AH108)*(1-AF108)+INDEX(Models!$BJ108:$BT108,,AH108+1)*AF108-ERP_i)*AE108*Ramure*Pc/MaxiM</f>
        <v>5.6154774000214779E-8</v>
      </c>
      <c r="AE108" s="304">
        <f t="shared" si="39"/>
        <v>0.6</v>
      </c>
      <c r="AF108" s="177">
        <f t="shared" si="40"/>
        <v>0.52841472091497854</v>
      </c>
      <c r="AG108" s="799">
        <f t="shared" si="41"/>
        <v>-2</v>
      </c>
      <c r="AH108" s="176">
        <f t="shared" si="42"/>
        <v>4</v>
      </c>
      <c r="AI108" s="224">
        <f t="shared" si="43"/>
        <v>-1.4715852790850215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43560</v>
      </c>
      <c r="B109" s="607">
        <v>53.64</v>
      </c>
      <c r="C109" s="388"/>
      <c r="D109" s="391">
        <f t="shared" si="48"/>
        <v>53.70583289131573</v>
      </c>
      <c r="E109" s="383">
        <f t="shared" si="49"/>
        <v>54.075170632530536</v>
      </c>
      <c r="F109" s="383">
        <f t="shared" si="50"/>
        <v>54.075173225205987</v>
      </c>
      <c r="G109" s="110">
        <f t="shared" si="51"/>
        <v>0.9193282220045812</v>
      </c>
      <c r="I109" s="379">
        <f t="shared" si="24"/>
        <v>54.075173225205987</v>
      </c>
      <c r="J109" s="85">
        <v>2018</v>
      </c>
      <c r="K109" s="197">
        <f t="shared" si="25"/>
        <v>43560</v>
      </c>
      <c r="L109" s="435">
        <f t="shared" si="26"/>
        <v>1.2258052388639529E-3</v>
      </c>
      <c r="M109" s="842"/>
      <c r="N109" s="842"/>
      <c r="O109" s="323">
        <f t="shared" si="27"/>
        <v>6.8300799959495817E-3</v>
      </c>
      <c r="P109" s="169">
        <f>(INDEX(Models!$BJ109:$BT109,,T109)*(1-R109)+INDEX(Models!$BJ109:$BT109,,T109+1)*R109-ERP_i)*Q109*Ramure*Pc/MaxiM</f>
        <v>5.419102935730073E-8</v>
      </c>
      <c r="Q109" s="304">
        <f t="shared" si="28"/>
        <v>0.6</v>
      </c>
      <c r="R109" s="177">
        <f t="shared" si="29"/>
        <v>0.52959487254299731</v>
      </c>
      <c r="S109" s="799">
        <f t="shared" si="47"/>
        <v>-2</v>
      </c>
      <c r="T109" s="176">
        <f t="shared" si="30"/>
        <v>4</v>
      </c>
      <c r="U109" s="250">
        <f t="shared" si="31"/>
        <v>-1.4704051274570027</v>
      </c>
      <c r="V109" s="382">
        <f t="shared" si="32"/>
        <v>58.346952025515662</v>
      </c>
      <c r="W109" s="58"/>
      <c r="X109" s="157">
        <f t="shared" si="33"/>
        <v>43560</v>
      </c>
      <c r="Y109" s="383">
        <f t="shared" si="34"/>
        <v>53.64</v>
      </c>
      <c r="Z109" s="383">
        <f t="shared" si="35"/>
        <v>53.70583289131573</v>
      </c>
      <c r="AA109" s="384">
        <f t="shared" si="36"/>
        <v>54.075170632530536</v>
      </c>
      <c r="AB109" s="197">
        <f t="shared" si="37"/>
        <v>43560</v>
      </c>
      <c r="AC109" s="424">
        <f t="shared" si="38"/>
        <v>6.8300799959495817E-3</v>
      </c>
      <c r="AD109" s="169">
        <f>(INDEX(Models!$BJ109:$BT109,,AH109)*(1-AF109)+INDEX(Models!$BJ109:$BT109,,AH109+1)*AF109-ERP_i)*AE109*Ramure*Pc/MaxiM</f>
        <v>5.419102935730073E-8</v>
      </c>
      <c r="AE109" s="304">
        <f t="shared" si="39"/>
        <v>0.6</v>
      </c>
      <c r="AF109" s="177">
        <f t="shared" si="40"/>
        <v>0.52959487254299731</v>
      </c>
      <c r="AG109" s="799">
        <f t="shared" si="41"/>
        <v>-2</v>
      </c>
      <c r="AH109" s="176">
        <f t="shared" si="42"/>
        <v>4</v>
      </c>
      <c r="AI109" s="224">
        <f t="shared" si="43"/>
        <v>-1.4704051274570027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6"/>
        <v>43561</v>
      </c>
      <c r="B110" s="607">
        <v>17.911999999999999</v>
      </c>
      <c r="C110" s="388"/>
      <c r="D110" s="391">
        <f t="shared" si="48"/>
        <v>17.934327278305862</v>
      </c>
      <c r="E110" s="383">
        <f t="shared" si="49"/>
        <v>18.059569506153135</v>
      </c>
      <c r="F110" s="383">
        <f t="shared" si="50"/>
        <v>18.059569514042781</v>
      </c>
      <c r="G110" s="110">
        <f t="shared" si="51"/>
        <v>0.30588265223047584</v>
      </c>
      <c r="I110" s="379">
        <f t="shared" si="24"/>
        <v>18.059569514042781</v>
      </c>
      <c r="J110" s="85">
        <v>2018</v>
      </c>
      <c r="K110" s="197">
        <f t="shared" si="25"/>
        <v>43561</v>
      </c>
      <c r="L110" s="435">
        <f t="shared" si="26"/>
        <v>1.2449465184496411E-3</v>
      </c>
      <c r="M110" s="842"/>
      <c r="N110" s="842"/>
      <c r="O110" s="323">
        <f t="shared" si="27"/>
        <v>6.9349509026005902E-3</v>
      </c>
      <c r="P110" s="169">
        <f>(INDEX(Models!$BJ110:$BT110,,T110)*(1-R110)+INDEX(Models!$BJ110:$BT110,,T110+1)*R110-ERP_i)*Q110*Ramure*Pc/MaxiM</f>
        <v>5.1984489560265137E-8</v>
      </c>
      <c r="Q110" s="304">
        <f t="shared" si="28"/>
        <v>0.6</v>
      </c>
      <c r="R110" s="177">
        <f t="shared" si="29"/>
        <v>0.53081825706603758</v>
      </c>
      <c r="S110" s="799">
        <f t="shared" si="47"/>
        <v>-2</v>
      </c>
      <c r="T110" s="176">
        <f t="shared" si="30"/>
        <v>4</v>
      </c>
      <c r="U110" s="250">
        <f t="shared" si="31"/>
        <v>-1.4691817429339624</v>
      </c>
      <c r="V110" s="382">
        <f t="shared" si="32"/>
        <v>58.558401223691178</v>
      </c>
      <c r="W110" s="58"/>
      <c r="X110" s="157">
        <f t="shared" si="33"/>
        <v>43561</v>
      </c>
      <c r="Y110" s="383">
        <f t="shared" si="34"/>
        <v>17.911999999999999</v>
      </c>
      <c r="Z110" s="383">
        <f t="shared" si="35"/>
        <v>17.934327278305862</v>
      </c>
      <c r="AA110" s="384">
        <f t="shared" si="36"/>
        <v>18.059569506153135</v>
      </c>
      <c r="AB110" s="197">
        <f t="shared" si="37"/>
        <v>43561</v>
      </c>
      <c r="AC110" s="424">
        <f t="shared" si="38"/>
        <v>6.9349509026005902E-3</v>
      </c>
      <c r="AD110" s="169">
        <f>(INDEX(Models!$BJ110:$BT110,,AH110)*(1-AF110)+INDEX(Models!$BJ110:$BT110,,AH110+1)*AF110-ERP_i)*AE110*Ramure*Pc/MaxiM</f>
        <v>5.1984489560265137E-8</v>
      </c>
      <c r="AE110" s="304">
        <f t="shared" si="39"/>
        <v>0.6</v>
      </c>
      <c r="AF110" s="177">
        <f t="shared" si="40"/>
        <v>0.53081825706603758</v>
      </c>
      <c r="AG110" s="799">
        <f t="shared" si="41"/>
        <v>-2</v>
      </c>
      <c r="AH110" s="176">
        <f t="shared" si="42"/>
        <v>4</v>
      </c>
      <c r="AI110" s="224">
        <f t="shared" si="43"/>
        <v>-1.4691817429339624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43562</v>
      </c>
      <c r="B111" s="607">
        <v>31.536999999999999</v>
      </c>
      <c r="C111" s="388"/>
      <c r="D111" s="391">
        <f t="shared" si="48"/>
        <v>31.576915982609577</v>
      </c>
      <c r="E111" s="383">
        <f t="shared" si="49"/>
        <v>31.800788580846667</v>
      </c>
      <c r="F111" s="383">
        <f t="shared" si="50"/>
        <v>31.800789113269119</v>
      </c>
      <c r="G111" s="110">
        <f t="shared" si="51"/>
        <v>0.53668354502665738</v>
      </c>
      <c r="I111" s="379">
        <f t="shared" si="24"/>
        <v>31.800789113269119</v>
      </c>
      <c r="J111" s="85">
        <v>2018</v>
      </c>
      <c r="K111" s="197">
        <f t="shared" si="25"/>
        <v>43562</v>
      </c>
      <c r="L111" s="435">
        <f t="shared" si="26"/>
        <v>1.2640874311968808E-3</v>
      </c>
      <c r="M111" s="842"/>
      <c r="N111" s="842"/>
      <c r="O111" s="323">
        <f t="shared" si="27"/>
        <v>7.0398442374453429E-3</v>
      </c>
      <c r="P111" s="169">
        <f>(INDEX(Models!$BJ111:$BT111,,T111)*(1-R111)+INDEX(Models!$BJ111:$BT111,,T111+1)*R111-ERP_i)*Q111*Ramure*Pc/MaxiM</f>
        <v>4.9516324958907705E-8</v>
      </c>
      <c r="Q111" s="304">
        <f t="shared" si="28"/>
        <v>0.6</v>
      </c>
      <c r="R111" s="177">
        <f t="shared" si="29"/>
        <v>0.53208620362698666</v>
      </c>
      <c r="S111" s="799">
        <f t="shared" si="47"/>
        <v>-2</v>
      </c>
      <c r="T111" s="176">
        <f t="shared" si="30"/>
        <v>4</v>
      </c>
      <c r="U111" s="250">
        <f t="shared" si="31"/>
        <v>-1.4679137963730133</v>
      </c>
      <c r="V111" s="382">
        <f t="shared" si="32"/>
        <v>58.762746237809772</v>
      </c>
      <c r="W111" s="58"/>
      <c r="X111" s="157">
        <f t="shared" si="33"/>
        <v>43562</v>
      </c>
      <c r="Y111" s="383">
        <f t="shared" si="34"/>
        <v>31.536999999999999</v>
      </c>
      <c r="Z111" s="383">
        <f t="shared" si="35"/>
        <v>31.576915982609577</v>
      </c>
      <c r="AA111" s="384">
        <f t="shared" si="36"/>
        <v>31.800788580846667</v>
      </c>
      <c r="AB111" s="197">
        <f t="shared" si="37"/>
        <v>43562</v>
      </c>
      <c r="AC111" s="424">
        <f t="shared" si="38"/>
        <v>7.0398442374453429E-3</v>
      </c>
      <c r="AD111" s="169">
        <f>(INDEX(Models!$BJ111:$BT111,,AH111)*(1-AF111)+INDEX(Models!$BJ111:$BT111,,AH111+1)*AF111-ERP_i)*AE111*Ramure*Pc/MaxiM</f>
        <v>4.9516324958907705E-8</v>
      </c>
      <c r="AE111" s="304">
        <f t="shared" si="39"/>
        <v>0.6</v>
      </c>
      <c r="AF111" s="177">
        <f t="shared" si="40"/>
        <v>0.53208620362698666</v>
      </c>
      <c r="AG111" s="799">
        <f t="shared" si="41"/>
        <v>-2</v>
      </c>
      <c r="AH111" s="176">
        <f t="shared" si="42"/>
        <v>4</v>
      </c>
      <c r="AI111" s="224">
        <f t="shared" si="43"/>
        <v>-1.4679137963730133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6"/>
        <v>43563</v>
      </c>
      <c r="B112" s="607">
        <v>36.951999999999998</v>
      </c>
      <c r="C112" s="388"/>
      <c r="D112" s="391">
        <f t="shared" si="48"/>
        <v>36.999478766291503</v>
      </c>
      <c r="E112" s="383">
        <f t="shared" si="49"/>
        <v>37.265733698987958</v>
      </c>
      <c r="F112" s="383">
        <f t="shared" si="50"/>
        <v>37.265734512442158</v>
      </c>
      <c r="G112" s="110">
        <f t="shared" si="51"/>
        <v>0.62672894877228247</v>
      </c>
      <c r="I112" s="379">
        <f t="shared" si="24"/>
        <v>37.265734512442158</v>
      </c>
      <c r="J112" s="85">
        <v>2018</v>
      </c>
      <c r="K112" s="197">
        <f t="shared" si="25"/>
        <v>43563</v>
      </c>
      <c r="L112" s="435">
        <f t="shared" si="26"/>
        <v>1.2832279771129995E-3</v>
      </c>
      <c r="M112" s="842"/>
      <c r="N112" s="842"/>
      <c r="O112" s="323">
        <f t="shared" si="27"/>
        <v>7.1447656135557791E-3</v>
      </c>
      <c r="P112" s="169">
        <f>(INDEX(Models!$BJ112:$BT112,,T112)*(1-R112)+INDEX(Models!$BJ112:$BT112,,T112+1)*R112-ERP_i)*Q112*Ramure*Pc/MaxiM</f>
        <v>4.6766387526626335E-8</v>
      </c>
      <c r="Q112" s="304">
        <f t="shared" si="28"/>
        <v>0.6</v>
      </c>
      <c r="R112" s="177">
        <f t="shared" si="29"/>
        <v>0.53340006195473011</v>
      </c>
      <c r="S112" s="799">
        <f t="shared" si="47"/>
        <v>-2</v>
      </c>
      <c r="T112" s="176">
        <f t="shared" si="30"/>
        <v>4</v>
      </c>
      <c r="U112" s="250">
        <f t="shared" si="31"/>
        <v>-1.4665999380452699</v>
      </c>
      <c r="V112" s="382">
        <f t="shared" si="32"/>
        <v>58.960096148232225</v>
      </c>
      <c r="W112" s="58"/>
      <c r="X112" s="157">
        <f t="shared" si="33"/>
        <v>43563</v>
      </c>
      <c r="Y112" s="383">
        <f t="shared" si="34"/>
        <v>36.951999999999998</v>
      </c>
      <c r="Z112" s="383">
        <f t="shared" si="35"/>
        <v>36.999478766291503</v>
      </c>
      <c r="AA112" s="384">
        <f t="shared" si="36"/>
        <v>37.265733698987958</v>
      </c>
      <c r="AB112" s="197">
        <f t="shared" si="37"/>
        <v>43563</v>
      </c>
      <c r="AC112" s="424">
        <f t="shared" si="38"/>
        <v>7.1447656135557791E-3</v>
      </c>
      <c r="AD112" s="169">
        <f>(INDEX(Models!$BJ112:$BT112,,AH112)*(1-AF112)+INDEX(Models!$BJ112:$BT112,,AH112+1)*AF112-ERP_i)*AE112*Ramure*Pc/MaxiM</f>
        <v>4.6766387526626335E-8</v>
      </c>
      <c r="AE112" s="304">
        <f t="shared" si="39"/>
        <v>0.6</v>
      </c>
      <c r="AF112" s="177">
        <f t="shared" si="40"/>
        <v>0.53340006195473011</v>
      </c>
      <c r="AG112" s="799">
        <f t="shared" si="41"/>
        <v>-2</v>
      </c>
      <c r="AH112" s="176">
        <f t="shared" si="42"/>
        <v>4</v>
      </c>
      <c r="AI112" s="224">
        <f t="shared" si="43"/>
        <v>-1.4665999380452699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43564</v>
      </c>
      <c r="B113" s="607">
        <v>38.774999999999999</v>
      </c>
      <c r="C113" s="388"/>
      <c r="D113" s="391">
        <f t="shared" si="48"/>
        <v>38.825565179736742</v>
      </c>
      <c r="E113" s="383">
        <f t="shared" si="49"/>
        <v>39.109095195730035</v>
      </c>
      <c r="F113" s="383">
        <f t="shared" si="50"/>
        <v>39.109096064027653</v>
      </c>
      <c r="G113" s="110">
        <f t="shared" si="51"/>
        <v>0.6555305509010847</v>
      </c>
      <c r="I113" s="379">
        <f t="shared" si="24"/>
        <v>39.109096064027653</v>
      </c>
      <c r="J113" s="85">
        <v>2018</v>
      </c>
      <c r="K113" s="197">
        <f t="shared" si="25"/>
        <v>43564</v>
      </c>
      <c r="L113" s="435">
        <f t="shared" si="26"/>
        <v>1.3023681562048806E-3</v>
      </c>
      <c r="M113" s="842"/>
      <c r="N113" s="842"/>
      <c r="O113" s="323">
        <f t="shared" si="27"/>
        <v>7.2497206742908058E-3</v>
      </c>
      <c r="P113" s="169">
        <f>(INDEX(Models!$BJ113:$BT113,,T113)*(1-R113)+INDEX(Models!$BJ113:$BT113,,T113+1)*R113-ERP_i)*Q113*Ramure*Pc/MaxiM</f>
        <v>4.3713132535758647E-8</v>
      </c>
      <c r="Q113" s="304">
        <f t="shared" si="28"/>
        <v>0.6</v>
      </c>
      <c r="R113" s="177">
        <f t="shared" si="29"/>
        <v>0.53476120094229618</v>
      </c>
      <c r="S113" s="799">
        <f t="shared" si="47"/>
        <v>-2</v>
      </c>
      <c r="T113" s="176">
        <f t="shared" si="30"/>
        <v>4</v>
      </c>
      <c r="U113" s="250">
        <f t="shared" si="31"/>
        <v>-1.4652387990577038</v>
      </c>
      <c r="V113" s="382">
        <f t="shared" si="32"/>
        <v>59.150559974060151</v>
      </c>
      <c r="W113" s="58"/>
      <c r="X113" s="157">
        <f t="shared" si="33"/>
        <v>43564</v>
      </c>
      <c r="Y113" s="383">
        <f t="shared" si="34"/>
        <v>38.774999999999999</v>
      </c>
      <c r="Z113" s="383">
        <f t="shared" si="35"/>
        <v>38.825565179736742</v>
      </c>
      <c r="AA113" s="384">
        <f t="shared" si="36"/>
        <v>39.109095195730035</v>
      </c>
      <c r="AB113" s="197">
        <f t="shared" si="37"/>
        <v>43564</v>
      </c>
      <c r="AC113" s="424">
        <f t="shared" si="38"/>
        <v>7.2497206742908058E-3</v>
      </c>
      <c r="AD113" s="169">
        <f>(INDEX(Models!$BJ113:$BT113,,AH113)*(1-AF113)+INDEX(Models!$BJ113:$BT113,,AH113+1)*AF113-ERP_i)*AE113*Ramure*Pc/MaxiM</f>
        <v>4.3713132535758647E-8</v>
      </c>
      <c r="AE113" s="304">
        <f t="shared" si="39"/>
        <v>0.6</v>
      </c>
      <c r="AF113" s="177">
        <f t="shared" si="40"/>
        <v>0.53476120094229618</v>
      </c>
      <c r="AG113" s="799">
        <f t="shared" si="41"/>
        <v>-2</v>
      </c>
      <c r="AH113" s="176">
        <f t="shared" si="42"/>
        <v>4</v>
      </c>
      <c r="AI113" s="224">
        <f t="shared" si="43"/>
        <v>-1.4652387990577038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43565</v>
      </c>
      <c r="B114" s="607">
        <v>35.704999999999998</v>
      </c>
      <c r="C114" s="388"/>
      <c r="D114" s="391">
        <f t="shared" si="48"/>
        <v>35.752246879141836</v>
      </c>
      <c r="E114" s="383">
        <f t="shared" si="49"/>
        <v>36.0171427017954</v>
      </c>
      <c r="F114" s="383">
        <f t="shared" si="50"/>
        <v>36.017143331094914</v>
      </c>
      <c r="G114" s="110">
        <f t="shared" si="51"/>
        <v>0.60176038600641546</v>
      </c>
      <c r="I114" s="379">
        <f t="shared" si="24"/>
        <v>36.017143331094914</v>
      </c>
      <c r="J114" s="85">
        <v>2018</v>
      </c>
      <c r="K114" s="197">
        <f t="shared" si="25"/>
        <v>43565</v>
      </c>
      <c r="L114" s="435">
        <f t="shared" si="26"/>
        <v>1.3215079684796294E-3</v>
      </c>
      <c r="M114" s="842"/>
      <c r="N114" s="842"/>
      <c r="O114" s="323">
        <f t="shared" si="27"/>
        <v>7.3547150823920614E-3</v>
      </c>
      <c r="P114" s="169">
        <f>(INDEX(Models!$BJ114:$BT114,,T114)*(1-R114)+INDEX(Models!$BJ114:$BT114,,T114+1)*R114-ERP_i)*Q114*Ramure*Pc/MaxiM</f>
        <v>4.053068352617859E-8</v>
      </c>
      <c r="Q114" s="304">
        <f t="shared" si="28"/>
        <v>0.6</v>
      </c>
      <c r="R114" s="177">
        <f t="shared" si="29"/>
        <v>0.53617100704863874</v>
      </c>
      <c r="S114" s="799">
        <f t="shared" si="47"/>
        <v>-2</v>
      </c>
      <c r="T114" s="176">
        <f t="shared" si="30"/>
        <v>4</v>
      </c>
      <c r="U114" s="250">
        <f t="shared" si="31"/>
        <v>-1.4638289929513613</v>
      </c>
      <c r="V114" s="382">
        <f t="shared" si="32"/>
        <v>59.33424666527808</v>
      </c>
      <c r="W114" s="58"/>
      <c r="X114" s="157">
        <f t="shared" si="33"/>
        <v>43565</v>
      </c>
      <c r="Y114" s="383">
        <f t="shared" si="34"/>
        <v>35.704999999999998</v>
      </c>
      <c r="Z114" s="383">
        <f t="shared" si="35"/>
        <v>35.752246879141836</v>
      </c>
      <c r="AA114" s="384">
        <f t="shared" si="36"/>
        <v>36.0171427017954</v>
      </c>
      <c r="AB114" s="197">
        <f t="shared" si="37"/>
        <v>43565</v>
      </c>
      <c r="AC114" s="424">
        <f t="shared" si="38"/>
        <v>7.3547150823920614E-3</v>
      </c>
      <c r="AD114" s="169">
        <f>(INDEX(Models!$BJ114:$BT114,,AH114)*(1-AF114)+INDEX(Models!$BJ114:$BT114,,AH114+1)*AF114-ERP_i)*AE114*Ramure*Pc/MaxiM</f>
        <v>4.053068352617859E-8</v>
      </c>
      <c r="AE114" s="304">
        <f t="shared" si="39"/>
        <v>0.6</v>
      </c>
      <c r="AF114" s="177">
        <f t="shared" si="40"/>
        <v>0.53617100704863874</v>
      </c>
      <c r="AG114" s="799">
        <f t="shared" si="41"/>
        <v>-2</v>
      </c>
      <c r="AH114" s="176">
        <f t="shared" si="42"/>
        <v>4</v>
      </c>
      <c r="AI114" s="224">
        <f t="shared" si="43"/>
        <v>-1.4638289929513613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43566</v>
      </c>
      <c r="B115" s="607">
        <v>9.2609999999999992</v>
      </c>
      <c r="C115" s="388"/>
      <c r="D115" s="391">
        <f t="shared" si="48"/>
        <v>9.2734324031696946</v>
      </c>
      <c r="E115" s="383">
        <f t="shared" si="49"/>
        <v>9.3431298582556028</v>
      </c>
      <c r="F115" s="383">
        <f t="shared" si="50"/>
        <v>9.3431298582556028</v>
      </c>
      <c r="G115" s="110">
        <f t="shared" si="51"/>
        <v>0.1556175899794095</v>
      </c>
      <c r="I115" s="379">
        <f t="shared" si="24"/>
        <v>9.3431298582556028</v>
      </c>
      <c r="J115" s="85">
        <v>2018</v>
      </c>
      <c r="K115" s="197">
        <f t="shared" si="25"/>
        <v>43566</v>
      </c>
      <c r="L115" s="435">
        <f t="shared" si="26"/>
        <v>1.3406474139442404E-3</v>
      </c>
      <c r="M115" s="842"/>
      <c r="N115" s="842"/>
      <c r="O115" s="323">
        <f t="shared" si="27"/>
        <v>7.4597545087445013E-3</v>
      </c>
      <c r="P115" s="169">
        <f>(INDEX(Models!$BJ115:$BT115,,T115)*(1-R115)+INDEX(Models!$BJ115:$BT115,,T115+1)*R115-ERP_i)*Q115*Ramure*Pc/MaxiM</f>
        <v>3.7330739822527607E-8</v>
      </c>
      <c r="Q115" s="304">
        <f t="shared" si="28"/>
        <v>0.6</v>
      </c>
      <c r="R115" s="177">
        <f t="shared" si="29"/>
        <v>0.53763088251453572</v>
      </c>
      <c r="S115" s="799">
        <f t="shared" si="47"/>
        <v>-2</v>
      </c>
      <c r="T115" s="176">
        <f t="shared" si="30"/>
        <v>4</v>
      </c>
      <c r="U115" s="250">
        <f t="shared" si="31"/>
        <v>-1.4623691174854643</v>
      </c>
      <c r="V115" s="382">
        <f t="shared" si="32"/>
        <v>59.511265117943189</v>
      </c>
      <c r="W115" s="58"/>
      <c r="X115" s="157">
        <f t="shared" si="33"/>
        <v>43566</v>
      </c>
      <c r="Y115" s="383">
        <f t="shared" si="34"/>
        <v>9.2609999999999992</v>
      </c>
      <c r="Z115" s="383">
        <f t="shared" si="35"/>
        <v>9.2734324031696946</v>
      </c>
      <c r="AA115" s="384">
        <f t="shared" si="36"/>
        <v>9.3431298582556028</v>
      </c>
      <c r="AB115" s="197">
        <f t="shared" si="37"/>
        <v>43566</v>
      </c>
      <c r="AC115" s="424">
        <f t="shared" si="38"/>
        <v>7.4597545087445013E-3</v>
      </c>
      <c r="AD115" s="169">
        <f>(INDEX(Models!$BJ115:$BT115,,AH115)*(1-AF115)+INDEX(Models!$BJ115:$BT115,,AH115+1)*AF115-ERP_i)*AE115*Ramure*Pc/MaxiM</f>
        <v>3.7330739822527607E-8</v>
      </c>
      <c r="AE115" s="304">
        <f t="shared" si="39"/>
        <v>0.6</v>
      </c>
      <c r="AF115" s="177">
        <f t="shared" si="40"/>
        <v>0.53763088251453572</v>
      </c>
      <c r="AG115" s="799">
        <f t="shared" si="41"/>
        <v>-2</v>
      </c>
      <c r="AH115" s="176">
        <f t="shared" si="42"/>
        <v>4</v>
      </c>
      <c r="AI115" s="224">
        <f t="shared" si="43"/>
        <v>-1.4623691174854643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43567</v>
      </c>
      <c r="B116" s="607">
        <v>58.402000000000001</v>
      </c>
      <c r="C116" s="388"/>
      <c r="D116" s="391">
        <f t="shared" si="48"/>
        <v>58.481522384205071</v>
      </c>
      <c r="E116" s="383">
        <f t="shared" si="49"/>
        <v>58.92729823930695</v>
      </c>
      <c r="F116" s="383">
        <f t="shared" si="50"/>
        <v>58.927300188726889</v>
      </c>
      <c r="G116" s="110">
        <f t="shared" si="51"/>
        <v>0.97855751891312193</v>
      </c>
      <c r="I116" s="379">
        <f t="shared" si="24"/>
        <v>58.927300188726889</v>
      </c>
      <c r="J116" s="85">
        <v>2018</v>
      </c>
      <c r="K116" s="197">
        <f t="shared" si="25"/>
        <v>43567</v>
      </c>
      <c r="L116" s="435">
        <f t="shared" si="26"/>
        <v>1.359786492605819E-3</v>
      </c>
      <c r="M116" s="842"/>
      <c r="N116" s="842"/>
      <c r="O116" s="323">
        <f t="shared" si="27"/>
        <v>7.564844620765696E-3</v>
      </c>
      <c r="P116" s="169">
        <f>(INDEX(Models!$BJ116:$BT116,,T116)*(1-R116)+INDEX(Models!$BJ116:$BT116,,T116+1)*R116-ERP_i)*Q116*Ramure*Pc/MaxiM</f>
        <v>3.4127166562855576E-8</v>
      </c>
      <c r="Q116" s="304">
        <f t="shared" si="28"/>
        <v>0.6</v>
      </c>
      <c r="R116" s="177">
        <f t="shared" si="29"/>
        <v>0.53914224338316408</v>
      </c>
      <c r="S116" s="799">
        <f t="shared" si="47"/>
        <v>-2</v>
      </c>
      <c r="T116" s="176">
        <f t="shared" si="30"/>
        <v>4</v>
      </c>
      <c r="U116" s="250">
        <f t="shared" si="31"/>
        <v>-1.4608577566168359</v>
      </c>
      <c r="V116" s="382">
        <f t="shared" si="32"/>
        <v>59.681724180929152</v>
      </c>
      <c r="W116" s="58"/>
      <c r="X116" s="157">
        <f t="shared" si="33"/>
        <v>43567</v>
      </c>
      <c r="Y116" s="383">
        <f t="shared" si="34"/>
        <v>58.402000000000001</v>
      </c>
      <c r="Z116" s="383">
        <f t="shared" si="35"/>
        <v>58.481522384205071</v>
      </c>
      <c r="AA116" s="384">
        <f t="shared" si="36"/>
        <v>58.92729823930695</v>
      </c>
      <c r="AB116" s="197">
        <f t="shared" si="37"/>
        <v>43567</v>
      </c>
      <c r="AC116" s="424">
        <f t="shared" si="38"/>
        <v>7.564844620765696E-3</v>
      </c>
      <c r="AD116" s="169">
        <f>(INDEX(Models!$BJ116:$BT116,,AH116)*(1-AF116)+INDEX(Models!$BJ116:$BT116,,AH116+1)*AF116-ERP_i)*AE116*Ramure*Pc/MaxiM</f>
        <v>3.4127166562855576E-8</v>
      </c>
      <c r="AE116" s="304">
        <f t="shared" si="39"/>
        <v>0.6</v>
      </c>
      <c r="AF116" s="177">
        <f t="shared" si="40"/>
        <v>0.53914224338316408</v>
      </c>
      <c r="AG116" s="799">
        <f t="shared" si="41"/>
        <v>-2</v>
      </c>
      <c r="AH116" s="176">
        <f t="shared" si="42"/>
        <v>4</v>
      </c>
      <c r="AI116" s="224">
        <f t="shared" si="43"/>
        <v>-1.4608577566168359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43568</v>
      </c>
      <c r="B117" s="607">
        <v>58.991999999999997</v>
      </c>
      <c r="C117" s="388"/>
      <c r="D117" s="391">
        <f t="shared" si="48"/>
        <v>59.07345787998598</v>
      </c>
      <c r="E117" s="383">
        <f t="shared" si="49"/>
        <v>59.530052853794096</v>
      </c>
      <c r="F117" s="383">
        <f t="shared" si="50"/>
        <v>59.530054657867453</v>
      </c>
      <c r="G117" s="110">
        <f t="shared" si="51"/>
        <v>0.98573444348742301</v>
      </c>
      <c r="I117" s="379">
        <f t="shared" si="24"/>
        <v>59.530054657867453</v>
      </c>
      <c r="J117" s="85">
        <v>2018</v>
      </c>
      <c r="K117" s="197">
        <f t="shared" si="25"/>
        <v>43568</v>
      </c>
      <c r="L117" s="435">
        <f t="shared" si="26"/>
        <v>1.3789252044712486E-3</v>
      </c>
      <c r="M117" s="842"/>
      <c r="N117" s="842"/>
      <c r="O117" s="323">
        <f t="shared" si="27"/>
        <v>7.6699910703844475E-3</v>
      </c>
      <c r="P117" s="169">
        <f>(INDEX(Models!$BJ117:$BT117,,T117)*(1-R117)+INDEX(Models!$BJ117:$BT117,,T117+1)*R117-ERP_i)*Q117*Ramure*Pc/MaxiM</f>
        <v>3.0935702900188517E-8</v>
      </c>
      <c r="Q117" s="304">
        <f t="shared" si="28"/>
        <v>0.6</v>
      </c>
      <c r="R117" s="177">
        <f t="shared" si="29"/>
        <v>0.54070651731608566</v>
      </c>
      <c r="S117" s="799">
        <f t="shared" si="47"/>
        <v>-2</v>
      </c>
      <c r="T117" s="176">
        <f t="shared" si="30"/>
        <v>4</v>
      </c>
      <c r="U117" s="250">
        <f t="shared" si="31"/>
        <v>-1.4592934826839143</v>
      </c>
      <c r="V117" s="382">
        <f t="shared" si="32"/>
        <v>59.845732643876275</v>
      </c>
      <c r="W117" s="58"/>
      <c r="X117" s="157">
        <f t="shared" si="33"/>
        <v>43568</v>
      </c>
      <c r="Y117" s="383">
        <f t="shared" si="34"/>
        <v>58.991999999999997</v>
      </c>
      <c r="Z117" s="383">
        <f t="shared" si="35"/>
        <v>59.07345787998598</v>
      </c>
      <c r="AA117" s="384">
        <f t="shared" si="36"/>
        <v>59.530052853794096</v>
      </c>
      <c r="AB117" s="197">
        <f t="shared" si="37"/>
        <v>43568</v>
      </c>
      <c r="AC117" s="424">
        <f t="shared" si="38"/>
        <v>7.6699910703844475E-3</v>
      </c>
      <c r="AD117" s="169">
        <f>(INDEX(Models!$BJ117:$BT117,,AH117)*(1-AF117)+INDEX(Models!$BJ117:$BT117,,AH117+1)*AF117-ERP_i)*AE117*Ramure*Pc/MaxiM</f>
        <v>3.0935702900188517E-8</v>
      </c>
      <c r="AE117" s="304">
        <f t="shared" si="39"/>
        <v>0.6</v>
      </c>
      <c r="AF117" s="177">
        <f t="shared" si="40"/>
        <v>0.54070651731608566</v>
      </c>
      <c r="AG117" s="799">
        <f t="shared" si="41"/>
        <v>-2</v>
      </c>
      <c r="AH117" s="176">
        <f t="shared" si="42"/>
        <v>4</v>
      </c>
      <c r="AI117" s="224">
        <f t="shared" si="43"/>
        <v>-1.4592934826839143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43569</v>
      </c>
      <c r="B118" s="607">
        <v>29.927</v>
      </c>
      <c r="C118" s="388"/>
      <c r="D118" s="391">
        <f t="shared" si="48"/>
        <v>29.968898424507394</v>
      </c>
      <c r="E118" s="383">
        <f t="shared" si="49"/>
        <v>30.203738516562794</v>
      </c>
      <c r="F118" s="383">
        <f t="shared" si="50"/>
        <v>30.203738754751733</v>
      </c>
      <c r="G118" s="110">
        <f t="shared" si="51"/>
        <v>0.49875506687813653</v>
      </c>
      <c r="I118" s="379">
        <f t="shared" si="24"/>
        <v>30.203738754751733</v>
      </c>
      <c r="J118" s="85">
        <v>2018</v>
      </c>
      <c r="K118" s="197">
        <f t="shared" si="25"/>
        <v>43569</v>
      </c>
      <c r="L118" s="435">
        <f t="shared" si="26"/>
        <v>1.3980635495475235E-3</v>
      </c>
      <c r="M118" s="842"/>
      <c r="N118" s="842"/>
      <c r="O118" s="323">
        <f t="shared" si="27"/>
        <v>7.775199481568169E-3</v>
      </c>
      <c r="P118" s="169">
        <f>(INDEX(Models!$BJ118:$BT118,,T118)*(1-R118)+INDEX(Models!$BJ118:$BT118,,T118+1)*R118-ERP_i)*Q118*Ramure*Pc/MaxiM</f>
        <v>2.777414479188429E-8</v>
      </c>
      <c r="Q118" s="304">
        <f t="shared" si="28"/>
        <v>0.6</v>
      </c>
      <c r="R118" s="177">
        <f t="shared" si="29"/>
        <v>0.54232514119564934</v>
      </c>
      <c r="S118" s="799">
        <f t="shared" si="47"/>
        <v>-2</v>
      </c>
      <c r="T118" s="176">
        <f t="shared" si="30"/>
        <v>4</v>
      </c>
      <c r="U118" s="250">
        <f t="shared" si="31"/>
        <v>-1.4576748588043507</v>
      </c>
      <c r="V118" s="382">
        <f t="shared" si="32"/>
        <v>60.003399247915695</v>
      </c>
      <c r="W118" s="58"/>
      <c r="X118" s="157">
        <f t="shared" si="33"/>
        <v>43569</v>
      </c>
      <c r="Y118" s="383">
        <f t="shared" si="34"/>
        <v>29.927</v>
      </c>
      <c r="Z118" s="383">
        <f t="shared" si="35"/>
        <v>29.968898424507394</v>
      </c>
      <c r="AA118" s="384">
        <f t="shared" si="36"/>
        <v>30.203738516562794</v>
      </c>
      <c r="AB118" s="197">
        <f t="shared" si="37"/>
        <v>43569</v>
      </c>
      <c r="AC118" s="424">
        <f t="shared" si="38"/>
        <v>7.775199481568169E-3</v>
      </c>
      <c r="AD118" s="169">
        <f>(INDEX(Models!$BJ118:$BT118,,AH118)*(1-AF118)+INDEX(Models!$BJ118:$BT118,,AH118+1)*AF118-ERP_i)*AE118*Ramure*Pc/MaxiM</f>
        <v>2.777414479188429E-8</v>
      </c>
      <c r="AE118" s="304">
        <f t="shared" si="39"/>
        <v>0.6</v>
      </c>
      <c r="AF118" s="177">
        <f t="shared" si="40"/>
        <v>0.54232514119564934</v>
      </c>
      <c r="AG118" s="799">
        <f t="shared" si="41"/>
        <v>-2</v>
      </c>
      <c r="AH118" s="176">
        <f t="shared" si="42"/>
        <v>4</v>
      </c>
      <c r="AI118" s="224">
        <f t="shared" si="43"/>
        <v>-1.4576748588043507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customHeight="1" x14ac:dyDescent="0.2">
      <c r="A119" s="56">
        <f t="shared" si="46"/>
        <v>43570</v>
      </c>
      <c r="B119" s="607">
        <v>42.234999999999999</v>
      </c>
      <c r="C119" s="388"/>
      <c r="D119" s="391">
        <f t="shared" si="48"/>
        <v>42.294940454231721</v>
      </c>
      <c r="E119" s="383">
        <f t="shared" si="49"/>
        <v>42.63089215271382</v>
      </c>
      <c r="F119" s="383">
        <f t="shared" si="50"/>
        <v>42.63089275666735</v>
      </c>
      <c r="G119" s="110">
        <f t="shared" si="51"/>
        <v>0.70210484640549164</v>
      </c>
      <c r="I119" s="379">
        <f t="shared" si="24"/>
        <v>42.63089275666735</v>
      </c>
      <c r="J119" s="85">
        <v>2018</v>
      </c>
      <c r="K119" s="197">
        <f t="shared" si="25"/>
        <v>43570</v>
      </c>
      <c r="L119" s="435">
        <f t="shared" si="26"/>
        <v>1.4172015278419714E-3</v>
      </c>
      <c r="M119" s="842"/>
      <c r="N119" s="842"/>
      <c r="O119" s="323">
        <f t="shared" si="27"/>
        <v>7.8804754373574364E-3</v>
      </c>
      <c r="P119" s="169">
        <f>(INDEX(Models!$BJ119:$BT119,,T119)*(1-R119)+INDEX(Models!$BJ119:$BT119,,T119+1)*R119-ERP_i)*Q119*Ramure*Pc/MaxiM</f>
        <v>2.4662540913233035E-8</v>
      </c>
      <c r="Q119" s="304">
        <f t="shared" si="28"/>
        <v>0.6</v>
      </c>
      <c r="R119" s="177">
        <f t="shared" si="29"/>
        <v>0.54399955850518067</v>
      </c>
      <c r="S119" s="799">
        <f t="shared" si="47"/>
        <v>-2</v>
      </c>
      <c r="T119" s="176">
        <f t="shared" si="30"/>
        <v>4</v>
      </c>
      <c r="U119" s="250">
        <f t="shared" si="31"/>
        <v>-1.4560004414948193</v>
      </c>
      <c r="V119" s="382">
        <f t="shared" si="32"/>
        <v>60.15483267627269</v>
      </c>
      <c r="W119" s="58"/>
      <c r="X119" s="157">
        <f t="shared" si="33"/>
        <v>43570</v>
      </c>
      <c r="Y119" s="383">
        <f t="shared" si="34"/>
        <v>42.234999999999999</v>
      </c>
      <c r="Z119" s="383">
        <f t="shared" si="35"/>
        <v>42.294940454231721</v>
      </c>
      <c r="AA119" s="384">
        <f t="shared" si="36"/>
        <v>42.63089215271382</v>
      </c>
      <c r="AB119" s="197">
        <f t="shared" si="37"/>
        <v>43570</v>
      </c>
      <c r="AC119" s="424">
        <f t="shared" si="38"/>
        <v>7.8804754373574364E-3</v>
      </c>
      <c r="AD119" s="169">
        <f>(INDEX(Models!$BJ119:$BT119,,AH119)*(1-AF119)+INDEX(Models!$BJ119:$BT119,,AH119+1)*AF119-ERP_i)*AE119*Ramure*Pc/MaxiM</f>
        <v>2.4662540913233035E-8</v>
      </c>
      <c r="AE119" s="304">
        <f t="shared" si="39"/>
        <v>0.6</v>
      </c>
      <c r="AF119" s="177">
        <f t="shared" si="40"/>
        <v>0.54399955850518067</v>
      </c>
      <c r="AG119" s="799">
        <f t="shared" si="41"/>
        <v>-2</v>
      </c>
      <c r="AH119" s="176">
        <f t="shared" si="42"/>
        <v>4</v>
      </c>
      <c r="AI119" s="224">
        <f t="shared" si="43"/>
        <v>-1.4560004414948193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43571</v>
      </c>
      <c r="B120" s="607">
        <v>33.524999999999999</v>
      </c>
      <c r="C120" s="388"/>
      <c r="D120" s="391">
        <f t="shared" si="48"/>
        <v>33.573222533559438</v>
      </c>
      <c r="E120" s="383">
        <f t="shared" si="49"/>
        <v>33.843490709696198</v>
      </c>
      <c r="F120" s="383">
        <f t="shared" si="50"/>
        <v>33.843490977297513</v>
      </c>
      <c r="G120" s="110">
        <f t="shared" si="51"/>
        <v>0.55596883638854289</v>
      </c>
      <c r="I120" s="379">
        <f t="shared" si="24"/>
        <v>33.843490977297513</v>
      </c>
      <c r="J120" s="85">
        <v>2018</v>
      </c>
      <c r="K120" s="197">
        <f t="shared" si="25"/>
        <v>43571</v>
      </c>
      <c r="L120" s="435">
        <f t="shared" si="26"/>
        <v>1.4363391393613645E-3</v>
      </c>
      <c r="M120" s="842"/>
      <c r="N120" s="842"/>
      <c r="O120" s="323">
        <f t="shared" si="27"/>
        <v>7.9858244663670464E-3</v>
      </c>
      <c r="P120" s="169">
        <f>(INDEX(Models!$BJ120:$BT120,,T120)*(1-R120)+INDEX(Models!$BJ120:$BT120,,T120+1)*R120-ERP_i)*Q120*Ramure*Pc/MaxiM</f>
        <v>2.1623402054382566E-8</v>
      </c>
      <c r="Q120" s="304">
        <f t="shared" si="28"/>
        <v>0.6</v>
      </c>
      <c r="R120" s="177">
        <f t="shared" si="29"/>
        <v>0.54573121647882306</v>
      </c>
      <c r="S120" s="799">
        <f t="shared" si="47"/>
        <v>-2</v>
      </c>
      <c r="T120" s="176">
        <f t="shared" si="30"/>
        <v>4</v>
      </c>
      <c r="U120" s="250">
        <f t="shared" si="31"/>
        <v>-1.4542687835211769</v>
      </c>
      <c r="V120" s="382">
        <f t="shared" si="32"/>
        <v>60.300141565361486</v>
      </c>
      <c r="W120" s="58"/>
      <c r="X120" s="157">
        <f t="shared" si="33"/>
        <v>43571</v>
      </c>
      <c r="Y120" s="383">
        <f t="shared" si="34"/>
        <v>33.524999999999999</v>
      </c>
      <c r="Z120" s="383">
        <f t="shared" si="35"/>
        <v>33.573222533559438</v>
      </c>
      <c r="AA120" s="384">
        <f t="shared" si="36"/>
        <v>33.843490709696198</v>
      </c>
      <c r="AB120" s="197">
        <f t="shared" si="37"/>
        <v>43571</v>
      </c>
      <c r="AC120" s="424">
        <f t="shared" si="38"/>
        <v>7.9858244663670464E-3</v>
      </c>
      <c r="AD120" s="169">
        <f>(INDEX(Models!$BJ120:$BT120,,AH120)*(1-AF120)+INDEX(Models!$BJ120:$BT120,,AH120+1)*AF120-ERP_i)*AE120*Ramure*Pc/MaxiM</f>
        <v>2.1623402054382566E-8</v>
      </c>
      <c r="AE120" s="304">
        <f t="shared" si="39"/>
        <v>0.6</v>
      </c>
      <c r="AF120" s="177">
        <f t="shared" si="40"/>
        <v>0.54573121647882306</v>
      </c>
      <c r="AG120" s="799">
        <f t="shared" si="41"/>
        <v>-2</v>
      </c>
      <c r="AH120" s="176">
        <f t="shared" si="42"/>
        <v>4</v>
      </c>
      <c r="AI120" s="224">
        <f t="shared" si="43"/>
        <v>-1.4542687835211769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43572</v>
      </c>
      <c r="B121" s="607">
        <v>39.500999999999998</v>
      </c>
      <c r="C121" s="388"/>
      <c r="D121" s="391">
        <f t="shared" si="48"/>
        <v>39.558576573992561</v>
      </c>
      <c r="E121" s="383">
        <f t="shared" si="49"/>
        <v>39.881265948002046</v>
      </c>
      <c r="F121" s="383">
        <f t="shared" si="50"/>
        <v>39.881266324349404</v>
      </c>
      <c r="G121" s="110">
        <f t="shared" si="51"/>
        <v>0.65357873485016649</v>
      </c>
      <c r="I121" s="379">
        <f t="shared" si="24"/>
        <v>39.881266324349404</v>
      </c>
      <c r="J121" s="85">
        <v>2018</v>
      </c>
      <c r="K121" s="197">
        <f t="shared" si="25"/>
        <v>43572</v>
      </c>
      <c r="L121" s="435">
        <f t="shared" si="26"/>
        <v>1.4554763841126972E-3</v>
      </c>
      <c r="M121" s="842"/>
      <c r="N121" s="842"/>
      <c r="O121" s="323">
        <f t="shared" si="27"/>
        <v>8.0912520287147478E-3</v>
      </c>
      <c r="P121" s="169">
        <f>(INDEX(Models!$BJ121:$BT121,,T121)*(1-R121)+INDEX(Models!$BJ121:$BT121,,T121+1)*R121-ERP_i)*Q121*Ramure*Pc/MaxiM</f>
        <v>1.868236394134253E-8</v>
      </c>
      <c r="Q121" s="304">
        <f t="shared" si="28"/>
        <v>0.6</v>
      </c>
      <c r="R121" s="177">
        <f t="shared" si="29"/>
        <v>0.54752156301349997</v>
      </c>
      <c r="S121" s="799">
        <f t="shared" si="47"/>
        <v>-2</v>
      </c>
      <c r="T121" s="176">
        <f t="shared" si="30"/>
        <v>4</v>
      </c>
      <c r="U121" s="250">
        <f t="shared" si="31"/>
        <v>-1.4524784369865</v>
      </c>
      <c r="V121" s="382">
        <f t="shared" si="32"/>
        <v>60.438012328908592</v>
      </c>
      <c r="W121" s="58"/>
      <c r="X121" s="157">
        <f t="shared" si="33"/>
        <v>43572</v>
      </c>
      <c r="Y121" s="383">
        <f t="shared" si="34"/>
        <v>39.500999999999998</v>
      </c>
      <c r="Z121" s="383">
        <f t="shared" si="35"/>
        <v>39.558576573992561</v>
      </c>
      <c r="AA121" s="384">
        <f t="shared" si="36"/>
        <v>39.881265948002046</v>
      </c>
      <c r="AB121" s="197">
        <f t="shared" si="37"/>
        <v>43572</v>
      </c>
      <c r="AC121" s="424">
        <f t="shared" si="38"/>
        <v>8.0912520287147478E-3</v>
      </c>
      <c r="AD121" s="169">
        <f>(INDEX(Models!$BJ121:$BT121,,AH121)*(1-AF121)+INDEX(Models!$BJ121:$BT121,,AH121+1)*AF121-ERP_i)*AE121*Ramure*Pc/MaxiM</f>
        <v>1.868236394134253E-8</v>
      </c>
      <c r="AE121" s="304">
        <f t="shared" si="39"/>
        <v>0.6</v>
      </c>
      <c r="AF121" s="177">
        <f t="shared" si="40"/>
        <v>0.54752156301349997</v>
      </c>
      <c r="AG121" s="799">
        <f t="shared" si="41"/>
        <v>-2</v>
      </c>
      <c r="AH121" s="176">
        <f t="shared" si="42"/>
        <v>4</v>
      </c>
      <c r="AI121" s="224">
        <f t="shared" si="43"/>
        <v>-1.4524784369865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43573</v>
      </c>
      <c r="B122" s="607">
        <v>29.824000000000002</v>
      </c>
      <c r="C122" s="388"/>
      <c r="D122" s="391">
        <f t="shared" si="48"/>
        <v>29.868043813520497</v>
      </c>
      <c r="E122" s="383">
        <f t="shared" si="49"/>
        <v>30.114888431865808</v>
      </c>
      <c r="F122" s="383">
        <f t="shared" si="50"/>
        <v>30.114888564296933</v>
      </c>
      <c r="G122" s="110">
        <f t="shared" si="51"/>
        <v>0.49240996907310469</v>
      </c>
      <c r="H122" s="17"/>
      <c r="I122" s="379">
        <f t="shared" si="24"/>
        <v>30.114888564296933</v>
      </c>
      <c r="J122" s="85">
        <v>2018</v>
      </c>
      <c r="K122" s="197">
        <f t="shared" si="25"/>
        <v>43573</v>
      </c>
      <c r="L122" s="451">
        <f t="shared" si="26"/>
        <v>1.474613262103186E-3</v>
      </c>
      <c r="M122" s="842"/>
      <c r="N122" s="842"/>
      <c r="O122" s="323">
        <f t="shared" si="27"/>
        <v>8.1967635013421893E-3</v>
      </c>
      <c r="P122" s="169">
        <f>(INDEX(Models!$BJ122:$BT122,,T122)*(1-R122)+INDEX(Models!$BJ122:$BT122,,T122+1)*R122-ERP_i)*Q122*Ramure*Pc/MaxiM</f>
        <v>1.5998499935745291E-8</v>
      </c>
      <c r="Q122" s="304">
        <f t="shared" si="28"/>
        <v>0.6</v>
      </c>
      <c r="R122" s="177">
        <f t="shared" si="29"/>
        <v>0.5493720433362228</v>
      </c>
      <c r="S122" s="799">
        <f t="shared" si="47"/>
        <v>-2</v>
      </c>
      <c r="T122" s="176">
        <f t="shared" si="30"/>
        <v>4</v>
      </c>
      <c r="U122" s="250">
        <f t="shared" si="31"/>
        <v>-1.4506279566637772</v>
      </c>
      <c r="V122" s="382">
        <f t="shared" si="32"/>
        <v>60.567416435845765</v>
      </c>
      <c r="W122" s="433"/>
      <c r="X122" s="157">
        <f t="shared" si="33"/>
        <v>43573</v>
      </c>
      <c r="Y122" s="383">
        <f t="shared" si="34"/>
        <v>29.824000000000002</v>
      </c>
      <c r="Z122" s="383">
        <f t="shared" si="35"/>
        <v>29.868043813520497</v>
      </c>
      <c r="AA122" s="384">
        <f t="shared" si="36"/>
        <v>30.114888431865808</v>
      </c>
      <c r="AB122" s="197">
        <f t="shared" si="37"/>
        <v>43573</v>
      </c>
      <c r="AC122" s="450">
        <f t="shared" si="38"/>
        <v>8.1967635013421893E-3</v>
      </c>
      <c r="AD122" s="169">
        <f>(INDEX(Models!$BJ122:$BT122,,AH122)*(1-AF122)+INDEX(Models!$BJ122:$BT122,,AH122+1)*AF122-ERP_i)*AE122*Ramure*Pc/MaxiM</f>
        <v>1.5998499935745291E-8</v>
      </c>
      <c r="AE122" s="304">
        <f t="shared" si="39"/>
        <v>0.6</v>
      </c>
      <c r="AF122" s="177">
        <f t="shared" si="40"/>
        <v>0.5493720433362228</v>
      </c>
      <c r="AG122" s="799">
        <f t="shared" si="41"/>
        <v>-2</v>
      </c>
      <c r="AH122" s="176">
        <f t="shared" si="42"/>
        <v>4</v>
      </c>
      <c r="AI122" s="224">
        <f t="shared" si="43"/>
        <v>-1.4506279566637772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43574</v>
      </c>
      <c r="B123" s="607">
        <v>50.438000000000002</v>
      </c>
      <c r="C123" s="388"/>
      <c r="D123" s="391">
        <f t="shared" si="48"/>
        <v>50.513454461151959</v>
      </c>
      <c r="E123" s="383">
        <f t="shared" si="49"/>
        <v>50.936346559405486</v>
      </c>
      <c r="F123" s="383">
        <f t="shared" si="50"/>
        <v>50.936347080308607</v>
      </c>
      <c r="G123" s="110">
        <f t="shared" si="51"/>
        <v>0.8310911589904435</v>
      </c>
      <c r="H123" s="434"/>
      <c r="I123" s="379">
        <f t="shared" si="24"/>
        <v>50.936347080308607</v>
      </c>
      <c r="J123" s="85">
        <v>2018</v>
      </c>
      <c r="K123" s="197">
        <f t="shared" si="25"/>
        <v>43574</v>
      </c>
      <c r="L123" s="435">
        <f t="shared" si="26"/>
        <v>1.4937497733398253E-3</v>
      </c>
      <c r="M123" s="842"/>
      <c r="N123" s="842"/>
      <c r="O123" s="323">
        <f t="shared" si="27"/>
        <v>8.302364162697029E-3</v>
      </c>
      <c r="P123" s="169">
        <f>(INDEX(Models!$BJ123:$BT123,,T123)*(1-R123)+INDEX(Models!$BJ123:$BT123,,T123+1)*R123-ERP_i)*Q123*Ramure*Pc/MaxiM</f>
        <v>1.3479014193189775E-8</v>
      </c>
      <c r="Q123" s="304">
        <f t="shared" si="28"/>
        <v>0.6</v>
      </c>
      <c r="R123" s="177">
        <f t="shared" si="29"/>
        <v>0.55128409642085963</v>
      </c>
      <c r="S123" s="799">
        <f t="shared" si="47"/>
        <v>-2</v>
      </c>
      <c r="T123" s="176">
        <f t="shared" si="30"/>
        <v>4</v>
      </c>
      <c r="U123" s="250">
        <f t="shared" si="31"/>
        <v>-1.4487159035791404</v>
      </c>
      <c r="V123" s="382">
        <f t="shared" si="32"/>
        <v>60.68888988931262</v>
      </c>
      <c r="W123" s="433"/>
      <c r="X123" s="157">
        <f t="shared" si="33"/>
        <v>43574</v>
      </c>
      <c r="Y123" s="383">
        <f t="shared" si="34"/>
        <v>50.438000000000002</v>
      </c>
      <c r="Z123" s="383">
        <f t="shared" si="35"/>
        <v>50.513454461151959</v>
      </c>
      <c r="AA123" s="384">
        <f t="shared" si="36"/>
        <v>50.936346559405486</v>
      </c>
      <c r="AB123" s="197">
        <f t="shared" si="37"/>
        <v>43574</v>
      </c>
      <c r="AC123" s="436">
        <f t="shared" si="38"/>
        <v>8.302364162697029E-3</v>
      </c>
      <c r="AD123" s="169">
        <f>(INDEX(Models!$BJ123:$BT123,,AH123)*(1-AF123)+INDEX(Models!$BJ123:$BT123,,AH123+1)*AF123-ERP_i)*AE123*Ramure*Pc/MaxiM</f>
        <v>1.3479014193189775E-8</v>
      </c>
      <c r="AE123" s="304">
        <f t="shared" si="39"/>
        <v>0.6</v>
      </c>
      <c r="AF123" s="177">
        <f t="shared" si="40"/>
        <v>0.55128409642085963</v>
      </c>
      <c r="AG123" s="799">
        <f t="shared" si="41"/>
        <v>-2</v>
      </c>
      <c r="AH123" s="176">
        <f t="shared" si="42"/>
        <v>4</v>
      </c>
      <c r="AI123" s="224">
        <f t="shared" si="43"/>
        <v>-1.4487159035791404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6"/>
        <v>43575</v>
      </c>
      <c r="B124" s="607">
        <v>56.607999999999997</v>
      </c>
      <c r="C124" s="388"/>
      <c r="D124" s="391">
        <f t="shared" si="48"/>
        <v>56.693771208089366</v>
      </c>
      <c r="E124" s="383">
        <f t="shared" si="49"/>
        <v>57.174497768729886</v>
      </c>
      <c r="F124" s="383">
        <f t="shared" si="50"/>
        <v>57.174498343837172</v>
      </c>
      <c r="G124" s="110">
        <f t="shared" si="51"/>
        <v>0.93100717619329043</v>
      </c>
      <c r="I124" s="379">
        <f t="shared" si="24"/>
        <v>57.174498343837172</v>
      </c>
      <c r="J124" s="85">
        <v>2018</v>
      </c>
      <c r="K124" s="197">
        <f t="shared" si="25"/>
        <v>43575</v>
      </c>
      <c r="L124" s="435">
        <f t="shared" si="26"/>
        <v>1.5128859178294984E-3</v>
      </c>
      <c r="M124" s="842"/>
      <c r="N124" s="842"/>
      <c r="O124" s="323">
        <f t="shared" si="27"/>
        <v>8.4080591767513521E-3</v>
      </c>
      <c r="P124" s="169">
        <f>(INDEX(Models!$BJ124:$BT124,,T124)*(1-R124)+INDEX(Models!$BJ124:$BT124,,T124+1)*R124-ERP_i)*Q124*Ramure*Pc/MaxiM</f>
        <v>1.1158613754806054E-8</v>
      </c>
      <c r="Q124" s="304">
        <f t="shared" si="28"/>
        <v>0.6</v>
      </c>
      <c r="R124" s="177">
        <f t="shared" si="29"/>
        <v>0.55325915114952884</v>
      </c>
      <c r="S124" s="799">
        <f t="shared" si="47"/>
        <v>-2</v>
      </c>
      <c r="T124" s="176">
        <f t="shared" si="30"/>
        <v>4</v>
      </c>
      <c r="U124" s="250">
        <f t="shared" si="31"/>
        <v>-1.4467408488504712</v>
      </c>
      <c r="V124" s="382">
        <f t="shared" si="32"/>
        <v>60.802968425228926</v>
      </c>
      <c r="W124" s="58"/>
      <c r="X124" s="157">
        <f t="shared" si="33"/>
        <v>43575</v>
      </c>
      <c r="Y124" s="383">
        <f t="shared" si="34"/>
        <v>56.607999999999997</v>
      </c>
      <c r="Z124" s="383">
        <f t="shared" si="35"/>
        <v>56.693771208089366</v>
      </c>
      <c r="AA124" s="384">
        <f t="shared" si="36"/>
        <v>57.174497768729886</v>
      </c>
      <c r="AB124" s="197">
        <f t="shared" si="37"/>
        <v>43575</v>
      </c>
      <c r="AC124" s="424">
        <f t="shared" si="38"/>
        <v>8.4080591767513521E-3</v>
      </c>
      <c r="AD124" s="169">
        <f>(INDEX(Models!$BJ124:$BT124,,AH124)*(1-AF124)+INDEX(Models!$BJ124:$BT124,,AH124+1)*AF124-ERP_i)*AE124*Ramure*Pc/MaxiM</f>
        <v>1.1158613754806054E-8</v>
      </c>
      <c r="AE124" s="304">
        <f t="shared" si="39"/>
        <v>0.6</v>
      </c>
      <c r="AF124" s="177">
        <f t="shared" si="40"/>
        <v>0.55325915114952884</v>
      </c>
      <c r="AG124" s="799">
        <f t="shared" si="41"/>
        <v>-2</v>
      </c>
      <c r="AH124" s="176">
        <f t="shared" si="42"/>
        <v>4</v>
      </c>
      <c r="AI124" s="224">
        <f t="shared" si="43"/>
        <v>-1.4467408488504712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43576</v>
      </c>
      <c r="B125" s="607">
        <v>19.233000000000001</v>
      </c>
      <c r="C125" s="388"/>
      <c r="D125" s="391">
        <f t="shared" si="48"/>
        <v>19.262510584126211</v>
      </c>
      <c r="E125" s="383">
        <f t="shared" si="49"/>
        <v>19.427917024970061</v>
      </c>
      <c r="F125" s="383">
        <f t="shared" si="50"/>
        <v>19.427917028939895</v>
      </c>
      <c r="G125" s="110">
        <f t="shared" si="51"/>
        <v>0.31575998388686682</v>
      </c>
      <c r="I125" s="379">
        <f t="shared" si="24"/>
        <v>19.427917028939895</v>
      </c>
      <c r="J125" s="85">
        <v>2018</v>
      </c>
      <c r="K125" s="197">
        <f t="shared" si="25"/>
        <v>43576</v>
      </c>
      <c r="L125" s="435">
        <f t="shared" si="26"/>
        <v>1.5320216955794219E-3</v>
      </c>
      <c r="M125" s="842"/>
      <c r="N125" s="842"/>
      <c r="O125" s="323">
        <f t="shared" si="27"/>
        <v>8.5138535763385776E-3</v>
      </c>
      <c r="P125" s="169">
        <f>(INDEX(Models!$BJ125:$BT125,,T125)*(1-R125)+INDEX(Models!$BJ125:$BT125,,T125+1)*R125-ERP_i)*Q125*Ramure*Pc/MaxiM</f>
        <v>9.0758695118826243E-9</v>
      </c>
      <c r="Q125" s="304">
        <f t="shared" si="28"/>
        <v>0.6</v>
      </c>
      <c r="R125" s="177">
        <f t="shared" si="29"/>
        <v>0.55529862221500204</v>
      </c>
      <c r="S125" s="799">
        <f t="shared" si="47"/>
        <v>-2</v>
      </c>
      <c r="T125" s="176">
        <f t="shared" si="30"/>
        <v>4</v>
      </c>
      <c r="U125" s="250">
        <f t="shared" si="31"/>
        <v>-1.444701377784998</v>
      </c>
      <c r="V125" s="382">
        <f t="shared" si="32"/>
        <v>60.910187518456333</v>
      </c>
      <c r="W125" s="58"/>
      <c r="X125" s="157">
        <f t="shared" si="33"/>
        <v>43576</v>
      </c>
      <c r="Y125" s="383">
        <f t="shared" si="34"/>
        <v>19.233000000000001</v>
      </c>
      <c r="Z125" s="383">
        <f t="shared" si="35"/>
        <v>19.262510584126211</v>
      </c>
      <c r="AA125" s="384">
        <f t="shared" si="36"/>
        <v>19.427917024970061</v>
      </c>
      <c r="AB125" s="197">
        <f t="shared" si="37"/>
        <v>43576</v>
      </c>
      <c r="AC125" s="424">
        <f t="shared" si="38"/>
        <v>8.5138535763385776E-3</v>
      </c>
      <c r="AD125" s="169">
        <f>(INDEX(Models!$BJ125:$BT125,,AH125)*(1-AF125)+INDEX(Models!$BJ125:$BT125,,AH125+1)*AF125-ERP_i)*AE125*Ramure*Pc/MaxiM</f>
        <v>9.0758695118826243E-9</v>
      </c>
      <c r="AE125" s="304">
        <f t="shared" si="39"/>
        <v>0.6</v>
      </c>
      <c r="AF125" s="177">
        <f t="shared" si="40"/>
        <v>0.55529862221500204</v>
      </c>
      <c r="AG125" s="799">
        <f t="shared" si="41"/>
        <v>-2</v>
      </c>
      <c r="AH125" s="176">
        <f t="shared" si="42"/>
        <v>4</v>
      </c>
      <c r="AI125" s="224">
        <f t="shared" si="43"/>
        <v>-1.444701377784998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6"/>
        <v>43577</v>
      </c>
      <c r="B126" s="607">
        <v>33.637999999999998</v>
      </c>
      <c r="C126" s="388"/>
      <c r="D126" s="391">
        <f t="shared" si="48"/>
        <v>33.690258884491755</v>
      </c>
      <c r="E126" s="383">
        <f t="shared" si="49"/>
        <v>33.98318552423369</v>
      </c>
      <c r="F126" s="383">
        <f t="shared" si="50"/>
        <v>33.983185612984599</v>
      </c>
      <c r="G126" s="110">
        <f t="shared" si="51"/>
        <v>0.55134245330699327</v>
      </c>
      <c r="I126" s="379">
        <f t="shared" si="24"/>
        <v>33.983185612984599</v>
      </c>
      <c r="J126" s="85">
        <v>2018</v>
      </c>
      <c r="K126" s="197">
        <f t="shared" si="25"/>
        <v>43577</v>
      </c>
      <c r="L126" s="435">
        <f t="shared" si="26"/>
        <v>1.5511571065964791E-3</v>
      </c>
      <c r="M126" s="842"/>
      <c r="N126" s="842"/>
      <c r="O126" s="323">
        <f t="shared" si="27"/>
        <v>8.61975224579958E-3</v>
      </c>
      <c r="P126" s="169">
        <f>(INDEX(Models!$BJ126:$BT126,,T126)*(1-R126)+INDEX(Models!$BJ126:$BT126,,T126+1)*R126-ERP_i)*Q126*Ramure*Pc/MaxiM</f>
        <v>7.2734574496495255E-9</v>
      </c>
      <c r="Q126" s="304">
        <f t="shared" si="28"/>
        <v>0.6</v>
      </c>
      <c r="R126" s="177">
        <f t="shared" si="29"/>
        <v>0.55740390576188448</v>
      </c>
      <c r="S126" s="799">
        <f t="shared" si="47"/>
        <v>-2</v>
      </c>
      <c r="T126" s="176">
        <f t="shared" si="30"/>
        <v>4</v>
      </c>
      <c r="U126" s="250">
        <f t="shared" si="31"/>
        <v>-1.4425960942381155</v>
      </c>
      <c r="V126" s="382">
        <f t="shared" si="32"/>
        <v>61.011082388852181</v>
      </c>
      <c r="W126" s="58"/>
      <c r="X126" s="157">
        <f t="shared" si="33"/>
        <v>43577</v>
      </c>
      <c r="Y126" s="383">
        <f t="shared" si="34"/>
        <v>33.637999999999998</v>
      </c>
      <c r="Z126" s="383">
        <f t="shared" si="35"/>
        <v>33.690258884491755</v>
      </c>
      <c r="AA126" s="384">
        <f t="shared" si="36"/>
        <v>33.98318552423369</v>
      </c>
      <c r="AB126" s="197">
        <f t="shared" si="37"/>
        <v>43577</v>
      </c>
      <c r="AC126" s="424">
        <f t="shared" si="38"/>
        <v>8.61975224579958E-3</v>
      </c>
      <c r="AD126" s="169">
        <f>(INDEX(Models!$BJ126:$BT126,,AH126)*(1-AF126)+INDEX(Models!$BJ126:$BT126,,AH126+1)*AF126-ERP_i)*AE126*Ramure*Pc/MaxiM</f>
        <v>7.2734574496495255E-9</v>
      </c>
      <c r="AE126" s="304">
        <f t="shared" si="39"/>
        <v>0.6</v>
      </c>
      <c r="AF126" s="177">
        <f t="shared" si="40"/>
        <v>0.55740390576188448</v>
      </c>
      <c r="AG126" s="799">
        <f t="shared" si="41"/>
        <v>-2</v>
      </c>
      <c r="AH126" s="176">
        <f t="shared" si="42"/>
        <v>4</v>
      </c>
      <c r="AI126" s="224">
        <f t="shared" si="43"/>
        <v>-1.4425960942381155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6"/>
        <v>43578</v>
      </c>
      <c r="B127" s="607">
        <v>38.488</v>
      </c>
      <c r="C127" s="388"/>
      <c r="D127" s="391">
        <f t="shared" si="48"/>
        <v>38.548532457946955</v>
      </c>
      <c r="E127" s="383">
        <f t="shared" si="49"/>
        <v>38.887858575011919</v>
      </c>
      <c r="F127" s="383">
        <f t="shared" si="50"/>
        <v>38.887858681267055</v>
      </c>
      <c r="G127" s="110">
        <f t="shared" si="51"/>
        <v>0.62985437550942169</v>
      </c>
      <c r="I127" s="379">
        <f t="shared" si="24"/>
        <v>38.887858681267055</v>
      </c>
      <c r="J127" s="85">
        <v>2018</v>
      </c>
      <c r="K127" s="197">
        <f t="shared" si="25"/>
        <v>43578</v>
      </c>
      <c r="L127" s="435">
        <f t="shared" si="26"/>
        <v>1.5702921508876644E-3</v>
      </c>
      <c r="M127" s="842"/>
      <c r="N127" s="842"/>
      <c r="O127" s="323">
        <f t="shared" si="27"/>
        <v>8.7257599029381371E-3</v>
      </c>
      <c r="P127" s="169">
        <f>(INDEX(Models!$BJ127:$BT127,,T127)*(1-R127)+INDEX(Models!$BJ127:$BT127,,T127+1)*R127-ERP_i)*Q127*Ramure*Pc/MaxiM</f>
        <v>5.7984471219962912E-9</v>
      </c>
      <c r="Q127" s="304">
        <f t="shared" si="28"/>
        <v>0.6</v>
      </c>
      <c r="R127" s="177">
        <f t="shared" si="29"/>
        <v>0.55957637476591793</v>
      </c>
      <c r="S127" s="799">
        <f t="shared" si="47"/>
        <v>-2</v>
      </c>
      <c r="T127" s="176">
        <f t="shared" si="30"/>
        <v>4</v>
      </c>
      <c r="U127" s="250">
        <f t="shared" si="31"/>
        <v>-1.4404236252340821</v>
      </c>
      <c r="V127" s="382">
        <f t="shared" si="32"/>
        <v>61.106187999191292</v>
      </c>
      <c r="W127" s="58"/>
      <c r="X127" s="157">
        <f t="shared" si="33"/>
        <v>43578</v>
      </c>
      <c r="Y127" s="383">
        <f t="shared" si="34"/>
        <v>38.488</v>
      </c>
      <c r="Z127" s="383">
        <f t="shared" si="35"/>
        <v>38.548532457946955</v>
      </c>
      <c r="AA127" s="384">
        <f t="shared" si="36"/>
        <v>38.887858575011919</v>
      </c>
      <c r="AB127" s="197">
        <f t="shared" si="37"/>
        <v>43578</v>
      </c>
      <c r="AC127" s="424">
        <f t="shared" si="38"/>
        <v>8.7257599029381371E-3</v>
      </c>
      <c r="AD127" s="169">
        <f>(INDEX(Models!$BJ127:$BT127,,AH127)*(1-AF127)+INDEX(Models!$BJ127:$BT127,,AH127+1)*AF127-ERP_i)*AE127*Ramure*Pc/MaxiM</f>
        <v>5.7984471219962912E-9</v>
      </c>
      <c r="AE127" s="304">
        <f t="shared" si="39"/>
        <v>0.6</v>
      </c>
      <c r="AF127" s="177">
        <f t="shared" si="40"/>
        <v>0.55957637476591793</v>
      </c>
      <c r="AG127" s="799">
        <f t="shared" si="41"/>
        <v>-2</v>
      </c>
      <c r="AH127" s="176">
        <f t="shared" si="42"/>
        <v>4</v>
      </c>
      <c r="AI127" s="224">
        <f t="shared" si="43"/>
        <v>-1.4404236252340821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6"/>
        <v>43579</v>
      </c>
      <c r="B128" s="607">
        <v>52.552</v>
      </c>
      <c r="C128" s="388"/>
      <c r="D128" s="391">
        <f t="shared" si="48"/>
        <v>52.635660530981667</v>
      </c>
      <c r="E128" s="383">
        <f t="shared" si="49"/>
        <v>53.104674702764342</v>
      </c>
      <c r="F128" s="383">
        <f t="shared" si="50"/>
        <v>53.104674902103845</v>
      </c>
      <c r="G128" s="110">
        <f t="shared" si="51"/>
        <v>0.85874838898576367</v>
      </c>
      <c r="I128" s="379">
        <f t="shared" si="24"/>
        <v>53.104674902103845</v>
      </c>
      <c r="J128" s="85">
        <v>2018</v>
      </c>
      <c r="K128" s="197">
        <f t="shared" si="25"/>
        <v>43579</v>
      </c>
      <c r="L128" s="435">
        <f t="shared" si="26"/>
        <v>1.5894268284601942E-3</v>
      </c>
      <c r="M128" s="842"/>
      <c r="N128" s="842"/>
      <c r="O128" s="323">
        <f t="shared" si="27"/>
        <v>8.8318810802970864E-3</v>
      </c>
      <c r="P128" s="169">
        <f>(INDEX(Models!$BJ128:$BT128,,T128)*(1-R128)+INDEX(Models!$BJ128:$BT128,,T128+1)*R128-ERP_i)*Q128*Ramure*Pc/MaxiM</f>
        <v>4.7026469614212756E-9</v>
      </c>
      <c r="Q128" s="304">
        <f t="shared" si="28"/>
        <v>0.6</v>
      </c>
      <c r="R128" s="177">
        <f t="shared" si="29"/>
        <v>0.56181737415249944</v>
      </c>
      <c r="S128" s="799">
        <f t="shared" si="47"/>
        <v>-2</v>
      </c>
      <c r="T128" s="176">
        <f t="shared" si="30"/>
        <v>4</v>
      </c>
      <c r="U128" s="250">
        <f t="shared" si="31"/>
        <v>-1.4381826258475006</v>
      </c>
      <c r="V128" s="382">
        <f t="shared" si="32"/>
        <v>61.196039054231782</v>
      </c>
      <c r="W128" s="58"/>
      <c r="X128" s="157">
        <f t="shared" si="33"/>
        <v>43579</v>
      </c>
      <c r="Y128" s="383">
        <f t="shared" si="34"/>
        <v>52.552</v>
      </c>
      <c r="Z128" s="383">
        <f t="shared" si="35"/>
        <v>52.635660530981667</v>
      </c>
      <c r="AA128" s="384">
        <f t="shared" si="36"/>
        <v>53.104674702764342</v>
      </c>
      <c r="AB128" s="197">
        <f t="shared" si="37"/>
        <v>43579</v>
      </c>
      <c r="AC128" s="424">
        <f t="shared" si="38"/>
        <v>8.8318810802970864E-3</v>
      </c>
      <c r="AD128" s="169">
        <f>(INDEX(Models!$BJ128:$BT128,,AH128)*(1-AF128)+INDEX(Models!$BJ128:$BT128,,AH128+1)*AF128-ERP_i)*AE128*Ramure*Pc/MaxiM</f>
        <v>4.7026469614212756E-9</v>
      </c>
      <c r="AE128" s="304">
        <f t="shared" si="39"/>
        <v>0.6</v>
      </c>
      <c r="AF128" s="177">
        <f t="shared" si="40"/>
        <v>0.56181737415249944</v>
      </c>
      <c r="AG128" s="799">
        <f t="shared" si="41"/>
        <v>-2</v>
      </c>
      <c r="AH128" s="176">
        <f t="shared" si="42"/>
        <v>4</v>
      </c>
      <c r="AI128" s="224">
        <f t="shared" si="43"/>
        <v>-1.4381826258475006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6"/>
        <v>43580</v>
      </c>
      <c r="B129" s="607">
        <v>35.408999999999999</v>
      </c>
      <c r="C129" s="388"/>
      <c r="D129" s="391">
        <f t="shared" si="48"/>
        <v>35.466049308683189</v>
      </c>
      <c r="E129" s="383">
        <f t="shared" si="49"/>
        <v>35.785908052954809</v>
      </c>
      <c r="F129" s="383">
        <f t="shared" si="50"/>
        <v>35.785908105190835</v>
      </c>
      <c r="G129" s="110">
        <f t="shared" si="51"/>
        <v>0.57781207353002695</v>
      </c>
      <c r="I129" s="379">
        <f t="shared" si="24"/>
        <v>35.785908105190835</v>
      </c>
      <c r="J129" s="85">
        <v>2018</v>
      </c>
      <c r="K129" s="197">
        <f t="shared" si="25"/>
        <v>43580</v>
      </c>
      <c r="L129" s="435">
        <f t="shared" si="26"/>
        <v>1.608561139320952E-3</v>
      </c>
      <c r="M129" s="842"/>
      <c r="N129" s="842"/>
      <c r="O129" s="323">
        <f t="shared" si="27"/>
        <v>8.9381201057774952E-3</v>
      </c>
      <c r="P129" s="169">
        <f>(INDEX(Models!$BJ129:$BT129,,T129)*(1-R129)+INDEX(Models!$BJ129:$BT129,,T129+1)*R129-ERP_i)*Q129*Ramure*Pc/MaxiM</f>
        <v>3.6779432644243793E-9</v>
      </c>
      <c r="Q129" s="304">
        <f t="shared" si="28"/>
        <v>0.6</v>
      </c>
      <c r="R129" s="177">
        <f t="shared" si="29"/>
        <v>0.56412821565746518</v>
      </c>
      <c r="S129" s="799">
        <f t="shared" si="47"/>
        <v>-2</v>
      </c>
      <c r="T129" s="176">
        <f t="shared" si="30"/>
        <v>4</v>
      </c>
      <c r="U129" s="250">
        <f t="shared" si="31"/>
        <v>-1.4358717843425348</v>
      </c>
      <c r="V129" s="382">
        <f t="shared" si="32"/>
        <v>61.281170026665215</v>
      </c>
      <c r="W129" s="58"/>
      <c r="X129" s="157">
        <f t="shared" si="33"/>
        <v>43580</v>
      </c>
      <c r="Y129" s="383">
        <f t="shared" si="34"/>
        <v>35.408999999999999</v>
      </c>
      <c r="Z129" s="383">
        <f t="shared" si="35"/>
        <v>35.466049308683189</v>
      </c>
      <c r="AA129" s="384">
        <f t="shared" si="36"/>
        <v>35.785908052954809</v>
      </c>
      <c r="AB129" s="197">
        <f t="shared" si="37"/>
        <v>43580</v>
      </c>
      <c r="AC129" s="424">
        <f t="shared" si="38"/>
        <v>8.9381201057774952E-3</v>
      </c>
      <c r="AD129" s="169">
        <f>(INDEX(Models!$BJ129:$BT129,,AH129)*(1-AF129)+INDEX(Models!$BJ129:$BT129,,AH129+1)*AF129-ERP_i)*AE129*Ramure*Pc/MaxiM</f>
        <v>3.6779432644243793E-9</v>
      </c>
      <c r="AE129" s="304">
        <f t="shared" si="39"/>
        <v>0.6</v>
      </c>
      <c r="AF129" s="177">
        <f t="shared" si="40"/>
        <v>0.56412821565746518</v>
      </c>
      <c r="AG129" s="799">
        <f t="shared" si="41"/>
        <v>-2</v>
      </c>
      <c r="AH129" s="176">
        <f t="shared" si="42"/>
        <v>4</v>
      </c>
      <c r="AI129" s="224">
        <f t="shared" si="43"/>
        <v>-1.4358717843425348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6"/>
        <v>43581</v>
      </c>
      <c r="B130" s="607">
        <v>28.692</v>
      </c>
      <c r="C130" s="388"/>
      <c r="D130" s="391">
        <f t="shared" si="48"/>
        <v>28.738777967603006</v>
      </c>
      <c r="E130" s="383">
        <f t="shared" si="49"/>
        <v>29.001077665928559</v>
      </c>
      <c r="F130" s="383">
        <f t="shared" si="50"/>
        <v>29.001077684950168</v>
      </c>
      <c r="G130" s="110">
        <f t="shared" si="51"/>
        <v>0.46758492410421842</v>
      </c>
      <c r="I130" s="379">
        <f t="shared" si="24"/>
        <v>29.001077684950168</v>
      </c>
      <c r="J130" s="85">
        <v>2018</v>
      </c>
      <c r="K130" s="197">
        <f t="shared" si="25"/>
        <v>43581</v>
      </c>
      <c r="L130" s="435">
        <f t="shared" si="26"/>
        <v>1.6276950834770432E-3</v>
      </c>
      <c r="M130" s="842"/>
      <c r="N130" s="842"/>
      <c r="O130" s="323">
        <f t="shared" si="27"/>
        <v>9.0444810826361462E-3</v>
      </c>
      <c r="P130" s="169">
        <f>(INDEX(Models!$BJ130:$BT130,,T130)*(1-R130)+INDEX(Models!$BJ130:$BT130,,T130+1)*R130-ERP_i)*Q130*Ramure*Pc/MaxiM</f>
        <v>2.7396572268421502E-9</v>
      </c>
      <c r="Q130" s="304">
        <f t="shared" si="28"/>
        <v>0.6</v>
      </c>
      <c r="R130" s="177">
        <f t="shared" si="29"/>
        <v>0.56651017243532409</v>
      </c>
      <c r="S130" s="799">
        <f t="shared" si="47"/>
        <v>-2</v>
      </c>
      <c r="T130" s="176">
        <f t="shared" si="30"/>
        <v>4</v>
      </c>
      <c r="U130" s="250">
        <f t="shared" si="31"/>
        <v>-1.4334898275646759</v>
      </c>
      <c r="V130" s="382">
        <f t="shared" si="32"/>
        <v>61.362115117761107</v>
      </c>
      <c r="W130" s="58"/>
      <c r="X130" s="157">
        <f t="shared" si="33"/>
        <v>43581</v>
      </c>
      <c r="Y130" s="383">
        <f t="shared" si="34"/>
        <v>28.692</v>
      </c>
      <c r="Z130" s="383">
        <f t="shared" si="35"/>
        <v>28.738777967603006</v>
      </c>
      <c r="AA130" s="384">
        <f t="shared" si="36"/>
        <v>29.001077665928559</v>
      </c>
      <c r="AB130" s="197">
        <f t="shared" si="37"/>
        <v>43581</v>
      </c>
      <c r="AC130" s="424">
        <f t="shared" si="38"/>
        <v>9.0444810826361462E-3</v>
      </c>
      <c r="AD130" s="169">
        <f>(INDEX(Models!$BJ130:$BT130,,AH130)*(1-AF130)+INDEX(Models!$BJ130:$BT130,,AH130+1)*AF130-ERP_i)*AE130*Ramure*Pc/MaxiM</f>
        <v>2.7396572268421502E-9</v>
      </c>
      <c r="AE130" s="304">
        <f t="shared" si="39"/>
        <v>0.6</v>
      </c>
      <c r="AF130" s="177">
        <f t="shared" si="40"/>
        <v>0.56651017243532409</v>
      </c>
      <c r="AG130" s="799">
        <f t="shared" si="41"/>
        <v>-2</v>
      </c>
      <c r="AH130" s="176">
        <f t="shared" si="42"/>
        <v>4</v>
      </c>
      <c r="AI130" s="224">
        <f t="shared" si="43"/>
        <v>-1.4334898275646759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6"/>
        <v>43582</v>
      </c>
      <c r="B131" s="607">
        <v>28.135000000000002</v>
      </c>
      <c r="C131" s="388"/>
      <c r="D131" s="391">
        <f t="shared" si="48"/>
        <v>28.181409953617191</v>
      </c>
      <c r="E131" s="383">
        <f t="shared" si="49"/>
        <v>28.441678842845924</v>
      </c>
      <c r="F131" s="383">
        <f t="shared" si="50"/>
        <v>28.441678855068353</v>
      </c>
      <c r="G131" s="110">
        <f t="shared" si="51"/>
        <v>0.45793084193324518</v>
      </c>
      <c r="I131" s="379">
        <f t="shared" si="24"/>
        <v>28.441678855068353</v>
      </c>
      <c r="J131" s="85">
        <v>2018</v>
      </c>
      <c r="K131" s="197">
        <f t="shared" si="25"/>
        <v>43582</v>
      </c>
      <c r="L131" s="435">
        <f t="shared" si="26"/>
        <v>1.6468286609354621E-3</v>
      </c>
      <c r="M131" s="842"/>
      <c r="N131" s="842"/>
      <c r="O131" s="323">
        <f t="shared" si="27"/>
        <v>9.1509678689097838E-3</v>
      </c>
      <c r="P131" s="169">
        <f>(INDEX(Models!$BJ131:$BT131,,T131)*(1-R131)+INDEX(Models!$BJ131:$BT131,,T131+1)*R131-ERP_i)*Q131*Ramure*Pc/MaxiM</f>
        <v>1.9047301491647221E-9</v>
      </c>
      <c r="Q131" s="304">
        <f t="shared" si="28"/>
        <v>0.6</v>
      </c>
      <c r="R131" s="177">
        <f t="shared" si="29"/>
        <v>0.56896447342245904</v>
      </c>
      <c r="S131" s="799">
        <f t="shared" si="47"/>
        <v>-2</v>
      </c>
      <c r="T131" s="176">
        <f t="shared" si="30"/>
        <v>4</v>
      </c>
      <c r="U131" s="250">
        <f t="shared" si="31"/>
        <v>-1.431035526577541</v>
      </c>
      <c r="V131" s="382">
        <f t="shared" si="32"/>
        <v>61.439408273362012</v>
      </c>
      <c r="W131" s="58"/>
      <c r="X131" s="157">
        <f t="shared" si="33"/>
        <v>43582</v>
      </c>
      <c r="Y131" s="383">
        <f t="shared" si="34"/>
        <v>28.135000000000002</v>
      </c>
      <c r="Z131" s="383">
        <f t="shared" si="35"/>
        <v>28.181409953617191</v>
      </c>
      <c r="AA131" s="384">
        <f t="shared" si="36"/>
        <v>28.441678842845924</v>
      </c>
      <c r="AB131" s="197">
        <f t="shared" si="37"/>
        <v>43582</v>
      </c>
      <c r="AC131" s="424">
        <f t="shared" si="38"/>
        <v>9.1509678689097838E-3</v>
      </c>
      <c r="AD131" s="169">
        <f>(INDEX(Models!$BJ131:$BT131,,AH131)*(1-AF131)+INDEX(Models!$BJ131:$BT131,,AH131+1)*AF131-ERP_i)*AE131*Ramure*Pc/MaxiM</f>
        <v>1.9047301491647221E-9</v>
      </c>
      <c r="AE131" s="304">
        <f t="shared" si="39"/>
        <v>0.6</v>
      </c>
      <c r="AF131" s="177">
        <f t="shared" si="40"/>
        <v>0.56896447342245904</v>
      </c>
      <c r="AG131" s="799">
        <f t="shared" si="41"/>
        <v>-2</v>
      </c>
      <c r="AH131" s="176">
        <f t="shared" si="42"/>
        <v>4</v>
      </c>
      <c r="AI131" s="224">
        <f t="shared" si="43"/>
        <v>-1.431035526577541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6"/>
        <v>43583</v>
      </c>
      <c r="B132" s="607">
        <v>47.908000000000001</v>
      </c>
      <c r="C132" s="388"/>
      <c r="D132" s="391">
        <f t="shared" si="48"/>
        <v>47.987946088484769</v>
      </c>
      <c r="E132" s="383">
        <f t="shared" si="49"/>
        <v>48.436349666907859</v>
      </c>
      <c r="F132" s="383">
        <f t="shared" si="50"/>
        <v>48.436349706395312</v>
      </c>
      <c r="G132" s="110">
        <f t="shared" si="51"/>
        <v>0.778819855690014</v>
      </c>
      <c r="I132" s="379">
        <f t="shared" si="24"/>
        <v>48.436349706395312</v>
      </c>
      <c r="J132" s="85">
        <v>2018</v>
      </c>
      <c r="K132" s="197">
        <f t="shared" si="25"/>
        <v>43583</v>
      </c>
      <c r="L132" s="435">
        <f t="shared" si="26"/>
        <v>1.6659618717032032E-3</v>
      </c>
      <c r="M132" s="842"/>
      <c r="N132" s="842"/>
      <c r="O132" s="323">
        <f t="shared" si="27"/>
        <v>9.257584056327919E-3</v>
      </c>
      <c r="P132" s="169">
        <f>(INDEX(Models!$BJ132:$BT132,,T132)*(1-R132)+INDEX(Models!$BJ132:$BT132,,T132+1)*R132-ERP_i)*Q132*Ramure*Pc/MaxiM</f>
        <v>1.1918280844738636E-9</v>
      </c>
      <c r="Q132" s="304">
        <f t="shared" si="28"/>
        <v>0.6</v>
      </c>
      <c r="R132" s="177">
        <f t="shared" si="29"/>
        <v>0.57149229746533647</v>
      </c>
      <c r="S132" s="799">
        <f t="shared" si="47"/>
        <v>-2</v>
      </c>
      <c r="T132" s="176">
        <f t="shared" si="30"/>
        <v>4</v>
      </c>
      <c r="U132" s="250">
        <f t="shared" si="31"/>
        <v>-1.4285077025346635</v>
      </c>
      <c r="V132" s="382">
        <f t="shared" si="32"/>
        <v>61.513583188648155</v>
      </c>
      <c r="W132" s="58"/>
      <c r="X132" s="157">
        <f t="shared" si="33"/>
        <v>43583</v>
      </c>
      <c r="Y132" s="383">
        <f t="shared" si="34"/>
        <v>47.908000000000001</v>
      </c>
      <c r="Z132" s="383">
        <f t="shared" si="35"/>
        <v>47.987946088484769</v>
      </c>
      <c r="AA132" s="384">
        <f t="shared" si="36"/>
        <v>48.436349666907859</v>
      </c>
      <c r="AB132" s="197">
        <f t="shared" si="37"/>
        <v>43583</v>
      </c>
      <c r="AC132" s="424">
        <f t="shared" si="38"/>
        <v>9.257584056327919E-3</v>
      </c>
      <c r="AD132" s="169">
        <f>(INDEX(Models!$BJ132:$BT132,,AH132)*(1-AF132)+INDEX(Models!$BJ132:$BT132,,AH132+1)*AF132-ERP_i)*AE132*Ramure*Pc/MaxiM</f>
        <v>1.1918280844738636E-9</v>
      </c>
      <c r="AE132" s="304">
        <f t="shared" si="39"/>
        <v>0.6</v>
      </c>
      <c r="AF132" s="177">
        <f t="shared" si="40"/>
        <v>0.57149229746533647</v>
      </c>
      <c r="AG132" s="799">
        <f t="shared" si="41"/>
        <v>-2</v>
      </c>
      <c r="AH132" s="176">
        <f t="shared" si="42"/>
        <v>4</v>
      </c>
      <c r="AI132" s="224">
        <f t="shared" si="43"/>
        <v>-1.4285077025346635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6"/>
        <v>43584</v>
      </c>
      <c r="B133" s="607">
        <v>48.518999999999998</v>
      </c>
      <c r="C133" s="388"/>
      <c r="D133" s="391">
        <f t="shared" si="48"/>
        <v>48.600897114910858</v>
      </c>
      <c r="E133" s="383">
        <f t="shared" si="49"/>
        <v>49.060314231951132</v>
      </c>
      <c r="F133" s="383">
        <f t="shared" si="50"/>
        <v>49.060314253198726</v>
      </c>
      <c r="G133" s="110">
        <f t="shared" si="51"/>
        <v>0.78783573034167587</v>
      </c>
      <c r="I133" s="379">
        <f t="shared" si="24"/>
        <v>49.060314253198726</v>
      </c>
      <c r="J133" s="85">
        <v>2018</v>
      </c>
      <c r="K133" s="197">
        <f t="shared" si="25"/>
        <v>43584</v>
      </c>
      <c r="L133" s="435">
        <f t="shared" si="26"/>
        <v>1.6850947157873719E-3</v>
      </c>
      <c r="M133" s="842"/>
      <c r="N133" s="842"/>
      <c r="O133" s="323">
        <f t="shared" si="27"/>
        <v>9.3643329487904468E-3</v>
      </c>
      <c r="P133" s="169">
        <f>(INDEX(Models!$BJ133:$BT133,,T133)*(1-R133)+INDEX(Models!$BJ133:$BT133,,T133+1)*R133-ERP_i)*Q133*Ramure*Pc/MaxiM</f>
        <v>6.2144674149091376E-10</v>
      </c>
      <c r="Q133" s="304">
        <f t="shared" si="28"/>
        <v>0.6</v>
      </c>
      <c r="R133" s="177">
        <f t="shared" si="29"/>
        <v>0.57409476722646846</v>
      </c>
      <c r="S133" s="799">
        <f t="shared" si="47"/>
        <v>-2</v>
      </c>
      <c r="T133" s="176">
        <f t="shared" si="30"/>
        <v>4</v>
      </c>
      <c r="U133" s="250">
        <f t="shared" si="31"/>
        <v>-1.4259052327735315</v>
      </c>
      <c r="V133" s="382">
        <f t="shared" si="32"/>
        <v>61.585173307408901</v>
      </c>
      <c r="W133" s="58"/>
      <c r="X133" s="157">
        <f t="shared" si="33"/>
        <v>43584</v>
      </c>
      <c r="Y133" s="383">
        <f t="shared" si="34"/>
        <v>48.518999999999998</v>
      </c>
      <c r="Z133" s="383">
        <f t="shared" si="35"/>
        <v>48.600897114910858</v>
      </c>
      <c r="AA133" s="384">
        <f t="shared" si="36"/>
        <v>49.060314231951132</v>
      </c>
      <c r="AB133" s="197">
        <f t="shared" si="37"/>
        <v>43584</v>
      </c>
      <c r="AC133" s="424">
        <f t="shared" si="38"/>
        <v>9.3643329487904468E-3</v>
      </c>
      <c r="AD133" s="169">
        <f>(INDEX(Models!$BJ133:$BT133,,AH133)*(1-AF133)+INDEX(Models!$BJ133:$BT133,,AH133+1)*AF133-ERP_i)*AE133*Ramure*Pc/MaxiM</f>
        <v>6.2144674149091376E-10</v>
      </c>
      <c r="AE133" s="304">
        <f t="shared" si="39"/>
        <v>0.6</v>
      </c>
      <c r="AF133" s="177">
        <f t="shared" si="40"/>
        <v>0.57409476722646846</v>
      </c>
      <c r="AG133" s="799">
        <f t="shared" si="41"/>
        <v>-2</v>
      </c>
      <c r="AH133" s="176">
        <f t="shared" si="42"/>
        <v>4</v>
      </c>
      <c r="AI133" s="224">
        <f t="shared" si="43"/>
        <v>-1.4259052327735315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6"/>
        <v>43585</v>
      </c>
      <c r="B134" s="607">
        <v>61.607999999999997</v>
      </c>
      <c r="C134" s="388"/>
      <c r="D134" s="391">
        <f t="shared" si="48"/>
        <v>61.713173268061773</v>
      </c>
      <c r="E134" s="383">
        <f t="shared" si="49"/>
        <v>62.303261006537262</v>
      </c>
      <c r="F134" s="383">
        <f t="shared" si="50"/>
        <v>62.303261019981171</v>
      </c>
      <c r="G134" s="110">
        <f t="shared" si="51"/>
        <v>0.99924236403827815</v>
      </c>
      <c r="I134" s="379">
        <f t="shared" si="24"/>
        <v>62.303261019981171</v>
      </c>
      <c r="J134" s="85">
        <v>2018</v>
      </c>
      <c r="K134" s="197">
        <f t="shared" si="25"/>
        <v>43585</v>
      </c>
      <c r="L134" s="435">
        <f t="shared" si="26"/>
        <v>1.7042271931948516E-3</v>
      </c>
      <c r="M134" s="842"/>
      <c r="N134" s="842"/>
      <c r="O134" s="323">
        <f t="shared" si="27"/>
        <v>9.4712175405003932E-3</v>
      </c>
      <c r="P134" s="169">
        <f>(INDEX(Models!$BJ134:$BT134,,T134)*(1-R134)+INDEX(Models!$BJ134:$BT134,,T134+1)*R134-ERP_i)*Q134*Ramure*Pc/MaxiM</f>
        <v>2.1601559343961734E-10</v>
      </c>
      <c r="Q134" s="304">
        <f t="shared" si="28"/>
        <v>0.6</v>
      </c>
      <c r="R134" s="177">
        <f t="shared" si="29"/>
        <v>0.57677294288374759</v>
      </c>
      <c r="S134" s="799">
        <f t="shared" si="47"/>
        <v>-2</v>
      </c>
      <c r="T134" s="176">
        <f t="shared" si="30"/>
        <v>4</v>
      </c>
      <c r="U134" s="250">
        <f t="shared" si="31"/>
        <v>-1.4232270571162524</v>
      </c>
      <c r="V134" s="382">
        <f t="shared" si="32"/>
        <v>61.654711826875243</v>
      </c>
      <c r="W134" s="58"/>
      <c r="X134" s="157">
        <f t="shared" si="33"/>
        <v>43585</v>
      </c>
      <c r="Y134" s="383">
        <f t="shared" si="34"/>
        <v>61.607999999999997</v>
      </c>
      <c r="Z134" s="383">
        <f t="shared" si="35"/>
        <v>61.713173268061773</v>
      </c>
      <c r="AA134" s="384">
        <f t="shared" si="36"/>
        <v>62.303261006537262</v>
      </c>
      <c r="AB134" s="197">
        <f t="shared" si="37"/>
        <v>43585</v>
      </c>
      <c r="AC134" s="424">
        <f t="shared" si="38"/>
        <v>9.4712175405003932E-3</v>
      </c>
      <c r="AD134" s="169">
        <f>(INDEX(Models!$BJ134:$BT134,,AH134)*(1-AF134)+INDEX(Models!$BJ134:$BT134,,AH134+1)*AF134-ERP_i)*AE134*Ramure*Pc/MaxiM</f>
        <v>2.1601559343961734E-10</v>
      </c>
      <c r="AE134" s="304">
        <f t="shared" si="39"/>
        <v>0.6</v>
      </c>
      <c r="AF134" s="177">
        <f t="shared" si="40"/>
        <v>0.57677294288374759</v>
      </c>
      <c r="AG134" s="799">
        <f t="shared" si="41"/>
        <v>-2</v>
      </c>
      <c r="AH134" s="176">
        <f t="shared" si="42"/>
        <v>4</v>
      </c>
      <c r="AI134" s="224">
        <f t="shared" si="43"/>
        <v>-1.4232270571162524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6"/>
        <v>43586</v>
      </c>
      <c r="B135" s="607">
        <v>58.05</v>
      </c>
      <c r="C135" s="388"/>
      <c r="D135" s="391">
        <f t="shared" si="48"/>
        <v>58.150213711825955</v>
      </c>
      <c r="E135" s="383">
        <f t="shared" si="49"/>
        <v>58.712576893324226</v>
      </c>
      <c r="F135" s="383">
        <f t="shared" si="50"/>
        <v>58.712576893324226</v>
      </c>
      <c r="G135" s="110">
        <f t="shared" si="51"/>
        <v>0.94052359850632783</v>
      </c>
      <c r="I135" s="379">
        <f t="shared" si="24"/>
        <v>58.712576893324226</v>
      </c>
      <c r="J135" s="85">
        <v>2018</v>
      </c>
      <c r="K135" s="197">
        <f t="shared" si="25"/>
        <v>43586</v>
      </c>
      <c r="L135" s="435">
        <f t="shared" si="26"/>
        <v>1.7233593039328587E-3</v>
      </c>
      <c r="M135" s="842"/>
      <c r="N135" s="842"/>
      <c r="O135" s="323">
        <f t="shared" si="27"/>
        <v>9.578240493855911E-3</v>
      </c>
      <c r="P135" s="169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0.57952781564180755</v>
      </c>
      <c r="S135" s="799">
        <f t="shared" si="47"/>
        <v>-2</v>
      </c>
      <c r="T135" s="176">
        <f t="shared" si="30"/>
        <v>4</v>
      </c>
      <c r="U135" s="250">
        <f t="shared" si="31"/>
        <v>-1.4204721843581924</v>
      </c>
      <c r="V135" s="382">
        <f t="shared" si="32"/>
        <v>61.720939370570655</v>
      </c>
      <c r="W135" s="58"/>
      <c r="X135" s="157">
        <f t="shared" si="33"/>
        <v>43586</v>
      </c>
      <c r="Y135" s="383">
        <f t="shared" si="34"/>
        <v>58.05</v>
      </c>
      <c r="Z135" s="383">
        <f t="shared" si="35"/>
        <v>58.150213711825955</v>
      </c>
      <c r="AA135" s="384">
        <f t="shared" si="36"/>
        <v>58.712576893324226</v>
      </c>
      <c r="AB135" s="197">
        <f t="shared" si="37"/>
        <v>43586</v>
      </c>
      <c r="AC135" s="424">
        <f t="shared" si="38"/>
        <v>9.578240493855911E-3</v>
      </c>
      <c r="AD135" s="169">
        <f>(INDEX(Models!$BJ135:$BT135,,AH135)*(1-AF135)+INDEX(Models!$BJ135:$BT135,,AH135+1)*AF135-ERP_i)*AE135*Ramure*Pc/MaxiM</f>
        <v>0</v>
      </c>
      <c r="AE135" s="304">
        <f t="shared" si="39"/>
        <v>0.6</v>
      </c>
      <c r="AF135" s="177">
        <f t="shared" si="40"/>
        <v>0.57952781564180755</v>
      </c>
      <c r="AG135" s="799">
        <f t="shared" si="41"/>
        <v>-2</v>
      </c>
      <c r="AH135" s="176">
        <f t="shared" si="42"/>
        <v>4</v>
      </c>
      <c r="AI135" s="224">
        <f t="shared" si="43"/>
        <v>-1.4204721843581924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6"/>
        <v>43587</v>
      </c>
      <c r="B136" s="607">
        <v>31.545999999999999</v>
      </c>
      <c r="C136" s="388"/>
      <c r="D136" s="391">
        <f t="shared" si="48"/>
        <v>31.601064572124457</v>
      </c>
      <c r="E136" s="383">
        <f t="shared" si="49"/>
        <v>31.910127048016342</v>
      </c>
      <c r="F136" s="383">
        <f t="shared" si="50"/>
        <v>31.910127048016342</v>
      </c>
      <c r="G136" s="110">
        <f t="shared" si="51"/>
        <v>0.51059861723620714</v>
      </c>
      <c r="I136" s="379">
        <f t="shared" si="24"/>
        <v>31.910127048016342</v>
      </c>
      <c r="J136" s="85">
        <v>2018</v>
      </c>
      <c r="K136" s="197">
        <f t="shared" si="25"/>
        <v>43587</v>
      </c>
      <c r="L136" s="435">
        <f t="shared" si="26"/>
        <v>1.7424910480082767E-3</v>
      </c>
      <c r="M136" s="842"/>
      <c r="N136" s="842"/>
      <c r="O136" s="323">
        <f t="shared" si="27"/>
        <v>9.6854041172204312E-3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0.58236030107724268</v>
      </c>
      <c r="S136" s="799">
        <f t="shared" si="47"/>
        <v>-2</v>
      </c>
      <c r="T136" s="176">
        <f t="shared" si="30"/>
        <v>4</v>
      </c>
      <c r="U136" s="250">
        <f t="shared" si="31"/>
        <v>-1.4176396989227573</v>
      </c>
      <c r="V136" s="382">
        <f t="shared" si="32"/>
        <v>61.782384313443139</v>
      </c>
      <c r="W136" s="58"/>
      <c r="X136" s="157">
        <f t="shared" si="33"/>
        <v>43587</v>
      </c>
      <c r="Y136" s="383">
        <f t="shared" si="34"/>
        <v>31.545999999999999</v>
      </c>
      <c r="Z136" s="383">
        <f t="shared" si="35"/>
        <v>31.601064572124457</v>
      </c>
      <c r="AA136" s="384">
        <f t="shared" si="36"/>
        <v>31.910127048016342</v>
      </c>
      <c r="AB136" s="197">
        <f t="shared" si="37"/>
        <v>43587</v>
      </c>
      <c r="AC136" s="424">
        <f t="shared" si="38"/>
        <v>9.6854041172204312E-3</v>
      </c>
      <c r="AD136" s="169">
        <f>(INDEX(Models!$BJ136:$BT136,,AH136)*(1-AF136)+INDEX(Models!$BJ136:$BT136,,AH136+1)*AF136-ERP_i)*AE136*Ramure*Pc/MaxiM</f>
        <v>0</v>
      </c>
      <c r="AE136" s="304">
        <f t="shared" si="39"/>
        <v>0.6</v>
      </c>
      <c r="AF136" s="177">
        <f t="shared" si="40"/>
        <v>0.58236030107724268</v>
      </c>
      <c r="AG136" s="799">
        <f t="shared" si="41"/>
        <v>-2</v>
      </c>
      <c r="AH136" s="176">
        <f t="shared" si="42"/>
        <v>4</v>
      </c>
      <c r="AI136" s="224">
        <f t="shared" si="43"/>
        <v>-1.4176396989227573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6"/>
        <v>43588</v>
      </c>
      <c r="B137" s="607">
        <v>19.904</v>
      </c>
      <c r="C137" s="388"/>
      <c r="D137" s="391">
        <f t="shared" si="48"/>
        <v>19.939125210113556</v>
      </c>
      <c r="E137" s="383">
        <f t="shared" si="49"/>
        <v>20.136314303456921</v>
      </c>
      <c r="F137" s="383">
        <f t="shared" si="50"/>
        <v>20.136314303456921</v>
      </c>
      <c r="G137" s="110">
        <f t="shared" si="51"/>
        <v>0.32186671708754427</v>
      </c>
      <c r="I137" s="379">
        <f t="shared" si="24"/>
        <v>20.136314303456921</v>
      </c>
      <c r="J137" s="85">
        <v>2018</v>
      </c>
      <c r="K137" s="197">
        <f t="shared" si="25"/>
        <v>43588</v>
      </c>
      <c r="L137" s="435">
        <f t="shared" si="26"/>
        <v>1.7616224254282109E-3</v>
      </c>
      <c r="M137" s="842"/>
      <c r="N137" s="842"/>
      <c r="O137" s="323">
        <f t="shared" si="27"/>
        <v>9.792710342702236E-3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0.58527123234280642</v>
      </c>
      <c r="S137" s="799">
        <f t="shared" si="47"/>
        <v>-2</v>
      </c>
      <c r="T137" s="176">
        <f t="shared" si="30"/>
        <v>4</v>
      </c>
      <c r="U137" s="250">
        <f t="shared" si="31"/>
        <v>-1.4147287676571936</v>
      </c>
      <c r="V137" s="382">
        <f t="shared" si="32"/>
        <v>61.839261232425976</v>
      </c>
      <c r="W137" s="58"/>
      <c r="X137" s="157">
        <f t="shared" si="33"/>
        <v>43588</v>
      </c>
      <c r="Y137" s="383">
        <f t="shared" si="34"/>
        <v>19.904</v>
      </c>
      <c r="Z137" s="383">
        <f t="shared" si="35"/>
        <v>19.939125210113556</v>
      </c>
      <c r="AA137" s="384">
        <f t="shared" si="36"/>
        <v>20.136314303456921</v>
      </c>
      <c r="AB137" s="197">
        <f t="shared" si="37"/>
        <v>43588</v>
      </c>
      <c r="AC137" s="424">
        <f t="shared" si="38"/>
        <v>9.792710342702236E-3</v>
      </c>
      <c r="AD137" s="169">
        <f>(INDEX(Models!$BJ137:$BT137,,AH137)*(1-AF137)+INDEX(Models!$BJ137:$BT137,,AH137+1)*AF137-ERP_i)*AE137*Ramure*Pc/MaxiM</f>
        <v>0</v>
      </c>
      <c r="AE137" s="304">
        <f t="shared" si="39"/>
        <v>0.6</v>
      </c>
      <c r="AF137" s="177">
        <f t="shared" si="40"/>
        <v>0.58527123234280642</v>
      </c>
      <c r="AG137" s="799">
        <f t="shared" si="41"/>
        <v>-2</v>
      </c>
      <c r="AH137" s="176">
        <f t="shared" si="42"/>
        <v>4</v>
      </c>
      <c r="AI137" s="224">
        <f t="shared" si="43"/>
        <v>-1.4147287676571936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6"/>
        <v>43589</v>
      </c>
      <c r="B138" s="607">
        <v>34.51</v>
      </c>
      <c r="C138" s="388"/>
      <c r="D138" s="391">
        <f t="shared" si="48"/>
        <v>34.57156343037343</v>
      </c>
      <c r="E138" s="383">
        <f t="shared" si="49"/>
        <v>34.917249814885601</v>
      </c>
      <c r="F138" s="383">
        <f t="shared" si="50"/>
        <v>34.917249814885601</v>
      </c>
      <c r="G138" s="110">
        <f t="shared" si="51"/>
        <v>0.55758611937170188</v>
      </c>
      <c r="I138" s="379">
        <f t="shared" si="24"/>
        <v>34.917249814885601</v>
      </c>
      <c r="J138" s="85">
        <v>2018</v>
      </c>
      <c r="K138" s="197">
        <f t="shared" si="25"/>
        <v>43589</v>
      </c>
      <c r="L138" s="435">
        <f t="shared" si="26"/>
        <v>1.7807534361996558E-3</v>
      </c>
      <c r="M138" s="842"/>
      <c r="N138" s="842"/>
      <c r="O138" s="323">
        <f t="shared" si="27"/>
        <v>9.9001607040885564E-3</v>
      </c>
      <c r="P138" s="169">
        <f>(INDEX(Models!$BJ138:$BT138,,T138)*(1-R138)+INDEX(Models!$BJ138:$BT138,,T138+1)*R138-ERP_i)*Q138*Ramure*Pc/MaxiM</f>
        <v>0</v>
      </c>
      <c r="Q138" s="304">
        <f t="shared" si="28"/>
        <v>0.6</v>
      </c>
      <c r="R138" s="177">
        <f t="shared" si="29"/>
        <v>0.58826135325909679</v>
      </c>
      <c r="S138" s="799">
        <f t="shared" si="47"/>
        <v>-2</v>
      </c>
      <c r="T138" s="176">
        <f t="shared" si="30"/>
        <v>4</v>
      </c>
      <c r="U138" s="250">
        <f t="shared" si="31"/>
        <v>-1.4117386467409032</v>
      </c>
      <c r="V138" s="382">
        <f t="shared" si="32"/>
        <v>61.891784606988587</v>
      </c>
      <c r="W138" s="58"/>
      <c r="X138" s="157">
        <f t="shared" si="33"/>
        <v>43589</v>
      </c>
      <c r="Y138" s="383">
        <f t="shared" si="34"/>
        <v>34.51</v>
      </c>
      <c r="Z138" s="383">
        <f t="shared" si="35"/>
        <v>34.57156343037343</v>
      </c>
      <c r="AA138" s="384">
        <f t="shared" si="36"/>
        <v>34.917249814885601</v>
      </c>
      <c r="AB138" s="197">
        <f t="shared" si="37"/>
        <v>43589</v>
      </c>
      <c r="AC138" s="424">
        <f t="shared" si="38"/>
        <v>9.9001607040885564E-3</v>
      </c>
      <c r="AD138" s="169">
        <f>(INDEX(Models!$BJ138:$BT138,,AH138)*(1-AF138)+INDEX(Models!$BJ138:$BT138,,AH138+1)*AF138-ERP_i)*AE138*Ramure*Pc/MaxiM</f>
        <v>0</v>
      </c>
      <c r="AE138" s="304">
        <f t="shared" si="39"/>
        <v>0.6</v>
      </c>
      <c r="AF138" s="177">
        <f t="shared" si="40"/>
        <v>0.58826135325909679</v>
      </c>
      <c r="AG138" s="799">
        <f t="shared" si="41"/>
        <v>-2</v>
      </c>
      <c r="AH138" s="176">
        <f t="shared" si="42"/>
        <v>4</v>
      </c>
      <c r="AI138" s="224">
        <f t="shared" si="43"/>
        <v>-1.4117386467409032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6"/>
        <v>43590</v>
      </c>
      <c r="B139" s="607">
        <v>50.89</v>
      </c>
      <c r="C139" s="388"/>
      <c r="D139" s="391">
        <f t="shared" si="48"/>
        <v>50.9817612604799</v>
      </c>
      <c r="E139" s="383">
        <f t="shared" si="49"/>
        <v>51.497132008547496</v>
      </c>
      <c r="F139" s="383">
        <f t="shared" si="50"/>
        <v>51.497132008547496</v>
      </c>
      <c r="G139" s="110">
        <f t="shared" si="51"/>
        <v>0.82159931030141897</v>
      </c>
      <c r="I139" s="379">
        <f t="shared" si="24"/>
        <v>51.497132008547496</v>
      </c>
      <c r="J139" s="85">
        <v>2018</v>
      </c>
      <c r="K139" s="197">
        <f t="shared" si="25"/>
        <v>43590</v>
      </c>
      <c r="L139" s="435">
        <f t="shared" si="26"/>
        <v>1.7998840803296057E-3</v>
      </c>
      <c r="M139" s="842"/>
      <c r="N139" s="842"/>
      <c r="O139" s="323">
        <f t="shared" si="27"/>
        <v>1.0007756315090663E-2</v>
      </c>
      <c r="P139" s="169">
        <f>(INDEX(Models!$BJ139:$BT139,,T139)*(1-R139)+INDEX(Models!$BJ139:$BT139,,T139+1)*R139-ERP_i)*Q139*Ramure*Pc/MaxiM</f>
        <v>0</v>
      </c>
      <c r="Q139" s="304">
        <f t="shared" si="28"/>
        <v>0.6</v>
      </c>
      <c r="R139" s="177">
        <f t="shared" si="29"/>
        <v>0.59133131132567329</v>
      </c>
      <c r="S139" s="799">
        <f t="shared" si="47"/>
        <v>-2</v>
      </c>
      <c r="T139" s="176">
        <f t="shared" si="30"/>
        <v>4</v>
      </c>
      <c r="U139" s="250">
        <f t="shared" si="31"/>
        <v>-1.4086686886743267</v>
      </c>
      <c r="V139" s="382">
        <f t="shared" si="32"/>
        <v>61.940168841341958</v>
      </c>
      <c r="W139" s="58"/>
      <c r="X139" s="157">
        <f t="shared" si="33"/>
        <v>43590</v>
      </c>
      <c r="Y139" s="383">
        <f t="shared" si="34"/>
        <v>50.89</v>
      </c>
      <c r="Z139" s="383">
        <f t="shared" si="35"/>
        <v>50.9817612604799</v>
      </c>
      <c r="AA139" s="384">
        <f t="shared" si="36"/>
        <v>51.497132008547496</v>
      </c>
      <c r="AB139" s="197">
        <f t="shared" si="37"/>
        <v>43590</v>
      </c>
      <c r="AC139" s="424">
        <f t="shared" si="38"/>
        <v>1.0007756315090663E-2</v>
      </c>
      <c r="AD139" s="169">
        <f>(INDEX(Models!$BJ139:$BT139,,AH139)*(1-AF139)+INDEX(Models!$BJ139:$BT139,,AH139+1)*AF139-ERP_i)*AE139*Ramure*Pc/MaxiM</f>
        <v>0</v>
      </c>
      <c r="AE139" s="304">
        <f t="shared" si="39"/>
        <v>0.6</v>
      </c>
      <c r="AF139" s="177">
        <f t="shared" si="40"/>
        <v>0.59133131132567329</v>
      </c>
      <c r="AG139" s="799">
        <f t="shared" si="41"/>
        <v>-2</v>
      </c>
      <c r="AH139" s="176">
        <f t="shared" si="42"/>
        <v>4</v>
      </c>
      <c r="AI139" s="224">
        <f t="shared" si="43"/>
        <v>-1.4086686886743267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6"/>
        <v>43591</v>
      </c>
      <c r="B140" s="607">
        <v>63.454000000000001</v>
      </c>
      <c r="C140" s="388"/>
      <c r="D140" s="391">
        <f t="shared" si="48"/>
        <v>63.569634077107949</v>
      </c>
      <c r="E140" s="383">
        <f t="shared" si="49"/>
        <v>64.219243698545085</v>
      </c>
      <c r="F140" s="383">
        <f t="shared" si="50"/>
        <v>64.219243698545085</v>
      </c>
      <c r="G140" s="110">
        <f t="shared" si="51"/>
        <v>1.0237054214795329</v>
      </c>
      <c r="I140" s="379">
        <f t="shared" si="24"/>
        <v>64.219243698545085</v>
      </c>
      <c r="J140" s="85">
        <v>2018</v>
      </c>
      <c r="K140" s="197">
        <f t="shared" si="25"/>
        <v>43591</v>
      </c>
      <c r="L140" s="435">
        <f t="shared" si="26"/>
        <v>1.8190143578251661E-3</v>
      </c>
      <c r="M140" s="842"/>
      <c r="N140" s="842"/>
      <c r="O140" s="323">
        <f t="shared" si="27"/>
        <v>1.0115497848067354E-2</v>
      </c>
      <c r="P140" s="169">
        <f>(INDEX(Models!$BJ140:$BT140,,T140)*(1-R140)+INDEX(Models!$BJ140:$BT140,,T140+1)*R140-ERP_i)*Q140*Ramure*Pc/MaxiM</f>
        <v>0</v>
      </c>
      <c r="Q140" s="304">
        <f t="shared" si="28"/>
        <v>0.6</v>
      </c>
      <c r="R140" s="177">
        <f t="shared" si="29"/>
        <v>0.59448165068701453</v>
      </c>
      <c r="S140" s="799">
        <f t="shared" si="47"/>
        <v>-2</v>
      </c>
      <c r="T140" s="176">
        <f t="shared" si="30"/>
        <v>4</v>
      </c>
      <c r="U140" s="250">
        <f t="shared" si="31"/>
        <v>-1.4055183493129855</v>
      </c>
      <c r="V140" s="382">
        <f t="shared" si="32"/>
        <v>61.984628261801809</v>
      </c>
      <c r="W140" s="58"/>
      <c r="X140" s="157">
        <f t="shared" si="33"/>
        <v>43591</v>
      </c>
      <c r="Y140" s="383">
        <f t="shared" si="34"/>
        <v>63.453999999999994</v>
      </c>
      <c r="Z140" s="383">
        <f t="shared" si="35"/>
        <v>63.569634077107942</v>
      </c>
      <c r="AA140" s="384">
        <f t="shared" si="36"/>
        <v>64.219243698545085</v>
      </c>
      <c r="AB140" s="197">
        <f t="shared" si="37"/>
        <v>43591</v>
      </c>
      <c r="AC140" s="424">
        <f t="shared" si="38"/>
        <v>1.0115497848067354E-2</v>
      </c>
      <c r="AD140" s="169">
        <f>(INDEX(Models!$BJ140:$BT140,,AH140)*(1-AF140)+INDEX(Models!$BJ140:$BT140,,AH140+1)*AF140-ERP_i)*AE140*Ramure*Pc/MaxiM</f>
        <v>0</v>
      </c>
      <c r="AE140" s="304">
        <f t="shared" si="39"/>
        <v>0.6</v>
      </c>
      <c r="AF140" s="177">
        <f t="shared" si="40"/>
        <v>0.59448165068701453</v>
      </c>
      <c r="AG140" s="799">
        <f t="shared" si="41"/>
        <v>-2</v>
      </c>
      <c r="AH140" s="176">
        <f t="shared" si="42"/>
        <v>4</v>
      </c>
      <c r="AI140" s="224">
        <f t="shared" si="43"/>
        <v>-1.4055183493129855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6"/>
        <v>43592</v>
      </c>
      <c r="B141" s="607">
        <v>49.737000000000002</v>
      </c>
      <c r="C141" s="388"/>
      <c r="D141" s="391">
        <f t="shared" si="48"/>
        <v>49.828592141061151</v>
      </c>
      <c r="E141" s="383">
        <f t="shared" si="49"/>
        <v>50.343270806521929</v>
      </c>
      <c r="F141" s="383">
        <f t="shared" si="50"/>
        <v>50.343270806521929</v>
      </c>
      <c r="G141" s="110">
        <f t="shared" si="51"/>
        <v>0.80188146068440358</v>
      </c>
      <c r="I141" s="379">
        <f t="shared" si="24"/>
        <v>50.343270806521929</v>
      </c>
      <c r="J141" s="85">
        <v>2018</v>
      </c>
      <c r="K141" s="197">
        <f t="shared" si="25"/>
        <v>43592</v>
      </c>
      <c r="L141" s="435">
        <f t="shared" si="26"/>
        <v>1.8381442686933314E-3</v>
      </c>
      <c r="M141" s="842"/>
      <c r="N141" s="842"/>
      <c r="O141" s="323">
        <f t="shared" si="27"/>
        <v>1.022338551340422E-2</v>
      </c>
      <c r="P141" s="169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0.59771280509216695</v>
      </c>
      <c r="S141" s="799">
        <f t="shared" si="47"/>
        <v>-2</v>
      </c>
      <c r="T141" s="176">
        <f t="shared" si="30"/>
        <v>4</v>
      </c>
      <c r="U141" s="250">
        <f t="shared" si="31"/>
        <v>-1.402287194907833</v>
      </c>
      <c r="V141" s="382">
        <f t="shared" si="32"/>
        <v>62.025377114404925</v>
      </c>
      <c r="W141" s="58"/>
      <c r="X141" s="157">
        <f t="shared" si="33"/>
        <v>43592</v>
      </c>
      <c r="Y141" s="383">
        <f t="shared" si="34"/>
        <v>49.737000000000002</v>
      </c>
      <c r="Z141" s="383">
        <f t="shared" si="35"/>
        <v>49.828592141061151</v>
      </c>
      <c r="AA141" s="384">
        <f t="shared" si="36"/>
        <v>50.343270806521929</v>
      </c>
      <c r="AB141" s="197">
        <f t="shared" si="37"/>
        <v>43592</v>
      </c>
      <c r="AC141" s="424">
        <f t="shared" si="38"/>
        <v>1.022338551340422E-2</v>
      </c>
      <c r="AD141" s="169">
        <f>(INDEX(Models!$BJ141:$BT141,,AH141)*(1-AF141)+INDEX(Models!$BJ141:$BT141,,AH141+1)*AF141-ERP_i)*AE141*Ramure*Pc/MaxiM</f>
        <v>0</v>
      </c>
      <c r="AE141" s="304">
        <f t="shared" si="39"/>
        <v>0.6</v>
      </c>
      <c r="AF141" s="177">
        <f t="shared" si="40"/>
        <v>0.59771280509216695</v>
      </c>
      <c r="AG141" s="799">
        <f t="shared" si="41"/>
        <v>-2</v>
      </c>
      <c r="AH141" s="176">
        <f t="shared" si="42"/>
        <v>4</v>
      </c>
      <c r="AI141" s="224">
        <f t="shared" si="43"/>
        <v>-1.402287194907833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6"/>
        <v>43593</v>
      </c>
      <c r="B142" s="607">
        <v>33.871000000000002</v>
      </c>
      <c r="C142" s="388"/>
      <c r="D142" s="391">
        <f t="shared" si="48"/>
        <v>33.934024775583389</v>
      </c>
      <c r="E142" s="383">
        <f t="shared" si="49"/>
        <v>34.288271274265902</v>
      </c>
      <c r="F142" s="383">
        <f t="shared" si="50"/>
        <v>34.288271274265902</v>
      </c>
      <c r="G142" s="110">
        <f t="shared" si="51"/>
        <v>0.54575515462955393</v>
      </c>
      <c r="I142" s="379">
        <f t="shared" si="24"/>
        <v>34.288271274265902</v>
      </c>
      <c r="J142" s="85">
        <v>2018</v>
      </c>
      <c r="K142" s="197">
        <f t="shared" si="25"/>
        <v>43593</v>
      </c>
      <c r="L142" s="435">
        <f t="shared" si="26"/>
        <v>1.8572738129410959E-3</v>
      </c>
      <c r="M142" s="842"/>
      <c r="N142" s="842"/>
      <c r="O142" s="323">
        <f t="shared" si="27"/>
        <v>1.0331419039733843E-2</v>
      </c>
      <c r="P142" s="169">
        <f>(INDEX(Models!$BJ142:$BT142,,T142)*(1-R142)+INDEX(Models!$BJ142:$BT142,,T142+1)*R142-ERP_i)*Q142*Ramure*Pc/MaxiM</f>
        <v>0</v>
      </c>
      <c r="Q142" s="304">
        <f t="shared" si="28"/>
        <v>0.6</v>
      </c>
      <c r="R142" s="177">
        <f t="shared" si="29"/>
        <v>0.60102509089029987</v>
      </c>
      <c r="S142" s="799">
        <f t="shared" si="47"/>
        <v>-2</v>
      </c>
      <c r="T142" s="176">
        <f t="shared" si="30"/>
        <v>4</v>
      </c>
      <c r="U142" s="250">
        <f t="shared" si="31"/>
        <v>-1.3989749091097001</v>
      </c>
      <c r="V142" s="382">
        <f t="shared" si="32"/>
        <v>62.062629574228865</v>
      </c>
      <c r="W142" s="58"/>
      <c r="X142" s="157">
        <f t="shared" si="33"/>
        <v>43593</v>
      </c>
      <c r="Y142" s="383">
        <f t="shared" si="34"/>
        <v>33.871000000000002</v>
      </c>
      <c r="Z142" s="383">
        <f t="shared" si="35"/>
        <v>33.934024775583389</v>
      </c>
      <c r="AA142" s="384">
        <f t="shared" si="36"/>
        <v>34.288271274265902</v>
      </c>
      <c r="AB142" s="197">
        <f t="shared" si="37"/>
        <v>43593</v>
      </c>
      <c r="AC142" s="424">
        <f t="shared" si="38"/>
        <v>1.0331419039733843E-2</v>
      </c>
      <c r="AD142" s="169">
        <f>(INDEX(Models!$BJ142:$BT142,,AH142)*(1-AF142)+INDEX(Models!$BJ142:$BT142,,AH142+1)*AF142-ERP_i)*AE142*Ramure*Pc/MaxiM</f>
        <v>0</v>
      </c>
      <c r="AE142" s="304">
        <f t="shared" si="39"/>
        <v>0.6</v>
      </c>
      <c r="AF142" s="177">
        <f t="shared" si="40"/>
        <v>0.60102509089029987</v>
      </c>
      <c r="AG142" s="799">
        <f t="shared" si="41"/>
        <v>-2</v>
      </c>
      <c r="AH142" s="176">
        <f t="shared" si="42"/>
        <v>4</v>
      </c>
      <c r="AI142" s="224">
        <f t="shared" si="43"/>
        <v>-1.3989749091097001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customHeight="1" x14ac:dyDescent="0.2">
      <c r="A143" s="56">
        <f t="shared" si="46"/>
        <v>43594</v>
      </c>
      <c r="B143" s="607">
        <v>49.418999999999997</v>
      </c>
      <c r="C143" s="388"/>
      <c r="D143" s="391">
        <f t="shared" si="48"/>
        <v>49.511904285269971</v>
      </c>
      <c r="E143" s="383">
        <f t="shared" si="49"/>
        <v>50.034241636942149</v>
      </c>
      <c r="F143" s="383">
        <f t="shared" si="50"/>
        <v>50.034241636942149</v>
      </c>
      <c r="G143" s="110">
        <f t="shared" si="51"/>
        <v>0.79584067739215503</v>
      </c>
      <c r="I143" s="379">
        <f t="shared" ref="I143:I206" si="52">Wh_hp</f>
        <v>50.034241636942149</v>
      </c>
      <c r="J143" s="85">
        <v>2018</v>
      </c>
      <c r="K143" s="197">
        <f t="shared" ref="K143:K206" si="53">t</f>
        <v>43594</v>
      </c>
      <c r="L143" s="435">
        <f t="shared" ref="L143:L206" si="54">IF(t&lt;T0,0,IF(t&lt;Tvie,1-EXP((T0-t)*PertePVj),1-EXP((T0-t)*PertePVj)+Pspv))</f>
        <v>1.8764029905755653E-3</v>
      </c>
      <c r="M143" s="842"/>
      <c r="N143" s="842"/>
      <c r="O143" s="323">
        <f t="shared" ref="O143:O206" si="55">IF(t&lt;T0,0,IF(t&lt;Tnet,Salim_i*(1-EXP((T0-t)/Tau_ij)),Resal+(Salim-Resal)*(1-EXP((Tnet-t)/(Tau_j)))))*Salcycl</f>
        <v>1.0439597655188856E-2</v>
      </c>
      <c r="P143" s="169">
        <f>(INDEX(Models!$BJ143:$BT143,,T143)*(1-R143)+INDEX(Models!$BJ143:$BT143,,T143+1)*R143-ERP_i)*Q143*Ramure*Pc/MaxiM</f>
        <v>0</v>
      </c>
      <c r="Q143" s="304">
        <f t="shared" ref="Q143:Q206" si="56">IF(OR(t&lt;Ttai,Notai),Dd+PousD*Croivg,Dens+PousD*(Croivg-Croi_tai))</f>
        <v>0.6</v>
      </c>
      <c r="R143" s="177">
        <f t="shared" ref="R143:R206" si="57">(Hp_vg-S143)/(INDEX(Echel_vg,T143+1)-S143)</f>
        <v>0.60441870010764531</v>
      </c>
      <c r="S143" s="799">
        <f t="shared" si="47"/>
        <v>-2</v>
      </c>
      <c r="T143" s="176">
        <f t="shared" ref="T143:T206" si="58">MIN(MATCH(Hp_vg,Echel_vg),10)</f>
        <v>4</v>
      </c>
      <c r="U143" s="250">
        <f t="shared" ref="U143:U206" si="59">IF(OR(t&lt;Ttai,Notai),Hdd+PousH*Croivg,Hdtf+PousH*(Croivg-Croi_tai))</f>
        <v>-1.3955812998923547</v>
      </c>
      <c r="V143" s="382">
        <f t="shared" ref="V143:V206" si="60">MaxiM*(1-Ppv)*(1-Pvg)*(1-Psa)</f>
        <v>62.096599738955675</v>
      </c>
      <c r="W143" s="58"/>
      <c r="X143" s="157">
        <f t="shared" ref="X143:X206" si="61">t</f>
        <v>43594</v>
      </c>
      <c r="Y143" s="383">
        <f t="shared" ref="Y143:Y206" si="62">Wh_pvt_s*(1-Ppv)</f>
        <v>49.418999999999997</v>
      </c>
      <c r="Z143" s="383">
        <f t="shared" ref="Z143:Z206" si="63">Wh_sa_s*(1-Psa_s)</f>
        <v>49.511904285269971</v>
      </c>
      <c r="AA143" s="384">
        <f t="shared" ref="AA143:AA206" si="64">Wh_hp*(1-Pvg_s*MEDIAN((-Sdif+Wh/Env_an)/Csdif,0,1))</f>
        <v>50.034241636942149</v>
      </c>
      <c r="AB143" s="197">
        <f t="shared" ref="AB143:AB206" si="65">t</f>
        <v>43594</v>
      </c>
      <c r="AC143" s="424">
        <f t="shared" ref="AC143:AC206" si="66">IF(t&lt;T0,0,IF(OR(t&lt;Tnet,NoTnet),Salim_i*(1-EXP((T0-t)/Tau_ij)),Resal_s+(Salim-Resal_s)*(1-EXP((Tnet_s-t)/Tau_j))))*Salcycl</f>
        <v>1.0439597655188856E-2</v>
      </c>
      <c r="AD143" s="169">
        <f>(INDEX(Models!$BJ143:$BT143,,AH143)*(1-AF143)+INDEX(Models!$BJ143:$BT143,,AH143+1)*AF143-ERP_i)*AE143*Ramure*Pc/MaxiM</f>
        <v>0</v>
      </c>
      <c r="AE143" s="304">
        <f t="shared" ref="AE143:AE206" si="67">Dd+PousD*Croivg</f>
        <v>0.6</v>
      </c>
      <c r="AF143" s="177">
        <f t="shared" ref="AF143:AF206" si="68">(Hp_vg_s-AG143)/(INDEX(Echel_vg,AH143+1)-AG143)</f>
        <v>0.60441870010764531</v>
      </c>
      <c r="AG143" s="799">
        <f t="shared" ref="AG143:AG206" si="69">INDEX(Echel_vg,AH143)</f>
        <v>-2</v>
      </c>
      <c r="AH143" s="176">
        <f t="shared" ref="AH143:AH206" si="70">MIN(MATCH(Hp_vg_s,Echel_vg),10)</f>
        <v>4</v>
      </c>
      <c r="AI143" s="224">
        <f t="shared" ref="AI143:AI206" si="71">Hdd+PousH*Croivg</f>
        <v>-1.3955812998923547</v>
      </c>
      <c r="AJ143" s="264" t="b">
        <f t="shared" ref="AJ143:AJ206" si="72">t&lt;Tnet</f>
        <v>0</v>
      </c>
      <c r="AK143" s="264" t="b">
        <f t="shared" ref="AK143:AK206" si="73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0" si="74">A143+1</f>
        <v>43595</v>
      </c>
      <c r="B144" s="607">
        <v>39.689</v>
      </c>
      <c r="C144" s="388"/>
      <c r="D144" s="391">
        <f t="shared" ref="D144:D200" si="75">Wh/(1-Ppv)</f>
        <v>39.764374636694733</v>
      </c>
      <c r="E144" s="383">
        <f t="shared" ref="E144:E200" si="76">Wh_pvt/(1-Psa)</f>
        <v>40.188277374183976</v>
      </c>
      <c r="F144" s="383">
        <f t="shared" ref="F144:F200" si="77">Wh_sa/(1-Pvg*MEDIAN((-Sdif+Wh/Env_an)/Csdif,0,1))</f>
        <v>40.188277374183976</v>
      </c>
      <c r="G144" s="110">
        <f t="shared" ref="G144:G200" si="78">+Wh_hp/MaxiM</f>
        <v>0.63883141858255876</v>
      </c>
      <c r="I144" s="379">
        <f t="shared" si="52"/>
        <v>40.188277374183976</v>
      </c>
      <c r="J144" s="85">
        <v>2018</v>
      </c>
      <c r="K144" s="197">
        <f t="shared" si="53"/>
        <v>43595</v>
      </c>
      <c r="L144" s="435">
        <f t="shared" si="54"/>
        <v>1.8955318016036227E-3</v>
      </c>
      <c r="M144" s="842"/>
      <c r="N144" s="842"/>
      <c r="O144" s="323">
        <f t="shared" si="55"/>
        <v>1.054792006988454E-2</v>
      </c>
      <c r="P144" s="169">
        <f>(INDEX(Models!$BJ144:$BT144,,T144)*(1-R144)+INDEX(Models!$BJ144:$BT144,,T144+1)*R144-ERP_i)*Q144*Ramure*Pc/MaxiM</f>
        <v>0</v>
      </c>
      <c r="Q144" s="304">
        <f t="shared" si="56"/>
        <v>0.6</v>
      </c>
      <c r="R144" s="177">
        <f t="shared" si="57"/>
        <v>0.60789369365436352</v>
      </c>
      <c r="S144" s="799">
        <f t="shared" ref="S144:S207" si="79">INDEX(Echel_vg,T144)</f>
        <v>-2</v>
      </c>
      <c r="T144" s="176">
        <f t="shared" si="58"/>
        <v>4</v>
      </c>
      <c r="U144" s="250">
        <f t="shared" si="59"/>
        <v>-1.3921063063456365</v>
      </c>
      <c r="V144" s="382">
        <f t="shared" si="60"/>
        <v>62.127501631122151</v>
      </c>
      <c r="W144" s="58"/>
      <c r="X144" s="157">
        <f t="shared" si="61"/>
        <v>43595</v>
      </c>
      <c r="Y144" s="383">
        <f t="shared" si="62"/>
        <v>39.689</v>
      </c>
      <c r="Z144" s="383">
        <f t="shared" si="63"/>
        <v>39.764374636694733</v>
      </c>
      <c r="AA144" s="384">
        <f t="shared" si="64"/>
        <v>40.188277374183976</v>
      </c>
      <c r="AB144" s="197">
        <f t="shared" si="65"/>
        <v>43595</v>
      </c>
      <c r="AC144" s="424">
        <f t="shared" si="66"/>
        <v>1.054792006988454E-2</v>
      </c>
      <c r="AD144" s="169">
        <f>(INDEX(Models!$BJ144:$BT144,,AH144)*(1-AF144)+INDEX(Models!$BJ144:$BT144,,AH144+1)*AF144-ERP_i)*AE144*Ramure*Pc/MaxiM</f>
        <v>0</v>
      </c>
      <c r="AE144" s="304">
        <f t="shared" si="67"/>
        <v>0.6</v>
      </c>
      <c r="AF144" s="177">
        <f t="shared" si="68"/>
        <v>0.60789369365436352</v>
      </c>
      <c r="AG144" s="799">
        <f t="shared" si="69"/>
        <v>-2</v>
      </c>
      <c r="AH144" s="176">
        <f t="shared" si="70"/>
        <v>4</v>
      </c>
      <c r="AI144" s="224">
        <f t="shared" si="71"/>
        <v>-1.3921063063456365</v>
      </c>
      <c r="AJ144" s="264" t="b">
        <f t="shared" si="72"/>
        <v>0</v>
      </c>
      <c r="AK144" s="264" t="b">
        <f t="shared" si="73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74"/>
        <v>43596</v>
      </c>
      <c r="B145" s="607">
        <v>37.107999999999997</v>
      </c>
      <c r="C145" s="388"/>
      <c r="D145" s="391">
        <f t="shared" si="75"/>
        <v>37.179185508472941</v>
      </c>
      <c r="E145" s="383">
        <f t="shared" si="76"/>
        <v>37.579648692808874</v>
      </c>
      <c r="F145" s="383">
        <f t="shared" si="77"/>
        <v>37.579648692808874</v>
      </c>
      <c r="G145" s="110">
        <f t="shared" si="78"/>
        <v>0.59701829483368507</v>
      </c>
      <c r="I145" s="379">
        <f t="shared" si="52"/>
        <v>37.579648692808874</v>
      </c>
      <c r="J145" s="85">
        <v>2018</v>
      </c>
      <c r="K145" s="197">
        <f t="shared" si="53"/>
        <v>43596</v>
      </c>
      <c r="L145" s="435">
        <f t="shared" si="54"/>
        <v>1.9146602460324846E-3</v>
      </c>
      <c r="M145" s="842"/>
      <c r="N145" s="842"/>
      <c r="O145" s="323">
        <f t="shared" si="55"/>
        <v>1.0656384459830378E-2</v>
      </c>
      <c r="P145" s="169">
        <f>(INDEX(Models!$BJ145:$BT145,,T145)*(1-R145)+INDEX(Models!$BJ145:$BT145,,T145+1)*R145-ERP_i)*Q145*Ramure*Pc/MaxiM</f>
        <v>1.2551487480609722E-20</v>
      </c>
      <c r="Q145" s="304">
        <f t="shared" si="56"/>
        <v>0.6</v>
      </c>
      <c r="R145" s="177">
        <f t="shared" si="57"/>
        <v>0.61144999471272787</v>
      </c>
      <c r="S145" s="799">
        <f t="shared" si="79"/>
        <v>-2</v>
      </c>
      <c r="T145" s="176">
        <f t="shared" si="58"/>
        <v>4</v>
      </c>
      <c r="U145" s="250">
        <f t="shared" si="59"/>
        <v>-1.3885500052872721</v>
      </c>
      <c r="V145" s="382">
        <f t="shared" si="60"/>
        <v>62.155549203625981</v>
      </c>
      <c r="W145" s="58"/>
      <c r="X145" s="157">
        <f t="shared" si="61"/>
        <v>43596</v>
      </c>
      <c r="Y145" s="383">
        <f t="shared" si="62"/>
        <v>37.107999999999997</v>
      </c>
      <c r="Z145" s="383">
        <f t="shared" si="63"/>
        <v>37.179185508472941</v>
      </c>
      <c r="AA145" s="384">
        <f t="shared" si="64"/>
        <v>37.579648692808874</v>
      </c>
      <c r="AB145" s="197">
        <f t="shared" si="65"/>
        <v>43596</v>
      </c>
      <c r="AC145" s="424">
        <f t="shared" si="66"/>
        <v>1.0656384459830378E-2</v>
      </c>
      <c r="AD145" s="169">
        <f>(INDEX(Models!$BJ145:$BT145,,AH145)*(1-AF145)+INDEX(Models!$BJ145:$BT145,,AH145+1)*AF145-ERP_i)*AE145*Ramure*Pc/MaxiM</f>
        <v>1.2551487480609722E-20</v>
      </c>
      <c r="AE145" s="304">
        <f t="shared" si="67"/>
        <v>0.6</v>
      </c>
      <c r="AF145" s="177">
        <f t="shared" si="68"/>
        <v>0.61144999471272787</v>
      </c>
      <c r="AG145" s="799">
        <f t="shared" si="69"/>
        <v>-2</v>
      </c>
      <c r="AH145" s="176">
        <f t="shared" si="70"/>
        <v>4</v>
      </c>
      <c r="AI145" s="224">
        <f t="shared" si="71"/>
        <v>-1.3885500052872721</v>
      </c>
      <c r="AJ145" s="264" t="b">
        <f t="shared" si="72"/>
        <v>0</v>
      </c>
      <c r="AK145" s="264" t="b">
        <f t="shared" si="73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74"/>
        <v>43597</v>
      </c>
      <c r="B146" s="607">
        <v>53.503999999999998</v>
      </c>
      <c r="C146" s="388"/>
      <c r="D146" s="391">
        <f t="shared" si="75"/>
        <v>53.607665878345415</v>
      </c>
      <c r="E146" s="383">
        <f t="shared" si="76"/>
        <v>54.191031708919418</v>
      </c>
      <c r="F146" s="383">
        <f t="shared" si="77"/>
        <v>54.191031708919418</v>
      </c>
      <c r="G146" s="110">
        <f t="shared" si="78"/>
        <v>0.86045637047176138</v>
      </c>
      <c r="I146" s="379">
        <f t="shared" si="52"/>
        <v>54.191031708919418</v>
      </c>
      <c r="J146" s="85">
        <v>2018</v>
      </c>
      <c r="K146" s="197">
        <f t="shared" si="53"/>
        <v>43597</v>
      </c>
      <c r="L146" s="435">
        <f t="shared" si="54"/>
        <v>1.9337883238690345E-3</v>
      </c>
      <c r="M146" s="842"/>
      <c r="N146" s="842"/>
      <c r="O146" s="323">
        <f t="shared" si="55"/>
        <v>1.0764988452471017E-2</v>
      </c>
      <c r="P146" s="169">
        <f>(INDEX(Models!$BJ146:$BT146,,T146)*(1-R146)+INDEX(Models!$BJ146:$BT146,,T146+1)*R146-ERP_i)*Q146*Ramure*Pc/MaxiM</f>
        <v>0</v>
      </c>
      <c r="Q146" s="304">
        <f t="shared" si="56"/>
        <v>0.6</v>
      </c>
      <c r="R146" s="177">
        <f t="shared" si="57"/>
        <v>0.61508738236055649</v>
      </c>
      <c r="S146" s="799">
        <f t="shared" si="79"/>
        <v>-2</v>
      </c>
      <c r="T146" s="176">
        <f t="shared" si="58"/>
        <v>4</v>
      </c>
      <c r="U146" s="250">
        <f t="shared" si="59"/>
        <v>-1.3849126176394435</v>
      </c>
      <c r="V146" s="382">
        <f t="shared" si="60"/>
        <v>62.180956334445433</v>
      </c>
      <c r="W146" s="58"/>
      <c r="X146" s="157">
        <f t="shared" si="61"/>
        <v>43597</v>
      </c>
      <c r="Y146" s="383">
        <f t="shared" si="62"/>
        <v>53.503999999999998</v>
      </c>
      <c r="Z146" s="383">
        <f t="shared" si="63"/>
        <v>53.607665878345415</v>
      </c>
      <c r="AA146" s="384">
        <f t="shared" si="64"/>
        <v>54.191031708919418</v>
      </c>
      <c r="AB146" s="197">
        <f t="shared" si="65"/>
        <v>43597</v>
      </c>
      <c r="AC146" s="424">
        <f t="shared" si="66"/>
        <v>1.0764988452471017E-2</v>
      </c>
      <c r="AD146" s="169">
        <f>(INDEX(Models!$BJ146:$BT146,,AH146)*(1-AF146)+INDEX(Models!$BJ146:$BT146,,AH146+1)*AF146-ERP_i)*AE146*Ramure*Pc/MaxiM</f>
        <v>0</v>
      </c>
      <c r="AE146" s="304">
        <f t="shared" si="67"/>
        <v>0.6</v>
      </c>
      <c r="AF146" s="177">
        <f t="shared" si="68"/>
        <v>0.61508738236055649</v>
      </c>
      <c r="AG146" s="799">
        <f t="shared" si="69"/>
        <v>-2</v>
      </c>
      <c r="AH146" s="176">
        <f t="shared" si="70"/>
        <v>4</v>
      </c>
      <c r="AI146" s="224">
        <f t="shared" si="71"/>
        <v>-1.3849126176394435</v>
      </c>
      <c r="AJ146" s="264" t="b">
        <f t="shared" si="72"/>
        <v>0</v>
      </c>
      <c r="AK146" s="264" t="b">
        <f t="shared" si="73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74"/>
        <v>43598</v>
      </c>
      <c r="B147" s="607">
        <v>64.227000000000004</v>
      </c>
      <c r="C147" s="388"/>
      <c r="D147" s="391">
        <f t="shared" si="75"/>
        <v>64.352675371636167</v>
      </c>
      <c r="E147" s="383">
        <f t="shared" si="76"/>
        <v>65.060121509053133</v>
      </c>
      <c r="F147" s="383">
        <f t="shared" si="77"/>
        <v>65.060121509053133</v>
      </c>
      <c r="G147" s="110">
        <f t="shared" si="78"/>
        <v>1.0325230728537296</v>
      </c>
      <c r="I147" s="379">
        <f t="shared" si="52"/>
        <v>65.060121509053133</v>
      </c>
      <c r="J147" s="85">
        <v>2018</v>
      </c>
      <c r="K147" s="197">
        <f t="shared" si="53"/>
        <v>43598</v>
      </c>
      <c r="L147" s="435">
        <f t="shared" si="54"/>
        <v>1.9529160351202668E-3</v>
      </c>
      <c r="M147" s="842"/>
      <c r="N147" s="842"/>
      <c r="O147" s="323">
        <f t="shared" si="55"/>
        <v>1.0873729114055276E-2</v>
      </c>
      <c r="P147" s="169">
        <f>(INDEX(Models!$BJ147:$BT147,,T147)*(1-R147)+INDEX(Models!$BJ147:$BT147,,T147+1)*R147-ERP_i)*Q147*Ramure*Pc/MaxiM</f>
        <v>0</v>
      </c>
      <c r="Q147" s="304">
        <f t="shared" si="56"/>
        <v>0.6</v>
      </c>
      <c r="R147" s="177">
        <f t="shared" si="57"/>
        <v>0.61880548548600856</v>
      </c>
      <c r="S147" s="799">
        <f t="shared" si="79"/>
        <v>-2</v>
      </c>
      <c r="T147" s="176">
        <f t="shared" si="58"/>
        <v>4</v>
      </c>
      <c r="U147" s="250">
        <f t="shared" si="59"/>
        <v>-1.3811945145139914</v>
      </c>
      <c r="V147" s="382">
        <f t="shared" si="60"/>
        <v>62.203936830667423</v>
      </c>
      <c r="W147" s="58"/>
      <c r="X147" s="157">
        <f t="shared" si="61"/>
        <v>43598</v>
      </c>
      <c r="Y147" s="383">
        <f t="shared" si="62"/>
        <v>64.227000000000004</v>
      </c>
      <c r="Z147" s="383">
        <f t="shared" si="63"/>
        <v>64.352675371636167</v>
      </c>
      <c r="AA147" s="384">
        <f t="shared" si="64"/>
        <v>65.060121509053133</v>
      </c>
      <c r="AB147" s="197">
        <f t="shared" si="65"/>
        <v>43598</v>
      </c>
      <c r="AC147" s="424">
        <f t="shared" si="66"/>
        <v>1.0873729114055276E-2</v>
      </c>
      <c r="AD147" s="169">
        <f>(INDEX(Models!$BJ147:$BT147,,AH147)*(1-AF147)+INDEX(Models!$BJ147:$BT147,,AH147+1)*AF147-ERP_i)*AE147*Ramure*Pc/MaxiM</f>
        <v>0</v>
      </c>
      <c r="AE147" s="304">
        <f t="shared" si="67"/>
        <v>0.6</v>
      </c>
      <c r="AF147" s="177">
        <f t="shared" si="68"/>
        <v>0.61880548548600856</v>
      </c>
      <c r="AG147" s="799">
        <f t="shared" si="69"/>
        <v>-2</v>
      </c>
      <c r="AH147" s="176">
        <f t="shared" si="70"/>
        <v>4</v>
      </c>
      <c r="AI147" s="224">
        <f t="shared" si="71"/>
        <v>-1.3811945145139914</v>
      </c>
      <c r="AJ147" s="264" t="b">
        <f t="shared" si="72"/>
        <v>0</v>
      </c>
      <c r="AK147" s="264" t="b">
        <f t="shared" si="73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74"/>
        <v>43599</v>
      </c>
      <c r="B148" s="607">
        <v>62.598999999999997</v>
      </c>
      <c r="C148" s="388"/>
      <c r="D148" s="391">
        <f t="shared" si="75"/>
        <v>62.722691869263592</v>
      </c>
      <c r="E148" s="383">
        <f t="shared" si="76"/>
        <v>63.419199758926844</v>
      </c>
      <c r="F148" s="383">
        <f t="shared" si="77"/>
        <v>63.419199758926844</v>
      </c>
      <c r="G148" s="110">
        <f t="shared" si="78"/>
        <v>1.006015224586809</v>
      </c>
      <c r="I148" s="379">
        <f t="shared" si="52"/>
        <v>63.419199758926844</v>
      </c>
      <c r="J148" s="85">
        <v>2018</v>
      </c>
      <c r="K148" s="197">
        <f t="shared" si="53"/>
        <v>43599</v>
      </c>
      <c r="L148" s="435">
        <f t="shared" si="54"/>
        <v>1.9720433797932868E-3</v>
      </c>
      <c r="M148" s="842"/>
      <c r="N148" s="842"/>
      <c r="O148" s="323">
        <f t="shared" si="55"/>
        <v>1.0982602939028842E-2</v>
      </c>
      <c r="P148" s="169">
        <f>(INDEX(Models!$BJ148:$BT148,,T148)*(1-R148)+INDEX(Models!$BJ148:$BT148,,T148+1)*R148-ERP_i)*Q148*Ramure*Pc/MaxiM</f>
        <v>0</v>
      </c>
      <c r="Q148" s="304">
        <f t="shared" si="56"/>
        <v>0.6</v>
      </c>
      <c r="R148" s="177">
        <f t="shared" si="57"/>
        <v>0.62260377705161107</v>
      </c>
      <c r="S148" s="799">
        <f t="shared" si="79"/>
        <v>-2</v>
      </c>
      <c r="T148" s="176">
        <f t="shared" si="58"/>
        <v>4</v>
      </c>
      <c r="U148" s="250">
        <f t="shared" si="59"/>
        <v>-1.3773962229483889</v>
      </c>
      <c r="V148" s="382">
        <f t="shared" si="60"/>
        <v>62.22470442801766</v>
      </c>
      <c r="W148" s="58"/>
      <c r="X148" s="157">
        <f t="shared" si="61"/>
        <v>43599</v>
      </c>
      <c r="Y148" s="383">
        <f t="shared" si="62"/>
        <v>62.598999999999997</v>
      </c>
      <c r="Z148" s="383">
        <f t="shared" si="63"/>
        <v>62.722691869263592</v>
      </c>
      <c r="AA148" s="384">
        <f t="shared" si="64"/>
        <v>63.419199758926844</v>
      </c>
      <c r="AB148" s="197">
        <f t="shared" si="65"/>
        <v>43599</v>
      </c>
      <c r="AC148" s="424">
        <f t="shared" si="66"/>
        <v>1.0982602939028842E-2</v>
      </c>
      <c r="AD148" s="169">
        <f>(INDEX(Models!$BJ148:$BT148,,AH148)*(1-AF148)+INDEX(Models!$BJ148:$BT148,,AH148+1)*AF148-ERP_i)*AE148*Ramure*Pc/MaxiM</f>
        <v>0</v>
      </c>
      <c r="AE148" s="304">
        <f t="shared" si="67"/>
        <v>0.6</v>
      </c>
      <c r="AF148" s="177">
        <f t="shared" si="68"/>
        <v>0.62260377705161107</v>
      </c>
      <c r="AG148" s="799">
        <f t="shared" si="69"/>
        <v>-2</v>
      </c>
      <c r="AH148" s="176">
        <f t="shared" si="70"/>
        <v>4</v>
      </c>
      <c r="AI148" s="224">
        <f t="shared" si="71"/>
        <v>-1.3773962229483889</v>
      </c>
      <c r="AJ148" s="264" t="b">
        <f t="shared" si="72"/>
        <v>0</v>
      </c>
      <c r="AK148" s="264" t="b">
        <f t="shared" si="73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74"/>
        <v>43600</v>
      </c>
      <c r="B149" s="607">
        <v>62.887999999999998</v>
      </c>
      <c r="C149" s="388"/>
      <c r="D149" s="391">
        <f t="shared" si="75"/>
        <v>63.013470554716655</v>
      </c>
      <c r="E149" s="383">
        <f t="shared" si="76"/>
        <v>63.720230232595142</v>
      </c>
      <c r="F149" s="383">
        <f t="shared" si="77"/>
        <v>63.720230232595142</v>
      </c>
      <c r="G149" s="110">
        <f t="shared" si="78"/>
        <v>1.0103673007383864</v>
      </c>
      <c r="I149" s="379">
        <f t="shared" si="52"/>
        <v>63.720230232595142</v>
      </c>
      <c r="J149" s="85">
        <v>2018</v>
      </c>
      <c r="K149" s="197">
        <f t="shared" si="53"/>
        <v>43600</v>
      </c>
      <c r="L149" s="435">
        <f t="shared" si="54"/>
        <v>1.9911703578952E-3</v>
      </c>
      <c r="M149" s="842"/>
      <c r="N149" s="842"/>
      <c r="O149" s="323">
        <f t="shared" si="55"/>
        <v>1.10916058416398E-2</v>
      </c>
      <c r="P149" s="169">
        <f>(INDEX(Models!$BJ149:$BT149,,T149)*(1-R149)+INDEX(Models!$BJ149:$BT149,,T149+1)*R149-ERP_i)*Q149*Ramure*Pc/MaxiM</f>
        <v>0</v>
      </c>
      <c r="Q149" s="304">
        <f t="shared" si="56"/>
        <v>0.6</v>
      </c>
      <c r="R149" s="177">
        <f t="shared" si="57"/>
        <v>0.62648156876665073</v>
      </c>
      <c r="S149" s="799">
        <f t="shared" si="79"/>
        <v>-2</v>
      </c>
      <c r="T149" s="176">
        <f t="shared" si="58"/>
        <v>4</v>
      </c>
      <c r="U149" s="250">
        <f t="shared" si="59"/>
        <v>-1.3735184312333493</v>
      </c>
      <c r="V149" s="382">
        <f t="shared" si="60"/>
        <v>62.242711095302511</v>
      </c>
      <c r="W149" s="58"/>
      <c r="X149" s="157">
        <f t="shared" si="61"/>
        <v>43600</v>
      </c>
      <c r="Y149" s="383">
        <f t="shared" si="62"/>
        <v>62.887999999999998</v>
      </c>
      <c r="Z149" s="383">
        <f t="shared" si="63"/>
        <v>63.013470554716655</v>
      </c>
      <c r="AA149" s="384">
        <f t="shared" si="64"/>
        <v>63.720230232595142</v>
      </c>
      <c r="AB149" s="197">
        <f t="shared" si="65"/>
        <v>43600</v>
      </c>
      <c r="AC149" s="424">
        <f t="shared" si="66"/>
        <v>1.10916058416398E-2</v>
      </c>
      <c r="AD149" s="169">
        <f>(INDEX(Models!$BJ149:$BT149,,AH149)*(1-AF149)+INDEX(Models!$BJ149:$BT149,,AH149+1)*AF149-ERP_i)*AE149*Ramure*Pc/MaxiM</f>
        <v>0</v>
      </c>
      <c r="AE149" s="304">
        <f t="shared" si="67"/>
        <v>0.6</v>
      </c>
      <c r="AF149" s="177">
        <f t="shared" si="68"/>
        <v>0.62648156876665073</v>
      </c>
      <c r="AG149" s="799">
        <f t="shared" si="69"/>
        <v>-2</v>
      </c>
      <c r="AH149" s="176">
        <f t="shared" si="70"/>
        <v>4</v>
      </c>
      <c r="AI149" s="224">
        <f t="shared" si="71"/>
        <v>-1.3735184312333493</v>
      </c>
      <c r="AJ149" s="264" t="b">
        <f t="shared" si="72"/>
        <v>0</v>
      </c>
      <c r="AK149" s="264" t="b">
        <f t="shared" si="73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74"/>
        <v>43601</v>
      </c>
      <c r="B150" s="607">
        <v>56.374000000000002</v>
      </c>
      <c r="C150" s="388"/>
      <c r="D150" s="391">
        <f t="shared" si="75"/>
        <v>56.487556764173689</v>
      </c>
      <c r="E150" s="383">
        <f t="shared" si="76"/>
        <v>57.127425816284799</v>
      </c>
      <c r="F150" s="383">
        <f t="shared" si="77"/>
        <v>57.127425816284799</v>
      </c>
      <c r="G150" s="110">
        <f t="shared" si="78"/>
        <v>0.90549968177787765</v>
      </c>
      <c r="I150" s="379">
        <f t="shared" si="52"/>
        <v>57.127425816284799</v>
      </c>
      <c r="J150" s="85">
        <v>2018</v>
      </c>
      <c r="K150" s="197">
        <f t="shared" si="53"/>
        <v>43601</v>
      </c>
      <c r="L150" s="435">
        <f t="shared" si="54"/>
        <v>2.0102969694328898E-3</v>
      </c>
      <c r="M150" s="842"/>
      <c r="N150" s="842"/>
      <c r="O150" s="323">
        <f t="shared" si="55"/>
        <v>1.1200733149938382E-2</v>
      </c>
      <c r="P150" s="169">
        <f>(INDEX(Models!$BJ150:$BT150,,T150)*(1-R150)+INDEX(Models!$BJ150:$BT150,,T150+1)*R150-ERP_i)*Q150*Ramure*Pc/MaxiM</f>
        <v>0</v>
      </c>
      <c r="Q150" s="304">
        <f t="shared" si="56"/>
        <v>0.6</v>
      </c>
      <c r="R150" s="177">
        <f t="shared" si="57"/>
        <v>0.63043800622777679</v>
      </c>
      <c r="S150" s="799">
        <f t="shared" si="79"/>
        <v>-2</v>
      </c>
      <c r="T150" s="176">
        <f t="shared" si="58"/>
        <v>4</v>
      </c>
      <c r="U150" s="250">
        <f t="shared" si="59"/>
        <v>-1.3695619937722232</v>
      </c>
      <c r="V150" s="382">
        <f t="shared" si="60"/>
        <v>62.257338279030726</v>
      </c>
      <c r="W150" s="58"/>
      <c r="X150" s="157">
        <f t="shared" si="61"/>
        <v>43601</v>
      </c>
      <c r="Y150" s="383">
        <f t="shared" si="62"/>
        <v>56.374000000000002</v>
      </c>
      <c r="Z150" s="383">
        <f t="shared" si="63"/>
        <v>56.487556764173689</v>
      </c>
      <c r="AA150" s="384">
        <f t="shared" si="64"/>
        <v>57.127425816284799</v>
      </c>
      <c r="AB150" s="197">
        <f t="shared" si="65"/>
        <v>43601</v>
      </c>
      <c r="AC150" s="424">
        <f t="shared" si="66"/>
        <v>1.1200733149938382E-2</v>
      </c>
      <c r="AD150" s="169">
        <f>(INDEX(Models!$BJ150:$BT150,,AH150)*(1-AF150)+INDEX(Models!$BJ150:$BT150,,AH150+1)*AF150-ERP_i)*AE150*Ramure*Pc/MaxiM</f>
        <v>0</v>
      </c>
      <c r="AE150" s="304">
        <f t="shared" si="67"/>
        <v>0.6</v>
      </c>
      <c r="AF150" s="177">
        <f t="shared" si="68"/>
        <v>0.63043800622777679</v>
      </c>
      <c r="AG150" s="799">
        <f t="shared" si="69"/>
        <v>-2</v>
      </c>
      <c r="AH150" s="176">
        <f t="shared" si="70"/>
        <v>4</v>
      </c>
      <c r="AI150" s="224">
        <f t="shared" si="71"/>
        <v>-1.3695619937722232</v>
      </c>
      <c r="AJ150" s="264" t="b">
        <f t="shared" si="72"/>
        <v>0</v>
      </c>
      <c r="AK150" s="264" t="b">
        <f t="shared" si="73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74"/>
        <v>43602</v>
      </c>
      <c r="B151" s="607">
        <v>6.367</v>
      </c>
      <c r="C151" s="388"/>
      <c r="D151" s="391">
        <f t="shared" si="75"/>
        <v>6.379947613794176</v>
      </c>
      <c r="E151" s="383">
        <f t="shared" si="76"/>
        <v>6.4529301218476087</v>
      </c>
      <c r="F151" s="383">
        <f t="shared" si="77"/>
        <v>6.4529301218476087</v>
      </c>
      <c r="G151" s="110">
        <f t="shared" si="78"/>
        <v>0.10225041838281312</v>
      </c>
      <c r="I151" s="379">
        <f t="shared" si="52"/>
        <v>6.4529301218476087</v>
      </c>
      <c r="J151" s="85">
        <v>2018</v>
      </c>
      <c r="K151" s="197">
        <f t="shared" si="53"/>
        <v>43602</v>
      </c>
      <c r="L151" s="435">
        <f t="shared" si="54"/>
        <v>2.0294232144134616E-3</v>
      </c>
      <c r="M151" s="842"/>
      <c r="N151" s="842"/>
      <c r="O151" s="323">
        <f t="shared" si="55"/>
        <v>1.1309979602341732E-2</v>
      </c>
      <c r="P151" s="169">
        <f>(INDEX(Models!$BJ151:$BT151,,T151)*(1-R151)+INDEX(Models!$BJ151:$BT151,,T151+1)*R151-ERP_i)*Q151*Ramure*Pc/MaxiM</f>
        <v>-1.326692502046981E-20</v>
      </c>
      <c r="Q151" s="304">
        <f t="shared" si="56"/>
        <v>0.6</v>
      </c>
      <c r="R151" s="177">
        <f t="shared" si="57"/>
        <v>0.63447206458775063</v>
      </c>
      <c r="S151" s="799">
        <f t="shared" si="79"/>
        <v>-2</v>
      </c>
      <c r="T151" s="176">
        <f t="shared" si="58"/>
        <v>4</v>
      </c>
      <c r="U151" s="250">
        <f t="shared" si="59"/>
        <v>-1.3655279354122494</v>
      </c>
      <c r="V151" s="382">
        <f t="shared" si="60"/>
        <v>62.268693866490871</v>
      </c>
      <c r="W151" s="58"/>
      <c r="X151" s="157">
        <f t="shared" si="61"/>
        <v>43602</v>
      </c>
      <c r="Y151" s="383">
        <f t="shared" si="62"/>
        <v>6.367</v>
      </c>
      <c r="Z151" s="383">
        <f t="shared" si="63"/>
        <v>6.379947613794176</v>
      </c>
      <c r="AA151" s="384">
        <f t="shared" si="64"/>
        <v>6.4529301218476087</v>
      </c>
      <c r="AB151" s="197">
        <f t="shared" si="65"/>
        <v>43602</v>
      </c>
      <c r="AC151" s="424">
        <f t="shared" si="66"/>
        <v>1.1309979602341732E-2</v>
      </c>
      <c r="AD151" s="169">
        <f>(INDEX(Models!$BJ151:$BT151,,AH151)*(1-AF151)+INDEX(Models!$BJ151:$BT151,,AH151+1)*AF151-ERP_i)*AE151*Ramure*Pc/MaxiM</f>
        <v>-1.326692502046981E-20</v>
      </c>
      <c r="AE151" s="304">
        <f t="shared" si="67"/>
        <v>0.6</v>
      </c>
      <c r="AF151" s="177">
        <f t="shared" si="68"/>
        <v>0.63447206458775063</v>
      </c>
      <c r="AG151" s="799">
        <f t="shared" si="69"/>
        <v>-2</v>
      </c>
      <c r="AH151" s="176">
        <f t="shared" si="70"/>
        <v>4</v>
      </c>
      <c r="AI151" s="224">
        <f t="shared" si="71"/>
        <v>-1.3655279354122494</v>
      </c>
      <c r="AJ151" s="264" t="b">
        <f t="shared" si="72"/>
        <v>0</v>
      </c>
      <c r="AK151" s="264" t="b">
        <f t="shared" si="73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74"/>
        <v>43603</v>
      </c>
      <c r="B152" s="607">
        <v>37.018000000000001</v>
      </c>
      <c r="C152" s="388"/>
      <c r="D152" s="391">
        <f t="shared" si="75"/>
        <v>37.093988857223422</v>
      </c>
      <c r="E152" s="383">
        <f t="shared" si="76"/>
        <v>37.522470683088514</v>
      </c>
      <c r="F152" s="383">
        <f t="shared" si="77"/>
        <v>37.522470683088514</v>
      </c>
      <c r="G152" s="110">
        <f t="shared" si="78"/>
        <v>0.59440994145390169</v>
      </c>
      <c r="I152" s="379">
        <f t="shared" si="52"/>
        <v>37.522470683088514</v>
      </c>
      <c r="J152" s="85">
        <v>2018</v>
      </c>
      <c r="K152" s="197">
        <f t="shared" si="53"/>
        <v>43603</v>
      </c>
      <c r="L152" s="435">
        <f t="shared" si="54"/>
        <v>2.0485490928437988E-3</v>
      </c>
      <c r="M152" s="842"/>
      <c r="N152" s="842"/>
      <c r="O152" s="323">
        <f t="shared" si="55"/>
        <v>1.1419339346921242E-2</v>
      </c>
      <c r="P152" s="169">
        <f>(INDEX(Models!$BJ152:$BT152,,T152)*(1-R152)+INDEX(Models!$BJ152:$BT152,,T152+1)*R152-ERP_i)*Q152*Ramure*Pc/MaxiM</f>
        <v>-1.3392794902799644E-20</v>
      </c>
      <c r="Q152" s="304">
        <f t="shared" si="56"/>
        <v>0.6</v>
      </c>
      <c r="R152" s="177">
        <f t="shared" si="57"/>
        <v>0.63858254481170773</v>
      </c>
      <c r="S152" s="799">
        <f t="shared" si="79"/>
        <v>-2</v>
      </c>
      <c r="T152" s="176">
        <f t="shared" si="58"/>
        <v>4</v>
      </c>
      <c r="U152" s="250">
        <f t="shared" si="59"/>
        <v>-1.3614174551882923</v>
      </c>
      <c r="V152" s="382">
        <f t="shared" si="60"/>
        <v>62.276885728821298</v>
      </c>
      <c r="W152" s="58"/>
      <c r="X152" s="157">
        <f t="shared" si="61"/>
        <v>43603</v>
      </c>
      <c r="Y152" s="383">
        <f t="shared" si="62"/>
        <v>37.018000000000001</v>
      </c>
      <c r="Z152" s="383">
        <f t="shared" si="63"/>
        <v>37.093988857223422</v>
      </c>
      <c r="AA152" s="384">
        <f t="shared" si="64"/>
        <v>37.522470683088514</v>
      </c>
      <c r="AB152" s="197">
        <f t="shared" si="65"/>
        <v>43603</v>
      </c>
      <c r="AC152" s="424">
        <f t="shared" si="66"/>
        <v>1.1419339346921242E-2</v>
      </c>
      <c r="AD152" s="169">
        <f>(INDEX(Models!$BJ152:$BT152,,AH152)*(1-AF152)+INDEX(Models!$BJ152:$BT152,,AH152+1)*AF152-ERP_i)*AE152*Ramure*Pc/MaxiM</f>
        <v>-1.3392794902799644E-20</v>
      </c>
      <c r="AE152" s="304">
        <f t="shared" si="67"/>
        <v>0.6</v>
      </c>
      <c r="AF152" s="177">
        <f t="shared" si="68"/>
        <v>0.63858254481170773</v>
      </c>
      <c r="AG152" s="799">
        <f t="shared" si="69"/>
        <v>-2</v>
      </c>
      <c r="AH152" s="176">
        <f t="shared" si="70"/>
        <v>4</v>
      </c>
      <c r="AI152" s="224">
        <f t="shared" si="71"/>
        <v>-1.3614174551882923</v>
      </c>
      <c r="AJ152" s="264" t="b">
        <f t="shared" si="72"/>
        <v>0</v>
      </c>
      <c r="AK152" s="264" t="b">
        <f t="shared" si="73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74"/>
        <v>43604</v>
      </c>
      <c r="B153" s="607">
        <v>26.152000000000001</v>
      </c>
      <c r="C153" s="388"/>
      <c r="D153" s="391">
        <f t="shared" si="75"/>
        <v>26.206185864999924</v>
      </c>
      <c r="E153" s="383">
        <f t="shared" si="76"/>
        <v>26.511835673689326</v>
      </c>
      <c r="F153" s="383">
        <f t="shared" si="77"/>
        <v>26.511835673689326</v>
      </c>
      <c r="G153" s="110">
        <f t="shared" si="78"/>
        <v>0.41989645288450539</v>
      </c>
      <c r="I153" s="379">
        <f t="shared" si="52"/>
        <v>26.511835673689326</v>
      </c>
      <c r="J153" s="85">
        <v>2018</v>
      </c>
      <c r="K153" s="197">
        <f t="shared" si="53"/>
        <v>43604</v>
      </c>
      <c r="L153" s="435">
        <f t="shared" si="54"/>
        <v>2.0676746047311179E-3</v>
      </c>
      <c r="M153" s="842"/>
      <c r="N153" s="842"/>
      <c r="O153" s="323">
        <f t="shared" si="55"/>
        <v>1.1528805943555803E-2</v>
      </c>
      <c r="P153" s="169">
        <f>(INDEX(Models!$BJ153:$BT153,,T153)*(1-R153)+INDEX(Models!$BJ153:$BT153,,T153+1)*R153-ERP_i)*Q153*Ramure*Pc/MaxiM</f>
        <v>0</v>
      </c>
      <c r="Q153" s="304">
        <f t="shared" si="56"/>
        <v>0.6</v>
      </c>
      <c r="R153" s="177">
        <f t="shared" si="57"/>
        <v>0.6427680705790042</v>
      </c>
      <c r="S153" s="799">
        <f t="shared" si="79"/>
        <v>-2</v>
      </c>
      <c r="T153" s="176">
        <f t="shared" si="58"/>
        <v>4</v>
      </c>
      <c r="U153" s="250">
        <f t="shared" si="59"/>
        <v>-1.3572319294209958</v>
      </c>
      <c r="V153" s="382">
        <f t="shared" si="60"/>
        <v>62.282021723087141</v>
      </c>
      <c r="W153" s="58"/>
      <c r="X153" s="157">
        <f t="shared" si="61"/>
        <v>43604</v>
      </c>
      <c r="Y153" s="383">
        <f t="shared" si="62"/>
        <v>26.152000000000001</v>
      </c>
      <c r="Z153" s="383">
        <f t="shared" si="63"/>
        <v>26.206185864999924</v>
      </c>
      <c r="AA153" s="384">
        <f t="shared" si="64"/>
        <v>26.511835673689326</v>
      </c>
      <c r="AB153" s="197">
        <f t="shared" si="65"/>
        <v>43604</v>
      </c>
      <c r="AC153" s="424">
        <f t="shared" si="66"/>
        <v>1.1528805943555803E-2</v>
      </c>
      <c r="AD153" s="169">
        <f>(INDEX(Models!$BJ153:$BT153,,AH153)*(1-AF153)+INDEX(Models!$BJ153:$BT153,,AH153+1)*AF153-ERP_i)*AE153*Ramure*Pc/MaxiM</f>
        <v>0</v>
      </c>
      <c r="AE153" s="304">
        <f t="shared" si="67"/>
        <v>0.6</v>
      </c>
      <c r="AF153" s="177">
        <f t="shared" si="68"/>
        <v>0.6427680705790042</v>
      </c>
      <c r="AG153" s="799">
        <f t="shared" si="69"/>
        <v>-2</v>
      </c>
      <c r="AH153" s="176">
        <f t="shared" si="70"/>
        <v>4</v>
      </c>
      <c r="AI153" s="224">
        <f t="shared" si="71"/>
        <v>-1.3572319294209958</v>
      </c>
      <c r="AJ153" s="264" t="b">
        <f t="shared" si="72"/>
        <v>0</v>
      </c>
      <c r="AK153" s="264" t="b">
        <f t="shared" si="73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74"/>
        <v>43605</v>
      </c>
      <c r="B154" s="607">
        <v>49.313000000000002</v>
      </c>
      <c r="C154" s="388"/>
      <c r="D154" s="391">
        <f t="shared" si="75"/>
        <v>49.416121550100797</v>
      </c>
      <c r="E154" s="383">
        <f t="shared" si="76"/>
        <v>49.998017090718008</v>
      </c>
      <c r="F154" s="383">
        <f t="shared" si="77"/>
        <v>49.998017090718008</v>
      </c>
      <c r="G154" s="110">
        <f t="shared" si="78"/>
        <v>0.79174160268932503</v>
      </c>
      <c r="I154" s="379">
        <f t="shared" si="52"/>
        <v>49.998017090718008</v>
      </c>
      <c r="J154" s="85">
        <v>2018</v>
      </c>
      <c r="K154" s="197">
        <f t="shared" si="53"/>
        <v>43605</v>
      </c>
      <c r="L154" s="435">
        <f t="shared" si="54"/>
        <v>2.0867997500824131E-3</v>
      </c>
      <c r="M154" s="842"/>
      <c r="N154" s="842"/>
      <c r="O154" s="323">
        <f t="shared" si="55"/>
        <v>1.163837236907614E-2</v>
      </c>
      <c r="P154" s="169">
        <f>(INDEX(Models!$BJ154:$BT154,,T154)*(1-R154)+INDEX(Models!$BJ154:$BT154,,T154+1)*R154-ERP_i)*Q154*Ramure*Pc/MaxiM</f>
        <v>1.3649188508928938E-20</v>
      </c>
      <c r="Q154" s="304">
        <f t="shared" si="56"/>
        <v>0.6</v>
      </c>
      <c r="R154" s="177">
        <f t="shared" si="57"/>
        <v>0.64702708588666491</v>
      </c>
      <c r="S154" s="799">
        <f t="shared" si="79"/>
        <v>-2</v>
      </c>
      <c r="T154" s="176">
        <f t="shared" si="58"/>
        <v>4</v>
      </c>
      <c r="U154" s="250">
        <f t="shared" si="59"/>
        <v>-1.3529729141133351</v>
      </c>
      <c r="V154" s="382">
        <f t="shared" si="60"/>
        <v>62.284209687223104</v>
      </c>
      <c r="W154" s="58"/>
      <c r="X154" s="157">
        <f t="shared" si="61"/>
        <v>43605</v>
      </c>
      <c r="Y154" s="383">
        <f t="shared" si="62"/>
        <v>49.313000000000002</v>
      </c>
      <c r="Z154" s="383">
        <f t="shared" si="63"/>
        <v>49.416121550100797</v>
      </c>
      <c r="AA154" s="384">
        <f t="shared" si="64"/>
        <v>49.998017090718008</v>
      </c>
      <c r="AB154" s="197">
        <f t="shared" si="65"/>
        <v>43605</v>
      </c>
      <c r="AC154" s="424">
        <f t="shared" si="66"/>
        <v>1.163837236907614E-2</v>
      </c>
      <c r="AD154" s="169">
        <f>(INDEX(Models!$BJ154:$BT154,,AH154)*(1-AF154)+INDEX(Models!$BJ154:$BT154,,AH154+1)*AF154-ERP_i)*AE154*Ramure*Pc/MaxiM</f>
        <v>1.3649188508928938E-20</v>
      </c>
      <c r="AE154" s="304">
        <f t="shared" si="67"/>
        <v>0.6</v>
      </c>
      <c r="AF154" s="177">
        <f t="shared" si="68"/>
        <v>0.64702708588666491</v>
      </c>
      <c r="AG154" s="799">
        <f t="shared" si="69"/>
        <v>-2</v>
      </c>
      <c r="AH154" s="176">
        <f t="shared" si="70"/>
        <v>4</v>
      </c>
      <c r="AI154" s="224">
        <f t="shared" si="71"/>
        <v>-1.3529729141133351</v>
      </c>
      <c r="AJ154" s="264" t="b">
        <f t="shared" si="72"/>
        <v>0</v>
      </c>
      <c r="AK154" s="264" t="b">
        <f t="shared" si="73"/>
        <v>0</v>
      </c>
      <c r="AL154" s="264"/>
      <c r="AM154" s="264"/>
      <c r="AN154" s="75"/>
    </row>
    <row r="155" spans="1:40" s="6" customFormat="1" ht="11.25" x14ac:dyDescent="0.2">
      <c r="A155" s="56">
        <f t="shared" si="74"/>
        <v>43606</v>
      </c>
      <c r="B155" s="607">
        <v>48.503</v>
      </c>
      <c r="C155" s="388"/>
      <c r="D155" s="391">
        <f t="shared" si="75"/>
        <v>48.605359218213856</v>
      </c>
      <c r="E155" s="383">
        <f t="shared" si="76"/>
        <v>49.183164561413967</v>
      </c>
      <c r="F155" s="383">
        <f t="shared" si="77"/>
        <v>49.183164561413967</v>
      </c>
      <c r="G155" s="110">
        <f t="shared" si="78"/>
        <v>0.77874485642128766</v>
      </c>
      <c r="I155" s="379">
        <f t="shared" si="52"/>
        <v>49.183164561413967</v>
      </c>
      <c r="J155" s="85">
        <v>2018</v>
      </c>
      <c r="K155" s="197">
        <f t="shared" si="53"/>
        <v>43606</v>
      </c>
      <c r="L155" s="435">
        <f t="shared" si="54"/>
        <v>2.105924528904568E-3</v>
      </c>
      <c r="M155" s="842"/>
      <c r="N155" s="842"/>
      <c r="O155" s="323">
        <f t="shared" si="55"/>
        <v>1.1748031025506997E-2</v>
      </c>
      <c r="P155" s="169">
        <f>(INDEX(Models!$BJ155:$BT155,,T155)*(1-R155)+INDEX(Models!$BJ155:$BT155,,T155+1)*R155-ERP_i)*Q155*Ramure*Pc/MaxiM</f>
        <v>0</v>
      </c>
      <c r="Q155" s="304">
        <f t="shared" si="56"/>
        <v>0.6</v>
      </c>
      <c r="R155" s="177">
        <f t="shared" si="57"/>
        <v>0.65135785340760766</v>
      </c>
      <c r="S155" s="799">
        <f t="shared" si="79"/>
        <v>-2</v>
      </c>
      <c r="T155" s="176">
        <f t="shared" si="58"/>
        <v>4</v>
      </c>
      <c r="U155" s="250">
        <f t="shared" si="59"/>
        <v>-1.3486421465923923</v>
      </c>
      <c r="V155" s="382">
        <f t="shared" si="60"/>
        <v>62.283557445111022</v>
      </c>
      <c r="W155" s="58"/>
      <c r="X155" s="157">
        <f t="shared" si="61"/>
        <v>43606</v>
      </c>
      <c r="Y155" s="383">
        <f t="shared" si="62"/>
        <v>48.503</v>
      </c>
      <c r="Z155" s="383">
        <f t="shared" si="63"/>
        <v>48.605359218213856</v>
      </c>
      <c r="AA155" s="384">
        <f t="shared" si="64"/>
        <v>49.183164561413967</v>
      </c>
      <c r="AB155" s="197">
        <f t="shared" si="65"/>
        <v>43606</v>
      </c>
      <c r="AC155" s="424">
        <f t="shared" si="66"/>
        <v>1.1748031025506997E-2</v>
      </c>
      <c r="AD155" s="169">
        <f>(INDEX(Models!$BJ155:$BT155,,AH155)*(1-AF155)+INDEX(Models!$BJ155:$BT155,,AH155+1)*AF155-ERP_i)*AE155*Ramure*Pc/MaxiM</f>
        <v>0</v>
      </c>
      <c r="AE155" s="304">
        <f t="shared" si="67"/>
        <v>0.6</v>
      </c>
      <c r="AF155" s="177">
        <f t="shared" si="68"/>
        <v>0.65135785340760766</v>
      </c>
      <c r="AG155" s="799">
        <f t="shared" si="69"/>
        <v>-2</v>
      </c>
      <c r="AH155" s="176">
        <f t="shared" si="70"/>
        <v>4</v>
      </c>
      <c r="AI155" s="224">
        <f t="shared" si="71"/>
        <v>-1.3486421465923923</v>
      </c>
      <c r="AJ155" s="264" t="b">
        <f t="shared" si="72"/>
        <v>0</v>
      </c>
      <c r="AK155" s="264" t="b">
        <f t="shared" si="73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74"/>
        <v>43607</v>
      </c>
      <c r="B156" s="607">
        <v>59.338000000000001</v>
      </c>
      <c r="C156" s="388"/>
      <c r="D156" s="391">
        <f t="shared" si="75"/>
        <v>59.464364685213731</v>
      </c>
      <c r="E156" s="383">
        <f t="shared" si="76"/>
        <v>60.177941095555454</v>
      </c>
      <c r="F156" s="383">
        <f t="shared" si="77"/>
        <v>60.177941095555454</v>
      </c>
      <c r="G156" s="110">
        <f t="shared" si="78"/>
        <v>0.95275907775417168</v>
      </c>
      <c r="I156" s="379">
        <f t="shared" si="52"/>
        <v>60.177941095555454</v>
      </c>
      <c r="J156" s="85">
        <v>2018</v>
      </c>
      <c r="K156" s="197">
        <f t="shared" si="53"/>
        <v>43607</v>
      </c>
      <c r="L156" s="435">
        <f t="shared" si="54"/>
        <v>2.125048941204799E-3</v>
      </c>
      <c r="M156" s="842"/>
      <c r="N156" s="842"/>
      <c r="O156" s="323">
        <f t="shared" si="55"/>
        <v>1.1857773751492193E-2</v>
      </c>
      <c r="P156" s="169">
        <f>(INDEX(Models!$BJ156:$BT156,,T156)*(1-R156)+INDEX(Models!$BJ156:$BT156,,T156+1)*R156-ERP_i)*Q156*Ramure*Pc/MaxiM</f>
        <v>0</v>
      </c>
      <c r="Q156" s="304">
        <f t="shared" si="56"/>
        <v>0.6</v>
      </c>
      <c r="R156" s="177">
        <f t="shared" si="57"/>
        <v>0.65575845365316332</v>
      </c>
      <c r="S156" s="799">
        <f t="shared" si="79"/>
        <v>-2</v>
      </c>
      <c r="T156" s="176">
        <f t="shared" si="58"/>
        <v>4</v>
      </c>
      <c r="U156" s="250">
        <f t="shared" si="59"/>
        <v>-1.3442415463468367</v>
      </c>
      <c r="V156" s="382">
        <f t="shared" si="60"/>
        <v>62.280172800736338</v>
      </c>
      <c r="W156" s="58"/>
      <c r="X156" s="157">
        <f t="shared" si="61"/>
        <v>43607</v>
      </c>
      <c r="Y156" s="383">
        <f t="shared" si="62"/>
        <v>59.338000000000001</v>
      </c>
      <c r="Z156" s="383">
        <f t="shared" si="63"/>
        <v>59.464364685213731</v>
      </c>
      <c r="AA156" s="384">
        <f t="shared" si="64"/>
        <v>60.177941095555454</v>
      </c>
      <c r="AB156" s="197">
        <f t="shared" si="65"/>
        <v>43607</v>
      </c>
      <c r="AC156" s="424">
        <f t="shared" si="66"/>
        <v>1.1857773751492193E-2</v>
      </c>
      <c r="AD156" s="169">
        <f>(INDEX(Models!$BJ156:$BT156,,AH156)*(1-AF156)+INDEX(Models!$BJ156:$BT156,,AH156+1)*AF156-ERP_i)*AE156*Ramure*Pc/MaxiM</f>
        <v>0</v>
      </c>
      <c r="AE156" s="304">
        <f t="shared" si="67"/>
        <v>0.6</v>
      </c>
      <c r="AF156" s="177">
        <f t="shared" si="68"/>
        <v>0.65575845365316332</v>
      </c>
      <c r="AG156" s="799">
        <f t="shared" si="69"/>
        <v>-2</v>
      </c>
      <c r="AH156" s="176">
        <f t="shared" si="70"/>
        <v>4</v>
      </c>
      <c r="AI156" s="224">
        <f t="shared" si="71"/>
        <v>-1.3442415463468367</v>
      </c>
      <c r="AJ156" s="264" t="b">
        <f t="shared" si="72"/>
        <v>0</v>
      </c>
      <c r="AK156" s="264" t="b">
        <f t="shared" si="73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74"/>
        <v>43608</v>
      </c>
      <c r="B157" s="607">
        <v>55.389000000000003</v>
      </c>
      <c r="C157" s="388"/>
      <c r="D157" s="391">
        <f t="shared" si="75"/>
        <v>55.508018794460419</v>
      </c>
      <c r="E157" s="383">
        <f t="shared" si="76"/>
        <v>56.180362441412001</v>
      </c>
      <c r="F157" s="383">
        <f t="shared" si="77"/>
        <v>56.180362441412001</v>
      </c>
      <c r="G157" s="110">
        <f t="shared" si="78"/>
        <v>0.88943788002563717</v>
      </c>
      <c r="I157" s="379">
        <f t="shared" si="52"/>
        <v>56.180362441412001</v>
      </c>
      <c r="J157" s="85">
        <v>2018</v>
      </c>
      <c r="K157" s="197">
        <f t="shared" si="53"/>
        <v>43608</v>
      </c>
      <c r="L157" s="435">
        <f t="shared" si="54"/>
        <v>2.1441729869899895E-3</v>
      </c>
      <c r="M157" s="842"/>
      <c r="N157" s="842"/>
      <c r="O157" s="323">
        <f t="shared" si="55"/>
        <v>1.1967591836965068E-2</v>
      </c>
      <c r="P157" s="169">
        <f>(INDEX(Models!$BJ157:$BT157,,T157)*(1-R157)+INDEX(Models!$BJ157:$BT157,,T157+1)*R157-ERP_i)*Q157*Ramure*Pc/MaxiM</f>
        <v>0</v>
      </c>
      <c r="Q157" s="304">
        <f t="shared" si="56"/>
        <v>0.6</v>
      </c>
      <c r="R157" s="177">
        <f t="shared" si="57"/>
        <v>0.6602267849849357</v>
      </c>
      <c r="S157" s="799">
        <f t="shared" si="79"/>
        <v>-2</v>
      </c>
      <c r="T157" s="176">
        <f t="shared" si="58"/>
        <v>4</v>
      </c>
      <c r="U157" s="250">
        <f t="shared" si="59"/>
        <v>-1.3397732150150643</v>
      </c>
      <c r="V157" s="382">
        <f t="shared" si="60"/>
        <v>62.274163540688726</v>
      </c>
      <c r="W157" s="58"/>
      <c r="X157" s="157">
        <f t="shared" si="61"/>
        <v>43608</v>
      </c>
      <c r="Y157" s="383">
        <f t="shared" si="62"/>
        <v>55.389000000000003</v>
      </c>
      <c r="Z157" s="383">
        <f t="shared" si="63"/>
        <v>55.508018794460419</v>
      </c>
      <c r="AA157" s="384">
        <f t="shared" si="64"/>
        <v>56.180362441412001</v>
      </c>
      <c r="AB157" s="197">
        <f t="shared" si="65"/>
        <v>43608</v>
      </c>
      <c r="AC157" s="424">
        <f t="shared" si="66"/>
        <v>1.1967591836965068E-2</v>
      </c>
      <c r="AD157" s="169">
        <f>(INDEX(Models!$BJ157:$BT157,,AH157)*(1-AF157)+INDEX(Models!$BJ157:$BT157,,AH157+1)*AF157-ERP_i)*AE157*Ramure*Pc/MaxiM</f>
        <v>0</v>
      </c>
      <c r="AE157" s="304">
        <f t="shared" si="67"/>
        <v>0.6</v>
      </c>
      <c r="AF157" s="177">
        <f t="shared" si="68"/>
        <v>0.6602267849849357</v>
      </c>
      <c r="AG157" s="799">
        <f t="shared" si="69"/>
        <v>-2</v>
      </c>
      <c r="AH157" s="176">
        <f t="shared" si="70"/>
        <v>4</v>
      </c>
      <c r="AI157" s="224">
        <f t="shared" si="71"/>
        <v>-1.3397732150150643</v>
      </c>
      <c r="AJ157" s="264" t="b">
        <f t="shared" si="72"/>
        <v>0</v>
      </c>
      <c r="AK157" s="264" t="b">
        <f t="shared" si="73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74"/>
        <v>43609</v>
      </c>
      <c r="B158" s="607">
        <v>12.382999999999999</v>
      </c>
      <c r="C158" s="388"/>
      <c r="D158" s="391">
        <f t="shared" si="75"/>
        <v>12.409846178867634</v>
      </c>
      <c r="E158" s="383">
        <f t="shared" si="76"/>
        <v>12.561558095808673</v>
      </c>
      <c r="F158" s="383">
        <f t="shared" si="77"/>
        <v>12.561558095808673</v>
      </c>
      <c r="G158" s="110">
        <f t="shared" si="78"/>
        <v>0.19887373696395916</v>
      </c>
      <c r="I158" s="379">
        <f t="shared" si="52"/>
        <v>12.561558095808673</v>
      </c>
      <c r="J158" s="85">
        <v>2018</v>
      </c>
      <c r="K158" s="197">
        <f t="shared" si="53"/>
        <v>43609</v>
      </c>
      <c r="L158" s="435">
        <f t="shared" si="54"/>
        <v>2.1632966662672448E-3</v>
      </c>
      <c r="M158" s="842"/>
      <c r="N158" s="842"/>
      <c r="O158" s="323">
        <f t="shared" si="55"/>
        <v>1.2077476041102033E-2</v>
      </c>
      <c r="P158" s="169">
        <f>(INDEX(Models!$BJ158:$BT158,,T158)*(1-R158)+INDEX(Models!$BJ158:$BT158,,T158+1)*R158-ERP_i)*Q158*Ramure*Pc/MaxiM</f>
        <v>0</v>
      </c>
      <c r="Q158" s="304">
        <f t="shared" si="56"/>
        <v>0.6</v>
      </c>
      <c r="R158" s="177">
        <f t="shared" si="57"/>
        <v>0.66476056451576504</v>
      </c>
      <c r="S158" s="799">
        <f t="shared" si="79"/>
        <v>-2</v>
      </c>
      <c r="T158" s="176">
        <f t="shared" si="58"/>
        <v>4</v>
      </c>
      <c r="U158" s="250">
        <f t="shared" si="59"/>
        <v>-1.335239435484235</v>
      </c>
      <c r="V158" s="382">
        <f t="shared" si="60"/>
        <v>62.26563742926048</v>
      </c>
      <c r="W158" s="58"/>
      <c r="X158" s="157">
        <f t="shared" si="61"/>
        <v>43609</v>
      </c>
      <c r="Y158" s="383">
        <f t="shared" si="62"/>
        <v>12.382999999999999</v>
      </c>
      <c r="Z158" s="383">
        <f t="shared" si="63"/>
        <v>12.409846178867634</v>
      </c>
      <c r="AA158" s="384">
        <f t="shared" si="64"/>
        <v>12.561558095808673</v>
      </c>
      <c r="AB158" s="197">
        <f t="shared" si="65"/>
        <v>43609</v>
      </c>
      <c r="AC158" s="424">
        <f t="shared" si="66"/>
        <v>1.2077476041102033E-2</v>
      </c>
      <c r="AD158" s="169">
        <f>(INDEX(Models!$BJ158:$BT158,,AH158)*(1-AF158)+INDEX(Models!$BJ158:$BT158,,AH158+1)*AF158-ERP_i)*AE158*Ramure*Pc/MaxiM</f>
        <v>0</v>
      </c>
      <c r="AE158" s="304">
        <f t="shared" si="67"/>
        <v>0.6</v>
      </c>
      <c r="AF158" s="177">
        <f t="shared" si="68"/>
        <v>0.66476056451576504</v>
      </c>
      <c r="AG158" s="799">
        <f t="shared" si="69"/>
        <v>-2</v>
      </c>
      <c r="AH158" s="176">
        <f t="shared" si="70"/>
        <v>4</v>
      </c>
      <c r="AI158" s="224">
        <f t="shared" si="71"/>
        <v>-1.335239435484235</v>
      </c>
      <c r="AJ158" s="264" t="b">
        <f t="shared" si="72"/>
        <v>0</v>
      </c>
      <c r="AK158" s="264" t="b">
        <f t="shared" si="73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74"/>
        <v>43610</v>
      </c>
      <c r="B159" s="607">
        <v>23.859000000000002</v>
      </c>
      <c r="C159" s="388"/>
      <c r="D159" s="391">
        <f t="shared" si="75"/>
        <v>23.911184246221545</v>
      </c>
      <c r="E159" s="383">
        <f t="shared" si="76"/>
        <v>24.206195232145149</v>
      </c>
      <c r="F159" s="383">
        <f t="shared" si="77"/>
        <v>24.206195232145149</v>
      </c>
      <c r="G159" s="110">
        <f t="shared" si="78"/>
        <v>0.38324815883371705</v>
      </c>
      <c r="I159" s="379">
        <f t="shared" si="52"/>
        <v>24.206195232145149</v>
      </c>
      <c r="J159" s="85">
        <v>2018</v>
      </c>
      <c r="K159" s="197">
        <f t="shared" si="53"/>
        <v>43610</v>
      </c>
      <c r="L159" s="435">
        <f t="shared" si="54"/>
        <v>2.1824199790434484E-3</v>
      </c>
      <c r="M159" s="842"/>
      <c r="N159" s="842"/>
      <c r="O159" s="323">
        <f t="shared" si="55"/>
        <v>1.2187416613571565E-2</v>
      </c>
      <c r="P159" s="169">
        <f>(INDEX(Models!$BJ159:$BT159,,T159)*(1-R159)+INDEX(Models!$BJ159:$BT159,,T159+1)*R159-ERP_i)*Q159*Ramure*Pc/MaxiM</f>
        <v>0</v>
      </c>
      <c r="Q159" s="304">
        <f t="shared" si="56"/>
        <v>0.6</v>
      </c>
      <c r="R159" s="177">
        <f t="shared" si="57"/>
        <v>0.66935732993348229</v>
      </c>
      <c r="S159" s="799">
        <f t="shared" si="79"/>
        <v>-2</v>
      </c>
      <c r="T159" s="176">
        <f t="shared" si="58"/>
        <v>4</v>
      </c>
      <c r="U159" s="250">
        <f t="shared" si="59"/>
        <v>-1.3306426700665177</v>
      </c>
      <c r="V159" s="382">
        <f t="shared" si="60"/>
        <v>62.254702208111318</v>
      </c>
      <c r="W159" s="58"/>
      <c r="X159" s="157">
        <f t="shared" si="61"/>
        <v>43610</v>
      </c>
      <c r="Y159" s="383">
        <f t="shared" si="62"/>
        <v>23.859000000000002</v>
      </c>
      <c r="Z159" s="383">
        <f t="shared" si="63"/>
        <v>23.911184246221545</v>
      </c>
      <c r="AA159" s="384">
        <f t="shared" si="64"/>
        <v>24.206195232145149</v>
      </c>
      <c r="AB159" s="197">
        <f t="shared" si="65"/>
        <v>43610</v>
      </c>
      <c r="AC159" s="424">
        <f t="shared" si="66"/>
        <v>1.2187416613571565E-2</v>
      </c>
      <c r="AD159" s="169">
        <f>(INDEX(Models!$BJ159:$BT159,,AH159)*(1-AF159)+INDEX(Models!$BJ159:$BT159,,AH159+1)*AF159-ERP_i)*AE159*Ramure*Pc/MaxiM</f>
        <v>0</v>
      </c>
      <c r="AE159" s="304">
        <f t="shared" si="67"/>
        <v>0.6</v>
      </c>
      <c r="AF159" s="177">
        <f t="shared" si="68"/>
        <v>0.66935732993348229</v>
      </c>
      <c r="AG159" s="799">
        <f t="shared" si="69"/>
        <v>-2</v>
      </c>
      <c r="AH159" s="176">
        <f t="shared" si="70"/>
        <v>4</v>
      </c>
      <c r="AI159" s="224">
        <f t="shared" si="71"/>
        <v>-1.3306426700665177</v>
      </c>
      <c r="AJ159" s="264" t="b">
        <f t="shared" si="72"/>
        <v>0</v>
      </c>
      <c r="AK159" s="264" t="b">
        <f t="shared" si="73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74"/>
        <v>43611</v>
      </c>
      <c r="B160" s="607">
        <v>23.213999999999999</v>
      </c>
      <c r="C160" s="388"/>
      <c r="D160" s="391">
        <f t="shared" si="75"/>
        <v>23.265219379130276</v>
      </c>
      <c r="E160" s="383">
        <f t="shared" si="76"/>
        <v>23.554883278944928</v>
      </c>
      <c r="F160" s="383">
        <f t="shared" si="77"/>
        <v>23.554883278944928</v>
      </c>
      <c r="G160" s="110">
        <f t="shared" si="78"/>
        <v>0.37296679596734877</v>
      </c>
      <c r="I160" s="379">
        <f t="shared" si="52"/>
        <v>23.554883278944928</v>
      </c>
      <c r="J160" s="85">
        <v>2018</v>
      </c>
      <c r="K160" s="197">
        <f t="shared" si="53"/>
        <v>43611</v>
      </c>
      <c r="L160" s="435">
        <f t="shared" si="54"/>
        <v>2.2015429253258167E-3</v>
      </c>
      <c r="M160" s="842"/>
      <c r="N160" s="842"/>
      <c r="O160" s="323">
        <f t="shared" si="55"/>
        <v>1.2297403319063628E-2</v>
      </c>
      <c r="P160" s="169">
        <f>(INDEX(Models!$BJ160:$BT160,,T160)*(1-R160)+INDEX(Models!$BJ160:$BT160,,T160+1)*R160-ERP_i)*Q160*Ramure*Pc/MaxiM</f>
        <v>0</v>
      </c>
      <c r="Q160" s="304">
        <f t="shared" si="56"/>
        <v>0.6</v>
      </c>
      <c r="R160" s="177">
        <f t="shared" si="57"/>
        <v>0.67401444227431462</v>
      </c>
      <c r="S160" s="799">
        <f t="shared" si="79"/>
        <v>-2</v>
      </c>
      <c r="T160" s="176">
        <f t="shared" si="58"/>
        <v>4</v>
      </c>
      <c r="U160" s="250">
        <f t="shared" si="59"/>
        <v>-1.3259855577256854</v>
      </c>
      <c r="V160" s="382">
        <f t="shared" si="60"/>
        <v>62.241465596932812</v>
      </c>
      <c r="W160" s="58"/>
      <c r="X160" s="157">
        <f t="shared" si="61"/>
        <v>43611</v>
      </c>
      <c r="Y160" s="383">
        <f t="shared" si="62"/>
        <v>23.213999999999999</v>
      </c>
      <c r="Z160" s="383">
        <f t="shared" si="63"/>
        <v>23.265219379130276</v>
      </c>
      <c r="AA160" s="384">
        <f t="shared" si="64"/>
        <v>23.554883278944928</v>
      </c>
      <c r="AB160" s="197">
        <f t="shared" si="65"/>
        <v>43611</v>
      </c>
      <c r="AC160" s="424">
        <f t="shared" si="66"/>
        <v>1.2297403319063628E-2</v>
      </c>
      <c r="AD160" s="169">
        <f>(INDEX(Models!$BJ160:$BT160,,AH160)*(1-AF160)+INDEX(Models!$BJ160:$BT160,,AH160+1)*AF160-ERP_i)*AE160*Ramure*Pc/MaxiM</f>
        <v>0</v>
      </c>
      <c r="AE160" s="304">
        <f t="shared" si="67"/>
        <v>0.6</v>
      </c>
      <c r="AF160" s="177">
        <f t="shared" si="68"/>
        <v>0.67401444227431462</v>
      </c>
      <c r="AG160" s="799">
        <f t="shared" si="69"/>
        <v>-2</v>
      </c>
      <c r="AH160" s="176">
        <f t="shared" si="70"/>
        <v>4</v>
      </c>
      <c r="AI160" s="224">
        <f t="shared" si="71"/>
        <v>-1.3259855577256854</v>
      </c>
      <c r="AJ160" s="264" t="b">
        <f t="shared" si="72"/>
        <v>0</v>
      </c>
      <c r="AK160" s="264" t="b">
        <f t="shared" si="73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74"/>
        <v>43612</v>
      </c>
      <c r="B161" s="607">
        <v>29.463000000000001</v>
      </c>
      <c r="C161" s="388"/>
      <c r="D161" s="391">
        <f t="shared" si="75"/>
        <v>29.528573083662341</v>
      </c>
      <c r="E161" s="383">
        <f t="shared" si="76"/>
        <v>29.899549515717389</v>
      </c>
      <c r="F161" s="383">
        <f t="shared" si="77"/>
        <v>29.899549515717389</v>
      </c>
      <c r="G161" s="110">
        <f t="shared" si="78"/>
        <v>0.47348348426714587</v>
      </c>
      <c r="I161" s="379">
        <f t="shared" si="52"/>
        <v>29.899549515717389</v>
      </c>
      <c r="J161" s="85">
        <v>2018</v>
      </c>
      <c r="K161" s="197">
        <f t="shared" si="53"/>
        <v>43612</v>
      </c>
      <c r="L161" s="435">
        <f t="shared" si="54"/>
        <v>2.2206655051212332E-3</v>
      </c>
      <c r="M161" s="842"/>
      <c r="N161" s="842"/>
      <c r="O161" s="323">
        <f t="shared" si="55"/>
        <v>1.2407425465057119E-2</v>
      </c>
      <c r="P161" s="169">
        <f>(INDEX(Models!$BJ161:$BT161,,T161)*(1-R161)+INDEX(Models!$BJ161:$BT161,,T161+1)*R161-ERP_i)*Q161*Ramure*Pc/MaxiM</f>
        <v>0</v>
      </c>
      <c r="Q161" s="304">
        <f t="shared" si="56"/>
        <v>0.6</v>
      </c>
      <c r="R161" s="177">
        <f t="shared" si="57"/>
        <v>0.67872908966529044</v>
      </c>
      <c r="S161" s="799">
        <f t="shared" si="79"/>
        <v>-2</v>
      </c>
      <c r="T161" s="176">
        <f t="shared" si="58"/>
        <v>4</v>
      </c>
      <c r="U161" s="250">
        <f t="shared" si="59"/>
        <v>-1.3212709103347096</v>
      </c>
      <c r="V161" s="382">
        <f t="shared" si="60"/>
        <v>62.226035287382004</v>
      </c>
      <c r="W161" s="58"/>
      <c r="X161" s="157">
        <f t="shared" si="61"/>
        <v>43612</v>
      </c>
      <c r="Y161" s="383">
        <f t="shared" si="62"/>
        <v>29.463000000000001</v>
      </c>
      <c r="Z161" s="383">
        <f t="shared" si="63"/>
        <v>29.528573083662341</v>
      </c>
      <c r="AA161" s="384">
        <f t="shared" si="64"/>
        <v>29.899549515717389</v>
      </c>
      <c r="AB161" s="197">
        <f t="shared" si="65"/>
        <v>43612</v>
      </c>
      <c r="AC161" s="424">
        <f t="shared" si="66"/>
        <v>1.2407425465057119E-2</v>
      </c>
      <c r="AD161" s="169">
        <f>(INDEX(Models!$BJ161:$BT161,,AH161)*(1-AF161)+INDEX(Models!$BJ161:$BT161,,AH161+1)*AF161-ERP_i)*AE161*Ramure*Pc/MaxiM</f>
        <v>0</v>
      </c>
      <c r="AE161" s="304">
        <f t="shared" si="67"/>
        <v>0.6</v>
      </c>
      <c r="AF161" s="177">
        <f t="shared" si="68"/>
        <v>0.67872908966529044</v>
      </c>
      <c r="AG161" s="799">
        <f t="shared" si="69"/>
        <v>-2</v>
      </c>
      <c r="AH161" s="176">
        <f t="shared" si="70"/>
        <v>4</v>
      </c>
      <c r="AI161" s="224">
        <f t="shared" si="71"/>
        <v>-1.3212709103347096</v>
      </c>
      <c r="AJ161" s="264" t="b">
        <f t="shared" si="72"/>
        <v>0</v>
      </c>
      <c r="AK161" s="264" t="b">
        <f t="shared" si="73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74"/>
        <v>43613</v>
      </c>
      <c r="B162" s="607">
        <v>27.335999999999999</v>
      </c>
      <c r="C162" s="388"/>
      <c r="D162" s="391">
        <f t="shared" si="75"/>
        <v>27.397364280031955</v>
      </c>
      <c r="E162" s="383">
        <f t="shared" si="76"/>
        <v>27.744657248422978</v>
      </c>
      <c r="F162" s="383">
        <f t="shared" si="77"/>
        <v>27.744657248422978</v>
      </c>
      <c r="G162" s="110">
        <f t="shared" si="78"/>
        <v>0.4394253466376038</v>
      </c>
      <c r="I162" s="379">
        <f t="shared" si="52"/>
        <v>27.744657248422978</v>
      </c>
      <c r="J162" s="85">
        <v>2018</v>
      </c>
      <c r="K162" s="197">
        <f t="shared" si="53"/>
        <v>43613</v>
      </c>
      <c r="L162" s="435">
        <f t="shared" si="54"/>
        <v>2.2397877184368031E-3</v>
      </c>
      <c r="M162" s="842"/>
      <c r="N162" s="842"/>
      <c r="O162" s="323">
        <f t="shared" si="55"/>
        <v>1.2517471932754288E-2</v>
      </c>
      <c r="P162" s="169">
        <f>(INDEX(Models!$BJ162:$BT162,,T162)*(1-R162)+INDEX(Models!$BJ162:$BT162,,T162+1)*R162-ERP_i)*Q162*Ramure*Pc/MaxiM</f>
        <v>0</v>
      </c>
      <c r="Q162" s="304">
        <f t="shared" si="56"/>
        <v>0.6</v>
      </c>
      <c r="R162" s="177">
        <f t="shared" si="57"/>
        <v>0.68349829204683266</v>
      </c>
      <c r="S162" s="799">
        <f t="shared" si="79"/>
        <v>-2</v>
      </c>
      <c r="T162" s="176">
        <f t="shared" si="58"/>
        <v>4</v>
      </c>
      <c r="U162" s="250">
        <f t="shared" si="59"/>
        <v>-1.3165017079531673</v>
      </c>
      <c r="V162" s="382">
        <f t="shared" si="60"/>
        <v>62.208518942226902</v>
      </c>
      <c r="W162" s="58"/>
      <c r="X162" s="157">
        <f t="shared" si="61"/>
        <v>43613</v>
      </c>
      <c r="Y162" s="383">
        <f t="shared" si="62"/>
        <v>27.335999999999999</v>
      </c>
      <c r="Z162" s="383">
        <f t="shared" si="63"/>
        <v>27.397364280031955</v>
      </c>
      <c r="AA162" s="384">
        <f t="shared" si="64"/>
        <v>27.744657248422978</v>
      </c>
      <c r="AB162" s="197">
        <f t="shared" si="65"/>
        <v>43613</v>
      </c>
      <c r="AC162" s="424">
        <f t="shared" si="66"/>
        <v>1.2517471932754288E-2</v>
      </c>
      <c r="AD162" s="169">
        <f>(INDEX(Models!$BJ162:$BT162,,AH162)*(1-AF162)+INDEX(Models!$BJ162:$BT162,,AH162+1)*AF162-ERP_i)*AE162*Ramure*Pc/MaxiM</f>
        <v>0</v>
      </c>
      <c r="AE162" s="304">
        <f t="shared" si="67"/>
        <v>0.6</v>
      </c>
      <c r="AF162" s="177">
        <f t="shared" si="68"/>
        <v>0.68349829204683266</v>
      </c>
      <c r="AG162" s="799">
        <f t="shared" si="69"/>
        <v>-2</v>
      </c>
      <c r="AH162" s="176">
        <f t="shared" si="70"/>
        <v>4</v>
      </c>
      <c r="AI162" s="224">
        <f t="shared" si="71"/>
        <v>-1.3165017079531673</v>
      </c>
      <c r="AJ162" s="264" t="b">
        <f t="shared" si="72"/>
        <v>0</v>
      </c>
      <c r="AK162" s="264" t="b">
        <f t="shared" si="73"/>
        <v>0</v>
      </c>
      <c r="AL162" s="264"/>
      <c r="AM162" s="264"/>
      <c r="AN162" s="75"/>
    </row>
    <row r="163" spans="1:40" s="6" customFormat="1" ht="11.25" x14ac:dyDescent="0.2">
      <c r="A163" s="56">
        <f t="shared" si="74"/>
        <v>43614</v>
      </c>
      <c r="B163" s="607">
        <v>37.53</v>
      </c>
      <c r="C163" s="388"/>
      <c r="D163" s="391">
        <f t="shared" si="75"/>
        <v>37.614968812849035</v>
      </c>
      <c r="E163" s="383">
        <f t="shared" si="76"/>
        <v>38.096027590263347</v>
      </c>
      <c r="F163" s="383">
        <f t="shared" si="77"/>
        <v>38.096027590263347</v>
      </c>
      <c r="G163" s="110">
        <f t="shared" si="78"/>
        <v>0.60348750060867185</v>
      </c>
      <c r="I163" s="379">
        <f t="shared" si="52"/>
        <v>38.096027590263347</v>
      </c>
      <c r="J163" s="85">
        <v>2018</v>
      </c>
      <c r="K163" s="197">
        <f t="shared" si="53"/>
        <v>43614</v>
      </c>
      <c r="L163" s="435">
        <f t="shared" si="54"/>
        <v>2.25890956527941E-3</v>
      </c>
      <c r="M163" s="842"/>
      <c r="N163" s="842"/>
      <c r="O163" s="323">
        <f t="shared" si="55"/>
        <v>1.2627531211082557E-2</v>
      </c>
      <c r="P163" s="169">
        <f>(INDEX(Models!$BJ163:$BT163,,T163)*(1-R163)+INDEX(Models!$BJ163:$BT163,,T163+1)*R163-ERP_i)*Q163*Ramure*Pc/MaxiM</f>
        <v>1.4849088892227716E-20</v>
      </c>
      <c r="Q163" s="304">
        <f t="shared" si="56"/>
        <v>0.6</v>
      </c>
      <c r="R163" s="177">
        <f t="shared" si="57"/>
        <v>0.68831890687805464</v>
      </c>
      <c r="S163" s="799">
        <f t="shared" si="79"/>
        <v>-2</v>
      </c>
      <c r="T163" s="176">
        <f t="shared" si="58"/>
        <v>4</v>
      </c>
      <c r="U163" s="250">
        <f t="shared" si="59"/>
        <v>-1.3116810931219454</v>
      </c>
      <c r="V163" s="382">
        <f t="shared" si="60"/>
        <v>62.188529111452347</v>
      </c>
      <c r="W163" s="58"/>
      <c r="X163" s="157">
        <f t="shared" si="61"/>
        <v>43614</v>
      </c>
      <c r="Y163" s="383">
        <f t="shared" si="62"/>
        <v>37.53</v>
      </c>
      <c r="Z163" s="383">
        <f t="shared" si="63"/>
        <v>37.614968812849035</v>
      </c>
      <c r="AA163" s="384">
        <f t="shared" si="64"/>
        <v>38.096027590263347</v>
      </c>
      <c r="AB163" s="197">
        <f t="shared" si="65"/>
        <v>43614</v>
      </c>
      <c r="AC163" s="424">
        <f t="shared" si="66"/>
        <v>1.2627531211082557E-2</v>
      </c>
      <c r="AD163" s="169">
        <f>(INDEX(Models!$BJ163:$BT163,,AH163)*(1-AF163)+INDEX(Models!$BJ163:$BT163,,AH163+1)*AF163-ERP_i)*AE163*Ramure*Pc/MaxiM</f>
        <v>1.4849088892227716E-20</v>
      </c>
      <c r="AE163" s="304">
        <f t="shared" si="67"/>
        <v>0.6</v>
      </c>
      <c r="AF163" s="177">
        <f t="shared" si="68"/>
        <v>0.68831890687805464</v>
      </c>
      <c r="AG163" s="799">
        <f t="shared" si="69"/>
        <v>-2</v>
      </c>
      <c r="AH163" s="176">
        <f t="shared" si="70"/>
        <v>4</v>
      </c>
      <c r="AI163" s="224">
        <f t="shared" si="71"/>
        <v>-1.3116810931219454</v>
      </c>
      <c r="AJ163" s="264" t="b">
        <f t="shared" si="72"/>
        <v>0</v>
      </c>
      <c r="AK163" s="264" t="b">
        <f t="shared" si="73"/>
        <v>0</v>
      </c>
      <c r="AL163" s="264"/>
      <c r="AM163" s="264"/>
      <c r="AN163" s="75"/>
    </row>
    <row r="164" spans="1:40" s="6" customFormat="1" ht="11.25" x14ac:dyDescent="0.2">
      <c r="A164" s="56">
        <f t="shared" si="74"/>
        <v>43615</v>
      </c>
      <c r="B164" s="607">
        <v>56.936999999999998</v>
      </c>
      <c r="C164" s="388"/>
      <c r="D164" s="391">
        <f t="shared" si="75"/>
        <v>57.067000398590466</v>
      </c>
      <c r="E164" s="383">
        <f t="shared" si="76"/>
        <v>57.803274897764311</v>
      </c>
      <c r="F164" s="383">
        <f t="shared" si="77"/>
        <v>57.803274897764311</v>
      </c>
      <c r="G164" s="110">
        <f t="shared" si="78"/>
        <v>0.9158912331025596</v>
      </c>
      <c r="I164" s="379">
        <f t="shared" si="52"/>
        <v>57.803274897764311</v>
      </c>
      <c r="J164" s="85">
        <v>2018</v>
      </c>
      <c r="K164" s="197">
        <f t="shared" si="53"/>
        <v>43615</v>
      </c>
      <c r="L164" s="435">
        <f t="shared" si="54"/>
        <v>2.2780310456562702E-3</v>
      </c>
      <c r="M164" s="842"/>
      <c r="N164" s="842"/>
      <c r="O164" s="323">
        <f t="shared" si="55"/>
        <v>1.2737591433635608E-2</v>
      </c>
      <c r="P164" s="169">
        <f>(INDEX(Models!$BJ164:$BT164,,T164)*(1-R164)+INDEX(Models!$BJ164:$BT164,,T164+1)*R164-ERP_i)*Q164*Ramure*Pc/MaxiM</f>
        <v>1.4984068661935007E-20</v>
      </c>
      <c r="Q164" s="304">
        <f t="shared" si="56"/>
        <v>0.6</v>
      </c>
      <c r="R164" s="177">
        <f t="shared" si="57"/>
        <v>0.69318763581814236</v>
      </c>
      <c r="S164" s="799">
        <f t="shared" si="79"/>
        <v>-2</v>
      </c>
      <c r="T164" s="176">
        <f t="shared" si="58"/>
        <v>4</v>
      </c>
      <c r="U164" s="250">
        <f t="shared" si="59"/>
        <v>-1.3068123641818576</v>
      </c>
      <c r="V164" s="382">
        <f t="shared" si="60"/>
        <v>62.165678567669303</v>
      </c>
      <c r="W164" s="58"/>
      <c r="X164" s="157">
        <f t="shared" si="61"/>
        <v>43615</v>
      </c>
      <c r="Y164" s="383">
        <f t="shared" si="62"/>
        <v>56.936999999999998</v>
      </c>
      <c r="Z164" s="383">
        <f t="shared" si="63"/>
        <v>57.067000398590466</v>
      </c>
      <c r="AA164" s="384">
        <f t="shared" si="64"/>
        <v>57.803274897764311</v>
      </c>
      <c r="AB164" s="197">
        <f t="shared" si="65"/>
        <v>43615</v>
      </c>
      <c r="AC164" s="424">
        <f t="shared" si="66"/>
        <v>1.2737591433635608E-2</v>
      </c>
      <c r="AD164" s="169">
        <f>(INDEX(Models!$BJ164:$BT164,,AH164)*(1-AF164)+INDEX(Models!$BJ164:$BT164,,AH164+1)*AF164-ERP_i)*AE164*Ramure*Pc/MaxiM</f>
        <v>1.4984068661935007E-20</v>
      </c>
      <c r="AE164" s="304">
        <f t="shared" si="67"/>
        <v>0.6</v>
      </c>
      <c r="AF164" s="177">
        <f t="shared" si="68"/>
        <v>0.69318763581814236</v>
      </c>
      <c r="AG164" s="799">
        <f t="shared" si="69"/>
        <v>-2</v>
      </c>
      <c r="AH164" s="176">
        <f t="shared" si="70"/>
        <v>4</v>
      </c>
      <c r="AI164" s="224">
        <f t="shared" si="71"/>
        <v>-1.3068123641818576</v>
      </c>
      <c r="AJ164" s="264" t="b">
        <f t="shared" si="72"/>
        <v>0</v>
      </c>
      <c r="AK164" s="264" t="b">
        <f t="shared" si="73"/>
        <v>0</v>
      </c>
      <c r="AL164" s="264"/>
      <c r="AM164" s="264"/>
      <c r="AN164" s="75"/>
    </row>
    <row r="165" spans="1:40" s="6" customFormat="1" ht="11.25" x14ac:dyDescent="0.2">
      <c r="A165" s="56">
        <f t="shared" si="74"/>
        <v>43616</v>
      </c>
      <c r="B165" s="607">
        <v>60.933</v>
      </c>
      <c r="C165" s="388"/>
      <c r="D165" s="391">
        <f t="shared" si="75"/>
        <v>61.073294650699175</v>
      </c>
      <c r="E165" s="383">
        <f t="shared" si="76"/>
        <v>61.868154452454135</v>
      </c>
      <c r="F165" s="383">
        <f t="shared" si="77"/>
        <v>61.868154452454135</v>
      </c>
      <c r="G165" s="110">
        <f t="shared" si="78"/>
        <v>0.98057493078624103</v>
      </c>
      <c r="I165" s="379">
        <f t="shared" si="52"/>
        <v>61.868154452454135</v>
      </c>
      <c r="J165" s="85">
        <v>2018</v>
      </c>
      <c r="K165" s="197">
        <f t="shared" si="53"/>
        <v>43616</v>
      </c>
      <c r="L165" s="435">
        <f t="shared" si="54"/>
        <v>2.2971521595743782E-3</v>
      </c>
      <c r="M165" s="842"/>
      <c r="N165" s="842"/>
      <c r="O165" s="323">
        <f t="shared" si="55"/>
        <v>1.2847640418396681E-2</v>
      </c>
      <c r="P165" s="169">
        <f>(INDEX(Models!$BJ165:$BT165,,T165)*(1-R165)+INDEX(Models!$BJ165:$BT165,,T165+1)*R165-ERP_i)*Q165*Ramure*Pc/MaxiM</f>
        <v>0</v>
      </c>
      <c r="Q165" s="304">
        <f t="shared" si="56"/>
        <v>0.6</v>
      </c>
      <c r="R165" s="177">
        <f t="shared" si="57"/>
        <v>0.69810103236776899</v>
      </c>
      <c r="S165" s="799">
        <f t="shared" si="79"/>
        <v>-2</v>
      </c>
      <c r="T165" s="176">
        <f t="shared" si="58"/>
        <v>4</v>
      </c>
      <c r="U165" s="250">
        <f t="shared" si="59"/>
        <v>-1.301898967632231</v>
      </c>
      <c r="V165" s="382">
        <f t="shared" si="60"/>
        <v>62.140075262930623</v>
      </c>
      <c r="W165" s="58"/>
      <c r="X165" s="157">
        <f t="shared" si="61"/>
        <v>43616</v>
      </c>
      <c r="Y165" s="383">
        <f t="shared" si="62"/>
        <v>60.933</v>
      </c>
      <c r="Z165" s="383">
        <f t="shared" si="63"/>
        <v>61.073294650699175</v>
      </c>
      <c r="AA165" s="384">
        <f t="shared" si="64"/>
        <v>61.868154452454135</v>
      </c>
      <c r="AB165" s="197">
        <f t="shared" si="65"/>
        <v>43616</v>
      </c>
      <c r="AC165" s="424">
        <f t="shared" si="66"/>
        <v>1.2847640418396681E-2</v>
      </c>
      <c r="AD165" s="169">
        <f>(INDEX(Models!$BJ165:$BT165,,AH165)*(1-AF165)+INDEX(Models!$BJ165:$BT165,,AH165+1)*AF165-ERP_i)*AE165*Ramure*Pc/MaxiM</f>
        <v>0</v>
      </c>
      <c r="AE165" s="304">
        <f t="shared" si="67"/>
        <v>0.6</v>
      </c>
      <c r="AF165" s="177">
        <f t="shared" si="68"/>
        <v>0.69810103236776899</v>
      </c>
      <c r="AG165" s="799">
        <f t="shared" si="69"/>
        <v>-2</v>
      </c>
      <c r="AH165" s="176">
        <f t="shared" si="70"/>
        <v>4</v>
      </c>
      <c r="AI165" s="224">
        <f t="shared" si="71"/>
        <v>-1.301898967632231</v>
      </c>
      <c r="AJ165" s="264" t="b">
        <f t="shared" si="72"/>
        <v>0</v>
      </c>
      <c r="AK165" s="264" t="b">
        <f t="shared" si="73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74"/>
        <v>43617</v>
      </c>
      <c r="B166" s="607">
        <v>62.558999999999997</v>
      </c>
      <c r="C166" s="388"/>
      <c r="D166" s="391">
        <f t="shared" si="75"/>
        <v>62.704240132575649</v>
      </c>
      <c r="E166" s="383">
        <f t="shared" si="76"/>
        <v>63.527407036379969</v>
      </c>
      <c r="F166" s="383">
        <f t="shared" si="77"/>
        <v>63.527407036379969</v>
      </c>
      <c r="G166" s="110">
        <f t="shared" si="78"/>
        <v>1.0071994805596569</v>
      </c>
      <c r="I166" s="379">
        <f t="shared" si="52"/>
        <v>63.527407036379969</v>
      </c>
      <c r="J166" s="85">
        <v>2018</v>
      </c>
      <c r="K166" s="197">
        <f t="shared" si="53"/>
        <v>43617</v>
      </c>
      <c r="L166" s="435">
        <f t="shared" si="54"/>
        <v>2.3162729070406174E-3</v>
      </c>
      <c r="M166" s="842"/>
      <c r="N166" s="842"/>
      <c r="O166" s="323">
        <f t="shared" si="55"/>
        <v>1.2957665710059909E-2</v>
      </c>
      <c r="P166" s="169">
        <f>(INDEX(Models!$BJ166:$BT166,,T166)*(1-R166)+INDEX(Models!$BJ166:$BT166,,T166+1)*R166-ERP_i)*Q166*Ramure*Pc/MaxiM</f>
        <v>0</v>
      </c>
      <c r="Q166" s="304">
        <f t="shared" si="56"/>
        <v>0.6</v>
      </c>
      <c r="R166" s="177">
        <f t="shared" si="57"/>
        <v>0.70305551044485126</v>
      </c>
      <c r="S166" s="799">
        <f t="shared" si="79"/>
        <v>-2</v>
      </c>
      <c r="T166" s="176">
        <f t="shared" si="58"/>
        <v>4</v>
      </c>
      <c r="U166" s="250">
        <f t="shared" si="59"/>
        <v>-1.2969444895551487</v>
      </c>
      <c r="V166" s="382">
        <f t="shared" si="60"/>
        <v>62.111827108209667</v>
      </c>
      <c r="W166" s="58"/>
      <c r="X166" s="157">
        <f t="shared" si="61"/>
        <v>43617</v>
      </c>
      <c r="Y166" s="383">
        <f t="shared" si="62"/>
        <v>62.558999999999997</v>
      </c>
      <c r="Z166" s="383">
        <f t="shared" si="63"/>
        <v>62.704240132575649</v>
      </c>
      <c r="AA166" s="384">
        <f t="shared" si="64"/>
        <v>63.527407036379969</v>
      </c>
      <c r="AB166" s="197">
        <f t="shared" si="65"/>
        <v>43617</v>
      </c>
      <c r="AC166" s="424">
        <f t="shared" si="66"/>
        <v>1.2957665710059909E-2</v>
      </c>
      <c r="AD166" s="169">
        <f>(INDEX(Models!$BJ166:$BT166,,AH166)*(1-AF166)+INDEX(Models!$BJ166:$BT166,,AH166+1)*AF166-ERP_i)*AE166*Ramure*Pc/MaxiM</f>
        <v>0</v>
      </c>
      <c r="AE166" s="304">
        <f t="shared" si="67"/>
        <v>0.6</v>
      </c>
      <c r="AF166" s="177">
        <f t="shared" si="68"/>
        <v>0.70305551044485126</v>
      </c>
      <c r="AG166" s="799">
        <f t="shared" si="69"/>
        <v>-2</v>
      </c>
      <c r="AH166" s="176">
        <f t="shared" si="70"/>
        <v>4</v>
      </c>
      <c r="AI166" s="224">
        <f t="shared" si="71"/>
        <v>-1.2969444895551487</v>
      </c>
      <c r="AJ166" s="264" t="b">
        <f t="shared" si="72"/>
        <v>0</v>
      </c>
      <c r="AK166" s="264" t="b">
        <f t="shared" si="73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74"/>
        <v>43618</v>
      </c>
      <c r="B167" s="607">
        <v>62.045000000000002</v>
      </c>
      <c r="C167" s="388"/>
      <c r="D167" s="391">
        <f t="shared" si="75"/>
        <v>62.19023866596347</v>
      </c>
      <c r="E167" s="383">
        <f t="shared" si="76"/>
        <v>63.013679668505368</v>
      </c>
      <c r="F167" s="383">
        <f t="shared" si="77"/>
        <v>63.013679668505368</v>
      </c>
      <c r="G167" s="110">
        <f t="shared" si="78"/>
        <v>0.99941943674093014</v>
      </c>
      <c r="I167" s="379">
        <f t="shared" si="52"/>
        <v>63.013679668505368</v>
      </c>
      <c r="J167" s="85">
        <v>2018</v>
      </c>
      <c r="K167" s="197">
        <f t="shared" si="53"/>
        <v>43618</v>
      </c>
      <c r="L167" s="435">
        <f t="shared" si="54"/>
        <v>2.3353932880620931E-3</v>
      </c>
      <c r="M167" s="842"/>
      <c r="N167" s="842"/>
      <c r="O167" s="323">
        <f t="shared" si="55"/>
        <v>1.3067654624737945E-2</v>
      </c>
      <c r="P167" s="169">
        <f>(INDEX(Models!$BJ167:$BT167,,T167)*(1-R167)+INDEX(Models!$BJ167:$BT167,,T167+1)*R167-ERP_i)*Q167*Ramure*Pc/MaxiM</f>
        <v>0</v>
      </c>
      <c r="Q167" s="304">
        <f t="shared" si="56"/>
        <v>0.6</v>
      </c>
      <c r="R167" s="177">
        <f t="shared" si="57"/>
        <v>0.70804735385926376</v>
      </c>
      <c r="S167" s="799">
        <f t="shared" si="79"/>
        <v>-2</v>
      </c>
      <c r="T167" s="176">
        <f t="shared" si="58"/>
        <v>4</v>
      </c>
      <c r="U167" s="250">
        <f t="shared" si="59"/>
        <v>-1.2919526461407362</v>
      </c>
      <c r="V167" s="382">
        <f t="shared" si="60"/>
        <v>62.081041972053747</v>
      </c>
      <c r="W167" s="58"/>
      <c r="X167" s="157">
        <f t="shared" si="61"/>
        <v>43618</v>
      </c>
      <c r="Y167" s="383">
        <f t="shared" si="62"/>
        <v>62.045000000000002</v>
      </c>
      <c r="Z167" s="383">
        <f t="shared" si="63"/>
        <v>62.19023866596347</v>
      </c>
      <c r="AA167" s="384">
        <f t="shared" si="64"/>
        <v>63.013679668505368</v>
      </c>
      <c r="AB167" s="197">
        <f t="shared" si="65"/>
        <v>43618</v>
      </c>
      <c r="AC167" s="424">
        <f t="shared" si="66"/>
        <v>1.3067654624737945E-2</v>
      </c>
      <c r="AD167" s="169">
        <f>(INDEX(Models!$BJ167:$BT167,,AH167)*(1-AF167)+INDEX(Models!$BJ167:$BT167,,AH167+1)*AF167-ERP_i)*AE167*Ramure*Pc/MaxiM</f>
        <v>0</v>
      </c>
      <c r="AE167" s="304">
        <f t="shared" si="67"/>
        <v>0.6</v>
      </c>
      <c r="AF167" s="177">
        <f t="shared" si="68"/>
        <v>0.70804735385926376</v>
      </c>
      <c r="AG167" s="799">
        <f t="shared" si="69"/>
        <v>-2</v>
      </c>
      <c r="AH167" s="176">
        <f t="shared" si="70"/>
        <v>4</v>
      </c>
      <c r="AI167" s="224">
        <f t="shared" si="71"/>
        <v>-1.2919526461407362</v>
      </c>
      <c r="AJ167" s="264" t="b">
        <f t="shared" si="72"/>
        <v>0</v>
      </c>
      <c r="AK167" s="264" t="b">
        <f t="shared" si="73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74"/>
        <v>43619</v>
      </c>
      <c r="B168" s="607">
        <v>45.119</v>
      </c>
      <c r="C168" s="388"/>
      <c r="D168" s="391">
        <f t="shared" si="75"/>
        <v>45.225484003705326</v>
      </c>
      <c r="E168" s="383">
        <f t="shared" si="76"/>
        <v>45.829405313794986</v>
      </c>
      <c r="F168" s="383">
        <f t="shared" si="77"/>
        <v>45.829405313794986</v>
      </c>
      <c r="G168" s="110">
        <f t="shared" si="78"/>
        <v>0.72716486116877022</v>
      </c>
      <c r="I168" s="379">
        <f t="shared" si="52"/>
        <v>45.829405313794986</v>
      </c>
      <c r="J168" s="85">
        <v>2018</v>
      </c>
      <c r="K168" s="197">
        <f t="shared" si="53"/>
        <v>43619</v>
      </c>
      <c r="L168" s="435">
        <f t="shared" si="54"/>
        <v>2.3545133026459109E-3</v>
      </c>
      <c r="M168" s="842"/>
      <c r="N168" s="842"/>
      <c r="O168" s="323">
        <f t="shared" si="55"/>
        <v>1.317759429681878E-2</v>
      </c>
      <c r="P168" s="169">
        <f>(INDEX(Models!$BJ168:$BT168,,T168)*(1-R168)+INDEX(Models!$BJ168:$BT168,,T168+1)*R168-ERP_i)*Q168*Ramure*Pc/MaxiM</f>
        <v>0</v>
      </c>
      <c r="Q168" s="304">
        <f t="shared" si="56"/>
        <v>0.6</v>
      </c>
      <c r="R168" s="177">
        <f t="shared" si="57"/>
        <v>0.71307272664153576</v>
      </c>
      <c r="S168" s="799">
        <f t="shared" si="79"/>
        <v>-2</v>
      </c>
      <c r="T168" s="176">
        <f t="shared" si="58"/>
        <v>4</v>
      </c>
      <c r="U168" s="250">
        <f t="shared" si="59"/>
        <v>-1.2869272733584642</v>
      </c>
      <c r="V168" s="382">
        <f t="shared" si="60"/>
        <v>62.047827678967259</v>
      </c>
      <c r="W168" s="58"/>
      <c r="X168" s="157">
        <f t="shared" si="61"/>
        <v>43619</v>
      </c>
      <c r="Y168" s="383">
        <f t="shared" si="62"/>
        <v>45.119</v>
      </c>
      <c r="Z168" s="383">
        <f t="shared" si="63"/>
        <v>45.225484003705326</v>
      </c>
      <c r="AA168" s="384">
        <f t="shared" si="64"/>
        <v>45.829405313794986</v>
      </c>
      <c r="AB168" s="197">
        <f t="shared" si="65"/>
        <v>43619</v>
      </c>
      <c r="AC168" s="424">
        <f t="shared" si="66"/>
        <v>1.317759429681878E-2</v>
      </c>
      <c r="AD168" s="169">
        <f>(INDEX(Models!$BJ168:$BT168,,AH168)*(1-AF168)+INDEX(Models!$BJ168:$BT168,,AH168+1)*AF168-ERP_i)*AE168*Ramure*Pc/MaxiM</f>
        <v>0</v>
      </c>
      <c r="AE168" s="304">
        <f t="shared" si="67"/>
        <v>0.6</v>
      </c>
      <c r="AF168" s="177">
        <f t="shared" si="68"/>
        <v>0.71307272664153576</v>
      </c>
      <c r="AG168" s="799">
        <f t="shared" si="69"/>
        <v>-2</v>
      </c>
      <c r="AH168" s="176">
        <f t="shared" si="70"/>
        <v>4</v>
      </c>
      <c r="AI168" s="224">
        <f t="shared" si="71"/>
        <v>-1.2869272733584642</v>
      </c>
      <c r="AJ168" s="264" t="b">
        <f t="shared" si="72"/>
        <v>0</v>
      </c>
      <c r="AK168" s="264" t="b">
        <f t="shared" si="73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74"/>
        <v>43620</v>
      </c>
      <c r="B169" s="607">
        <v>58.308999999999997</v>
      </c>
      <c r="C169" s="388"/>
      <c r="D169" s="391">
        <f t="shared" si="75"/>
        <v>58.447733466054537</v>
      </c>
      <c r="E169" s="383">
        <f t="shared" si="76"/>
        <v>59.234814387524935</v>
      </c>
      <c r="F169" s="383">
        <f t="shared" si="77"/>
        <v>59.234814387524935</v>
      </c>
      <c r="G169" s="110">
        <f t="shared" si="78"/>
        <v>0.94028132354361826</v>
      </c>
      <c r="I169" s="379">
        <f t="shared" si="52"/>
        <v>59.234814387524935</v>
      </c>
      <c r="J169" s="85">
        <v>2018</v>
      </c>
      <c r="K169" s="197">
        <f t="shared" si="53"/>
        <v>43620</v>
      </c>
      <c r="L169" s="435">
        <f t="shared" si="54"/>
        <v>2.373632950798954E-3</v>
      </c>
      <c r="M169" s="842"/>
      <c r="N169" s="842"/>
      <c r="O169" s="323">
        <f t="shared" si="55"/>
        <v>1.328747172771017E-2</v>
      </c>
      <c r="P169" s="169">
        <f>(INDEX(Models!$BJ169:$BT169,,T169)*(1-R169)+INDEX(Models!$BJ169:$BT169,,T169+1)*R169-ERP_i)*Q169*Ramure*Pc/MaxiM</f>
        <v>0</v>
      </c>
      <c r="Q169" s="304">
        <f t="shared" si="56"/>
        <v>0.6</v>
      </c>
      <c r="R169" s="177">
        <f t="shared" si="57"/>
        <v>0.71812768417119566</v>
      </c>
      <c r="S169" s="799">
        <f t="shared" si="79"/>
        <v>-2</v>
      </c>
      <c r="T169" s="176">
        <f t="shared" si="58"/>
        <v>4</v>
      </c>
      <c r="U169" s="250">
        <f t="shared" si="59"/>
        <v>-1.2818723158288043</v>
      </c>
      <c r="V169" s="382">
        <f t="shared" si="60"/>
        <v>62.012292002410625</v>
      </c>
      <c r="W169" s="58"/>
      <c r="X169" s="157">
        <f t="shared" si="61"/>
        <v>43620</v>
      </c>
      <c r="Y169" s="383">
        <f t="shared" si="62"/>
        <v>58.308999999999997</v>
      </c>
      <c r="Z169" s="383">
        <f t="shared" si="63"/>
        <v>58.447733466054537</v>
      </c>
      <c r="AA169" s="384">
        <f t="shared" si="64"/>
        <v>59.234814387524935</v>
      </c>
      <c r="AB169" s="197">
        <f t="shared" si="65"/>
        <v>43620</v>
      </c>
      <c r="AC169" s="424">
        <f t="shared" si="66"/>
        <v>1.328747172771017E-2</v>
      </c>
      <c r="AD169" s="169">
        <f>(INDEX(Models!$BJ169:$BT169,,AH169)*(1-AF169)+INDEX(Models!$BJ169:$BT169,,AH169+1)*AF169-ERP_i)*AE169*Ramure*Pc/MaxiM</f>
        <v>0</v>
      </c>
      <c r="AE169" s="304">
        <f t="shared" si="67"/>
        <v>0.6</v>
      </c>
      <c r="AF169" s="177">
        <f t="shared" si="68"/>
        <v>0.71812768417119566</v>
      </c>
      <c r="AG169" s="799">
        <f t="shared" si="69"/>
        <v>-2</v>
      </c>
      <c r="AH169" s="176">
        <f t="shared" si="70"/>
        <v>4</v>
      </c>
      <c r="AI169" s="224">
        <f t="shared" si="71"/>
        <v>-1.2818723158288043</v>
      </c>
      <c r="AJ169" s="264" t="b">
        <f t="shared" si="72"/>
        <v>0</v>
      </c>
      <c r="AK169" s="264" t="b">
        <f t="shared" si="73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74"/>
        <v>43621</v>
      </c>
      <c r="B170" s="607">
        <v>9.9120000000000008</v>
      </c>
      <c r="C170" s="388"/>
      <c r="D170" s="391">
        <f t="shared" si="75"/>
        <v>9.9357738450496385</v>
      </c>
      <c r="E170" s="383">
        <f t="shared" si="76"/>
        <v>10.07069368608245</v>
      </c>
      <c r="F170" s="383">
        <f t="shared" si="77"/>
        <v>10.07069368608245</v>
      </c>
      <c r="G170" s="110">
        <f t="shared" si="78"/>
        <v>0.15993663807482722</v>
      </c>
      <c r="I170" s="379">
        <f t="shared" si="52"/>
        <v>10.07069368608245</v>
      </c>
      <c r="J170" s="85">
        <v>2018</v>
      </c>
      <c r="K170" s="197">
        <f t="shared" si="53"/>
        <v>43621</v>
      </c>
      <c r="L170" s="435">
        <f t="shared" si="54"/>
        <v>2.3927522325282169E-3</v>
      </c>
      <c r="M170" s="842"/>
      <c r="N170" s="842"/>
      <c r="O170" s="323">
        <f t="shared" si="55"/>
        <v>1.3397273836187542E-2</v>
      </c>
      <c r="P170" s="169">
        <f>(INDEX(Models!$BJ170:$BT170,,T170)*(1-R170)+INDEX(Models!$BJ170:$BT170,,T170+1)*R170-ERP_i)*Q170*Ramure*Pc/MaxiM</f>
        <v>-1.5785288094062871E-20</v>
      </c>
      <c r="Q170" s="304">
        <f t="shared" si="56"/>
        <v>0.6</v>
      </c>
      <c r="R170" s="177">
        <f t="shared" si="57"/>
        <v>0.72320818504146756</v>
      </c>
      <c r="S170" s="799">
        <f t="shared" si="79"/>
        <v>-2</v>
      </c>
      <c r="T170" s="176">
        <f t="shared" si="58"/>
        <v>4</v>
      </c>
      <c r="U170" s="250">
        <f t="shared" si="59"/>
        <v>-1.2767918149585324</v>
      </c>
      <c r="V170" s="382">
        <f t="shared" si="60"/>
        <v>61.974542664593329</v>
      </c>
      <c r="W170" s="58"/>
      <c r="X170" s="157">
        <f t="shared" si="61"/>
        <v>43621</v>
      </c>
      <c r="Y170" s="383">
        <f t="shared" si="62"/>
        <v>9.9120000000000008</v>
      </c>
      <c r="Z170" s="383">
        <f t="shared" si="63"/>
        <v>9.9357738450496385</v>
      </c>
      <c r="AA170" s="384">
        <f t="shared" si="64"/>
        <v>10.07069368608245</v>
      </c>
      <c r="AB170" s="197">
        <f t="shared" si="65"/>
        <v>43621</v>
      </c>
      <c r="AC170" s="424">
        <f t="shared" si="66"/>
        <v>1.3397273836187542E-2</v>
      </c>
      <c r="AD170" s="169">
        <f>(INDEX(Models!$BJ170:$BT170,,AH170)*(1-AF170)+INDEX(Models!$BJ170:$BT170,,AH170+1)*AF170-ERP_i)*AE170*Ramure*Pc/MaxiM</f>
        <v>-1.5785288094062871E-20</v>
      </c>
      <c r="AE170" s="304">
        <f t="shared" si="67"/>
        <v>0.6</v>
      </c>
      <c r="AF170" s="177">
        <f t="shared" si="68"/>
        <v>0.72320818504146756</v>
      </c>
      <c r="AG170" s="799">
        <f t="shared" si="69"/>
        <v>-2</v>
      </c>
      <c r="AH170" s="176">
        <f t="shared" si="70"/>
        <v>4</v>
      </c>
      <c r="AI170" s="224">
        <f t="shared" si="71"/>
        <v>-1.2767918149585324</v>
      </c>
      <c r="AJ170" s="264" t="b">
        <f t="shared" si="72"/>
        <v>0</v>
      </c>
      <c r="AK170" s="264" t="b">
        <f t="shared" si="73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4"/>
        <v>43622</v>
      </c>
      <c r="B171" s="607">
        <v>53.546999999999997</v>
      </c>
      <c r="C171" s="388"/>
      <c r="D171" s="391">
        <f t="shared" si="75"/>
        <v>53.676460706897181</v>
      </c>
      <c r="E171" s="383">
        <f t="shared" si="76"/>
        <v>54.411394736000254</v>
      </c>
      <c r="F171" s="383">
        <f t="shared" si="77"/>
        <v>54.411394736000254</v>
      </c>
      <c r="G171" s="110">
        <f t="shared" si="78"/>
        <v>0.8645720565987205</v>
      </c>
      <c r="I171" s="379">
        <f t="shared" si="52"/>
        <v>54.411394736000254</v>
      </c>
      <c r="J171" s="85">
        <v>2018</v>
      </c>
      <c r="K171" s="197">
        <f t="shared" si="53"/>
        <v>43622</v>
      </c>
      <c r="L171" s="435">
        <f t="shared" si="54"/>
        <v>2.4118711478409161E-3</v>
      </c>
      <c r="M171" s="842"/>
      <c r="N171" s="842"/>
      <c r="O171" s="323">
        <f t="shared" si="55"/>
        <v>1.350698751004111E-2</v>
      </c>
      <c r="P171" s="169">
        <f>(INDEX(Models!$BJ171:$BT171,,T171)*(1-R171)+INDEX(Models!$BJ171:$BT171,,T171+1)*R171-ERP_i)*Q171*Ramure*Pc/MaxiM</f>
        <v>0</v>
      </c>
      <c r="Q171" s="304">
        <f t="shared" si="56"/>
        <v>0.6</v>
      </c>
      <c r="R171" s="177">
        <f t="shared" si="57"/>
        <v>0.72831010358860748</v>
      </c>
      <c r="S171" s="799">
        <f t="shared" si="79"/>
        <v>-2</v>
      </c>
      <c r="T171" s="176">
        <f t="shared" si="58"/>
        <v>4</v>
      </c>
      <c r="U171" s="250">
        <f t="shared" si="59"/>
        <v>-1.2716898964113925</v>
      </c>
      <c r="V171" s="382">
        <f t="shared" si="60"/>
        <v>61.934687330350677</v>
      </c>
      <c r="W171" s="58"/>
      <c r="X171" s="157">
        <f t="shared" si="61"/>
        <v>43622</v>
      </c>
      <c r="Y171" s="383">
        <f t="shared" si="62"/>
        <v>53.546999999999997</v>
      </c>
      <c r="Z171" s="383">
        <f t="shared" si="63"/>
        <v>53.676460706897181</v>
      </c>
      <c r="AA171" s="384">
        <f t="shared" si="64"/>
        <v>54.411394736000254</v>
      </c>
      <c r="AB171" s="197">
        <f t="shared" si="65"/>
        <v>43622</v>
      </c>
      <c r="AC171" s="424">
        <f t="shared" si="66"/>
        <v>1.350698751004111E-2</v>
      </c>
      <c r="AD171" s="169">
        <f>(INDEX(Models!$BJ171:$BT171,,AH171)*(1-AF171)+INDEX(Models!$BJ171:$BT171,,AH171+1)*AF171-ERP_i)*AE171*Ramure*Pc/MaxiM</f>
        <v>0</v>
      </c>
      <c r="AE171" s="304">
        <f t="shared" si="67"/>
        <v>0.6</v>
      </c>
      <c r="AF171" s="177">
        <f t="shared" si="68"/>
        <v>0.72831010358860748</v>
      </c>
      <c r="AG171" s="799">
        <f t="shared" si="69"/>
        <v>-2</v>
      </c>
      <c r="AH171" s="176">
        <f t="shared" si="70"/>
        <v>4</v>
      </c>
      <c r="AI171" s="224">
        <f t="shared" si="71"/>
        <v>-1.2716898964113925</v>
      </c>
      <c r="AJ171" s="264" t="b">
        <f t="shared" si="72"/>
        <v>0</v>
      </c>
      <c r="AK171" s="264" t="b">
        <f t="shared" si="73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4"/>
        <v>43623</v>
      </c>
      <c r="B172" s="607">
        <v>22.8</v>
      </c>
      <c r="C172" s="388"/>
      <c r="D172" s="391">
        <f t="shared" si="75"/>
        <v>22.855561634847611</v>
      </c>
      <c r="E172" s="383">
        <f t="shared" si="76"/>
        <v>23.17107285761227</v>
      </c>
      <c r="F172" s="383">
        <f t="shared" si="77"/>
        <v>23.17107285761227</v>
      </c>
      <c r="G172" s="110">
        <f t="shared" si="78"/>
        <v>0.3683786744231039</v>
      </c>
      <c r="I172" s="379">
        <f t="shared" si="52"/>
        <v>23.17107285761227</v>
      </c>
      <c r="J172" s="85">
        <v>2018</v>
      </c>
      <c r="K172" s="197">
        <f t="shared" si="53"/>
        <v>43623</v>
      </c>
      <c r="L172" s="435">
        <f t="shared" si="54"/>
        <v>2.4309896967439348E-3</v>
      </c>
      <c r="M172" s="842"/>
      <c r="N172" s="842"/>
      <c r="O172" s="323">
        <f t="shared" si="55"/>
        <v>1.3616599658699368E-2</v>
      </c>
      <c r="P172" s="169">
        <f>(INDEX(Models!$BJ172:$BT172,,T172)*(1-R172)+INDEX(Models!$BJ172:$BT172,,T172+1)*R172-ERP_i)*Q172*Ramure*Pc/MaxiM</f>
        <v>-1.6045048105090494E-20</v>
      </c>
      <c r="Q172" s="304">
        <f t="shared" si="56"/>
        <v>0.6</v>
      </c>
      <c r="R172" s="177">
        <f t="shared" si="57"/>
        <v>0.73342924300643353</v>
      </c>
      <c r="S172" s="799">
        <f t="shared" si="79"/>
        <v>-2</v>
      </c>
      <c r="T172" s="176">
        <f t="shared" si="58"/>
        <v>4</v>
      </c>
      <c r="U172" s="250">
        <f t="shared" si="59"/>
        <v>-1.2665707569935665</v>
      </c>
      <c r="V172" s="382">
        <f t="shared" si="60"/>
        <v>61.892833605815355</v>
      </c>
      <c r="W172" s="58"/>
      <c r="X172" s="157">
        <f t="shared" si="61"/>
        <v>43623</v>
      </c>
      <c r="Y172" s="383">
        <f t="shared" si="62"/>
        <v>22.8</v>
      </c>
      <c r="Z172" s="383">
        <f t="shared" si="63"/>
        <v>22.855561634847611</v>
      </c>
      <c r="AA172" s="384">
        <f t="shared" si="64"/>
        <v>23.17107285761227</v>
      </c>
      <c r="AB172" s="197">
        <f t="shared" si="65"/>
        <v>43623</v>
      </c>
      <c r="AC172" s="424">
        <f t="shared" si="66"/>
        <v>1.3616599658699368E-2</v>
      </c>
      <c r="AD172" s="169">
        <f>(INDEX(Models!$BJ172:$BT172,,AH172)*(1-AF172)+INDEX(Models!$BJ172:$BT172,,AH172+1)*AF172-ERP_i)*AE172*Ramure*Pc/MaxiM</f>
        <v>-1.6045048105090494E-20</v>
      </c>
      <c r="AE172" s="304">
        <f t="shared" si="67"/>
        <v>0.6</v>
      </c>
      <c r="AF172" s="177">
        <f t="shared" si="68"/>
        <v>0.73342924300643353</v>
      </c>
      <c r="AG172" s="799">
        <f t="shared" si="69"/>
        <v>-2</v>
      </c>
      <c r="AH172" s="176">
        <f t="shared" si="70"/>
        <v>4</v>
      </c>
      <c r="AI172" s="224">
        <f t="shared" si="71"/>
        <v>-1.2665707569935665</v>
      </c>
      <c r="AJ172" s="264" t="b">
        <f t="shared" si="72"/>
        <v>0</v>
      </c>
      <c r="AK172" s="264" t="b">
        <f t="shared" si="73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4"/>
        <v>43624</v>
      </c>
      <c r="B173" s="607">
        <v>62.753999999999998</v>
      </c>
      <c r="C173" s="388"/>
      <c r="D173" s="391">
        <f t="shared" si="75"/>
        <v>62.908131709169176</v>
      </c>
      <c r="E173" s="383">
        <f t="shared" si="76"/>
        <v>63.783632046651569</v>
      </c>
      <c r="F173" s="383">
        <f t="shared" si="77"/>
        <v>63.783632046651569</v>
      </c>
      <c r="G173" s="110">
        <f t="shared" si="78"/>
        <v>1.0146309505851316</v>
      </c>
      <c r="I173" s="379">
        <f t="shared" si="52"/>
        <v>63.783632046651569</v>
      </c>
      <c r="J173" s="85">
        <v>2018</v>
      </c>
      <c r="K173" s="197">
        <f t="shared" si="53"/>
        <v>43624</v>
      </c>
      <c r="L173" s="435">
        <f t="shared" si="54"/>
        <v>2.4501078792443787E-3</v>
      </c>
      <c r="M173" s="842"/>
      <c r="N173" s="842"/>
      <c r="O173" s="323">
        <f t="shared" si="55"/>
        <v>1.3726097266490607E-2</v>
      </c>
      <c r="P173" s="169">
        <f>(INDEX(Models!$BJ173:$BT173,,T173)*(1-R173)+INDEX(Models!$BJ173:$BT173,,T173+1)*R173-ERP_i)*Q173*Ramure*Pc/MaxiM</f>
        <v>-1.6172830190142663E-20</v>
      </c>
      <c r="Q173" s="304">
        <f t="shared" si="56"/>
        <v>0.6</v>
      </c>
      <c r="R173" s="177">
        <f t="shared" si="57"/>
        <v>0.73856134895970005</v>
      </c>
      <c r="S173" s="799">
        <f t="shared" si="79"/>
        <v>-2</v>
      </c>
      <c r="T173" s="176">
        <f t="shared" si="58"/>
        <v>4</v>
      </c>
      <c r="U173" s="250">
        <f t="shared" si="59"/>
        <v>-1.2614386510403</v>
      </c>
      <c r="V173" s="382">
        <f t="shared" si="60"/>
        <v>61.849089034599373</v>
      </c>
      <c r="W173" s="58"/>
      <c r="X173" s="157">
        <f t="shared" si="61"/>
        <v>43624</v>
      </c>
      <c r="Y173" s="383">
        <f t="shared" si="62"/>
        <v>62.753999999999998</v>
      </c>
      <c r="Z173" s="383">
        <f t="shared" si="63"/>
        <v>62.908131709169176</v>
      </c>
      <c r="AA173" s="384">
        <f t="shared" si="64"/>
        <v>63.783632046651569</v>
      </c>
      <c r="AB173" s="197">
        <f t="shared" si="65"/>
        <v>43624</v>
      </c>
      <c r="AC173" s="424">
        <f t="shared" si="66"/>
        <v>1.3726097266490607E-2</v>
      </c>
      <c r="AD173" s="169">
        <f>(INDEX(Models!$BJ173:$BT173,,AH173)*(1-AF173)+INDEX(Models!$BJ173:$BT173,,AH173+1)*AF173-ERP_i)*AE173*Ramure*Pc/MaxiM</f>
        <v>-1.6172830190142663E-20</v>
      </c>
      <c r="AE173" s="304">
        <f t="shared" si="67"/>
        <v>0.6</v>
      </c>
      <c r="AF173" s="177">
        <f t="shared" si="68"/>
        <v>0.73856134895970005</v>
      </c>
      <c r="AG173" s="799">
        <f t="shared" si="69"/>
        <v>-2</v>
      </c>
      <c r="AH173" s="176">
        <f t="shared" si="70"/>
        <v>4</v>
      </c>
      <c r="AI173" s="224">
        <f t="shared" si="71"/>
        <v>-1.2614386510403</v>
      </c>
      <c r="AJ173" s="264" t="b">
        <f t="shared" si="72"/>
        <v>0</v>
      </c>
      <c r="AK173" s="264" t="b">
        <f t="shared" si="73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4"/>
        <v>43625</v>
      </c>
      <c r="B174" s="607">
        <v>49.792000000000002</v>
      </c>
      <c r="C174" s="388"/>
      <c r="D174" s="391">
        <f t="shared" si="75"/>
        <v>49.915252022884737</v>
      </c>
      <c r="E174" s="383">
        <f t="shared" si="76"/>
        <v>50.615541702379353</v>
      </c>
      <c r="F174" s="383">
        <f t="shared" si="77"/>
        <v>50.615541702379353</v>
      </c>
      <c r="G174" s="110">
        <f t="shared" si="78"/>
        <v>0.80564936904791973</v>
      </c>
      <c r="I174" s="379">
        <f t="shared" si="52"/>
        <v>50.615541702379353</v>
      </c>
      <c r="J174" s="85">
        <v>2018</v>
      </c>
      <c r="K174" s="197">
        <f t="shared" si="53"/>
        <v>43625</v>
      </c>
      <c r="L174" s="435">
        <f t="shared" si="54"/>
        <v>2.4692256953491309E-3</v>
      </c>
      <c r="M174" s="842"/>
      <c r="N174" s="842"/>
      <c r="O174" s="323">
        <f t="shared" si="55"/>
        <v>1.383546744619147E-2</v>
      </c>
      <c r="P174" s="169">
        <f>(INDEX(Models!$BJ174:$BT174,,T174)*(1-R174)+INDEX(Models!$BJ174:$BT174,,T174+1)*R174-ERP_i)*Q174*Ramure*Pc/MaxiM</f>
        <v>0</v>
      </c>
      <c r="Q174" s="304">
        <f t="shared" si="56"/>
        <v>0.6</v>
      </c>
      <c r="R174" s="177">
        <f t="shared" si="57"/>
        <v>0.74370212360400578</v>
      </c>
      <c r="S174" s="799">
        <f t="shared" si="79"/>
        <v>-2</v>
      </c>
      <c r="T174" s="176">
        <f t="shared" si="58"/>
        <v>4</v>
      </c>
      <c r="U174" s="250">
        <f t="shared" si="59"/>
        <v>-1.2562978763959942</v>
      </c>
      <c r="V174" s="382">
        <f t="shared" si="60"/>
        <v>61.803561093633022</v>
      </c>
      <c r="W174" s="58"/>
      <c r="X174" s="157">
        <f t="shared" si="61"/>
        <v>43625</v>
      </c>
      <c r="Y174" s="383">
        <f t="shared" si="62"/>
        <v>49.792000000000002</v>
      </c>
      <c r="Z174" s="383">
        <f t="shared" si="63"/>
        <v>49.915252022884737</v>
      </c>
      <c r="AA174" s="384">
        <f t="shared" si="64"/>
        <v>50.615541702379353</v>
      </c>
      <c r="AB174" s="197">
        <f t="shared" si="65"/>
        <v>43625</v>
      </c>
      <c r="AC174" s="424">
        <f t="shared" si="66"/>
        <v>1.383546744619147E-2</v>
      </c>
      <c r="AD174" s="169">
        <f>(INDEX(Models!$BJ174:$BT174,,AH174)*(1-AF174)+INDEX(Models!$BJ174:$BT174,,AH174+1)*AF174-ERP_i)*AE174*Ramure*Pc/MaxiM</f>
        <v>0</v>
      </c>
      <c r="AE174" s="304">
        <f t="shared" si="67"/>
        <v>0.6</v>
      </c>
      <c r="AF174" s="177">
        <f t="shared" si="68"/>
        <v>0.74370212360400578</v>
      </c>
      <c r="AG174" s="799">
        <f t="shared" si="69"/>
        <v>-2</v>
      </c>
      <c r="AH174" s="176">
        <f t="shared" si="70"/>
        <v>4</v>
      </c>
      <c r="AI174" s="224">
        <f t="shared" si="71"/>
        <v>-1.2562978763959942</v>
      </c>
      <c r="AJ174" s="264" t="b">
        <f t="shared" si="72"/>
        <v>0</v>
      </c>
      <c r="AK174" s="264" t="b">
        <f t="shared" si="73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4"/>
        <v>43626</v>
      </c>
      <c r="B175" s="607">
        <v>20.658999999999999</v>
      </c>
      <c r="C175" s="388"/>
      <c r="D175" s="391">
        <f t="shared" si="75"/>
        <v>20.710534917592827</v>
      </c>
      <c r="E175" s="383">
        <f t="shared" si="76"/>
        <v>21.003421273560189</v>
      </c>
      <c r="F175" s="383">
        <f t="shared" si="77"/>
        <v>21.003421273560189</v>
      </c>
      <c r="G175" s="110">
        <f t="shared" si="78"/>
        <v>0.33452426504430982</v>
      </c>
      <c r="I175" s="379">
        <f t="shared" si="52"/>
        <v>21.003421273560189</v>
      </c>
      <c r="J175" s="85">
        <v>2018</v>
      </c>
      <c r="K175" s="197">
        <f t="shared" si="53"/>
        <v>43626</v>
      </c>
      <c r="L175" s="435">
        <f t="shared" si="54"/>
        <v>2.4883431450654081E-3</v>
      </c>
      <c r="M175" s="842"/>
      <c r="N175" s="842"/>
      <c r="O175" s="323">
        <f t="shared" si="55"/>
        <v>1.3944697492501297E-2</v>
      </c>
      <c r="P175" s="169">
        <f>(INDEX(Models!$BJ175:$BT175,,T175)*(1-R175)+INDEX(Models!$BJ175:$BT175,,T175+1)*R175-ERP_i)*Q175*Ramure*Pc/MaxiM</f>
        <v>0</v>
      </c>
      <c r="Q175" s="304">
        <f t="shared" si="56"/>
        <v>0.6</v>
      </c>
      <c r="R175" s="177">
        <f t="shared" si="57"/>
        <v>0.74884723991501745</v>
      </c>
      <c r="S175" s="799">
        <f t="shared" si="79"/>
        <v>-2</v>
      </c>
      <c r="T175" s="176">
        <f t="shared" si="58"/>
        <v>4</v>
      </c>
      <c r="U175" s="250">
        <f t="shared" si="59"/>
        <v>-1.2511527600849826</v>
      </c>
      <c r="V175" s="382">
        <f t="shared" si="60"/>
        <v>61.756357187612636</v>
      </c>
      <c r="W175" s="58"/>
      <c r="X175" s="157">
        <f t="shared" si="61"/>
        <v>43626</v>
      </c>
      <c r="Y175" s="383">
        <f t="shared" si="62"/>
        <v>20.658999999999999</v>
      </c>
      <c r="Z175" s="383">
        <f t="shared" si="63"/>
        <v>20.710534917592827</v>
      </c>
      <c r="AA175" s="384">
        <f t="shared" si="64"/>
        <v>21.003421273560189</v>
      </c>
      <c r="AB175" s="197">
        <f t="shared" si="65"/>
        <v>43626</v>
      </c>
      <c r="AC175" s="424">
        <f t="shared" si="66"/>
        <v>1.3944697492501297E-2</v>
      </c>
      <c r="AD175" s="169">
        <f>(INDEX(Models!$BJ175:$BT175,,AH175)*(1-AF175)+INDEX(Models!$BJ175:$BT175,,AH175+1)*AF175-ERP_i)*AE175*Ramure*Pc/MaxiM</f>
        <v>0</v>
      </c>
      <c r="AE175" s="304">
        <f t="shared" si="67"/>
        <v>0.6</v>
      </c>
      <c r="AF175" s="177">
        <f t="shared" si="68"/>
        <v>0.74884723991501745</v>
      </c>
      <c r="AG175" s="799">
        <f t="shared" si="69"/>
        <v>-2</v>
      </c>
      <c r="AH175" s="176">
        <f t="shared" si="70"/>
        <v>4</v>
      </c>
      <c r="AI175" s="224">
        <f t="shared" si="71"/>
        <v>-1.2511527600849826</v>
      </c>
      <c r="AJ175" s="264" t="b">
        <f t="shared" si="72"/>
        <v>0</v>
      </c>
      <c r="AK175" s="264" t="b">
        <f t="shared" si="73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4"/>
        <v>43627</v>
      </c>
      <c r="B176" s="607">
        <v>31.116</v>
      </c>
      <c r="C176" s="388"/>
      <c r="D176" s="391">
        <f t="shared" si="75"/>
        <v>31.194218261647109</v>
      </c>
      <c r="E176" s="383">
        <f t="shared" si="76"/>
        <v>31.638863731734386</v>
      </c>
      <c r="F176" s="383">
        <f t="shared" si="77"/>
        <v>31.638863731734386</v>
      </c>
      <c r="G176" s="110">
        <f t="shared" si="78"/>
        <v>0.5042491968494347</v>
      </c>
      <c r="I176" s="379">
        <f t="shared" si="52"/>
        <v>31.638863731734386</v>
      </c>
      <c r="J176" s="85">
        <v>2018</v>
      </c>
      <c r="K176" s="197">
        <f t="shared" si="53"/>
        <v>43627</v>
      </c>
      <c r="L176" s="435">
        <f t="shared" si="54"/>
        <v>2.5074602283999825E-3</v>
      </c>
      <c r="M176" s="842"/>
      <c r="N176" s="842"/>
      <c r="O176" s="323">
        <f t="shared" si="55"/>
        <v>1.4053774935074195E-2</v>
      </c>
      <c r="P176" s="169">
        <f>(INDEX(Models!$BJ176:$BT176,,T176)*(1-R176)+INDEX(Models!$BJ176:$BT176,,T176+1)*R176-ERP_i)*Q176*Ramure*Pc/MaxiM</f>
        <v>1.6545981072515534E-20</v>
      </c>
      <c r="Q176" s="304">
        <f t="shared" si="56"/>
        <v>0.6</v>
      </c>
      <c r="R176" s="177">
        <f t="shared" si="57"/>
        <v>0.75399235622602889</v>
      </c>
      <c r="S176" s="799">
        <f t="shared" si="79"/>
        <v>-2</v>
      </c>
      <c r="T176" s="176">
        <f t="shared" si="58"/>
        <v>4</v>
      </c>
      <c r="U176" s="250">
        <f t="shared" si="59"/>
        <v>-1.2460076437739711</v>
      </c>
      <c r="V176" s="382">
        <f t="shared" si="60"/>
        <v>61.707584651425869</v>
      </c>
      <c r="W176" s="58"/>
      <c r="X176" s="157">
        <f t="shared" si="61"/>
        <v>43627</v>
      </c>
      <c r="Y176" s="383">
        <f t="shared" si="62"/>
        <v>31.116</v>
      </c>
      <c r="Z176" s="383">
        <f t="shared" si="63"/>
        <v>31.194218261647109</v>
      </c>
      <c r="AA176" s="384">
        <f t="shared" si="64"/>
        <v>31.638863731734386</v>
      </c>
      <c r="AB176" s="197">
        <f t="shared" si="65"/>
        <v>43627</v>
      </c>
      <c r="AC176" s="424">
        <f t="shared" si="66"/>
        <v>1.4053774935074195E-2</v>
      </c>
      <c r="AD176" s="169">
        <f>(INDEX(Models!$BJ176:$BT176,,AH176)*(1-AF176)+INDEX(Models!$BJ176:$BT176,,AH176+1)*AF176-ERP_i)*AE176*Ramure*Pc/MaxiM</f>
        <v>1.6545981072515534E-20</v>
      </c>
      <c r="AE176" s="304">
        <f t="shared" si="67"/>
        <v>0.6</v>
      </c>
      <c r="AF176" s="177">
        <f t="shared" si="68"/>
        <v>0.75399235622602889</v>
      </c>
      <c r="AG176" s="799">
        <f t="shared" si="69"/>
        <v>-2</v>
      </c>
      <c r="AH176" s="176">
        <f t="shared" si="70"/>
        <v>4</v>
      </c>
      <c r="AI176" s="224">
        <f t="shared" si="71"/>
        <v>-1.2460076437739711</v>
      </c>
      <c r="AJ176" s="264" t="b">
        <f t="shared" si="72"/>
        <v>0</v>
      </c>
      <c r="AK176" s="264" t="b">
        <f t="shared" si="73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4"/>
        <v>43628</v>
      </c>
      <c r="B177" s="607">
        <v>57.652999999999999</v>
      </c>
      <c r="C177" s="388"/>
      <c r="D177" s="391">
        <f t="shared" si="75"/>
        <v>57.799033706025732</v>
      </c>
      <c r="E177" s="383">
        <f t="shared" si="76"/>
        <v>58.629383345992608</v>
      </c>
      <c r="F177" s="383">
        <f t="shared" si="77"/>
        <v>58.629383345992608</v>
      </c>
      <c r="G177" s="110">
        <f t="shared" si="78"/>
        <v>0.93505878625753625</v>
      </c>
      <c r="I177" s="379">
        <f t="shared" si="52"/>
        <v>58.629383345992608</v>
      </c>
      <c r="J177" s="85">
        <v>2018</v>
      </c>
      <c r="K177" s="197">
        <f t="shared" si="53"/>
        <v>43628</v>
      </c>
      <c r="L177" s="435">
        <f t="shared" si="54"/>
        <v>2.5265769453600706E-3</v>
      </c>
      <c r="M177" s="842"/>
      <c r="N177" s="842"/>
      <c r="O177" s="323">
        <f t="shared" si="55"/>
        <v>1.4162687590737381E-2</v>
      </c>
      <c r="P177" s="169">
        <f>(INDEX(Models!$BJ177:$BT177,,T177)*(1-R177)+INDEX(Models!$BJ177:$BT177,,T177+1)*R177-ERP_i)*Q177*Ramure*Pc/MaxiM</f>
        <v>1.6666566424550575E-20</v>
      </c>
      <c r="Q177" s="304">
        <f t="shared" si="56"/>
        <v>0.6</v>
      </c>
      <c r="R177" s="177">
        <f t="shared" si="57"/>
        <v>0.75913313087033485</v>
      </c>
      <c r="S177" s="799">
        <f t="shared" si="79"/>
        <v>-2</v>
      </c>
      <c r="T177" s="176">
        <f t="shared" si="58"/>
        <v>4</v>
      </c>
      <c r="U177" s="250">
        <f t="shared" si="59"/>
        <v>-1.2408668691296652</v>
      </c>
      <c r="V177" s="382">
        <f t="shared" si="60"/>
        <v>61.657086000709548</v>
      </c>
      <c r="W177" s="58"/>
      <c r="X177" s="157">
        <f t="shared" si="61"/>
        <v>43628</v>
      </c>
      <c r="Y177" s="383">
        <f t="shared" si="62"/>
        <v>57.652999999999999</v>
      </c>
      <c r="Z177" s="383">
        <f t="shared" si="63"/>
        <v>57.799033706025732</v>
      </c>
      <c r="AA177" s="384">
        <f t="shared" si="64"/>
        <v>58.629383345992608</v>
      </c>
      <c r="AB177" s="197">
        <f t="shared" si="65"/>
        <v>43628</v>
      </c>
      <c r="AC177" s="424">
        <f t="shared" si="66"/>
        <v>1.4162687590737381E-2</v>
      </c>
      <c r="AD177" s="169">
        <f>(INDEX(Models!$BJ177:$BT177,,AH177)*(1-AF177)+INDEX(Models!$BJ177:$BT177,,AH177+1)*AF177-ERP_i)*AE177*Ramure*Pc/MaxiM</f>
        <v>1.6666566424550575E-20</v>
      </c>
      <c r="AE177" s="304">
        <f t="shared" si="67"/>
        <v>0.6</v>
      </c>
      <c r="AF177" s="177">
        <f t="shared" si="68"/>
        <v>0.75913313087033485</v>
      </c>
      <c r="AG177" s="799">
        <f t="shared" si="69"/>
        <v>-2</v>
      </c>
      <c r="AH177" s="176">
        <f t="shared" si="70"/>
        <v>4</v>
      </c>
      <c r="AI177" s="224">
        <f t="shared" si="71"/>
        <v>-1.2408668691296652</v>
      </c>
      <c r="AJ177" s="264" t="b">
        <f t="shared" si="72"/>
        <v>0</v>
      </c>
      <c r="AK177" s="264" t="b">
        <f t="shared" si="73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4"/>
        <v>43629</v>
      </c>
      <c r="B178" s="607">
        <v>64.453999999999994</v>
      </c>
      <c r="C178" s="388"/>
      <c r="D178" s="391">
        <f t="shared" si="75"/>
        <v>64.61849887939178</v>
      </c>
      <c r="E178" s="383">
        <f t="shared" si="76"/>
        <v>65.55404847482302</v>
      </c>
      <c r="F178" s="383">
        <f t="shared" si="77"/>
        <v>65.55404847482302</v>
      </c>
      <c r="G178" s="110">
        <f t="shared" si="78"/>
        <v>1.0462524753302593</v>
      </c>
      <c r="I178" s="379">
        <f t="shared" si="52"/>
        <v>65.55404847482302</v>
      </c>
      <c r="J178" s="85">
        <v>2018</v>
      </c>
      <c r="K178" s="197">
        <f t="shared" si="53"/>
        <v>43629</v>
      </c>
      <c r="L178" s="435">
        <f t="shared" si="54"/>
        <v>2.5456932959526668E-3</v>
      </c>
      <c r="M178" s="842"/>
      <c r="N178" s="842"/>
      <c r="O178" s="323">
        <f t="shared" si="55"/>
        <v>1.427142361452393E-2</v>
      </c>
      <c r="P178" s="169">
        <f>(INDEX(Models!$BJ178:$BT178,,T178)*(1-R178)+INDEX(Models!$BJ178:$BT178,,T178+1)*R178-ERP_i)*Q178*Ramure*Pc/MaxiM</f>
        <v>0</v>
      </c>
      <c r="Q178" s="304">
        <f t="shared" si="56"/>
        <v>0.6</v>
      </c>
      <c r="R178" s="177">
        <f t="shared" si="57"/>
        <v>0.76426523682360137</v>
      </c>
      <c r="S178" s="799">
        <f t="shared" si="79"/>
        <v>-2</v>
      </c>
      <c r="T178" s="176">
        <f t="shared" si="58"/>
        <v>4</v>
      </c>
      <c r="U178" s="250">
        <f t="shared" si="59"/>
        <v>-1.2357347631763986</v>
      </c>
      <c r="V178" s="382">
        <f t="shared" si="60"/>
        <v>61.604633221684367</v>
      </c>
      <c r="W178" s="58"/>
      <c r="X178" s="157">
        <f t="shared" si="61"/>
        <v>43629</v>
      </c>
      <c r="Y178" s="383">
        <f t="shared" si="62"/>
        <v>64.453999999999994</v>
      </c>
      <c r="Z178" s="383">
        <f t="shared" si="63"/>
        <v>64.61849887939178</v>
      </c>
      <c r="AA178" s="384">
        <f t="shared" si="64"/>
        <v>65.55404847482302</v>
      </c>
      <c r="AB178" s="197">
        <f t="shared" si="65"/>
        <v>43629</v>
      </c>
      <c r="AC178" s="424">
        <f t="shared" si="66"/>
        <v>1.427142361452393E-2</v>
      </c>
      <c r="AD178" s="169">
        <f>(INDEX(Models!$BJ178:$BT178,,AH178)*(1-AF178)+INDEX(Models!$BJ178:$BT178,,AH178+1)*AF178-ERP_i)*AE178*Ramure*Pc/MaxiM</f>
        <v>0</v>
      </c>
      <c r="AE178" s="304">
        <f t="shared" si="67"/>
        <v>0.6</v>
      </c>
      <c r="AF178" s="177">
        <f t="shared" si="68"/>
        <v>0.76426523682360137</v>
      </c>
      <c r="AG178" s="799">
        <f t="shared" si="69"/>
        <v>-2</v>
      </c>
      <c r="AH178" s="176">
        <f t="shared" si="70"/>
        <v>4</v>
      </c>
      <c r="AI178" s="224">
        <f t="shared" si="71"/>
        <v>-1.2357347631763986</v>
      </c>
      <c r="AJ178" s="264" t="b">
        <f t="shared" si="72"/>
        <v>0</v>
      </c>
      <c r="AK178" s="264" t="b">
        <f t="shared" si="73"/>
        <v>0</v>
      </c>
      <c r="AL178" s="264"/>
      <c r="AM178" s="264"/>
      <c r="AN178" s="75"/>
    </row>
    <row r="179" spans="1:40" s="6" customFormat="1" ht="11.25" x14ac:dyDescent="0.2">
      <c r="A179" s="56">
        <f t="shared" si="74"/>
        <v>43630</v>
      </c>
      <c r="B179" s="607">
        <v>24.619</v>
      </c>
      <c r="C179" s="388"/>
      <c r="D179" s="391">
        <f t="shared" si="75"/>
        <v>24.682305405961564</v>
      </c>
      <c r="E179" s="383">
        <f t="shared" si="76"/>
        <v>25.04241461565675</v>
      </c>
      <c r="F179" s="383">
        <f t="shared" si="77"/>
        <v>25.04241461565675</v>
      </c>
      <c r="G179" s="110">
        <f t="shared" si="78"/>
        <v>0.3999822728759832</v>
      </c>
      <c r="I179" s="379">
        <f t="shared" si="52"/>
        <v>25.04241461565675</v>
      </c>
      <c r="J179" s="85">
        <v>2018</v>
      </c>
      <c r="K179" s="197">
        <f t="shared" si="53"/>
        <v>43630</v>
      </c>
      <c r="L179" s="435">
        <f t="shared" si="54"/>
        <v>2.5648092801847655E-3</v>
      </c>
      <c r="M179" s="842"/>
      <c r="N179" s="842"/>
      <c r="O179" s="323">
        <f t="shared" si="55"/>
        <v>1.4379971549150924E-2</v>
      </c>
      <c r="P179" s="169">
        <f>(INDEX(Models!$BJ179:$BT179,,T179)*(1-R179)+INDEX(Models!$BJ179:$BT179,,T179+1)*R179-ERP_i)*Q179*Ramure*Pc/MaxiM</f>
        <v>0</v>
      </c>
      <c r="Q179" s="304">
        <f t="shared" si="56"/>
        <v>0.6</v>
      </c>
      <c r="R179" s="177">
        <f t="shared" si="57"/>
        <v>0.76938437624142719</v>
      </c>
      <c r="S179" s="799">
        <f t="shared" si="79"/>
        <v>-2</v>
      </c>
      <c r="T179" s="176">
        <f t="shared" si="58"/>
        <v>4</v>
      </c>
      <c r="U179" s="250">
        <f t="shared" si="59"/>
        <v>-1.2306156237585728</v>
      </c>
      <c r="V179" s="382">
        <f t="shared" si="60"/>
        <v>61.55022777130241</v>
      </c>
      <c r="W179" s="58"/>
      <c r="X179" s="157">
        <f t="shared" si="61"/>
        <v>43630</v>
      </c>
      <c r="Y179" s="383">
        <f t="shared" si="62"/>
        <v>24.619</v>
      </c>
      <c r="Z179" s="383">
        <f t="shared" si="63"/>
        <v>24.682305405961564</v>
      </c>
      <c r="AA179" s="384">
        <f t="shared" si="64"/>
        <v>25.04241461565675</v>
      </c>
      <c r="AB179" s="197">
        <f t="shared" si="65"/>
        <v>43630</v>
      </c>
      <c r="AC179" s="424">
        <f t="shared" si="66"/>
        <v>1.4379971549150924E-2</v>
      </c>
      <c r="AD179" s="169">
        <f>(INDEX(Models!$BJ179:$BT179,,AH179)*(1-AF179)+INDEX(Models!$BJ179:$BT179,,AH179+1)*AF179-ERP_i)*AE179*Ramure*Pc/MaxiM</f>
        <v>0</v>
      </c>
      <c r="AE179" s="304">
        <f t="shared" si="67"/>
        <v>0.6</v>
      </c>
      <c r="AF179" s="177">
        <f t="shared" si="68"/>
        <v>0.76938437624142719</v>
      </c>
      <c r="AG179" s="799">
        <f t="shared" si="69"/>
        <v>-2</v>
      </c>
      <c r="AH179" s="176">
        <f t="shared" si="70"/>
        <v>4</v>
      </c>
      <c r="AI179" s="224">
        <f t="shared" si="71"/>
        <v>-1.2306156237585728</v>
      </c>
      <c r="AJ179" s="264" t="b">
        <f t="shared" si="72"/>
        <v>0</v>
      </c>
      <c r="AK179" s="264" t="b">
        <f t="shared" si="73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4"/>
        <v>43631</v>
      </c>
      <c r="B180" s="607">
        <v>24.768000000000001</v>
      </c>
      <c r="C180" s="388"/>
      <c r="D180" s="391">
        <f t="shared" si="75"/>
        <v>24.832164447989967</v>
      </c>
      <c r="E180" s="383">
        <f t="shared" si="76"/>
        <v>25.197229988565919</v>
      </c>
      <c r="F180" s="383">
        <f t="shared" si="77"/>
        <v>25.197229988565919</v>
      </c>
      <c r="G180" s="110">
        <f t="shared" si="78"/>
        <v>0.40277184646683106</v>
      </c>
      <c r="I180" s="379">
        <f t="shared" si="52"/>
        <v>25.197229988565919</v>
      </c>
      <c r="J180" s="85">
        <v>2018</v>
      </c>
      <c r="K180" s="197">
        <f t="shared" si="53"/>
        <v>43631</v>
      </c>
      <c r="L180" s="435">
        <f t="shared" si="54"/>
        <v>2.5839248980633611E-3</v>
      </c>
      <c r="M180" s="842"/>
      <c r="N180" s="842"/>
      <c r="O180" s="323">
        <f t="shared" si="55"/>
        <v>1.4488320372581085E-2</v>
      </c>
      <c r="P180" s="169">
        <f>(INDEX(Models!$BJ180:$BT180,,T180)*(1-R180)+INDEX(Models!$BJ180:$BT180,,T180+1)*R180-ERP_i)*Q180*Ramure*Pc/MaxiM</f>
        <v>1.7016021344672509E-20</v>
      </c>
      <c r="Q180" s="304">
        <f t="shared" si="56"/>
        <v>0.6</v>
      </c>
      <c r="R180" s="177">
        <f t="shared" si="57"/>
        <v>0.77448629478856734</v>
      </c>
      <c r="S180" s="799">
        <f t="shared" si="79"/>
        <v>-2</v>
      </c>
      <c r="T180" s="176">
        <f t="shared" si="58"/>
        <v>4</v>
      </c>
      <c r="U180" s="250">
        <f t="shared" si="59"/>
        <v>-1.2255137052114327</v>
      </c>
      <c r="V180" s="382">
        <f t="shared" si="60"/>
        <v>61.493871076809953</v>
      </c>
      <c r="W180" s="58"/>
      <c r="X180" s="157">
        <f t="shared" si="61"/>
        <v>43631</v>
      </c>
      <c r="Y180" s="383">
        <f t="shared" si="62"/>
        <v>24.768000000000001</v>
      </c>
      <c r="Z180" s="383">
        <f t="shared" si="63"/>
        <v>24.832164447989967</v>
      </c>
      <c r="AA180" s="384">
        <f t="shared" si="64"/>
        <v>25.197229988565919</v>
      </c>
      <c r="AB180" s="197">
        <f t="shared" si="65"/>
        <v>43631</v>
      </c>
      <c r="AC180" s="424">
        <f t="shared" si="66"/>
        <v>1.4488320372581085E-2</v>
      </c>
      <c r="AD180" s="169">
        <f>(INDEX(Models!$BJ180:$BT180,,AH180)*(1-AF180)+INDEX(Models!$BJ180:$BT180,,AH180+1)*AF180-ERP_i)*AE180*Ramure*Pc/MaxiM</f>
        <v>1.7016021344672509E-20</v>
      </c>
      <c r="AE180" s="304">
        <f t="shared" si="67"/>
        <v>0.6</v>
      </c>
      <c r="AF180" s="177">
        <f t="shared" si="68"/>
        <v>0.77448629478856734</v>
      </c>
      <c r="AG180" s="799">
        <f t="shared" si="69"/>
        <v>-2</v>
      </c>
      <c r="AH180" s="176">
        <f t="shared" si="70"/>
        <v>4</v>
      </c>
      <c r="AI180" s="224">
        <f t="shared" si="71"/>
        <v>-1.2255137052114327</v>
      </c>
      <c r="AJ180" s="264" t="b">
        <f t="shared" si="72"/>
        <v>0</v>
      </c>
      <c r="AK180" s="264" t="b">
        <f t="shared" si="73"/>
        <v>0</v>
      </c>
      <c r="AL180" s="264"/>
      <c r="AM180" s="264"/>
      <c r="AN180" s="75"/>
    </row>
    <row r="181" spans="1:40" s="6" customFormat="1" ht="11.25" x14ac:dyDescent="0.2">
      <c r="A181" s="56">
        <f t="shared" si="74"/>
        <v>43632</v>
      </c>
      <c r="B181" s="607">
        <v>61.817</v>
      </c>
      <c r="C181" s="388"/>
      <c r="D181" s="391">
        <f t="shared" si="75"/>
        <v>61.978332086826974</v>
      </c>
      <c r="E181" s="383">
        <f t="shared" si="76"/>
        <v>62.896396798110899</v>
      </c>
      <c r="F181" s="383">
        <f t="shared" si="77"/>
        <v>62.896396798110899</v>
      </c>
      <c r="G181" s="110">
        <f t="shared" si="78"/>
        <v>1.0062087078271031</v>
      </c>
      <c r="I181" s="379">
        <f t="shared" si="52"/>
        <v>62.896396798110899</v>
      </c>
      <c r="J181" s="85">
        <v>2018</v>
      </c>
      <c r="K181" s="197">
        <f t="shared" si="53"/>
        <v>43632</v>
      </c>
      <c r="L181" s="435">
        <f t="shared" si="54"/>
        <v>2.6030401495955591E-3</v>
      </c>
      <c r="M181" s="842"/>
      <c r="N181" s="842"/>
      <c r="O181" s="323">
        <f t="shared" si="55"/>
        <v>1.4596459543315241E-2</v>
      </c>
      <c r="P181" s="169">
        <f>(INDEX(Models!$BJ181:$BT181,,T181)*(1-R181)+INDEX(Models!$BJ181:$BT181,,T181+1)*R181-ERP_i)*Q181*Ramure*Pc/MaxiM</f>
        <v>0</v>
      </c>
      <c r="Q181" s="304">
        <f t="shared" si="56"/>
        <v>0.6</v>
      </c>
      <c r="R181" s="177">
        <f t="shared" si="57"/>
        <v>0.77956679565883924</v>
      </c>
      <c r="S181" s="799">
        <f t="shared" si="79"/>
        <v>-2</v>
      </c>
      <c r="T181" s="176">
        <f t="shared" si="58"/>
        <v>4</v>
      </c>
      <c r="U181" s="250">
        <f t="shared" si="59"/>
        <v>-1.2204332043411608</v>
      </c>
      <c r="V181" s="382">
        <f t="shared" si="60"/>
        <v>61.435564529642306</v>
      </c>
      <c r="W181" s="58"/>
      <c r="X181" s="157">
        <f t="shared" si="61"/>
        <v>43632</v>
      </c>
      <c r="Y181" s="383">
        <f t="shared" si="62"/>
        <v>61.817</v>
      </c>
      <c r="Z181" s="383">
        <f t="shared" si="63"/>
        <v>61.978332086826974</v>
      </c>
      <c r="AA181" s="384">
        <f t="shared" si="64"/>
        <v>62.896396798110899</v>
      </c>
      <c r="AB181" s="197">
        <f t="shared" si="65"/>
        <v>43632</v>
      </c>
      <c r="AC181" s="424">
        <f t="shared" si="66"/>
        <v>1.4596459543315241E-2</v>
      </c>
      <c r="AD181" s="169">
        <f>(INDEX(Models!$BJ181:$BT181,,AH181)*(1-AF181)+INDEX(Models!$BJ181:$BT181,,AH181+1)*AF181-ERP_i)*AE181*Ramure*Pc/MaxiM</f>
        <v>0</v>
      </c>
      <c r="AE181" s="304">
        <f t="shared" si="67"/>
        <v>0.6</v>
      </c>
      <c r="AF181" s="177">
        <f t="shared" si="68"/>
        <v>0.77956679565883924</v>
      </c>
      <c r="AG181" s="799">
        <f t="shared" si="69"/>
        <v>-2</v>
      </c>
      <c r="AH181" s="176">
        <f t="shared" si="70"/>
        <v>4</v>
      </c>
      <c r="AI181" s="224">
        <f t="shared" si="71"/>
        <v>-1.2204332043411608</v>
      </c>
      <c r="AJ181" s="264" t="b">
        <f t="shared" si="72"/>
        <v>0</v>
      </c>
      <c r="AK181" s="264" t="b">
        <f t="shared" si="73"/>
        <v>0</v>
      </c>
      <c r="AL181" s="264"/>
      <c r="AM181" s="264"/>
      <c r="AN181" s="75"/>
    </row>
    <row r="182" spans="1:40" s="6" customFormat="1" ht="11.25" x14ac:dyDescent="0.2">
      <c r="A182" s="56">
        <f t="shared" si="74"/>
        <v>43633</v>
      </c>
      <c r="B182" s="607">
        <v>60.656999999999996</v>
      </c>
      <c r="C182" s="388"/>
      <c r="D182" s="391">
        <f t="shared" si="75"/>
        <v>60.816470213568557</v>
      </c>
      <c r="E182" s="383">
        <f t="shared" si="76"/>
        <v>61.724084548861946</v>
      </c>
      <c r="F182" s="383">
        <f t="shared" si="77"/>
        <v>61.724084548861946</v>
      </c>
      <c r="G182" s="110">
        <f t="shared" si="78"/>
        <v>0.98829644215273549</v>
      </c>
      <c r="I182" s="379">
        <f t="shared" si="52"/>
        <v>61.724084548861946</v>
      </c>
      <c r="J182" s="85">
        <v>2018</v>
      </c>
      <c r="K182" s="197">
        <f t="shared" si="53"/>
        <v>43633</v>
      </c>
      <c r="L182" s="435">
        <f t="shared" si="54"/>
        <v>2.6221550347882427E-3</v>
      </c>
      <c r="M182" s="842"/>
      <c r="N182" s="842"/>
      <c r="O182" s="323">
        <f t="shared" si="55"/>
        <v>1.470437904307687E-2</v>
      </c>
      <c r="P182" s="169">
        <f>(INDEX(Models!$BJ182:$BT182,,T182)*(1-R182)+INDEX(Models!$BJ182:$BT182,,T182+1)*R182-ERP_i)*Q182*Ramure*Pc/MaxiM</f>
        <v>0</v>
      </c>
      <c r="Q182" s="304">
        <f t="shared" si="56"/>
        <v>0.6</v>
      </c>
      <c r="R182" s="177">
        <f t="shared" si="57"/>
        <v>0.78462175318849892</v>
      </c>
      <c r="S182" s="799">
        <f t="shared" si="79"/>
        <v>-2</v>
      </c>
      <c r="T182" s="176">
        <f t="shared" si="58"/>
        <v>4</v>
      </c>
      <c r="U182" s="250">
        <f t="shared" si="59"/>
        <v>-1.2153782468115011</v>
      </c>
      <c r="V182" s="382">
        <f t="shared" si="60"/>
        <v>61.375309484950883</v>
      </c>
      <c r="W182" s="58"/>
      <c r="X182" s="157">
        <f t="shared" si="61"/>
        <v>43633</v>
      </c>
      <c r="Y182" s="383">
        <f t="shared" si="62"/>
        <v>60.656999999999996</v>
      </c>
      <c r="Z182" s="383">
        <f t="shared" si="63"/>
        <v>60.816470213568557</v>
      </c>
      <c r="AA182" s="384">
        <f t="shared" si="64"/>
        <v>61.724084548861946</v>
      </c>
      <c r="AB182" s="197">
        <f t="shared" si="65"/>
        <v>43633</v>
      </c>
      <c r="AC182" s="424">
        <f t="shared" si="66"/>
        <v>1.470437904307687E-2</v>
      </c>
      <c r="AD182" s="169">
        <f>(INDEX(Models!$BJ182:$BT182,,AH182)*(1-AF182)+INDEX(Models!$BJ182:$BT182,,AH182+1)*AF182-ERP_i)*AE182*Ramure*Pc/MaxiM</f>
        <v>0</v>
      </c>
      <c r="AE182" s="304">
        <f t="shared" si="67"/>
        <v>0.6</v>
      </c>
      <c r="AF182" s="177">
        <f t="shared" si="68"/>
        <v>0.78462175318849892</v>
      </c>
      <c r="AG182" s="799">
        <f t="shared" si="69"/>
        <v>-2</v>
      </c>
      <c r="AH182" s="176">
        <f t="shared" si="70"/>
        <v>4</v>
      </c>
      <c r="AI182" s="224">
        <f t="shared" si="71"/>
        <v>-1.2153782468115011</v>
      </c>
      <c r="AJ182" s="264" t="b">
        <f t="shared" si="72"/>
        <v>0</v>
      </c>
      <c r="AK182" s="264" t="b">
        <f t="shared" si="73"/>
        <v>0</v>
      </c>
      <c r="AL182" s="264"/>
      <c r="AM182" s="264"/>
      <c r="AN182" s="75"/>
    </row>
    <row r="183" spans="1:40" s="6" customFormat="1" ht="11.25" x14ac:dyDescent="0.2">
      <c r="A183" s="56">
        <f t="shared" si="74"/>
        <v>43634</v>
      </c>
      <c r="B183" s="607">
        <v>56.37</v>
      </c>
      <c r="C183" s="388"/>
      <c r="D183" s="391">
        <f t="shared" si="75"/>
        <v>56.519282660485196</v>
      </c>
      <c r="E183" s="383">
        <f t="shared" si="76"/>
        <v>57.369036816167828</v>
      </c>
      <c r="F183" s="383">
        <f t="shared" si="77"/>
        <v>57.369036816167828</v>
      </c>
      <c r="G183" s="110">
        <f t="shared" si="78"/>
        <v>0.91937927341247172</v>
      </c>
      <c r="I183" s="379">
        <f t="shared" si="52"/>
        <v>57.369036816167828</v>
      </c>
      <c r="J183" s="85">
        <v>2018</v>
      </c>
      <c r="K183" s="197">
        <f t="shared" si="53"/>
        <v>43634</v>
      </c>
      <c r="L183" s="435">
        <f t="shared" si="54"/>
        <v>2.6412695536486286E-3</v>
      </c>
      <c r="M183" s="842"/>
      <c r="N183" s="842"/>
      <c r="O183" s="323">
        <f t="shared" si="55"/>
        <v>1.4812069416566419E-2</v>
      </c>
      <c r="P183" s="169">
        <f>(INDEX(Models!$BJ183:$BT183,,T183)*(1-R183)+INDEX(Models!$BJ183:$BT183,,T183+1)*R183-ERP_i)*Q183*Ramure*Pc/MaxiM</f>
        <v>0</v>
      </c>
      <c r="Q183" s="304">
        <f t="shared" si="56"/>
        <v>0.6</v>
      </c>
      <c r="R183" s="177">
        <f t="shared" si="57"/>
        <v>0.78964712597077091</v>
      </c>
      <c r="S183" s="799">
        <f t="shared" si="79"/>
        <v>-2</v>
      </c>
      <c r="T183" s="176">
        <f t="shared" si="58"/>
        <v>4</v>
      </c>
      <c r="U183" s="250">
        <f t="shared" si="59"/>
        <v>-1.2103528740292291</v>
      </c>
      <c r="V183" s="382">
        <f t="shared" si="60"/>
        <v>61.313107256345631</v>
      </c>
      <c r="W183" s="58"/>
      <c r="X183" s="157">
        <f t="shared" si="61"/>
        <v>43634</v>
      </c>
      <c r="Y183" s="383">
        <f t="shared" si="62"/>
        <v>56.37</v>
      </c>
      <c r="Z183" s="383">
        <f t="shared" si="63"/>
        <v>56.519282660485196</v>
      </c>
      <c r="AA183" s="384">
        <f t="shared" si="64"/>
        <v>57.369036816167828</v>
      </c>
      <c r="AB183" s="197">
        <f t="shared" si="65"/>
        <v>43634</v>
      </c>
      <c r="AC183" s="424">
        <f t="shared" si="66"/>
        <v>1.4812069416566419E-2</v>
      </c>
      <c r="AD183" s="169">
        <f>(INDEX(Models!$BJ183:$BT183,,AH183)*(1-AF183)+INDEX(Models!$BJ183:$BT183,,AH183+1)*AF183-ERP_i)*AE183*Ramure*Pc/MaxiM</f>
        <v>0</v>
      </c>
      <c r="AE183" s="304">
        <f t="shared" si="67"/>
        <v>0.6</v>
      </c>
      <c r="AF183" s="177">
        <f t="shared" si="68"/>
        <v>0.78964712597077091</v>
      </c>
      <c r="AG183" s="799">
        <f t="shared" si="69"/>
        <v>-2</v>
      </c>
      <c r="AH183" s="176">
        <f t="shared" si="70"/>
        <v>4</v>
      </c>
      <c r="AI183" s="224">
        <f t="shared" si="71"/>
        <v>-1.2103528740292291</v>
      </c>
      <c r="AJ183" s="264" t="b">
        <f t="shared" si="72"/>
        <v>0</v>
      </c>
      <c r="AK183" s="264" t="b">
        <f t="shared" si="73"/>
        <v>0</v>
      </c>
      <c r="AL183" s="264"/>
      <c r="AM183" s="264"/>
      <c r="AN183" s="75"/>
    </row>
    <row r="184" spans="1:40" s="6" customFormat="1" ht="11.25" x14ac:dyDescent="0.2">
      <c r="A184" s="56">
        <f t="shared" si="74"/>
        <v>43635</v>
      </c>
      <c r="B184" s="607">
        <v>51.712000000000003</v>
      </c>
      <c r="C184" s="388"/>
      <c r="D184" s="391">
        <f t="shared" si="75"/>
        <v>51.849940737504639</v>
      </c>
      <c r="E184" s="383">
        <f t="shared" si="76"/>
        <v>52.635233247813638</v>
      </c>
      <c r="F184" s="383">
        <f t="shared" si="77"/>
        <v>52.635233247813638</v>
      </c>
      <c r="G184" s="110">
        <f t="shared" si="78"/>
        <v>0.84429189892616219</v>
      </c>
      <c r="I184" s="379">
        <f t="shared" si="52"/>
        <v>52.635233247813638</v>
      </c>
      <c r="J184" s="85">
        <v>2018</v>
      </c>
      <c r="K184" s="197">
        <f t="shared" si="53"/>
        <v>43635</v>
      </c>
      <c r="L184" s="435">
        <f t="shared" si="54"/>
        <v>2.660383706183489E-3</v>
      </c>
      <c r="M184" s="842"/>
      <c r="N184" s="842"/>
      <c r="O184" s="323">
        <f t="shared" si="55"/>
        <v>1.4919521807982497E-2</v>
      </c>
      <c r="P184" s="169">
        <f>(INDEX(Models!$BJ184:$BT184,,T184)*(1-R184)+INDEX(Models!$BJ184:$BT184,,T184+1)*R184-ERP_i)*Q184*Ramure*Pc/MaxiM</f>
        <v>0</v>
      </c>
      <c r="Q184" s="304">
        <f t="shared" si="56"/>
        <v>0.6</v>
      </c>
      <c r="R184" s="177">
        <f t="shared" si="57"/>
        <v>0.79463896938518341</v>
      </c>
      <c r="S184" s="799">
        <f t="shared" si="79"/>
        <v>-2</v>
      </c>
      <c r="T184" s="176">
        <f t="shared" si="58"/>
        <v>4</v>
      </c>
      <c r="U184" s="250">
        <f t="shared" si="59"/>
        <v>-1.2053610306148166</v>
      </c>
      <c r="V184" s="382">
        <f t="shared" si="60"/>
        <v>61.248959116830861</v>
      </c>
      <c r="W184" s="58"/>
      <c r="X184" s="157">
        <f t="shared" si="61"/>
        <v>43635</v>
      </c>
      <c r="Y184" s="383">
        <f t="shared" si="62"/>
        <v>51.712000000000003</v>
      </c>
      <c r="Z184" s="383">
        <f t="shared" si="63"/>
        <v>51.849940737504639</v>
      </c>
      <c r="AA184" s="384">
        <f t="shared" si="64"/>
        <v>52.635233247813638</v>
      </c>
      <c r="AB184" s="197">
        <f t="shared" si="65"/>
        <v>43635</v>
      </c>
      <c r="AC184" s="424">
        <f t="shared" si="66"/>
        <v>1.4919521807982497E-2</v>
      </c>
      <c r="AD184" s="169">
        <f>(INDEX(Models!$BJ184:$BT184,,AH184)*(1-AF184)+INDEX(Models!$BJ184:$BT184,,AH184+1)*AF184-ERP_i)*AE184*Ramure*Pc/MaxiM</f>
        <v>0</v>
      </c>
      <c r="AE184" s="304">
        <f t="shared" si="67"/>
        <v>0.6</v>
      </c>
      <c r="AF184" s="177">
        <f t="shared" si="68"/>
        <v>0.79463896938518341</v>
      </c>
      <c r="AG184" s="799">
        <f t="shared" si="69"/>
        <v>-2</v>
      </c>
      <c r="AH184" s="176">
        <f t="shared" si="70"/>
        <v>4</v>
      </c>
      <c r="AI184" s="224">
        <f t="shared" si="71"/>
        <v>-1.2053610306148166</v>
      </c>
      <c r="AJ184" s="264" t="b">
        <f t="shared" si="72"/>
        <v>0</v>
      </c>
      <c r="AK184" s="264" t="b">
        <f t="shared" si="73"/>
        <v>0</v>
      </c>
      <c r="AL184" s="264"/>
      <c r="AM184" s="264"/>
      <c r="AN184" s="75"/>
    </row>
    <row r="185" spans="1:40" s="6" customFormat="1" ht="11.25" x14ac:dyDescent="0.2">
      <c r="A185" s="56">
        <f t="shared" si="74"/>
        <v>43636</v>
      </c>
      <c r="B185" s="607">
        <v>31.143999999999998</v>
      </c>
      <c r="C185" s="388"/>
      <c r="D185" s="391">
        <f t="shared" si="75"/>
        <v>31.227674475450453</v>
      </c>
      <c r="E185" s="383">
        <f t="shared" si="76"/>
        <v>31.704083108623887</v>
      </c>
      <c r="F185" s="383">
        <f t="shared" si="77"/>
        <v>31.704083108623887</v>
      </c>
      <c r="G185" s="110">
        <f t="shared" si="78"/>
        <v>0.50903139859512747</v>
      </c>
      <c r="I185" s="379">
        <f t="shared" si="52"/>
        <v>31.704083108623887</v>
      </c>
      <c r="J185" s="85">
        <v>2018</v>
      </c>
      <c r="K185" s="197">
        <f t="shared" si="53"/>
        <v>43636</v>
      </c>
      <c r="L185" s="435">
        <f t="shared" si="54"/>
        <v>2.6794974924000403E-3</v>
      </c>
      <c r="M185" s="842"/>
      <c r="N185" s="842"/>
      <c r="O185" s="323">
        <f t="shared" si="55"/>
        <v>1.5026727994030696E-2</v>
      </c>
      <c r="P185" s="169">
        <f>(INDEX(Models!$BJ185:$BT185,,T185)*(1-R185)+INDEX(Models!$BJ185:$BT185,,T185+1)*R185-ERP_i)*Q185*Ramure*Pc/MaxiM</f>
        <v>0</v>
      </c>
      <c r="Q185" s="304">
        <f t="shared" si="56"/>
        <v>0.6</v>
      </c>
      <c r="R185" s="177">
        <f t="shared" si="57"/>
        <v>0.79959344746226568</v>
      </c>
      <c r="S185" s="799">
        <f t="shared" si="79"/>
        <v>-2</v>
      </c>
      <c r="T185" s="176">
        <f t="shared" si="58"/>
        <v>4</v>
      </c>
      <c r="U185" s="250">
        <f t="shared" si="59"/>
        <v>-1.2004065525377343</v>
      </c>
      <c r="V185" s="382">
        <f t="shared" si="60"/>
        <v>61.182866294602114</v>
      </c>
      <c r="W185" s="58"/>
      <c r="X185" s="157">
        <f t="shared" si="61"/>
        <v>43636</v>
      </c>
      <c r="Y185" s="383">
        <f t="shared" si="62"/>
        <v>31.143999999999998</v>
      </c>
      <c r="Z185" s="383">
        <f t="shared" si="63"/>
        <v>31.227674475450453</v>
      </c>
      <c r="AA185" s="384">
        <f t="shared" si="64"/>
        <v>31.704083108623887</v>
      </c>
      <c r="AB185" s="197">
        <f t="shared" si="65"/>
        <v>43636</v>
      </c>
      <c r="AC185" s="424">
        <f t="shared" si="66"/>
        <v>1.5026727994030696E-2</v>
      </c>
      <c r="AD185" s="169">
        <f>(INDEX(Models!$BJ185:$BT185,,AH185)*(1-AF185)+INDEX(Models!$BJ185:$BT185,,AH185+1)*AF185-ERP_i)*AE185*Ramure*Pc/MaxiM</f>
        <v>0</v>
      </c>
      <c r="AE185" s="304">
        <f t="shared" si="67"/>
        <v>0.6</v>
      </c>
      <c r="AF185" s="177">
        <f t="shared" si="68"/>
        <v>0.79959344746226568</v>
      </c>
      <c r="AG185" s="799">
        <f t="shared" si="69"/>
        <v>-2</v>
      </c>
      <c r="AH185" s="176">
        <f t="shared" si="70"/>
        <v>4</v>
      </c>
      <c r="AI185" s="224">
        <f t="shared" si="71"/>
        <v>-1.2004065525377343</v>
      </c>
      <c r="AJ185" s="264" t="b">
        <f t="shared" si="72"/>
        <v>0</v>
      </c>
      <c r="AK185" s="264" t="b">
        <f t="shared" si="73"/>
        <v>0</v>
      </c>
      <c r="AL185" s="264"/>
      <c r="AM185" s="264"/>
      <c r="AN185" s="75"/>
    </row>
    <row r="186" spans="1:40" s="6" customFormat="1" ht="11.25" x14ac:dyDescent="0.2">
      <c r="A186" s="56">
        <f t="shared" si="74"/>
        <v>43637</v>
      </c>
      <c r="B186" s="607">
        <v>11.185</v>
      </c>
      <c r="C186" s="388"/>
      <c r="D186" s="391">
        <f t="shared" si="75"/>
        <v>11.215265638235746</v>
      </c>
      <c r="E186" s="383">
        <f t="shared" si="76"/>
        <v>11.387601967077838</v>
      </c>
      <c r="F186" s="383">
        <f t="shared" si="77"/>
        <v>11.387601967077838</v>
      </c>
      <c r="G186" s="110">
        <f t="shared" si="78"/>
        <v>0.18301613544587669</v>
      </c>
      <c r="I186" s="379">
        <f t="shared" si="52"/>
        <v>11.387601967077838</v>
      </c>
      <c r="J186" s="85">
        <v>2018</v>
      </c>
      <c r="K186" s="197">
        <f t="shared" si="53"/>
        <v>43637</v>
      </c>
      <c r="L186" s="435">
        <f t="shared" si="54"/>
        <v>2.6986109123052771E-3</v>
      </c>
      <c r="M186" s="842"/>
      <c r="N186" s="842"/>
      <c r="O186" s="323">
        <f t="shared" si="55"/>
        <v>1.5133680413165648E-2</v>
      </c>
      <c r="P186" s="169">
        <f>(INDEX(Models!$BJ186:$BT186,,T186)*(1-R186)+INDEX(Models!$BJ186:$BT186,,T186+1)*R186-ERP_i)*Q186*Ramure*Pc/MaxiM</f>
        <v>0</v>
      </c>
      <c r="Q186" s="304">
        <f t="shared" si="56"/>
        <v>0.6</v>
      </c>
      <c r="R186" s="177">
        <f t="shared" si="57"/>
        <v>0.80450684401189232</v>
      </c>
      <c r="S186" s="799">
        <f t="shared" si="79"/>
        <v>-2</v>
      </c>
      <c r="T186" s="176">
        <f t="shared" si="58"/>
        <v>4</v>
      </c>
      <c r="U186" s="250">
        <f t="shared" si="59"/>
        <v>-1.1954931559881077</v>
      </c>
      <c r="V186" s="382">
        <f t="shared" si="60"/>
        <v>61.114829972506641</v>
      </c>
      <c r="W186" s="58"/>
      <c r="X186" s="157">
        <f t="shared" si="61"/>
        <v>43637</v>
      </c>
      <c r="Y186" s="383">
        <f t="shared" si="62"/>
        <v>11.185</v>
      </c>
      <c r="Z186" s="383">
        <f t="shared" si="63"/>
        <v>11.215265638235746</v>
      </c>
      <c r="AA186" s="384">
        <f t="shared" si="64"/>
        <v>11.387601967077838</v>
      </c>
      <c r="AB186" s="197">
        <f t="shared" si="65"/>
        <v>43637</v>
      </c>
      <c r="AC186" s="424">
        <f t="shared" si="66"/>
        <v>1.5133680413165648E-2</v>
      </c>
      <c r="AD186" s="169">
        <f>(INDEX(Models!$BJ186:$BT186,,AH186)*(1-AF186)+INDEX(Models!$BJ186:$BT186,,AH186+1)*AF186-ERP_i)*AE186*Ramure*Pc/MaxiM</f>
        <v>0</v>
      </c>
      <c r="AE186" s="304">
        <f t="shared" si="67"/>
        <v>0.6</v>
      </c>
      <c r="AF186" s="177">
        <f t="shared" si="68"/>
        <v>0.80450684401189232</v>
      </c>
      <c r="AG186" s="799">
        <f t="shared" si="69"/>
        <v>-2</v>
      </c>
      <c r="AH186" s="176">
        <f t="shared" si="70"/>
        <v>4</v>
      </c>
      <c r="AI186" s="224">
        <f t="shared" si="71"/>
        <v>-1.1954931559881077</v>
      </c>
      <c r="AJ186" s="264" t="b">
        <f t="shared" si="72"/>
        <v>0</v>
      </c>
      <c r="AK186" s="264" t="b">
        <f t="shared" si="73"/>
        <v>0</v>
      </c>
      <c r="AL186" s="264"/>
      <c r="AM186" s="264"/>
      <c r="AN186" s="75"/>
    </row>
    <row r="187" spans="1:40" s="6" customFormat="1" ht="11.25" x14ac:dyDescent="0.2">
      <c r="A187" s="56">
        <f t="shared" si="74"/>
        <v>43638</v>
      </c>
      <c r="B187" s="607">
        <v>50.573</v>
      </c>
      <c r="C187" s="388"/>
      <c r="D187" s="391">
        <f t="shared" si="75"/>
        <v>50.710818005424045</v>
      </c>
      <c r="E187" s="383">
        <f t="shared" si="76"/>
        <v>51.49563058169106</v>
      </c>
      <c r="F187" s="383">
        <f t="shared" si="77"/>
        <v>51.49563058169106</v>
      </c>
      <c r="G187" s="110">
        <f t="shared" si="78"/>
        <v>0.82845643713502948</v>
      </c>
      <c r="I187" s="379">
        <f t="shared" si="52"/>
        <v>51.49563058169106</v>
      </c>
      <c r="J187" s="85">
        <v>2018</v>
      </c>
      <c r="K187" s="197">
        <f t="shared" si="53"/>
        <v>43638</v>
      </c>
      <c r="L187" s="435">
        <f t="shared" si="54"/>
        <v>2.7177239659060826E-3</v>
      </c>
      <c r="M187" s="842"/>
      <c r="N187" s="842"/>
      <c r="O187" s="323">
        <f t="shared" si="55"/>
        <v>1.5240372190840736E-2</v>
      </c>
      <c r="P187" s="169">
        <f>(INDEX(Models!$BJ187:$BT187,,T187)*(1-R187)+INDEX(Models!$BJ187:$BT187,,T187+1)*R187-ERP_i)*Q187*Ramure*Pc/MaxiM</f>
        <v>0</v>
      </c>
      <c r="Q187" s="304">
        <f t="shared" si="56"/>
        <v>0.6</v>
      </c>
      <c r="R187" s="177">
        <f t="shared" si="57"/>
        <v>0.80937557295198004</v>
      </c>
      <c r="S187" s="799">
        <f t="shared" si="79"/>
        <v>-2</v>
      </c>
      <c r="T187" s="176">
        <f t="shared" si="58"/>
        <v>4</v>
      </c>
      <c r="U187" s="250">
        <f t="shared" si="59"/>
        <v>-1.19062442704802</v>
      </c>
      <c r="V187" s="382">
        <f t="shared" si="60"/>
        <v>61.044851283782286</v>
      </c>
      <c r="W187" s="58"/>
      <c r="X187" s="157">
        <f t="shared" si="61"/>
        <v>43638</v>
      </c>
      <c r="Y187" s="383">
        <f t="shared" si="62"/>
        <v>50.573</v>
      </c>
      <c r="Z187" s="383">
        <f t="shared" si="63"/>
        <v>50.710818005424045</v>
      </c>
      <c r="AA187" s="384">
        <f t="shared" si="64"/>
        <v>51.49563058169106</v>
      </c>
      <c r="AB187" s="197">
        <f t="shared" si="65"/>
        <v>43638</v>
      </c>
      <c r="AC187" s="424">
        <f t="shared" si="66"/>
        <v>1.5240372190840736E-2</v>
      </c>
      <c r="AD187" s="169">
        <f>(INDEX(Models!$BJ187:$BT187,,AH187)*(1-AF187)+INDEX(Models!$BJ187:$BT187,,AH187+1)*AF187-ERP_i)*AE187*Ramure*Pc/MaxiM</f>
        <v>0</v>
      </c>
      <c r="AE187" s="304">
        <f t="shared" si="67"/>
        <v>0.6</v>
      </c>
      <c r="AF187" s="177">
        <f t="shared" si="68"/>
        <v>0.80937557295198004</v>
      </c>
      <c r="AG187" s="799">
        <f t="shared" si="69"/>
        <v>-2</v>
      </c>
      <c r="AH187" s="176">
        <f t="shared" si="70"/>
        <v>4</v>
      </c>
      <c r="AI187" s="224">
        <f t="shared" si="71"/>
        <v>-1.19062442704802</v>
      </c>
      <c r="AJ187" s="264" t="b">
        <f t="shared" si="72"/>
        <v>0</v>
      </c>
      <c r="AK187" s="264" t="b">
        <f t="shared" si="73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74"/>
        <v>43639</v>
      </c>
      <c r="B188" s="607">
        <v>53.264000000000003</v>
      </c>
      <c r="C188" s="388"/>
      <c r="D188" s="391">
        <f t="shared" si="75"/>
        <v>53.410174924387405</v>
      </c>
      <c r="E188" s="383">
        <f t="shared" si="76"/>
        <v>54.242625495320887</v>
      </c>
      <c r="F188" s="383">
        <f t="shared" si="77"/>
        <v>54.242625495320887</v>
      </c>
      <c r="G188" s="110">
        <f t="shared" si="78"/>
        <v>0.87356797272086084</v>
      </c>
      <c r="I188" s="379">
        <f t="shared" si="52"/>
        <v>54.242625495320887</v>
      </c>
      <c r="J188" s="85">
        <v>2018</v>
      </c>
      <c r="K188" s="197">
        <f t="shared" si="53"/>
        <v>43639</v>
      </c>
      <c r="L188" s="435">
        <f t="shared" si="54"/>
        <v>2.7368366532096733E-3</v>
      </c>
      <c r="M188" s="842"/>
      <c r="N188" s="842"/>
      <c r="O188" s="323">
        <f t="shared" si="55"/>
        <v>1.5346797160570478E-2</v>
      </c>
      <c r="P188" s="169">
        <f>(INDEX(Models!$BJ188:$BT188,,T188)*(1-R188)+INDEX(Models!$BJ188:$BT188,,T188+1)*R188-ERP_i)*Q188*Ramure*Pc/MaxiM</f>
        <v>0</v>
      </c>
      <c r="Q188" s="304">
        <f t="shared" si="56"/>
        <v>0.6</v>
      </c>
      <c r="R188" s="177">
        <f t="shared" si="57"/>
        <v>0.81419618778320202</v>
      </c>
      <c r="S188" s="799">
        <f t="shared" si="79"/>
        <v>-2</v>
      </c>
      <c r="T188" s="176">
        <f t="shared" si="58"/>
        <v>4</v>
      </c>
      <c r="U188" s="250">
        <f t="shared" si="59"/>
        <v>-1.185803812216798</v>
      </c>
      <c r="V188" s="382">
        <f t="shared" si="60"/>
        <v>60.972931315351616</v>
      </c>
      <c r="W188" s="58"/>
      <c r="X188" s="157">
        <f t="shared" si="61"/>
        <v>43639</v>
      </c>
      <c r="Y188" s="383">
        <f t="shared" si="62"/>
        <v>53.264000000000003</v>
      </c>
      <c r="Z188" s="383">
        <f t="shared" si="63"/>
        <v>53.410174924387405</v>
      </c>
      <c r="AA188" s="384">
        <f t="shared" si="64"/>
        <v>54.242625495320887</v>
      </c>
      <c r="AB188" s="197">
        <f t="shared" si="65"/>
        <v>43639</v>
      </c>
      <c r="AC188" s="424">
        <f t="shared" si="66"/>
        <v>1.5346797160570478E-2</v>
      </c>
      <c r="AD188" s="169">
        <f>(INDEX(Models!$BJ188:$BT188,,AH188)*(1-AF188)+INDEX(Models!$BJ188:$BT188,,AH188+1)*AF188-ERP_i)*AE188*Ramure*Pc/MaxiM</f>
        <v>0</v>
      </c>
      <c r="AE188" s="304">
        <f t="shared" si="67"/>
        <v>0.6</v>
      </c>
      <c r="AF188" s="177">
        <f t="shared" si="68"/>
        <v>0.81419618778320202</v>
      </c>
      <c r="AG188" s="799">
        <f t="shared" si="69"/>
        <v>-2</v>
      </c>
      <c r="AH188" s="176">
        <f t="shared" si="70"/>
        <v>4</v>
      </c>
      <c r="AI188" s="224">
        <f t="shared" si="71"/>
        <v>-1.185803812216798</v>
      </c>
      <c r="AJ188" s="264" t="b">
        <f t="shared" si="72"/>
        <v>0</v>
      </c>
      <c r="AK188" s="264" t="b">
        <f t="shared" si="73"/>
        <v>0</v>
      </c>
      <c r="AL188" s="264"/>
      <c r="AM188" s="264"/>
      <c r="AN188" s="75"/>
    </row>
    <row r="189" spans="1:40" s="6" customFormat="1" ht="11.25" x14ac:dyDescent="0.2">
      <c r="A189" s="56">
        <f t="shared" si="74"/>
        <v>43640</v>
      </c>
      <c r="B189" s="607">
        <v>40.957999999999998</v>
      </c>
      <c r="C189" s="388"/>
      <c r="D189" s="391">
        <f t="shared" si="75"/>
        <v>41.071190104237886</v>
      </c>
      <c r="E189" s="383">
        <f t="shared" si="76"/>
        <v>41.715822620421065</v>
      </c>
      <c r="F189" s="383">
        <f t="shared" si="77"/>
        <v>41.715822620421065</v>
      </c>
      <c r="G189" s="110">
        <f t="shared" si="78"/>
        <v>0.67255541436388222</v>
      </c>
      <c r="I189" s="379">
        <f t="shared" si="52"/>
        <v>41.715822620421065</v>
      </c>
      <c r="J189" s="85">
        <v>2018</v>
      </c>
      <c r="K189" s="197">
        <f t="shared" si="53"/>
        <v>43640</v>
      </c>
      <c r="L189" s="435">
        <f t="shared" si="54"/>
        <v>2.7559489742228216E-3</v>
      </c>
      <c r="M189" s="842"/>
      <c r="N189" s="842"/>
      <c r="O189" s="323">
        <f t="shared" si="55"/>
        <v>1.5452949880643344E-2</v>
      </c>
      <c r="P189" s="169">
        <f>(INDEX(Models!$BJ189:$BT189,,T189)*(1-R189)+INDEX(Models!$BJ189:$BT189,,T189+1)*R189-ERP_i)*Q189*Ramure*Pc/MaxiM</f>
        <v>0</v>
      </c>
      <c r="Q189" s="304">
        <f t="shared" si="56"/>
        <v>0.6</v>
      </c>
      <c r="R189" s="177">
        <f t="shared" si="57"/>
        <v>0.81896539016474446</v>
      </c>
      <c r="S189" s="799">
        <f t="shared" si="79"/>
        <v>-2</v>
      </c>
      <c r="T189" s="176">
        <f t="shared" si="58"/>
        <v>4</v>
      </c>
      <c r="U189" s="250">
        <f t="shared" si="59"/>
        <v>-1.1810346098352555</v>
      </c>
      <c r="V189" s="382">
        <f t="shared" si="60"/>
        <v>60.899071102920168</v>
      </c>
      <c r="W189" s="58"/>
      <c r="X189" s="157">
        <f t="shared" si="61"/>
        <v>43640</v>
      </c>
      <c r="Y189" s="383">
        <f t="shared" si="62"/>
        <v>40.957999999999998</v>
      </c>
      <c r="Z189" s="383">
        <f t="shared" si="63"/>
        <v>41.071190104237886</v>
      </c>
      <c r="AA189" s="384">
        <f t="shared" si="64"/>
        <v>41.715822620421065</v>
      </c>
      <c r="AB189" s="197">
        <f t="shared" si="65"/>
        <v>43640</v>
      </c>
      <c r="AC189" s="424">
        <f t="shared" si="66"/>
        <v>1.5452949880643344E-2</v>
      </c>
      <c r="AD189" s="169">
        <f>(INDEX(Models!$BJ189:$BT189,,AH189)*(1-AF189)+INDEX(Models!$BJ189:$BT189,,AH189+1)*AF189-ERP_i)*AE189*Ramure*Pc/MaxiM</f>
        <v>0</v>
      </c>
      <c r="AE189" s="304">
        <f t="shared" si="67"/>
        <v>0.6</v>
      </c>
      <c r="AF189" s="177">
        <f t="shared" si="68"/>
        <v>0.81896539016474446</v>
      </c>
      <c r="AG189" s="799">
        <f t="shared" si="69"/>
        <v>-2</v>
      </c>
      <c r="AH189" s="176">
        <f t="shared" si="70"/>
        <v>4</v>
      </c>
      <c r="AI189" s="224">
        <f t="shared" si="71"/>
        <v>-1.1810346098352555</v>
      </c>
      <c r="AJ189" s="264" t="b">
        <f t="shared" si="72"/>
        <v>0</v>
      </c>
      <c r="AK189" s="264" t="b">
        <f t="shared" si="73"/>
        <v>0</v>
      </c>
      <c r="AL189" s="264"/>
      <c r="AM189" s="264"/>
      <c r="AN189" s="75"/>
    </row>
    <row r="190" spans="1:40" s="6" customFormat="1" ht="11.25" x14ac:dyDescent="0.2">
      <c r="A190" s="56">
        <f t="shared" si="74"/>
        <v>43641</v>
      </c>
      <c r="B190" s="607">
        <v>52.332000000000001</v>
      </c>
      <c r="C190" s="388"/>
      <c r="D190" s="391">
        <f t="shared" si="75"/>
        <v>52.477628616818635</v>
      </c>
      <c r="E190" s="383">
        <f t="shared" si="76"/>
        <v>53.307023298039134</v>
      </c>
      <c r="F190" s="383">
        <f t="shared" si="77"/>
        <v>53.307023298039134</v>
      </c>
      <c r="G190" s="110">
        <f t="shared" si="78"/>
        <v>0.86039436213994891</v>
      </c>
      <c r="I190" s="379">
        <f t="shared" si="52"/>
        <v>53.307023298039134</v>
      </c>
      <c r="J190" s="85">
        <v>2018</v>
      </c>
      <c r="K190" s="197">
        <f t="shared" si="53"/>
        <v>43641</v>
      </c>
      <c r="L190" s="435">
        <f t="shared" si="54"/>
        <v>2.7750609289528549E-3</v>
      </c>
      <c r="M190" s="842"/>
      <c r="N190" s="842"/>
      <c r="O190" s="323">
        <f t="shared" si="55"/>
        <v>1.5558825646357398E-2</v>
      </c>
      <c r="P190" s="169">
        <f>(INDEX(Models!$BJ190:$BT190,,T190)*(1-R190)+INDEX(Models!$BJ190:$BT190,,T190+1)*R190-ERP_i)*Q190*Ramure*Pc/MaxiM</f>
        <v>0</v>
      </c>
      <c r="Q190" s="304">
        <f t="shared" si="56"/>
        <v>0.6</v>
      </c>
      <c r="R190" s="177">
        <f t="shared" si="57"/>
        <v>0.82368003755572028</v>
      </c>
      <c r="S190" s="799">
        <f t="shared" si="79"/>
        <v>-2</v>
      </c>
      <c r="T190" s="176">
        <f t="shared" si="58"/>
        <v>4</v>
      </c>
      <c r="U190" s="250">
        <f t="shared" si="59"/>
        <v>-1.1763199624442797</v>
      </c>
      <c r="V190" s="382">
        <f t="shared" si="60"/>
        <v>60.823271633069872</v>
      </c>
      <c r="W190" s="58"/>
      <c r="X190" s="157">
        <f t="shared" si="61"/>
        <v>43641</v>
      </c>
      <c r="Y190" s="383">
        <f t="shared" si="62"/>
        <v>52.332000000000001</v>
      </c>
      <c r="Z190" s="383">
        <f t="shared" si="63"/>
        <v>52.477628616818635</v>
      </c>
      <c r="AA190" s="384">
        <f t="shared" si="64"/>
        <v>53.307023298039134</v>
      </c>
      <c r="AB190" s="197">
        <f t="shared" si="65"/>
        <v>43641</v>
      </c>
      <c r="AC190" s="424">
        <f t="shared" si="66"/>
        <v>1.5558825646357398E-2</v>
      </c>
      <c r="AD190" s="169">
        <f>(INDEX(Models!$BJ190:$BT190,,AH190)*(1-AF190)+INDEX(Models!$BJ190:$BT190,,AH190+1)*AF190-ERP_i)*AE190*Ramure*Pc/MaxiM</f>
        <v>0</v>
      </c>
      <c r="AE190" s="304">
        <f t="shared" si="67"/>
        <v>0.6</v>
      </c>
      <c r="AF190" s="177">
        <f t="shared" si="68"/>
        <v>0.82368003755572028</v>
      </c>
      <c r="AG190" s="799">
        <f t="shared" si="69"/>
        <v>-2</v>
      </c>
      <c r="AH190" s="176">
        <f t="shared" si="70"/>
        <v>4</v>
      </c>
      <c r="AI190" s="224">
        <f t="shared" si="71"/>
        <v>-1.1763199624442797</v>
      </c>
      <c r="AJ190" s="264" t="b">
        <f t="shared" si="72"/>
        <v>0</v>
      </c>
      <c r="AK190" s="264" t="b">
        <f t="shared" si="73"/>
        <v>0</v>
      </c>
      <c r="AL190" s="264"/>
      <c r="AM190" s="264"/>
      <c r="AN190" s="75"/>
    </row>
    <row r="191" spans="1:40" s="6" customFormat="1" ht="11.25" x14ac:dyDescent="0.2">
      <c r="A191" s="56">
        <f t="shared" si="74"/>
        <v>43642</v>
      </c>
      <c r="B191" s="607">
        <v>59.453000000000003</v>
      </c>
      <c r="C191" s="388"/>
      <c r="D191" s="391">
        <f t="shared" si="75"/>
        <v>59.61958741264754</v>
      </c>
      <c r="E191" s="383">
        <f t="shared" si="76"/>
        <v>60.568355603676984</v>
      </c>
      <c r="F191" s="383">
        <f t="shared" si="77"/>
        <v>60.568355603676984</v>
      </c>
      <c r="G191" s="110">
        <f t="shared" si="78"/>
        <v>0.97872953877835733</v>
      </c>
      <c r="I191" s="379">
        <f t="shared" si="52"/>
        <v>60.568355603676984</v>
      </c>
      <c r="J191" s="85">
        <v>2018</v>
      </c>
      <c r="K191" s="197">
        <f t="shared" si="53"/>
        <v>43642</v>
      </c>
      <c r="L191" s="435">
        <f t="shared" si="54"/>
        <v>2.7941725174065457E-3</v>
      </c>
      <c r="M191" s="842"/>
      <c r="N191" s="842"/>
      <c r="O191" s="323">
        <f t="shared" si="55"/>
        <v>1.566442049768724E-2</v>
      </c>
      <c r="P191" s="169">
        <f>(INDEX(Models!$BJ191:$BT191,,T191)*(1-R191)+INDEX(Models!$BJ191:$BT191,,T191+1)*R191-ERP_i)*Q191*Ramure*Pc/MaxiM</f>
        <v>1.8116136804416534E-20</v>
      </c>
      <c r="Q191" s="304">
        <f t="shared" si="56"/>
        <v>0.6</v>
      </c>
      <c r="R191" s="177">
        <f t="shared" si="57"/>
        <v>0.82833714989655238</v>
      </c>
      <c r="S191" s="799">
        <f t="shared" si="79"/>
        <v>-2</v>
      </c>
      <c r="T191" s="176">
        <f t="shared" si="58"/>
        <v>4</v>
      </c>
      <c r="U191" s="250">
        <f t="shared" si="59"/>
        <v>-1.1716628501034476</v>
      </c>
      <c r="V191" s="382">
        <f t="shared" si="60"/>
        <v>60.745075778757808</v>
      </c>
      <c r="W191" s="58"/>
      <c r="X191" s="157">
        <f t="shared" si="61"/>
        <v>43642</v>
      </c>
      <c r="Y191" s="383">
        <f t="shared" si="62"/>
        <v>59.453000000000003</v>
      </c>
      <c r="Z191" s="383">
        <f t="shared" si="63"/>
        <v>59.61958741264754</v>
      </c>
      <c r="AA191" s="384">
        <f t="shared" si="64"/>
        <v>60.568355603676984</v>
      </c>
      <c r="AB191" s="197">
        <f t="shared" si="65"/>
        <v>43642</v>
      </c>
      <c r="AC191" s="424">
        <f t="shared" si="66"/>
        <v>1.566442049768724E-2</v>
      </c>
      <c r="AD191" s="169">
        <f>(INDEX(Models!$BJ191:$BT191,,AH191)*(1-AF191)+INDEX(Models!$BJ191:$BT191,,AH191+1)*AF191-ERP_i)*AE191*Ramure*Pc/MaxiM</f>
        <v>1.8116136804416534E-20</v>
      </c>
      <c r="AE191" s="304">
        <f t="shared" si="67"/>
        <v>0.6</v>
      </c>
      <c r="AF191" s="177">
        <f t="shared" si="68"/>
        <v>0.82833714989655238</v>
      </c>
      <c r="AG191" s="799">
        <f t="shared" si="69"/>
        <v>-2</v>
      </c>
      <c r="AH191" s="176">
        <f t="shared" si="70"/>
        <v>4</v>
      </c>
      <c r="AI191" s="224">
        <f t="shared" si="71"/>
        <v>-1.1716628501034476</v>
      </c>
      <c r="AJ191" s="264" t="b">
        <f t="shared" si="72"/>
        <v>0</v>
      </c>
      <c r="AK191" s="264" t="b">
        <f t="shared" si="73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4"/>
        <v>43643</v>
      </c>
      <c r="B192" s="607">
        <v>58.95</v>
      </c>
      <c r="C192" s="388"/>
      <c r="D192" s="391">
        <f t="shared" si="75"/>
        <v>59.116310956358134</v>
      </c>
      <c r="E192" s="383">
        <f t="shared" si="76"/>
        <v>60.063496146867578</v>
      </c>
      <c r="F192" s="383">
        <f t="shared" si="77"/>
        <v>60.063496146867578</v>
      </c>
      <c r="G192" s="110">
        <f t="shared" si="78"/>
        <v>0.97174332741290803</v>
      </c>
      <c r="I192" s="379">
        <f t="shared" si="52"/>
        <v>60.063496146867578</v>
      </c>
      <c r="J192" s="85">
        <v>2018</v>
      </c>
      <c r="K192" s="197">
        <f t="shared" si="53"/>
        <v>43643</v>
      </c>
      <c r="L192" s="435">
        <f t="shared" si="54"/>
        <v>2.8132837395911103E-3</v>
      </c>
      <c r="M192" s="842"/>
      <c r="N192" s="842"/>
      <c r="O192" s="323">
        <f t="shared" si="55"/>
        <v>1.5769731222328127E-2</v>
      </c>
      <c r="P192" s="169">
        <f>(INDEX(Models!$BJ192:$BT192,,T192)*(1-R192)+INDEX(Models!$BJ192:$BT192,,T192+1)*R192-ERP_i)*Q192*Ramure*Pc/MaxiM</f>
        <v>0</v>
      </c>
      <c r="Q192" s="304">
        <f t="shared" si="56"/>
        <v>0.6</v>
      </c>
      <c r="R192" s="177">
        <f t="shared" si="57"/>
        <v>0.83293391531426964</v>
      </c>
      <c r="S192" s="799">
        <f t="shared" si="79"/>
        <v>-2</v>
      </c>
      <c r="T192" s="176">
        <f t="shared" si="58"/>
        <v>4</v>
      </c>
      <c r="U192" s="250">
        <f t="shared" si="59"/>
        <v>-1.1670660846857304</v>
      </c>
      <c r="V192" s="382">
        <f t="shared" si="60"/>
        <v>60.664167519363147</v>
      </c>
      <c r="W192" s="58"/>
      <c r="X192" s="157">
        <f t="shared" si="61"/>
        <v>43643</v>
      </c>
      <c r="Y192" s="383">
        <f t="shared" si="62"/>
        <v>58.95</v>
      </c>
      <c r="Z192" s="383">
        <f t="shared" si="63"/>
        <v>59.116310956358134</v>
      </c>
      <c r="AA192" s="384">
        <f t="shared" si="64"/>
        <v>60.063496146867578</v>
      </c>
      <c r="AB192" s="197">
        <f t="shared" si="65"/>
        <v>43643</v>
      </c>
      <c r="AC192" s="424">
        <f t="shared" si="66"/>
        <v>1.5769731222328127E-2</v>
      </c>
      <c r="AD192" s="169">
        <f>(INDEX(Models!$BJ192:$BT192,,AH192)*(1-AF192)+INDEX(Models!$BJ192:$BT192,,AH192+1)*AF192-ERP_i)*AE192*Ramure*Pc/MaxiM</f>
        <v>0</v>
      </c>
      <c r="AE192" s="304">
        <f t="shared" si="67"/>
        <v>0.6</v>
      </c>
      <c r="AF192" s="177">
        <f t="shared" si="68"/>
        <v>0.83293391531426964</v>
      </c>
      <c r="AG192" s="799">
        <f t="shared" si="69"/>
        <v>-2</v>
      </c>
      <c r="AH192" s="176">
        <f t="shared" si="70"/>
        <v>4</v>
      </c>
      <c r="AI192" s="224">
        <f t="shared" si="71"/>
        <v>-1.1670660846857304</v>
      </c>
      <c r="AJ192" s="264" t="b">
        <f t="shared" si="72"/>
        <v>0</v>
      </c>
      <c r="AK192" s="264" t="b">
        <f t="shared" si="73"/>
        <v>0</v>
      </c>
      <c r="AL192" s="264"/>
      <c r="AM192" s="264"/>
      <c r="AN192" s="75"/>
    </row>
    <row r="193" spans="1:40" s="6" customFormat="1" ht="11.25" x14ac:dyDescent="0.2">
      <c r="A193" s="56">
        <f t="shared" si="74"/>
        <v>43644</v>
      </c>
      <c r="B193" s="607">
        <v>54.209000000000003</v>
      </c>
      <c r="C193" s="388"/>
      <c r="D193" s="391">
        <f t="shared" si="75"/>
        <v>54.362977403393387</v>
      </c>
      <c r="E193" s="383">
        <f t="shared" si="76"/>
        <v>55.239897258152212</v>
      </c>
      <c r="F193" s="383">
        <f t="shared" si="77"/>
        <v>55.239897258152212</v>
      </c>
      <c r="G193" s="110">
        <f t="shared" si="78"/>
        <v>0.89482206215322213</v>
      </c>
      <c r="I193" s="379">
        <f t="shared" si="52"/>
        <v>55.239897258152212</v>
      </c>
      <c r="J193" s="85">
        <v>2018</v>
      </c>
      <c r="K193" s="197">
        <f t="shared" si="53"/>
        <v>43644</v>
      </c>
      <c r="L193" s="435">
        <f t="shared" si="54"/>
        <v>2.8323945955133212E-3</v>
      </c>
      <c r="M193" s="842"/>
      <c r="N193" s="842"/>
      <c r="O193" s="323">
        <f t="shared" si="55"/>
        <v>1.5874755354100708E-2</v>
      </c>
      <c r="P193" s="169">
        <f>(INDEX(Models!$BJ193:$BT193,,T193)*(1-R193)+INDEX(Models!$BJ193:$BT193,,T193+1)*R193-ERP_i)*Q193*Ramure*Pc/MaxiM</f>
        <v>-1.8284779926067659E-20</v>
      </c>
      <c r="Q193" s="304">
        <f t="shared" si="56"/>
        <v>0.6</v>
      </c>
      <c r="R193" s="177">
        <f t="shared" si="57"/>
        <v>0.8374676948450992</v>
      </c>
      <c r="S193" s="799">
        <f t="shared" si="79"/>
        <v>-2</v>
      </c>
      <c r="T193" s="176">
        <f t="shared" si="58"/>
        <v>4</v>
      </c>
      <c r="U193" s="250">
        <f t="shared" si="59"/>
        <v>-1.1625323051549008</v>
      </c>
      <c r="V193" s="382">
        <f t="shared" si="60"/>
        <v>60.580759340640505</v>
      </c>
      <c r="W193" s="58"/>
      <c r="X193" s="157">
        <f t="shared" si="61"/>
        <v>43644</v>
      </c>
      <c r="Y193" s="383">
        <f t="shared" si="62"/>
        <v>54.209000000000003</v>
      </c>
      <c r="Z193" s="383">
        <f t="shared" si="63"/>
        <v>54.362977403393387</v>
      </c>
      <c r="AA193" s="384">
        <f t="shared" si="64"/>
        <v>55.239897258152212</v>
      </c>
      <c r="AB193" s="197">
        <f t="shared" si="65"/>
        <v>43644</v>
      </c>
      <c r="AC193" s="424">
        <f t="shared" si="66"/>
        <v>1.5874755354100708E-2</v>
      </c>
      <c r="AD193" s="169">
        <f>(INDEX(Models!$BJ193:$BT193,,AH193)*(1-AF193)+INDEX(Models!$BJ193:$BT193,,AH193+1)*AF193-ERP_i)*AE193*Ramure*Pc/MaxiM</f>
        <v>-1.8284779926067659E-20</v>
      </c>
      <c r="AE193" s="304">
        <f t="shared" si="67"/>
        <v>0.6</v>
      </c>
      <c r="AF193" s="177">
        <f t="shared" si="68"/>
        <v>0.8374676948450992</v>
      </c>
      <c r="AG193" s="799">
        <f t="shared" si="69"/>
        <v>-2</v>
      </c>
      <c r="AH193" s="176">
        <f t="shared" si="70"/>
        <v>4</v>
      </c>
      <c r="AI193" s="224">
        <f t="shared" si="71"/>
        <v>-1.1625323051549008</v>
      </c>
      <c r="AJ193" s="264" t="b">
        <f t="shared" si="72"/>
        <v>0</v>
      </c>
      <c r="AK193" s="264" t="b">
        <f t="shared" si="73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4"/>
        <v>43645</v>
      </c>
      <c r="B194" s="607">
        <v>56.189</v>
      </c>
      <c r="C194" s="388"/>
      <c r="D194" s="391">
        <f t="shared" si="75"/>
        <v>56.349681403069148</v>
      </c>
      <c r="E194" s="383">
        <f t="shared" si="76"/>
        <v>57.264742855697342</v>
      </c>
      <c r="F194" s="383">
        <f t="shared" si="77"/>
        <v>57.264742855697342</v>
      </c>
      <c r="G194" s="110">
        <f t="shared" si="78"/>
        <v>0.9288195876210904</v>
      </c>
      <c r="I194" s="379">
        <f t="shared" si="52"/>
        <v>57.264742855697342</v>
      </c>
      <c r="J194" s="85">
        <v>2018</v>
      </c>
      <c r="K194" s="197">
        <f t="shared" si="53"/>
        <v>43645</v>
      </c>
      <c r="L194" s="435">
        <f t="shared" si="54"/>
        <v>2.8515050851803947E-3</v>
      </c>
      <c r="M194" s="842"/>
      <c r="N194" s="842"/>
      <c r="O194" s="323">
        <f t="shared" si="55"/>
        <v>1.5979491166738902E-2</v>
      </c>
      <c r="P194" s="169">
        <f>(INDEX(Models!$BJ194:$BT194,,T194)*(1-R194)+INDEX(Models!$BJ194:$BT194,,T194+1)*R194-ERP_i)*Q194*Ramure*Pc/MaxiM</f>
        <v>0</v>
      </c>
      <c r="Q194" s="304">
        <f t="shared" si="56"/>
        <v>0.6</v>
      </c>
      <c r="R194" s="177">
        <f t="shared" si="57"/>
        <v>0.84193602617687135</v>
      </c>
      <c r="S194" s="799">
        <f t="shared" si="79"/>
        <v>-2</v>
      </c>
      <c r="T194" s="176">
        <f t="shared" si="58"/>
        <v>4</v>
      </c>
      <c r="U194" s="250">
        <f t="shared" si="59"/>
        <v>-1.1580639738231286</v>
      </c>
      <c r="V194" s="382">
        <f t="shared" si="60"/>
        <v>60.495063571938971</v>
      </c>
      <c r="W194" s="58"/>
      <c r="X194" s="157">
        <f t="shared" si="61"/>
        <v>43645</v>
      </c>
      <c r="Y194" s="383">
        <f t="shared" si="62"/>
        <v>56.189</v>
      </c>
      <c r="Z194" s="383">
        <f t="shared" si="63"/>
        <v>56.349681403069148</v>
      </c>
      <c r="AA194" s="384">
        <f t="shared" si="64"/>
        <v>57.264742855697342</v>
      </c>
      <c r="AB194" s="197">
        <f t="shared" si="65"/>
        <v>43645</v>
      </c>
      <c r="AC194" s="424">
        <f t="shared" si="66"/>
        <v>1.5979491166738902E-2</v>
      </c>
      <c r="AD194" s="169">
        <f>(INDEX(Models!$BJ194:$BT194,,AH194)*(1-AF194)+INDEX(Models!$BJ194:$BT194,,AH194+1)*AF194-ERP_i)*AE194*Ramure*Pc/MaxiM</f>
        <v>0</v>
      </c>
      <c r="AE194" s="304">
        <f t="shared" si="67"/>
        <v>0.6</v>
      </c>
      <c r="AF194" s="177">
        <f t="shared" si="68"/>
        <v>0.84193602617687135</v>
      </c>
      <c r="AG194" s="799">
        <f t="shared" si="69"/>
        <v>-2</v>
      </c>
      <c r="AH194" s="176">
        <f t="shared" si="70"/>
        <v>4</v>
      </c>
      <c r="AI194" s="224">
        <f t="shared" si="71"/>
        <v>-1.1580639738231286</v>
      </c>
      <c r="AJ194" s="264" t="b">
        <f t="shared" si="72"/>
        <v>0</v>
      </c>
      <c r="AK194" s="264" t="b">
        <f t="shared" si="73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4"/>
        <v>43646</v>
      </c>
      <c r="B195" s="607">
        <v>47.649000000000001</v>
      </c>
      <c r="C195" s="388"/>
      <c r="D195" s="391">
        <f t="shared" si="75"/>
        <v>47.786175722790645</v>
      </c>
      <c r="E195" s="383">
        <f t="shared" si="76"/>
        <v>48.567329624942467</v>
      </c>
      <c r="F195" s="383">
        <f t="shared" si="77"/>
        <v>48.567329624942467</v>
      </c>
      <c r="G195" s="110">
        <f t="shared" si="78"/>
        <v>0.78879549336218291</v>
      </c>
      <c r="I195" s="379">
        <f t="shared" si="52"/>
        <v>48.567329624942467</v>
      </c>
      <c r="J195" s="85">
        <v>2018</v>
      </c>
      <c r="K195" s="197">
        <f t="shared" si="53"/>
        <v>43646</v>
      </c>
      <c r="L195" s="435">
        <f t="shared" si="54"/>
        <v>2.8706152085993253E-3</v>
      </c>
      <c r="M195" s="842"/>
      <c r="N195" s="842"/>
      <c r="O195" s="323">
        <f t="shared" si="55"/>
        <v>1.6083937663120985E-2</v>
      </c>
      <c r="P195" s="169">
        <f>(INDEX(Models!$BJ195:$BT195,,T195)*(1-R195)+INDEX(Models!$BJ195:$BT195,,T195+1)*R195-ERP_i)*Q195*Ramure*Pc/MaxiM</f>
        <v>0</v>
      </c>
      <c r="Q195" s="304">
        <f t="shared" si="56"/>
        <v>0.6</v>
      </c>
      <c r="R195" s="177">
        <f t="shared" si="57"/>
        <v>0.84633662642242702</v>
      </c>
      <c r="S195" s="799">
        <f t="shared" si="79"/>
        <v>-2</v>
      </c>
      <c r="T195" s="176">
        <f t="shared" si="58"/>
        <v>4</v>
      </c>
      <c r="U195" s="250">
        <f t="shared" si="59"/>
        <v>-1.153663373577573</v>
      </c>
      <c r="V195" s="382">
        <f t="shared" si="60"/>
        <v>60.40729238563425</v>
      </c>
      <c r="W195" s="58"/>
      <c r="X195" s="157">
        <f t="shared" si="61"/>
        <v>43646</v>
      </c>
      <c r="Y195" s="383">
        <f t="shared" si="62"/>
        <v>47.649000000000001</v>
      </c>
      <c r="Z195" s="383">
        <f t="shared" si="63"/>
        <v>47.786175722790645</v>
      </c>
      <c r="AA195" s="384">
        <f t="shared" si="64"/>
        <v>48.567329624942467</v>
      </c>
      <c r="AB195" s="197">
        <f t="shared" si="65"/>
        <v>43646</v>
      </c>
      <c r="AC195" s="424">
        <f t="shared" si="66"/>
        <v>1.6083937663120985E-2</v>
      </c>
      <c r="AD195" s="169">
        <f>(INDEX(Models!$BJ195:$BT195,,AH195)*(1-AF195)+INDEX(Models!$BJ195:$BT195,,AH195+1)*AF195-ERP_i)*AE195*Ramure*Pc/MaxiM</f>
        <v>0</v>
      </c>
      <c r="AE195" s="304">
        <f t="shared" si="67"/>
        <v>0.6</v>
      </c>
      <c r="AF195" s="177">
        <f t="shared" si="68"/>
        <v>0.84633662642242702</v>
      </c>
      <c r="AG195" s="799">
        <f t="shared" si="69"/>
        <v>-2</v>
      </c>
      <c r="AH195" s="176">
        <f t="shared" si="70"/>
        <v>4</v>
      </c>
      <c r="AI195" s="224">
        <f t="shared" si="71"/>
        <v>-1.153663373577573</v>
      </c>
      <c r="AJ195" s="264" t="b">
        <f t="shared" si="72"/>
        <v>0</v>
      </c>
      <c r="AK195" s="264" t="b">
        <f t="shared" si="73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4"/>
        <v>43647</v>
      </c>
      <c r="B196" s="607">
        <v>17.196000000000002</v>
      </c>
      <c r="C196" s="388"/>
      <c r="D196" s="391">
        <f t="shared" si="75"/>
        <v>17.245835722041676</v>
      </c>
      <c r="E196" s="383">
        <f t="shared" si="76"/>
        <v>17.52960665212666</v>
      </c>
      <c r="F196" s="383">
        <f t="shared" si="77"/>
        <v>17.52960665212666</v>
      </c>
      <c r="G196" s="110">
        <f t="shared" si="78"/>
        <v>0.28509064554228569</v>
      </c>
      <c r="I196" s="379">
        <f t="shared" si="52"/>
        <v>17.52960665212666</v>
      </c>
      <c r="J196" s="85">
        <v>2018</v>
      </c>
      <c r="K196" s="197">
        <f t="shared" si="53"/>
        <v>43647</v>
      </c>
      <c r="L196" s="435">
        <f t="shared" si="54"/>
        <v>2.8897249657771074E-3</v>
      </c>
      <c r="M196" s="842"/>
      <c r="N196" s="842"/>
      <c r="O196" s="323">
        <f t="shared" si="55"/>
        <v>1.618809456004304E-2</v>
      </c>
      <c r="P196" s="169">
        <f>(INDEX(Models!$BJ196:$BT196,,T196)*(1-R196)+INDEX(Models!$BJ196:$BT196,,T196+1)*R196-ERP_i)*Q196*Ramure*Pc/MaxiM</f>
        <v>0</v>
      </c>
      <c r="Q196" s="304">
        <f t="shared" si="56"/>
        <v>0.6</v>
      </c>
      <c r="R196" s="177">
        <f t="shared" si="57"/>
        <v>0.85066739394336999</v>
      </c>
      <c r="S196" s="799">
        <f t="shared" si="79"/>
        <v>-2</v>
      </c>
      <c r="T196" s="176">
        <f t="shared" si="58"/>
        <v>4</v>
      </c>
      <c r="U196" s="250">
        <f t="shared" si="59"/>
        <v>-1.14933260605663</v>
      </c>
      <c r="V196" s="382">
        <f t="shared" si="60"/>
        <v>60.317657800699131</v>
      </c>
      <c r="W196" s="58"/>
      <c r="X196" s="157">
        <f t="shared" si="61"/>
        <v>43647</v>
      </c>
      <c r="Y196" s="383">
        <f t="shared" si="62"/>
        <v>17.196000000000002</v>
      </c>
      <c r="Z196" s="383">
        <f t="shared" si="63"/>
        <v>17.245835722041676</v>
      </c>
      <c r="AA196" s="384">
        <f t="shared" si="64"/>
        <v>17.52960665212666</v>
      </c>
      <c r="AB196" s="197">
        <f t="shared" si="65"/>
        <v>43647</v>
      </c>
      <c r="AC196" s="424">
        <f t="shared" si="66"/>
        <v>1.618809456004304E-2</v>
      </c>
      <c r="AD196" s="169">
        <f>(INDEX(Models!$BJ196:$BT196,,AH196)*(1-AF196)+INDEX(Models!$BJ196:$BT196,,AH196+1)*AF196-ERP_i)*AE196*Ramure*Pc/MaxiM</f>
        <v>0</v>
      </c>
      <c r="AE196" s="304">
        <f t="shared" si="67"/>
        <v>0.6</v>
      </c>
      <c r="AF196" s="177">
        <f t="shared" si="68"/>
        <v>0.85066739394336999</v>
      </c>
      <c r="AG196" s="799">
        <f t="shared" si="69"/>
        <v>-2</v>
      </c>
      <c r="AH196" s="176">
        <f t="shared" si="70"/>
        <v>4</v>
      </c>
      <c r="AI196" s="224">
        <f t="shared" si="71"/>
        <v>-1.14933260605663</v>
      </c>
      <c r="AJ196" s="264" t="b">
        <f t="shared" si="72"/>
        <v>0</v>
      </c>
      <c r="AK196" s="264" t="b">
        <f t="shared" si="73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4"/>
        <v>43648</v>
      </c>
      <c r="B197" s="607">
        <v>29.408999999999999</v>
      </c>
      <c r="C197" s="388"/>
      <c r="D197" s="391">
        <f t="shared" si="75"/>
        <v>29.494795474420446</v>
      </c>
      <c r="E197" s="383">
        <f t="shared" si="76"/>
        <v>29.983281973015714</v>
      </c>
      <c r="F197" s="383">
        <f t="shared" si="77"/>
        <v>29.983281973015714</v>
      </c>
      <c r="G197" s="110">
        <f t="shared" si="78"/>
        <v>0.48830768278784253</v>
      </c>
      <c r="I197" s="379">
        <f t="shared" si="52"/>
        <v>29.983281973015714</v>
      </c>
      <c r="J197" s="85">
        <v>2018</v>
      </c>
      <c r="K197" s="197">
        <f t="shared" si="53"/>
        <v>43648</v>
      </c>
      <c r="L197" s="435">
        <f t="shared" si="54"/>
        <v>2.9088343567207353E-3</v>
      </c>
      <c r="M197" s="842"/>
      <c r="N197" s="842"/>
      <c r="O197" s="323">
        <f t="shared" si="55"/>
        <v>1.6291962268670187E-2</v>
      </c>
      <c r="P197" s="169">
        <f>(INDEX(Models!$BJ197:$BT197,,T197)*(1-R197)+INDEX(Models!$BJ197:$BT197,,T197+1)*R197-ERP_i)*Q197*Ramure*Pc/MaxiM</f>
        <v>0</v>
      </c>
      <c r="Q197" s="304">
        <f t="shared" si="56"/>
        <v>0.6</v>
      </c>
      <c r="R197" s="177">
        <f t="shared" si="57"/>
        <v>0.85492640925103069</v>
      </c>
      <c r="S197" s="799">
        <f t="shared" si="79"/>
        <v>-2</v>
      </c>
      <c r="T197" s="176">
        <f t="shared" si="58"/>
        <v>4</v>
      </c>
      <c r="U197" s="250">
        <f t="shared" si="59"/>
        <v>-1.1450735907489693</v>
      </c>
      <c r="V197" s="382">
        <f t="shared" si="60"/>
        <v>60.226371684546017</v>
      </c>
      <c r="W197" s="58"/>
      <c r="X197" s="157">
        <f t="shared" si="61"/>
        <v>43648</v>
      </c>
      <c r="Y197" s="383">
        <f t="shared" si="62"/>
        <v>29.408999999999999</v>
      </c>
      <c r="Z197" s="383">
        <f t="shared" si="63"/>
        <v>29.494795474420446</v>
      </c>
      <c r="AA197" s="384">
        <f t="shared" si="64"/>
        <v>29.983281973015714</v>
      </c>
      <c r="AB197" s="197">
        <f t="shared" si="65"/>
        <v>43648</v>
      </c>
      <c r="AC197" s="424">
        <f t="shared" si="66"/>
        <v>1.6291962268670187E-2</v>
      </c>
      <c r="AD197" s="169">
        <f>(INDEX(Models!$BJ197:$BT197,,AH197)*(1-AF197)+INDEX(Models!$BJ197:$BT197,,AH197+1)*AF197-ERP_i)*AE197*Ramure*Pc/MaxiM</f>
        <v>0</v>
      </c>
      <c r="AE197" s="304">
        <f t="shared" si="67"/>
        <v>0.6</v>
      </c>
      <c r="AF197" s="177">
        <f t="shared" si="68"/>
        <v>0.85492640925103069</v>
      </c>
      <c r="AG197" s="799">
        <f t="shared" si="69"/>
        <v>-2</v>
      </c>
      <c r="AH197" s="176">
        <f t="shared" si="70"/>
        <v>4</v>
      </c>
      <c r="AI197" s="224">
        <f t="shared" si="71"/>
        <v>-1.1450735907489693</v>
      </c>
      <c r="AJ197" s="264" t="b">
        <f t="shared" si="72"/>
        <v>0</v>
      </c>
      <c r="AK197" s="264" t="b">
        <f t="shared" si="73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4"/>
        <v>43649</v>
      </c>
      <c r="B198" s="607">
        <v>48.621000000000002</v>
      </c>
      <c r="C198" s="388"/>
      <c r="D198" s="391">
        <f t="shared" si="75"/>
        <v>48.763777579818708</v>
      </c>
      <c r="E198" s="383">
        <f t="shared" si="76"/>
        <v>49.576613014309146</v>
      </c>
      <c r="F198" s="383">
        <f t="shared" si="77"/>
        <v>49.576613014309146</v>
      </c>
      <c r="G198" s="110">
        <f t="shared" si="78"/>
        <v>0.80854901426778791</v>
      </c>
      <c r="I198" s="379">
        <f t="shared" si="52"/>
        <v>49.576613014309146</v>
      </c>
      <c r="J198" s="85">
        <v>2018</v>
      </c>
      <c r="K198" s="197">
        <f t="shared" si="53"/>
        <v>43649</v>
      </c>
      <c r="L198" s="435">
        <f t="shared" si="54"/>
        <v>2.9279433814372036E-3</v>
      </c>
      <c r="M198" s="842"/>
      <c r="N198" s="842"/>
      <c r="O198" s="323">
        <f t="shared" si="55"/>
        <v>1.6395541870837992E-2</v>
      </c>
      <c r="P198" s="169">
        <f>(INDEX(Models!$BJ198:$BT198,,T198)*(1-R198)+INDEX(Models!$BJ198:$BT198,,T198+1)*R198-ERP_i)*Q198*Ramure*Pc/MaxiM</f>
        <v>0</v>
      </c>
      <c r="Q198" s="304">
        <f t="shared" si="56"/>
        <v>0.6</v>
      </c>
      <c r="R198" s="177">
        <f t="shared" si="57"/>
        <v>0.85911193501832717</v>
      </c>
      <c r="S198" s="799">
        <f t="shared" si="79"/>
        <v>-2</v>
      </c>
      <c r="T198" s="176">
        <f t="shared" si="58"/>
        <v>4</v>
      </c>
      <c r="U198" s="250">
        <f t="shared" si="59"/>
        <v>-1.1408880649816728</v>
      </c>
      <c r="V198" s="382">
        <f t="shared" si="60"/>
        <v>60.133645755576836</v>
      </c>
      <c r="W198" s="58"/>
      <c r="X198" s="157">
        <f t="shared" si="61"/>
        <v>43649</v>
      </c>
      <c r="Y198" s="383">
        <f t="shared" si="62"/>
        <v>48.621000000000002</v>
      </c>
      <c r="Z198" s="383">
        <f t="shared" si="63"/>
        <v>48.763777579818708</v>
      </c>
      <c r="AA198" s="384">
        <f t="shared" si="64"/>
        <v>49.576613014309146</v>
      </c>
      <c r="AB198" s="197">
        <f t="shared" si="65"/>
        <v>43649</v>
      </c>
      <c r="AC198" s="424">
        <f t="shared" si="66"/>
        <v>1.6395541870837992E-2</v>
      </c>
      <c r="AD198" s="169">
        <f>(INDEX(Models!$BJ198:$BT198,,AH198)*(1-AF198)+INDEX(Models!$BJ198:$BT198,,AH198+1)*AF198-ERP_i)*AE198*Ramure*Pc/MaxiM</f>
        <v>0</v>
      </c>
      <c r="AE198" s="304">
        <f t="shared" si="67"/>
        <v>0.6</v>
      </c>
      <c r="AF198" s="177">
        <f t="shared" si="68"/>
        <v>0.85911193501832717</v>
      </c>
      <c r="AG198" s="799">
        <f t="shared" si="69"/>
        <v>-2</v>
      </c>
      <c r="AH198" s="176">
        <f t="shared" si="70"/>
        <v>4</v>
      </c>
      <c r="AI198" s="224">
        <f t="shared" si="71"/>
        <v>-1.1408880649816728</v>
      </c>
      <c r="AJ198" s="264" t="b">
        <f t="shared" si="72"/>
        <v>0</v>
      </c>
      <c r="AK198" s="264" t="b">
        <f t="shared" si="73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4"/>
        <v>43650</v>
      </c>
      <c r="B199" s="607">
        <v>56.912999999999997</v>
      </c>
      <c r="C199" s="388"/>
      <c r="D199" s="391">
        <f t="shared" si="75"/>
        <v>57.081221329761775</v>
      </c>
      <c r="E199" s="383">
        <f t="shared" si="76"/>
        <v>58.038793817867159</v>
      </c>
      <c r="F199" s="383">
        <f t="shared" si="77"/>
        <v>58.038793817867159</v>
      </c>
      <c r="G199" s="110">
        <f t="shared" si="78"/>
        <v>0.94792292395127953</v>
      </c>
      <c r="I199" s="379">
        <f t="shared" si="52"/>
        <v>58.038793817867159</v>
      </c>
      <c r="J199" s="85">
        <v>2018</v>
      </c>
      <c r="K199" s="197">
        <f t="shared" si="53"/>
        <v>43650</v>
      </c>
      <c r="L199" s="435">
        <f t="shared" si="54"/>
        <v>2.9470520399336175E-3</v>
      </c>
      <c r="M199" s="842"/>
      <c r="N199" s="842"/>
      <c r="O199" s="323">
        <f t="shared" si="55"/>
        <v>1.649883509141082E-2</v>
      </c>
      <c r="P199" s="169">
        <f>(INDEX(Models!$BJ199:$BT199,,T199)*(1-R199)+INDEX(Models!$BJ199:$BT199,,T199+1)*R199-ERP_i)*Q199*Ramure*Pc/MaxiM</f>
        <v>0</v>
      </c>
      <c r="Q199" s="304">
        <f t="shared" si="56"/>
        <v>0.6</v>
      </c>
      <c r="R199" s="177">
        <f t="shared" si="57"/>
        <v>0.86322241524228405</v>
      </c>
      <c r="S199" s="799">
        <f t="shared" si="79"/>
        <v>-2</v>
      </c>
      <c r="T199" s="176">
        <f t="shared" si="58"/>
        <v>4</v>
      </c>
      <c r="U199" s="250">
        <f t="shared" si="59"/>
        <v>-1.136777584757716</v>
      </c>
      <c r="V199" s="382">
        <f t="shared" si="60"/>
        <v>60.039691584592553</v>
      </c>
      <c r="W199" s="58"/>
      <c r="X199" s="157">
        <f t="shared" si="61"/>
        <v>43650</v>
      </c>
      <c r="Y199" s="383">
        <f t="shared" si="62"/>
        <v>56.912999999999997</v>
      </c>
      <c r="Z199" s="383">
        <f t="shared" si="63"/>
        <v>57.081221329761775</v>
      </c>
      <c r="AA199" s="384">
        <f t="shared" si="64"/>
        <v>58.038793817867159</v>
      </c>
      <c r="AB199" s="197">
        <f t="shared" si="65"/>
        <v>43650</v>
      </c>
      <c r="AC199" s="424">
        <f t="shared" si="66"/>
        <v>1.649883509141082E-2</v>
      </c>
      <c r="AD199" s="169">
        <f>(INDEX(Models!$BJ199:$BT199,,AH199)*(1-AF199)+INDEX(Models!$BJ199:$BT199,,AH199+1)*AF199-ERP_i)*AE199*Ramure*Pc/MaxiM</f>
        <v>0</v>
      </c>
      <c r="AE199" s="304">
        <f t="shared" si="67"/>
        <v>0.6</v>
      </c>
      <c r="AF199" s="177">
        <f t="shared" si="68"/>
        <v>0.86322241524228405</v>
      </c>
      <c r="AG199" s="799">
        <f t="shared" si="69"/>
        <v>-2</v>
      </c>
      <c r="AH199" s="176">
        <f t="shared" si="70"/>
        <v>4</v>
      </c>
      <c r="AI199" s="224">
        <f t="shared" si="71"/>
        <v>-1.136777584757716</v>
      </c>
      <c r="AJ199" s="264" t="b">
        <f t="shared" si="72"/>
        <v>0</v>
      </c>
      <c r="AK199" s="264" t="b">
        <f t="shared" si="73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4"/>
        <v>43651</v>
      </c>
      <c r="B200" s="607">
        <v>56.351999999999997</v>
      </c>
      <c r="C200" s="388"/>
      <c r="D200" s="391">
        <f t="shared" si="75"/>
        <v>56.519646332943708</v>
      </c>
      <c r="E200" s="383">
        <f t="shared" si="76"/>
        <v>57.473817703889978</v>
      </c>
      <c r="F200" s="383">
        <f t="shared" si="77"/>
        <v>57.473817703889978</v>
      </c>
      <c r="G200" s="110">
        <f t="shared" si="78"/>
        <v>0.9400661048630774</v>
      </c>
      <c r="I200" s="379">
        <f t="shared" si="52"/>
        <v>57.473817703889978</v>
      </c>
      <c r="J200" s="85">
        <v>2018</v>
      </c>
      <c r="K200" s="197">
        <f t="shared" si="53"/>
        <v>43651</v>
      </c>
      <c r="L200" s="435">
        <f t="shared" si="54"/>
        <v>2.9661603322169716E-3</v>
      </c>
      <c r="M200" s="842"/>
      <c r="N200" s="842"/>
      <c r="O200" s="323">
        <f t="shared" si="55"/>
        <v>1.6601844266936366E-2</v>
      </c>
      <c r="P200" s="169">
        <f>(INDEX(Models!$BJ200:$BT200,,T200)*(1-R200)+INDEX(Models!$BJ200:$BT200,,T200+1)*R200-ERP_i)*Q200*Ramure*Pc/MaxiM</f>
        <v>0</v>
      </c>
      <c r="Q200" s="304">
        <f t="shared" si="56"/>
        <v>0.6</v>
      </c>
      <c r="R200" s="177">
        <f t="shared" si="57"/>
        <v>0.8672564736022581</v>
      </c>
      <c r="S200" s="799">
        <f t="shared" si="79"/>
        <v>-2</v>
      </c>
      <c r="T200" s="176">
        <f t="shared" si="58"/>
        <v>4</v>
      </c>
      <c r="U200" s="250">
        <f t="shared" si="59"/>
        <v>-1.1327435263977419</v>
      </c>
      <c r="V200" s="382">
        <f t="shared" si="60"/>
        <v>59.944720598353861</v>
      </c>
      <c r="W200" s="58"/>
      <c r="X200" s="157">
        <f t="shared" si="61"/>
        <v>43651</v>
      </c>
      <c r="Y200" s="383">
        <f t="shared" si="62"/>
        <v>56.351999999999997</v>
      </c>
      <c r="Z200" s="383">
        <f t="shared" si="63"/>
        <v>56.519646332943708</v>
      </c>
      <c r="AA200" s="384">
        <f t="shared" si="64"/>
        <v>57.473817703889978</v>
      </c>
      <c r="AB200" s="197">
        <f t="shared" si="65"/>
        <v>43651</v>
      </c>
      <c r="AC200" s="424">
        <f t="shared" si="66"/>
        <v>1.6601844266936366E-2</v>
      </c>
      <c r="AD200" s="169">
        <f>(INDEX(Models!$BJ200:$BT200,,AH200)*(1-AF200)+INDEX(Models!$BJ200:$BT200,,AH200+1)*AF200-ERP_i)*AE200*Ramure*Pc/MaxiM</f>
        <v>0</v>
      </c>
      <c r="AE200" s="304">
        <f t="shared" si="67"/>
        <v>0.6</v>
      </c>
      <c r="AF200" s="177">
        <f t="shared" si="68"/>
        <v>0.8672564736022581</v>
      </c>
      <c r="AG200" s="799">
        <f t="shared" si="69"/>
        <v>-2</v>
      </c>
      <c r="AH200" s="176">
        <f t="shared" si="70"/>
        <v>4</v>
      </c>
      <c r="AI200" s="224">
        <f t="shared" si="71"/>
        <v>-1.1327435263977419</v>
      </c>
      <c r="AJ200" s="264" t="b">
        <f t="shared" si="72"/>
        <v>0</v>
      </c>
      <c r="AK200" s="264" t="b">
        <f t="shared" si="73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ref="A201:A207" si="80">A200+1</f>
        <v>43652</v>
      </c>
      <c r="B201" s="607">
        <v>54.265999999999998</v>
      </c>
      <c r="C201" s="388"/>
      <c r="D201" s="391">
        <f t="shared" ref="D201:D206" si="81">Wh/(1-Ppv)</f>
        <v>54.428483624511344</v>
      </c>
      <c r="E201" s="383">
        <f t="shared" ref="E201:E232" si="82">Wh_pvt/(1-Psa)</f>
        <v>55.353134054965636</v>
      </c>
      <c r="F201" s="383">
        <f t="shared" ref="F201:F228" si="83">Wh_sa/(1-Pvg*MEDIAN((-Sdif+Wh/Env_an)/Csdif,0,1))</f>
        <v>55.353134054965636</v>
      </c>
      <c r="G201" s="110">
        <f t="shared" ref="G201:G232" si="84">+Wh_hp/MaxiM</f>
        <v>0.90671608048191821</v>
      </c>
      <c r="I201" s="379">
        <f t="shared" si="52"/>
        <v>55.353134054965636</v>
      </c>
      <c r="J201" s="85">
        <v>2018</v>
      </c>
      <c r="K201" s="197">
        <f t="shared" si="53"/>
        <v>43652</v>
      </c>
      <c r="L201" s="435">
        <f t="shared" si="54"/>
        <v>2.9852682582942602E-3</v>
      </c>
      <c r="M201" s="842"/>
      <c r="N201" s="842"/>
      <c r="O201" s="323">
        <f t="shared" si="55"/>
        <v>1.6704572310867048E-2</v>
      </c>
      <c r="P201" s="169">
        <f>(INDEX(Models!$BJ201:$BT201,,T201)*(1-R201)+INDEX(Models!$BJ201:$BT201,,T201+1)*R201-ERP_i)*Q201*Ramure*Pc/MaxiM</f>
        <v>0</v>
      </c>
      <c r="Q201" s="304">
        <f t="shared" si="56"/>
        <v>0.6</v>
      </c>
      <c r="R201" s="177">
        <f t="shared" si="57"/>
        <v>0.87121291106338417</v>
      </c>
      <c r="S201" s="799">
        <f t="shared" si="79"/>
        <v>-2</v>
      </c>
      <c r="T201" s="176">
        <f t="shared" si="58"/>
        <v>4</v>
      </c>
      <c r="U201" s="250">
        <f t="shared" si="59"/>
        <v>-1.1287870889366158</v>
      </c>
      <c r="V201" s="382">
        <f t="shared" si="60"/>
        <v>59.848944083089059</v>
      </c>
      <c r="W201" s="58"/>
      <c r="X201" s="157">
        <f t="shared" si="61"/>
        <v>43652</v>
      </c>
      <c r="Y201" s="383">
        <f t="shared" si="62"/>
        <v>54.265999999999998</v>
      </c>
      <c r="Z201" s="383">
        <f t="shared" si="63"/>
        <v>54.428483624511344</v>
      </c>
      <c r="AA201" s="384">
        <f t="shared" si="64"/>
        <v>55.353134054965636</v>
      </c>
      <c r="AB201" s="197">
        <f t="shared" si="65"/>
        <v>43652</v>
      </c>
      <c r="AC201" s="424">
        <f t="shared" si="66"/>
        <v>1.6704572310867048E-2</v>
      </c>
      <c r="AD201" s="169">
        <f>(INDEX(Models!$BJ201:$BT201,,AH201)*(1-AF201)+INDEX(Models!$BJ201:$BT201,,AH201+1)*AF201-ERP_i)*AE201*Ramure*Pc/MaxiM</f>
        <v>0</v>
      </c>
      <c r="AE201" s="304">
        <f t="shared" si="67"/>
        <v>0.6</v>
      </c>
      <c r="AF201" s="177">
        <f t="shared" si="68"/>
        <v>0.87121291106338417</v>
      </c>
      <c r="AG201" s="799">
        <f t="shared" si="69"/>
        <v>-2</v>
      </c>
      <c r="AH201" s="176">
        <f t="shared" si="70"/>
        <v>4</v>
      </c>
      <c r="AI201" s="224">
        <f t="shared" si="71"/>
        <v>-1.1287870889366158</v>
      </c>
      <c r="AJ201" s="264" t="b">
        <f t="shared" si="72"/>
        <v>0</v>
      </c>
      <c r="AK201" s="264" t="b">
        <f t="shared" si="73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80"/>
        <v>43653</v>
      </c>
      <c r="B202" s="607">
        <v>50.030999999999999</v>
      </c>
      <c r="C202" s="388"/>
      <c r="D202" s="391">
        <f t="shared" si="81"/>
        <v>50.181764880921456</v>
      </c>
      <c r="E202" s="383">
        <f t="shared" si="82"/>
        <v>51.039588400524707</v>
      </c>
      <c r="F202" s="383">
        <f t="shared" si="83"/>
        <v>51.039588400524707</v>
      </c>
      <c r="G202" s="110">
        <f t="shared" si="84"/>
        <v>0.83730285293450046</v>
      </c>
      <c r="I202" s="379">
        <f t="shared" si="52"/>
        <v>51.039588400524707</v>
      </c>
      <c r="J202" s="85">
        <v>2018</v>
      </c>
      <c r="K202" s="197">
        <f t="shared" si="53"/>
        <v>43653</v>
      </c>
      <c r="L202" s="435">
        <f t="shared" si="54"/>
        <v>3.0043758181724778E-3</v>
      </c>
      <c r="M202" s="842"/>
      <c r="N202" s="842"/>
      <c r="O202" s="323">
        <f t="shared" si="55"/>
        <v>1.6807022675645919E-2</v>
      </c>
      <c r="P202" s="169">
        <f>(INDEX(Models!$BJ202:$BT202,,T202)*(1-R202)+INDEX(Models!$BJ202:$BT202,,T202+1)*R202-ERP_i)*Q202*Ramure*Pc/MaxiM</f>
        <v>0</v>
      </c>
      <c r="Q202" s="304">
        <f t="shared" si="56"/>
        <v>0.6</v>
      </c>
      <c r="R202" s="177">
        <f t="shared" si="57"/>
        <v>0.8750907027784236</v>
      </c>
      <c r="S202" s="799">
        <f t="shared" si="79"/>
        <v>-2</v>
      </c>
      <c r="T202" s="176">
        <f t="shared" si="58"/>
        <v>4</v>
      </c>
      <c r="U202" s="250">
        <f t="shared" si="59"/>
        <v>-1.1249092972215764</v>
      </c>
      <c r="V202" s="382">
        <f t="shared" si="60"/>
        <v>59.752573187414853</v>
      </c>
      <c r="W202" s="58"/>
      <c r="X202" s="157">
        <f t="shared" si="61"/>
        <v>43653</v>
      </c>
      <c r="Y202" s="383">
        <f t="shared" si="62"/>
        <v>50.030999999999999</v>
      </c>
      <c r="Z202" s="383">
        <f t="shared" si="63"/>
        <v>50.181764880921456</v>
      </c>
      <c r="AA202" s="384">
        <f t="shared" si="64"/>
        <v>51.039588400524707</v>
      </c>
      <c r="AB202" s="197">
        <f t="shared" si="65"/>
        <v>43653</v>
      </c>
      <c r="AC202" s="424">
        <f t="shared" si="66"/>
        <v>1.6807022675645919E-2</v>
      </c>
      <c r="AD202" s="169">
        <f>(INDEX(Models!$BJ202:$BT202,,AH202)*(1-AF202)+INDEX(Models!$BJ202:$BT202,,AH202+1)*AF202-ERP_i)*AE202*Ramure*Pc/MaxiM</f>
        <v>0</v>
      </c>
      <c r="AE202" s="304">
        <f t="shared" si="67"/>
        <v>0.6</v>
      </c>
      <c r="AF202" s="177">
        <f t="shared" si="68"/>
        <v>0.8750907027784236</v>
      </c>
      <c r="AG202" s="799">
        <f t="shared" si="69"/>
        <v>-2</v>
      </c>
      <c r="AH202" s="176">
        <f t="shared" si="70"/>
        <v>4</v>
      </c>
      <c r="AI202" s="224">
        <f t="shared" si="71"/>
        <v>-1.1249092972215764</v>
      </c>
      <c r="AJ202" s="264" t="b">
        <f t="shared" si="72"/>
        <v>0</v>
      </c>
      <c r="AK202" s="264" t="b">
        <f t="shared" si="73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80"/>
        <v>43654</v>
      </c>
      <c r="B203" s="607">
        <v>37.902999999999999</v>
      </c>
      <c r="C203" s="388"/>
      <c r="D203" s="391">
        <f t="shared" si="81"/>
        <v>38.017946615738431</v>
      </c>
      <c r="E203" s="383">
        <f t="shared" si="82"/>
        <v>38.671856749276323</v>
      </c>
      <c r="F203" s="383">
        <f t="shared" si="83"/>
        <v>38.671856749276323</v>
      </c>
      <c r="G203" s="110">
        <f t="shared" si="84"/>
        <v>0.63536132238213894</v>
      </c>
      <c r="I203" s="379">
        <f t="shared" si="52"/>
        <v>38.671856749276323</v>
      </c>
      <c r="J203" s="85">
        <v>2018</v>
      </c>
      <c r="K203" s="197">
        <f t="shared" si="53"/>
        <v>43654</v>
      </c>
      <c r="L203" s="435">
        <f t="shared" si="54"/>
        <v>3.0234830118586187E-3</v>
      </c>
      <c r="M203" s="842"/>
      <c r="N203" s="842"/>
      <c r="O203" s="323">
        <f t="shared" si="55"/>
        <v>1.6909199311980993E-2</v>
      </c>
      <c r="P203" s="169">
        <f>(INDEX(Models!$BJ203:$BT203,,T203)*(1-R203)+INDEX(Models!$BJ203:$BT203,,T203+1)*R203-ERP_i)*Q203*Ramure*Pc/MaxiM</f>
        <v>0</v>
      </c>
      <c r="Q203" s="304">
        <f t="shared" si="56"/>
        <v>0.6</v>
      </c>
      <c r="R203" s="177">
        <f t="shared" si="57"/>
        <v>0.87888899434402612</v>
      </c>
      <c r="S203" s="799">
        <f t="shared" si="79"/>
        <v>-2</v>
      </c>
      <c r="T203" s="176">
        <f t="shared" si="58"/>
        <v>4</v>
      </c>
      <c r="U203" s="250">
        <f t="shared" si="59"/>
        <v>-1.1211110056559739</v>
      </c>
      <c r="V203" s="382">
        <f t="shared" si="60"/>
        <v>59.655818925035526</v>
      </c>
      <c r="W203" s="58"/>
      <c r="X203" s="157">
        <f t="shared" si="61"/>
        <v>43654</v>
      </c>
      <c r="Y203" s="383">
        <f t="shared" si="62"/>
        <v>37.902999999999999</v>
      </c>
      <c r="Z203" s="383">
        <f t="shared" si="63"/>
        <v>38.017946615738431</v>
      </c>
      <c r="AA203" s="384">
        <f t="shared" si="64"/>
        <v>38.671856749276323</v>
      </c>
      <c r="AB203" s="197">
        <f t="shared" si="65"/>
        <v>43654</v>
      </c>
      <c r="AC203" s="424">
        <f t="shared" si="66"/>
        <v>1.6909199311980993E-2</v>
      </c>
      <c r="AD203" s="169">
        <f>(INDEX(Models!$BJ203:$BT203,,AH203)*(1-AF203)+INDEX(Models!$BJ203:$BT203,,AH203+1)*AF203-ERP_i)*AE203*Ramure*Pc/MaxiM</f>
        <v>0</v>
      </c>
      <c r="AE203" s="304">
        <f t="shared" si="67"/>
        <v>0.6</v>
      </c>
      <c r="AF203" s="177">
        <f t="shared" si="68"/>
        <v>0.87888899434402612</v>
      </c>
      <c r="AG203" s="799">
        <f t="shared" si="69"/>
        <v>-2</v>
      </c>
      <c r="AH203" s="176">
        <f t="shared" si="70"/>
        <v>4</v>
      </c>
      <c r="AI203" s="224">
        <f t="shared" si="71"/>
        <v>-1.1211110056559739</v>
      </c>
      <c r="AJ203" s="264" t="b">
        <f t="shared" si="72"/>
        <v>0</v>
      </c>
      <c r="AK203" s="264" t="b">
        <f t="shared" si="73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80"/>
        <v>43655</v>
      </c>
      <c r="B204" s="607">
        <v>20.221</v>
      </c>
      <c r="C204" s="388"/>
      <c r="D204" s="391">
        <f t="shared" si="81"/>
        <v>20.282711973364822</v>
      </c>
      <c r="E204" s="383">
        <f t="shared" si="82"/>
        <v>20.633714287187431</v>
      </c>
      <c r="F204" s="383">
        <f t="shared" si="83"/>
        <v>20.633714287187431</v>
      </c>
      <c r="G204" s="110">
        <f t="shared" si="84"/>
        <v>0.33951269508124715</v>
      </c>
      <c r="I204" s="379">
        <f t="shared" si="52"/>
        <v>20.633714287187431</v>
      </c>
      <c r="J204" s="85">
        <v>2018</v>
      </c>
      <c r="K204" s="197">
        <f t="shared" si="53"/>
        <v>43655</v>
      </c>
      <c r="L204" s="435">
        <f t="shared" si="54"/>
        <v>3.0425898393597883E-3</v>
      </c>
      <c r="M204" s="842"/>
      <c r="N204" s="842"/>
      <c r="O204" s="323">
        <f t="shared" si="55"/>
        <v>1.7011106625653166E-2</v>
      </c>
      <c r="P204" s="169">
        <f>(INDEX(Models!$BJ204:$BT204,,T204)*(1-R204)+INDEX(Models!$BJ204:$BT204,,T204+1)*R204-ERP_i)*Q204*Ramure*Pc/MaxiM</f>
        <v>1.9047426725438346E-20</v>
      </c>
      <c r="Q204" s="304">
        <f t="shared" si="56"/>
        <v>0.6</v>
      </c>
      <c r="R204" s="177">
        <f t="shared" si="57"/>
        <v>0.88260709746947819</v>
      </c>
      <c r="S204" s="799">
        <f t="shared" si="79"/>
        <v>-2</v>
      </c>
      <c r="T204" s="176">
        <f t="shared" si="58"/>
        <v>4</v>
      </c>
      <c r="U204" s="250">
        <f t="shared" si="59"/>
        <v>-1.1173929025305218</v>
      </c>
      <c r="V204" s="382">
        <f t="shared" si="60"/>
        <v>59.558892179749009</v>
      </c>
      <c r="W204" s="58"/>
      <c r="X204" s="157">
        <f t="shared" si="61"/>
        <v>43655</v>
      </c>
      <c r="Y204" s="383">
        <f t="shared" si="62"/>
        <v>20.221</v>
      </c>
      <c r="Z204" s="383">
        <f t="shared" si="63"/>
        <v>20.282711973364822</v>
      </c>
      <c r="AA204" s="384">
        <f t="shared" si="64"/>
        <v>20.633714287187431</v>
      </c>
      <c r="AB204" s="197">
        <f t="shared" si="65"/>
        <v>43655</v>
      </c>
      <c r="AC204" s="424">
        <f t="shared" si="66"/>
        <v>1.7011106625653166E-2</v>
      </c>
      <c r="AD204" s="169">
        <f>(INDEX(Models!$BJ204:$BT204,,AH204)*(1-AF204)+INDEX(Models!$BJ204:$BT204,,AH204+1)*AF204-ERP_i)*AE204*Ramure*Pc/MaxiM</f>
        <v>1.9047426725438346E-20</v>
      </c>
      <c r="AE204" s="304">
        <f t="shared" si="67"/>
        <v>0.6</v>
      </c>
      <c r="AF204" s="177">
        <f t="shared" si="68"/>
        <v>0.88260709746947819</v>
      </c>
      <c r="AG204" s="799">
        <f t="shared" si="69"/>
        <v>-2</v>
      </c>
      <c r="AH204" s="176">
        <f t="shared" si="70"/>
        <v>4</v>
      </c>
      <c r="AI204" s="224">
        <f t="shared" si="71"/>
        <v>-1.1173929025305218</v>
      </c>
      <c r="AJ204" s="264" t="b">
        <f t="shared" si="72"/>
        <v>0</v>
      </c>
      <c r="AK204" s="264" t="b">
        <f t="shared" si="73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80"/>
        <v>43656</v>
      </c>
      <c r="B205" s="607">
        <v>55.942999999999998</v>
      </c>
      <c r="C205" s="388"/>
      <c r="D205" s="391">
        <f t="shared" si="81"/>
        <v>56.114806495460691</v>
      </c>
      <c r="E205" s="383">
        <f t="shared" si="82"/>
        <v>57.09180423598459</v>
      </c>
      <c r="F205" s="383">
        <f t="shared" si="83"/>
        <v>57.09180423598459</v>
      </c>
      <c r="G205" s="110">
        <f t="shared" si="84"/>
        <v>0.94082763622316989</v>
      </c>
      <c r="I205" s="379">
        <f t="shared" si="52"/>
        <v>57.09180423598459</v>
      </c>
      <c r="J205" s="85">
        <v>2018</v>
      </c>
      <c r="K205" s="197">
        <f t="shared" si="53"/>
        <v>43656</v>
      </c>
      <c r="L205" s="435">
        <f t="shared" si="54"/>
        <v>3.0616963006829812E-3</v>
      </c>
      <c r="M205" s="842"/>
      <c r="N205" s="842"/>
      <c r="O205" s="323">
        <f t="shared" si="55"/>
        <v>1.7112749432222386E-2</v>
      </c>
      <c r="P205" s="169">
        <f>(INDEX(Models!$BJ205:$BT205,,T205)*(1-R205)+INDEX(Models!$BJ205:$BT205,,T205+1)*R205-ERP_i)*Q205*Ramure*Pc/MaxiM</f>
        <v>0</v>
      </c>
      <c r="Q205" s="304">
        <f t="shared" si="56"/>
        <v>0.6</v>
      </c>
      <c r="R205" s="177">
        <f t="shared" si="57"/>
        <v>0.8862444851173068</v>
      </c>
      <c r="S205" s="799">
        <f t="shared" si="79"/>
        <v>-2</v>
      </c>
      <c r="T205" s="176">
        <f t="shared" si="58"/>
        <v>4</v>
      </c>
      <c r="U205" s="250">
        <f t="shared" si="59"/>
        <v>-1.1137555148826932</v>
      </c>
      <c r="V205" s="382">
        <f t="shared" si="60"/>
        <v>59.461476094150349</v>
      </c>
      <c r="W205" s="58"/>
      <c r="X205" s="157">
        <f t="shared" si="61"/>
        <v>43656</v>
      </c>
      <c r="Y205" s="383">
        <f t="shared" si="62"/>
        <v>55.942999999999998</v>
      </c>
      <c r="Z205" s="383">
        <f t="shared" si="63"/>
        <v>56.114806495460691</v>
      </c>
      <c r="AA205" s="384">
        <f t="shared" si="64"/>
        <v>57.09180423598459</v>
      </c>
      <c r="AB205" s="197">
        <f t="shared" si="65"/>
        <v>43656</v>
      </c>
      <c r="AC205" s="424">
        <f t="shared" si="66"/>
        <v>1.7112749432222386E-2</v>
      </c>
      <c r="AD205" s="169">
        <f>(INDEX(Models!$BJ205:$BT205,,AH205)*(1-AF205)+INDEX(Models!$BJ205:$BT205,,AH205+1)*AF205-ERP_i)*AE205*Ramure*Pc/MaxiM</f>
        <v>0</v>
      </c>
      <c r="AE205" s="304">
        <f t="shared" si="67"/>
        <v>0.6</v>
      </c>
      <c r="AF205" s="177">
        <f t="shared" si="68"/>
        <v>0.8862444851173068</v>
      </c>
      <c r="AG205" s="799">
        <f t="shared" si="69"/>
        <v>-2</v>
      </c>
      <c r="AH205" s="176">
        <f t="shared" si="70"/>
        <v>4</v>
      </c>
      <c r="AI205" s="224">
        <f t="shared" si="71"/>
        <v>-1.1137555148826932</v>
      </c>
      <c r="AJ205" s="264" t="b">
        <f t="shared" si="72"/>
        <v>0</v>
      </c>
      <c r="AK205" s="264" t="b">
        <f t="shared" si="73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80"/>
        <v>43657</v>
      </c>
      <c r="B206" s="607">
        <v>58.843000000000004</v>
      </c>
      <c r="C206" s="388"/>
      <c r="D206" s="391">
        <f t="shared" si="81"/>
        <v>59.024843880440663</v>
      </c>
      <c r="E206" s="383">
        <f t="shared" si="82"/>
        <v>60.058702365360794</v>
      </c>
      <c r="F206" s="383">
        <f t="shared" si="83"/>
        <v>60.058702365360794</v>
      </c>
      <c r="G206" s="110">
        <f t="shared" si="84"/>
        <v>0.99123844357917656</v>
      </c>
      <c r="I206" s="379">
        <f t="shared" si="52"/>
        <v>60.058702365360794</v>
      </c>
      <c r="J206" s="85">
        <v>2018</v>
      </c>
      <c r="K206" s="197">
        <f t="shared" si="53"/>
        <v>43657</v>
      </c>
      <c r="L206" s="435">
        <f t="shared" si="54"/>
        <v>3.0808023958351916E-3</v>
      </c>
      <c r="M206" s="842"/>
      <c r="N206" s="842"/>
      <c r="O206" s="323">
        <f t="shared" si="55"/>
        <v>1.7214132910011306E-2</v>
      </c>
      <c r="P206" s="169">
        <f>(INDEX(Models!$BJ206:$BT206,,T206)*(1-R206)+INDEX(Models!$BJ206:$BT206,,T206+1)*R206-ERP_i)*Q206*Ramure*Pc/MaxiM</f>
        <v>0</v>
      </c>
      <c r="Q206" s="304">
        <f t="shared" si="56"/>
        <v>0.6</v>
      </c>
      <c r="R206" s="177">
        <f t="shared" si="57"/>
        <v>0.88980078617567115</v>
      </c>
      <c r="S206" s="799">
        <f t="shared" si="79"/>
        <v>-2</v>
      </c>
      <c r="T206" s="176">
        <f t="shared" si="58"/>
        <v>4</v>
      </c>
      <c r="U206" s="250">
        <f t="shared" si="59"/>
        <v>-1.1101992138243288</v>
      </c>
      <c r="V206" s="382">
        <f t="shared" si="60"/>
        <v>59.363113266197523</v>
      </c>
      <c r="W206" s="58"/>
      <c r="X206" s="157">
        <f t="shared" si="61"/>
        <v>43657</v>
      </c>
      <c r="Y206" s="383">
        <f t="shared" si="62"/>
        <v>58.843000000000004</v>
      </c>
      <c r="Z206" s="383">
        <f t="shared" si="63"/>
        <v>59.024843880440663</v>
      </c>
      <c r="AA206" s="384">
        <f t="shared" si="64"/>
        <v>60.058702365360794</v>
      </c>
      <c r="AB206" s="197">
        <f t="shared" si="65"/>
        <v>43657</v>
      </c>
      <c r="AC206" s="424">
        <f t="shared" si="66"/>
        <v>1.7214132910011306E-2</v>
      </c>
      <c r="AD206" s="169">
        <f>(INDEX(Models!$BJ206:$BT206,,AH206)*(1-AF206)+INDEX(Models!$BJ206:$BT206,,AH206+1)*AF206-ERP_i)*AE206*Ramure*Pc/MaxiM</f>
        <v>0</v>
      </c>
      <c r="AE206" s="304">
        <f t="shared" si="67"/>
        <v>0.6</v>
      </c>
      <c r="AF206" s="177">
        <f t="shared" si="68"/>
        <v>0.88980078617567115</v>
      </c>
      <c r="AG206" s="799">
        <f t="shared" si="69"/>
        <v>-2</v>
      </c>
      <c r="AH206" s="176">
        <f t="shared" si="70"/>
        <v>4</v>
      </c>
      <c r="AI206" s="224">
        <f t="shared" si="71"/>
        <v>-1.1101992138243288</v>
      </c>
      <c r="AJ206" s="264" t="b">
        <f t="shared" si="72"/>
        <v>0</v>
      </c>
      <c r="AK206" s="264" t="b">
        <f t="shared" si="73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80"/>
        <v>43658</v>
      </c>
      <c r="B207" s="607">
        <v>58.817999999999998</v>
      </c>
      <c r="C207" s="388"/>
      <c r="D207" s="391">
        <f t="shared" ref="D207:D270" si="85">Wh/(1-Ppv)</f>
        <v>59.000897361101558</v>
      </c>
      <c r="E207" s="383">
        <f t="shared" si="82"/>
        <v>60.040514635762435</v>
      </c>
      <c r="F207" s="383">
        <f t="shared" si="83"/>
        <v>60.040514635762435</v>
      </c>
      <c r="G207" s="110">
        <f t="shared" si="84"/>
        <v>0.99247764024295004</v>
      </c>
      <c r="I207" s="379">
        <f t="shared" ref="I207:I270" si="86">Wh_hp</f>
        <v>60.040514635762435</v>
      </c>
      <c r="J207" s="85">
        <v>2018</v>
      </c>
      <c r="K207" s="197">
        <f t="shared" ref="K207:K270" si="87">t</f>
        <v>43658</v>
      </c>
      <c r="L207" s="435">
        <f t="shared" ref="L207:L270" si="88">IF(t&lt;T0,0,IF(t&lt;Tvie,1-EXP((T0-t)*PertePVj),1-EXP((T0-t)*PertePVj)+Pspv))</f>
        <v>3.099908124823525E-3</v>
      </c>
      <c r="M207" s="842"/>
      <c r="N207" s="842"/>
      <c r="O207" s="323">
        <f t="shared" ref="O207:O270" si="89">IF(t&lt;T0,0,IF(t&lt;Tnet,Salim_i*(1-EXP((T0-t)/Tau_ij)),Resal+(Salim-Resal)*(1-EXP((Tnet-t)/(Tau_j)))))*Salcycl</f>
        <v>1.7315262551757707E-2</v>
      </c>
      <c r="P207" s="169">
        <f>(INDEX(Models!$BJ207:$BT207,,T207)*(1-R207)+INDEX(Models!$BJ207:$BT207,,T207+1)*R207-ERP_i)*Q207*Ramure*Pc/MaxiM</f>
        <v>0</v>
      </c>
      <c r="Q207" s="304">
        <f t="shared" ref="Q207:Q270" si="90">IF(OR(t&lt;Ttai,Notai),Dd+PousD*Croivg,Dens+PousD*(Croivg-Croi_tai))</f>
        <v>0.6</v>
      </c>
      <c r="R207" s="177">
        <f t="shared" ref="R207:R270" si="91">(Hp_vg-S207)/(INDEX(Echel_vg,T207+1)-S207)</f>
        <v>0.89327577972238936</v>
      </c>
      <c r="S207" s="799">
        <f t="shared" si="79"/>
        <v>-2</v>
      </c>
      <c r="T207" s="176">
        <f t="shared" ref="T207:T270" si="92">MIN(MATCH(Hp_vg,Echel_vg),10)</f>
        <v>4</v>
      </c>
      <c r="U207" s="250">
        <f t="shared" ref="U207:U270" si="93">IF(OR(t&lt;Ttai,Notai),Hdd+PousH*Croivg,Hdtf+PousH*(Croivg-Croi_tai))</f>
        <v>-1.1067242202776106</v>
      </c>
      <c r="V207" s="382">
        <f t="shared" ref="V207:V270" si="94">MaxiM*(1-Ppv)*(1-Pvg)*(1-Psa)</f>
        <v>59.263803651638803</v>
      </c>
      <c r="W207" s="58"/>
      <c r="X207" s="157">
        <f t="shared" ref="X207:X270" si="95">t</f>
        <v>43658</v>
      </c>
      <c r="Y207" s="383">
        <f t="shared" ref="Y207:Y270" si="96">Wh_pvt_s*(1-Ppv)</f>
        <v>58.817999999999998</v>
      </c>
      <c r="Z207" s="383">
        <f t="shared" ref="Z207:Z270" si="97">Wh_sa_s*(1-Psa_s)</f>
        <v>59.000897361101558</v>
      </c>
      <c r="AA207" s="384">
        <f t="shared" ref="AA207:AA270" si="98">Wh_hp*(1-Pvg_s*MEDIAN((-Sdif+Wh/Env_an)/Csdif,0,1))</f>
        <v>60.040514635762435</v>
      </c>
      <c r="AB207" s="197">
        <f t="shared" ref="AB207:AB270" si="99">t</f>
        <v>43658</v>
      </c>
      <c r="AC207" s="424">
        <f t="shared" ref="AC207:AC270" si="100">IF(t&lt;T0,0,IF(OR(t&lt;Tnet,NoTnet),Salim_i*(1-EXP((T0-t)/Tau_ij)),Resal_s+(Salim-Resal_s)*(1-EXP((Tnet_s-t)/Tau_j))))*Salcycl</f>
        <v>1.7315262551757707E-2</v>
      </c>
      <c r="AD207" s="169">
        <f>(INDEX(Models!$BJ207:$BT207,,AH207)*(1-AF207)+INDEX(Models!$BJ207:$BT207,,AH207+1)*AF207-ERP_i)*AE207*Ramure*Pc/MaxiM</f>
        <v>0</v>
      </c>
      <c r="AE207" s="304">
        <f t="shared" ref="AE207:AE270" si="101">Dd+PousD*Croivg</f>
        <v>0.6</v>
      </c>
      <c r="AF207" s="177">
        <f t="shared" ref="AF207:AF270" si="102">(Hp_vg_s-AG207)/(INDEX(Echel_vg,AH207+1)-AG207)</f>
        <v>0.89327577972238936</v>
      </c>
      <c r="AG207" s="799">
        <f t="shared" ref="AG207:AG270" si="103">INDEX(Echel_vg,AH207)</f>
        <v>-2</v>
      </c>
      <c r="AH207" s="176">
        <f t="shared" ref="AH207:AH270" si="104">MIN(MATCH(Hp_vg_s,Echel_vg),10)</f>
        <v>4</v>
      </c>
      <c r="AI207" s="224">
        <f t="shared" ref="AI207:AI270" si="105">Hdd+PousH*Croivg</f>
        <v>-1.1067242202776106</v>
      </c>
      <c r="AJ207" s="264" t="b">
        <f t="shared" ref="AJ207:AJ270" si="106">t&lt;Tnet</f>
        <v>0</v>
      </c>
      <c r="AK207" s="264" t="b">
        <f t="shared" ref="AK207:AK270" si="107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108">A207+1</f>
        <v>43659</v>
      </c>
      <c r="B208" s="607">
        <v>52.302999999999997</v>
      </c>
      <c r="C208" s="388"/>
      <c r="D208" s="391">
        <f t="shared" si="85"/>
        <v>52.466644170820778</v>
      </c>
      <c r="E208" s="383">
        <f t="shared" si="82"/>
        <v>53.39660717667973</v>
      </c>
      <c r="F208" s="383">
        <f t="shared" si="83"/>
        <v>53.39660717667973</v>
      </c>
      <c r="G208" s="110">
        <f t="shared" si="84"/>
        <v>0.88404097595797715</v>
      </c>
      <c r="I208" s="379">
        <f t="shared" si="86"/>
        <v>53.39660717667973</v>
      </c>
      <c r="J208" s="85">
        <v>2018</v>
      </c>
      <c r="K208" s="197">
        <f t="shared" si="87"/>
        <v>43659</v>
      </c>
      <c r="L208" s="435">
        <f t="shared" si="88"/>
        <v>3.1190134876548647E-3</v>
      </c>
      <c r="M208" s="842"/>
      <c r="N208" s="842"/>
      <c r="O208" s="323">
        <f t="shared" si="89"/>
        <v>1.7416144115334275E-2</v>
      </c>
      <c r="P208" s="169">
        <f>(INDEX(Models!$BJ208:$BT208,,T208)*(1-R208)+INDEX(Models!$BJ208:$BT208,,T208+1)*R208-ERP_i)*Q208*Ramure*Pc/MaxiM</f>
        <v>1.9260290932651752E-20</v>
      </c>
      <c r="Q208" s="304">
        <f t="shared" si="90"/>
        <v>0.6</v>
      </c>
      <c r="R208" s="177">
        <f t="shared" si="91"/>
        <v>0.8966693889397348</v>
      </c>
      <c r="S208" s="799">
        <f t="shared" ref="S208:S271" si="109">INDEX(Echel_vg,T208)</f>
        <v>-2</v>
      </c>
      <c r="T208" s="176">
        <f t="shared" si="92"/>
        <v>4</v>
      </c>
      <c r="U208" s="250">
        <f t="shared" si="93"/>
        <v>-1.1033306110602652</v>
      </c>
      <c r="V208" s="382">
        <f t="shared" si="94"/>
        <v>59.16354719114991</v>
      </c>
      <c r="W208" s="58"/>
      <c r="X208" s="157">
        <f t="shared" si="95"/>
        <v>43659</v>
      </c>
      <c r="Y208" s="383">
        <f t="shared" si="96"/>
        <v>52.302999999999997</v>
      </c>
      <c r="Z208" s="383">
        <f t="shared" si="97"/>
        <v>52.466644170820778</v>
      </c>
      <c r="AA208" s="384">
        <f t="shared" si="98"/>
        <v>53.39660717667973</v>
      </c>
      <c r="AB208" s="197">
        <f t="shared" si="99"/>
        <v>43659</v>
      </c>
      <c r="AC208" s="424">
        <f t="shared" si="100"/>
        <v>1.7416144115334275E-2</v>
      </c>
      <c r="AD208" s="169">
        <f>(INDEX(Models!$BJ208:$BT208,,AH208)*(1-AF208)+INDEX(Models!$BJ208:$BT208,,AH208+1)*AF208-ERP_i)*AE208*Ramure*Pc/MaxiM</f>
        <v>1.9260290932651752E-20</v>
      </c>
      <c r="AE208" s="304">
        <f t="shared" si="101"/>
        <v>0.6</v>
      </c>
      <c r="AF208" s="177">
        <f t="shared" si="102"/>
        <v>0.8966693889397348</v>
      </c>
      <c r="AG208" s="799">
        <f t="shared" si="103"/>
        <v>-2</v>
      </c>
      <c r="AH208" s="176">
        <f t="shared" si="104"/>
        <v>4</v>
      </c>
      <c r="AI208" s="224">
        <f t="shared" si="105"/>
        <v>-1.1033306110602652</v>
      </c>
      <c r="AJ208" s="264" t="b">
        <f t="shared" si="106"/>
        <v>0</v>
      </c>
      <c r="AK208" s="264" t="b">
        <f t="shared" si="107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108"/>
        <v>43660</v>
      </c>
      <c r="B209" s="607">
        <v>59.167999999999999</v>
      </c>
      <c r="C209" s="388"/>
      <c r="D209" s="391">
        <f t="shared" si="85"/>
        <v>59.354260702635045</v>
      </c>
      <c r="E209" s="383">
        <f t="shared" si="82"/>
        <v>60.412493272450547</v>
      </c>
      <c r="F209" s="383">
        <f t="shared" si="83"/>
        <v>60.412493272450547</v>
      </c>
      <c r="G209" s="110">
        <f t="shared" si="84"/>
        <v>1.0017888925554306</v>
      </c>
      <c r="I209" s="379">
        <f t="shared" si="86"/>
        <v>60.412493272450547</v>
      </c>
      <c r="J209" s="85">
        <v>2018</v>
      </c>
      <c r="K209" s="197">
        <f t="shared" si="87"/>
        <v>43660</v>
      </c>
      <c r="L209" s="435">
        <f t="shared" si="88"/>
        <v>3.1381184843362053E-3</v>
      </c>
      <c r="M209" s="842"/>
      <c r="N209" s="842"/>
      <c r="O209" s="323">
        <f t="shared" si="89"/>
        <v>1.7516783573938027E-2</v>
      </c>
      <c r="P209" s="169">
        <f>(INDEX(Models!$BJ209:$BT209,,T209)*(1-R209)+INDEX(Models!$BJ209:$BT209,,T209+1)*R209-ERP_i)*Q209*Ramure*Pc/MaxiM</f>
        <v>0</v>
      </c>
      <c r="Q209" s="304">
        <f t="shared" si="90"/>
        <v>0.6</v>
      </c>
      <c r="R209" s="177">
        <f t="shared" si="91"/>
        <v>0.89998167473786772</v>
      </c>
      <c r="S209" s="799">
        <f t="shared" si="109"/>
        <v>-2</v>
      </c>
      <c r="T209" s="176">
        <f t="shared" si="92"/>
        <v>4</v>
      </c>
      <c r="U209" s="250">
        <f t="shared" si="93"/>
        <v>-1.1000183252621323</v>
      </c>
      <c r="V209" s="382">
        <f t="shared" si="94"/>
        <v>59.062343812846912</v>
      </c>
      <c r="W209" s="58"/>
      <c r="X209" s="157">
        <f t="shared" si="95"/>
        <v>43660</v>
      </c>
      <c r="Y209" s="383">
        <f t="shared" si="96"/>
        <v>59.167999999999999</v>
      </c>
      <c r="Z209" s="383">
        <f t="shared" si="97"/>
        <v>59.354260702635045</v>
      </c>
      <c r="AA209" s="384">
        <f t="shared" si="98"/>
        <v>60.412493272450547</v>
      </c>
      <c r="AB209" s="197">
        <f t="shared" si="99"/>
        <v>43660</v>
      </c>
      <c r="AC209" s="424">
        <f t="shared" si="100"/>
        <v>1.7516783573938027E-2</v>
      </c>
      <c r="AD209" s="169">
        <f>(INDEX(Models!$BJ209:$BT209,,AH209)*(1-AF209)+INDEX(Models!$BJ209:$BT209,,AH209+1)*AF209-ERP_i)*AE209*Ramure*Pc/MaxiM</f>
        <v>0</v>
      </c>
      <c r="AE209" s="304">
        <f t="shared" si="101"/>
        <v>0.6</v>
      </c>
      <c r="AF209" s="177">
        <f t="shared" si="102"/>
        <v>0.89998167473786772</v>
      </c>
      <c r="AG209" s="799">
        <f t="shared" si="103"/>
        <v>-2</v>
      </c>
      <c r="AH209" s="176">
        <f t="shared" si="104"/>
        <v>4</v>
      </c>
      <c r="AI209" s="224">
        <f t="shared" si="105"/>
        <v>-1.1000183252621323</v>
      </c>
      <c r="AJ209" s="264" t="b">
        <f t="shared" si="106"/>
        <v>0</v>
      </c>
      <c r="AK209" s="264" t="b">
        <f t="shared" si="107"/>
        <v>0</v>
      </c>
      <c r="AL209" s="264"/>
      <c r="AM209" s="264"/>
      <c r="AN209" s="75"/>
    </row>
    <row r="210" spans="1:40" s="6" customFormat="1" ht="11.25" x14ac:dyDescent="0.2">
      <c r="A210" s="56">
        <f t="shared" si="108"/>
        <v>43661</v>
      </c>
      <c r="B210" s="607">
        <v>60.744</v>
      </c>
      <c r="C210" s="388"/>
      <c r="D210" s="391">
        <f t="shared" si="85"/>
        <v>60.936389778345209</v>
      </c>
      <c r="E210" s="383">
        <f t="shared" si="82"/>
        <v>62.029169256698459</v>
      </c>
      <c r="F210" s="383">
        <f t="shared" si="83"/>
        <v>62.029169256698459</v>
      </c>
      <c r="G210" s="110">
        <f t="shared" si="84"/>
        <v>1.0302544218456717</v>
      </c>
      <c r="I210" s="379">
        <f t="shared" si="86"/>
        <v>62.029169256698459</v>
      </c>
      <c r="J210" s="85">
        <v>2018</v>
      </c>
      <c r="K210" s="197">
        <f t="shared" si="87"/>
        <v>43661</v>
      </c>
      <c r="L210" s="435">
        <f t="shared" si="88"/>
        <v>3.1572231148747631E-3</v>
      </c>
      <c r="M210" s="842"/>
      <c r="N210" s="842"/>
      <c r="O210" s="323">
        <f t="shared" si="89"/>
        <v>1.7617187066151788E-2</v>
      </c>
      <c r="P210" s="169">
        <f>(INDEX(Models!$BJ210:$BT210,,T210)*(1-R210)+INDEX(Models!$BJ210:$BT210,,T210+1)*R210-ERP_i)*Q210*Ramure*Pc/MaxiM</f>
        <v>-1.9357241086780245E-20</v>
      </c>
      <c r="Q210" s="304">
        <f t="shared" si="90"/>
        <v>0.6</v>
      </c>
      <c r="R210" s="177">
        <f t="shared" si="91"/>
        <v>0.90321282914302015</v>
      </c>
      <c r="S210" s="799">
        <f t="shared" si="109"/>
        <v>-2</v>
      </c>
      <c r="T210" s="176">
        <f t="shared" si="92"/>
        <v>4</v>
      </c>
      <c r="U210" s="250">
        <f t="shared" si="93"/>
        <v>-1.0967871708569799</v>
      </c>
      <c r="V210" s="382">
        <f t="shared" si="94"/>
        <v>58.960193435694109</v>
      </c>
      <c r="W210" s="58"/>
      <c r="X210" s="157">
        <f t="shared" si="95"/>
        <v>43661</v>
      </c>
      <c r="Y210" s="383">
        <f t="shared" si="96"/>
        <v>60.744</v>
      </c>
      <c r="Z210" s="383">
        <f t="shared" si="97"/>
        <v>60.936389778345209</v>
      </c>
      <c r="AA210" s="384">
        <f t="shared" si="98"/>
        <v>62.029169256698459</v>
      </c>
      <c r="AB210" s="197">
        <f t="shared" si="99"/>
        <v>43661</v>
      </c>
      <c r="AC210" s="424">
        <f t="shared" si="100"/>
        <v>1.7617187066151788E-2</v>
      </c>
      <c r="AD210" s="169">
        <f>(INDEX(Models!$BJ210:$BT210,,AH210)*(1-AF210)+INDEX(Models!$BJ210:$BT210,,AH210+1)*AF210-ERP_i)*AE210*Ramure*Pc/MaxiM</f>
        <v>-1.9357241086780245E-20</v>
      </c>
      <c r="AE210" s="304">
        <f t="shared" si="101"/>
        <v>0.6</v>
      </c>
      <c r="AF210" s="177">
        <f t="shared" si="102"/>
        <v>0.90321282914302015</v>
      </c>
      <c r="AG210" s="799">
        <f t="shared" si="103"/>
        <v>-2</v>
      </c>
      <c r="AH210" s="176">
        <f t="shared" si="104"/>
        <v>4</v>
      </c>
      <c r="AI210" s="224">
        <f t="shared" si="105"/>
        <v>-1.0967871708569799</v>
      </c>
      <c r="AJ210" s="264" t="b">
        <f t="shared" si="106"/>
        <v>0</v>
      </c>
      <c r="AK210" s="264" t="b">
        <f t="shared" si="107"/>
        <v>0</v>
      </c>
      <c r="AL210" s="264"/>
      <c r="AM210" s="264"/>
      <c r="AN210" s="75"/>
    </row>
    <row r="211" spans="1:40" s="6" customFormat="1" ht="11.25" x14ac:dyDescent="0.2">
      <c r="A211" s="56">
        <f t="shared" si="108"/>
        <v>43662</v>
      </c>
      <c r="B211" s="607">
        <v>59.186999999999998</v>
      </c>
      <c r="C211" s="388"/>
      <c r="D211" s="391">
        <f t="shared" si="85"/>
        <v>59.375596332291181</v>
      </c>
      <c r="E211" s="383">
        <f t="shared" si="82"/>
        <v>60.446549664611396</v>
      </c>
      <c r="F211" s="383">
        <f t="shared" si="83"/>
        <v>60.446549664611396</v>
      </c>
      <c r="G211" s="110">
        <f t="shared" si="84"/>
        <v>1.005605169965107</v>
      </c>
      <c r="I211" s="379">
        <f t="shared" si="86"/>
        <v>60.446549664611396</v>
      </c>
      <c r="J211" s="85">
        <v>2018</v>
      </c>
      <c r="K211" s="197">
        <f t="shared" si="87"/>
        <v>43662</v>
      </c>
      <c r="L211" s="435">
        <f t="shared" si="88"/>
        <v>3.1763273792774216E-3</v>
      </c>
      <c r="M211" s="842"/>
      <c r="N211" s="842"/>
      <c r="O211" s="323">
        <f t="shared" si="89"/>
        <v>1.7717360846275156E-2</v>
      </c>
      <c r="P211" s="169">
        <f>(INDEX(Models!$BJ211:$BT211,,T211)*(1-R211)+INDEX(Models!$BJ211:$BT211,,T211+1)*R211-ERP_i)*Q211*Ramure*Pc/MaxiM</f>
        <v>0</v>
      </c>
      <c r="Q211" s="304">
        <f t="shared" si="90"/>
        <v>0.6</v>
      </c>
      <c r="R211" s="177">
        <f t="shared" si="91"/>
        <v>0.9063631685043616</v>
      </c>
      <c r="S211" s="799">
        <f t="shared" si="109"/>
        <v>-2</v>
      </c>
      <c r="T211" s="176">
        <f t="shared" si="92"/>
        <v>4</v>
      </c>
      <c r="U211" s="250">
        <f t="shared" si="93"/>
        <v>-1.0936368314956384</v>
      </c>
      <c r="V211" s="382">
        <f t="shared" si="94"/>
        <v>58.857095973416392</v>
      </c>
      <c r="W211" s="58"/>
      <c r="X211" s="157">
        <f t="shared" si="95"/>
        <v>43662</v>
      </c>
      <c r="Y211" s="383">
        <f t="shared" si="96"/>
        <v>59.186999999999998</v>
      </c>
      <c r="Z211" s="383">
        <f t="shared" si="97"/>
        <v>59.375596332291181</v>
      </c>
      <c r="AA211" s="384">
        <f t="shared" si="98"/>
        <v>60.446549664611396</v>
      </c>
      <c r="AB211" s="197">
        <f t="shared" si="99"/>
        <v>43662</v>
      </c>
      <c r="AC211" s="424">
        <f t="shared" si="100"/>
        <v>1.7717360846275156E-2</v>
      </c>
      <c r="AD211" s="169">
        <f>(INDEX(Models!$BJ211:$BT211,,AH211)*(1-AF211)+INDEX(Models!$BJ211:$BT211,,AH211+1)*AF211-ERP_i)*AE211*Ramure*Pc/MaxiM</f>
        <v>0</v>
      </c>
      <c r="AE211" s="304">
        <f t="shared" si="101"/>
        <v>0.6</v>
      </c>
      <c r="AF211" s="177">
        <f t="shared" si="102"/>
        <v>0.9063631685043616</v>
      </c>
      <c r="AG211" s="799">
        <f t="shared" si="103"/>
        <v>-2</v>
      </c>
      <c r="AH211" s="176">
        <f t="shared" si="104"/>
        <v>4</v>
      </c>
      <c r="AI211" s="224">
        <f t="shared" si="105"/>
        <v>-1.0936368314956384</v>
      </c>
      <c r="AJ211" s="264" t="b">
        <f t="shared" si="106"/>
        <v>0</v>
      </c>
      <c r="AK211" s="264" t="b">
        <f t="shared" si="107"/>
        <v>0</v>
      </c>
      <c r="AL211" s="264"/>
      <c r="AM211" s="264"/>
      <c r="AN211" s="75"/>
    </row>
    <row r="212" spans="1:40" s="6" customFormat="1" ht="11.25" x14ac:dyDescent="0.2">
      <c r="A212" s="56">
        <f t="shared" si="108"/>
        <v>43663</v>
      </c>
      <c r="B212" s="607">
        <v>52.719000000000001</v>
      </c>
      <c r="C212" s="388"/>
      <c r="D212" s="391">
        <f t="shared" si="85"/>
        <v>52.88799996930905</v>
      </c>
      <c r="E212" s="383">
        <f t="shared" si="82"/>
        <v>53.847416141927276</v>
      </c>
      <c r="F212" s="383">
        <f t="shared" si="83"/>
        <v>53.847416141927276</v>
      </c>
      <c r="G212" s="110">
        <f t="shared" si="84"/>
        <v>0.89729807731508759</v>
      </c>
      <c r="I212" s="379">
        <f t="shared" si="86"/>
        <v>53.847416141927276</v>
      </c>
      <c r="J212" s="85">
        <v>2018</v>
      </c>
      <c r="K212" s="197">
        <f t="shared" si="87"/>
        <v>43663</v>
      </c>
      <c r="L212" s="435">
        <f t="shared" si="88"/>
        <v>3.195431277551064E-3</v>
      </c>
      <c r="M212" s="842"/>
      <c r="N212" s="842"/>
      <c r="O212" s="323">
        <f t="shared" si="89"/>
        <v>1.7817311235314735E-2</v>
      </c>
      <c r="P212" s="169">
        <f>(INDEX(Models!$BJ212:$BT212,,T212)*(1-R212)+INDEX(Models!$BJ212:$BT212,,T212+1)*R212-ERP_i)*Q212*Ramure*Pc/MaxiM</f>
        <v>0</v>
      </c>
      <c r="Q212" s="304">
        <f t="shared" si="90"/>
        <v>0.6</v>
      </c>
      <c r="R212" s="177">
        <f t="shared" si="91"/>
        <v>0.90943312657093789</v>
      </c>
      <c r="S212" s="799">
        <f t="shared" si="109"/>
        <v>-2</v>
      </c>
      <c r="T212" s="176">
        <f t="shared" si="92"/>
        <v>4</v>
      </c>
      <c r="U212" s="250">
        <f t="shared" si="93"/>
        <v>-1.0905668734290621</v>
      </c>
      <c r="V212" s="382">
        <f t="shared" si="94"/>
        <v>58.753051335791106</v>
      </c>
      <c r="W212" s="58"/>
      <c r="X212" s="157">
        <f t="shared" si="95"/>
        <v>43663</v>
      </c>
      <c r="Y212" s="383">
        <f t="shared" si="96"/>
        <v>52.719000000000001</v>
      </c>
      <c r="Z212" s="383">
        <f t="shared" si="97"/>
        <v>52.88799996930905</v>
      </c>
      <c r="AA212" s="384">
        <f t="shared" si="98"/>
        <v>53.847416141927276</v>
      </c>
      <c r="AB212" s="197">
        <f t="shared" si="99"/>
        <v>43663</v>
      </c>
      <c r="AC212" s="424">
        <f t="shared" si="100"/>
        <v>1.7817311235314735E-2</v>
      </c>
      <c r="AD212" s="169">
        <f>(INDEX(Models!$BJ212:$BT212,,AH212)*(1-AF212)+INDEX(Models!$BJ212:$BT212,,AH212+1)*AF212-ERP_i)*AE212*Ramure*Pc/MaxiM</f>
        <v>0</v>
      </c>
      <c r="AE212" s="304">
        <f t="shared" si="101"/>
        <v>0.6</v>
      </c>
      <c r="AF212" s="177">
        <f t="shared" si="102"/>
        <v>0.90943312657093789</v>
      </c>
      <c r="AG212" s="799">
        <f t="shared" si="103"/>
        <v>-2</v>
      </c>
      <c r="AH212" s="176">
        <f t="shared" si="104"/>
        <v>4</v>
      </c>
      <c r="AI212" s="224">
        <f t="shared" si="105"/>
        <v>-1.0905668734290621</v>
      </c>
      <c r="AJ212" s="264" t="b">
        <f t="shared" si="106"/>
        <v>0</v>
      </c>
      <c r="AK212" s="264" t="b">
        <f t="shared" si="107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108"/>
        <v>43664</v>
      </c>
      <c r="B213" s="607">
        <v>35.462000000000003</v>
      </c>
      <c r="C213" s="388"/>
      <c r="D213" s="391">
        <f t="shared" si="85"/>
        <v>35.576361452290968</v>
      </c>
      <c r="E213" s="383">
        <f t="shared" si="82"/>
        <v>36.225413806131193</v>
      </c>
      <c r="F213" s="383">
        <f t="shared" si="83"/>
        <v>36.225413806131193</v>
      </c>
      <c r="G213" s="110">
        <f t="shared" si="84"/>
        <v>0.60465768761498673</v>
      </c>
      <c r="I213" s="379">
        <f t="shared" si="86"/>
        <v>36.225413806131193</v>
      </c>
      <c r="J213" s="85">
        <v>2018</v>
      </c>
      <c r="K213" s="197">
        <f t="shared" si="87"/>
        <v>43664</v>
      </c>
      <c r="L213" s="435">
        <f t="shared" si="88"/>
        <v>3.214534809703018E-3</v>
      </c>
      <c r="M213" s="842"/>
      <c r="N213" s="842"/>
      <c r="O213" s="323">
        <f t="shared" si="89"/>
        <v>1.7917044573011142E-2</v>
      </c>
      <c r="P213" s="169">
        <f>(INDEX(Models!$BJ213:$BT213,,T213)*(1-R213)+INDEX(Models!$BJ213:$BT213,,T213+1)*R213-ERP_i)*Q213*Ramure*Pc/MaxiM</f>
        <v>0</v>
      </c>
      <c r="Q213" s="304">
        <f t="shared" si="90"/>
        <v>0.6</v>
      </c>
      <c r="R213" s="177">
        <f t="shared" si="91"/>
        <v>0.91242324748722825</v>
      </c>
      <c r="S213" s="799">
        <f t="shared" si="109"/>
        <v>-2</v>
      </c>
      <c r="T213" s="176">
        <f t="shared" si="92"/>
        <v>4</v>
      </c>
      <c r="U213" s="250">
        <f t="shared" si="93"/>
        <v>-1.0875767525127717</v>
      </c>
      <c r="V213" s="382">
        <f t="shared" si="94"/>
        <v>58.648059433224773</v>
      </c>
      <c r="W213" s="58"/>
      <c r="X213" s="157">
        <f t="shared" si="95"/>
        <v>43664</v>
      </c>
      <c r="Y213" s="383">
        <f t="shared" si="96"/>
        <v>35.462000000000003</v>
      </c>
      <c r="Z213" s="383">
        <f t="shared" si="97"/>
        <v>35.576361452290968</v>
      </c>
      <c r="AA213" s="384">
        <f t="shared" si="98"/>
        <v>36.225413806131193</v>
      </c>
      <c r="AB213" s="197">
        <f t="shared" si="99"/>
        <v>43664</v>
      </c>
      <c r="AC213" s="424">
        <f t="shared" si="100"/>
        <v>1.7917044573011142E-2</v>
      </c>
      <c r="AD213" s="169">
        <f>(INDEX(Models!$BJ213:$BT213,,AH213)*(1-AF213)+INDEX(Models!$BJ213:$BT213,,AH213+1)*AF213-ERP_i)*AE213*Ramure*Pc/MaxiM</f>
        <v>0</v>
      </c>
      <c r="AE213" s="304">
        <f t="shared" si="101"/>
        <v>0.6</v>
      </c>
      <c r="AF213" s="177">
        <f t="shared" si="102"/>
        <v>0.91242324748722825</v>
      </c>
      <c r="AG213" s="799">
        <f t="shared" si="103"/>
        <v>-2</v>
      </c>
      <c r="AH213" s="176">
        <f t="shared" si="104"/>
        <v>4</v>
      </c>
      <c r="AI213" s="224">
        <f t="shared" si="105"/>
        <v>-1.0875767525127717</v>
      </c>
      <c r="AJ213" s="264" t="b">
        <f t="shared" si="106"/>
        <v>0</v>
      </c>
      <c r="AK213" s="264" t="b">
        <f t="shared" si="107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108"/>
        <v>43665</v>
      </c>
      <c r="B214" s="607">
        <v>57.488</v>
      </c>
      <c r="C214" s="388"/>
      <c r="D214" s="391">
        <f t="shared" si="85"/>
        <v>57.674498448414553</v>
      </c>
      <c r="E214" s="383">
        <f t="shared" si="82"/>
        <v>58.732659350754396</v>
      </c>
      <c r="F214" s="383">
        <f t="shared" si="83"/>
        <v>58.732659350754396</v>
      </c>
      <c r="G214" s="110">
        <f t="shared" si="84"/>
        <v>0.98199381615281234</v>
      </c>
      <c r="I214" s="379">
        <f t="shared" si="86"/>
        <v>58.732659350754396</v>
      </c>
      <c r="J214" s="85">
        <v>2018</v>
      </c>
      <c r="K214" s="197">
        <f t="shared" si="87"/>
        <v>43665</v>
      </c>
      <c r="L214" s="435">
        <f t="shared" si="88"/>
        <v>3.2336379757400557E-3</v>
      </c>
      <c r="M214" s="842"/>
      <c r="N214" s="842"/>
      <c r="O214" s="323">
        <f t="shared" si="89"/>
        <v>1.8016567171264156E-2</v>
      </c>
      <c r="P214" s="169">
        <f>(INDEX(Models!$BJ214:$BT214,,T214)*(1-R214)+INDEX(Models!$BJ214:$BT214,,T214+1)*R214-ERP_i)*Q214*Ramure*Pc/MaxiM</f>
        <v>0</v>
      </c>
      <c r="Q214" s="304">
        <f t="shared" si="90"/>
        <v>0.6</v>
      </c>
      <c r="R214" s="177">
        <f t="shared" si="91"/>
        <v>0.91533417875279199</v>
      </c>
      <c r="S214" s="799">
        <f t="shared" si="109"/>
        <v>-2</v>
      </c>
      <c r="T214" s="176">
        <f t="shared" si="92"/>
        <v>4</v>
      </c>
      <c r="U214" s="250">
        <f t="shared" si="93"/>
        <v>-1.084665821247208</v>
      </c>
      <c r="V214" s="382">
        <f t="shared" si="94"/>
        <v>58.542120178742586</v>
      </c>
      <c r="W214" s="58"/>
      <c r="X214" s="157">
        <f t="shared" si="95"/>
        <v>43665</v>
      </c>
      <c r="Y214" s="383">
        <f t="shared" si="96"/>
        <v>57.488</v>
      </c>
      <c r="Z214" s="383">
        <f t="shared" si="97"/>
        <v>57.674498448414553</v>
      </c>
      <c r="AA214" s="384">
        <f t="shared" si="98"/>
        <v>58.732659350754396</v>
      </c>
      <c r="AB214" s="197">
        <f t="shared" si="99"/>
        <v>43665</v>
      </c>
      <c r="AC214" s="424">
        <f t="shared" si="100"/>
        <v>1.8016567171264156E-2</v>
      </c>
      <c r="AD214" s="169">
        <f>(INDEX(Models!$BJ214:$BT214,,AH214)*(1-AF214)+INDEX(Models!$BJ214:$BT214,,AH214+1)*AF214-ERP_i)*AE214*Ramure*Pc/MaxiM</f>
        <v>0</v>
      </c>
      <c r="AE214" s="304">
        <f t="shared" si="101"/>
        <v>0.6</v>
      </c>
      <c r="AF214" s="177">
        <f t="shared" si="102"/>
        <v>0.91533417875279199</v>
      </c>
      <c r="AG214" s="799">
        <f t="shared" si="103"/>
        <v>-2</v>
      </c>
      <c r="AH214" s="176">
        <f t="shared" si="104"/>
        <v>4</v>
      </c>
      <c r="AI214" s="224">
        <f t="shared" si="105"/>
        <v>-1.084665821247208</v>
      </c>
      <c r="AJ214" s="264" t="b">
        <f t="shared" si="106"/>
        <v>0</v>
      </c>
      <c r="AK214" s="264" t="b">
        <f t="shared" si="107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108"/>
        <v>43666</v>
      </c>
      <c r="B215" s="607">
        <v>27.146999999999998</v>
      </c>
      <c r="C215" s="388"/>
      <c r="D215" s="391">
        <f t="shared" si="85"/>
        <v>27.235590315167567</v>
      </c>
      <c r="E215" s="383">
        <f t="shared" si="82"/>
        <v>27.738090378045666</v>
      </c>
      <c r="F215" s="383">
        <f t="shared" si="83"/>
        <v>27.738090378045666</v>
      </c>
      <c r="G215" s="110">
        <f t="shared" si="84"/>
        <v>0.46456561184344858</v>
      </c>
      <c r="I215" s="379">
        <f t="shared" si="86"/>
        <v>27.738090378045666</v>
      </c>
      <c r="J215" s="85">
        <v>2018</v>
      </c>
      <c r="K215" s="197">
        <f t="shared" si="87"/>
        <v>43666</v>
      </c>
      <c r="L215" s="435">
        <f t="shared" si="88"/>
        <v>3.2527407756692828E-3</v>
      </c>
      <c r="M215" s="842"/>
      <c r="N215" s="842"/>
      <c r="O215" s="323">
        <f t="shared" si="89"/>
        <v>1.8115885269298186E-2</v>
      </c>
      <c r="P215" s="169">
        <f>(INDEX(Models!$BJ215:$BT215,,T215)*(1-R215)+INDEX(Models!$BJ215:$BT215,,T215+1)*R215-ERP_i)*Q215*Ramure*Pc/MaxiM</f>
        <v>0</v>
      </c>
      <c r="Q215" s="304">
        <f t="shared" si="90"/>
        <v>0.6</v>
      </c>
      <c r="R215" s="177">
        <f t="shared" si="91"/>
        <v>0.91816666418822712</v>
      </c>
      <c r="S215" s="799">
        <f t="shared" si="109"/>
        <v>-2</v>
      </c>
      <c r="T215" s="176">
        <f t="shared" si="92"/>
        <v>4</v>
      </c>
      <c r="U215" s="250">
        <f t="shared" si="93"/>
        <v>-1.0818333358117729</v>
      </c>
      <c r="V215" s="382">
        <f t="shared" si="94"/>
        <v>58.43523349108353</v>
      </c>
      <c r="W215" s="58"/>
      <c r="X215" s="157">
        <f t="shared" si="95"/>
        <v>43666</v>
      </c>
      <c r="Y215" s="383">
        <f t="shared" si="96"/>
        <v>27.146999999999998</v>
      </c>
      <c r="Z215" s="383">
        <f t="shared" si="97"/>
        <v>27.235590315167567</v>
      </c>
      <c r="AA215" s="384">
        <f t="shared" si="98"/>
        <v>27.738090378045666</v>
      </c>
      <c r="AB215" s="197">
        <f t="shared" si="99"/>
        <v>43666</v>
      </c>
      <c r="AC215" s="424">
        <f t="shared" si="100"/>
        <v>1.8115885269298186E-2</v>
      </c>
      <c r="AD215" s="169">
        <f>(INDEX(Models!$BJ215:$BT215,,AH215)*(1-AF215)+INDEX(Models!$BJ215:$BT215,,AH215+1)*AF215-ERP_i)*AE215*Ramure*Pc/MaxiM</f>
        <v>0</v>
      </c>
      <c r="AE215" s="304">
        <f t="shared" si="101"/>
        <v>0.6</v>
      </c>
      <c r="AF215" s="177">
        <f t="shared" si="102"/>
        <v>0.91816666418822712</v>
      </c>
      <c r="AG215" s="799">
        <f t="shared" si="103"/>
        <v>-2</v>
      </c>
      <c r="AH215" s="176">
        <f t="shared" si="104"/>
        <v>4</v>
      </c>
      <c r="AI215" s="224">
        <f t="shared" si="105"/>
        <v>-1.0818333358117729</v>
      </c>
      <c r="AJ215" s="264" t="b">
        <f t="shared" si="106"/>
        <v>0</v>
      </c>
      <c r="AK215" s="264" t="b">
        <f t="shared" si="107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108"/>
        <v>43667</v>
      </c>
      <c r="B216" s="607">
        <v>44.904000000000003</v>
      </c>
      <c r="C216" s="388"/>
      <c r="D216" s="391">
        <f t="shared" si="85"/>
        <v>45.051401120835571</v>
      </c>
      <c r="E216" s="383">
        <f t="shared" si="82"/>
        <v>45.88723737870675</v>
      </c>
      <c r="F216" s="383">
        <f t="shared" si="83"/>
        <v>45.88723737870675</v>
      </c>
      <c r="G216" s="110">
        <f t="shared" si="84"/>
        <v>0.76986117230148476</v>
      </c>
      <c r="I216" s="379">
        <f t="shared" si="86"/>
        <v>45.88723737870675</v>
      </c>
      <c r="J216" s="85">
        <v>2018</v>
      </c>
      <c r="K216" s="197">
        <f t="shared" si="87"/>
        <v>43667</v>
      </c>
      <c r="L216" s="435">
        <f t="shared" si="88"/>
        <v>3.2718432094978045E-3</v>
      </c>
      <c r="M216" s="842"/>
      <c r="N216" s="842"/>
      <c r="O216" s="323">
        <f t="shared" si="89"/>
        <v>1.8215004990887299E-2</v>
      </c>
      <c r="P216" s="169">
        <f>(INDEX(Models!$BJ216:$BT216,,T216)*(1-R216)+INDEX(Models!$BJ216:$BT216,,T216+1)*R216-ERP_i)*Q216*Ramure*Pc/MaxiM</f>
        <v>0</v>
      </c>
      <c r="Q216" s="304">
        <f t="shared" si="90"/>
        <v>0.6</v>
      </c>
      <c r="R216" s="177">
        <f t="shared" si="91"/>
        <v>0.92092153694628709</v>
      </c>
      <c r="S216" s="799">
        <f t="shared" si="109"/>
        <v>-2</v>
      </c>
      <c r="T216" s="176">
        <f t="shared" si="92"/>
        <v>4</v>
      </c>
      <c r="U216" s="250">
        <f t="shared" si="93"/>
        <v>-1.0790784630537129</v>
      </c>
      <c r="V216" s="382">
        <f t="shared" si="94"/>
        <v>58.327399296889311</v>
      </c>
      <c r="W216" s="58"/>
      <c r="X216" s="157">
        <f t="shared" si="95"/>
        <v>43667</v>
      </c>
      <c r="Y216" s="383">
        <f t="shared" si="96"/>
        <v>44.904000000000003</v>
      </c>
      <c r="Z216" s="383">
        <f t="shared" si="97"/>
        <v>45.051401120835571</v>
      </c>
      <c r="AA216" s="384">
        <f t="shared" si="98"/>
        <v>45.88723737870675</v>
      </c>
      <c r="AB216" s="197">
        <f t="shared" si="99"/>
        <v>43667</v>
      </c>
      <c r="AC216" s="424">
        <f t="shared" si="100"/>
        <v>1.8215004990887299E-2</v>
      </c>
      <c r="AD216" s="169">
        <f>(INDEX(Models!$BJ216:$BT216,,AH216)*(1-AF216)+INDEX(Models!$BJ216:$BT216,,AH216+1)*AF216-ERP_i)*AE216*Ramure*Pc/MaxiM</f>
        <v>0</v>
      </c>
      <c r="AE216" s="304">
        <f t="shared" si="101"/>
        <v>0.6</v>
      </c>
      <c r="AF216" s="177">
        <f t="shared" si="102"/>
        <v>0.92092153694628709</v>
      </c>
      <c r="AG216" s="799">
        <f t="shared" si="103"/>
        <v>-2</v>
      </c>
      <c r="AH216" s="176">
        <f t="shared" si="104"/>
        <v>4</v>
      </c>
      <c r="AI216" s="224">
        <f t="shared" si="105"/>
        <v>-1.0790784630537129</v>
      </c>
      <c r="AJ216" s="264" t="b">
        <f t="shared" si="106"/>
        <v>0</v>
      </c>
      <c r="AK216" s="264" t="b">
        <f t="shared" si="107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108"/>
        <v>43668</v>
      </c>
      <c r="B217" s="607">
        <v>50.21</v>
      </c>
      <c r="C217" s="388"/>
      <c r="D217" s="391">
        <f t="shared" si="85"/>
        <v>50.375783948271447</v>
      </c>
      <c r="E217" s="383">
        <f t="shared" si="82"/>
        <v>51.315573894716763</v>
      </c>
      <c r="F217" s="383">
        <f t="shared" si="83"/>
        <v>51.315573894716763</v>
      </c>
      <c r="G217" s="110">
        <f t="shared" si="84"/>
        <v>0.86243889200118229</v>
      </c>
      <c r="I217" s="379">
        <f t="shared" si="86"/>
        <v>51.315573894716763</v>
      </c>
      <c r="J217" s="85">
        <v>2018</v>
      </c>
      <c r="K217" s="197">
        <f t="shared" si="87"/>
        <v>43668</v>
      </c>
      <c r="L217" s="435">
        <f t="shared" si="88"/>
        <v>3.2909452772323933E-3</v>
      </c>
      <c r="M217" s="842"/>
      <c r="N217" s="842"/>
      <c r="O217" s="323">
        <f t="shared" si="89"/>
        <v>1.8313932303933082E-2</v>
      </c>
      <c r="P217" s="169">
        <f>(INDEX(Models!$BJ217:$BT217,,T217)*(1-R217)+INDEX(Models!$BJ217:$BT217,,T217+1)*R217-ERP_i)*Q217*Ramure*Pc/MaxiM</f>
        <v>0</v>
      </c>
      <c r="Q217" s="304">
        <f t="shared" si="90"/>
        <v>0.6</v>
      </c>
      <c r="R217" s="177">
        <f t="shared" si="91"/>
        <v>0.92359971260356621</v>
      </c>
      <c r="S217" s="799">
        <f t="shared" si="109"/>
        <v>-2</v>
      </c>
      <c r="T217" s="176">
        <f t="shared" si="92"/>
        <v>4</v>
      </c>
      <c r="U217" s="250">
        <f t="shared" si="93"/>
        <v>-1.0764002873964338</v>
      </c>
      <c r="V217" s="382">
        <f t="shared" si="94"/>
        <v>58.218617534158206</v>
      </c>
      <c r="W217" s="58"/>
      <c r="X217" s="157">
        <f t="shared" si="95"/>
        <v>43668</v>
      </c>
      <c r="Y217" s="383">
        <f t="shared" si="96"/>
        <v>50.21</v>
      </c>
      <c r="Z217" s="383">
        <f t="shared" si="97"/>
        <v>50.375783948271447</v>
      </c>
      <c r="AA217" s="384">
        <f t="shared" si="98"/>
        <v>51.315573894716763</v>
      </c>
      <c r="AB217" s="197">
        <f t="shared" si="99"/>
        <v>43668</v>
      </c>
      <c r="AC217" s="424">
        <f t="shared" si="100"/>
        <v>1.8313932303933082E-2</v>
      </c>
      <c r="AD217" s="169">
        <f>(INDEX(Models!$BJ217:$BT217,,AH217)*(1-AF217)+INDEX(Models!$BJ217:$BT217,,AH217+1)*AF217-ERP_i)*AE217*Ramure*Pc/MaxiM</f>
        <v>0</v>
      </c>
      <c r="AE217" s="304">
        <f t="shared" si="101"/>
        <v>0.6</v>
      </c>
      <c r="AF217" s="177">
        <f t="shared" si="102"/>
        <v>0.92359971260356621</v>
      </c>
      <c r="AG217" s="799">
        <f t="shared" si="103"/>
        <v>-2</v>
      </c>
      <c r="AH217" s="176">
        <f t="shared" si="104"/>
        <v>4</v>
      </c>
      <c r="AI217" s="224">
        <f t="shared" si="105"/>
        <v>-1.0764002873964338</v>
      </c>
      <c r="AJ217" s="264" t="b">
        <f t="shared" si="106"/>
        <v>0</v>
      </c>
      <c r="AK217" s="264" t="b">
        <f t="shared" si="107"/>
        <v>0</v>
      </c>
      <c r="AL217" s="264"/>
      <c r="AM217" s="264"/>
      <c r="AN217" s="75"/>
    </row>
    <row r="218" spans="1:40" s="6" customFormat="1" ht="11.25" x14ac:dyDescent="0.2">
      <c r="A218" s="56">
        <f t="shared" si="108"/>
        <v>43669</v>
      </c>
      <c r="B218" s="607">
        <v>55.784999999999997</v>
      </c>
      <c r="C218" s="388"/>
      <c r="D218" s="391">
        <f t="shared" si="85"/>
        <v>55.970264203935365</v>
      </c>
      <c r="E218" s="383">
        <f t="shared" si="82"/>
        <v>57.020157721480658</v>
      </c>
      <c r="F218" s="383">
        <f t="shared" si="83"/>
        <v>57.020157721480658</v>
      </c>
      <c r="G218" s="110">
        <f t="shared" si="84"/>
        <v>0.96000804305837151</v>
      </c>
      <c r="I218" s="379">
        <f t="shared" si="86"/>
        <v>57.020157721480658</v>
      </c>
      <c r="J218" s="85">
        <v>2018</v>
      </c>
      <c r="K218" s="197">
        <f t="shared" si="87"/>
        <v>43669</v>
      </c>
      <c r="L218" s="435">
        <f t="shared" si="88"/>
        <v>3.3100469788802656E-3</v>
      </c>
      <c r="M218" s="842"/>
      <c r="N218" s="842"/>
      <c r="O218" s="323">
        <f t="shared" si="89"/>
        <v>1.8412672982659598E-2</v>
      </c>
      <c r="P218" s="169">
        <f>(INDEX(Models!$BJ218:$BT218,,T218)*(1-R218)+INDEX(Models!$BJ218:$BT218,,T218+1)*R218-ERP_i)*Q218*Ramure*Pc/MaxiM</f>
        <v>0</v>
      </c>
      <c r="Q218" s="304">
        <f t="shared" si="90"/>
        <v>0.6</v>
      </c>
      <c r="R218" s="177">
        <f t="shared" si="91"/>
        <v>0.92620218236469842</v>
      </c>
      <c r="S218" s="799">
        <f t="shared" si="109"/>
        <v>-2</v>
      </c>
      <c r="T218" s="176">
        <f t="shared" si="92"/>
        <v>4</v>
      </c>
      <c r="U218" s="250">
        <f t="shared" si="93"/>
        <v>-1.0737978176353016</v>
      </c>
      <c r="V218" s="382">
        <f t="shared" si="94"/>
        <v>58.108888152938214</v>
      </c>
      <c r="W218" s="58"/>
      <c r="X218" s="157">
        <f t="shared" si="95"/>
        <v>43669</v>
      </c>
      <c r="Y218" s="383">
        <f t="shared" si="96"/>
        <v>55.784999999999997</v>
      </c>
      <c r="Z218" s="383">
        <f t="shared" si="97"/>
        <v>55.970264203935365</v>
      </c>
      <c r="AA218" s="384">
        <f t="shared" si="98"/>
        <v>57.020157721480658</v>
      </c>
      <c r="AB218" s="197">
        <f t="shared" si="99"/>
        <v>43669</v>
      </c>
      <c r="AC218" s="424">
        <f t="shared" si="100"/>
        <v>1.8412672982659598E-2</v>
      </c>
      <c r="AD218" s="169">
        <f>(INDEX(Models!$BJ218:$BT218,,AH218)*(1-AF218)+INDEX(Models!$BJ218:$BT218,,AH218+1)*AF218-ERP_i)*AE218*Ramure*Pc/MaxiM</f>
        <v>0</v>
      </c>
      <c r="AE218" s="304">
        <f t="shared" si="101"/>
        <v>0.6</v>
      </c>
      <c r="AF218" s="177">
        <f t="shared" si="102"/>
        <v>0.92620218236469842</v>
      </c>
      <c r="AG218" s="799">
        <f t="shared" si="103"/>
        <v>-2</v>
      </c>
      <c r="AH218" s="176">
        <f t="shared" si="104"/>
        <v>4</v>
      </c>
      <c r="AI218" s="224">
        <f t="shared" si="105"/>
        <v>-1.0737978176353016</v>
      </c>
      <c r="AJ218" s="264" t="b">
        <f t="shared" si="106"/>
        <v>0</v>
      </c>
      <c r="AK218" s="264" t="b">
        <f t="shared" si="107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108"/>
        <v>43670</v>
      </c>
      <c r="B219" s="607">
        <v>55.886000000000003</v>
      </c>
      <c r="C219" s="388"/>
      <c r="D219" s="391">
        <f t="shared" si="85"/>
        <v>56.072674248962549</v>
      </c>
      <c r="E219" s="383">
        <f t="shared" si="82"/>
        <v>57.130225133334037</v>
      </c>
      <c r="F219" s="383">
        <f t="shared" si="83"/>
        <v>57.130225133334037</v>
      </c>
      <c r="G219" s="110">
        <f t="shared" si="84"/>
        <v>0.9635776516243113</v>
      </c>
      <c r="I219" s="379">
        <f t="shared" si="86"/>
        <v>57.130225133334037</v>
      </c>
      <c r="J219" s="85">
        <v>2018</v>
      </c>
      <c r="K219" s="197">
        <f t="shared" si="87"/>
        <v>43670</v>
      </c>
      <c r="L219" s="435">
        <f t="shared" si="88"/>
        <v>3.3291483144484157E-3</v>
      </c>
      <c r="M219" s="842"/>
      <c r="N219" s="842"/>
      <c r="O219" s="323">
        <f t="shared" si="89"/>
        <v>1.8511232572658541E-2</v>
      </c>
      <c r="P219" s="169">
        <f>(INDEX(Models!$BJ219:$BT219,,T219)*(1-R219)+INDEX(Models!$BJ219:$BT219,,T219+1)*R219-ERP_i)*Q219*Ramure*Pc/MaxiM</f>
        <v>0</v>
      </c>
      <c r="Q219" s="304">
        <f t="shared" si="90"/>
        <v>0.6</v>
      </c>
      <c r="R219" s="177">
        <f t="shared" si="91"/>
        <v>0.92873000640757564</v>
      </c>
      <c r="S219" s="799">
        <f t="shared" si="109"/>
        <v>-2</v>
      </c>
      <c r="T219" s="176">
        <f t="shared" si="92"/>
        <v>4</v>
      </c>
      <c r="U219" s="250">
        <f t="shared" si="93"/>
        <v>-1.0712699935924244</v>
      </c>
      <c r="V219" s="382">
        <f t="shared" si="94"/>
        <v>57.998439363752865</v>
      </c>
      <c r="W219" s="58"/>
      <c r="X219" s="157">
        <f t="shared" si="95"/>
        <v>43670</v>
      </c>
      <c r="Y219" s="383">
        <f t="shared" si="96"/>
        <v>55.886000000000003</v>
      </c>
      <c r="Z219" s="383">
        <f t="shared" si="97"/>
        <v>56.072674248962549</v>
      </c>
      <c r="AA219" s="384">
        <f t="shared" si="98"/>
        <v>57.130225133334037</v>
      </c>
      <c r="AB219" s="197">
        <f t="shared" si="99"/>
        <v>43670</v>
      </c>
      <c r="AC219" s="424">
        <f t="shared" si="100"/>
        <v>1.8511232572658541E-2</v>
      </c>
      <c r="AD219" s="169">
        <f>(INDEX(Models!$BJ219:$BT219,,AH219)*(1-AF219)+INDEX(Models!$BJ219:$BT219,,AH219+1)*AF219-ERP_i)*AE219*Ramure*Pc/MaxiM</f>
        <v>0</v>
      </c>
      <c r="AE219" s="304">
        <f t="shared" si="101"/>
        <v>0.6</v>
      </c>
      <c r="AF219" s="177">
        <f t="shared" si="102"/>
        <v>0.92873000640757564</v>
      </c>
      <c r="AG219" s="799">
        <f t="shared" si="103"/>
        <v>-2</v>
      </c>
      <c r="AH219" s="176">
        <f t="shared" si="104"/>
        <v>4</v>
      </c>
      <c r="AI219" s="224">
        <f t="shared" si="105"/>
        <v>-1.0712699935924244</v>
      </c>
      <c r="AJ219" s="264" t="b">
        <f t="shared" si="106"/>
        <v>0</v>
      </c>
      <c r="AK219" s="264" t="b">
        <f t="shared" si="107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108"/>
        <v>43671</v>
      </c>
      <c r="B220" s="607">
        <v>56.768999999999998</v>
      </c>
      <c r="C220" s="388"/>
      <c r="D220" s="391">
        <f t="shared" si="85"/>
        <v>56.959715326054102</v>
      </c>
      <c r="E220" s="383">
        <f t="shared" si="82"/>
        <v>58.039813998105629</v>
      </c>
      <c r="F220" s="383">
        <f t="shared" si="83"/>
        <v>58.039813998105629</v>
      </c>
      <c r="G220" s="110">
        <f t="shared" si="84"/>
        <v>0.98067924103726611</v>
      </c>
      <c r="I220" s="379">
        <f t="shared" si="86"/>
        <v>58.039813998105629</v>
      </c>
      <c r="J220" s="85">
        <v>2018</v>
      </c>
      <c r="K220" s="197">
        <f t="shared" si="87"/>
        <v>43671</v>
      </c>
      <c r="L220" s="435">
        <f t="shared" si="88"/>
        <v>3.3482492839438383E-3</v>
      </c>
      <c r="M220" s="842"/>
      <c r="N220" s="842"/>
      <c r="O220" s="323">
        <f t="shared" si="89"/>
        <v>1.86096163589838E-2</v>
      </c>
      <c r="P220" s="169">
        <f>(INDEX(Models!$BJ220:$BT220,,T220)*(1-R220)+INDEX(Models!$BJ220:$BT220,,T220+1)*R220-ERP_i)*Q220*Ramure*Pc/MaxiM</f>
        <v>0</v>
      </c>
      <c r="Q220" s="304">
        <f t="shared" si="90"/>
        <v>0.6</v>
      </c>
      <c r="R220" s="177">
        <f t="shared" si="91"/>
        <v>0.93118430739471059</v>
      </c>
      <c r="S220" s="799">
        <f t="shared" si="109"/>
        <v>-2</v>
      </c>
      <c r="T220" s="176">
        <f t="shared" si="92"/>
        <v>4</v>
      </c>
      <c r="U220" s="250">
        <f t="shared" si="93"/>
        <v>-1.0688156926052894</v>
      </c>
      <c r="V220" s="382">
        <f t="shared" si="94"/>
        <v>57.887429063916279</v>
      </c>
      <c r="W220" s="58"/>
      <c r="X220" s="157">
        <f t="shared" si="95"/>
        <v>43671</v>
      </c>
      <c r="Y220" s="383">
        <f t="shared" si="96"/>
        <v>56.768999999999998</v>
      </c>
      <c r="Z220" s="383">
        <f t="shared" si="97"/>
        <v>56.959715326054102</v>
      </c>
      <c r="AA220" s="384">
        <f t="shared" si="98"/>
        <v>58.039813998105629</v>
      </c>
      <c r="AB220" s="197">
        <f t="shared" si="99"/>
        <v>43671</v>
      </c>
      <c r="AC220" s="424">
        <f t="shared" si="100"/>
        <v>1.86096163589838E-2</v>
      </c>
      <c r="AD220" s="169">
        <f>(INDEX(Models!$BJ220:$BT220,,AH220)*(1-AF220)+INDEX(Models!$BJ220:$BT220,,AH220+1)*AF220-ERP_i)*AE220*Ramure*Pc/MaxiM</f>
        <v>0</v>
      </c>
      <c r="AE220" s="304">
        <f t="shared" si="101"/>
        <v>0.6</v>
      </c>
      <c r="AF220" s="177">
        <f t="shared" si="102"/>
        <v>0.93118430739471059</v>
      </c>
      <c r="AG220" s="799">
        <f t="shared" si="103"/>
        <v>-2</v>
      </c>
      <c r="AH220" s="176">
        <f t="shared" si="104"/>
        <v>4</v>
      </c>
      <c r="AI220" s="224">
        <f t="shared" si="105"/>
        <v>-1.0688156926052894</v>
      </c>
      <c r="AJ220" s="264" t="b">
        <f t="shared" si="106"/>
        <v>0</v>
      </c>
      <c r="AK220" s="264" t="b">
        <f t="shared" si="107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108"/>
        <v>43672</v>
      </c>
      <c r="B221" s="607">
        <v>21.748999999999999</v>
      </c>
      <c r="C221" s="388"/>
      <c r="D221" s="391">
        <f t="shared" si="85"/>
        <v>21.822483938833642</v>
      </c>
      <c r="E221" s="383">
        <f t="shared" si="82"/>
        <v>22.238518344745096</v>
      </c>
      <c r="F221" s="383">
        <f t="shared" si="83"/>
        <v>22.238518344745096</v>
      </c>
      <c r="G221" s="110">
        <f t="shared" si="84"/>
        <v>0.37643819982855076</v>
      </c>
      <c r="I221" s="379">
        <f t="shared" si="86"/>
        <v>22.238518344745096</v>
      </c>
      <c r="J221" s="85">
        <v>2018</v>
      </c>
      <c r="K221" s="197">
        <f t="shared" si="87"/>
        <v>43672</v>
      </c>
      <c r="L221" s="435">
        <f t="shared" si="88"/>
        <v>3.3673498873735275E-3</v>
      </c>
      <c r="M221" s="842"/>
      <c r="N221" s="842"/>
      <c r="O221" s="323">
        <f t="shared" si="89"/>
        <v>1.8707829337459556E-2</v>
      </c>
      <c r="P221" s="169">
        <f>(INDEX(Models!$BJ221:$BT221,,T221)*(1-R221)+INDEX(Models!$BJ221:$BT221,,T221+1)*R221-ERP_i)*Q221*Ramure*Pc/MaxiM</f>
        <v>0</v>
      </c>
      <c r="Q221" s="304">
        <f t="shared" si="90"/>
        <v>0.6</v>
      </c>
      <c r="R221" s="177">
        <f t="shared" si="91"/>
        <v>0.93356626417256949</v>
      </c>
      <c r="S221" s="799">
        <f t="shared" si="109"/>
        <v>-2</v>
      </c>
      <c r="T221" s="176">
        <f t="shared" si="92"/>
        <v>4</v>
      </c>
      <c r="U221" s="250">
        <f t="shared" si="93"/>
        <v>-1.0664337358274305</v>
      </c>
      <c r="V221" s="382">
        <f t="shared" si="94"/>
        <v>57.775751796458508</v>
      </c>
      <c r="W221" s="58"/>
      <c r="X221" s="157">
        <f t="shared" si="95"/>
        <v>43672</v>
      </c>
      <c r="Y221" s="383">
        <f t="shared" si="96"/>
        <v>21.748999999999999</v>
      </c>
      <c r="Z221" s="383">
        <f t="shared" si="97"/>
        <v>21.822483938833642</v>
      </c>
      <c r="AA221" s="384">
        <f t="shared" si="98"/>
        <v>22.238518344745096</v>
      </c>
      <c r="AB221" s="197">
        <f t="shared" si="99"/>
        <v>43672</v>
      </c>
      <c r="AC221" s="424">
        <f t="shared" si="100"/>
        <v>1.8707829337459556E-2</v>
      </c>
      <c r="AD221" s="169">
        <f>(INDEX(Models!$BJ221:$BT221,,AH221)*(1-AF221)+INDEX(Models!$BJ221:$BT221,,AH221+1)*AF221-ERP_i)*AE221*Ramure*Pc/MaxiM</f>
        <v>0</v>
      </c>
      <c r="AE221" s="304">
        <f t="shared" si="101"/>
        <v>0.6</v>
      </c>
      <c r="AF221" s="177">
        <f t="shared" si="102"/>
        <v>0.93356626417256949</v>
      </c>
      <c r="AG221" s="799">
        <f t="shared" si="103"/>
        <v>-2</v>
      </c>
      <c r="AH221" s="176">
        <f t="shared" si="104"/>
        <v>4</v>
      </c>
      <c r="AI221" s="224">
        <f t="shared" si="105"/>
        <v>-1.0664337358274305</v>
      </c>
      <c r="AJ221" s="264" t="b">
        <f t="shared" si="106"/>
        <v>0</v>
      </c>
      <c r="AK221" s="264" t="b">
        <f t="shared" si="107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108"/>
        <v>43673</v>
      </c>
      <c r="B222" s="607">
        <v>12.912000000000001</v>
      </c>
      <c r="C222" s="388"/>
      <c r="D222" s="391">
        <f t="shared" si="85"/>
        <v>12.955874422554434</v>
      </c>
      <c r="E222" s="383">
        <f t="shared" si="82"/>
        <v>13.204190799917965</v>
      </c>
      <c r="F222" s="383">
        <f t="shared" si="83"/>
        <v>13.204190799917965</v>
      </c>
      <c r="G222" s="110">
        <f t="shared" si="84"/>
        <v>0.22392057882849015</v>
      </c>
      <c r="I222" s="379">
        <f t="shared" si="86"/>
        <v>13.204190799917965</v>
      </c>
      <c r="J222" s="85">
        <v>2018</v>
      </c>
      <c r="K222" s="197">
        <f t="shared" si="87"/>
        <v>43673</v>
      </c>
      <c r="L222" s="435">
        <f t="shared" si="88"/>
        <v>3.3864501247444778E-3</v>
      </c>
      <c r="M222" s="842"/>
      <c r="N222" s="842"/>
      <c r="O222" s="323">
        <f t="shared" si="89"/>
        <v>1.8805876189328791E-2</v>
      </c>
      <c r="P222" s="169">
        <f>(INDEX(Models!$BJ222:$BT222,,T222)*(1-R222)+INDEX(Models!$BJ222:$BT222,,T222+1)*R222-ERP_i)*Q222*Ramure*Pc/MaxiM</f>
        <v>0</v>
      </c>
      <c r="Q222" s="304">
        <f t="shared" si="90"/>
        <v>0.6</v>
      </c>
      <c r="R222" s="177">
        <f t="shared" si="91"/>
        <v>0.93587710567753546</v>
      </c>
      <c r="S222" s="799">
        <f t="shared" si="109"/>
        <v>-2</v>
      </c>
      <c r="T222" s="176">
        <f t="shared" si="92"/>
        <v>4</v>
      </c>
      <c r="U222" s="250">
        <f t="shared" si="93"/>
        <v>-1.0641228943224645</v>
      </c>
      <c r="V222" s="382">
        <f t="shared" si="94"/>
        <v>57.66330217415981</v>
      </c>
      <c r="W222" s="58"/>
      <c r="X222" s="157">
        <f t="shared" si="95"/>
        <v>43673</v>
      </c>
      <c r="Y222" s="383">
        <f t="shared" si="96"/>
        <v>12.912000000000001</v>
      </c>
      <c r="Z222" s="383">
        <f t="shared" si="97"/>
        <v>12.955874422554434</v>
      </c>
      <c r="AA222" s="384">
        <f t="shared" si="98"/>
        <v>13.204190799917965</v>
      </c>
      <c r="AB222" s="197">
        <f t="shared" si="99"/>
        <v>43673</v>
      </c>
      <c r="AC222" s="424">
        <f t="shared" si="100"/>
        <v>1.8805876189328791E-2</v>
      </c>
      <c r="AD222" s="169">
        <f>(INDEX(Models!$BJ222:$BT222,,AH222)*(1-AF222)+INDEX(Models!$BJ222:$BT222,,AH222+1)*AF222-ERP_i)*AE222*Ramure*Pc/MaxiM</f>
        <v>0</v>
      </c>
      <c r="AE222" s="304">
        <f t="shared" si="101"/>
        <v>0.6</v>
      </c>
      <c r="AF222" s="177">
        <f t="shared" si="102"/>
        <v>0.93587710567753546</v>
      </c>
      <c r="AG222" s="799">
        <f t="shared" si="103"/>
        <v>-2</v>
      </c>
      <c r="AH222" s="176">
        <f t="shared" si="104"/>
        <v>4</v>
      </c>
      <c r="AI222" s="224">
        <f t="shared" si="105"/>
        <v>-1.0641228943224645</v>
      </c>
      <c r="AJ222" s="264" t="b">
        <f t="shared" si="106"/>
        <v>0</v>
      </c>
      <c r="AK222" s="264" t="b">
        <f t="shared" si="107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108"/>
        <v>43674</v>
      </c>
      <c r="B223" s="607">
        <v>50.048000000000002</v>
      </c>
      <c r="C223" s="388"/>
      <c r="D223" s="391">
        <f t="shared" si="85"/>
        <v>50.219023394924911</v>
      </c>
      <c r="E223" s="383">
        <f t="shared" si="82"/>
        <v>51.186643482993929</v>
      </c>
      <c r="F223" s="383">
        <f t="shared" si="83"/>
        <v>51.186643482993929</v>
      </c>
      <c r="G223" s="110">
        <f t="shared" si="84"/>
        <v>0.869644167584945</v>
      </c>
      <c r="I223" s="379">
        <f t="shared" si="86"/>
        <v>51.186643482993929</v>
      </c>
      <c r="J223" s="85">
        <v>2018</v>
      </c>
      <c r="K223" s="197">
        <f t="shared" si="87"/>
        <v>43674</v>
      </c>
      <c r="L223" s="435">
        <f t="shared" si="88"/>
        <v>3.4055499960636837E-3</v>
      </c>
      <c r="M223" s="842"/>
      <c r="N223" s="842"/>
      <c r="O223" s="323">
        <f t="shared" si="89"/>
        <v>1.8903761259331291E-2</v>
      </c>
      <c r="P223" s="169">
        <f>(INDEX(Models!$BJ223:$BT223,,T223)*(1-R223)+INDEX(Models!$BJ223:$BT223,,T223+1)*R223-ERP_i)*Q223*Ramure*Pc/MaxiM</f>
        <v>0</v>
      </c>
      <c r="Q223" s="304">
        <f t="shared" si="90"/>
        <v>0.6</v>
      </c>
      <c r="R223" s="177">
        <f t="shared" si="91"/>
        <v>0.93811810506411697</v>
      </c>
      <c r="S223" s="799">
        <f t="shared" si="109"/>
        <v>-2</v>
      </c>
      <c r="T223" s="176">
        <f t="shared" si="92"/>
        <v>4</v>
      </c>
      <c r="U223" s="250">
        <f t="shared" si="93"/>
        <v>-1.061881894935883</v>
      </c>
      <c r="V223" s="382">
        <f t="shared" si="94"/>
        <v>57.549974881089994</v>
      </c>
      <c r="W223" s="58"/>
      <c r="X223" s="157">
        <f t="shared" si="95"/>
        <v>43674</v>
      </c>
      <c r="Y223" s="383">
        <f t="shared" si="96"/>
        <v>50.048000000000002</v>
      </c>
      <c r="Z223" s="383">
        <f t="shared" si="97"/>
        <v>50.219023394924911</v>
      </c>
      <c r="AA223" s="384">
        <f t="shared" si="98"/>
        <v>51.186643482993929</v>
      </c>
      <c r="AB223" s="197">
        <f t="shared" si="99"/>
        <v>43674</v>
      </c>
      <c r="AC223" s="424">
        <f t="shared" si="100"/>
        <v>1.8903761259331291E-2</v>
      </c>
      <c r="AD223" s="169">
        <f>(INDEX(Models!$BJ223:$BT223,,AH223)*(1-AF223)+INDEX(Models!$BJ223:$BT223,,AH223+1)*AF223-ERP_i)*AE223*Ramure*Pc/MaxiM</f>
        <v>0</v>
      </c>
      <c r="AE223" s="304">
        <f t="shared" si="101"/>
        <v>0.6</v>
      </c>
      <c r="AF223" s="177">
        <f t="shared" si="102"/>
        <v>0.93811810506411697</v>
      </c>
      <c r="AG223" s="799">
        <f t="shared" si="103"/>
        <v>-2</v>
      </c>
      <c r="AH223" s="176">
        <f t="shared" si="104"/>
        <v>4</v>
      </c>
      <c r="AI223" s="224">
        <f t="shared" si="105"/>
        <v>-1.061881894935883</v>
      </c>
      <c r="AJ223" s="264" t="b">
        <f t="shared" si="106"/>
        <v>0</v>
      </c>
      <c r="AK223" s="264" t="b">
        <f t="shared" si="107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108"/>
        <v>43675</v>
      </c>
      <c r="B224" s="607">
        <v>57.822000000000003</v>
      </c>
      <c r="C224" s="388"/>
      <c r="D224" s="391">
        <f t="shared" si="85"/>
        <v>58.020700563251246</v>
      </c>
      <c r="E224" s="383">
        <f t="shared" si="82"/>
        <v>59.144534762584179</v>
      </c>
      <c r="F224" s="383">
        <f t="shared" si="83"/>
        <v>59.144534762584179</v>
      </c>
      <c r="G224" s="110">
        <f t="shared" si="84"/>
        <v>1.0067264012510901</v>
      </c>
      <c r="I224" s="379">
        <f t="shared" si="86"/>
        <v>59.144534762584179</v>
      </c>
      <c r="J224" s="85">
        <v>2018</v>
      </c>
      <c r="K224" s="197">
        <f t="shared" si="87"/>
        <v>43675</v>
      </c>
      <c r="L224" s="435">
        <f t="shared" si="88"/>
        <v>3.4246495013383615E-3</v>
      </c>
      <c r="M224" s="842"/>
      <c r="N224" s="842"/>
      <c r="O224" s="323">
        <f t="shared" si="89"/>
        <v>1.9001488537261933E-2</v>
      </c>
      <c r="P224" s="169">
        <f>(INDEX(Models!$BJ224:$BT224,,T224)*(1-R224)+INDEX(Models!$BJ224:$BT224,,T224+1)*R224-ERP_i)*Q224*Ramure*Pc/MaxiM</f>
        <v>1.9927150967186139E-20</v>
      </c>
      <c r="Q224" s="304">
        <f t="shared" si="90"/>
        <v>0.6</v>
      </c>
      <c r="R224" s="177">
        <f t="shared" si="91"/>
        <v>0.94029057406815042</v>
      </c>
      <c r="S224" s="799">
        <f t="shared" si="109"/>
        <v>-2</v>
      </c>
      <c r="T224" s="176">
        <f t="shared" si="92"/>
        <v>4</v>
      </c>
      <c r="U224" s="250">
        <f t="shared" si="93"/>
        <v>-1.0597094259318496</v>
      </c>
      <c r="V224" s="382">
        <f t="shared" si="94"/>
        <v>57.435664673284428</v>
      </c>
      <c r="W224" s="58"/>
      <c r="X224" s="157">
        <f t="shared" si="95"/>
        <v>43675</v>
      </c>
      <c r="Y224" s="383">
        <f t="shared" si="96"/>
        <v>57.822000000000003</v>
      </c>
      <c r="Z224" s="383">
        <f t="shared" si="97"/>
        <v>58.020700563251246</v>
      </c>
      <c r="AA224" s="384">
        <f t="shared" si="98"/>
        <v>59.144534762584179</v>
      </c>
      <c r="AB224" s="197">
        <f t="shared" si="99"/>
        <v>43675</v>
      </c>
      <c r="AC224" s="424">
        <f t="shared" si="100"/>
        <v>1.9001488537261933E-2</v>
      </c>
      <c r="AD224" s="169">
        <f>(INDEX(Models!$BJ224:$BT224,,AH224)*(1-AF224)+INDEX(Models!$BJ224:$BT224,,AH224+1)*AF224-ERP_i)*AE224*Ramure*Pc/MaxiM</f>
        <v>1.9927150967186139E-20</v>
      </c>
      <c r="AE224" s="304">
        <f t="shared" si="101"/>
        <v>0.6</v>
      </c>
      <c r="AF224" s="177">
        <f t="shared" si="102"/>
        <v>0.94029057406815042</v>
      </c>
      <c r="AG224" s="799">
        <f t="shared" si="103"/>
        <v>-2</v>
      </c>
      <c r="AH224" s="176">
        <f t="shared" si="104"/>
        <v>4</v>
      </c>
      <c r="AI224" s="224">
        <f t="shared" si="105"/>
        <v>-1.0597094259318496</v>
      </c>
      <c r="AJ224" s="264" t="b">
        <f t="shared" si="106"/>
        <v>0</v>
      </c>
      <c r="AK224" s="264" t="b">
        <f t="shared" si="107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108"/>
        <v>43676</v>
      </c>
      <c r="B225" s="607">
        <v>27.553000000000001</v>
      </c>
      <c r="C225" s="388"/>
      <c r="D225" s="391">
        <f t="shared" si="85"/>
        <v>27.648213497646857</v>
      </c>
      <c r="E225" s="383">
        <f t="shared" si="82"/>
        <v>28.1865501565917</v>
      </c>
      <c r="F225" s="383">
        <f t="shared" si="83"/>
        <v>28.1865501565917</v>
      </c>
      <c r="G225" s="110">
        <f t="shared" si="84"/>
        <v>0.480685135302238</v>
      </c>
      <c r="I225" s="379">
        <f t="shared" si="86"/>
        <v>28.1865501565917</v>
      </c>
      <c r="J225" s="85">
        <v>2018</v>
      </c>
      <c r="K225" s="197">
        <f t="shared" si="87"/>
        <v>43676</v>
      </c>
      <c r="L225" s="435">
        <f t="shared" si="88"/>
        <v>3.4437486405752837E-3</v>
      </c>
      <c r="M225" s="842"/>
      <c r="N225" s="842"/>
      <c r="O225" s="323">
        <f t="shared" si="89"/>
        <v>1.9099061643020818E-2</v>
      </c>
      <c r="P225" s="169">
        <f>(INDEX(Models!$BJ225:$BT225,,T225)*(1-R225)+INDEX(Models!$BJ225:$BT225,,T225+1)*R225-ERP_i)*Q225*Ramure*Pc/MaxiM</f>
        <v>-1.9963849872836837E-20</v>
      </c>
      <c r="Q225" s="304">
        <f t="shared" si="90"/>
        <v>0.6</v>
      </c>
      <c r="R225" s="177">
        <f t="shared" si="91"/>
        <v>0.94239585761503264</v>
      </c>
      <c r="S225" s="799">
        <f t="shared" si="109"/>
        <v>-2</v>
      </c>
      <c r="T225" s="176">
        <f t="shared" si="92"/>
        <v>4</v>
      </c>
      <c r="U225" s="250">
        <f t="shared" si="93"/>
        <v>-1.0576041423849674</v>
      </c>
      <c r="V225" s="382">
        <f t="shared" si="94"/>
        <v>57.320266379104154</v>
      </c>
      <c r="W225" s="58"/>
      <c r="X225" s="157">
        <f t="shared" si="95"/>
        <v>43676</v>
      </c>
      <c r="Y225" s="383">
        <f t="shared" si="96"/>
        <v>27.553000000000001</v>
      </c>
      <c r="Z225" s="383">
        <f t="shared" si="97"/>
        <v>27.648213497646857</v>
      </c>
      <c r="AA225" s="384">
        <f t="shared" si="98"/>
        <v>28.1865501565917</v>
      </c>
      <c r="AB225" s="197">
        <f t="shared" si="99"/>
        <v>43676</v>
      </c>
      <c r="AC225" s="424">
        <f t="shared" si="100"/>
        <v>1.9099061643020818E-2</v>
      </c>
      <c r="AD225" s="169">
        <f>(INDEX(Models!$BJ225:$BT225,,AH225)*(1-AF225)+INDEX(Models!$BJ225:$BT225,,AH225+1)*AF225-ERP_i)*AE225*Ramure*Pc/MaxiM</f>
        <v>-1.9963849872836837E-20</v>
      </c>
      <c r="AE225" s="304">
        <f t="shared" si="101"/>
        <v>0.6</v>
      </c>
      <c r="AF225" s="177">
        <f t="shared" si="102"/>
        <v>0.94239585761503264</v>
      </c>
      <c r="AG225" s="799">
        <f t="shared" si="103"/>
        <v>-2</v>
      </c>
      <c r="AH225" s="176">
        <f t="shared" si="104"/>
        <v>4</v>
      </c>
      <c r="AI225" s="224">
        <f t="shared" si="105"/>
        <v>-1.0576041423849674</v>
      </c>
      <c r="AJ225" s="264" t="b">
        <f t="shared" si="106"/>
        <v>0</v>
      </c>
      <c r="AK225" s="264" t="b">
        <f t="shared" si="107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108"/>
        <v>43677</v>
      </c>
      <c r="B226" s="607">
        <v>56.622</v>
      </c>
      <c r="C226" s="388"/>
      <c r="D226" s="391">
        <f t="shared" si="85"/>
        <v>56.818754677689924</v>
      </c>
      <c r="E226" s="383">
        <f t="shared" si="82"/>
        <v>57.930822779575145</v>
      </c>
      <c r="F226" s="383">
        <f t="shared" si="83"/>
        <v>57.930822779575145</v>
      </c>
      <c r="G226" s="110">
        <f t="shared" si="84"/>
        <v>0.98983151168169747</v>
      </c>
      <c r="I226" s="379">
        <f t="shared" si="86"/>
        <v>57.930822779575145</v>
      </c>
      <c r="J226" s="85">
        <v>2018</v>
      </c>
      <c r="K226" s="197">
        <f t="shared" si="87"/>
        <v>43677</v>
      </c>
      <c r="L226" s="435">
        <f t="shared" si="88"/>
        <v>3.4628474137815557E-3</v>
      </c>
      <c r="M226" s="842"/>
      <c r="N226" s="842"/>
      <c r="O226" s="323">
        <f t="shared" si="89"/>
        <v>1.9196483815128999E-2</v>
      </c>
      <c r="P226" s="169">
        <f>(INDEX(Models!$BJ226:$BT226,,T226)*(1-R226)+INDEX(Models!$BJ226:$BT226,,T226+1)*R226-ERP_i)*Q226*Ramure*Pc/MaxiM</f>
        <v>0</v>
      </c>
      <c r="Q226" s="304">
        <f t="shared" si="90"/>
        <v>0.6</v>
      </c>
      <c r="R226" s="177">
        <f t="shared" si="91"/>
        <v>0.94443532868050584</v>
      </c>
      <c r="S226" s="799">
        <f t="shared" si="109"/>
        <v>-2</v>
      </c>
      <c r="T226" s="176">
        <f t="shared" si="92"/>
        <v>4</v>
      </c>
      <c r="U226" s="250">
        <f t="shared" si="93"/>
        <v>-1.0555646713194942</v>
      </c>
      <c r="V226" s="382">
        <f t="shared" si="94"/>
        <v>57.203674899984463</v>
      </c>
      <c r="W226" s="58"/>
      <c r="X226" s="157">
        <f t="shared" si="95"/>
        <v>43677</v>
      </c>
      <c r="Y226" s="383">
        <f t="shared" si="96"/>
        <v>56.622</v>
      </c>
      <c r="Z226" s="383">
        <f t="shared" si="97"/>
        <v>56.818754677689924</v>
      </c>
      <c r="AA226" s="384">
        <f t="shared" si="98"/>
        <v>57.930822779575145</v>
      </c>
      <c r="AB226" s="197">
        <f t="shared" si="99"/>
        <v>43677</v>
      </c>
      <c r="AC226" s="424">
        <f t="shared" si="100"/>
        <v>1.9196483815128999E-2</v>
      </c>
      <c r="AD226" s="169">
        <f>(INDEX(Models!$BJ226:$BT226,,AH226)*(1-AF226)+INDEX(Models!$BJ226:$BT226,,AH226+1)*AF226-ERP_i)*AE226*Ramure*Pc/MaxiM</f>
        <v>0</v>
      </c>
      <c r="AE226" s="304">
        <f t="shared" si="101"/>
        <v>0.6</v>
      </c>
      <c r="AF226" s="177">
        <f t="shared" si="102"/>
        <v>0.94443532868050584</v>
      </c>
      <c r="AG226" s="799">
        <f t="shared" si="103"/>
        <v>-2</v>
      </c>
      <c r="AH226" s="176">
        <f t="shared" si="104"/>
        <v>4</v>
      </c>
      <c r="AI226" s="224">
        <f t="shared" si="105"/>
        <v>-1.0555646713194942</v>
      </c>
      <c r="AJ226" s="264" t="b">
        <f t="shared" si="106"/>
        <v>0</v>
      </c>
      <c r="AK226" s="264" t="b">
        <f t="shared" si="107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108"/>
        <v>43678</v>
      </c>
      <c r="B227" s="607">
        <v>46.658999999999999</v>
      </c>
      <c r="C227" s="388"/>
      <c r="D227" s="391">
        <f t="shared" si="85"/>
        <v>46.822031777878031</v>
      </c>
      <c r="E227" s="383">
        <f t="shared" si="82"/>
        <v>47.743177077922581</v>
      </c>
      <c r="F227" s="383">
        <f t="shared" si="83"/>
        <v>47.743177077922581</v>
      </c>
      <c r="G227" s="110">
        <f t="shared" si="84"/>
        <v>0.81734883436118622</v>
      </c>
      <c r="I227" s="379">
        <f t="shared" si="86"/>
        <v>47.743177077922581</v>
      </c>
      <c r="J227" s="85">
        <v>2018</v>
      </c>
      <c r="K227" s="197">
        <f t="shared" si="87"/>
        <v>43678</v>
      </c>
      <c r="L227" s="435">
        <f t="shared" si="88"/>
        <v>3.4819458209641718E-3</v>
      </c>
      <c r="M227" s="842"/>
      <c r="N227" s="842"/>
      <c r="O227" s="323">
        <f t="shared" si="89"/>
        <v>1.9293757902645141E-2</v>
      </c>
      <c r="P227" s="169">
        <f>(INDEX(Models!$BJ227:$BT227,,T227)*(1-R227)+INDEX(Models!$BJ227:$BT227,,T227+1)*R227-ERP_i)*Q227*Ramure*Pc/MaxiM</f>
        <v>0</v>
      </c>
      <c r="Q227" s="304">
        <f t="shared" si="90"/>
        <v>0.6</v>
      </c>
      <c r="R227" s="177">
        <f t="shared" si="91"/>
        <v>0.94641038340917505</v>
      </c>
      <c r="S227" s="799">
        <f t="shared" si="109"/>
        <v>-2</v>
      </c>
      <c r="T227" s="176">
        <f t="shared" si="92"/>
        <v>4</v>
      </c>
      <c r="U227" s="250">
        <f t="shared" si="93"/>
        <v>-1.053589616590825</v>
      </c>
      <c r="V227" s="382">
        <f t="shared" si="94"/>
        <v>57.085785210016461</v>
      </c>
      <c r="W227" s="58"/>
      <c r="X227" s="157">
        <f t="shared" si="95"/>
        <v>43678</v>
      </c>
      <c r="Y227" s="383">
        <f t="shared" si="96"/>
        <v>46.658999999999999</v>
      </c>
      <c r="Z227" s="383">
        <f t="shared" si="97"/>
        <v>46.822031777878031</v>
      </c>
      <c r="AA227" s="384">
        <f t="shared" si="98"/>
        <v>47.743177077922581</v>
      </c>
      <c r="AB227" s="197">
        <f t="shared" si="99"/>
        <v>43678</v>
      </c>
      <c r="AC227" s="424">
        <f t="shared" si="100"/>
        <v>1.9293757902645141E-2</v>
      </c>
      <c r="AD227" s="169">
        <f>(INDEX(Models!$BJ227:$BT227,,AH227)*(1-AF227)+INDEX(Models!$BJ227:$BT227,,AH227+1)*AF227-ERP_i)*AE227*Ramure*Pc/MaxiM</f>
        <v>0</v>
      </c>
      <c r="AE227" s="304">
        <f t="shared" si="101"/>
        <v>0.6</v>
      </c>
      <c r="AF227" s="177">
        <f t="shared" si="102"/>
        <v>0.94641038340917505</v>
      </c>
      <c r="AG227" s="799">
        <f t="shared" si="103"/>
        <v>-2</v>
      </c>
      <c r="AH227" s="176">
        <f t="shared" si="104"/>
        <v>4</v>
      </c>
      <c r="AI227" s="224">
        <f t="shared" si="105"/>
        <v>-1.053589616590825</v>
      </c>
      <c r="AJ227" s="264" t="b">
        <f t="shared" si="106"/>
        <v>0</v>
      </c>
      <c r="AK227" s="264" t="b">
        <f t="shared" si="107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108"/>
        <v>43679</v>
      </c>
      <c r="B228" s="607">
        <v>54.787999999999997</v>
      </c>
      <c r="C228" s="388"/>
      <c r="D228" s="391">
        <f t="shared" si="85"/>
        <v>54.980489103914174</v>
      </c>
      <c r="E228" s="383">
        <f t="shared" si="82"/>
        <v>56.06769133508174</v>
      </c>
      <c r="F228" s="383">
        <f t="shared" si="83"/>
        <v>56.06769133508174</v>
      </c>
      <c r="G228" s="110">
        <f t="shared" si="84"/>
        <v>0.9617583553864868</v>
      </c>
      <c r="I228" s="379">
        <f t="shared" si="86"/>
        <v>56.06769133508174</v>
      </c>
      <c r="J228" s="85">
        <v>2018</v>
      </c>
      <c r="K228" s="197">
        <f t="shared" si="87"/>
        <v>43679</v>
      </c>
      <c r="L228" s="435">
        <f t="shared" si="88"/>
        <v>3.5010438621302375E-3</v>
      </c>
      <c r="M228" s="842"/>
      <c r="N228" s="842"/>
      <c r="O228" s="323">
        <f t="shared" si="89"/>
        <v>1.93908863603823E-2</v>
      </c>
      <c r="P228" s="169">
        <f>(INDEX(Models!$BJ228:$BT228,,T228)*(1-R228)+INDEX(Models!$BJ228:$BT228,,T228+1)*R228-ERP_i)*Q228*Ramure*Pc/MaxiM</f>
        <v>0</v>
      </c>
      <c r="Q228" s="304">
        <f t="shared" si="90"/>
        <v>0.6</v>
      </c>
      <c r="R228" s="177">
        <f t="shared" si="91"/>
        <v>0.94832243649381187</v>
      </c>
      <c r="S228" s="799">
        <f t="shared" si="109"/>
        <v>-2</v>
      </c>
      <c r="T228" s="176">
        <f t="shared" si="92"/>
        <v>4</v>
      </c>
      <c r="U228" s="250">
        <f t="shared" si="93"/>
        <v>-1.0516775635061881</v>
      </c>
      <c r="V228" s="382">
        <f t="shared" si="94"/>
        <v>56.966492355538939</v>
      </c>
      <c r="W228" s="58"/>
      <c r="X228" s="157">
        <f t="shared" si="95"/>
        <v>43679</v>
      </c>
      <c r="Y228" s="383">
        <f t="shared" si="96"/>
        <v>54.787999999999997</v>
      </c>
      <c r="Z228" s="383">
        <f t="shared" si="97"/>
        <v>54.980489103914174</v>
      </c>
      <c r="AA228" s="384">
        <f t="shared" si="98"/>
        <v>56.06769133508174</v>
      </c>
      <c r="AB228" s="197">
        <f t="shared" si="99"/>
        <v>43679</v>
      </c>
      <c r="AC228" s="424">
        <f t="shared" si="100"/>
        <v>1.93908863603823E-2</v>
      </c>
      <c r="AD228" s="169">
        <f>(INDEX(Models!$BJ228:$BT228,,AH228)*(1-AF228)+INDEX(Models!$BJ228:$BT228,,AH228+1)*AF228-ERP_i)*AE228*Ramure*Pc/MaxiM</f>
        <v>0</v>
      </c>
      <c r="AE228" s="304">
        <f t="shared" si="101"/>
        <v>0.6</v>
      </c>
      <c r="AF228" s="177">
        <f t="shared" si="102"/>
        <v>0.94832243649381187</v>
      </c>
      <c r="AG228" s="799">
        <f t="shared" si="103"/>
        <v>-2</v>
      </c>
      <c r="AH228" s="176">
        <f t="shared" si="104"/>
        <v>4</v>
      </c>
      <c r="AI228" s="224">
        <f t="shared" si="105"/>
        <v>-1.0516775635061881</v>
      </c>
      <c r="AJ228" s="264" t="b">
        <f t="shared" si="106"/>
        <v>0</v>
      </c>
      <c r="AK228" s="264" t="b">
        <f t="shared" si="107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108"/>
        <v>43680</v>
      </c>
      <c r="B229" s="607">
        <v>55.877000000000002</v>
      </c>
      <c r="C229" s="388"/>
      <c r="D229" s="391">
        <f t="shared" si="85"/>
        <v>56.074389788673109</v>
      </c>
      <c r="E229" s="383">
        <f t="shared" si="82"/>
        <v>57.188879305352565</v>
      </c>
      <c r="F229" s="383">
        <f t="shared" ref="F229:F260" si="110">Wh_sa/(1-Pvg*MEDIAN((-Sdif+Wh/Env_an)/Csdif,0,1))</f>
        <v>57.188879305352565</v>
      </c>
      <c r="G229" s="110">
        <f t="shared" si="84"/>
        <v>0.98295928095838303</v>
      </c>
      <c r="I229" s="379">
        <f t="shared" si="86"/>
        <v>57.188879305352565</v>
      </c>
      <c r="J229" s="85">
        <v>2018</v>
      </c>
      <c r="K229" s="197">
        <f t="shared" si="87"/>
        <v>43680</v>
      </c>
      <c r="L229" s="435">
        <f t="shared" si="88"/>
        <v>3.5201415372866363E-3</v>
      </c>
      <c r="M229" s="842"/>
      <c r="N229" s="842"/>
      <c r="O229" s="323">
        <f t="shared" si="89"/>
        <v>1.9487871247288919E-2</v>
      </c>
      <c r="P229" s="169">
        <f>(INDEX(Models!$BJ229:$BT229,,T229)*(1-R229)+INDEX(Models!$BJ229:$BT229,,T229+1)*R229-ERP_i)*Q229*Ramure*Pc/MaxiM</f>
        <v>0</v>
      </c>
      <c r="Q229" s="304">
        <f t="shared" si="90"/>
        <v>0.6</v>
      </c>
      <c r="R229" s="177">
        <f t="shared" si="91"/>
        <v>0.95017291681653493</v>
      </c>
      <c r="S229" s="799">
        <f t="shared" si="109"/>
        <v>-2</v>
      </c>
      <c r="T229" s="176">
        <f t="shared" si="92"/>
        <v>4</v>
      </c>
      <c r="U229" s="250">
        <f t="shared" si="93"/>
        <v>-1.0498270831834651</v>
      </c>
      <c r="V229" s="382">
        <f t="shared" si="94"/>
        <v>56.845691456842495</v>
      </c>
      <c r="W229" s="58"/>
      <c r="X229" s="157">
        <f t="shared" si="95"/>
        <v>43680</v>
      </c>
      <c r="Y229" s="383">
        <f t="shared" si="96"/>
        <v>55.877000000000002</v>
      </c>
      <c r="Z229" s="383">
        <f t="shared" si="97"/>
        <v>56.074389788673109</v>
      </c>
      <c r="AA229" s="384">
        <f t="shared" si="98"/>
        <v>57.188879305352565</v>
      </c>
      <c r="AB229" s="197">
        <f t="shared" si="99"/>
        <v>43680</v>
      </c>
      <c r="AC229" s="424">
        <f t="shared" si="100"/>
        <v>1.9487871247288919E-2</v>
      </c>
      <c r="AD229" s="169">
        <f>(INDEX(Models!$BJ229:$BT229,,AH229)*(1-AF229)+INDEX(Models!$BJ229:$BT229,,AH229+1)*AF229-ERP_i)*AE229*Ramure*Pc/MaxiM</f>
        <v>0</v>
      </c>
      <c r="AE229" s="304">
        <f t="shared" si="101"/>
        <v>0.6</v>
      </c>
      <c r="AF229" s="177">
        <f t="shared" si="102"/>
        <v>0.95017291681653493</v>
      </c>
      <c r="AG229" s="799">
        <f t="shared" si="103"/>
        <v>-2</v>
      </c>
      <c r="AH229" s="176">
        <f t="shared" si="104"/>
        <v>4</v>
      </c>
      <c r="AI229" s="224">
        <f t="shared" si="105"/>
        <v>-1.0498270831834651</v>
      </c>
      <c r="AJ229" s="264" t="b">
        <f t="shared" si="106"/>
        <v>0</v>
      </c>
      <c r="AK229" s="264" t="b">
        <f t="shared" si="107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108"/>
        <v>43681</v>
      </c>
      <c r="B230" s="607">
        <v>54.026000000000003</v>
      </c>
      <c r="C230" s="388"/>
      <c r="D230" s="391">
        <f t="shared" si="85"/>
        <v>54.217890062681889</v>
      </c>
      <c r="E230" s="383">
        <f t="shared" si="82"/>
        <v>55.300943232417936</v>
      </c>
      <c r="F230" s="383">
        <f t="shared" si="110"/>
        <v>55.300943232417936</v>
      </c>
      <c r="G230" s="110">
        <f t="shared" si="84"/>
        <v>0.95244848650907565</v>
      </c>
      <c r="I230" s="379">
        <f t="shared" si="86"/>
        <v>55.300943232417936</v>
      </c>
      <c r="J230" s="85">
        <v>2018</v>
      </c>
      <c r="K230" s="197">
        <f t="shared" si="87"/>
        <v>43681</v>
      </c>
      <c r="L230" s="435">
        <f t="shared" si="88"/>
        <v>3.5392388464404734E-3</v>
      </c>
      <c r="M230" s="842"/>
      <c r="N230" s="842"/>
      <c r="O230" s="323">
        <f t="shared" si="89"/>
        <v>1.9584714227824439E-2</v>
      </c>
      <c r="P230" s="169">
        <f>(INDEX(Models!$BJ230:$BT230,,T230)*(1-R230)+INDEX(Models!$BJ230:$BT230,,T230+1)*R230-ERP_i)*Q230*Ramure*Pc/MaxiM</f>
        <v>0</v>
      </c>
      <c r="Q230" s="304">
        <f t="shared" si="90"/>
        <v>0.6</v>
      </c>
      <c r="R230" s="177">
        <f t="shared" si="91"/>
        <v>0.95196326335121162</v>
      </c>
      <c r="S230" s="799">
        <f t="shared" si="109"/>
        <v>-2</v>
      </c>
      <c r="T230" s="176">
        <f t="shared" si="92"/>
        <v>4</v>
      </c>
      <c r="U230" s="250">
        <f t="shared" si="93"/>
        <v>-1.0480367366487884</v>
      </c>
      <c r="V230" s="382">
        <f t="shared" si="94"/>
        <v>56.723277705040694</v>
      </c>
      <c r="W230" s="58"/>
      <c r="X230" s="157">
        <f t="shared" si="95"/>
        <v>43681</v>
      </c>
      <c r="Y230" s="383">
        <f t="shared" si="96"/>
        <v>54.026000000000003</v>
      </c>
      <c r="Z230" s="383">
        <f t="shared" si="97"/>
        <v>54.217890062681889</v>
      </c>
      <c r="AA230" s="384">
        <f t="shared" si="98"/>
        <v>55.300943232417936</v>
      </c>
      <c r="AB230" s="197">
        <f t="shared" si="99"/>
        <v>43681</v>
      </c>
      <c r="AC230" s="424">
        <f t="shared" si="100"/>
        <v>1.9584714227824439E-2</v>
      </c>
      <c r="AD230" s="169">
        <f>(INDEX(Models!$BJ230:$BT230,,AH230)*(1-AF230)+INDEX(Models!$BJ230:$BT230,,AH230+1)*AF230-ERP_i)*AE230*Ramure*Pc/MaxiM</f>
        <v>0</v>
      </c>
      <c r="AE230" s="304">
        <f t="shared" si="101"/>
        <v>0.6</v>
      </c>
      <c r="AF230" s="177">
        <f t="shared" si="102"/>
        <v>0.95196326335121162</v>
      </c>
      <c r="AG230" s="799">
        <f t="shared" si="103"/>
        <v>-2</v>
      </c>
      <c r="AH230" s="176">
        <f t="shared" si="104"/>
        <v>4</v>
      </c>
      <c r="AI230" s="224">
        <f t="shared" si="105"/>
        <v>-1.0480367366487884</v>
      </c>
      <c r="AJ230" s="264" t="b">
        <f t="shared" si="106"/>
        <v>0</v>
      </c>
      <c r="AK230" s="264" t="b">
        <f t="shared" si="107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108"/>
        <v>43682</v>
      </c>
      <c r="B231" s="607">
        <v>53.033000000000001</v>
      </c>
      <c r="C231" s="388"/>
      <c r="D231" s="391">
        <f t="shared" si="85"/>
        <v>53.222383110630297</v>
      </c>
      <c r="E231" s="383">
        <f t="shared" si="82"/>
        <v>54.290905028797162</v>
      </c>
      <c r="F231" s="383">
        <f t="shared" si="110"/>
        <v>54.290905028797162</v>
      </c>
      <c r="G231" s="110">
        <f t="shared" si="84"/>
        <v>0.93699293024310359</v>
      </c>
      <c r="I231" s="379">
        <f t="shared" si="86"/>
        <v>54.290905028797162</v>
      </c>
      <c r="J231" s="85">
        <v>2018</v>
      </c>
      <c r="K231" s="197">
        <f t="shared" si="87"/>
        <v>43682</v>
      </c>
      <c r="L231" s="435">
        <f t="shared" si="88"/>
        <v>3.5583357895988543E-3</v>
      </c>
      <c r="M231" s="842"/>
      <c r="N231" s="842"/>
      <c r="O231" s="323">
        <f t="shared" si="89"/>
        <v>1.9681416576129981E-2</v>
      </c>
      <c r="P231" s="169">
        <f>(INDEX(Models!$BJ231:$BT231,,T231)*(1-R231)+INDEX(Models!$BJ231:$BT231,,T231+1)*R231-ERP_i)*Q231*Ramure*Pc/MaxiM</f>
        <v>0</v>
      </c>
      <c r="Q231" s="304">
        <f t="shared" si="90"/>
        <v>0.6</v>
      </c>
      <c r="R231" s="177">
        <f t="shared" si="91"/>
        <v>0.95369492132485401</v>
      </c>
      <c r="S231" s="799">
        <f t="shared" si="109"/>
        <v>-2</v>
      </c>
      <c r="T231" s="176">
        <f t="shared" si="92"/>
        <v>4</v>
      </c>
      <c r="U231" s="250">
        <f t="shared" si="93"/>
        <v>-1.046305078675146</v>
      </c>
      <c r="V231" s="382">
        <f t="shared" si="94"/>
        <v>56.599146363079321</v>
      </c>
      <c r="W231" s="58"/>
      <c r="X231" s="157">
        <f t="shared" si="95"/>
        <v>43682</v>
      </c>
      <c r="Y231" s="383">
        <f t="shared" si="96"/>
        <v>53.033000000000001</v>
      </c>
      <c r="Z231" s="383">
        <f t="shared" si="97"/>
        <v>53.222383110630297</v>
      </c>
      <c r="AA231" s="384">
        <f t="shared" si="98"/>
        <v>54.290905028797162</v>
      </c>
      <c r="AB231" s="197">
        <f t="shared" si="99"/>
        <v>43682</v>
      </c>
      <c r="AC231" s="424">
        <f t="shared" si="100"/>
        <v>1.9681416576129981E-2</v>
      </c>
      <c r="AD231" s="169">
        <f>(INDEX(Models!$BJ231:$BT231,,AH231)*(1-AF231)+INDEX(Models!$BJ231:$BT231,,AH231+1)*AF231-ERP_i)*AE231*Ramure*Pc/MaxiM</f>
        <v>0</v>
      </c>
      <c r="AE231" s="304">
        <f t="shared" si="101"/>
        <v>0.6</v>
      </c>
      <c r="AF231" s="177">
        <f t="shared" si="102"/>
        <v>0.95369492132485401</v>
      </c>
      <c r="AG231" s="799">
        <f t="shared" si="103"/>
        <v>-2</v>
      </c>
      <c r="AH231" s="176">
        <f t="shared" si="104"/>
        <v>4</v>
      </c>
      <c r="AI231" s="224">
        <f t="shared" si="105"/>
        <v>-1.046305078675146</v>
      </c>
      <c r="AJ231" s="264" t="b">
        <f t="shared" si="106"/>
        <v>0</v>
      </c>
      <c r="AK231" s="264" t="b">
        <f t="shared" si="107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108"/>
        <v>43683</v>
      </c>
      <c r="B232" s="607">
        <v>40.154000000000003</v>
      </c>
      <c r="C232" s="388"/>
      <c r="D232" s="391">
        <f t="shared" si="85"/>
        <v>40.298163956057749</v>
      </c>
      <c r="E232" s="383">
        <f t="shared" si="82"/>
        <v>41.111261632808677</v>
      </c>
      <c r="F232" s="383">
        <f t="shared" si="110"/>
        <v>41.111261632808677</v>
      </c>
      <c r="G232" s="110">
        <f t="shared" si="84"/>
        <v>0.71102762273376707</v>
      </c>
      <c r="I232" s="379">
        <f t="shared" si="86"/>
        <v>41.111261632808677</v>
      </c>
      <c r="J232" s="85">
        <v>2018</v>
      </c>
      <c r="K232" s="197">
        <f t="shared" si="87"/>
        <v>43683</v>
      </c>
      <c r="L232" s="435">
        <f t="shared" si="88"/>
        <v>3.5774323667685515E-3</v>
      </c>
      <c r="M232" s="842"/>
      <c r="N232" s="842"/>
      <c r="O232" s="323">
        <f t="shared" si="89"/>
        <v>1.9777979182765838E-2</v>
      </c>
      <c r="P232" s="169">
        <f>(INDEX(Models!$BJ232:$BT232,,T232)*(1-R232)+INDEX(Models!$BJ232:$BT232,,T232+1)*R232-ERP_i)*Q232*Ramure*Pc/MaxiM</f>
        <v>0</v>
      </c>
      <c r="Q232" s="304">
        <f t="shared" si="90"/>
        <v>0.6</v>
      </c>
      <c r="R232" s="177">
        <f t="shared" si="91"/>
        <v>0.95536933863438556</v>
      </c>
      <c r="S232" s="799">
        <f t="shared" si="109"/>
        <v>-2</v>
      </c>
      <c r="T232" s="176">
        <f t="shared" si="92"/>
        <v>4</v>
      </c>
      <c r="U232" s="250">
        <f t="shared" si="93"/>
        <v>-1.0446306613656144</v>
      </c>
      <c r="V232" s="382">
        <f t="shared" si="94"/>
        <v>56.473192765163532</v>
      </c>
      <c r="W232" s="58"/>
      <c r="X232" s="157">
        <f t="shared" si="95"/>
        <v>43683</v>
      </c>
      <c r="Y232" s="383">
        <f t="shared" si="96"/>
        <v>40.154000000000003</v>
      </c>
      <c r="Z232" s="383">
        <f t="shared" si="97"/>
        <v>40.298163956057749</v>
      </c>
      <c r="AA232" s="384">
        <f t="shared" si="98"/>
        <v>41.111261632808677</v>
      </c>
      <c r="AB232" s="197">
        <f t="shared" si="99"/>
        <v>43683</v>
      </c>
      <c r="AC232" s="424">
        <f t="shared" si="100"/>
        <v>1.9777979182765838E-2</v>
      </c>
      <c r="AD232" s="169">
        <f>(INDEX(Models!$BJ232:$BT232,,AH232)*(1-AF232)+INDEX(Models!$BJ232:$BT232,,AH232+1)*AF232-ERP_i)*AE232*Ramure*Pc/MaxiM</f>
        <v>0</v>
      </c>
      <c r="AE232" s="304">
        <f t="shared" si="101"/>
        <v>0.6</v>
      </c>
      <c r="AF232" s="177">
        <f t="shared" si="102"/>
        <v>0.95536933863438556</v>
      </c>
      <c r="AG232" s="799">
        <f t="shared" si="103"/>
        <v>-2</v>
      </c>
      <c r="AH232" s="176">
        <f t="shared" si="104"/>
        <v>4</v>
      </c>
      <c r="AI232" s="224">
        <f t="shared" si="105"/>
        <v>-1.0446306613656144</v>
      </c>
      <c r="AJ232" s="264" t="b">
        <f t="shared" si="106"/>
        <v>0</v>
      </c>
      <c r="AK232" s="264" t="b">
        <f t="shared" si="107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108"/>
        <v>43684</v>
      </c>
      <c r="B233" s="607">
        <v>41.682000000000002</v>
      </c>
      <c r="C233" s="388"/>
      <c r="D233" s="391">
        <f t="shared" si="85"/>
        <v>41.832451607693059</v>
      </c>
      <c r="E233" s="383">
        <f t="shared" ref="E233:E296" si="111">Wh_pvt/(1-Psa)</f>
        <v>42.680705123013063</v>
      </c>
      <c r="F233" s="383">
        <f t="shared" si="110"/>
        <v>42.680705123013063</v>
      </c>
      <c r="G233" s="110">
        <f t="shared" ref="G233:G296" si="112">+Wh_hp/MaxiM</f>
        <v>0.73975939353500286</v>
      </c>
      <c r="I233" s="379">
        <f t="shared" si="86"/>
        <v>42.680705123013063</v>
      </c>
      <c r="J233" s="85">
        <v>2018</v>
      </c>
      <c r="K233" s="197">
        <f t="shared" si="87"/>
        <v>43684</v>
      </c>
      <c r="L233" s="435">
        <f t="shared" si="88"/>
        <v>3.5965285779566702E-3</v>
      </c>
      <c r="M233" s="842"/>
      <c r="N233" s="842"/>
      <c r="O233" s="323">
        <f t="shared" si="89"/>
        <v>1.9874402563762567E-2</v>
      </c>
      <c r="P233" s="169">
        <f>(INDEX(Models!$BJ233:$BT233,,T233)*(1-R233)+INDEX(Models!$BJ233:$BT233,,T233+1)*R233-ERP_i)*Q233*Ramure*Pc/MaxiM</f>
        <v>0</v>
      </c>
      <c r="Q233" s="304">
        <f t="shared" si="90"/>
        <v>0.6</v>
      </c>
      <c r="R233" s="177">
        <f t="shared" si="91"/>
        <v>0.95698796251394902</v>
      </c>
      <c r="S233" s="799">
        <f t="shared" si="109"/>
        <v>-2</v>
      </c>
      <c r="T233" s="176">
        <f t="shared" si="92"/>
        <v>4</v>
      </c>
      <c r="U233" s="250">
        <f t="shared" si="93"/>
        <v>-1.043012037486051</v>
      </c>
      <c r="V233" s="382">
        <f t="shared" si="94"/>
        <v>56.345347371419017</v>
      </c>
      <c r="W233" s="58"/>
      <c r="X233" s="157">
        <f t="shared" si="95"/>
        <v>43684</v>
      </c>
      <c r="Y233" s="383">
        <f t="shared" si="96"/>
        <v>41.682000000000002</v>
      </c>
      <c r="Z233" s="383">
        <f t="shared" si="97"/>
        <v>41.832451607693059</v>
      </c>
      <c r="AA233" s="384">
        <f t="shared" si="98"/>
        <v>42.680705123013063</v>
      </c>
      <c r="AB233" s="197">
        <f t="shared" si="99"/>
        <v>43684</v>
      </c>
      <c r="AC233" s="424">
        <f t="shared" si="100"/>
        <v>1.9874402563762567E-2</v>
      </c>
      <c r="AD233" s="169">
        <f>(INDEX(Models!$BJ233:$BT233,,AH233)*(1-AF233)+INDEX(Models!$BJ233:$BT233,,AH233+1)*AF233-ERP_i)*AE233*Ramure*Pc/MaxiM</f>
        <v>0</v>
      </c>
      <c r="AE233" s="304">
        <f t="shared" si="101"/>
        <v>0.6</v>
      </c>
      <c r="AF233" s="177">
        <f t="shared" si="102"/>
        <v>0.95698796251394902</v>
      </c>
      <c r="AG233" s="799">
        <f t="shared" si="103"/>
        <v>-2</v>
      </c>
      <c r="AH233" s="176">
        <f t="shared" si="104"/>
        <v>4</v>
      </c>
      <c r="AI233" s="224">
        <f t="shared" si="105"/>
        <v>-1.043012037486051</v>
      </c>
      <c r="AJ233" s="264" t="b">
        <f t="shared" si="106"/>
        <v>0</v>
      </c>
      <c r="AK233" s="264" t="b">
        <f t="shared" si="107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108"/>
        <v>43685</v>
      </c>
      <c r="B234" s="607">
        <v>53.189</v>
      </c>
      <c r="C234" s="388"/>
      <c r="D234" s="391">
        <f t="shared" si="85"/>
        <v>53.382009296570587</v>
      </c>
      <c r="E234" s="383">
        <f t="shared" si="111"/>
        <v>54.469808791915916</v>
      </c>
      <c r="F234" s="383">
        <f t="shared" si="110"/>
        <v>54.469808791915916</v>
      </c>
      <c r="G234" s="110">
        <f t="shared" si="112"/>
        <v>0.94615949045592262</v>
      </c>
      <c r="I234" s="379">
        <f t="shared" si="86"/>
        <v>54.469808791915916</v>
      </c>
      <c r="J234" s="85">
        <v>2018</v>
      </c>
      <c r="K234" s="197">
        <f t="shared" si="87"/>
        <v>43685</v>
      </c>
      <c r="L234" s="435">
        <f t="shared" si="88"/>
        <v>3.6156244231703161E-3</v>
      </c>
      <c r="M234" s="842"/>
      <c r="N234" s="842"/>
      <c r="O234" s="323">
        <f t="shared" si="89"/>
        <v>1.9970686871711069E-2</v>
      </c>
      <c r="P234" s="169">
        <f>(INDEX(Models!$BJ234:$BT234,,T234)*(1-R234)+INDEX(Models!$BJ234:$BT234,,T234+1)*R234-ERP_i)*Q234*Ramure*Pc/MaxiM</f>
        <v>0</v>
      </c>
      <c r="Q234" s="304">
        <f t="shared" si="90"/>
        <v>0.6</v>
      </c>
      <c r="R234" s="177">
        <f t="shared" si="91"/>
        <v>0.9585522364468706</v>
      </c>
      <c r="S234" s="799">
        <f t="shared" si="109"/>
        <v>-2</v>
      </c>
      <c r="T234" s="176">
        <f t="shared" si="92"/>
        <v>4</v>
      </c>
      <c r="U234" s="250">
        <f t="shared" si="93"/>
        <v>-1.0414477635531294</v>
      </c>
      <c r="V234" s="382">
        <f t="shared" si="94"/>
        <v>56.215680904252203</v>
      </c>
      <c r="W234" s="58"/>
      <c r="X234" s="157">
        <f t="shared" si="95"/>
        <v>43685</v>
      </c>
      <c r="Y234" s="383">
        <f t="shared" si="96"/>
        <v>53.189</v>
      </c>
      <c r="Z234" s="383">
        <f t="shared" si="97"/>
        <v>53.382009296570587</v>
      </c>
      <c r="AA234" s="384">
        <f t="shared" si="98"/>
        <v>54.469808791915916</v>
      </c>
      <c r="AB234" s="197">
        <f t="shared" si="99"/>
        <v>43685</v>
      </c>
      <c r="AC234" s="424">
        <f t="shared" si="100"/>
        <v>1.9970686871711069E-2</v>
      </c>
      <c r="AD234" s="169">
        <f>(INDEX(Models!$BJ234:$BT234,,AH234)*(1-AF234)+INDEX(Models!$BJ234:$BT234,,AH234+1)*AF234-ERP_i)*AE234*Ramure*Pc/MaxiM</f>
        <v>0</v>
      </c>
      <c r="AE234" s="304">
        <f t="shared" si="101"/>
        <v>0.6</v>
      </c>
      <c r="AF234" s="177">
        <f t="shared" si="102"/>
        <v>0.9585522364468706</v>
      </c>
      <c r="AG234" s="799">
        <f t="shared" si="103"/>
        <v>-2</v>
      </c>
      <c r="AH234" s="176">
        <f t="shared" si="104"/>
        <v>4</v>
      </c>
      <c r="AI234" s="224">
        <f t="shared" si="105"/>
        <v>-1.0414477635531294</v>
      </c>
      <c r="AJ234" s="264" t="b">
        <f t="shared" si="106"/>
        <v>0</v>
      </c>
      <c r="AK234" s="264" t="b">
        <f t="shared" si="107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108"/>
        <v>43686</v>
      </c>
      <c r="B235" s="607">
        <v>52.875</v>
      </c>
      <c r="C235" s="388"/>
      <c r="D235" s="391">
        <f t="shared" si="85"/>
        <v>53.067886904711742</v>
      </c>
      <c r="E235" s="383">
        <f t="shared" si="111"/>
        <v>54.154598122309835</v>
      </c>
      <c r="F235" s="383">
        <f t="shared" si="110"/>
        <v>54.154598122309835</v>
      </c>
      <c r="G235" s="110">
        <f t="shared" si="112"/>
        <v>0.94277722695232902</v>
      </c>
      <c r="I235" s="379">
        <f t="shared" si="86"/>
        <v>54.154598122309835</v>
      </c>
      <c r="J235" s="85">
        <v>2018</v>
      </c>
      <c r="K235" s="197">
        <f t="shared" si="87"/>
        <v>43686</v>
      </c>
      <c r="L235" s="435">
        <f t="shared" si="88"/>
        <v>3.6347199024164834E-3</v>
      </c>
      <c r="M235" s="842"/>
      <c r="N235" s="842"/>
      <c r="O235" s="323">
        <f t="shared" si="89"/>
        <v>2.0066831908598499E-2</v>
      </c>
      <c r="P235" s="169">
        <f>(INDEX(Models!$BJ235:$BT235,,T235)*(1-R235)+INDEX(Models!$BJ235:$BT235,,T235+1)*R235-ERP_i)*Q235*Ramure*Pc/MaxiM</f>
        <v>0</v>
      </c>
      <c r="Q235" s="304">
        <f t="shared" si="90"/>
        <v>0.6</v>
      </c>
      <c r="R235" s="177">
        <f t="shared" si="91"/>
        <v>0.96006359731549895</v>
      </c>
      <c r="S235" s="799">
        <f t="shared" si="109"/>
        <v>-2</v>
      </c>
      <c r="T235" s="176">
        <f t="shared" si="92"/>
        <v>4</v>
      </c>
      <c r="U235" s="250">
        <f t="shared" si="93"/>
        <v>-1.039936402684501</v>
      </c>
      <c r="V235" s="382">
        <f t="shared" si="94"/>
        <v>56.084299120086392</v>
      </c>
      <c r="W235" s="58"/>
      <c r="X235" s="157">
        <f t="shared" si="95"/>
        <v>43686</v>
      </c>
      <c r="Y235" s="383">
        <f t="shared" si="96"/>
        <v>52.875</v>
      </c>
      <c r="Z235" s="383">
        <f t="shared" si="97"/>
        <v>53.067886904711742</v>
      </c>
      <c r="AA235" s="384">
        <f t="shared" si="98"/>
        <v>54.154598122309835</v>
      </c>
      <c r="AB235" s="197">
        <f t="shared" si="99"/>
        <v>43686</v>
      </c>
      <c r="AC235" s="424">
        <f t="shared" si="100"/>
        <v>2.0066831908598499E-2</v>
      </c>
      <c r="AD235" s="169">
        <f>(INDEX(Models!$BJ235:$BT235,,AH235)*(1-AF235)+INDEX(Models!$BJ235:$BT235,,AH235+1)*AF235-ERP_i)*AE235*Ramure*Pc/MaxiM</f>
        <v>0</v>
      </c>
      <c r="AE235" s="304">
        <f t="shared" si="101"/>
        <v>0.6</v>
      </c>
      <c r="AF235" s="177">
        <f t="shared" si="102"/>
        <v>0.96006359731549895</v>
      </c>
      <c r="AG235" s="799">
        <f t="shared" si="103"/>
        <v>-2</v>
      </c>
      <c r="AH235" s="176">
        <f t="shared" si="104"/>
        <v>4</v>
      </c>
      <c r="AI235" s="224">
        <f t="shared" si="105"/>
        <v>-1.039936402684501</v>
      </c>
      <c r="AJ235" s="264" t="b">
        <f t="shared" si="106"/>
        <v>0</v>
      </c>
      <c r="AK235" s="264" t="b">
        <f t="shared" si="107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108"/>
        <v>43687</v>
      </c>
      <c r="B236" s="607">
        <v>39.710999999999999</v>
      </c>
      <c r="C236" s="388"/>
      <c r="D236" s="391">
        <f t="shared" si="85"/>
        <v>39.856628748596883</v>
      </c>
      <c r="E236" s="383">
        <f t="shared" si="111"/>
        <v>40.676788204546803</v>
      </c>
      <c r="F236" s="383">
        <f t="shared" si="110"/>
        <v>40.676788204546803</v>
      </c>
      <c r="G236" s="110">
        <f t="shared" si="112"/>
        <v>0.70974212402861625</v>
      </c>
      <c r="I236" s="379">
        <f t="shared" si="86"/>
        <v>40.676788204546803</v>
      </c>
      <c r="J236" s="85">
        <v>2018</v>
      </c>
      <c r="K236" s="197">
        <f t="shared" si="87"/>
        <v>43687</v>
      </c>
      <c r="L236" s="435">
        <f t="shared" si="88"/>
        <v>3.6538150157020555E-3</v>
      </c>
      <c r="M236" s="842"/>
      <c r="N236" s="842"/>
      <c r="O236" s="323">
        <f t="shared" si="89"/>
        <v>2.0162837140082861E-2</v>
      </c>
      <c r="P236" s="169">
        <f>(INDEX(Models!$BJ236:$BT236,,T236)*(1-R236)+INDEX(Models!$BJ236:$BT236,,T236+1)*R236-ERP_i)*Q236*Ramure*Pc/MaxiM</f>
        <v>0</v>
      </c>
      <c r="Q236" s="304">
        <f t="shared" si="90"/>
        <v>0.6</v>
      </c>
      <c r="R236" s="177">
        <f t="shared" si="91"/>
        <v>0.96152347278139594</v>
      </c>
      <c r="S236" s="799">
        <f t="shared" si="109"/>
        <v>-2</v>
      </c>
      <c r="T236" s="176">
        <f t="shared" si="92"/>
        <v>4</v>
      </c>
      <c r="U236" s="250">
        <f t="shared" si="93"/>
        <v>-1.0384765272186041</v>
      </c>
      <c r="V236" s="382">
        <f t="shared" si="94"/>
        <v>55.951307743428913</v>
      </c>
      <c r="W236" s="58"/>
      <c r="X236" s="157">
        <f t="shared" si="95"/>
        <v>43687</v>
      </c>
      <c r="Y236" s="383">
        <f t="shared" si="96"/>
        <v>39.710999999999999</v>
      </c>
      <c r="Z236" s="383">
        <f t="shared" si="97"/>
        <v>39.856628748596883</v>
      </c>
      <c r="AA236" s="384">
        <f t="shared" si="98"/>
        <v>40.676788204546803</v>
      </c>
      <c r="AB236" s="197">
        <f t="shared" si="99"/>
        <v>43687</v>
      </c>
      <c r="AC236" s="424">
        <f t="shared" si="100"/>
        <v>2.0162837140082861E-2</v>
      </c>
      <c r="AD236" s="169">
        <f>(INDEX(Models!$BJ236:$BT236,,AH236)*(1-AF236)+INDEX(Models!$BJ236:$BT236,,AH236+1)*AF236-ERP_i)*AE236*Ramure*Pc/MaxiM</f>
        <v>0</v>
      </c>
      <c r="AE236" s="304">
        <f t="shared" si="101"/>
        <v>0.6</v>
      </c>
      <c r="AF236" s="177">
        <f t="shared" si="102"/>
        <v>0.96152347278139594</v>
      </c>
      <c r="AG236" s="799">
        <f t="shared" si="103"/>
        <v>-2</v>
      </c>
      <c r="AH236" s="176">
        <f t="shared" si="104"/>
        <v>4</v>
      </c>
      <c r="AI236" s="224">
        <f t="shared" si="105"/>
        <v>-1.0384765272186041</v>
      </c>
      <c r="AJ236" s="264" t="b">
        <f t="shared" si="106"/>
        <v>0</v>
      </c>
      <c r="AK236" s="264" t="b">
        <f t="shared" si="107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108"/>
        <v>43688</v>
      </c>
      <c r="B237" s="607">
        <v>26.128</v>
      </c>
      <c r="C237" s="388"/>
      <c r="D237" s="391">
        <f t="shared" si="85"/>
        <v>26.224319559338426</v>
      </c>
      <c r="E237" s="383">
        <f t="shared" si="111"/>
        <v>26.766575630866079</v>
      </c>
      <c r="F237" s="383">
        <f t="shared" si="110"/>
        <v>26.766575630866079</v>
      </c>
      <c r="G237" s="110">
        <f t="shared" si="112"/>
        <v>0.46810268888135864</v>
      </c>
      <c r="I237" s="379">
        <f t="shared" si="86"/>
        <v>26.766575630866079</v>
      </c>
      <c r="J237" s="85">
        <v>2018</v>
      </c>
      <c r="K237" s="197">
        <f t="shared" si="87"/>
        <v>43688</v>
      </c>
      <c r="L237" s="435">
        <f t="shared" si="88"/>
        <v>3.6729097630342489E-3</v>
      </c>
      <c r="M237" s="842"/>
      <c r="N237" s="842"/>
      <c r="O237" s="323">
        <f t="shared" si="89"/>
        <v>2.0258701710888512E-2</v>
      </c>
      <c r="P237" s="169">
        <f>(INDEX(Models!$BJ237:$BT237,,T237)*(1-R237)+INDEX(Models!$BJ237:$BT237,,T237+1)*R237-ERP_i)*Q237*Ramure*Pc/MaxiM</f>
        <v>0</v>
      </c>
      <c r="Q237" s="304">
        <f t="shared" si="90"/>
        <v>0.6</v>
      </c>
      <c r="R237" s="177">
        <f t="shared" si="91"/>
        <v>0.9629332788877385</v>
      </c>
      <c r="S237" s="799">
        <f t="shared" si="109"/>
        <v>-2</v>
      </c>
      <c r="T237" s="176">
        <f t="shared" si="92"/>
        <v>4</v>
      </c>
      <c r="U237" s="250">
        <f t="shared" si="93"/>
        <v>-1.0370667211122615</v>
      </c>
      <c r="V237" s="382">
        <f t="shared" si="94"/>
        <v>55.816812465741222</v>
      </c>
      <c r="W237" s="58"/>
      <c r="X237" s="157">
        <f t="shared" si="95"/>
        <v>43688</v>
      </c>
      <c r="Y237" s="383">
        <f t="shared" si="96"/>
        <v>26.128</v>
      </c>
      <c r="Z237" s="383">
        <f t="shared" si="97"/>
        <v>26.224319559338426</v>
      </c>
      <c r="AA237" s="384">
        <f t="shared" si="98"/>
        <v>26.766575630866079</v>
      </c>
      <c r="AB237" s="197">
        <f t="shared" si="99"/>
        <v>43688</v>
      </c>
      <c r="AC237" s="424">
        <f t="shared" si="100"/>
        <v>2.0258701710888512E-2</v>
      </c>
      <c r="AD237" s="169">
        <f>(INDEX(Models!$BJ237:$BT237,,AH237)*(1-AF237)+INDEX(Models!$BJ237:$BT237,,AH237+1)*AF237-ERP_i)*AE237*Ramure*Pc/MaxiM</f>
        <v>0</v>
      </c>
      <c r="AE237" s="304">
        <f t="shared" si="101"/>
        <v>0.6</v>
      </c>
      <c r="AF237" s="177">
        <f t="shared" si="102"/>
        <v>0.9629332788877385</v>
      </c>
      <c r="AG237" s="799">
        <f t="shared" si="103"/>
        <v>-2</v>
      </c>
      <c r="AH237" s="176">
        <f t="shared" si="104"/>
        <v>4</v>
      </c>
      <c r="AI237" s="224">
        <f t="shared" si="105"/>
        <v>-1.0370667211122615</v>
      </c>
      <c r="AJ237" s="264" t="b">
        <f t="shared" si="106"/>
        <v>0</v>
      </c>
      <c r="AK237" s="264" t="b">
        <f t="shared" si="107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108"/>
        <v>43689</v>
      </c>
      <c r="B238" s="607">
        <v>27.725999999999999</v>
      </c>
      <c r="C238" s="388"/>
      <c r="D238" s="391">
        <f t="shared" si="85"/>
        <v>27.828743837582351</v>
      </c>
      <c r="E238" s="383">
        <f t="shared" si="111"/>
        <v>28.406950975377992</v>
      </c>
      <c r="F238" s="383">
        <f t="shared" si="110"/>
        <v>28.406950975377992</v>
      </c>
      <c r="G238" s="110">
        <f t="shared" si="112"/>
        <v>0.49794436811012949</v>
      </c>
      <c r="I238" s="379">
        <f t="shared" si="86"/>
        <v>28.406950975377992</v>
      </c>
      <c r="J238" s="85">
        <v>2018</v>
      </c>
      <c r="K238" s="197">
        <f t="shared" si="87"/>
        <v>43689</v>
      </c>
      <c r="L238" s="435">
        <f t="shared" si="88"/>
        <v>3.6920041444198359E-3</v>
      </c>
      <c r="M238" s="842"/>
      <c r="N238" s="842"/>
      <c r="O238" s="323">
        <f t="shared" si="89"/>
        <v>2.0354424460999214E-2</v>
      </c>
      <c r="P238" s="169">
        <f>(INDEX(Models!$BJ238:$BT238,,T238)*(1-R238)+INDEX(Models!$BJ238:$BT238,,T238+1)*R238-ERP_i)*Q238*Ramure*Pc/MaxiM</f>
        <v>0</v>
      </c>
      <c r="Q238" s="304">
        <f t="shared" si="90"/>
        <v>0.6</v>
      </c>
      <c r="R238" s="177">
        <f t="shared" si="91"/>
        <v>0.96429441787530457</v>
      </c>
      <c r="S238" s="799">
        <f t="shared" si="109"/>
        <v>-2</v>
      </c>
      <c r="T238" s="176">
        <f t="shared" si="92"/>
        <v>4</v>
      </c>
      <c r="U238" s="250">
        <f t="shared" si="93"/>
        <v>-1.0357055821246954</v>
      </c>
      <c r="V238" s="382">
        <f t="shared" si="94"/>
        <v>55.680918945282436</v>
      </c>
      <c r="W238" s="58"/>
      <c r="X238" s="157">
        <f t="shared" si="95"/>
        <v>43689</v>
      </c>
      <c r="Y238" s="383">
        <f t="shared" si="96"/>
        <v>27.725999999999999</v>
      </c>
      <c r="Z238" s="383">
        <f t="shared" si="97"/>
        <v>27.828743837582351</v>
      </c>
      <c r="AA238" s="384">
        <f t="shared" si="98"/>
        <v>28.406950975377992</v>
      </c>
      <c r="AB238" s="197">
        <f t="shared" si="99"/>
        <v>43689</v>
      </c>
      <c r="AC238" s="424">
        <f t="shared" si="100"/>
        <v>2.0354424460999214E-2</v>
      </c>
      <c r="AD238" s="169">
        <f>(INDEX(Models!$BJ238:$BT238,,AH238)*(1-AF238)+INDEX(Models!$BJ238:$BT238,,AH238+1)*AF238-ERP_i)*AE238*Ramure*Pc/MaxiM</f>
        <v>0</v>
      </c>
      <c r="AE238" s="304">
        <f t="shared" si="101"/>
        <v>0.6</v>
      </c>
      <c r="AF238" s="177">
        <f t="shared" si="102"/>
        <v>0.96429441787530457</v>
      </c>
      <c r="AG238" s="799">
        <f t="shared" si="103"/>
        <v>-2</v>
      </c>
      <c r="AH238" s="176">
        <f t="shared" si="104"/>
        <v>4</v>
      </c>
      <c r="AI238" s="224">
        <f t="shared" si="105"/>
        <v>-1.0357055821246954</v>
      </c>
      <c r="AJ238" s="264" t="b">
        <f t="shared" si="106"/>
        <v>0</v>
      </c>
      <c r="AK238" s="264" t="b">
        <f t="shared" si="107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108"/>
        <v>43690</v>
      </c>
      <c r="B239" s="607">
        <v>48.948999999999998</v>
      </c>
      <c r="C239" s="388"/>
      <c r="D239" s="391">
        <f t="shared" si="85"/>
        <v>49.131331192781296</v>
      </c>
      <c r="E239" s="383">
        <f t="shared" si="111"/>
        <v>50.157042918193603</v>
      </c>
      <c r="F239" s="383">
        <f t="shared" si="110"/>
        <v>50.157042918193603</v>
      </c>
      <c r="G239" s="110">
        <f t="shared" si="112"/>
        <v>0.88126954253028378</v>
      </c>
      <c r="I239" s="379">
        <f t="shared" si="86"/>
        <v>50.157042918193603</v>
      </c>
      <c r="J239" s="85">
        <v>2018</v>
      </c>
      <c r="K239" s="197">
        <f t="shared" si="87"/>
        <v>43690</v>
      </c>
      <c r="L239" s="435">
        <f t="shared" si="88"/>
        <v>3.7110981598660331E-3</v>
      </c>
      <c r="M239" s="842"/>
      <c r="N239" s="842"/>
      <c r="O239" s="323">
        <f t="shared" si="89"/>
        <v>2.0450003942322621E-2</v>
      </c>
      <c r="P239" s="169">
        <f>(INDEX(Models!$BJ239:$BT239,,T239)*(1-R239)+INDEX(Models!$BJ239:$BT239,,T239+1)*R239-ERP_i)*Q239*Ramure*Pc/MaxiM</f>
        <v>0</v>
      </c>
      <c r="Q239" s="304">
        <f t="shared" si="90"/>
        <v>0.6</v>
      </c>
      <c r="R239" s="177">
        <f t="shared" si="91"/>
        <v>0.96560827620304823</v>
      </c>
      <c r="S239" s="799">
        <f t="shared" si="109"/>
        <v>-2</v>
      </c>
      <c r="T239" s="176">
        <f t="shared" si="92"/>
        <v>4</v>
      </c>
      <c r="U239" s="250">
        <f t="shared" si="93"/>
        <v>-1.0343917237969518</v>
      </c>
      <c r="V239" s="382">
        <f t="shared" si="94"/>
        <v>55.543732805582486</v>
      </c>
      <c r="W239" s="58"/>
      <c r="X239" s="157">
        <f t="shared" si="95"/>
        <v>43690</v>
      </c>
      <c r="Y239" s="383">
        <f t="shared" si="96"/>
        <v>48.948999999999998</v>
      </c>
      <c r="Z239" s="383">
        <f t="shared" si="97"/>
        <v>49.131331192781296</v>
      </c>
      <c r="AA239" s="384">
        <f t="shared" si="98"/>
        <v>50.157042918193603</v>
      </c>
      <c r="AB239" s="197">
        <f t="shared" si="99"/>
        <v>43690</v>
      </c>
      <c r="AC239" s="424">
        <f t="shared" si="100"/>
        <v>2.0450003942322621E-2</v>
      </c>
      <c r="AD239" s="169">
        <f>(INDEX(Models!$BJ239:$BT239,,AH239)*(1-AF239)+INDEX(Models!$BJ239:$BT239,,AH239+1)*AF239-ERP_i)*AE239*Ramure*Pc/MaxiM</f>
        <v>0</v>
      </c>
      <c r="AE239" s="304">
        <f t="shared" si="101"/>
        <v>0.6</v>
      </c>
      <c r="AF239" s="177">
        <f t="shared" si="102"/>
        <v>0.96560827620304823</v>
      </c>
      <c r="AG239" s="799">
        <f t="shared" si="103"/>
        <v>-2</v>
      </c>
      <c r="AH239" s="176">
        <f t="shared" si="104"/>
        <v>4</v>
      </c>
      <c r="AI239" s="224">
        <f t="shared" si="105"/>
        <v>-1.0343917237969518</v>
      </c>
      <c r="AJ239" s="264" t="b">
        <f t="shared" si="106"/>
        <v>0</v>
      </c>
      <c r="AK239" s="264" t="b">
        <f t="shared" si="107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108"/>
        <v>43691</v>
      </c>
      <c r="B240" s="607">
        <v>55.862000000000002</v>
      </c>
      <c r="C240" s="388"/>
      <c r="D240" s="391">
        <f t="shared" si="85"/>
        <v>56.071156167478385</v>
      </c>
      <c r="E240" s="383">
        <f t="shared" si="111"/>
        <v>57.247327612538889</v>
      </c>
      <c r="F240" s="383">
        <f t="shared" si="110"/>
        <v>57.247327740538942</v>
      </c>
      <c r="G240" s="110">
        <f t="shared" si="112"/>
        <v>1.0082418107933044</v>
      </c>
      <c r="I240" s="379">
        <f t="shared" si="86"/>
        <v>57.247327740538942</v>
      </c>
      <c r="J240" s="85">
        <v>2018</v>
      </c>
      <c r="K240" s="197">
        <f t="shared" si="87"/>
        <v>43691</v>
      </c>
      <c r="L240" s="435">
        <f t="shared" si="88"/>
        <v>3.7301918093798347E-3</v>
      </c>
      <c r="M240" s="842"/>
      <c r="N240" s="842"/>
      <c r="O240" s="323">
        <f t="shared" si="89"/>
        <v>2.0545438435503244E-2</v>
      </c>
      <c r="P240" s="169">
        <f>(INDEX(Models!$BJ240:$BT240,,T240)*(1-R240)+INDEX(Models!$BJ240:$BT240,,T240+1)*R240-ERP_i)*Q240*Ramure*Pc/MaxiM</f>
        <v>2.2359130823930013E-9</v>
      </c>
      <c r="Q240" s="304">
        <f t="shared" si="90"/>
        <v>0.6</v>
      </c>
      <c r="R240" s="177">
        <f t="shared" si="91"/>
        <v>0.9668762227639971</v>
      </c>
      <c r="S240" s="799">
        <f t="shared" si="109"/>
        <v>-2</v>
      </c>
      <c r="T240" s="176">
        <f t="shared" si="92"/>
        <v>4</v>
      </c>
      <c r="U240" s="250">
        <f t="shared" si="93"/>
        <v>-1.0331237772360029</v>
      </c>
      <c r="V240" s="382">
        <f t="shared" si="94"/>
        <v>55.405359509983711</v>
      </c>
      <c r="W240" s="58"/>
      <c r="X240" s="157">
        <f t="shared" si="95"/>
        <v>43691</v>
      </c>
      <c r="Y240" s="383">
        <f t="shared" si="96"/>
        <v>55.862000000000002</v>
      </c>
      <c r="Z240" s="383">
        <f t="shared" si="97"/>
        <v>56.071156167478385</v>
      </c>
      <c r="AA240" s="384">
        <f t="shared" si="98"/>
        <v>57.247327612538889</v>
      </c>
      <c r="AB240" s="197">
        <f t="shared" si="99"/>
        <v>43691</v>
      </c>
      <c r="AC240" s="424">
        <f t="shared" si="100"/>
        <v>2.0545438435503244E-2</v>
      </c>
      <c r="AD240" s="169">
        <f>(INDEX(Models!$BJ240:$BT240,,AH240)*(1-AF240)+INDEX(Models!$BJ240:$BT240,,AH240+1)*AF240-ERP_i)*AE240*Ramure*Pc/MaxiM</f>
        <v>2.2359130823930013E-9</v>
      </c>
      <c r="AE240" s="304">
        <f t="shared" si="101"/>
        <v>0.6</v>
      </c>
      <c r="AF240" s="177">
        <f t="shared" si="102"/>
        <v>0.9668762227639971</v>
      </c>
      <c r="AG240" s="799">
        <f t="shared" si="103"/>
        <v>-2</v>
      </c>
      <c r="AH240" s="176">
        <f t="shared" si="104"/>
        <v>4</v>
      </c>
      <c r="AI240" s="224">
        <f t="shared" si="105"/>
        <v>-1.0331237772360029</v>
      </c>
      <c r="AJ240" s="264" t="b">
        <f t="shared" si="106"/>
        <v>0</v>
      </c>
      <c r="AK240" s="264" t="b">
        <f t="shared" si="107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108"/>
        <v>43692</v>
      </c>
      <c r="B241" s="607">
        <v>27.617000000000001</v>
      </c>
      <c r="C241" s="388"/>
      <c r="D241" s="391">
        <f t="shared" si="85"/>
        <v>27.720933683422416</v>
      </c>
      <c r="E241" s="383">
        <f t="shared" si="111"/>
        <v>28.305173002809681</v>
      </c>
      <c r="F241" s="383">
        <f t="shared" si="110"/>
        <v>28.305173057224643</v>
      </c>
      <c r="G241" s="110">
        <f t="shared" si="112"/>
        <v>0.49971135119482224</v>
      </c>
      <c r="I241" s="379">
        <f t="shared" si="86"/>
        <v>28.305173057224643</v>
      </c>
      <c r="J241" s="85">
        <v>2018</v>
      </c>
      <c r="K241" s="197">
        <f t="shared" si="87"/>
        <v>43692</v>
      </c>
      <c r="L241" s="435">
        <f t="shared" si="88"/>
        <v>3.7492850929681243E-3</v>
      </c>
      <c r="M241" s="842"/>
      <c r="N241" s="842"/>
      <c r="O241" s="323">
        <f t="shared" si="89"/>
        <v>2.0640725966566974E-2</v>
      </c>
      <c r="P241" s="169">
        <f>(INDEX(Models!$BJ241:$BT241,,T241)*(1-R241)+INDEX(Models!$BJ241:$BT241,,T241+1)*R241-ERP_i)*Q241*Ramure*Pc/MaxiM</f>
        <v>6.7382604907311641E-9</v>
      </c>
      <c r="Q241" s="304">
        <f t="shared" si="90"/>
        <v>0.6</v>
      </c>
      <c r="R241" s="177">
        <f t="shared" si="91"/>
        <v>0.96809960728703737</v>
      </c>
      <c r="S241" s="799">
        <f t="shared" si="109"/>
        <v>-2</v>
      </c>
      <c r="T241" s="176">
        <f t="shared" si="92"/>
        <v>4</v>
      </c>
      <c r="U241" s="250">
        <f t="shared" si="93"/>
        <v>-1.0319003927129626</v>
      </c>
      <c r="V241" s="382">
        <f t="shared" si="94"/>
        <v>55.265904608667626</v>
      </c>
      <c r="W241" s="58"/>
      <c r="X241" s="157">
        <f t="shared" si="95"/>
        <v>43692</v>
      </c>
      <c r="Y241" s="383">
        <f t="shared" si="96"/>
        <v>27.617000000000001</v>
      </c>
      <c r="Z241" s="383">
        <f t="shared" si="97"/>
        <v>27.720933683422416</v>
      </c>
      <c r="AA241" s="384">
        <f t="shared" si="98"/>
        <v>28.305173002809681</v>
      </c>
      <c r="AB241" s="197">
        <f t="shared" si="99"/>
        <v>43692</v>
      </c>
      <c r="AC241" s="424">
        <f t="shared" si="100"/>
        <v>2.0640725966566974E-2</v>
      </c>
      <c r="AD241" s="169">
        <f>(INDEX(Models!$BJ241:$BT241,,AH241)*(1-AF241)+INDEX(Models!$BJ241:$BT241,,AH241+1)*AF241-ERP_i)*AE241*Ramure*Pc/MaxiM</f>
        <v>6.7382604907311641E-9</v>
      </c>
      <c r="AE241" s="304">
        <f t="shared" si="101"/>
        <v>0.6</v>
      </c>
      <c r="AF241" s="177">
        <f t="shared" si="102"/>
        <v>0.96809960728703737</v>
      </c>
      <c r="AG241" s="799">
        <f t="shared" si="103"/>
        <v>-2</v>
      </c>
      <c r="AH241" s="176">
        <f t="shared" si="104"/>
        <v>4</v>
      </c>
      <c r="AI241" s="224">
        <f t="shared" si="105"/>
        <v>-1.0319003927129626</v>
      </c>
      <c r="AJ241" s="264" t="b">
        <f t="shared" si="106"/>
        <v>0</v>
      </c>
      <c r="AK241" s="264" t="b">
        <f t="shared" si="107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108"/>
        <v>43693</v>
      </c>
      <c r="B242" s="607">
        <v>55.478999999999999</v>
      </c>
      <c r="C242" s="388"/>
      <c r="D242" s="391">
        <f t="shared" si="85"/>
        <v>55.688856662885989</v>
      </c>
      <c r="E242" s="383">
        <f t="shared" si="111"/>
        <v>56.868065146071643</v>
      </c>
      <c r="F242" s="383">
        <f t="shared" si="110"/>
        <v>56.868065915870055</v>
      </c>
      <c r="G242" s="110">
        <f t="shared" si="112"/>
        <v>1.0064131219658239</v>
      </c>
      <c r="I242" s="379">
        <f t="shared" si="86"/>
        <v>56.868065915870055</v>
      </c>
      <c r="J242" s="85">
        <v>2018</v>
      </c>
      <c r="K242" s="197">
        <f t="shared" si="87"/>
        <v>43693</v>
      </c>
      <c r="L242" s="435">
        <f t="shared" si="88"/>
        <v>3.7683780106380071E-3</v>
      </c>
      <c r="M242" s="842"/>
      <c r="N242" s="842"/>
      <c r="O242" s="323">
        <f t="shared" si="89"/>
        <v>2.0735864323091293E-2</v>
      </c>
      <c r="P242" s="169">
        <f>(INDEX(Models!$BJ242:$BT242,,T242)*(1-R242)+INDEX(Models!$BJ242:$BT242,,T242+1)*R242-ERP_i)*Q242*Ramure*Pc/MaxiM</f>
        <v>1.3536567420837641E-8</v>
      </c>
      <c r="Q242" s="304">
        <f t="shared" si="90"/>
        <v>0.6</v>
      </c>
      <c r="R242" s="177">
        <f t="shared" si="91"/>
        <v>0.96927975891505613</v>
      </c>
      <c r="S242" s="799">
        <f t="shared" si="109"/>
        <v>-2</v>
      </c>
      <c r="T242" s="176">
        <f t="shared" si="92"/>
        <v>4</v>
      </c>
      <c r="U242" s="250">
        <f t="shared" si="93"/>
        <v>-1.0307202410849439</v>
      </c>
      <c r="V242" s="382">
        <f t="shared" si="94"/>
        <v>55.125473614287763</v>
      </c>
      <c r="W242" s="58"/>
      <c r="X242" s="157">
        <f t="shared" si="95"/>
        <v>43693</v>
      </c>
      <c r="Y242" s="383">
        <f t="shared" si="96"/>
        <v>55.478999999999999</v>
      </c>
      <c r="Z242" s="383">
        <f t="shared" si="97"/>
        <v>55.688856662885989</v>
      </c>
      <c r="AA242" s="384">
        <f t="shared" si="98"/>
        <v>56.868065146071643</v>
      </c>
      <c r="AB242" s="197">
        <f t="shared" si="99"/>
        <v>43693</v>
      </c>
      <c r="AC242" s="424">
        <f t="shared" si="100"/>
        <v>2.0735864323091293E-2</v>
      </c>
      <c r="AD242" s="169">
        <f>(INDEX(Models!$BJ242:$BT242,,AH242)*(1-AF242)+INDEX(Models!$BJ242:$BT242,,AH242+1)*AF242-ERP_i)*AE242*Ramure*Pc/MaxiM</f>
        <v>1.3536567420837641E-8</v>
      </c>
      <c r="AE242" s="304">
        <f t="shared" si="101"/>
        <v>0.6</v>
      </c>
      <c r="AF242" s="177">
        <f t="shared" si="102"/>
        <v>0.96927975891505613</v>
      </c>
      <c r="AG242" s="799">
        <f t="shared" si="103"/>
        <v>-2</v>
      </c>
      <c r="AH242" s="176">
        <f t="shared" si="104"/>
        <v>4</v>
      </c>
      <c r="AI242" s="224">
        <f t="shared" si="105"/>
        <v>-1.0307202410849439</v>
      </c>
      <c r="AJ242" s="264" t="b">
        <f t="shared" si="106"/>
        <v>0</v>
      </c>
      <c r="AK242" s="264" t="b">
        <f t="shared" si="107"/>
        <v>0</v>
      </c>
      <c r="AL242" s="264"/>
      <c r="AM242" s="264"/>
      <c r="AN242" s="75"/>
    </row>
    <row r="243" spans="1:40" s="6" customFormat="1" ht="11.25" x14ac:dyDescent="0.2">
      <c r="A243" s="56">
        <f t="shared" si="108"/>
        <v>43694</v>
      </c>
      <c r="B243" s="607">
        <v>53.531999999999996</v>
      </c>
      <c r="C243" s="388"/>
      <c r="D243" s="391">
        <f t="shared" si="85"/>
        <v>53.735521706618833</v>
      </c>
      <c r="E243" s="383">
        <f t="shared" si="111"/>
        <v>54.878691557344965</v>
      </c>
      <c r="F243" s="383">
        <f t="shared" si="110"/>
        <v>54.878692753943</v>
      </c>
      <c r="G243" s="110">
        <f t="shared" si="112"/>
        <v>0.9735892713522335</v>
      </c>
      <c r="I243" s="379">
        <f t="shared" si="86"/>
        <v>54.878692753943</v>
      </c>
      <c r="J243" s="85">
        <v>2018</v>
      </c>
      <c r="K243" s="197">
        <f t="shared" si="87"/>
        <v>43694</v>
      </c>
      <c r="L243" s="435">
        <f t="shared" si="88"/>
        <v>3.7874705623964777E-3</v>
      </c>
      <c r="M243" s="842"/>
      <c r="N243" s="842"/>
      <c r="O243" s="323">
        <f t="shared" si="89"/>
        <v>2.0830851069610242E-2</v>
      </c>
      <c r="P243" s="169">
        <f>(INDEX(Models!$BJ243:$BT243,,T243)*(1-R243)+INDEX(Models!$BJ243:$BT243,,T243+1)*R243-ERP_i)*Q243*Ramure*Pc/MaxiM</f>
        <v>2.2659347872912745E-8</v>
      </c>
      <c r="Q243" s="304">
        <f t="shared" si="90"/>
        <v>0.6</v>
      </c>
      <c r="R243" s="177">
        <f t="shared" si="91"/>
        <v>0.97041798494990883</v>
      </c>
      <c r="S243" s="799">
        <f t="shared" si="109"/>
        <v>-2</v>
      </c>
      <c r="T243" s="176">
        <f t="shared" si="92"/>
        <v>4</v>
      </c>
      <c r="U243" s="250">
        <f t="shared" si="93"/>
        <v>-1.0295820150500912</v>
      </c>
      <c r="V243" s="382">
        <f t="shared" si="94"/>
        <v>54.984172000871098</v>
      </c>
      <c r="W243" s="58"/>
      <c r="X243" s="157">
        <f t="shared" si="95"/>
        <v>43694</v>
      </c>
      <c r="Y243" s="383">
        <f t="shared" si="96"/>
        <v>53.531999999999996</v>
      </c>
      <c r="Z243" s="383">
        <f t="shared" si="97"/>
        <v>53.735521706618833</v>
      </c>
      <c r="AA243" s="384">
        <f t="shared" si="98"/>
        <v>54.878691557344965</v>
      </c>
      <c r="AB243" s="197">
        <f t="shared" si="99"/>
        <v>43694</v>
      </c>
      <c r="AC243" s="424">
        <f t="shared" si="100"/>
        <v>2.0830851069610242E-2</v>
      </c>
      <c r="AD243" s="169">
        <f>(INDEX(Models!$BJ243:$BT243,,AH243)*(1-AF243)+INDEX(Models!$BJ243:$BT243,,AH243+1)*AF243-ERP_i)*AE243*Ramure*Pc/MaxiM</f>
        <v>2.2659347872912745E-8</v>
      </c>
      <c r="AE243" s="304">
        <f t="shared" si="101"/>
        <v>0.6</v>
      </c>
      <c r="AF243" s="177">
        <f t="shared" si="102"/>
        <v>0.97041798494990883</v>
      </c>
      <c r="AG243" s="799">
        <f t="shared" si="103"/>
        <v>-2</v>
      </c>
      <c r="AH243" s="176">
        <f t="shared" si="104"/>
        <v>4</v>
      </c>
      <c r="AI243" s="224">
        <f t="shared" si="105"/>
        <v>-1.0295820150500912</v>
      </c>
      <c r="AJ243" s="264" t="b">
        <f t="shared" si="106"/>
        <v>0</v>
      </c>
      <c r="AK243" s="264" t="b">
        <f t="shared" si="107"/>
        <v>0</v>
      </c>
      <c r="AL243" s="264"/>
      <c r="AM243" s="264"/>
      <c r="AN243" s="75"/>
    </row>
    <row r="244" spans="1:40" s="6" customFormat="1" ht="11.25" x14ac:dyDescent="0.2">
      <c r="A244" s="56">
        <f t="shared" si="108"/>
        <v>43695</v>
      </c>
      <c r="B244" s="607">
        <v>42.374000000000002</v>
      </c>
      <c r="C244" s="388"/>
      <c r="D244" s="391">
        <f t="shared" si="85"/>
        <v>42.535915631907145</v>
      </c>
      <c r="E244" s="383">
        <f t="shared" si="111"/>
        <v>43.445032637213451</v>
      </c>
      <c r="F244" s="383">
        <f t="shared" si="110"/>
        <v>43.445033638536337</v>
      </c>
      <c r="G244" s="110">
        <f t="shared" si="112"/>
        <v>0.77265450283117609</v>
      </c>
      <c r="I244" s="379">
        <f t="shared" si="86"/>
        <v>43.445033638536337</v>
      </c>
      <c r="J244" s="85">
        <v>2018</v>
      </c>
      <c r="K244" s="197">
        <f t="shared" si="87"/>
        <v>43695</v>
      </c>
      <c r="L244" s="435">
        <f t="shared" si="88"/>
        <v>3.8065627482505304E-3</v>
      </c>
      <c r="M244" s="842"/>
      <c r="N244" s="842"/>
      <c r="O244" s="323">
        <f t="shared" si="89"/>
        <v>2.0925683561981889E-2</v>
      </c>
      <c r="P244" s="169">
        <f>(INDEX(Models!$BJ244:$BT244,,T244)*(1-R244)+INDEX(Models!$BJ244:$BT244,,T244+1)*R244-ERP_i)*Q244*Ramure*Pc/MaxiM</f>
        <v>3.4134082935227751E-8</v>
      </c>
      <c r="Q244" s="304">
        <f t="shared" si="90"/>
        <v>0.6</v>
      </c>
      <c r="R244" s="177">
        <f t="shared" si="91"/>
        <v>0.97151556975472242</v>
      </c>
      <c r="S244" s="799">
        <f t="shared" si="109"/>
        <v>-2</v>
      </c>
      <c r="T244" s="176">
        <f t="shared" si="92"/>
        <v>4</v>
      </c>
      <c r="U244" s="250">
        <f t="shared" si="93"/>
        <v>-1.0284844302452776</v>
      </c>
      <c r="V244" s="382">
        <f t="shared" si="94"/>
        <v>54.84210520351899</v>
      </c>
      <c r="W244" s="58"/>
      <c r="X244" s="157">
        <f t="shared" si="95"/>
        <v>43695</v>
      </c>
      <c r="Y244" s="383">
        <f t="shared" si="96"/>
        <v>42.374000000000002</v>
      </c>
      <c r="Z244" s="383">
        <f t="shared" si="97"/>
        <v>42.535915631907145</v>
      </c>
      <c r="AA244" s="384">
        <f t="shared" si="98"/>
        <v>43.445032637213451</v>
      </c>
      <c r="AB244" s="197">
        <f t="shared" si="99"/>
        <v>43695</v>
      </c>
      <c r="AC244" s="424">
        <f t="shared" si="100"/>
        <v>2.0925683561981889E-2</v>
      </c>
      <c r="AD244" s="169">
        <f>(INDEX(Models!$BJ244:$BT244,,AH244)*(1-AF244)+INDEX(Models!$BJ244:$BT244,,AH244+1)*AF244-ERP_i)*AE244*Ramure*Pc/MaxiM</f>
        <v>3.4134082935227751E-8</v>
      </c>
      <c r="AE244" s="304">
        <f t="shared" si="101"/>
        <v>0.6</v>
      </c>
      <c r="AF244" s="177">
        <f t="shared" si="102"/>
        <v>0.97151556975472242</v>
      </c>
      <c r="AG244" s="799">
        <f t="shared" si="103"/>
        <v>-2</v>
      </c>
      <c r="AH244" s="176">
        <f t="shared" si="104"/>
        <v>4</v>
      </c>
      <c r="AI244" s="224">
        <f t="shared" si="105"/>
        <v>-1.0284844302452776</v>
      </c>
      <c r="AJ244" s="264" t="b">
        <f t="shared" si="106"/>
        <v>0</v>
      </c>
      <c r="AK244" s="264" t="b">
        <f t="shared" si="107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108"/>
        <v>43696</v>
      </c>
      <c r="B245" s="607">
        <v>34.935000000000002</v>
      </c>
      <c r="C245" s="388"/>
      <c r="D245" s="391">
        <f t="shared" si="85"/>
        <v>35.069162501727938</v>
      </c>
      <c r="E245" s="383">
        <f t="shared" si="111"/>
        <v>35.822157102766397</v>
      </c>
      <c r="F245" s="383">
        <f t="shared" si="110"/>
        <v>35.822157934452115</v>
      </c>
      <c r="G245" s="110">
        <f t="shared" si="112"/>
        <v>0.63867268730353177</v>
      </c>
      <c r="I245" s="379">
        <f t="shared" si="86"/>
        <v>35.822157934452115</v>
      </c>
      <c r="J245" s="85">
        <v>2018</v>
      </c>
      <c r="K245" s="197">
        <f t="shared" si="87"/>
        <v>43696</v>
      </c>
      <c r="L245" s="435">
        <f t="shared" si="88"/>
        <v>3.8256545682071597E-3</v>
      </c>
      <c r="M245" s="842"/>
      <c r="N245" s="842"/>
      <c r="O245" s="323">
        <f t="shared" si="89"/>
        <v>2.102035896046878E-2</v>
      </c>
      <c r="P245" s="169">
        <f>(INDEX(Models!$BJ245:$BT245,,T245)*(1-R245)+INDEX(Models!$BJ245:$BT245,,T245+1)*R245-ERP_i)*Q245*Ramure*Pc/MaxiM</f>
        <v>4.7987192746485782E-8</v>
      </c>
      <c r="Q245" s="304">
        <f t="shared" si="90"/>
        <v>0.6</v>
      </c>
      <c r="R245" s="177">
        <f t="shared" si="91"/>
        <v>0.97257377380416177</v>
      </c>
      <c r="S245" s="799">
        <f t="shared" si="109"/>
        <v>-2</v>
      </c>
      <c r="T245" s="176">
        <f t="shared" si="92"/>
        <v>4</v>
      </c>
      <c r="U245" s="250">
        <f t="shared" si="93"/>
        <v>-1.0274262261958382</v>
      </c>
      <c r="V245" s="382">
        <f t="shared" si="94"/>
        <v>54.699378616222099</v>
      </c>
      <c r="W245" s="58"/>
      <c r="X245" s="157">
        <f t="shared" si="95"/>
        <v>43696</v>
      </c>
      <c r="Y245" s="383">
        <f t="shared" si="96"/>
        <v>34.935000000000002</v>
      </c>
      <c r="Z245" s="383">
        <f t="shared" si="97"/>
        <v>35.069162501727938</v>
      </c>
      <c r="AA245" s="384">
        <f t="shared" si="98"/>
        <v>35.822157102766397</v>
      </c>
      <c r="AB245" s="197">
        <f t="shared" si="99"/>
        <v>43696</v>
      </c>
      <c r="AC245" s="424">
        <f t="shared" si="100"/>
        <v>2.102035896046878E-2</v>
      </c>
      <c r="AD245" s="169">
        <f>(INDEX(Models!$BJ245:$BT245,,AH245)*(1-AF245)+INDEX(Models!$BJ245:$BT245,,AH245+1)*AF245-ERP_i)*AE245*Ramure*Pc/MaxiM</f>
        <v>4.7987192746485782E-8</v>
      </c>
      <c r="AE245" s="304">
        <f t="shared" si="101"/>
        <v>0.6</v>
      </c>
      <c r="AF245" s="177">
        <f t="shared" si="102"/>
        <v>0.97257377380416177</v>
      </c>
      <c r="AG245" s="799">
        <f t="shared" si="103"/>
        <v>-2</v>
      </c>
      <c r="AH245" s="176">
        <f t="shared" si="104"/>
        <v>4</v>
      </c>
      <c r="AI245" s="224">
        <f t="shared" si="105"/>
        <v>-1.0274262261958382</v>
      </c>
      <c r="AJ245" s="264" t="b">
        <f t="shared" si="106"/>
        <v>0</v>
      </c>
      <c r="AK245" s="264" t="b">
        <f t="shared" si="107"/>
        <v>0</v>
      </c>
      <c r="AL245" s="264"/>
      <c r="AM245" s="264"/>
      <c r="AN245" s="75"/>
    </row>
    <row r="246" spans="1:40" s="6" customFormat="1" ht="11.25" x14ac:dyDescent="0.2">
      <c r="A246" s="56">
        <f t="shared" si="108"/>
        <v>43697</v>
      </c>
      <c r="B246" s="607">
        <v>27.585999999999999</v>
      </c>
      <c r="C246" s="388"/>
      <c r="D246" s="391">
        <f t="shared" si="85"/>
        <v>27.692470515862787</v>
      </c>
      <c r="E246" s="383">
        <f t="shared" si="111"/>
        <v>28.289806216433757</v>
      </c>
      <c r="F246" s="383">
        <f t="shared" si="110"/>
        <v>28.289806750360889</v>
      </c>
      <c r="G246" s="110">
        <f t="shared" si="112"/>
        <v>0.50564464771463302</v>
      </c>
      <c r="I246" s="379">
        <f t="shared" si="86"/>
        <v>28.289806750360889</v>
      </c>
      <c r="J246" s="85">
        <v>2018</v>
      </c>
      <c r="K246" s="197">
        <f t="shared" si="87"/>
        <v>43697</v>
      </c>
      <c r="L246" s="435">
        <f t="shared" si="88"/>
        <v>3.8447460222734708E-3</v>
      </c>
      <c r="M246" s="842"/>
      <c r="N246" s="842"/>
      <c r="O246" s="323">
        <f t="shared" si="89"/>
        <v>2.1114874241307917E-2</v>
      </c>
      <c r="P246" s="169">
        <f>(INDEX(Models!$BJ246:$BT246,,T246)*(1-R246)+INDEX(Models!$BJ246:$BT246,,T246+1)*R246-ERP_i)*Q246*Ramure*Pc/MaxiM</f>
        <v>6.424400235109117E-8</v>
      </c>
      <c r="Q246" s="304">
        <f t="shared" si="90"/>
        <v>0.6</v>
      </c>
      <c r="R246" s="177">
        <f t="shared" si="91"/>
        <v>0.97359383287344703</v>
      </c>
      <c r="S246" s="799">
        <f t="shared" si="109"/>
        <v>-2</v>
      </c>
      <c r="T246" s="176">
        <f t="shared" si="92"/>
        <v>4</v>
      </c>
      <c r="U246" s="250">
        <f t="shared" si="93"/>
        <v>-1.026406167126553</v>
      </c>
      <c r="V246" s="382">
        <f t="shared" si="94"/>
        <v>54.556097593615362</v>
      </c>
      <c r="W246" s="58"/>
      <c r="X246" s="157">
        <f t="shared" si="95"/>
        <v>43697</v>
      </c>
      <c r="Y246" s="383">
        <f t="shared" si="96"/>
        <v>27.585999999999999</v>
      </c>
      <c r="Z246" s="383">
        <f t="shared" si="97"/>
        <v>27.692470515862787</v>
      </c>
      <c r="AA246" s="384">
        <f t="shared" si="98"/>
        <v>28.289806216433757</v>
      </c>
      <c r="AB246" s="197">
        <f t="shared" si="99"/>
        <v>43697</v>
      </c>
      <c r="AC246" s="424">
        <f t="shared" si="100"/>
        <v>2.1114874241307917E-2</v>
      </c>
      <c r="AD246" s="169">
        <f>(INDEX(Models!$BJ246:$BT246,,AH246)*(1-AF246)+INDEX(Models!$BJ246:$BT246,,AH246+1)*AF246-ERP_i)*AE246*Ramure*Pc/MaxiM</f>
        <v>6.424400235109117E-8</v>
      </c>
      <c r="AE246" s="304">
        <f t="shared" si="101"/>
        <v>0.6</v>
      </c>
      <c r="AF246" s="177">
        <f t="shared" si="102"/>
        <v>0.97359383287344703</v>
      </c>
      <c r="AG246" s="799">
        <f t="shared" si="103"/>
        <v>-2</v>
      </c>
      <c r="AH246" s="176">
        <f t="shared" si="104"/>
        <v>4</v>
      </c>
      <c r="AI246" s="224">
        <f t="shared" si="105"/>
        <v>-1.026406167126553</v>
      </c>
      <c r="AJ246" s="264" t="b">
        <f t="shared" si="106"/>
        <v>0</v>
      </c>
      <c r="AK246" s="264" t="b">
        <f t="shared" si="107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108"/>
        <v>43698</v>
      </c>
      <c r="B247" s="607">
        <v>49.116</v>
      </c>
      <c r="C247" s="388"/>
      <c r="D247" s="391">
        <f t="shared" si="85"/>
        <v>49.306512332136087</v>
      </c>
      <c r="E247" s="383">
        <f t="shared" si="111"/>
        <v>50.374925522686155</v>
      </c>
      <c r="F247" s="383">
        <f t="shared" si="110"/>
        <v>50.374929119206215</v>
      </c>
      <c r="G247" s="110">
        <f t="shared" si="112"/>
        <v>0.90265168158487719</v>
      </c>
      <c r="I247" s="379">
        <f t="shared" si="86"/>
        <v>50.374929119206215</v>
      </c>
      <c r="J247" s="85">
        <v>2018</v>
      </c>
      <c r="K247" s="197">
        <f t="shared" si="87"/>
        <v>43698</v>
      </c>
      <c r="L247" s="435">
        <f t="shared" si="88"/>
        <v>3.8638371104564584E-3</v>
      </c>
      <c r="M247" s="842"/>
      <c r="N247" s="842"/>
      <c r="O247" s="323">
        <f t="shared" si="89"/>
        <v>2.1209226206575969E-2</v>
      </c>
      <c r="P247" s="169">
        <f>(INDEX(Models!$BJ247:$BT247,,T247)*(1-R247)+INDEX(Models!$BJ247:$BT247,,T247+1)*R247-ERP_i)*Q247*Ramure*Pc/MaxiM</f>
        <v>8.2927714815955793E-8</v>
      </c>
      <c r="Q247" s="304">
        <f t="shared" si="90"/>
        <v>0.6</v>
      </c>
      <c r="R247" s="177">
        <f t="shared" si="91"/>
        <v>0.97457695735711125</v>
      </c>
      <c r="S247" s="799">
        <f t="shared" si="109"/>
        <v>-2</v>
      </c>
      <c r="T247" s="176">
        <f t="shared" si="92"/>
        <v>4</v>
      </c>
      <c r="U247" s="250">
        <f t="shared" si="93"/>
        <v>-1.0254230426428887</v>
      </c>
      <c r="V247" s="382">
        <f t="shared" si="94"/>
        <v>54.413014937637008</v>
      </c>
      <c r="W247" s="58"/>
      <c r="X247" s="157">
        <f t="shared" si="95"/>
        <v>43698</v>
      </c>
      <c r="Y247" s="383">
        <f t="shared" si="96"/>
        <v>49.116</v>
      </c>
      <c r="Z247" s="383">
        <f t="shared" si="97"/>
        <v>49.306512332136087</v>
      </c>
      <c r="AA247" s="384">
        <f t="shared" si="98"/>
        <v>50.374925522686155</v>
      </c>
      <c r="AB247" s="197">
        <f t="shared" si="99"/>
        <v>43698</v>
      </c>
      <c r="AC247" s="424">
        <f t="shared" si="100"/>
        <v>2.1209226206575969E-2</v>
      </c>
      <c r="AD247" s="169">
        <f>(INDEX(Models!$BJ247:$BT247,,AH247)*(1-AF247)+INDEX(Models!$BJ247:$BT247,,AH247+1)*AF247-ERP_i)*AE247*Ramure*Pc/MaxiM</f>
        <v>8.2927714815955793E-8</v>
      </c>
      <c r="AE247" s="304">
        <f t="shared" si="101"/>
        <v>0.6</v>
      </c>
      <c r="AF247" s="177">
        <f t="shared" si="102"/>
        <v>0.97457695735711125</v>
      </c>
      <c r="AG247" s="799">
        <f t="shared" si="103"/>
        <v>-2</v>
      </c>
      <c r="AH247" s="176">
        <f t="shared" si="104"/>
        <v>4</v>
      </c>
      <c r="AI247" s="224">
        <f t="shared" si="105"/>
        <v>-1.0254230426428887</v>
      </c>
      <c r="AJ247" s="264" t="b">
        <f t="shared" si="106"/>
        <v>0</v>
      </c>
      <c r="AK247" s="264" t="b">
        <f t="shared" si="107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108"/>
        <v>43699</v>
      </c>
      <c r="B248" s="607">
        <v>55.503</v>
      </c>
      <c r="C248" s="388"/>
      <c r="D248" s="391">
        <f t="shared" si="85"/>
        <v>55.71935423136857</v>
      </c>
      <c r="E248" s="383">
        <f t="shared" si="111"/>
        <v>56.932204409051948</v>
      </c>
      <c r="F248" s="383">
        <f t="shared" si="110"/>
        <v>56.932210607769058</v>
      </c>
      <c r="G248" s="110">
        <f t="shared" si="112"/>
        <v>1.0227096923491839</v>
      </c>
      <c r="I248" s="379">
        <f t="shared" si="86"/>
        <v>56.932210607769058</v>
      </c>
      <c r="J248" s="85">
        <v>2018</v>
      </c>
      <c r="K248" s="197">
        <f t="shared" si="87"/>
        <v>43699</v>
      </c>
      <c r="L248" s="435">
        <f t="shared" si="88"/>
        <v>3.8829278327631167E-3</v>
      </c>
      <c r="M248" s="842"/>
      <c r="N248" s="842"/>
      <c r="O248" s="323">
        <f t="shared" si="89"/>
        <v>2.1303411492187747E-2</v>
      </c>
      <c r="P248" s="169">
        <f>(INDEX(Models!$BJ248:$BT248,,T248)*(1-R248)+INDEX(Models!$BJ248:$BT248,,T248+1)*R248-ERP_i)*Q248*Ramure*Pc/MaxiM</f>
        <v>1.088789113275733E-7</v>
      </c>
      <c r="Q248" s="304">
        <f t="shared" si="90"/>
        <v>0.6</v>
      </c>
      <c r="R248" s="177">
        <f t="shared" si="91"/>
        <v>0.97552433170872965</v>
      </c>
      <c r="S248" s="799">
        <f t="shared" si="109"/>
        <v>-2</v>
      </c>
      <c r="T248" s="176">
        <f t="shared" si="92"/>
        <v>4</v>
      </c>
      <c r="U248" s="250">
        <f t="shared" si="93"/>
        <v>-1.0244756682912703</v>
      </c>
      <c r="V248" s="382">
        <f t="shared" si="94"/>
        <v>54.270532894343205</v>
      </c>
      <c r="W248" s="58"/>
      <c r="X248" s="157">
        <f t="shared" si="95"/>
        <v>43699</v>
      </c>
      <c r="Y248" s="383">
        <f t="shared" si="96"/>
        <v>55.503</v>
      </c>
      <c r="Z248" s="383">
        <f t="shared" si="97"/>
        <v>55.71935423136857</v>
      </c>
      <c r="AA248" s="384">
        <f t="shared" si="98"/>
        <v>56.932204409051948</v>
      </c>
      <c r="AB248" s="197">
        <f t="shared" si="99"/>
        <v>43699</v>
      </c>
      <c r="AC248" s="424">
        <f t="shared" si="100"/>
        <v>2.1303411492187747E-2</v>
      </c>
      <c r="AD248" s="169">
        <f>(INDEX(Models!$BJ248:$BT248,,AH248)*(1-AF248)+INDEX(Models!$BJ248:$BT248,,AH248+1)*AF248-ERP_i)*AE248*Ramure*Pc/MaxiM</f>
        <v>1.088789113275733E-7</v>
      </c>
      <c r="AE248" s="304">
        <f t="shared" si="101"/>
        <v>0.6</v>
      </c>
      <c r="AF248" s="177">
        <f t="shared" si="102"/>
        <v>0.97552433170872965</v>
      </c>
      <c r="AG248" s="799">
        <f t="shared" si="103"/>
        <v>-2</v>
      </c>
      <c r="AH248" s="176">
        <f t="shared" si="104"/>
        <v>4</v>
      </c>
      <c r="AI248" s="224">
        <f t="shared" si="105"/>
        <v>-1.0244756682912703</v>
      </c>
      <c r="AJ248" s="264" t="b">
        <f t="shared" si="106"/>
        <v>0</v>
      </c>
      <c r="AK248" s="264" t="b">
        <f t="shared" si="107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108"/>
        <v>43700</v>
      </c>
      <c r="B249" s="607">
        <v>52.966999999999999</v>
      </c>
      <c r="C249" s="388"/>
      <c r="D249" s="391">
        <f t="shared" si="85"/>
        <v>53.17448781866986</v>
      </c>
      <c r="E249" s="383">
        <f t="shared" si="111"/>
        <v>54.337163280191803</v>
      </c>
      <c r="F249" s="383">
        <f t="shared" si="110"/>
        <v>54.337170768740876</v>
      </c>
      <c r="G249" s="110">
        <f t="shared" si="112"/>
        <v>0.97854665309997479</v>
      </c>
      <c r="I249" s="379">
        <f t="shared" si="86"/>
        <v>54.337170768740876</v>
      </c>
      <c r="J249" s="85">
        <v>2018</v>
      </c>
      <c r="K249" s="197">
        <f t="shared" si="87"/>
        <v>43700</v>
      </c>
      <c r="L249" s="435">
        <f t="shared" si="88"/>
        <v>3.9020181892003292E-3</v>
      </c>
      <c r="M249" s="842"/>
      <c r="N249" s="842"/>
      <c r="O249" s="323">
        <f t="shared" si="89"/>
        <v>2.1397426573900421E-2</v>
      </c>
      <c r="P249" s="169">
        <f>(INDEX(Models!$BJ249:$BT249,,T249)*(1-R249)+INDEX(Models!$BJ249:$BT249,,T249+1)*R249-ERP_i)*Q249*Ramure*Pc/MaxiM</f>
        <v>1.4217360738543021E-7</v>
      </c>
      <c r="Q249" s="304">
        <f t="shared" si="90"/>
        <v>0.6</v>
      </c>
      <c r="R249" s="177">
        <f t="shared" si="91"/>
        <v>0.97643711399311583</v>
      </c>
      <c r="S249" s="799">
        <f t="shared" si="109"/>
        <v>-2</v>
      </c>
      <c r="T249" s="176">
        <f t="shared" si="92"/>
        <v>4</v>
      </c>
      <c r="U249" s="250">
        <f t="shared" si="93"/>
        <v>-1.0235628860068842</v>
      </c>
      <c r="V249" s="382">
        <f t="shared" si="94"/>
        <v>54.128231496588882</v>
      </c>
      <c r="W249" s="58"/>
      <c r="X249" s="157">
        <f t="shared" si="95"/>
        <v>43700</v>
      </c>
      <c r="Y249" s="383">
        <f t="shared" si="96"/>
        <v>52.966999999999999</v>
      </c>
      <c r="Z249" s="383">
        <f t="shared" si="97"/>
        <v>53.17448781866986</v>
      </c>
      <c r="AA249" s="384">
        <f t="shared" si="98"/>
        <v>54.337163280191803</v>
      </c>
      <c r="AB249" s="197">
        <f t="shared" si="99"/>
        <v>43700</v>
      </c>
      <c r="AC249" s="424">
        <f t="shared" si="100"/>
        <v>2.1397426573900421E-2</v>
      </c>
      <c r="AD249" s="169">
        <f>(INDEX(Models!$BJ249:$BT249,,AH249)*(1-AF249)+INDEX(Models!$BJ249:$BT249,,AH249+1)*AF249-ERP_i)*AE249*Ramure*Pc/MaxiM</f>
        <v>1.4217360738543021E-7</v>
      </c>
      <c r="AE249" s="304">
        <f t="shared" si="101"/>
        <v>0.6</v>
      </c>
      <c r="AF249" s="177">
        <f t="shared" si="102"/>
        <v>0.97643711399311583</v>
      </c>
      <c r="AG249" s="799">
        <f t="shared" si="103"/>
        <v>-2</v>
      </c>
      <c r="AH249" s="176">
        <f t="shared" si="104"/>
        <v>4</v>
      </c>
      <c r="AI249" s="224">
        <f t="shared" si="105"/>
        <v>-1.0235628860068842</v>
      </c>
      <c r="AJ249" s="264" t="b">
        <f t="shared" si="106"/>
        <v>0</v>
      </c>
      <c r="AK249" s="264" t="b">
        <f t="shared" si="107"/>
        <v>0</v>
      </c>
      <c r="AL249" s="264"/>
      <c r="AM249" s="264"/>
      <c r="AN249" s="75"/>
    </row>
    <row r="250" spans="1:40" s="6" customFormat="1" ht="11.25" x14ac:dyDescent="0.2">
      <c r="A250" s="56">
        <f t="shared" si="108"/>
        <v>43701</v>
      </c>
      <c r="B250" s="607">
        <v>53.360999999999997</v>
      </c>
      <c r="C250" s="388"/>
      <c r="D250" s="391">
        <f t="shared" si="85"/>
        <v>53.571057913383385</v>
      </c>
      <c r="E250" s="383">
        <f t="shared" si="111"/>
        <v>54.747654414246881</v>
      </c>
      <c r="F250" s="383">
        <f t="shared" si="110"/>
        <v>54.747664261265655</v>
      </c>
      <c r="G250" s="110">
        <f t="shared" si="112"/>
        <v>0.98842857937337369</v>
      </c>
      <c r="I250" s="379">
        <f t="shared" si="86"/>
        <v>54.747664261265655</v>
      </c>
      <c r="J250" s="85">
        <v>2018</v>
      </c>
      <c r="K250" s="197">
        <f t="shared" si="87"/>
        <v>43701</v>
      </c>
      <c r="L250" s="435">
        <f t="shared" si="88"/>
        <v>3.9211081797753122E-3</v>
      </c>
      <c r="M250" s="842"/>
      <c r="N250" s="842"/>
      <c r="O250" s="323">
        <f t="shared" si="89"/>
        <v>2.1491267771232787E-2</v>
      </c>
      <c r="P250" s="169">
        <f>(INDEX(Models!$BJ250:$BT250,,T250)*(1-R250)+INDEX(Models!$BJ250:$BT250,,T250+1)*R250-ERP_i)*Q250*Ramure*Pc/MaxiM</f>
        <v>1.8288509713072052E-7</v>
      </c>
      <c r="Q250" s="304">
        <f t="shared" si="90"/>
        <v>0.6</v>
      </c>
      <c r="R250" s="177">
        <f t="shared" si="91"/>
        <v>0.97731643554278014</v>
      </c>
      <c r="S250" s="799">
        <f t="shared" si="109"/>
        <v>-2</v>
      </c>
      <c r="T250" s="176">
        <f t="shared" si="92"/>
        <v>4</v>
      </c>
      <c r="U250" s="250">
        <f t="shared" si="93"/>
        <v>-1.0226835644572199</v>
      </c>
      <c r="V250" s="382">
        <f t="shared" si="94"/>
        <v>53.985690976790522</v>
      </c>
      <c r="W250" s="58"/>
      <c r="X250" s="157">
        <f t="shared" si="95"/>
        <v>43701</v>
      </c>
      <c r="Y250" s="383">
        <f t="shared" si="96"/>
        <v>53.360999999999997</v>
      </c>
      <c r="Z250" s="383">
        <f t="shared" si="97"/>
        <v>53.571057913383385</v>
      </c>
      <c r="AA250" s="384">
        <f t="shared" si="98"/>
        <v>54.747654414246881</v>
      </c>
      <c r="AB250" s="197">
        <f t="shared" si="99"/>
        <v>43701</v>
      </c>
      <c r="AC250" s="424">
        <f t="shared" si="100"/>
        <v>2.1491267771232787E-2</v>
      </c>
      <c r="AD250" s="169">
        <f>(INDEX(Models!$BJ250:$BT250,,AH250)*(1-AF250)+INDEX(Models!$BJ250:$BT250,,AH250+1)*AF250-ERP_i)*AE250*Ramure*Pc/MaxiM</f>
        <v>1.8288509713072052E-7</v>
      </c>
      <c r="AE250" s="304">
        <f t="shared" si="101"/>
        <v>0.6</v>
      </c>
      <c r="AF250" s="177">
        <f t="shared" si="102"/>
        <v>0.97731643554278014</v>
      </c>
      <c r="AG250" s="799">
        <f t="shared" si="103"/>
        <v>-2</v>
      </c>
      <c r="AH250" s="176">
        <f t="shared" si="104"/>
        <v>4</v>
      </c>
      <c r="AI250" s="224">
        <f t="shared" si="105"/>
        <v>-1.0226835644572199</v>
      </c>
      <c r="AJ250" s="264" t="b">
        <f t="shared" si="106"/>
        <v>0</v>
      </c>
      <c r="AK250" s="264" t="b">
        <f t="shared" si="107"/>
        <v>0</v>
      </c>
      <c r="AL250" s="264"/>
      <c r="AM250" s="264"/>
      <c r="AN250" s="75"/>
    </row>
    <row r="251" spans="1:40" s="6" customFormat="1" ht="11.25" x14ac:dyDescent="0.2">
      <c r="A251" s="56">
        <f t="shared" si="108"/>
        <v>43702</v>
      </c>
      <c r="B251" s="607">
        <v>43.246000000000002</v>
      </c>
      <c r="C251" s="388"/>
      <c r="D251" s="391">
        <f t="shared" si="85"/>
        <v>43.417071851185639</v>
      </c>
      <c r="E251" s="383">
        <f t="shared" si="111"/>
        <v>44.374901039311325</v>
      </c>
      <c r="F251" s="383">
        <f t="shared" si="110"/>
        <v>44.374908410651116</v>
      </c>
      <c r="G251" s="110">
        <f t="shared" si="112"/>
        <v>0.80319457310967357</v>
      </c>
      <c r="I251" s="379">
        <f t="shared" si="86"/>
        <v>44.374908410651116</v>
      </c>
      <c r="J251" s="85">
        <v>2018</v>
      </c>
      <c r="K251" s="197">
        <f t="shared" si="87"/>
        <v>43702</v>
      </c>
      <c r="L251" s="435">
        <f t="shared" si="88"/>
        <v>3.9401978044948383E-3</v>
      </c>
      <c r="M251" s="842"/>
      <c r="N251" s="842"/>
      <c r="O251" s="323">
        <f t="shared" si="89"/>
        <v>2.1584931249247281E-2</v>
      </c>
      <c r="P251" s="169">
        <f>(INDEX(Models!$BJ251:$BT251,,T251)*(1-R251)+INDEX(Models!$BJ251:$BT251,,T251+1)*R251-ERP_i)*Q251*Ramure*Pc/MaxiM</f>
        <v>2.3108460187681059E-7</v>
      </c>
      <c r="Q251" s="304">
        <f t="shared" si="90"/>
        <v>0.6</v>
      </c>
      <c r="R251" s="177">
        <f t="shared" si="91"/>
        <v>0.9781634007107447</v>
      </c>
      <c r="S251" s="799">
        <f t="shared" si="109"/>
        <v>-2</v>
      </c>
      <c r="T251" s="176">
        <f t="shared" si="92"/>
        <v>4</v>
      </c>
      <c r="U251" s="250">
        <f t="shared" si="93"/>
        <v>-1.0218365992892553</v>
      </c>
      <c r="V251" s="382">
        <f t="shared" si="94"/>
        <v>53.842491767459776</v>
      </c>
      <c r="W251" s="58"/>
      <c r="X251" s="157">
        <f t="shared" si="95"/>
        <v>43702</v>
      </c>
      <c r="Y251" s="383">
        <f t="shared" si="96"/>
        <v>43.246000000000002</v>
      </c>
      <c r="Z251" s="383">
        <f t="shared" si="97"/>
        <v>43.417071851185639</v>
      </c>
      <c r="AA251" s="384">
        <f t="shared" si="98"/>
        <v>44.374901039311325</v>
      </c>
      <c r="AB251" s="197">
        <f t="shared" si="99"/>
        <v>43702</v>
      </c>
      <c r="AC251" s="424">
        <f t="shared" si="100"/>
        <v>2.1584931249247281E-2</v>
      </c>
      <c r="AD251" s="169">
        <f>(INDEX(Models!$BJ251:$BT251,,AH251)*(1-AF251)+INDEX(Models!$BJ251:$BT251,,AH251+1)*AF251-ERP_i)*AE251*Ramure*Pc/MaxiM</f>
        <v>2.3108460187681059E-7</v>
      </c>
      <c r="AE251" s="304">
        <f t="shared" si="101"/>
        <v>0.6</v>
      </c>
      <c r="AF251" s="177">
        <f t="shared" si="102"/>
        <v>0.9781634007107447</v>
      </c>
      <c r="AG251" s="799">
        <f t="shared" si="103"/>
        <v>-2</v>
      </c>
      <c r="AH251" s="176">
        <f t="shared" si="104"/>
        <v>4</v>
      </c>
      <c r="AI251" s="224">
        <f t="shared" si="105"/>
        <v>-1.0218365992892553</v>
      </c>
      <c r="AJ251" s="264" t="b">
        <f t="shared" si="106"/>
        <v>0</v>
      </c>
      <c r="AK251" s="264" t="b">
        <f t="shared" si="107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108"/>
        <v>43703</v>
      </c>
      <c r="B252" s="607">
        <v>46.661999999999999</v>
      </c>
      <c r="C252" s="388"/>
      <c r="D252" s="391">
        <f t="shared" si="85"/>
        <v>46.847482631935897</v>
      </c>
      <c r="E252" s="383">
        <f t="shared" si="111"/>
        <v>47.885565702851601</v>
      </c>
      <c r="F252" s="383">
        <f t="shared" si="110"/>
        <v>47.885576867277884</v>
      </c>
      <c r="G252" s="110">
        <f t="shared" si="112"/>
        <v>0.8689673935740938</v>
      </c>
      <c r="I252" s="379">
        <f t="shared" si="86"/>
        <v>47.885576867277884</v>
      </c>
      <c r="J252" s="85">
        <v>2018</v>
      </c>
      <c r="K252" s="197">
        <f t="shared" si="87"/>
        <v>43703</v>
      </c>
      <c r="L252" s="435">
        <f t="shared" si="88"/>
        <v>3.9592870633662347E-3</v>
      </c>
      <c r="M252" s="842"/>
      <c r="N252" s="842"/>
      <c r="O252" s="323">
        <f t="shared" si="89"/>
        <v>2.1678413018181977E-2</v>
      </c>
      <c r="P252" s="169">
        <f>(INDEX(Models!$BJ252:$BT252,,T252)*(1-R252)+INDEX(Models!$BJ252:$BT252,,T252+1)*R252-ERP_i)*Q252*Ramure*Pc/MaxiM</f>
        <v>2.8684171639813494E-7</v>
      </c>
      <c r="Q252" s="304">
        <f t="shared" si="90"/>
        <v>0.6</v>
      </c>
      <c r="R252" s="177">
        <f t="shared" si="91"/>
        <v>0.97897908671214839</v>
      </c>
      <c r="S252" s="799">
        <f t="shared" si="109"/>
        <v>-2</v>
      </c>
      <c r="T252" s="176">
        <f t="shared" si="92"/>
        <v>4</v>
      </c>
      <c r="U252" s="250">
        <f t="shared" si="93"/>
        <v>-1.0210209132878516</v>
      </c>
      <c r="V252" s="382">
        <f t="shared" si="94"/>
        <v>53.698214501030442</v>
      </c>
      <c r="W252" s="58"/>
      <c r="X252" s="157">
        <f t="shared" si="95"/>
        <v>43703</v>
      </c>
      <c r="Y252" s="383">
        <f t="shared" si="96"/>
        <v>46.661999999999999</v>
      </c>
      <c r="Z252" s="383">
        <f t="shared" si="97"/>
        <v>46.847482631935897</v>
      </c>
      <c r="AA252" s="384">
        <f t="shared" si="98"/>
        <v>47.885565702851601</v>
      </c>
      <c r="AB252" s="197">
        <f t="shared" si="99"/>
        <v>43703</v>
      </c>
      <c r="AC252" s="424">
        <f t="shared" si="100"/>
        <v>2.1678413018181977E-2</v>
      </c>
      <c r="AD252" s="169">
        <f>(INDEX(Models!$BJ252:$BT252,,AH252)*(1-AF252)+INDEX(Models!$BJ252:$BT252,,AH252+1)*AF252-ERP_i)*AE252*Ramure*Pc/MaxiM</f>
        <v>2.8684171639813494E-7</v>
      </c>
      <c r="AE252" s="304">
        <f t="shared" si="101"/>
        <v>0.6</v>
      </c>
      <c r="AF252" s="177">
        <f t="shared" si="102"/>
        <v>0.97897908671214839</v>
      </c>
      <c r="AG252" s="799">
        <f t="shared" si="103"/>
        <v>-2</v>
      </c>
      <c r="AH252" s="176">
        <f t="shared" si="104"/>
        <v>4</v>
      </c>
      <c r="AI252" s="224">
        <f t="shared" si="105"/>
        <v>-1.0210209132878516</v>
      </c>
      <c r="AJ252" s="264" t="b">
        <f t="shared" si="106"/>
        <v>0</v>
      </c>
      <c r="AK252" s="264" t="b">
        <f t="shared" si="107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108"/>
        <v>43704</v>
      </c>
      <c r="B253" s="607">
        <v>32.753</v>
      </c>
      <c r="C253" s="388"/>
      <c r="D253" s="391">
        <f t="shared" si="85"/>
        <v>32.883824215613757</v>
      </c>
      <c r="E253" s="383">
        <f t="shared" si="111"/>
        <v>33.61569535029215</v>
      </c>
      <c r="F253" s="383">
        <f t="shared" si="110"/>
        <v>33.615700591089521</v>
      </c>
      <c r="G253" s="110">
        <f t="shared" si="112"/>
        <v>0.61160600023931222</v>
      </c>
      <c r="I253" s="379">
        <f t="shared" si="86"/>
        <v>33.615700591089521</v>
      </c>
      <c r="J253" s="85">
        <v>2018</v>
      </c>
      <c r="K253" s="197">
        <f t="shared" si="87"/>
        <v>43704</v>
      </c>
      <c r="L253" s="435">
        <f t="shared" si="88"/>
        <v>3.9783759563962739E-3</v>
      </c>
      <c r="M253" s="842"/>
      <c r="N253" s="842"/>
      <c r="O253" s="323">
        <f t="shared" si="89"/>
        <v>2.1771708930960136E-2</v>
      </c>
      <c r="P253" s="169">
        <f>(INDEX(Models!$BJ253:$BT253,,T253)*(1-R253)+INDEX(Models!$BJ253:$BT253,,T253+1)*R253-ERP_i)*Q253*Ramure*Pc/MaxiM</f>
        <v>3.5022509698757459E-7</v>
      </c>
      <c r="Q253" s="304">
        <f t="shared" si="90"/>
        <v>0.6</v>
      </c>
      <c r="R253" s="177">
        <f t="shared" si="91"/>
        <v>0.97976454354739562</v>
      </c>
      <c r="S253" s="799">
        <f t="shared" si="109"/>
        <v>-2</v>
      </c>
      <c r="T253" s="176">
        <f t="shared" si="92"/>
        <v>4</v>
      </c>
      <c r="U253" s="250">
        <f t="shared" si="93"/>
        <v>-1.0202354564526044</v>
      </c>
      <c r="V253" s="382">
        <f t="shared" si="94"/>
        <v>53.552440006409654</v>
      </c>
      <c r="W253" s="58"/>
      <c r="X253" s="157">
        <f t="shared" si="95"/>
        <v>43704</v>
      </c>
      <c r="Y253" s="383">
        <f t="shared" si="96"/>
        <v>32.753</v>
      </c>
      <c r="Z253" s="383">
        <f t="shared" si="97"/>
        <v>32.883824215613757</v>
      </c>
      <c r="AA253" s="384">
        <f t="shared" si="98"/>
        <v>33.61569535029215</v>
      </c>
      <c r="AB253" s="197">
        <f t="shared" si="99"/>
        <v>43704</v>
      </c>
      <c r="AC253" s="424">
        <f t="shared" si="100"/>
        <v>2.1771708930960136E-2</v>
      </c>
      <c r="AD253" s="169">
        <f>(INDEX(Models!$BJ253:$BT253,,AH253)*(1-AF253)+INDEX(Models!$BJ253:$BT253,,AH253+1)*AF253-ERP_i)*AE253*Ramure*Pc/MaxiM</f>
        <v>3.5022509698757459E-7</v>
      </c>
      <c r="AE253" s="304">
        <f t="shared" si="101"/>
        <v>0.6</v>
      </c>
      <c r="AF253" s="177">
        <f t="shared" si="102"/>
        <v>0.97976454354739562</v>
      </c>
      <c r="AG253" s="799">
        <f t="shared" si="103"/>
        <v>-2</v>
      </c>
      <c r="AH253" s="176">
        <f t="shared" si="104"/>
        <v>4</v>
      </c>
      <c r="AI253" s="224">
        <f t="shared" si="105"/>
        <v>-1.0202354564526044</v>
      </c>
      <c r="AJ253" s="264" t="b">
        <f t="shared" si="106"/>
        <v>0</v>
      </c>
      <c r="AK253" s="264" t="b">
        <f t="shared" si="107"/>
        <v>0</v>
      </c>
      <c r="AL253" s="264"/>
      <c r="AM253" s="264"/>
      <c r="AN253" s="75"/>
    </row>
    <row r="254" spans="1:40" s="6" customFormat="1" ht="11.25" x14ac:dyDescent="0.2">
      <c r="A254" s="56">
        <f t="shared" si="108"/>
        <v>43705</v>
      </c>
      <c r="B254" s="607">
        <v>35.570999999999998</v>
      </c>
      <c r="C254" s="388"/>
      <c r="D254" s="391">
        <f t="shared" si="85"/>
        <v>35.713764505184841</v>
      </c>
      <c r="E254" s="383">
        <f t="shared" si="111"/>
        <v>36.512094689090972</v>
      </c>
      <c r="F254" s="383">
        <f t="shared" si="110"/>
        <v>36.512102779814334</v>
      </c>
      <c r="G254" s="110">
        <f t="shared" si="112"/>
        <v>0.6660642237705634</v>
      </c>
      <c r="I254" s="379">
        <f t="shared" si="86"/>
        <v>36.512102779814334</v>
      </c>
      <c r="J254" s="85">
        <v>2018</v>
      </c>
      <c r="K254" s="197">
        <f t="shared" si="87"/>
        <v>43705</v>
      </c>
      <c r="L254" s="435">
        <f t="shared" si="88"/>
        <v>3.9974644835919504E-3</v>
      </c>
      <c r="M254" s="842"/>
      <c r="N254" s="842"/>
      <c r="O254" s="323">
        <f t="shared" si="89"/>
        <v>2.1864814678645438E-2</v>
      </c>
      <c r="P254" s="169">
        <f>(INDEX(Models!$BJ254:$BT254,,T254)*(1-R254)+INDEX(Models!$BJ254:$BT254,,T254+1)*R254-ERP_i)*Q254*Ramure*Pc/MaxiM</f>
        <v>4.2373184173581827E-7</v>
      </c>
      <c r="Q254" s="304">
        <f t="shared" si="90"/>
        <v>0.6</v>
      </c>
      <c r="R254" s="177">
        <f t="shared" si="91"/>
        <v>0.9805207939999554</v>
      </c>
      <c r="S254" s="799">
        <f t="shared" si="109"/>
        <v>-2</v>
      </c>
      <c r="T254" s="176">
        <f t="shared" si="92"/>
        <v>4</v>
      </c>
      <c r="U254" s="250">
        <f t="shared" si="93"/>
        <v>-1.0194792060000446</v>
      </c>
      <c r="V254" s="382">
        <f t="shared" si="94"/>
        <v>53.404749182070319</v>
      </c>
      <c r="W254" s="58"/>
      <c r="X254" s="157">
        <f t="shared" si="95"/>
        <v>43705</v>
      </c>
      <c r="Y254" s="383">
        <f t="shared" si="96"/>
        <v>35.570999999999998</v>
      </c>
      <c r="Z254" s="383">
        <f t="shared" si="97"/>
        <v>35.713764505184841</v>
      </c>
      <c r="AA254" s="384">
        <f t="shared" si="98"/>
        <v>36.512094689090972</v>
      </c>
      <c r="AB254" s="197">
        <f t="shared" si="99"/>
        <v>43705</v>
      </c>
      <c r="AC254" s="424">
        <f t="shared" si="100"/>
        <v>2.1864814678645438E-2</v>
      </c>
      <c r="AD254" s="169">
        <f>(INDEX(Models!$BJ254:$BT254,,AH254)*(1-AF254)+INDEX(Models!$BJ254:$BT254,,AH254+1)*AF254-ERP_i)*AE254*Ramure*Pc/MaxiM</f>
        <v>4.2373184173581827E-7</v>
      </c>
      <c r="AE254" s="304">
        <f t="shared" si="101"/>
        <v>0.6</v>
      </c>
      <c r="AF254" s="177">
        <f t="shared" si="102"/>
        <v>0.9805207939999554</v>
      </c>
      <c r="AG254" s="799">
        <f t="shared" si="103"/>
        <v>-2</v>
      </c>
      <c r="AH254" s="176">
        <f t="shared" si="104"/>
        <v>4</v>
      </c>
      <c r="AI254" s="224">
        <f t="shared" si="105"/>
        <v>-1.0194792060000446</v>
      </c>
      <c r="AJ254" s="264" t="b">
        <f t="shared" si="106"/>
        <v>0</v>
      </c>
      <c r="AK254" s="264" t="b">
        <f t="shared" si="107"/>
        <v>0</v>
      </c>
      <c r="AL254" s="264"/>
      <c r="AM254" s="264"/>
      <c r="AN254" s="75"/>
    </row>
    <row r="255" spans="1:40" s="6" customFormat="1" ht="11.25" x14ac:dyDescent="0.2">
      <c r="A255" s="56">
        <f t="shared" si="108"/>
        <v>43706</v>
      </c>
      <c r="B255" s="607">
        <v>50.331000000000003</v>
      </c>
      <c r="C255" s="388"/>
      <c r="D255" s="391">
        <f t="shared" si="85"/>
        <v>50.533972360344301</v>
      </c>
      <c r="E255" s="383">
        <f t="shared" si="111"/>
        <v>51.668495005341036</v>
      </c>
      <c r="F255" s="383">
        <f t="shared" si="110"/>
        <v>51.668519055548828</v>
      </c>
      <c r="G255" s="110">
        <f t="shared" si="112"/>
        <v>0.9450992290520539</v>
      </c>
      <c r="I255" s="379">
        <f t="shared" si="86"/>
        <v>51.668519055548828</v>
      </c>
      <c r="J255" s="85">
        <v>2018</v>
      </c>
      <c r="K255" s="197">
        <f t="shared" si="87"/>
        <v>43706</v>
      </c>
      <c r="L255" s="435">
        <f t="shared" si="88"/>
        <v>4.0165526449604805E-3</v>
      </c>
      <c r="M255" s="842"/>
      <c r="N255" s="842"/>
      <c r="O255" s="323">
        <f t="shared" si="89"/>
        <v>2.1957725783951266E-2</v>
      </c>
      <c r="P255" s="169">
        <f>(INDEX(Models!$BJ255:$BT255,,T255)*(1-R255)+INDEX(Models!$BJ255:$BT255,,T255+1)*R255-ERP_i)*Q255*Ramure*Pc/MaxiM</f>
        <v>5.0508481399635989E-7</v>
      </c>
      <c r="Q255" s="304">
        <f t="shared" si="90"/>
        <v>0.6</v>
      </c>
      <c r="R255" s="177">
        <f t="shared" si="91"/>
        <v>0.98124883370225002</v>
      </c>
      <c r="S255" s="799">
        <f t="shared" si="109"/>
        <v>-2</v>
      </c>
      <c r="T255" s="176">
        <f t="shared" si="92"/>
        <v>4</v>
      </c>
      <c r="U255" s="250">
        <f t="shared" si="93"/>
        <v>-1.01875116629775</v>
      </c>
      <c r="V255" s="382">
        <f t="shared" si="94"/>
        <v>53.254723376178283</v>
      </c>
      <c r="W255" s="58"/>
      <c r="X255" s="157">
        <f t="shared" si="95"/>
        <v>43706</v>
      </c>
      <c r="Y255" s="383">
        <f t="shared" si="96"/>
        <v>50.331000000000003</v>
      </c>
      <c r="Z255" s="383">
        <f t="shared" si="97"/>
        <v>50.533972360344301</v>
      </c>
      <c r="AA255" s="384">
        <f t="shared" si="98"/>
        <v>51.668495005341036</v>
      </c>
      <c r="AB255" s="197">
        <f t="shared" si="99"/>
        <v>43706</v>
      </c>
      <c r="AC255" s="424">
        <f t="shared" si="100"/>
        <v>2.1957725783951266E-2</v>
      </c>
      <c r="AD255" s="169">
        <f>(INDEX(Models!$BJ255:$BT255,,AH255)*(1-AF255)+INDEX(Models!$BJ255:$BT255,,AH255+1)*AF255-ERP_i)*AE255*Ramure*Pc/MaxiM</f>
        <v>5.0508481399635989E-7</v>
      </c>
      <c r="AE255" s="304">
        <f t="shared" si="101"/>
        <v>0.6</v>
      </c>
      <c r="AF255" s="177">
        <f t="shared" si="102"/>
        <v>0.98124883370225002</v>
      </c>
      <c r="AG255" s="799">
        <f t="shared" si="103"/>
        <v>-2</v>
      </c>
      <c r="AH255" s="176">
        <f t="shared" si="104"/>
        <v>4</v>
      </c>
      <c r="AI255" s="224">
        <f t="shared" si="105"/>
        <v>-1.01875116629775</v>
      </c>
      <c r="AJ255" s="264" t="b">
        <f t="shared" si="106"/>
        <v>0</v>
      </c>
      <c r="AK255" s="264" t="b">
        <f t="shared" si="107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108"/>
        <v>43707</v>
      </c>
      <c r="B256" s="607">
        <v>49.780999999999999</v>
      </c>
      <c r="C256" s="388"/>
      <c r="D256" s="391">
        <f t="shared" si="85"/>
        <v>49.982712254902189</v>
      </c>
      <c r="E256" s="383">
        <f t="shared" si="111"/>
        <v>51.109703584179414</v>
      </c>
      <c r="F256" s="383">
        <f t="shared" si="110"/>
        <v>51.109731247506751</v>
      </c>
      <c r="G256" s="110">
        <f t="shared" si="112"/>
        <v>0.93746092133720815</v>
      </c>
      <c r="I256" s="379">
        <f t="shared" si="86"/>
        <v>51.109731247506751</v>
      </c>
      <c r="J256" s="85">
        <v>2018</v>
      </c>
      <c r="K256" s="197">
        <f t="shared" si="87"/>
        <v>43707</v>
      </c>
      <c r="L256" s="435">
        <f t="shared" si="88"/>
        <v>4.0356404405086366E-3</v>
      </c>
      <c r="M256" s="842"/>
      <c r="N256" s="842"/>
      <c r="O256" s="323">
        <f t="shared" si="89"/>
        <v>2.2050437592951968E-2</v>
      </c>
      <c r="P256" s="169">
        <f>(INDEX(Models!$BJ256:$BT256,,T256)*(1-R256)+INDEX(Models!$BJ256:$BT256,,T256+1)*R256-ERP_i)*Q256*Ramure*Pc/MaxiM</f>
        <v>5.9435409396531157E-7</v>
      </c>
      <c r="Q256" s="304">
        <f t="shared" si="90"/>
        <v>0.6</v>
      </c>
      <c r="R256" s="177">
        <f t="shared" si="91"/>
        <v>0.98194963126342483</v>
      </c>
      <c r="S256" s="799">
        <f t="shared" si="109"/>
        <v>-2</v>
      </c>
      <c r="T256" s="176">
        <f t="shared" si="92"/>
        <v>4</v>
      </c>
      <c r="U256" s="250">
        <f t="shared" si="93"/>
        <v>-1.0180503687365752</v>
      </c>
      <c r="V256" s="382">
        <f t="shared" si="94"/>
        <v>53.101944010205571</v>
      </c>
      <c r="W256" s="58"/>
      <c r="X256" s="157">
        <f t="shared" si="95"/>
        <v>43707</v>
      </c>
      <c r="Y256" s="383">
        <f t="shared" si="96"/>
        <v>49.780999999999999</v>
      </c>
      <c r="Z256" s="383">
        <f t="shared" si="97"/>
        <v>49.982712254902189</v>
      </c>
      <c r="AA256" s="384">
        <f t="shared" si="98"/>
        <v>51.109703584179414</v>
      </c>
      <c r="AB256" s="197">
        <f t="shared" si="99"/>
        <v>43707</v>
      </c>
      <c r="AC256" s="424">
        <f t="shared" si="100"/>
        <v>2.2050437592951968E-2</v>
      </c>
      <c r="AD256" s="169">
        <f>(INDEX(Models!$BJ256:$BT256,,AH256)*(1-AF256)+INDEX(Models!$BJ256:$BT256,,AH256+1)*AF256-ERP_i)*AE256*Ramure*Pc/MaxiM</f>
        <v>5.9435409396531157E-7</v>
      </c>
      <c r="AE256" s="304">
        <f t="shared" si="101"/>
        <v>0.6</v>
      </c>
      <c r="AF256" s="177">
        <f t="shared" si="102"/>
        <v>0.98194963126342483</v>
      </c>
      <c r="AG256" s="799">
        <f t="shared" si="103"/>
        <v>-2</v>
      </c>
      <c r="AH256" s="176">
        <f t="shared" si="104"/>
        <v>4</v>
      </c>
      <c r="AI256" s="224">
        <f t="shared" si="105"/>
        <v>-1.0180503687365752</v>
      </c>
      <c r="AJ256" s="264" t="b">
        <f t="shared" si="106"/>
        <v>0</v>
      </c>
      <c r="AK256" s="264" t="b">
        <f t="shared" si="107"/>
        <v>0</v>
      </c>
      <c r="AL256" s="264"/>
      <c r="AM256" s="264"/>
      <c r="AN256" s="75"/>
    </row>
    <row r="257" spans="1:40" s="6" customFormat="1" ht="11.25" x14ac:dyDescent="0.2">
      <c r="A257" s="56">
        <f t="shared" si="108"/>
        <v>43708</v>
      </c>
      <c r="B257" s="607">
        <v>48.637</v>
      </c>
      <c r="C257" s="388"/>
      <c r="D257" s="391">
        <f t="shared" si="85"/>
        <v>48.835012686985621</v>
      </c>
      <c r="E257" s="383">
        <f t="shared" si="111"/>
        <v>49.940850199448676</v>
      </c>
      <c r="F257" s="383">
        <f t="shared" si="110"/>
        <v>49.940880723417187</v>
      </c>
      <c r="G257" s="110">
        <f t="shared" si="112"/>
        <v>0.91861524566039854</v>
      </c>
      <c r="I257" s="379">
        <f t="shared" si="86"/>
        <v>49.940880723417187</v>
      </c>
      <c r="J257" s="85">
        <v>2018</v>
      </c>
      <c r="K257" s="197">
        <f t="shared" si="87"/>
        <v>43708</v>
      </c>
      <c r="L257" s="435">
        <f t="shared" si="88"/>
        <v>4.0547278702436351E-3</v>
      </c>
      <c r="M257" s="842"/>
      <c r="N257" s="842"/>
      <c r="O257" s="323">
        <f t="shared" si="89"/>
        <v>2.2142945265182273E-2</v>
      </c>
      <c r="P257" s="169">
        <f>(INDEX(Models!$BJ257:$BT257,,T257)*(1-R257)+INDEX(Models!$BJ257:$BT257,,T257+1)*R257-ERP_i)*Q257*Ramure*Pc/MaxiM</f>
        <v>6.9161144114649834E-7</v>
      </c>
      <c r="Q257" s="304">
        <f t="shared" si="90"/>
        <v>0.6</v>
      </c>
      <c r="R257" s="177">
        <f t="shared" si="91"/>
        <v>0.98262412845312497</v>
      </c>
      <c r="S257" s="799">
        <f t="shared" si="109"/>
        <v>-2</v>
      </c>
      <c r="T257" s="176">
        <f t="shared" si="92"/>
        <v>4</v>
      </c>
      <c r="U257" s="250">
        <f t="shared" si="93"/>
        <v>-1.017375871546875</v>
      </c>
      <c r="V257" s="382">
        <f t="shared" si="94"/>
        <v>52.945992698129494</v>
      </c>
      <c r="W257" s="58"/>
      <c r="X257" s="157">
        <f t="shared" si="95"/>
        <v>43708</v>
      </c>
      <c r="Y257" s="383">
        <f t="shared" si="96"/>
        <v>48.637</v>
      </c>
      <c r="Z257" s="383">
        <f t="shared" si="97"/>
        <v>48.835012686985621</v>
      </c>
      <c r="AA257" s="384">
        <f t="shared" si="98"/>
        <v>49.940850199448676</v>
      </c>
      <c r="AB257" s="197">
        <f t="shared" si="99"/>
        <v>43708</v>
      </c>
      <c r="AC257" s="424">
        <f t="shared" si="100"/>
        <v>2.2142945265182273E-2</v>
      </c>
      <c r="AD257" s="169">
        <f>(INDEX(Models!$BJ257:$BT257,,AH257)*(1-AF257)+INDEX(Models!$BJ257:$BT257,,AH257+1)*AF257-ERP_i)*AE257*Ramure*Pc/MaxiM</f>
        <v>6.9161144114649834E-7</v>
      </c>
      <c r="AE257" s="304">
        <f t="shared" si="101"/>
        <v>0.6</v>
      </c>
      <c r="AF257" s="177">
        <f t="shared" si="102"/>
        <v>0.98262412845312497</v>
      </c>
      <c r="AG257" s="799">
        <f t="shared" si="103"/>
        <v>-2</v>
      </c>
      <c r="AH257" s="176">
        <f t="shared" si="104"/>
        <v>4</v>
      </c>
      <c r="AI257" s="224">
        <f t="shared" si="105"/>
        <v>-1.017375871546875</v>
      </c>
      <c r="AJ257" s="264" t="b">
        <f t="shared" si="106"/>
        <v>0</v>
      </c>
      <c r="AK257" s="264" t="b">
        <f t="shared" si="107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108"/>
        <v>43709</v>
      </c>
      <c r="B258" s="607">
        <v>17.131</v>
      </c>
      <c r="C258" s="388"/>
      <c r="D258" s="391">
        <f t="shared" si="85"/>
        <v>17.201073992112875</v>
      </c>
      <c r="E258" s="383">
        <f t="shared" si="111"/>
        <v>17.592241776335857</v>
      </c>
      <c r="F258" s="383">
        <f t="shared" si="110"/>
        <v>17.592242267710599</v>
      </c>
      <c r="G258" s="110">
        <f t="shared" si="112"/>
        <v>0.32453378509132969</v>
      </c>
      <c r="I258" s="379">
        <f t="shared" si="86"/>
        <v>17.592242267710599</v>
      </c>
      <c r="J258" s="85">
        <v>2018</v>
      </c>
      <c r="K258" s="197">
        <f t="shared" si="87"/>
        <v>43709</v>
      </c>
      <c r="L258" s="435">
        <f t="shared" si="88"/>
        <v>4.0738149341723595E-3</v>
      </c>
      <c r="M258" s="842"/>
      <c r="N258" s="842"/>
      <c r="O258" s="323">
        <f t="shared" si="89"/>
        <v>2.2235243762347534E-2</v>
      </c>
      <c r="P258" s="169">
        <f>(INDEX(Models!$BJ258:$BT258,,T258)*(1-R258)+INDEX(Models!$BJ258:$BT258,,T258+1)*R258-ERP_i)*Q258*Ramure*Pc/MaxiM</f>
        <v>7.9693095409987016E-7</v>
      </c>
      <c r="Q258" s="304">
        <f t="shared" si="90"/>
        <v>0.6</v>
      </c>
      <c r="R258" s="177">
        <f t="shared" si="91"/>
        <v>0.98327324043574649</v>
      </c>
      <c r="S258" s="799">
        <f t="shared" si="109"/>
        <v>-2</v>
      </c>
      <c r="T258" s="176">
        <f t="shared" si="92"/>
        <v>4</v>
      </c>
      <c r="U258" s="250">
        <f t="shared" si="93"/>
        <v>-1.0167267595642535</v>
      </c>
      <c r="V258" s="382">
        <f t="shared" si="94"/>
        <v>52.786451251742932</v>
      </c>
      <c r="W258" s="58"/>
      <c r="X258" s="157">
        <f t="shared" si="95"/>
        <v>43709</v>
      </c>
      <c r="Y258" s="383">
        <f t="shared" si="96"/>
        <v>17.131</v>
      </c>
      <c r="Z258" s="383">
        <f t="shared" si="97"/>
        <v>17.201073992112875</v>
      </c>
      <c r="AA258" s="384">
        <f t="shared" si="98"/>
        <v>17.592241776335857</v>
      </c>
      <c r="AB258" s="197">
        <f t="shared" si="99"/>
        <v>43709</v>
      </c>
      <c r="AC258" s="424">
        <f t="shared" si="100"/>
        <v>2.2235243762347534E-2</v>
      </c>
      <c r="AD258" s="169">
        <f>(INDEX(Models!$BJ258:$BT258,,AH258)*(1-AF258)+INDEX(Models!$BJ258:$BT258,,AH258+1)*AF258-ERP_i)*AE258*Ramure*Pc/MaxiM</f>
        <v>7.9693095409987016E-7</v>
      </c>
      <c r="AE258" s="304">
        <f t="shared" si="101"/>
        <v>0.6</v>
      </c>
      <c r="AF258" s="177">
        <f t="shared" si="102"/>
        <v>0.98327324043574649</v>
      </c>
      <c r="AG258" s="799">
        <f t="shared" si="103"/>
        <v>-2</v>
      </c>
      <c r="AH258" s="176">
        <f t="shared" si="104"/>
        <v>4</v>
      </c>
      <c r="AI258" s="224">
        <f t="shared" si="105"/>
        <v>-1.0167267595642535</v>
      </c>
      <c r="AJ258" s="264" t="b">
        <f t="shared" si="106"/>
        <v>0</v>
      </c>
      <c r="AK258" s="264" t="b">
        <f t="shared" si="107"/>
        <v>0</v>
      </c>
      <c r="AL258" s="264"/>
      <c r="AM258" s="264"/>
      <c r="AN258" s="75"/>
    </row>
    <row r="259" spans="1:40" s="6" customFormat="1" ht="11.25" x14ac:dyDescent="0.2">
      <c r="A259" s="56">
        <f t="shared" si="108"/>
        <v>43710</v>
      </c>
      <c r="B259" s="607">
        <v>51.436999999999998</v>
      </c>
      <c r="C259" s="388"/>
      <c r="D259" s="391">
        <f t="shared" si="85"/>
        <v>51.64839178705099</v>
      </c>
      <c r="E259" s="383">
        <f t="shared" si="111"/>
        <v>52.827897575091484</v>
      </c>
      <c r="F259" s="383">
        <f t="shared" si="110"/>
        <v>52.82794412076764</v>
      </c>
      <c r="G259" s="110">
        <f t="shared" si="112"/>
        <v>0.9774641241030021</v>
      </c>
      <c r="I259" s="379">
        <f t="shared" si="86"/>
        <v>52.82794412076764</v>
      </c>
      <c r="J259" s="85">
        <v>2018</v>
      </c>
      <c r="K259" s="197">
        <f t="shared" si="87"/>
        <v>43710</v>
      </c>
      <c r="L259" s="435">
        <f t="shared" si="88"/>
        <v>4.0929016323019152E-3</v>
      </c>
      <c r="M259" s="842"/>
      <c r="N259" s="842"/>
      <c r="O259" s="323">
        <f t="shared" si="89"/>
        <v>2.2327327835901516E-2</v>
      </c>
      <c r="P259" s="169">
        <f>(INDEX(Models!$BJ259:$BT259,,T259)*(1-R259)+INDEX(Models!$BJ259:$BT259,,T259+1)*R259-ERP_i)*Q259*Ramure*Pc/MaxiM</f>
        <v>9.1038973842592813E-7</v>
      </c>
      <c r="Q259" s="304">
        <f t="shared" si="90"/>
        <v>0.6</v>
      </c>
      <c r="R259" s="177">
        <f t="shared" si="91"/>
        <v>0.98389785604995295</v>
      </c>
      <c r="S259" s="799">
        <f t="shared" si="109"/>
        <v>-2</v>
      </c>
      <c r="T259" s="176">
        <f t="shared" si="92"/>
        <v>4</v>
      </c>
      <c r="U259" s="250">
        <f t="shared" si="93"/>
        <v>-1.0161021439500471</v>
      </c>
      <c r="V259" s="382">
        <f t="shared" si="94"/>
        <v>52.622901673886616</v>
      </c>
      <c r="W259" s="58"/>
      <c r="X259" s="157">
        <f t="shared" si="95"/>
        <v>43710</v>
      </c>
      <c r="Y259" s="383">
        <f t="shared" si="96"/>
        <v>51.436999999999998</v>
      </c>
      <c r="Z259" s="383">
        <f t="shared" si="97"/>
        <v>51.64839178705099</v>
      </c>
      <c r="AA259" s="384">
        <f t="shared" si="98"/>
        <v>52.827897575091484</v>
      </c>
      <c r="AB259" s="197">
        <f t="shared" si="99"/>
        <v>43710</v>
      </c>
      <c r="AC259" s="424">
        <f t="shared" si="100"/>
        <v>2.2327327835901516E-2</v>
      </c>
      <c r="AD259" s="169">
        <f>(INDEX(Models!$BJ259:$BT259,,AH259)*(1-AF259)+INDEX(Models!$BJ259:$BT259,,AH259+1)*AF259-ERP_i)*AE259*Ramure*Pc/MaxiM</f>
        <v>9.1038973842592813E-7</v>
      </c>
      <c r="AE259" s="304">
        <f t="shared" si="101"/>
        <v>0.6</v>
      </c>
      <c r="AF259" s="177">
        <f t="shared" si="102"/>
        <v>0.98389785604995295</v>
      </c>
      <c r="AG259" s="799">
        <f t="shared" si="103"/>
        <v>-2</v>
      </c>
      <c r="AH259" s="176">
        <f t="shared" si="104"/>
        <v>4</v>
      </c>
      <c r="AI259" s="224">
        <f t="shared" si="105"/>
        <v>-1.0161021439500471</v>
      </c>
      <c r="AJ259" s="264" t="b">
        <f t="shared" si="106"/>
        <v>0</v>
      </c>
      <c r="AK259" s="264" t="b">
        <f t="shared" si="107"/>
        <v>0</v>
      </c>
      <c r="AL259" s="264"/>
      <c r="AM259" s="264"/>
      <c r="AN259" s="75"/>
    </row>
    <row r="260" spans="1:40" s="6" customFormat="1" ht="11.25" x14ac:dyDescent="0.2">
      <c r="A260" s="56">
        <f t="shared" si="108"/>
        <v>43711</v>
      </c>
      <c r="B260" s="607">
        <v>53.28</v>
      </c>
      <c r="C260" s="388"/>
      <c r="D260" s="391">
        <f t="shared" si="85"/>
        <v>53.499991320417863</v>
      </c>
      <c r="E260" s="383">
        <f t="shared" si="111"/>
        <v>54.726924754819883</v>
      </c>
      <c r="F260" s="383">
        <f t="shared" si="110"/>
        <v>54.726981236817899</v>
      </c>
      <c r="G260" s="110">
        <f t="shared" si="112"/>
        <v>1.0157291963781749</v>
      </c>
      <c r="I260" s="379">
        <f t="shared" si="86"/>
        <v>54.726981236817899</v>
      </c>
      <c r="J260" s="85">
        <v>2018</v>
      </c>
      <c r="K260" s="197">
        <f t="shared" si="87"/>
        <v>43711</v>
      </c>
      <c r="L260" s="435">
        <f t="shared" si="88"/>
        <v>4.1119879646391855E-3</v>
      </c>
      <c r="M260" s="842"/>
      <c r="N260" s="842"/>
      <c r="O260" s="323">
        <f t="shared" si="89"/>
        <v>2.2419192013780453E-2</v>
      </c>
      <c r="P260" s="169">
        <f>(INDEX(Models!$BJ260:$BT260,,T260)*(1-R260)+INDEX(Models!$BJ260:$BT260,,T260+1)*R260-ERP_i)*Q260*Ramure*Pc/MaxiM</f>
        <v>1.0320685836726118E-6</v>
      </c>
      <c r="Q260" s="304">
        <f t="shared" si="90"/>
        <v>0.6</v>
      </c>
      <c r="R260" s="177">
        <f t="shared" si="91"/>
        <v>0.98449883812857841</v>
      </c>
      <c r="S260" s="799">
        <f t="shared" si="109"/>
        <v>-2</v>
      </c>
      <c r="T260" s="176">
        <f t="shared" si="92"/>
        <v>4</v>
      </c>
      <c r="U260" s="250">
        <f t="shared" si="93"/>
        <v>-1.0155011618714216</v>
      </c>
      <c r="V260" s="382">
        <f t="shared" si="94"/>
        <v>52.454926165342663</v>
      </c>
      <c r="W260" s="58"/>
      <c r="X260" s="157">
        <f t="shared" si="95"/>
        <v>43711</v>
      </c>
      <c r="Y260" s="383">
        <f t="shared" si="96"/>
        <v>53.28</v>
      </c>
      <c r="Z260" s="383">
        <f t="shared" si="97"/>
        <v>53.499991320417863</v>
      </c>
      <c r="AA260" s="384">
        <f t="shared" si="98"/>
        <v>54.726924754819883</v>
      </c>
      <c r="AB260" s="197">
        <f t="shared" si="99"/>
        <v>43711</v>
      </c>
      <c r="AC260" s="424">
        <f t="shared" si="100"/>
        <v>2.2419192013780453E-2</v>
      </c>
      <c r="AD260" s="169">
        <f>(INDEX(Models!$BJ260:$BT260,,AH260)*(1-AF260)+INDEX(Models!$BJ260:$BT260,,AH260+1)*AF260-ERP_i)*AE260*Ramure*Pc/MaxiM</f>
        <v>1.0320685836726118E-6</v>
      </c>
      <c r="AE260" s="304">
        <f t="shared" si="101"/>
        <v>0.6</v>
      </c>
      <c r="AF260" s="177">
        <f t="shared" si="102"/>
        <v>0.98449883812857841</v>
      </c>
      <c r="AG260" s="799">
        <f t="shared" si="103"/>
        <v>-2</v>
      </c>
      <c r="AH260" s="176">
        <f t="shared" si="104"/>
        <v>4</v>
      </c>
      <c r="AI260" s="224">
        <f t="shared" si="105"/>
        <v>-1.0155011618714216</v>
      </c>
      <c r="AJ260" s="264" t="b">
        <f t="shared" si="106"/>
        <v>0</v>
      </c>
      <c r="AK260" s="264" t="b">
        <f t="shared" si="107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108"/>
        <v>43712</v>
      </c>
      <c r="B261" s="607">
        <v>53.073</v>
      </c>
      <c r="C261" s="388"/>
      <c r="D261" s="391">
        <f t="shared" si="85"/>
        <v>53.293157975623956</v>
      </c>
      <c r="E261" s="383">
        <f t="shared" si="111"/>
        <v>54.520458786879651</v>
      </c>
      <c r="F261" s="383">
        <f t="shared" ref="F261:F292" si="113">Wh_sa/(1-Pvg*MEDIAN((-Sdif+Wh/Env_an)/Csdif,0,1))</f>
        <v>54.520522140500951</v>
      </c>
      <c r="G261" s="110">
        <f t="shared" si="112"/>
        <v>1.0150938268951326</v>
      </c>
      <c r="I261" s="379">
        <f t="shared" si="86"/>
        <v>54.520522140500951</v>
      </c>
      <c r="J261" s="85">
        <v>2018</v>
      </c>
      <c r="K261" s="197">
        <f t="shared" si="87"/>
        <v>43712</v>
      </c>
      <c r="L261" s="435">
        <f t="shared" si="88"/>
        <v>4.1310739311912759E-3</v>
      </c>
      <c r="M261" s="842"/>
      <c r="N261" s="842"/>
      <c r="O261" s="323">
        <f t="shared" si="89"/>
        <v>2.2510830586609937E-2</v>
      </c>
      <c r="P261" s="169">
        <f>(INDEX(Models!$BJ261:$BT261,,T261)*(1-R261)+INDEX(Models!$BJ261:$BT261,,T261+1)*R261-ERP_i)*Q261*Ramure*Pc/MaxiM</f>
        <v>1.1620142069923242E-6</v>
      </c>
      <c r="Q261" s="304">
        <f t="shared" si="90"/>
        <v>0.6</v>
      </c>
      <c r="R261" s="177">
        <f t="shared" si="91"/>
        <v>0.9850770238543427</v>
      </c>
      <c r="S261" s="799">
        <f t="shared" si="109"/>
        <v>-2</v>
      </c>
      <c r="T261" s="176">
        <f t="shared" si="92"/>
        <v>4</v>
      </c>
      <c r="U261" s="250">
        <f t="shared" si="93"/>
        <v>-1.0149229761456573</v>
      </c>
      <c r="V261" s="382">
        <f t="shared" si="94"/>
        <v>52.28383681766087</v>
      </c>
      <c r="W261" s="58"/>
      <c r="X261" s="157">
        <f t="shared" si="95"/>
        <v>43712</v>
      </c>
      <c r="Y261" s="383">
        <f t="shared" si="96"/>
        <v>53.073</v>
      </c>
      <c r="Z261" s="383">
        <f t="shared" si="97"/>
        <v>53.293157975623956</v>
      </c>
      <c r="AA261" s="384">
        <f t="shared" si="98"/>
        <v>54.520458786879651</v>
      </c>
      <c r="AB261" s="197">
        <f t="shared" si="99"/>
        <v>43712</v>
      </c>
      <c r="AC261" s="424">
        <f t="shared" si="100"/>
        <v>2.2510830586609937E-2</v>
      </c>
      <c r="AD261" s="169">
        <f>(INDEX(Models!$BJ261:$BT261,,AH261)*(1-AF261)+INDEX(Models!$BJ261:$BT261,,AH261+1)*AF261-ERP_i)*AE261*Ramure*Pc/MaxiM</f>
        <v>1.1620142069923242E-6</v>
      </c>
      <c r="AE261" s="304">
        <f t="shared" si="101"/>
        <v>0.6</v>
      </c>
      <c r="AF261" s="177">
        <f t="shared" si="102"/>
        <v>0.9850770238543427</v>
      </c>
      <c r="AG261" s="799">
        <f t="shared" si="103"/>
        <v>-2</v>
      </c>
      <c r="AH261" s="176">
        <f t="shared" si="104"/>
        <v>4</v>
      </c>
      <c r="AI261" s="224">
        <f t="shared" si="105"/>
        <v>-1.0149229761456573</v>
      </c>
      <c r="AJ261" s="264" t="b">
        <f t="shared" si="106"/>
        <v>0</v>
      </c>
      <c r="AK261" s="264" t="b">
        <f t="shared" si="107"/>
        <v>0</v>
      </c>
      <c r="AL261" s="264"/>
      <c r="AM261" s="264"/>
      <c r="AN261" s="75"/>
    </row>
    <row r="262" spans="1:40" s="6" customFormat="1" ht="11.25" x14ac:dyDescent="0.2">
      <c r="A262" s="56">
        <f t="shared" si="108"/>
        <v>43713</v>
      </c>
      <c r="B262" s="607">
        <v>36.085000000000001</v>
      </c>
      <c r="C262" s="388"/>
      <c r="D262" s="391">
        <f t="shared" si="85"/>
        <v>36.235382618568863</v>
      </c>
      <c r="E262" s="383">
        <f t="shared" si="111"/>
        <v>37.073322665851322</v>
      </c>
      <c r="F262" s="383">
        <f t="shared" si="113"/>
        <v>37.073349635150429</v>
      </c>
      <c r="G262" s="110">
        <f t="shared" si="112"/>
        <v>0.69246356680783494</v>
      </c>
      <c r="I262" s="379">
        <f t="shared" si="86"/>
        <v>37.073349635150429</v>
      </c>
      <c r="J262" s="85">
        <v>2018</v>
      </c>
      <c r="K262" s="197">
        <f t="shared" si="87"/>
        <v>43713</v>
      </c>
      <c r="L262" s="435">
        <f t="shared" si="88"/>
        <v>4.1501595319651807E-3</v>
      </c>
      <c r="M262" s="842"/>
      <c r="N262" s="842"/>
      <c r="O262" s="323">
        <f t="shared" si="89"/>
        <v>2.2602237593726541E-2</v>
      </c>
      <c r="P262" s="169">
        <f>(INDEX(Models!$BJ262:$BT262,,T262)*(1-R262)+INDEX(Models!$BJ262:$BT262,,T262+1)*R262-ERP_i)*Q262*Ramure*Pc/MaxiM</f>
        <v>1.2974961852897432E-6</v>
      </c>
      <c r="Q262" s="304">
        <f t="shared" si="90"/>
        <v>0.6</v>
      </c>
      <c r="R262" s="177">
        <f t="shared" si="91"/>
        <v>0.98563322514711471</v>
      </c>
      <c r="S262" s="799">
        <f t="shared" si="109"/>
        <v>-2</v>
      </c>
      <c r="T262" s="176">
        <f t="shared" si="92"/>
        <v>4</v>
      </c>
      <c r="U262" s="250">
        <f t="shared" si="93"/>
        <v>-1.0143667748528853</v>
      </c>
      <c r="V262" s="382">
        <f t="shared" si="94"/>
        <v>52.111015163582628</v>
      </c>
      <c r="W262" s="58"/>
      <c r="X262" s="157">
        <f t="shared" si="95"/>
        <v>43713</v>
      </c>
      <c r="Y262" s="383">
        <f t="shared" si="96"/>
        <v>36.085000000000001</v>
      </c>
      <c r="Z262" s="383">
        <f t="shared" si="97"/>
        <v>36.235382618568863</v>
      </c>
      <c r="AA262" s="384">
        <f t="shared" si="98"/>
        <v>37.073322665851322</v>
      </c>
      <c r="AB262" s="197">
        <f t="shared" si="99"/>
        <v>43713</v>
      </c>
      <c r="AC262" s="424">
        <f t="shared" si="100"/>
        <v>2.2602237593726541E-2</v>
      </c>
      <c r="AD262" s="169">
        <f>(INDEX(Models!$BJ262:$BT262,,AH262)*(1-AF262)+INDEX(Models!$BJ262:$BT262,,AH262+1)*AF262-ERP_i)*AE262*Ramure*Pc/MaxiM</f>
        <v>1.2974961852897432E-6</v>
      </c>
      <c r="AE262" s="304">
        <f t="shared" si="101"/>
        <v>0.6</v>
      </c>
      <c r="AF262" s="177">
        <f t="shared" si="102"/>
        <v>0.98563322514711471</v>
      </c>
      <c r="AG262" s="799">
        <f t="shared" si="103"/>
        <v>-2</v>
      </c>
      <c r="AH262" s="176">
        <f t="shared" si="104"/>
        <v>4</v>
      </c>
      <c r="AI262" s="224">
        <f t="shared" si="105"/>
        <v>-1.0143667748528853</v>
      </c>
      <c r="AJ262" s="264" t="b">
        <f t="shared" si="106"/>
        <v>0</v>
      </c>
      <c r="AK262" s="264" t="b">
        <f t="shared" si="107"/>
        <v>0</v>
      </c>
      <c r="AL262" s="264"/>
      <c r="AM262" s="264"/>
      <c r="AN262" s="75"/>
    </row>
    <row r="263" spans="1:40" s="6" customFormat="1" ht="11.25" x14ac:dyDescent="0.2">
      <c r="A263" s="56">
        <f t="shared" si="108"/>
        <v>43714</v>
      </c>
      <c r="B263" s="607">
        <v>54.024999999999999</v>
      </c>
      <c r="C263" s="388"/>
      <c r="D263" s="391">
        <f t="shared" si="85"/>
        <v>54.251186475314</v>
      </c>
      <c r="E263" s="383">
        <f t="shared" si="111"/>
        <v>55.510918327276983</v>
      </c>
      <c r="F263" s="383">
        <f t="shared" si="113"/>
        <v>55.510997901314788</v>
      </c>
      <c r="G263" s="110">
        <f t="shared" si="112"/>
        <v>1.0402196202037532</v>
      </c>
      <c r="I263" s="379">
        <f t="shared" si="86"/>
        <v>55.510997901314788</v>
      </c>
      <c r="J263" s="85">
        <v>2018</v>
      </c>
      <c r="K263" s="197">
        <f t="shared" si="87"/>
        <v>43714</v>
      </c>
      <c r="L263" s="435">
        <f t="shared" si="88"/>
        <v>4.1692447669678945E-3</v>
      </c>
      <c r="M263" s="842"/>
      <c r="N263" s="842"/>
      <c r="O263" s="323">
        <f t="shared" si="89"/>
        <v>2.2693406809376735E-2</v>
      </c>
      <c r="P263" s="169">
        <f>(INDEX(Models!$BJ263:$BT263,,T263)*(1-R263)+INDEX(Models!$BJ263:$BT263,,T263+1)*R263-ERP_i)*Q263*Ramure*Pc/MaxiM</f>
        <v>1.4334823875985889E-6</v>
      </c>
      <c r="Q263" s="304">
        <f t="shared" si="90"/>
        <v>0.6</v>
      </c>
      <c r="R263" s="177">
        <f t="shared" si="91"/>
        <v>0.98616822907874635</v>
      </c>
      <c r="S263" s="799">
        <f t="shared" si="109"/>
        <v>-2</v>
      </c>
      <c r="T263" s="176">
        <f t="shared" si="92"/>
        <v>4</v>
      </c>
      <c r="U263" s="250">
        <f t="shared" si="93"/>
        <v>-1.0138317709212536</v>
      </c>
      <c r="V263" s="382">
        <f t="shared" si="94"/>
        <v>51.936147858293467</v>
      </c>
      <c r="W263" s="58"/>
      <c r="X263" s="157">
        <f t="shared" si="95"/>
        <v>43714</v>
      </c>
      <c r="Y263" s="383">
        <f t="shared" si="96"/>
        <v>54.024999999999999</v>
      </c>
      <c r="Z263" s="383">
        <f t="shared" si="97"/>
        <v>54.251186475314</v>
      </c>
      <c r="AA263" s="384">
        <f t="shared" si="98"/>
        <v>55.510918327276983</v>
      </c>
      <c r="AB263" s="197">
        <f t="shared" si="99"/>
        <v>43714</v>
      </c>
      <c r="AC263" s="424">
        <f t="shared" si="100"/>
        <v>2.2693406809376735E-2</v>
      </c>
      <c r="AD263" s="169">
        <f>(INDEX(Models!$BJ263:$BT263,,AH263)*(1-AF263)+INDEX(Models!$BJ263:$BT263,,AH263+1)*AF263-ERP_i)*AE263*Ramure*Pc/MaxiM</f>
        <v>1.4334823875985889E-6</v>
      </c>
      <c r="AE263" s="304">
        <f t="shared" si="101"/>
        <v>0.6</v>
      </c>
      <c r="AF263" s="177">
        <f t="shared" si="102"/>
        <v>0.98616822907874635</v>
      </c>
      <c r="AG263" s="799">
        <f t="shared" si="103"/>
        <v>-2</v>
      </c>
      <c r="AH263" s="176">
        <f t="shared" si="104"/>
        <v>4</v>
      </c>
      <c r="AI263" s="224">
        <f t="shared" si="105"/>
        <v>-1.0138317709212536</v>
      </c>
      <c r="AJ263" s="264" t="b">
        <f t="shared" si="106"/>
        <v>0</v>
      </c>
      <c r="AK263" s="264" t="b">
        <f t="shared" si="107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108"/>
        <v>43715</v>
      </c>
      <c r="B264" s="607">
        <v>50.771000000000001</v>
      </c>
      <c r="C264" s="388"/>
      <c r="D264" s="391">
        <f t="shared" si="85"/>
        <v>50.984540060122164</v>
      </c>
      <c r="E264" s="383">
        <f t="shared" si="111"/>
        <v>52.173273224685808</v>
      </c>
      <c r="F264" s="383">
        <f t="shared" si="113"/>
        <v>52.173352901498127</v>
      </c>
      <c r="G264" s="110">
        <f t="shared" si="112"/>
        <v>0.98091297904469443</v>
      </c>
      <c r="I264" s="379">
        <f t="shared" si="86"/>
        <v>52.173352901498127</v>
      </c>
      <c r="J264" s="85">
        <v>2018</v>
      </c>
      <c r="K264" s="197">
        <f t="shared" si="87"/>
        <v>43715</v>
      </c>
      <c r="L264" s="435">
        <f t="shared" si="88"/>
        <v>4.1883296362064115E-3</v>
      </c>
      <c r="M264" s="842"/>
      <c r="N264" s="842"/>
      <c r="O264" s="323">
        <f t="shared" si="89"/>
        <v>2.278433172947246E-2</v>
      </c>
      <c r="P264" s="169">
        <f>(INDEX(Models!$BJ264:$BT264,,T264)*(1-R264)+INDEX(Models!$BJ264:$BT264,,T264+1)*R264-ERP_i)*Q264*Ramure*Pc/MaxiM</f>
        <v>1.5699636751179386E-6</v>
      </c>
      <c r="Q264" s="304">
        <f t="shared" si="90"/>
        <v>0.6</v>
      </c>
      <c r="R264" s="177">
        <f t="shared" si="91"/>
        <v>0.98668279831178385</v>
      </c>
      <c r="S264" s="799">
        <f t="shared" si="109"/>
        <v>-2</v>
      </c>
      <c r="T264" s="176">
        <f t="shared" si="92"/>
        <v>4</v>
      </c>
      <c r="U264" s="250">
        <f t="shared" si="93"/>
        <v>-1.0133172016882162</v>
      </c>
      <c r="V264" s="382">
        <f t="shared" si="94"/>
        <v>51.758921444813758</v>
      </c>
      <c r="W264" s="58"/>
      <c r="X264" s="157">
        <f t="shared" si="95"/>
        <v>43715</v>
      </c>
      <c r="Y264" s="383">
        <f t="shared" si="96"/>
        <v>50.771000000000001</v>
      </c>
      <c r="Z264" s="383">
        <f t="shared" si="97"/>
        <v>50.984540060122164</v>
      </c>
      <c r="AA264" s="384">
        <f t="shared" si="98"/>
        <v>52.173273224685808</v>
      </c>
      <c r="AB264" s="197">
        <f t="shared" si="99"/>
        <v>43715</v>
      </c>
      <c r="AC264" s="424">
        <f t="shared" si="100"/>
        <v>2.278433172947246E-2</v>
      </c>
      <c r="AD264" s="169">
        <f>(INDEX(Models!$BJ264:$BT264,,AH264)*(1-AF264)+INDEX(Models!$BJ264:$BT264,,AH264+1)*AF264-ERP_i)*AE264*Ramure*Pc/MaxiM</f>
        <v>1.5699636751179386E-6</v>
      </c>
      <c r="AE264" s="304">
        <f t="shared" si="101"/>
        <v>0.6</v>
      </c>
      <c r="AF264" s="177">
        <f t="shared" si="102"/>
        <v>0.98668279831178385</v>
      </c>
      <c r="AG264" s="799">
        <f t="shared" si="103"/>
        <v>-2</v>
      </c>
      <c r="AH264" s="176">
        <f t="shared" si="104"/>
        <v>4</v>
      </c>
      <c r="AI264" s="224">
        <f t="shared" si="105"/>
        <v>-1.0133172016882162</v>
      </c>
      <c r="AJ264" s="264" t="b">
        <f t="shared" si="106"/>
        <v>0</v>
      </c>
      <c r="AK264" s="264" t="b">
        <f t="shared" si="107"/>
        <v>0</v>
      </c>
      <c r="AL264" s="264"/>
      <c r="AM264" s="264"/>
      <c r="AN264" s="75"/>
    </row>
    <row r="265" spans="1:40" s="6" customFormat="1" ht="11.25" x14ac:dyDescent="0.2">
      <c r="A265" s="56">
        <f t="shared" si="108"/>
        <v>43716</v>
      </c>
      <c r="B265" s="607">
        <v>48.252000000000002</v>
      </c>
      <c r="C265" s="388"/>
      <c r="D265" s="391">
        <f t="shared" si="85"/>
        <v>48.455873929120315</v>
      </c>
      <c r="E265" s="383">
        <f t="shared" si="111"/>
        <v>49.590251201030732</v>
      </c>
      <c r="F265" s="383">
        <f t="shared" si="113"/>
        <v>49.590328048370608</v>
      </c>
      <c r="G265" s="110">
        <f t="shared" si="112"/>
        <v>0.93549644730777226</v>
      </c>
      <c r="I265" s="379">
        <f t="shared" si="86"/>
        <v>49.590328048370608</v>
      </c>
      <c r="J265" s="85">
        <v>2018</v>
      </c>
      <c r="K265" s="197">
        <f t="shared" si="87"/>
        <v>43716</v>
      </c>
      <c r="L265" s="435">
        <f t="shared" si="88"/>
        <v>4.2074141396878373E-3</v>
      </c>
      <c r="M265" s="842"/>
      <c r="N265" s="842"/>
      <c r="O265" s="323">
        <f t="shared" si="89"/>
        <v>2.2875005559295045E-2</v>
      </c>
      <c r="P265" s="169">
        <f>(INDEX(Models!$BJ265:$BT265,,T265)*(1-R265)+INDEX(Models!$BJ265:$BT265,,T265+1)*R265-ERP_i)*Q265*Ramure*Pc/MaxiM</f>
        <v>1.7069337674559294E-6</v>
      </c>
      <c r="Q265" s="304">
        <f t="shared" si="90"/>
        <v>0.6</v>
      </c>
      <c r="R265" s="177">
        <f t="shared" si="91"/>
        <v>0.98717767155862979</v>
      </c>
      <c r="S265" s="799">
        <f t="shared" si="109"/>
        <v>-2</v>
      </c>
      <c r="T265" s="176">
        <f t="shared" si="92"/>
        <v>4</v>
      </c>
      <c r="U265" s="250">
        <f t="shared" si="93"/>
        <v>-1.0128223284413702</v>
      </c>
      <c r="V265" s="382">
        <f t="shared" si="94"/>
        <v>51.579022613384375</v>
      </c>
      <c r="W265" s="58"/>
      <c r="X265" s="157">
        <f t="shared" si="95"/>
        <v>43716</v>
      </c>
      <c r="Y265" s="383">
        <f t="shared" si="96"/>
        <v>48.252000000000002</v>
      </c>
      <c r="Z265" s="383">
        <f t="shared" si="97"/>
        <v>48.455873929120315</v>
      </c>
      <c r="AA265" s="384">
        <f t="shared" si="98"/>
        <v>49.590251201030732</v>
      </c>
      <c r="AB265" s="197">
        <f t="shared" si="99"/>
        <v>43716</v>
      </c>
      <c r="AC265" s="424">
        <f t="shared" si="100"/>
        <v>2.2875005559295045E-2</v>
      </c>
      <c r="AD265" s="169">
        <f>(INDEX(Models!$BJ265:$BT265,,AH265)*(1-AF265)+INDEX(Models!$BJ265:$BT265,,AH265+1)*AF265-ERP_i)*AE265*Ramure*Pc/MaxiM</f>
        <v>1.7069337674559294E-6</v>
      </c>
      <c r="AE265" s="304">
        <f t="shared" si="101"/>
        <v>0.6</v>
      </c>
      <c r="AF265" s="177">
        <f t="shared" si="102"/>
        <v>0.98717767155862979</v>
      </c>
      <c r="AG265" s="799">
        <f t="shared" si="103"/>
        <v>-2</v>
      </c>
      <c r="AH265" s="176">
        <f t="shared" si="104"/>
        <v>4</v>
      </c>
      <c r="AI265" s="224">
        <f t="shared" si="105"/>
        <v>-1.0128223284413702</v>
      </c>
      <c r="AJ265" s="264" t="b">
        <f t="shared" si="106"/>
        <v>0</v>
      </c>
      <c r="AK265" s="264" t="b">
        <f t="shared" si="107"/>
        <v>0</v>
      </c>
      <c r="AL265" s="264"/>
      <c r="AM265" s="264"/>
      <c r="AN265" s="75"/>
    </row>
    <row r="266" spans="1:40" s="6" customFormat="1" ht="11.25" x14ac:dyDescent="0.2">
      <c r="A266" s="56">
        <f t="shared" si="108"/>
        <v>43717</v>
      </c>
      <c r="B266" s="607">
        <v>44.064999999999998</v>
      </c>
      <c r="C266" s="388"/>
      <c r="D266" s="391">
        <f t="shared" si="85"/>
        <v>44.252031133357427</v>
      </c>
      <c r="E266" s="383">
        <f t="shared" si="111"/>
        <v>45.292185244685378</v>
      </c>
      <c r="F266" s="383">
        <f t="shared" si="113"/>
        <v>45.292251758881754</v>
      </c>
      <c r="G266" s="110">
        <f t="shared" si="112"/>
        <v>0.85735981300563668</v>
      </c>
      <c r="I266" s="379">
        <f t="shared" si="86"/>
        <v>45.292251758881754</v>
      </c>
      <c r="J266" s="85">
        <v>2018</v>
      </c>
      <c r="K266" s="197">
        <f t="shared" si="87"/>
        <v>43717</v>
      </c>
      <c r="L266" s="435">
        <f t="shared" si="88"/>
        <v>4.2264982774190551E-3</v>
      </c>
      <c r="M266" s="842"/>
      <c r="N266" s="842"/>
      <c r="O266" s="323">
        <f t="shared" si="89"/>
        <v>2.2965421202546334E-2</v>
      </c>
      <c r="P266" s="169">
        <f>(INDEX(Models!$BJ266:$BT266,,T266)*(1-R266)+INDEX(Models!$BJ266:$BT266,,T266+1)*R266-ERP_i)*Q266*Ramure*Pc/MaxiM</f>
        <v>1.8443892095014003E-6</v>
      </c>
      <c r="Q266" s="304">
        <f t="shared" si="90"/>
        <v>0.6</v>
      </c>
      <c r="R266" s="177">
        <f t="shared" si="91"/>
        <v>0.98765356405798488</v>
      </c>
      <c r="S266" s="799">
        <f t="shared" si="109"/>
        <v>-2</v>
      </c>
      <c r="T266" s="176">
        <f t="shared" si="92"/>
        <v>4</v>
      </c>
      <c r="U266" s="250">
        <f t="shared" si="93"/>
        <v>-1.0123464359420151</v>
      </c>
      <c r="V266" s="382">
        <f t="shared" si="94"/>
        <v>51.396138202927659</v>
      </c>
      <c r="W266" s="58"/>
      <c r="X266" s="157">
        <f t="shared" si="95"/>
        <v>43717</v>
      </c>
      <c r="Y266" s="383">
        <f t="shared" si="96"/>
        <v>44.064999999999998</v>
      </c>
      <c r="Z266" s="383">
        <f t="shared" si="97"/>
        <v>44.252031133357427</v>
      </c>
      <c r="AA266" s="384">
        <f t="shared" si="98"/>
        <v>45.292185244685378</v>
      </c>
      <c r="AB266" s="197">
        <f t="shared" si="99"/>
        <v>43717</v>
      </c>
      <c r="AC266" s="424">
        <f t="shared" si="100"/>
        <v>2.2965421202546334E-2</v>
      </c>
      <c r="AD266" s="169">
        <f>(INDEX(Models!$BJ266:$BT266,,AH266)*(1-AF266)+INDEX(Models!$BJ266:$BT266,,AH266+1)*AF266-ERP_i)*AE266*Ramure*Pc/MaxiM</f>
        <v>1.8443892095014003E-6</v>
      </c>
      <c r="AE266" s="304">
        <f t="shared" si="101"/>
        <v>0.6</v>
      </c>
      <c r="AF266" s="177">
        <f t="shared" si="102"/>
        <v>0.98765356405798488</v>
      </c>
      <c r="AG266" s="799">
        <f t="shared" si="103"/>
        <v>-2</v>
      </c>
      <c r="AH266" s="176">
        <f t="shared" si="104"/>
        <v>4</v>
      </c>
      <c r="AI266" s="224">
        <f t="shared" si="105"/>
        <v>-1.0123464359420151</v>
      </c>
      <c r="AJ266" s="264" t="b">
        <f t="shared" si="106"/>
        <v>0</v>
      </c>
      <c r="AK266" s="264" t="b">
        <f t="shared" si="107"/>
        <v>0</v>
      </c>
      <c r="AL266" s="264"/>
      <c r="AM266" s="264"/>
      <c r="AN266" s="75"/>
    </row>
    <row r="267" spans="1:40" s="6" customFormat="1" ht="11.25" x14ac:dyDescent="0.2">
      <c r="A267" s="56">
        <f t="shared" si="108"/>
        <v>43718</v>
      </c>
      <c r="B267" s="607">
        <v>13.851000000000001</v>
      </c>
      <c r="C267" s="388"/>
      <c r="D267" s="391">
        <f t="shared" si="85"/>
        <v>13.91005628527099</v>
      </c>
      <c r="E267" s="383">
        <f t="shared" si="111"/>
        <v>14.238329096261381</v>
      </c>
      <c r="F267" s="383">
        <f t="shared" si="113"/>
        <v>14.238329096261381</v>
      </c>
      <c r="G267" s="110">
        <f t="shared" si="112"/>
        <v>0.27047421715322556</v>
      </c>
      <c r="I267" s="379">
        <f t="shared" si="86"/>
        <v>14.238329096261381</v>
      </c>
      <c r="J267" s="85">
        <v>2018</v>
      </c>
      <c r="K267" s="197">
        <f t="shared" si="87"/>
        <v>43718</v>
      </c>
      <c r="L267" s="435">
        <f t="shared" si="88"/>
        <v>4.2455820494070595E-3</v>
      </c>
      <c r="M267" s="842"/>
      <c r="N267" s="842"/>
      <c r="O267" s="323">
        <f t="shared" si="89"/>
        <v>2.3055571252148258E-2</v>
      </c>
      <c r="P267" s="169">
        <f>(INDEX(Models!$BJ267:$BT267,,T267)*(1-R267)+INDEX(Models!$BJ267:$BT267,,T267+1)*R267-ERP_i)*Q267*Ramure*Pc/MaxiM</f>
        <v>1.9823293395800688E-6</v>
      </c>
      <c r="Q267" s="304">
        <f t="shared" si="90"/>
        <v>0.6</v>
      </c>
      <c r="R267" s="177">
        <f t="shared" si="91"/>
        <v>0.9881111680656498</v>
      </c>
      <c r="S267" s="799">
        <f t="shared" si="109"/>
        <v>-2</v>
      </c>
      <c r="T267" s="176">
        <f t="shared" si="92"/>
        <v>4</v>
      </c>
      <c r="U267" s="250">
        <f t="shared" si="93"/>
        <v>-1.0118888319343502</v>
      </c>
      <c r="V267" s="382">
        <f t="shared" si="94"/>
        <v>51.209955198464058</v>
      </c>
      <c r="W267" s="58"/>
      <c r="X267" s="157">
        <f t="shared" si="95"/>
        <v>43718</v>
      </c>
      <c r="Y267" s="383">
        <f t="shared" si="96"/>
        <v>13.851000000000001</v>
      </c>
      <c r="Z267" s="383">
        <f t="shared" si="97"/>
        <v>13.91005628527099</v>
      </c>
      <c r="AA267" s="384">
        <f t="shared" si="98"/>
        <v>14.238329096261381</v>
      </c>
      <c r="AB267" s="197">
        <f t="shared" si="99"/>
        <v>43718</v>
      </c>
      <c r="AC267" s="424">
        <f t="shared" si="100"/>
        <v>2.3055571252148258E-2</v>
      </c>
      <c r="AD267" s="169">
        <f>(INDEX(Models!$BJ267:$BT267,,AH267)*(1-AF267)+INDEX(Models!$BJ267:$BT267,,AH267+1)*AF267-ERP_i)*AE267*Ramure*Pc/MaxiM</f>
        <v>1.9823293395800688E-6</v>
      </c>
      <c r="AE267" s="304">
        <f t="shared" si="101"/>
        <v>0.6</v>
      </c>
      <c r="AF267" s="177">
        <f t="shared" si="102"/>
        <v>0.9881111680656498</v>
      </c>
      <c r="AG267" s="799">
        <f t="shared" si="103"/>
        <v>-2</v>
      </c>
      <c r="AH267" s="176">
        <f t="shared" si="104"/>
        <v>4</v>
      </c>
      <c r="AI267" s="224">
        <f t="shared" si="105"/>
        <v>-1.0118888319343502</v>
      </c>
      <c r="AJ267" s="264" t="b">
        <f t="shared" si="106"/>
        <v>0</v>
      </c>
      <c r="AK267" s="264" t="b">
        <f t="shared" si="107"/>
        <v>0</v>
      </c>
      <c r="AL267" s="264"/>
      <c r="AM267" s="264"/>
      <c r="AN267" s="75"/>
    </row>
    <row r="268" spans="1:40" s="6" customFormat="1" ht="11.25" x14ac:dyDescent="0.2">
      <c r="A268" s="56">
        <f t="shared" si="108"/>
        <v>43719</v>
      </c>
      <c r="B268" s="607">
        <v>43.511000000000003</v>
      </c>
      <c r="C268" s="388"/>
      <c r="D268" s="391">
        <f t="shared" si="85"/>
        <v>43.697354598660596</v>
      </c>
      <c r="E268" s="383">
        <f t="shared" si="111"/>
        <v>44.732713287196354</v>
      </c>
      <c r="F268" s="383">
        <f t="shared" si="113"/>
        <v>44.732788367274885</v>
      </c>
      <c r="G268" s="110">
        <f t="shared" si="112"/>
        <v>0.85281935865052261</v>
      </c>
      <c r="I268" s="379">
        <f t="shared" si="86"/>
        <v>44.732788367274885</v>
      </c>
      <c r="J268" s="85">
        <v>2018</v>
      </c>
      <c r="K268" s="197">
        <f t="shared" si="87"/>
        <v>43719</v>
      </c>
      <c r="L268" s="435">
        <f t="shared" si="88"/>
        <v>4.2646654556590669E-3</v>
      </c>
      <c r="M268" s="842"/>
      <c r="N268" s="842"/>
      <c r="O268" s="323">
        <f t="shared" si="89"/>
        <v>2.3145447983190116E-2</v>
      </c>
      <c r="P268" s="169">
        <f>(INDEX(Models!$BJ268:$BT268,,T268)*(1-R268)+INDEX(Models!$BJ268:$BT268,,T268+1)*R268-ERP_i)*Q268*Ramure*Pc/MaxiM</f>
        <v>2.1252657620579391E-6</v>
      </c>
      <c r="Q268" s="304">
        <f t="shared" si="90"/>
        <v>0.6</v>
      </c>
      <c r="R268" s="177">
        <f t="shared" si="91"/>
        <v>0.9885511533569864</v>
      </c>
      <c r="S268" s="799">
        <f t="shared" si="109"/>
        <v>-2</v>
      </c>
      <c r="T268" s="176">
        <f t="shared" si="92"/>
        <v>4</v>
      </c>
      <c r="U268" s="250">
        <f t="shared" si="93"/>
        <v>-1.0114488466430136</v>
      </c>
      <c r="V268" s="382">
        <f t="shared" si="94"/>
        <v>51.020160501272876</v>
      </c>
      <c r="W268" s="58"/>
      <c r="X268" s="157">
        <f t="shared" si="95"/>
        <v>43719</v>
      </c>
      <c r="Y268" s="383">
        <f t="shared" si="96"/>
        <v>43.511000000000003</v>
      </c>
      <c r="Z268" s="383">
        <f t="shared" si="97"/>
        <v>43.697354598660596</v>
      </c>
      <c r="AA268" s="384">
        <f t="shared" si="98"/>
        <v>44.732713287196354</v>
      </c>
      <c r="AB268" s="197">
        <f t="shared" si="99"/>
        <v>43719</v>
      </c>
      <c r="AC268" s="424">
        <f t="shared" si="100"/>
        <v>2.3145447983190116E-2</v>
      </c>
      <c r="AD268" s="169">
        <f>(INDEX(Models!$BJ268:$BT268,,AH268)*(1-AF268)+INDEX(Models!$BJ268:$BT268,,AH268+1)*AF268-ERP_i)*AE268*Ramure*Pc/MaxiM</f>
        <v>2.1252657620579391E-6</v>
      </c>
      <c r="AE268" s="304">
        <f t="shared" si="101"/>
        <v>0.6</v>
      </c>
      <c r="AF268" s="177">
        <f t="shared" si="102"/>
        <v>0.9885511533569864</v>
      </c>
      <c r="AG268" s="799">
        <f t="shared" si="103"/>
        <v>-2</v>
      </c>
      <c r="AH268" s="176">
        <f t="shared" si="104"/>
        <v>4</v>
      </c>
      <c r="AI268" s="224">
        <f t="shared" si="105"/>
        <v>-1.0114488466430136</v>
      </c>
      <c r="AJ268" s="264" t="b">
        <f t="shared" si="106"/>
        <v>0</v>
      </c>
      <c r="AK268" s="264" t="b">
        <f t="shared" si="107"/>
        <v>0</v>
      </c>
      <c r="AL268" s="264"/>
      <c r="AM268" s="264"/>
      <c r="AN268" s="75"/>
    </row>
    <row r="269" spans="1:40" s="6" customFormat="1" ht="11.25" x14ac:dyDescent="0.2">
      <c r="A269" s="56">
        <f t="shared" si="108"/>
        <v>43720</v>
      </c>
      <c r="B269" s="607">
        <v>50.386000000000003</v>
      </c>
      <c r="C269" s="388"/>
      <c r="D269" s="391">
        <f t="shared" si="85"/>
        <v>50.602769537910667</v>
      </c>
      <c r="E269" s="383">
        <f t="shared" si="111"/>
        <v>51.806495711496709</v>
      </c>
      <c r="F269" s="383">
        <f t="shared" si="113"/>
        <v>51.806611892360216</v>
      </c>
      <c r="G269" s="110">
        <f t="shared" si="112"/>
        <v>0.99133437397355018</v>
      </c>
      <c r="I269" s="379">
        <f t="shared" si="86"/>
        <v>51.806611892360216</v>
      </c>
      <c r="J269" s="85">
        <v>2018</v>
      </c>
      <c r="K269" s="197">
        <f t="shared" si="87"/>
        <v>43720</v>
      </c>
      <c r="L269" s="435">
        <f t="shared" si="88"/>
        <v>4.2837484961818495E-3</v>
      </c>
      <c r="M269" s="842"/>
      <c r="N269" s="842"/>
      <c r="O269" s="323">
        <f t="shared" si="89"/>
        <v>2.3235043348413822E-2</v>
      </c>
      <c r="P269" s="169">
        <f>(INDEX(Models!$BJ269:$BT269,,T269)*(1-R269)+INDEX(Models!$BJ269:$BT269,,T269+1)*R269-ERP_i)*Q269*Ramure*Pc/MaxiM</f>
        <v>2.2706974943517776E-6</v>
      </c>
      <c r="Q269" s="304">
        <f t="shared" si="90"/>
        <v>0.6</v>
      </c>
      <c r="R269" s="177">
        <f t="shared" si="91"/>
        <v>0.9889741677385735</v>
      </c>
      <c r="S269" s="799">
        <f t="shared" si="109"/>
        <v>-2</v>
      </c>
      <c r="T269" s="176">
        <f t="shared" si="92"/>
        <v>4</v>
      </c>
      <c r="U269" s="250">
        <f t="shared" si="93"/>
        <v>-1.0110258322614265</v>
      </c>
      <c r="V269" s="382">
        <f t="shared" si="94"/>
        <v>50.826441518100907</v>
      </c>
      <c r="W269" s="58"/>
      <c r="X269" s="157">
        <f t="shared" si="95"/>
        <v>43720</v>
      </c>
      <c r="Y269" s="383">
        <f t="shared" si="96"/>
        <v>50.386000000000003</v>
      </c>
      <c r="Z269" s="383">
        <f t="shared" si="97"/>
        <v>50.602769537910667</v>
      </c>
      <c r="AA269" s="384">
        <f t="shared" si="98"/>
        <v>51.806495711496709</v>
      </c>
      <c r="AB269" s="197">
        <f t="shared" si="99"/>
        <v>43720</v>
      </c>
      <c r="AC269" s="424">
        <f t="shared" si="100"/>
        <v>2.3235043348413822E-2</v>
      </c>
      <c r="AD269" s="169">
        <f>(INDEX(Models!$BJ269:$BT269,,AH269)*(1-AF269)+INDEX(Models!$BJ269:$BT269,,AH269+1)*AF269-ERP_i)*AE269*Ramure*Pc/MaxiM</f>
        <v>2.2706974943517776E-6</v>
      </c>
      <c r="AE269" s="304">
        <f t="shared" si="101"/>
        <v>0.6</v>
      </c>
      <c r="AF269" s="177">
        <f t="shared" si="102"/>
        <v>0.9889741677385735</v>
      </c>
      <c r="AG269" s="799">
        <f t="shared" si="103"/>
        <v>-2</v>
      </c>
      <c r="AH269" s="176">
        <f t="shared" si="104"/>
        <v>4</v>
      </c>
      <c r="AI269" s="224">
        <f t="shared" si="105"/>
        <v>-1.0110258322614265</v>
      </c>
      <c r="AJ269" s="264" t="b">
        <f t="shared" si="106"/>
        <v>0</v>
      </c>
      <c r="AK269" s="264" t="b">
        <f t="shared" si="107"/>
        <v>0</v>
      </c>
      <c r="AL269" s="264"/>
      <c r="AM269" s="264"/>
      <c r="AN269" s="75"/>
    </row>
    <row r="270" spans="1:40" s="6" customFormat="1" ht="11.25" x14ac:dyDescent="0.2">
      <c r="A270" s="56">
        <f t="shared" si="108"/>
        <v>43721</v>
      </c>
      <c r="B270" s="607">
        <v>42.933</v>
      </c>
      <c r="C270" s="388"/>
      <c r="D270" s="391">
        <f t="shared" si="85"/>
        <v>43.118531762514749</v>
      </c>
      <c r="E270" s="383">
        <f t="shared" si="111"/>
        <v>44.148261213775633</v>
      </c>
      <c r="F270" s="383">
        <f t="shared" si="113"/>
        <v>44.148344806900987</v>
      </c>
      <c r="G270" s="110">
        <f t="shared" si="112"/>
        <v>0.84800042676208154</v>
      </c>
      <c r="I270" s="379">
        <f t="shared" si="86"/>
        <v>44.148344806900987</v>
      </c>
      <c r="J270" s="85">
        <v>2018</v>
      </c>
      <c r="K270" s="197">
        <f t="shared" si="87"/>
        <v>43721</v>
      </c>
      <c r="L270" s="435">
        <f t="shared" si="88"/>
        <v>4.3028311709825129E-3</v>
      </c>
      <c r="M270" s="842"/>
      <c r="N270" s="842"/>
      <c r="O270" s="323">
        <f t="shared" si="89"/>
        <v>2.3324348976615575E-2</v>
      </c>
      <c r="P270" s="169">
        <f>(INDEX(Models!$BJ270:$BT270,,T270)*(1-R270)+INDEX(Models!$BJ270:$BT270,,T270+1)*R270-ERP_i)*Q270*Ramure*Pc/MaxiM</f>
        <v>2.41864944685267E-6</v>
      </c>
      <c r="Q270" s="304">
        <f t="shared" si="90"/>
        <v>0.6</v>
      </c>
      <c r="R270" s="177">
        <f t="shared" si="91"/>
        <v>0.98938083756678363</v>
      </c>
      <c r="S270" s="799">
        <f t="shared" si="109"/>
        <v>-2</v>
      </c>
      <c r="T270" s="176">
        <f t="shared" si="92"/>
        <v>4</v>
      </c>
      <c r="U270" s="250">
        <f t="shared" si="93"/>
        <v>-1.0106191624332164</v>
      </c>
      <c r="V270" s="382">
        <f t="shared" si="94"/>
        <v>50.628485667076937</v>
      </c>
      <c r="W270" s="58"/>
      <c r="X270" s="157">
        <f t="shared" si="95"/>
        <v>43721</v>
      </c>
      <c r="Y270" s="383">
        <f t="shared" si="96"/>
        <v>42.933</v>
      </c>
      <c r="Z270" s="383">
        <f t="shared" si="97"/>
        <v>43.118531762514749</v>
      </c>
      <c r="AA270" s="384">
        <f t="shared" si="98"/>
        <v>44.148261213775633</v>
      </c>
      <c r="AB270" s="197">
        <f t="shared" si="99"/>
        <v>43721</v>
      </c>
      <c r="AC270" s="424">
        <f t="shared" si="100"/>
        <v>2.3324348976615575E-2</v>
      </c>
      <c r="AD270" s="169">
        <f>(INDEX(Models!$BJ270:$BT270,,AH270)*(1-AF270)+INDEX(Models!$BJ270:$BT270,,AH270+1)*AF270-ERP_i)*AE270*Ramure*Pc/MaxiM</f>
        <v>2.41864944685267E-6</v>
      </c>
      <c r="AE270" s="304">
        <f t="shared" si="101"/>
        <v>0.6</v>
      </c>
      <c r="AF270" s="177">
        <f t="shared" si="102"/>
        <v>0.98938083756678363</v>
      </c>
      <c r="AG270" s="799">
        <f t="shared" si="103"/>
        <v>-2</v>
      </c>
      <c r="AH270" s="176">
        <f t="shared" si="104"/>
        <v>4</v>
      </c>
      <c r="AI270" s="224">
        <f t="shared" si="105"/>
        <v>-1.0106191624332164</v>
      </c>
      <c r="AJ270" s="264" t="b">
        <f t="shared" si="106"/>
        <v>0</v>
      </c>
      <c r="AK270" s="264" t="b">
        <f t="shared" si="107"/>
        <v>0</v>
      </c>
      <c r="AL270" s="264"/>
      <c r="AM270" s="264"/>
      <c r="AN270" s="75"/>
    </row>
    <row r="271" spans="1:40" s="6" customFormat="1" ht="11.25" x14ac:dyDescent="0.2">
      <c r="A271" s="56">
        <f t="shared" si="108"/>
        <v>43722</v>
      </c>
      <c r="B271" s="607">
        <v>39.718000000000004</v>
      </c>
      <c r="C271" s="388"/>
      <c r="D271" s="391">
        <f t="shared" ref="D271:D334" si="114">Wh/(1-Ppv)</f>
        <v>39.890402869888717</v>
      </c>
      <c r="E271" s="383">
        <f t="shared" si="111"/>
        <v>40.846762672917798</v>
      </c>
      <c r="F271" s="383">
        <f t="shared" si="113"/>
        <v>40.84683577968007</v>
      </c>
      <c r="G271" s="110">
        <f t="shared" si="112"/>
        <v>0.78764891912040547</v>
      </c>
      <c r="I271" s="379">
        <f t="shared" ref="I271:I334" si="115">Wh_hp</f>
        <v>40.84683577968007</v>
      </c>
      <c r="J271" s="85">
        <v>2018</v>
      </c>
      <c r="K271" s="197">
        <f t="shared" ref="K271:K334" si="116">t</f>
        <v>43722</v>
      </c>
      <c r="L271" s="435">
        <f t="shared" ref="L271:L334" si="117">IF(t&lt;T0,0,IF(t&lt;Tvie,1-EXP((T0-t)*PertePVj),1-EXP((T0-t)*PertePVj)+Pspv))</f>
        <v>4.3219134800680514E-3</v>
      </c>
      <c r="M271" s="842"/>
      <c r="N271" s="842"/>
      <c r="O271" s="323">
        <f t="shared" ref="O271:O334" si="118">IF(t&lt;T0,0,IF(t&lt;Tnet,Salim_i*(1-EXP((T0-t)/Tau_ij)),Resal+(Salim-Resal)*(1-EXP((Tnet-t)/(Tau_j)))))*Salcycl</f>
        <v>2.3413356174323358E-2</v>
      </c>
      <c r="P271" s="169">
        <f>(INDEX(Models!$BJ271:$BT271,,T271)*(1-R271)+INDEX(Models!$BJ271:$BT271,,T271+1)*R271-ERP_i)*Q271*Ramure*Pc/MaxiM</f>
        <v>2.5691493916086184E-6</v>
      </c>
      <c r="Q271" s="304">
        <f t="shared" ref="Q271:Q334" si="119">IF(OR(t&lt;Ttai,Notai),Dd+PousD*Croivg,Dens+PousD*(Croivg-Croi_tai))</f>
        <v>0.6</v>
      </c>
      <c r="R271" s="177">
        <f t="shared" ref="R271:R334" si="120">(Hp_vg-S271)/(INDEX(Echel_vg,T271+1)-S271)</f>
        <v>0.98977176827121927</v>
      </c>
      <c r="S271" s="799">
        <f t="shared" si="109"/>
        <v>-2</v>
      </c>
      <c r="T271" s="176">
        <f t="shared" ref="T271:T334" si="121">MIN(MATCH(Hp_vg,Echel_vg),10)</f>
        <v>4</v>
      </c>
      <c r="U271" s="250">
        <f t="shared" ref="U271:U334" si="122">IF(OR(t&lt;Ttai,Notai),Hdd+PousH*Croivg,Hdtf+PousH*(Croivg-Croi_tai))</f>
        <v>-1.0102282317287807</v>
      </c>
      <c r="V271" s="382">
        <f t="shared" ref="V271:V334" si="123">MaxiM*(1-Ppv)*(1-Pvg)*(1-Psa)</f>
        <v>50.425980510733723</v>
      </c>
      <c r="W271" s="58"/>
      <c r="X271" s="157">
        <f t="shared" ref="X271:X334" si="124">t</f>
        <v>43722</v>
      </c>
      <c r="Y271" s="383">
        <f t="shared" ref="Y271:Y334" si="125">Wh_pvt_s*(1-Ppv)</f>
        <v>39.718000000000004</v>
      </c>
      <c r="Z271" s="383">
        <f t="shared" ref="Z271:Z334" si="126">Wh_sa_s*(1-Psa_s)</f>
        <v>39.890402869888717</v>
      </c>
      <c r="AA271" s="384">
        <f t="shared" ref="AA271:AA334" si="127">Wh_hp*(1-Pvg_s*MEDIAN((-Sdif+Wh/Env_an)/Csdif,0,1))</f>
        <v>40.846762672917798</v>
      </c>
      <c r="AB271" s="197">
        <f t="shared" ref="AB271:AB334" si="128">t</f>
        <v>43722</v>
      </c>
      <c r="AC271" s="424">
        <f t="shared" ref="AC271:AC334" si="129">IF(t&lt;T0,0,IF(OR(t&lt;Tnet,NoTnet),Salim_i*(1-EXP((T0-t)/Tau_ij)),Resal_s+(Salim-Resal_s)*(1-EXP((Tnet_s-t)/Tau_j))))*Salcycl</f>
        <v>2.3413356174323358E-2</v>
      </c>
      <c r="AD271" s="169">
        <f>(INDEX(Models!$BJ271:$BT271,,AH271)*(1-AF271)+INDEX(Models!$BJ271:$BT271,,AH271+1)*AF271-ERP_i)*AE271*Ramure*Pc/MaxiM</f>
        <v>2.5691493916086184E-6</v>
      </c>
      <c r="AE271" s="304">
        <f t="shared" ref="AE271:AE334" si="130">Dd+PousD*Croivg</f>
        <v>0.6</v>
      </c>
      <c r="AF271" s="177">
        <f t="shared" ref="AF271:AF334" si="131">(Hp_vg_s-AG271)/(INDEX(Echel_vg,AH271+1)-AG271)</f>
        <v>0.98977176827121927</v>
      </c>
      <c r="AG271" s="799">
        <f t="shared" ref="AG271:AG334" si="132">INDEX(Echel_vg,AH271)</f>
        <v>-2</v>
      </c>
      <c r="AH271" s="176">
        <f t="shared" ref="AH271:AH334" si="133">MIN(MATCH(Hp_vg_s,Echel_vg),10)</f>
        <v>4</v>
      </c>
      <c r="AI271" s="224">
        <f t="shared" ref="AI271:AI334" si="134">Hdd+PousH*Croivg</f>
        <v>-1.0102282317287807</v>
      </c>
      <c r="AJ271" s="264" t="b">
        <f t="shared" ref="AJ271:AJ334" si="135">t&lt;Tnet</f>
        <v>0</v>
      </c>
      <c r="AK271" s="264" t="b">
        <f t="shared" ref="AK271:AK334" si="136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37">A271+1</f>
        <v>43723</v>
      </c>
      <c r="B272" s="607">
        <v>41.152000000000001</v>
      </c>
      <c r="C272" s="388"/>
      <c r="D272" s="391">
        <f t="shared" si="114"/>
        <v>41.331419502906627</v>
      </c>
      <c r="E272" s="383">
        <f t="shared" si="111"/>
        <v>42.326171554120336</v>
      </c>
      <c r="F272" s="383">
        <f t="shared" si="113"/>
        <v>42.326257058040461</v>
      </c>
      <c r="G272" s="110">
        <f t="shared" si="112"/>
        <v>0.81945653282951358</v>
      </c>
      <c r="I272" s="379">
        <f t="shared" si="115"/>
        <v>42.326257058040461</v>
      </c>
      <c r="J272" s="85">
        <v>2018</v>
      </c>
      <c r="K272" s="197">
        <f t="shared" si="116"/>
        <v>43723</v>
      </c>
      <c r="L272" s="435">
        <f t="shared" si="117"/>
        <v>4.3409954234455705E-3</v>
      </c>
      <c r="M272" s="842"/>
      <c r="N272" s="842"/>
      <c r="O272" s="323">
        <f t="shared" si="118"/>
        <v>2.3502055931086736E-2</v>
      </c>
      <c r="P272" s="169">
        <f>(INDEX(Models!$BJ272:$BT272,,T272)*(1-R272)+INDEX(Models!$BJ272:$BT272,,T272+1)*R272-ERP_i)*Q272*Ramure*Pc/MaxiM</f>
        <v>2.7222280693491381E-6</v>
      </c>
      <c r="Q272" s="304">
        <f t="shared" si="119"/>
        <v>0.6</v>
      </c>
      <c r="R272" s="177">
        <f t="shared" si="120"/>
        <v>0.99014754488111723</v>
      </c>
      <c r="S272" s="799">
        <f t="shared" ref="S272:S335" si="138">INDEX(Echel_vg,T272)</f>
        <v>-2</v>
      </c>
      <c r="T272" s="176">
        <f t="shared" si="121"/>
        <v>4</v>
      </c>
      <c r="U272" s="250">
        <f t="shared" si="122"/>
        <v>-1.0098524551188828</v>
      </c>
      <c r="V272" s="382">
        <f t="shared" si="123"/>
        <v>50.218613749411851</v>
      </c>
      <c r="W272" s="58"/>
      <c r="X272" s="157">
        <f t="shared" si="124"/>
        <v>43723</v>
      </c>
      <c r="Y272" s="383">
        <f t="shared" si="125"/>
        <v>41.152000000000001</v>
      </c>
      <c r="Z272" s="383">
        <f t="shared" si="126"/>
        <v>41.331419502906627</v>
      </c>
      <c r="AA272" s="384">
        <f t="shared" si="127"/>
        <v>42.326171554120336</v>
      </c>
      <c r="AB272" s="197">
        <f t="shared" si="128"/>
        <v>43723</v>
      </c>
      <c r="AC272" s="424">
        <f t="shared" si="129"/>
        <v>2.3502055931086736E-2</v>
      </c>
      <c r="AD272" s="169">
        <f>(INDEX(Models!$BJ272:$BT272,,AH272)*(1-AF272)+INDEX(Models!$BJ272:$BT272,,AH272+1)*AF272-ERP_i)*AE272*Ramure*Pc/MaxiM</f>
        <v>2.7222280693491381E-6</v>
      </c>
      <c r="AE272" s="304">
        <f t="shared" si="130"/>
        <v>0.6</v>
      </c>
      <c r="AF272" s="177">
        <f t="shared" si="131"/>
        <v>0.99014754488111723</v>
      </c>
      <c r="AG272" s="799">
        <f t="shared" si="132"/>
        <v>-2</v>
      </c>
      <c r="AH272" s="176">
        <f t="shared" si="133"/>
        <v>4</v>
      </c>
      <c r="AI272" s="224">
        <f t="shared" si="134"/>
        <v>-1.0098524551188828</v>
      </c>
      <c r="AJ272" s="264" t="b">
        <f t="shared" si="135"/>
        <v>0</v>
      </c>
      <c r="AK272" s="264" t="b">
        <f t="shared" si="136"/>
        <v>0</v>
      </c>
      <c r="AL272" s="264"/>
      <c r="AM272" s="264"/>
      <c r="AN272" s="75"/>
    </row>
    <row r="273" spans="1:40" s="6" customFormat="1" ht="11.25" x14ac:dyDescent="0.2">
      <c r="A273" s="56">
        <f t="shared" si="137"/>
        <v>43724</v>
      </c>
      <c r="B273" s="607">
        <v>43.776000000000003</v>
      </c>
      <c r="C273" s="388"/>
      <c r="D273" s="391">
        <f t="shared" si="114"/>
        <v>43.967702568762235</v>
      </c>
      <c r="E273" s="383">
        <f t="shared" si="111"/>
        <v>45.02997955132787</v>
      </c>
      <c r="F273" s="383">
        <f t="shared" si="113"/>
        <v>45.030086079266795</v>
      </c>
      <c r="G273" s="110">
        <f t="shared" si="112"/>
        <v>0.87541321996570598</v>
      </c>
      <c r="I273" s="379">
        <f t="shared" si="115"/>
        <v>45.030086079266795</v>
      </c>
      <c r="J273" s="85">
        <v>2018</v>
      </c>
      <c r="K273" s="197">
        <f t="shared" si="116"/>
        <v>43724</v>
      </c>
      <c r="L273" s="435">
        <f t="shared" si="117"/>
        <v>4.3600770011219536E-3</v>
      </c>
      <c r="M273" s="842"/>
      <c r="N273" s="842"/>
      <c r="O273" s="323">
        <f t="shared" si="118"/>
        <v>2.3590438928687282E-2</v>
      </c>
      <c r="P273" s="169">
        <f>(INDEX(Models!$BJ273:$BT273,,T273)*(1-R273)+INDEX(Models!$BJ273:$BT273,,T273+1)*R273-ERP_i)*Q273*Ramure*Pc/MaxiM</f>
        <v>2.8779193116199378E-6</v>
      </c>
      <c r="Q273" s="304">
        <f t="shared" si="119"/>
        <v>0.6</v>
      </c>
      <c r="R273" s="177">
        <f t="shared" si="120"/>
        <v>0.99050873255301286</v>
      </c>
      <c r="S273" s="799">
        <f t="shared" si="138"/>
        <v>-2</v>
      </c>
      <c r="T273" s="176">
        <f t="shared" si="121"/>
        <v>4</v>
      </c>
      <c r="U273" s="250">
        <f t="shared" si="122"/>
        <v>-1.0094912674469871</v>
      </c>
      <c r="V273" s="382">
        <f t="shared" si="123"/>
        <v>50.006073222204947</v>
      </c>
      <c r="W273" s="58"/>
      <c r="X273" s="157">
        <f t="shared" si="124"/>
        <v>43724</v>
      </c>
      <c r="Y273" s="383">
        <f t="shared" si="125"/>
        <v>43.776000000000003</v>
      </c>
      <c r="Z273" s="383">
        <f t="shared" si="126"/>
        <v>43.967702568762235</v>
      </c>
      <c r="AA273" s="384">
        <f t="shared" si="127"/>
        <v>45.02997955132787</v>
      </c>
      <c r="AB273" s="197">
        <f t="shared" si="128"/>
        <v>43724</v>
      </c>
      <c r="AC273" s="424">
        <f t="shared" si="129"/>
        <v>2.3590438928687282E-2</v>
      </c>
      <c r="AD273" s="169">
        <f>(INDEX(Models!$BJ273:$BT273,,AH273)*(1-AF273)+INDEX(Models!$BJ273:$BT273,,AH273+1)*AF273-ERP_i)*AE273*Ramure*Pc/MaxiM</f>
        <v>2.8779193116199378E-6</v>
      </c>
      <c r="AE273" s="304">
        <f t="shared" si="130"/>
        <v>0.6</v>
      </c>
      <c r="AF273" s="177">
        <f t="shared" si="131"/>
        <v>0.99050873255301286</v>
      </c>
      <c r="AG273" s="799">
        <f t="shared" si="132"/>
        <v>-2</v>
      </c>
      <c r="AH273" s="176">
        <f t="shared" si="133"/>
        <v>4</v>
      </c>
      <c r="AI273" s="224">
        <f t="shared" si="134"/>
        <v>-1.0094912674469871</v>
      </c>
      <c r="AJ273" s="264" t="b">
        <f t="shared" si="135"/>
        <v>0</v>
      </c>
      <c r="AK273" s="264" t="b">
        <f t="shared" si="136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37"/>
        <v>43725</v>
      </c>
      <c r="B274" s="607">
        <v>42.847999999999999</v>
      </c>
      <c r="C274" s="388"/>
      <c r="D274" s="391">
        <f t="shared" si="114"/>
        <v>43.03646348252245</v>
      </c>
      <c r="E274" s="383">
        <f t="shared" si="111"/>
        <v>44.080216697640921</v>
      </c>
      <c r="F274" s="383">
        <f t="shared" si="113"/>
        <v>44.080323885388495</v>
      </c>
      <c r="G274" s="110">
        <f t="shared" si="112"/>
        <v>0.86060765101780579</v>
      </c>
      <c r="I274" s="379">
        <f t="shared" si="115"/>
        <v>44.080323885388495</v>
      </c>
      <c r="J274" s="85">
        <v>2018</v>
      </c>
      <c r="K274" s="197">
        <f t="shared" si="116"/>
        <v>43725</v>
      </c>
      <c r="L274" s="435">
        <f t="shared" si="117"/>
        <v>4.3791582131043061E-3</v>
      </c>
      <c r="M274" s="842"/>
      <c r="N274" s="842"/>
      <c r="O274" s="323">
        <f t="shared" si="118"/>
        <v>2.3678495554544897E-2</v>
      </c>
      <c r="P274" s="169">
        <f>(INDEX(Models!$BJ274:$BT274,,T274)*(1-R274)+INDEX(Models!$BJ274:$BT274,,T274+1)*R274-ERP_i)*Q274*Ramure*Pc/MaxiM</f>
        <v>3.0362601822493977E-6</v>
      </c>
      <c r="Q274" s="304">
        <f t="shared" si="119"/>
        <v>0.6</v>
      </c>
      <c r="R274" s="177">
        <f t="shared" si="120"/>
        <v>0.99085587709811129</v>
      </c>
      <c r="S274" s="799">
        <f t="shared" si="138"/>
        <v>-2</v>
      </c>
      <c r="T274" s="176">
        <f t="shared" si="121"/>
        <v>4</v>
      </c>
      <c r="U274" s="250">
        <f t="shared" si="122"/>
        <v>-1.0091441229018887</v>
      </c>
      <c r="V274" s="382">
        <f t="shared" si="123"/>
        <v>49.788046902392928</v>
      </c>
      <c r="W274" s="58"/>
      <c r="X274" s="157">
        <f t="shared" si="124"/>
        <v>43725</v>
      </c>
      <c r="Y274" s="383">
        <f t="shared" si="125"/>
        <v>42.847999999999999</v>
      </c>
      <c r="Z274" s="383">
        <f t="shared" si="126"/>
        <v>43.03646348252245</v>
      </c>
      <c r="AA274" s="384">
        <f t="shared" si="127"/>
        <v>44.080216697640921</v>
      </c>
      <c r="AB274" s="197">
        <f t="shared" si="128"/>
        <v>43725</v>
      </c>
      <c r="AC274" s="424">
        <f t="shared" si="129"/>
        <v>2.3678495554544897E-2</v>
      </c>
      <c r="AD274" s="169">
        <f>(INDEX(Models!$BJ274:$BT274,,AH274)*(1-AF274)+INDEX(Models!$BJ274:$BT274,,AH274+1)*AF274-ERP_i)*AE274*Ramure*Pc/MaxiM</f>
        <v>3.0362601822493977E-6</v>
      </c>
      <c r="AE274" s="304">
        <f t="shared" si="130"/>
        <v>0.6</v>
      </c>
      <c r="AF274" s="177">
        <f t="shared" si="131"/>
        <v>0.99085587709811129</v>
      </c>
      <c r="AG274" s="799">
        <f t="shared" si="132"/>
        <v>-2</v>
      </c>
      <c r="AH274" s="176">
        <f t="shared" si="133"/>
        <v>4</v>
      </c>
      <c r="AI274" s="224">
        <f t="shared" si="134"/>
        <v>-1.0091441229018887</v>
      </c>
      <c r="AJ274" s="264" t="b">
        <f t="shared" si="135"/>
        <v>0</v>
      </c>
      <c r="AK274" s="264" t="b">
        <f t="shared" si="136"/>
        <v>0</v>
      </c>
      <c r="AL274" s="264"/>
      <c r="AM274" s="264"/>
      <c r="AN274" s="75"/>
    </row>
    <row r="275" spans="1:40" s="6" customFormat="1" ht="11.25" x14ac:dyDescent="0.2">
      <c r="A275" s="56">
        <f t="shared" si="137"/>
        <v>43726</v>
      </c>
      <c r="B275" s="607">
        <v>26.808</v>
      </c>
      <c r="C275" s="388"/>
      <c r="D275" s="391">
        <f t="shared" si="114"/>
        <v>26.926428871191415</v>
      </c>
      <c r="E275" s="383">
        <f t="shared" si="111"/>
        <v>27.581947388303732</v>
      </c>
      <c r="F275" s="383">
        <f t="shared" si="113"/>
        <v>27.5819777330574</v>
      </c>
      <c r="G275" s="110">
        <f t="shared" si="112"/>
        <v>0.54086678430348134</v>
      </c>
      <c r="I275" s="379">
        <f t="shared" si="115"/>
        <v>27.5819777330574</v>
      </c>
      <c r="J275" s="85">
        <v>2018</v>
      </c>
      <c r="K275" s="197">
        <f t="shared" si="116"/>
        <v>43726</v>
      </c>
      <c r="L275" s="435">
        <f t="shared" si="117"/>
        <v>4.3982390593995113E-3</v>
      </c>
      <c r="M275" s="842"/>
      <c r="N275" s="842"/>
      <c r="O275" s="323">
        <f t="shared" si="118"/>
        <v>2.3766215919558024E-2</v>
      </c>
      <c r="P275" s="169">
        <f>(INDEX(Models!$BJ275:$BT275,,T275)*(1-R275)+INDEX(Models!$BJ275:$BT275,,T275+1)*R275-ERP_i)*Q275*Ramure*Pc/MaxiM</f>
        <v>3.1972551318428984E-6</v>
      </c>
      <c r="Q275" s="304">
        <f t="shared" si="119"/>
        <v>0.6</v>
      </c>
      <c r="R275" s="177">
        <f t="shared" si="120"/>
        <v>0.99118950550796914</v>
      </c>
      <c r="S275" s="799">
        <f t="shared" si="138"/>
        <v>-2</v>
      </c>
      <c r="T275" s="176">
        <f t="shared" si="121"/>
        <v>4</v>
      </c>
      <c r="U275" s="250">
        <f t="shared" si="122"/>
        <v>-1.0088104944920309</v>
      </c>
      <c r="V275" s="382">
        <f t="shared" si="123"/>
        <v>49.564781123867796</v>
      </c>
      <c r="W275" s="58"/>
      <c r="X275" s="157">
        <f t="shared" si="124"/>
        <v>43726</v>
      </c>
      <c r="Y275" s="383">
        <f t="shared" si="125"/>
        <v>26.808</v>
      </c>
      <c r="Z275" s="383">
        <f t="shared" si="126"/>
        <v>26.926428871191415</v>
      </c>
      <c r="AA275" s="384">
        <f t="shared" si="127"/>
        <v>27.581947388303732</v>
      </c>
      <c r="AB275" s="197">
        <f t="shared" si="128"/>
        <v>43726</v>
      </c>
      <c r="AC275" s="424">
        <f t="shared" si="129"/>
        <v>2.3766215919558024E-2</v>
      </c>
      <c r="AD275" s="169">
        <f>(INDEX(Models!$BJ275:$BT275,,AH275)*(1-AF275)+INDEX(Models!$BJ275:$BT275,,AH275+1)*AF275-ERP_i)*AE275*Ramure*Pc/MaxiM</f>
        <v>3.1972551318428984E-6</v>
      </c>
      <c r="AE275" s="304">
        <f t="shared" si="130"/>
        <v>0.6</v>
      </c>
      <c r="AF275" s="177">
        <f t="shared" si="131"/>
        <v>0.99118950550796914</v>
      </c>
      <c r="AG275" s="799">
        <f t="shared" si="132"/>
        <v>-2</v>
      </c>
      <c r="AH275" s="176">
        <f t="shared" si="133"/>
        <v>4</v>
      </c>
      <c r="AI275" s="224">
        <f t="shared" si="134"/>
        <v>-1.0088104944920309</v>
      </c>
      <c r="AJ275" s="264" t="b">
        <f t="shared" si="135"/>
        <v>0</v>
      </c>
      <c r="AK275" s="264" t="b">
        <f t="shared" si="136"/>
        <v>0</v>
      </c>
      <c r="AL275" s="264"/>
      <c r="AM275" s="264"/>
      <c r="AN275" s="75"/>
    </row>
    <row r="276" spans="1:40" s="6" customFormat="1" ht="11.25" x14ac:dyDescent="0.2">
      <c r="A276" s="56">
        <f t="shared" si="137"/>
        <v>43727</v>
      </c>
      <c r="B276" s="607">
        <v>40.213000000000001</v>
      </c>
      <c r="C276" s="388"/>
      <c r="D276" s="391">
        <f t="shared" si="114"/>
        <v>40.391421816840506</v>
      </c>
      <c r="E276" s="383">
        <f t="shared" si="111"/>
        <v>41.37844630489279</v>
      </c>
      <c r="F276" s="383">
        <f t="shared" si="113"/>
        <v>41.378548942317927</v>
      </c>
      <c r="G276" s="110">
        <f t="shared" si="112"/>
        <v>0.81507036582849524</v>
      </c>
      <c r="I276" s="379">
        <f t="shared" si="115"/>
        <v>41.378548942317927</v>
      </c>
      <c r="J276" s="85">
        <v>2018</v>
      </c>
      <c r="K276" s="197">
        <f t="shared" si="116"/>
        <v>43727</v>
      </c>
      <c r="L276" s="435">
        <f t="shared" si="117"/>
        <v>4.4173195400146748E-3</v>
      </c>
      <c r="M276" s="842"/>
      <c r="N276" s="842"/>
      <c r="O276" s="323">
        <f t="shared" si="118"/>
        <v>2.3853589880574465E-2</v>
      </c>
      <c r="P276" s="169">
        <f>(INDEX(Models!$BJ276:$BT276,,T276)*(1-R276)+INDEX(Models!$BJ276:$BT276,,T276+1)*R276-ERP_i)*Q276*Ramure*Pc/MaxiM</f>
        <v>3.3710202062271444E-6</v>
      </c>
      <c r="Q276" s="304">
        <f t="shared" si="119"/>
        <v>0.6</v>
      </c>
      <c r="R276" s="177">
        <f t="shared" si="120"/>
        <v>0.99151012647723058</v>
      </c>
      <c r="S276" s="799">
        <f t="shared" si="138"/>
        <v>-2</v>
      </c>
      <c r="T276" s="176">
        <f t="shared" si="121"/>
        <v>4</v>
      </c>
      <c r="U276" s="250">
        <f t="shared" si="122"/>
        <v>-1.0084898735227694</v>
      </c>
      <c r="V276" s="382">
        <f t="shared" si="123"/>
        <v>49.336800690256325</v>
      </c>
      <c r="W276" s="58"/>
      <c r="X276" s="157">
        <f t="shared" si="124"/>
        <v>43727</v>
      </c>
      <c r="Y276" s="383">
        <f t="shared" si="125"/>
        <v>40.213000000000001</v>
      </c>
      <c r="Z276" s="383">
        <f t="shared" si="126"/>
        <v>40.391421816840506</v>
      </c>
      <c r="AA276" s="384">
        <f t="shared" si="127"/>
        <v>41.37844630489279</v>
      </c>
      <c r="AB276" s="197">
        <f t="shared" si="128"/>
        <v>43727</v>
      </c>
      <c r="AC276" s="424">
        <f t="shared" si="129"/>
        <v>2.3853589880574465E-2</v>
      </c>
      <c r="AD276" s="169">
        <f>(INDEX(Models!$BJ276:$BT276,,AH276)*(1-AF276)+INDEX(Models!$BJ276:$BT276,,AH276+1)*AF276-ERP_i)*AE276*Ramure*Pc/MaxiM</f>
        <v>3.3710202062271444E-6</v>
      </c>
      <c r="AE276" s="304">
        <f t="shared" si="130"/>
        <v>0.6</v>
      </c>
      <c r="AF276" s="177">
        <f t="shared" si="131"/>
        <v>0.99151012647723058</v>
      </c>
      <c r="AG276" s="799">
        <f t="shared" si="132"/>
        <v>-2</v>
      </c>
      <c r="AH276" s="176">
        <f t="shared" si="133"/>
        <v>4</v>
      </c>
      <c r="AI276" s="224">
        <f t="shared" si="134"/>
        <v>-1.0084898735227694</v>
      </c>
      <c r="AJ276" s="264" t="b">
        <f t="shared" si="135"/>
        <v>0</v>
      </c>
      <c r="AK276" s="264" t="b">
        <f t="shared" si="136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37"/>
        <v>43728</v>
      </c>
      <c r="B277" s="607">
        <v>46.963999999999999</v>
      </c>
      <c r="C277" s="388"/>
      <c r="D277" s="391">
        <f t="shared" si="114"/>
        <v>47.1732795209901</v>
      </c>
      <c r="E277" s="383">
        <f t="shared" si="111"/>
        <v>48.330337131707061</v>
      </c>
      <c r="F277" s="383">
        <f t="shared" si="113"/>
        <v>48.33049849945759</v>
      </c>
      <c r="G277" s="110">
        <f t="shared" si="112"/>
        <v>0.95641468872871194</v>
      </c>
      <c r="I277" s="379">
        <f t="shared" si="115"/>
        <v>48.33049849945759</v>
      </c>
      <c r="J277" s="85">
        <v>2018</v>
      </c>
      <c r="K277" s="197">
        <f t="shared" si="116"/>
        <v>43728</v>
      </c>
      <c r="L277" s="435">
        <f t="shared" si="117"/>
        <v>4.4363996549567908E-3</v>
      </c>
      <c r="M277" s="842"/>
      <c r="N277" s="842"/>
      <c r="O277" s="323">
        <f t="shared" si="118"/>
        <v>2.3940607067644021E-2</v>
      </c>
      <c r="P277" s="169">
        <f>(INDEX(Models!$BJ277:$BT277,,T277)*(1-R277)+INDEX(Models!$BJ277:$BT277,,T277+1)*R277-ERP_i)*Q277*Ramure*Pc/MaxiM</f>
        <v>3.5605335245996211E-6</v>
      </c>
      <c r="Q277" s="304">
        <f t="shared" si="119"/>
        <v>0.6</v>
      </c>
      <c r="R277" s="177">
        <f t="shared" si="120"/>
        <v>0.99181823092228938</v>
      </c>
      <c r="S277" s="799">
        <f t="shared" si="138"/>
        <v>-2</v>
      </c>
      <c r="T277" s="176">
        <f t="shared" si="121"/>
        <v>4</v>
      </c>
      <c r="U277" s="250">
        <f t="shared" si="122"/>
        <v>-1.0081817690777106</v>
      </c>
      <c r="V277" s="382">
        <f t="shared" si="123"/>
        <v>49.104211950912742</v>
      </c>
      <c r="W277" s="58"/>
      <c r="X277" s="157">
        <f t="shared" si="124"/>
        <v>43728</v>
      </c>
      <c r="Y277" s="383">
        <f t="shared" si="125"/>
        <v>46.963999999999999</v>
      </c>
      <c r="Z277" s="383">
        <f t="shared" si="126"/>
        <v>47.1732795209901</v>
      </c>
      <c r="AA277" s="384">
        <f t="shared" si="127"/>
        <v>48.330337131707061</v>
      </c>
      <c r="AB277" s="197">
        <f t="shared" si="128"/>
        <v>43728</v>
      </c>
      <c r="AC277" s="424">
        <f t="shared" si="129"/>
        <v>2.3940607067644021E-2</v>
      </c>
      <c r="AD277" s="169">
        <f>(INDEX(Models!$BJ277:$BT277,,AH277)*(1-AF277)+INDEX(Models!$BJ277:$BT277,,AH277+1)*AF277-ERP_i)*AE277*Ramure*Pc/MaxiM</f>
        <v>3.5605335245996211E-6</v>
      </c>
      <c r="AE277" s="304">
        <f t="shared" si="130"/>
        <v>0.6</v>
      </c>
      <c r="AF277" s="177">
        <f t="shared" si="131"/>
        <v>0.99181823092228938</v>
      </c>
      <c r="AG277" s="799">
        <f t="shared" si="132"/>
        <v>-2</v>
      </c>
      <c r="AH277" s="176">
        <f t="shared" si="133"/>
        <v>4</v>
      </c>
      <c r="AI277" s="224">
        <f t="shared" si="134"/>
        <v>-1.0081817690777106</v>
      </c>
      <c r="AJ277" s="264" t="b">
        <f t="shared" si="135"/>
        <v>0</v>
      </c>
      <c r="AK277" s="264" t="b">
        <f t="shared" si="136"/>
        <v>0</v>
      </c>
      <c r="AL277" s="264"/>
      <c r="AM277" s="264"/>
      <c r="AN277" s="75"/>
    </row>
    <row r="278" spans="1:40" s="6" customFormat="1" ht="11.25" x14ac:dyDescent="0.2">
      <c r="A278" s="56">
        <f t="shared" si="137"/>
        <v>43729</v>
      </c>
      <c r="B278" s="607">
        <v>32.792000000000002</v>
      </c>
      <c r="C278" s="388"/>
      <c r="D278" s="391">
        <f t="shared" si="114"/>
        <v>32.93875795768146</v>
      </c>
      <c r="E278" s="383">
        <f t="shared" si="111"/>
        <v>33.749669948366318</v>
      </c>
      <c r="F278" s="383">
        <f t="shared" si="113"/>
        <v>33.749737318549698</v>
      </c>
      <c r="G278" s="110">
        <f t="shared" si="112"/>
        <v>0.67104304625194411</v>
      </c>
      <c r="I278" s="379">
        <f t="shared" si="115"/>
        <v>33.749737318549698</v>
      </c>
      <c r="J278" s="85">
        <v>2018</v>
      </c>
      <c r="K278" s="197">
        <f t="shared" si="116"/>
        <v>43729</v>
      </c>
      <c r="L278" s="435">
        <f t="shared" si="117"/>
        <v>4.4554794042328538E-3</v>
      </c>
      <c r="M278" s="842"/>
      <c r="N278" s="842"/>
      <c r="O278" s="323">
        <f t="shared" si="118"/>
        <v>2.4027256916155763E-2</v>
      </c>
      <c r="P278" s="169">
        <f>(INDEX(Models!$BJ278:$BT278,,T278)*(1-R278)+INDEX(Models!$BJ278:$BT278,,T278+1)*R278-ERP_i)*Q278*Ramure*Pc/MaxiM</f>
        <v>3.7659078225065892E-6</v>
      </c>
      <c r="Q278" s="304">
        <f t="shared" si="119"/>
        <v>0.6</v>
      </c>
      <c r="R278" s="177">
        <f t="shared" si="120"/>
        <v>0.99211429249487715</v>
      </c>
      <c r="S278" s="799">
        <f t="shared" si="138"/>
        <v>-2</v>
      </c>
      <c r="T278" s="176">
        <f t="shared" si="121"/>
        <v>4</v>
      </c>
      <c r="U278" s="250">
        <f t="shared" si="122"/>
        <v>-1.0078857075051229</v>
      </c>
      <c r="V278" s="382">
        <f t="shared" si="123"/>
        <v>48.867121341573025</v>
      </c>
      <c r="W278" s="58"/>
      <c r="X278" s="157">
        <f t="shared" si="124"/>
        <v>43729</v>
      </c>
      <c r="Y278" s="383">
        <f t="shared" si="125"/>
        <v>32.792000000000002</v>
      </c>
      <c r="Z278" s="383">
        <f t="shared" si="126"/>
        <v>32.93875795768146</v>
      </c>
      <c r="AA278" s="384">
        <f t="shared" si="127"/>
        <v>33.749669948366318</v>
      </c>
      <c r="AB278" s="197">
        <f t="shared" si="128"/>
        <v>43729</v>
      </c>
      <c r="AC278" s="424">
        <f t="shared" si="129"/>
        <v>2.4027256916155763E-2</v>
      </c>
      <c r="AD278" s="169">
        <f>(INDEX(Models!$BJ278:$BT278,,AH278)*(1-AF278)+INDEX(Models!$BJ278:$BT278,,AH278+1)*AF278-ERP_i)*AE278*Ramure*Pc/MaxiM</f>
        <v>3.7659078225065892E-6</v>
      </c>
      <c r="AE278" s="304">
        <f t="shared" si="130"/>
        <v>0.6</v>
      </c>
      <c r="AF278" s="177">
        <f t="shared" si="131"/>
        <v>0.99211429249487715</v>
      </c>
      <c r="AG278" s="799">
        <f t="shared" si="132"/>
        <v>-2</v>
      </c>
      <c r="AH278" s="176">
        <f t="shared" si="133"/>
        <v>4</v>
      </c>
      <c r="AI278" s="224">
        <f t="shared" si="134"/>
        <v>-1.0078857075051229</v>
      </c>
      <c r="AJ278" s="264" t="b">
        <f t="shared" si="135"/>
        <v>0</v>
      </c>
      <c r="AK278" s="264" t="b">
        <f t="shared" si="136"/>
        <v>0</v>
      </c>
      <c r="AL278" s="264"/>
      <c r="AM278" s="264"/>
      <c r="AN278" s="75"/>
    </row>
    <row r="279" spans="1:40" s="6" customFormat="1" ht="11.25" x14ac:dyDescent="0.2">
      <c r="A279" s="56">
        <f t="shared" si="137"/>
        <v>43730</v>
      </c>
      <c r="B279" s="607">
        <v>8.7140000000000004</v>
      </c>
      <c r="C279" s="388"/>
      <c r="D279" s="391">
        <f t="shared" si="114"/>
        <v>8.753166558345157</v>
      </c>
      <c r="E279" s="383">
        <f t="shared" si="111"/>
        <v>8.9694516891088316</v>
      </c>
      <c r="F279" s="383">
        <f t="shared" si="113"/>
        <v>8.9694516891088316</v>
      </c>
      <c r="G279" s="110">
        <f t="shared" si="112"/>
        <v>0.17920517051675197</v>
      </c>
      <c r="I279" s="379">
        <f t="shared" si="115"/>
        <v>8.9694516891088316</v>
      </c>
      <c r="J279" s="85">
        <v>2018</v>
      </c>
      <c r="K279" s="197">
        <f t="shared" si="116"/>
        <v>43730</v>
      </c>
      <c r="L279" s="435">
        <f t="shared" si="117"/>
        <v>4.4745587878498583E-3</v>
      </c>
      <c r="M279" s="842"/>
      <c r="N279" s="842"/>
      <c r="O279" s="323">
        <f t="shared" si="118"/>
        <v>2.4113528703911539E-2</v>
      </c>
      <c r="P279" s="169">
        <f>(INDEX(Models!$BJ279:$BT279,,T279)*(1-R279)+INDEX(Models!$BJ279:$BT279,,T279+1)*R279-ERP_i)*Q279*Ramure*Pc/MaxiM</f>
        <v>3.9872516784339055E-6</v>
      </c>
      <c r="Q279" s="304">
        <f t="shared" si="119"/>
        <v>0.6</v>
      </c>
      <c r="R279" s="177">
        <f t="shared" si="120"/>
        <v>0.99239876808968708</v>
      </c>
      <c r="S279" s="799">
        <f t="shared" si="138"/>
        <v>-2</v>
      </c>
      <c r="T279" s="176">
        <f t="shared" si="121"/>
        <v>4</v>
      </c>
      <c r="U279" s="250">
        <f t="shared" si="122"/>
        <v>-1.0076012319103129</v>
      </c>
      <c r="V279" s="382">
        <f t="shared" si="123"/>
        <v>48.625635242339733</v>
      </c>
      <c r="W279" s="58"/>
      <c r="X279" s="157">
        <f t="shared" si="124"/>
        <v>43730</v>
      </c>
      <c r="Y279" s="383">
        <f t="shared" si="125"/>
        <v>8.7140000000000004</v>
      </c>
      <c r="Z279" s="383">
        <f t="shared" si="126"/>
        <v>8.753166558345157</v>
      </c>
      <c r="AA279" s="384">
        <f t="shared" si="127"/>
        <v>8.9694516891088316</v>
      </c>
      <c r="AB279" s="197">
        <f t="shared" si="128"/>
        <v>43730</v>
      </c>
      <c r="AC279" s="424">
        <f t="shared" si="129"/>
        <v>2.4113528703911539E-2</v>
      </c>
      <c r="AD279" s="169">
        <f>(INDEX(Models!$BJ279:$BT279,,AH279)*(1-AF279)+INDEX(Models!$BJ279:$BT279,,AH279+1)*AF279-ERP_i)*AE279*Ramure*Pc/MaxiM</f>
        <v>3.9872516784339055E-6</v>
      </c>
      <c r="AE279" s="304">
        <f t="shared" si="130"/>
        <v>0.6</v>
      </c>
      <c r="AF279" s="177">
        <f t="shared" si="131"/>
        <v>0.99239876808968708</v>
      </c>
      <c r="AG279" s="799">
        <f t="shared" si="132"/>
        <v>-2</v>
      </c>
      <c r="AH279" s="176">
        <f t="shared" si="133"/>
        <v>4</v>
      </c>
      <c r="AI279" s="224">
        <f t="shared" si="134"/>
        <v>-1.0076012319103129</v>
      </c>
      <c r="AJ279" s="264" t="b">
        <f t="shared" si="135"/>
        <v>0</v>
      </c>
      <c r="AK279" s="264" t="b">
        <f t="shared" si="136"/>
        <v>0</v>
      </c>
      <c r="AL279" s="264"/>
      <c r="AM279" s="264"/>
      <c r="AN279" s="75"/>
    </row>
    <row r="280" spans="1:40" s="6" customFormat="1" ht="11.25" x14ac:dyDescent="0.2">
      <c r="A280" s="56">
        <f t="shared" si="137"/>
        <v>43731</v>
      </c>
      <c r="B280" s="607">
        <v>41.372</v>
      </c>
      <c r="C280" s="388"/>
      <c r="D280" s="391">
        <f t="shared" si="114"/>
        <v>41.558749970027719</v>
      </c>
      <c r="E280" s="383">
        <f t="shared" si="111"/>
        <v>42.589388102212865</v>
      </c>
      <c r="F280" s="383">
        <f t="shared" si="113"/>
        <v>42.58953079746825</v>
      </c>
      <c r="G280" s="110">
        <f t="shared" si="112"/>
        <v>0.8551484823660862</v>
      </c>
      <c r="I280" s="379">
        <f t="shared" si="115"/>
        <v>42.58953079746825</v>
      </c>
      <c r="J280" s="85">
        <v>2018</v>
      </c>
      <c r="K280" s="197">
        <f t="shared" si="116"/>
        <v>43731</v>
      </c>
      <c r="L280" s="435">
        <f t="shared" si="117"/>
        <v>4.4936378058147985E-3</v>
      </c>
      <c r="M280" s="842"/>
      <c r="N280" s="842"/>
      <c r="O280" s="323">
        <f t="shared" si="118"/>
        <v>2.4199411593133376E-2</v>
      </c>
      <c r="P280" s="169">
        <f>(INDEX(Models!$BJ280:$BT280,,T280)*(1-R280)+INDEX(Models!$BJ280:$BT280,,T280+1)*R280-ERP_i)*Q280*Ramure*Pc/MaxiM</f>
        <v>4.2246912555221548E-6</v>
      </c>
      <c r="Q280" s="304">
        <f t="shared" si="119"/>
        <v>0.6</v>
      </c>
      <c r="R280" s="177">
        <f t="shared" si="120"/>
        <v>0.99267209834525238</v>
      </c>
      <c r="S280" s="799">
        <f t="shared" si="138"/>
        <v>-2</v>
      </c>
      <c r="T280" s="176">
        <f t="shared" si="121"/>
        <v>4</v>
      </c>
      <c r="U280" s="250">
        <f t="shared" si="122"/>
        <v>-1.0073279016547476</v>
      </c>
      <c r="V280" s="382">
        <f t="shared" si="123"/>
        <v>48.379859971717877</v>
      </c>
      <c r="W280" s="58"/>
      <c r="X280" s="157">
        <f t="shared" si="124"/>
        <v>43731</v>
      </c>
      <c r="Y280" s="383">
        <f t="shared" si="125"/>
        <v>41.372</v>
      </c>
      <c r="Z280" s="383">
        <f t="shared" si="126"/>
        <v>41.558749970027719</v>
      </c>
      <c r="AA280" s="384">
        <f t="shared" si="127"/>
        <v>42.589388102212865</v>
      </c>
      <c r="AB280" s="197">
        <f t="shared" si="128"/>
        <v>43731</v>
      </c>
      <c r="AC280" s="424">
        <f t="shared" si="129"/>
        <v>2.4199411593133376E-2</v>
      </c>
      <c r="AD280" s="169">
        <f>(INDEX(Models!$BJ280:$BT280,,AH280)*(1-AF280)+INDEX(Models!$BJ280:$BT280,,AH280+1)*AF280-ERP_i)*AE280*Ramure*Pc/MaxiM</f>
        <v>4.2246912555221548E-6</v>
      </c>
      <c r="AE280" s="304">
        <f t="shared" si="130"/>
        <v>0.6</v>
      </c>
      <c r="AF280" s="177">
        <f t="shared" si="131"/>
        <v>0.99267209834525238</v>
      </c>
      <c r="AG280" s="799">
        <f t="shared" si="132"/>
        <v>-2</v>
      </c>
      <c r="AH280" s="176">
        <f t="shared" si="133"/>
        <v>4</v>
      </c>
      <c r="AI280" s="224">
        <f t="shared" si="134"/>
        <v>-1.0073279016547476</v>
      </c>
      <c r="AJ280" s="264" t="b">
        <f t="shared" si="135"/>
        <v>0</v>
      </c>
      <c r="AK280" s="264" t="b">
        <f t="shared" si="136"/>
        <v>0</v>
      </c>
      <c r="AL280" s="264"/>
      <c r="AM280" s="264"/>
      <c r="AN280" s="75"/>
    </row>
    <row r="281" spans="1:40" s="6" customFormat="1" ht="11.25" x14ac:dyDescent="0.2">
      <c r="A281" s="56">
        <f t="shared" si="137"/>
        <v>43732</v>
      </c>
      <c r="B281" s="607">
        <v>29.449000000000002</v>
      </c>
      <c r="C281" s="388"/>
      <c r="D281" s="391">
        <f t="shared" si="114"/>
        <v>29.582497422993473</v>
      </c>
      <c r="E281" s="383">
        <f t="shared" si="111"/>
        <v>30.318785946447981</v>
      </c>
      <c r="F281" s="383">
        <f t="shared" si="113"/>
        <v>30.318846438500422</v>
      </c>
      <c r="G281" s="110">
        <f t="shared" si="112"/>
        <v>0.61186343168464863</v>
      </c>
      <c r="I281" s="379">
        <f t="shared" si="115"/>
        <v>30.318846438500422</v>
      </c>
      <c r="J281" s="85">
        <v>2018</v>
      </c>
      <c r="K281" s="197">
        <f t="shared" si="116"/>
        <v>43732</v>
      </c>
      <c r="L281" s="435">
        <f t="shared" si="117"/>
        <v>4.5127164581347801E-3</v>
      </c>
      <c r="M281" s="842"/>
      <c r="N281" s="842"/>
      <c r="O281" s="323">
        <f t="shared" si="118"/>
        <v>2.4284894677346777E-2</v>
      </c>
      <c r="P281" s="169">
        <f>(INDEX(Models!$BJ281:$BT281,,T281)*(1-R281)+INDEX(Models!$BJ281:$BT281,,T281+1)*R281-ERP_i)*Q281*Ramure*Pc/MaxiM</f>
        <v>4.4783405648669875E-6</v>
      </c>
      <c r="Q281" s="304">
        <f t="shared" si="119"/>
        <v>0.6</v>
      </c>
      <c r="R281" s="177">
        <f t="shared" si="120"/>
        <v>0.99293470813738849</v>
      </c>
      <c r="S281" s="799">
        <f t="shared" si="138"/>
        <v>-2</v>
      </c>
      <c r="T281" s="176">
        <f t="shared" si="121"/>
        <v>4</v>
      </c>
      <c r="U281" s="250">
        <f t="shared" si="122"/>
        <v>-1.0070652918626115</v>
      </c>
      <c r="V281" s="382">
        <f t="shared" si="123"/>
        <v>48.129901786512747</v>
      </c>
      <c r="W281" s="58"/>
      <c r="X281" s="157">
        <f t="shared" si="124"/>
        <v>43732</v>
      </c>
      <c r="Y281" s="383">
        <f t="shared" si="125"/>
        <v>29.449000000000002</v>
      </c>
      <c r="Z281" s="383">
        <f t="shared" si="126"/>
        <v>29.582497422993473</v>
      </c>
      <c r="AA281" s="384">
        <f t="shared" si="127"/>
        <v>30.318785946447981</v>
      </c>
      <c r="AB281" s="197">
        <f t="shared" si="128"/>
        <v>43732</v>
      </c>
      <c r="AC281" s="424">
        <f t="shared" si="129"/>
        <v>2.4284894677346777E-2</v>
      </c>
      <c r="AD281" s="169">
        <f>(INDEX(Models!$BJ281:$BT281,,AH281)*(1-AF281)+INDEX(Models!$BJ281:$BT281,,AH281+1)*AF281-ERP_i)*AE281*Ramure*Pc/MaxiM</f>
        <v>4.4783405648669875E-6</v>
      </c>
      <c r="AE281" s="304">
        <f t="shared" si="130"/>
        <v>0.6</v>
      </c>
      <c r="AF281" s="177">
        <f t="shared" si="131"/>
        <v>0.99293470813738849</v>
      </c>
      <c r="AG281" s="799">
        <f t="shared" si="132"/>
        <v>-2</v>
      </c>
      <c r="AH281" s="176">
        <f t="shared" si="133"/>
        <v>4</v>
      </c>
      <c r="AI281" s="224">
        <f t="shared" si="134"/>
        <v>-1.0070652918626115</v>
      </c>
      <c r="AJ281" s="264" t="b">
        <f t="shared" si="135"/>
        <v>0</v>
      </c>
      <c r="AK281" s="264" t="b">
        <f t="shared" si="136"/>
        <v>0</v>
      </c>
      <c r="AL281" s="264"/>
      <c r="AM281" s="264"/>
      <c r="AN281" s="75"/>
    </row>
    <row r="282" spans="1:40" s="6" customFormat="1" ht="11.25" x14ac:dyDescent="0.2">
      <c r="A282" s="56">
        <f t="shared" si="137"/>
        <v>43733</v>
      </c>
      <c r="B282" s="607">
        <v>29.288</v>
      </c>
      <c r="C282" s="388"/>
      <c r="D282" s="391">
        <f t="shared" si="114"/>
        <v>29.421331435183475</v>
      </c>
      <c r="E282" s="383">
        <f t="shared" si="111"/>
        <v>30.156237960111461</v>
      </c>
      <c r="F282" s="383">
        <f t="shared" si="113"/>
        <v>30.156301542389691</v>
      </c>
      <c r="G282" s="110">
        <f t="shared" si="112"/>
        <v>0.61174709913233738</v>
      </c>
      <c r="I282" s="379">
        <f t="shared" si="115"/>
        <v>30.156301542389691</v>
      </c>
      <c r="J282" s="85">
        <v>2018</v>
      </c>
      <c r="K282" s="197">
        <f t="shared" si="116"/>
        <v>43733</v>
      </c>
      <c r="L282" s="435">
        <f t="shared" si="117"/>
        <v>4.5317947448166862E-3</v>
      </c>
      <c r="M282" s="842"/>
      <c r="N282" s="842"/>
      <c r="O282" s="323">
        <f t="shared" si="118"/>
        <v>2.4369967033025432E-2</v>
      </c>
      <c r="P282" s="169">
        <f>(INDEX(Models!$BJ282:$BT282,,T282)*(1-R282)+INDEX(Models!$BJ282:$BT282,,T282+1)*R282-ERP_i)*Q282*Ramure*Pc/MaxiM</f>
        <v>4.7342521939292945E-6</v>
      </c>
      <c r="Q282" s="304">
        <f t="shared" si="119"/>
        <v>0.6</v>
      </c>
      <c r="R282" s="177">
        <f t="shared" si="120"/>
        <v>0.99318700706460672</v>
      </c>
      <c r="S282" s="799">
        <f t="shared" si="138"/>
        <v>-2</v>
      </c>
      <c r="T282" s="176">
        <f t="shared" si="121"/>
        <v>4</v>
      </c>
      <c r="U282" s="250">
        <f t="shared" si="122"/>
        <v>-1.0068129929353933</v>
      </c>
      <c r="V282" s="382">
        <f t="shared" si="123"/>
        <v>47.875867553977571</v>
      </c>
      <c r="W282" s="58"/>
      <c r="X282" s="157">
        <f t="shared" si="124"/>
        <v>43733</v>
      </c>
      <c r="Y282" s="383">
        <f t="shared" si="125"/>
        <v>29.288</v>
      </c>
      <c r="Z282" s="383">
        <f t="shared" si="126"/>
        <v>29.421331435183475</v>
      </c>
      <c r="AA282" s="384">
        <f t="shared" si="127"/>
        <v>30.156237960111461</v>
      </c>
      <c r="AB282" s="197">
        <f t="shared" si="128"/>
        <v>43733</v>
      </c>
      <c r="AC282" s="424">
        <f t="shared" si="129"/>
        <v>2.4369967033025432E-2</v>
      </c>
      <c r="AD282" s="169">
        <f>(INDEX(Models!$BJ282:$BT282,,AH282)*(1-AF282)+INDEX(Models!$BJ282:$BT282,,AH282+1)*AF282-ERP_i)*AE282*Ramure*Pc/MaxiM</f>
        <v>4.7342521939292945E-6</v>
      </c>
      <c r="AE282" s="304">
        <f t="shared" si="130"/>
        <v>0.6</v>
      </c>
      <c r="AF282" s="177">
        <f t="shared" si="131"/>
        <v>0.99318700706460672</v>
      </c>
      <c r="AG282" s="799">
        <f t="shared" si="132"/>
        <v>-2</v>
      </c>
      <c r="AH282" s="176">
        <f t="shared" si="133"/>
        <v>4</v>
      </c>
      <c r="AI282" s="224">
        <f t="shared" si="134"/>
        <v>-1.0068129929353933</v>
      </c>
      <c r="AJ282" s="264" t="b">
        <f t="shared" si="135"/>
        <v>0</v>
      </c>
      <c r="AK282" s="264" t="b">
        <f t="shared" si="136"/>
        <v>0</v>
      </c>
      <c r="AL282" s="264"/>
      <c r="AM282" s="264"/>
      <c r="AN282" s="75"/>
    </row>
    <row r="283" spans="1:40" s="6" customFormat="1" ht="11.25" x14ac:dyDescent="0.2">
      <c r="A283" s="56">
        <f t="shared" si="137"/>
        <v>43734</v>
      </c>
      <c r="B283" s="607">
        <v>38.57</v>
      </c>
      <c r="C283" s="388"/>
      <c r="D283" s="391">
        <f t="shared" si="114"/>
        <v>38.746329612335472</v>
      </c>
      <c r="E283" s="383">
        <f t="shared" si="111"/>
        <v>39.717608548355344</v>
      </c>
      <c r="F283" s="383">
        <f t="shared" si="113"/>
        <v>39.717752875217975</v>
      </c>
      <c r="G283" s="110">
        <f t="shared" si="112"/>
        <v>0.80998904301962682</v>
      </c>
      <c r="I283" s="379">
        <f t="shared" si="115"/>
        <v>39.717752875217975</v>
      </c>
      <c r="J283" s="85">
        <v>2018</v>
      </c>
      <c r="K283" s="197">
        <f t="shared" si="116"/>
        <v>43734</v>
      </c>
      <c r="L283" s="435">
        <f t="shared" si="117"/>
        <v>4.5508726658676224E-3</v>
      </c>
      <c r="M283" s="842"/>
      <c r="N283" s="842"/>
      <c r="O283" s="323">
        <f t="shared" si="118"/>
        <v>2.445461777582501E-2</v>
      </c>
      <c r="P283" s="169">
        <f>(INDEX(Models!$BJ283:$BT283,,T283)*(1-R283)+INDEX(Models!$BJ283:$BT283,,T283+1)*R283-ERP_i)*Q283*Ramure*Pc/MaxiM</f>
        <v>4.9876820698638997E-6</v>
      </c>
      <c r="Q283" s="304">
        <f t="shared" si="119"/>
        <v>0.6</v>
      </c>
      <c r="R283" s="177">
        <f t="shared" si="120"/>
        <v>0.99342938992498464</v>
      </c>
      <c r="S283" s="799">
        <f t="shared" si="138"/>
        <v>-2</v>
      </c>
      <c r="T283" s="176">
        <f t="shared" si="121"/>
        <v>4</v>
      </c>
      <c r="U283" s="250">
        <f t="shared" si="122"/>
        <v>-1.0065706100750154</v>
      </c>
      <c r="V283" s="382">
        <f t="shared" si="123"/>
        <v>47.617863616115883</v>
      </c>
      <c r="W283" s="58"/>
      <c r="X283" s="157">
        <f t="shared" si="124"/>
        <v>43734</v>
      </c>
      <c r="Y283" s="383">
        <f t="shared" si="125"/>
        <v>38.57</v>
      </c>
      <c r="Z283" s="383">
        <f t="shared" si="126"/>
        <v>38.746329612335472</v>
      </c>
      <c r="AA283" s="384">
        <f t="shared" si="127"/>
        <v>39.717608548355344</v>
      </c>
      <c r="AB283" s="197">
        <f t="shared" si="128"/>
        <v>43734</v>
      </c>
      <c r="AC283" s="424">
        <f t="shared" si="129"/>
        <v>2.445461777582501E-2</v>
      </c>
      <c r="AD283" s="169">
        <f>(INDEX(Models!$BJ283:$BT283,,AH283)*(1-AF283)+INDEX(Models!$BJ283:$BT283,,AH283+1)*AF283-ERP_i)*AE283*Ramure*Pc/MaxiM</f>
        <v>4.9876820698638997E-6</v>
      </c>
      <c r="AE283" s="304">
        <f t="shared" si="130"/>
        <v>0.6</v>
      </c>
      <c r="AF283" s="177">
        <f t="shared" si="131"/>
        <v>0.99342938992498464</v>
      </c>
      <c r="AG283" s="799">
        <f t="shared" si="132"/>
        <v>-2</v>
      </c>
      <c r="AH283" s="176">
        <f t="shared" si="133"/>
        <v>4</v>
      </c>
      <c r="AI283" s="224">
        <f t="shared" si="134"/>
        <v>-1.0065706100750154</v>
      </c>
      <c r="AJ283" s="264" t="b">
        <f t="shared" si="135"/>
        <v>0</v>
      </c>
      <c r="AK283" s="264" t="b">
        <f t="shared" si="136"/>
        <v>0</v>
      </c>
      <c r="AL283" s="264"/>
      <c r="AM283" s="264"/>
      <c r="AN283" s="75"/>
    </row>
    <row r="284" spans="1:40" s="6" customFormat="1" ht="11.25" x14ac:dyDescent="0.2">
      <c r="A284" s="56">
        <f t="shared" si="137"/>
        <v>43735</v>
      </c>
      <c r="B284" s="607">
        <v>40.167000000000002</v>
      </c>
      <c r="C284" s="388"/>
      <c r="D284" s="391">
        <f t="shared" si="114"/>
        <v>40.351403907215328</v>
      </c>
      <c r="E284" s="383">
        <f t="shared" si="111"/>
        <v>41.366489411799876</v>
      </c>
      <c r="F284" s="383">
        <f t="shared" si="113"/>
        <v>41.366659117573256</v>
      </c>
      <c r="G284" s="110">
        <f t="shared" si="112"/>
        <v>0.84819152250893437</v>
      </c>
      <c r="I284" s="379">
        <f t="shared" si="115"/>
        <v>41.366659117573256</v>
      </c>
      <c r="J284" s="85">
        <v>2018</v>
      </c>
      <c r="K284" s="197">
        <f t="shared" si="116"/>
        <v>43735</v>
      </c>
      <c r="L284" s="435">
        <f t="shared" si="117"/>
        <v>4.5699502212945831E-3</v>
      </c>
      <c r="M284" s="842"/>
      <c r="N284" s="842"/>
      <c r="O284" s="323">
        <f t="shared" si="118"/>
        <v>2.4538836121176699E-2</v>
      </c>
      <c r="P284" s="169">
        <f>(INDEX(Models!$BJ284:$BT284,,T284)*(1-R284)+INDEX(Models!$BJ284:$BT284,,T284+1)*R284-ERP_i)*Q284*Ramure*Pc/MaxiM</f>
        <v>5.2385504555900614E-6</v>
      </c>
      <c r="Q284" s="304">
        <f t="shared" si="119"/>
        <v>0.6</v>
      </c>
      <c r="R284" s="177">
        <f t="shared" si="120"/>
        <v>0.993662237184054</v>
      </c>
      <c r="S284" s="799">
        <f t="shared" si="138"/>
        <v>-2</v>
      </c>
      <c r="T284" s="176">
        <f t="shared" si="121"/>
        <v>4</v>
      </c>
      <c r="U284" s="250">
        <f t="shared" si="122"/>
        <v>-1.006337762815946</v>
      </c>
      <c r="V284" s="382">
        <f t="shared" si="123"/>
        <v>47.355996023566505</v>
      </c>
      <c r="W284" s="58"/>
      <c r="X284" s="157">
        <f t="shared" si="124"/>
        <v>43735</v>
      </c>
      <c r="Y284" s="383">
        <f t="shared" si="125"/>
        <v>40.167000000000002</v>
      </c>
      <c r="Z284" s="383">
        <f t="shared" si="126"/>
        <v>40.351403907215328</v>
      </c>
      <c r="AA284" s="384">
        <f t="shared" si="127"/>
        <v>41.366489411799876</v>
      </c>
      <c r="AB284" s="197">
        <f t="shared" si="128"/>
        <v>43735</v>
      </c>
      <c r="AC284" s="424">
        <f t="shared" si="129"/>
        <v>2.4538836121176699E-2</v>
      </c>
      <c r="AD284" s="169">
        <f>(INDEX(Models!$BJ284:$BT284,,AH284)*(1-AF284)+INDEX(Models!$BJ284:$BT284,,AH284+1)*AF284-ERP_i)*AE284*Ramure*Pc/MaxiM</f>
        <v>5.2385504555900614E-6</v>
      </c>
      <c r="AE284" s="304">
        <f t="shared" si="130"/>
        <v>0.6</v>
      </c>
      <c r="AF284" s="177">
        <f t="shared" si="131"/>
        <v>0.993662237184054</v>
      </c>
      <c r="AG284" s="799">
        <f t="shared" si="132"/>
        <v>-2</v>
      </c>
      <c r="AH284" s="176">
        <f t="shared" si="133"/>
        <v>4</v>
      </c>
      <c r="AI284" s="224">
        <f t="shared" si="134"/>
        <v>-1.006337762815946</v>
      </c>
      <c r="AJ284" s="264" t="b">
        <f t="shared" si="135"/>
        <v>0</v>
      </c>
      <c r="AK284" s="264" t="b">
        <f t="shared" si="136"/>
        <v>0</v>
      </c>
      <c r="AL284" s="264"/>
      <c r="AM284" s="264"/>
      <c r="AN284" s="75"/>
    </row>
    <row r="285" spans="1:40" s="6" customFormat="1" ht="11.25" x14ac:dyDescent="0.2">
      <c r="A285" s="56">
        <f t="shared" si="137"/>
        <v>43736</v>
      </c>
      <c r="B285" s="607">
        <v>35.764000000000003</v>
      </c>
      <c r="C285" s="388"/>
      <c r="D285" s="391">
        <f t="shared" si="114"/>
        <v>35.928878608785965</v>
      </c>
      <c r="E285" s="383">
        <f t="shared" si="111"/>
        <v>36.835874022217624</v>
      </c>
      <c r="F285" s="383">
        <f t="shared" si="113"/>
        <v>36.836006686533622</v>
      </c>
      <c r="G285" s="110">
        <f t="shared" si="112"/>
        <v>0.75947443192965558</v>
      </c>
      <c r="I285" s="379">
        <f t="shared" si="115"/>
        <v>36.836006686533622</v>
      </c>
      <c r="J285" s="85">
        <v>2018</v>
      </c>
      <c r="K285" s="197">
        <f t="shared" si="116"/>
        <v>43736</v>
      </c>
      <c r="L285" s="435">
        <f t="shared" si="117"/>
        <v>4.5890274111044516E-3</v>
      </c>
      <c r="M285" s="842"/>
      <c r="N285" s="842"/>
      <c r="O285" s="323">
        <f t="shared" si="118"/>
        <v>2.4622611448953297E-2</v>
      </c>
      <c r="P285" s="169">
        <f>(INDEX(Models!$BJ285:$BT285,,T285)*(1-R285)+INDEX(Models!$BJ285:$BT285,,T285+1)*R285-ERP_i)*Q285*Ramure*Pc/MaxiM</f>
        <v>5.4867720318871751E-6</v>
      </c>
      <c r="Q285" s="304">
        <f t="shared" si="119"/>
        <v>0.6</v>
      </c>
      <c r="R285" s="177">
        <f t="shared" si="120"/>
        <v>0.99388591543334059</v>
      </c>
      <c r="S285" s="799">
        <f t="shared" si="138"/>
        <v>-2</v>
      </c>
      <c r="T285" s="176">
        <f t="shared" si="121"/>
        <v>4</v>
      </c>
      <c r="U285" s="250">
        <f t="shared" si="122"/>
        <v>-1.0061140845666594</v>
      </c>
      <c r="V285" s="382">
        <f t="shared" si="123"/>
        <v>47.090370749511997</v>
      </c>
      <c r="W285" s="58"/>
      <c r="X285" s="157">
        <f t="shared" si="124"/>
        <v>43736</v>
      </c>
      <c r="Y285" s="383">
        <f t="shared" si="125"/>
        <v>35.764000000000003</v>
      </c>
      <c r="Z285" s="383">
        <f t="shared" si="126"/>
        <v>35.928878608785965</v>
      </c>
      <c r="AA285" s="384">
        <f t="shared" si="127"/>
        <v>36.835874022217624</v>
      </c>
      <c r="AB285" s="197">
        <f t="shared" si="128"/>
        <v>43736</v>
      </c>
      <c r="AC285" s="424">
        <f t="shared" si="129"/>
        <v>2.4622611448953297E-2</v>
      </c>
      <c r="AD285" s="169">
        <f>(INDEX(Models!$BJ285:$BT285,,AH285)*(1-AF285)+INDEX(Models!$BJ285:$BT285,,AH285+1)*AF285-ERP_i)*AE285*Ramure*Pc/MaxiM</f>
        <v>5.4867720318871751E-6</v>
      </c>
      <c r="AE285" s="304">
        <f t="shared" si="130"/>
        <v>0.6</v>
      </c>
      <c r="AF285" s="177">
        <f t="shared" si="131"/>
        <v>0.99388591543334059</v>
      </c>
      <c r="AG285" s="799">
        <f t="shared" si="132"/>
        <v>-2</v>
      </c>
      <c r="AH285" s="176">
        <f t="shared" si="133"/>
        <v>4</v>
      </c>
      <c r="AI285" s="224">
        <f t="shared" si="134"/>
        <v>-1.0061140845666594</v>
      </c>
      <c r="AJ285" s="264" t="b">
        <f t="shared" si="135"/>
        <v>0</v>
      </c>
      <c r="AK285" s="264" t="b">
        <f t="shared" si="136"/>
        <v>0</v>
      </c>
      <c r="AL285" s="264"/>
      <c r="AM285" s="264"/>
      <c r="AN285" s="75"/>
    </row>
    <row r="286" spans="1:40" s="6" customFormat="1" ht="11.25" x14ac:dyDescent="0.2">
      <c r="A286" s="56">
        <f t="shared" si="137"/>
        <v>43737</v>
      </c>
      <c r="B286" s="607">
        <v>44.707000000000001</v>
      </c>
      <c r="C286" s="388"/>
      <c r="D286" s="391">
        <f t="shared" si="114"/>
        <v>44.913968247304737</v>
      </c>
      <c r="E286" s="383">
        <f t="shared" si="111"/>
        <v>46.051718947276051</v>
      </c>
      <c r="F286" s="383">
        <f t="shared" si="113"/>
        <v>46.051965901147405</v>
      </c>
      <c r="G286" s="110">
        <f t="shared" si="112"/>
        <v>0.95484705601330289</v>
      </c>
      <c r="I286" s="379">
        <f t="shared" si="115"/>
        <v>46.051965901147405</v>
      </c>
      <c r="J286" s="85">
        <v>2018</v>
      </c>
      <c r="K286" s="197">
        <f t="shared" si="116"/>
        <v>43737</v>
      </c>
      <c r="L286" s="435">
        <f t="shared" si="117"/>
        <v>4.6081042353044444E-3</v>
      </c>
      <c r="M286" s="842"/>
      <c r="N286" s="842"/>
      <c r="O286" s="323">
        <f t="shared" si="118"/>
        <v>2.4705933371866228E-2</v>
      </c>
      <c r="P286" s="169">
        <f>(INDEX(Models!$BJ286:$BT286,,T286)*(1-R286)+INDEX(Models!$BJ286:$BT286,,T286+1)*R286-ERP_i)*Q286*Ramure*Pc/MaxiM</f>
        <v>5.7322561745125157E-6</v>
      </c>
      <c r="Q286" s="304">
        <f t="shared" si="119"/>
        <v>0.6</v>
      </c>
      <c r="R286" s="177">
        <f t="shared" si="120"/>
        <v>0.99410077783925077</v>
      </c>
      <c r="S286" s="799">
        <f t="shared" si="138"/>
        <v>-2</v>
      </c>
      <c r="T286" s="176">
        <f t="shared" si="121"/>
        <v>4</v>
      </c>
      <c r="U286" s="250">
        <f t="shared" si="122"/>
        <v>-1.0058992221607492</v>
      </c>
      <c r="V286" s="382">
        <f t="shared" si="123"/>
        <v>46.821093690210276</v>
      </c>
      <c r="W286" s="58"/>
      <c r="X286" s="157">
        <f t="shared" si="124"/>
        <v>43737</v>
      </c>
      <c r="Y286" s="383">
        <f t="shared" si="125"/>
        <v>44.707000000000001</v>
      </c>
      <c r="Z286" s="383">
        <f t="shared" si="126"/>
        <v>44.913968247304737</v>
      </c>
      <c r="AA286" s="384">
        <f t="shared" si="127"/>
        <v>46.051718947276051</v>
      </c>
      <c r="AB286" s="197">
        <f t="shared" si="128"/>
        <v>43737</v>
      </c>
      <c r="AC286" s="424">
        <f t="shared" si="129"/>
        <v>2.4705933371866228E-2</v>
      </c>
      <c r="AD286" s="169">
        <f>(INDEX(Models!$BJ286:$BT286,,AH286)*(1-AF286)+INDEX(Models!$BJ286:$BT286,,AH286+1)*AF286-ERP_i)*AE286*Ramure*Pc/MaxiM</f>
        <v>5.7322561745125157E-6</v>
      </c>
      <c r="AE286" s="304">
        <f t="shared" si="130"/>
        <v>0.6</v>
      </c>
      <c r="AF286" s="177">
        <f t="shared" si="131"/>
        <v>0.99410077783925077</v>
      </c>
      <c r="AG286" s="799">
        <f t="shared" si="132"/>
        <v>-2</v>
      </c>
      <c r="AH286" s="176">
        <f t="shared" si="133"/>
        <v>4</v>
      </c>
      <c r="AI286" s="224">
        <f t="shared" si="134"/>
        <v>-1.0058992221607492</v>
      </c>
      <c r="AJ286" s="264" t="b">
        <f t="shared" si="135"/>
        <v>0</v>
      </c>
      <c r="AK286" s="264" t="b">
        <f t="shared" si="136"/>
        <v>0</v>
      </c>
      <c r="AL286" s="264"/>
      <c r="AM286" s="264"/>
      <c r="AN286" s="75"/>
    </row>
    <row r="287" spans="1:40" s="6" customFormat="1" ht="11.25" x14ac:dyDescent="0.2">
      <c r="A287" s="56">
        <f t="shared" si="137"/>
        <v>43738</v>
      </c>
      <c r="B287" s="607">
        <v>24.039000000000001</v>
      </c>
      <c r="C287" s="388"/>
      <c r="D287" s="391">
        <f t="shared" si="114"/>
        <v>24.150749883604657</v>
      </c>
      <c r="E287" s="383">
        <f t="shared" si="111"/>
        <v>24.764635271531816</v>
      </c>
      <c r="F287" s="383">
        <f t="shared" si="113"/>
        <v>24.764681021061062</v>
      </c>
      <c r="G287" s="110">
        <f t="shared" si="112"/>
        <v>0.51642951362204925</v>
      </c>
      <c r="I287" s="379">
        <f t="shared" si="115"/>
        <v>24.764681021061062</v>
      </c>
      <c r="J287" s="85">
        <v>2018</v>
      </c>
      <c r="K287" s="197">
        <f t="shared" si="116"/>
        <v>43738</v>
      </c>
      <c r="L287" s="435">
        <f t="shared" si="117"/>
        <v>4.6271806939013338E-3</v>
      </c>
      <c r="M287" s="842"/>
      <c r="N287" s="842"/>
      <c r="O287" s="323">
        <f t="shared" si="118"/>
        <v>2.4788791807196547E-2</v>
      </c>
      <c r="P287" s="169">
        <f>(INDEX(Models!$BJ287:$BT287,,T287)*(1-R287)+INDEX(Models!$BJ287:$BT287,,T287+1)*R287-ERP_i)*Q287*Ramure*Pc/MaxiM</f>
        <v>5.9749072831309856E-6</v>
      </c>
      <c r="Q287" s="304">
        <f t="shared" si="119"/>
        <v>0.6</v>
      </c>
      <c r="R287" s="177">
        <f t="shared" si="120"/>
        <v>0.99430716458205981</v>
      </c>
      <c r="S287" s="799">
        <f t="shared" si="138"/>
        <v>-2</v>
      </c>
      <c r="T287" s="176">
        <f t="shared" si="121"/>
        <v>4</v>
      </c>
      <c r="U287" s="250">
        <f t="shared" si="122"/>
        <v>-1.0056928354179402</v>
      </c>
      <c r="V287" s="382">
        <f t="shared" si="123"/>
        <v>46.548270662046939</v>
      </c>
      <c r="W287" s="58"/>
      <c r="X287" s="157">
        <f t="shared" si="124"/>
        <v>43738</v>
      </c>
      <c r="Y287" s="383">
        <f t="shared" si="125"/>
        <v>24.039000000000001</v>
      </c>
      <c r="Z287" s="383">
        <f t="shared" si="126"/>
        <v>24.150749883604657</v>
      </c>
      <c r="AA287" s="384">
        <f t="shared" si="127"/>
        <v>24.764635271531816</v>
      </c>
      <c r="AB287" s="197">
        <f t="shared" si="128"/>
        <v>43738</v>
      </c>
      <c r="AC287" s="424">
        <f t="shared" si="129"/>
        <v>2.4788791807196547E-2</v>
      </c>
      <c r="AD287" s="169">
        <f>(INDEX(Models!$BJ287:$BT287,,AH287)*(1-AF287)+INDEX(Models!$BJ287:$BT287,,AH287+1)*AF287-ERP_i)*AE287*Ramure*Pc/MaxiM</f>
        <v>5.9749072831309856E-6</v>
      </c>
      <c r="AE287" s="304">
        <f t="shared" si="130"/>
        <v>0.6</v>
      </c>
      <c r="AF287" s="177">
        <f t="shared" si="131"/>
        <v>0.99430716458205981</v>
      </c>
      <c r="AG287" s="799">
        <f t="shared" si="132"/>
        <v>-2</v>
      </c>
      <c r="AH287" s="176">
        <f t="shared" si="133"/>
        <v>4</v>
      </c>
      <c r="AI287" s="224">
        <f t="shared" si="134"/>
        <v>-1.0056928354179402</v>
      </c>
      <c r="AJ287" s="264" t="b">
        <f t="shared" si="135"/>
        <v>0</v>
      </c>
      <c r="AK287" s="264" t="b">
        <f t="shared" si="136"/>
        <v>0</v>
      </c>
      <c r="AL287" s="264"/>
      <c r="AM287" s="264"/>
      <c r="AN287" s="75"/>
    </row>
    <row r="288" spans="1:40" s="6" customFormat="1" ht="11.25" x14ac:dyDescent="0.2">
      <c r="A288" s="56">
        <f t="shared" si="137"/>
        <v>43739</v>
      </c>
      <c r="B288" s="607">
        <v>36.771000000000001</v>
      </c>
      <c r="C288" s="388"/>
      <c r="D288" s="391">
        <f t="shared" si="114"/>
        <v>36.94264501512766</v>
      </c>
      <c r="E288" s="383">
        <f t="shared" si="111"/>
        <v>37.88488674083159</v>
      </c>
      <c r="F288" s="383">
        <f t="shared" si="113"/>
        <v>37.885053120718752</v>
      </c>
      <c r="G288" s="110">
        <f t="shared" si="112"/>
        <v>0.79466906742780075</v>
      </c>
      <c r="I288" s="379">
        <f t="shared" si="115"/>
        <v>37.885053120718752</v>
      </c>
      <c r="J288" s="85">
        <v>2018</v>
      </c>
      <c r="K288" s="197">
        <f t="shared" si="116"/>
        <v>43739</v>
      </c>
      <c r="L288" s="435">
        <f t="shared" si="117"/>
        <v>4.6462567869023363E-3</v>
      </c>
      <c r="M288" s="842"/>
      <c r="N288" s="842"/>
      <c r="O288" s="323">
        <f t="shared" si="118"/>
        <v>2.4871177051412518E-2</v>
      </c>
      <c r="P288" s="169">
        <f>(INDEX(Models!$BJ288:$BT288,,T288)*(1-R288)+INDEX(Models!$BJ288:$BT288,,T288+1)*R288-ERP_i)*Q288*Ramure*Pc/MaxiM</f>
        <v>6.2146251620053814E-6</v>
      </c>
      <c r="Q288" s="304">
        <f t="shared" si="119"/>
        <v>0.6</v>
      </c>
      <c r="R288" s="177">
        <f t="shared" si="120"/>
        <v>0.99450540328480797</v>
      </c>
      <c r="S288" s="799">
        <f t="shared" si="138"/>
        <v>-2</v>
      </c>
      <c r="T288" s="176">
        <f t="shared" si="121"/>
        <v>4</v>
      </c>
      <c r="U288" s="250">
        <f t="shared" si="122"/>
        <v>-1.005494596715192</v>
      </c>
      <c r="V288" s="382">
        <f t="shared" si="123"/>
        <v>46.27200740056707</v>
      </c>
      <c r="W288" s="58"/>
      <c r="X288" s="157">
        <f t="shared" si="124"/>
        <v>43739</v>
      </c>
      <c r="Y288" s="383">
        <f t="shared" si="125"/>
        <v>36.771000000000001</v>
      </c>
      <c r="Z288" s="383">
        <f t="shared" si="126"/>
        <v>36.94264501512766</v>
      </c>
      <c r="AA288" s="384">
        <f t="shared" si="127"/>
        <v>37.88488674083159</v>
      </c>
      <c r="AB288" s="197">
        <f t="shared" si="128"/>
        <v>43739</v>
      </c>
      <c r="AC288" s="424">
        <f t="shared" si="129"/>
        <v>2.4871177051412518E-2</v>
      </c>
      <c r="AD288" s="169">
        <f>(INDEX(Models!$BJ288:$BT288,,AH288)*(1-AF288)+INDEX(Models!$BJ288:$BT288,,AH288+1)*AF288-ERP_i)*AE288*Ramure*Pc/MaxiM</f>
        <v>6.2146251620053814E-6</v>
      </c>
      <c r="AE288" s="304">
        <f t="shared" si="130"/>
        <v>0.6</v>
      </c>
      <c r="AF288" s="177">
        <f t="shared" si="131"/>
        <v>0.99450540328480797</v>
      </c>
      <c r="AG288" s="799">
        <f t="shared" si="132"/>
        <v>-2</v>
      </c>
      <c r="AH288" s="176">
        <f t="shared" si="133"/>
        <v>4</v>
      </c>
      <c r="AI288" s="224">
        <f t="shared" si="134"/>
        <v>-1.005494596715192</v>
      </c>
      <c r="AJ288" s="264" t="b">
        <f t="shared" si="135"/>
        <v>0</v>
      </c>
      <c r="AK288" s="264" t="b">
        <f t="shared" si="136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37"/>
        <v>43740</v>
      </c>
      <c r="B289" s="607">
        <v>23.105</v>
      </c>
      <c r="C289" s="388"/>
      <c r="D289" s="391">
        <f t="shared" si="114"/>
        <v>23.213297752770462</v>
      </c>
      <c r="E289" s="383">
        <f t="shared" si="111"/>
        <v>23.807364828525618</v>
      </c>
      <c r="F289" s="383">
        <f t="shared" si="113"/>
        <v>23.80740923248225</v>
      </c>
      <c r="G289" s="110">
        <f t="shared" si="112"/>
        <v>0.50237100069424911</v>
      </c>
      <c r="I289" s="379">
        <f t="shared" si="115"/>
        <v>23.80740923248225</v>
      </c>
      <c r="J289" s="85">
        <v>2018</v>
      </c>
      <c r="K289" s="197">
        <f t="shared" si="116"/>
        <v>43740</v>
      </c>
      <c r="L289" s="435">
        <f t="shared" si="117"/>
        <v>4.6653325143143354E-3</v>
      </c>
      <c r="M289" s="842"/>
      <c r="N289" s="842"/>
      <c r="O289" s="323">
        <f t="shared" si="118"/>
        <v>2.4953079857177391E-2</v>
      </c>
      <c r="P289" s="169">
        <f>(INDEX(Models!$BJ289:$BT289,,T289)*(1-R289)+INDEX(Models!$BJ289:$BT289,,T289+1)*R289-ERP_i)*Q289*Ramure*Pc/MaxiM</f>
        <v>6.451405630475E-6</v>
      </c>
      <c r="Q289" s="304">
        <f t="shared" si="119"/>
        <v>0.6</v>
      </c>
      <c r="R289" s="177">
        <f t="shared" si="120"/>
        <v>0.99469580943196445</v>
      </c>
      <c r="S289" s="799">
        <f t="shared" si="138"/>
        <v>-2</v>
      </c>
      <c r="T289" s="176">
        <f t="shared" si="121"/>
        <v>4</v>
      </c>
      <c r="U289" s="250">
        <f t="shared" si="122"/>
        <v>-1.0053041905680355</v>
      </c>
      <c r="V289" s="382">
        <f t="shared" si="123"/>
        <v>45.991695384519389</v>
      </c>
      <c r="W289" s="58"/>
      <c r="X289" s="157">
        <f t="shared" si="124"/>
        <v>43740</v>
      </c>
      <c r="Y289" s="383">
        <f t="shared" si="125"/>
        <v>23.105</v>
      </c>
      <c r="Z289" s="383">
        <f t="shared" si="126"/>
        <v>23.213297752770462</v>
      </c>
      <c r="AA289" s="384">
        <f t="shared" si="127"/>
        <v>23.807364828525618</v>
      </c>
      <c r="AB289" s="197">
        <f t="shared" si="128"/>
        <v>43740</v>
      </c>
      <c r="AC289" s="424">
        <f t="shared" si="129"/>
        <v>2.4953079857177391E-2</v>
      </c>
      <c r="AD289" s="169">
        <f>(INDEX(Models!$BJ289:$BT289,,AH289)*(1-AF289)+INDEX(Models!$BJ289:$BT289,,AH289+1)*AF289-ERP_i)*AE289*Ramure*Pc/MaxiM</f>
        <v>6.451405630475E-6</v>
      </c>
      <c r="AE289" s="304">
        <f t="shared" si="130"/>
        <v>0.6</v>
      </c>
      <c r="AF289" s="177">
        <f t="shared" si="131"/>
        <v>0.99469580943196445</v>
      </c>
      <c r="AG289" s="799">
        <f t="shared" si="132"/>
        <v>-2</v>
      </c>
      <c r="AH289" s="176">
        <f t="shared" si="133"/>
        <v>4</v>
      </c>
      <c r="AI289" s="224">
        <f t="shared" si="134"/>
        <v>-1.0053041905680355</v>
      </c>
      <c r="AJ289" s="264" t="b">
        <f t="shared" si="135"/>
        <v>0</v>
      </c>
      <c r="AK289" s="264" t="b">
        <f t="shared" si="136"/>
        <v>0</v>
      </c>
      <c r="AL289" s="264"/>
      <c r="AM289" s="264"/>
      <c r="AN289" s="75"/>
    </row>
    <row r="290" spans="1:40" s="6" customFormat="1" ht="11.25" x14ac:dyDescent="0.2">
      <c r="A290" s="56">
        <f t="shared" si="137"/>
        <v>43741</v>
      </c>
      <c r="B290" s="607">
        <v>32.573999999999998</v>
      </c>
      <c r="C290" s="388"/>
      <c r="D290" s="391">
        <f t="shared" si="114"/>
        <v>32.727308059639576</v>
      </c>
      <c r="E290" s="383">
        <f t="shared" si="111"/>
        <v>33.567657291180282</v>
      </c>
      <c r="F290" s="383">
        <f t="shared" si="113"/>
        <v>33.567789319657322</v>
      </c>
      <c r="G290" s="110">
        <f t="shared" si="112"/>
        <v>0.7126710517918402</v>
      </c>
      <c r="I290" s="379">
        <f t="shared" si="115"/>
        <v>33.567789319657322</v>
      </c>
      <c r="J290" s="85">
        <v>2018</v>
      </c>
      <c r="K290" s="197">
        <f t="shared" si="116"/>
        <v>43741</v>
      </c>
      <c r="L290" s="435">
        <f t="shared" si="117"/>
        <v>4.6844078761443253E-3</v>
      </c>
      <c r="M290" s="842"/>
      <c r="N290" s="842"/>
      <c r="O290" s="323">
        <f t="shared" si="118"/>
        <v>2.5034491512206453E-2</v>
      </c>
      <c r="P290" s="169">
        <f>(INDEX(Models!$BJ290:$BT290,,T290)*(1-R290)+INDEX(Models!$BJ290:$BT290,,T290+1)*R290-ERP_i)*Q290*Ramure*Pc/MaxiM</f>
        <v>6.6717052930555523E-6</v>
      </c>
      <c r="Q290" s="304">
        <f t="shared" si="119"/>
        <v>0.6</v>
      </c>
      <c r="R290" s="177">
        <f t="shared" si="120"/>
        <v>0.9948786867777526</v>
      </c>
      <c r="S290" s="799">
        <f t="shared" si="138"/>
        <v>-2</v>
      </c>
      <c r="T290" s="176">
        <f t="shared" si="121"/>
        <v>4</v>
      </c>
      <c r="U290" s="250">
        <f t="shared" si="122"/>
        <v>-1.0051213132222474</v>
      </c>
      <c r="V290" s="382">
        <f t="shared" si="123"/>
        <v>45.706796583552759</v>
      </c>
      <c r="W290" s="58"/>
      <c r="X290" s="157">
        <f t="shared" si="124"/>
        <v>43741</v>
      </c>
      <c r="Y290" s="383">
        <f t="shared" si="125"/>
        <v>32.573999999999998</v>
      </c>
      <c r="Z290" s="383">
        <f t="shared" si="126"/>
        <v>32.727308059639576</v>
      </c>
      <c r="AA290" s="384">
        <f t="shared" si="127"/>
        <v>33.567657291180282</v>
      </c>
      <c r="AB290" s="197">
        <f t="shared" si="128"/>
        <v>43741</v>
      </c>
      <c r="AC290" s="424">
        <f t="shared" si="129"/>
        <v>2.5034491512206453E-2</v>
      </c>
      <c r="AD290" s="169">
        <f>(INDEX(Models!$BJ290:$BT290,,AH290)*(1-AF290)+INDEX(Models!$BJ290:$BT290,,AH290+1)*AF290-ERP_i)*AE290*Ramure*Pc/MaxiM</f>
        <v>6.6717052930555523E-6</v>
      </c>
      <c r="AE290" s="304">
        <f t="shared" si="130"/>
        <v>0.6</v>
      </c>
      <c r="AF290" s="177">
        <f t="shared" si="131"/>
        <v>0.9948786867777526</v>
      </c>
      <c r="AG290" s="799">
        <f t="shared" si="132"/>
        <v>-2</v>
      </c>
      <c r="AH290" s="176">
        <f t="shared" si="133"/>
        <v>4</v>
      </c>
      <c r="AI290" s="224">
        <f t="shared" si="134"/>
        <v>-1.0051213132222474</v>
      </c>
      <c r="AJ290" s="264" t="b">
        <f t="shared" si="135"/>
        <v>0</v>
      </c>
      <c r="AK290" s="264" t="b">
        <f t="shared" si="136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37"/>
        <v>43742</v>
      </c>
      <c r="B291" s="607">
        <v>10.16</v>
      </c>
      <c r="C291" s="388"/>
      <c r="D291" s="391">
        <f t="shared" si="114"/>
        <v>10.208013215319482</v>
      </c>
      <c r="E291" s="383">
        <f t="shared" si="111"/>
        <v>10.470996522418567</v>
      </c>
      <c r="F291" s="383">
        <f t="shared" si="113"/>
        <v>10.470996522418567</v>
      </c>
      <c r="G291" s="110">
        <f t="shared" si="112"/>
        <v>0.2237006741435833</v>
      </c>
      <c r="I291" s="379">
        <f t="shared" si="115"/>
        <v>10.470996522418567</v>
      </c>
      <c r="J291" s="85">
        <v>2018</v>
      </c>
      <c r="K291" s="197">
        <f t="shared" si="116"/>
        <v>43742</v>
      </c>
      <c r="L291" s="435">
        <f t="shared" si="117"/>
        <v>4.7034828723994115E-3</v>
      </c>
      <c r="M291" s="842"/>
      <c r="N291" s="842"/>
      <c r="O291" s="323">
        <f t="shared" si="118"/>
        <v>2.5115403919391346E-2</v>
      </c>
      <c r="P291" s="169">
        <f>(INDEX(Models!$BJ291:$BT291,,T291)*(1-R291)+INDEX(Models!$BJ291:$BT291,,T291+1)*R291-ERP_i)*Q291*Ramure*Pc/MaxiM</f>
        <v>6.8647672898058334E-6</v>
      </c>
      <c r="Q291" s="304">
        <f t="shared" si="119"/>
        <v>0.6</v>
      </c>
      <c r="R291" s="177">
        <f t="shared" si="120"/>
        <v>0.99505432774408309</v>
      </c>
      <c r="S291" s="799">
        <f t="shared" si="138"/>
        <v>-2</v>
      </c>
      <c r="T291" s="176">
        <f t="shared" si="121"/>
        <v>4</v>
      </c>
      <c r="U291" s="250">
        <f t="shared" si="122"/>
        <v>-1.0049456722559169</v>
      </c>
      <c r="V291" s="382">
        <f t="shared" si="123"/>
        <v>45.417521841901724</v>
      </c>
      <c r="W291" s="58"/>
      <c r="X291" s="157">
        <f t="shared" si="124"/>
        <v>43742</v>
      </c>
      <c r="Y291" s="383">
        <f t="shared" si="125"/>
        <v>10.16</v>
      </c>
      <c r="Z291" s="383">
        <f t="shared" si="126"/>
        <v>10.208013215319482</v>
      </c>
      <c r="AA291" s="384">
        <f t="shared" si="127"/>
        <v>10.470996522418567</v>
      </c>
      <c r="AB291" s="197">
        <f t="shared" si="128"/>
        <v>43742</v>
      </c>
      <c r="AC291" s="424">
        <f t="shared" si="129"/>
        <v>2.5115403919391346E-2</v>
      </c>
      <c r="AD291" s="169">
        <f>(INDEX(Models!$BJ291:$BT291,,AH291)*(1-AF291)+INDEX(Models!$BJ291:$BT291,,AH291+1)*AF291-ERP_i)*AE291*Ramure*Pc/MaxiM</f>
        <v>6.8647672898058334E-6</v>
      </c>
      <c r="AE291" s="304">
        <f t="shared" si="130"/>
        <v>0.6</v>
      </c>
      <c r="AF291" s="177">
        <f t="shared" si="131"/>
        <v>0.99505432774408309</v>
      </c>
      <c r="AG291" s="799">
        <f t="shared" si="132"/>
        <v>-2</v>
      </c>
      <c r="AH291" s="176">
        <f t="shared" si="133"/>
        <v>4</v>
      </c>
      <c r="AI291" s="224">
        <f t="shared" si="134"/>
        <v>-1.0049456722559169</v>
      </c>
      <c r="AJ291" s="264" t="b">
        <f t="shared" si="135"/>
        <v>0</v>
      </c>
      <c r="AK291" s="264" t="b">
        <f t="shared" si="136"/>
        <v>0</v>
      </c>
      <c r="AL291" s="264"/>
      <c r="AM291" s="264"/>
      <c r="AN291" s="75"/>
    </row>
    <row r="292" spans="1:40" s="6" customFormat="1" ht="11.25" x14ac:dyDescent="0.2">
      <c r="A292" s="56">
        <f t="shared" si="137"/>
        <v>43743</v>
      </c>
      <c r="B292" s="607">
        <v>39.451000000000001</v>
      </c>
      <c r="C292" s="388"/>
      <c r="D292" s="391">
        <f t="shared" si="114"/>
        <v>39.638193648825059</v>
      </c>
      <c r="E292" s="383">
        <f t="shared" si="111"/>
        <v>40.662723901211734</v>
      </c>
      <c r="F292" s="383">
        <f t="shared" si="113"/>
        <v>40.66295843102975</v>
      </c>
      <c r="G292" s="110">
        <f t="shared" si="112"/>
        <v>0.87427708174598839</v>
      </c>
      <c r="I292" s="379">
        <f t="shared" si="115"/>
        <v>40.66295843102975</v>
      </c>
      <c r="J292" s="85">
        <v>2018</v>
      </c>
      <c r="K292" s="197">
        <f t="shared" si="116"/>
        <v>43743</v>
      </c>
      <c r="L292" s="435">
        <f t="shared" si="117"/>
        <v>4.7225575030865885E-3</v>
      </c>
      <c r="M292" s="842"/>
      <c r="N292" s="842"/>
      <c r="O292" s="323">
        <f t="shared" si="118"/>
        <v>2.5195809677574163E-2</v>
      </c>
      <c r="P292" s="169">
        <f>(INDEX(Models!$BJ292:$BT292,,T292)*(1-R292)+INDEX(Models!$BJ292:$BT292,,T292+1)*R292-ERP_i)*Q292*Ramure*Pc/MaxiM</f>
        <v>7.0303154855086751E-6</v>
      </c>
      <c r="Q292" s="304">
        <f t="shared" si="119"/>
        <v>0.6</v>
      </c>
      <c r="R292" s="177">
        <f t="shared" si="120"/>
        <v>0.99522301380806466</v>
      </c>
      <c r="S292" s="799">
        <f t="shared" si="138"/>
        <v>-2</v>
      </c>
      <c r="T292" s="176">
        <f t="shared" si="121"/>
        <v>4</v>
      </c>
      <c r="U292" s="250">
        <f t="shared" si="122"/>
        <v>-1.0047769861919353</v>
      </c>
      <c r="V292" s="382">
        <f t="shared" si="123"/>
        <v>45.124081381171706</v>
      </c>
      <c r="W292" s="58"/>
      <c r="X292" s="157">
        <f t="shared" si="124"/>
        <v>43743</v>
      </c>
      <c r="Y292" s="383">
        <f t="shared" si="125"/>
        <v>39.451000000000001</v>
      </c>
      <c r="Z292" s="383">
        <f t="shared" si="126"/>
        <v>39.638193648825059</v>
      </c>
      <c r="AA292" s="384">
        <f t="shared" si="127"/>
        <v>40.662723901211734</v>
      </c>
      <c r="AB292" s="197">
        <f t="shared" si="128"/>
        <v>43743</v>
      </c>
      <c r="AC292" s="424">
        <f t="shared" si="129"/>
        <v>2.5195809677574163E-2</v>
      </c>
      <c r="AD292" s="169">
        <f>(INDEX(Models!$BJ292:$BT292,,AH292)*(1-AF292)+INDEX(Models!$BJ292:$BT292,,AH292+1)*AF292-ERP_i)*AE292*Ramure*Pc/MaxiM</f>
        <v>7.0303154855086751E-6</v>
      </c>
      <c r="AE292" s="304">
        <f t="shared" si="130"/>
        <v>0.6</v>
      </c>
      <c r="AF292" s="177">
        <f t="shared" si="131"/>
        <v>0.99522301380806466</v>
      </c>
      <c r="AG292" s="799">
        <f t="shared" si="132"/>
        <v>-2</v>
      </c>
      <c r="AH292" s="176">
        <f t="shared" si="133"/>
        <v>4</v>
      </c>
      <c r="AI292" s="224">
        <f t="shared" si="134"/>
        <v>-1.0047769861919353</v>
      </c>
      <c r="AJ292" s="264" t="b">
        <f t="shared" si="135"/>
        <v>0</v>
      </c>
      <c r="AK292" s="264" t="b">
        <f t="shared" si="136"/>
        <v>0</v>
      </c>
      <c r="AL292" s="264"/>
      <c r="AM292" s="264"/>
      <c r="AN292" s="75"/>
    </row>
    <row r="293" spans="1:40" s="6" customFormat="1" ht="11.25" x14ac:dyDescent="0.2">
      <c r="A293" s="56">
        <f t="shared" si="137"/>
        <v>43744</v>
      </c>
      <c r="B293" s="607">
        <v>18.7</v>
      </c>
      <c r="C293" s="388"/>
      <c r="D293" s="391">
        <f t="shared" si="114"/>
        <v>18.789090950546949</v>
      </c>
      <c r="E293" s="383">
        <f t="shared" si="111"/>
        <v>19.276313304417013</v>
      </c>
      <c r="F293" s="383">
        <f t="shared" ref="F293:F324" si="139">Wh_sa/(1-Pvg*MEDIAN((-Sdif+Wh/Env_an)/Csdif,0,1))</f>
        <v>19.276336431284708</v>
      </c>
      <c r="G293" s="110">
        <f t="shared" si="112"/>
        <v>0.41715974041956438</v>
      </c>
      <c r="I293" s="379">
        <f t="shared" si="115"/>
        <v>19.276336431284708</v>
      </c>
      <c r="J293" s="85">
        <v>2018</v>
      </c>
      <c r="K293" s="197">
        <f t="shared" si="116"/>
        <v>43744</v>
      </c>
      <c r="L293" s="435">
        <f t="shared" si="117"/>
        <v>4.7416317682127396E-3</v>
      </c>
      <c r="M293" s="842"/>
      <c r="N293" s="842"/>
      <c r="O293" s="323">
        <f t="shared" si="118"/>
        <v>2.5275702162322656E-2</v>
      </c>
      <c r="P293" s="169">
        <f>(INDEX(Models!$BJ293:$BT293,,T293)*(1-R293)+INDEX(Models!$BJ293:$BT293,,T293+1)*R293-ERP_i)*Q293*Ramure*Pc/MaxiM</f>
        <v>7.1680781000805069E-6</v>
      </c>
      <c r="Q293" s="304">
        <f t="shared" si="119"/>
        <v>0.6</v>
      </c>
      <c r="R293" s="177">
        <f t="shared" si="120"/>
        <v>0.99538501587910377</v>
      </c>
      <c r="S293" s="799">
        <f t="shared" si="138"/>
        <v>-2</v>
      </c>
      <c r="T293" s="176">
        <f t="shared" si="121"/>
        <v>4</v>
      </c>
      <c r="U293" s="250">
        <f t="shared" si="122"/>
        <v>-1.0046149841208962</v>
      </c>
      <c r="V293" s="382">
        <f t="shared" si="123"/>
        <v>44.826685272657237</v>
      </c>
      <c r="W293" s="58"/>
      <c r="X293" s="157">
        <f t="shared" si="124"/>
        <v>43744</v>
      </c>
      <c r="Y293" s="383">
        <f t="shared" si="125"/>
        <v>18.7</v>
      </c>
      <c r="Z293" s="383">
        <f t="shared" si="126"/>
        <v>18.789090950546949</v>
      </c>
      <c r="AA293" s="384">
        <f t="shared" si="127"/>
        <v>19.276313304417013</v>
      </c>
      <c r="AB293" s="197">
        <f t="shared" si="128"/>
        <v>43744</v>
      </c>
      <c r="AC293" s="424">
        <f t="shared" si="129"/>
        <v>2.5275702162322656E-2</v>
      </c>
      <c r="AD293" s="169">
        <f>(INDEX(Models!$BJ293:$BT293,,AH293)*(1-AF293)+INDEX(Models!$BJ293:$BT293,,AH293+1)*AF293-ERP_i)*AE293*Ramure*Pc/MaxiM</f>
        <v>7.1680781000805069E-6</v>
      </c>
      <c r="AE293" s="304">
        <f t="shared" si="130"/>
        <v>0.6</v>
      </c>
      <c r="AF293" s="177">
        <f t="shared" si="131"/>
        <v>0.99538501587910377</v>
      </c>
      <c r="AG293" s="799">
        <f t="shared" si="132"/>
        <v>-2</v>
      </c>
      <c r="AH293" s="176">
        <f t="shared" si="133"/>
        <v>4</v>
      </c>
      <c r="AI293" s="224">
        <f t="shared" si="134"/>
        <v>-1.0046149841208962</v>
      </c>
      <c r="AJ293" s="264" t="b">
        <f t="shared" si="135"/>
        <v>0</v>
      </c>
      <c r="AK293" s="264" t="b">
        <f t="shared" si="136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37"/>
        <v>43745</v>
      </c>
      <c r="B294" s="607">
        <v>33.090000000000003</v>
      </c>
      <c r="C294" s="388"/>
      <c r="D294" s="391">
        <f t="shared" si="114"/>
        <v>33.248285300273146</v>
      </c>
      <c r="E294" s="383">
        <f t="shared" si="111"/>
        <v>34.113228795550214</v>
      </c>
      <c r="F294" s="383">
        <f t="shared" si="139"/>
        <v>34.113385974942773</v>
      </c>
      <c r="G294" s="110">
        <f t="shared" si="112"/>
        <v>0.74316693479275553</v>
      </c>
      <c r="I294" s="379">
        <f t="shared" si="115"/>
        <v>34.113385974942773</v>
      </c>
      <c r="J294" s="85">
        <v>2018</v>
      </c>
      <c r="K294" s="197">
        <f t="shared" si="116"/>
        <v>43745</v>
      </c>
      <c r="L294" s="435">
        <f t="shared" si="117"/>
        <v>4.7607056677849702E-3</v>
      </c>
      <c r="M294" s="842"/>
      <c r="N294" s="842"/>
      <c r="O294" s="323">
        <f t="shared" si="118"/>
        <v>2.5355075606032791E-2</v>
      </c>
      <c r="P294" s="169">
        <f>(INDEX(Models!$BJ294:$BT294,,T294)*(1-R294)+INDEX(Models!$BJ294:$BT294,,T294+1)*R294-ERP_i)*Q294*Ramure*Pc/MaxiM</f>
        <v>7.2777900612982245E-6</v>
      </c>
      <c r="Q294" s="304">
        <f t="shared" si="119"/>
        <v>0.6</v>
      </c>
      <c r="R294" s="177">
        <f t="shared" si="120"/>
        <v>0.99554059466562661</v>
      </c>
      <c r="S294" s="799">
        <f t="shared" si="138"/>
        <v>-2</v>
      </c>
      <c r="T294" s="176">
        <f t="shared" si="121"/>
        <v>4</v>
      </c>
      <c r="U294" s="250">
        <f t="shared" si="122"/>
        <v>-1.0044594053343734</v>
      </c>
      <c r="V294" s="382">
        <f t="shared" si="123"/>
        <v>44.525543444461924</v>
      </c>
      <c r="W294" s="58"/>
      <c r="X294" s="157">
        <f t="shared" si="124"/>
        <v>43745</v>
      </c>
      <c r="Y294" s="383">
        <f t="shared" si="125"/>
        <v>33.090000000000003</v>
      </c>
      <c r="Z294" s="383">
        <f t="shared" si="126"/>
        <v>33.248285300273146</v>
      </c>
      <c r="AA294" s="384">
        <f t="shared" si="127"/>
        <v>34.113228795550214</v>
      </c>
      <c r="AB294" s="197">
        <f t="shared" si="128"/>
        <v>43745</v>
      </c>
      <c r="AC294" s="424">
        <f t="shared" si="129"/>
        <v>2.5355075606032791E-2</v>
      </c>
      <c r="AD294" s="169">
        <f>(INDEX(Models!$BJ294:$BT294,,AH294)*(1-AF294)+INDEX(Models!$BJ294:$BT294,,AH294+1)*AF294-ERP_i)*AE294*Ramure*Pc/MaxiM</f>
        <v>7.2777900612982245E-6</v>
      </c>
      <c r="AE294" s="304">
        <f t="shared" si="130"/>
        <v>0.6</v>
      </c>
      <c r="AF294" s="177">
        <f t="shared" si="131"/>
        <v>0.99554059466562661</v>
      </c>
      <c r="AG294" s="799">
        <f t="shared" si="132"/>
        <v>-2</v>
      </c>
      <c r="AH294" s="176">
        <f t="shared" si="133"/>
        <v>4</v>
      </c>
      <c r="AI294" s="224">
        <f t="shared" si="134"/>
        <v>-1.0044594053343734</v>
      </c>
      <c r="AJ294" s="264" t="b">
        <f t="shared" si="135"/>
        <v>0</v>
      </c>
      <c r="AK294" s="264" t="b">
        <f t="shared" si="136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37"/>
        <v>43746</v>
      </c>
      <c r="B295" s="607">
        <v>40.558</v>
      </c>
      <c r="C295" s="388"/>
      <c r="D295" s="391">
        <f t="shared" si="114"/>
        <v>40.752789334878607</v>
      </c>
      <c r="E295" s="383">
        <f t="shared" si="111"/>
        <v>41.816343075831064</v>
      </c>
      <c r="F295" s="383">
        <f t="shared" si="139"/>
        <v>41.816614397917711</v>
      </c>
      <c r="G295" s="110">
        <f t="shared" si="112"/>
        <v>0.91716803958414561</v>
      </c>
      <c r="I295" s="379">
        <f t="shared" si="115"/>
        <v>41.816614397917711</v>
      </c>
      <c r="J295" s="85">
        <v>2018</v>
      </c>
      <c r="K295" s="197">
        <f t="shared" si="116"/>
        <v>43746</v>
      </c>
      <c r="L295" s="435">
        <f t="shared" si="117"/>
        <v>4.7797792018102747E-3</v>
      </c>
      <c r="M295" s="842"/>
      <c r="N295" s="842"/>
      <c r="O295" s="323">
        <f t="shared" si="118"/>
        <v>2.543392517666547E-2</v>
      </c>
      <c r="P295" s="169">
        <f>(INDEX(Models!$BJ295:$BT295,,T295)*(1-R295)+INDEX(Models!$BJ295:$BT295,,T295+1)*R295-ERP_i)*Q295*Ramure*Pc/MaxiM</f>
        <v>7.3591953349340021E-6</v>
      </c>
      <c r="Q295" s="304">
        <f t="shared" si="119"/>
        <v>0.6</v>
      </c>
      <c r="R295" s="177">
        <f t="shared" si="120"/>
        <v>0.99569000103148797</v>
      </c>
      <c r="S295" s="799">
        <f t="shared" si="138"/>
        <v>-2</v>
      </c>
      <c r="T295" s="176">
        <f t="shared" si="121"/>
        <v>4</v>
      </c>
      <c r="U295" s="250">
        <f t="shared" si="122"/>
        <v>-1.004309998968512</v>
      </c>
      <c r="V295" s="382">
        <f t="shared" si="123"/>
        <v>44.220865676516574</v>
      </c>
      <c r="W295" s="58"/>
      <c r="X295" s="157">
        <f t="shared" si="124"/>
        <v>43746</v>
      </c>
      <c r="Y295" s="383">
        <f t="shared" si="125"/>
        <v>40.558</v>
      </c>
      <c r="Z295" s="383">
        <f t="shared" si="126"/>
        <v>40.752789334878607</v>
      </c>
      <c r="AA295" s="384">
        <f t="shared" si="127"/>
        <v>41.816343075831064</v>
      </c>
      <c r="AB295" s="197">
        <f t="shared" si="128"/>
        <v>43746</v>
      </c>
      <c r="AC295" s="424">
        <f t="shared" si="129"/>
        <v>2.543392517666547E-2</v>
      </c>
      <c r="AD295" s="169">
        <f>(INDEX(Models!$BJ295:$BT295,,AH295)*(1-AF295)+INDEX(Models!$BJ295:$BT295,,AH295+1)*AF295-ERP_i)*AE295*Ramure*Pc/MaxiM</f>
        <v>7.3591953349340021E-6</v>
      </c>
      <c r="AE295" s="304">
        <f t="shared" si="130"/>
        <v>0.6</v>
      </c>
      <c r="AF295" s="177">
        <f t="shared" si="131"/>
        <v>0.99569000103148797</v>
      </c>
      <c r="AG295" s="799">
        <f t="shared" si="132"/>
        <v>-2</v>
      </c>
      <c r="AH295" s="176">
        <f t="shared" si="133"/>
        <v>4</v>
      </c>
      <c r="AI295" s="224">
        <f t="shared" si="134"/>
        <v>-1.004309998968512</v>
      </c>
      <c r="AJ295" s="264" t="b">
        <f t="shared" si="135"/>
        <v>0</v>
      </c>
      <c r="AK295" s="264" t="b">
        <f t="shared" si="136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37"/>
        <v>43747</v>
      </c>
      <c r="B296" s="607">
        <v>9.4600000000000009</v>
      </c>
      <c r="C296" s="388"/>
      <c r="D296" s="391">
        <f t="shared" si="114"/>
        <v>9.5056160481035636</v>
      </c>
      <c r="E296" s="383">
        <f t="shared" si="111"/>
        <v>9.7544746143508672</v>
      </c>
      <c r="F296" s="383">
        <f t="shared" si="139"/>
        <v>9.7544746143508672</v>
      </c>
      <c r="G296" s="110">
        <f t="shared" si="112"/>
        <v>0.21542503806024807</v>
      </c>
      <c r="I296" s="379">
        <f t="shared" si="115"/>
        <v>9.7544746143508672</v>
      </c>
      <c r="J296" s="85">
        <v>2018</v>
      </c>
      <c r="K296" s="197">
        <f t="shared" si="116"/>
        <v>43747</v>
      </c>
      <c r="L296" s="435">
        <f t="shared" si="117"/>
        <v>4.7988523702956476E-3</v>
      </c>
      <c r="M296" s="842"/>
      <c r="N296" s="842"/>
      <c r="O296" s="323">
        <f t="shared" si="118"/>
        <v>2.5512247054411512E-2</v>
      </c>
      <c r="P296" s="169">
        <f>(INDEX(Models!$BJ296:$BT296,,T296)*(1-R296)+INDEX(Models!$BJ296:$BT296,,T296+1)*R296-ERP_i)*Q296*Ramure*Pc/MaxiM</f>
        <v>7.4288173506028278E-6</v>
      </c>
      <c r="Q296" s="304">
        <f t="shared" si="119"/>
        <v>0.6</v>
      </c>
      <c r="R296" s="177">
        <f t="shared" si="120"/>
        <v>0.99583347634215036</v>
      </c>
      <c r="S296" s="799">
        <f t="shared" si="138"/>
        <v>-2</v>
      </c>
      <c r="T296" s="176">
        <f t="shared" si="121"/>
        <v>4</v>
      </c>
      <c r="U296" s="250">
        <f t="shared" si="122"/>
        <v>-1.0041665236578496</v>
      </c>
      <c r="V296" s="382">
        <f t="shared" si="123"/>
        <v>43.912860865978814</v>
      </c>
      <c r="W296" s="58"/>
      <c r="X296" s="157">
        <f t="shared" si="124"/>
        <v>43747</v>
      </c>
      <c r="Y296" s="383">
        <f t="shared" si="125"/>
        <v>9.4600000000000009</v>
      </c>
      <c r="Z296" s="383">
        <f t="shared" si="126"/>
        <v>9.5056160481035636</v>
      </c>
      <c r="AA296" s="384">
        <f t="shared" si="127"/>
        <v>9.7544746143508672</v>
      </c>
      <c r="AB296" s="197">
        <f t="shared" si="128"/>
        <v>43747</v>
      </c>
      <c r="AC296" s="424">
        <f t="shared" si="129"/>
        <v>2.5512247054411512E-2</v>
      </c>
      <c r="AD296" s="169">
        <f>(INDEX(Models!$BJ296:$BT296,,AH296)*(1-AF296)+INDEX(Models!$BJ296:$BT296,,AH296+1)*AF296-ERP_i)*AE296*Ramure*Pc/MaxiM</f>
        <v>7.4288173506028278E-6</v>
      </c>
      <c r="AE296" s="304">
        <f t="shared" si="130"/>
        <v>0.6</v>
      </c>
      <c r="AF296" s="177">
        <f t="shared" si="131"/>
        <v>0.99583347634215036</v>
      </c>
      <c r="AG296" s="799">
        <f t="shared" si="132"/>
        <v>-2</v>
      </c>
      <c r="AH296" s="176">
        <f t="shared" si="133"/>
        <v>4</v>
      </c>
      <c r="AI296" s="224">
        <f t="shared" si="134"/>
        <v>-1.0041665236578496</v>
      </c>
      <c r="AJ296" s="264" t="b">
        <f t="shared" si="135"/>
        <v>0</v>
      </c>
      <c r="AK296" s="264" t="b">
        <f t="shared" si="136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37"/>
        <v>43748</v>
      </c>
      <c r="B297" s="607">
        <v>31.108000000000001</v>
      </c>
      <c r="C297" s="388"/>
      <c r="D297" s="391">
        <f t="shared" si="114"/>
        <v>31.258601603546261</v>
      </c>
      <c r="E297" s="383">
        <f t="shared" ref="E297:E360" si="140">Wh_pvt/(1-Psa)</f>
        <v>32.079517696643556</v>
      </c>
      <c r="F297" s="383">
        <f t="shared" si="139"/>
        <v>32.079659827056922</v>
      </c>
      <c r="G297" s="110">
        <f t="shared" ref="G297:G360" si="141">+Wh_hp/MaxiM</f>
        <v>0.7134556098202689</v>
      </c>
      <c r="I297" s="379">
        <f t="shared" si="115"/>
        <v>32.079659827056922</v>
      </c>
      <c r="J297" s="85">
        <v>2018</v>
      </c>
      <c r="K297" s="197">
        <f t="shared" si="116"/>
        <v>43748</v>
      </c>
      <c r="L297" s="435">
        <f t="shared" si="117"/>
        <v>4.8179251732480832E-3</v>
      </c>
      <c r="M297" s="842"/>
      <c r="N297" s="842"/>
      <c r="O297" s="323">
        <f t="shared" si="118"/>
        <v>2.5590038505572146E-2</v>
      </c>
      <c r="P297" s="169">
        <f>(INDEX(Models!$BJ297:$BT297,,T297)*(1-R297)+INDEX(Models!$BJ297:$BT297,,T297+1)*R297-ERP_i)*Q297*Ramure*Pc/MaxiM</f>
        <v>7.5010854834535116E-6</v>
      </c>
      <c r="Q297" s="304">
        <f t="shared" si="119"/>
        <v>0.6</v>
      </c>
      <c r="R297" s="177">
        <f t="shared" si="120"/>
        <v>0.99597125280074161</v>
      </c>
      <c r="S297" s="799">
        <f t="shared" si="138"/>
        <v>-2</v>
      </c>
      <c r="T297" s="176">
        <f t="shared" si="121"/>
        <v>4</v>
      </c>
      <c r="U297" s="250">
        <f t="shared" si="122"/>
        <v>-1.0040287471992584</v>
      </c>
      <c r="V297" s="382">
        <f t="shared" si="123"/>
        <v>43.601737869964794</v>
      </c>
      <c r="W297" s="58"/>
      <c r="X297" s="157">
        <f t="shared" si="124"/>
        <v>43748</v>
      </c>
      <c r="Y297" s="383">
        <f t="shared" si="125"/>
        <v>31.108000000000004</v>
      </c>
      <c r="Z297" s="383">
        <f t="shared" si="126"/>
        <v>31.258601603546264</v>
      </c>
      <c r="AA297" s="384">
        <f t="shared" si="127"/>
        <v>32.079517696643556</v>
      </c>
      <c r="AB297" s="197">
        <f t="shared" si="128"/>
        <v>43748</v>
      </c>
      <c r="AC297" s="424">
        <f t="shared" si="129"/>
        <v>2.5590038505572146E-2</v>
      </c>
      <c r="AD297" s="169">
        <f>(INDEX(Models!$BJ297:$BT297,,AH297)*(1-AF297)+INDEX(Models!$BJ297:$BT297,,AH297+1)*AF297-ERP_i)*AE297*Ramure*Pc/MaxiM</f>
        <v>7.5010854834535116E-6</v>
      </c>
      <c r="AE297" s="304">
        <f t="shared" si="130"/>
        <v>0.6</v>
      </c>
      <c r="AF297" s="177">
        <f t="shared" si="131"/>
        <v>0.99597125280074161</v>
      </c>
      <c r="AG297" s="799">
        <f t="shared" si="132"/>
        <v>-2</v>
      </c>
      <c r="AH297" s="176">
        <f t="shared" si="133"/>
        <v>4</v>
      </c>
      <c r="AI297" s="224">
        <f t="shared" si="134"/>
        <v>-1.0040287471992584</v>
      </c>
      <c r="AJ297" s="264" t="b">
        <f t="shared" si="135"/>
        <v>0</v>
      </c>
      <c r="AK297" s="264" t="b">
        <f t="shared" si="136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37"/>
        <v>43749</v>
      </c>
      <c r="B298" s="607">
        <v>42.018999999999998</v>
      </c>
      <c r="C298" s="388"/>
      <c r="D298" s="391">
        <f t="shared" si="114"/>
        <v>42.223233680427185</v>
      </c>
      <c r="E298" s="383">
        <f t="shared" si="140"/>
        <v>43.335539894860219</v>
      </c>
      <c r="F298" s="383">
        <f t="shared" si="139"/>
        <v>43.335854459213074</v>
      </c>
      <c r="G298" s="110">
        <f t="shared" si="141"/>
        <v>0.97069100010148801</v>
      </c>
      <c r="I298" s="379">
        <f t="shared" si="115"/>
        <v>43.335854459213074</v>
      </c>
      <c r="J298" s="85">
        <v>2018</v>
      </c>
      <c r="K298" s="197">
        <f t="shared" si="116"/>
        <v>43749</v>
      </c>
      <c r="L298" s="435">
        <f t="shared" si="117"/>
        <v>4.836997610674687E-3</v>
      </c>
      <c r="M298" s="842"/>
      <c r="N298" s="842"/>
      <c r="O298" s="323">
        <f t="shared" si="118"/>
        <v>2.5667297952943192E-2</v>
      </c>
      <c r="P298" s="169">
        <f>(INDEX(Models!$BJ298:$BT298,,T298)*(1-R298)+INDEX(Models!$BJ298:$BT298,,T298+1)*R298-ERP_i)*Q298*Ramure*Pc/MaxiM</f>
        <v>7.5759570486095469E-6</v>
      </c>
      <c r="Q298" s="304">
        <f t="shared" si="119"/>
        <v>0.6</v>
      </c>
      <c r="R298" s="177">
        <f t="shared" si="120"/>
        <v>0.99610355377410786</v>
      </c>
      <c r="S298" s="799">
        <f t="shared" si="138"/>
        <v>-2</v>
      </c>
      <c r="T298" s="176">
        <f t="shared" si="121"/>
        <v>4</v>
      </c>
      <c r="U298" s="250">
        <f t="shared" si="122"/>
        <v>-1.0038964462258921</v>
      </c>
      <c r="V298" s="382">
        <f t="shared" si="123"/>
        <v>43.287706043426518</v>
      </c>
      <c r="W298" s="58"/>
      <c r="X298" s="157">
        <f t="shared" si="124"/>
        <v>43749</v>
      </c>
      <c r="Y298" s="383">
        <f t="shared" si="125"/>
        <v>42.018999999999998</v>
      </c>
      <c r="Z298" s="383">
        <f t="shared" si="126"/>
        <v>42.223233680427185</v>
      </c>
      <c r="AA298" s="384">
        <f t="shared" si="127"/>
        <v>43.335539894860219</v>
      </c>
      <c r="AB298" s="197">
        <f t="shared" si="128"/>
        <v>43749</v>
      </c>
      <c r="AC298" s="424">
        <f t="shared" si="129"/>
        <v>2.5667297952943192E-2</v>
      </c>
      <c r="AD298" s="169">
        <f>(INDEX(Models!$BJ298:$BT298,,AH298)*(1-AF298)+INDEX(Models!$BJ298:$BT298,,AH298+1)*AF298-ERP_i)*AE298*Ramure*Pc/MaxiM</f>
        <v>7.5759570486095469E-6</v>
      </c>
      <c r="AE298" s="304">
        <f t="shared" si="130"/>
        <v>0.6</v>
      </c>
      <c r="AF298" s="177">
        <f t="shared" si="131"/>
        <v>0.99610355377410786</v>
      </c>
      <c r="AG298" s="799">
        <f t="shared" si="132"/>
        <v>-2</v>
      </c>
      <c r="AH298" s="176">
        <f t="shared" si="133"/>
        <v>4</v>
      </c>
      <c r="AI298" s="224">
        <f t="shared" si="134"/>
        <v>-1.0038964462258921</v>
      </c>
      <c r="AJ298" s="264" t="b">
        <f t="shared" si="135"/>
        <v>0</v>
      </c>
      <c r="AK298" s="264" t="b">
        <f t="shared" si="136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37"/>
        <v>43750</v>
      </c>
      <c r="B299" s="607">
        <v>19.968</v>
      </c>
      <c r="C299" s="388"/>
      <c r="D299" s="391">
        <f t="shared" si="114"/>
        <v>20.06543917082514</v>
      </c>
      <c r="E299" s="383">
        <f t="shared" si="140"/>
        <v>20.595654208525747</v>
      </c>
      <c r="F299" s="383">
        <f t="shared" si="139"/>
        <v>20.595691292660689</v>
      </c>
      <c r="G299" s="110">
        <f t="shared" si="141"/>
        <v>0.46468304057714155</v>
      </c>
      <c r="I299" s="379">
        <f t="shared" si="115"/>
        <v>20.595691292660689</v>
      </c>
      <c r="J299" s="85">
        <v>2018</v>
      </c>
      <c r="K299" s="197">
        <f t="shared" si="116"/>
        <v>43750</v>
      </c>
      <c r="L299" s="435">
        <f t="shared" si="117"/>
        <v>4.8560696825822314E-3</v>
      </c>
      <c r="M299" s="842"/>
      <c r="N299" s="842"/>
      <c r="O299" s="323">
        <f t="shared" si="118"/>
        <v>2.5744025041997517E-2</v>
      </c>
      <c r="P299" s="169">
        <f>(INDEX(Models!$BJ299:$BT299,,T299)*(1-R299)+INDEX(Models!$BJ299:$BT299,,T299+1)*R299-ERP_i)*Q299*Ramure*Pc/MaxiM</f>
        <v>7.6533886853348463E-6</v>
      </c>
      <c r="Q299" s="304">
        <f t="shared" si="119"/>
        <v>0.6</v>
      </c>
      <c r="R299" s="177">
        <f t="shared" si="120"/>
        <v>0.99623059410900927</v>
      </c>
      <c r="S299" s="799">
        <f t="shared" si="138"/>
        <v>-2</v>
      </c>
      <c r="T299" s="176">
        <f t="shared" si="121"/>
        <v>4</v>
      </c>
      <c r="U299" s="250">
        <f t="shared" si="122"/>
        <v>-1.0037694058909907</v>
      </c>
      <c r="V299" s="382">
        <f t="shared" si="123"/>
        <v>42.970974593891334</v>
      </c>
      <c r="W299" s="58"/>
      <c r="X299" s="157">
        <f t="shared" si="124"/>
        <v>43750</v>
      </c>
      <c r="Y299" s="383">
        <f t="shared" si="125"/>
        <v>19.968</v>
      </c>
      <c r="Z299" s="383">
        <f t="shared" si="126"/>
        <v>20.06543917082514</v>
      </c>
      <c r="AA299" s="384">
        <f t="shared" si="127"/>
        <v>20.595654208525747</v>
      </c>
      <c r="AB299" s="197">
        <f t="shared" si="128"/>
        <v>43750</v>
      </c>
      <c r="AC299" s="424">
        <f t="shared" si="129"/>
        <v>2.5744025041997517E-2</v>
      </c>
      <c r="AD299" s="169">
        <f>(INDEX(Models!$BJ299:$BT299,,AH299)*(1-AF299)+INDEX(Models!$BJ299:$BT299,,AH299+1)*AF299-ERP_i)*AE299*Ramure*Pc/MaxiM</f>
        <v>7.6533886853348463E-6</v>
      </c>
      <c r="AE299" s="304">
        <f t="shared" si="130"/>
        <v>0.6</v>
      </c>
      <c r="AF299" s="177">
        <f t="shared" si="131"/>
        <v>0.99623059410900927</v>
      </c>
      <c r="AG299" s="799">
        <f t="shared" si="132"/>
        <v>-2</v>
      </c>
      <c r="AH299" s="176">
        <f t="shared" si="133"/>
        <v>4</v>
      </c>
      <c r="AI299" s="224">
        <f t="shared" si="134"/>
        <v>-1.0037694058909907</v>
      </c>
      <c r="AJ299" s="264" t="b">
        <f t="shared" si="135"/>
        <v>0</v>
      </c>
      <c r="AK299" s="264" t="b">
        <f t="shared" si="136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37"/>
        <v>43751</v>
      </c>
      <c r="B300" s="607">
        <v>39.911999999999999</v>
      </c>
      <c r="C300" s="388"/>
      <c r="D300" s="391">
        <f t="shared" si="114"/>
        <v>40.107529878922406</v>
      </c>
      <c r="E300" s="383">
        <f t="shared" si="140"/>
        <v>41.170562899418172</v>
      </c>
      <c r="F300" s="383">
        <f t="shared" si="139"/>
        <v>41.170852070636847</v>
      </c>
      <c r="G300" s="110">
        <f t="shared" si="141"/>
        <v>0.93576393142975445</v>
      </c>
      <c r="I300" s="379">
        <f t="shared" si="115"/>
        <v>41.170852070636847</v>
      </c>
      <c r="J300" s="85">
        <v>2018</v>
      </c>
      <c r="K300" s="197">
        <f t="shared" si="116"/>
        <v>43751</v>
      </c>
      <c r="L300" s="435">
        <f t="shared" si="117"/>
        <v>4.8751413889780437E-3</v>
      </c>
      <c r="M300" s="842"/>
      <c r="N300" s="842"/>
      <c r="O300" s="323">
        <f t="shared" si="118"/>
        <v>2.5820220702175243E-2</v>
      </c>
      <c r="P300" s="169">
        <f>(INDEX(Models!$BJ300:$BT300,,T300)*(1-R300)+INDEX(Models!$BJ300:$BT300,,T300+1)*R300-ERP_i)*Q300*Ramure*Pc/MaxiM</f>
        <v>7.7333365501711785E-6</v>
      </c>
      <c r="Q300" s="304">
        <f t="shared" si="119"/>
        <v>0.6</v>
      </c>
      <c r="R300" s="177">
        <f t="shared" si="120"/>
        <v>0.99635258043860331</v>
      </c>
      <c r="S300" s="799">
        <f t="shared" si="138"/>
        <v>-2</v>
      </c>
      <c r="T300" s="176">
        <f t="shared" si="121"/>
        <v>4</v>
      </c>
      <c r="U300" s="250">
        <f t="shared" si="122"/>
        <v>-1.0036474195613967</v>
      </c>
      <c r="V300" s="382">
        <f t="shared" si="123"/>
        <v>42.651752579655067</v>
      </c>
      <c r="W300" s="58"/>
      <c r="X300" s="157">
        <f t="shared" si="124"/>
        <v>43751</v>
      </c>
      <c r="Y300" s="383">
        <f t="shared" si="125"/>
        <v>39.911999999999999</v>
      </c>
      <c r="Z300" s="383">
        <f t="shared" si="126"/>
        <v>40.107529878922406</v>
      </c>
      <c r="AA300" s="384">
        <f t="shared" si="127"/>
        <v>41.170562899418172</v>
      </c>
      <c r="AB300" s="197">
        <f t="shared" si="128"/>
        <v>43751</v>
      </c>
      <c r="AC300" s="424">
        <f t="shared" si="129"/>
        <v>2.5820220702175243E-2</v>
      </c>
      <c r="AD300" s="169">
        <f>(INDEX(Models!$BJ300:$BT300,,AH300)*(1-AF300)+INDEX(Models!$BJ300:$BT300,,AH300+1)*AF300-ERP_i)*AE300*Ramure*Pc/MaxiM</f>
        <v>7.7333365501711785E-6</v>
      </c>
      <c r="AE300" s="304">
        <f t="shared" si="130"/>
        <v>0.6</v>
      </c>
      <c r="AF300" s="177">
        <f t="shared" si="131"/>
        <v>0.99635258043860331</v>
      </c>
      <c r="AG300" s="799">
        <f t="shared" si="132"/>
        <v>-2</v>
      </c>
      <c r="AH300" s="176">
        <f t="shared" si="133"/>
        <v>4</v>
      </c>
      <c r="AI300" s="224">
        <f t="shared" si="134"/>
        <v>-1.0036474195613967</v>
      </c>
      <c r="AJ300" s="264" t="b">
        <f t="shared" si="135"/>
        <v>0</v>
      </c>
      <c r="AK300" s="264" t="b">
        <f t="shared" si="136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37"/>
        <v>43752</v>
      </c>
      <c r="B301" s="607">
        <v>14.933</v>
      </c>
      <c r="C301" s="388"/>
      <c r="D301" s="391">
        <f t="shared" si="114"/>
        <v>15.006444732841546</v>
      </c>
      <c r="E301" s="383">
        <f t="shared" si="140"/>
        <v>15.405380734659582</v>
      </c>
      <c r="F301" s="383">
        <f t="shared" si="139"/>
        <v>15.405389812102026</v>
      </c>
      <c r="G301" s="110">
        <f t="shared" si="141"/>
        <v>0.35277118538368674</v>
      </c>
      <c r="I301" s="379">
        <f t="shared" si="115"/>
        <v>15.405389812102026</v>
      </c>
      <c r="J301" s="85">
        <v>2018</v>
      </c>
      <c r="K301" s="197">
        <f t="shared" si="116"/>
        <v>43752</v>
      </c>
      <c r="L301" s="435">
        <f t="shared" si="117"/>
        <v>4.8942127298687854E-3</v>
      </c>
      <c r="M301" s="842"/>
      <c r="N301" s="842"/>
      <c r="O301" s="323">
        <f t="shared" si="118"/>
        <v>2.5895887202611954E-2</v>
      </c>
      <c r="P301" s="169">
        <f>(INDEX(Models!$BJ301:$BT301,,T301)*(1-R301)+INDEX(Models!$BJ301:$BT301,,T301+1)*R301-ERP_i)*Q301*Ramure*Pc/MaxiM</f>
        <v>7.8157565344715965E-6</v>
      </c>
      <c r="Q301" s="304">
        <f t="shared" si="119"/>
        <v>0.6</v>
      </c>
      <c r="R301" s="177">
        <f t="shared" si="120"/>
        <v>0.99646971147938412</v>
      </c>
      <c r="S301" s="799">
        <f t="shared" si="138"/>
        <v>-2</v>
      </c>
      <c r="T301" s="176">
        <f t="shared" si="121"/>
        <v>4</v>
      </c>
      <c r="U301" s="250">
        <f t="shared" si="122"/>
        <v>-1.0035302885206159</v>
      </c>
      <c r="V301" s="382">
        <f t="shared" si="123"/>
        <v>42.330248912180579</v>
      </c>
      <c r="W301" s="58"/>
      <c r="X301" s="157">
        <f t="shared" si="124"/>
        <v>43752</v>
      </c>
      <c r="Y301" s="383">
        <f t="shared" si="125"/>
        <v>14.933</v>
      </c>
      <c r="Z301" s="383">
        <f t="shared" si="126"/>
        <v>15.006444732841546</v>
      </c>
      <c r="AA301" s="384">
        <f t="shared" si="127"/>
        <v>15.405380734659582</v>
      </c>
      <c r="AB301" s="197">
        <f t="shared" si="128"/>
        <v>43752</v>
      </c>
      <c r="AC301" s="424">
        <f t="shared" si="129"/>
        <v>2.5895887202611954E-2</v>
      </c>
      <c r="AD301" s="169">
        <f>(INDEX(Models!$BJ301:$BT301,,AH301)*(1-AF301)+INDEX(Models!$BJ301:$BT301,,AH301+1)*AF301-ERP_i)*AE301*Ramure*Pc/MaxiM</f>
        <v>7.8157565344715965E-6</v>
      </c>
      <c r="AE301" s="304">
        <f t="shared" si="130"/>
        <v>0.6</v>
      </c>
      <c r="AF301" s="177">
        <f t="shared" si="131"/>
        <v>0.99646971147938412</v>
      </c>
      <c r="AG301" s="799">
        <f t="shared" si="132"/>
        <v>-2</v>
      </c>
      <c r="AH301" s="176">
        <f t="shared" si="133"/>
        <v>4</v>
      </c>
      <c r="AI301" s="224">
        <f t="shared" si="134"/>
        <v>-1.0035302885206159</v>
      </c>
      <c r="AJ301" s="264" t="b">
        <f t="shared" si="135"/>
        <v>0</v>
      </c>
      <c r="AK301" s="264" t="b">
        <f t="shared" si="136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37"/>
        <v>43753</v>
      </c>
      <c r="B302" s="607">
        <v>32.125999999999998</v>
      </c>
      <c r="C302" s="388"/>
      <c r="D302" s="391">
        <f t="shared" si="114"/>
        <v>32.284623514645013</v>
      </c>
      <c r="E302" s="383">
        <f t="shared" si="140"/>
        <v>33.14544479620389</v>
      </c>
      <c r="F302" s="383">
        <f t="shared" si="139"/>
        <v>33.145618671904685</v>
      </c>
      <c r="G302" s="110">
        <f t="shared" si="141"/>
        <v>0.76478123376012785</v>
      </c>
      <c r="I302" s="379">
        <f t="shared" si="115"/>
        <v>33.145618671904685</v>
      </c>
      <c r="J302" s="85">
        <v>2018</v>
      </c>
      <c r="K302" s="197">
        <f t="shared" si="116"/>
        <v>43753</v>
      </c>
      <c r="L302" s="435">
        <f t="shared" si="117"/>
        <v>4.9132837052617839E-3</v>
      </c>
      <c r="M302" s="842"/>
      <c r="N302" s="842"/>
      <c r="O302" s="323">
        <f t="shared" si="118"/>
        <v>2.5971028201663054E-2</v>
      </c>
      <c r="P302" s="169">
        <f>(INDEX(Models!$BJ302:$BT302,,T302)*(1-R302)+INDEX(Models!$BJ302:$BT302,,T302+1)*R302-ERP_i)*Q302*Ramure*Pc/MaxiM</f>
        <v>7.9006045066196718E-6</v>
      </c>
      <c r="Q302" s="304">
        <f t="shared" si="119"/>
        <v>0.6</v>
      </c>
      <c r="R302" s="177">
        <f t="shared" si="120"/>
        <v>0.99658217831875029</v>
      </c>
      <c r="S302" s="799">
        <f t="shared" si="138"/>
        <v>-2</v>
      </c>
      <c r="T302" s="176">
        <f t="shared" si="121"/>
        <v>4</v>
      </c>
      <c r="U302" s="250">
        <f t="shared" si="122"/>
        <v>-1.0034178216812497</v>
      </c>
      <c r="V302" s="382">
        <f t="shared" si="123"/>
        <v>42.006672357471658</v>
      </c>
      <c r="W302" s="58"/>
      <c r="X302" s="157">
        <f t="shared" si="124"/>
        <v>43753</v>
      </c>
      <c r="Y302" s="383">
        <f t="shared" si="125"/>
        <v>32.125999999999998</v>
      </c>
      <c r="Z302" s="383">
        <f t="shared" si="126"/>
        <v>32.284623514645013</v>
      </c>
      <c r="AA302" s="384">
        <f t="shared" si="127"/>
        <v>33.14544479620389</v>
      </c>
      <c r="AB302" s="197">
        <f t="shared" si="128"/>
        <v>43753</v>
      </c>
      <c r="AC302" s="424">
        <f t="shared" si="129"/>
        <v>2.5971028201663054E-2</v>
      </c>
      <c r="AD302" s="169">
        <f>(INDEX(Models!$BJ302:$BT302,,AH302)*(1-AF302)+INDEX(Models!$BJ302:$BT302,,AH302+1)*AF302-ERP_i)*AE302*Ramure*Pc/MaxiM</f>
        <v>7.9006045066196718E-6</v>
      </c>
      <c r="AE302" s="304">
        <f t="shared" si="130"/>
        <v>0.6</v>
      </c>
      <c r="AF302" s="177">
        <f t="shared" si="131"/>
        <v>0.99658217831875029</v>
      </c>
      <c r="AG302" s="799">
        <f t="shared" si="132"/>
        <v>-2</v>
      </c>
      <c r="AH302" s="176">
        <f t="shared" si="133"/>
        <v>4</v>
      </c>
      <c r="AI302" s="224">
        <f t="shared" si="134"/>
        <v>-1.0034178216812497</v>
      </c>
      <c r="AJ302" s="264" t="b">
        <f t="shared" si="135"/>
        <v>0</v>
      </c>
      <c r="AK302" s="264" t="b">
        <f t="shared" si="136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37"/>
        <v>43754</v>
      </c>
      <c r="B303" s="607">
        <v>35.909999999999997</v>
      </c>
      <c r="C303" s="388"/>
      <c r="D303" s="391">
        <f t="shared" si="114"/>
        <v>36.087998796589979</v>
      </c>
      <c r="E303" s="383">
        <f t="shared" si="140"/>
        <v>37.053070045574096</v>
      </c>
      <c r="F303" s="383">
        <f t="shared" si="139"/>
        <v>37.053307520290254</v>
      </c>
      <c r="G303" s="110">
        <f t="shared" si="141"/>
        <v>0.86159968731993775</v>
      </c>
      <c r="I303" s="379">
        <f t="shared" si="115"/>
        <v>37.053307520290254</v>
      </c>
      <c r="J303" s="85">
        <v>2018</v>
      </c>
      <c r="K303" s="197">
        <f t="shared" si="116"/>
        <v>43754</v>
      </c>
      <c r="L303" s="435">
        <f t="shared" si="117"/>
        <v>4.9323543151637006E-3</v>
      </c>
      <c r="M303" s="842"/>
      <c r="N303" s="842"/>
      <c r="O303" s="323">
        <f t="shared" si="118"/>
        <v>2.6045648789617327E-2</v>
      </c>
      <c r="P303" s="169">
        <f>(INDEX(Models!$BJ303:$BT303,,T303)*(1-R303)+INDEX(Models!$BJ303:$BT303,,T303+1)*R303-ERP_i)*Q303*Ramure*Pc/MaxiM</f>
        <v>7.9884133128494746E-6</v>
      </c>
      <c r="Q303" s="304">
        <f t="shared" si="119"/>
        <v>0.6</v>
      </c>
      <c r="R303" s="177">
        <f t="shared" si="120"/>
        <v>0.99669016469338323</v>
      </c>
      <c r="S303" s="799">
        <f t="shared" si="138"/>
        <v>-2</v>
      </c>
      <c r="T303" s="176">
        <f t="shared" si="121"/>
        <v>4</v>
      </c>
      <c r="U303" s="250">
        <f t="shared" si="122"/>
        <v>-1.0033098353066168</v>
      </c>
      <c r="V303" s="382">
        <f t="shared" si="123"/>
        <v>41.678222278226244</v>
      </c>
      <c r="W303" s="58"/>
      <c r="X303" s="157">
        <f t="shared" si="124"/>
        <v>43754</v>
      </c>
      <c r="Y303" s="383">
        <f t="shared" si="125"/>
        <v>35.909999999999997</v>
      </c>
      <c r="Z303" s="383">
        <f t="shared" si="126"/>
        <v>36.087998796589979</v>
      </c>
      <c r="AA303" s="384">
        <f t="shared" si="127"/>
        <v>37.053070045574096</v>
      </c>
      <c r="AB303" s="197">
        <f t="shared" si="128"/>
        <v>43754</v>
      </c>
      <c r="AC303" s="424">
        <f t="shared" si="129"/>
        <v>2.6045648789617327E-2</v>
      </c>
      <c r="AD303" s="169">
        <f>(INDEX(Models!$BJ303:$BT303,,AH303)*(1-AF303)+INDEX(Models!$BJ303:$BT303,,AH303+1)*AF303-ERP_i)*AE303*Ramure*Pc/MaxiM</f>
        <v>7.9884133128494746E-6</v>
      </c>
      <c r="AE303" s="304">
        <f t="shared" si="130"/>
        <v>0.6</v>
      </c>
      <c r="AF303" s="177">
        <f t="shared" si="131"/>
        <v>0.99669016469338323</v>
      </c>
      <c r="AG303" s="799">
        <f t="shared" si="132"/>
        <v>-2</v>
      </c>
      <c r="AH303" s="176">
        <f t="shared" si="133"/>
        <v>4</v>
      </c>
      <c r="AI303" s="224">
        <f t="shared" si="134"/>
        <v>-1.0033098353066168</v>
      </c>
      <c r="AJ303" s="264" t="b">
        <f t="shared" si="135"/>
        <v>0</v>
      </c>
      <c r="AK303" s="264" t="b">
        <f t="shared" si="136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37"/>
        <v>43755</v>
      </c>
      <c r="B304" s="607">
        <v>18.937000000000001</v>
      </c>
      <c r="C304" s="388"/>
      <c r="D304" s="391">
        <f t="shared" si="114"/>
        <v>19.031231708078472</v>
      </c>
      <c r="E304" s="383">
        <f t="shared" si="140"/>
        <v>19.541654958119583</v>
      </c>
      <c r="F304" s="383">
        <f t="shared" si="139"/>
        <v>19.541690585624199</v>
      </c>
      <c r="G304" s="110">
        <f t="shared" si="141"/>
        <v>0.45804628105376721</v>
      </c>
      <c r="I304" s="379">
        <f t="shared" si="115"/>
        <v>19.541690585624199</v>
      </c>
      <c r="J304" s="85">
        <v>2018</v>
      </c>
      <c r="K304" s="197">
        <f t="shared" si="116"/>
        <v>43755</v>
      </c>
      <c r="L304" s="435">
        <f t="shared" si="117"/>
        <v>4.9514245595818629E-3</v>
      </c>
      <c r="M304" s="842"/>
      <c r="N304" s="842"/>
      <c r="O304" s="323">
        <f t="shared" si="118"/>
        <v>2.611975552403396E-2</v>
      </c>
      <c r="P304" s="169">
        <f>(INDEX(Models!$BJ304:$BT304,,T304)*(1-R304)+INDEX(Models!$BJ304:$BT304,,T304+1)*R304-ERP_i)*Q304*Ramure*Pc/MaxiM</f>
        <v>8.0747514438069872E-6</v>
      </c>
      <c r="Q304" s="304">
        <f t="shared" si="119"/>
        <v>0.6</v>
      </c>
      <c r="R304" s="177">
        <f t="shared" si="120"/>
        <v>0.99679384725862796</v>
      </c>
      <c r="S304" s="799">
        <f t="shared" si="138"/>
        <v>-2</v>
      </c>
      <c r="T304" s="176">
        <f t="shared" si="121"/>
        <v>4</v>
      </c>
      <c r="U304" s="250">
        <f t="shared" si="122"/>
        <v>-1.003206152741372</v>
      </c>
      <c r="V304" s="382">
        <f t="shared" si="123"/>
        <v>41.342725389476421</v>
      </c>
      <c r="W304" s="58"/>
      <c r="X304" s="157">
        <f t="shared" si="124"/>
        <v>43755</v>
      </c>
      <c r="Y304" s="383">
        <f t="shared" si="125"/>
        <v>18.937000000000001</v>
      </c>
      <c r="Z304" s="383">
        <f t="shared" si="126"/>
        <v>19.031231708078472</v>
      </c>
      <c r="AA304" s="384">
        <f t="shared" si="127"/>
        <v>19.541654958119583</v>
      </c>
      <c r="AB304" s="197">
        <f t="shared" si="128"/>
        <v>43755</v>
      </c>
      <c r="AC304" s="424">
        <f t="shared" si="129"/>
        <v>2.611975552403396E-2</v>
      </c>
      <c r="AD304" s="169">
        <f>(INDEX(Models!$BJ304:$BT304,,AH304)*(1-AF304)+INDEX(Models!$BJ304:$BT304,,AH304+1)*AF304-ERP_i)*AE304*Ramure*Pc/MaxiM</f>
        <v>8.0747514438069872E-6</v>
      </c>
      <c r="AE304" s="304">
        <f t="shared" si="130"/>
        <v>0.6</v>
      </c>
      <c r="AF304" s="177">
        <f t="shared" si="131"/>
        <v>0.99679384725862796</v>
      </c>
      <c r="AG304" s="799">
        <f t="shared" si="132"/>
        <v>-2</v>
      </c>
      <c r="AH304" s="176">
        <f t="shared" si="133"/>
        <v>4</v>
      </c>
      <c r="AI304" s="224">
        <f t="shared" si="134"/>
        <v>-1.003206152741372</v>
      </c>
      <c r="AJ304" s="264" t="b">
        <f t="shared" si="135"/>
        <v>0</v>
      </c>
      <c r="AK304" s="264" t="b">
        <f t="shared" si="136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37"/>
        <v>43756</v>
      </c>
      <c r="B305" s="607">
        <v>15.42</v>
      </c>
      <c r="C305" s="388"/>
      <c r="D305" s="391">
        <f t="shared" si="114"/>
        <v>15.497027890945583</v>
      </c>
      <c r="E305" s="383">
        <f t="shared" si="140"/>
        <v>15.913865441054805</v>
      </c>
      <c r="F305" s="383">
        <f t="shared" si="139"/>
        <v>15.913879578788023</v>
      </c>
      <c r="G305" s="110">
        <f t="shared" si="141"/>
        <v>0.37608262035107876</v>
      </c>
      <c r="I305" s="379">
        <f t="shared" si="115"/>
        <v>15.913879578788023</v>
      </c>
      <c r="J305" s="85">
        <v>2018</v>
      </c>
      <c r="K305" s="197">
        <f t="shared" si="116"/>
        <v>43756</v>
      </c>
      <c r="L305" s="435">
        <f t="shared" si="117"/>
        <v>4.9704944385231542E-3</v>
      </c>
      <c r="M305" s="842"/>
      <c r="N305" s="842"/>
      <c r="O305" s="323">
        <f t="shared" si="118"/>
        <v>2.6193356457184683E-2</v>
      </c>
      <c r="P305" s="169">
        <f>(INDEX(Models!$BJ305:$BT305,,T305)*(1-R305)+INDEX(Models!$BJ305:$BT305,,T305+1)*R305-ERP_i)*Q305*Ramure*Pc/MaxiM</f>
        <v>8.1733604932681809E-6</v>
      </c>
      <c r="Q305" s="304">
        <f t="shared" si="119"/>
        <v>0.6</v>
      </c>
      <c r="R305" s="177">
        <f t="shared" si="120"/>
        <v>0.99689339584906866</v>
      </c>
      <c r="S305" s="799">
        <f t="shared" si="138"/>
        <v>-2</v>
      </c>
      <c r="T305" s="176">
        <f t="shared" si="121"/>
        <v>4</v>
      </c>
      <c r="U305" s="250">
        <f t="shared" si="122"/>
        <v>-1.0031066041509313</v>
      </c>
      <c r="V305" s="382">
        <f t="shared" si="123"/>
        <v>41.0013301100226</v>
      </c>
      <c r="W305" s="58"/>
      <c r="X305" s="157">
        <f t="shared" si="124"/>
        <v>43756</v>
      </c>
      <c r="Y305" s="383">
        <f t="shared" si="125"/>
        <v>15.42</v>
      </c>
      <c r="Z305" s="383">
        <f t="shared" si="126"/>
        <v>15.497027890945583</v>
      </c>
      <c r="AA305" s="384">
        <f t="shared" si="127"/>
        <v>15.913865441054805</v>
      </c>
      <c r="AB305" s="197">
        <f t="shared" si="128"/>
        <v>43756</v>
      </c>
      <c r="AC305" s="424">
        <f t="shared" si="129"/>
        <v>2.6193356457184683E-2</v>
      </c>
      <c r="AD305" s="169">
        <f>(INDEX(Models!$BJ305:$BT305,,AH305)*(1-AF305)+INDEX(Models!$BJ305:$BT305,,AH305+1)*AF305-ERP_i)*AE305*Ramure*Pc/MaxiM</f>
        <v>8.1733604932681809E-6</v>
      </c>
      <c r="AE305" s="304">
        <f t="shared" si="130"/>
        <v>0.6</v>
      </c>
      <c r="AF305" s="177">
        <f t="shared" si="131"/>
        <v>0.99689339584906866</v>
      </c>
      <c r="AG305" s="799">
        <f t="shared" si="132"/>
        <v>-2</v>
      </c>
      <c r="AH305" s="176">
        <f t="shared" si="133"/>
        <v>4</v>
      </c>
      <c r="AI305" s="224">
        <f t="shared" si="134"/>
        <v>-1.0031066041509313</v>
      </c>
      <c r="AJ305" s="264" t="b">
        <f t="shared" si="135"/>
        <v>0</v>
      </c>
      <c r="AK305" s="264" t="b">
        <f t="shared" si="136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37"/>
        <v>43757</v>
      </c>
      <c r="B306" s="607">
        <v>28.997</v>
      </c>
      <c r="C306" s="388"/>
      <c r="D306" s="391">
        <f t="shared" si="114"/>
        <v>29.14240790797194</v>
      </c>
      <c r="E306" s="383">
        <f t="shared" si="140"/>
        <v>29.928524329708779</v>
      </c>
      <c r="F306" s="383">
        <f t="shared" si="139"/>
        <v>29.928670695546728</v>
      </c>
      <c r="G306" s="110">
        <f t="shared" si="141"/>
        <v>0.713239938284148</v>
      </c>
      <c r="I306" s="379">
        <f t="shared" si="115"/>
        <v>29.928670695546728</v>
      </c>
      <c r="J306" s="85">
        <v>2018</v>
      </c>
      <c r="K306" s="197">
        <f t="shared" si="116"/>
        <v>43757</v>
      </c>
      <c r="L306" s="435">
        <f t="shared" si="117"/>
        <v>4.9895639519945689E-3</v>
      </c>
      <c r="M306" s="842"/>
      <c r="N306" s="842"/>
      <c r="O306" s="323">
        <f t="shared" si="118"/>
        <v>2.626646115513593E-2</v>
      </c>
      <c r="P306" s="169">
        <f>(INDEX(Models!$BJ306:$BT306,,T306)*(1-R306)+INDEX(Models!$BJ306:$BT306,,T306+1)*R306-ERP_i)*Q306*Ramure*Pc/MaxiM</f>
        <v>8.2841032643673794E-6</v>
      </c>
      <c r="Q306" s="304">
        <f t="shared" si="119"/>
        <v>0.6</v>
      </c>
      <c r="R306" s="177">
        <f t="shared" si="120"/>
        <v>0.99698897373049866</v>
      </c>
      <c r="S306" s="799">
        <f t="shared" si="138"/>
        <v>-2</v>
      </c>
      <c r="T306" s="176">
        <f t="shared" si="121"/>
        <v>4</v>
      </c>
      <c r="U306" s="250">
        <f t="shared" si="122"/>
        <v>-1.0030110262695013</v>
      </c>
      <c r="V306" s="382">
        <f t="shared" si="123"/>
        <v>40.655184936288393</v>
      </c>
      <c r="W306" s="58"/>
      <c r="X306" s="157">
        <f t="shared" si="124"/>
        <v>43757</v>
      </c>
      <c r="Y306" s="383">
        <f t="shared" si="125"/>
        <v>28.997</v>
      </c>
      <c r="Z306" s="383">
        <f t="shared" si="126"/>
        <v>29.14240790797194</v>
      </c>
      <c r="AA306" s="384">
        <f t="shared" si="127"/>
        <v>29.928524329708779</v>
      </c>
      <c r="AB306" s="197">
        <f t="shared" si="128"/>
        <v>43757</v>
      </c>
      <c r="AC306" s="424">
        <f t="shared" si="129"/>
        <v>2.626646115513593E-2</v>
      </c>
      <c r="AD306" s="169">
        <f>(INDEX(Models!$BJ306:$BT306,,AH306)*(1-AF306)+INDEX(Models!$BJ306:$BT306,,AH306+1)*AF306-ERP_i)*AE306*Ramure*Pc/MaxiM</f>
        <v>8.2841032643673794E-6</v>
      </c>
      <c r="AE306" s="304">
        <f t="shared" si="130"/>
        <v>0.6</v>
      </c>
      <c r="AF306" s="177">
        <f t="shared" si="131"/>
        <v>0.99698897373049866</v>
      </c>
      <c r="AG306" s="799">
        <f t="shared" si="132"/>
        <v>-2</v>
      </c>
      <c r="AH306" s="176">
        <f t="shared" si="133"/>
        <v>4</v>
      </c>
      <c r="AI306" s="224">
        <f t="shared" si="134"/>
        <v>-1.0030110262695013</v>
      </c>
      <c r="AJ306" s="264" t="b">
        <f t="shared" si="135"/>
        <v>0</v>
      </c>
      <c r="AK306" s="264" t="b">
        <f t="shared" si="136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37"/>
        <v>43758</v>
      </c>
      <c r="B307" s="607">
        <v>13.148</v>
      </c>
      <c r="C307" s="388"/>
      <c r="D307" s="391">
        <f t="shared" si="114"/>
        <v>13.214185004402614</v>
      </c>
      <c r="E307" s="383">
        <f t="shared" si="140"/>
        <v>13.571649783388885</v>
      </c>
      <c r="F307" s="383">
        <f t="shared" si="139"/>
        <v>13.571654055267011</v>
      </c>
      <c r="G307" s="110">
        <f t="shared" si="141"/>
        <v>0.32620644512736885</v>
      </c>
      <c r="I307" s="379">
        <f t="shared" si="115"/>
        <v>13.571654055267011</v>
      </c>
      <c r="J307" s="85">
        <v>2018</v>
      </c>
      <c r="K307" s="197">
        <f t="shared" si="116"/>
        <v>43758</v>
      </c>
      <c r="L307" s="435">
        <f t="shared" si="117"/>
        <v>5.0086331000029904E-3</v>
      </c>
      <c r="M307" s="842"/>
      <c r="N307" s="842"/>
      <c r="O307" s="323">
        <f t="shared" si="118"/>
        <v>2.6339080708064944E-2</v>
      </c>
      <c r="P307" s="169">
        <f>(INDEX(Models!$BJ307:$BT307,,T307)*(1-R307)+INDEX(Models!$BJ307:$BT307,,T307+1)*R307-ERP_i)*Q307*Ramure*Pc/MaxiM</f>
        <v>8.4068298320154189E-6</v>
      </c>
      <c r="Q307" s="304">
        <f t="shared" si="119"/>
        <v>0.6</v>
      </c>
      <c r="R307" s="177">
        <f t="shared" si="120"/>
        <v>0.99708073784349205</v>
      </c>
      <c r="S307" s="799">
        <f t="shared" si="138"/>
        <v>-2</v>
      </c>
      <c r="T307" s="176">
        <f t="shared" si="121"/>
        <v>4</v>
      </c>
      <c r="U307" s="250">
        <f t="shared" si="122"/>
        <v>-1.002919262156508</v>
      </c>
      <c r="V307" s="382">
        <f t="shared" si="123"/>
        <v>40.305437865769292</v>
      </c>
      <c r="W307" s="58"/>
      <c r="X307" s="157">
        <f t="shared" si="124"/>
        <v>43758</v>
      </c>
      <c r="Y307" s="383">
        <f t="shared" si="125"/>
        <v>13.148</v>
      </c>
      <c r="Z307" s="383">
        <f t="shared" si="126"/>
        <v>13.214185004402614</v>
      </c>
      <c r="AA307" s="384">
        <f t="shared" si="127"/>
        <v>13.571649783388885</v>
      </c>
      <c r="AB307" s="197">
        <f t="shared" si="128"/>
        <v>43758</v>
      </c>
      <c r="AC307" s="424">
        <f t="shared" si="129"/>
        <v>2.6339080708064944E-2</v>
      </c>
      <c r="AD307" s="169">
        <f>(INDEX(Models!$BJ307:$BT307,,AH307)*(1-AF307)+INDEX(Models!$BJ307:$BT307,,AH307+1)*AF307-ERP_i)*AE307*Ramure*Pc/MaxiM</f>
        <v>8.4068298320154189E-6</v>
      </c>
      <c r="AE307" s="304">
        <f t="shared" si="130"/>
        <v>0.6</v>
      </c>
      <c r="AF307" s="177">
        <f t="shared" si="131"/>
        <v>0.99708073784349205</v>
      </c>
      <c r="AG307" s="799">
        <f t="shared" si="132"/>
        <v>-2</v>
      </c>
      <c r="AH307" s="176">
        <f t="shared" si="133"/>
        <v>4</v>
      </c>
      <c r="AI307" s="224">
        <f t="shared" si="134"/>
        <v>-1.002919262156508</v>
      </c>
      <c r="AJ307" s="264" t="b">
        <f t="shared" si="135"/>
        <v>0</v>
      </c>
      <c r="AK307" s="264" t="b">
        <f t="shared" si="136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37"/>
        <v>43759</v>
      </c>
      <c r="B308" s="607">
        <v>22.486000000000001</v>
      </c>
      <c r="C308" s="388"/>
      <c r="D308" s="391">
        <f t="shared" si="114"/>
        <v>22.59962417299964</v>
      </c>
      <c r="E308" s="383">
        <f t="shared" si="140"/>
        <v>23.212700081103925</v>
      </c>
      <c r="F308" s="383">
        <f t="shared" si="139"/>
        <v>23.212774519208907</v>
      </c>
      <c r="G308" s="110">
        <f t="shared" si="141"/>
        <v>0.56280497073512281</v>
      </c>
      <c r="I308" s="379">
        <f t="shared" si="115"/>
        <v>23.212774519208907</v>
      </c>
      <c r="J308" s="85">
        <v>2018</v>
      </c>
      <c r="K308" s="197">
        <f t="shared" si="116"/>
        <v>43759</v>
      </c>
      <c r="L308" s="435">
        <f t="shared" si="117"/>
        <v>5.0277018825556352E-3</v>
      </c>
      <c r="M308" s="842"/>
      <c r="N308" s="842"/>
      <c r="O308" s="323">
        <f t="shared" si="118"/>
        <v>2.6411227731467347E-2</v>
      </c>
      <c r="P308" s="169">
        <f>(INDEX(Models!$BJ308:$BT308,,T308)*(1-R308)+INDEX(Models!$BJ308:$BT308,,T308+1)*R308-ERP_i)*Q308*Ramure*Pc/MaxiM</f>
        <v>8.5413743979172912E-6</v>
      </c>
      <c r="Q308" s="304">
        <f t="shared" si="119"/>
        <v>0.6</v>
      </c>
      <c r="R308" s="177">
        <f t="shared" si="120"/>
        <v>0.9971688390387774</v>
      </c>
      <c r="S308" s="799">
        <f t="shared" si="138"/>
        <v>-2</v>
      </c>
      <c r="T308" s="176">
        <f t="shared" si="121"/>
        <v>4</v>
      </c>
      <c r="U308" s="250">
        <f t="shared" si="122"/>
        <v>-1.0028311609612226</v>
      </c>
      <c r="V308" s="382">
        <f t="shared" si="123"/>
        <v>39.953236405151074</v>
      </c>
      <c r="W308" s="58"/>
      <c r="X308" s="157">
        <f t="shared" si="124"/>
        <v>43759</v>
      </c>
      <c r="Y308" s="383">
        <f t="shared" si="125"/>
        <v>22.486000000000001</v>
      </c>
      <c r="Z308" s="383">
        <f t="shared" si="126"/>
        <v>22.59962417299964</v>
      </c>
      <c r="AA308" s="384">
        <f t="shared" si="127"/>
        <v>23.212700081103925</v>
      </c>
      <c r="AB308" s="197">
        <f t="shared" si="128"/>
        <v>43759</v>
      </c>
      <c r="AC308" s="424">
        <f t="shared" si="129"/>
        <v>2.6411227731467347E-2</v>
      </c>
      <c r="AD308" s="169">
        <f>(INDEX(Models!$BJ308:$BT308,,AH308)*(1-AF308)+INDEX(Models!$BJ308:$BT308,,AH308+1)*AF308-ERP_i)*AE308*Ramure*Pc/MaxiM</f>
        <v>8.5413743979172912E-6</v>
      </c>
      <c r="AE308" s="304">
        <f t="shared" si="130"/>
        <v>0.6</v>
      </c>
      <c r="AF308" s="177">
        <f t="shared" si="131"/>
        <v>0.9971688390387774</v>
      </c>
      <c r="AG308" s="799">
        <f t="shared" si="132"/>
        <v>-2</v>
      </c>
      <c r="AH308" s="176">
        <f t="shared" si="133"/>
        <v>4</v>
      </c>
      <c r="AI308" s="224">
        <f t="shared" si="134"/>
        <v>-1.0028311609612226</v>
      </c>
      <c r="AJ308" s="264" t="b">
        <f t="shared" si="135"/>
        <v>0</v>
      </c>
      <c r="AK308" s="264" t="b">
        <f t="shared" si="136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37"/>
        <v>43760</v>
      </c>
      <c r="B309" s="607">
        <v>4.7720000000000002</v>
      </c>
      <c r="C309" s="388"/>
      <c r="D309" s="391">
        <f t="shared" si="114"/>
        <v>4.7962053466947667</v>
      </c>
      <c r="E309" s="383">
        <f t="shared" si="140"/>
        <v>4.9266781521200604</v>
      </c>
      <c r="F309" s="383">
        <f t="shared" si="139"/>
        <v>4.9266781521200604</v>
      </c>
      <c r="G309" s="110">
        <f t="shared" si="141"/>
        <v>0.12050483259022</v>
      </c>
      <c r="I309" s="379">
        <f t="shared" si="115"/>
        <v>4.9266781521200604</v>
      </c>
      <c r="J309" s="85">
        <v>2018</v>
      </c>
      <c r="K309" s="197">
        <f t="shared" si="116"/>
        <v>43760</v>
      </c>
      <c r="L309" s="435">
        <f t="shared" si="117"/>
        <v>5.0467702996593866E-3</v>
      </c>
      <c r="M309" s="842"/>
      <c r="N309" s="842"/>
      <c r="O309" s="323">
        <f t="shared" si="118"/>
        <v>2.6482916357982139E-2</v>
      </c>
      <c r="P309" s="169">
        <f>(INDEX(Models!$BJ309:$BT309,,T309)*(1-R309)+INDEX(Models!$BJ309:$BT309,,T309+1)*R309-ERP_i)*Q309*Ramure*Pc/MaxiM</f>
        <v>8.6875521325994114E-6</v>
      </c>
      <c r="Q309" s="304">
        <f t="shared" si="119"/>
        <v>0.6</v>
      </c>
      <c r="R309" s="177">
        <f t="shared" si="120"/>
        <v>0.99725342230462322</v>
      </c>
      <c r="S309" s="799">
        <f t="shared" si="138"/>
        <v>-2</v>
      </c>
      <c r="T309" s="176">
        <f t="shared" si="121"/>
        <v>4</v>
      </c>
      <c r="U309" s="250">
        <f t="shared" si="122"/>
        <v>-1.0027465776953768</v>
      </c>
      <c r="V309" s="382">
        <f t="shared" si="123"/>
        <v>39.599727582945988</v>
      </c>
      <c r="W309" s="58"/>
      <c r="X309" s="157">
        <f t="shared" si="124"/>
        <v>43760</v>
      </c>
      <c r="Y309" s="383">
        <f t="shared" si="125"/>
        <v>4.7720000000000002</v>
      </c>
      <c r="Z309" s="383">
        <f t="shared" si="126"/>
        <v>4.7962053466947667</v>
      </c>
      <c r="AA309" s="384">
        <f t="shared" si="127"/>
        <v>4.9266781521200604</v>
      </c>
      <c r="AB309" s="197">
        <f t="shared" si="128"/>
        <v>43760</v>
      </c>
      <c r="AC309" s="424">
        <f t="shared" si="129"/>
        <v>2.6482916357982139E-2</v>
      </c>
      <c r="AD309" s="169">
        <f>(INDEX(Models!$BJ309:$BT309,,AH309)*(1-AF309)+INDEX(Models!$BJ309:$BT309,,AH309+1)*AF309-ERP_i)*AE309*Ramure*Pc/MaxiM</f>
        <v>8.6875521325994114E-6</v>
      </c>
      <c r="AE309" s="304">
        <f t="shared" si="130"/>
        <v>0.6</v>
      </c>
      <c r="AF309" s="177">
        <f t="shared" si="131"/>
        <v>0.99725342230462322</v>
      </c>
      <c r="AG309" s="799">
        <f t="shared" si="132"/>
        <v>-2</v>
      </c>
      <c r="AH309" s="176">
        <f t="shared" si="133"/>
        <v>4</v>
      </c>
      <c r="AI309" s="224">
        <f t="shared" si="134"/>
        <v>-1.0027465776953768</v>
      </c>
      <c r="AJ309" s="264" t="b">
        <f t="shared" si="135"/>
        <v>0</v>
      </c>
      <c r="AK309" s="264" t="b">
        <f t="shared" si="136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37"/>
        <v>43761</v>
      </c>
      <c r="B310" s="607">
        <v>15.917999999999999</v>
      </c>
      <c r="C310" s="388"/>
      <c r="D310" s="391">
        <f t="shared" si="114"/>
        <v>15.999048593951894</v>
      </c>
      <c r="E310" s="383">
        <f t="shared" si="140"/>
        <v>16.435478968642578</v>
      </c>
      <c r="F310" s="383">
        <f t="shared" si="139"/>
        <v>16.435500851243614</v>
      </c>
      <c r="G310" s="110">
        <f t="shared" si="141"/>
        <v>0.40559182820771145</v>
      </c>
      <c r="I310" s="379">
        <f t="shared" si="115"/>
        <v>16.435500851243614</v>
      </c>
      <c r="J310" s="85">
        <v>2018</v>
      </c>
      <c r="K310" s="197">
        <f t="shared" si="116"/>
        <v>43761</v>
      </c>
      <c r="L310" s="435">
        <f t="shared" si="117"/>
        <v>5.0658383513213501E-3</v>
      </c>
      <c r="M310" s="842"/>
      <c r="N310" s="842"/>
      <c r="O310" s="323">
        <f t="shared" si="118"/>
        <v>2.6554162219631937E-2</v>
      </c>
      <c r="P310" s="169">
        <f>(INDEX(Models!$BJ310:$BT310,,T310)*(1-R310)+INDEX(Models!$BJ310:$BT310,,T310+1)*R310-ERP_i)*Q310*Ramure*Pc/MaxiM</f>
        <v>8.826148444166747E-6</v>
      </c>
      <c r="Q310" s="304">
        <f t="shared" si="119"/>
        <v>0.6</v>
      </c>
      <c r="R310" s="177">
        <f t="shared" si="120"/>
        <v>0.99733462698644493</v>
      </c>
      <c r="S310" s="799">
        <f t="shared" si="138"/>
        <v>-2</v>
      </c>
      <c r="T310" s="176">
        <f t="shared" si="121"/>
        <v>4</v>
      </c>
      <c r="U310" s="250">
        <f t="shared" si="122"/>
        <v>-1.0026653730135551</v>
      </c>
      <c r="V310" s="382">
        <f t="shared" si="123"/>
        <v>39.246058701771865</v>
      </c>
      <c r="W310" s="58"/>
      <c r="X310" s="157">
        <f t="shared" si="124"/>
        <v>43761</v>
      </c>
      <c r="Y310" s="383">
        <f t="shared" si="125"/>
        <v>15.917999999999999</v>
      </c>
      <c r="Z310" s="383">
        <f t="shared" si="126"/>
        <v>15.999048593951894</v>
      </c>
      <c r="AA310" s="384">
        <f t="shared" si="127"/>
        <v>16.435478968642578</v>
      </c>
      <c r="AB310" s="197">
        <f t="shared" si="128"/>
        <v>43761</v>
      </c>
      <c r="AC310" s="424">
        <f t="shared" si="129"/>
        <v>2.6554162219631937E-2</v>
      </c>
      <c r="AD310" s="169">
        <f>(INDEX(Models!$BJ310:$BT310,,AH310)*(1-AF310)+INDEX(Models!$BJ310:$BT310,,AH310+1)*AF310-ERP_i)*AE310*Ramure*Pc/MaxiM</f>
        <v>8.826148444166747E-6</v>
      </c>
      <c r="AE310" s="304">
        <f t="shared" si="130"/>
        <v>0.6</v>
      </c>
      <c r="AF310" s="177">
        <f t="shared" si="131"/>
        <v>0.99733462698644493</v>
      </c>
      <c r="AG310" s="799">
        <f t="shared" si="132"/>
        <v>-2</v>
      </c>
      <c r="AH310" s="176">
        <f t="shared" si="133"/>
        <v>4</v>
      </c>
      <c r="AI310" s="224">
        <f t="shared" si="134"/>
        <v>-1.0026653730135551</v>
      </c>
      <c r="AJ310" s="264" t="b">
        <f t="shared" si="135"/>
        <v>0</v>
      </c>
      <c r="AK310" s="264" t="b">
        <f t="shared" si="136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37"/>
        <v>43762</v>
      </c>
      <c r="B311" s="607">
        <v>17.864000000000001</v>
      </c>
      <c r="C311" s="388"/>
      <c r="D311" s="391">
        <f t="shared" si="114"/>
        <v>17.95530101855525</v>
      </c>
      <c r="E311" s="383">
        <f t="shared" si="140"/>
        <v>18.446437081570181</v>
      </c>
      <c r="F311" s="383">
        <f t="shared" si="139"/>
        <v>18.446474611745799</v>
      </c>
      <c r="G311" s="110">
        <f t="shared" si="141"/>
        <v>0.4593038262766645</v>
      </c>
      <c r="I311" s="379">
        <f t="shared" si="115"/>
        <v>18.446474611745799</v>
      </c>
      <c r="J311" s="85">
        <v>2018</v>
      </c>
      <c r="K311" s="197">
        <f t="shared" si="116"/>
        <v>43762</v>
      </c>
      <c r="L311" s="435">
        <f t="shared" si="117"/>
        <v>5.084906037548409E-3</v>
      </c>
      <c r="M311" s="842"/>
      <c r="N311" s="842"/>
      <c r="O311" s="323">
        <f t="shared" si="118"/>
        <v>2.6624982420351832E-2</v>
      </c>
      <c r="P311" s="169">
        <f>(INDEX(Models!$BJ311:$BT311,,T311)*(1-R311)+INDEX(Models!$BJ311:$BT311,,T311+1)*R311-ERP_i)*Q311*Ramure*Pc/MaxiM</f>
        <v>8.9398535536300724E-6</v>
      </c>
      <c r="Q311" s="304">
        <f t="shared" si="119"/>
        <v>0.6</v>
      </c>
      <c r="R311" s="177">
        <f t="shared" si="120"/>
        <v>0.99741258699883772</v>
      </c>
      <c r="S311" s="799">
        <f t="shared" si="138"/>
        <v>-2</v>
      </c>
      <c r="T311" s="176">
        <f t="shared" si="121"/>
        <v>4</v>
      </c>
      <c r="U311" s="250">
        <f t="shared" si="122"/>
        <v>-1.0025874130011623</v>
      </c>
      <c r="V311" s="382">
        <f t="shared" si="123"/>
        <v>38.89337650008985</v>
      </c>
      <c r="W311" s="58"/>
      <c r="X311" s="157">
        <f t="shared" si="124"/>
        <v>43762</v>
      </c>
      <c r="Y311" s="383">
        <f t="shared" si="125"/>
        <v>17.864000000000001</v>
      </c>
      <c r="Z311" s="383">
        <f t="shared" si="126"/>
        <v>17.95530101855525</v>
      </c>
      <c r="AA311" s="384">
        <f t="shared" si="127"/>
        <v>18.446437081570181</v>
      </c>
      <c r="AB311" s="197">
        <f t="shared" si="128"/>
        <v>43762</v>
      </c>
      <c r="AC311" s="424">
        <f t="shared" si="129"/>
        <v>2.6624982420351832E-2</v>
      </c>
      <c r="AD311" s="169">
        <f>(INDEX(Models!$BJ311:$BT311,,AH311)*(1-AF311)+INDEX(Models!$BJ311:$BT311,,AH311+1)*AF311-ERP_i)*AE311*Ramure*Pc/MaxiM</f>
        <v>8.9398535536300724E-6</v>
      </c>
      <c r="AE311" s="304">
        <f t="shared" si="130"/>
        <v>0.6</v>
      </c>
      <c r="AF311" s="177">
        <f t="shared" si="131"/>
        <v>0.99741258699883772</v>
      </c>
      <c r="AG311" s="799">
        <f t="shared" si="132"/>
        <v>-2</v>
      </c>
      <c r="AH311" s="176">
        <f t="shared" si="133"/>
        <v>4</v>
      </c>
      <c r="AI311" s="224">
        <f t="shared" si="134"/>
        <v>-1.0025874130011623</v>
      </c>
      <c r="AJ311" s="264" t="b">
        <f t="shared" si="135"/>
        <v>0</v>
      </c>
      <c r="AK311" s="264" t="b">
        <f t="shared" si="136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37"/>
        <v>43763</v>
      </c>
      <c r="B312" s="607">
        <v>28.667999999999999</v>
      </c>
      <c r="C312" s="388"/>
      <c r="D312" s="391">
        <f t="shared" si="114"/>
        <v>28.815071356522573</v>
      </c>
      <c r="E312" s="383">
        <f t="shared" si="140"/>
        <v>29.605399196984703</v>
      </c>
      <c r="F312" s="383">
        <f t="shared" si="139"/>
        <v>29.60556865824055</v>
      </c>
      <c r="G312" s="110">
        <f t="shared" si="141"/>
        <v>0.74379353589077934</v>
      </c>
      <c r="I312" s="379">
        <f t="shared" si="115"/>
        <v>29.60556865824055</v>
      </c>
      <c r="J312" s="85">
        <v>2018</v>
      </c>
      <c r="K312" s="197">
        <f t="shared" si="116"/>
        <v>43763</v>
      </c>
      <c r="L312" s="435">
        <f t="shared" si="117"/>
        <v>5.1039733583475577E-3</v>
      </c>
      <c r="M312" s="842"/>
      <c r="N312" s="842"/>
      <c r="O312" s="323">
        <f t="shared" si="118"/>
        <v>2.6695395498758271E-2</v>
      </c>
      <c r="P312" s="169">
        <f>(INDEX(Models!$BJ312:$BT312,,T312)*(1-R312)+INDEX(Models!$BJ312:$BT312,,T312+1)*R312-ERP_i)*Q312*Ramure*Pc/MaxiM</f>
        <v>9.0284183711016521E-6</v>
      </c>
      <c r="Q312" s="304">
        <f t="shared" si="119"/>
        <v>0.6</v>
      </c>
      <c r="R312" s="177">
        <f t="shared" si="120"/>
        <v>0.99748743103024595</v>
      </c>
      <c r="S312" s="799">
        <f t="shared" si="138"/>
        <v>-2</v>
      </c>
      <c r="T312" s="176">
        <f t="shared" si="121"/>
        <v>4</v>
      </c>
      <c r="U312" s="250">
        <f t="shared" si="122"/>
        <v>-1.002512568969754</v>
      </c>
      <c r="V312" s="382">
        <f t="shared" si="123"/>
        <v>38.542826583013877</v>
      </c>
      <c r="W312" s="58"/>
      <c r="X312" s="157">
        <f t="shared" si="124"/>
        <v>43763</v>
      </c>
      <c r="Y312" s="383">
        <f t="shared" si="125"/>
        <v>28.667999999999999</v>
      </c>
      <c r="Z312" s="383">
        <f t="shared" si="126"/>
        <v>28.815071356522573</v>
      </c>
      <c r="AA312" s="384">
        <f t="shared" si="127"/>
        <v>29.605399196984703</v>
      </c>
      <c r="AB312" s="197">
        <f t="shared" si="128"/>
        <v>43763</v>
      </c>
      <c r="AC312" s="424">
        <f t="shared" si="129"/>
        <v>2.6695395498758271E-2</v>
      </c>
      <c r="AD312" s="169">
        <f>(INDEX(Models!$BJ312:$BT312,,AH312)*(1-AF312)+INDEX(Models!$BJ312:$BT312,,AH312+1)*AF312-ERP_i)*AE312*Ramure*Pc/MaxiM</f>
        <v>9.0284183711016521E-6</v>
      </c>
      <c r="AE312" s="304">
        <f t="shared" si="130"/>
        <v>0.6</v>
      </c>
      <c r="AF312" s="177">
        <f t="shared" si="131"/>
        <v>0.99748743103024595</v>
      </c>
      <c r="AG312" s="799">
        <f t="shared" si="132"/>
        <v>-2</v>
      </c>
      <c r="AH312" s="176">
        <f t="shared" si="133"/>
        <v>4</v>
      </c>
      <c r="AI312" s="224">
        <f t="shared" si="134"/>
        <v>-1.002512568969754</v>
      </c>
      <c r="AJ312" s="264" t="b">
        <f t="shared" si="135"/>
        <v>0</v>
      </c>
      <c r="AK312" s="264" t="b">
        <f t="shared" si="136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37"/>
        <v>43764</v>
      </c>
      <c r="B313" s="607">
        <v>37.265999999999998</v>
      </c>
      <c r="C313" s="388"/>
      <c r="D313" s="391">
        <f t="shared" si="114"/>
        <v>37.457898323177083</v>
      </c>
      <c r="E313" s="383">
        <f t="shared" si="140"/>
        <v>38.488047122551215</v>
      </c>
      <c r="F313" s="383">
        <f t="shared" si="139"/>
        <v>38.488384875395617</v>
      </c>
      <c r="G313" s="110">
        <f t="shared" si="141"/>
        <v>0.97566298195026147</v>
      </c>
      <c r="I313" s="379">
        <f t="shared" si="115"/>
        <v>38.488384875395617</v>
      </c>
      <c r="J313" s="85">
        <v>2018</v>
      </c>
      <c r="K313" s="197">
        <f t="shared" si="116"/>
        <v>43764</v>
      </c>
      <c r="L313" s="435">
        <f t="shared" si="117"/>
        <v>5.1230403137259017E-3</v>
      </c>
      <c r="M313" s="842"/>
      <c r="N313" s="842"/>
      <c r="O313" s="323">
        <f t="shared" si="118"/>
        <v>2.6765421381188773E-2</v>
      </c>
      <c r="P313" s="169">
        <f>(INDEX(Models!$BJ313:$BT313,,T313)*(1-R313)+INDEX(Models!$BJ313:$BT313,,T313+1)*R313-ERP_i)*Q313*Ramure*Pc/MaxiM</f>
        <v>9.0915314331910001E-6</v>
      </c>
      <c r="Q313" s="304">
        <f t="shared" si="119"/>
        <v>0.6</v>
      </c>
      <c r="R313" s="177">
        <f t="shared" si="120"/>
        <v>0.99755928274047534</v>
      </c>
      <c r="S313" s="799">
        <f t="shared" si="138"/>
        <v>-2</v>
      </c>
      <c r="T313" s="176">
        <f t="shared" si="121"/>
        <v>4</v>
      </c>
      <c r="U313" s="250">
        <f t="shared" si="122"/>
        <v>-1.0024407172595247</v>
      </c>
      <c r="V313" s="382">
        <f t="shared" si="123"/>
        <v>38.195554110563513</v>
      </c>
      <c r="W313" s="58"/>
      <c r="X313" s="157">
        <f t="shared" si="124"/>
        <v>43764</v>
      </c>
      <c r="Y313" s="383">
        <f t="shared" si="125"/>
        <v>37.265999999999998</v>
      </c>
      <c r="Z313" s="383">
        <f t="shared" si="126"/>
        <v>37.457898323177083</v>
      </c>
      <c r="AA313" s="384">
        <f t="shared" si="127"/>
        <v>38.488047122551215</v>
      </c>
      <c r="AB313" s="197">
        <f t="shared" si="128"/>
        <v>43764</v>
      </c>
      <c r="AC313" s="424">
        <f t="shared" si="129"/>
        <v>2.6765421381188773E-2</v>
      </c>
      <c r="AD313" s="169">
        <f>(INDEX(Models!$BJ313:$BT313,,AH313)*(1-AF313)+INDEX(Models!$BJ313:$BT313,,AH313+1)*AF313-ERP_i)*AE313*Ramure*Pc/MaxiM</f>
        <v>9.0915314331910001E-6</v>
      </c>
      <c r="AE313" s="304">
        <f t="shared" si="130"/>
        <v>0.6</v>
      </c>
      <c r="AF313" s="177">
        <f t="shared" si="131"/>
        <v>0.99755928274047534</v>
      </c>
      <c r="AG313" s="799">
        <f t="shared" si="132"/>
        <v>-2</v>
      </c>
      <c r="AH313" s="176">
        <f t="shared" si="133"/>
        <v>4</v>
      </c>
      <c r="AI313" s="224">
        <f t="shared" si="134"/>
        <v>-1.0024407172595247</v>
      </c>
      <c r="AJ313" s="264" t="b">
        <f t="shared" si="135"/>
        <v>0</v>
      </c>
      <c r="AK313" s="264" t="b">
        <f t="shared" si="136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37"/>
        <v>43765</v>
      </c>
      <c r="B314" s="607">
        <v>27.699000000000002</v>
      </c>
      <c r="C314" s="388"/>
      <c r="D314" s="391">
        <f t="shared" si="114"/>
        <v>27.842167401207451</v>
      </c>
      <c r="E314" s="383">
        <f t="shared" si="140"/>
        <v>28.609916846488023</v>
      </c>
      <c r="F314" s="383">
        <f t="shared" si="139"/>
        <v>28.610077940420737</v>
      </c>
      <c r="G314" s="110">
        <f>+Wh_hp/MaxiM</f>
        <v>0.73175494252335949</v>
      </c>
      <c r="I314" s="379">
        <f t="shared" si="115"/>
        <v>28.610077940420737</v>
      </c>
      <c r="J314" s="85">
        <v>2018</v>
      </c>
      <c r="K314" s="197">
        <f t="shared" si="116"/>
        <v>43765</v>
      </c>
      <c r="L314" s="435">
        <f t="shared" si="117"/>
        <v>5.1421069036903244E-3</v>
      </c>
      <c r="M314" s="842"/>
      <c r="N314" s="842"/>
      <c r="O314" s="323">
        <f t="shared" si="118"/>
        <v>2.6835081325125045E-2</v>
      </c>
      <c r="P314" s="169">
        <f>(INDEX(Models!$BJ314:$BT314,,T314)*(1-R314)+INDEX(Models!$BJ314:$BT314,,T314+1)*R314-ERP_i)*Q314*Ramure*Pc/MaxiM</f>
        <v>9.1288966461005698E-6</v>
      </c>
      <c r="Q314" s="304">
        <f t="shared" si="119"/>
        <v>0.6</v>
      </c>
      <c r="R314" s="177">
        <f t="shared" si="120"/>
        <v>0.99762826095125279</v>
      </c>
      <c r="S314" s="799">
        <f t="shared" si="138"/>
        <v>-2</v>
      </c>
      <c r="T314" s="176">
        <f t="shared" si="121"/>
        <v>4</v>
      </c>
      <c r="U314" s="250">
        <f t="shared" si="122"/>
        <v>-1.0023717390487472</v>
      </c>
      <c r="V314" s="382">
        <f t="shared" si="123"/>
        <v>37.852703811719962</v>
      </c>
      <c r="W314" s="58"/>
      <c r="X314" s="157">
        <f t="shared" si="124"/>
        <v>43765</v>
      </c>
      <c r="Y314" s="383">
        <f t="shared" si="125"/>
        <v>27.699000000000002</v>
      </c>
      <c r="Z314" s="383">
        <f t="shared" si="126"/>
        <v>27.842167401207451</v>
      </c>
      <c r="AA314" s="384">
        <f t="shared" si="127"/>
        <v>28.609916846488023</v>
      </c>
      <c r="AB314" s="197">
        <f t="shared" si="128"/>
        <v>43765</v>
      </c>
      <c r="AC314" s="424">
        <f t="shared" si="129"/>
        <v>2.6835081325125045E-2</v>
      </c>
      <c r="AD314" s="169">
        <f>(INDEX(Models!$BJ314:$BT314,,AH314)*(1-AF314)+INDEX(Models!$BJ314:$BT314,,AH314+1)*AF314-ERP_i)*AE314*Ramure*Pc/MaxiM</f>
        <v>9.1288966461005698E-6</v>
      </c>
      <c r="AE314" s="304">
        <f t="shared" si="130"/>
        <v>0.6</v>
      </c>
      <c r="AF314" s="177">
        <f t="shared" si="131"/>
        <v>0.99762826095125279</v>
      </c>
      <c r="AG314" s="799">
        <f t="shared" si="132"/>
        <v>-2</v>
      </c>
      <c r="AH314" s="176">
        <f t="shared" si="133"/>
        <v>4</v>
      </c>
      <c r="AI314" s="224">
        <f t="shared" si="134"/>
        <v>-1.0023717390487472</v>
      </c>
      <c r="AJ314" s="264" t="b">
        <f t="shared" si="135"/>
        <v>0</v>
      </c>
      <c r="AK314" s="264" t="b">
        <f t="shared" si="136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37"/>
        <v>43766</v>
      </c>
      <c r="B315" s="607">
        <v>9.6440000000000001</v>
      </c>
      <c r="C315" s="388"/>
      <c r="D315" s="391">
        <f t="shared" si="114"/>
        <v>9.6940325804586234</v>
      </c>
      <c r="E315" s="383">
        <f t="shared" si="140"/>
        <v>9.9620556901829644</v>
      </c>
      <c r="F315" s="383">
        <f t="shared" si="139"/>
        <v>9.9620556901829644</v>
      </c>
      <c r="G315" s="110">
        <f t="shared" si="141"/>
        <v>0.25706527756782299</v>
      </c>
      <c r="I315" s="379">
        <f t="shared" si="115"/>
        <v>9.9620556901829644</v>
      </c>
      <c r="J315" s="85">
        <v>2018</v>
      </c>
      <c r="K315" s="197">
        <f t="shared" si="116"/>
        <v>43766</v>
      </c>
      <c r="L315" s="435">
        <f t="shared" si="117"/>
        <v>5.1611731282479312E-3</v>
      </c>
      <c r="M315" s="842"/>
      <c r="N315" s="842"/>
      <c r="O315" s="323">
        <f t="shared" si="118"/>
        <v>2.6904397853192277E-2</v>
      </c>
      <c r="P315" s="169">
        <f>(INDEX(Models!$BJ315:$BT315,,T315)*(1-R315)+INDEX(Models!$BJ315:$BT315,,T315+1)*R315-ERP_i)*Q315*Ramure*Pc/MaxiM</f>
        <v>9.140239371095181E-6</v>
      </c>
      <c r="Q315" s="304">
        <f t="shared" si="119"/>
        <v>0.6</v>
      </c>
      <c r="R315" s="177">
        <f t="shared" si="120"/>
        <v>0.9976944798300349</v>
      </c>
      <c r="S315" s="799">
        <f t="shared" si="138"/>
        <v>-2</v>
      </c>
      <c r="T315" s="176">
        <f t="shared" si="121"/>
        <v>4</v>
      </c>
      <c r="U315" s="250">
        <f t="shared" si="122"/>
        <v>-1.0023055201699651</v>
      </c>
      <c r="V315" s="382">
        <f t="shared" si="123"/>
        <v>37.515419985054564</v>
      </c>
      <c r="W315" s="58"/>
      <c r="X315" s="157">
        <f t="shared" si="124"/>
        <v>43766</v>
      </c>
      <c r="Y315" s="383">
        <f t="shared" si="125"/>
        <v>9.6440000000000001</v>
      </c>
      <c r="Z315" s="383">
        <f t="shared" si="126"/>
        <v>9.6940325804586234</v>
      </c>
      <c r="AA315" s="384">
        <f t="shared" si="127"/>
        <v>9.9620556901829644</v>
      </c>
      <c r="AB315" s="197">
        <f t="shared" si="128"/>
        <v>43766</v>
      </c>
      <c r="AC315" s="424">
        <f t="shared" si="129"/>
        <v>2.6904397853192277E-2</v>
      </c>
      <c r="AD315" s="169">
        <f>(INDEX(Models!$BJ315:$BT315,,AH315)*(1-AF315)+INDEX(Models!$BJ315:$BT315,,AH315+1)*AF315-ERP_i)*AE315*Ramure*Pc/MaxiM</f>
        <v>9.140239371095181E-6</v>
      </c>
      <c r="AE315" s="304">
        <f t="shared" si="130"/>
        <v>0.6</v>
      </c>
      <c r="AF315" s="177">
        <f t="shared" si="131"/>
        <v>0.9976944798300349</v>
      </c>
      <c r="AG315" s="799">
        <f t="shared" si="132"/>
        <v>-2</v>
      </c>
      <c r="AH315" s="176">
        <f t="shared" si="133"/>
        <v>4</v>
      </c>
      <c r="AI315" s="224">
        <f t="shared" si="134"/>
        <v>-1.0023055201699651</v>
      </c>
      <c r="AJ315" s="264" t="b">
        <f t="shared" si="135"/>
        <v>0</v>
      </c>
      <c r="AK315" s="264" t="b">
        <f t="shared" si="136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37"/>
        <v>43767</v>
      </c>
      <c r="B316" s="607">
        <v>28.593</v>
      </c>
      <c r="C316" s="388"/>
      <c r="D316" s="391">
        <f t="shared" si="114"/>
        <v>28.74188985841629</v>
      </c>
      <c r="E316" s="383">
        <f t="shared" si="140"/>
        <v>29.538647454460026</v>
      </c>
      <c r="F316" s="383">
        <f t="shared" si="139"/>
        <v>29.53882803142611</v>
      </c>
      <c r="G316" s="110">
        <f t="shared" si="141"/>
        <v>0.76893994615490535</v>
      </c>
      <c r="I316" s="379">
        <f t="shared" si="115"/>
        <v>29.53882803142611</v>
      </c>
      <c r="J316" s="85">
        <v>2018</v>
      </c>
      <c r="K316" s="197">
        <f t="shared" si="116"/>
        <v>43767</v>
      </c>
      <c r="L316" s="435">
        <f t="shared" si="117"/>
        <v>5.1802389874057164E-3</v>
      </c>
      <c r="M316" s="842"/>
      <c r="N316" s="842"/>
      <c r="O316" s="323">
        <f t="shared" si="118"/>
        <v>2.6973394678009611E-2</v>
      </c>
      <c r="P316" s="169">
        <f>(INDEX(Models!$BJ316:$BT316,,T316)*(1-R316)+INDEX(Models!$BJ316:$BT316,,T316+1)*R316-ERP_i)*Q316*Ramure*Pc/MaxiM</f>
        <v>9.1253127393456812E-6</v>
      </c>
      <c r="Q316" s="304">
        <f t="shared" si="119"/>
        <v>0.6</v>
      </c>
      <c r="R316" s="177">
        <f t="shared" si="120"/>
        <v>0.99775804906727106</v>
      </c>
      <c r="S316" s="799">
        <f t="shared" si="138"/>
        <v>-2</v>
      </c>
      <c r="T316" s="176">
        <f t="shared" si="121"/>
        <v>4</v>
      </c>
      <c r="U316" s="250">
        <f t="shared" si="122"/>
        <v>-1.0022419509327289</v>
      </c>
      <c r="V316" s="382">
        <f t="shared" si="123"/>
        <v>37.184846511498428</v>
      </c>
      <c r="W316" s="58"/>
      <c r="X316" s="157">
        <f t="shared" si="124"/>
        <v>43767</v>
      </c>
      <c r="Y316" s="383">
        <f t="shared" si="125"/>
        <v>28.593</v>
      </c>
      <c r="Z316" s="383">
        <f t="shared" si="126"/>
        <v>28.74188985841629</v>
      </c>
      <c r="AA316" s="384">
        <f t="shared" si="127"/>
        <v>29.538647454460026</v>
      </c>
      <c r="AB316" s="197">
        <f t="shared" si="128"/>
        <v>43767</v>
      </c>
      <c r="AC316" s="424">
        <f t="shared" si="129"/>
        <v>2.6973394678009611E-2</v>
      </c>
      <c r="AD316" s="169">
        <f>(INDEX(Models!$BJ316:$BT316,,AH316)*(1-AF316)+INDEX(Models!$BJ316:$BT316,,AH316+1)*AF316-ERP_i)*AE316*Ramure*Pc/MaxiM</f>
        <v>9.1253127393456812E-6</v>
      </c>
      <c r="AE316" s="304">
        <f t="shared" si="130"/>
        <v>0.6</v>
      </c>
      <c r="AF316" s="177">
        <f t="shared" si="131"/>
        <v>0.99775804906727106</v>
      </c>
      <c r="AG316" s="799">
        <f t="shared" si="132"/>
        <v>-2</v>
      </c>
      <c r="AH316" s="176">
        <f t="shared" si="133"/>
        <v>4</v>
      </c>
      <c r="AI316" s="224">
        <f t="shared" si="134"/>
        <v>-1.0022419509327289</v>
      </c>
      <c r="AJ316" s="264" t="b">
        <f t="shared" si="135"/>
        <v>0</v>
      </c>
      <c r="AK316" s="264" t="b">
        <f t="shared" si="136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37"/>
        <v>43768</v>
      </c>
      <c r="B317" s="607">
        <v>21.777999999999999</v>
      </c>
      <c r="C317" s="388"/>
      <c r="D317" s="391">
        <f t="shared" si="114"/>
        <v>21.891822249522935</v>
      </c>
      <c r="E317" s="383">
        <f t="shared" si="140"/>
        <v>22.500276911706592</v>
      </c>
      <c r="F317" s="383">
        <f t="shared" si="139"/>
        <v>22.500361843651294</v>
      </c>
      <c r="G317" s="110">
        <f t="shared" si="141"/>
        <v>0.59084612531080305</v>
      </c>
      <c r="I317" s="379">
        <f t="shared" si="115"/>
        <v>22.500361843651294</v>
      </c>
      <c r="J317" s="85">
        <v>2018</v>
      </c>
      <c r="K317" s="197">
        <f t="shared" si="116"/>
        <v>43768</v>
      </c>
      <c r="L317" s="435">
        <f t="shared" si="117"/>
        <v>5.1993044811706746E-3</v>
      </c>
      <c r="M317" s="842"/>
      <c r="N317" s="842"/>
      <c r="O317" s="323">
        <f t="shared" si="118"/>
        <v>2.7042096618245803E-2</v>
      </c>
      <c r="P317" s="169">
        <f>(INDEX(Models!$BJ317:$BT317,,T317)*(1-R317)+INDEX(Models!$BJ317:$BT317,,T317+1)*R317-ERP_i)*Q317*Ramure*Pc/MaxiM</f>
        <v>9.0847219292356859E-6</v>
      </c>
      <c r="Q317" s="304">
        <f t="shared" si="119"/>
        <v>0.6</v>
      </c>
      <c r="R317" s="177">
        <f t="shared" si="120"/>
        <v>0.99781907404731363</v>
      </c>
      <c r="S317" s="799">
        <f t="shared" si="138"/>
        <v>-2</v>
      </c>
      <c r="T317" s="176">
        <f t="shared" si="121"/>
        <v>4</v>
      </c>
      <c r="U317" s="250">
        <f t="shared" si="122"/>
        <v>-1.0021809259526864</v>
      </c>
      <c r="V317" s="382">
        <f t="shared" si="123"/>
        <v>36.858808791010389</v>
      </c>
      <c r="W317" s="58"/>
      <c r="X317" s="157">
        <f t="shared" si="124"/>
        <v>43768</v>
      </c>
      <c r="Y317" s="383">
        <f t="shared" si="125"/>
        <v>21.777999999999999</v>
      </c>
      <c r="Z317" s="383">
        <f t="shared" si="126"/>
        <v>21.891822249522935</v>
      </c>
      <c r="AA317" s="384">
        <f t="shared" si="127"/>
        <v>22.500276911706592</v>
      </c>
      <c r="AB317" s="197">
        <f t="shared" si="128"/>
        <v>43768</v>
      </c>
      <c r="AC317" s="424">
        <f t="shared" si="129"/>
        <v>2.7042096618245803E-2</v>
      </c>
      <c r="AD317" s="169">
        <f>(INDEX(Models!$BJ317:$BT317,,AH317)*(1-AF317)+INDEX(Models!$BJ317:$BT317,,AH317+1)*AF317-ERP_i)*AE317*Ramure*Pc/MaxiM</f>
        <v>9.0847219292356859E-6</v>
      </c>
      <c r="AE317" s="304">
        <f t="shared" si="130"/>
        <v>0.6</v>
      </c>
      <c r="AF317" s="177">
        <f t="shared" si="131"/>
        <v>0.99781907404731363</v>
      </c>
      <c r="AG317" s="799">
        <f t="shared" si="132"/>
        <v>-2</v>
      </c>
      <c r="AH317" s="176">
        <f t="shared" si="133"/>
        <v>4</v>
      </c>
      <c r="AI317" s="224">
        <f t="shared" si="134"/>
        <v>-1.0021809259526864</v>
      </c>
      <c r="AJ317" s="264" t="b">
        <f t="shared" si="135"/>
        <v>0</v>
      </c>
      <c r="AK317" s="264" t="b">
        <f t="shared" si="136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37"/>
        <v>43769</v>
      </c>
      <c r="B318" s="607">
        <v>16.25</v>
      </c>
      <c r="C318" s="388"/>
      <c r="D318" s="391">
        <f t="shared" si="114"/>
        <v>16.33524333739647</v>
      </c>
      <c r="E318" s="383">
        <f t="shared" si="140"/>
        <v>16.790441085879198</v>
      </c>
      <c r="F318" s="383">
        <f t="shared" si="139"/>
        <v>16.790472494260264</v>
      </c>
      <c r="G318" s="110">
        <f t="shared" si="141"/>
        <v>0.44478179319156907</v>
      </c>
      <c r="I318" s="379">
        <f t="shared" si="115"/>
        <v>16.790472494260264</v>
      </c>
      <c r="J318" s="85">
        <v>2018</v>
      </c>
      <c r="K318" s="197">
        <f t="shared" si="116"/>
        <v>43769</v>
      </c>
      <c r="L318" s="435">
        <f t="shared" si="117"/>
        <v>5.2183696095498E-3</v>
      </c>
      <c r="M318" s="842"/>
      <c r="N318" s="842"/>
      <c r="O318" s="323">
        <f t="shared" si="118"/>
        <v>2.7110529506312278E-2</v>
      </c>
      <c r="P318" s="169">
        <f>(INDEX(Models!$BJ318:$BT318,,T318)*(1-R318)+INDEX(Models!$BJ318:$BT318,,T318+1)*R318-ERP_i)*Q318*Ramure*Pc/MaxiM</f>
        <v>9.0439291618649428E-6</v>
      </c>
      <c r="Q318" s="304">
        <f t="shared" si="119"/>
        <v>0.6</v>
      </c>
      <c r="R318" s="177">
        <f t="shared" si="120"/>
        <v>0.99787765601317457</v>
      </c>
      <c r="S318" s="799">
        <f t="shared" si="138"/>
        <v>-2</v>
      </c>
      <c r="T318" s="176">
        <f t="shared" si="121"/>
        <v>4</v>
      </c>
      <c r="U318" s="250">
        <f t="shared" si="122"/>
        <v>-1.0021223439868254</v>
      </c>
      <c r="V318" s="382">
        <f t="shared" si="123"/>
        <v>36.534506767239549</v>
      </c>
      <c r="W318" s="58"/>
      <c r="X318" s="157">
        <f t="shared" si="124"/>
        <v>43769</v>
      </c>
      <c r="Y318" s="383">
        <f t="shared" si="125"/>
        <v>16.25</v>
      </c>
      <c r="Z318" s="383">
        <f t="shared" si="126"/>
        <v>16.33524333739647</v>
      </c>
      <c r="AA318" s="384">
        <f t="shared" si="127"/>
        <v>16.790441085879198</v>
      </c>
      <c r="AB318" s="197">
        <f t="shared" si="128"/>
        <v>43769</v>
      </c>
      <c r="AC318" s="424">
        <f t="shared" si="129"/>
        <v>2.7110529506312278E-2</v>
      </c>
      <c r="AD318" s="169">
        <f>(INDEX(Models!$BJ318:$BT318,,AH318)*(1-AF318)+INDEX(Models!$BJ318:$BT318,,AH318+1)*AF318-ERP_i)*AE318*Ramure*Pc/MaxiM</f>
        <v>9.0439291618649428E-6</v>
      </c>
      <c r="AE318" s="304">
        <f t="shared" si="130"/>
        <v>0.6</v>
      </c>
      <c r="AF318" s="177">
        <f t="shared" si="131"/>
        <v>0.99787765601317457</v>
      </c>
      <c r="AG318" s="799">
        <f t="shared" si="132"/>
        <v>-2</v>
      </c>
      <c r="AH318" s="176">
        <f t="shared" si="133"/>
        <v>4</v>
      </c>
      <c r="AI318" s="224">
        <f t="shared" si="134"/>
        <v>-1.0021223439868254</v>
      </c>
      <c r="AJ318" s="264" t="b">
        <f t="shared" si="135"/>
        <v>0</v>
      </c>
      <c r="AK318" s="264" t="b">
        <f t="shared" si="136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37"/>
        <v>43770</v>
      </c>
      <c r="B319" s="607">
        <v>6.93</v>
      </c>
      <c r="C319" s="388"/>
      <c r="D319" s="391">
        <f t="shared" si="114"/>
        <v>6.966486515934462</v>
      </c>
      <c r="E319" s="383">
        <f t="shared" si="140"/>
        <v>7.1611164967177556</v>
      </c>
      <c r="F319" s="383">
        <f t="shared" si="139"/>
        <v>7.1611164967177556</v>
      </c>
      <c r="G319" s="110">
        <f t="shared" si="141"/>
        <v>0.19137052494101028</v>
      </c>
      <c r="I319" s="379">
        <f t="shared" si="115"/>
        <v>7.1611164967177556</v>
      </c>
      <c r="J319" s="85">
        <v>2018</v>
      </c>
      <c r="K319" s="197">
        <f t="shared" si="116"/>
        <v>43770</v>
      </c>
      <c r="L319" s="435">
        <f t="shared" si="117"/>
        <v>5.2374343725500871E-3</v>
      </c>
      <c r="M319" s="842"/>
      <c r="N319" s="842"/>
      <c r="O319" s="323">
        <f t="shared" si="118"/>
        <v>2.7178720088201401E-2</v>
      </c>
      <c r="P319" s="169">
        <f>(INDEX(Models!$BJ319:$BT319,,T319)*(1-R319)+INDEX(Models!$BJ319:$BT319,,T319+1)*R319-ERP_i)*Q319*Ramure*Pc/MaxiM</f>
        <v>9.0079207558979809E-6</v>
      </c>
      <c r="Q319" s="304">
        <f t="shared" si="119"/>
        <v>0.6</v>
      </c>
      <c r="R319" s="177">
        <f t="shared" si="120"/>
        <v>0.99793389222531625</v>
      </c>
      <c r="S319" s="799">
        <f t="shared" si="138"/>
        <v>-2</v>
      </c>
      <c r="T319" s="176">
        <f t="shared" si="121"/>
        <v>4</v>
      </c>
      <c r="U319" s="250">
        <f t="shared" si="122"/>
        <v>-1.0020661077746837</v>
      </c>
      <c r="V319" s="382">
        <f t="shared" si="123"/>
        <v>36.212146971145664</v>
      </c>
      <c r="W319" s="58"/>
      <c r="X319" s="157">
        <f t="shared" si="124"/>
        <v>43770</v>
      </c>
      <c r="Y319" s="383">
        <f t="shared" si="125"/>
        <v>6.93</v>
      </c>
      <c r="Z319" s="383">
        <f t="shared" si="126"/>
        <v>6.966486515934462</v>
      </c>
      <c r="AA319" s="384">
        <f t="shared" si="127"/>
        <v>7.1611164967177556</v>
      </c>
      <c r="AB319" s="197">
        <f t="shared" si="128"/>
        <v>43770</v>
      </c>
      <c r="AC319" s="424">
        <f t="shared" si="129"/>
        <v>2.7178720088201401E-2</v>
      </c>
      <c r="AD319" s="169">
        <f>(INDEX(Models!$BJ319:$BT319,,AH319)*(1-AF319)+INDEX(Models!$BJ319:$BT319,,AH319+1)*AF319-ERP_i)*AE319*Ramure*Pc/MaxiM</f>
        <v>9.0079207558979809E-6</v>
      </c>
      <c r="AE319" s="304">
        <f t="shared" si="130"/>
        <v>0.6</v>
      </c>
      <c r="AF319" s="177">
        <f t="shared" si="131"/>
        <v>0.99793389222531625</v>
      </c>
      <c r="AG319" s="799">
        <f t="shared" si="132"/>
        <v>-2</v>
      </c>
      <c r="AH319" s="176">
        <f t="shared" si="133"/>
        <v>4</v>
      </c>
      <c r="AI319" s="224">
        <f t="shared" si="134"/>
        <v>-1.0020661077746837</v>
      </c>
      <c r="AJ319" s="264" t="b">
        <f t="shared" si="135"/>
        <v>0</v>
      </c>
      <c r="AK319" s="264" t="b">
        <f t="shared" si="136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37"/>
        <v>43771</v>
      </c>
      <c r="B320" s="607">
        <v>5.4580000000000002</v>
      </c>
      <c r="C320" s="388"/>
      <c r="D320" s="391">
        <f t="shared" si="114"/>
        <v>5.4868415759963893</v>
      </c>
      <c r="E320" s="383">
        <f t="shared" si="140"/>
        <v>5.6405273083738221</v>
      </c>
      <c r="F320" s="383">
        <f t="shared" si="139"/>
        <v>5.6405273083738221</v>
      </c>
      <c r="G320" s="110">
        <f t="shared" si="141"/>
        <v>0.15206621890634664</v>
      </c>
      <c r="I320" s="379">
        <f t="shared" si="115"/>
        <v>5.6405273083738221</v>
      </c>
      <c r="J320" s="85">
        <v>2018</v>
      </c>
      <c r="K320" s="197">
        <f t="shared" si="116"/>
        <v>43771</v>
      </c>
      <c r="L320" s="435">
        <f t="shared" si="117"/>
        <v>5.2564987701785304E-3</v>
      </c>
      <c r="M320" s="842"/>
      <c r="N320" s="842"/>
      <c r="O320" s="323">
        <f t="shared" si="118"/>
        <v>2.7246695916049134E-2</v>
      </c>
      <c r="P320" s="169">
        <f>(INDEX(Models!$BJ320:$BT320,,T320)*(1-R320)+INDEX(Models!$BJ320:$BT320,,T320+1)*R320-ERP_i)*Q320*Ramure*Pc/MaxiM</f>
        <v>8.9767465023608744E-6</v>
      </c>
      <c r="Q320" s="304">
        <f t="shared" si="119"/>
        <v>0.6</v>
      </c>
      <c r="R320" s="177">
        <f t="shared" si="120"/>
        <v>0.99798787611467032</v>
      </c>
      <c r="S320" s="799">
        <f t="shared" si="138"/>
        <v>-2</v>
      </c>
      <c r="T320" s="176">
        <f t="shared" si="121"/>
        <v>4</v>
      </c>
      <c r="U320" s="250">
        <f t="shared" si="122"/>
        <v>-1.0020121238853297</v>
      </c>
      <c r="V320" s="382">
        <f t="shared" si="123"/>
        <v>35.891936053720066</v>
      </c>
      <c r="W320" s="58"/>
      <c r="X320" s="157">
        <f t="shared" si="124"/>
        <v>43771</v>
      </c>
      <c r="Y320" s="383">
        <f t="shared" si="125"/>
        <v>5.4580000000000002</v>
      </c>
      <c r="Z320" s="383">
        <f t="shared" si="126"/>
        <v>5.4868415759963893</v>
      </c>
      <c r="AA320" s="384">
        <f t="shared" si="127"/>
        <v>5.6405273083738221</v>
      </c>
      <c r="AB320" s="197">
        <f t="shared" si="128"/>
        <v>43771</v>
      </c>
      <c r="AC320" s="424">
        <f t="shared" si="129"/>
        <v>2.7246695916049134E-2</v>
      </c>
      <c r="AD320" s="169">
        <f>(INDEX(Models!$BJ320:$BT320,,AH320)*(1-AF320)+INDEX(Models!$BJ320:$BT320,,AH320+1)*AF320-ERP_i)*AE320*Ramure*Pc/MaxiM</f>
        <v>8.9767465023608744E-6</v>
      </c>
      <c r="AE320" s="304">
        <f t="shared" si="130"/>
        <v>0.6</v>
      </c>
      <c r="AF320" s="177">
        <f t="shared" si="131"/>
        <v>0.99798787611467032</v>
      </c>
      <c r="AG320" s="799">
        <f t="shared" si="132"/>
        <v>-2</v>
      </c>
      <c r="AH320" s="176">
        <f t="shared" si="133"/>
        <v>4</v>
      </c>
      <c r="AI320" s="224">
        <f t="shared" si="134"/>
        <v>-1.0020121238853297</v>
      </c>
      <c r="AJ320" s="264" t="b">
        <f t="shared" si="135"/>
        <v>0</v>
      </c>
      <c r="AK320" s="264" t="b">
        <f t="shared" si="136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37"/>
        <v>43772</v>
      </c>
      <c r="B321" s="607">
        <v>13.66</v>
      </c>
      <c r="C321" s="388"/>
      <c r="D321" s="391">
        <f t="shared" si="114"/>
        <v>13.732446383326408</v>
      </c>
      <c r="E321" s="383">
        <f t="shared" si="140"/>
        <v>14.118074315757669</v>
      </c>
      <c r="F321" s="383">
        <f t="shared" si="139"/>
        <v>14.118089477091585</v>
      </c>
      <c r="G321" s="110">
        <f t="shared" si="141"/>
        <v>0.38398441153125651</v>
      </c>
      <c r="I321" s="379">
        <f t="shared" si="115"/>
        <v>14.118089477091585</v>
      </c>
      <c r="J321" s="85">
        <v>2018</v>
      </c>
      <c r="K321" s="197">
        <f t="shared" si="116"/>
        <v>43772</v>
      </c>
      <c r="L321" s="435">
        <f t="shared" si="117"/>
        <v>5.2755628024421242E-3</v>
      </c>
      <c r="M321" s="842"/>
      <c r="N321" s="842"/>
      <c r="O321" s="323">
        <f t="shared" si="118"/>
        <v>2.7314485234069624E-2</v>
      </c>
      <c r="P321" s="169">
        <f>(INDEX(Models!$BJ321:$BT321,,T321)*(1-R321)+INDEX(Models!$BJ321:$BT321,,T321+1)*R321-ERP_i)*Q321*Ramure*Pc/MaxiM</f>
        <v>8.950456774904473E-6</v>
      </c>
      <c r="Q321" s="304">
        <f t="shared" si="119"/>
        <v>0.6</v>
      </c>
      <c r="R321" s="177">
        <f t="shared" si="120"/>
        <v>0.9980396974300636</v>
      </c>
      <c r="S321" s="799">
        <f t="shared" si="138"/>
        <v>-2</v>
      </c>
      <c r="T321" s="176">
        <f t="shared" si="121"/>
        <v>4</v>
      </c>
      <c r="U321" s="250">
        <f t="shared" si="122"/>
        <v>-1.0019603025699364</v>
      </c>
      <c r="V321" s="382">
        <f t="shared" si="123"/>
        <v>35.574080602819699</v>
      </c>
      <c r="W321" s="58"/>
      <c r="X321" s="157">
        <f t="shared" si="124"/>
        <v>43772</v>
      </c>
      <c r="Y321" s="383">
        <f t="shared" si="125"/>
        <v>13.66</v>
      </c>
      <c r="Z321" s="383">
        <f t="shared" si="126"/>
        <v>13.732446383326408</v>
      </c>
      <c r="AA321" s="384">
        <f t="shared" si="127"/>
        <v>14.118074315757669</v>
      </c>
      <c r="AB321" s="197">
        <f t="shared" si="128"/>
        <v>43772</v>
      </c>
      <c r="AC321" s="424">
        <f t="shared" si="129"/>
        <v>2.7314485234069624E-2</v>
      </c>
      <c r="AD321" s="169">
        <f>(INDEX(Models!$BJ321:$BT321,,AH321)*(1-AF321)+INDEX(Models!$BJ321:$BT321,,AH321+1)*AF321-ERP_i)*AE321*Ramure*Pc/MaxiM</f>
        <v>8.950456774904473E-6</v>
      </c>
      <c r="AE321" s="304">
        <f t="shared" si="130"/>
        <v>0.6</v>
      </c>
      <c r="AF321" s="177">
        <f t="shared" si="131"/>
        <v>0.9980396974300636</v>
      </c>
      <c r="AG321" s="799">
        <f t="shared" si="132"/>
        <v>-2</v>
      </c>
      <c r="AH321" s="176">
        <f t="shared" si="133"/>
        <v>4</v>
      </c>
      <c r="AI321" s="224">
        <f t="shared" si="134"/>
        <v>-1.0019603025699364</v>
      </c>
      <c r="AJ321" s="264" t="b">
        <f t="shared" si="135"/>
        <v>0</v>
      </c>
      <c r="AK321" s="264" t="b">
        <f t="shared" si="136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37"/>
        <v>43773</v>
      </c>
      <c r="B322" s="607">
        <v>15.422000000000001</v>
      </c>
      <c r="C322" s="388"/>
      <c r="D322" s="391">
        <f t="shared" si="114"/>
        <v>15.504088356595942</v>
      </c>
      <c r="E322" s="383">
        <f t="shared" si="140"/>
        <v>15.940575045278596</v>
      </c>
      <c r="F322" s="383">
        <f t="shared" si="139"/>
        <v>15.940602982544132</v>
      </c>
      <c r="G322" s="110">
        <f t="shared" si="141"/>
        <v>0.43739137300449971</v>
      </c>
      <c r="I322" s="379">
        <f t="shared" si="115"/>
        <v>15.940602982544132</v>
      </c>
      <c r="J322" s="85">
        <v>2018</v>
      </c>
      <c r="K322" s="197">
        <f t="shared" si="116"/>
        <v>43773</v>
      </c>
      <c r="L322" s="435">
        <f t="shared" si="117"/>
        <v>5.2946264693478629E-3</v>
      </c>
      <c r="M322" s="842"/>
      <c r="N322" s="842"/>
      <c r="O322" s="323">
        <f t="shared" si="118"/>
        <v>2.7382116858571937E-2</v>
      </c>
      <c r="P322" s="169">
        <f>(INDEX(Models!$BJ322:$BT322,,T322)*(1-R322)+INDEX(Models!$BJ322:$BT322,,T322+1)*R322-ERP_i)*Q322*Ramure*Pc/MaxiM</f>
        <v>8.9291024199940272E-6</v>
      </c>
      <c r="Q322" s="304">
        <f t="shared" si="119"/>
        <v>0.6</v>
      </c>
      <c r="R322" s="177">
        <f t="shared" si="120"/>
        <v>0.998089442380236</v>
      </c>
      <c r="S322" s="799">
        <f t="shared" si="138"/>
        <v>-2</v>
      </c>
      <c r="T322" s="176">
        <f t="shared" si="121"/>
        <v>4</v>
      </c>
      <c r="U322" s="250">
        <f t="shared" si="122"/>
        <v>-1.001910557619764</v>
      </c>
      <c r="V322" s="382">
        <f t="shared" si="123"/>
        <v>35.258787153535046</v>
      </c>
      <c r="W322" s="58"/>
      <c r="X322" s="157">
        <f t="shared" si="124"/>
        <v>43773</v>
      </c>
      <c r="Y322" s="383">
        <f t="shared" si="125"/>
        <v>15.422000000000001</v>
      </c>
      <c r="Z322" s="383">
        <f t="shared" si="126"/>
        <v>15.504088356595942</v>
      </c>
      <c r="AA322" s="384">
        <f t="shared" si="127"/>
        <v>15.940575045278596</v>
      </c>
      <c r="AB322" s="197">
        <f t="shared" si="128"/>
        <v>43773</v>
      </c>
      <c r="AC322" s="424">
        <f t="shared" si="129"/>
        <v>2.7382116858571937E-2</v>
      </c>
      <c r="AD322" s="169">
        <f>(INDEX(Models!$BJ322:$BT322,,AH322)*(1-AF322)+INDEX(Models!$BJ322:$BT322,,AH322+1)*AF322-ERP_i)*AE322*Ramure*Pc/MaxiM</f>
        <v>8.9291024199940272E-6</v>
      </c>
      <c r="AE322" s="304">
        <f t="shared" si="130"/>
        <v>0.6</v>
      </c>
      <c r="AF322" s="177">
        <f t="shared" si="131"/>
        <v>0.998089442380236</v>
      </c>
      <c r="AG322" s="799">
        <f t="shared" si="132"/>
        <v>-2</v>
      </c>
      <c r="AH322" s="176">
        <f t="shared" si="133"/>
        <v>4</v>
      </c>
      <c r="AI322" s="224">
        <f t="shared" si="134"/>
        <v>-1.001910557619764</v>
      </c>
      <c r="AJ322" s="264" t="b">
        <f t="shared" si="135"/>
        <v>0</v>
      </c>
      <c r="AK322" s="264" t="b">
        <f t="shared" si="136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37"/>
        <v>43774</v>
      </c>
      <c r="B323" s="607">
        <v>13.895</v>
      </c>
      <c r="C323" s="388"/>
      <c r="D323" s="391">
        <f t="shared" si="114"/>
        <v>13.969228144699899</v>
      </c>
      <c r="E323" s="383">
        <f t="shared" si="140"/>
        <v>14.363500783844923</v>
      </c>
      <c r="F323" s="383">
        <f t="shared" si="139"/>
        <v>14.36351863516005</v>
      </c>
      <c r="G323" s="110">
        <f t="shared" si="141"/>
        <v>0.39760742798729826</v>
      </c>
      <c r="I323" s="379">
        <f t="shared" si="115"/>
        <v>14.36351863516005</v>
      </c>
      <c r="J323" s="85">
        <v>2018</v>
      </c>
      <c r="K323" s="197">
        <f t="shared" si="116"/>
        <v>43774</v>
      </c>
      <c r="L323" s="435">
        <f t="shared" si="117"/>
        <v>5.3136897709028519E-3</v>
      </c>
      <c r="M323" s="842"/>
      <c r="N323" s="842"/>
      <c r="O323" s="323">
        <f t="shared" si="118"/>
        <v>2.7449620052826942E-2</v>
      </c>
      <c r="P323" s="169">
        <f>(INDEX(Models!$BJ323:$BT323,,T323)*(1-R323)+INDEX(Models!$BJ323:$BT323,,T323+1)*R323-ERP_i)*Q323*Ramure*Pc/MaxiM</f>
        <v>8.9127346432146329E-6</v>
      </c>
      <c r="Q323" s="304">
        <f t="shared" si="119"/>
        <v>0.6</v>
      </c>
      <c r="R323" s="177">
        <f t="shared" si="120"/>
        <v>0.99813719377062537</v>
      </c>
      <c r="S323" s="799">
        <f t="shared" si="138"/>
        <v>-2</v>
      </c>
      <c r="T323" s="176">
        <f t="shared" si="121"/>
        <v>4</v>
      </c>
      <c r="U323" s="250">
        <f t="shared" si="122"/>
        <v>-1.0018628062293746</v>
      </c>
      <c r="V323" s="382">
        <f t="shared" si="123"/>
        <v>34.946262188272861</v>
      </c>
      <c r="W323" s="58"/>
      <c r="X323" s="157">
        <f t="shared" si="124"/>
        <v>43774</v>
      </c>
      <c r="Y323" s="383">
        <f t="shared" si="125"/>
        <v>13.895</v>
      </c>
      <c r="Z323" s="383">
        <f t="shared" si="126"/>
        <v>13.969228144699899</v>
      </c>
      <c r="AA323" s="384">
        <f t="shared" si="127"/>
        <v>14.363500783844923</v>
      </c>
      <c r="AB323" s="197">
        <f t="shared" si="128"/>
        <v>43774</v>
      </c>
      <c r="AC323" s="424">
        <f t="shared" si="129"/>
        <v>2.7449620052826942E-2</v>
      </c>
      <c r="AD323" s="169">
        <f>(INDEX(Models!$BJ323:$BT323,,AH323)*(1-AF323)+INDEX(Models!$BJ323:$BT323,,AH323+1)*AF323-ERP_i)*AE323*Ramure*Pc/MaxiM</f>
        <v>8.9127346432146329E-6</v>
      </c>
      <c r="AE323" s="304">
        <f t="shared" si="130"/>
        <v>0.6</v>
      </c>
      <c r="AF323" s="177">
        <f t="shared" si="131"/>
        <v>0.99813719377062537</v>
      </c>
      <c r="AG323" s="799">
        <f t="shared" si="132"/>
        <v>-2</v>
      </c>
      <c r="AH323" s="176">
        <f t="shared" si="133"/>
        <v>4</v>
      </c>
      <c r="AI323" s="224">
        <f t="shared" si="134"/>
        <v>-1.0018628062293746</v>
      </c>
      <c r="AJ323" s="264" t="b">
        <f t="shared" si="135"/>
        <v>0</v>
      </c>
      <c r="AK323" s="264" t="b">
        <f t="shared" si="136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37"/>
        <v>43775</v>
      </c>
      <c r="B324" s="607">
        <v>13.816000000000001</v>
      </c>
      <c r="C324" s="388"/>
      <c r="D324" s="391">
        <f t="shared" si="114"/>
        <v>13.890072320770599</v>
      </c>
      <c r="E324" s="383">
        <f t="shared" si="140"/>
        <v>14.283100752654837</v>
      </c>
      <c r="F324" s="383">
        <f t="shared" si="139"/>
        <v>14.283118865563535</v>
      </c>
      <c r="G324" s="110">
        <f t="shared" si="141"/>
        <v>0.39888008079295828</v>
      </c>
      <c r="I324" s="379">
        <f t="shared" si="115"/>
        <v>14.283118865563535</v>
      </c>
      <c r="J324" s="85">
        <v>2018</v>
      </c>
      <c r="K324" s="197">
        <f t="shared" si="116"/>
        <v>43775</v>
      </c>
      <c r="L324" s="435">
        <f t="shared" si="117"/>
        <v>5.3327527071139746E-3</v>
      </c>
      <c r="M324" s="842"/>
      <c r="N324" s="842"/>
      <c r="O324" s="323">
        <f t="shared" si="118"/>
        <v>2.751702439760394E-2</v>
      </c>
      <c r="P324" s="169">
        <f>(INDEX(Models!$BJ324:$BT324,,T324)*(1-R324)+INDEX(Models!$BJ324:$BT324,,T324+1)*R324-ERP_i)*Q324*Ramure*Pc/MaxiM</f>
        <v>8.9771993479833642E-6</v>
      </c>
      <c r="Q324" s="304">
        <f t="shared" si="119"/>
        <v>0.6</v>
      </c>
      <c r="R324" s="177">
        <f t="shared" si="120"/>
        <v>0.99818303113509455</v>
      </c>
      <c r="S324" s="799">
        <f t="shared" si="138"/>
        <v>-2</v>
      </c>
      <c r="T324" s="176">
        <f t="shared" si="121"/>
        <v>4</v>
      </c>
      <c r="U324" s="250">
        <f t="shared" si="122"/>
        <v>-1.0018169688649055</v>
      </c>
      <c r="V324" s="382">
        <f t="shared" si="123"/>
        <v>34.636709519193481</v>
      </c>
      <c r="W324" s="58"/>
      <c r="X324" s="157">
        <f t="shared" si="124"/>
        <v>43775</v>
      </c>
      <c r="Y324" s="383">
        <f t="shared" si="125"/>
        <v>13.816000000000001</v>
      </c>
      <c r="Z324" s="383">
        <f t="shared" si="126"/>
        <v>13.890072320770599</v>
      </c>
      <c r="AA324" s="384">
        <f t="shared" si="127"/>
        <v>14.283100752654837</v>
      </c>
      <c r="AB324" s="197">
        <f t="shared" si="128"/>
        <v>43775</v>
      </c>
      <c r="AC324" s="424">
        <f t="shared" si="129"/>
        <v>2.751702439760394E-2</v>
      </c>
      <c r="AD324" s="169">
        <f>(INDEX(Models!$BJ324:$BT324,,AH324)*(1-AF324)+INDEX(Models!$BJ324:$BT324,,AH324+1)*AF324-ERP_i)*AE324*Ramure*Pc/MaxiM</f>
        <v>8.9771993479833642E-6</v>
      </c>
      <c r="AE324" s="304">
        <f t="shared" si="130"/>
        <v>0.6</v>
      </c>
      <c r="AF324" s="177">
        <f t="shared" si="131"/>
        <v>0.99818303113509455</v>
      </c>
      <c r="AG324" s="799">
        <f t="shared" si="132"/>
        <v>-2</v>
      </c>
      <c r="AH324" s="176">
        <f t="shared" si="133"/>
        <v>4</v>
      </c>
      <c r="AI324" s="224">
        <f t="shared" si="134"/>
        <v>-1.0018169688649055</v>
      </c>
      <c r="AJ324" s="264" t="b">
        <f t="shared" si="135"/>
        <v>0</v>
      </c>
      <c r="AK324" s="264" t="b">
        <f t="shared" si="136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37"/>
        <v>43776</v>
      </c>
      <c r="B325" s="607">
        <v>4.2300000000000004</v>
      </c>
      <c r="C325" s="388"/>
      <c r="D325" s="391">
        <f t="shared" si="114"/>
        <v>4.2527599858659757</v>
      </c>
      <c r="E325" s="383">
        <f t="shared" si="140"/>
        <v>4.373397351333562</v>
      </c>
      <c r="F325" s="383">
        <f t="shared" ref="F325:F356" si="142">Wh_sa/(1-Pvg*MEDIAN((-Sdif+Wh/Env_an)/Csdif,0,1))</f>
        <v>4.373397351333562</v>
      </c>
      <c r="G325" s="110">
        <f t="shared" si="141"/>
        <v>0.12321351761157336</v>
      </c>
      <c r="I325" s="379">
        <f t="shared" si="115"/>
        <v>4.373397351333562</v>
      </c>
      <c r="J325" s="85">
        <v>2018</v>
      </c>
      <c r="K325" s="197">
        <f t="shared" si="116"/>
        <v>43776</v>
      </c>
      <c r="L325" s="435">
        <f t="shared" si="117"/>
        <v>5.3518152779883366E-3</v>
      </c>
      <c r="M325" s="842"/>
      <c r="N325" s="842"/>
      <c r="O325" s="323">
        <f t="shared" si="118"/>
        <v>2.7584359658241558E-2</v>
      </c>
      <c r="P325" s="169">
        <f>(INDEX(Models!$BJ325:$BT325,,T325)*(1-R325)+INDEX(Models!$BJ325:$BT325,,T325+1)*R325-ERP_i)*Q325*Ramure*Pc/MaxiM</f>
        <v>9.141287360229429E-6</v>
      </c>
      <c r="Q325" s="304">
        <f t="shared" si="119"/>
        <v>0.6</v>
      </c>
      <c r="R325" s="177">
        <f t="shared" si="120"/>
        <v>0.99822703086276565</v>
      </c>
      <c r="S325" s="799">
        <f t="shared" si="138"/>
        <v>-2</v>
      </c>
      <c r="T325" s="176">
        <f t="shared" si="121"/>
        <v>4</v>
      </c>
      <c r="U325" s="250">
        <f t="shared" si="122"/>
        <v>-1.0017729691372343</v>
      </c>
      <c r="V325" s="382">
        <f t="shared" si="123"/>
        <v>34.330334969327673</v>
      </c>
      <c r="W325" s="58"/>
      <c r="X325" s="157">
        <f t="shared" si="124"/>
        <v>43776</v>
      </c>
      <c r="Y325" s="383">
        <f t="shared" si="125"/>
        <v>4.2300000000000004</v>
      </c>
      <c r="Z325" s="383">
        <f t="shared" si="126"/>
        <v>4.2527599858659757</v>
      </c>
      <c r="AA325" s="384">
        <f t="shared" si="127"/>
        <v>4.373397351333562</v>
      </c>
      <c r="AB325" s="197">
        <f t="shared" si="128"/>
        <v>43776</v>
      </c>
      <c r="AC325" s="424">
        <f t="shared" si="129"/>
        <v>2.7584359658241558E-2</v>
      </c>
      <c r="AD325" s="169">
        <f>(INDEX(Models!$BJ325:$BT325,,AH325)*(1-AF325)+INDEX(Models!$BJ325:$BT325,,AH325+1)*AF325-ERP_i)*AE325*Ramure*Pc/MaxiM</f>
        <v>9.141287360229429E-6</v>
      </c>
      <c r="AE325" s="304">
        <f t="shared" si="130"/>
        <v>0.6</v>
      </c>
      <c r="AF325" s="177">
        <f t="shared" si="131"/>
        <v>0.99822703086276565</v>
      </c>
      <c r="AG325" s="799">
        <f t="shared" si="132"/>
        <v>-2</v>
      </c>
      <c r="AH325" s="176">
        <f t="shared" si="133"/>
        <v>4</v>
      </c>
      <c r="AI325" s="224">
        <f t="shared" si="134"/>
        <v>-1.0017729691372343</v>
      </c>
      <c r="AJ325" s="264" t="b">
        <f t="shared" si="135"/>
        <v>0</v>
      </c>
      <c r="AK325" s="264" t="b">
        <f t="shared" si="136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37"/>
        <v>43777</v>
      </c>
      <c r="B326" s="607">
        <v>13.87</v>
      </c>
      <c r="C326" s="388"/>
      <c r="D326" s="391">
        <f t="shared" si="114"/>
        <v>13.944896329707424</v>
      </c>
      <c r="E326" s="383">
        <f t="shared" si="140"/>
        <v>14.341461484173417</v>
      </c>
      <c r="F326" s="383">
        <f t="shared" si="142"/>
        <v>14.341482219455916</v>
      </c>
      <c r="G326" s="110">
        <f t="shared" si="141"/>
        <v>0.40761010333338515</v>
      </c>
      <c r="I326" s="379">
        <f t="shared" si="115"/>
        <v>14.341482219455916</v>
      </c>
      <c r="J326" s="85">
        <v>2018</v>
      </c>
      <c r="K326" s="197">
        <f t="shared" si="116"/>
        <v>43777</v>
      </c>
      <c r="L326" s="435">
        <f t="shared" si="117"/>
        <v>5.370877483532821E-3</v>
      </c>
      <c r="M326" s="842"/>
      <c r="N326" s="842"/>
      <c r="O326" s="323">
        <f t="shared" si="118"/>
        <v>2.7651655649155758E-2</v>
      </c>
      <c r="P326" s="169">
        <f>(INDEX(Models!$BJ326:$BT326,,T326)*(1-R326)+INDEX(Models!$BJ326:$BT326,,T326+1)*R326-ERP_i)*Q326*Ramure*Pc/MaxiM</f>
        <v>9.4047621522837349E-6</v>
      </c>
      <c r="Q326" s="304">
        <f t="shared" si="119"/>
        <v>0.6</v>
      </c>
      <c r="R326" s="177">
        <f t="shared" si="120"/>
        <v>0.9982692663201318</v>
      </c>
      <c r="S326" s="799">
        <f t="shared" si="138"/>
        <v>-2</v>
      </c>
      <c r="T326" s="176">
        <f t="shared" si="121"/>
        <v>4</v>
      </c>
      <c r="U326" s="250">
        <f t="shared" si="122"/>
        <v>-1.0017307336798682</v>
      </c>
      <c r="V326" s="382">
        <f t="shared" si="123"/>
        <v>34.027344994553665</v>
      </c>
      <c r="W326" s="58"/>
      <c r="X326" s="157">
        <f t="shared" si="124"/>
        <v>43777</v>
      </c>
      <c r="Y326" s="383">
        <f t="shared" si="125"/>
        <v>13.87</v>
      </c>
      <c r="Z326" s="383">
        <f t="shared" si="126"/>
        <v>13.944896329707424</v>
      </c>
      <c r="AA326" s="384">
        <f t="shared" si="127"/>
        <v>14.341461484173417</v>
      </c>
      <c r="AB326" s="197">
        <f t="shared" si="128"/>
        <v>43777</v>
      </c>
      <c r="AC326" s="424">
        <f t="shared" si="129"/>
        <v>2.7651655649155758E-2</v>
      </c>
      <c r="AD326" s="169">
        <f>(INDEX(Models!$BJ326:$BT326,,AH326)*(1-AF326)+INDEX(Models!$BJ326:$BT326,,AH326+1)*AF326-ERP_i)*AE326*Ramure*Pc/MaxiM</f>
        <v>9.4047621522837349E-6</v>
      </c>
      <c r="AE326" s="304">
        <f t="shared" si="130"/>
        <v>0.6</v>
      </c>
      <c r="AF326" s="177">
        <f t="shared" si="131"/>
        <v>0.9982692663201318</v>
      </c>
      <c r="AG326" s="799">
        <f t="shared" si="132"/>
        <v>-2</v>
      </c>
      <c r="AH326" s="176">
        <f t="shared" si="133"/>
        <v>4</v>
      </c>
      <c r="AI326" s="224">
        <f t="shared" si="134"/>
        <v>-1.0017307336798682</v>
      </c>
      <c r="AJ326" s="264" t="b">
        <f t="shared" si="135"/>
        <v>0</v>
      </c>
      <c r="AK326" s="264" t="b">
        <f t="shared" si="136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37"/>
        <v>43778</v>
      </c>
      <c r="B327" s="607">
        <v>22.15</v>
      </c>
      <c r="C327" s="388"/>
      <c r="D327" s="391">
        <f t="shared" si="114"/>
        <v>22.270034132713263</v>
      </c>
      <c r="E327" s="383">
        <f t="shared" si="140"/>
        <v>22.904934691146256</v>
      </c>
      <c r="F327" s="383">
        <f t="shared" si="142"/>
        <v>22.90504870161077</v>
      </c>
      <c r="G327" s="110">
        <f t="shared" si="141"/>
        <v>0.65672228883848371</v>
      </c>
      <c r="I327" s="379">
        <f t="shared" si="115"/>
        <v>22.90504870161077</v>
      </c>
      <c r="J327" s="85">
        <v>2018</v>
      </c>
      <c r="K327" s="197">
        <f t="shared" si="116"/>
        <v>43778</v>
      </c>
      <c r="L327" s="435">
        <f t="shared" si="117"/>
        <v>5.3899393237544224E-3</v>
      </c>
      <c r="M327" s="842"/>
      <c r="N327" s="842"/>
      <c r="O327" s="323">
        <f t="shared" si="118"/>
        <v>2.7718942096718064E-2</v>
      </c>
      <c r="P327" s="169">
        <f>(INDEX(Models!$BJ327:$BT327,,T327)*(1-R327)+INDEX(Models!$BJ327:$BT327,,T327+1)*R327-ERP_i)*Q327*Ramure*Pc/MaxiM</f>
        <v>9.7673659610666212E-6</v>
      </c>
      <c r="Q327" s="304">
        <f t="shared" si="119"/>
        <v>0.6</v>
      </c>
      <c r="R327" s="177">
        <f t="shared" si="120"/>
        <v>0.99830980796860125</v>
      </c>
      <c r="S327" s="799">
        <f t="shared" si="138"/>
        <v>-2</v>
      </c>
      <c r="T327" s="176">
        <f t="shared" si="121"/>
        <v>4</v>
      </c>
      <c r="U327" s="250">
        <f t="shared" si="122"/>
        <v>-1.0016901920313988</v>
      </c>
      <c r="V327" s="382">
        <f t="shared" si="123"/>
        <v>33.72794601456539</v>
      </c>
      <c r="W327" s="58"/>
      <c r="X327" s="157">
        <f t="shared" si="124"/>
        <v>43778</v>
      </c>
      <c r="Y327" s="383">
        <f t="shared" si="125"/>
        <v>22.15</v>
      </c>
      <c r="Z327" s="383">
        <f t="shared" si="126"/>
        <v>22.270034132713263</v>
      </c>
      <c r="AA327" s="384">
        <f t="shared" si="127"/>
        <v>22.904934691146256</v>
      </c>
      <c r="AB327" s="197">
        <f t="shared" si="128"/>
        <v>43778</v>
      </c>
      <c r="AC327" s="424">
        <f t="shared" si="129"/>
        <v>2.7718942096718064E-2</v>
      </c>
      <c r="AD327" s="169">
        <f>(INDEX(Models!$BJ327:$BT327,,AH327)*(1-AF327)+INDEX(Models!$BJ327:$BT327,,AH327+1)*AF327-ERP_i)*AE327*Ramure*Pc/MaxiM</f>
        <v>9.7673659610666212E-6</v>
      </c>
      <c r="AE327" s="304">
        <f t="shared" si="130"/>
        <v>0.6</v>
      </c>
      <c r="AF327" s="177">
        <f t="shared" si="131"/>
        <v>0.99830980796860125</v>
      </c>
      <c r="AG327" s="799">
        <f t="shared" si="132"/>
        <v>-2</v>
      </c>
      <c r="AH327" s="176">
        <f t="shared" si="133"/>
        <v>4</v>
      </c>
      <c r="AI327" s="224">
        <f t="shared" si="134"/>
        <v>-1.0016901920313988</v>
      </c>
      <c r="AJ327" s="264" t="b">
        <f t="shared" si="135"/>
        <v>0</v>
      </c>
      <c r="AK327" s="264" t="b">
        <f t="shared" si="136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37"/>
        <v>43779</v>
      </c>
      <c r="B328" s="607">
        <v>20.835000000000001</v>
      </c>
      <c r="C328" s="388"/>
      <c r="D328" s="391">
        <f t="shared" si="114"/>
        <v>20.948309422396324</v>
      </c>
      <c r="E328" s="383">
        <f t="shared" si="140"/>
        <v>21.547020282429916</v>
      </c>
      <c r="F328" s="383">
        <f t="shared" si="142"/>
        <v>21.547122044732756</v>
      </c>
      <c r="G328" s="110">
        <f t="shared" si="141"/>
        <v>0.62319546064968268</v>
      </c>
      <c r="I328" s="379">
        <f t="shared" si="115"/>
        <v>21.547122044732756</v>
      </c>
      <c r="J328" s="85">
        <v>2018</v>
      </c>
      <c r="K328" s="197">
        <f t="shared" si="116"/>
        <v>43779</v>
      </c>
      <c r="L328" s="435">
        <f t="shared" si="117"/>
        <v>5.4090007986602462E-3</v>
      </c>
      <c r="M328" s="842"/>
      <c r="N328" s="842"/>
      <c r="O328" s="323">
        <f t="shared" si="118"/>
        <v>2.778624850145987E-2</v>
      </c>
      <c r="P328" s="169">
        <f>(INDEX(Models!$BJ328:$BT328,,T328)*(1-R328)+INDEX(Models!$BJ328:$BT328,,T328+1)*R328-ERP_i)*Q328*Ramure*Pc/MaxiM</f>
        <v>1.0228826954213387E-5</v>
      </c>
      <c r="Q328" s="304">
        <f t="shared" si="119"/>
        <v>0.6</v>
      </c>
      <c r="R328" s="177">
        <f t="shared" si="120"/>
        <v>0.99834872347763648</v>
      </c>
      <c r="S328" s="799">
        <f t="shared" si="138"/>
        <v>-2</v>
      </c>
      <c r="T328" s="176">
        <f t="shared" si="121"/>
        <v>4</v>
      </c>
      <c r="U328" s="250">
        <f t="shared" si="122"/>
        <v>-1.0016512765223635</v>
      </c>
      <c r="V328" s="382">
        <f t="shared" si="123"/>
        <v>33.432344419254534</v>
      </c>
      <c r="W328" s="58"/>
      <c r="X328" s="157">
        <f t="shared" si="124"/>
        <v>43779</v>
      </c>
      <c r="Y328" s="383">
        <f t="shared" si="125"/>
        <v>20.835000000000001</v>
      </c>
      <c r="Z328" s="383">
        <f t="shared" si="126"/>
        <v>20.948309422396324</v>
      </c>
      <c r="AA328" s="384">
        <f t="shared" si="127"/>
        <v>21.547020282429916</v>
      </c>
      <c r="AB328" s="197">
        <f t="shared" si="128"/>
        <v>43779</v>
      </c>
      <c r="AC328" s="424">
        <f t="shared" si="129"/>
        <v>2.778624850145987E-2</v>
      </c>
      <c r="AD328" s="169">
        <f>(INDEX(Models!$BJ328:$BT328,,AH328)*(1-AF328)+INDEX(Models!$BJ328:$BT328,,AH328+1)*AF328-ERP_i)*AE328*Ramure*Pc/MaxiM</f>
        <v>1.0228826954213387E-5</v>
      </c>
      <c r="AE328" s="304">
        <f t="shared" si="130"/>
        <v>0.6</v>
      </c>
      <c r="AF328" s="177">
        <f t="shared" si="131"/>
        <v>0.99834872347763648</v>
      </c>
      <c r="AG328" s="799">
        <f t="shared" si="132"/>
        <v>-2</v>
      </c>
      <c r="AH328" s="176">
        <f t="shared" si="133"/>
        <v>4</v>
      </c>
      <c r="AI328" s="224">
        <f t="shared" si="134"/>
        <v>-1.0016512765223635</v>
      </c>
      <c r="AJ328" s="264" t="b">
        <f t="shared" si="135"/>
        <v>0</v>
      </c>
      <c r="AK328" s="264" t="b">
        <f t="shared" si="136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37"/>
        <v>43780</v>
      </c>
      <c r="B329" s="607">
        <v>25.088000000000001</v>
      </c>
      <c r="C329" s="388"/>
      <c r="D329" s="391">
        <f t="shared" si="114"/>
        <v>25.224922440638778</v>
      </c>
      <c r="E329" s="383">
        <f t="shared" si="140"/>
        <v>25.947658237940608</v>
      </c>
      <c r="F329" s="383">
        <f t="shared" si="142"/>
        <v>25.947841009342365</v>
      </c>
      <c r="G329" s="110">
        <f t="shared" si="141"/>
        <v>0.75701088962459417</v>
      </c>
      <c r="I329" s="379">
        <f t="shared" si="115"/>
        <v>25.947841009342365</v>
      </c>
      <c r="J329" s="85">
        <v>2018</v>
      </c>
      <c r="K329" s="197">
        <f t="shared" si="116"/>
        <v>43780</v>
      </c>
      <c r="L329" s="435">
        <f t="shared" si="117"/>
        <v>5.4280619082572867E-3</v>
      </c>
      <c r="M329" s="842"/>
      <c r="N329" s="842"/>
      <c r="O329" s="323">
        <f t="shared" si="118"/>
        <v>2.7853604000574007E-2</v>
      </c>
      <c r="P329" s="169">
        <f>(INDEX(Models!$BJ329:$BT329,,T329)*(1-R329)+INDEX(Models!$BJ329:$BT329,,T329+1)*R329-ERP_i)*Q329*Ramure*Pc/MaxiM</f>
        <v>1.078886631467906E-5</v>
      </c>
      <c r="Q329" s="304">
        <f t="shared" si="119"/>
        <v>0.6</v>
      </c>
      <c r="R329" s="177">
        <f t="shared" si="120"/>
        <v>0.99838607783363353</v>
      </c>
      <c r="S329" s="799">
        <f t="shared" si="138"/>
        <v>-2</v>
      </c>
      <c r="T329" s="176">
        <f t="shared" si="121"/>
        <v>4</v>
      </c>
      <c r="U329" s="250">
        <f t="shared" si="122"/>
        <v>-1.0016139221663665</v>
      </c>
      <c r="V329" s="382">
        <f t="shared" si="123"/>
        <v>33.140746569121347</v>
      </c>
      <c r="W329" s="58"/>
      <c r="X329" s="157">
        <f t="shared" si="124"/>
        <v>43780</v>
      </c>
      <c r="Y329" s="383">
        <f t="shared" si="125"/>
        <v>25.088000000000001</v>
      </c>
      <c r="Z329" s="383">
        <f t="shared" si="126"/>
        <v>25.224922440638778</v>
      </c>
      <c r="AA329" s="384">
        <f t="shared" si="127"/>
        <v>25.947658237940608</v>
      </c>
      <c r="AB329" s="197">
        <f t="shared" si="128"/>
        <v>43780</v>
      </c>
      <c r="AC329" s="424">
        <f t="shared" si="129"/>
        <v>2.7853604000574007E-2</v>
      </c>
      <c r="AD329" s="169">
        <f>(INDEX(Models!$BJ329:$BT329,,AH329)*(1-AF329)+INDEX(Models!$BJ329:$BT329,,AH329+1)*AF329-ERP_i)*AE329*Ramure*Pc/MaxiM</f>
        <v>1.078886631467906E-5</v>
      </c>
      <c r="AE329" s="304">
        <f t="shared" si="130"/>
        <v>0.6</v>
      </c>
      <c r="AF329" s="177">
        <f t="shared" si="131"/>
        <v>0.99838607783363353</v>
      </c>
      <c r="AG329" s="799">
        <f t="shared" si="132"/>
        <v>-2</v>
      </c>
      <c r="AH329" s="176">
        <f t="shared" si="133"/>
        <v>4</v>
      </c>
      <c r="AI329" s="224">
        <f t="shared" si="134"/>
        <v>-1.0016139221663665</v>
      </c>
      <c r="AJ329" s="264" t="b">
        <f t="shared" si="135"/>
        <v>0</v>
      </c>
      <c r="AK329" s="264" t="b">
        <f t="shared" si="136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37"/>
        <v>43781</v>
      </c>
      <c r="B330" s="607">
        <v>19.268999999999998</v>
      </c>
      <c r="C330" s="388"/>
      <c r="D330" s="391">
        <f t="shared" si="114"/>
        <v>19.374535471047022</v>
      </c>
      <c r="E330" s="383">
        <f t="shared" si="140"/>
        <v>19.931030516154522</v>
      </c>
      <c r="F330" s="383">
        <f t="shared" si="142"/>
        <v>19.931123902018619</v>
      </c>
      <c r="G330" s="110">
        <f t="shared" si="141"/>
        <v>0.58651140740270191</v>
      </c>
      <c r="I330" s="379">
        <f t="shared" si="115"/>
        <v>19.931123902018619</v>
      </c>
      <c r="J330" s="85">
        <v>2018</v>
      </c>
      <c r="K330" s="197">
        <f t="shared" si="116"/>
        <v>43781</v>
      </c>
      <c r="L330" s="435">
        <f t="shared" si="117"/>
        <v>5.4471226525525385E-3</v>
      </c>
      <c r="M330" s="842"/>
      <c r="N330" s="842"/>
      <c r="O330" s="323">
        <f t="shared" si="118"/>
        <v>2.7921037231690024E-2</v>
      </c>
      <c r="P330" s="169">
        <f>(INDEX(Models!$BJ330:$BT330,,T330)*(1-R330)+INDEX(Models!$BJ330:$BT330,,T330+1)*R330-ERP_i)*Q330*Ramure*Pc/MaxiM</f>
        <v>1.144720507573104E-5</v>
      </c>
      <c r="Q330" s="304">
        <f t="shared" si="119"/>
        <v>0.6</v>
      </c>
      <c r="R330" s="177">
        <f t="shared" si="120"/>
        <v>0.99842193344469665</v>
      </c>
      <c r="S330" s="799">
        <f t="shared" si="138"/>
        <v>-2</v>
      </c>
      <c r="T330" s="176">
        <f t="shared" si="121"/>
        <v>4</v>
      </c>
      <c r="U330" s="250">
        <f t="shared" si="122"/>
        <v>-1.0015780665553033</v>
      </c>
      <c r="V330" s="382">
        <f t="shared" si="123"/>
        <v>32.853358798347173</v>
      </c>
      <c r="W330" s="58"/>
      <c r="X330" s="157">
        <f t="shared" si="124"/>
        <v>43781</v>
      </c>
      <c r="Y330" s="383">
        <f t="shared" si="125"/>
        <v>19.268999999999998</v>
      </c>
      <c r="Z330" s="383">
        <f t="shared" si="126"/>
        <v>19.374535471047022</v>
      </c>
      <c r="AA330" s="384">
        <f t="shared" si="127"/>
        <v>19.931030516154522</v>
      </c>
      <c r="AB330" s="197">
        <f t="shared" si="128"/>
        <v>43781</v>
      </c>
      <c r="AC330" s="424">
        <f t="shared" si="129"/>
        <v>2.7921037231690024E-2</v>
      </c>
      <c r="AD330" s="169">
        <f>(INDEX(Models!$BJ330:$BT330,,AH330)*(1-AF330)+INDEX(Models!$BJ330:$BT330,,AH330+1)*AF330-ERP_i)*AE330*Ramure*Pc/MaxiM</f>
        <v>1.144720507573104E-5</v>
      </c>
      <c r="AE330" s="304">
        <f t="shared" si="130"/>
        <v>0.6</v>
      </c>
      <c r="AF330" s="177">
        <f t="shared" si="131"/>
        <v>0.99842193344469665</v>
      </c>
      <c r="AG330" s="799">
        <f t="shared" si="132"/>
        <v>-2</v>
      </c>
      <c r="AH330" s="176">
        <f t="shared" si="133"/>
        <v>4</v>
      </c>
      <c r="AI330" s="224">
        <f t="shared" si="134"/>
        <v>-1.0015780665553033</v>
      </c>
      <c r="AJ330" s="264" t="b">
        <f t="shared" si="135"/>
        <v>0</v>
      </c>
      <c r="AK330" s="264" t="b">
        <f t="shared" si="136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37"/>
        <v>43782</v>
      </c>
      <c r="B331" s="607">
        <v>18.449000000000002</v>
      </c>
      <c r="C331" s="388"/>
      <c r="D331" s="391">
        <f t="shared" si="114"/>
        <v>18.550399881058365</v>
      </c>
      <c r="E331" s="383">
        <f t="shared" si="140"/>
        <v>19.084549241732226</v>
      </c>
      <c r="F331" s="383">
        <f t="shared" si="142"/>
        <v>19.084637910365903</v>
      </c>
      <c r="G331" s="110">
        <f t="shared" si="141"/>
        <v>0.56647485112672913</v>
      </c>
      <c r="I331" s="379">
        <f t="shared" si="115"/>
        <v>19.084637910365903</v>
      </c>
      <c r="J331" s="85">
        <v>2018</v>
      </c>
      <c r="K331" s="197">
        <f t="shared" si="116"/>
        <v>43782</v>
      </c>
      <c r="L331" s="435">
        <f t="shared" si="117"/>
        <v>5.4661830315528848E-3</v>
      </c>
      <c r="M331" s="842"/>
      <c r="N331" s="842"/>
      <c r="O331" s="323">
        <f t="shared" si="118"/>
        <v>2.7988576198898971E-2</v>
      </c>
      <c r="P331" s="169">
        <f>(INDEX(Models!$BJ331:$BT331,,T331)*(1-R331)+INDEX(Models!$BJ331:$BT331,,T331+1)*R331-ERP_i)*Q331*Ramure*Pc/MaxiM</f>
        <v>1.2204526236001017E-5</v>
      </c>
      <c r="Q331" s="304">
        <f t="shared" si="119"/>
        <v>0.6</v>
      </c>
      <c r="R331" s="177">
        <f t="shared" si="120"/>
        <v>0.99845635024144741</v>
      </c>
      <c r="S331" s="799">
        <f t="shared" si="138"/>
        <v>-2</v>
      </c>
      <c r="T331" s="176">
        <f t="shared" si="121"/>
        <v>4</v>
      </c>
      <c r="U331" s="250">
        <f t="shared" si="122"/>
        <v>-1.0015436497585526</v>
      </c>
      <c r="V331" s="382">
        <f t="shared" si="123"/>
        <v>32.567836889432222</v>
      </c>
      <c r="W331" s="58"/>
      <c r="X331" s="157">
        <f t="shared" si="124"/>
        <v>43782</v>
      </c>
      <c r="Y331" s="383">
        <f t="shared" si="125"/>
        <v>18.449000000000002</v>
      </c>
      <c r="Z331" s="383">
        <f t="shared" si="126"/>
        <v>18.550399881058365</v>
      </c>
      <c r="AA331" s="384">
        <f t="shared" si="127"/>
        <v>19.084549241732226</v>
      </c>
      <c r="AB331" s="197">
        <f t="shared" si="128"/>
        <v>43782</v>
      </c>
      <c r="AC331" s="424">
        <f t="shared" si="129"/>
        <v>2.7988576198898971E-2</v>
      </c>
      <c r="AD331" s="169">
        <f>(INDEX(Models!$BJ331:$BT331,,AH331)*(1-AF331)+INDEX(Models!$BJ331:$BT331,,AH331+1)*AF331-ERP_i)*AE331*Ramure*Pc/MaxiM</f>
        <v>1.2204526236001017E-5</v>
      </c>
      <c r="AE331" s="304">
        <f t="shared" si="130"/>
        <v>0.6</v>
      </c>
      <c r="AF331" s="177">
        <f t="shared" si="131"/>
        <v>0.99845635024144741</v>
      </c>
      <c r="AG331" s="799">
        <f t="shared" si="132"/>
        <v>-2</v>
      </c>
      <c r="AH331" s="176">
        <f t="shared" si="133"/>
        <v>4</v>
      </c>
      <c r="AI331" s="224">
        <f t="shared" si="134"/>
        <v>-1.0015436497585526</v>
      </c>
      <c r="AJ331" s="264" t="b">
        <f t="shared" si="135"/>
        <v>0</v>
      </c>
      <c r="AK331" s="264" t="b">
        <f t="shared" si="136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37"/>
        <v>43783</v>
      </c>
      <c r="B332" s="607">
        <v>5.742</v>
      </c>
      <c r="C332" s="388"/>
      <c r="D332" s="391">
        <f t="shared" si="114"/>
        <v>5.7736699831205698</v>
      </c>
      <c r="E332" s="383">
        <f t="shared" si="140"/>
        <v>5.9403334525103766</v>
      </c>
      <c r="F332" s="383">
        <f t="shared" si="142"/>
        <v>5.9403334525103766</v>
      </c>
      <c r="G332" s="110">
        <f t="shared" si="141"/>
        <v>0.17786591599639565</v>
      </c>
      <c r="I332" s="379">
        <f t="shared" si="115"/>
        <v>5.9403334525103766</v>
      </c>
      <c r="J332" s="85">
        <v>2018</v>
      </c>
      <c r="K332" s="197">
        <f t="shared" si="116"/>
        <v>43783</v>
      </c>
      <c r="L332" s="435">
        <f t="shared" si="117"/>
        <v>5.485243045265431E-3</v>
      </c>
      <c r="M332" s="842"/>
      <c r="N332" s="842"/>
      <c r="O332" s="323">
        <f t="shared" si="118"/>
        <v>2.8056248141991903E-2</v>
      </c>
      <c r="P332" s="169">
        <f>(INDEX(Models!$BJ332:$BT332,,T332)*(1-R332)+INDEX(Models!$BJ332:$BT332,,T332+1)*R332-ERP_i)*Q332*Ramure*Pc/MaxiM</f>
        <v>1.314933412530626E-5</v>
      </c>
      <c r="Q332" s="304">
        <f t="shared" si="119"/>
        <v>0.6</v>
      </c>
      <c r="R332" s="177">
        <f t="shared" si="120"/>
        <v>0.99848938577400914</v>
      </c>
      <c r="S332" s="799">
        <f t="shared" si="138"/>
        <v>-2</v>
      </c>
      <c r="T332" s="176">
        <f t="shared" si="121"/>
        <v>4</v>
      </c>
      <c r="U332" s="250">
        <f t="shared" si="122"/>
        <v>-1.0015106142259909</v>
      </c>
      <c r="V332" s="382">
        <f t="shared" si="123"/>
        <v>32.282320445474269</v>
      </c>
      <c r="W332" s="58"/>
      <c r="X332" s="157">
        <f t="shared" si="124"/>
        <v>43783</v>
      </c>
      <c r="Y332" s="383">
        <f t="shared" si="125"/>
        <v>5.742</v>
      </c>
      <c r="Z332" s="383">
        <f t="shared" si="126"/>
        <v>5.7736699831205698</v>
      </c>
      <c r="AA332" s="384">
        <f t="shared" si="127"/>
        <v>5.9403334525103766</v>
      </c>
      <c r="AB332" s="197">
        <f t="shared" si="128"/>
        <v>43783</v>
      </c>
      <c r="AC332" s="424">
        <f t="shared" si="129"/>
        <v>2.8056248141991903E-2</v>
      </c>
      <c r="AD332" s="169">
        <f>(INDEX(Models!$BJ332:$BT332,,AH332)*(1-AF332)+INDEX(Models!$BJ332:$BT332,,AH332+1)*AF332-ERP_i)*AE332*Ramure*Pc/MaxiM</f>
        <v>1.314933412530626E-5</v>
      </c>
      <c r="AE332" s="304">
        <f t="shared" si="130"/>
        <v>0.6</v>
      </c>
      <c r="AF332" s="177">
        <f t="shared" si="131"/>
        <v>0.99848938577400914</v>
      </c>
      <c r="AG332" s="799">
        <f t="shared" si="132"/>
        <v>-2</v>
      </c>
      <c r="AH332" s="176">
        <f t="shared" si="133"/>
        <v>4</v>
      </c>
      <c r="AI332" s="224">
        <f t="shared" si="134"/>
        <v>-1.0015106142259909</v>
      </c>
      <c r="AJ332" s="264" t="b">
        <f t="shared" si="135"/>
        <v>0</v>
      </c>
      <c r="AK332" s="264" t="b">
        <f t="shared" si="136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37"/>
        <v>43784</v>
      </c>
      <c r="B333" s="607">
        <v>13.689</v>
      </c>
      <c r="C333" s="388"/>
      <c r="D333" s="391">
        <f t="shared" si="114"/>
        <v>13.764765435464538</v>
      </c>
      <c r="E333" s="383">
        <f t="shared" si="140"/>
        <v>14.163089283152841</v>
      </c>
      <c r="F333" s="383">
        <f t="shared" si="142"/>
        <v>14.163126151965816</v>
      </c>
      <c r="G333" s="110">
        <f t="shared" si="141"/>
        <v>0.42780639267431242</v>
      </c>
      <c r="I333" s="379">
        <f t="shared" si="115"/>
        <v>14.163126151965816</v>
      </c>
      <c r="J333" s="85">
        <v>2018</v>
      </c>
      <c r="K333" s="197">
        <f t="shared" si="116"/>
        <v>43784</v>
      </c>
      <c r="L333" s="435">
        <f t="shared" si="117"/>
        <v>5.5043026936972828E-3</v>
      </c>
      <c r="M333" s="842"/>
      <c r="N333" s="842"/>
      <c r="O333" s="323">
        <f t="shared" si="118"/>
        <v>2.8124079409858227E-2</v>
      </c>
      <c r="P333" s="169">
        <f>(INDEX(Models!$BJ333:$BT333,,T333)*(1-R333)+INDEX(Models!$BJ333:$BT333,,T333+1)*R333-ERP_i)*Q333*Ramure*Pc/MaxiM</f>
        <v>1.4257013259139723E-5</v>
      </c>
      <c r="Q333" s="304">
        <f t="shared" si="119"/>
        <v>0.6</v>
      </c>
      <c r="R333" s="177">
        <f t="shared" si="120"/>
        <v>0.99852109530530431</v>
      </c>
      <c r="S333" s="799">
        <f t="shared" si="138"/>
        <v>-2</v>
      </c>
      <c r="T333" s="176">
        <f t="shared" si="121"/>
        <v>4</v>
      </c>
      <c r="U333" s="250">
        <f t="shared" si="122"/>
        <v>-1.0014789046946957</v>
      </c>
      <c r="V333" s="382">
        <f t="shared" si="123"/>
        <v>31.997746420635142</v>
      </c>
      <c r="W333" s="58"/>
      <c r="X333" s="157">
        <f t="shared" si="124"/>
        <v>43784</v>
      </c>
      <c r="Y333" s="383">
        <f t="shared" si="125"/>
        <v>13.689</v>
      </c>
      <c r="Z333" s="383">
        <f t="shared" si="126"/>
        <v>13.764765435464538</v>
      </c>
      <c r="AA333" s="384">
        <f t="shared" si="127"/>
        <v>14.163089283152841</v>
      </c>
      <c r="AB333" s="197">
        <f t="shared" si="128"/>
        <v>43784</v>
      </c>
      <c r="AC333" s="424">
        <f t="shared" si="129"/>
        <v>2.8124079409858227E-2</v>
      </c>
      <c r="AD333" s="169">
        <f>(INDEX(Models!$BJ333:$BT333,,AH333)*(1-AF333)+INDEX(Models!$BJ333:$BT333,,AH333+1)*AF333-ERP_i)*AE333*Ramure*Pc/MaxiM</f>
        <v>1.4257013259139723E-5</v>
      </c>
      <c r="AE333" s="304">
        <f t="shared" si="130"/>
        <v>0.6</v>
      </c>
      <c r="AF333" s="177">
        <f t="shared" si="131"/>
        <v>0.99852109530530431</v>
      </c>
      <c r="AG333" s="799">
        <f t="shared" si="132"/>
        <v>-2</v>
      </c>
      <c r="AH333" s="176">
        <f t="shared" si="133"/>
        <v>4</v>
      </c>
      <c r="AI333" s="224">
        <f t="shared" si="134"/>
        <v>-1.0014789046946957</v>
      </c>
      <c r="AJ333" s="264" t="b">
        <f t="shared" si="135"/>
        <v>0</v>
      </c>
      <c r="AK333" s="264" t="b">
        <f t="shared" si="136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37"/>
        <v>43785</v>
      </c>
      <c r="B334" s="607">
        <v>15.875</v>
      </c>
      <c r="C334" s="388"/>
      <c r="D334" s="391">
        <f t="shared" si="114"/>
        <v>15.963170368242009</v>
      </c>
      <c r="E334" s="383">
        <f t="shared" si="140"/>
        <v>16.426261086865615</v>
      </c>
      <c r="F334" s="383">
        <f t="shared" si="142"/>
        <v>16.426334161470724</v>
      </c>
      <c r="G334" s="110">
        <f t="shared" si="141"/>
        <v>0.50054544385996957</v>
      </c>
      <c r="I334" s="379">
        <f t="shared" si="115"/>
        <v>16.426334161470724</v>
      </c>
      <c r="J334" s="85">
        <v>2018</v>
      </c>
      <c r="K334" s="197">
        <f t="shared" si="116"/>
        <v>43785</v>
      </c>
      <c r="L334" s="435">
        <f t="shared" si="117"/>
        <v>5.5233619768552122E-3</v>
      </c>
      <c r="M334" s="842"/>
      <c r="N334" s="842"/>
      <c r="O334" s="323">
        <f t="shared" si="118"/>
        <v>2.8192095338962487E-2</v>
      </c>
      <c r="P334" s="169">
        <f>(INDEX(Models!$BJ334:$BT334,,T334)*(1-R334)+INDEX(Models!$BJ334:$BT334,,T334+1)*R334-ERP_i)*Q334*Ramure*Pc/MaxiM</f>
        <v>1.5527411222818522E-5</v>
      </c>
      <c r="Q334" s="304">
        <f t="shared" si="119"/>
        <v>0.6</v>
      </c>
      <c r="R334" s="177">
        <f t="shared" si="120"/>
        <v>0.99855153190079382</v>
      </c>
      <c r="S334" s="799">
        <f t="shared" si="138"/>
        <v>-2</v>
      </c>
      <c r="T334" s="176">
        <f t="shared" si="121"/>
        <v>4</v>
      </c>
      <c r="U334" s="250">
        <f t="shared" si="122"/>
        <v>-1.0014484680992062</v>
      </c>
      <c r="V334" s="382">
        <f t="shared" si="123"/>
        <v>31.715050687648517</v>
      </c>
      <c r="W334" s="58"/>
      <c r="X334" s="157">
        <f t="shared" si="124"/>
        <v>43785</v>
      </c>
      <c r="Y334" s="383">
        <f t="shared" si="125"/>
        <v>15.875000000000002</v>
      </c>
      <c r="Z334" s="383">
        <f t="shared" si="126"/>
        <v>15.963170368242011</v>
      </c>
      <c r="AA334" s="384">
        <f t="shared" si="127"/>
        <v>16.426261086865615</v>
      </c>
      <c r="AB334" s="197">
        <f t="shared" si="128"/>
        <v>43785</v>
      </c>
      <c r="AC334" s="424">
        <f t="shared" si="129"/>
        <v>2.8192095338962487E-2</v>
      </c>
      <c r="AD334" s="169">
        <f>(INDEX(Models!$BJ334:$BT334,,AH334)*(1-AF334)+INDEX(Models!$BJ334:$BT334,,AH334+1)*AF334-ERP_i)*AE334*Ramure*Pc/MaxiM</f>
        <v>1.5527411222818522E-5</v>
      </c>
      <c r="AE334" s="304">
        <f t="shared" si="130"/>
        <v>0.6</v>
      </c>
      <c r="AF334" s="177">
        <f t="shared" si="131"/>
        <v>0.99855153190079382</v>
      </c>
      <c r="AG334" s="799">
        <f t="shared" si="132"/>
        <v>-2</v>
      </c>
      <c r="AH334" s="176">
        <f t="shared" si="133"/>
        <v>4</v>
      </c>
      <c r="AI334" s="224">
        <f t="shared" si="134"/>
        <v>-1.0014484680992062</v>
      </c>
      <c r="AJ334" s="264" t="b">
        <f t="shared" si="135"/>
        <v>0</v>
      </c>
      <c r="AK334" s="264" t="b">
        <f t="shared" si="136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37"/>
        <v>43786</v>
      </c>
      <c r="B335" s="607">
        <v>12.417</v>
      </c>
      <c r="C335" s="388"/>
      <c r="D335" s="391">
        <f t="shared" ref="D335:D379" si="143">Wh/(1-Ppv)</f>
        <v>12.486203796819554</v>
      </c>
      <c r="E335" s="383">
        <f t="shared" si="140"/>
        <v>12.849329975482709</v>
      </c>
      <c r="F335" s="383">
        <f t="shared" si="142"/>
        <v>12.849359552811533</v>
      </c>
      <c r="G335" s="110">
        <f t="shared" si="141"/>
        <v>0.39499765517246449</v>
      </c>
      <c r="I335" s="379">
        <f t="shared" ref="I335:I380" si="144">Wh_hp</f>
        <v>12.849359552811533</v>
      </c>
      <c r="J335" s="85">
        <v>2018</v>
      </c>
      <c r="K335" s="197">
        <f t="shared" ref="K335:K379" si="145">t</f>
        <v>43786</v>
      </c>
      <c r="L335" s="435">
        <f t="shared" ref="L335:L378" si="146">IF(t&lt;T0,0,IF(t&lt;Tvie,1-EXP((T0-t)*PertePVj),1-EXP((T0-t)*PertePVj)+Pspv))</f>
        <v>5.5424208947463249E-3</v>
      </c>
      <c r="M335" s="842"/>
      <c r="N335" s="842"/>
      <c r="O335" s="323">
        <f t="shared" ref="O335:O379" si="147">IF(t&lt;T0,0,IF(t&lt;Tnet,Salim_i*(1-EXP((T0-t)/Tau_ij)),Resal+(Salim-Resal)*(1-EXP((Tnet-t)/(Tau_j)))))*Salcycl</f>
        <v>2.8260320137783079E-2</v>
      </c>
      <c r="P335" s="169">
        <f>(INDEX(Models!$BJ335:$BT335,,T335)*(1-R335)+INDEX(Models!$BJ335:$BT335,,T335+1)*R335-ERP_i)*Q335*Ramure*Pc/MaxiM</f>
        <v>1.6960402409427317E-5</v>
      </c>
      <c r="Q335" s="304">
        <f t="shared" ref="Q335:Q379" si="148">IF(OR(t&lt;Ttai,Notai),Dd+PousD*Croivg,Dens+PousD*(Croivg-Croi_tai))</f>
        <v>0.6</v>
      </c>
      <c r="R335" s="177">
        <f t="shared" ref="R335:R379" si="149">(Hp_vg-S335)/(INDEX(Echel_vg,T335+1)-S335)</f>
        <v>0.99858074651478801</v>
      </c>
      <c r="S335" s="799">
        <f t="shared" si="138"/>
        <v>-2</v>
      </c>
      <c r="T335" s="176">
        <f t="shared" ref="T335:T379" si="150">MIN(MATCH(Hp_vg,Echel_vg),10)</f>
        <v>4</v>
      </c>
      <c r="U335" s="250">
        <f t="shared" ref="U335:U379" si="151">IF(OR(t&lt;Ttai,Notai),Hdd+PousH*Croivg,Hdtf+PousH*(Croivg-Croi_tai))</f>
        <v>-1.001419253485212</v>
      </c>
      <c r="V335" s="382">
        <f t="shared" ref="V335:V379" si="152">MaxiM*(1-Ppv)*(1-Pvg)*(1-Psa)</f>
        <v>31.435168846619664</v>
      </c>
      <c r="W335" s="58"/>
      <c r="X335" s="157">
        <f t="shared" ref="X335:X379" si="153">t</f>
        <v>43786</v>
      </c>
      <c r="Y335" s="383">
        <f t="shared" ref="Y335:Y379" si="154">Wh_pvt_s*(1-Ppv)</f>
        <v>12.417</v>
      </c>
      <c r="Z335" s="383">
        <f t="shared" ref="Z335:Z379" si="155">Wh_sa_s*(1-Psa_s)</f>
        <v>12.486203796819554</v>
      </c>
      <c r="AA335" s="384">
        <f t="shared" ref="AA335:AA379" si="156">Wh_hp*(1-Pvg_s*MEDIAN((-Sdif+Wh/Env_an)/Csdif,0,1))</f>
        <v>12.849329975482709</v>
      </c>
      <c r="AB335" s="197">
        <f t="shared" ref="AB335:AB379" si="157">t</f>
        <v>43786</v>
      </c>
      <c r="AC335" s="424">
        <f t="shared" ref="AC335:AC379" si="158">IF(t&lt;T0,0,IF(OR(t&lt;Tnet,NoTnet),Salim_i*(1-EXP((T0-t)/Tau_ij)),Resal_s+(Salim-Resal_s)*(1-EXP((Tnet_s-t)/Tau_j))))*Salcycl</f>
        <v>2.8260320137783079E-2</v>
      </c>
      <c r="AD335" s="169">
        <f>(INDEX(Models!$BJ335:$BT335,,AH335)*(1-AF335)+INDEX(Models!$BJ335:$BT335,,AH335+1)*AF335-ERP_i)*AE335*Ramure*Pc/MaxiM</f>
        <v>1.6960402409427317E-5</v>
      </c>
      <c r="AE335" s="304">
        <f t="shared" ref="AE335:AE379" si="159">Dd+PousD*Croivg</f>
        <v>0.6</v>
      </c>
      <c r="AF335" s="177">
        <f t="shared" ref="AF335:AF379" si="160">(Hp_vg_s-AG335)/(INDEX(Echel_vg,AH335+1)-AG335)</f>
        <v>0.99858074651478801</v>
      </c>
      <c r="AG335" s="799">
        <f t="shared" ref="AG335:AG379" si="161">INDEX(Echel_vg,AH335)</f>
        <v>-2</v>
      </c>
      <c r="AH335" s="176">
        <f t="shared" ref="AH335:AH379" si="162">MIN(MATCH(Hp_vg_s,Echel_vg),10)</f>
        <v>4</v>
      </c>
      <c r="AI335" s="224">
        <f t="shared" ref="AI335:AI379" si="163">Hdd+PousH*Croivg</f>
        <v>-1.001419253485212</v>
      </c>
      <c r="AJ335" s="264" t="b">
        <f t="shared" ref="AJ335:AJ380" si="164">t&lt;Tnet</f>
        <v>0</v>
      </c>
      <c r="AK335" s="264" t="b">
        <f t="shared" ref="AK335:AK380" si="165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66">A335+1</f>
        <v>43787</v>
      </c>
      <c r="B336" s="607">
        <v>12.037000000000001</v>
      </c>
      <c r="C336" s="388"/>
      <c r="D336" s="391">
        <f t="shared" si="143"/>
        <v>12.104317915310524</v>
      </c>
      <c r="E336" s="383">
        <f t="shared" si="140"/>
        <v>12.457215595182534</v>
      </c>
      <c r="F336" s="383">
        <f t="shared" si="142"/>
        <v>12.457244096068385</v>
      </c>
      <c r="G336" s="110">
        <f t="shared" si="141"/>
        <v>0.38630219818565614</v>
      </c>
      <c r="I336" s="379">
        <f t="shared" si="144"/>
        <v>12.457244096068385</v>
      </c>
      <c r="J336" s="85">
        <v>2018</v>
      </c>
      <c r="K336" s="197">
        <f t="shared" si="145"/>
        <v>43787</v>
      </c>
      <c r="L336" s="435">
        <f t="shared" si="146"/>
        <v>5.5614794473776152E-3</v>
      </c>
      <c r="M336" s="842"/>
      <c r="N336" s="842"/>
      <c r="O336" s="323">
        <f t="shared" si="147"/>
        <v>2.8328776778053271E-2</v>
      </c>
      <c r="P336" s="169">
        <f>(INDEX(Models!$BJ336:$BT336,,T336)*(1-R336)+INDEX(Models!$BJ336:$BT336,,T336+1)*R336-ERP_i)*Q336*Ramure*Pc/MaxiM</f>
        <v>1.855585383117642E-5</v>
      </c>
      <c r="Q336" s="304">
        <f t="shared" si="148"/>
        <v>0.6</v>
      </c>
      <c r="R336" s="177">
        <f t="shared" si="149"/>
        <v>0.99860878807345133</v>
      </c>
      <c r="S336" s="799">
        <f t="shared" ref="S336:S379" si="167">INDEX(Echel_vg,T336)</f>
        <v>-2</v>
      </c>
      <c r="T336" s="176">
        <f t="shared" si="150"/>
        <v>4</v>
      </c>
      <c r="U336" s="250">
        <f t="shared" si="151"/>
        <v>-1.0013912119265487</v>
      </c>
      <c r="V336" s="382">
        <f t="shared" si="152"/>
        <v>31.159036212280078</v>
      </c>
      <c r="W336" s="58"/>
      <c r="X336" s="157">
        <f t="shared" si="153"/>
        <v>43787</v>
      </c>
      <c r="Y336" s="383">
        <f t="shared" si="154"/>
        <v>12.037000000000001</v>
      </c>
      <c r="Z336" s="383">
        <f t="shared" si="155"/>
        <v>12.104317915310524</v>
      </c>
      <c r="AA336" s="384">
        <f t="shared" si="156"/>
        <v>12.457215595182534</v>
      </c>
      <c r="AB336" s="197">
        <f t="shared" si="157"/>
        <v>43787</v>
      </c>
      <c r="AC336" s="424">
        <f t="shared" si="158"/>
        <v>2.8328776778053271E-2</v>
      </c>
      <c r="AD336" s="169">
        <f>(INDEX(Models!$BJ336:$BT336,,AH336)*(1-AF336)+INDEX(Models!$BJ336:$BT336,,AH336+1)*AF336-ERP_i)*AE336*Ramure*Pc/MaxiM</f>
        <v>1.855585383117642E-5</v>
      </c>
      <c r="AE336" s="304">
        <f t="shared" si="159"/>
        <v>0.6</v>
      </c>
      <c r="AF336" s="177">
        <f t="shared" si="160"/>
        <v>0.99860878807345133</v>
      </c>
      <c r="AG336" s="799">
        <f t="shared" si="161"/>
        <v>-2</v>
      </c>
      <c r="AH336" s="176">
        <f t="shared" si="162"/>
        <v>4</v>
      </c>
      <c r="AI336" s="224">
        <f t="shared" si="163"/>
        <v>-1.0013912119265487</v>
      </c>
      <c r="AJ336" s="264" t="b">
        <f t="shared" si="164"/>
        <v>0</v>
      </c>
      <c r="AK336" s="264" t="b">
        <f t="shared" si="165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66"/>
        <v>43788</v>
      </c>
      <c r="B337" s="607">
        <v>17.385999999999999</v>
      </c>
      <c r="C337" s="388"/>
      <c r="D337" s="391">
        <f t="shared" si="143"/>
        <v>17.483567707581969</v>
      </c>
      <c r="E337" s="383">
        <f t="shared" si="140"/>
        <v>17.994568222846134</v>
      </c>
      <c r="F337" s="383">
        <f t="shared" si="142"/>
        <v>17.994705497567939</v>
      </c>
      <c r="G337" s="110">
        <f t="shared" si="141"/>
        <v>0.56287268387461431</v>
      </c>
      <c r="I337" s="379">
        <f t="shared" si="144"/>
        <v>17.994705497567939</v>
      </c>
      <c r="J337" s="85">
        <v>2018</v>
      </c>
      <c r="K337" s="197">
        <f t="shared" si="145"/>
        <v>43788</v>
      </c>
      <c r="L337" s="435">
        <f t="shared" si="146"/>
        <v>5.5805376347561886E-3</v>
      </c>
      <c r="M337" s="842"/>
      <c r="N337" s="842"/>
      <c r="O337" s="323">
        <f t="shared" si="147"/>
        <v>2.8397486893594451E-2</v>
      </c>
      <c r="P337" s="169">
        <f>(INDEX(Models!$BJ337:$BT337,,T337)*(1-R337)+INDEX(Models!$BJ337:$BT337,,T337+1)*R337-ERP_i)*Q337*Ramure*Pc/MaxiM</f>
        <v>2.0313586768588291E-5</v>
      </c>
      <c r="Q337" s="304">
        <f t="shared" si="148"/>
        <v>0.6</v>
      </c>
      <c r="R337" s="177">
        <f t="shared" si="149"/>
        <v>0.99863570355462183</v>
      </c>
      <c r="S337" s="799">
        <f t="shared" si="167"/>
        <v>-2</v>
      </c>
      <c r="T337" s="176">
        <f t="shared" si="150"/>
        <v>4</v>
      </c>
      <c r="U337" s="250">
        <f t="shared" si="151"/>
        <v>-1.0013642964453782</v>
      </c>
      <c r="V337" s="382">
        <f t="shared" si="152"/>
        <v>30.887587824942983</v>
      </c>
      <c r="W337" s="58"/>
      <c r="X337" s="157">
        <f t="shared" si="153"/>
        <v>43788</v>
      </c>
      <c r="Y337" s="383">
        <f t="shared" si="154"/>
        <v>17.385999999999999</v>
      </c>
      <c r="Z337" s="383">
        <f t="shared" si="155"/>
        <v>17.483567707581969</v>
      </c>
      <c r="AA337" s="384">
        <f t="shared" si="156"/>
        <v>17.994568222846134</v>
      </c>
      <c r="AB337" s="197">
        <f t="shared" si="157"/>
        <v>43788</v>
      </c>
      <c r="AC337" s="424">
        <f t="shared" si="158"/>
        <v>2.8397486893594451E-2</v>
      </c>
      <c r="AD337" s="169">
        <f>(INDEX(Models!$BJ337:$BT337,,AH337)*(1-AF337)+INDEX(Models!$BJ337:$BT337,,AH337+1)*AF337-ERP_i)*AE337*Ramure*Pc/MaxiM</f>
        <v>2.0313586768588291E-5</v>
      </c>
      <c r="AE337" s="304">
        <f t="shared" si="159"/>
        <v>0.6</v>
      </c>
      <c r="AF337" s="177">
        <f t="shared" si="160"/>
        <v>0.99863570355462183</v>
      </c>
      <c r="AG337" s="799">
        <f t="shared" si="161"/>
        <v>-2</v>
      </c>
      <c r="AH337" s="176">
        <f t="shared" si="162"/>
        <v>4</v>
      </c>
      <c r="AI337" s="224">
        <f t="shared" si="163"/>
        <v>-1.0013642964453782</v>
      </c>
      <c r="AJ337" s="264" t="b">
        <f t="shared" si="164"/>
        <v>0</v>
      </c>
      <c r="AK337" s="264" t="b">
        <f t="shared" si="165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66"/>
        <v>43789</v>
      </c>
      <c r="B338" s="607">
        <v>31.45</v>
      </c>
      <c r="C338" s="388"/>
      <c r="D338" s="391">
        <f t="shared" si="143"/>
        <v>31.627098959649022</v>
      </c>
      <c r="E338" s="383">
        <f t="shared" si="140"/>
        <v>32.553790482176048</v>
      </c>
      <c r="F338" s="383">
        <f t="shared" si="142"/>
        <v>32.554516773217912</v>
      </c>
      <c r="G338" s="110">
        <f t="shared" si="141"/>
        <v>1.0270475640041317</v>
      </c>
      <c r="I338" s="379">
        <f t="shared" si="144"/>
        <v>32.554516773217912</v>
      </c>
      <c r="J338" s="85">
        <v>2018</v>
      </c>
      <c r="K338" s="197">
        <f t="shared" si="145"/>
        <v>43789</v>
      </c>
      <c r="L338" s="435">
        <f t="shared" si="146"/>
        <v>5.5995954568888173E-3</v>
      </c>
      <c r="M338" s="842"/>
      <c r="N338" s="842"/>
      <c r="O338" s="323">
        <f t="shared" si="147"/>
        <v>2.8466470687473742E-2</v>
      </c>
      <c r="P338" s="169">
        <f>(INDEX(Models!$BJ338:$BT338,,T338)*(1-R338)+INDEX(Models!$BJ338:$BT338,,T338+1)*R338-ERP_i)*Q338*Ramure*Pc/MaxiM</f>
        <v>2.2309993016541113E-5</v>
      </c>
      <c r="Q338" s="304">
        <f t="shared" si="148"/>
        <v>0.6</v>
      </c>
      <c r="R338" s="177">
        <f t="shared" si="149"/>
        <v>0.99866153806456093</v>
      </c>
      <c r="S338" s="799">
        <f t="shared" si="167"/>
        <v>-2</v>
      </c>
      <c r="T338" s="176">
        <f t="shared" si="150"/>
        <v>4</v>
      </c>
      <c r="U338" s="250">
        <f t="shared" si="151"/>
        <v>-1.0013384619354391</v>
      </c>
      <c r="V338" s="382">
        <f t="shared" si="152"/>
        <v>30.6217560921779</v>
      </c>
      <c r="W338" s="58"/>
      <c r="X338" s="157">
        <f t="shared" si="153"/>
        <v>43789</v>
      </c>
      <c r="Y338" s="383">
        <f t="shared" si="154"/>
        <v>31.45</v>
      </c>
      <c r="Z338" s="383">
        <f t="shared" si="155"/>
        <v>31.627098959649022</v>
      </c>
      <c r="AA338" s="384">
        <f t="shared" si="156"/>
        <v>32.553790482176048</v>
      </c>
      <c r="AB338" s="197">
        <f t="shared" si="157"/>
        <v>43789</v>
      </c>
      <c r="AC338" s="424">
        <f t="shared" si="158"/>
        <v>2.8466470687473742E-2</v>
      </c>
      <c r="AD338" s="169">
        <f>(INDEX(Models!$BJ338:$BT338,,AH338)*(1-AF338)+INDEX(Models!$BJ338:$BT338,,AH338+1)*AF338-ERP_i)*AE338*Ramure*Pc/MaxiM</f>
        <v>2.2309993016541113E-5</v>
      </c>
      <c r="AE338" s="304">
        <f t="shared" si="159"/>
        <v>0.6</v>
      </c>
      <c r="AF338" s="177">
        <f t="shared" si="160"/>
        <v>0.99866153806456093</v>
      </c>
      <c r="AG338" s="799">
        <f t="shared" si="161"/>
        <v>-2</v>
      </c>
      <c r="AH338" s="176">
        <f t="shared" si="162"/>
        <v>4</v>
      </c>
      <c r="AI338" s="224">
        <f t="shared" si="163"/>
        <v>-1.0013384619354391</v>
      </c>
      <c r="AJ338" s="264" t="b">
        <f t="shared" si="164"/>
        <v>0</v>
      </c>
      <c r="AK338" s="264" t="b">
        <f t="shared" si="165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66"/>
        <v>43790</v>
      </c>
      <c r="B339" s="607">
        <v>28.9</v>
      </c>
      <c r="C339" s="388"/>
      <c r="D339" s="391">
        <f t="shared" si="143"/>
        <v>29.063296575990822</v>
      </c>
      <c r="E339" s="383">
        <f t="shared" si="140"/>
        <v>29.917000529558397</v>
      </c>
      <c r="F339" s="383">
        <f t="shared" si="142"/>
        <v>29.917682231011785</v>
      </c>
      <c r="G339" s="110">
        <f t="shared" si="141"/>
        <v>0.9518311221234107</v>
      </c>
      <c r="I339" s="379">
        <f t="shared" si="144"/>
        <v>29.917682231011785</v>
      </c>
      <c r="J339" s="85">
        <v>2018</v>
      </c>
      <c r="K339" s="197">
        <f t="shared" si="145"/>
        <v>43790</v>
      </c>
      <c r="L339" s="435">
        <f t="shared" si="146"/>
        <v>5.6186529137827179E-3</v>
      </c>
      <c r="M339" s="842"/>
      <c r="N339" s="842"/>
      <c r="O339" s="323">
        <f t="shared" si="147"/>
        <v>2.853574684815418E-2</v>
      </c>
      <c r="P339" s="169">
        <f>(INDEX(Models!$BJ339:$BT339,,T339)*(1-R339)+INDEX(Models!$BJ339:$BT339,,T339+1)*R339-ERP_i)*Q339*Ramure*Pc/MaxiM</f>
        <v>2.4469672383289473E-5</v>
      </c>
      <c r="Q339" s="304">
        <f t="shared" si="148"/>
        <v>0.6</v>
      </c>
      <c r="R339" s="177">
        <f t="shared" si="149"/>
        <v>0.99868633491174608</v>
      </c>
      <c r="S339" s="799">
        <f t="shared" si="167"/>
        <v>-2</v>
      </c>
      <c r="T339" s="176">
        <f t="shared" si="150"/>
        <v>4</v>
      </c>
      <c r="U339" s="250">
        <f t="shared" si="151"/>
        <v>-1.0013136650882539</v>
      </c>
      <c r="V339" s="382">
        <f t="shared" si="152"/>
        <v>30.362477824354446</v>
      </c>
      <c r="W339" s="58"/>
      <c r="X339" s="157">
        <f t="shared" si="153"/>
        <v>43790</v>
      </c>
      <c r="Y339" s="383">
        <f t="shared" si="154"/>
        <v>28.9</v>
      </c>
      <c r="Z339" s="383">
        <f t="shared" si="155"/>
        <v>29.063296575990822</v>
      </c>
      <c r="AA339" s="384">
        <f t="shared" si="156"/>
        <v>29.917000529558397</v>
      </c>
      <c r="AB339" s="197">
        <f t="shared" si="157"/>
        <v>43790</v>
      </c>
      <c r="AC339" s="424">
        <f t="shared" si="158"/>
        <v>2.853574684815418E-2</v>
      </c>
      <c r="AD339" s="169">
        <f>(INDEX(Models!$BJ339:$BT339,,AH339)*(1-AF339)+INDEX(Models!$BJ339:$BT339,,AH339+1)*AF339-ERP_i)*AE339*Ramure*Pc/MaxiM</f>
        <v>2.4469672383289473E-5</v>
      </c>
      <c r="AE339" s="304">
        <f t="shared" si="159"/>
        <v>0.6</v>
      </c>
      <c r="AF339" s="177">
        <f t="shared" si="160"/>
        <v>0.99868633491174608</v>
      </c>
      <c r="AG339" s="799">
        <f t="shared" si="161"/>
        <v>-2</v>
      </c>
      <c r="AH339" s="176">
        <f t="shared" si="162"/>
        <v>4</v>
      </c>
      <c r="AI339" s="224">
        <f t="shared" si="163"/>
        <v>-1.0013136650882539</v>
      </c>
      <c r="AJ339" s="264" t="b">
        <f t="shared" si="164"/>
        <v>0</v>
      </c>
      <c r="AK339" s="264" t="b">
        <f t="shared" si="165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66"/>
        <v>43791</v>
      </c>
      <c r="B340" s="607">
        <v>15.21</v>
      </c>
      <c r="C340" s="388"/>
      <c r="D340" s="391">
        <f t="shared" si="143"/>
        <v>15.296235741284281</v>
      </c>
      <c r="E340" s="383">
        <f t="shared" si="140"/>
        <v>15.746674603702536</v>
      </c>
      <c r="F340" s="383">
        <f t="shared" si="142"/>
        <v>15.746798238952765</v>
      </c>
      <c r="G340" s="110">
        <f t="shared" si="141"/>
        <v>0.50512669508752295</v>
      </c>
      <c r="I340" s="379">
        <f t="shared" si="144"/>
        <v>15.746798238952765</v>
      </c>
      <c r="J340" s="85">
        <v>2018</v>
      </c>
      <c r="K340" s="197">
        <f t="shared" si="145"/>
        <v>43791</v>
      </c>
      <c r="L340" s="435">
        <f t="shared" si="146"/>
        <v>5.6377100054447737E-3</v>
      </c>
      <c r="M340" s="842"/>
      <c r="N340" s="842"/>
      <c r="O340" s="323">
        <f t="shared" si="147"/>
        <v>2.8605332475235268E-2</v>
      </c>
      <c r="P340" s="169">
        <f>(INDEX(Models!$BJ340:$BT340,,T340)*(1-R340)+INDEX(Models!$BJ340:$BT340,,T340+1)*R340-ERP_i)*Q340*Ramure*Pc/MaxiM</f>
        <v>2.679203180627743E-5</v>
      </c>
      <c r="Q340" s="304">
        <f t="shared" si="148"/>
        <v>0.6</v>
      </c>
      <c r="R340" s="177">
        <f t="shared" si="149"/>
        <v>0.99871013567781475</v>
      </c>
      <c r="S340" s="799">
        <f t="shared" si="167"/>
        <v>-2</v>
      </c>
      <c r="T340" s="176">
        <f t="shared" si="150"/>
        <v>4</v>
      </c>
      <c r="U340" s="250">
        <f t="shared" si="151"/>
        <v>-1.0012898643221853</v>
      </c>
      <c r="V340" s="382">
        <f t="shared" si="152"/>
        <v>30.110687198788597</v>
      </c>
      <c r="W340" s="58"/>
      <c r="X340" s="157">
        <f t="shared" si="153"/>
        <v>43791</v>
      </c>
      <c r="Y340" s="383">
        <f t="shared" si="154"/>
        <v>15.21</v>
      </c>
      <c r="Z340" s="383">
        <f t="shared" si="155"/>
        <v>15.296235741284281</v>
      </c>
      <c r="AA340" s="384">
        <f t="shared" si="156"/>
        <v>15.746674603702536</v>
      </c>
      <c r="AB340" s="197">
        <f t="shared" si="157"/>
        <v>43791</v>
      </c>
      <c r="AC340" s="424">
        <f t="shared" si="158"/>
        <v>2.8605332475235268E-2</v>
      </c>
      <c r="AD340" s="169">
        <f>(INDEX(Models!$BJ340:$BT340,,AH340)*(1-AF340)+INDEX(Models!$BJ340:$BT340,,AH340+1)*AF340-ERP_i)*AE340*Ramure*Pc/MaxiM</f>
        <v>2.679203180627743E-5</v>
      </c>
      <c r="AE340" s="304">
        <f t="shared" si="159"/>
        <v>0.6</v>
      </c>
      <c r="AF340" s="177">
        <f t="shared" si="160"/>
        <v>0.99871013567781475</v>
      </c>
      <c r="AG340" s="799">
        <f t="shared" si="161"/>
        <v>-2</v>
      </c>
      <c r="AH340" s="176">
        <f t="shared" si="162"/>
        <v>4</v>
      </c>
      <c r="AI340" s="224">
        <f t="shared" si="163"/>
        <v>-1.0012898643221853</v>
      </c>
      <c r="AJ340" s="264" t="b">
        <f t="shared" si="164"/>
        <v>0</v>
      </c>
      <c r="AK340" s="264" t="b">
        <f t="shared" si="165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66"/>
        <v>43792</v>
      </c>
      <c r="B341" s="607">
        <v>8.3539999999999992</v>
      </c>
      <c r="C341" s="388"/>
      <c r="D341" s="391">
        <f t="shared" si="143"/>
        <v>8.4015254697744783</v>
      </c>
      <c r="E341" s="383">
        <f t="shared" si="140"/>
        <v>8.6495535189029198</v>
      </c>
      <c r="F341" s="383">
        <f t="shared" si="142"/>
        <v>8.6495535189029198</v>
      </c>
      <c r="G341" s="110">
        <f t="shared" si="141"/>
        <v>0.27969553200614722</v>
      </c>
      <c r="I341" s="379">
        <f t="shared" si="144"/>
        <v>8.6495535189029198</v>
      </c>
      <c r="J341" s="85">
        <v>2018</v>
      </c>
      <c r="K341" s="197">
        <f t="shared" si="145"/>
        <v>43792</v>
      </c>
      <c r="L341" s="435">
        <f t="shared" si="146"/>
        <v>5.6567667318819792E-3</v>
      </c>
      <c r="M341" s="842"/>
      <c r="N341" s="842"/>
      <c r="O341" s="323">
        <f t="shared" si="147"/>
        <v>2.8675243015306644E-2</v>
      </c>
      <c r="P341" s="169">
        <f>(INDEX(Models!$BJ341:$BT341,,T341)*(1-R341)+INDEX(Models!$BJ341:$BT341,,T341+1)*R341-ERP_i)*Q341*Ramure*Pc/MaxiM</f>
        <v>2.9276043582049067E-5</v>
      </c>
      <c r="Q341" s="304">
        <f t="shared" si="148"/>
        <v>0.6</v>
      </c>
      <c r="R341" s="177">
        <f t="shared" si="149"/>
        <v>0.99873298028576429</v>
      </c>
      <c r="S341" s="799">
        <f t="shared" si="167"/>
        <v>-2</v>
      </c>
      <c r="T341" s="176">
        <f t="shared" si="150"/>
        <v>4</v>
      </c>
      <c r="U341" s="250">
        <f t="shared" si="151"/>
        <v>-1.0012670197142357</v>
      </c>
      <c r="V341" s="382">
        <f t="shared" si="152"/>
        <v>29.867318108421959</v>
      </c>
      <c r="W341" s="58"/>
      <c r="X341" s="157">
        <f t="shared" si="153"/>
        <v>43792</v>
      </c>
      <c r="Y341" s="383">
        <f t="shared" si="154"/>
        <v>8.3539999999999992</v>
      </c>
      <c r="Z341" s="383">
        <f t="shared" si="155"/>
        <v>8.4015254697744783</v>
      </c>
      <c r="AA341" s="384">
        <f t="shared" si="156"/>
        <v>8.6495535189029198</v>
      </c>
      <c r="AB341" s="197">
        <f t="shared" si="157"/>
        <v>43792</v>
      </c>
      <c r="AC341" s="424">
        <f t="shared" si="158"/>
        <v>2.8675243015306644E-2</v>
      </c>
      <c r="AD341" s="169">
        <f>(INDEX(Models!$BJ341:$BT341,,AH341)*(1-AF341)+INDEX(Models!$BJ341:$BT341,,AH341+1)*AF341-ERP_i)*AE341*Ramure*Pc/MaxiM</f>
        <v>2.9276043582049067E-5</v>
      </c>
      <c r="AE341" s="304">
        <f t="shared" si="159"/>
        <v>0.6</v>
      </c>
      <c r="AF341" s="177">
        <f t="shared" si="160"/>
        <v>0.99873298028576429</v>
      </c>
      <c r="AG341" s="799">
        <f t="shared" si="161"/>
        <v>-2</v>
      </c>
      <c r="AH341" s="176">
        <f t="shared" si="162"/>
        <v>4</v>
      </c>
      <c r="AI341" s="224">
        <f t="shared" si="163"/>
        <v>-1.0012670197142357</v>
      </c>
      <c r="AJ341" s="264" t="b">
        <f t="shared" si="164"/>
        <v>0</v>
      </c>
      <c r="AK341" s="264" t="b">
        <f t="shared" si="165"/>
        <v>0</v>
      </c>
      <c r="AL341" s="264"/>
      <c r="AM341" s="264"/>
      <c r="AN341" s="75"/>
    </row>
    <row r="342" spans="1:40" s="6" customFormat="1" ht="11.25" x14ac:dyDescent="0.2">
      <c r="A342" s="56">
        <f t="shared" si="166"/>
        <v>43793</v>
      </c>
      <c r="B342" s="607">
        <v>14.837</v>
      </c>
      <c r="C342" s="388"/>
      <c r="D342" s="391">
        <f t="shared" si="143"/>
        <v>14.921692889088053</v>
      </c>
      <c r="E342" s="383">
        <f t="shared" si="140"/>
        <v>15.363319057345471</v>
      </c>
      <c r="F342" s="383">
        <f t="shared" si="142"/>
        <v>15.363459655054715</v>
      </c>
      <c r="G342" s="110">
        <f t="shared" si="141"/>
        <v>0.50067525715638406</v>
      </c>
      <c r="I342" s="379">
        <f t="shared" si="144"/>
        <v>15.363459655054715</v>
      </c>
      <c r="J342" s="85">
        <v>2018</v>
      </c>
      <c r="K342" s="197">
        <f t="shared" si="145"/>
        <v>43793</v>
      </c>
      <c r="L342" s="435">
        <f t="shared" si="146"/>
        <v>5.6758230931014397E-3</v>
      </c>
      <c r="M342" s="842"/>
      <c r="N342" s="842"/>
      <c r="O342" s="323">
        <f t="shared" si="147"/>
        <v>2.8745492208356434E-2</v>
      </c>
      <c r="P342" s="169">
        <f>(INDEX(Models!$BJ342:$BT342,,T342)*(1-R342)+INDEX(Models!$BJ342:$BT342,,T342+1)*R342-ERP_i)*Q342*Ramure*Pc/MaxiM</f>
        <v>3.1920432053928976E-5</v>
      </c>
      <c r="Q342" s="304">
        <f t="shared" si="148"/>
        <v>0.6</v>
      </c>
      <c r="R342" s="177">
        <f t="shared" si="149"/>
        <v>0.9987549070655124</v>
      </c>
      <c r="S342" s="799">
        <f t="shared" si="167"/>
        <v>-2</v>
      </c>
      <c r="T342" s="176">
        <f t="shared" si="150"/>
        <v>4</v>
      </c>
      <c r="U342" s="250">
        <f t="shared" si="151"/>
        <v>-1.0012450929344876</v>
      </c>
      <c r="V342" s="382">
        <f t="shared" si="152"/>
        <v>29.633304145228685</v>
      </c>
      <c r="W342" s="58"/>
      <c r="X342" s="157">
        <f t="shared" si="153"/>
        <v>43793</v>
      </c>
      <c r="Y342" s="383">
        <f t="shared" si="154"/>
        <v>14.837</v>
      </c>
      <c r="Z342" s="383">
        <f t="shared" si="155"/>
        <v>14.921692889088053</v>
      </c>
      <c r="AA342" s="384">
        <f t="shared" si="156"/>
        <v>15.363319057345471</v>
      </c>
      <c r="AB342" s="197">
        <f t="shared" si="157"/>
        <v>43793</v>
      </c>
      <c r="AC342" s="424">
        <f t="shared" si="158"/>
        <v>2.8745492208356434E-2</v>
      </c>
      <c r="AD342" s="169">
        <f>(INDEX(Models!$BJ342:$BT342,,AH342)*(1-AF342)+INDEX(Models!$BJ342:$BT342,,AH342+1)*AF342-ERP_i)*AE342*Ramure*Pc/MaxiM</f>
        <v>3.1920432053928976E-5</v>
      </c>
      <c r="AE342" s="304">
        <f t="shared" si="159"/>
        <v>0.6</v>
      </c>
      <c r="AF342" s="177">
        <f t="shared" si="160"/>
        <v>0.9987549070655124</v>
      </c>
      <c r="AG342" s="799">
        <f t="shared" si="161"/>
        <v>-2</v>
      </c>
      <c r="AH342" s="176">
        <f t="shared" si="162"/>
        <v>4</v>
      </c>
      <c r="AI342" s="224">
        <f t="shared" si="163"/>
        <v>-1.0012450929344876</v>
      </c>
      <c r="AJ342" s="264" t="b">
        <f t="shared" si="164"/>
        <v>0</v>
      </c>
      <c r="AK342" s="264" t="b">
        <f t="shared" si="165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66"/>
        <v>43794</v>
      </c>
      <c r="B343" s="607">
        <v>12.491</v>
      </c>
      <c r="C343" s="388"/>
      <c r="D343" s="391">
        <f t="shared" si="143"/>
        <v>12.562542158645332</v>
      </c>
      <c r="E343" s="383">
        <f t="shared" si="140"/>
        <v>12.935286566989351</v>
      </c>
      <c r="F343" s="383">
        <f t="shared" si="142"/>
        <v>12.935366598693427</v>
      </c>
      <c r="G343" s="110">
        <f t="shared" si="141"/>
        <v>0.42471344855659532</v>
      </c>
      <c r="I343" s="379">
        <f t="shared" si="144"/>
        <v>12.935366598693427</v>
      </c>
      <c r="J343" s="85">
        <v>2018</v>
      </c>
      <c r="K343" s="197">
        <f t="shared" si="145"/>
        <v>43794</v>
      </c>
      <c r="L343" s="435">
        <f t="shared" si="146"/>
        <v>5.6948790891100387E-3</v>
      </c>
      <c r="M343" s="842"/>
      <c r="N343" s="842"/>
      <c r="O343" s="323">
        <f t="shared" si="147"/>
        <v>2.8816092045092896E-2</v>
      </c>
      <c r="P343" s="169">
        <f>(INDEX(Models!$BJ343:$BT343,,T343)*(1-R343)+INDEX(Models!$BJ343:$BT343,,T343+1)*R343-ERP_i)*Q343*Ramure*Pc/MaxiM</f>
        <v>3.4723689917124149E-5</v>
      </c>
      <c r="Q343" s="304">
        <f t="shared" si="148"/>
        <v>0.6</v>
      </c>
      <c r="R343" s="177">
        <f t="shared" si="149"/>
        <v>0.99877595281690956</v>
      </c>
      <c r="S343" s="799">
        <f t="shared" si="167"/>
        <v>-2</v>
      </c>
      <c r="T343" s="176">
        <f t="shared" si="150"/>
        <v>4</v>
      </c>
      <c r="U343" s="250">
        <f t="shared" si="151"/>
        <v>-1.0012240471830904</v>
      </c>
      <c r="V343" s="382">
        <f t="shared" si="152"/>
        <v>29.409578597102126</v>
      </c>
      <c r="W343" s="58"/>
      <c r="X343" s="157">
        <f t="shared" si="153"/>
        <v>43794</v>
      </c>
      <c r="Y343" s="383">
        <f t="shared" si="154"/>
        <v>12.491</v>
      </c>
      <c r="Z343" s="383">
        <f t="shared" si="155"/>
        <v>12.562542158645332</v>
      </c>
      <c r="AA343" s="384">
        <f t="shared" si="156"/>
        <v>12.935286566989351</v>
      </c>
      <c r="AB343" s="197">
        <f t="shared" si="157"/>
        <v>43794</v>
      </c>
      <c r="AC343" s="424">
        <f t="shared" si="158"/>
        <v>2.8816092045092896E-2</v>
      </c>
      <c r="AD343" s="169">
        <f>(INDEX(Models!$BJ343:$BT343,,AH343)*(1-AF343)+INDEX(Models!$BJ343:$BT343,,AH343+1)*AF343-ERP_i)*AE343*Ramure*Pc/MaxiM</f>
        <v>3.4723689917124149E-5</v>
      </c>
      <c r="AE343" s="304">
        <f t="shared" si="159"/>
        <v>0.6</v>
      </c>
      <c r="AF343" s="177">
        <f t="shared" si="160"/>
        <v>0.99877595281690956</v>
      </c>
      <c r="AG343" s="799">
        <f t="shared" si="161"/>
        <v>-2</v>
      </c>
      <c r="AH343" s="176">
        <f t="shared" si="162"/>
        <v>4</v>
      </c>
      <c r="AI343" s="224">
        <f t="shared" si="163"/>
        <v>-1.0012240471830904</v>
      </c>
      <c r="AJ343" s="264" t="b">
        <f t="shared" si="164"/>
        <v>0</v>
      </c>
      <c r="AK343" s="264" t="b">
        <f t="shared" si="165"/>
        <v>0</v>
      </c>
      <c r="AL343" s="264"/>
      <c r="AM343" s="264"/>
      <c r="AN343" s="75"/>
    </row>
    <row r="344" spans="1:40" s="6" customFormat="1" ht="11.25" x14ac:dyDescent="0.2">
      <c r="A344" s="56">
        <f t="shared" si="166"/>
        <v>43795</v>
      </c>
      <c r="B344" s="607">
        <v>21.224</v>
      </c>
      <c r="C344" s="388"/>
      <c r="D344" s="391">
        <f t="shared" si="143"/>
        <v>21.345969476119844</v>
      </c>
      <c r="E344" s="383">
        <f t="shared" si="140"/>
        <v>21.980933872056362</v>
      </c>
      <c r="F344" s="383">
        <f t="shared" si="142"/>
        <v>21.981439071048236</v>
      </c>
      <c r="G344" s="110">
        <f t="shared" si="141"/>
        <v>0.72691145922887368</v>
      </c>
      <c r="I344" s="379">
        <f t="shared" si="144"/>
        <v>21.981439071048236</v>
      </c>
      <c r="J344" s="85">
        <v>2018</v>
      </c>
      <c r="K344" s="197">
        <f t="shared" si="145"/>
        <v>43795</v>
      </c>
      <c r="L344" s="435">
        <f t="shared" si="146"/>
        <v>5.7139347199148816E-3</v>
      </c>
      <c r="M344" s="842"/>
      <c r="N344" s="842"/>
      <c r="O344" s="323">
        <f t="shared" si="147"/>
        <v>2.8887052735449295E-2</v>
      </c>
      <c r="P344" s="169">
        <f>(INDEX(Models!$BJ344:$BT344,,T344)*(1-R344)+INDEX(Models!$BJ344:$BT344,,T344+1)*R344-ERP_i)*Q344*Ramure*Pc/MaxiM</f>
        <v>3.7683888518967425E-5</v>
      </c>
      <c r="Q344" s="304">
        <f t="shared" si="148"/>
        <v>0.6</v>
      </c>
      <c r="R344" s="177">
        <f t="shared" si="149"/>
        <v>0.99879615287030798</v>
      </c>
      <c r="S344" s="799">
        <f t="shared" si="167"/>
        <v>-2</v>
      </c>
      <c r="T344" s="176">
        <f t="shared" si="150"/>
        <v>4</v>
      </c>
      <c r="U344" s="250">
        <f t="shared" si="151"/>
        <v>-1.001203847129692</v>
      </c>
      <c r="V344" s="382">
        <f t="shared" si="152"/>
        <v>29.197074432253178</v>
      </c>
      <c r="W344" s="58"/>
      <c r="X344" s="157">
        <f t="shared" si="153"/>
        <v>43795</v>
      </c>
      <c r="Y344" s="383">
        <f t="shared" si="154"/>
        <v>21.224</v>
      </c>
      <c r="Z344" s="383">
        <f t="shared" si="155"/>
        <v>21.345969476119844</v>
      </c>
      <c r="AA344" s="384">
        <f t="shared" si="156"/>
        <v>21.980933872056362</v>
      </c>
      <c r="AB344" s="197">
        <f t="shared" si="157"/>
        <v>43795</v>
      </c>
      <c r="AC344" s="424">
        <f t="shared" si="158"/>
        <v>2.8887052735449295E-2</v>
      </c>
      <c r="AD344" s="169">
        <f>(INDEX(Models!$BJ344:$BT344,,AH344)*(1-AF344)+INDEX(Models!$BJ344:$BT344,,AH344+1)*AF344-ERP_i)*AE344*Ramure*Pc/MaxiM</f>
        <v>3.7683888518967425E-5</v>
      </c>
      <c r="AE344" s="304">
        <f t="shared" si="159"/>
        <v>0.6</v>
      </c>
      <c r="AF344" s="177">
        <f t="shared" si="160"/>
        <v>0.99879615287030798</v>
      </c>
      <c r="AG344" s="799">
        <f t="shared" si="161"/>
        <v>-2</v>
      </c>
      <c r="AH344" s="176">
        <f t="shared" si="162"/>
        <v>4</v>
      </c>
      <c r="AI344" s="224">
        <f t="shared" si="163"/>
        <v>-1.001203847129692</v>
      </c>
      <c r="AJ344" s="264" t="b">
        <f t="shared" si="164"/>
        <v>0</v>
      </c>
      <c r="AK344" s="264" t="b">
        <f t="shared" si="165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66"/>
        <v>43796</v>
      </c>
      <c r="B345" s="607">
        <v>22.312000000000001</v>
      </c>
      <c r="C345" s="388"/>
      <c r="D345" s="391">
        <f t="shared" si="143"/>
        <v>22.440652033375947</v>
      </c>
      <c r="E345" s="383">
        <f t="shared" si="140"/>
        <v>23.109876686341988</v>
      </c>
      <c r="F345" s="383">
        <f t="shared" si="142"/>
        <v>23.110509215262276</v>
      </c>
      <c r="G345" s="110">
        <f t="shared" si="141"/>
        <v>0.76953590740170508</v>
      </c>
      <c r="I345" s="379">
        <f t="shared" si="144"/>
        <v>23.110509215262276</v>
      </c>
      <c r="J345" s="85">
        <v>2018</v>
      </c>
      <c r="K345" s="197">
        <f t="shared" si="145"/>
        <v>43796</v>
      </c>
      <c r="L345" s="435">
        <f t="shared" si="146"/>
        <v>5.7329899855228517E-3</v>
      </c>
      <c r="M345" s="842"/>
      <c r="N345" s="842"/>
      <c r="O345" s="323">
        <f t="shared" si="147"/>
        <v>2.8958382688452636E-2</v>
      </c>
      <c r="P345" s="169">
        <f>(INDEX(Models!$BJ345:$BT345,,T345)*(1-R345)+INDEX(Models!$BJ345:$BT345,,T345+1)*R345-ERP_i)*Q345*Ramure*Pc/MaxiM</f>
        <v>4.0802853902559345E-5</v>
      </c>
      <c r="Q345" s="304">
        <f t="shared" si="148"/>
        <v>0.6</v>
      </c>
      <c r="R345" s="177">
        <f t="shared" si="149"/>
        <v>0.99881554114476856</v>
      </c>
      <c r="S345" s="799">
        <f t="shared" si="167"/>
        <v>-2</v>
      </c>
      <c r="T345" s="176">
        <f t="shared" si="150"/>
        <v>4</v>
      </c>
      <c r="U345" s="250">
        <f t="shared" si="151"/>
        <v>-1.0011844588552314</v>
      </c>
      <c r="V345" s="382">
        <f t="shared" si="152"/>
        <v>28.993709140584563</v>
      </c>
      <c r="W345" s="58"/>
      <c r="X345" s="157">
        <f t="shared" si="153"/>
        <v>43796</v>
      </c>
      <c r="Y345" s="383">
        <f t="shared" si="154"/>
        <v>22.312000000000001</v>
      </c>
      <c r="Z345" s="383">
        <f t="shared" si="155"/>
        <v>22.440652033375947</v>
      </c>
      <c r="AA345" s="384">
        <f t="shared" si="156"/>
        <v>23.109876686341988</v>
      </c>
      <c r="AB345" s="197">
        <f t="shared" si="157"/>
        <v>43796</v>
      </c>
      <c r="AC345" s="424">
        <f t="shared" si="158"/>
        <v>2.8958382688452636E-2</v>
      </c>
      <c r="AD345" s="169">
        <f>(INDEX(Models!$BJ345:$BT345,,AH345)*(1-AF345)+INDEX(Models!$BJ345:$BT345,,AH345+1)*AF345-ERP_i)*AE345*Ramure*Pc/MaxiM</f>
        <v>4.0802853902559345E-5</v>
      </c>
      <c r="AE345" s="304">
        <f t="shared" si="159"/>
        <v>0.6</v>
      </c>
      <c r="AF345" s="177">
        <f t="shared" si="160"/>
        <v>0.99881554114476856</v>
      </c>
      <c r="AG345" s="799">
        <f t="shared" si="161"/>
        <v>-2</v>
      </c>
      <c r="AH345" s="176">
        <f t="shared" si="162"/>
        <v>4</v>
      </c>
      <c r="AI345" s="224">
        <f t="shared" si="163"/>
        <v>-1.0011844588552314</v>
      </c>
      <c r="AJ345" s="264" t="b">
        <f t="shared" si="164"/>
        <v>0</v>
      </c>
      <c r="AK345" s="264" t="b">
        <f t="shared" si="165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66"/>
        <v>43797</v>
      </c>
      <c r="B346" s="607">
        <v>12.401999999999999</v>
      </c>
      <c r="C346" s="388"/>
      <c r="D346" s="391">
        <f t="shared" si="143"/>
        <v>12.473749567407717</v>
      </c>
      <c r="E346" s="383">
        <f t="shared" si="140"/>
        <v>12.846690118526153</v>
      </c>
      <c r="F346" s="383">
        <f t="shared" si="142"/>
        <v>12.846796087068691</v>
      </c>
      <c r="G346" s="110">
        <f t="shared" si="141"/>
        <v>0.43065465002984255</v>
      </c>
      <c r="I346" s="379">
        <f t="shared" si="144"/>
        <v>12.846796087068691</v>
      </c>
      <c r="J346" s="85">
        <v>2018</v>
      </c>
      <c r="K346" s="197">
        <f t="shared" si="145"/>
        <v>43797</v>
      </c>
      <c r="L346" s="435">
        <f t="shared" si="146"/>
        <v>5.7520448859410545E-3</v>
      </c>
      <c r="M346" s="842"/>
      <c r="N346" s="842"/>
      <c r="O346" s="323">
        <f t="shared" si="147"/>
        <v>2.903008850354542E-2</v>
      </c>
      <c r="P346" s="169">
        <f>(INDEX(Models!$BJ346:$BT346,,T346)*(1-R346)+INDEX(Models!$BJ346:$BT346,,T346+1)*R346-ERP_i)*Q346*Ramure*Pc/MaxiM</f>
        <v>4.4187949952697182E-5</v>
      </c>
      <c r="Q346" s="304">
        <f t="shared" si="148"/>
        <v>0.6</v>
      </c>
      <c r="R346" s="177">
        <f t="shared" si="149"/>
        <v>0.99883415020400346</v>
      </c>
      <c r="S346" s="799">
        <f t="shared" si="167"/>
        <v>-2</v>
      </c>
      <c r="T346" s="176">
        <f t="shared" si="150"/>
        <v>4</v>
      </c>
      <c r="U346" s="250">
        <f t="shared" si="151"/>
        <v>-1.0011658497959965</v>
      </c>
      <c r="V346" s="382">
        <f t="shared" si="152"/>
        <v>28.796982166778648</v>
      </c>
      <c r="W346" s="58"/>
      <c r="X346" s="157">
        <f t="shared" si="153"/>
        <v>43797</v>
      </c>
      <c r="Y346" s="383">
        <f t="shared" si="154"/>
        <v>12.401999999999999</v>
      </c>
      <c r="Z346" s="383">
        <f t="shared" si="155"/>
        <v>12.473749567407717</v>
      </c>
      <c r="AA346" s="384">
        <f t="shared" si="156"/>
        <v>12.846690118526153</v>
      </c>
      <c r="AB346" s="197">
        <f t="shared" si="157"/>
        <v>43797</v>
      </c>
      <c r="AC346" s="424">
        <f t="shared" si="158"/>
        <v>2.903008850354542E-2</v>
      </c>
      <c r="AD346" s="169">
        <f>(INDEX(Models!$BJ346:$BT346,,AH346)*(1-AF346)+INDEX(Models!$BJ346:$BT346,,AH346+1)*AF346-ERP_i)*AE346*Ramure*Pc/MaxiM</f>
        <v>4.4187949952697182E-5</v>
      </c>
      <c r="AE346" s="304">
        <f t="shared" si="159"/>
        <v>0.6</v>
      </c>
      <c r="AF346" s="177">
        <f t="shared" si="160"/>
        <v>0.99883415020400346</v>
      </c>
      <c r="AG346" s="799">
        <f t="shared" si="161"/>
        <v>-2</v>
      </c>
      <c r="AH346" s="176">
        <f t="shared" si="162"/>
        <v>4</v>
      </c>
      <c r="AI346" s="224">
        <f t="shared" si="163"/>
        <v>-1.0011658497959965</v>
      </c>
      <c r="AJ346" s="264" t="b">
        <f t="shared" si="164"/>
        <v>0</v>
      </c>
      <c r="AK346" s="264" t="b">
        <f t="shared" si="165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66"/>
        <v>43798</v>
      </c>
      <c r="B347" s="607">
        <v>16.177</v>
      </c>
      <c r="C347" s="388"/>
      <c r="D347" s="391">
        <f t="shared" si="143"/>
        <v>16.270900987269648</v>
      </c>
      <c r="E347" s="383">
        <f t="shared" si="140"/>
        <v>16.758613077357694</v>
      </c>
      <c r="F347" s="383">
        <f t="shared" si="142"/>
        <v>16.758916593732387</v>
      </c>
      <c r="G347" s="110">
        <f t="shared" si="141"/>
        <v>0.56547012625689608</v>
      </c>
      <c r="I347" s="379">
        <f t="shared" si="144"/>
        <v>16.758916593732387</v>
      </c>
      <c r="J347" s="85">
        <v>2018</v>
      </c>
      <c r="K347" s="197">
        <f t="shared" si="145"/>
        <v>43798</v>
      </c>
      <c r="L347" s="435">
        <f t="shared" si="146"/>
        <v>5.7710994211763733E-3</v>
      </c>
      <c r="M347" s="842"/>
      <c r="N347" s="842"/>
      <c r="O347" s="323">
        <f t="shared" si="147"/>
        <v>2.9102174973356706E-2</v>
      </c>
      <c r="P347" s="169">
        <f>(INDEX(Models!$BJ347:$BT347,,T347)*(1-R347)+INDEX(Models!$BJ347:$BT347,,T347+1)*R347-ERP_i)*Q347*Ramure*Pc/MaxiM</f>
        <v>4.7751954208132713E-5</v>
      </c>
      <c r="Q347" s="304">
        <f t="shared" si="148"/>
        <v>0.6</v>
      </c>
      <c r="R347" s="177">
        <f t="shared" si="149"/>
        <v>0.99885201131013246</v>
      </c>
      <c r="S347" s="799">
        <f t="shared" si="167"/>
        <v>-2</v>
      </c>
      <c r="T347" s="176">
        <f t="shared" si="150"/>
        <v>4</v>
      </c>
      <c r="U347" s="250">
        <f t="shared" si="151"/>
        <v>-1.0011479886898675</v>
      </c>
      <c r="V347" s="382">
        <f t="shared" si="152"/>
        <v>28.607206171026114</v>
      </c>
      <c r="W347" s="58"/>
      <c r="X347" s="157">
        <f t="shared" si="153"/>
        <v>43798</v>
      </c>
      <c r="Y347" s="383">
        <f t="shared" si="154"/>
        <v>16.177</v>
      </c>
      <c r="Z347" s="383">
        <f t="shared" si="155"/>
        <v>16.270900987269648</v>
      </c>
      <c r="AA347" s="384">
        <f t="shared" si="156"/>
        <v>16.758613077357694</v>
      </c>
      <c r="AB347" s="197">
        <f t="shared" si="157"/>
        <v>43798</v>
      </c>
      <c r="AC347" s="424">
        <f t="shared" si="158"/>
        <v>2.9102174973356706E-2</v>
      </c>
      <c r="AD347" s="169">
        <f>(INDEX(Models!$BJ347:$BT347,,AH347)*(1-AF347)+INDEX(Models!$BJ347:$BT347,,AH347+1)*AF347-ERP_i)*AE347*Ramure*Pc/MaxiM</f>
        <v>4.7751954208132713E-5</v>
      </c>
      <c r="AE347" s="304">
        <f t="shared" si="159"/>
        <v>0.6</v>
      </c>
      <c r="AF347" s="177">
        <f t="shared" si="160"/>
        <v>0.99885201131013246</v>
      </c>
      <c r="AG347" s="799">
        <f t="shared" si="161"/>
        <v>-2</v>
      </c>
      <c r="AH347" s="176">
        <f t="shared" si="162"/>
        <v>4</v>
      </c>
      <c r="AI347" s="224">
        <f t="shared" si="163"/>
        <v>-1.0011479886898675</v>
      </c>
      <c r="AJ347" s="264" t="b">
        <f t="shared" si="164"/>
        <v>0</v>
      </c>
      <c r="AK347" s="264" t="b">
        <f t="shared" si="165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66"/>
        <v>43799</v>
      </c>
      <c r="B348" s="607">
        <v>11.789</v>
      </c>
      <c r="C348" s="388"/>
      <c r="D348" s="391">
        <f t="shared" si="143"/>
        <v>11.857657659078358</v>
      </c>
      <c r="E348" s="383">
        <f t="shared" si="140"/>
        <v>12.213996677366566</v>
      </c>
      <c r="F348" s="383">
        <f t="shared" si="142"/>
        <v>12.21409977775482</v>
      </c>
      <c r="G348" s="110">
        <f t="shared" si="141"/>
        <v>0.41472719467199259</v>
      </c>
      <c r="I348" s="379">
        <f t="shared" si="144"/>
        <v>12.21409977775482</v>
      </c>
      <c r="J348" s="85">
        <v>2018</v>
      </c>
      <c r="K348" s="197">
        <f t="shared" si="145"/>
        <v>43799</v>
      </c>
      <c r="L348" s="435">
        <f t="shared" si="146"/>
        <v>5.7901535912359137E-3</v>
      </c>
      <c r="M348" s="842"/>
      <c r="N348" s="842"/>
      <c r="O348" s="323">
        <f t="shared" si="147"/>
        <v>2.9174645097827114E-2</v>
      </c>
      <c r="P348" s="169">
        <f>(INDEX(Models!$BJ348:$BT348,,T348)*(1-R348)+INDEX(Models!$BJ348:$BT348,,T348+1)*R348-ERP_i)*Q348*Ramure*Pc/MaxiM</f>
        <v>5.1494745200401087E-5</v>
      </c>
      <c r="Q348" s="304">
        <f t="shared" si="148"/>
        <v>0.6</v>
      </c>
      <c r="R348" s="177">
        <f t="shared" si="149"/>
        <v>0.99886915447534164</v>
      </c>
      <c r="S348" s="799">
        <f t="shared" si="167"/>
        <v>-2</v>
      </c>
      <c r="T348" s="176">
        <f t="shared" si="150"/>
        <v>4</v>
      </c>
      <c r="U348" s="250">
        <f t="shared" si="151"/>
        <v>-1.0011308455246584</v>
      </c>
      <c r="V348" s="382">
        <f t="shared" si="152"/>
        <v>28.424691189031346</v>
      </c>
      <c r="W348" s="58"/>
      <c r="X348" s="157">
        <f t="shared" si="153"/>
        <v>43799</v>
      </c>
      <c r="Y348" s="383">
        <f t="shared" si="154"/>
        <v>11.789</v>
      </c>
      <c r="Z348" s="383">
        <f t="shared" si="155"/>
        <v>11.857657659078358</v>
      </c>
      <c r="AA348" s="384">
        <f t="shared" si="156"/>
        <v>12.213996677366566</v>
      </c>
      <c r="AB348" s="197">
        <f t="shared" si="157"/>
        <v>43799</v>
      </c>
      <c r="AC348" s="424">
        <f t="shared" si="158"/>
        <v>2.9174645097827114E-2</v>
      </c>
      <c r="AD348" s="169">
        <f>(INDEX(Models!$BJ348:$BT348,,AH348)*(1-AF348)+INDEX(Models!$BJ348:$BT348,,AH348+1)*AF348-ERP_i)*AE348*Ramure*Pc/MaxiM</f>
        <v>5.1494745200401087E-5</v>
      </c>
      <c r="AE348" s="304">
        <f t="shared" si="159"/>
        <v>0.6</v>
      </c>
      <c r="AF348" s="177">
        <f t="shared" si="160"/>
        <v>0.99886915447534164</v>
      </c>
      <c r="AG348" s="799">
        <f t="shared" si="161"/>
        <v>-2</v>
      </c>
      <c r="AH348" s="176">
        <f t="shared" si="162"/>
        <v>4</v>
      </c>
      <c r="AI348" s="224">
        <f t="shared" si="163"/>
        <v>-1.0011308455246584</v>
      </c>
      <c r="AJ348" s="264" t="b">
        <f t="shared" si="164"/>
        <v>0</v>
      </c>
      <c r="AK348" s="264" t="b">
        <f t="shared" si="165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66"/>
        <v>43800</v>
      </c>
      <c r="B349" s="607">
        <v>7.9210000000000003</v>
      </c>
      <c r="C349" s="388"/>
      <c r="D349" s="391">
        <f t="shared" si="143"/>
        <v>7.9672836028326142</v>
      </c>
      <c r="E349" s="383">
        <f t="shared" si="140"/>
        <v>8.2073274122202307</v>
      </c>
      <c r="F349" s="383">
        <f t="shared" si="142"/>
        <v>8.2073274122202307</v>
      </c>
      <c r="G349" s="110">
        <f t="shared" si="141"/>
        <v>0.2803763518824165</v>
      </c>
      <c r="I349" s="379">
        <f t="shared" si="144"/>
        <v>8.2073274122202307</v>
      </c>
      <c r="J349" s="85">
        <v>2018</v>
      </c>
      <c r="K349" s="197">
        <f t="shared" si="145"/>
        <v>43800</v>
      </c>
      <c r="L349" s="435">
        <f t="shared" si="146"/>
        <v>5.8092073961266699E-3</v>
      </c>
      <c r="M349" s="842"/>
      <c r="N349" s="842"/>
      <c r="O349" s="323">
        <f t="shared" si="147"/>
        <v>2.9247500109500418E-2</v>
      </c>
      <c r="P349" s="169">
        <f>(INDEX(Models!$BJ349:$BT349,,T349)*(1-R349)+INDEX(Models!$BJ349:$BT349,,T349+1)*R349-ERP_i)*Q349*Ramure*Pc/MaxiM</f>
        <v>5.5416053899846174E-5</v>
      </c>
      <c r="Q349" s="304">
        <f t="shared" si="148"/>
        <v>0.6</v>
      </c>
      <c r="R349" s="177">
        <f t="shared" si="149"/>
        <v>0.9988856085115172</v>
      </c>
      <c r="S349" s="799">
        <f t="shared" si="167"/>
        <v>-2</v>
      </c>
      <c r="T349" s="176">
        <f t="shared" si="150"/>
        <v>4</v>
      </c>
      <c r="U349" s="250">
        <f t="shared" si="151"/>
        <v>-1.0011143914884828</v>
      </c>
      <c r="V349" s="382">
        <f t="shared" si="152"/>
        <v>28.249747156845679</v>
      </c>
      <c r="W349" s="58"/>
      <c r="X349" s="157">
        <f t="shared" si="153"/>
        <v>43800</v>
      </c>
      <c r="Y349" s="383">
        <f t="shared" si="154"/>
        <v>7.9210000000000003</v>
      </c>
      <c r="Z349" s="383">
        <f t="shared" si="155"/>
        <v>7.9672836028326142</v>
      </c>
      <c r="AA349" s="384">
        <f t="shared" si="156"/>
        <v>8.2073274122202307</v>
      </c>
      <c r="AB349" s="197">
        <f t="shared" si="157"/>
        <v>43800</v>
      </c>
      <c r="AC349" s="424">
        <f t="shared" si="158"/>
        <v>2.9247500109500418E-2</v>
      </c>
      <c r="AD349" s="169">
        <f>(INDEX(Models!$BJ349:$BT349,,AH349)*(1-AF349)+INDEX(Models!$BJ349:$BT349,,AH349+1)*AF349-ERP_i)*AE349*Ramure*Pc/MaxiM</f>
        <v>5.5416053899846174E-5</v>
      </c>
      <c r="AE349" s="304">
        <f t="shared" si="159"/>
        <v>0.6</v>
      </c>
      <c r="AF349" s="177">
        <f t="shared" si="160"/>
        <v>0.9988856085115172</v>
      </c>
      <c r="AG349" s="799">
        <f t="shared" si="161"/>
        <v>-2</v>
      </c>
      <c r="AH349" s="176">
        <f t="shared" si="162"/>
        <v>4</v>
      </c>
      <c r="AI349" s="224">
        <f t="shared" si="163"/>
        <v>-1.0011143914884828</v>
      </c>
      <c r="AJ349" s="264" t="b">
        <f t="shared" si="164"/>
        <v>0</v>
      </c>
      <c r="AK349" s="264" t="b">
        <f t="shared" si="165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66"/>
        <v>43801</v>
      </c>
      <c r="B350" s="607">
        <v>4.1559999999999997</v>
      </c>
      <c r="C350" s="388"/>
      <c r="D350" s="391">
        <f t="shared" si="143"/>
        <v>4.180364253256867</v>
      </c>
      <c r="E350" s="383">
        <f t="shared" si="140"/>
        <v>4.3066380661572436</v>
      </c>
      <c r="F350" s="383">
        <f t="shared" si="142"/>
        <v>4.3066380661572436</v>
      </c>
      <c r="G350" s="110">
        <f t="shared" si="141"/>
        <v>0.14798274496914363</v>
      </c>
      <c r="I350" s="379">
        <f t="shared" si="144"/>
        <v>4.3066380661572436</v>
      </c>
      <c r="J350" s="85">
        <v>2018</v>
      </c>
      <c r="K350" s="197">
        <f t="shared" si="145"/>
        <v>43801</v>
      </c>
      <c r="L350" s="435">
        <f t="shared" si="146"/>
        <v>5.8282608358555255E-3</v>
      </c>
      <c r="M350" s="842"/>
      <c r="N350" s="842"/>
      <c r="O350" s="323">
        <f t="shared" si="147"/>
        <v>2.932073950970511E-2</v>
      </c>
      <c r="P350" s="169">
        <f>(INDEX(Models!$BJ350:$BT350,,T350)*(1-R350)+INDEX(Models!$BJ350:$BT350,,T350+1)*R350-ERP_i)*Q350*Ramure*Pc/MaxiM</f>
        <v>5.9515421080608101E-5</v>
      </c>
      <c r="Q350" s="304">
        <f t="shared" si="148"/>
        <v>0.6</v>
      </c>
      <c r="R350" s="177">
        <f t="shared" si="149"/>
        <v>0.9989014010779389</v>
      </c>
      <c r="S350" s="799">
        <f t="shared" si="167"/>
        <v>-2</v>
      </c>
      <c r="T350" s="176">
        <f t="shared" si="150"/>
        <v>4</v>
      </c>
      <c r="U350" s="250">
        <f t="shared" si="151"/>
        <v>-1.0010985989220611</v>
      </c>
      <c r="V350" s="382">
        <f t="shared" si="152"/>
        <v>28.082683928971029</v>
      </c>
      <c r="W350" s="58"/>
      <c r="X350" s="157">
        <f t="shared" si="153"/>
        <v>43801</v>
      </c>
      <c r="Y350" s="383">
        <f t="shared" si="154"/>
        <v>4.1559999999999997</v>
      </c>
      <c r="Z350" s="383">
        <f t="shared" si="155"/>
        <v>4.180364253256867</v>
      </c>
      <c r="AA350" s="384">
        <f t="shared" si="156"/>
        <v>4.3066380661572436</v>
      </c>
      <c r="AB350" s="197">
        <f t="shared" si="157"/>
        <v>43801</v>
      </c>
      <c r="AC350" s="424">
        <f t="shared" si="158"/>
        <v>2.932073950970511E-2</v>
      </c>
      <c r="AD350" s="169">
        <f>(INDEX(Models!$BJ350:$BT350,,AH350)*(1-AF350)+INDEX(Models!$BJ350:$BT350,,AH350+1)*AF350-ERP_i)*AE350*Ramure*Pc/MaxiM</f>
        <v>5.9515421080608101E-5</v>
      </c>
      <c r="AE350" s="304">
        <f t="shared" si="159"/>
        <v>0.6</v>
      </c>
      <c r="AF350" s="177">
        <f t="shared" si="160"/>
        <v>0.9989014010779389</v>
      </c>
      <c r="AG350" s="799">
        <f t="shared" si="161"/>
        <v>-2</v>
      </c>
      <c r="AH350" s="176">
        <f t="shared" si="162"/>
        <v>4</v>
      </c>
      <c r="AI350" s="224">
        <f t="shared" si="163"/>
        <v>-1.0010985989220611</v>
      </c>
      <c r="AJ350" s="264" t="b">
        <f t="shared" si="164"/>
        <v>0</v>
      </c>
      <c r="AK350" s="264" t="b">
        <f t="shared" si="165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66"/>
        <v>43802</v>
      </c>
      <c r="B351" s="607">
        <v>4.5679999999999996</v>
      </c>
      <c r="C351" s="388"/>
      <c r="D351" s="391">
        <f t="shared" si="143"/>
        <v>4.5948676334295344</v>
      </c>
      <c r="E351" s="383">
        <f t="shared" si="140"/>
        <v>4.7340211609621479</v>
      </c>
      <c r="F351" s="383">
        <f t="shared" si="142"/>
        <v>4.7340211609621479</v>
      </c>
      <c r="G351" s="110">
        <f t="shared" si="141"/>
        <v>0.16357754873865343</v>
      </c>
      <c r="I351" s="379">
        <f t="shared" si="144"/>
        <v>4.7340211609621479</v>
      </c>
      <c r="J351" s="85">
        <v>2018</v>
      </c>
      <c r="K351" s="197">
        <f t="shared" si="145"/>
        <v>43802</v>
      </c>
      <c r="L351" s="435">
        <f t="shared" si="146"/>
        <v>5.8473139104295857E-3</v>
      </c>
      <c r="M351" s="842"/>
      <c r="N351" s="842"/>
      <c r="O351" s="323">
        <f t="shared" si="147"/>
        <v>2.9394361115262058E-2</v>
      </c>
      <c r="P351" s="169">
        <f>(INDEX(Models!$BJ351:$BT351,,T351)*(1-R351)+INDEX(Models!$BJ351:$BT351,,T351+1)*R351-ERP_i)*Q351*Ramure*Pc/MaxiM</f>
        <v>6.3792152322229471E-5</v>
      </c>
      <c r="Q351" s="304">
        <f t="shared" si="148"/>
        <v>0.6</v>
      </c>
      <c r="R351" s="177">
        <f t="shared" si="149"/>
        <v>0.99891655872710161</v>
      </c>
      <c r="S351" s="799">
        <f t="shared" si="167"/>
        <v>-2</v>
      </c>
      <c r="T351" s="176">
        <f t="shared" si="150"/>
        <v>4</v>
      </c>
      <c r="U351" s="250">
        <f t="shared" si="151"/>
        <v>-1.0010834412728984</v>
      </c>
      <c r="V351" s="382">
        <f t="shared" si="152"/>
        <v>27.923811260590433</v>
      </c>
      <c r="W351" s="58"/>
      <c r="X351" s="157">
        <f t="shared" si="153"/>
        <v>43802</v>
      </c>
      <c r="Y351" s="383">
        <f t="shared" si="154"/>
        <v>4.5679999999999996</v>
      </c>
      <c r="Z351" s="383">
        <f t="shared" si="155"/>
        <v>4.5948676334295344</v>
      </c>
      <c r="AA351" s="384">
        <f t="shared" si="156"/>
        <v>4.7340211609621479</v>
      </c>
      <c r="AB351" s="197">
        <f t="shared" si="157"/>
        <v>43802</v>
      </c>
      <c r="AC351" s="424">
        <f t="shared" si="158"/>
        <v>2.9394361115262058E-2</v>
      </c>
      <c r="AD351" s="169">
        <f>(INDEX(Models!$BJ351:$BT351,,AH351)*(1-AF351)+INDEX(Models!$BJ351:$BT351,,AH351+1)*AF351-ERP_i)*AE351*Ramure*Pc/MaxiM</f>
        <v>6.3792152322229471E-5</v>
      </c>
      <c r="AE351" s="304">
        <f t="shared" si="159"/>
        <v>0.6</v>
      </c>
      <c r="AF351" s="177">
        <f t="shared" si="160"/>
        <v>0.99891655872710161</v>
      </c>
      <c r="AG351" s="799">
        <f t="shared" si="161"/>
        <v>-2</v>
      </c>
      <c r="AH351" s="176">
        <f t="shared" si="162"/>
        <v>4</v>
      </c>
      <c r="AI351" s="224">
        <f t="shared" si="163"/>
        <v>-1.0010834412728984</v>
      </c>
      <c r="AJ351" s="264" t="b">
        <f t="shared" si="164"/>
        <v>0</v>
      </c>
      <c r="AK351" s="264" t="b">
        <f t="shared" si="165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66"/>
        <v>43803</v>
      </c>
      <c r="B352" s="607">
        <v>6.39</v>
      </c>
      <c r="C352" s="388"/>
      <c r="D352" s="391">
        <f t="shared" si="143"/>
        <v>6.4277072874734378</v>
      </c>
      <c r="E352" s="383">
        <f t="shared" si="140"/>
        <v>6.622872485496436</v>
      </c>
      <c r="F352" s="383">
        <f t="shared" si="142"/>
        <v>6.622872485496436</v>
      </c>
      <c r="G352" s="110">
        <f t="shared" si="141"/>
        <v>0.23006023695298156</v>
      </c>
      <c r="I352" s="379">
        <f t="shared" si="144"/>
        <v>6.622872485496436</v>
      </c>
      <c r="J352" s="85">
        <v>2018</v>
      </c>
      <c r="K352" s="197">
        <f t="shared" si="145"/>
        <v>43803</v>
      </c>
      <c r="L352" s="435">
        <f t="shared" si="146"/>
        <v>5.8663666198558451E-3</v>
      </c>
      <c r="M352" s="842"/>
      <c r="N352" s="842"/>
      <c r="O352" s="323">
        <f t="shared" si="147"/>
        <v>2.946836111527051E-2</v>
      </c>
      <c r="P352" s="169">
        <f>(INDEX(Models!$BJ352:$BT352,,T352)*(1-R352)+INDEX(Models!$BJ352:$BT352,,T352+1)*R352-ERP_i)*Q352*Ramure*Pc/MaxiM</f>
        <v>6.8231489557393245E-5</v>
      </c>
      <c r="Q352" s="304">
        <f t="shared" si="148"/>
        <v>0.6</v>
      </c>
      <c r="R352" s="177">
        <f t="shared" si="149"/>
        <v>0.99893110694873655</v>
      </c>
      <c r="S352" s="799">
        <f t="shared" si="167"/>
        <v>-2</v>
      </c>
      <c r="T352" s="176">
        <f t="shared" si="150"/>
        <v>4</v>
      </c>
      <c r="U352" s="250">
        <f t="shared" si="151"/>
        <v>-1.0010688930512635</v>
      </c>
      <c r="V352" s="382">
        <f t="shared" si="152"/>
        <v>27.77343918883119</v>
      </c>
      <c r="W352" s="58"/>
      <c r="X352" s="157">
        <f t="shared" si="153"/>
        <v>43803</v>
      </c>
      <c r="Y352" s="383">
        <f t="shared" si="154"/>
        <v>6.39</v>
      </c>
      <c r="Z352" s="383">
        <f t="shared" si="155"/>
        <v>6.4277072874734378</v>
      </c>
      <c r="AA352" s="384">
        <f t="shared" si="156"/>
        <v>6.622872485496436</v>
      </c>
      <c r="AB352" s="197">
        <f t="shared" si="157"/>
        <v>43803</v>
      </c>
      <c r="AC352" s="424">
        <f t="shared" si="158"/>
        <v>2.946836111527051E-2</v>
      </c>
      <c r="AD352" s="169">
        <f>(INDEX(Models!$BJ352:$BT352,,AH352)*(1-AF352)+INDEX(Models!$BJ352:$BT352,,AH352+1)*AF352-ERP_i)*AE352*Ramure*Pc/MaxiM</f>
        <v>6.8231489557393245E-5</v>
      </c>
      <c r="AE352" s="304">
        <f t="shared" si="159"/>
        <v>0.6</v>
      </c>
      <c r="AF352" s="177">
        <f t="shared" si="160"/>
        <v>0.99893110694873655</v>
      </c>
      <c r="AG352" s="799">
        <f t="shared" si="161"/>
        <v>-2</v>
      </c>
      <c r="AH352" s="176">
        <f t="shared" si="162"/>
        <v>4</v>
      </c>
      <c r="AI352" s="224">
        <f t="shared" si="163"/>
        <v>-1.0010688930512635</v>
      </c>
      <c r="AJ352" s="264" t="b">
        <f t="shared" si="164"/>
        <v>0</v>
      </c>
      <c r="AK352" s="264" t="b">
        <f t="shared" si="165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66"/>
        <v>43804</v>
      </c>
      <c r="B353" s="607">
        <v>10.077</v>
      </c>
      <c r="C353" s="388"/>
      <c r="D353" s="391">
        <f t="shared" si="143"/>
        <v>10.136658482063359</v>
      </c>
      <c r="E353" s="383">
        <f t="shared" si="140"/>
        <v>10.445239413044909</v>
      </c>
      <c r="F353" s="383">
        <f t="shared" si="142"/>
        <v>10.445309641349432</v>
      </c>
      <c r="G353" s="110">
        <f t="shared" si="141"/>
        <v>0.36466338213896615</v>
      </c>
      <c r="I353" s="379">
        <f t="shared" si="144"/>
        <v>10.445309641349432</v>
      </c>
      <c r="J353" s="85">
        <v>2018</v>
      </c>
      <c r="K353" s="197">
        <f t="shared" si="145"/>
        <v>43804</v>
      </c>
      <c r="L353" s="435">
        <f t="shared" si="146"/>
        <v>5.8854189641411869E-3</v>
      </c>
      <c r="M353" s="842"/>
      <c r="N353" s="842"/>
      <c r="O353" s="323">
        <f t="shared" si="147"/>
        <v>2.9542734137445296E-2</v>
      </c>
      <c r="P353" s="169">
        <f>(INDEX(Models!$BJ353:$BT353,,T353)*(1-R353)+INDEX(Models!$BJ353:$BT353,,T353+1)*R353-ERP_i)*Q353*Ramure*Pc/MaxiM</f>
        <v>7.2755994672694691E-5</v>
      </c>
      <c r="Q353" s="304">
        <f t="shared" si="148"/>
        <v>0.6</v>
      </c>
      <c r="R353" s="177">
        <f t="shared" si="149"/>
        <v>0.99894507021210543</v>
      </c>
      <c r="S353" s="799">
        <f t="shared" si="167"/>
        <v>-2</v>
      </c>
      <c r="T353" s="176">
        <f t="shared" si="150"/>
        <v>4</v>
      </c>
      <c r="U353" s="250">
        <f t="shared" si="151"/>
        <v>-1.0010549297878946</v>
      </c>
      <c r="V353" s="382">
        <f t="shared" si="152"/>
        <v>27.63187936848696</v>
      </c>
      <c r="W353" s="58"/>
      <c r="X353" s="157">
        <f t="shared" si="153"/>
        <v>43804</v>
      </c>
      <c r="Y353" s="383">
        <f t="shared" si="154"/>
        <v>10.077</v>
      </c>
      <c r="Z353" s="383">
        <f t="shared" si="155"/>
        <v>10.136658482063359</v>
      </c>
      <c r="AA353" s="384">
        <f t="shared" si="156"/>
        <v>10.445239413044909</v>
      </c>
      <c r="AB353" s="197">
        <f t="shared" si="157"/>
        <v>43804</v>
      </c>
      <c r="AC353" s="424">
        <f t="shared" si="158"/>
        <v>2.9542734137445296E-2</v>
      </c>
      <c r="AD353" s="169">
        <f>(INDEX(Models!$BJ353:$BT353,,AH353)*(1-AF353)+INDEX(Models!$BJ353:$BT353,,AH353+1)*AF353-ERP_i)*AE353*Ramure*Pc/MaxiM</f>
        <v>7.2755994672694691E-5</v>
      </c>
      <c r="AE353" s="304">
        <f t="shared" si="159"/>
        <v>0.6</v>
      </c>
      <c r="AF353" s="177">
        <f t="shared" si="160"/>
        <v>0.99894507021210543</v>
      </c>
      <c r="AG353" s="799">
        <f t="shared" si="161"/>
        <v>-2</v>
      </c>
      <c r="AH353" s="176">
        <f t="shared" si="162"/>
        <v>4</v>
      </c>
      <c r="AI353" s="224">
        <f t="shared" si="163"/>
        <v>-1.0010549297878946</v>
      </c>
      <c r="AJ353" s="264" t="b">
        <f t="shared" si="164"/>
        <v>0</v>
      </c>
      <c r="AK353" s="264" t="b">
        <f t="shared" si="165"/>
        <v>0</v>
      </c>
      <c r="AL353" s="264"/>
      <c r="AM353" s="264"/>
      <c r="AN353" s="75"/>
    </row>
    <row r="354" spans="1:40" s="6" customFormat="1" ht="11.25" x14ac:dyDescent="0.2">
      <c r="A354" s="56">
        <f t="shared" si="166"/>
        <v>43805</v>
      </c>
      <c r="B354" s="607">
        <v>8.8859999999999992</v>
      </c>
      <c r="C354" s="388"/>
      <c r="D354" s="391">
        <f t="shared" si="143"/>
        <v>8.9387787594537169</v>
      </c>
      <c r="E354" s="383">
        <f t="shared" si="140"/>
        <v>9.2116031706254908</v>
      </c>
      <c r="F354" s="383">
        <f t="shared" si="142"/>
        <v>9.211626722500851</v>
      </c>
      <c r="G354" s="110">
        <f t="shared" si="141"/>
        <v>0.3231096658748262</v>
      </c>
      <c r="I354" s="379">
        <f t="shared" si="144"/>
        <v>9.211626722500851</v>
      </c>
      <c r="J354" s="85">
        <v>2018</v>
      </c>
      <c r="K354" s="197">
        <f t="shared" si="145"/>
        <v>43805</v>
      </c>
      <c r="L354" s="435">
        <f t="shared" si="146"/>
        <v>5.9044709432928277E-3</v>
      </c>
      <c r="M354" s="842"/>
      <c r="N354" s="842"/>
      <c r="O354" s="323">
        <f t="shared" si="147"/>
        <v>2.9617473323402897E-2</v>
      </c>
      <c r="P354" s="169">
        <f>(INDEX(Models!$BJ354:$BT354,,T354)*(1-R354)+INDEX(Models!$BJ354:$BT354,,T354+1)*R354-ERP_i)*Q354*Ramure*Pc/MaxiM</f>
        <v>7.7364103949557851E-5</v>
      </c>
      <c r="Q354" s="304">
        <f t="shared" si="148"/>
        <v>0.6</v>
      </c>
      <c r="R354" s="177">
        <f t="shared" si="149"/>
        <v>0.99895847200662846</v>
      </c>
      <c r="S354" s="799">
        <f t="shared" si="167"/>
        <v>-2</v>
      </c>
      <c r="T354" s="176">
        <f t="shared" si="150"/>
        <v>4</v>
      </c>
      <c r="U354" s="250">
        <f t="shared" si="151"/>
        <v>-1.0010415279933715</v>
      </c>
      <c r="V354" s="382">
        <f t="shared" si="152"/>
        <v>27.499441207192021</v>
      </c>
      <c r="W354" s="58"/>
      <c r="X354" s="157">
        <f t="shared" si="153"/>
        <v>43805</v>
      </c>
      <c r="Y354" s="383">
        <f t="shared" si="154"/>
        <v>8.8859999999999992</v>
      </c>
      <c r="Z354" s="383">
        <f t="shared" si="155"/>
        <v>8.9387787594537169</v>
      </c>
      <c r="AA354" s="384">
        <f t="shared" si="156"/>
        <v>9.2116031706254908</v>
      </c>
      <c r="AB354" s="197">
        <f t="shared" si="157"/>
        <v>43805</v>
      </c>
      <c r="AC354" s="424">
        <f t="shared" si="158"/>
        <v>2.9617473323402897E-2</v>
      </c>
      <c r="AD354" s="169">
        <f>(INDEX(Models!$BJ354:$BT354,,AH354)*(1-AF354)+INDEX(Models!$BJ354:$BT354,,AH354+1)*AF354-ERP_i)*AE354*Ramure*Pc/MaxiM</f>
        <v>7.7364103949557851E-5</v>
      </c>
      <c r="AE354" s="304">
        <f t="shared" si="159"/>
        <v>0.6</v>
      </c>
      <c r="AF354" s="177">
        <f t="shared" si="160"/>
        <v>0.99895847200662846</v>
      </c>
      <c r="AG354" s="799">
        <f t="shared" si="161"/>
        <v>-2</v>
      </c>
      <c r="AH354" s="176">
        <f t="shared" si="162"/>
        <v>4</v>
      </c>
      <c r="AI354" s="224">
        <f t="shared" si="163"/>
        <v>-1.0010415279933715</v>
      </c>
      <c r="AJ354" s="264" t="b">
        <f t="shared" si="164"/>
        <v>0</v>
      </c>
      <c r="AK354" s="264" t="b">
        <f t="shared" si="165"/>
        <v>0</v>
      </c>
      <c r="AL354" s="264"/>
      <c r="AM354" s="264"/>
      <c r="AN354" s="75"/>
    </row>
    <row r="355" spans="1:40" s="6" customFormat="1" ht="11.25" x14ac:dyDescent="0.2">
      <c r="A355" s="56">
        <f t="shared" si="166"/>
        <v>43806</v>
      </c>
      <c r="B355" s="607">
        <v>14.702999999999999</v>
      </c>
      <c r="C355" s="388"/>
      <c r="D355" s="391">
        <f t="shared" si="143"/>
        <v>14.790612526939871</v>
      </c>
      <c r="E355" s="383">
        <f t="shared" si="140"/>
        <v>15.243222999151424</v>
      </c>
      <c r="F355" s="383">
        <f t="shared" si="142"/>
        <v>15.243646605350044</v>
      </c>
      <c r="G355" s="110">
        <f t="shared" si="141"/>
        <v>0.5370386119198336</v>
      </c>
      <c r="I355" s="379">
        <f t="shared" si="144"/>
        <v>15.243646605350044</v>
      </c>
      <c r="J355" s="85">
        <v>2018</v>
      </c>
      <c r="K355" s="197">
        <f t="shared" si="145"/>
        <v>43806</v>
      </c>
      <c r="L355" s="435">
        <f t="shared" si="146"/>
        <v>5.9235225573175398E-3</v>
      </c>
      <c r="M355" s="842"/>
      <c r="N355" s="842"/>
      <c r="O355" s="323">
        <f t="shared" si="147"/>
        <v>2.9692570412225186E-2</v>
      </c>
      <c r="P355" s="169">
        <f>(INDEX(Models!$BJ355:$BT355,,T355)*(1-R355)+INDEX(Models!$BJ355:$BT355,,T355+1)*R355-ERP_i)*Q355*Ramure*Pc/MaxiM</f>
        <v>8.2053854056985746E-5</v>
      </c>
      <c r="Q355" s="304">
        <f t="shared" si="148"/>
        <v>0.6</v>
      </c>
      <c r="R355" s="177">
        <f t="shared" si="149"/>
        <v>0.9989713348809135</v>
      </c>
      <c r="S355" s="799">
        <f t="shared" si="167"/>
        <v>-2</v>
      </c>
      <c r="T355" s="176">
        <f t="shared" si="150"/>
        <v>4</v>
      </c>
      <c r="U355" s="250">
        <f t="shared" si="151"/>
        <v>-1.0010286651190865</v>
      </c>
      <c r="V355" s="382">
        <f t="shared" si="152"/>
        <v>27.376434013944746</v>
      </c>
      <c r="W355" s="58"/>
      <c r="X355" s="157">
        <f t="shared" si="153"/>
        <v>43806</v>
      </c>
      <c r="Y355" s="383">
        <f t="shared" si="154"/>
        <v>14.702999999999999</v>
      </c>
      <c r="Z355" s="383">
        <f t="shared" si="155"/>
        <v>14.790612526939871</v>
      </c>
      <c r="AA355" s="384">
        <f t="shared" si="156"/>
        <v>15.243222999151424</v>
      </c>
      <c r="AB355" s="197">
        <f t="shared" si="157"/>
        <v>43806</v>
      </c>
      <c r="AC355" s="424">
        <f t="shared" si="158"/>
        <v>2.9692570412225186E-2</v>
      </c>
      <c r="AD355" s="169">
        <f>(INDEX(Models!$BJ355:$BT355,,AH355)*(1-AF355)+INDEX(Models!$BJ355:$BT355,,AH355+1)*AF355-ERP_i)*AE355*Ramure*Pc/MaxiM</f>
        <v>8.2053854056985746E-5</v>
      </c>
      <c r="AE355" s="304">
        <f t="shared" si="159"/>
        <v>0.6</v>
      </c>
      <c r="AF355" s="177">
        <f t="shared" si="160"/>
        <v>0.9989713348809135</v>
      </c>
      <c r="AG355" s="799">
        <f t="shared" si="161"/>
        <v>-2</v>
      </c>
      <c r="AH355" s="176">
        <f t="shared" si="162"/>
        <v>4</v>
      </c>
      <c r="AI355" s="224">
        <f t="shared" si="163"/>
        <v>-1.0010286651190865</v>
      </c>
      <c r="AJ355" s="264" t="b">
        <f t="shared" si="164"/>
        <v>0</v>
      </c>
      <c r="AK355" s="264" t="b">
        <f t="shared" si="165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66"/>
        <v>43807</v>
      </c>
      <c r="B356" s="607">
        <v>17.361000000000001</v>
      </c>
      <c r="C356" s="388"/>
      <c r="D356" s="391">
        <f t="shared" si="143"/>
        <v>17.464785778498591</v>
      </c>
      <c r="E356" s="383">
        <f t="shared" si="140"/>
        <v>18.000628781030457</v>
      </c>
      <c r="F356" s="383">
        <f t="shared" si="142"/>
        <v>18.001380759086484</v>
      </c>
      <c r="G356" s="110">
        <f t="shared" si="141"/>
        <v>0.63676453560539326</v>
      </c>
      <c r="I356" s="379">
        <f t="shared" si="144"/>
        <v>18.001380759086484</v>
      </c>
      <c r="J356" s="85">
        <v>2018</v>
      </c>
      <c r="K356" s="197">
        <f t="shared" si="145"/>
        <v>43807</v>
      </c>
      <c r="L356" s="435">
        <f t="shared" si="146"/>
        <v>5.9425738062224287E-3</v>
      </c>
      <c r="M356" s="842"/>
      <c r="N356" s="842"/>
      <c r="O356" s="323">
        <f t="shared" si="147"/>
        <v>2.9768015831566363E-2</v>
      </c>
      <c r="P356" s="169">
        <f>(INDEX(Models!$BJ356:$BT356,,T356)*(1-R356)+INDEX(Models!$BJ356:$BT356,,T356+1)*R356-ERP_i)*Q356*Ramure*Pc/MaxiM</f>
        <v>8.6822851270599438E-5</v>
      </c>
      <c r="Q356" s="304">
        <f t="shared" si="148"/>
        <v>0.6</v>
      </c>
      <c r="R356" s="177">
        <f t="shared" si="149"/>
        <v>0.99898368048024766</v>
      </c>
      <c r="S356" s="799">
        <f t="shared" si="167"/>
        <v>-2</v>
      </c>
      <c r="T356" s="176">
        <f t="shared" si="150"/>
        <v>4</v>
      </c>
      <c r="U356" s="250">
        <f t="shared" si="151"/>
        <v>-1.0010163195197523</v>
      </c>
      <c r="V356" s="382">
        <f t="shared" si="152"/>
        <v>27.263166982918371</v>
      </c>
      <c r="W356" s="58"/>
      <c r="X356" s="157">
        <f t="shared" si="153"/>
        <v>43807</v>
      </c>
      <c r="Y356" s="383">
        <f t="shared" si="154"/>
        <v>17.361000000000001</v>
      </c>
      <c r="Z356" s="383">
        <f t="shared" si="155"/>
        <v>17.464785778498591</v>
      </c>
      <c r="AA356" s="384">
        <f t="shared" si="156"/>
        <v>18.000628781030457</v>
      </c>
      <c r="AB356" s="197">
        <f t="shared" si="157"/>
        <v>43807</v>
      </c>
      <c r="AC356" s="424">
        <f t="shared" si="158"/>
        <v>2.9768015831566363E-2</v>
      </c>
      <c r="AD356" s="169">
        <f>(INDEX(Models!$BJ356:$BT356,,AH356)*(1-AF356)+INDEX(Models!$BJ356:$BT356,,AH356+1)*AF356-ERP_i)*AE356*Ramure*Pc/MaxiM</f>
        <v>8.6822851270599438E-5</v>
      </c>
      <c r="AE356" s="304">
        <f t="shared" si="159"/>
        <v>0.6</v>
      </c>
      <c r="AF356" s="177">
        <f t="shared" si="160"/>
        <v>0.99898368048024766</v>
      </c>
      <c r="AG356" s="799">
        <f t="shared" si="161"/>
        <v>-2</v>
      </c>
      <c r="AH356" s="176">
        <f t="shared" si="162"/>
        <v>4</v>
      </c>
      <c r="AI356" s="224">
        <f t="shared" si="163"/>
        <v>-1.0010163195197523</v>
      </c>
      <c r="AJ356" s="264" t="b">
        <f t="shared" si="164"/>
        <v>0</v>
      </c>
      <c r="AK356" s="264" t="b">
        <f t="shared" si="165"/>
        <v>0</v>
      </c>
      <c r="AL356" s="264"/>
      <c r="AM356" s="264"/>
      <c r="AN356" s="75"/>
    </row>
    <row r="357" spans="1:40" s="6" customFormat="1" ht="11.25" x14ac:dyDescent="0.2">
      <c r="A357" s="56">
        <f t="shared" si="166"/>
        <v>43808</v>
      </c>
      <c r="B357" s="607">
        <v>12.063000000000001</v>
      </c>
      <c r="C357" s="388"/>
      <c r="D357" s="391">
        <f t="shared" si="143"/>
        <v>12.13534638060449</v>
      </c>
      <c r="E357" s="383">
        <f t="shared" si="140"/>
        <v>12.508652076374885</v>
      </c>
      <c r="F357" s="383">
        <f t="shared" ref="F357:F379" si="168">Wh_sa/(1-Pvg*MEDIAN((-Sdif+Wh/Env_an)/Csdif,0,1))</f>
        <v>12.508888202524682</v>
      </c>
      <c r="G357" s="110">
        <f t="shared" si="141"/>
        <v>0.44411430256238471</v>
      </c>
      <c r="I357" s="379">
        <f t="shared" si="144"/>
        <v>12.508888202524682</v>
      </c>
      <c r="J357" s="85">
        <v>2018</v>
      </c>
      <c r="K357" s="197">
        <f t="shared" si="145"/>
        <v>43808</v>
      </c>
      <c r="L357" s="435">
        <f t="shared" si="146"/>
        <v>5.9616246900144887E-3</v>
      </c>
      <c r="M357" s="842"/>
      <c r="N357" s="842"/>
      <c r="O357" s="323">
        <f t="shared" si="147"/>
        <v>2.9843798795511862E-2</v>
      </c>
      <c r="P357" s="169">
        <f>(INDEX(Models!$BJ357:$BT357,,T357)*(1-R357)+INDEX(Models!$BJ357:$BT357,,T357+1)*R357-ERP_i)*Q357*Ramure*Pc/MaxiM</f>
        <v>9.1668243819111226E-5</v>
      </c>
      <c r="Q357" s="304">
        <f t="shared" si="148"/>
        <v>0.6</v>
      </c>
      <c r="R357" s="177">
        <f t="shared" si="149"/>
        <v>0.99899552958260762</v>
      </c>
      <c r="S357" s="799">
        <f t="shared" si="167"/>
        <v>-2</v>
      </c>
      <c r="T357" s="176">
        <f t="shared" si="150"/>
        <v>4</v>
      </c>
      <c r="U357" s="250">
        <f t="shared" si="151"/>
        <v>-1.0010044704173924</v>
      </c>
      <c r="V357" s="382">
        <f t="shared" si="152"/>
        <v>27.15994920467649</v>
      </c>
      <c r="W357" s="58"/>
      <c r="X357" s="157">
        <f t="shared" si="153"/>
        <v>43808</v>
      </c>
      <c r="Y357" s="383">
        <f t="shared" si="154"/>
        <v>12.063000000000001</v>
      </c>
      <c r="Z357" s="383">
        <f t="shared" si="155"/>
        <v>12.13534638060449</v>
      </c>
      <c r="AA357" s="384">
        <f t="shared" si="156"/>
        <v>12.508652076374885</v>
      </c>
      <c r="AB357" s="197">
        <f t="shared" si="157"/>
        <v>43808</v>
      </c>
      <c r="AC357" s="424">
        <f t="shared" si="158"/>
        <v>2.9843798795511862E-2</v>
      </c>
      <c r="AD357" s="169">
        <f>(INDEX(Models!$BJ357:$BT357,,AH357)*(1-AF357)+INDEX(Models!$BJ357:$BT357,,AH357+1)*AF357-ERP_i)*AE357*Ramure*Pc/MaxiM</f>
        <v>9.1668243819111226E-5</v>
      </c>
      <c r="AE357" s="304">
        <f t="shared" si="159"/>
        <v>0.6</v>
      </c>
      <c r="AF357" s="177">
        <f t="shared" si="160"/>
        <v>0.99899552958260762</v>
      </c>
      <c r="AG357" s="799">
        <f t="shared" si="161"/>
        <v>-2</v>
      </c>
      <c r="AH357" s="176">
        <f t="shared" si="162"/>
        <v>4</v>
      </c>
      <c r="AI357" s="224">
        <f t="shared" si="163"/>
        <v>-1.0010044704173924</v>
      </c>
      <c r="AJ357" s="264" t="b">
        <f t="shared" si="164"/>
        <v>0</v>
      </c>
      <c r="AK357" s="264" t="b">
        <f t="shared" si="165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66"/>
        <v>43809</v>
      </c>
      <c r="B358" s="607">
        <v>23.37</v>
      </c>
      <c r="C358" s="388"/>
      <c r="D358" s="391">
        <f t="shared" si="143"/>
        <v>23.510609318291355</v>
      </c>
      <c r="E358" s="383">
        <f t="shared" si="140"/>
        <v>24.235740427865899</v>
      </c>
      <c r="F358" s="383">
        <f t="shared" si="168"/>
        <v>24.237624658257118</v>
      </c>
      <c r="G358" s="110">
        <f t="shared" si="141"/>
        <v>0.86339387875482609</v>
      </c>
      <c r="I358" s="379">
        <f t="shared" si="144"/>
        <v>24.237624658257118</v>
      </c>
      <c r="J358" s="85">
        <v>2018</v>
      </c>
      <c r="K358" s="197">
        <f t="shared" si="145"/>
        <v>43809</v>
      </c>
      <c r="L358" s="435">
        <f t="shared" si="146"/>
        <v>5.9806752087007142E-3</v>
      </c>
      <c r="M358" s="842"/>
      <c r="N358" s="842"/>
      <c r="O358" s="323">
        <f t="shared" si="147"/>
        <v>2.9919907408349652E-2</v>
      </c>
      <c r="P358" s="169">
        <f>(INDEX(Models!$BJ358:$BT358,,T358)*(1-R358)+INDEX(Models!$BJ358:$BT358,,T358+1)*R358-ERP_i)*Q358*Ramure*Pc/MaxiM</f>
        <v>9.6586698193144331E-5</v>
      </c>
      <c r="Q358" s="304">
        <f t="shared" si="148"/>
        <v>0.6</v>
      </c>
      <c r="R358" s="177">
        <f t="shared" si="149"/>
        <v>0.99900690213325216</v>
      </c>
      <c r="S358" s="799">
        <f t="shared" si="167"/>
        <v>-2</v>
      </c>
      <c r="T358" s="176">
        <f t="shared" si="150"/>
        <v>4</v>
      </c>
      <c r="U358" s="250">
        <f t="shared" si="151"/>
        <v>-1.0009930978667478</v>
      </c>
      <c r="V358" s="382">
        <f t="shared" si="152"/>
        <v>27.067089645880788</v>
      </c>
      <c r="W358" s="58"/>
      <c r="X358" s="157">
        <f t="shared" si="153"/>
        <v>43809</v>
      </c>
      <c r="Y358" s="383">
        <f t="shared" si="154"/>
        <v>23.37</v>
      </c>
      <c r="Z358" s="383">
        <f t="shared" si="155"/>
        <v>23.510609318291355</v>
      </c>
      <c r="AA358" s="384">
        <f t="shared" si="156"/>
        <v>24.235740427865899</v>
      </c>
      <c r="AB358" s="197">
        <f t="shared" si="157"/>
        <v>43809</v>
      </c>
      <c r="AC358" s="424">
        <f t="shared" si="158"/>
        <v>2.9919907408349652E-2</v>
      </c>
      <c r="AD358" s="169">
        <f>(INDEX(Models!$BJ358:$BT358,,AH358)*(1-AF358)+INDEX(Models!$BJ358:$BT358,,AH358+1)*AF358-ERP_i)*AE358*Ramure*Pc/MaxiM</f>
        <v>9.6586698193144331E-5</v>
      </c>
      <c r="AE358" s="304">
        <f t="shared" si="159"/>
        <v>0.6</v>
      </c>
      <c r="AF358" s="177">
        <f t="shared" si="160"/>
        <v>0.99900690213325216</v>
      </c>
      <c r="AG358" s="799">
        <f t="shared" si="161"/>
        <v>-2</v>
      </c>
      <c r="AH358" s="176">
        <f t="shared" si="162"/>
        <v>4</v>
      </c>
      <c r="AI358" s="224">
        <f t="shared" si="163"/>
        <v>-1.0009930978667478</v>
      </c>
      <c r="AJ358" s="264" t="b">
        <f t="shared" si="164"/>
        <v>0</v>
      </c>
      <c r="AK358" s="264" t="b">
        <f t="shared" si="165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66"/>
        <v>43810</v>
      </c>
      <c r="B359" s="607">
        <v>1.885</v>
      </c>
      <c r="C359" s="388"/>
      <c r="D359" s="391">
        <f t="shared" si="143"/>
        <v>1.8963777456570976</v>
      </c>
      <c r="E359" s="383">
        <f t="shared" si="140"/>
        <v>1.9550212044651476</v>
      </c>
      <c r="F359" s="383">
        <f t="shared" si="168"/>
        <v>1.9550212044651476</v>
      </c>
      <c r="G359" s="110">
        <f t="shared" si="141"/>
        <v>6.9850451209029552E-2</v>
      </c>
      <c r="I359" s="379">
        <f t="shared" si="144"/>
        <v>1.9550212044651476</v>
      </c>
      <c r="J359" s="85">
        <v>2018</v>
      </c>
      <c r="K359" s="197">
        <f t="shared" si="145"/>
        <v>43810</v>
      </c>
      <c r="L359" s="435">
        <f t="shared" si="146"/>
        <v>5.9997253622880997E-3</v>
      </c>
      <c r="M359" s="842"/>
      <c r="N359" s="842"/>
      <c r="O359" s="323">
        <f t="shared" si="147"/>
        <v>2.9996328773371859E-2</v>
      </c>
      <c r="P359" s="169">
        <f>(INDEX(Models!$BJ359:$BT359,,T359)*(1-R359)+INDEX(Models!$BJ359:$BT359,,T359+1)*R359-ERP_i)*Q359*Ramure*Pc/MaxiM</f>
        <v>1.0157969946626834E-4</v>
      </c>
      <c r="Q359" s="304">
        <f t="shared" si="148"/>
        <v>0.6</v>
      </c>
      <c r="R359" s="177">
        <f t="shared" si="149"/>
        <v>0.99901781727794359</v>
      </c>
      <c r="S359" s="799">
        <f t="shared" si="167"/>
        <v>-2</v>
      </c>
      <c r="T359" s="176">
        <f t="shared" si="150"/>
        <v>4</v>
      </c>
      <c r="U359" s="250">
        <f t="shared" si="151"/>
        <v>-1.0009821827220564</v>
      </c>
      <c r="V359" s="382">
        <f t="shared" si="152"/>
        <v>26.983483852182435</v>
      </c>
      <c r="W359" s="58"/>
      <c r="X359" s="157">
        <f t="shared" si="153"/>
        <v>43810</v>
      </c>
      <c r="Y359" s="383">
        <f t="shared" si="154"/>
        <v>1.885</v>
      </c>
      <c r="Z359" s="383">
        <f t="shared" si="155"/>
        <v>1.8963777456570976</v>
      </c>
      <c r="AA359" s="384">
        <f t="shared" si="156"/>
        <v>1.9550212044651476</v>
      </c>
      <c r="AB359" s="197">
        <f t="shared" si="157"/>
        <v>43810</v>
      </c>
      <c r="AC359" s="424">
        <f t="shared" si="158"/>
        <v>2.9996328773371859E-2</v>
      </c>
      <c r="AD359" s="169">
        <f>(INDEX(Models!$BJ359:$BT359,,AH359)*(1-AF359)+INDEX(Models!$BJ359:$BT359,,AH359+1)*AF359-ERP_i)*AE359*Ramure*Pc/MaxiM</f>
        <v>1.0157969946626834E-4</v>
      </c>
      <c r="AE359" s="304">
        <f t="shared" si="159"/>
        <v>0.6</v>
      </c>
      <c r="AF359" s="177">
        <f t="shared" si="160"/>
        <v>0.99901781727794359</v>
      </c>
      <c r="AG359" s="799">
        <f t="shared" si="161"/>
        <v>-2</v>
      </c>
      <c r="AH359" s="176">
        <f t="shared" si="162"/>
        <v>4</v>
      </c>
      <c r="AI359" s="224">
        <f t="shared" si="163"/>
        <v>-1.0009821827220564</v>
      </c>
      <c r="AJ359" s="264" t="b">
        <f t="shared" si="164"/>
        <v>0</v>
      </c>
      <c r="AK359" s="264" t="b">
        <f t="shared" si="165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66"/>
        <v>43811</v>
      </c>
      <c r="B360" s="607">
        <v>4.665</v>
      </c>
      <c r="C360" s="388"/>
      <c r="D360" s="391">
        <f t="shared" si="143"/>
        <v>4.6932476020436553</v>
      </c>
      <c r="E360" s="383">
        <f t="shared" si="140"/>
        <v>4.8387639890991725</v>
      </c>
      <c r="F360" s="383">
        <f t="shared" si="168"/>
        <v>4.8387639890991725</v>
      </c>
      <c r="G360" s="110">
        <f t="shared" si="141"/>
        <v>0.17334992619039918</v>
      </c>
      <c r="I360" s="379">
        <f t="shared" si="144"/>
        <v>4.8387639890991725</v>
      </c>
      <c r="J360" s="85">
        <v>2018</v>
      </c>
      <c r="K360" s="197">
        <f t="shared" si="145"/>
        <v>43811</v>
      </c>
      <c r="L360" s="435">
        <f t="shared" si="146"/>
        <v>6.0187751507836396E-3</v>
      </c>
      <c r="M360" s="842"/>
      <c r="N360" s="842"/>
      <c r="O360" s="323">
        <f t="shared" si="147"/>
        <v>3.0073049105791984E-2</v>
      </c>
      <c r="P360" s="169">
        <f>(INDEX(Models!$BJ360:$BT360,,T360)*(1-R360)+INDEX(Models!$BJ360:$BT360,,T360+1)*R360-ERP_i)*Q360*Ramure*Pc/MaxiM</f>
        <v>1.0664938557995872E-4</v>
      </c>
      <c r="Q360" s="304">
        <f t="shared" si="148"/>
        <v>0.6</v>
      </c>
      <c r="R360" s="177">
        <f t="shared" si="149"/>
        <v>0.99902829339485821</v>
      </c>
      <c r="S360" s="799">
        <f t="shared" si="167"/>
        <v>-2</v>
      </c>
      <c r="T360" s="176">
        <f t="shared" si="150"/>
        <v>4</v>
      </c>
      <c r="U360" s="250">
        <f t="shared" si="151"/>
        <v>-1.0009717066051418</v>
      </c>
      <c r="V360" s="382">
        <f t="shared" si="152"/>
        <v>26.908015383248593</v>
      </c>
      <c r="W360" s="58"/>
      <c r="X360" s="157">
        <f t="shared" si="153"/>
        <v>43811</v>
      </c>
      <c r="Y360" s="383">
        <f t="shared" si="154"/>
        <v>4.665</v>
      </c>
      <c r="Z360" s="383">
        <f t="shared" si="155"/>
        <v>4.6932476020436553</v>
      </c>
      <c r="AA360" s="384">
        <f t="shared" si="156"/>
        <v>4.8387639890991725</v>
      </c>
      <c r="AB360" s="197">
        <f t="shared" si="157"/>
        <v>43811</v>
      </c>
      <c r="AC360" s="424">
        <f t="shared" si="158"/>
        <v>3.0073049105791984E-2</v>
      </c>
      <c r="AD360" s="169">
        <f>(INDEX(Models!$BJ360:$BT360,,AH360)*(1-AF360)+INDEX(Models!$BJ360:$BT360,,AH360+1)*AF360-ERP_i)*AE360*Ramure*Pc/MaxiM</f>
        <v>1.0664938557995872E-4</v>
      </c>
      <c r="AE360" s="304">
        <f t="shared" si="159"/>
        <v>0.6</v>
      </c>
      <c r="AF360" s="177">
        <f t="shared" si="160"/>
        <v>0.99902829339485821</v>
      </c>
      <c r="AG360" s="799">
        <f t="shared" si="161"/>
        <v>-2</v>
      </c>
      <c r="AH360" s="176">
        <f t="shared" si="162"/>
        <v>4</v>
      </c>
      <c r="AI360" s="224">
        <f t="shared" si="163"/>
        <v>-1.0009717066051418</v>
      </c>
      <c r="AJ360" s="264" t="b">
        <f t="shared" si="164"/>
        <v>0</v>
      </c>
      <c r="AK360" s="264" t="b">
        <f t="shared" si="165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66"/>
        <v>43812</v>
      </c>
      <c r="B361" s="607">
        <v>2.4140000000000001</v>
      </c>
      <c r="C361" s="388"/>
      <c r="D361" s="391">
        <f t="shared" si="143"/>
        <v>2.4286638462533658</v>
      </c>
      <c r="E361" s="383">
        <f t="shared" ref="E361:E379" si="169">Wh_pvt/(1-Psa)</f>
        <v>2.5041645420422904</v>
      </c>
      <c r="F361" s="383">
        <f t="shared" si="168"/>
        <v>2.5041645420422904</v>
      </c>
      <c r="G361" s="110">
        <f t="shared" ref="G361:G379" si="170">+Wh_hp/MaxiM</f>
        <v>8.9927065809047635E-2</v>
      </c>
      <c r="I361" s="379">
        <f t="shared" si="144"/>
        <v>2.5041645420422904</v>
      </c>
      <c r="J361" s="85">
        <v>2018</v>
      </c>
      <c r="K361" s="197">
        <f t="shared" si="145"/>
        <v>43812</v>
      </c>
      <c r="L361" s="435">
        <f t="shared" si="146"/>
        <v>6.0378245741943282E-3</v>
      </c>
      <c r="M361" s="842"/>
      <c r="N361" s="842"/>
      <c r="O361" s="323">
        <f t="shared" si="147"/>
        <v>3.0150053848837503E-2</v>
      </c>
      <c r="P361" s="169">
        <f>(INDEX(Models!$BJ361:$BT361,,T361)*(1-R361)+INDEX(Models!$BJ361:$BT361,,T361+1)*R361-ERP_i)*Q361*Ramure*Pc/MaxiM</f>
        <v>1.1135150972563092E-4</v>
      </c>
      <c r="Q361" s="304">
        <f t="shared" si="148"/>
        <v>0.6</v>
      </c>
      <c r="R361" s="177">
        <f t="shared" si="149"/>
        <v>0.99903834812523407</v>
      </c>
      <c r="S361" s="799">
        <f t="shared" si="167"/>
        <v>-2</v>
      </c>
      <c r="T361" s="176">
        <f t="shared" si="150"/>
        <v>4</v>
      </c>
      <c r="U361" s="250">
        <f t="shared" si="151"/>
        <v>-1.0009616518747659</v>
      </c>
      <c r="V361" s="382">
        <f t="shared" si="152"/>
        <v>26.840986923568398</v>
      </c>
      <c r="W361" s="58"/>
      <c r="X361" s="157">
        <f t="shared" si="153"/>
        <v>43812</v>
      </c>
      <c r="Y361" s="383">
        <f t="shared" si="154"/>
        <v>2.4140000000000001</v>
      </c>
      <c r="Z361" s="383">
        <f t="shared" si="155"/>
        <v>2.4286638462533658</v>
      </c>
      <c r="AA361" s="384">
        <f t="shared" si="156"/>
        <v>2.5041645420422904</v>
      </c>
      <c r="AB361" s="197">
        <f t="shared" si="157"/>
        <v>43812</v>
      </c>
      <c r="AC361" s="424">
        <f t="shared" si="158"/>
        <v>3.0150053848837503E-2</v>
      </c>
      <c r="AD361" s="169">
        <f>(INDEX(Models!$BJ361:$BT361,,AH361)*(1-AF361)+INDEX(Models!$BJ361:$BT361,,AH361+1)*AF361-ERP_i)*AE361*Ramure*Pc/MaxiM</f>
        <v>1.1135150972563092E-4</v>
      </c>
      <c r="AE361" s="304">
        <f t="shared" si="159"/>
        <v>0.6</v>
      </c>
      <c r="AF361" s="177">
        <f t="shared" si="160"/>
        <v>0.99903834812523407</v>
      </c>
      <c r="AG361" s="799">
        <f t="shared" si="161"/>
        <v>-2</v>
      </c>
      <c r="AH361" s="176">
        <f t="shared" si="162"/>
        <v>4</v>
      </c>
      <c r="AI361" s="224">
        <f t="shared" si="163"/>
        <v>-1.0009616518747659</v>
      </c>
      <c r="AJ361" s="264" t="b">
        <f t="shared" si="164"/>
        <v>0</v>
      </c>
      <c r="AK361" s="264" t="b">
        <f t="shared" si="165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66"/>
        <v>43813</v>
      </c>
      <c r="B362" s="607">
        <v>19.283000000000001</v>
      </c>
      <c r="C362" s="388"/>
      <c r="D362" s="391">
        <f t="shared" si="143"/>
        <v>19.400506415767335</v>
      </c>
      <c r="E362" s="383">
        <f t="shared" si="169"/>
        <v>20.005210470199213</v>
      </c>
      <c r="F362" s="383">
        <f t="shared" si="168"/>
        <v>20.006599068171216</v>
      </c>
      <c r="G362" s="110">
        <f t="shared" si="170"/>
        <v>0.71994666112121175</v>
      </c>
      <c r="I362" s="379">
        <f t="shared" si="144"/>
        <v>20.006599068171216</v>
      </c>
      <c r="J362" s="85">
        <v>2018</v>
      </c>
      <c r="K362" s="197">
        <f t="shared" si="145"/>
        <v>43813</v>
      </c>
      <c r="L362" s="435">
        <f t="shared" si="146"/>
        <v>6.0568736325271599E-3</v>
      </c>
      <c r="M362" s="842"/>
      <c r="N362" s="842"/>
      <c r="O362" s="323">
        <f t="shared" si="147"/>
        <v>3.0227327792060738E-2</v>
      </c>
      <c r="P362" s="169">
        <f>(INDEX(Models!$BJ362:$BT362,,T362)*(1-R362)+INDEX(Models!$BJ362:$BT362,,T362+1)*R362-ERP_i)*Q362*Ramure*Pc/MaxiM</f>
        <v>1.1568384296527797E-4</v>
      </c>
      <c r="Q362" s="304">
        <f t="shared" si="148"/>
        <v>0.6</v>
      </c>
      <c r="R362" s="177">
        <f t="shared" si="149"/>
        <v>0.99904799840280356</v>
      </c>
      <c r="S362" s="799">
        <f t="shared" si="167"/>
        <v>-2</v>
      </c>
      <c r="T362" s="176">
        <f t="shared" si="150"/>
        <v>4</v>
      </c>
      <c r="U362" s="250">
        <f t="shared" si="151"/>
        <v>-1.0009520015971964</v>
      </c>
      <c r="V362" s="382">
        <f t="shared" si="152"/>
        <v>26.782689083688823</v>
      </c>
      <c r="W362" s="58"/>
      <c r="X362" s="157">
        <f t="shared" si="153"/>
        <v>43813</v>
      </c>
      <c r="Y362" s="383">
        <f t="shared" si="154"/>
        <v>19.283000000000001</v>
      </c>
      <c r="Z362" s="383">
        <f t="shared" si="155"/>
        <v>19.400506415767335</v>
      </c>
      <c r="AA362" s="384">
        <f t="shared" si="156"/>
        <v>20.005210470199213</v>
      </c>
      <c r="AB362" s="197">
        <f t="shared" si="157"/>
        <v>43813</v>
      </c>
      <c r="AC362" s="424">
        <f t="shared" si="158"/>
        <v>3.0227327792060738E-2</v>
      </c>
      <c r="AD362" s="169">
        <f>(INDEX(Models!$BJ362:$BT362,,AH362)*(1-AF362)+INDEX(Models!$BJ362:$BT362,,AH362+1)*AF362-ERP_i)*AE362*Ramure*Pc/MaxiM</f>
        <v>1.1568384296527797E-4</v>
      </c>
      <c r="AE362" s="304">
        <f t="shared" si="159"/>
        <v>0.6</v>
      </c>
      <c r="AF362" s="177">
        <f t="shared" si="160"/>
        <v>0.99904799840280356</v>
      </c>
      <c r="AG362" s="799">
        <f t="shared" si="161"/>
        <v>-2</v>
      </c>
      <c r="AH362" s="176">
        <f t="shared" si="162"/>
        <v>4</v>
      </c>
      <c r="AI362" s="224">
        <f t="shared" si="163"/>
        <v>-1.0009520015971964</v>
      </c>
      <c r="AJ362" s="264" t="b">
        <f t="shared" si="164"/>
        <v>0</v>
      </c>
      <c r="AK362" s="264" t="b">
        <f t="shared" si="165"/>
        <v>0</v>
      </c>
      <c r="AL362" s="264"/>
      <c r="AM362" s="264"/>
      <c r="AN362" s="75"/>
    </row>
    <row r="363" spans="1:40" s="6" customFormat="1" ht="11.25" x14ac:dyDescent="0.2">
      <c r="A363" s="56">
        <f t="shared" si="166"/>
        <v>43814</v>
      </c>
      <c r="B363" s="607">
        <v>27.667999999999999</v>
      </c>
      <c r="C363" s="388"/>
      <c r="D363" s="391">
        <f t="shared" si="143"/>
        <v>27.837136277796297</v>
      </c>
      <c r="E363" s="383">
        <f t="shared" si="169"/>
        <v>28.707100810818833</v>
      </c>
      <c r="F363" s="383">
        <f t="shared" si="168"/>
        <v>28.710535852153466</v>
      </c>
      <c r="G363" s="110">
        <f t="shared" si="170"/>
        <v>1.0349595336097843</v>
      </c>
      <c r="I363" s="379">
        <f t="shared" si="144"/>
        <v>28.710535852153466</v>
      </c>
      <c r="J363" s="85">
        <v>2018</v>
      </c>
      <c r="K363" s="197">
        <f t="shared" si="145"/>
        <v>43814</v>
      </c>
      <c r="L363" s="435">
        <f t="shared" si="146"/>
        <v>6.0759223257891293E-3</v>
      </c>
      <c r="M363" s="842"/>
      <c r="N363" s="842"/>
      <c r="O363" s="323">
        <f t="shared" si="147"/>
        <v>3.0304855190903486E-2</v>
      </c>
      <c r="P363" s="169">
        <f>(INDEX(Models!$BJ363:$BT363,,T363)*(1-R363)+INDEX(Models!$BJ363:$BT363,,T363+1)*R363-ERP_i)*Q363*Ramure*Pc/MaxiM</f>
        <v>1.196439297517959E-4</v>
      </c>
      <c r="Q363" s="304">
        <f t="shared" si="148"/>
        <v>0.6</v>
      </c>
      <c r="R363" s="177">
        <f t="shared" si="149"/>
        <v>0.99905726048206001</v>
      </c>
      <c r="S363" s="799">
        <f t="shared" si="167"/>
        <v>-2</v>
      </c>
      <c r="T363" s="176">
        <f t="shared" si="150"/>
        <v>4</v>
      </c>
      <c r="U363" s="250">
        <f t="shared" si="151"/>
        <v>-1.00094273951794</v>
      </c>
      <c r="V363" s="382">
        <f t="shared" si="152"/>
        <v>26.733412371687759</v>
      </c>
      <c r="W363" s="58"/>
      <c r="X363" s="157">
        <f t="shared" si="153"/>
        <v>43814</v>
      </c>
      <c r="Y363" s="383">
        <f t="shared" si="154"/>
        <v>27.667999999999999</v>
      </c>
      <c r="Z363" s="383">
        <f t="shared" si="155"/>
        <v>27.837136277796297</v>
      </c>
      <c r="AA363" s="384">
        <f t="shared" si="156"/>
        <v>28.707100810818833</v>
      </c>
      <c r="AB363" s="197">
        <f t="shared" si="157"/>
        <v>43814</v>
      </c>
      <c r="AC363" s="424">
        <f t="shared" si="158"/>
        <v>3.0304855190903486E-2</v>
      </c>
      <c r="AD363" s="169">
        <f>(INDEX(Models!$BJ363:$BT363,,AH363)*(1-AF363)+INDEX(Models!$BJ363:$BT363,,AH363+1)*AF363-ERP_i)*AE363*Ramure*Pc/MaxiM</f>
        <v>1.196439297517959E-4</v>
      </c>
      <c r="AE363" s="304">
        <f t="shared" si="159"/>
        <v>0.6</v>
      </c>
      <c r="AF363" s="177">
        <f t="shared" si="160"/>
        <v>0.99905726048206001</v>
      </c>
      <c r="AG363" s="799">
        <f t="shared" si="161"/>
        <v>-2</v>
      </c>
      <c r="AH363" s="176">
        <f t="shared" si="162"/>
        <v>4</v>
      </c>
      <c r="AI363" s="224">
        <f t="shared" si="163"/>
        <v>-1.00094273951794</v>
      </c>
      <c r="AJ363" s="264" t="b">
        <f t="shared" si="164"/>
        <v>0</v>
      </c>
      <c r="AK363" s="264" t="b">
        <f t="shared" si="165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66"/>
        <v>43815</v>
      </c>
      <c r="B364" s="607">
        <v>14.94</v>
      </c>
      <c r="C364" s="388"/>
      <c r="D364" s="391">
        <f t="shared" si="143"/>
        <v>15.031617266118962</v>
      </c>
      <c r="E364" s="383">
        <f t="shared" si="169"/>
        <v>15.502627711108275</v>
      </c>
      <c r="F364" s="383">
        <f t="shared" si="168"/>
        <v>15.503336460049537</v>
      </c>
      <c r="G364" s="110">
        <f t="shared" si="170"/>
        <v>0.55964453695682448</v>
      </c>
      <c r="I364" s="379">
        <f t="shared" si="144"/>
        <v>15.503336460049537</v>
      </c>
      <c r="J364" s="85">
        <v>2018</v>
      </c>
      <c r="K364" s="197">
        <f t="shared" si="145"/>
        <v>43815</v>
      </c>
      <c r="L364" s="435">
        <f t="shared" si="146"/>
        <v>6.0949706539872306E-3</v>
      </c>
      <c r="M364" s="842"/>
      <c r="N364" s="842"/>
      <c r="O364" s="323">
        <f t="shared" si="147"/>
        <v>3.0382619886550929E-2</v>
      </c>
      <c r="P364" s="169">
        <f>(INDEX(Models!$BJ364:$BT364,,T364)*(1-R364)+INDEX(Models!$BJ364:$BT364,,T364+1)*R364-ERP_i)*Q364*Ramure*Pc/MaxiM</f>
        <v>1.2322917452012603E-4</v>
      </c>
      <c r="Q364" s="304">
        <f t="shared" si="148"/>
        <v>0.6</v>
      </c>
      <c r="R364" s="177">
        <f t="shared" si="149"/>
        <v>0.99906614996540521</v>
      </c>
      <c r="S364" s="799">
        <f t="shared" si="167"/>
        <v>-2</v>
      </c>
      <c r="T364" s="176">
        <f t="shared" si="150"/>
        <v>4</v>
      </c>
      <c r="U364" s="250">
        <f t="shared" si="151"/>
        <v>-1.0009338500345948</v>
      </c>
      <c r="V364" s="382">
        <f t="shared" si="152"/>
        <v>26.693447201202467</v>
      </c>
      <c r="W364" s="58"/>
      <c r="X364" s="157">
        <f t="shared" si="153"/>
        <v>43815</v>
      </c>
      <c r="Y364" s="383">
        <f t="shared" si="154"/>
        <v>14.94</v>
      </c>
      <c r="Z364" s="383">
        <f t="shared" si="155"/>
        <v>15.031617266118962</v>
      </c>
      <c r="AA364" s="384">
        <f t="shared" si="156"/>
        <v>15.502627711108275</v>
      </c>
      <c r="AB364" s="197">
        <f t="shared" si="157"/>
        <v>43815</v>
      </c>
      <c r="AC364" s="424">
        <f t="shared" si="158"/>
        <v>3.0382619886550929E-2</v>
      </c>
      <c r="AD364" s="169">
        <f>(INDEX(Models!$BJ364:$BT364,,AH364)*(1-AF364)+INDEX(Models!$BJ364:$BT364,,AH364+1)*AF364-ERP_i)*AE364*Ramure*Pc/MaxiM</f>
        <v>1.2322917452012603E-4</v>
      </c>
      <c r="AE364" s="304">
        <f t="shared" si="159"/>
        <v>0.6</v>
      </c>
      <c r="AF364" s="177">
        <f t="shared" si="160"/>
        <v>0.99906614996540521</v>
      </c>
      <c r="AG364" s="799">
        <f t="shared" si="161"/>
        <v>-2</v>
      </c>
      <c r="AH364" s="176">
        <f t="shared" si="162"/>
        <v>4</v>
      </c>
      <c r="AI364" s="224">
        <f t="shared" si="163"/>
        <v>-1.0009338500345948</v>
      </c>
      <c r="AJ364" s="264" t="b">
        <f t="shared" si="164"/>
        <v>0</v>
      </c>
      <c r="AK364" s="264" t="b">
        <f t="shared" si="165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66"/>
        <v>43816</v>
      </c>
      <c r="B365" s="607">
        <v>13.631</v>
      </c>
      <c r="C365" s="388"/>
      <c r="D365" s="391">
        <f t="shared" si="143"/>
        <v>13.714852865752388</v>
      </c>
      <c r="E365" s="383">
        <f t="shared" si="169"/>
        <v>14.145740691399162</v>
      </c>
      <c r="F365" s="383">
        <f t="shared" si="168"/>
        <v>14.146280420971735</v>
      </c>
      <c r="G365" s="110">
        <f t="shared" si="170"/>
        <v>0.51118605137204964</v>
      </c>
      <c r="I365" s="379">
        <f t="shared" si="144"/>
        <v>14.146280420971735</v>
      </c>
      <c r="J365" s="85">
        <v>2018</v>
      </c>
      <c r="K365" s="197">
        <f t="shared" si="145"/>
        <v>43816</v>
      </c>
      <c r="L365" s="435">
        <f t="shared" si="146"/>
        <v>6.1140186171284583E-3</v>
      </c>
      <c r="M365" s="842"/>
      <c r="N365" s="842"/>
      <c r="O365" s="323">
        <f t="shared" si="147"/>
        <v>3.0460605425120024E-2</v>
      </c>
      <c r="P365" s="169">
        <f>(INDEX(Models!$BJ365:$BT365,,T365)*(1-R365)+INDEX(Models!$BJ365:$BT365,,T365+1)*R365-ERP_i)*Q365*Ramure*Pc/MaxiM</f>
        <v>1.2643693322448066E-4</v>
      </c>
      <c r="Q365" s="304">
        <f t="shared" si="148"/>
        <v>0.6</v>
      </c>
      <c r="R365" s="177">
        <f t="shared" si="149"/>
        <v>0.99907468182921777</v>
      </c>
      <c r="S365" s="799">
        <f t="shared" si="167"/>
        <v>-2</v>
      </c>
      <c r="T365" s="176">
        <f t="shared" si="150"/>
        <v>4</v>
      </c>
      <c r="U365" s="250">
        <f t="shared" si="151"/>
        <v>-1.0009253181707822</v>
      </c>
      <c r="V365" s="382">
        <f t="shared" si="152"/>
        <v>26.663083872311127</v>
      </c>
      <c r="W365" s="58"/>
      <c r="X365" s="157">
        <f t="shared" si="153"/>
        <v>43816</v>
      </c>
      <c r="Y365" s="383">
        <f t="shared" si="154"/>
        <v>13.631</v>
      </c>
      <c r="Z365" s="383">
        <f t="shared" si="155"/>
        <v>13.714852865752388</v>
      </c>
      <c r="AA365" s="384">
        <f t="shared" si="156"/>
        <v>14.145740691399162</v>
      </c>
      <c r="AB365" s="197">
        <f t="shared" si="157"/>
        <v>43816</v>
      </c>
      <c r="AC365" s="424">
        <f t="shared" si="158"/>
        <v>3.0460605425120024E-2</v>
      </c>
      <c r="AD365" s="169">
        <f>(INDEX(Models!$BJ365:$BT365,,AH365)*(1-AF365)+INDEX(Models!$BJ365:$BT365,,AH365+1)*AF365-ERP_i)*AE365*Ramure*Pc/MaxiM</f>
        <v>1.2643693322448066E-4</v>
      </c>
      <c r="AE365" s="304">
        <f t="shared" si="159"/>
        <v>0.6</v>
      </c>
      <c r="AF365" s="177">
        <f t="shared" si="160"/>
        <v>0.99907468182921777</v>
      </c>
      <c r="AG365" s="799">
        <f t="shared" si="161"/>
        <v>-2</v>
      </c>
      <c r="AH365" s="176">
        <f t="shared" si="162"/>
        <v>4</v>
      </c>
      <c r="AI365" s="224">
        <f t="shared" si="163"/>
        <v>-1.0009253181707822</v>
      </c>
      <c r="AJ365" s="264" t="b">
        <f t="shared" si="164"/>
        <v>0</v>
      </c>
      <c r="AK365" s="264" t="b">
        <f t="shared" si="165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66"/>
        <v>43817</v>
      </c>
      <c r="B366" s="607">
        <v>19.283999999999999</v>
      </c>
      <c r="C366" s="388"/>
      <c r="D366" s="391">
        <f t="shared" si="143"/>
        <v>19.402999883056687</v>
      </c>
      <c r="E366" s="383">
        <f t="shared" si="169"/>
        <v>20.014209734740323</v>
      </c>
      <c r="F366" s="383">
        <f t="shared" si="168"/>
        <v>20.015772117516551</v>
      </c>
      <c r="G366" s="110">
        <f t="shared" si="170"/>
        <v>0.72376582407730161</v>
      </c>
      <c r="I366" s="379">
        <f t="shared" si="144"/>
        <v>20.015772117516551</v>
      </c>
      <c r="J366" s="85">
        <v>2018</v>
      </c>
      <c r="K366" s="197">
        <f t="shared" si="145"/>
        <v>43817</v>
      </c>
      <c r="L366" s="435">
        <f t="shared" si="146"/>
        <v>6.1330662152198068E-3</v>
      </c>
      <c r="M366" s="842"/>
      <c r="N366" s="842"/>
      <c r="O366" s="323">
        <f t="shared" si="147"/>
        <v>3.0538795175245371E-2</v>
      </c>
      <c r="P366" s="169">
        <f>(INDEX(Models!$BJ366:$BT366,,T366)*(1-R366)+INDEX(Models!$BJ366:$BT366,,T366+1)*R366-ERP_i)*Q366*Ramure*Pc/MaxiM</f>
        <v>1.2892866010484621E-4</v>
      </c>
      <c r="Q366" s="304">
        <f t="shared" si="148"/>
        <v>0.6</v>
      </c>
      <c r="R366" s="177">
        <f t="shared" si="149"/>
        <v>0.99908287044888699</v>
      </c>
      <c r="S366" s="799">
        <f t="shared" si="167"/>
        <v>-2</v>
      </c>
      <c r="T366" s="176">
        <f t="shared" si="150"/>
        <v>4</v>
      </c>
      <c r="U366" s="250">
        <f t="shared" si="151"/>
        <v>-1.000917129551113</v>
      </c>
      <c r="V366" s="382">
        <f t="shared" si="152"/>
        <v>26.642621527668005</v>
      </c>
      <c r="W366" s="58"/>
      <c r="X366" s="157">
        <f t="shared" si="153"/>
        <v>43817</v>
      </c>
      <c r="Y366" s="383">
        <f t="shared" si="154"/>
        <v>19.283999999999999</v>
      </c>
      <c r="Z366" s="383">
        <f t="shared" si="155"/>
        <v>19.402999883056687</v>
      </c>
      <c r="AA366" s="384">
        <f t="shared" si="156"/>
        <v>20.014209734740323</v>
      </c>
      <c r="AB366" s="197">
        <f t="shared" si="157"/>
        <v>43817</v>
      </c>
      <c r="AC366" s="424">
        <f t="shared" si="158"/>
        <v>3.0538795175245371E-2</v>
      </c>
      <c r="AD366" s="169">
        <f>(INDEX(Models!$BJ366:$BT366,,AH366)*(1-AF366)+INDEX(Models!$BJ366:$BT366,,AH366+1)*AF366-ERP_i)*AE366*Ramure*Pc/MaxiM</f>
        <v>1.2892866010484621E-4</v>
      </c>
      <c r="AE366" s="304">
        <f t="shared" si="159"/>
        <v>0.6</v>
      </c>
      <c r="AF366" s="177">
        <f t="shared" si="160"/>
        <v>0.99908287044888699</v>
      </c>
      <c r="AG366" s="799">
        <f t="shared" si="161"/>
        <v>-2</v>
      </c>
      <c r="AH366" s="176">
        <f t="shared" si="162"/>
        <v>4</v>
      </c>
      <c r="AI366" s="224">
        <f t="shared" si="163"/>
        <v>-1.000917129551113</v>
      </c>
      <c r="AJ366" s="264" t="b">
        <f t="shared" si="164"/>
        <v>0</v>
      </c>
      <c r="AK366" s="264" t="b">
        <f t="shared" si="165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66"/>
        <v>43818</v>
      </c>
      <c r="B367" s="607">
        <v>11.722</v>
      </c>
      <c r="C367" s="388"/>
      <c r="D367" s="391">
        <f t="shared" si="143"/>
        <v>11.794561480299377</v>
      </c>
      <c r="E367" s="383">
        <f t="shared" si="169"/>
        <v>12.167083163651045</v>
      </c>
      <c r="F367" s="383">
        <f t="shared" si="168"/>
        <v>12.167401582781</v>
      </c>
      <c r="G367" s="110">
        <f t="shared" si="170"/>
        <v>0.4400953930184377</v>
      </c>
      <c r="I367" s="379">
        <f t="shared" si="144"/>
        <v>12.167401582781</v>
      </c>
      <c r="J367" s="85">
        <v>2018</v>
      </c>
      <c r="K367" s="197">
        <f t="shared" si="145"/>
        <v>43818</v>
      </c>
      <c r="L367" s="435">
        <f t="shared" si="146"/>
        <v>6.1521134482682704E-3</v>
      </c>
      <c r="M367" s="842"/>
      <c r="N367" s="842"/>
      <c r="O367" s="323">
        <f t="shared" si="147"/>
        <v>3.0617172443151298E-2</v>
      </c>
      <c r="P367" s="169">
        <f>(INDEX(Models!$BJ367:$BT367,,T367)*(1-R367)+INDEX(Models!$BJ367:$BT367,,T367+1)*R367-ERP_i)*Q367*Ramure*Pc/MaxiM</f>
        <v>1.30717239252123E-4</v>
      </c>
      <c r="Q367" s="304">
        <f t="shared" si="148"/>
        <v>0.6</v>
      </c>
      <c r="R367" s="177">
        <f t="shared" si="149"/>
        <v>0.99909072962285306</v>
      </c>
      <c r="S367" s="799">
        <f t="shared" si="167"/>
        <v>-2</v>
      </c>
      <c r="T367" s="176">
        <f t="shared" si="150"/>
        <v>4</v>
      </c>
      <c r="U367" s="250">
        <f t="shared" si="151"/>
        <v>-1.0009092703771469</v>
      </c>
      <c r="V367" s="382">
        <f t="shared" si="152"/>
        <v>26.632349825560755</v>
      </c>
      <c r="W367" s="58"/>
      <c r="X367" s="157">
        <f t="shared" si="153"/>
        <v>43818</v>
      </c>
      <c r="Y367" s="383">
        <f t="shared" si="154"/>
        <v>11.722</v>
      </c>
      <c r="Z367" s="383">
        <f t="shared" si="155"/>
        <v>11.794561480299377</v>
      </c>
      <c r="AA367" s="384">
        <f t="shared" si="156"/>
        <v>12.167083163651045</v>
      </c>
      <c r="AB367" s="197">
        <f t="shared" si="157"/>
        <v>43818</v>
      </c>
      <c r="AC367" s="424">
        <f t="shared" si="158"/>
        <v>3.0617172443151298E-2</v>
      </c>
      <c r="AD367" s="169">
        <f>(INDEX(Models!$BJ367:$BT367,,AH367)*(1-AF367)+INDEX(Models!$BJ367:$BT367,,AH367+1)*AF367-ERP_i)*AE367*Ramure*Pc/MaxiM</f>
        <v>1.30717239252123E-4</v>
      </c>
      <c r="AE367" s="304">
        <f t="shared" si="159"/>
        <v>0.6</v>
      </c>
      <c r="AF367" s="177">
        <f t="shared" si="160"/>
        <v>0.99909072962285306</v>
      </c>
      <c r="AG367" s="799">
        <f t="shared" si="161"/>
        <v>-2</v>
      </c>
      <c r="AH367" s="176">
        <f t="shared" si="162"/>
        <v>4</v>
      </c>
      <c r="AI367" s="224">
        <f t="shared" si="163"/>
        <v>-1.0009092703771469</v>
      </c>
      <c r="AJ367" s="264" t="b">
        <f t="shared" si="164"/>
        <v>0</v>
      </c>
      <c r="AK367" s="264" t="b">
        <f t="shared" si="165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66"/>
        <v>43819</v>
      </c>
      <c r="B368" s="607">
        <v>8.4930000000000003</v>
      </c>
      <c r="C368" s="388"/>
      <c r="D368" s="391">
        <f t="shared" si="143"/>
        <v>8.5457371137497429</v>
      </c>
      <c r="E368" s="383">
        <f t="shared" si="169"/>
        <v>8.8163616887170235</v>
      </c>
      <c r="F368" s="383">
        <f t="shared" si="168"/>
        <v>8.816393055672183</v>
      </c>
      <c r="G368" s="110">
        <f t="shared" si="170"/>
        <v>0.31885448614302969</v>
      </c>
      <c r="I368" s="379">
        <f t="shared" si="144"/>
        <v>8.816393055672183</v>
      </c>
      <c r="J368" s="85">
        <v>2018</v>
      </c>
      <c r="K368" s="197">
        <f t="shared" si="145"/>
        <v>43819</v>
      </c>
      <c r="L368" s="435">
        <f t="shared" si="146"/>
        <v>6.1711603162809547E-3</v>
      </c>
      <c r="M368" s="842"/>
      <c r="N368" s="842"/>
      <c r="O368" s="323">
        <f t="shared" si="147"/>
        <v>3.0695720584333397E-2</v>
      </c>
      <c r="P368" s="169">
        <f>(INDEX(Models!$BJ368:$BT368,,T368)*(1-R368)+INDEX(Models!$BJ368:$BT368,,T368+1)*R368-ERP_i)*Q368*Ramure*Pc/MaxiM</f>
        <v>1.3180253441670166E-4</v>
      </c>
      <c r="Q368" s="304">
        <f t="shared" si="148"/>
        <v>0.6</v>
      </c>
      <c r="R368" s="177">
        <f t="shared" si="149"/>
        <v>0.99909827259569139</v>
      </c>
      <c r="S368" s="799">
        <f t="shared" si="167"/>
        <v>-2</v>
      </c>
      <c r="T368" s="176">
        <f t="shared" si="150"/>
        <v>4</v>
      </c>
      <c r="U368" s="250">
        <f t="shared" si="151"/>
        <v>-1.0009017274043086</v>
      </c>
      <c r="V368" s="382">
        <f t="shared" si="152"/>
        <v>26.632558683143291</v>
      </c>
      <c r="W368" s="58"/>
      <c r="X368" s="157">
        <f t="shared" si="153"/>
        <v>43819</v>
      </c>
      <c r="Y368" s="383">
        <f t="shared" si="154"/>
        <v>8.4930000000000003</v>
      </c>
      <c r="Z368" s="383">
        <f t="shared" si="155"/>
        <v>8.5457371137497429</v>
      </c>
      <c r="AA368" s="384">
        <f t="shared" si="156"/>
        <v>8.8163616887170235</v>
      </c>
      <c r="AB368" s="197">
        <f t="shared" si="157"/>
        <v>43819</v>
      </c>
      <c r="AC368" s="424">
        <f t="shared" si="158"/>
        <v>3.0695720584333397E-2</v>
      </c>
      <c r="AD368" s="169">
        <f>(INDEX(Models!$BJ368:$BT368,,AH368)*(1-AF368)+INDEX(Models!$BJ368:$BT368,,AH368+1)*AF368-ERP_i)*AE368*Ramure*Pc/MaxiM</f>
        <v>1.3180253441670166E-4</v>
      </c>
      <c r="AE368" s="304">
        <f t="shared" si="159"/>
        <v>0.6</v>
      </c>
      <c r="AF368" s="177">
        <f t="shared" si="160"/>
        <v>0.99909827259569139</v>
      </c>
      <c r="AG368" s="799">
        <f t="shared" si="161"/>
        <v>-2</v>
      </c>
      <c r="AH368" s="176">
        <f t="shared" si="162"/>
        <v>4</v>
      </c>
      <c r="AI368" s="224">
        <f t="shared" si="163"/>
        <v>-1.0009017274043086</v>
      </c>
      <c r="AJ368" s="264" t="b">
        <f t="shared" si="164"/>
        <v>0</v>
      </c>
      <c r="AK368" s="264" t="b">
        <f t="shared" si="165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66"/>
        <v>43820</v>
      </c>
      <c r="B369" s="607">
        <v>22.446000000000002</v>
      </c>
      <c r="C369" s="388"/>
      <c r="D369" s="391">
        <f t="shared" si="143"/>
        <v>22.585810840282136</v>
      </c>
      <c r="E369" s="383">
        <f t="shared" si="169"/>
        <v>23.302945546255533</v>
      </c>
      <c r="F369" s="383">
        <f t="shared" si="168"/>
        <v>23.305332831773615</v>
      </c>
      <c r="G369" s="110">
        <f t="shared" si="170"/>
        <v>0.84243062016880477</v>
      </c>
      <c r="I369" s="379">
        <f t="shared" si="144"/>
        <v>23.305332831773615</v>
      </c>
      <c r="J369" s="85">
        <v>2018</v>
      </c>
      <c r="K369" s="197">
        <f t="shared" si="145"/>
        <v>43820</v>
      </c>
      <c r="L369" s="435">
        <f t="shared" si="146"/>
        <v>6.190206819264632E-3</v>
      </c>
      <c r="M369" s="842"/>
      <c r="N369" s="842"/>
      <c r="O369" s="323">
        <f t="shared" si="147"/>
        <v>3.0774423111014415E-2</v>
      </c>
      <c r="P369" s="169">
        <f>(INDEX(Models!$BJ369:$BT369,,T369)*(1-R369)+INDEX(Models!$BJ369:$BT369,,T369+1)*R369-ERP_i)*Q369*Ramure*Pc/MaxiM</f>
        <v>1.3218519870417548E-4</v>
      </c>
      <c r="Q369" s="304">
        <f t="shared" si="148"/>
        <v>0.6</v>
      </c>
      <c r="R369" s="177">
        <f t="shared" si="149"/>
        <v>0.99910551208027831</v>
      </c>
      <c r="S369" s="799">
        <f t="shared" si="167"/>
        <v>-2</v>
      </c>
      <c r="T369" s="176">
        <f t="shared" si="150"/>
        <v>4</v>
      </c>
      <c r="U369" s="250">
        <f t="shared" si="151"/>
        <v>-1.0008944879197217</v>
      </c>
      <c r="V369" s="382">
        <f t="shared" si="152"/>
        <v>26.643537906710311</v>
      </c>
      <c r="W369" s="58"/>
      <c r="X369" s="157">
        <f t="shared" si="153"/>
        <v>43820</v>
      </c>
      <c r="Y369" s="383">
        <f t="shared" si="154"/>
        <v>22.446000000000002</v>
      </c>
      <c r="Z369" s="383">
        <f t="shared" si="155"/>
        <v>22.585810840282136</v>
      </c>
      <c r="AA369" s="384">
        <f t="shared" si="156"/>
        <v>23.302945546255533</v>
      </c>
      <c r="AB369" s="197">
        <f t="shared" si="157"/>
        <v>43820</v>
      </c>
      <c r="AC369" s="424">
        <f t="shared" si="158"/>
        <v>3.0774423111014415E-2</v>
      </c>
      <c r="AD369" s="169">
        <f>(INDEX(Models!$BJ369:$BT369,,AH369)*(1-AF369)+INDEX(Models!$BJ369:$BT369,,AH369+1)*AF369-ERP_i)*AE369*Ramure*Pc/MaxiM</f>
        <v>1.3218519870417548E-4</v>
      </c>
      <c r="AE369" s="304">
        <f t="shared" si="159"/>
        <v>0.6</v>
      </c>
      <c r="AF369" s="177">
        <f t="shared" si="160"/>
        <v>0.99910551208027831</v>
      </c>
      <c r="AG369" s="799">
        <f t="shared" si="161"/>
        <v>-2</v>
      </c>
      <c r="AH369" s="176">
        <f t="shared" si="162"/>
        <v>4</v>
      </c>
      <c r="AI369" s="224">
        <f t="shared" si="163"/>
        <v>-1.0008944879197217</v>
      </c>
      <c r="AJ369" s="264" t="b">
        <f t="shared" si="164"/>
        <v>0</v>
      </c>
      <c r="AK369" s="264" t="b">
        <f t="shared" si="165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66"/>
        <v>43821</v>
      </c>
      <c r="B370" s="607">
        <v>8.3010000000000002</v>
      </c>
      <c r="C370" s="388"/>
      <c r="D370" s="391">
        <f t="shared" si="143"/>
        <v>8.3528650520256047</v>
      </c>
      <c r="E370" s="383">
        <f t="shared" si="169"/>
        <v>8.6187826259729583</v>
      </c>
      <c r="F370" s="383">
        <f>Wh_sa/(1-Pvg*MEDIAN((-Sdif+Wh/Env_an)/Csdif,0,1))</f>
        <v>8.6188009732320161</v>
      </c>
      <c r="G370" s="110">
        <f t="shared" si="170"/>
        <v>0.31125983077420832</v>
      </c>
      <c r="I370" s="379">
        <f t="shared" si="144"/>
        <v>8.6188009732320161</v>
      </c>
      <c r="J370" s="85">
        <v>2018</v>
      </c>
      <c r="K370" s="197">
        <f t="shared" si="145"/>
        <v>43821</v>
      </c>
      <c r="L370" s="435">
        <f t="shared" si="146"/>
        <v>6.2092529572265187E-3</v>
      </c>
      <c r="M370" s="842"/>
      <c r="N370" s="842"/>
      <c r="O370" s="323">
        <f t="shared" si="147"/>
        <v>3.0853263794587835E-2</v>
      </c>
      <c r="P370" s="169">
        <f>(INDEX(Models!$BJ370:$BT370,,T370)*(1-R370)+INDEX(Models!$BJ370:$BT370,,T370+1)*R370-ERP_i)*Q370*Ramure*Pc/MaxiM</f>
        <v>1.3186682380957876E-4</v>
      </c>
      <c r="Q370" s="304">
        <f t="shared" si="148"/>
        <v>0.6</v>
      </c>
      <c r="R370" s="177">
        <f t="shared" si="149"/>
        <v>0.99911246027907574</v>
      </c>
      <c r="S370" s="799">
        <f t="shared" si="167"/>
        <v>-2</v>
      </c>
      <c r="T370" s="176">
        <f t="shared" si="150"/>
        <v>4</v>
      </c>
      <c r="U370" s="250">
        <f t="shared" si="151"/>
        <v>-1.0008875397209243</v>
      </c>
      <c r="V370" s="382">
        <f t="shared" si="152"/>
        <v>26.6655771844989</v>
      </c>
      <c r="W370" s="58"/>
      <c r="X370" s="157">
        <f t="shared" si="153"/>
        <v>43821</v>
      </c>
      <c r="Y370" s="383">
        <f t="shared" si="154"/>
        <v>8.3010000000000002</v>
      </c>
      <c r="Z370" s="383">
        <f t="shared" si="155"/>
        <v>8.3528650520256047</v>
      </c>
      <c r="AA370" s="384">
        <f t="shared" si="156"/>
        <v>8.6187826259729583</v>
      </c>
      <c r="AB370" s="197">
        <f t="shared" si="157"/>
        <v>43821</v>
      </c>
      <c r="AC370" s="424">
        <f t="shared" si="158"/>
        <v>3.0853263794587835E-2</v>
      </c>
      <c r="AD370" s="169">
        <f>(INDEX(Models!$BJ370:$BT370,,AH370)*(1-AF370)+INDEX(Models!$BJ370:$BT370,,AH370+1)*AF370-ERP_i)*AE370*Ramure*Pc/MaxiM</f>
        <v>1.3186682380957876E-4</v>
      </c>
      <c r="AE370" s="304">
        <f t="shared" si="159"/>
        <v>0.6</v>
      </c>
      <c r="AF370" s="177">
        <f t="shared" si="160"/>
        <v>0.99911246027907574</v>
      </c>
      <c r="AG370" s="799">
        <f t="shared" si="161"/>
        <v>-2</v>
      </c>
      <c r="AH370" s="176">
        <f t="shared" si="162"/>
        <v>4</v>
      </c>
      <c r="AI370" s="224">
        <f t="shared" si="163"/>
        <v>-1.0008875397209243</v>
      </c>
      <c r="AJ370" s="264" t="b">
        <f t="shared" si="164"/>
        <v>0</v>
      </c>
      <c r="AK370" s="264" t="b">
        <f t="shared" si="165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66"/>
        <v>43822</v>
      </c>
      <c r="B371" s="607">
        <v>7.5380000000000003</v>
      </c>
      <c r="C371" s="388"/>
      <c r="D371" s="391">
        <f t="shared" si="143"/>
        <v>7.5852431603436257</v>
      </c>
      <c r="E371" s="383">
        <f t="shared" si="169"/>
        <v>7.827360861460833</v>
      </c>
      <c r="F371" s="383">
        <f t="shared" si="168"/>
        <v>7.827360861460833</v>
      </c>
      <c r="G371" s="110">
        <f t="shared" si="170"/>
        <v>0.28229608697359626</v>
      </c>
      <c r="I371" s="379">
        <f t="shared" si="144"/>
        <v>7.827360861460833</v>
      </c>
      <c r="J371" s="85">
        <v>2018</v>
      </c>
      <c r="K371" s="197">
        <f t="shared" si="145"/>
        <v>43822</v>
      </c>
      <c r="L371" s="435">
        <f t="shared" si="146"/>
        <v>6.2282987301734982E-3</v>
      </c>
      <c r="M371" s="842"/>
      <c r="N371" s="842"/>
      <c r="O371" s="323">
        <f t="shared" si="147"/>
        <v>3.0932226762318993E-2</v>
      </c>
      <c r="P371" s="169">
        <f>(INDEX(Models!$BJ371:$BT371,,T371)*(1-R371)+INDEX(Models!$BJ371:$BT371,,T371+1)*R371-ERP_i)*Q371*Ramure*Pc/MaxiM</f>
        <v>1.308484251295982E-4</v>
      </c>
      <c r="Q371" s="304">
        <f t="shared" si="148"/>
        <v>0.6</v>
      </c>
      <c r="R371" s="177">
        <f t="shared" si="149"/>
        <v>0.99911246027907574</v>
      </c>
      <c r="S371" s="799">
        <f t="shared" si="167"/>
        <v>-2</v>
      </c>
      <c r="T371" s="176">
        <f t="shared" si="150"/>
        <v>4</v>
      </c>
      <c r="U371" s="250">
        <f t="shared" si="151"/>
        <v>-1.0008875397209243</v>
      </c>
      <c r="V371" s="382">
        <f t="shared" si="152"/>
        <v>26.698966129404145</v>
      </c>
      <c r="W371" s="58"/>
      <c r="X371" s="157">
        <f t="shared" si="153"/>
        <v>43822</v>
      </c>
      <c r="Y371" s="383">
        <f t="shared" si="154"/>
        <v>7.5380000000000003</v>
      </c>
      <c r="Z371" s="383">
        <f t="shared" si="155"/>
        <v>7.5852431603436257</v>
      </c>
      <c r="AA371" s="384">
        <f t="shared" si="156"/>
        <v>7.827360861460833</v>
      </c>
      <c r="AB371" s="197">
        <f t="shared" si="157"/>
        <v>43822</v>
      </c>
      <c r="AC371" s="424">
        <f t="shared" si="158"/>
        <v>3.0932226762318993E-2</v>
      </c>
      <c r="AD371" s="169">
        <f>(INDEX(Models!$BJ371:$BT371,,AH371)*(1-AF371)+INDEX(Models!$BJ371:$BT371,,AH371+1)*AF371-ERP_i)*AE371*Ramure*Pc/MaxiM</f>
        <v>1.308484251295982E-4</v>
      </c>
      <c r="AE371" s="304">
        <f t="shared" si="159"/>
        <v>0.6</v>
      </c>
      <c r="AF371" s="177">
        <f t="shared" si="160"/>
        <v>0.99911246027907574</v>
      </c>
      <c r="AG371" s="799">
        <f t="shared" si="161"/>
        <v>-2</v>
      </c>
      <c r="AH371" s="176">
        <f t="shared" si="162"/>
        <v>4</v>
      </c>
      <c r="AI371" s="224">
        <f t="shared" si="163"/>
        <v>-1.0008875397209243</v>
      </c>
      <c r="AJ371" s="264" t="b">
        <f t="shared" si="164"/>
        <v>0</v>
      </c>
      <c r="AK371" s="264" t="b">
        <f t="shared" si="165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66"/>
        <v>43823</v>
      </c>
      <c r="B372" s="607">
        <v>13.565</v>
      </c>
      <c r="C372" s="388"/>
      <c r="D372" s="391">
        <f t="shared" si="143"/>
        <v>13.650277984147873</v>
      </c>
      <c r="E372" s="383">
        <f t="shared" si="169"/>
        <v>14.087138411497891</v>
      </c>
      <c r="F372" s="383">
        <f t="shared" si="168"/>
        <v>14.087676943522759</v>
      </c>
      <c r="G372" s="110">
        <f t="shared" si="170"/>
        <v>0.50717057075041827</v>
      </c>
      <c r="I372" s="379">
        <f t="shared" si="144"/>
        <v>14.087676943522759</v>
      </c>
      <c r="J372" s="85">
        <v>2018</v>
      </c>
      <c r="K372" s="197">
        <f t="shared" si="145"/>
        <v>43823</v>
      </c>
      <c r="L372" s="435">
        <f t="shared" si="146"/>
        <v>6.2473441381125649E-3</v>
      </c>
      <c r="M372" s="842"/>
      <c r="N372" s="842"/>
      <c r="O372" s="323">
        <f t="shared" si="147"/>
        <v>3.1011296587634359E-2</v>
      </c>
      <c r="P372" s="169">
        <f>(INDEX(Models!$BJ372:$BT372,,T372)*(1-R372)+INDEX(Models!$BJ372:$BT372,,T372+1)*R372-ERP_i)*Q372*Ramure*Pc/MaxiM</f>
        <v>1.2913544807942773E-4</v>
      </c>
      <c r="Q372" s="304">
        <f t="shared" si="148"/>
        <v>0.6</v>
      </c>
      <c r="R372" s="177">
        <f t="shared" si="149"/>
        <v>0.99911246027907574</v>
      </c>
      <c r="S372" s="799">
        <f t="shared" si="167"/>
        <v>-2</v>
      </c>
      <c r="T372" s="176">
        <f t="shared" si="150"/>
        <v>4</v>
      </c>
      <c r="U372" s="250">
        <f t="shared" si="151"/>
        <v>-1.0008875397209243</v>
      </c>
      <c r="V372" s="382">
        <f t="shared" si="152"/>
        <v>26.743994159597147</v>
      </c>
      <c r="W372" s="58"/>
      <c r="X372" s="157">
        <f t="shared" si="153"/>
        <v>43823</v>
      </c>
      <c r="Y372" s="383">
        <f t="shared" si="154"/>
        <v>13.565</v>
      </c>
      <c r="Z372" s="383">
        <f t="shared" si="155"/>
        <v>13.650277984147873</v>
      </c>
      <c r="AA372" s="384">
        <f t="shared" si="156"/>
        <v>14.087138411497891</v>
      </c>
      <c r="AB372" s="197">
        <f t="shared" si="157"/>
        <v>43823</v>
      </c>
      <c r="AC372" s="424">
        <f t="shared" si="158"/>
        <v>3.1011296587634359E-2</v>
      </c>
      <c r="AD372" s="169">
        <f>(INDEX(Models!$BJ372:$BT372,,AH372)*(1-AF372)+INDEX(Models!$BJ372:$BT372,,AH372+1)*AF372-ERP_i)*AE372*Ramure*Pc/MaxiM</f>
        <v>1.2913544807942773E-4</v>
      </c>
      <c r="AE372" s="304">
        <f t="shared" si="159"/>
        <v>0.6</v>
      </c>
      <c r="AF372" s="177">
        <f t="shared" si="160"/>
        <v>0.99911246027907574</v>
      </c>
      <c r="AG372" s="799">
        <f t="shared" si="161"/>
        <v>-2</v>
      </c>
      <c r="AH372" s="176">
        <f t="shared" si="162"/>
        <v>4</v>
      </c>
      <c r="AI372" s="224">
        <f t="shared" si="163"/>
        <v>-1.0008875397209243</v>
      </c>
      <c r="AJ372" s="264" t="b">
        <f t="shared" si="164"/>
        <v>0</v>
      </c>
      <c r="AK372" s="264" t="b">
        <f t="shared" si="165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66"/>
        <v>43824</v>
      </c>
      <c r="B373" s="607">
        <v>11.129</v>
      </c>
      <c r="C373" s="388"/>
      <c r="D373" s="391">
        <f t="shared" si="143"/>
        <v>11.199178410427761</v>
      </c>
      <c r="E373" s="383">
        <f t="shared" si="169"/>
        <v>11.558538675990967</v>
      </c>
      <c r="F373" s="383">
        <f t="shared" si="168"/>
        <v>11.558779859962785</v>
      </c>
      <c r="G373" s="110">
        <f t="shared" si="170"/>
        <v>0.41520639957249583</v>
      </c>
      <c r="I373" s="379">
        <f t="shared" si="144"/>
        <v>11.558779859962785</v>
      </c>
      <c r="J373" s="85">
        <v>2018</v>
      </c>
      <c r="K373" s="197">
        <f t="shared" si="145"/>
        <v>43824</v>
      </c>
      <c r="L373" s="435">
        <f t="shared" si="146"/>
        <v>6.2663891810507133E-3</v>
      </c>
      <c r="M373" s="842"/>
      <c r="N373" s="842"/>
      <c r="O373" s="323">
        <f t="shared" si="147"/>
        <v>3.1090458373397696E-2</v>
      </c>
      <c r="P373" s="169">
        <f>(INDEX(Models!$BJ373:$BT373,,T373)*(1-R373)+INDEX(Models!$BJ373:$BT373,,T373+1)*R373-ERP_i)*Q373*Ramure*Pc/MaxiM</f>
        <v>1.2673372253577502E-4</v>
      </c>
      <c r="Q373" s="304">
        <f t="shared" si="148"/>
        <v>0.6</v>
      </c>
      <c r="R373" s="177">
        <f t="shared" si="149"/>
        <v>0.99911246027907574</v>
      </c>
      <c r="S373" s="799">
        <f t="shared" si="167"/>
        <v>-2</v>
      </c>
      <c r="T373" s="176">
        <f t="shared" si="150"/>
        <v>4</v>
      </c>
      <c r="U373" s="250">
        <f t="shared" si="151"/>
        <v>-1.0008875397209243</v>
      </c>
      <c r="V373" s="382">
        <f t="shared" si="152"/>
        <v>26.800699082472388</v>
      </c>
      <c r="W373" s="58"/>
      <c r="X373" s="157">
        <f t="shared" si="153"/>
        <v>43824</v>
      </c>
      <c r="Y373" s="383">
        <f t="shared" si="154"/>
        <v>11.129</v>
      </c>
      <c r="Z373" s="383">
        <f t="shared" si="155"/>
        <v>11.199178410427761</v>
      </c>
      <c r="AA373" s="384">
        <f t="shared" si="156"/>
        <v>11.558538675990967</v>
      </c>
      <c r="AB373" s="197">
        <f t="shared" si="157"/>
        <v>43824</v>
      </c>
      <c r="AC373" s="424">
        <f t="shared" si="158"/>
        <v>3.1090458373397696E-2</v>
      </c>
      <c r="AD373" s="169">
        <f>(INDEX(Models!$BJ373:$BT373,,AH373)*(1-AF373)+INDEX(Models!$BJ373:$BT373,,AH373+1)*AF373-ERP_i)*AE373*Ramure*Pc/MaxiM</f>
        <v>1.2673372253577502E-4</v>
      </c>
      <c r="AE373" s="304">
        <f t="shared" si="159"/>
        <v>0.6</v>
      </c>
      <c r="AF373" s="177">
        <f t="shared" si="160"/>
        <v>0.99911246027907574</v>
      </c>
      <c r="AG373" s="799">
        <f t="shared" si="161"/>
        <v>-2</v>
      </c>
      <c r="AH373" s="176">
        <f t="shared" si="162"/>
        <v>4</v>
      </c>
      <c r="AI373" s="224">
        <f t="shared" si="163"/>
        <v>-1.0008875397209243</v>
      </c>
      <c r="AJ373" s="264" t="b">
        <f t="shared" si="164"/>
        <v>0</v>
      </c>
      <c r="AK373" s="264" t="b">
        <f t="shared" si="165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66"/>
        <v>43825</v>
      </c>
      <c r="B374" s="607">
        <v>8.9480000000000004</v>
      </c>
      <c r="C374" s="388"/>
      <c r="D374" s="391">
        <f t="shared" si="143"/>
        <v>9.0045978039234136</v>
      </c>
      <c r="E374" s="383">
        <f t="shared" si="169"/>
        <v>9.2942982726003525</v>
      </c>
      <c r="F374" s="383">
        <f t="shared" si="168"/>
        <v>9.2943524946391847</v>
      </c>
      <c r="G374" s="110">
        <f t="shared" si="170"/>
        <v>0.33298659356263471</v>
      </c>
      <c r="I374" s="379">
        <f t="shared" si="144"/>
        <v>9.2943524946391847</v>
      </c>
      <c r="J374" s="85">
        <v>2018</v>
      </c>
      <c r="K374" s="197">
        <f t="shared" si="145"/>
        <v>43825</v>
      </c>
      <c r="L374" s="435">
        <f t="shared" si="146"/>
        <v>6.2854338589950487E-3</v>
      </c>
      <c r="M374" s="842"/>
      <c r="N374" s="842"/>
      <c r="O374" s="323">
        <f t="shared" si="147"/>
        <v>3.1169697827643159E-2</v>
      </c>
      <c r="P374" s="169">
        <f>(INDEX(Models!$BJ374:$BT374,,T374)*(1-R374)+INDEX(Models!$BJ374:$BT374,,T374+1)*R374-ERP_i)*Q374*Ramure*Pc/MaxiM</f>
        <v>1.2365195862333261E-4</v>
      </c>
      <c r="Q374" s="304">
        <f t="shared" si="148"/>
        <v>0.6</v>
      </c>
      <c r="R374" s="177">
        <f t="shared" si="149"/>
        <v>0.99911246027907574</v>
      </c>
      <c r="S374" s="799">
        <f t="shared" si="167"/>
        <v>-2</v>
      </c>
      <c r="T374" s="176">
        <f t="shared" si="150"/>
        <v>4</v>
      </c>
      <c r="U374" s="250">
        <f t="shared" si="151"/>
        <v>-1.0008875397209243</v>
      </c>
      <c r="V374" s="382">
        <f t="shared" si="152"/>
        <v>26.868786703584249</v>
      </c>
      <c r="W374" s="58"/>
      <c r="X374" s="157">
        <f t="shared" si="153"/>
        <v>43825</v>
      </c>
      <c r="Y374" s="383">
        <f t="shared" si="154"/>
        <v>8.9480000000000004</v>
      </c>
      <c r="Z374" s="383">
        <f t="shared" si="155"/>
        <v>9.0045978039234136</v>
      </c>
      <c r="AA374" s="384">
        <f t="shared" si="156"/>
        <v>9.2942982726003525</v>
      </c>
      <c r="AB374" s="197">
        <f t="shared" si="157"/>
        <v>43825</v>
      </c>
      <c r="AC374" s="424">
        <f t="shared" si="158"/>
        <v>3.1169697827643159E-2</v>
      </c>
      <c r="AD374" s="169">
        <f>(INDEX(Models!$BJ374:$BT374,,AH374)*(1-AF374)+INDEX(Models!$BJ374:$BT374,,AH374+1)*AF374-ERP_i)*AE374*Ramure*Pc/MaxiM</f>
        <v>1.2365195862333261E-4</v>
      </c>
      <c r="AE374" s="304">
        <f t="shared" si="159"/>
        <v>0.6</v>
      </c>
      <c r="AF374" s="177">
        <f t="shared" si="160"/>
        <v>0.99911246027907574</v>
      </c>
      <c r="AG374" s="799">
        <f t="shared" si="161"/>
        <v>-2</v>
      </c>
      <c r="AH374" s="176">
        <f t="shared" si="162"/>
        <v>4</v>
      </c>
      <c r="AI374" s="224">
        <f t="shared" si="163"/>
        <v>-1.0008875397209243</v>
      </c>
      <c r="AJ374" s="264" t="b">
        <f t="shared" si="164"/>
        <v>0</v>
      </c>
      <c r="AK374" s="264" t="b">
        <f t="shared" si="165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66"/>
        <v>43826</v>
      </c>
      <c r="B375" s="607">
        <v>23.042999999999999</v>
      </c>
      <c r="C375" s="388"/>
      <c r="D375" s="391">
        <f t="shared" si="143"/>
        <v>23.189195778611385</v>
      </c>
      <c r="E375" s="383">
        <f t="shared" si="169"/>
        <v>23.937209675633145</v>
      </c>
      <c r="F375" s="383">
        <f t="shared" si="168"/>
        <v>23.939485558369796</v>
      </c>
      <c r="G375" s="110">
        <f t="shared" si="170"/>
        <v>0.85506851488905422</v>
      </c>
      <c r="I375" s="379">
        <f t="shared" si="144"/>
        <v>23.939485558369796</v>
      </c>
      <c r="J375" s="85">
        <v>2018</v>
      </c>
      <c r="K375" s="197">
        <f t="shared" si="145"/>
        <v>43826</v>
      </c>
      <c r="L375" s="435">
        <f t="shared" si="146"/>
        <v>6.3044781719523435E-3</v>
      </c>
      <c r="M375" s="842"/>
      <c r="N375" s="842"/>
      <c r="O375" s="323">
        <f t="shared" si="147"/>
        <v>3.1249001331312237E-2</v>
      </c>
      <c r="P375" s="169">
        <f>(INDEX(Models!$BJ375:$BT375,,T375)*(1-R375)+INDEX(Models!$BJ375:$BT375,,T375+1)*R375-ERP_i)*Q375*Ramure*Pc/MaxiM</f>
        <v>1.1988639716404821E-4</v>
      </c>
      <c r="Q375" s="304">
        <f t="shared" si="148"/>
        <v>0.6</v>
      </c>
      <c r="R375" s="177">
        <f t="shared" si="149"/>
        <v>0.99911246027907574</v>
      </c>
      <c r="S375" s="799">
        <f t="shared" si="167"/>
        <v>-2</v>
      </c>
      <c r="T375" s="176">
        <f t="shared" si="150"/>
        <v>4</v>
      </c>
      <c r="U375" s="250">
        <f t="shared" si="151"/>
        <v>-1.0008875397209243</v>
      </c>
      <c r="V375" s="382">
        <f t="shared" si="152"/>
        <v>26.94804879100791</v>
      </c>
      <c r="W375" s="58"/>
      <c r="X375" s="157">
        <f t="shared" si="153"/>
        <v>43826</v>
      </c>
      <c r="Y375" s="383">
        <f t="shared" si="154"/>
        <v>23.042999999999999</v>
      </c>
      <c r="Z375" s="383">
        <f t="shared" si="155"/>
        <v>23.189195778611385</v>
      </c>
      <c r="AA375" s="384">
        <f t="shared" si="156"/>
        <v>23.937209675633145</v>
      </c>
      <c r="AB375" s="197">
        <f t="shared" si="157"/>
        <v>43826</v>
      </c>
      <c r="AC375" s="424">
        <f t="shared" si="158"/>
        <v>3.1249001331312237E-2</v>
      </c>
      <c r="AD375" s="169">
        <f>(INDEX(Models!$BJ375:$BT375,,AH375)*(1-AF375)+INDEX(Models!$BJ375:$BT375,,AH375+1)*AF375-ERP_i)*AE375*Ramure*Pc/MaxiM</f>
        <v>1.1988639716404821E-4</v>
      </c>
      <c r="AE375" s="304">
        <f t="shared" si="159"/>
        <v>0.6</v>
      </c>
      <c r="AF375" s="177">
        <f t="shared" si="160"/>
        <v>0.99911246027907574</v>
      </c>
      <c r="AG375" s="799">
        <f t="shared" si="161"/>
        <v>-2</v>
      </c>
      <c r="AH375" s="176">
        <f t="shared" si="162"/>
        <v>4</v>
      </c>
      <c r="AI375" s="224">
        <f t="shared" si="163"/>
        <v>-1.0008875397209243</v>
      </c>
      <c r="AJ375" s="264" t="b">
        <f t="shared" si="164"/>
        <v>0</v>
      </c>
      <c r="AK375" s="264" t="b">
        <f t="shared" si="165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66"/>
        <v>43827</v>
      </c>
      <c r="B376" s="607">
        <v>4.2880000000000003</v>
      </c>
      <c r="C376" s="388"/>
      <c r="D376" s="391">
        <f t="shared" si="143"/>
        <v>4.3152878179708019</v>
      </c>
      <c r="E376" s="383">
        <f t="shared" si="169"/>
        <v>4.4548509752394505</v>
      </c>
      <c r="F376" s="383">
        <f t="shared" si="168"/>
        <v>4.4548509752394505</v>
      </c>
      <c r="G376" s="110">
        <f t="shared" si="170"/>
        <v>0.15857167930220581</v>
      </c>
      <c r="I376" s="379">
        <f t="shared" si="144"/>
        <v>4.4548509752394505</v>
      </c>
      <c r="J376" s="85">
        <v>2018</v>
      </c>
      <c r="K376" s="197">
        <f t="shared" si="145"/>
        <v>43827</v>
      </c>
      <c r="L376" s="435">
        <f t="shared" si="146"/>
        <v>6.3235221199298142E-3</v>
      </c>
      <c r="M376" s="842"/>
      <c r="N376" s="842"/>
      <c r="O376" s="323">
        <f t="shared" si="147"/>
        <v>3.1328355997620488E-2</v>
      </c>
      <c r="P376" s="169">
        <f>(INDEX(Models!$BJ376:$BT376,,T376)*(1-R376)+INDEX(Models!$BJ376:$BT376,,T376+1)*R376-ERP_i)*Q376*Ramure*Pc/MaxiM</f>
        <v>1.1577437022666308E-4</v>
      </c>
      <c r="Q376" s="304">
        <f t="shared" si="148"/>
        <v>0.6</v>
      </c>
      <c r="R376" s="177">
        <f t="shared" si="149"/>
        <v>0.99911246027907574</v>
      </c>
      <c r="S376" s="799">
        <f t="shared" si="167"/>
        <v>-2</v>
      </c>
      <c r="T376" s="176">
        <f t="shared" si="150"/>
        <v>4</v>
      </c>
      <c r="U376" s="250">
        <f t="shared" si="151"/>
        <v>-1.0008875397209243</v>
      </c>
      <c r="V376" s="382">
        <f t="shared" si="152"/>
        <v>27.038267983082573</v>
      </c>
      <c r="W376" s="58"/>
      <c r="X376" s="157">
        <f t="shared" si="153"/>
        <v>43827</v>
      </c>
      <c r="Y376" s="383">
        <f t="shared" si="154"/>
        <v>4.2880000000000003</v>
      </c>
      <c r="Z376" s="383">
        <f t="shared" si="155"/>
        <v>4.3152878179708019</v>
      </c>
      <c r="AA376" s="384">
        <f t="shared" si="156"/>
        <v>4.4548509752394505</v>
      </c>
      <c r="AB376" s="197">
        <f t="shared" si="157"/>
        <v>43827</v>
      </c>
      <c r="AC376" s="424">
        <f t="shared" si="158"/>
        <v>3.1328355997620488E-2</v>
      </c>
      <c r="AD376" s="169">
        <f>(INDEX(Models!$BJ376:$BT376,,AH376)*(1-AF376)+INDEX(Models!$BJ376:$BT376,,AH376+1)*AF376-ERP_i)*AE376*Ramure*Pc/MaxiM</f>
        <v>1.1577437022666308E-4</v>
      </c>
      <c r="AE376" s="304">
        <f t="shared" si="159"/>
        <v>0.6</v>
      </c>
      <c r="AF376" s="177">
        <f t="shared" si="160"/>
        <v>0.99911246027907574</v>
      </c>
      <c r="AG376" s="799">
        <f t="shared" si="161"/>
        <v>-2</v>
      </c>
      <c r="AH376" s="176">
        <f t="shared" si="162"/>
        <v>4</v>
      </c>
      <c r="AI376" s="224">
        <f t="shared" si="163"/>
        <v>-1.0008875397209243</v>
      </c>
      <c r="AJ376" s="264" t="b">
        <f t="shared" si="164"/>
        <v>0</v>
      </c>
      <c r="AK376" s="264" t="b">
        <f t="shared" si="165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66"/>
        <v>43828</v>
      </c>
      <c r="B377" s="607">
        <v>25.422999999999998</v>
      </c>
      <c r="C377" s="388"/>
      <c r="D377" s="391">
        <f t="shared" si="143"/>
        <v>25.585276295934694</v>
      </c>
      <c r="E377" s="383">
        <f t="shared" si="169"/>
        <v>26.414909151514973</v>
      </c>
      <c r="F377" s="383">
        <f t="shared" si="168"/>
        <v>26.417584370860784</v>
      </c>
      <c r="G377" s="110">
        <f t="shared" si="170"/>
        <v>0.9367523993744602</v>
      </c>
      <c r="I377" s="379">
        <f t="shared" si="144"/>
        <v>26.417584370860784</v>
      </c>
      <c r="J377" s="85">
        <v>2018</v>
      </c>
      <c r="K377" s="197">
        <f t="shared" si="145"/>
        <v>43828</v>
      </c>
      <c r="L377" s="435">
        <f t="shared" si="146"/>
        <v>6.3425657029343441E-3</v>
      </c>
      <c r="M377" s="842"/>
      <c r="N377" s="842"/>
      <c r="O377" s="323">
        <f t="shared" si="147"/>
        <v>3.1407749722762092E-2</v>
      </c>
      <c r="P377" s="169">
        <f>(INDEX(Models!$BJ377:$BT377,,T377)*(1-R377)+INDEX(Models!$BJ377:$BT377,,T377+1)*R377-ERP_i)*Q377*Ramure*Pc/MaxiM</f>
        <v>1.1132361917158708E-4</v>
      </c>
      <c r="Q377" s="304">
        <f t="shared" si="148"/>
        <v>0.6</v>
      </c>
      <c r="R377" s="177">
        <f t="shared" si="149"/>
        <v>0.99911246027907574</v>
      </c>
      <c r="S377" s="799">
        <f t="shared" si="167"/>
        <v>-2</v>
      </c>
      <c r="T377" s="176">
        <f t="shared" si="150"/>
        <v>4</v>
      </c>
      <c r="U377" s="250">
        <f t="shared" si="151"/>
        <v>-1.0008875397209243</v>
      </c>
      <c r="V377" s="382">
        <f t="shared" si="152"/>
        <v>27.139235844888489</v>
      </c>
      <c r="W377" s="58"/>
      <c r="X377" s="157">
        <f t="shared" si="153"/>
        <v>43828</v>
      </c>
      <c r="Y377" s="383">
        <f t="shared" si="154"/>
        <v>25.422999999999998</v>
      </c>
      <c r="Z377" s="383">
        <f t="shared" si="155"/>
        <v>25.585276295934694</v>
      </c>
      <c r="AA377" s="384">
        <f t="shared" si="156"/>
        <v>26.414909151514973</v>
      </c>
      <c r="AB377" s="197">
        <f t="shared" si="157"/>
        <v>43828</v>
      </c>
      <c r="AC377" s="424">
        <f t="shared" si="158"/>
        <v>3.1407749722762092E-2</v>
      </c>
      <c r="AD377" s="169">
        <f>(INDEX(Models!$BJ377:$BT377,,AH377)*(1-AF377)+INDEX(Models!$BJ377:$BT377,,AH377+1)*AF377-ERP_i)*AE377*Ramure*Pc/MaxiM</f>
        <v>1.1132361917158708E-4</v>
      </c>
      <c r="AE377" s="304">
        <f t="shared" si="159"/>
        <v>0.6</v>
      </c>
      <c r="AF377" s="177">
        <f t="shared" si="160"/>
        <v>0.99911246027907574</v>
      </c>
      <c r="AG377" s="799">
        <f t="shared" si="161"/>
        <v>-2</v>
      </c>
      <c r="AH377" s="176">
        <f t="shared" si="162"/>
        <v>4</v>
      </c>
      <c r="AI377" s="224">
        <f t="shared" si="163"/>
        <v>-1.0008875397209243</v>
      </c>
      <c r="AJ377" s="264" t="b">
        <f t="shared" si="164"/>
        <v>0</v>
      </c>
      <c r="AK377" s="264" t="b">
        <f t="shared" si="165"/>
        <v>0</v>
      </c>
      <c r="AL377" s="264"/>
      <c r="AM377" s="264"/>
      <c r="AN377" s="75"/>
    </row>
    <row r="378" spans="1:40" s="6" customFormat="1" ht="11.25" x14ac:dyDescent="0.2">
      <c r="A378" s="56">
        <f t="shared" si="166"/>
        <v>43829</v>
      </c>
      <c r="B378" s="607">
        <v>27.923999999999999</v>
      </c>
      <c r="C378" s="388"/>
      <c r="D378" s="391">
        <f t="shared" si="143"/>
        <v>28.102778888883655</v>
      </c>
      <c r="E378" s="383">
        <f t="shared" si="169"/>
        <v>29.016423999781619</v>
      </c>
      <c r="F378" s="383">
        <f t="shared" si="168"/>
        <v>29.01951581106924</v>
      </c>
      <c r="G378" s="110">
        <f t="shared" si="170"/>
        <v>1.0247059675483288</v>
      </c>
      <c r="I378" s="379">
        <f t="shared" si="144"/>
        <v>29.01951581106924</v>
      </c>
      <c r="J378" s="85">
        <v>2018</v>
      </c>
      <c r="K378" s="197">
        <f t="shared" si="145"/>
        <v>43829</v>
      </c>
      <c r="L378" s="435">
        <f t="shared" si="146"/>
        <v>6.3616089209730387E-3</v>
      </c>
      <c r="M378" s="842"/>
      <c r="N378" s="842"/>
      <c r="O378" s="323">
        <f t="shared" si="147"/>
        <v>3.1487171227744734E-2</v>
      </c>
      <c r="P378" s="169">
        <f>(INDEX(Models!$BJ378:$BT378,,T378)*(1-R378)+INDEX(Models!$BJ378:$BT378,,T378+1)*R378-ERP_i)*Q378*Ramure*Pc/MaxiM</f>
        <v>1.0654248360834204E-4</v>
      </c>
      <c r="Q378" s="304">
        <f t="shared" si="148"/>
        <v>0.6</v>
      </c>
      <c r="R378" s="177">
        <f t="shared" si="149"/>
        <v>0.99911246027907574</v>
      </c>
      <c r="S378" s="799">
        <f t="shared" si="167"/>
        <v>-2</v>
      </c>
      <c r="T378" s="176">
        <f t="shared" si="150"/>
        <v>4</v>
      </c>
      <c r="U378" s="250">
        <f t="shared" si="151"/>
        <v>-1.0008875397209243</v>
      </c>
      <c r="V378" s="382">
        <f t="shared" si="152"/>
        <v>27.25074400299421</v>
      </c>
      <c r="W378" s="58"/>
      <c r="X378" s="157">
        <f t="shared" si="153"/>
        <v>43829</v>
      </c>
      <c r="Y378" s="383">
        <f t="shared" si="154"/>
        <v>27.923999999999999</v>
      </c>
      <c r="Z378" s="383">
        <f t="shared" si="155"/>
        <v>28.102778888883655</v>
      </c>
      <c r="AA378" s="384">
        <f t="shared" si="156"/>
        <v>29.016423999781619</v>
      </c>
      <c r="AB378" s="197">
        <f t="shared" si="157"/>
        <v>43829</v>
      </c>
      <c r="AC378" s="424">
        <f t="shared" si="158"/>
        <v>3.1487171227744734E-2</v>
      </c>
      <c r="AD378" s="169">
        <f>(INDEX(Models!$BJ378:$BT378,,AH378)*(1-AF378)+INDEX(Models!$BJ378:$BT378,,AH378+1)*AF378-ERP_i)*AE378*Ramure*Pc/MaxiM</f>
        <v>1.0654248360834204E-4</v>
      </c>
      <c r="AE378" s="304">
        <f t="shared" si="159"/>
        <v>0.6</v>
      </c>
      <c r="AF378" s="177">
        <f t="shared" si="160"/>
        <v>0.99911246027907574</v>
      </c>
      <c r="AG378" s="799">
        <f t="shared" si="161"/>
        <v>-2</v>
      </c>
      <c r="AH378" s="176">
        <f t="shared" si="162"/>
        <v>4</v>
      </c>
      <c r="AI378" s="224">
        <f t="shared" si="163"/>
        <v>-1.0008875397209243</v>
      </c>
      <c r="AJ378" s="264" t="b">
        <f t="shared" si="164"/>
        <v>0</v>
      </c>
      <c r="AK378" s="264" t="b">
        <f t="shared" si="165"/>
        <v>0</v>
      </c>
      <c r="AL378" s="264"/>
      <c r="AM378" s="264"/>
      <c r="AN378" s="75"/>
    </row>
    <row r="379" spans="1:40" s="18" customFormat="1" ht="12.75" x14ac:dyDescent="0.2">
      <c r="A379" s="56">
        <f t="shared" si="166"/>
        <v>43830</v>
      </c>
      <c r="B379" s="607">
        <v>21.074000000000002</v>
      </c>
      <c r="C379" s="388"/>
      <c r="D379" s="391">
        <f t="shared" si="143"/>
        <v>21.209329344911076</v>
      </c>
      <c r="E379" s="383">
        <f t="shared" si="169"/>
        <v>21.900658905316241</v>
      </c>
      <c r="F379" s="383">
        <f t="shared" si="168"/>
        <v>21.902150317320494</v>
      </c>
      <c r="G379" s="110">
        <f t="shared" si="170"/>
        <v>0.76986875344558581</v>
      </c>
      <c r="I379" s="379">
        <f t="shared" si="144"/>
        <v>21.902150317320494</v>
      </c>
      <c r="J379" s="85">
        <v>2018</v>
      </c>
      <c r="K379" s="197">
        <f t="shared" si="145"/>
        <v>43830</v>
      </c>
      <c r="L379" s="435">
        <f>IF(t&lt;T0,0,IF(t&lt;Tvie,1-EXP((T0-t)*PertePVj),1-EXP((T0-t)*PertePVj)+Pspv))</f>
        <v>6.3806517740526703E-3</v>
      </c>
      <c r="M379" s="842"/>
      <c r="N379" s="842"/>
      <c r="O379" s="323">
        <f t="shared" si="147"/>
        <v>3.1566610091231094E-2</v>
      </c>
      <c r="P379" s="169">
        <f>(INDEX(Models!$BJ379:$BT379,,T379)*(1-R379)+INDEX(Models!$BJ379:$BT379,,T379+1)*R379-ERP_i)*Q379*Ramure*Pc/MaxiM</f>
        <v>1.0143985603346814E-4</v>
      </c>
      <c r="Q379" s="305">
        <f t="shared" si="148"/>
        <v>0.6</v>
      </c>
      <c r="R379" s="177">
        <f t="shared" si="149"/>
        <v>0.99911246027907574</v>
      </c>
      <c r="S379" s="799">
        <f t="shared" si="167"/>
        <v>-2</v>
      </c>
      <c r="T379" s="176">
        <f t="shared" si="150"/>
        <v>4</v>
      </c>
      <c r="U379" s="306">
        <f t="shared" si="151"/>
        <v>-1.0008875397209243</v>
      </c>
      <c r="V379" s="382">
        <f t="shared" si="152"/>
        <v>27.372584137201571</v>
      </c>
      <c r="W379" s="390"/>
      <c r="X379" s="157">
        <f t="shared" si="153"/>
        <v>43830</v>
      </c>
      <c r="Y379" s="383">
        <f t="shared" si="154"/>
        <v>21.074000000000002</v>
      </c>
      <c r="Z379" s="383">
        <f t="shared" si="155"/>
        <v>21.209329344911076</v>
      </c>
      <c r="AA379" s="384">
        <f t="shared" si="156"/>
        <v>21.900658905316241</v>
      </c>
      <c r="AB379" s="197">
        <f t="shared" si="157"/>
        <v>43830</v>
      </c>
      <c r="AC379" s="424">
        <f t="shared" si="158"/>
        <v>3.1566610091231094E-2</v>
      </c>
      <c r="AD379" s="169">
        <f>(INDEX(Models!$BJ379:$BT379,,AH379)*(1-AF379)+INDEX(Models!$BJ379:$BT379,,AH379+1)*AF379-ERP_i)*AE379*Ramure*Pc/MaxiM</f>
        <v>1.0143985603346814E-4</v>
      </c>
      <c r="AE379" s="305">
        <f t="shared" si="159"/>
        <v>0.6</v>
      </c>
      <c r="AF379" s="177">
        <f t="shared" si="160"/>
        <v>0.99911246027907574</v>
      </c>
      <c r="AG379" s="799">
        <f t="shared" si="161"/>
        <v>-2</v>
      </c>
      <c r="AH379" s="176">
        <f t="shared" si="162"/>
        <v>4</v>
      </c>
      <c r="AI379" s="221">
        <f t="shared" si="163"/>
        <v>-1.0008875397209243</v>
      </c>
      <c r="AJ379" s="264" t="b">
        <f t="shared" si="164"/>
        <v>0</v>
      </c>
      <c r="AK379" s="264" t="b">
        <f t="shared" si="165"/>
        <v>0</v>
      </c>
      <c r="AL379" s="264"/>
      <c r="AM379" s="264"/>
      <c r="AN379" s="264"/>
    </row>
    <row r="380" spans="1:40" s="18" customFormat="1" ht="12" thickBot="1" x14ac:dyDescent="0.25">
      <c r="A380" s="103"/>
      <c r="B380" s="611"/>
      <c r="C380" s="841"/>
      <c r="D380" s="392"/>
      <c r="E380" s="393"/>
      <c r="F380" s="393"/>
      <c r="G380" s="97"/>
      <c r="I380" s="380">
        <f t="shared" si="144"/>
        <v>0</v>
      </c>
      <c r="J380" s="151">
        <v>2018</v>
      </c>
      <c r="K380" s="199"/>
      <c r="L380" s="468"/>
      <c r="M380" s="843"/>
      <c r="N380" s="843"/>
      <c r="O380" s="469"/>
      <c r="P380" s="227"/>
      <c r="Q380" s="228"/>
      <c r="R380" s="228"/>
      <c r="S380" s="228"/>
      <c r="T380" s="228"/>
      <c r="U380" s="307"/>
      <c r="V380" s="382">
        <f t="shared" ref="V380" si="171">MaxiM*(1-Ppv)*(1-Pvg)*(1-Psa)</f>
        <v>28.589092873434225</v>
      </c>
      <c r="W380" s="58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64"/>
        <v>1</v>
      </c>
      <c r="AK380" s="264" t="b">
        <f t="shared" si="165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1.885</v>
      </c>
      <c r="C381" s="374"/>
      <c r="D381" s="372">
        <f>MIN(D15:D380)</f>
        <v>1.8963777456570976</v>
      </c>
      <c r="E381" s="372">
        <f>MIN(E15:E380)</f>
        <v>1.9550212044651476</v>
      </c>
      <c r="F381" s="373">
        <f>MIN(F15:F380)</f>
        <v>1.9550212044651476</v>
      </c>
      <c r="G381" s="125">
        <f>+MIN(G15:G380)</f>
        <v>6.9850451209029552E-2</v>
      </c>
      <c r="H381" s="93"/>
      <c r="I381" s="373">
        <f>MIN(I15:I380)</f>
        <v>0</v>
      </c>
      <c r="J381" s="165">
        <f>MIN(J15:J380)</f>
        <v>2018</v>
      </c>
      <c r="K381" s="200" t="s">
        <v>7</v>
      </c>
      <c r="L381" s="146">
        <f t="shared" ref="L381:T381" si="172">MIN(L15:L380)</f>
        <v>0</v>
      </c>
      <c r="M381" s="833"/>
      <c r="N381" s="833"/>
      <c r="O381" s="47">
        <f t="shared" si="172"/>
        <v>0</v>
      </c>
      <c r="P381" s="168">
        <f t="shared" si="172"/>
        <v>-1.9963849872836837E-20</v>
      </c>
      <c r="Q381" s="309">
        <f t="shared" si="172"/>
        <v>0.6</v>
      </c>
      <c r="R381" s="310">
        <f t="shared" si="172"/>
        <v>0.49911373331524667</v>
      </c>
      <c r="S381" s="799">
        <f t="shared" si="172"/>
        <v>-2</v>
      </c>
      <c r="T381" s="176">
        <f t="shared" si="172"/>
        <v>4</v>
      </c>
      <c r="U381" s="251">
        <f>+MIN(U15:U380)</f>
        <v>-1.5008862666847533</v>
      </c>
      <c r="V381" s="372">
        <f>MIN(V15:V380)</f>
        <v>26.632349825560755</v>
      </c>
      <c r="W381" s="58"/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200" t="s">
        <v>7</v>
      </c>
      <c r="AC381" s="47">
        <f t="shared" ref="AC381:AH381" si="173">MIN(AC15:AC380)</f>
        <v>0</v>
      </c>
      <c r="AD381" s="168">
        <f t="shared" si="173"/>
        <v>-1.9963849872836837E-20</v>
      </c>
      <c r="AE381" s="309">
        <f t="shared" si="173"/>
        <v>0.6</v>
      </c>
      <c r="AF381" s="310">
        <f t="shared" si="173"/>
        <v>0.49911373331524667</v>
      </c>
      <c r="AG381" s="799">
        <f t="shared" si="173"/>
        <v>-2</v>
      </c>
      <c r="AH381" s="176">
        <f t="shared" si="173"/>
        <v>4</v>
      </c>
      <c r="AI381" s="225">
        <f>MIN(AI15:AI380)</f>
        <v>-1.5008862666847533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35.006597972973012</v>
      </c>
      <c r="C382" s="374"/>
      <c r="D382" s="374">
        <f>AVERAGE(D15:D380)</f>
        <v>35.116853451398072</v>
      </c>
      <c r="E382" s="374">
        <f>AVERAGE(E15:E380)</f>
        <v>35.727084700016839</v>
      </c>
      <c r="F382" s="375">
        <f>AVERAGE(F15:F380)</f>
        <v>35.727202232263494</v>
      </c>
      <c r="G382" s="126">
        <f>AVERAGE(G15:G380)</f>
        <v>0.67598934093246965</v>
      </c>
      <c r="H382" s="94"/>
      <c r="I382" s="375">
        <f>AVERAGE(I15:I380)</f>
        <v>28.89413076707649</v>
      </c>
      <c r="J382" s="166">
        <f>AVERAGE(J15:J380)</f>
        <v>2018</v>
      </c>
      <c r="K382" s="200" t="s">
        <v>8</v>
      </c>
      <c r="L382" s="147">
        <f t="shared" ref="L382:V382" si="174">AVERAGE(L15:L380)</f>
        <v>2.9312218149251472E-3</v>
      </c>
      <c r="M382" s="832"/>
      <c r="N382" s="832"/>
      <c r="O382" s="48">
        <f t="shared" si="174"/>
        <v>1.5626327728813776E-2</v>
      </c>
      <c r="P382" s="169">
        <f t="shared" si="174"/>
        <v>1.1627585136594624E-5</v>
      </c>
      <c r="Q382" s="311">
        <f t="shared" si="174"/>
        <v>0.59999999999999631</v>
      </c>
      <c r="R382" s="177">
        <f t="shared" si="174"/>
        <v>0.77899733031439178</v>
      </c>
      <c r="S382" s="799">
        <f t="shared" si="174"/>
        <v>-2</v>
      </c>
      <c r="T382" s="176">
        <f t="shared" si="174"/>
        <v>4</v>
      </c>
      <c r="U382" s="250">
        <f t="shared" si="174"/>
        <v>-1.2210026696856087</v>
      </c>
      <c r="V382" s="374">
        <f t="shared" si="174"/>
        <v>47.887781855356273</v>
      </c>
      <c r="X382" s="112" t="s">
        <v>8</v>
      </c>
      <c r="Y382" s="374">
        <f>AVERAGE(Y15:Y380)</f>
        <v>28.388912328767155</v>
      </c>
      <c r="Z382" s="374">
        <f>AVERAGE(Z15:Z380)</f>
        <v>28.478324990722822</v>
      </c>
      <c r="AA382" s="374">
        <f>AVERAGE(AA15:AA380)</f>
        <v>28.973197455356122</v>
      </c>
      <c r="AB382" s="200" t="s">
        <v>8</v>
      </c>
      <c r="AC382" s="48">
        <f t="shared" ref="AC382:AH382" si="175">AVERAGE(AC15:AC380)</f>
        <v>1.5626327728813776E-2</v>
      </c>
      <c r="AD382" s="169">
        <f t="shared" si="175"/>
        <v>1.1627585136594624E-5</v>
      </c>
      <c r="AE382" s="311">
        <f t="shared" si="175"/>
        <v>0.59999999999999631</v>
      </c>
      <c r="AF382" s="177">
        <f t="shared" si="175"/>
        <v>0.77899733031439178</v>
      </c>
      <c r="AG382" s="799">
        <f t="shared" si="175"/>
        <v>-2</v>
      </c>
      <c r="AH382" s="176">
        <f t="shared" si="175"/>
        <v>4</v>
      </c>
      <c r="AI382" s="224">
        <f>AVERAGE(AI15:AI380)</f>
        <v>-1.2210026696856087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64.453999999999994</v>
      </c>
      <c r="C383" s="376"/>
      <c r="D383" s="376">
        <f>MAX(D15:D380)</f>
        <v>64.61849887939178</v>
      </c>
      <c r="E383" s="376">
        <f>MAX(E15:E380)</f>
        <v>65.55404847482302</v>
      </c>
      <c r="F383" s="377">
        <f>MAX(F15:F380)</f>
        <v>65.55404847482302</v>
      </c>
      <c r="G383" s="127">
        <f>+MAX(G15:G380)</f>
        <v>1.0462524753302593</v>
      </c>
      <c r="H383" s="94"/>
      <c r="I383" s="377">
        <f>MAX(I15:I380)</f>
        <v>65.55404847482302</v>
      </c>
      <c r="J383" s="167">
        <f>MAX(J15:J380)</f>
        <v>2018</v>
      </c>
      <c r="K383" s="200" t="s">
        <v>9</v>
      </c>
      <c r="L383" s="148">
        <f t="shared" ref="L383:T383" si="176">MAX(L15:L380)</f>
        <v>6.3806517740526703E-3</v>
      </c>
      <c r="M383" s="834"/>
      <c r="N383" s="834"/>
      <c r="O383" s="49">
        <f t="shared" si="176"/>
        <v>3.1566610091231094E-2</v>
      </c>
      <c r="P383" s="170">
        <f t="shared" si="176"/>
        <v>1.3218519870417548E-4</v>
      </c>
      <c r="Q383" s="312">
        <f t="shared" si="176"/>
        <v>0.6</v>
      </c>
      <c r="R383" s="313">
        <f t="shared" si="176"/>
        <v>0.99911246027907574</v>
      </c>
      <c r="S383" s="800">
        <f t="shared" si="176"/>
        <v>-2</v>
      </c>
      <c r="T383" s="232">
        <f t="shared" si="176"/>
        <v>4</v>
      </c>
      <c r="U383" s="252">
        <f>+MAX(U15:U380)</f>
        <v>-1.0008875397209243</v>
      </c>
      <c r="V383" s="376">
        <f>MAX(V15:V380)</f>
        <v>62.284209687223104</v>
      </c>
      <c r="X383" s="112" t="s">
        <v>9</v>
      </c>
      <c r="Y383" s="376">
        <f>MAX(Y15:Y380)</f>
        <v>64.453999999999994</v>
      </c>
      <c r="Z383" s="376">
        <f>MAX(Z15:Z380)</f>
        <v>64.61849887939178</v>
      </c>
      <c r="AA383" s="376">
        <f>MAX(AA15:AA380)</f>
        <v>65.55404847482302</v>
      </c>
      <c r="AB383" s="200" t="s">
        <v>9</v>
      </c>
      <c r="AC383" s="49">
        <f t="shared" ref="AC383:AH383" si="177">MAX(AC15:AC380)</f>
        <v>3.1566610091231094E-2</v>
      </c>
      <c r="AD383" s="170">
        <f t="shared" si="177"/>
        <v>1.3218519870417548E-4</v>
      </c>
      <c r="AE383" s="312">
        <f t="shared" si="177"/>
        <v>0.6</v>
      </c>
      <c r="AF383" s="313">
        <f t="shared" si="177"/>
        <v>0.99911246027907574</v>
      </c>
      <c r="AG383" s="800">
        <f t="shared" si="177"/>
        <v>-2</v>
      </c>
      <c r="AH383" s="232">
        <f t="shared" si="177"/>
        <v>4</v>
      </c>
      <c r="AI383" s="226">
        <f>MAX(AI15:AI380)</f>
        <v>-1.0008875397209243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  <row r="385" spans="6:6" x14ac:dyDescent="0.25">
      <c r="F385" s="401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19" priority="4" stopIfTrue="1" operator="lessThan">
      <formula>0.01</formula>
    </cfRule>
    <cfRule type="cellIs" dxfId="18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7">
        <f>'2019'!An+1</f>
        <v>2020</v>
      </c>
      <c r="K1" s="1278"/>
      <c r="L1" s="113" t="str">
        <f>"Calcul pertes et enveloppes en "&amp;TEXT(An,0)</f>
        <v>Calcul pertes et enveloppes en 2020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2020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7">
        <f>Tmaj</f>
        <v>44947</v>
      </c>
      <c r="F3" s="1287"/>
      <c r="G3" s="470"/>
      <c r="H3" s="75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0" t="str">
        <f>Station</f>
        <v>Esp. Berjean Escalquens</v>
      </c>
      <c r="F4" s="1221"/>
      <c r="G4" s="1221"/>
      <c r="H4" s="1221"/>
      <c r="I4" s="1222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0</v>
      </c>
      <c r="AK4" s="822">
        <f>AM12-AK12</f>
        <v>0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88">
        <f>T0</f>
        <v>43496</v>
      </c>
      <c r="F5" s="1288"/>
      <c r="G5" s="34"/>
      <c r="H5" s="333"/>
      <c r="I5" s="158"/>
      <c r="K5" s="192"/>
      <c r="L5" s="504"/>
      <c r="M5" s="503"/>
      <c r="N5" s="503"/>
      <c r="O5" s="426"/>
      <c r="P5" s="506"/>
      <c r="Q5" s="506"/>
      <c r="R5" s="493"/>
      <c r="S5" s="497"/>
      <c r="T5" s="497"/>
      <c r="U5" s="511"/>
      <c r="V5" s="505"/>
      <c r="W5" s="506"/>
      <c r="X5" s="507"/>
      <c r="Y5" s="508"/>
      <c r="Z5" s="235">
        <f>Wh_Psa_s-Wh_Psa</f>
        <v>0</v>
      </c>
      <c r="AA5" s="236">
        <f>Wh_Pvg_s-Wh_Pvg</f>
        <v>0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89">
        <f>Tservice</f>
        <v>43535</v>
      </c>
      <c r="F6" s="1289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529"/>
      <c r="AD6" s="460"/>
      <c r="AE6" s="460"/>
      <c r="AF6" s="460"/>
      <c r="AG6" s="460"/>
      <c r="AH6" s="460"/>
      <c r="AI6" s="460"/>
      <c r="AJ6" s="514">
        <f>SUMIF(AJ15:AJ380,"FAUX",Wh)</f>
        <v>11502.094999999998</v>
      </c>
      <c r="AK6" s="514">
        <f>SUMIF(AK15:AK380,"FAUX",Wh)</f>
        <v>11502.094999999998</v>
      </c>
      <c r="AL6" s="514">
        <f>SUMIF(AJ15:AJ380,"FAUX",Wh_s)</f>
        <v>11502.094999999998</v>
      </c>
      <c r="AM6" s="514">
        <f>SUMIF(AK15:AK380,"FAUX",Wh_s)</f>
        <v>11502.094999999998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AND(YEAR(Tnet)=An,Resal_2020="I")</f>
        <v>1</v>
      </c>
      <c r="F7" s="319" t="b">
        <f>YEAR(Tnet)=An</f>
        <v>1</v>
      </c>
      <c r="H7" s="334"/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29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AND(YEAR(Tnet)=An,Resal_2020&lt;&gt;"I")</f>
        <v>0</v>
      </c>
      <c r="F8" s="320" t="b">
        <f>YEAR(Ttai)=An</f>
        <v>0</v>
      </c>
      <c r="H8" s="335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5" t="s">
        <v>102</v>
      </c>
      <c r="Y8" s="1276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11614.832434967049</v>
      </c>
      <c r="AK8" s="514">
        <f>SUMIF(AK15:AK380,"FAUX",Wh_sa)</f>
        <v>12132.571138614776</v>
      </c>
      <c r="AL8" s="514">
        <f>SUMIF(AJ15:AJ380,"FAUX",Wh_pvt_s)</f>
        <v>11614.832434967049</v>
      </c>
      <c r="AM8" s="514">
        <f>SUMIF(AK15:AK380,"FAUX",Wh_sa_s)</f>
        <v>12132.571138614776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11614.832434967049</v>
      </c>
      <c r="E9" s="184">
        <f>SUM(E$15:E$380)</f>
        <v>12132.571138614776</v>
      </c>
      <c r="F9" s="184">
        <f>SUM(F$15:F$380)</f>
        <v>12132.671611542868</v>
      </c>
      <c r="H9" s="1279">
        <f>+SUM(Wh)</f>
        <v>11502.094999999998</v>
      </c>
      <c r="I9" s="1280"/>
      <c r="J9" s="1281"/>
      <c r="K9" s="191"/>
      <c r="L9" s="114"/>
      <c r="M9" s="114"/>
      <c r="N9" s="114"/>
      <c r="O9" s="222">
        <f>Tnet_2020</f>
        <v>43831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3">
        <f>+SUM(Wh_s)</f>
        <v>11502.094999999998</v>
      </c>
      <c r="Y9" s="1274"/>
      <c r="Z9" s="514">
        <f>SUM(Z$15:Z$380)</f>
        <v>11614.832434967049</v>
      </c>
      <c r="AA9" s="514">
        <f>SUM(AA$15:AA$380)</f>
        <v>12132.571138614776</v>
      </c>
      <c r="AB9" s="514">
        <f>F9</f>
        <v>12132.671611542868</v>
      </c>
      <c r="AC9" s="324">
        <f>IF(An_Tnet,Tnet,'2019'!Tnet_s)</f>
        <v>43831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H10" s="28"/>
      <c r="K10" s="193"/>
      <c r="L10" s="114"/>
      <c r="M10" s="114"/>
      <c r="N10" s="114"/>
      <c r="O10" s="202">
        <f>IF(Inflex,'2019'!Resal+('2019'!Salim-'2019'!Resal)*(1-EXP(('2019'!Tnet-Tnet)/('2019'!Tau_j))),IF(An_Tnet,Resal_2020,'2019'!Resal))</f>
        <v>3.1627956491457568E-2</v>
      </c>
      <c r="P10" s="419" t="b">
        <f>NOT(Acti_tai)</f>
        <v>1</v>
      </c>
      <c r="Q10" s="256">
        <f>IF(Acti_tai,'2019'!PousD,Dens-Dd)</f>
        <v>0</v>
      </c>
      <c r="R10" s="273"/>
      <c r="S10" s="274"/>
      <c r="T10" s="275"/>
      <c r="U10" s="265">
        <f>IF(Acti_tai,'2019'!PousH,Hdtf-Hdd)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IF(OR(Inflex,GainD),'2019'!Resal_s+('2019'!Salim-'2019'!Resal_s)*(1-EXP(('2019'!Tnet_s-Tnet)/('2019'!Tau_j))),IF(Acti_net,'2019'!Resal+('2019'!Salim-'2019'!Resal)*(1-EXP(('2019'!Tnet-Tnet)/'2019'!Tau_j)),'2019'!Resal_s))</f>
        <v>3.1627956491457568E-2</v>
      </c>
      <c r="AD10" s="426"/>
      <c r="AE10" s="426"/>
      <c r="AF10" s="259"/>
      <c r="AG10" s="260"/>
      <c r="AH10" s="261"/>
      <c r="AI10" s="521"/>
      <c r="AJ10" s="514">
        <f>SUMIF(AJ15:AJ380,"FAUX",Wh_sa)</f>
        <v>12132.571138614776</v>
      </c>
      <c r="AK10" s="514">
        <f>SUMIF(AK15:AK380,"FAUX",Wh_hp)</f>
        <v>12132.671611542868</v>
      </c>
      <c r="AL10" s="514">
        <f>SUMIF(AJ15:AJ380,"FAUX",Wh_sa_s)</f>
        <v>12132.571138614776</v>
      </c>
      <c r="AM10" s="514">
        <f>SUMIF(AK15:AK380,"FAUX",Wh_hp)</f>
        <v>12132.671611542868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112.73743496705174</v>
      </c>
      <c r="E11" s="51">
        <f>(E$9-D$9)*Prod_an/D$9</f>
        <v>512.71335922203446</v>
      </c>
      <c r="F11" s="186">
        <f>(F$9-E$9)*Prod_an/E$9</f>
        <v>9.5251793757527042E-2</v>
      </c>
      <c r="G11" s="185" t="s">
        <v>6</v>
      </c>
      <c r="H11" s="334"/>
      <c r="K11" s="194"/>
      <c r="L11" s="182">
        <f>Tvie_2020</f>
        <v>43496</v>
      </c>
      <c r="M11" s="831"/>
      <c r="N11" s="831"/>
      <c r="O11" s="202">
        <f>IF(An_Tnet,Salim_2020,'2019'!Salim)</f>
        <v>0.1</v>
      </c>
      <c r="P11" s="255">
        <f>Ttai_2020</f>
        <v>43466</v>
      </c>
      <c r="Q11" s="271">
        <f>Dens_2020</f>
        <v>0.6</v>
      </c>
      <c r="R11" s="276"/>
      <c r="S11" s="229"/>
      <c r="T11" s="229"/>
      <c r="U11" s="265">
        <f>Htf_2020</f>
        <v>-0.50088753972092426</v>
      </c>
      <c r="V11" s="426"/>
      <c r="W11" s="517"/>
      <c r="X11" s="524" t="s">
        <v>43</v>
      </c>
      <c r="Y11" s="50">
        <f>Z$9-Prod_an_s</f>
        <v>112.73743496705174</v>
      </c>
      <c r="Z11" s="51">
        <f>(AA$9-Z$9)*Prod_an_s/Z$9</f>
        <v>512.71335922203446</v>
      </c>
      <c r="AA11" s="186">
        <f>(AB$9-AA$9)*Prod_an_s/AA$9</f>
        <v>9.5251793757527042E-2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4.6561616092291702E-2</v>
      </c>
      <c r="H12" s="28"/>
      <c r="K12" s="191"/>
      <c r="L12" s="204">
        <f>Pspv_2020</f>
        <v>0</v>
      </c>
      <c r="M12" s="212"/>
      <c r="N12" s="212"/>
      <c r="O12" s="205">
        <f>IF(An_Tnet,Tau_2020*365,'2019'!Tau_j)</f>
        <v>1095</v>
      </c>
      <c r="P12" s="280">
        <f>INDEX(Croivg,MIN(MAX(Ttai-$A$15,0)+1,366))</f>
        <v>2.3909964587625958E-6</v>
      </c>
      <c r="Q12" s="279">
        <f>'2019'!Df</f>
        <v>0.6</v>
      </c>
      <c r="R12" s="277"/>
      <c r="S12" s="278"/>
      <c r="T12" s="278"/>
      <c r="U12" s="266">
        <f>'2019'!Hdf</f>
        <v>-1.0008875397209243</v>
      </c>
      <c r="V12" s="516"/>
      <c r="W12" s="503"/>
      <c r="X12" s="504"/>
      <c r="Y12" s="503"/>
      <c r="Z12" s="426"/>
      <c r="AA12" s="426"/>
      <c r="AB12" s="530"/>
      <c r="AC12" s="317" t="b">
        <f>NOT(An_Tnet)</f>
        <v>0</v>
      </c>
      <c r="AD12" s="426"/>
      <c r="AE12" s="295">
        <f>'2019'!Df_s</f>
        <v>0.6</v>
      </c>
      <c r="AF12" s="203"/>
      <c r="AG12" s="203"/>
      <c r="AH12" s="203"/>
      <c r="AI12" s="296">
        <f>'2019'!Hdf_s</f>
        <v>-1.0008875397209243</v>
      </c>
      <c r="AJ12" s="821">
        <f>IF($AJ8=0,0,($AJ10-$AJ8)*$AJ6/$AJ8)</f>
        <v>512.71335922203446</v>
      </c>
      <c r="AK12" s="822">
        <f>IF($AK8=0,0,($AK10-$AK8)*$AK6/$AK8)</f>
        <v>9.5251793757527042E-2</v>
      </c>
      <c r="AL12" s="821">
        <f>IF($AL8=0,0,($AL10-$AL8)*$AL6/$AL8)</f>
        <v>512.71335922203446</v>
      </c>
      <c r="AM12" s="822">
        <f>IF($AM8=0,0,($AM10-$AM8)*$AM6/$AM8)</f>
        <v>9.5251793757527042E-2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721" t="s">
        <v>200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512.71335922203446</v>
      </c>
      <c r="AK13" s="73">
        <f>+AK11+AK12</f>
        <v>9.5251793757527042E-2</v>
      </c>
      <c r="AL13" s="73">
        <f>+AL11+AL12</f>
        <v>512.71335922203446</v>
      </c>
      <c r="AM13" s="73">
        <f>+AM11+AM12</f>
        <v>9.5251793757527042E-2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387" t="s">
        <v>186</v>
      </c>
      <c r="C14" s="387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199</v>
      </c>
      <c r="V14" s="45" t="str">
        <f>"Enveloppe "&amp; TEXT(An,0)</f>
        <v>Enveloppe 2020</v>
      </c>
      <c r="W14" s="120"/>
      <c r="X14" s="257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0" t="s">
        <v>99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56">
        <f>DATE(An,1,1)</f>
        <v>43831</v>
      </c>
      <c r="B15" s="606">
        <v>15.715</v>
      </c>
      <c r="C15" s="388"/>
      <c r="D15" s="391">
        <f t="shared" ref="D15:D78" si="0">Wh/(1-Ppv)</f>
        <v>15.816218965764593</v>
      </c>
      <c r="E15" s="383">
        <f t="shared" ref="E15:E79" si="1">Wh_pvt/(1-Psa)</f>
        <v>16.333097083348875</v>
      </c>
      <c r="F15" s="383">
        <f t="shared" ref="F15:F78" si="2">Wh_sa/(1-Pvg*MEDIAN((-Sdif+Wh/Env_an)/Csdif,0,1))</f>
        <v>16.33370510428815</v>
      </c>
      <c r="G15" s="110">
        <f>+Wh_hp/MaxiM</f>
        <v>0.57132645571327445</v>
      </c>
      <c r="H15" s="412" t="b">
        <f>Wh_hp&gt;='2019'!Maxi_hp</f>
        <v>1</v>
      </c>
      <c r="I15" s="394">
        <f>IF(H15,Wh_hp,'2019'!Maxi_hp)</f>
        <v>16.33370510428815</v>
      </c>
      <c r="J15" s="84">
        <f>IF(H15,An,'2019'!An_max)</f>
        <v>2020</v>
      </c>
      <c r="K15" s="197">
        <f t="shared" ref="K15:K78" si="3">t</f>
        <v>43831</v>
      </c>
      <c r="L15" s="146">
        <f>IF(t&lt;Tvie,1-EXP((T0-t)*PertePVj)+'2019'!Pspv,1-EXP((T0-t)*PertePVj)+Pspv)</f>
        <v>6.3996942621804553E-3</v>
      </c>
      <c r="M15" s="833"/>
      <c r="N15" s="833"/>
      <c r="O15" s="420">
        <f>IF(t&lt;Tnet,'2019'!Resal+('2019'!Salim-'2019'!Resal)*(1-EXP(('2019'!Tnet-t)/('2019'!Tau_j))),Resal+(Salim-Resal)*(1-EXP((Tnet-t)/(Tau_j))))*Salcycl</f>
        <v>3.1646056773349203E-2</v>
      </c>
      <c r="P15" s="301">
        <f>(INDEX(Models!$BJ15:$BT15,,T15)*(1-R15)+INDEX(Models!$BJ15:$BT15,,T15+1)*R15-ERP_i)*Q15*Ramure*Pc/MaxiM</f>
        <v>9.6025361296340166E-5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0.99911365577730504</v>
      </c>
      <c r="S15" s="798">
        <f t="shared" ref="S15:S78" si="6">INDEX(Echel_vg,T15)</f>
        <v>-2</v>
      </c>
      <c r="T15" s="248">
        <f t="shared" ref="T15:T78" si="7">MIN(MATCH(Hp_vg,Echel_vg),10)</f>
        <v>4</v>
      </c>
      <c r="U15" s="249">
        <f>IF(OR(t&lt;Ttai,Notai),Hdd+PousH*Croivg,Hdtf+PousH*(Croivg-Croi_tai))</f>
        <v>-1.000886344222695</v>
      </c>
      <c r="V15" s="381">
        <f t="shared" ref="V15:V78" si="8">MaxiM*(1-Ppv)*(1-Pvg)*(1-Psa)</f>
        <v>27.504547985824477</v>
      </c>
      <c r="W15" s="421"/>
      <c r="X15" s="422">
        <f t="shared" ref="X15:X78" si="9">t</f>
        <v>43831</v>
      </c>
      <c r="Y15" s="383">
        <f t="shared" ref="Y15:Y78" si="10">Wh_pvt_s*(1-Ppv)</f>
        <v>15.715</v>
      </c>
      <c r="Z15" s="383">
        <f t="shared" ref="Z15:Z78" si="11">Wh_sa_s*(1-Psa_s)</f>
        <v>15.816218965764593</v>
      </c>
      <c r="AA15" s="384">
        <f t="shared" ref="AA15:AA78" si="12">Wh_hp*(1-Pvg_s*MEDIAN((-Sdif+Wh/Env_an)/Csdif,0,1))</f>
        <v>16.333097083348875</v>
      </c>
      <c r="AB15" s="423">
        <f t="shared" ref="AB15:AB78" si="13">t</f>
        <v>43831</v>
      </c>
      <c r="AC15" s="424">
        <f>IF(OR(t&lt;Tnet,NoTnet),'2019'!Resal_s+('2019'!Salim-'2019'!Resal_s)*(1-EXP(('2019'!Tnet_s-t)/'2019'!Tau_j)),Resal_s+(Salim-Resal_s)*(1-EXP((Tnet_s-t)/Tau_j)))*Salcycl</f>
        <v>3.1646056773349203E-2</v>
      </c>
      <c r="AD15" s="230">
        <f>(INDEX(Models!$BJ15:$BT15,,AH15)*(1-AF15)+INDEX(Models!$BJ15:$BT15,,AH15+1)*AF15-ERP_i)*AE15*Ramure*Pc/MaxiM</f>
        <v>9.6025361296340166E-5</v>
      </c>
      <c r="AE15" s="302">
        <f t="shared" ref="AE15:AE78" si="14">IF(OR(t&lt;Ttai,Notai),Dd_s+PousD*Croivg,Dens_s+PousD*(Croivg-Croi_tai))</f>
        <v>0.6</v>
      </c>
      <c r="AF15" s="303">
        <f t="shared" ref="AF15:AF78" si="15">(Hp_vg_s-AG15)/(INDEX(Echel_vg,AH15+1)-AG15)</f>
        <v>0.99911365577730504</v>
      </c>
      <c r="AG15" s="248">
        <f t="shared" ref="AG15:AG78" si="16">INDEX(Echel_vg,AH15)</f>
        <v>-2</v>
      </c>
      <c r="AH15" s="248">
        <f t="shared" ref="AH15:AH78" si="17">MIN(MATCH(Hp_vg_s,Echel_vg),10)</f>
        <v>4</v>
      </c>
      <c r="AI15" s="223">
        <f>IF(OR(t&lt;Ttai,Notai),Hdd_s+PousH*Croivg,Hdtai_s+PousH*(Croivg-Croi_tai))</f>
        <v>-1.000886344222695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20">A15+1</f>
        <v>43832</v>
      </c>
      <c r="B16" s="607">
        <v>26.648</v>
      </c>
      <c r="C16" s="388"/>
      <c r="D16" s="391">
        <f t="shared" si="0"/>
        <v>26.820151482179622</v>
      </c>
      <c r="E16" s="383">
        <f t="shared" si="1"/>
        <v>27.698390910979104</v>
      </c>
      <c r="F16" s="383">
        <f t="shared" si="2"/>
        <v>27.700774451172606</v>
      </c>
      <c r="G16" s="110">
        <f>+Wh_hp/MaxiM</f>
        <v>0.9638635531966866</v>
      </c>
      <c r="H16" s="412" t="b">
        <f>Wh_hp&gt;='2019'!Maxi_hp</f>
        <v>1</v>
      </c>
      <c r="I16" s="388">
        <f>IF(H16,Wh_hp,'2019'!Maxi_hp)</f>
        <v>27.700774451172606</v>
      </c>
      <c r="J16" s="85">
        <f>IF(H16,An,'2019'!An_max)</f>
        <v>2020</v>
      </c>
      <c r="K16" s="197">
        <f t="shared" si="3"/>
        <v>43832</v>
      </c>
      <c r="L16" s="147">
        <f>IF(t&lt;Tvie,1-EXP((T0-t)*PertePVj)+'2019'!Pspv,1-EXP((T0-t)*PertePVj)+Pspv)</f>
        <v>6.4187363853632773E-3</v>
      </c>
      <c r="M16" s="832"/>
      <c r="N16" s="832"/>
      <c r="O16" s="48">
        <f>IF(t&lt;Tnet,'2019'!Resal+('2019'!Salim-'2019'!Resal)*(1-EXP(('2019'!Tnet-t)/('2019'!Tau_j))),Resal+(Salim-Resal)*(1-EXP((Tnet-t)/(Tau_j))))*Salcycl</f>
        <v>3.1707236410305921E-2</v>
      </c>
      <c r="P16" s="169">
        <f>(INDEX(Models!$BJ16:$BT16,,T16)*(1-R16)+INDEX(Models!$BJ16:$BT16,,T16+1)*R16-ERP_i)*Q16*Ramure*Pc/MaxiM</f>
        <v>9.0729147322307123E-5</v>
      </c>
      <c r="Q16" s="304">
        <f t="shared" si="4"/>
        <v>0.6</v>
      </c>
      <c r="R16" s="177">
        <f t="shared" si="5"/>
        <v>0.99914287039129945</v>
      </c>
      <c r="S16" s="799">
        <f t="shared" si="6"/>
        <v>-2</v>
      </c>
      <c r="T16" s="176">
        <f t="shared" si="7"/>
        <v>4</v>
      </c>
      <c r="U16" s="250">
        <f t="shared" ref="U16:U78" si="21">IF(OR(t&lt;Ttai,Notai),Hdd+PousH*Croivg,Hdtf+PousH*(Croivg-Croi_tai))</f>
        <v>-1.0008571296087005</v>
      </c>
      <c r="V16" s="382">
        <f t="shared" si="8"/>
        <v>27.646937270064765</v>
      </c>
      <c r="W16" s="58"/>
      <c r="X16" s="157">
        <f t="shared" si="9"/>
        <v>43832</v>
      </c>
      <c r="Y16" s="383">
        <f t="shared" si="10"/>
        <v>26.648</v>
      </c>
      <c r="Z16" s="383">
        <f t="shared" si="11"/>
        <v>26.820151482179622</v>
      </c>
      <c r="AA16" s="384">
        <f t="shared" si="12"/>
        <v>27.698390910979104</v>
      </c>
      <c r="AB16" s="197">
        <f t="shared" si="13"/>
        <v>43832</v>
      </c>
      <c r="AC16" s="424">
        <f>IF(OR(t&lt;Tnet,NoTnet),'2019'!Resal_s+('2019'!Salim-'2019'!Resal_s)*(1-EXP(('2019'!Tnet_s-t)/'2019'!Tau_j)),Resal_s+(Salim-Resal_s)*(1-EXP((Tnet_s-t)/Tau_j)))*Salcycl</f>
        <v>3.1707236410305921E-2</v>
      </c>
      <c r="AD16" s="230">
        <f>(INDEX(Models!$BJ16:$BT16,,AH16)*(1-AF16)+INDEX(Models!$BJ16:$BT16,,AH16+1)*AF16-ERP_i)*AE16*Ramure*Pc/MaxiM</f>
        <v>9.0729147322307123E-5</v>
      </c>
      <c r="AE16" s="304">
        <f t="shared" si="14"/>
        <v>0.6</v>
      </c>
      <c r="AF16" s="177">
        <f t="shared" si="15"/>
        <v>0.99914287039129945</v>
      </c>
      <c r="AG16" s="176">
        <f t="shared" si="16"/>
        <v>-2</v>
      </c>
      <c r="AH16" s="176">
        <f t="shared" si="17"/>
        <v>4</v>
      </c>
      <c r="AI16" s="224">
        <f t="shared" ref="AI16:AI78" si="22">IF(OR(t&lt;Ttai,Notai),Hdd_s+PousH*Croivg,Hdtai_s+PousH*(Croivg-Croi_tai))</f>
        <v>-1.0008571296087005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20"/>
        <v>43833</v>
      </c>
      <c r="B17" s="607">
        <v>8.2409999999999997</v>
      </c>
      <c r="C17" s="388"/>
      <c r="D17" s="391">
        <f t="shared" si="0"/>
        <v>8.2943974908811935</v>
      </c>
      <c r="E17" s="383">
        <f>Wh_pvt/(1-Psa)</f>
        <v>8.5665430766861146</v>
      </c>
      <c r="F17" s="383">
        <f t="shared" si="2"/>
        <v>8.5665430766861146</v>
      </c>
      <c r="G17" s="110">
        <f t="shared" ref="G17:G79" si="23">+Wh_hp/MaxiM</f>
        <v>0.29642385567574053</v>
      </c>
      <c r="H17" s="412" t="b">
        <f>Wh_hp&gt;='2019'!Maxi_hp</f>
        <v>1</v>
      </c>
      <c r="I17" s="388">
        <f>IF(H17,Wh_hp,'2019'!Maxi_hp)</f>
        <v>8.5665430766861146</v>
      </c>
      <c r="J17" s="85">
        <f>IF(H17,An,'2019'!An_max)</f>
        <v>2020</v>
      </c>
      <c r="K17" s="197">
        <f t="shared" si="3"/>
        <v>43833</v>
      </c>
      <c r="L17" s="147">
        <f>IF(t&lt;Tvie,1-EXP((T0-t)*PertePVj)+'2019'!Pspv,1-EXP((T0-t)*PertePVj)+Pspv)</f>
        <v>6.4377781436081305E-3</v>
      </c>
      <c r="M17" s="832"/>
      <c r="N17" s="832"/>
      <c r="O17" s="48">
        <f>IF(t&lt;Tnet,'2019'!Resal+('2019'!Salim-'2019'!Resal)*(1-EXP(('2019'!Tnet-t)/('2019'!Tau_j))),Resal+(Salim-Resal)*(1-EXP((Tnet-t)/(Tau_j))))*Salcycl</f>
        <v>3.1768425532764419E-2</v>
      </c>
      <c r="P17" s="169">
        <f>(INDEX(Models!$BJ17:$BT17,,T17)*(1-R17)+INDEX(Models!$BJ17:$BT17,,T17+1)*R17-ERP_i)*Q17*Ramure*Pc/MaxiM</f>
        <v>8.5548745328325454E-5</v>
      </c>
      <c r="Q17" s="304">
        <f t="shared" si="4"/>
        <v>0.6</v>
      </c>
      <c r="R17" s="177">
        <f t="shared" si="5"/>
        <v>0.99917330698678897</v>
      </c>
      <c r="S17" s="799">
        <f t="shared" si="6"/>
        <v>-2</v>
      </c>
      <c r="T17" s="176">
        <f t="shared" si="7"/>
        <v>4</v>
      </c>
      <c r="U17" s="250">
        <f t="shared" si="21"/>
        <v>-1.000826693013211</v>
      </c>
      <c r="V17" s="382">
        <f t="shared" si="8"/>
        <v>27.799027760450723</v>
      </c>
      <c r="W17" s="58"/>
      <c r="X17" s="157">
        <f t="shared" si="9"/>
        <v>43833</v>
      </c>
      <c r="Y17" s="383">
        <f t="shared" si="10"/>
        <v>8.2409999999999997</v>
      </c>
      <c r="Z17" s="383">
        <f t="shared" si="11"/>
        <v>8.2943974908811935</v>
      </c>
      <c r="AA17" s="384">
        <f t="shared" si="12"/>
        <v>8.5665430766861146</v>
      </c>
      <c r="AB17" s="197">
        <f t="shared" si="13"/>
        <v>43833</v>
      </c>
      <c r="AC17" s="424">
        <f>IF(OR(t&lt;Tnet,NoTnet),'2019'!Resal_s+('2019'!Salim-'2019'!Resal_s)*(1-EXP(('2019'!Tnet_s-t)/'2019'!Tau_j)),Resal_s+(Salim-Resal_s)*(1-EXP((Tnet_s-t)/Tau_j)))*Salcycl</f>
        <v>3.1768425532764419E-2</v>
      </c>
      <c r="AD17" s="230">
        <f>(INDEX(Models!$BJ17:$BT17,,AH17)*(1-AF17)+INDEX(Models!$BJ17:$BT17,,AH17+1)*AF17-ERP_i)*AE17*Ramure*Pc/MaxiM</f>
        <v>8.5548745328325454E-5</v>
      </c>
      <c r="AE17" s="304">
        <f t="shared" si="14"/>
        <v>0.6</v>
      </c>
      <c r="AF17" s="177">
        <f t="shared" si="15"/>
        <v>0.99917330698678897</v>
      </c>
      <c r="AG17" s="176">
        <f t="shared" si="16"/>
        <v>-2</v>
      </c>
      <c r="AH17" s="176">
        <f t="shared" si="17"/>
        <v>4</v>
      </c>
      <c r="AI17" s="224">
        <f t="shared" si="22"/>
        <v>-1.000826693013211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20"/>
        <v>43834</v>
      </c>
      <c r="B18" s="607">
        <v>6.4390000000000001</v>
      </c>
      <c r="C18" s="388"/>
      <c r="D18" s="391">
        <f t="shared" si="0"/>
        <v>6.4808456508139516</v>
      </c>
      <c r="E18" s="383">
        <f>Wh_pvt/(1-Psa)</f>
        <v>6.6939102514996049</v>
      </c>
      <c r="F18" s="383">
        <f t="shared" si="2"/>
        <v>6.6939102514996049</v>
      </c>
      <c r="G18" s="110">
        <f>+Wh_hp/MaxiM</f>
        <v>0.23026970090389215</v>
      </c>
      <c r="H18" s="412" t="b">
        <f>Wh_hp&gt;='2019'!Maxi_hp</f>
        <v>1</v>
      </c>
      <c r="I18" s="388">
        <f>IF(H18,Wh_hp,'2019'!Maxi_hp)</f>
        <v>6.6939102514996049</v>
      </c>
      <c r="J18" s="85">
        <f>IF(H18,An,'2019'!An_max)</f>
        <v>2020</v>
      </c>
      <c r="K18" s="197">
        <f>t</f>
        <v>43834</v>
      </c>
      <c r="L18" s="147">
        <f>IF(t&lt;Tvie,1-EXP((T0-t)*PertePVj)+'2019'!Pspv,1-EXP((T0-t)*PertePVj)+Pspv)</f>
        <v>6.4568195369220094E-3</v>
      </c>
      <c r="M18" s="832"/>
      <c r="N18" s="832"/>
      <c r="O18" s="48">
        <f>IF(t&lt;Tnet,'2019'!Resal+('2019'!Salim-'2019'!Resal)*(1-EXP(('2019'!Tnet-t)/('2019'!Tau_j))),Resal+(Salim-Resal)*(1-EXP((Tnet-t)/(Tau_j))))*Salcycl</f>
        <v>3.1829617171506272E-2</v>
      </c>
      <c r="P18" s="169">
        <f>(INDEX(Models!$BJ18:$BT18,,T18)*(1-R18)+INDEX(Models!$BJ18:$BT18,,T18+1)*R18-ERP_i)*Q18*Ramure*Pc/MaxiM</f>
        <v>8.0486892387100726E-5</v>
      </c>
      <c r="Q18" s="304">
        <f>IF(OR(t&lt;Ttai,Notai),Dd+PousD*Croivg,Dens+PousD*(Croivg-Croi_tai))</f>
        <v>0.6</v>
      </c>
      <c r="R18" s="177">
        <f t="shared" si="5"/>
        <v>0.99920501651808413</v>
      </c>
      <c r="S18" s="799">
        <f t="shared" si="6"/>
        <v>-2</v>
      </c>
      <c r="T18" s="176">
        <f t="shared" si="7"/>
        <v>4</v>
      </c>
      <c r="U18" s="250">
        <f t="shared" si="21"/>
        <v>-1.0007949834819159</v>
      </c>
      <c r="V18" s="382">
        <f t="shared" si="8"/>
        <v>27.960611924306765</v>
      </c>
      <c r="W18" s="58"/>
      <c r="X18" s="157">
        <f t="shared" si="9"/>
        <v>43834</v>
      </c>
      <c r="Y18" s="383">
        <f t="shared" si="10"/>
        <v>6.4390000000000001</v>
      </c>
      <c r="Z18" s="383">
        <f>Wh_sa_s*(1-Psa_s)</f>
        <v>6.4808456508139516</v>
      </c>
      <c r="AA18" s="384">
        <f t="shared" si="12"/>
        <v>6.6939102514996049</v>
      </c>
      <c r="AB18" s="197">
        <f>t</f>
        <v>43834</v>
      </c>
      <c r="AC18" s="424">
        <f>IF(OR(t&lt;Tnet,NoTnet),'2019'!Resal_s+('2019'!Salim-'2019'!Resal_s)*(1-EXP(('2019'!Tnet_s-t)/'2019'!Tau_j)),Resal_s+(Salim-Resal_s)*(1-EXP((Tnet_s-t)/Tau_j)))*Salcycl</f>
        <v>3.1829617171506272E-2</v>
      </c>
      <c r="AD18" s="230">
        <f>(INDEX(Models!$BJ18:$BT18,,AH18)*(1-AF18)+INDEX(Models!$BJ18:$BT18,,AH18+1)*AF18-ERP_i)*AE18*Ramure*Pc/MaxiM</f>
        <v>8.0486892387100726E-5</v>
      </c>
      <c r="AE18" s="304">
        <f t="shared" si="14"/>
        <v>0.6</v>
      </c>
      <c r="AF18" s="177">
        <f t="shared" si="15"/>
        <v>0.99920501651808413</v>
      </c>
      <c r="AG18" s="176">
        <f t="shared" si="16"/>
        <v>-2</v>
      </c>
      <c r="AH18" s="176">
        <f t="shared" si="17"/>
        <v>4</v>
      </c>
      <c r="AI18" s="224">
        <f t="shared" si="22"/>
        <v>-1.0007949834819159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20"/>
        <v>43835</v>
      </c>
      <c r="B19" s="607">
        <v>13.247</v>
      </c>
      <c r="C19" s="388"/>
      <c r="D19" s="391">
        <f t="shared" si="0"/>
        <v>13.333344882327166</v>
      </c>
      <c r="E19" s="383">
        <f>Wh_pvt/(1-Psa)</f>
        <v>13.772563007131636</v>
      </c>
      <c r="F19" s="383">
        <f t="shared" si="2"/>
        <v>13.772817027351078</v>
      </c>
      <c r="G19" s="110">
        <f>+Wh_hp/MaxiM</f>
        <v>0.47086902227928906</v>
      </c>
      <c r="H19" s="412" t="b">
        <f>Wh_hp&gt;='2019'!Maxi_hp</f>
        <v>1</v>
      </c>
      <c r="I19" s="388">
        <f>IF(H19,Wh_hp,'2019'!Maxi_hp)</f>
        <v>13.772817027351078</v>
      </c>
      <c r="J19" s="85">
        <f>IF(H19,An,'2019'!An_max)</f>
        <v>2020</v>
      </c>
      <c r="K19" s="197">
        <f t="shared" si="3"/>
        <v>43835</v>
      </c>
      <c r="L19" s="147">
        <f>IF(t&lt;Tvie,1-EXP((T0-t)*PertePVj)+'2019'!Pspv,1-EXP((T0-t)*PertePVj)+Pspv)</f>
        <v>6.4758605653119083E-3</v>
      </c>
      <c r="M19" s="832"/>
      <c r="N19" s="832"/>
      <c r="O19" s="48">
        <f>IF(t&lt;Tnet,'2019'!Resal+('2019'!Salim-'2019'!Resal)*(1-EXP(('2019'!Tnet-t)/('2019'!Tau_j))),Resal+(Salim-Resal)*(1-EXP((Tnet-t)/(Tau_j))))*Salcycl</f>
        <v>3.1890805260940569E-2</v>
      </c>
      <c r="P19" s="169">
        <f>(INDEX(Models!$BJ19:$BT19,,T19)*(1-R19)+INDEX(Models!$BJ19:$BT19,,T19+1)*R19-ERP_i)*Q19*Ramure*Pc/MaxiM</f>
        <v>7.5546069637889162E-5</v>
      </c>
      <c r="Q19" s="304">
        <f t="shared" si="4"/>
        <v>0.6</v>
      </c>
      <c r="R19" s="177">
        <f t="shared" si="5"/>
        <v>0.99923805205064564</v>
      </c>
      <c r="S19" s="799">
        <f t="shared" si="6"/>
        <v>-2</v>
      </c>
      <c r="T19" s="176">
        <f t="shared" si="7"/>
        <v>4</v>
      </c>
      <c r="U19" s="250">
        <f t="shared" si="21"/>
        <v>-1.0007619479493544</v>
      </c>
      <c r="V19" s="382">
        <f t="shared" si="8"/>
        <v>28.13148226529902</v>
      </c>
      <c r="W19" s="58"/>
      <c r="X19" s="157">
        <f t="shared" si="9"/>
        <v>43835</v>
      </c>
      <c r="Y19" s="383">
        <f t="shared" si="10"/>
        <v>13.247</v>
      </c>
      <c r="Z19" s="383">
        <f t="shared" si="11"/>
        <v>13.333344882327166</v>
      </c>
      <c r="AA19" s="384">
        <f t="shared" si="12"/>
        <v>13.772563007131636</v>
      </c>
      <c r="AB19" s="197">
        <f t="shared" si="13"/>
        <v>43835</v>
      </c>
      <c r="AC19" s="424">
        <f>IF(OR(t&lt;Tnet,NoTnet),'2019'!Resal_s+('2019'!Salim-'2019'!Resal_s)*(1-EXP(('2019'!Tnet_s-t)/'2019'!Tau_j)),Resal_s+(Salim-Resal_s)*(1-EXP((Tnet_s-t)/Tau_j)))*Salcycl</f>
        <v>3.1890805260940569E-2</v>
      </c>
      <c r="AD19" s="230">
        <f>(INDEX(Models!$BJ19:$BT19,,AH19)*(1-AF19)+INDEX(Models!$BJ19:$BT19,,AH19+1)*AF19-ERP_i)*AE19*Ramure*Pc/MaxiM</f>
        <v>7.5546069637889162E-5</v>
      </c>
      <c r="AE19" s="304">
        <f t="shared" si="14"/>
        <v>0.6</v>
      </c>
      <c r="AF19" s="177">
        <f t="shared" si="15"/>
        <v>0.99923805205064564</v>
      </c>
      <c r="AG19" s="176">
        <f t="shared" si="16"/>
        <v>-2</v>
      </c>
      <c r="AH19" s="176">
        <f t="shared" si="17"/>
        <v>4</v>
      </c>
      <c r="AI19" s="224">
        <f t="shared" si="22"/>
        <v>-1.0007619479493544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20"/>
        <v>43836</v>
      </c>
      <c r="B20" s="607">
        <v>28.803000000000001</v>
      </c>
      <c r="C20" s="388"/>
      <c r="D20" s="391">
        <f t="shared" si="0"/>
        <v>28.991295601425769</v>
      </c>
      <c r="E20" s="383">
        <f t="shared" si="1"/>
        <v>29.948200028039473</v>
      </c>
      <c r="F20" s="383">
        <f t="shared" si="2"/>
        <v>29.950318368832068</v>
      </c>
      <c r="G20" s="110">
        <f t="shared" si="23"/>
        <v>1.0173629041329195</v>
      </c>
      <c r="H20" s="412" t="b">
        <f>Wh_hp&gt;='2019'!Maxi_hp</f>
        <v>1</v>
      </c>
      <c r="I20" s="388">
        <f>IF(H20,Wh_hp,'2019'!Maxi_hp)</f>
        <v>29.950318368832068</v>
      </c>
      <c r="J20" s="85">
        <f>IF(H20,An,'2019'!An_max)</f>
        <v>2020</v>
      </c>
      <c r="K20" s="197">
        <f t="shared" si="3"/>
        <v>43836</v>
      </c>
      <c r="L20" s="147">
        <f>IF(t&lt;Tvie,1-EXP((T0-t)*PertePVj)+'2019'!Pspv,1-EXP((T0-t)*PertePVj)+Pspv)</f>
        <v>6.4949012287849328E-3</v>
      </c>
      <c r="M20" s="832"/>
      <c r="N20" s="832"/>
      <c r="O20" s="48">
        <f>IF(t&lt;Tnet,'2019'!Resal+('2019'!Salim-'2019'!Resal)*(1-EXP(('2019'!Tnet-t)/('2019'!Tau_j))),Resal+(Salim-Resal)*(1-EXP((Tnet-t)/(Tau_j))))*Salcycl</f>
        <v>3.1951984617365578E-2</v>
      </c>
      <c r="P20" s="169">
        <f>(INDEX(Models!$BJ20:$BT20,,T20)*(1-R20)+INDEX(Models!$BJ20:$BT20,,T20+1)*R20-ERP_i)*Q20*Ramure*Pc/MaxiM</f>
        <v>7.0728489978290232E-5</v>
      </c>
      <c r="Q20" s="304">
        <f t="shared" si="4"/>
        <v>0.6</v>
      </c>
      <c r="R20" s="177">
        <f t="shared" si="5"/>
        <v>0.9992724688473964</v>
      </c>
      <c r="S20" s="799">
        <f t="shared" si="6"/>
        <v>-2</v>
      </c>
      <c r="T20" s="176">
        <f t="shared" si="7"/>
        <v>4</v>
      </c>
      <c r="U20" s="250">
        <f t="shared" si="21"/>
        <v>-1.0007275311526036</v>
      </c>
      <c r="V20" s="382">
        <f t="shared" si="8"/>
        <v>28.311431331918175</v>
      </c>
      <c r="W20" s="58"/>
      <c r="X20" s="157">
        <f t="shared" si="9"/>
        <v>43836</v>
      </c>
      <c r="Y20" s="383">
        <f t="shared" si="10"/>
        <v>28.803000000000001</v>
      </c>
      <c r="Z20" s="383">
        <f t="shared" si="11"/>
        <v>28.991295601425769</v>
      </c>
      <c r="AA20" s="384">
        <f t="shared" si="12"/>
        <v>29.948200028039473</v>
      </c>
      <c r="AB20" s="197">
        <f t="shared" si="13"/>
        <v>43836</v>
      </c>
      <c r="AC20" s="424">
        <f>IF(OR(t&lt;Tnet,NoTnet),'2019'!Resal_s+('2019'!Salim-'2019'!Resal_s)*(1-EXP(('2019'!Tnet_s-t)/'2019'!Tau_j)),Resal_s+(Salim-Resal_s)*(1-EXP((Tnet_s-t)/Tau_j)))*Salcycl</f>
        <v>3.1951984617365578E-2</v>
      </c>
      <c r="AD20" s="230">
        <f>(INDEX(Models!$BJ20:$BT20,,AH20)*(1-AF20)+INDEX(Models!$BJ20:$BT20,,AH20+1)*AF20-ERP_i)*AE20*Ramure*Pc/MaxiM</f>
        <v>7.0728489978290232E-5</v>
      </c>
      <c r="AE20" s="304">
        <f>IF(OR(t&lt;Ttai,Notai),Dd_s+PousD*Croivg,Dens_s+PousD*(Croivg-Croi_tai))</f>
        <v>0.6</v>
      </c>
      <c r="AF20" s="177">
        <f t="shared" si="15"/>
        <v>0.9992724688473964</v>
      </c>
      <c r="AG20" s="176">
        <f t="shared" si="16"/>
        <v>-2</v>
      </c>
      <c r="AH20" s="176">
        <f t="shared" si="17"/>
        <v>4</v>
      </c>
      <c r="AI20" s="224">
        <f>IF(OR(t&lt;Ttai,Notai),Hdd_s+PousH*Croivg,Hdtai_s+PousH*(Croivg-Croi_tai))</f>
        <v>-1.0007275311526036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20"/>
        <v>43837</v>
      </c>
      <c r="B21" s="607">
        <v>7.194</v>
      </c>
      <c r="C21" s="388"/>
      <c r="D21" s="391">
        <f t="shared" si="0"/>
        <v>7.2411685485146959</v>
      </c>
      <c r="E21" s="383">
        <f t="shared" si="1"/>
        <v>7.4806476506582369</v>
      </c>
      <c r="F21" s="383">
        <f t="shared" si="2"/>
        <v>7.4806476506582369</v>
      </c>
      <c r="G21" s="110">
        <f t="shared" si="23"/>
        <v>0.25240215451519676</v>
      </c>
      <c r="H21" s="412" t="b">
        <f>Wh_hp&gt;='2019'!Maxi_hp</f>
        <v>1</v>
      </c>
      <c r="I21" s="388">
        <f>IF(H21,Wh_hp,'2019'!Maxi_hp)</f>
        <v>7.4806476506582369</v>
      </c>
      <c r="J21" s="85">
        <f>IF(H21,An,'2019'!An_max)</f>
        <v>2020</v>
      </c>
      <c r="K21" s="197">
        <f t="shared" si="3"/>
        <v>43837</v>
      </c>
      <c r="L21" s="147">
        <f>IF(t&lt;Tvie,1-EXP((T0-t)*PertePVj)+'2019'!Pspv,1-EXP((T0-t)*PertePVj)+Pspv)</f>
        <v>6.5139415273479662E-3</v>
      </c>
      <c r="M21" s="832"/>
      <c r="N21" s="832"/>
      <c r="O21" s="48">
        <f>IF(t&lt;Tnet,'2019'!Resal+('2019'!Salim-'2019'!Resal)*(1-EXP(('2019'!Tnet-t)/('2019'!Tau_j))),Resal+(Salim-Resal)*(1-EXP((Tnet-t)/(Tau_j))))*Salcycl</f>
        <v>3.201315090979704E-2</v>
      </c>
      <c r="P21" s="169">
        <f>(INDEX(Models!$BJ21:$BT21,,T21)*(1-R21)+INDEX(Models!$BJ21:$BT21,,T21+1)*R21-ERP_i)*Q21*Ramure*Pc/MaxiM</f>
        <v>6.6036088818631841E-5</v>
      </c>
      <c r="Q21" s="304">
        <f t="shared" si="4"/>
        <v>0.6</v>
      </c>
      <c r="R21" s="177">
        <f t="shared" si="5"/>
        <v>0.99930832445845952</v>
      </c>
      <c r="S21" s="799">
        <f t="shared" si="6"/>
        <v>-2</v>
      </c>
      <c r="T21" s="176">
        <f t="shared" si="7"/>
        <v>4</v>
      </c>
      <c r="U21" s="250">
        <f t="shared" si="21"/>
        <v>-1.0006916755415405</v>
      </c>
      <c r="V21" s="382">
        <f t="shared" si="8"/>
        <v>28.500251712169629</v>
      </c>
      <c r="W21" s="58"/>
      <c r="X21" s="157">
        <f t="shared" si="9"/>
        <v>43837</v>
      </c>
      <c r="Y21" s="383">
        <f t="shared" si="10"/>
        <v>7.194</v>
      </c>
      <c r="Z21" s="383">
        <f t="shared" si="11"/>
        <v>7.2411685485146959</v>
      </c>
      <c r="AA21" s="384">
        <f t="shared" si="12"/>
        <v>7.4806476506582369</v>
      </c>
      <c r="AB21" s="197">
        <f t="shared" si="13"/>
        <v>43837</v>
      </c>
      <c r="AC21" s="424">
        <f>IF(OR(t&lt;Tnet,NoTnet),'2019'!Resal_s+('2019'!Salim-'2019'!Resal_s)*(1-EXP(('2019'!Tnet_s-t)/'2019'!Tau_j)),Resal_s+(Salim-Resal_s)*(1-EXP((Tnet_s-t)/Tau_j)))*Salcycl</f>
        <v>3.201315090979704E-2</v>
      </c>
      <c r="AD21" s="230">
        <f>(INDEX(Models!$BJ21:$BT21,,AH21)*(1-AF21)+INDEX(Models!$BJ21:$BT21,,AH21+1)*AF21-ERP_i)*AE21*Ramure*Pc/MaxiM</f>
        <v>6.6036088818631841E-5</v>
      </c>
      <c r="AE21" s="304">
        <f t="shared" si="14"/>
        <v>0.6</v>
      </c>
      <c r="AF21" s="177">
        <f t="shared" si="15"/>
        <v>0.99930832445845952</v>
      </c>
      <c r="AG21" s="176">
        <f t="shared" si="16"/>
        <v>-2</v>
      </c>
      <c r="AH21" s="176">
        <f t="shared" si="17"/>
        <v>4</v>
      </c>
      <c r="AI21" s="224">
        <f t="shared" si="22"/>
        <v>-1.0006916755415405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20"/>
        <v>43838</v>
      </c>
      <c r="B22" s="607">
        <v>13.297000000000001</v>
      </c>
      <c r="C22" s="388"/>
      <c r="D22" s="391">
        <f t="shared" si="0"/>
        <v>13.384440300348144</v>
      </c>
      <c r="E22" s="383">
        <f t="shared" si="1"/>
        <v>13.827962527469987</v>
      </c>
      <c r="F22" s="383">
        <f t="shared" si="2"/>
        <v>13.828160882628978</v>
      </c>
      <c r="G22" s="110">
        <f t="shared" si="23"/>
        <v>0.46332481888463656</v>
      </c>
      <c r="H22" s="412" t="b">
        <f>Wh_hp&gt;='2019'!Maxi_hp</f>
        <v>1</v>
      </c>
      <c r="I22" s="388">
        <f>IF(H22,Wh_hp,'2019'!Maxi_hp)</f>
        <v>13.828160882628978</v>
      </c>
      <c r="J22" s="85">
        <f>IF(H22,An,'2019'!An_max)</f>
        <v>2020</v>
      </c>
      <c r="K22" s="197">
        <f t="shared" si="3"/>
        <v>43838</v>
      </c>
      <c r="L22" s="147">
        <f>IF(t&lt;Tvie,1-EXP((T0-t)*PertePVj)+'2019'!Pspv,1-EXP((T0-t)*PertePVj)+Pspv)</f>
        <v>6.5329814610080028E-3</v>
      </c>
      <c r="M22" s="832"/>
      <c r="N22" s="832"/>
      <c r="O22" s="48">
        <f>IF(t&lt;Tnet,'2019'!Resal+('2019'!Salim-'2019'!Resal)*(1-EXP(('2019'!Tnet-t)/('2019'!Tau_j))),Resal+(Salim-Resal)*(1-EXP((Tnet-t)/(Tau_j))))*Salcycl</f>
        <v>3.207430062388178E-2</v>
      </c>
      <c r="P22" s="169">
        <f>(INDEX(Models!$BJ22:$BT22,,T22)*(1-R22)+INDEX(Models!$BJ22:$BT22,,T22+1)*R22-ERP_i)*Q22*Ramure*Pc/MaxiM</f>
        <v>6.1470517796994971E-5</v>
      </c>
      <c r="Q22" s="304">
        <f t="shared" si="4"/>
        <v>0.6</v>
      </c>
      <c r="R22" s="177">
        <f t="shared" si="5"/>
        <v>0.99934567881445679</v>
      </c>
      <c r="S22" s="799">
        <f t="shared" si="6"/>
        <v>-2</v>
      </c>
      <c r="T22" s="176">
        <f t="shared" si="7"/>
        <v>4</v>
      </c>
      <c r="U22" s="250">
        <f t="shared" si="21"/>
        <v>-1.0006543211855432</v>
      </c>
      <c r="V22" s="382">
        <f t="shared" si="8"/>
        <v>28.697736040942861</v>
      </c>
      <c r="W22" s="58"/>
      <c r="X22" s="157">
        <f t="shared" si="9"/>
        <v>43838</v>
      </c>
      <c r="Y22" s="383">
        <f t="shared" si="10"/>
        <v>13.297000000000001</v>
      </c>
      <c r="Z22" s="383">
        <f t="shared" si="11"/>
        <v>13.384440300348144</v>
      </c>
      <c r="AA22" s="384">
        <f t="shared" si="12"/>
        <v>13.827962527469987</v>
      </c>
      <c r="AB22" s="197">
        <f t="shared" si="13"/>
        <v>43838</v>
      </c>
      <c r="AC22" s="424">
        <f>IF(OR(t&lt;Tnet,NoTnet),'2019'!Resal_s+('2019'!Salim-'2019'!Resal_s)*(1-EXP(('2019'!Tnet_s-t)/'2019'!Tau_j)),Resal_s+(Salim-Resal_s)*(1-EXP((Tnet_s-t)/Tau_j)))*Salcycl</f>
        <v>3.207430062388178E-2</v>
      </c>
      <c r="AD22" s="230">
        <f>(INDEX(Models!$BJ22:$BT22,,AH22)*(1-AF22)+INDEX(Models!$BJ22:$BT22,,AH22+1)*AF22-ERP_i)*AE22*Ramure*Pc/MaxiM</f>
        <v>6.1470517796994971E-5</v>
      </c>
      <c r="AE22" s="304">
        <f t="shared" si="14"/>
        <v>0.6</v>
      </c>
      <c r="AF22" s="177">
        <f t="shared" si="15"/>
        <v>0.99934567881445679</v>
      </c>
      <c r="AG22" s="176">
        <f t="shared" si="16"/>
        <v>-2</v>
      </c>
      <c r="AH22" s="176">
        <f t="shared" si="17"/>
        <v>4</v>
      </c>
      <c r="AI22" s="224">
        <f t="shared" si="22"/>
        <v>-1.0006543211855432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20"/>
        <v>43839</v>
      </c>
      <c r="B23" s="607">
        <v>28.14</v>
      </c>
      <c r="C23" s="388"/>
      <c r="D23" s="391">
        <f t="shared" si="0"/>
        <v>28.325589860446343</v>
      </c>
      <c r="E23" s="383">
        <f t="shared" si="1"/>
        <v>29.266067555590173</v>
      </c>
      <c r="F23" s="383">
        <f t="shared" si="2"/>
        <v>29.267673438612903</v>
      </c>
      <c r="G23" s="110">
        <f t="shared" si="23"/>
        <v>0.97349229921498814</v>
      </c>
      <c r="H23" s="412" t="b">
        <f>Wh_hp&gt;='2019'!Maxi_hp</f>
        <v>1</v>
      </c>
      <c r="I23" s="388">
        <f>IF(H23,Wh_hp,'2019'!Maxi_hp)</f>
        <v>29.267673438612903</v>
      </c>
      <c r="J23" s="85">
        <f>IF(H23,An,'2019'!An_max)</f>
        <v>2020</v>
      </c>
      <c r="K23" s="197">
        <f t="shared" si="3"/>
        <v>43839</v>
      </c>
      <c r="L23" s="147">
        <f>IF(t&lt;Tvie,1-EXP((T0-t)*PertePVj)+'2019'!Pspv,1-EXP((T0-t)*PertePVj)+Pspv)</f>
        <v>6.5520210297720372E-3</v>
      </c>
      <c r="M23" s="832"/>
      <c r="N23" s="832"/>
      <c r="O23" s="48">
        <f>IF(t&lt;Tnet,'2019'!Resal+('2019'!Salim-'2019'!Resal)*(1-EXP(('2019'!Tnet-t)/('2019'!Tau_j))),Resal+(Salim-Resal)*(1-EXP((Tnet-t)/(Tau_j))))*Salcycl</f>
        <v>3.2135431019470501E-2</v>
      </c>
      <c r="P23" s="169">
        <f>(INDEX(Models!$BJ23:$BT23,,T23)*(1-R23)+INDEX(Models!$BJ23:$BT23,,T23+1)*R23-ERP_i)*Q23*Ramure*Pc/MaxiM</f>
        <v>5.702821210942243E-5</v>
      </c>
      <c r="Q23" s="304">
        <f t="shared" si="4"/>
        <v>0.6</v>
      </c>
      <c r="R23" s="177">
        <f t="shared" si="5"/>
        <v>0.9993845943234918</v>
      </c>
      <c r="S23" s="799">
        <f t="shared" si="6"/>
        <v>-2</v>
      </c>
      <c r="T23" s="176">
        <f t="shared" si="7"/>
        <v>4</v>
      </c>
      <c r="U23" s="250">
        <f t="shared" si="21"/>
        <v>-1.0006154056765082</v>
      </c>
      <c r="V23" s="382">
        <f t="shared" si="8"/>
        <v>28.906175482197689</v>
      </c>
      <c r="W23" s="58"/>
      <c r="X23" s="157">
        <f t="shared" si="9"/>
        <v>43839</v>
      </c>
      <c r="Y23" s="383">
        <f t="shared" si="10"/>
        <v>28.14</v>
      </c>
      <c r="Z23" s="383">
        <f t="shared" si="11"/>
        <v>28.325589860446343</v>
      </c>
      <c r="AA23" s="384">
        <f t="shared" si="12"/>
        <v>29.266067555590173</v>
      </c>
      <c r="AB23" s="197">
        <f t="shared" si="13"/>
        <v>43839</v>
      </c>
      <c r="AC23" s="424">
        <f>IF(OR(t&lt;Tnet,NoTnet),'2019'!Resal_s+('2019'!Salim-'2019'!Resal_s)*(1-EXP(('2019'!Tnet_s-t)/'2019'!Tau_j)),Resal_s+(Salim-Resal_s)*(1-EXP((Tnet_s-t)/Tau_j)))*Salcycl</f>
        <v>3.2135431019470501E-2</v>
      </c>
      <c r="AD23" s="230">
        <f>(INDEX(Models!$BJ23:$BT23,,AH23)*(1-AF23)+INDEX(Models!$BJ23:$BT23,,AH23+1)*AF23-ERP_i)*AE23*Ramure*Pc/MaxiM</f>
        <v>5.702821210942243E-5</v>
      </c>
      <c r="AE23" s="304">
        <f t="shared" si="14"/>
        <v>0.6</v>
      </c>
      <c r="AF23" s="177">
        <f t="shared" si="15"/>
        <v>0.9993845943234918</v>
      </c>
      <c r="AG23" s="176">
        <f t="shared" si="16"/>
        <v>-2</v>
      </c>
      <c r="AH23" s="176">
        <f t="shared" si="17"/>
        <v>4</v>
      </c>
      <c r="AI23" s="224">
        <f t="shared" si="22"/>
        <v>-1.0006154056765082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20"/>
        <v>43840</v>
      </c>
      <c r="B24" s="607">
        <v>9.19</v>
      </c>
      <c r="C24" s="388"/>
      <c r="D24" s="391">
        <f t="shared" si="0"/>
        <v>9.2507874817512548</v>
      </c>
      <c r="E24" s="383">
        <f t="shared" si="1"/>
        <v>9.5585393779637595</v>
      </c>
      <c r="F24" s="383">
        <f t="shared" si="2"/>
        <v>9.5585505556592274</v>
      </c>
      <c r="G24" s="110">
        <f t="shared" si="23"/>
        <v>0.31549425311834511</v>
      </c>
      <c r="H24" s="412" t="b">
        <f>Wh_hp&gt;='2019'!Maxi_hp</f>
        <v>1</v>
      </c>
      <c r="I24" s="388">
        <f>IF(H24,Wh_hp,'2019'!Maxi_hp)</f>
        <v>9.5585505556592274</v>
      </c>
      <c r="J24" s="85">
        <f>IF(H24,An,'2019'!An_max)</f>
        <v>2020</v>
      </c>
      <c r="K24" s="197">
        <f t="shared" si="3"/>
        <v>43840</v>
      </c>
      <c r="L24" s="147">
        <f>IF(t&lt;Tvie,1-EXP((T0-t)*PertePVj)+'2019'!Pspv,1-EXP((T0-t)*PertePVj)+Pspv)</f>
        <v>6.5710602336470636E-3</v>
      </c>
      <c r="M24" s="832"/>
      <c r="N24" s="832"/>
      <c r="O24" s="48">
        <f>IF(t&lt;Tnet,'2019'!Resal+('2019'!Salim-'2019'!Resal)*(1-EXP(('2019'!Tnet-t)/('2019'!Tau_j))),Resal+(Salim-Resal)*(1-EXP((Tnet-t)/(Tau_j))))*Salcycl</f>
        <v>3.2196540082472878E-2</v>
      </c>
      <c r="P24" s="169">
        <f>(INDEX(Models!$BJ24:$BT24,,T24)*(1-R24)+INDEX(Models!$BJ24:$BT24,,T24+1)*R24-ERP_i)*Q24*Ramure*Pc/MaxiM</f>
        <v>5.2775393875543043E-5</v>
      </c>
      <c r="Q24" s="304">
        <f t="shared" si="4"/>
        <v>0.6</v>
      </c>
      <c r="R24" s="177">
        <f t="shared" si="5"/>
        <v>0.99942513597196148</v>
      </c>
      <c r="S24" s="799">
        <f t="shared" si="6"/>
        <v>-2</v>
      </c>
      <c r="T24" s="176">
        <f t="shared" si="7"/>
        <v>4</v>
      </c>
      <c r="U24" s="250">
        <f t="shared" si="21"/>
        <v>-1.0005748640280385</v>
      </c>
      <c r="V24" s="382">
        <f t="shared" si="8"/>
        <v>29.127395030057446</v>
      </c>
      <c r="W24" s="58"/>
      <c r="X24" s="157">
        <f t="shared" si="9"/>
        <v>43840</v>
      </c>
      <c r="Y24" s="383">
        <f t="shared" si="10"/>
        <v>9.19</v>
      </c>
      <c r="Z24" s="383">
        <f t="shared" si="11"/>
        <v>9.2507874817512548</v>
      </c>
      <c r="AA24" s="384">
        <f t="shared" si="12"/>
        <v>9.5585393779637595</v>
      </c>
      <c r="AB24" s="197">
        <f t="shared" si="13"/>
        <v>43840</v>
      </c>
      <c r="AC24" s="424">
        <f>IF(OR(t&lt;Tnet,NoTnet),'2019'!Resal_s+('2019'!Salim-'2019'!Resal_s)*(1-EXP(('2019'!Tnet_s-t)/'2019'!Tau_j)),Resal_s+(Salim-Resal_s)*(1-EXP((Tnet_s-t)/Tau_j)))*Salcycl</f>
        <v>3.2196540082472878E-2</v>
      </c>
      <c r="AD24" s="230">
        <f>(INDEX(Models!$BJ24:$BT24,,AH24)*(1-AF24)+INDEX(Models!$BJ24:$BT24,,AH24+1)*AF24-ERP_i)*AE24*Ramure*Pc/MaxiM</f>
        <v>5.2775393875543043E-5</v>
      </c>
      <c r="AE24" s="304">
        <f t="shared" si="14"/>
        <v>0.6</v>
      </c>
      <c r="AF24" s="177">
        <f t="shared" si="15"/>
        <v>0.99942513597196148</v>
      </c>
      <c r="AG24" s="176">
        <f t="shared" si="16"/>
        <v>-2</v>
      </c>
      <c r="AH24" s="176">
        <f t="shared" si="17"/>
        <v>4</v>
      </c>
      <c r="AI24" s="224">
        <f t="shared" si="22"/>
        <v>-1.0005748640280385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20"/>
        <v>43841</v>
      </c>
      <c r="B25" s="607">
        <v>28.687999999999999</v>
      </c>
      <c r="C25" s="388"/>
      <c r="D25" s="391">
        <f t="shared" si="0"/>
        <v>28.878310930079731</v>
      </c>
      <c r="E25" s="383">
        <f t="shared" si="1"/>
        <v>29.84090778704963</v>
      </c>
      <c r="F25" s="383">
        <f t="shared" si="2"/>
        <v>29.842314321550671</v>
      </c>
      <c r="G25" s="110">
        <f t="shared" si="23"/>
        <v>0.97709382244620646</v>
      </c>
      <c r="H25" s="412" t="b">
        <f>Wh_hp&gt;='2019'!Maxi_hp</f>
        <v>1</v>
      </c>
      <c r="I25" s="388">
        <f>IF(H25,Wh_hp,'2019'!Maxi_hp)</f>
        <v>29.842314321550671</v>
      </c>
      <c r="J25" s="85">
        <f>IF(H25,An,'2019'!An_max)</f>
        <v>2020</v>
      </c>
      <c r="K25" s="197">
        <f t="shared" si="3"/>
        <v>43841</v>
      </c>
      <c r="L25" s="147">
        <f>IF(t&lt;Tvie,1-EXP((T0-t)*PertePVj)+'2019'!Pspv,1-EXP((T0-t)*PertePVj)+Pspv)</f>
        <v>6.5900990726401876E-3</v>
      </c>
      <c r="M25" s="832"/>
      <c r="N25" s="832"/>
      <c r="O25" s="48">
        <f>IF(t&lt;Tnet,'2019'!Resal+('2019'!Salim-'2019'!Resal)*(1-EXP(('2019'!Tnet-t)/('2019'!Tau_j))),Resal+(Salim-Resal)*(1-EXP((Tnet-t)/(Tau_j))))*Salcycl</f>
        <v>3.2257626471660118E-2</v>
      </c>
      <c r="P25" s="169">
        <f>(INDEX(Models!$BJ25:$BT25,,T25)*(1-R25)+INDEX(Models!$BJ25:$BT25,,T25+1)*R25-ERP_i)*Q25*Ramure*Pc/MaxiM</f>
        <v>4.8726596606066234E-5</v>
      </c>
      <c r="Q25" s="304">
        <f t="shared" si="4"/>
        <v>0.6</v>
      </c>
      <c r="R25" s="177">
        <f t="shared" si="5"/>
        <v>0.9994673714293274</v>
      </c>
      <c r="S25" s="799">
        <f t="shared" si="6"/>
        <v>-2</v>
      </c>
      <c r="T25" s="176">
        <f t="shared" si="7"/>
        <v>4</v>
      </c>
      <c r="U25" s="250">
        <f t="shared" si="21"/>
        <v>-1.0005326285706726</v>
      </c>
      <c r="V25" s="382">
        <f t="shared" si="8"/>
        <v>29.360490875404579</v>
      </c>
      <c r="W25" s="58"/>
      <c r="X25" s="157">
        <f t="shared" si="9"/>
        <v>43841</v>
      </c>
      <c r="Y25" s="383">
        <f t="shared" si="10"/>
        <v>28.687999999999999</v>
      </c>
      <c r="Z25" s="383">
        <f t="shared" si="11"/>
        <v>28.878310930079731</v>
      </c>
      <c r="AA25" s="384">
        <f t="shared" si="12"/>
        <v>29.84090778704963</v>
      </c>
      <c r="AB25" s="197">
        <f t="shared" si="13"/>
        <v>43841</v>
      </c>
      <c r="AC25" s="424">
        <f>IF(OR(t&lt;Tnet,NoTnet),'2019'!Resal_s+('2019'!Salim-'2019'!Resal_s)*(1-EXP(('2019'!Tnet_s-t)/'2019'!Tau_j)),Resal_s+(Salim-Resal_s)*(1-EXP((Tnet_s-t)/Tau_j)))*Salcycl</f>
        <v>3.2257626471660118E-2</v>
      </c>
      <c r="AD25" s="230">
        <f>(INDEX(Models!$BJ25:$BT25,,AH25)*(1-AF25)+INDEX(Models!$BJ25:$BT25,,AH25+1)*AF25-ERP_i)*AE25*Ramure*Pc/MaxiM</f>
        <v>4.8726596606066234E-5</v>
      </c>
      <c r="AE25" s="304">
        <f t="shared" si="14"/>
        <v>0.6</v>
      </c>
      <c r="AF25" s="177">
        <f t="shared" si="15"/>
        <v>0.9994673714293274</v>
      </c>
      <c r="AG25" s="176">
        <f t="shared" si="16"/>
        <v>-2</v>
      </c>
      <c r="AH25" s="176">
        <f t="shared" si="17"/>
        <v>4</v>
      </c>
      <c r="AI25" s="224">
        <f t="shared" si="22"/>
        <v>-1.0005326285706726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20"/>
        <v>43842</v>
      </c>
      <c r="B26" s="607">
        <v>29.864999999999998</v>
      </c>
      <c r="C26" s="388"/>
      <c r="D26" s="391">
        <f t="shared" si="0"/>
        <v>30.063695096053618</v>
      </c>
      <c r="E26" s="383">
        <f t="shared" si="1"/>
        <v>31.067764530154747</v>
      </c>
      <c r="F26" s="383">
        <f t="shared" si="2"/>
        <v>31.06915900574295</v>
      </c>
      <c r="G26" s="110">
        <f t="shared" si="23"/>
        <v>1.0087972979502275</v>
      </c>
      <c r="H26" s="412" t="b">
        <f>Wh_hp&gt;='2019'!Maxi_hp</f>
        <v>1</v>
      </c>
      <c r="I26" s="388">
        <f>IF(H26,Wh_hp,'2019'!Maxi_hp)</f>
        <v>31.06915900574295</v>
      </c>
      <c r="J26" s="85">
        <f>IF(H26,An,'2019'!An_max)</f>
        <v>2020</v>
      </c>
      <c r="K26" s="197">
        <f t="shared" si="3"/>
        <v>43842</v>
      </c>
      <c r="L26" s="147">
        <f>IF(t&lt;Tvie,1-EXP((T0-t)*PertePVj)+'2019'!Pspv,1-EXP((T0-t)*PertePVj)+Pspv)</f>
        <v>6.6091375467581814E-3</v>
      </c>
      <c r="M26" s="832"/>
      <c r="N26" s="832"/>
      <c r="O26" s="48">
        <f>IF(t&lt;Tnet,'2019'!Resal+('2019'!Salim-'2019'!Resal)*(1-EXP(('2019'!Tnet-t)/('2019'!Tau_j))),Resal+(Salim-Resal)*(1-EXP((Tnet-t)/(Tau_j))))*Salcycl</f>
        <v>3.2318689461115505E-2</v>
      </c>
      <c r="P26" s="169">
        <f>(INDEX(Models!$BJ26:$BT26,,T26)*(1-R26)+INDEX(Models!$BJ26:$BT26,,T26+1)*R26-ERP_i)*Q26*Ramure*Pc/MaxiM</f>
        <v>4.4882952510700829E-5</v>
      </c>
      <c r="Q26" s="304">
        <f t="shared" si="4"/>
        <v>0.6</v>
      </c>
      <c r="R26" s="177">
        <f t="shared" si="5"/>
        <v>0.99951137115699851</v>
      </c>
      <c r="S26" s="799">
        <f t="shared" si="6"/>
        <v>-2</v>
      </c>
      <c r="T26" s="176">
        <f t="shared" si="7"/>
        <v>4</v>
      </c>
      <c r="U26" s="250">
        <f t="shared" si="21"/>
        <v>-1.0004886288430015</v>
      </c>
      <c r="V26" s="382">
        <f t="shared" si="8"/>
        <v>29.604559866171932</v>
      </c>
      <c r="W26" s="58"/>
      <c r="X26" s="157">
        <f t="shared" si="9"/>
        <v>43842</v>
      </c>
      <c r="Y26" s="383">
        <f t="shared" si="10"/>
        <v>29.864999999999998</v>
      </c>
      <c r="Z26" s="383">
        <f t="shared" si="11"/>
        <v>30.063695096053618</v>
      </c>
      <c r="AA26" s="384">
        <f t="shared" si="12"/>
        <v>31.067764530154747</v>
      </c>
      <c r="AB26" s="197">
        <f t="shared" si="13"/>
        <v>43842</v>
      </c>
      <c r="AC26" s="424">
        <f>IF(OR(t&lt;Tnet,NoTnet),'2019'!Resal_s+('2019'!Salim-'2019'!Resal_s)*(1-EXP(('2019'!Tnet_s-t)/'2019'!Tau_j)),Resal_s+(Salim-Resal_s)*(1-EXP((Tnet_s-t)/Tau_j)))*Salcycl</f>
        <v>3.2318689461115505E-2</v>
      </c>
      <c r="AD26" s="230">
        <f>(INDEX(Models!$BJ26:$BT26,,AH26)*(1-AF26)+INDEX(Models!$BJ26:$BT26,,AH26+1)*AF26-ERP_i)*AE26*Ramure*Pc/MaxiM</f>
        <v>4.4882952510700829E-5</v>
      </c>
      <c r="AE26" s="304">
        <f t="shared" si="14"/>
        <v>0.6</v>
      </c>
      <c r="AF26" s="177">
        <f t="shared" si="15"/>
        <v>0.99951137115699851</v>
      </c>
      <c r="AG26" s="176">
        <f t="shared" si="16"/>
        <v>-2</v>
      </c>
      <c r="AH26" s="176">
        <f t="shared" si="17"/>
        <v>4</v>
      </c>
      <c r="AI26" s="224">
        <f t="shared" si="22"/>
        <v>-1.0004886288430015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20"/>
        <v>43843</v>
      </c>
      <c r="B27" s="607">
        <v>15.978</v>
      </c>
      <c r="C27" s="388"/>
      <c r="D27" s="391">
        <f t="shared" si="0"/>
        <v>16.084611631250603</v>
      </c>
      <c r="E27" s="383">
        <f t="shared" si="1"/>
        <v>16.622855175013438</v>
      </c>
      <c r="F27" s="383">
        <f t="shared" si="2"/>
        <v>16.623085463395078</v>
      </c>
      <c r="G27" s="110">
        <f t="shared" si="23"/>
        <v>0.53510577534228643</v>
      </c>
      <c r="H27" s="412" t="b">
        <f>Wh_hp&gt;='2019'!Maxi_hp</f>
        <v>1</v>
      </c>
      <c r="I27" s="388">
        <f>IF(H27,Wh_hp,'2019'!Maxi_hp)</f>
        <v>16.623085463395078</v>
      </c>
      <c r="J27" s="85">
        <f>IF(H27,An,'2019'!An_max)</f>
        <v>2020</v>
      </c>
      <c r="K27" s="197">
        <f t="shared" si="3"/>
        <v>43843</v>
      </c>
      <c r="L27" s="147">
        <f>IF(t&lt;Tvie,1-EXP((T0-t)*PertePVj)+'2019'!Pspv,1-EXP((T0-t)*PertePVj)+Pspv)</f>
        <v>6.6281756560082616E-3</v>
      </c>
      <c r="M27" s="832"/>
      <c r="N27" s="832"/>
      <c r="O27" s="48">
        <f>IF(t&lt;Tnet,'2019'!Resal+('2019'!Salim-'2019'!Resal)*(1-EXP(('2019'!Tnet-t)/('2019'!Tau_j))),Resal+(Salim-Resal)*(1-EXP((Tnet-t)/(Tau_j))))*Salcycl</f>
        <v>3.2379728879061286E-2</v>
      </c>
      <c r="P27" s="169">
        <f>(INDEX(Models!$BJ27:$BT27,,T27)*(1-R27)+INDEX(Models!$BJ27:$BT27,,T27+1)*R27-ERP_i)*Q27*Ramure*Pc/MaxiM</f>
        <v>4.1244691259731984E-5</v>
      </c>
      <c r="Q27" s="304">
        <f t="shared" si="4"/>
        <v>0.6</v>
      </c>
      <c r="R27" s="177">
        <f t="shared" si="5"/>
        <v>0.99955720852146768</v>
      </c>
      <c r="S27" s="799">
        <f t="shared" si="6"/>
        <v>-2</v>
      </c>
      <c r="T27" s="176">
        <f t="shared" si="7"/>
        <v>4</v>
      </c>
      <c r="U27" s="250">
        <f t="shared" si="21"/>
        <v>-1.0004427914785323</v>
      </c>
      <c r="V27" s="382">
        <f t="shared" si="8"/>
        <v>29.8586991099315</v>
      </c>
      <c r="W27" s="58"/>
      <c r="X27" s="157">
        <f t="shared" si="9"/>
        <v>43843</v>
      </c>
      <c r="Y27" s="383">
        <f t="shared" si="10"/>
        <v>15.978</v>
      </c>
      <c r="Z27" s="383">
        <f t="shared" si="11"/>
        <v>16.084611631250603</v>
      </c>
      <c r="AA27" s="384">
        <f t="shared" si="12"/>
        <v>16.622855175013438</v>
      </c>
      <c r="AB27" s="197">
        <f t="shared" si="13"/>
        <v>43843</v>
      </c>
      <c r="AC27" s="424">
        <f>IF(OR(t&lt;Tnet,NoTnet),'2019'!Resal_s+('2019'!Salim-'2019'!Resal_s)*(1-EXP(('2019'!Tnet_s-t)/'2019'!Tau_j)),Resal_s+(Salim-Resal_s)*(1-EXP((Tnet_s-t)/Tau_j)))*Salcycl</f>
        <v>3.2379728879061286E-2</v>
      </c>
      <c r="AD27" s="230">
        <f>(INDEX(Models!$BJ27:$BT27,,AH27)*(1-AF27)+INDEX(Models!$BJ27:$BT27,,AH27+1)*AF27-ERP_i)*AE27*Ramure*Pc/MaxiM</f>
        <v>4.1244691259731984E-5</v>
      </c>
      <c r="AE27" s="304">
        <f t="shared" si="14"/>
        <v>0.6</v>
      </c>
      <c r="AF27" s="177">
        <f t="shared" si="15"/>
        <v>0.99955720852146768</v>
      </c>
      <c r="AG27" s="176">
        <f t="shared" si="16"/>
        <v>-2</v>
      </c>
      <c r="AH27" s="299">
        <f t="shared" si="17"/>
        <v>4</v>
      </c>
      <c r="AI27" s="224">
        <f t="shared" si="22"/>
        <v>-1.0004427914785323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20"/>
        <v>43844</v>
      </c>
      <c r="B28" s="607">
        <v>29.343</v>
      </c>
      <c r="C28" s="388"/>
      <c r="D28" s="391">
        <f t="shared" si="0"/>
        <v>29.539354392355953</v>
      </c>
      <c r="E28" s="383">
        <f t="shared" si="1"/>
        <v>30.529762638354878</v>
      </c>
      <c r="F28" s="383">
        <f t="shared" si="2"/>
        <v>30.53087439815166</v>
      </c>
      <c r="G28" s="110">
        <f t="shared" si="23"/>
        <v>0.97413694810656115</v>
      </c>
      <c r="H28" s="412" t="b">
        <f>Wh_hp&gt;='2019'!Maxi_hp</f>
        <v>1</v>
      </c>
      <c r="I28" s="388">
        <f>IF(H28,Wh_hp,'2019'!Maxi_hp)</f>
        <v>30.53087439815166</v>
      </c>
      <c r="J28" s="85">
        <f>IF(H28,An,'2019'!An_max)</f>
        <v>2020</v>
      </c>
      <c r="K28" s="197">
        <f t="shared" si="3"/>
        <v>43844</v>
      </c>
      <c r="L28" s="147">
        <f>IF(t&lt;Tvie,1-EXP((T0-t)*PertePVj)+'2019'!Pspv,1-EXP((T0-t)*PertePVj)+Pspv)</f>
        <v>6.6472134003973116E-3</v>
      </c>
      <c r="M28" s="832"/>
      <c r="N28" s="832"/>
      <c r="O28" s="48">
        <f>IF(t&lt;Tnet,'2019'!Resal+('2019'!Salim-'2019'!Resal)*(1-EXP(('2019'!Tnet-t)/('2019'!Tau_j))),Resal+(Salim-Resal)*(1-EXP((Tnet-t)/(Tau_j))))*Salcycl</f>
        <v>3.2440745043810518E-2</v>
      </c>
      <c r="P28" s="169">
        <f>(INDEX(Models!$BJ28:$BT28,,T28)*(1-R28)+INDEX(Models!$BJ28:$BT28,,T28+1)*R28-ERP_i)*Q28*Ramure*Pc/MaxiM</f>
        <v>3.7811225650593962E-5</v>
      </c>
      <c r="Q28" s="304">
        <f t="shared" si="4"/>
        <v>0.6</v>
      </c>
      <c r="R28" s="177">
        <f t="shared" si="5"/>
        <v>0.99960495991185727</v>
      </c>
      <c r="S28" s="799">
        <f t="shared" si="6"/>
        <v>-2</v>
      </c>
      <c r="T28" s="176">
        <f t="shared" si="7"/>
        <v>4</v>
      </c>
      <c r="U28" s="250">
        <f t="shared" si="21"/>
        <v>-1.0003950400881427</v>
      </c>
      <c r="V28" s="382">
        <f t="shared" si="8"/>
        <v>30.122006012556586</v>
      </c>
      <c r="W28" s="58"/>
      <c r="X28" s="157">
        <f t="shared" si="9"/>
        <v>43844</v>
      </c>
      <c r="Y28" s="383">
        <f t="shared" si="10"/>
        <v>29.343</v>
      </c>
      <c r="Z28" s="383">
        <f t="shared" si="11"/>
        <v>29.539354392355953</v>
      </c>
      <c r="AA28" s="384">
        <f t="shared" si="12"/>
        <v>30.529762638354878</v>
      </c>
      <c r="AB28" s="197">
        <f t="shared" si="13"/>
        <v>43844</v>
      </c>
      <c r="AC28" s="424">
        <f>IF(OR(t&lt;Tnet,NoTnet),'2019'!Resal_s+('2019'!Salim-'2019'!Resal_s)*(1-EXP(('2019'!Tnet_s-t)/'2019'!Tau_j)),Resal_s+(Salim-Resal_s)*(1-EXP((Tnet_s-t)/Tau_j)))*Salcycl</f>
        <v>3.2440745043810518E-2</v>
      </c>
      <c r="AD28" s="230">
        <f>(INDEX(Models!$BJ28:$BT28,,AH28)*(1-AF28)+INDEX(Models!$BJ28:$BT28,,AH28+1)*AF28-ERP_i)*AE28*Ramure*Pc/MaxiM</f>
        <v>3.7811225650593962E-5</v>
      </c>
      <c r="AE28" s="304">
        <f t="shared" si="14"/>
        <v>0.6</v>
      </c>
      <c r="AF28" s="177">
        <f t="shared" si="15"/>
        <v>0.99960495991185727</v>
      </c>
      <c r="AG28" s="176">
        <f t="shared" si="16"/>
        <v>-2</v>
      </c>
      <c r="AH28" s="176">
        <f t="shared" si="17"/>
        <v>4</v>
      </c>
      <c r="AI28" s="224">
        <f t="shared" si="22"/>
        <v>-1.0003950400881427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20"/>
        <v>43845</v>
      </c>
      <c r="B29" s="607">
        <v>24.03</v>
      </c>
      <c r="C29" s="388"/>
      <c r="D29" s="391">
        <f t="shared" si="0"/>
        <v>24.191265039436697</v>
      </c>
      <c r="E29" s="383">
        <f t="shared" si="1"/>
        <v>25.003936448290567</v>
      </c>
      <c r="F29" s="383">
        <f t="shared" si="2"/>
        <v>25.004542505106649</v>
      </c>
      <c r="G29" s="110">
        <f t="shared" si="23"/>
        <v>0.79061936195396831</v>
      </c>
      <c r="H29" s="412" t="b">
        <f>Wh_hp&gt;='2019'!Maxi_hp</f>
        <v>1</v>
      </c>
      <c r="I29" s="388">
        <f>IF(H29,Wh_hp,'2019'!Maxi_hp)</f>
        <v>25.004542505106649</v>
      </c>
      <c r="J29" s="85">
        <f>IF(H29,An,'2019'!An_max)</f>
        <v>2020</v>
      </c>
      <c r="K29" s="197">
        <f t="shared" si="3"/>
        <v>43845</v>
      </c>
      <c r="L29" s="147">
        <f>IF(t&lt;Tvie,1-EXP((T0-t)*PertePVj)+'2019'!Pspv,1-EXP((T0-t)*PertePVj)+Pspv)</f>
        <v>6.6662507799323256E-3</v>
      </c>
      <c r="M29" s="832"/>
      <c r="N29" s="832"/>
      <c r="O29" s="48">
        <f>IF(t&lt;Tnet,'2019'!Resal+('2019'!Salim-'2019'!Resal)*(1-EXP(('2019'!Tnet-t)/('2019'!Tau_j))),Resal+(Salim-Resal)*(1-EXP((Tnet-t)/(Tau_j))))*Salcycl</f>
        <v>3.2501738697605337E-2</v>
      </c>
      <c r="P29" s="169">
        <f>(INDEX(Models!$BJ29:$BT29,,T29)*(1-R29)+INDEX(Models!$BJ29:$BT29,,T29+1)*R29-ERP_i)*Q29*Ramure*Pc/MaxiM</f>
        <v>3.4581238622597586E-5</v>
      </c>
      <c r="Q29" s="304">
        <f t="shared" si="4"/>
        <v>0.6</v>
      </c>
      <c r="R29" s="177">
        <f t="shared" si="5"/>
        <v>0.99965470486202945</v>
      </c>
      <c r="S29" s="799">
        <f t="shared" si="6"/>
        <v>-2</v>
      </c>
      <c r="T29" s="176">
        <f t="shared" si="7"/>
        <v>4</v>
      </c>
      <c r="U29" s="250">
        <f t="shared" si="21"/>
        <v>-1.0003452951379705</v>
      </c>
      <c r="V29" s="382">
        <f t="shared" si="8"/>
        <v>30.393578249090936</v>
      </c>
      <c r="W29" s="58"/>
      <c r="X29" s="157">
        <f t="shared" si="9"/>
        <v>43845</v>
      </c>
      <c r="Y29" s="383">
        <f t="shared" si="10"/>
        <v>24.03</v>
      </c>
      <c r="Z29" s="383">
        <f t="shared" si="11"/>
        <v>24.191265039436697</v>
      </c>
      <c r="AA29" s="384">
        <f t="shared" si="12"/>
        <v>25.003936448290567</v>
      </c>
      <c r="AB29" s="197">
        <f t="shared" si="13"/>
        <v>43845</v>
      </c>
      <c r="AC29" s="424">
        <f>IF(OR(t&lt;Tnet,NoTnet),'2019'!Resal_s+('2019'!Salim-'2019'!Resal_s)*(1-EXP(('2019'!Tnet_s-t)/'2019'!Tau_j)),Resal_s+(Salim-Resal_s)*(1-EXP((Tnet_s-t)/Tau_j)))*Salcycl</f>
        <v>3.2501738697605337E-2</v>
      </c>
      <c r="AD29" s="230">
        <f>(INDEX(Models!$BJ29:$BT29,,AH29)*(1-AF29)+INDEX(Models!$BJ29:$BT29,,AH29+1)*AF29-ERP_i)*AE29*Ramure*Pc/MaxiM</f>
        <v>3.4581238622597586E-5</v>
      </c>
      <c r="AE29" s="304">
        <f t="shared" si="14"/>
        <v>0.6</v>
      </c>
      <c r="AF29" s="177">
        <f t="shared" si="15"/>
        <v>0.99965470486202945</v>
      </c>
      <c r="AG29" s="176">
        <f t="shared" si="16"/>
        <v>-2</v>
      </c>
      <c r="AH29" s="176">
        <f t="shared" si="17"/>
        <v>4</v>
      </c>
      <c r="AI29" s="224">
        <f t="shared" si="22"/>
        <v>-1.0003452951379705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20"/>
        <v>43846</v>
      </c>
      <c r="B30" s="607">
        <v>24.731999999999999</v>
      </c>
      <c r="C30" s="388"/>
      <c r="D30" s="391">
        <f t="shared" si="0"/>
        <v>24.89845332612607</v>
      </c>
      <c r="E30" s="383">
        <f t="shared" si="1"/>
        <v>25.736503655234777</v>
      </c>
      <c r="F30" s="383">
        <f t="shared" si="2"/>
        <v>25.737092409630119</v>
      </c>
      <c r="G30" s="110">
        <f t="shared" si="23"/>
        <v>0.80631752469444073</v>
      </c>
      <c r="H30" s="412" t="b">
        <f>Wh_hp&gt;='2019'!Maxi_hp</f>
        <v>1</v>
      </c>
      <c r="I30" s="388">
        <f>IF(H30,Wh_hp,'2019'!Maxi_hp)</f>
        <v>25.737092409630119</v>
      </c>
      <c r="J30" s="85">
        <f>IF(H30,An,'2019'!An_max)</f>
        <v>2020</v>
      </c>
      <c r="K30" s="197">
        <f t="shared" si="3"/>
        <v>43846</v>
      </c>
      <c r="L30" s="147">
        <f>IF(t&lt;Tvie,1-EXP((T0-t)*PertePVj)+'2019'!Pspv,1-EXP((T0-t)*PertePVj)+Pspv)</f>
        <v>6.6852877946201872E-3</v>
      </c>
      <c r="M30" s="832"/>
      <c r="N30" s="832"/>
      <c r="O30" s="48">
        <f>IF(t&lt;Tnet,'2019'!Resal+('2019'!Salim-'2019'!Resal)*(1-EXP(('2019'!Tnet-t)/('2019'!Tau_j))),Resal+(Salim-Resal)*(1-EXP((Tnet-t)/(Tau_j))))*Salcycl</f>
        <v>3.2562710939107974E-2</v>
      </c>
      <c r="P30" s="169">
        <f>(INDEX(Models!$BJ30:$BT30,,T30)*(1-R30)+INDEX(Models!$BJ30:$BT30,,T30+1)*R30-ERP_i)*Q30*Ramure*Pc/MaxiM</f>
        <v>3.1625959396694992E-5</v>
      </c>
      <c r="Q30" s="304">
        <f t="shared" si="4"/>
        <v>0.6</v>
      </c>
      <c r="R30" s="177">
        <f t="shared" si="5"/>
        <v>0.99970652617742273</v>
      </c>
      <c r="S30" s="799">
        <f t="shared" si="6"/>
        <v>-2</v>
      </c>
      <c r="T30" s="176">
        <f t="shared" si="7"/>
        <v>4</v>
      </c>
      <c r="U30" s="250">
        <f t="shared" si="21"/>
        <v>-1.0002934738225773</v>
      </c>
      <c r="V30" s="382">
        <f t="shared" si="8"/>
        <v>30.672511543614853</v>
      </c>
      <c r="W30" s="58"/>
      <c r="X30" s="157">
        <f t="shared" si="9"/>
        <v>43846</v>
      </c>
      <c r="Y30" s="383">
        <f t="shared" si="10"/>
        <v>24.731999999999999</v>
      </c>
      <c r="Z30" s="383">
        <f t="shared" si="11"/>
        <v>24.89845332612607</v>
      </c>
      <c r="AA30" s="384">
        <f t="shared" si="12"/>
        <v>25.736503655234777</v>
      </c>
      <c r="AB30" s="197">
        <f t="shared" si="13"/>
        <v>43846</v>
      </c>
      <c r="AC30" s="424">
        <f>IF(OR(t&lt;Tnet,NoTnet),'2019'!Resal_s+('2019'!Salim-'2019'!Resal_s)*(1-EXP(('2019'!Tnet_s-t)/'2019'!Tau_j)),Resal_s+(Salim-Resal_s)*(1-EXP((Tnet_s-t)/Tau_j)))*Salcycl</f>
        <v>3.2562710939107974E-2</v>
      </c>
      <c r="AD30" s="230">
        <f>(INDEX(Models!$BJ30:$BT30,,AH30)*(1-AF30)+INDEX(Models!$BJ30:$BT30,,AH30+1)*AF30-ERP_i)*AE30*Ramure*Pc/MaxiM</f>
        <v>3.1625959396694992E-5</v>
      </c>
      <c r="AE30" s="304">
        <f t="shared" si="14"/>
        <v>0.6</v>
      </c>
      <c r="AF30" s="177">
        <f t="shared" si="15"/>
        <v>0.99970652617742273</v>
      </c>
      <c r="AG30" s="176">
        <f t="shared" si="16"/>
        <v>-2</v>
      </c>
      <c r="AH30" s="176">
        <f t="shared" si="17"/>
        <v>4</v>
      </c>
      <c r="AI30" s="224">
        <f t="shared" si="22"/>
        <v>-1.0002934738225773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43847</v>
      </c>
      <c r="B31" s="607">
        <v>4.4119999999999999</v>
      </c>
      <c r="C31" s="388"/>
      <c r="D31" s="391">
        <f t="shared" si="0"/>
        <v>4.4417791283873758</v>
      </c>
      <c r="E31" s="383">
        <f t="shared" si="1"/>
        <v>4.5915730612919523</v>
      </c>
      <c r="F31" s="383">
        <f t="shared" si="2"/>
        <v>4.5915730612919523</v>
      </c>
      <c r="G31" s="110">
        <f t="shared" si="23"/>
        <v>0.14251198313474772</v>
      </c>
      <c r="H31" s="412" t="b">
        <f>Wh_hp&gt;='2019'!Maxi_hp</f>
        <v>1</v>
      </c>
      <c r="I31" s="388">
        <f>IF(H31,Wh_hp,'2019'!Maxi_hp)</f>
        <v>4.5915730612919523</v>
      </c>
      <c r="J31" s="85">
        <f>IF(H31,An,'2019'!An_max)</f>
        <v>2020</v>
      </c>
      <c r="K31" s="197">
        <f t="shared" si="3"/>
        <v>43847</v>
      </c>
      <c r="L31" s="147">
        <f>IF(t&lt;Tvie,1-EXP((T0-t)*PertePVj)+'2019'!Pspv,1-EXP((T0-t)*PertePVj)+Pspv)</f>
        <v>6.7043244444681127E-3</v>
      </c>
      <c r="M31" s="832"/>
      <c r="N31" s="832"/>
      <c r="O31" s="48">
        <f>IF(t&lt;Tnet,'2019'!Resal+('2019'!Salim-'2019'!Resal)*(1-EXP(('2019'!Tnet-t)/('2019'!Tau_j))),Resal+(Salim-Resal)*(1-EXP((Tnet-t)/(Tau_j))))*Salcycl</f>
        <v>3.262366315530843E-2</v>
      </c>
      <c r="P31" s="169">
        <f>(INDEX(Models!$BJ31:$BT31,,T31)*(1-R31)+INDEX(Models!$BJ31:$BT31,,T31+1)*R31-ERP_i)*Q31*Ramure*Pc/MaxiM</f>
        <v>2.885427906998409E-5</v>
      </c>
      <c r="Q31" s="304">
        <f t="shared" si="4"/>
        <v>0.6</v>
      </c>
      <c r="R31" s="177">
        <f t="shared" si="5"/>
        <v>0.9997605100667768</v>
      </c>
      <c r="S31" s="799">
        <f t="shared" si="6"/>
        <v>-2</v>
      </c>
      <c r="T31" s="176">
        <f t="shared" si="7"/>
        <v>4</v>
      </c>
      <c r="U31" s="250">
        <f t="shared" si="21"/>
        <v>-1.0002394899332232</v>
      </c>
      <c r="V31" s="382">
        <f t="shared" si="8"/>
        <v>30.957906822117796</v>
      </c>
      <c r="W31" s="58"/>
      <c r="X31" s="157">
        <f t="shared" si="9"/>
        <v>43847</v>
      </c>
      <c r="Y31" s="383">
        <f t="shared" si="10"/>
        <v>4.4119999999999999</v>
      </c>
      <c r="Z31" s="383">
        <f t="shared" si="11"/>
        <v>4.4417791283873758</v>
      </c>
      <c r="AA31" s="384">
        <f t="shared" si="12"/>
        <v>4.5915730612919523</v>
      </c>
      <c r="AB31" s="197">
        <f t="shared" si="13"/>
        <v>43847</v>
      </c>
      <c r="AC31" s="424">
        <f>IF(OR(t&lt;Tnet,NoTnet),'2019'!Resal_s+('2019'!Salim-'2019'!Resal_s)*(1-EXP(('2019'!Tnet_s-t)/'2019'!Tau_j)),Resal_s+(Salim-Resal_s)*(1-EXP((Tnet_s-t)/Tau_j)))*Salcycl</f>
        <v>3.262366315530843E-2</v>
      </c>
      <c r="AD31" s="230">
        <f>(INDEX(Models!$BJ31:$BT31,,AH31)*(1-AF31)+INDEX(Models!$BJ31:$BT31,,AH31+1)*AF31-ERP_i)*AE31*Ramure*Pc/MaxiM</f>
        <v>2.885427906998409E-5</v>
      </c>
      <c r="AE31" s="304">
        <f t="shared" si="14"/>
        <v>0.6</v>
      </c>
      <c r="AF31" s="177">
        <f t="shared" si="15"/>
        <v>0.9997605100667768</v>
      </c>
      <c r="AG31" s="176">
        <f t="shared" si="16"/>
        <v>-2</v>
      </c>
      <c r="AH31" s="176">
        <f t="shared" si="17"/>
        <v>4</v>
      </c>
      <c r="AI31" s="224">
        <f t="shared" si="22"/>
        <v>-1.0002394899332232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20"/>
        <v>43848</v>
      </c>
      <c r="B32" s="607">
        <v>18.222999999999999</v>
      </c>
      <c r="C32" s="388"/>
      <c r="D32" s="391">
        <f t="shared" si="0"/>
        <v>18.346349123224471</v>
      </c>
      <c r="E32" s="383">
        <f t="shared" si="1"/>
        <v>18.966253473733307</v>
      </c>
      <c r="F32" s="383">
        <f t="shared" si="2"/>
        <v>18.966454971374581</v>
      </c>
      <c r="G32" s="110">
        <f t="shared" si="23"/>
        <v>0.5831481040147245</v>
      </c>
      <c r="H32" s="412" t="b">
        <f>Wh_hp&gt;='2019'!Maxi_hp</f>
        <v>1</v>
      </c>
      <c r="I32" s="388">
        <f>IF(H32,Wh_hp,'2019'!Maxi_hp)</f>
        <v>18.966454971374581</v>
      </c>
      <c r="J32" s="85">
        <f>IF(H32,An,'2019'!An_max)</f>
        <v>2020</v>
      </c>
      <c r="K32" s="197">
        <f t="shared" si="3"/>
        <v>43848</v>
      </c>
      <c r="L32" s="147">
        <f>IF(t&lt;Tvie,1-EXP((T0-t)*PertePVj)+'2019'!Pspv,1-EXP((T0-t)*PertePVj)+Pspv)</f>
        <v>6.7233607294829856E-3</v>
      </c>
      <c r="M32" s="832"/>
      <c r="N32" s="832"/>
      <c r="O32" s="48">
        <f>IF(t&lt;Tnet,'2019'!Resal+('2019'!Salim-'2019'!Resal)*(1-EXP(('2019'!Tnet-t)/('2019'!Tau_j))),Resal+(Salim-Resal)*(1-EXP((Tnet-t)/(Tau_j))))*Salcycl</f>
        <v>3.2684596953602527E-2</v>
      </c>
      <c r="P32" s="169">
        <f>(INDEX(Models!$BJ32:$BT32,,T32)*(1-R32)+INDEX(Models!$BJ32:$BT32,,T32+1)*R32-ERP_i)*Q32*Ramure*Pc/MaxiM</f>
        <v>2.6263596386789992E-5</v>
      </c>
      <c r="Q32" s="304">
        <f t="shared" si="4"/>
        <v>0.6</v>
      </c>
      <c r="R32" s="177">
        <f t="shared" si="5"/>
        <v>0.99981674627891848</v>
      </c>
      <c r="S32" s="799">
        <f t="shared" si="6"/>
        <v>-2</v>
      </c>
      <c r="T32" s="176">
        <f t="shared" si="7"/>
        <v>4</v>
      </c>
      <c r="U32" s="250">
        <f t="shared" si="21"/>
        <v>-1.0001832537210815</v>
      </c>
      <c r="V32" s="382">
        <f t="shared" si="8"/>
        <v>31.248862628983499</v>
      </c>
      <c r="W32" s="58"/>
      <c r="X32" s="157">
        <f t="shared" si="9"/>
        <v>43848</v>
      </c>
      <c r="Y32" s="383">
        <f t="shared" si="10"/>
        <v>18.222999999999999</v>
      </c>
      <c r="Z32" s="383">
        <f t="shared" si="11"/>
        <v>18.346349123224471</v>
      </c>
      <c r="AA32" s="384">
        <f t="shared" si="12"/>
        <v>18.966253473733307</v>
      </c>
      <c r="AB32" s="197">
        <f t="shared" si="13"/>
        <v>43848</v>
      </c>
      <c r="AC32" s="424">
        <f>IF(OR(t&lt;Tnet,NoTnet),'2019'!Resal_s+('2019'!Salim-'2019'!Resal_s)*(1-EXP(('2019'!Tnet_s-t)/'2019'!Tau_j)),Resal_s+(Salim-Resal_s)*(1-EXP((Tnet_s-t)/Tau_j)))*Salcycl</f>
        <v>3.2684596953602527E-2</v>
      </c>
      <c r="AD32" s="230">
        <f>(INDEX(Models!$BJ32:$BT32,,AH32)*(1-AF32)+INDEX(Models!$BJ32:$BT32,,AH32+1)*AF32-ERP_i)*AE32*Ramure*Pc/MaxiM</f>
        <v>2.6263596386789992E-5</v>
      </c>
      <c r="AE32" s="304">
        <f t="shared" si="14"/>
        <v>0.6</v>
      </c>
      <c r="AF32" s="177">
        <f t="shared" si="15"/>
        <v>0.99981674627891848</v>
      </c>
      <c r="AG32" s="176">
        <f t="shared" si="16"/>
        <v>-2</v>
      </c>
      <c r="AH32" s="176">
        <f t="shared" si="17"/>
        <v>4</v>
      </c>
      <c r="AI32" s="224">
        <f t="shared" si="22"/>
        <v>-1.0001832537210815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20"/>
        <v>43849</v>
      </c>
      <c r="B33" s="607">
        <v>28.399000000000001</v>
      </c>
      <c r="C33" s="388"/>
      <c r="D33" s="391">
        <f t="shared" si="0"/>
        <v>28.591777102141645</v>
      </c>
      <c r="E33" s="383">
        <f t="shared" si="1"/>
        <v>29.559725510482895</v>
      </c>
      <c r="F33" s="383">
        <f t="shared" si="2"/>
        <v>29.560330117818182</v>
      </c>
      <c r="G33" s="110">
        <f t="shared" si="23"/>
        <v>0.90028130131971906</v>
      </c>
      <c r="H33" s="412" t="b">
        <f>Wh_hp&gt;='2019'!Maxi_hp</f>
        <v>1</v>
      </c>
      <c r="I33" s="388">
        <f>IF(H33,Wh_hp,'2019'!Maxi_hp)</f>
        <v>29.560330117818182</v>
      </c>
      <c r="J33" s="85">
        <f>IF(H33,An,'2019'!An_max)</f>
        <v>2020</v>
      </c>
      <c r="K33" s="197">
        <f t="shared" si="3"/>
        <v>43849</v>
      </c>
      <c r="L33" s="147">
        <f>IF(t&lt;Tvie,1-EXP((T0-t)*PertePVj)+'2019'!Pspv,1-EXP((T0-t)*PertePVj)+Pspv)</f>
        <v>6.7423966496718002E-3</v>
      </c>
      <c r="M33" s="832"/>
      <c r="N33" s="832"/>
      <c r="O33" s="48">
        <f>IF(t&lt;Tnet,'2019'!Resal+('2019'!Salim-'2019'!Resal)*(1-EXP(('2019'!Tnet-t)/('2019'!Tau_j))),Resal+(Salim-Resal)*(1-EXP((Tnet-t)/(Tau_j))))*Salcycl</f>
        <v>3.2745514094776829E-2</v>
      </c>
      <c r="P33" s="169">
        <f>(INDEX(Models!$BJ33:$BT33,,T33)*(1-R33)+INDEX(Models!$BJ33:$BT33,,T33+1)*R33-ERP_i)*Q33*Ramure*Pc/MaxiM</f>
        <v>2.3850920440213828E-5</v>
      </c>
      <c r="Q33" s="304">
        <f t="shared" si="4"/>
        <v>0.6</v>
      </c>
      <c r="R33" s="177">
        <f t="shared" si="5"/>
        <v>0.99987532824477943</v>
      </c>
      <c r="S33" s="799">
        <f t="shared" si="6"/>
        <v>-2</v>
      </c>
      <c r="T33" s="176">
        <f t="shared" si="7"/>
        <v>4</v>
      </c>
      <c r="U33" s="250">
        <f t="shared" si="21"/>
        <v>-1.0001246717552206</v>
      </c>
      <c r="V33" s="382">
        <f t="shared" si="8"/>
        <v>31.544477785297044</v>
      </c>
      <c r="W33" s="58"/>
      <c r="X33" s="157">
        <f t="shared" si="9"/>
        <v>43849</v>
      </c>
      <c r="Y33" s="383">
        <f t="shared" si="10"/>
        <v>28.399000000000001</v>
      </c>
      <c r="Z33" s="383">
        <f t="shared" si="11"/>
        <v>28.591777102141645</v>
      </c>
      <c r="AA33" s="384">
        <f t="shared" si="12"/>
        <v>29.559725510482895</v>
      </c>
      <c r="AB33" s="197">
        <f t="shared" si="13"/>
        <v>43849</v>
      </c>
      <c r="AC33" s="424">
        <f>IF(OR(t&lt;Tnet,NoTnet),'2019'!Resal_s+('2019'!Salim-'2019'!Resal_s)*(1-EXP(('2019'!Tnet_s-t)/'2019'!Tau_j)),Resal_s+(Salim-Resal_s)*(1-EXP((Tnet_s-t)/Tau_j)))*Salcycl</f>
        <v>3.2745514094776829E-2</v>
      </c>
      <c r="AD33" s="230">
        <f>(INDEX(Models!$BJ33:$BT33,,AH33)*(1-AF33)+INDEX(Models!$BJ33:$BT33,,AH33+1)*AF33-ERP_i)*AE33*Ramure*Pc/MaxiM</f>
        <v>2.3850920440213828E-5</v>
      </c>
      <c r="AE33" s="304">
        <f t="shared" si="14"/>
        <v>0.6</v>
      </c>
      <c r="AF33" s="177">
        <f t="shared" si="15"/>
        <v>0.99987532824477943</v>
      </c>
      <c r="AG33" s="176">
        <f t="shared" si="16"/>
        <v>-2</v>
      </c>
      <c r="AH33" s="176">
        <f t="shared" si="17"/>
        <v>4</v>
      </c>
      <c r="AI33" s="224">
        <f t="shared" si="22"/>
        <v>-1.0001246717552206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20"/>
        <v>43850</v>
      </c>
      <c r="B34" s="607">
        <v>12.355</v>
      </c>
      <c r="C34" s="388"/>
      <c r="D34" s="391">
        <f t="shared" si="0"/>
        <v>12.439106173080599</v>
      </c>
      <c r="E34" s="383">
        <f t="shared" si="1"/>
        <v>12.861030495194161</v>
      </c>
      <c r="F34" s="383">
        <f t="shared" si="2"/>
        <v>12.8610654344488</v>
      </c>
      <c r="G34" s="110">
        <f t="shared" si="23"/>
        <v>0.38797965658602784</v>
      </c>
      <c r="H34" s="412" t="b">
        <f>Wh_hp&gt;='2019'!Maxi_hp</f>
        <v>1</v>
      </c>
      <c r="I34" s="388">
        <f>IF(H34,Wh_hp,'2019'!Maxi_hp)</f>
        <v>12.8610654344488</v>
      </c>
      <c r="J34" s="85">
        <f>IF(H34,An,'2019'!An_max)</f>
        <v>2020</v>
      </c>
      <c r="K34" s="197">
        <f t="shared" si="3"/>
        <v>43850</v>
      </c>
      <c r="L34" s="147">
        <f>IF(t&lt;Tvie,1-EXP((T0-t)*PertePVj)+'2019'!Pspv,1-EXP((T0-t)*PertePVj)+Pspv)</f>
        <v>6.761432205041551E-3</v>
      </c>
      <c r="M34" s="832"/>
      <c r="N34" s="832"/>
      <c r="O34" s="48">
        <f>IF(t&lt;Tnet,'2019'!Resal+('2019'!Salim-'2019'!Resal)*(1-EXP(('2019'!Tnet-t)/('2019'!Tau_j))),Resal+(Salim-Resal)*(1-EXP((Tnet-t)/(Tau_j))))*Salcycl</f>
        <v>3.2806416427612409E-2</v>
      </c>
      <c r="P34" s="169">
        <f>(INDEX(Models!$BJ34:$BT34,,T34)*(1-R34)+INDEX(Models!$BJ34:$BT34,,T34+1)*R34-ERP_i)*Q34*Ramure*Pc/MaxiM</f>
        <v>2.1613060854111079E-5</v>
      </c>
      <c r="Q34" s="304">
        <f t="shared" si="4"/>
        <v>0.6</v>
      </c>
      <c r="R34" s="177">
        <f t="shared" si="5"/>
        <v>0.99993635322482222</v>
      </c>
      <c r="S34" s="799">
        <f t="shared" si="6"/>
        <v>-2</v>
      </c>
      <c r="T34" s="176">
        <f t="shared" si="7"/>
        <v>4</v>
      </c>
      <c r="U34" s="250">
        <f t="shared" si="21"/>
        <v>-1.0000636467751778</v>
      </c>
      <c r="V34" s="382">
        <f t="shared" si="8"/>
        <v>31.843851410033725</v>
      </c>
      <c r="W34" s="58"/>
      <c r="X34" s="157">
        <f t="shared" si="9"/>
        <v>43850</v>
      </c>
      <c r="Y34" s="383">
        <f t="shared" si="10"/>
        <v>12.355</v>
      </c>
      <c r="Z34" s="383">
        <f t="shared" si="11"/>
        <v>12.439106173080599</v>
      </c>
      <c r="AA34" s="384">
        <f t="shared" si="12"/>
        <v>12.861030495194161</v>
      </c>
      <c r="AB34" s="197">
        <f t="shared" si="13"/>
        <v>43850</v>
      </c>
      <c r="AC34" s="424">
        <f>IF(OR(t&lt;Tnet,NoTnet),'2019'!Resal_s+('2019'!Salim-'2019'!Resal_s)*(1-EXP(('2019'!Tnet_s-t)/'2019'!Tau_j)),Resal_s+(Salim-Resal_s)*(1-EXP((Tnet_s-t)/Tau_j)))*Salcycl</f>
        <v>3.2806416427612409E-2</v>
      </c>
      <c r="AD34" s="230">
        <f>(INDEX(Models!$BJ34:$BT34,,AH34)*(1-AF34)+INDEX(Models!$BJ34:$BT34,,AH34+1)*AF34-ERP_i)*AE34*Ramure*Pc/MaxiM</f>
        <v>2.1613060854111079E-5</v>
      </c>
      <c r="AE34" s="304">
        <f t="shared" si="14"/>
        <v>0.6</v>
      </c>
      <c r="AF34" s="177">
        <f t="shared" si="15"/>
        <v>0.99993635322482222</v>
      </c>
      <c r="AG34" s="176">
        <f t="shared" si="16"/>
        <v>-2</v>
      </c>
      <c r="AH34" s="176">
        <f t="shared" si="17"/>
        <v>4</v>
      </c>
      <c r="AI34" s="224">
        <f t="shared" si="22"/>
        <v>-1.0000636467751778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20"/>
        <v>43851</v>
      </c>
      <c r="B35" s="607">
        <v>3.4820000000000002</v>
      </c>
      <c r="C35" s="388"/>
      <c r="D35" s="391">
        <f t="shared" si="0"/>
        <v>3.5057707643642169</v>
      </c>
      <c r="E35" s="383">
        <f t="shared" si="1"/>
        <v>3.6249118507544895</v>
      </c>
      <c r="F35" s="383">
        <f t="shared" si="2"/>
        <v>3.6249118507544895</v>
      </c>
      <c r="G35" s="110">
        <f t="shared" si="23"/>
        <v>0.10831590115907963</v>
      </c>
      <c r="H35" s="412" t="b">
        <f>Wh_hp&gt;='2019'!Maxi_hp</f>
        <v>1</v>
      </c>
      <c r="I35" s="388">
        <f>IF(H35,Wh_hp,'2019'!Maxi_hp)</f>
        <v>3.6249118507544895</v>
      </c>
      <c r="J35" s="85">
        <f>IF(H35,An,'2019'!An_max)</f>
        <v>2020</v>
      </c>
      <c r="K35" s="197">
        <f t="shared" si="3"/>
        <v>43851</v>
      </c>
      <c r="L35" s="147">
        <f>IF(t&lt;Tvie,1-EXP((T0-t)*PertePVj)+'2019'!Pspv,1-EXP((T0-t)*PertePVj)+Pspv)</f>
        <v>6.7804673955992323E-3</v>
      </c>
      <c r="M35" s="832"/>
      <c r="N35" s="832"/>
      <c r="O35" s="48">
        <f>IF(t&lt;Tnet,'2019'!Resal+('2019'!Salim-'2019'!Resal)*(1-EXP(('2019'!Tnet-t)/('2019'!Tau_j))),Resal+(Salim-Resal)*(1-EXP((Tnet-t)/(Tau_j))))*Salcycl</f>
        <v>3.2867305825788423E-2</v>
      </c>
      <c r="P35" s="169">
        <f>(INDEX(Models!$BJ35:$BT35,,T35)*(1-R35)+INDEX(Models!$BJ35:$BT35,,T35+1)*R35-ERP_i)*Q35*Ramure*Pc/MaxiM</f>
        <v>1.9546575822366906E-5</v>
      </c>
      <c r="Q35" s="304">
        <f t="shared" si="4"/>
        <v>0.6</v>
      </c>
      <c r="R35" s="177">
        <f t="shared" si="5"/>
        <v>0.99999992246205838</v>
      </c>
      <c r="S35" s="799">
        <f t="shared" si="6"/>
        <v>-2</v>
      </c>
      <c r="T35" s="176">
        <f t="shared" si="7"/>
        <v>4</v>
      </c>
      <c r="U35" s="250">
        <f t="shared" si="21"/>
        <v>-1.0000000775379416</v>
      </c>
      <c r="V35" s="382">
        <f t="shared" si="8"/>
        <v>32.146082907155055</v>
      </c>
      <c r="W35" s="58"/>
      <c r="X35" s="157">
        <f t="shared" si="9"/>
        <v>43851</v>
      </c>
      <c r="Y35" s="383">
        <f t="shared" si="10"/>
        <v>3.4820000000000002</v>
      </c>
      <c r="Z35" s="383">
        <f t="shared" si="11"/>
        <v>3.5057707643642169</v>
      </c>
      <c r="AA35" s="384">
        <f t="shared" si="12"/>
        <v>3.6249118507544895</v>
      </c>
      <c r="AB35" s="197">
        <f t="shared" si="13"/>
        <v>43851</v>
      </c>
      <c r="AC35" s="424">
        <f>IF(OR(t&lt;Tnet,NoTnet),'2019'!Resal_s+('2019'!Salim-'2019'!Resal_s)*(1-EXP(('2019'!Tnet_s-t)/'2019'!Tau_j)),Resal_s+(Salim-Resal_s)*(1-EXP((Tnet_s-t)/Tau_j)))*Salcycl</f>
        <v>3.2867305825788423E-2</v>
      </c>
      <c r="AD35" s="230">
        <f>(INDEX(Models!$BJ35:$BT35,,AH35)*(1-AF35)+INDEX(Models!$BJ35:$BT35,,AH35+1)*AF35-ERP_i)*AE35*Ramure*Pc/MaxiM</f>
        <v>1.9546575822366906E-5</v>
      </c>
      <c r="AE35" s="304">
        <f t="shared" si="14"/>
        <v>0.6</v>
      </c>
      <c r="AF35" s="177">
        <f t="shared" si="15"/>
        <v>0.99999992246205838</v>
      </c>
      <c r="AG35" s="176">
        <f t="shared" si="16"/>
        <v>-2</v>
      </c>
      <c r="AH35" s="176">
        <f t="shared" si="17"/>
        <v>4</v>
      </c>
      <c r="AI35" s="224">
        <f t="shared" si="22"/>
        <v>-1.0000000775379416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20"/>
        <v>43852</v>
      </c>
      <c r="B36" s="607">
        <v>1.099</v>
      </c>
      <c r="C36" s="388"/>
      <c r="D36" s="391">
        <f t="shared" si="0"/>
        <v>1.106523811111632</v>
      </c>
      <c r="E36" s="383">
        <f t="shared" si="1"/>
        <v>1.1442002475416777</v>
      </c>
      <c r="F36" s="383">
        <f t="shared" si="2"/>
        <v>1.1442002475416777</v>
      </c>
      <c r="G36" s="110">
        <f t="shared" si="23"/>
        <v>3.3866606904678416E-2</v>
      </c>
      <c r="H36" s="412" t="b">
        <f>Wh_hp&gt;='2019'!Maxi_hp</f>
        <v>1</v>
      </c>
      <c r="I36" s="388">
        <f>IF(H36,Wh_hp,'2019'!Maxi_hp)</f>
        <v>1.1442002475416777</v>
      </c>
      <c r="J36" s="85">
        <f>IF(H36,An,'2019'!An_max)</f>
        <v>2020</v>
      </c>
      <c r="K36" s="197">
        <f t="shared" si="3"/>
        <v>43852</v>
      </c>
      <c r="L36" s="147">
        <f>IF(t&lt;Tvie,1-EXP((T0-t)*PertePVj)+'2019'!Pspv,1-EXP((T0-t)*PertePVj)+Pspv)</f>
        <v>6.7995022213517275E-3</v>
      </c>
      <c r="M36" s="832"/>
      <c r="N36" s="832"/>
      <c r="O36" s="48">
        <f>IF(t&lt;Tnet,'2019'!Resal+('2019'!Salim-'2019'!Resal)*(1-EXP(('2019'!Tnet-t)/('2019'!Tau_j))),Resal+(Salim-Resal)*(1-EXP((Tnet-t)/(Tau_j))))*Salcycl</f>
        <v>3.2928184127729236E-2</v>
      </c>
      <c r="P36" s="169">
        <f>(INDEX(Models!$BJ36:$BT36,,T36)*(1-R36)+INDEX(Models!$BJ36:$BT36,,T36+1)*R36-ERP_i)*Q36*Ramure*Pc/MaxiM</f>
        <v>1.7651648473208526E-5</v>
      </c>
      <c r="Q36" s="304">
        <f t="shared" si="4"/>
        <v>0.6</v>
      </c>
      <c r="R36" s="177">
        <f t="shared" si="5"/>
        <v>6.6141340840375484E-5</v>
      </c>
      <c r="S36" s="799">
        <f t="shared" si="6"/>
        <v>-1</v>
      </c>
      <c r="T36" s="176">
        <f t="shared" si="7"/>
        <v>5</v>
      </c>
      <c r="U36" s="250">
        <f t="shared" si="21"/>
        <v>-0.99993385865915962</v>
      </c>
      <c r="V36" s="382">
        <f t="shared" si="8"/>
        <v>32.450271854264557</v>
      </c>
      <c r="W36" s="58"/>
      <c r="X36" s="157">
        <f t="shared" si="9"/>
        <v>43852</v>
      </c>
      <c r="Y36" s="383">
        <f t="shared" si="10"/>
        <v>1.099</v>
      </c>
      <c r="Z36" s="383">
        <f t="shared" si="11"/>
        <v>1.106523811111632</v>
      </c>
      <c r="AA36" s="384">
        <f t="shared" si="12"/>
        <v>1.1442002475416777</v>
      </c>
      <c r="AB36" s="197">
        <f t="shared" si="13"/>
        <v>43852</v>
      </c>
      <c r="AC36" s="424">
        <f>IF(OR(t&lt;Tnet,NoTnet),'2019'!Resal_s+('2019'!Salim-'2019'!Resal_s)*(1-EXP(('2019'!Tnet_s-t)/'2019'!Tau_j)),Resal_s+(Salim-Resal_s)*(1-EXP((Tnet_s-t)/Tau_j)))*Salcycl</f>
        <v>3.2928184127729236E-2</v>
      </c>
      <c r="AD36" s="230">
        <f>(INDEX(Models!$BJ36:$BT36,,AH36)*(1-AF36)+INDEX(Models!$BJ36:$BT36,,AH36+1)*AF36-ERP_i)*AE36*Ramure*Pc/MaxiM</f>
        <v>1.7651648473208526E-5</v>
      </c>
      <c r="AE36" s="304">
        <f t="shared" si="14"/>
        <v>0.6</v>
      </c>
      <c r="AF36" s="177">
        <f t="shared" si="15"/>
        <v>6.6141340840375484E-5</v>
      </c>
      <c r="AG36" s="176">
        <f t="shared" si="16"/>
        <v>-1</v>
      </c>
      <c r="AH36" s="176">
        <f t="shared" si="17"/>
        <v>5</v>
      </c>
      <c r="AI36" s="224">
        <f t="shared" si="22"/>
        <v>-0.99993385865915962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20"/>
        <v>43853</v>
      </c>
      <c r="B37" s="607">
        <v>12.871</v>
      </c>
      <c r="C37" s="388"/>
      <c r="D37" s="391">
        <f t="shared" si="0"/>
        <v>12.959363898118678</v>
      </c>
      <c r="E37" s="383">
        <f t="shared" si="1"/>
        <v>13.401465556719012</v>
      </c>
      <c r="F37" s="383">
        <f t="shared" si="2"/>
        <v>13.401493865398967</v>
      </c>
      <c r="G37" s="110">
        <f t="shared" si="23"/>
        <v>0.39288752343278349</v>
      </c>
      <c r="H37" s="412" t="b">
        <f>Wh_hp&gt;='2019'!Maxi_hp</f>
        <v>1</v>
      </c>
      <c r="I37" s="388">
        <f>IF(H37,Wh_hp,'2019'!Maxi_hp)</f>
        <v>13.401493865398967</v>
      </c>
      <c r="J37" s="85">
        <f>IF(H37,An,'2019'!An_max)</f>
        <v>2020</v>
      </c>
      <c r="K37" s="197">
        <f t="shared" si="3"/>
        <v>43853</v>
      </c>
      <c r="L37" s="147">
        <f>IF(t&lt;Tvie,1-EXP((T0-t)*PertePVj)+'2019'!Pspv,1-EXP((T0-t)*PertePVj)+Pspv)</f>
        <v>6.8185366823062532E-3</v>
      </c>
      <c r="M37" s="832"/>
      <c r="N37" s="832"/>
      <c r="O37" s="48">
        <f>IF(t&lt;Tnet,'2019'!Resal+('2019'!Salim-'2019'!Resal)*(1-EXP(('2019'!Tnet-t)/('2019'!Tau_j))),Resal+(Salim-Resal)*(1-EXP((Tnet-t)/(Tau_j))))*Salcycl</f>
        <v>3.2989053079995417E-2</v>
      </c>
      <c r="P37" s="169">
        <f>(INDEX(Models!$BJ37:$BT37,,T37)*(1-R37)+INDEX(Models!$BJ37:$BT37,,T37+1)*R37-ERP_i)*Q37*Ramure*Pc/MaxiM</f>
        <v>1.5917750875277232E-5</v>
      </c>
      <c r="Q37" s="304">
        <f t="shared" si="4"/>
        <v>0.6</v>
      </c>
      <c r="R37" s="177">
        <f t="shared" si="5"/>
        <v>1.3511955161771283E-4</v>
      </c>
      <c r="S37" s="799">
        <f t="shared" si="6"/>
        <v>-1</v>
      </c>
      <c r="T37" s="176">
        <f t="shared" si="7"/>
        <v>5</v>
      </c>
      <c r="U37" s="250">
        <f t="shared" si="21"/>
        <v>-0.99986488044838229</v>
      </c>
      <c r="V37" s="382">
        <f t="shared" si="8"/>
        <v>32.759559779059778</v>
      </c>
      <c r="W37" s="58"/>
      <c r="X37" s="157">
        <f t="shared" si="9"/>
        <v>43853</v>
      </c>
      <c r="Y37" s="383">
        <f t="shared" si="10"/>
        <v>12.871</v>
      </c>
      <c r="Z37" s="383">
        <f t="shared" si="11"/>
        <v>12.959363898118678</v>
      </c>
      <c r="AA37" s="384">
        <f t="shared" si="12"/>
        <v>13.401465556719012</v>
      </c>
      <c r="AB37" s="197">
        <f t="shared" si="13"/>
        <v>43853</v>
      </c>
      <c r="AC37" s="424">
        <f>IF(OR(t&lt;Tnet,NoTnet),'2019'!Resal_s+('2019'!Salim-'2019'!Resal_s)*(1-EXP(('2019'!Tnet_s-t)/'2019'!Tau_j)),Resal_s+(Salim-Resal_s)*(1-EXP((Tnet_s-t)/Tau_j)))*Salcycl</f>
        <v>3.2989053079995417E-2</v>
      </c>
      <c r="AD37" s="230">
        <f>(INDEX(Models!$BJ37:$BT37,,AH37)*(1-AF37)+INDEX(Models!$BJ37:$BT37,,AH37+1)*AF37-ERP_i)*AE37*Ramure*Pc/MaxiM</f>
        <v>1.5917750875277232E-5</v>
      </c>
      <c r="AE37" s="304">
        <f t="shared" si="14"/>
        <v>0.6</v>
      </c>
      <c r="AF37" s="177">
        <f t="shared" si="15"/>
        <v>1.3511955161771283E-4</v>
      </c>
      <c r="AG37" s="176">
        <f t="shared" si="16"/>
        <v>-1</v>
      </c>
      <c r="AH37" s="176">
        <f t="shared" si="17"/>
        <v>5</v>
      </c>
      <c r="AI37" s="224">
        <f t="shared" si="22"/>
        <v>-0.99986488044838229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20"/>
        <v>43854</v>
      </c>
      <c r="B38" s="607">
        <v>15.86</v>
      </c>
      <c r="C38" s="388"/>
      <c r="D38" s="391">
        <f t="shared" si="0"/>
        <v>15.969190470114269</v>
      </c>
      <c r="E38" s="383">
        <f t="shared" si="1"/>
        <v>16.515010139641543</v>
      </c>
      <c r="F38" s="383">
        <f t="shared" si="2"/>
        <v>16.51507110876079</v>
      </c>
      <c r="G38" s="110">
        <f t="shared" si="23"/>
        <v>0.47948019369535627</v>
      </c>
      <c r="H38" s="412" t="b">
        <f>Wh_hp&gt;='2019'!Maxi_hp</f>
        <v>1</v>
      </c>
      <c r="I38" s="388">
        <f>IF(H38,Wh_hp,'2019'!Maxi_hp)</f>
        <v>16.51507110876079</v>
      </c>
      <c r="J38" s="85">
        <f>IF(H38,An,'2019'!An_max)</f>
        <v>2020</v>
      </c>
      <c r="K38" s="197">
        <f t="shared" si="3"/>
        <v>43854</v>
      </c>
      <c r="L38" s="147">
        <f>IF(t&lt;Tvie,1-EXP((T0-t)*PertePVj)+'2019'!Pspv,1-EXP((T0-t)*PertePVj)+Pspv)</f>
        <v>6.8375707784696926E-3</v>
      </c>
      <c r="M38" s="832"/>
      <c r="N38" s="832"/>
      <c r="O38" s="48">
        <f>IF(t&lt;Tnet,'2019'!Resal+('2019'!Salim-'2019'!Resal)*(1-EXP(('2019'!Tnet-t)/('2019'!Tau_j))),Resal+(Salim-Resal)*(1-EXP((Tnet-t)/(Tau_j))))*Salcycl</f>
        <v>3.3049914284770769E-2</v>
      </c>
      <c r="P38" s="169">
        <f>(INDEX(Models!$BJ38:$BT38,,T38)*(1-R38)+INDEX(Models!$BJ38:$BT38,,T38+1)*R38-ERP_i)*Q38*Ramure*Pc/MaxiM</f>
        <v>1.4397880422895463E-5</v>
      </c>
      <c r="Q38" s="304">
        <f t="shared" si="4"/>
        <v>0.6</v>
      </c>
      <c r="R38" s="177">
        <f t="shared" si="5"/>
        <v>2.0697126184721082E-4</v>
      </c>
      <c r="S38" s="799">
        <f t="shared" si="6"/>
        <v>-1</v>
      </c>
      <c r="T38" s="176">
        <f t="shared" si="7"/>
        <v>5</v>
      </c>
      <c r="U38" s="250">
        <f t="shared" si="21"/>
        <v>-0.99979302873815279</v>
      </c>
      <c r="V38" s="382">
        <f t="shared" si="8"/>
        <v>33.077133129387413</v>
      </c>
      <c r="W38" s="58"/>
      <c r="X38" s="157">
        <f t="shared" si="9"/>
        <v>43854</v>
      </c>
      <c r="Y38" s="383">
        <f t="shared" si="10"/>
        <v>15.860000000000001</v>
      </c>
      <c r="Z38" s="383">
        <f t="shared" si="11"/>
        <v>15.96919047011427</v>
      </c>
      <c r="AA38" s="384">
        <f t="shared" si="12"/>
        <v>16.515010139641543</v>
      </c>
      <c r="AB38" s="197">
        <f t="shared" si="13"/>
        <v>43854</v>
      </c>
      <c r="AC38" s="424">
        <f>IF(OR(t&lt;Tnet,NoTnet),'2019'!Resal_s+('2019'!Salim-'2019'!Resal_s)*(1-EXP(('2019'!Tnet_s-t)/'2019'!Tau_j)),Resal_s+(Salim-Resal_s)*(1-EXP((Tnet_s-t)/Tau_j)))*Salcycl</f>
        <v>3.3049914284770769E-2</v>
      </c>
      <c r="AD38" s="230">
        <f>(INDEX(Models!$BJ38:$BT38,,AH38)*(1-AF38)+INDEX(Models!$BJ38:$BT38,,AH38+1)*AF38-ERP_i)*AE38*Ramure*Pc/MaxiM</f>
        <v>1.4397880422895463E-5</v>
      </c>
      <c r="AE38" s="304">
        <f t="shared" si="14"/>
        <v>0.6</v>
      </c>
      <c r="AF38" s="177">
        <f t="shared" si="15"/>
        <v>2.0697126184721082E-4</v>
      </c>
      <c r="AG38" s="176">
        <f t="shared" si="16"/>
        <v>-1</v>
      </c>
      <c r="AH38" s="176">
        <f t="shared" si="17"/>
        <v>5</v>
      </c>
      <c r="AI38" s="224">
        <f t="shared" si="22"/>
        <v>-0.99979302873815279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20"/>
        <v>43855</v>
      </c>
      <c r="B39" s="607">
        <v>17.931000000000001</v>
      </c>
      <c r="C39" s="388"/>
      <c r="D39" s="391">
        <f t="shared" si="0"/>
        <v>18.054794585982645</v>
      </c>
      <c r="E39" s="383">
        <f t="shared" si="1"/>
        <v>18.673074443229485</v>
      </c>
      <c r="F39" s="383">
        <f t="shared" si="2"/>
        <v>18.673156749989925</v>
      </c>
      <c r="G39" s="110">
        <f t="shared" si="23"/>
        <v>0.53681687065922279</v>
      </c>
      <c r="H39" s="412" t="b">
        <f>Wh_hp&gt;='2019'!Maxi_hp</f>
        <v>1</v>
      </c>
      <c r="I39" s="388">
        <f>IF(H39,Wh_hp,'2019'!Maxi_hp)</f>
        <v>18.673156749989925</v>
      </c>
      <c r="J39" s="85">
        <f>IF(H39,An,'2019'!An_max)</f>
        <v>2020</v>
      </c>
      <c r="K39" s="197">
        <f t="shared" si="3"/>
        <v>43855</v>
      </c>
      <c r="L39" s="147">
        <f>IF(t&lt;Tvie,1-EXP((T0-t)*PertePVj)+'2019'!Pspv,1-EXP((T0-t)*PertePVj)+Pspv)</f>
        <v>6.8566045098489292E-3</v>
      </c>
      <c r="M39" s="832"/>
      <c r="N39" s="832"/>
      <c r="O39" s="48">
        <f>IF(t&lt;Tnet,'2019'!Resal+('2019'!Salim-'2019'!Resal)*(1-EXP(('2019'!Tnet-t)/('2019'!Tau_j))),Resal+(Salim-Resal)*(1-EXP((Tnet-t)/(Tau_j))))*Salcycl</f>
        <v>3.3110769151944115E-2</v>
      </c>
      <c r="P39" s="169">
        <f>(INDEX(Models!$BJ39:$BT39,,T39)*(1-R39)+INDEX(Models!$BJ39:$BT39,,T39+1)*R39-ERP_i)*Q39*Ramure*Pc/MaxiM</f>
        <v>1.3028507902802545E-5</v>
      </c>
      <c r="Q39" s="304">
        <f t="shared" si="4"/>
        <v>0.6</v>
      </c>
      <c r="R39" s="177">
        <f t="shared" si="5"/>
        <v>2.8181529325543853E-4</v>
      </c>
      <c r="S39" s="799">
        <f t="shared" si="6"/>
        <v>-1</v>
      </c>
      <c r="T39" s="176">
        <f t="shared" si="7"/>
        <v>5</v>
      </c>
      <c r="U39" s="250">
        <f t="shared" si="21"/>
        <v>-0.99971818470674456</v>
      </c>
      <c r="V39" s="382">
        <f t="shared" si="8"/>
        <v>33.402164500971978</v>
      </c>
      <c r="W39" s="58"/>
      <c r="X39" s="157">
        <f t="shared" si="9"/>
        <v>43855</v>
      </c>
      <c r="Y39" s="383">
        <f t="shared" si="10"/>
        <v>17.931000000000001</v>
      </c>
      <c r="Z39" s="383">
        <f t="shared" si="11"/>
        <v>18.054794585982645</v>
      </c>
      <c r="AA39" s="384">
        <f t="shared" si="12"/>
        <v>18.673074443229485</v>
      </c>
      <c r="AB39" s="197">
        <f t="shared" si="13"/>
        <v>43855</v>
      </c>
      <c r="AC39" s="424">
        <f>IF(OR(t&lt;Tnet,NoTnet),'2019'!Resal_s+('2019'!Salim-'2019'!Resal_s)*(1-EXP(('2019'!Tnet_s-t)/'2019'!Tau_j)),Resal_s+(Salim-Resal_s)*(1-EXP((Tnet_s-t)/Tau_j)))*Salcycl</f>
        <v>3.3110769151944115E-2</v>
      </c>
      <c r="AD39" s="230">
        <f>(INDEX(Models!$BJ39:$BT39,,AH39)*(1-AF39)+INDEX(Models!$BJ39:$BT39,,AH39+1)*AF39-ERP_i)*AE39*Ramure*Pc/MaxiM</f>
        <v>1.3028507902802545E-5</v>
      </c>
      <c r="AE39" s="304">
        <f t="shared" si="14"/>
        <v>0.6</v>
      </c>
      <c r="AF39" s="177">
        <f t="shared" si="15"/>
        <v>2.8181529325543853E-4</v>
      </c>
      <c r="AG39" s="176">
        <f t="shared" si="16"/>
        <v>-1</v>
      </c>
      <c r="AH39" s="176">
        <f t="shared" si="17"/>
        <v>5</v>
      </c>
      <c r="AI39" s="224">
        <f t="shared" si="22"/>
        <v>-0.99971818470674456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43856</v>
      </c>
      <c r="B40" s="607">
        <v>6.7210000000000001</v>
      </c>
      <c r="C40" s="388"/>
      <c r="D40" s="391">
        <f t="shared" si="0"/>
        <v>6.7675310931138739</v>
      </c>
      <c r="E40" s="383">
        <f t="shared" si="1"/>
        <v>6.9997232446856614</v>
      </c>
      <c r="F40" s="383">
        <f t="shared" si="2"/>
        <v>6.9997232446856614</v>
      </c>
      <c r="G40" s="110">
        <f t="shared" si="23"/>
        <v>0.19923387545625063</v>
      </c>
      <c r="H40" s="412" t="b">
        <f>Wh_hp&gt;='2019'!Maxi_hp</f>
        <v>1</v>
      </c>
      <c r="I40" s="388">
        <f>IF(H40,Wh_hp,'2019'!Maxi_hp)</f>
        <v>6.9997232446856614</v>
      </c>
      <c r="J40" s="85">
        <f>IF(H40,An,'2019'!An_max)</f>
        <v>2020</v>
      </c>
      <c r="K40" s="197">
        <f t="shared" si="3"/>
        <v>43856</v>
      </c>
      <c r="L40" s="147">
        <f>IF(t&lt;Tvie,1-EXP((T0-t)*PertePVj)+'2019'!Pspv,1-EXP((T0-t)*PertePVj)+Pspv)</f>
        <v>6.8756378764510684E-3</v>
      </c>
      <c r="M40" s="832"/>
      <c r="N40" s="832"/>
      <c r="O40" s="48">
        <f>IF(t&lt;Tnet,'2019'!Resal+('2019'!Salim-'2019'!Resal)*(1-EXP(('2019'!Tnet-t)/('2019'!Tau_j))),Resal+(Salim-Resal)*(1-EXP((Tnet-t)/(Tau_j))))*Salcycl</f>
        <v>3.3171618856227325E-2</v>
      </c>
      <c r="P40" s="169">
        <f>(INDEX(Models!$BJ40:$BT40,,T40)*(1-R40)+INDEX(Models!$BJ40:$BT40,,T40+1)*R40-ERP_i)*Q40*Ramure*Pc/MaxiM</f>
        <v>1.1806494035326429E-5</v>
      </c>
      <c r="Q40" s="304">
        <f t="shared" si="4"/>
        <v>0.6</v>
      </c>
      <c r="R40" s="177">
        <f t="shared" si="5"/>
        <v>3.5977530564812454E-4</v>
      </c>
      <c r="S40" s="799">
        <f t="shared" si="6"/>
        <v>-1</v>
      </c>
      <c r="T40" s="176">
        <f t="shared" si="7"/>
        <v>5</v>
      </c>
      <c r="U40" s="250">
        <f t="shared" si="21"/>
        <v>-0.99964022469435188</v>
      </c>
      <c r="V40" s="382">
        <f t="shared" si="8"/>
        <v>33.733824798431037</v>
      </c>
      <c r="W40" s="58"/>
      <c r="X40" s="157">
        <f t="shared" si="9"/>
        <v>43856</v>
      </c>
      <c r="Y40" s="383">
        <f t="shared" si="10"/>
        <v>6.7210000000000001</v>
      </c>
      <c r="Z40" s="383">
        <f t="shared" si="11"/>
        <v>6.7675310931138739</v>
      </c>
      <c r="AA40" s="384">
        <f t="shared" si="12"/>
        <v>6.9997232446856614</v>
      </c>
      <c r="AB40" s="197">
        <f t="shared" si="13"/>
        <v>43856</v>
      </c>
      <c r="AC40" s="424">
        <f>IF(OR(t&lt;Tnet,NoTnet),'2019'!Resal_s+('2019'!Salim-'2019'!Resal_s)*(1-EXP(('2019'!Tnet_s-t)/'2019'!Tau_j)),Resal_s+(Salim-Resal_s)*(1-EXP((Tnet_s-t)/Tau_j)))*Salcycl</f>
        <v>3.3171618856227325E-2</v>
      </c>
      <c r="AD40" s="230">
        <f>(INDEX(Models!$BJ40:$BT40,,AH40)*(1-AF40)+INDEX(Models!$BJ40:$BT40,,AH40+1)*AF40-ERP_i)*AE40*Ramure*Pc/MaxiM</f>
        <v>1.1806494035326429E-5</v>
      </c>
      <c r="AE40" s="304">
        <f t="shared" si="14"/>
        <v>0.6</v>
      </c>
      <c r="AF40" s="177">
        <f t="shared" si="15"/>
        <v>3.5977530564812454E-4</v>
      </c>
      <c r="AG40" s="176">
        <f t="shared" si="16"/>
        <v>-1</v>
      </c>
      <c r="AH40" s="176">
        <f t="shared" si="17"/>
        <v>5</v>
      </c>
      <c r="AI40" s="224">
        <f t="shared" si="22"/>
        <v>-0.99964022469435188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20"/>
        <v>43857</v>
      </c>
      <c r="B41" s="607">
        <v>11.53</v>
      </c>
      <c r="C41" s="388"/>
      <c r="D41" s="391">
        <f t="shared" si="0"/>
        <v>11.610047456090994</v>
      </c>
      <c r="E41" s="383">
        <f t="shared" si="1"/>
        <v>12.00914079896247</v>
      </c>
      <c r="F41" s="383">
        <f t="shared" si="2"/>
        <v>12.009147868280655</v>
      </c>
      <c r="G41" s="110">
        <f t="shared" si="23"/>
        <v>0.33840470111684057</v>
      </c>
      <c r="H41" s="412" t="b">
        <f>Wh_hp&gt;='2019'!Maxi_hp</f>
        <v>1</v>
      </c>
      <c r="I41" s="388">
        <f>IF(H41,Wh_hp,'2019'!Maxi_hp)</f>
        <v>12.009147868280655</v>
      </c>
      <c r="J41" s="85">
        <f>IF(H41,An,'2019'!An_max)</f>
        <v>2020</v>
      </c>
      <c r="K41" s="197">
        <f t="shared" si="3"/>
        <v>43857</v>
      </c>
      <c r="L41" s="147">
        <f>IF(t&lt;Tvie,1-EXP((T0-t)*PertePVj)+'2019'!Pspv,1-EXP((T0-t)*PertePVj)+Pspv)</f>
        <v>6.8946708782831045E-3</v>
      </c>
      <c r="M41" s="832"/>
      <c r="N41" s="832"/>
      <c r="O41" s="48">
        <f>IF(t&lt;Tnet,'2019'!Resal+('2019'!Salim-'2019'!Resal)*(1-EXP(('2019'!Tnet-t)/('2019'!Tau_j))),Resal+(Salim-Resal)*(1-EXP((Tnet-t)/(Tau_j))))*Salcycl</f>
        <v>3.3232464299690345E-2</v>
      </c>
      <c r="P41" s="169">
        <f>(INDEX(Models!$BJ41:$BT41,,T41)*(1-R41)+INDEX(Models!$BJ41:$BT41,,T41+1)*R41-ERP_i)*Q41*Ramure*Pc/MaxiM</f>
        <v>1.0728529149329598E-5</v>
      </c>
      <c r="Q41" s="304">
        <f t="shared" si="4"/>
        <v>0.6</v>
      </c>
      <c r="R41" s="177">
        <f t="shared" si="5"/>
        <v>4.4097998746983613E-4</v>
      </c>
      <c r="S41" s="799">
        <f t="shared" si="6"/>
        <v>-1</v>
      </c>
      <c r="T41" s="176">
        <f t="shared" si="7"/>
        <v>5</v>
      </c>
      <c r="U41" s="250">
        <f t="shared" si="21"/>
        <v>-0.99955902001253016</v>
      </c>
      <c r="V41" s="382">
        <f t="shared" si="8"/>
        <v>34.071285207328287</v>
      </c>
      <c r="W41" s="58"/>
      <c r="X41" s="157">
        <f t="shared" si="9"/>
        <v>43857</v>
      </c>
      <c r="Y41" s="383">
        <f t="shared" si="10"/>
        <v>11.53</v>
      </c>
      <c r="Z41" s="383">
        <f t="shared" si="11"/>
        <v>11.610047456090994</v>
      </c>
      <c r="AA41" s="384">
        <f t="shared" si="12"/>
        <v>12.00914079896247</v>
      </c>
      <c r="AB41" s="197">
        <f t="shared" si="13"/>
        <v>43857</v>
      </c>
      <c r="AC41" s="424">
        <f>IF(OR(t&lt;Tnet,NoTnet),'2019'!Resal_s+('2019'!Salim-'2019'!Resal_s)*(1-EXP(('2019'!Tnet_s-t)/'2019'!Tau_j)),Resal_s+(Salim-Resal_s)*(1-EXP((Tnet_s-t)/Tau_j)))*Salcycl</f>
        <v>3.3232464299690345E-2</v>
      </c>
      <c r="AD41" s="230">
        <f>(INDEX(Models!$BJ41:$BT41,,AH41)*(1-AF41)+INDEX(Models!$BJ41:$BT41,,AH41+1)*AF41-ERP_i)*AE41*Ramure*Pc/MaxiM</f>
        <v>1.0728529149329598E-5</v>
      </c>
      <c r="AE41" s="304">
        <f t="shared" si="14"/>
        <v>0.6</v>
      </c>
      <c r="AF41" s="177">
        <f t="shared" si="15"/>
        <v>4.4097998746983613E-4</v>
      </c>
      <c r="AG41" s="176">
        <f t="shared" si="16"/>
        <v>-1</v>
      </c>
      <c r="AH41" s="176">
        <f t="shared" si="17"/>
        <v>5</v>
      </c>
      <c r="AI41" s="224">
        <f t="shared" si="22"/>
        <v>-0.99955902001253016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43858</v>
      </c>
      <c r="B42" s="607">
        <v>16.702000000000002</v>
      </c>
      <c r="C42" s="388"/>
      <c r="D42" s="391">
        <f t="shared" si="0"/>
        <v>16.818276577898782</v>
      </c>
      <c r="E42" s="383">
        <f t="shared" si="1"/>
        <v>17.397496762643819</v>
      </c>
      <c r="F42" s="383">
        <f t="shared" si="2"/>
        <v>17.397541861988518</v>
      </c>
      <c r="G42" s="110">
        <f t="shared" si="23"/>
        <v>0.48532623397295227</v>
      </c>
      <c r="H42" s="412" t="b">
        <f>Wh_hp&gt;='2019'!Maxi_hp</f>
        <v>1</v>
      </c>
      <c r="I42" s="388">
        <f>IF(H42,Wh_hp,'2019'!Maxi_hp)</f>
        <v>17.397541861988518</v>
      </c>
      <c r="J42" s="85">
        <f>IF(H42,An,'2019'!An_max)</f>
        <v>2020</v>
      </c>
      <c r="K42" s="197">
        <f t="shared" si="3"/>
        <v>43858</v>
      </c>
      <c r="L42" s="147">
        <f>IF(t&lt;Tvie,1-EXP((T0-t)*PertePVj)+'2019'!Pspv,1-EXP((T0-t)*PertePVj)+Pspv)</f>
        <v>6.9137035153519211E-3</v>
      </c>
      <c r="M42" s="832"/>
      <c r="N42" s="832"/>
      <c r="O42" s="48">
        <f>IF(t&lt;Tnet,'2019'!Resal+('2019'!Salim-'2019'!Resal)*(1-EXP(('2019'!Tnet-t)/('2019'!Tau_j))),Resal+(Salim-Resal)*(1-EXP((Tnet-t)/(Tau_j))))*Salcycl</f>
        <v>3.329330608003022E-2</v>
      </c>
      <c r="P42" s="169">
        <f>(INDEX(Models!$BJ42:$BT42,,T42)*(1-R42)+INDEX(Models!$BJ42:$BT42,,T42+1)*R42-ERP_i)*Q42*Ramure*Pc/MaxiM</f>
        <v>9.7911858350339236E-6</v>
      </c>
      <c r="Q42" s="304">
        <f t="shared" si="4"/>
        <v>0.6</v>
      </c>
      <c r="R42" s="177">
        <f t="shared" si="5"/>
        <v>5.2556325331576392E-4</v>
      </c>
      <c r="S42" s="799">
        <f t="shared" si="6"/>
        <v>-1</v>
      </c>
      <c r="T42" s="176">
        <f t="shared" si="7"/>
        <v>5</v>
      </c>
      <c r="U42" s="250">
        <f t="shared" si="21"/>
        <v>-0.99947443674668424</v>
      </c>
      <c r="V42" s="382">
        <f t="shared" si="8"/>
        <v>34.413717195714092</v>
      </c>
      <c r="W42" s="58"/>
      <c r="X42" s="157">
        <f t="shared" si="9"/>
        <v>43858</v>
      </c>
      <c r="Y42" s="383">
        <f t="shared" si="10"/>
        <v>16.702000000000002</v>
      </c>
      <c r="Z42" s="383">
        <f t="shared" si="11"/>
        <v>16.818276577898782</v>
      </c>
      <c r="AA42" s="384">
        <f t="shared" si="12"/>
        <v>17.397496762643819</v>
      </c>
      <c r="AB42" s="197">
        <f t="shared" si="13"/>
        <v>43858</v>
      </c>
      <c r="AC42" s="424">
        <f>IF(OR(t&lt;Tnet,NoTnet),'2019'!Resal_s+('2019'!Salim-'2019'!Resal_s)*(1-EXP(('2019'!Tnet_s-t)/'2019'!Tau_j)),Resal_s+(Salim-Resal_s)*(1-EXP((Tnet_s-t)/Tau_j)))*Salcycl</f>
        <v>3.329330608003022E-2</v>
      </c>
      <c r="AD42" s="230">
        <f>(INDEX(Models!$BJ42:$BT42,,AH42)*(1-AF42)+INDEX(Models!$BJ42:$BT42,,AH42+1)*AF42-ERP_i)*AE42*Ramure*Pc/MaxiM</f>
        <v>9.7911858350339236E-6</v>
      </c>
      <c r="AE42" s="304">
        <f t="shared" si="14"/>
        <v>0.6</v>
      </c>
      <c r="AF42" s="177">
        <f t="shared" si="15"/>
        <v>5.2556325331576392E-4</v>
      </c>
      <c r="AG42" s="176">
        <f t="shared" si="16"/>
        <v>-1</v>
      </c>
      <c r="AH42" s="176">
        <f t="shared" si="17"/>
        <v>5</v>
      </c>
      <c r="AI42" s="224">
        <f t="shared" si="22"/>
        <v>-0.99947443674668424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20"/>
        <v>43859</v>
      </c>
      <c r="B43" s="607">
        <v>21.657</v>
      </c>
      <c r="C43" s="388"/>
      <c r="D43" s="391">
        <f t="shared" si="0"/>
        <v>21.808190422204223</v>
      </c>
      <c r="E43" s="383">
        <f t="shared" si="1"/>
        <v>22.560682691936147</v>
      </c>
      <c r="F43" s="383">
        <f t="shared" si="2"/>
        <v>22.560776300734982</v>
      </c>
      <c r="G43" s="110">
        <f t="shared" si="23"/>
        <v>0.62303546881518113</v>
      </c>
      <c r="H43" s="412" t="b">
        <f>Wh_hp&gt;='2019'!Maxi_hp</f>
        <v>1</v>
      </c>
      <c r="I43" s="388">
        <f>IF(H43,Wh_hp,'2019'!Maxi_hp)</f>
        <v>22.560776300734982</v>
      </c>
      <c r="J43" s="85">
        <f>IF(H43,An,'2019'!An_max)</f>
        <v>2020</v>
      </c>
      <c r="K43" s="197">
        <f t="shared" si="3"/>
        <v>43859</v>
      </c>
      <c r="L43" s="147">
        <f>IF(t&lt;Tvie,1-EXP((T0-t)*PertePVj)+'2019'!Pspv,1-EXP((T0-t)*PertePVj)+Pspv)</f>
        <v>6.9327357876647344E-3</v>
      </c>
      <c r="M43" s="832"/>
      <c r="N43" s="832"/>
      <c r="O43" s="48">
        <f>IF(t&lt;Tnet,'2019'!Resal+('2019'!Salim-'2019'!Resal)*(1-EXP(('2019'!Tnet-t)/('2019'!Tau_j))),Resal+(Salim-Resal)*(1-EXP((Tnet-t)/(Tau_j))))*Salcycl</f>
        <v>3.3354144464825361E-2</v>
      </c>
      <c r="P43" s="169">
        <f>(INDEX(Models!$BJ43:$BT43,,T43)*(1-R43)+INDEX(Models!$BJ43:$BT43,,T43+1)*R43-ERP_i)*Q43*Ramure*Pc/MaxiM</f>
        <v>8.9909670850204329E-6</v>
      </c>
      <c r="Q43" s="304">
        <f t="shared" si="4"/>
        <v>0.6</v>
      </c>
      <c r="R43" s="177">
        <f t="shared" si="5"/>
        <v>6.1366444860100344E-4</v>
      </c>
      <c r="S43" s="799">
        <f t="shared" si="6"/>
        <v>-1</v>
      </c>
      <c r="T43" s="176">
        <f t="shared" si="7"/>
        <v>5</v>
      </c>
      <c r="U43" s="250">
        <f t="shared" si="21"/>
        <v>-0.999386335551399</v>
      </c>
      <c r="V43" s="382">
        <f t="shared" si="8"/>
        <v>34.760292511501163</v>
      </c>
      <c r="W43" s="58"/>
      <c r="X43" s="157">
        <f t="shared" si="9"/>
        <v>43859</v>
      </c>
      <c r="Y43" s="383">
        <f t="shared" si="10"/>
        <v>21.657</v>
      </c>
      <c r="Z43" s="383">
        <f t="shared" si="11"/>
        <v>21.808190422204223</v>
      </c>
      <c r="AA43" s="384">
        <f t="shared" si="12"/>
        <v>22.560682691936147</v>
      </c>
      <c r="AB43" s="197">
        <f t="shared" si="13"/>
        <v>43859</v>
      </c>
      <c r="AC43" s="424">
        <f>IF(OR(t&lt;Tnet,NoTnet),'2019'!Resal_s+('2019'!Salim-'2019'!Resal_s)*(1-EXP(('2019'!Tnet_s-t)/'2019'!Tau_j)),Resal_s+(Salim-Resal_s)*(1-EXP((Tnet_s-t)/Tau_j)))*Salcycl</f>
        <v>3.3354144464825361E-2</v>
      </c>
      <c r="AD43" s="230">
        <f>(INDEX(Models!$BJ43:$BT43,,AH43)*(1-AF43)+INDEX(Models!$BJ43:$BT43,,AH43+1)*AF43-ERP_i)*AE43*Ramure*Pc/MaxiM</f>
        <v>8.9909670850204329E-6</v>
      </c>
      <c r="AE43" s="304">
        <f t="shared" si="14"/>
        <v>0.6</v>
      </c>
      <c r="AF43" s="177">
        <f t="shared" si="15"/>
        <v>6.1366444860100344E-4</v>
      </c>
      <c r="AG43" s="176">
        <f t="shared" si="16"/>
        <v>-1</v>
      </c>
      <c r="AH43" s="176">
        <f t="shared" si="17"/>
        <v>5</v>
      </c>
      <c r="AI43" s="224">
        <f t="shared" si="22"/>
        <v>-0.999386335551399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43860</v>
      </c>
      <c r="B44" s="607">
        <v>11.811999999999999</v>
      </c>
      <c r="C44" s="388"/>
      <c r="D44" s="391">
        <f t="shared" si="0"/>
        <v>11.894689115538181</v>
      </c>
      <c r="E44" s="383">
        <f t="shared" si="1"/>
        <v>12.305890182127571</v>
      </c>
      <c r="F44" s="383">
        <f t="shared" si="2"/>
        <v>12.305895524222464</v>
      </c>
      <c r="G44" s="110">
        <f t="shared" si="23"/>
        <v>0.33642395818280257</v>
      </c>
      <c r="H44" s="412" t="b">
        <f>Wh_hp&gt;='2019'!Maxi_hp</f>
        <v>1</v>
      </c>
      <c r="I44" s="388">
        <f>IF(H44,Wh_hp,'2019'!Maxi_hp)</f>
        <v>12.305895524222464</v>
      </c>
      <c r="J44" s="85">
        <f>IF(H44,An,'2019'!An_max)</f>
        <v>2020</v>
      </c>
      <c r="K44" s="197">
        <f t="shared" si="3"/>
        <v>43860</v>
      </c>
      <c r="L44" s="147">
        <f>IF(t&lt;Tvie,1-EXP((T0-t)*PertePVj)+'2019'!Pspv,1-EXP((T0-t)*PertePVj)+Pspv)</f>
        <v>6.9517676952283169E-3</v>
      </c>
      <c r="M44" s="832"/>
      <c r="N44" s="832"/>
      <c r="O44" s="48">
        <f>IF(t&lt;Tnet,'2019'!Resal+('2019'!Salim-'2019'!Resal)*(1-EXP(('2019'!Tnet-t)/('2019'!Tau_j))),Resal+(Salim-Resal)*(1-EXP((Tnet-t)/(Tau_j))))*Salcycl</f>
        <v>3.3414979371959315E-2</v>
      </c>
      <c r="P44" s="169">
        <f>(INDEX(Models!$BJ44:$BT44,,T44)*(1-R44)+INDEX(Models!$BJ44:$BT44,,T44+1)*R44-ERP_i)*Q44*Ramure*Pc/MaxiM</f>
        <v>8.3421415620605314E-6</v>
      </c>
      <c r="Q44" s="304">
        <f t="shared" si="4"/>
        <v>0.6</v>
      </c>
      <c r="R44" s="177">
        <f t="shared" si="5"/>
        <v>7.0542856159450107E-4</v>
      </c>
      <c r="S44" s="799">
        <f t="shared" si="6"/>
        <v>-1</v>
      </c>
      <c r="T44" s="176">
        <f t="shared" si="7"/>
        <v>5</v>
      </c>
      <c r="U44" s="250">
        <f t="shared" si="21"/>
        <v>-0.9992945714384055</v>
      </c>
      <c r="V44" s="382">
        <f t="shared" si="8"/>
        <v>35.110182562728461</v>
      </c>
      <c r="W44" s="58"/>
      <c r="X44" s="157">
        <f t="shared" si="9"/>
        <v>43860</v>
      </c>
      <c r="Y44" s="383">
        <f t="shared" si="10"/>
        <v>11.811999999999999</v>
      </c>
      <c r="Z44" s="383">
        <f t="shared" si="11"/>
        <v>11.894689115538181</v>
      </c>
      <c r="AA44" s="384">
        <f t="shared" si="12"/>
        <v>12.305890182127571</v>
      </c>
      <c r="AB44" s="197">
        <f t="shared" si="13"/>
        <v>43860</v>
      </c>
      <c r="AC44" s="424">
        <f>IF(OR(t&lt;Tnet,NoTnet),'2019'!Resal_s+('2019'!Salim-'2019'!Resal_s)*(1-EXP(('2019'!Tnet_s-t)/'2019'!Tau_j)),Resal_s+(Salim-Resal_s)*(1-EXP((Tnet_s-t)/Tau_j)))*Salcycl</f>
        <v>3.3414979371959315E-2</v>
      </c>
      <c r="AD44" s="230">
        <f>(INDEX(Models!$BJ44:$BT44,,AH44)*(1-AF44)+INDEX(Models!$BJ44:$BT44,,AH44+1)*AF44-ERP_i)*AE44*Ramure*Pc/MaxiM</f>
        <v>8.3421415620605314E-6</v>
      </c>
      <c r="AE44" s="304">
        <f t="shared" si="14"/>
        <v>0.6</v>
      </c>
      <c r="AF44" s="177">
        <f t="shared" si="15"/>
        <v>7.0542856159450107E-4</v>
      </c>
      <c r="AG44" s="176">
        <f t="shared" si="16"/>
        <v>-1</v>
      </c>
      <c r="AH44" s="176">
        <f t="shared" si="17"/>
        <v>5</v>
      </c>
      <c r="AI44" s="224">
        <f t="shared" si="22"/>
        <v>-0.9992945714384055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43861</v>
      </c>
      <c r="B45" s="607">
        <v>22.295999999999999</v>
      </c>
      <c r="C45" s="388"/>
      <c r="D45" s="391">
        <f t="shared" si="0"/>
        <v>22.452511953215776</v>
      </c>
      <c r="E45" s="383">
        <f t="shared" si="1"/>
        <v>23.230160397220253</v>
      </c>
      <c r="F45" s="383">
        <f t="shared" si="2"/>
        <v>23.230245238916424</v>
      </c>
      <c r="G45" s="110">
        <f t="shared" si="23"/>
        <v>0.62871678816587062</v>
      </c>
      <c r="H45" s="412" t="b">
        <f>Wh_hp&gt;='2019'!Maxi_hp</f>
        <v>1</v>
      </c>
      <c r="I45" s="388">
        <f>IF(H45,Wh_hp,'2019'!Maxi_hp)</f>
        <v>23.230245238916424</v>
      </c>
      <c r="J45" s="85">
        <f>IF(H45,An,'2019'!An_max)</f>
        <v>2020</v>
      </c>
      <c r="K45" s="197">
        <f t="shared" si="3"/>
        <v>43861</v>
      </c>
      <c r="L45" s="147">
        <f>IF(t&lt;Tvie,1-EXP((T0-t)*PertePVj)+'2019'!Pspv,1-EXP((T0-t)*PertePVj)+Pspv)</f>
        <v>6.9707992380496631E-3</v>
      </c>
      <c r="M45" s="832"/>
      <c r="N45" s="832"/>
      <c r="O45" s="48">
        <f>IF(t&lt;Tnet,'2019'!Resal+('2019'!Salim-'2019'!Resal)*(1-EXP(('2019'!Tnet-t)/('2019'!Tau_j))),Resal+(Salim-Resal)*(1-EXP((Tnet-t)/(Tau_j))))*Salcycl</f>
        <v>3.3475810356330217E-2</v>
      </c>
      <c r="P45" s="169">
        <f>(INDEX(Models!$BJ45:$BT45,,T45)*(1-R45)+INDEX(Models!$BJ45:$BT45,,T45+1)*R45-ERP_i)*Q45*Ramure*Pc/MaxiM</f>
        <v>7.7772896991440414E-6</v>
      </c>
      <c r="Q45" s="304">
        <f t="shared" si="4"/>
        <v>0.6</v>
      </c>
      <c r="R45" s="177">
        <f t="shared" si="5"/>
        <v>8.0100644302460999E-4</v>
      </c>
      <c r="S45" s="799">
        <f t="shared" si="6"/>
        <v>-1</v>
      </c>
      <c r="T45" s="176">
        <f t="shared" si="7"/>
        <v>5</v>
      </c>
      <c r="U45" s="250">
        <f t="shared" si="21"/>
        <v>-0.99919899355697539</v>
      </c>
      <c r="V45" s="382">
        <f t="shared" si="8"/>
        <v>35.462561914234513</v>
      </c>
      <c r="W45" s="58"/>
      <c r="X45" s="157">
        <f t="shared" si="9"/>
        <v>43861</v>
      </c>
      <c r="Y45" s="383">
        <f t="shared" si="10"/>
        <v>22.295999999999999</v>
      </c>
      <c r="Z45" s="383">
        <f t="shared" si="11"/>
        <v>22.452511953215776</v>
      </c>
      <c r="AA45" s="384">
        <f t="shared" si="12"/>
        <v>23.230160397220253</v>
      </c>
      <c r="AB45" s="197">
        <f t="shared" si="13"/>
        <v>43861</v>
      </c>
      <c r="AC45" s="424">
        <f>IF(OR(t&lt;Tnet,NoTnet),'2019'!Resal_s+('2019'!Salim-'2019'!Resal_s)*(1-EXP(('2019'!Tnet_s-t)/'2019'!Tau_j)),Resal_s+(Salim-Resal_s)*(1-EXP((Tnet_s-t)/Tau_j)))*Salcycl</f>
        <v>3.3475810356330217E-2</v>
      </c>
      <c r="AD45" s="230">
        <f>(INDEX(Models!$BJ45:$BT45,,AH45)*(1-AF45)+INDEX(Models!$BJ45:$BT45,,AH45+1)*AF45-ERP_i)*AE45*Ramure*Pc/MaxiM</f>
        <v>7.7772896991440414E-6</v>
      </c>
      <c r="AE45" s="304">
        <f t="shared" si="14"/>
        <v>0.6</v>
      </c>
      <c r="AF45" s="177">
        <f t="shared" si="15"/>
        <v>8.0100644302460999E-4</v>
      </c>
      <c r="AG45" s="176">
        <f t="shared" si="16"/>
        <v>-1</v>
      </c>
      <c r="AH45" s="176">
        <f t="shared" si="17"/>
        <v>5</v>
      </c>
      <c r="AI45" s="224">
        <f t="shared" si="22"/>
        <v>-0.99919899355697539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43862</v>
      </c>
      <c r="B46" s="607">
        <v>11.86</v>
      </c>
      <c r="C46" s="388"/>
      <c r="D46" s="391">
        <f t="shared" si="0"/>
        <v>11.943482920190144</v>
      </c>
      <c r="E46" s="383">
        <f t="shared" si="1"/>
        <v>12.357926200336204</v>
      </c>
      <c r="F46" s="383">
        <f t="shared" si="2"/>
        <v>12.357930209259345</v>
      </c>
      <c r="G46" s="110">
        <f t="shared" si="23"/>
        <v>0.33112903759270529</v>
      </c>
      <c r="H46" s="412" t="b">
        <f>Wh_hp&gt;='2019'!Maxi_hp</f>
        <v>1</v>
      </c>
      <c r="I46" s="388">
        <f>IF(H46,Wh_hp,'2019'!Maxi_hp)</f>
        <v>12.357930209259345</v>
      </c>
      <c r="J46" s="85">
        <f>IF(H46,An,'2019'!An_max)</f>
        <v>2020</v>
      </c>
      <c r="K46" s="197">
        <f t="shared" si="3"/>
        <v>43862</v>
      </c>
      <c r="L46" s="147">
        <f>IF(t&lt;Tvie,1-EXP((T0-t)*PertePVj)+'2019'!Pspv,1-EXP((T0-t)*PertePVj)+Pspv)</f>
        <v>6.9898304161358782E-3</v>
      </c>
      <c r="M46" s="832"/>
      <c r="N46" s="832"/>
      <c r="O46" s="48">
        <f>IF(t&lt;Tnet,'2019'!Resal+('2019'!Salim-'2019'!Resal)*(1-EXP(('2019'!Tnet-t)/('2019'!Tau_j))),Resal+(Salim-Resal)*(1-EXP((Tnet-t)/(Tau_j))))*Salcycl</f>
        <v>3.353663660289416E-2</v>
      </c>
      <c r="P46" s="169">
        <f>(INDEX(Models!$BJ46:$BT46,,T46)*(1-R46)+INDEX(Models!$BJ46:$BT46,,T46+1)*R46-ERP_i)*Q46*Ramure*Pc/MaxiM</f>
        <v>7.2942751271799698E-6</v>
      </c>
      <c r="Q46" s="304">
        <f t="shared" si="4"/>
        <v>0.6</v>
      </c>
      <c r="R46" s="177">
        <f t="shared" si="5"/>
        <v>9.0055503346508914E-4</v>
      </c>
      <c r="S46" s="799">
        <f t="shared" si="6"/>
        <v>-1</v>
      </c>
      <c r="T46" s="176">
        <f t="shared" si="7"/>
        <v>5</v>
      </c>
      <c r="U46" s="250">
        <f t="shared" si="21"/>
        <v>-0.99909944496653491</v>
      </c>
      <c r="V46" s="382">
        <f t="shared" si="8"/>
        <v>35.816603169222041</v>
      </c>
      <c r="W46" s="58"/>
      <c r="X46" s="157">
        <f t="shared" si="9"/>
        <v>43862</v>
      </c>
      <c r="Y46" s="383">
        <f t="shared" si="10"/>
        <v>11.86</v>
      </c>
      <c r="Z46" s="383">
        <f t="shared" si="11"/>
        <v>11.943482920190144</v>
      </c>
      <c r="AA46" s="384">
        <f t="shared" si="12"/>
        <v>12.357926200336204</v>
      </c>
      <c r="AB46" s="197">
        <f t="shared" si="13"/>
        <v>43862</v>
      </c>
      <c r="AC46" s="424">
        <f>IF(OR(t&lt;Tnet,NoTnet),'2019'!Resal_s+('2019'!Salim-'2019'!Resal_s)*(1-EXP(('2019'!Tnet_s-t)/'2019'!Tau_j)),Resal_s+(Salim-Resal_s)*(1-EXP((Tnet_s-t)/Tau_j)))*Salcycl</f>
        <v>3.353663660289416E-2</v>
      </c>
      <c r="AD46" s="230">
        <f>(INDEX(Models!$BJ46:$BT46,,AH46)*(1-AF46)+INDEX(Models!$BJ46:$BT46,,AH46+1)*AF46-ERP_i)*AE46*Ramure*Pc/MaxiM</f>
        <v>7.2942751271799698E-6</v>
      </c>
      <c r="AE46" s="304">
        <f t="shared" si="14"/>
        <v>0.6</v>
      </c>
      <c r="AF46" s="177">
        <f t="shared" si="15"/>
        <v>9.0055503346508914E-4</v>
      </c>
      <c r="AG46" s="176">
        <f t="shared" si="16"/>
        <v>-1</v>
      </c>
      <c r="AH46" s="176">
        <f t="shared" si="17"/>
        <v>5</v>
      </c>
      <c r="AI46" s="224">
        <f t="shared" si="22"/>
        <v>-0.99909944496653491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43863</v>
      </c>
      <c r="B47" s="607">
        <v>30.498999999999999</v>
      </c>
      <c r="C47" s="388"/>
      <c r="D47" s="391">
        <f t="shared" si="0"/>
        <v>30.714272070708518</v>
      </c>
      <c r="E47" s="383">
        <f t="shared" si="1"/>
        <v>31.782068756784518</v>
      </c>
      <c r="F47" s="383">
        <f t="shared" si="2"/>
        <v>31.782238702494652</v>
      </c>
      <c r="G47" s="110">
        <f t="shared" si="23"/>
        <v>0.84317682259616056</v>
      </c>
      <c r="H47" s="412" t="b">
        <f>Wh_hp&gt;='2019'!Maxi_hp</f>
        <v>1</v>
      </c>
      <c r="I47" s="388">
        <f>IF(H47,Wh_hp,'2019'!Maxi_hp)</f>
        <v>31.782238702494652</v>
      </c>
      <c r="J47" s="85">
        <f>IF(H47,An,'2019'!An_max)</f>
        <v>2020</v>
      </c>
      <c r="K47" s="197">
        <f t="shared" si="3"/>
        <v>43863</v>
      </c>
      <c r="L47" s="147">
        <f>IF(t&lt;Tvie,1-EXP((T0-t)*PertePVj)+'2019'!Pspv,1-EXP((T0-t)*PertePVj)+Pspv)</f>
        <v>7.0088612294939567E-3</v>
      </c>
      <c r="M47" s="832"/>
      <c r="N47" s="832"/>
      <c r="O47" s="48">
        <f>IF(t&lt;Tnet,'2019'!Resal+('2019'!Salim-'2019'!Resal)*(1-EXP(('2019'!Tnet-t)/('2019'!Tau_j))),Resal+(Salim-Resal)*(1-EXP((Tnet-t)/(Tau_j))))*Salcycl</f>
        <v>3.3597456926023991E-2</v>
      </c>
      <c r="P47" s="169">
        <f>(INDEX(Models!$BJ47:$BT47,,T47)*(1-R47)+INDEX(Models!$BJ47:$BT47,,T47+1)*R47-ERP_i)*Q47*Ramure*Pc/MaxiM</f>
        <v>6.8909879453489305E-6</v>
      </c>
      <c r="Q47" s="304">
        <f t="shared" si="4"/>
        <v>0.6</v>
      </c>
      <c r="R47" s="177">
        <f t="shared" si="5"/>
        <v>1.0042375987099339E-3</v>
      </c>
      <c r="S47" s="799">
        <f t="shared" si="6"/>
        <v>-1</v>
      </c>
      <c r="T47" s="176">
        <f t="shared" si="7"/>
        <v>5</v>
      </c>
      <c r="U47" s="250">
        <f t="shared" si="21"/>
        <v>-0.99899576240129007</v>
      </c>
      <c r="V47" s="382">
        <f t="shared" si="8"/>
        <v>36.171479217831468</v>
      </c>
      <c r="W47" s="58"/>
      <c r="X47" s="157">
        <f t="shared" si="9"/>
        <v>43863</v>
      </c>
      <c r="Y47" s="383">
        <f t="shared" si="10"/>
        <v>30.498999999999999</v>
      </c>
      <c r="Z47" s="383">
        <f t="shared" si="11"/>
        <v>30.714272070708518</v>
      </c>
      <c r="AA47" s="384">
        <f t="shared" si="12"/>
        <v>31.782068756784518</v>
      </c>
      <c r="AB47" s="197">
        <f t="shared" si="13"/>
        <v>43863</v>
      </c>
      <c r="AC47" s="424">
        <f>IF(OR(t&lt;Tnet,NoTnet),'2019'!Resal_s+('2019'!Salim-'2019'!Resal_s)*(1-EXP(('2019'!Tnet_s-t)/'2019'!Tau_j)),Resal_s+(Salim-Resal_s)*(1-EXP((Tnet_s-t)/Tau_j)))*Salcycl</f>
        <v>3.3597456926023991E-2</v>
      </c>
      <c r="AD47" s="230">
        <f>(INDEX(Models!$BJ47:$BT47,,AH47)*(1-AF47)+INDEX(Models!$BJ47:$BT47,,AH47+1)*AF47-ERP_i)*AE47*Ramure*Pc/MaxiM</f>
        <v>6.8909879453489305E-6</v>
      </c>
      <c r="AE47" s="304">
        <f t="shared" si="14"/>
        <v>0.6</v>
      </c>
      <c r="AF47" s="177">
        <f t="shared" si="15"/>
        <v>1.0042375987099339E-3</v>
      </c>
      <c r="AG47" s="176">
        <f t="shared" si="16"/>
        <v>-1</v>
      </c>
      <c r="AH47" s="176">
        <f t="shared" si="17"/>
        <v>5</v>
      </c>
      <c r="AI47" s="224">
        <f t="shared" si="22"/>
        <v>-0.99899576240129007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43864</v>
      </c>
      <c r="B48" s="607">
        <v>28.248999999999999</v>
      </c>
      <c r="C48" s="388"/>
      <c r="D48" s="391">
        <f t="shared" si="0"/>
        <v>28.448936040853187</v>
      </c>
      <c r="E48" s="383">
        <f t="shared" si="1"/>
        <v>29.439829773502723</v>
      </c>
      <c r="F48" s="383">
        <f t="shared" si="2"/>
        <v>29.439960485046544</v>
      </c>
      <c r="G48" s="110">
        <f t="shared" si="23"/>
        <v>0.77338495966251897</v>
      </c>
      <c r="H48" s="412" t="b">
        <f>Wh_hp&gt;='2019'!Maxi_hp</f>
        <v>1</v>
      </c>
      <c r="I48" s="388">
        <f>IF(H48,Wh_hp,'2019'!Maxi_hp)</f>
        <v>29.439960485046544</v>
      </c>
      <c r="J48" s="85">
        <f>IF(H48,An,'2019'!An_max)</f>
        <v>2020</v>
      </c>
      <c r="K48" s="197">
        <f t="shared" si="3"/>
        <v>43864</v>
      </c>
      <c r="L48" s="147">
        <f>IF(t&lt;Tvie,1-EXP((T0-t)*PertePVj)+'2019'!Pspv,1-EXP((T0-t)*PertePVj)+Pspv)</f>
        <v>7.0278916781307821E-3</v>
      </c>
      <c r="M48" s="832"/>
      <c r="N48" s="832"/>
      <c r="O48" s="48">
        <f>IF(t&lt;Tnet,'2019'!Resal+('2019'!Salim-'2019'!Resal)*(1-EXP(('2019'!Tnet-t)/('2019'!Tau_j))),Resal+(Salim-Resal)*(1-EXP((Tnet-t)/(Tau_j))))*Salcycl</f>
        <v>3.3658269775098663E-2</v>
      </c>
      <c r="P48" s="169">
        <f>(INDEX(Models!$BJ48:$BT48,,T48)*(1-R48)+INDEX(Models!$BJ48:$BT48,,T48+1)*R48-ERP_i)*Q48*Ramure*Pc/MaxiM</f>
        <v>6.5653638247758364E-6</v>
      </c>
      <c r="Q48" s="304">
        <f t="shared" si="4"/>
        <v>0.6</v>
      </c>
      <c r="R48" s="177">
        <f t="shared" si="5"/>
        <v>1.112223973342874E-3</v>
      </c>
      <c r="S48" s="799">
        <f t="shared" si="6"/>
        <v>-1</v>
      </c>
      <c r="T48" s="176">
        <f t="shared" si="7"/>
        <v>5</v>
      </c>
      <c r="U48" s="250">
        <f t="shared" si="21"/>
        <v>-0.99888777602665713</v>
      </c>
      <c r="V48" s="382">
        <f t="shared" si="8"/>
        <v>36.526363236819392</v>
      </c>
      <c r="W48" s="58"/>
      <c r="X48" s="157">
        <f t="shared" si="9"/>
        <v>43864</v>
      </c>
      <c r="Y48" s="383">
        <f t="shared" si="10"/>
        <v>28.248999999999999</v>
      </c>
      <c r="Z48" s="383">
        <f t="shared" si="11"/>
        <v>28.448936040853187</v>
      </c>
      <c r="AA48" s="384">
        <f t="shared" si="12"/>
        <v>29.439829773502723</v>
      </c>
      <c r="AB48" s="197">
        <f t="shared" si="13"/>
        <v>43864</v>
      </c>
      <c r="AC48" s="424">
        <f>IF(OR(t&lt;Tnet,NoTnet),'2019'!Resal_s+('2019'!Salim-'2019'!Resal_s)*(1-EXP(('2019'!Tnet_s-t)/'2019'!Tau_j)),Resal_s+(Salim-Resal_s)*(1-EXP((Tnet_s-t)/Tau_j)))*Salcycl</f>
        <v>3.3658269775098663E-2</v>
      </c>
      <c r="AD48" s="230">
        <f>(INDEX(Models!$BJ48:$BT48,,AH48)*(1-AF48)+INDEX(Models!$BJ48:$BT48,,AH48+1)*AF48-ERP_i)*AE48*Ramure*Pc/MaxiM</f>
        <v>6.5653638247758364E-6</v>
      </c>
      <c r="AE48" s="304">
        <f t="shared" si="14"/>
        <v>0.6</v>
      </c>
      <c r="AF48" s="177">
        <f t="shared" si="15"/>
        <v>1.112223973342874E-3</v>
      </c>
      <c r="AG48" s="176">
        <f t="shared" si="16"/>
        <v>-1</v>
      </c>
      <c r="AH48" s="176">
        <f t="shared" si="17"/>
        <v>5</v>
      </c>
      <c r="AI48" s="224">
        <f t="shared" si="22"/>
        <v>-0.99888777602665713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43865</v>
      </c>
      <c r="B49" s="607">
        <v>20.138999999999999</v>
      </c>
      <c r="C49" s="388"/>
      <c r="D49" s="391">
        <f t="shared" si="0"/>
        <v>20.281925139642887</v>
      </c>
      <c r="E49" s="383">
        <f t="shared" si="1"/>
        <v>20.98967761661099</v>
      </c>
      <c r="F49" s="383">
        <f t="shared" si="2"/>
        <v>20.989724213200883</v>
      </c>
      <c r="G49" s="110">
        <f t="shared" si="23"/>
        <v>0.54605974599685847</v>
      </c>
      <c r="H49" s="412" t="b">
        <f>Wh_hp&gt;='2019'!Maxi_hp</f>
        <v>1</v>
      </c>
      <c r="I49" s="388">
        <f>IF(H49,Wh_hp,'2019'!Maxi_hp)</f>
        <v>20.989724213200883</v>
      </c>
      <c r="J49" s="85">
        <f>IF(H49,An,'2019'!An_max)</f>
        <v>2020</v>
      </c>
      <c r="K49" s="197">
        <f t="shared" si="3"/>
        <v>43865</v>
      </c>
      <c r="L49" s="147">
        <f>IF(t&lt;Tvie,1-EXP((T0-t)*PertePVj)+'2019'!Pspv,1-EXP((T0-t)*PertePVj)+Pspv)</f>
        <v>7.0469217620534597E-3</v>
      </c>
      <c r="M49" s="832"/>
      <c r="N49" s="832"/>
      <c r="O49" s="48">
        <f>IF(t&lt;Tnet,'2019'!Resal+('2019'!Salim-'2019'!Resal)*(1-EXP(('2019'!Tnet-t)/('2019'!Tau_j))),Resal+(Salim-Resal)*(1-EXP((Tnet-t)/(Tau_j))))*Salcycl</f>
        <v>3.3719073246174958E-2</v>
      </c>
      <c r="P49" s="169">
        <f>(INDEX(Models!$BJ49:$BT49,,T49)*(1-R49)+INDEX(Models!$BJ49:$BT49,,T49+1)*R49-ERP_i)*Q49*Ramure*Pc/MaxiM</f>
        <v>6.3154008865506796E-6</v>
      </c>
      <c r="Q49" s="304">
        <f t="shared" si="4"/>
        <v>0.6</v>
      </c>
      <c r="R49" s="177">
        <f t="shared" si="5"/>
        <v>1.2246908127089284E-3</v>
      </c>
      <c r="S49" s="799">
        <f t="shared" si="6"/>
        <v>-1</v>
      </c>
      <c r="T49" s="176">
        <f t="shared" si="7"/>
        <v>5</v>
      </c>
      <c r="U49" s="250">
        <f t="shared" si="21"/>
        <v>-0.99877530918729107</v>
      </c>
      <c r="V49" s="382">
        <f t="shared" si="8"/>
        <v>36.880428688623162</v>
      </c>
      <c r="W49" s="58"/>
      <c r="X49" s="157">
        <f t="shared" si="9"/>
        <v>43865</v>
      </c>
      <c r="Y49" s="383">
        <f t="shared" si="10"/>
        <v>20.138999999999999</v>
      </c>
      <c r="Z49" s="383">
        <f t="shared" si="11"/>
        <v>20.281925139642887</v>
      </c>
      <c r="AA49" s="384">
        <f t="shared" si="12"/>
        <v>20.98967761661099</v>
      </c>
      <c r="AB49" s="197">
        <f t="shared" si="13"/>
        <v>43865</v>
      </c>
      <c r="AC49" s="424">
        <f>IF(OR(t&lt;Tnet,NoTnet),'2019'!Resal_s+('2019'!Salim-'2019'!Resal_s)*(1-EXP(('2019'!Tnet_s-t)/'2019'!Tau_j)),Resal_s+(Salim-Resal_s)*(1-EXP((Tnet_s-t)/Tau_j)))*Salcycl</f>
        <v>3.3719073246174958E-2</v>
      </c>
      <c r="AD49" s="230">
        <f>(INDEX(Models!$BJ49:$BT49,,AH49)*(1-AF49)+INDEX(Models!$BJ49:$BT49,,AH49+1)*AF49-ERP_i)*AE49*Ramure*Pc/MaxiM</f>
        <v>6.3154008865506796E-6</v>
      </c>
      <c r="AE49" s="304">
        <f t="shared" si="14"/>
        <v>0.6</v>
      </c>
      <c r="AF49" s="177">
        <f t="shared" si="15"/>
        <v>1.2246908127089284E-3</v>
      </c>
      <c r="AG49" s="176">
        <f t="shared" si="16"/>
        <v>-1</v>
      </c>
      <c r="AH49" s="176">
        <f t="shared" si="17"/>
        <v>5</v>
      </c>
      <c r="AI49" s="224">
        <f t="shared" si="22"/>
        <v>-0.99877530918729107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43866</v>
      </c>
      <c r="B50" s="607">
        <v>37.308999999999997</v>
      </c>
      <c r="C50" s="388"/>
      <c r="D50" s="391">
        <f t="shared" si="0"/>
        <v>37.574499591043264</v>
      </c>
      <c r="E50" s="383">
        <f t="shared" si="1"/>
        <v>38.888135564380349</v>
      </c>
      <c r="F50" s="383">
        <f t="shared" si="2"/>
        <v>38.888374306898015</v>
      </c>
      <c r="G50" s="110">
        <f t="shared" si="23"/>
        <v>1.0020452551351402</v>
      </c>
      <c r="H50" s="412" t="b">
        <f>Wh_hp&gt;='2019'!Maxi_hp</f>
        <v>1</v>
      </c>
      <c r="I50" s="388">
        <f>IF(H50,Wh_hp,'2019'!Maxi_hp)</f>
        <v>38.888374306898015</v>
      </c>
      <c r="J50" s="85">
        <f>IF(H50,An,'2019'!An_max)</f>
        <v>2020</v>
      </c>
      <c r="K50" s="197">
        <f t="shared" si="3"/>
        <v>43866</v>
      </c>
      <c r="L50" s="147">
        <f>IF(t&lt;Tvie,1-EXP((T0-t)*PertePVj)+'2019'!Pspv,1-EXP((T0-t)*PertePVj)+Pspv)</f>
        <v>7.0659514812688728E-3</v>
      </c>
      <c r="M50" s="832"/>
      <c r="N50" s="832"/>
      <c r="O50" s="48">
        <f>IF(t&lt;Tnet,'2019'!Resal+('2019'!Salim-'2019'!Resal)*(1-EXP(('2019'!Tnet-t)/('2019'!Tau_j))),Resal+(Salim-Resal)*(1-EXP((Tnet-t)/(Tau_j))))*Salcycl</f>
        <v>3.3779865099532146E-2</v>
      </c>
      <c r="P50" s="169">
        <f>(INDEX(Models!$BJ50:$BT50,,T50)*(1-R50)+INDEX(Models!$BJ50:$BT50,,T50+1)*R50-ERP_i)*Q50*Ramure*Pc/MaxiM</f>
        <v>6.1391745457069133E-6</v>
      </c>
      <c r="Q50" s="304">
        <f t="shared" si="4"/>
        <v>0.6</v>
      </c>
      <c r="R50" s="177">
        <f t="shared" si="5"/>
        <v>1.3418218534897441E-3</v>
      </c>
      <c r="S50" s="799">
        <f t="shared" si="6"/>
        <v>-1</v>
      </c>
      <c r="T50" s="176">
        <f t="shared" si="7"/>
        <v>5</v>
      </c>
      <c r="U50" s="250">
        <f t="shared" si="21"/>
        <v>-0.99865817814651026</v>
      </c>
      <c r="V50" s="382">
        <f t="shared" si="8"/>
        <v>37.232849323724736</v>
      </c>
      <c r="W50" s="58"/>
      <c r="X50" s="157">
        <f t="shared" si="9"/>
        <v>43866</v>
      </c>
      <c r="Y50" s="383">
        <f t="shared" si="10"/>
        <v>37.308999999999997</v>
      </c>
      <c r="Z50" s="383">
        <f t="shared" si="11"/>
        <v>37.574499591043264</v>
      </c>
      <c r="AA50" s="384">
        <f t="shared" si="12"/>
        <v>38.888135564380349</v>
      </c>
      <c r="AB50" s="197">
        <f t="shared" si="13"/>
        <v>43866</v>
      </c>
      <c r="AC50" s="424">
        <f>IF(OR(t&lt;Tnet,NoTnet),'2019'!Resal_s+('2019'!Salim-'2019'!Resal_s)*(1-EXP(('2019'!Tnet_s-t)/'2019'!Tau_j)),Resal_s+(Salim-Resal_s)*(1-EXP((Tnet_s-t)/Tau_j)))*Salcycl</f>
        <v>3.3779865099532146E-2</v>
      </c>
      <c r="AD50" s="230">
        <f>(INDEX(Models!$BJ50:$BT50,,AH50)*(1-AF50)+INDEX(Models!$BJ50:$BT50,,AH50+1)*AF50-ERP_i)*AE50*Ramure*Pc/MaxiM</f>
        <v>6.1391745457069133E-6</v>
      </c>
      <c r="AE50" s="304">
        <f t="shared" si="14"/>
        <v>0.6</v>
      </c>
      <c r="AF50" s="177">
        <f t="shared" si="15"/>
        <v>1.3418218534897441E-3</v>
      </c>
      <c r="AG50" s="176">
        <f t="shared" si="16"/>
        <v>-1</v>
      </c>
      <c r="AH50" s="176">
        <f t="shared" si="17"/>
        <v>5</v>
      </c>
      <c r="AI50" s="224">
        <f t="shared" si="22"/>
        <v>-0.99865817814651026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43867</v>
      </c>
      <c r="B51" s="607">
        <v>39.335999999999999</v>
      </c>
      <c r="C51" s="388"/>
      <c r="D51" s="391">
        <f t="shared" si="0"/>
        <v>39.616683442970775</v>
      </c>
      <c r="E51" s="383">
        <f t="shared" si="1"/>
        <v>41.004295147622905</v>
      </c>
      <c r="F51" s="383">
        <f t="shared" si="2"/>
        <v>41.004542581463518</v>
      </c>
      <c r="G51" s="110">
        <f t="shared" si="23"/>
        <v>1.0465540881516351</v>
      </c>
      <c r="H51" s="412" t="b">
        <f>Wh_hp&gt;='2019'!Maxi_hp</f>
        <v>1</v>
      </c>
      <c r="I51" s="388">
        <f>IF(H51,Wh_hp,'2019'!Maxi_hp)</f>
        <v>41.004542581463518</v>
      </c>
      <c r="J51" s="85">
        <f>IF(H51,An,'2019'!An_max)</f>
        <v>2020</v>
      </c>
      <c r="K51" s="197">
        <f t="shared" si="3"/>
        <v>43867</v>
      </c>
      <c r="L51" s="147">
        <f>IF(t&lt;Tvie,1-EXP((T0-t)*PertePVj)+'2019'!Pspv,1-EXP((T0-t)*PertePVj)+Pspv)</f>
        <v>7.0849808357841271E-3</v>
      </c>
      <c r="M51" s="832"/>
      <c r="N51" s="832"/>
      <c r="O51" s="48">
        <f>IF(t&lt;Tnet,'2019'!Resal+('2019'!Salim-'2019'!Resal)*(1-EXP(('2019'!Tnet-t)/('2019'!Tau_j))),Resal+(Salim-Resal)*(1-EXP((Tnet-t)/(Tau_j))))*Salcycl</f>
        <v>3.3840642782822471E-2</v>
      </c>
      <c r="P51" s="169">
        <f>(INDEX(Models!$BJ51:$BT51,,T51)*(1-R51)+INDEX(Models!$BJ51:$BT51,,T51+1)*R51-ERP_i)*Q51*Ramure*Pc/MaxiM</f>
        <v>6.034303153553818E-6</v>
      </c>
      <c r="Q51" s="304">
        <f t="shared" si="4"/>
        <v>0.6</v>
      </c>
      <c r="R51" s="177">
        <f t="shared" si="5"/>
        <v>1.4638081830838923E-3</v>
      </c>
      <c r="S51" s="799">
        <f t="shared" si="6"/>
        <v>-1</v>
      </c>
      <c r="T51" s="176">
        <f t="shared" si="7"/>
        <v>5</v>
      </c>
      <c r="U51" s="250">
        <f t="shared" si="21"/>
        <v>-0.99853619181691611</v>
      </c>
      <c r="V51" s="382">
        <f t="shared" si="8"/>
        <v>37.586208343491386</v>
      </c>
      <c r="W51" s="58"/>
      <c r="X51" s="157">
        <f t="shared" si="9"/>
        <v>43867</v>
      </c>
      <c r="Y51" s="383">
        <f t="shared" si="10"/>
        <v>39.335999999999999</v>
      </c>
      <c r="Z51" s="383">
        <f t="shared" si="11"/>
        <v>39.616683442970775</v>
      </c>
      <c r="AA51" s="384">
        <f t="shared" si="12"/>
        <v>41.004295147622905</v>
      </c>
      <c r="AB51" s="197">
        <f t="shared" si="13"/>
        <v>43867</v>
      </c>
      <c r="AC51" s="424">
        <f>IF(OR(t&lt;Tnet,NoTnet),'2019'!Resal_s+('2019'!Salim-'2019'!Resal_s)*(1-EXP(('2019'!Tnet_s-t)/'2019'!Tau_j)),Resal_s+(Salim-Resal_s)*(1-EXP((Tnet_s-t)/Tau_j)))*Salcycl</f>
        <v>3.3840642782822471E-2</v>
      </c>
      <c r="AD51" s="230">
        <f>(INDEX(Models!$BJ51:$BT51,,AH51)*(1-AF51)+INDEX(Models!$BJ51:$BT51,,AH51+1)*AF51-ERP_i)*AE51*Ramure*Pc/MaxiM</f>
        <v>6.034303153553818E-6</v>
      </c>
      <c r="AE51" s="304">
        <f t="shared" si="14"/>
        <v>0.6</v>
      </c>
      <c r="AF51" s="177">
        <f t="shared" si="15"/>
        <v>1.4638081830838923E-3</v>
      </c>
      <c r="AG51" s="176">
        <f t="shared" si="16"/>
        <v>-1</v>
      </c>
      <c r="AH51" s="176">
        <f t="shared" si="17"/>
        <v>5</v>
      </c>
      <c r="AI51" s="224">
        <f t="shared" si="22"/>
        <v>-0.99853619181691611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43868</v>
      </c>
      <c r="B52" s="607">
        <v>26.527000000000001</v>
      </c>
      <c r="C52" s="388"/>
      <c r="D52" s="391">
        <f t="shared" si="0"/>
        <v>26.716796384020803</v>
      </c>
      <c r="E52" s="383">
        <f t="shared" si="1"/>
        <v>27.654316525964415</v>
      </c>
      <c r="F52" s="383">
        <f t="shared" si="2"/>
        <v>27.6544109096825</v>
      </c>
      <c r="G52" s="110">
        <f t="shared" si="23"/>
        <v>0.69912166978967127</v>
      </c>
      <c r="H52" s="412" t="b">
        <f>Wh_hp&gt;='2019'!Maxi_hp</f>
        <v>1</v>
      </c>
      <c r="I52" s="388">
        <f>IF(H52,Wh_hp,'2019'!Maxi_hp)</f>
        <v>27.6544109096825</v>
      </c>
      <c r="J52" s="85">
        <f>IF(H52,An,'2019'!An_max)</f>
        <v>2020</v>
      </c>
      <c r="K52" s="197">
        <f t="shared" si="3"/>
        <v>43868</v>
      </c>
      <c r="L52" s="147">
        <f>IF(t&lt;Tvie,1-EXP((T0-t)*PertePVj)+'2019'!Pspv,1-EXP((T0-t)*PertePVj)+Pspv)</f>
        <v>7.1040098256061057E-3</v>
      </c>
      <c r="M52" s="832"/>
      <c r="N52" s="832"/>
      <c r="O52" s="48">
        <f>IF(t&lt;Tnet,'2019'!Resal+('2019'!Salim-'2019'!Resal)*(1-EXP(('2019'!Tnet-t)/('2019'!Tau_j))),Resal+(Salim-Resal)*(1-EXP((Tnet-t)/(Tau_j))))*Salcycl</f>
        <v>3.3901403459506298E-2</v>
      </c>
      <c r="P52" s="169">
        <f>(INDEX(Models!$BJ52:$BT52,,T52)*(1-R52)+INDEX(Models!$BJ52:$BT52,,T52+1)*R52-ERP_i)*Q52*Ramure*Pc/MaxiM</f>
        <v>5.9858171316608974E-6</v>
      </c>
      <c r="Q52" s="304">
        <f t="shared" si="4"/>
        <v>0.6</v>
      </c>
      <c r="R52" s="177">
        <f t="shared" si="5"/>
        <v>1.5908485179852994E-3</v>
      </c>
      <c r="S52" s="799">
        <f t="shared" si="6"/>
        <v>-1</v>
      </c>
      <c r="T52" s="176">
        <f t="shared" si="7"/>
        <v>5</v>
      </c>
      <c r="U52" s="250">
        <f t="shared" si="21"/>
        <v>-0.9984091514820147</v>
      </c>
      <c r="V52" s="382">
        <f t="shared" si="8"/>
        <v>37.943226331223968</v>
      </c>
      <c r="W52" s="58"/>
      <c r="X52" s="157">
        <f t="shared" si="9"/>
        <v>43868</v>
      </c>
      <c r="Y52" s="383">
        <f t="shared" si="10"/>
        <v>26.527000000000001</v>
      </c>
      <c r="Z52" s="383">
        <f t="shared" si="11"/>
        <v>26.716796384020803</v>
      </c>
      <c r="AA52" s="384">
        <f t="shared" si="12"/>
        <v>27.654316525964415</v>
      </c>
      <c r="AB52" s="197">
        <f t="shared" si="13"/>
        <v>43868</v>
      </c>
      <c r="AC52" s="424">
        <f>IF(OR(t&lt;Tnet,NoTnet),'2019'!Resal_s+('2019'!Salim-'2019'!Resal_s)*(1-EXP(('2019'!Tnet_s-t)/'2019'!Tau_j)),Resal_s+(Salim-Resal_s)*(1-EXP((Tnet_s-t)/Tau_j)))*Salcycl</f>
        <v>3.3901403459506298E-2</v>
      </c>
      <c r="AD52" s="230">
        <f>(INDEX(Models!$BJ52:$BT52,,AH52)*(1-AF52)+INDEX(Models!$BJ52:$BT52,,AH52+1)*AF52-ERP_i)*AE52*Ramure*Pc/MaxiM</f>
        <v>5.9858171316608974E-6</v>
      </c>
      <c r="AE52" s="304">
        <f t="shared" si="14"/>
        <v>0.6</v>
      </c>
      <c r="AF52" s="177">
        <f t="shared" si="15"/>
        <v>1.5908485179852994E-3</v>
      </c>
      <c r="AG52" s="176">
        <f t="shared" si="16"/>
        <v>-1</v>
      </c>
      <c r="AH52" s="176">
        <f t="shared" si="17"/>
        <v>5</v>
      </c>
      <c r="AI52" s="224">
        <f t="shared" si="22"/>
        <v>-0.9984091514820147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43869</v>
      </c>
      <c r="B53" s="607">
        <v>32.536999999999999</v>
      </c>
      <c r="C53" s="388"/>
      <c r="D53" s="391">
        <f t="shared" si="0"/>
        <v>32.770424997302939</v>
      </c>
      <c r="E53" s="383">
        <f t="shared" si="1"/>
        <v>33.922506033484581</v>
      </c>
      <c r="F53" s="383">
        <f t="shared" si="2"/>
        <v>33.922664243392099</v>
      </c>
      <c r="G53" s="110">
        <f t="shared" si="23"/>
        <v>0.84945608901247216</v>
      </c>
      <c r="H53" s="412" t="b">
        <f>Wh_hp&gt;='2019'!Maxi_hp</f>
        <v>1</v>
      </c>
      <c r="I53" s="388">
        <f>IF(H53,Wh_hp,'2019'!Maxi_hp)</f>
        <v>33.922664243392099</v>
      </c>
      <c r="J53" s="85">
        <f>IF(H53,An,'2019'!An_max)</f>
        <v>2020</v>
      </c>
      <c r="K53" s="197">
        <f t="shared" si="3"/>
        <v>43869</v>
      </c>
      <c r="L53" s="147">
        <f>IF(t&lt;Tvie,1-EXP((T0-t)*PertePVj)+'2019'!Pspv,1-EXP((T0-t)*PertePVj)+Pspv)</f>
        <v>7.1230384507418032E-3</v>
      </c>
      <c r="M53" s="832"/>
      <c r="N53" s="832"/>
      <c r="O53" s="48">
        <f>IF(t&lt;Tnet,'2019'!Resal+('2019'!Salim-'2019'!Resal)*(1-EXP(('2019'!Tnet-t)/('2019'!Tau_j))),Resal+(Salim-Resal)*(1-EXP((Tnet-t)/(Tau_j))))*Salcycl</f>
        <v>3.3962144042201048E-2</v>
      </c>
      <c r="P53" s="169">
        <f>(INDEX(Models!$BJ53:$BT53,,T53)*(1-R53)+INDEX(Models!$BJ53:$BT53,,T53+1)*R53-ERP_i)*Q53*Ramure*Pc/MaxiM</f>
        <v>5.9416616115334698E-6</v>
      </c>
      <c r="Q53" s="304">
        <f t="shared" si="4"/>
        <v>0.6</v>
      </c>
      <c r="R53" s="177">
        <f t="shared" si="5"/>
        <v>1.7231494913515499E-3</v>
      </c>
      <c r="S53" s="799">
        <f t="shared" si="6"/>
        <v>-1</v>
      </c>
      <c r="T53" s="176">
        <f t="shared" si="7"/>
        <v>5</v>
      </c>
      <c r="U53" s="250">
        <f t="shared" si="21"/>
        <v>-0.99827685050864845</v>
      </c>
      <c r="V53" s="382">
        <f t="shared" si="8"/>
        <v>38.303284706779607</v>
      </c>
      <c r="W53" s="58"/>
      <c r="X53" s="157">
        <f t="shared" si="9"/>
        <v>43869</v>
      </c>
      <c r="Y53" s="383">
        <f t="shared" si="10"/>
        <v>32.536999999999999</v>
      </c>
      <c r="Z53" s="383">
        <f t="shared" si="11"/>
        <v>32.770424997302939</v>
      </c>
      <c r="AA53" s="384">
        <f t="shared" si="12"/>
        <v>33.922506033484581</v>
      </c>
      <c r="AB53" s="197">
        <f t="shared" si="13"/>
        <v>43869</v>
      </c>
      <c r="AC53" s="424">
        <f>IF(OR(t&lt;Tnet,NoTnet),'2019'!Resal_s+('2019'!Salim-'2019'!Resal_s)*(1-EXP(('2019'!Tnet_s-t)/'2019'!Tau_j)),Resal_s+(Salim-Resal_s)*(1-EXP((Tnet_s-t)/Tau_j)))*Salcycl</f>
        <v>3.3962144042201048E-2</v>
      </c>
      <c r="AD53" s="230">
        <f>(INDEX(Models!$BJ53:$BT53,,AH53)*(1-AF53)+INDEX(Models!$BJ53:$BT53,,AH53+1)*AF53-ERP_i)*AE53*Ramure*Pc/MaxiM</f>
        <v>5.9416616115334698E-6</v>
      </c>
      <c r="AE53" s="304">
        <f t="shared" si="14"/>
        <v>0.6</v>
      </c>
      <c r="AF53" s="177">
        <f t="shared" si="15"/>
        <v>1.7231494913515499E-3</v>
      </c>
      <c r="AG53" s="176">
        <f t="shared" si="16"/>
        <v>-1</v>
      </c>
      <c r="AH53" s="176">
        <f t="shared" si="17"/>
        <v>5</v>
      </c>
      <c r="AI53" s="224">
        <f t="shared" si="22"/>
        <v>-0.99827685050864845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43870</v>
      </c>
      <c r="B54" s="607">
        <v>32.195</v>
      </c>
      <c r="C54" s="388"/>
      <c r="D54" s="391">
        <f t="shared" si="0"/>
        <v>32.426592889634634</v>
      </c>
      <c r="E54" s="383">
        <f t="shared" si="1"/>
        <v>33.568695974463608</v>
      </c>
      <c r="F54" s="383">
        <f t="shared" si="2"/>
        <v>33.568846727728676</v>
      </c>
      <c r="G54" s="110">
        <f t="shared" si="23"/>
        <v>0.83264759144778033</v>
      </c>
      <c r="H54" s="412" t="b">
        <f>Wh_hp&gt;='2019'!Maxi_hp</f>
        <v>1</v>
      </c>
      <c r="I54" s="388">
        <f>IF(H54,Wh_hp,'2019'!Maxi_hp)</f>
        <v>33.568846727728676</v>
      </c>
      <c r="J54" s="85">
        <f>IF(H54,An,'2019'!An_max)</f>
        <v>2020</v>
      </c>
      <c r="K54" s="197">
        <f t="shared" si="3"/>
        <v>43870</v>
      </c>
      <c r="L54" s="147">
        <f>IF(t&lt;Tvie,1-EXP((T0-t)*PertePVj)+'2019'!Pspv,1-EXP((T0-t)*PertePVj)+Pspv)</f>
        <v>7.1420667111982139E-3</v>
      </c>
      <c r="M54" s="832"/>
      <c r="N54" s="832"/>
      <c r="O54" s="48">
        <f>IF(t&lt;Tnet,'2019'!Resal+('2019'!Salim-'2019'!Resal)*(1-EXP(('2019'!Tnet-t)/('2019'!Tau_j))),Resal+(Salim-Resal)*(1-EXP((Tnet-t)/(Tau_j))))*Salcycl</f>
        <v>3.4022861230528521E-2</v>
      </c>
      <c r="P54" s="169">
        <f>(INDEX(Models!$BJ54:$BT54,,T54)*(1-R54)+INDEX(Models!$BJ54:$BT54,,T54+1)*R54-ERP_i)*Q54*Ramure*Pc/MaxiM</f>
        <v>5.9018398494868152E-6</v>
      </c>
      <c r="Q54" s="304">
        <f t="shared" si="4"/>
        <v>0.6</v>
      </c>
      <c r="R54" s="177">
        <f t="shared" si="5"/>
        <v>1.8609259499426933E-3</v>
      </c>
      <c r="S54" s="799">
        <f t="shared" si="6"/>
        <v>-1</v>
      </c>
      <c r="T54" s="176">
        <f t="shared" si="7"/>
        <v>5</v>
      </c>
      <c r="U54" s="250">
        <f t="shared" si="21"/>
        <v>-0.99813907405005731</v>
      </c>
      <c r="V54" s="382">
        <f t="shared" si="8"/>
        <v>38.665763168284727</v>
      </c>
      <c r="W54" s="58"/>
      <c r="X54" s="157">
        <f t="shared" si="9"/>
        <v>43870</v>
      </c>
      <c r="Y54" s="383">
        <f t="shared" si="10"/>
        <v>32.195</v>
      </c>
      <c r="Z54" s="383">
        <f t="shared" si="11"/>
        <v>32.426592889634634</v>
      </c>
      <c r="AA54" s="384">
        <f t="shared" si="12"/>
        <v>33.568695974463608</v>
      </c>
      <c r="AB54" s="197">
        <f t="shared" si="13"/>
        <v>43870</v>
      </c>
      <c r="AC54" s="424">
        <f>IF(OR(t&lt;Tnet,NoTnet),'2019'!Resal_s+('2019'!Salim-'2019'!Resal_s)*(1-EXP(('2019'!Tnet_s-t)/'2019'!Tau_j)),Resal_s+(Salim-Resal_s)*(1-EXP((Tnet_s-t)/Tau_j)))*Salcycl</f>
        <v>3.4022861230528521E-2</v>
      </c>
      <c r="AD54" s="230">
        <f>(INDEX(Models!$BJ54:$BT54,,AH54)*(1-AF54)+INDEX(Models!$BJ54:$BT54,,AH54+1)*AF54-ERP_i)*AE54*Ramure*Pc/MaxiM</f>
        <v>5.9018398494868152E-6</v>
      </c>
      <c r="AE54" s="304">
        <f t="shared" si="14"/>
        <v>0.6</v>
      </c>
      <c r="AF54" s="177">
        <f t="shared" si="15"/>
        <v>1.8609259499426933E-3</v>
      </c>
      <c r="AG54" s="176">
        <f t="shared" si="16"/>
        <v>-1</v>
      </c>
      <c r="AH54" s="176">
        <f t="shared" si="17"/>
        <v>5</v>
      </c>
      <c r="AI54" s="224">
        <f t="shared" si="22"/>
        <v>-0.99813907405005731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20"/>
        <v>43871</v>
      </c>
      <c r="B55" s="607">
        <v>9.3179999999999996</v>
      </c>
      <c r="C55" s="388"/>
      <c r="D55" s="391">
        <f t="shared" si="0"/>
        <v>9.3852083650080651</v>
      </c>
      <c r="E55" s="383">
        <f t="shared" si="1"/>
        <v>9.7163770014452577</v>
      </c>
      <c r="F55" s="383">
        <f t="shared" si="2"/>
        <v>9.7163770014452577</v>
      </c>
      <c r="G55" s="110">
        <f t="shared" si="23"/>
        <v>0.23873777603526822</v>
      </c>
      <c r="H55" s="412" t="b">
        <f>Wh_hp&gt;='2019'!Maxi_hp</f>
        <v>1</v>
      </c>
      <c r="I55" s="388">
        <f>IF(H55,Wh_hp,'2019'!Maxi_hp)</f>
        <v>9.7163770014452577</v>
      </c>
      <c r="J55" s="85">
        <f>IF(H55,An,'2019'!An_max)</f>
        <v>2020</v>
      </c>
      <c r="K55" s="197">
        <f t="shared" si="3"/>
        <v>43871</v>
      </c>
      <c r="L55" s="147">
        <f>IF(t&lt;Tvie,1-EXP((T0-t)*PertePVj)+'2019'!Pspv,1-EXP((T0-t)*PertePVj)+Pspv)</f>
        <v>7.1610946069824433E-3</v>
      </c>
      <c r="M55" s="832"/>
      <c r="N55" s="832"/>
      <c r="O55" s="48">
        <f>IF(t&lt;Tnet,'2019'!Resal+('2019'!Salim-'2019'!Resal)*(1-EXP(('2019'!Tnet-t)/('2019'!Tau_j))),Resal+(Salim-Resal)*(1-EXP((Tnet-t)/(Tau_j))))*Salcycl</f>
        <v>3.4083551553005062E-2</v>
      </c>
      <c r="P55" s="169">
        <f>(INDEX(Models!$BJ55:$BT55,,T55)*(1-R55)+INDEX(Models!$BJ55:$BT55,,T55+1)*R55-ERP_i)*Q55*Ramure*Pc/MaxiM</f>
        <v>5.8663523595548268E-6</v>
      </c>
      <c r="Q55" s="304">
        <f t="shared" si="4"/>
        <v>0.6</v>
      </c>
      <c r="R55" s="177">
        <f t="shared" si="5"/>
        <v>2.0044012606051931E-3</v>
      </c>
      <c r="S55" s="799">
        <f t="shared" si="6"/>
        <v>-1</v>
      </c>
      <c r="T55" s="176">
        <f t="shared" si="7"/>
        <v>5</v>
      </c>
      <c r="U55" s="250">
        <f t="shared" si="21"/>
        <v>-0.99799559873939481</v>
      </c>
      <c r="V55" s="382">
        <f t="shared" si="8"/>
        <v>39.030041630077825</v>
      </c>
      <c r="W55" s="58"/>
      <c r="X55" s="157">
        <f t="shared" si="9"/>
        <v>43871</v>
      </c>
      <c r="Y55" s="383">
        <f t="shared" si="10"/>
        <v>9.3179999999999996</v>
      </c>
      <c r="Z55" s="383">
        <f t="shared" si="11"/>
        <v>9.3852083650080651</v>
      </c>
      <c r="AA55" s="384">
        <f t="shared" si="12"/>
        <v>9.7163770014452577</v>
      </c>
      <c r="AB55" s="197">
        <f t="shared" si="13"/>
        <v>43871</v>
      </c>
      <c r="AC55" s="424">
        <f>IF(OR(t&lt;Tnet,NoTnet),'2019'!Resal_s+('2019'!Salim-'2019'!Resal_s)*(1-EXP(('2019'!Tnet_s-t)/'2019'!Tau_j)),Resal_s+(Salim-Resal_s)*(1-EXP((Tnet_s-t)/Tau_j)))*Salcycl</f>
        <v>3.4083551553005062E-2</v>
      </c>
      <c r="AD55" s="230">
        <f>(INDEX(Models!$BJ55:$BT55,,AH55)*(1-AF55)+INDEX(Models!$BJ55:$BT55,,AH55+1)*AF55-ERP_i)*AE55*Ramure*Pc/MaxiM</f>
        <v>5.8663523595548268E-6</v>
      </c>
      <c r="AE55" s="304">
        <f t="shared" si="14"/>
        <v>0.6</v>
      </c>
      <c r="AF55" s="177">
        <f t="shared" si="15"/>
        <v>2.0044012606051931E-3</v>
      </c>
      <c r="AG55" s="176">
        <f t="shared" si="16"/>
        <v>-1</v>
      </c>
      <c r="AH55" s="176">
        <f t="shared" si="17"/>
        <v>5</v>
      </c>
      <c r="AI55" s="224">
        <f t="shared" si="22"/>
        <v>-0.99799559873939481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20"/>
        <v>43872</v>
      </c>
      <c r="B56" s="607">
        <v>8.3650000000000002</v>
      </c>
      <c r="C56" s="388"/>
      <c r="D56" s="391">
        <f t="shared" si="0"/>
        <v>8.4254960910075294</v>
      </c>
      <c r="E56" s="383">
        <f t="shared" si="1"/>
        <v>8.7233479268464382</v>
      </c>
      <c r="F56" s="383">
        <f t="shared" si="2"/>
        <v>8.7233479268464382</v>
      </c>
      <c r="G56" s="110">
        <f t="shared" si="23"/>
        <v>0.21233265580613567</v>
      </c>
      <c r="H56" s="412" t="b">
        <f>Wh_hp&gt;='2019'!Maxi_hp</f>
        <v>1</v>
      </c>
      <c r="I56" s="388">
        <f>IF(H56,Wh_hp,'2019'!Maxi_hp)</f>
        <v>8.7233479268464382</v>
      </c>
      <c r="J56" s="85">
        <f>IF(H56,An,'2019'!An_max)</f>
        <v>2020</v>
      </c>
      <c r="K56" s="197">
        <f t="shared" si="3"/>
        <v>43872</v>
      </c>
      <c r="L56" s="147">
        <f>IF(t&lt;Tvie,1-EXP((T0-t)*PertePVj)+'2019'!Pspv,1-EXP((T0-t)*PertePVj)+Pspv)</f>
        <v>7.1801221381013747E-3</v>
      </c>
      <c r="M56" s="832"/>
      <c r="N56" s="832"/>
      <c r="O56" s="48">
        <f>IF(t&lt;Tnet,'2019'!Resal+('2019'!Salim-'2019'!Resal)*(1-EXP(('2019'!Tnet-t)/('2019'!Tau_j))),Resal+(Salim-Resal)*(1-EXP((Tnet-t)/(Tau_j))))*Salcycl</f>
        <v>3.414421141248513E-2</v>
      </c>
      <c r="P56" s="169">
        <f>(INDEX(Models!$BJ56:$BT56,,T56)*(1-R56)+INDEX(Models!$BJ56:$BT56,,T56+1)*R56-ERP_i)*Q56*Ramure*Pc/MaxiM</f>
        <v>5.8351979749659514E-6</v>
      </c>
      <c r="Q56" s="304">
        <f t="shared" si="4"/>
        <v>0.6</v>
      </c>
      <c r="R56" s="177">
        <f t="shared" si="5"/>
        <v>2.1538076264664419E-3</v>
      </c>
      <c r="S56" s="799">
        <f t="shared" si="6"/>
        <v>-1</v>
      </c>
      <c r="T56" s="176">
        <f t="shared" si="7"/>
        <v>5</v>
      </c>
      <c r="U56" s="250">
        <f t="shared" si="21"/>
        <v>-0.99784619237353356</v>
      </c>
      <c r="V56" s="382">
        <f t="shared" si="8"/>
        <v>39.395500220212583</v>
      </c>
      <c r="W56" s="58"/>
      <c r="X56" s="157">
        <f t="shared" si="9"/>
        <v>43872</v>
      </c>
      <c r="Y56" s="383">
        <f t="shared" si="10"/>
        <v>8.3650000000000002</v>
      </c>
      <c r="Z56" s="383">
        <f t="shared" si="11"/>
        <v>8.4254960910075294</v>
      </c>
      <c r="AA56" s="384">
        <f t="shared" si="12"/>
        <v>8.7233479268464382</v>
      </c>
      <c r="AB56" s="197">
        <f t="shared" si="13"/>
        <v>43872</v>
      </c>
      <c r="AC56" s="424">
        <f>IF(OR(t&lt;Tnet,NoTnet),'2019'!Resal_s+('2019'!Salim-'2019'!Resal_s)*(1-EXP(('2019'!Tnet_s-t)/'2019'!Tau_j)),Resal_s+(Salim-Resal_s)*(1-EXP((Tnet_s-t)/Tau_j)))*Salcycl</f>
        <v>3.414421141248513E-2</v>
      </c>
      <c r="AD56" s="230">
        <f>(INDEX(Models!$BJ56:$BT56,,AH56)*(1-AF56)+INDEX(Models!$BJ56:$BT56,,AH56+1)*AF56-ERP_i)*AE56*Ramure*Pc/MaxiM</f>
        <v>5.8351979749659514E-6</v>
      </c>
      <c r="AE56" s="304">
        <f t="shared" si="14"/>
        <v>0.6</v>
      </c>
      <c r="AF56" s="177">
        <f t="shared" si="15"/>
        <v>2.1538076264664419E-3</v>
      </c>
      <c r="AG56" s="176">
        <f t="shared" si="16"/>
        <v>-1</v>
      </c>
      <c r="AH56" s="176">
        <f t="shared" si="17"/>
        <v>5</v>
      </c>
      <c r="AI56" s="224">
        <f t="shared" si="22"/>
        <v>-0.99784619237353356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20"/>
        <v>43873</v>
      </c>
      <c r="B57" s="607">
        <v>20.327999999999999</v>
      </c>
      <c r="C57" s="388"/>
      <c r="D57" s="391">
        <f t="shared" si="0"/>
        <v>20.475405501275127</v>
      </c>
      <c r="E57" s="383">
        <f t="shared" si="1"/>
        <v>21.200567458349944</v>
      </c>
      <c r="F57" s="383">
        <f t="shared" si="2"/>
        <v>21.200604620222929</v>
      </c>
      <c r="G57" s="110">
        <f t="shared" si="23"/>
        <v>0.51124599684341221</v>
      </c>
      <c r="H57" s="412" t="b">
        <f>Wh_hp&gt;='2019'!Maxi_hp</f>
        <v>1</v>
      </c>
      <c r="I57" s="388">
        <f>IF(H57,Wh_hp,'2019'!Maxi_hp)</f>
        <v>21.200604620222929</v>
      </c>
      <c r="J57" s="85">
        <f>IF(H57,An,'2019'!An_max)</f>
        <v>2020</v>
      </c>
      <c r="K57" s="197">
        <f t="shared" si="3"/>
        <v>43873</v>
      </c>
      <c r="L57" s="147">
        <f>IF(t&lt;Tvie,1-EXP((T0-t)*PertePVj)+'2019'!Pspv,1-EXP((T0-t)*PertePVj)+Pspv)</f>
        <v>7.1991493045618915E-3</v>
      </c>
      <c r="M57" s="832"/>
      <c r="N57" s="832"/>
      <c r="O57" s="48">
        <f>IF(t&lt;Tnet,'2019'!Resal+('2019'!Salim-'2019'!Resal)*(1-EXP(('2019'!Tnet-t)/('2019'!Tau_j))),Resal+(Salim-Resal)*(1-EXP((Tnet-t)/(Tau_j))))*Salcycl</f>
        <v>3.4204837134640356E-2</v>
      </c>
      <c r="P57" s="169">
        <f>(INDEX(Models!$BJ57:$BT57,,T57)*(1-R57)+INDEX(Models!$BJ57:$BT57,,T57+1)*R57-ERP_i)*Q57*Ramure*Pc/MaxiM</f>
        <v>5.8083748674965347E-6</v>
      </c>
      <c r="Q57" s="304">
        <f t="shared" si="4"/>
        <v>0.6</v>
      </c>
      <c r="R57" s="177">
        <f t="shared" si="5"/>
        <v>2.3093864129892783E-3</v>
      </c>
      <c r="S57" s="799">
        <f t="shared" si="6"/>
        <v>-1</v>
      </c>
      <c r="T57" s="176">
        <f t="shared" si="7"/>
        <v>5</v>
      </c>
      <c r="U57" s="250">
        <f t="shared" si="21"/>
        <v>-0.99769061358701072</v>
      </c>
      <c r="V57" s="382">
        <f t="shared" si="8"/>
        <v>39.761519278456376</v>
      </c>
      <c r="W57" s="58"/>
      <c r="X57" s="157">
        <f t="shared" si="9"/>
        <v>43873</v>
      </c>
      <c r="Y57" s="383">
        <f t="shared" si="10"/>
        <v>20.327999999999999</v>
      </c>
      <c r="Z57" s="383">
        <f t="shared" si="11"/>
        <v>20.475405501275127</v>
      </c>
      <c r="AA57" s="384">
        <f t="shared" si="12"/>
        <v>21.200567458349944</v>
      </c>
      <c r="AB57" s="197">
        <f t="shared" si="13"/>
        <v>43873</v>
      </c>
      <c r="AC57" s="424">
        <f>IF(OR(t&lt;Tnet,NoTnet),'2019'!Resal_s+('2019'!Salim-'2019'!Resal_s)*(1-EXP(('2019'!Tnet_s-t)/'2019'!Tau_j)),Resal_s+(Salim-Resal_s)*(1-EXP((Tnet_s-t)/Tau_j)))*Salcycl</f>
        <v>3.4204837134640356E-2</v>
      </c>
      <c r="AD57" s="230">
        <f>(INDEX(Models!$BJ57:$BT57,,AH57)*(1-AF57)+INDEX(Models!$BJ57:$BT57,,AH57+1)*AF57-ERP_i)*AE57*Ramure*Pc/MaxiM</f>
        <v>5.8083748674965347E-6</v>
      </c>
      <c r="AE57" s="304">
        <f t="shared" si="14"/>
        <v>0.6</v>
      </c>
      <c r="AF57" s="177">
        <f t="shared" si="15"/>
        <v>2.3093864129892783E-3</v>
      </c>
      <c r="AG57" s="176">
        <f t="shared" si="16"/>
        <v>-1</v>
      </c>
      <c r="AH57" s="176">
        <f t="shared" si="17"/>
        <v>5</v>
      </c>
      <c r="AI57" s="224">
        <f t="shared" si="22"/>
        <v>-0.99769061358701072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20"/>
        <v>43874</v>
      </c>
      <c r="B58" s="607">
        <v>17.338000000000001</v>
      </c>
      <c r="C58" s="388"/>
      <c r="D58" s="391">
        <f t="shared" si="0"/>
        <v>17.464058650874005</v>
      </c>
      <c r="E58" s="383">
        <f t="shared" si="1"/>
        <v>18.083704470471503</v>
      </c>
      <c r="F58" s="383">
        <f t="shared" si="2"/>
        <v>18.083724200929222</v>
      </c>
      <c r="G58" s="110">
        <f t="shared" si="23"/>
        <v>0.43207096184344645</v>
      </c>
      <c r="H58" s="412" t="b">
        <f>Wh_hp&gt;='2019'!Maxi_hp</f>
        <v>1</v>
      </c>
      <c r="I58" s="388">
        <f>IF(H58,Wh_hp,'2019'!Maxi_hp)</f>
        <v>18.083724200929222</v>
      </c>
      <c r="J58" s="85">
        <f>IF(H58,An,'2019'!An_max)</f>
        <v>2020</v>
      </c>
      <c r="K58" s="197">
        <f t="shared" si="3"/>
        <v>43874</v>
      </c>
      <c r="L58" s="147">
        <f>IF(t&lt;Tvie,1-EXP((T0-t)*PertePVj)+'2019'!Pspv,1-EXP((T0-t)*PertePVj)+Pspv)</f>
        <v>7.2181761063712102E-3</v>
      </c>
      <c r="M58" s="832"/>
      <c r="N58" s="832"/>
      <c r="O58" s="48">
        <f>IF(t&lt;Tnet,'2019'!Resal+('2019'!Salim-'2019'!Resal)*(1-EXP(('2019'!Tnet-t)/('2019'!Tau_j))),Resal+(Salim-Resal)*(1-EXP((Tnet-t)/(Tau_j))))*Salcycl</f>
        <v>3.4265425018933704E-2</v>
      </c>
      <c r="P58" s="169">
        <f>(INDEX(Models!$BJ58:$BT58,,T58)*(1-R58)+INDEX(Models!$BJ58:$BT58,,T58+1)*R58-ERP_i)*Q58*Ramure*Pc/MaxiM</f>
        <v>5.7827353750659591E-6</v>
      </c>
      <c r="Q58" s="304">
        <f t="shared" si="4"/>
        <v>0.6</v>
      </c>
      <c r="R58" s="177">
        <f t="shared" si="5"/>
        <v>2.4713884840285028E-3</v>
      </c>
      <c r="S58" s="799">
        <f t="shared" si="6"/>
        <v>-1</v>
      </c>
      <c r="T58" s="176">
        <f t="shared" si="7"/>
        <v>5</v>
      </c>
      <c r="U58" s="250">
        <f t="shared" si="21"/>
        <v>-0.9975286115159715</v>
      </c>
      <c r="V58" s="382">
        <f t="shared" si="8"/>
        <v>40.12747948091468</v>
      </c>
      <c r="W58" s="58"/>
      <c r="X58" s="157">
        <f t="shared" si="9"/>
        <v>43874</v>
      </c>
      <c r="Y58" s="383">
        <f t="shared" si="10"/>
        <v>17.338000000000001</v>
      </c>
      <c r="Z58" s="383">
        <f t="shared" si="11"/>
        <v>17.464058650874005</v>
      </c>
      <c r="AA58" s="384">
        <f t="shared" si="12"/>
        <v>18.083704470471503</v>
      </c>
      <c r="AB58" s="197">
        <f t="shared" si="13"/>
        <v>43874</v>
      </c>
      <c r="AC58" s="424">
        <f>IF(OR(t&lt;Tnet,NoTnet),'2019'!Resal_s+('2019'!Salim-'2019'!Resal_s)*(1-EXP(('2019'!Tnet_s-t)/'2019'!Tau_j)),Resal_s+(Salim-Resal_s)*(1-EXP((Tnet_s-t)/Tau_j)))*Salcycl</f>
        <v>3.4265425018933704E-2</v>
      </c>
      <c r="AD58" s="230">
        <f>(INDEX(Models!$BJ58:$BT58,,AH58)*(1-AF58)+INDEX(Models!$BJ58:$BT58,,AH58+1)*AF58-ERP_i)*AE58*Ramure*Pc/MaxiM</f>
        <v>5.7827353750659591E-6</v>
      </c>
      <c r="AE58" s="304">
        <f t="shared" si="14"/>
        <v>0.6</v>
      </c>
      <c r="AF58" s="177">
        <f t="shared" si="15"/>
        <v>2.4713884840285028E-3</v>
      </c>
      <c r="AG58" s="176">
        <f t="shared" si="16"/>
        <v>-1</v>
      </c>
      <c r="AH58" s="176">
        <f t="shared" si="17"/>
        <v>5</v>
      </c>
      <c r="AI58" s="224">
        <f t="shared" si="22"/>
        <v>-0.9975286115159715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43875</v>
      </c>
      <c r="B59" s="607">
        <v>32.313000000000002</v>
      </c>
      <c r="C59" s="388"/>
      <c r="D59" s="391">
        <f t="shared" si="0"/>
        <v>32.548560525020122</v>
      </c>
      <c r="E59" s="383">
        <f t="shared" si="1"/>
        <v>33.705535782009633</v>
      </c>
      <c r="F59" s="383">
        <f t="shared" si="2"/>
        <v>33.705673487415339</v>
      </c>
      <c r="G59" s="110">
        <f t="shared" si="23"/>
        <v>0.79799313952718443</v>
      </c>
      <c r="H59" s="412" t="b">
        <f>Wh_hp&gt;='2019'!Maxi_hp</f>
        <v>1</v>
      </c>
      <c r="I59" s="388">
        <f>IF(H59,Wh_hp,'2019'!Maxi_hp)</f>
        <v>33.705673487415339</v>
      </c>
      <c r="J59" s="85">
        <f>IF(H59,An,'2019'!An_max)</f>
        <v>2020</v>
      </c>
      <c r="K59" s="197">
        <f t="shared" si="3"/>
        <v>43875</v>
      </c>
      <c r="L59" s="147">
        <f>IF(t&lt;Tvie,1-EXP((T0-t)*PertePVj)+'2019'!Pspv,1-EXP((T0-t)*PertePVj)+Pspv)</f>
        <v>7.2372025435362142E-3</v>
      </c>
      <c r="M59" s="832"/>
      <c r="N59" s="832"/>
      <c r="O59" s="48">
        <f>IF(t&lt;Tnet,'2019'!Resal+('2019'!Salim-'2019'!Resal)*(1-EXP(('2019'!Tnet-t)/('2019'!Tau_j))),Resal+(Salim-Resal)*(1-EXP((Tnet-t)/(Tau_j))))*Salcycl</f>
        <v>3.4325971391531783E-2</v>
      </c>
      <c r="P59" s="169">
        <f>(INDEX(Models!$BJ59:$BT59,,T59)*(1-R59)+INDEX(Models!$BJ59:$BT59,,T59+1)*R59-ERP_i)*Q59*Ramure*Pc/MaxiM</f>
        <v>5.7427711049105093E-6</v>
      </c>
      <c r="Q59" s="304">
        <f t="shared" si="4"/>
        <v>0.6</v>
      </c>
      <c r="R59" s="177">
        <f t="shared" si="5"/>
        <v>2.640074548010185E-3</v>
      </c>
      <c r="S59" s="799">
        <f t="shared" si="6"/>
        <v>-1</v>
      </c>
      <c r="T59" s="176">
        <f t="shared" si="7"/>
        <v>5</v>
      </c>
      <c r="U59" s="250">
        <f t="shared" si="21"/>
        <v>-0.99735992545198981</v>
      </c>
      <c r="V59" s="382">
        <f t="shared" si="8"/>
        <v>40.49276221643467</v>
      </c>
      <c r="W59" s="58"/>
      <c r="X59" s="157">
        <f t="shared" si="9"/>
        <v>43875</v>
      </c>
      <c r="Y59" s="383">
        <f t="shared" si="10"/>
        <v>32.313000000000002</v>
      </c>
      <c r="Z59" s="383">
        <f t="shared" si="11"/>
        <v>32.548560525020122</v>
      </c>
      <c r="AA59" s="384">
        <f t="shared" si="12"/>
        <v>33.705535782009633</v>
      </c>
      <c r="AB59" s="197">
        <f t="shared" si="13"/>
        <v>43875</v>
      </c>
      <c r="AC59" s="424">
        <f>IF(OR(t&lt;Tnet,NoTnet),'2019'!Resal_s+('2019'!Salim-'2019'!Resal_s)*(1-EXP(('2019'!Tnet_s-t)/'2019'!Tau_j)),Resal_s+(Salim-Resal_s)*(1-EXP((Tnet_s-t)/Tau_j)))*Salcycl</f>
        <v>3.4325971391531783E-2</v>
      </c>
      <c r="AD59" s="230">
        <f>(INDEX(Models!$BJ59:$BT59,,AH59)*(1-AF59)+INDEX(Models!$BJ59:$BT59,,AH59+1)*AF59-ERP_i)*AE59*Ramure*Pc/MaxiM</f>
        <v>5.7427711049105093E-6</v>
      </c>
      <c r="AE59" s="304">
        <f t="shared" si="14"/>
        <v>0.6</v>
      </c>
      <c r="AF59" s="177">
        <f t="shared" si="15"/>
        <v>2.640074548010185E-3</v>
      </c>
      <c r="AG59" s="176">
        <f t="shared" si="16"/>
        <v>-1</v>
      </c>
      <c r="AH59" s="176">
        <f t="shared" si="17"/>
        <v>5</v>
      </c>
      <c r="AI59" s="224">
        <f t="shared" si="22"/>
        <v>-0.99735992545198981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43876</v>
      </c>
      <c r="B60" s="607">
        <v>40.377000000000002</v>
      </c>
      <c r="C60" s="388"/>
      <c r="D60" s="391">
        <f t="shared" si="0"/>
        <v>40.672126246344895</v>
      </c>
      <c r="E60" s="383">
        <f t="shared" si="1"/>
        <v>42.120501727402377</v>
      </c>
      <c r="F60" s="383">
        <f t="shared" si="2"/>
        <v>42.120737329566786</v>
      </c>
      <c r="G60" s="110">
        <f t="shared" si="23"/>
        <v>0.98825769743120306</v>
      </c>
      <c r="H60" s="412" t="b">
        <f>Wh_hp&gt;='2019'!Maxi_hp</f>
        <v>1</v>
      </c>
      <c r="I60" s="388">
        <f>IF(H60,Wh_hp,'2019'!Maxi_hp)</f>
        <v>42.120737329566786</v>
      </c>
      <c r="J60" s="85">
        <f>IF(H60,An,'2019'!An_max)</f>
        <v>2020</v>
      </c>
      <c r="K60" s="197">
        <f t="shared" si="3"/>
        <v>43876</v>
      </c>
      <c r="L60" s="147">
        <f>IF(t&lt;Tvie,1-EXP((T0-t)*PertePVj)+'2019'!Pspv,1-EXP((T0-t)*PertePVj)+Pspv)</f>
        <v>7.2562286160638978E-3</v>
      </c>
      <c r="M60" s="832"/>
      <c r="N60" s="832"/>
      <c r="O60" s="48">
        <f>IF(t&lt;Tnet,'2019'!Resal+('2019'!Salim-'2019'!Resal)*(1-EXP(('2019'!Tnet-t)/('2019'!Tau_j))),Resal+(Salim-Resal)*(1-EXP((Tnet-t)/(Tau_j))))*Salcycl</f>
        <v>3.4386472659588746E-2</v>
      </c>
      <c r="P60" s="169">
        <f>(INDEX(Models!$BJ60:$BT60,,T60)*(1-R60)+INDEX(Models!$BJ60:$BT60,,T60+1)*R60-ERP_i)*Q60*Ramure*Pc/MaxiM</f>
        <v>5.6889250774062676E-6</v>
      </c>
      <c r="Q60" s="304">
        <f t="shared" si="4"/>
        <v>0.6</v>
      </c>
      <c r="R60" s="177">
        <f t="shared" si="5"/>
        <v>2.8157155143405665E-3</v>
      </c>
      <c r="S60" s="799">
        <f t="shared" si="6"/>
        <v>-1</v>
      </c>
      <c r="T60" s="176">
        <f t="shared" si="7"/>
        <v>5</v>
      </c>
      <c r="U60" s="250">
        <f t="shared" si="21"/>
        <v>-0.99718428448565943</v>
      </c>
      <c r="V60" s="382">
        <f t="shared" si="8"/>
        <v>40.856748449094198</v>
      </c>
      <c r="W60" s="58"/>
      <c r="X60" s="157">
        <f t="shared" si="9"/>
        <v>43876</v>
      </c>
      <c r="Y60" s="383">
        <f t="shared" si="10"/>
        <v>40.377000000000002</v>
      </c>
      <c r="Z60" s="383">
        <f t="shared" si="11"/>
        <v>40.672126246344895</v>
      </c>
      <c r="AA60" s="384">
        <f t="shared" si="12"/>
        <v>42.120501727402377</v>
      </c>
      <c r="AB60" s="197">
        <f t="shared" si="13"/>
        <v>43876</v>
      </c>
      <c r="AC60" s="424">
        <f>IF(OR(t&lt;Tnet,NoTnet),'2019'!Resal_s+('2019'!Salim-'2019'!Resal_s)*(1-EXP(('2019'!Tnet_s-t)/'2019'!Tau_j)),Resal_s+(Salim-Resal_s)*(1-EXP((Tnet_s-t)/Tau_j)))*Salcycl</f>
        <v>3.4386472659588746E-2</v>
      </c>
      <c r="AD60" s="230">
        <f>(INDEX(Models!$BJ60:$BT60,,AH60)*(1-AF60)+INDEX(Models!$BJ60:$BT60,,AH60+1)*AF60-ERP_i)*AE60*Ramure*Pc/MaxiM</f>
        <v>5.6889250774062676E-6</v>
      </c>
      <c r="AE60" s="304">
        <f t="shared" si="14"/>
        <v>0.6</v>
      </c>
      <c r="AF60" s="177">
        <f t="shared" si="15"/>
        <v>2.8157155143405665E-3</v>
      </c>
      <c r="AG60" s="176">
        <f t="shared" si="16"/>
        <v>-1</v>
      </c>
      <c r="AH60" s="176">
        <f t="shared" si="17"/>
        <v>5</v>
      </c>
      <c r="AI60" s="224">
        <f t="shared" si="22"/>
        <v>-0.99718428448565943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20"/>
        <v>43877</v>
      </c>
      <c r="B61" s="607">
        <v>24.725999999999999</v>
      </c>
      <c r="C61" s="388"/>
      <c r="D61" s="391">
        <f t="shared" si="0"/>
        <v>24.907206260041157</v>
      </c>
      <c r="E61" s="383">
        <f t="shared" si="1"/>
        <v>25.795791981182326</v>
      </c>
      <c r="F61" s="383">
        <f t="shared" si="2"/>
        <v>25.79585410362634</v>
      </c>
      <c r="G61" s="110">
        <f t="shared" si="23"/>
        <v>0.59986969395336198</v>
      </c>
      <c r="H61" s="412" t="b">
        <f>Wh_hp&gt;='2019'!Maxi_hp</f>
        <v>1</v>
      </c>
      <c r="I61" s="388">
        <f>IF(H61,Wh_hp,'2019'!Maxi_hp)</f>
        <v>25.79585410362634</v>
      </c>
      <c r="J61" s="85">
        <f>IF(H61,An,'2019'!An_max)</f>
        <v>2020</v>
      </c>
      <c r="K61" s="197">
        <f t="shared" si="3"/>
        <v>43877</v>
      </c>
      <c r="L61" s="147">
        <f>IF(t&lt;Tvie,1-EXP((T0-t)*PertePVj)+'2019'!Pspv,1-EXP((T0-t)*PertePVj)+Pspv)</f>
        <v>7.2752543239612555E-3</v>
      </c>
      <c r="M61" s="832"/>
      <c r="N61" s="832"/>
      <c r="O61" s="48">
        <f>IF(t&lt;Tnet,'2019'!Resal+('2019'!Salim-'2019'!Resal)*(1-EXP(('2019'!Tnet-t)/('2019'!Tau_j))),Resal+(Salim-Resal)*(1-EXP((Tnet-t)/(Tau_j))))*Salcycl</f>
        <v>3.4446925366330344E-2</v>
      </c>
      <c r="P61" s="169">
        <f>(INDEX(Models!$BJ61:$BT61,,T61)*(1-R61)+INDEX(Models!$BJ61:$BT61,,T61+1)*R61-ERP_i)*Q61*Ramure*Pc/MaxiM</f>
        <v>5.621617509900299E-6</v>
      </c>
      <c r="Q61" s="304">
        <f t="shared" si="4"/>
        <v>0.6</v>
      </c>
      <c r="R61" s="177">
        <f t="shared" si="5"/>
        <v>2.9985928601287126E-3</v>
      </c>
      <c r="S61" s="799">
        <f t="shared" si="6"/>
        <v>-1</v>
      </c>
      <c r="T61" s="176">
        <f t="shared" si="7"/>
        <v>5</v>
      </c>
      <c r="U61" s="250">
        <f t="shared" si="21"/>
        <v>-0.99700140713987129</v>
      </c>
      <c r="V61" s="382">
        <f t="shared" si="8"/>
        <v>41.218819345125681</v>
      </c>
      <c r="W61" s="58"/>
      <c r="X61" s="157">
        <f t="shared" si="9"/>
        <v>43877</v>
      </c>
      <c r="Y61" s="383">
        <f t="shared" si="10"/>
        <v>24.725999999999999</v>
      </c>
      <c r="Z61" s="383">
        <f t="shared" si="11"/>
        <v>24.907206260041157</v>
      </c>
      <c r="AA61" s="384">
        <f t="shared" si="12"/>
        <v>25.795791981182326</v>
      </c>
      <c r="AB61" s="197">
        <f t="shared" si="13"/>
        <v>43877</v>
      </c>
      <c r="AC61" s="424">
        <f>IF(OR(t&lt;Tnet,NoTnet),'2019'!Resal_s+('2019'!Salim-'2019'!Resal_s)*(1-EXP(('2019'!Tnet_s-t)/'2019'!Tau_j)),Resal_s+(Salim-Resal_s)*(1-EXP((Tnet_s-t)/Tau_j)))*Salcycl</f>
        <v>3.4446925366330344E-2</v>
      </c>
      <c r="AD61" s="230">
        <f>(INDEX(Models!$BJ61:$BT61,,AH61)*(1-AF61)+INDEX(Models!$BJ61:$BT61,,AH61+1)*AF61-ERP_i)*AE61*Ramure*Pc/MaxiM</f>
        <v>5.621617509900299E-6</v>
      </c>
      <c r="AE61" s="304">
        <f t="shared" si="14"/>
        <v>0.6</v>
      </c>
      <c r="AF61" s="177">
        <f t="shared" si="15"/>
        <v>2.9985928601287126E-3</v>
      </c>
      <c r="AG61" s="176">
        <f t="shared" si="16"/>
        <v>-1</v>
      </c>
      <c r="AH61" s="176">
        <f t="shared" si="17"/>
        <v>5</v>
      </c>
      <c r="AI61" s="224">
        <f t="shared" si="22"/>
        <v>-0.99700140713987129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43878</v>
      </c>
      <c r="B62" s="607">
        <v>5.8789999999999996</v>
      </c>
      <c r="C62" s="388"/>
      <c r="D62" s="391">
        <f t="shared" si="0"/>
        <v>5.92219816969454</v>
      </c>
      <c r="E62" s="383">
        <f t="shared" si="1"/>
        <v>6.1338613235357782</v>
      </c>
      <c r="F62" s="383">
        <f t="shared" si="2"/>
        <v>6.1338613235357782</v>
      </c>
      <c r="G62" s="110">
        <f t="shared" si="23"/>
        <v>0.14139489749708894</v>
      </c>
      <c r="H62" s="412" t="b">
        <f>Wh_hp&gt;='2019'!Maxi_hp</f>
        <v>1</v>
      </c>
      <c r="I62" s="388">
        <f>IF(H62,Wh_hp,'2019'!Maxi_hp)</f>
        <v>6.1338613235357782</v>
      </c>
      <c r="J62" s="85">
        <f>IF(H62,An,'2019'!An_max)</f>
        <v>2020</v>
      </c>
      <c r="K62" s="197">
        <f t="shared" si="3"/>
        <v>43878</v>
      </c>
      <c r="L62" s="147">
        <f>IF(t&lt;Tvie,1-EXP((T0-t)*PertePVj)+'2019'!Pspv,1-EXP((T0-t)*PertePVj)+Pspv)</f>
        <v>7.2942796672351706E-3</v>
      </c>
      <c r="M62" s="832"/>
      <c r="N62" s="832"/>
      <c r="O62" s="48">
        <f>IF(t&lt;Tnet,'2019'!Resal+('2019'!Salim-'2019'!Resal)*(1-EXP(('2019'!Tnet-t)/('2019'!Tau_j))),Resal+(Salim-Resal)*(1-EXP((Tnet-t)/(Tau_j))))*Salcycl</f>
        <v>3.4507326246369673E-2</v>
      </c>
      <c r="P62" s="169">
        <f>(INDEX(Models!$BJ62:$BT62,,T62)*(1-R62)+INDEX(Models!$BJ62:$BT62,,T62+1)*R62-ERP_i)*Q62*Ramure*Pc/MaxiM</f>
        <v>5.5412451320189678E-6</v>
      </c>
      <c r="Q62" s="304">
        <f t="shared" si="4"/>
        <v>0.6</v>
      </c>
      <c r="R62" s="177">
        <f t="shared" si="5"/>
        <v>3.1889990072849761E-3</v>
      </c>
      <c r="S62" s="799">
        <f t="shared" si="6"/>
        <v>-1</v>
      </c>
      <c r="T62" s="176">
        <f t="shared" si="7"/>
        <v>5</v>
      </c>
      <c r="U62" s="250">
        <f t="shared" si="21"/>
        <v>-0.99681100099271502</v>
      </c>
      <c r="V62" s="382">
        <f t="shared" si="8"/>
        <v>41.578356270889522</v>
      </c>
      <c r="W62" s="58"/>
      <c r="X62" s="157">
        <f t="shared" si="9"/>
        <v>43878</v>
      </c>
      <c r="Y62" s="383">
        <f t="shared" si="10"/>
        <v>5.8789999999999996</v>
      </c>
      <c r="Z62" s="383">
        <f t="shared" si="11"/>
        <v>5.92219816969454</v>
      </c>
      <c r="AA62" s="384">
        <f t="shared" si="12"/>
        <v>6.1338613235357782</v>
      </c>
      <c r="AB62" s="197">
        <f t="shared" si="13"/>
        <v>43878</v>
      </c>
      <c r="AC62" s="424">
        <f>IF(OR(t&lt;Tnet,NoTnet),'2019'!Resal_s+('2019'!Salim-'2019'!Resal_s)*(1-EXP(('2019'!Tnet_s-t)/'2019'!Tau_j)),Resal_s+(Salim-Resal_s)*(1-EXP((Tnet_s-t)/Tau_j)))*Salcycl</f>
        <v>3.4507326246369673E-2</v>
      </c>
      <c r="AD62" s="230">
        <f>(INDEX(Models!$BJ62:$BT62,,AH62)*(1-AF62)+INDEX(Models!$BJ62:$BT62,,AH62+1)*AF62-ERP_i)*AE62*Ramure*Pc/MaxiM</f>
        <v>5.5412451320189678E-6</v>
      </c>
      <c r="AE62" s="304">
        <f t="shared" si="14"/>
        <v>0.6</v>
      </c>
      <c r="AF62" s="177">
        <f t="shared" si="15"/>
        <v>3.1889990072849761E-3</v>
      </c>
      <c r="AG62" s="176">
        <f t="shared" si="16"/>
        <v>-1</v>
      </c>
      <c r="AH62" s="176">
        <f t="shared" si="17"/>
        <v>5</v>
      </c>
      <c r="AI62" s="224">
        <f t="shared" si="22"/>
        <v>-0.99681100099271502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20"/>
        <v>43879</v>
      </c>
      <c r="B63" s="607">
        <v>31.434999999999999</v>
      </c>
      <c r="C63" s="388"/>
      <c r="D63" s="391">
        <f t="shared" si="0"/>
        <v>31.666587400757528</v>
      </c>
      <c r="E63" s="383">
        <f t="shared" si="1"/>
        <v>32.800421626200603</v>
      </c>
      <c r="F63" s="383">
        <f t="shared" si="2"/>
        <v>32.800536409115679</v>
      </c>
      <c r="G63" s="110">
        <f t="shared" si="23"/>
        <v>0.74961566831375759</v>
      </c>
      <c r="H63" s="412" t="b">
        <f>Wh_hp&gt;='2019'!Maxi_hp</f>
        <v>1</v>
      </c>
      <c r="I63" s="388">
        <f>IF(H63,Wh_hp,'2019'!Maxi_hp)</f>
        <v>32.800536409115679</v>
      </c>
      <c r="J63" s="85">
        <f>IF(H63,An,'2019'!An_max)</f>
        <v>2020</v>
      </c>
      <c r="K63" s="197">
        <f t="shared" si="3"/>
        <v>43879</v>
      </c>
      <c r="L63" s="147">
        <f>IF(t&lt;Tvie,1-EXP((T0-t)*PertePVj)+'2019'!Pspv,1-EXP((T0-t)*PertePVj)+Pspv)</f>
        <v>7.3133046458927486E-3</v>
      </c>
      <c r="M63" s="832"/>
      <c r="N63" s="832"/>
      <c r="O63" s="48">
        <f>IF(t&lt;Tnet,'2019'!Resal+('2019'!Salim-'2019'!Resal)*(1-EXP(('2019'!Tnet-t)/('2019'!Tau_j))),Resal+(Salim-Resal)*(1-EXP((Tnet-t)/(Tau_j))))*Salcycl</f>
        <v>3.4567672280693476E-2</v>
      </c>
      <c r="P63" s="169">
        <f>(INDEX(Models!$BJ63:$BT63,,T63)*(1-R63)+INDEX(Models!$BJ63:$BT63,,T63+1)*R63-ERP_i)*Q63*Ramure*Pc/MaxiM</f>
        <v>5.4481806039907082E-6</v>
      </c>
      <c r="Q63" s="304">
        <f t="shared" si="4"/>
        <v>0.6</v>
      </c>
      <c r="R63" s="177">
        <f t="shared" si="5"/>
        <v>3.3872377100333528E-3</v>
      </c>
      <c r="S63" s="799">
        <f t="shared" si="6"/>
        <v>-1</v>
      </c>
      <c r="T63" s="176">
        <f t="shared" si="7"/>
        <v>5</v>
      </c>
      <c r="U63" s="250">
        <f t="shared" si="21"/>
        <v>-0.99661276228996665</v>
      </c>
      <c r="V63" s="382">
        <f t="shared" si="8"/>
        <v>41.934740786925587</v>
      </c>
      <c r="W63" s="58"/>
      <c r="X63" s="157">
        <f t="shared" si="9"/>
        <v>43879</v>
      </c>
      <c r="Y63" s="383">
        <f t="shared" si="10"/>
        <v>31.434999999999999</v>
      </c>
      <c r="Z63" s="383">
        <f t="shared" si="11"/>
        <v>31.666587400757528</v>
      </c>
      <c r="AA63" s="384">
        <f t="shared" si="12"/>
        <v>32.800421626200603</v>
      </c>
      <c r="AB63" s="197">
        <f t="shared" si="13"/>
        <v>43879</v>
      </c>
      <c r="AC63" s="424">
        <f>IF(OR(t&lt;Tnet,NoTnet),'2019'!Resal_s+('2019'!Salim-'2019'!Resal_s)*(1-EXP(('2019'!Tnet_s-t)/'2019'!Tau_j)),Resal_s+(Salim-Resal_s)*(1-EXP((Tnet_s-t)/Tau_j)))*Salcycl</f>
        <v>3.4567672280693476E-2</v>
      </c>
      <c r="AD63" s="230">
        <f>(INDEX(Models!$BJ63:$BT63,,AH63)*(1-AF63)+INDEX(Models!$BJ63:$BT63,,AH63+1)*AF63-ERP_i)*AE63*Ramure*Pc/MaxiM</f>
        <v>5.4481806039907082E-6</v>
      </c>
      <c r="AE63" s="304">
        <f t="shared" si="14"/>
        <v>0.6</v>
      </c>
      <c r="AF63" s="177">
        <f t="shared" si="15"/>
        <v>3.3872377100333528E-3</v>
      </c>
      <c r="AG63" s="176">
        <f t="shared" si="16"/>
        <v>-1</v>
      </c>
      <c r="AH63" s="176">
        <f t="shared" si="17"/>
        <v>5</v>
      </c>
      <c r="AI63" s="224">
        <f t="shared" si="22"/>
        <v>-0.99661276228996665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43880</v>
      </c>
      <c r="B64" s="607">
        <v>28.587</v>
      </c>
      <c r="C64" s="388"/>
      <c r="D64" s="391">
        <f t="shared" si="0"/>
        <v>28.798157573407888</v>
      </c>
      <c r="E64" s="383">
        <f t="shared" si="1"/>
        <v>29.831149445559124</v>
      </c>
      <c r="F64" s="383">
        <f t="shared" si="2"/>
        <v>29.831235060215597</v>
      </c>
      <c r="G64" s="110">
        <f t="shared" si="23"/>
        <v>0.67601602293634455</v>
      </c>
      <c r="H64" s="412" t="b">
        <f>Wh_hp&gt;='2019'!Maxi_hp</f>
        <v>1</v>
      </c>
      <c r="I64" s="388">
        <f>IF(H64,Wh_hp,'2019'!Maxi_hp)</f>
        <v>29.831235060215597</v>
      </c>
      <c r="J64" s="85">
        <f>IF(H64,An,'2019'!An_max)</f>
        <v>2020</v>
      </c>
      <c r="K64" s="197">
        <f t="shared" si="3"/>
        <v>43880</v>
      </c>
      <c r="L64" s="147">
        <f>IF(t&lt;Tvie,1-EXP((T0-t)*PertePVj)+'2019'!Pspv,1-EXP((T0-t)*PertePVj)+Pspv)</f>
        <v>7.3323292599409839E-3</v>
      </c>
      <c r="M64" s="832"/>
      <c r="N64" s="832"/>
      <c r="O64" s="48">
        <f>IF(t&lt;Tnet,'2019'!Resal+('2019'!Salim-'2019'!Resal)*(1-EXP(('2019'!Tnet-t)/('2019'!Tau_j))),Resal+(Salim-Resal)*(1-EXP((Tnet-t)/(Tau_j))))*Salcycl</f>
        <v>3.4627960750771999E-2</v>
      </c>
      <c r="P64" s="169">
        <f>(INDEX(Models!$BJ64:$BT64,,T64)*(1-R64)+INDEX(Models!$BJ64:$BT64,,T64+1)*R64-ERP_i)*Q64*Ramure*Pc/MaxiM</f>
        <v>5.3427720067215588E-6</v>
      </c>
      <c r="Q64" s="304">
        <f t="shared" si="4"/>
        <v>0.6</v>
      </c>
      <c r="R64" s="177">
        <f t="shared" si="5"/>
        <v>3.5936244528422812E-3</v>
      </c>
      <c r="S64" s="799">
        <f t="shared" si="6"/>
        <v>-1</v>
      </c>
      <c r="T64" s="176">
        <f t="shared" si="7"/>
        <v>5</v>
      </c>
      <c r="U64" s="250">
        <f t="shared" si="21"/>
        <v>-0.99640637554715772</v>
      </c>
      <c r="V64" s="382">
        <f t="shared" si="8"/>
        <v>42.287354648114089</v>
      </c>
      <c r="W64" s="58"/>
      <c r="X64" s="157">
        <f t="shared" si="9"/>
        <v>43880</v>
      </c>
      <c r="Y64" s="383">
        <f t="shared" si="10"/>
        <v>28.587</v>
      </c>
      <c r="Z64" s="383">
        <f t="shared" si="11"/>
        <v>28.798157573407888</v>
      </c>
      <c r="AA64" s="384">
        <f t="shared" si="12"/>
        <v>29.831149445559124</v>
      </c>
      <c r="AB64" s="197">
        <f t="shared" si="13"/>
        <v>43880</v>
      </c>
      <c r="AC64" s="424">
        <f>IF(OR(t&lt;Tnet,NoTnet),'2019'!Resal_s+('2019'!Salim-'2019'!Resal_s)*(1-EXP(('2019'!Tnet_s-t)/'2019'!Tau_j)),Resal_s+(Salim-Resal_s)*(1-EXP((Tnet_s-t)/Tau_j)))*Salcycl</f>
        <v>3.4627960750771999E-2</v>
      </c>
      <c r="AD64" s="230">
        <f>(INDEX(Models!$BJ64:$BT64,,AH64)*(1-AF64)+INDEX(Models!$BJ64:$BT64,,AH64+1)*AF64-ERP_i)*AE64*Ramure*Pc/MaxiM</f>
        <v>5.3427720067215588E-6</v>
      </c>
      <c r="AE64" s="304">
        <f t="shared" si="14"/>
        <v>0.6</v>
      </c>
      <c r="AF64" s="177">
        <f t="shared" si="15"/>
        <v>3.5936244528422812E-3</v>
      </c>
      <c r="AG64" s="176">
        <f t="shared" si="16"/>
        <v>-1</v>
      </c>
      <c r="AH64" s="176">
        <f t="shared" si="17"/>
        <v>5</v>
      </c>
      <c r="AI64" s="224">
        <f t="shared" si="22"/>
        <v>-0.99640637554715772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20"/>
        <v>43881</v>
      </c>
      <c r="B65" s="607">
        <v>42.798999999999999</v>
      </c>
      <c r="C65" s="388"/>
      <c r="D65" s="391">
        <f t="shared" si="0"/>
        <v>43.115960668772971</v>
      </c>
      <c r="E65" s="383">
        <f t="shared" si="1"/>
        <v>44.665319734477379</v>
      </c>
      <c r="F65" s="383">
        <f t="shared" si="2"/>
        <v>44.665553120035945</v>
      </c>
      <c r="G65" s="110">
        <f t="shared" si="23"/>
        <v>1.003801775418363</v>
      </c>
      <c r="H65" s="412" t="b">
        <f>Wh_hp&gt;='2019'!Maxi_hp</f>
        <v>1</v>
      </c>
      <c r="I65" s="388">
        <f>IF(H65,Wh_hp,'2019'!Maxi_hp)</f>
        <v>44.665553120035945</v>
      </c>
      <c r="J65" s="85">
        <f>IF(H65,An,'2019'!An_max)</f>
        <v>2020</v>
      </c>
      <c r="K65" s="197">
        <f t="shared" si="3"/>
        <v>43881</v>
      </c>
      <c r="L65" s="147">
        <f>IF(t&lt;Tvie,1-EXP((T0-t)*PertePVj)+'2019'!Pspv,1-EXP((T0-t)*PertePVj)+Pspv)</f>
        <v>7.3513535093868709E-3</v>
      </c>
      <c r="M65" s="832"/>
      <c r="N65" s="832"/>
      <c r="O65" s="48">
        <f>IF(t&lt;Tnet,'2019'!Resal+('2019'!Salim-'2019'!Resal)*(1-EXP(('2019'!Tnet-t)/('2019'!Tau_j))),Resal+(Salim-Resal)*(1-EXP((Tnet-t)/(Tau_j))))*Salcycl</f>
        <v>3.4688189291264653E-2</v>
      </c>
      <c r="P65" s="169">
        <f>(INDEX(Models!$BJ65:$BT65,,T65)*(1-R65)+INDEX(Models!$BJ65:$BT65,,T65+1)*R65-ERP_i)*Q65*Ramure*Pc/MaxiM</f>
        <v>5.2251800831642018E-6</v>
      </c>
      <c r="Q65" s="304">
        <f t="shared" si="4"/>
        <v>0.6</v>
      </c>
      <c r="R65" s="177">
        <f t="shared" si="5"/>
        <v>3.8084868587525689E-3</v>
      </c>
      <c r="S65" s="799">
        <f t="shared" si="6"/>
        <v>-1</v>
      </c>
      <c r="T65" s="176">
        <f t="shared" si="7"/>
        <v>5</v>
      </c>
      <c r="U65" s="250">
        <f t="shared" si="21"/>
        <v>-0.99619151314124743</v>
      </c>
      <c r="V65" s="382">
        <f t="shared" si="8"/>
        <v>42.636904066205993</v>
      </c>
      <c r="W65" s="58"/>
      <c r="X65" s="157">
        <f t="shared" si="9"/>
        <v>43881</v>
      </c>
      <c r="Y65" s="383">
        <f t="shared" si="10"/>
        <v>42.798999999999999</v>
      </c>
      <c r="Z65" s="383">
        <f t="shared" si="11"/>
        <v>43.115960668772971</v>
      </c>
      <c r="AA65" s="384">
        <f t="shared" si="12"/>
        <v>44.665319734477379</v>
      </c>
      <c r="AB65" s="197">
        <f t="shared" si="13"/>
        <v>43881</v>
      </c>
      <c r="AC65" s="424">
        <f>IF(OR(t&lt;Tnet,NoTnet),'2019'!Resal_s+('2019'!Salim-'2019'!Resal_s)*(1-EXP(('2019'!Tnet_s-t)/'2019'!Tau_j)),Resal_s+(Salim-Resal_s)*(1-EXP((Tnet_s-t)/Tau_j)))*Salcycl</f>
        <v>3.4688189291264653E-2</v>
      </c>
      <c r="AD65" s="230">
        <f>(INDEX(Models!$BJ65:$BT65,,AH65)*(1-AF65)+INDEX(Models!$BJ65:$BT65,,AH65+1)*AF65-ERP_i)*AE65*Ramure*Pc/MaxiM</f>
        <v>5.2251800831642018E-6</v>
      </c>
      <c r="AE65" s="304">
        <f t="shared" si="14"/>
        <v>0.6</v>
      </c>
      <c r="AF65" s="177">
        <f t="shared" si="15"/>
        <v>3.8084868587525689E-3</v>
      </c>
      <c r="AG65" s="176">
        <f t="shared" si="16"/>
        <v>-1</v>
      </c>
      <c r="AH65" s="176">
        <f t="shared" si="17"/>
        <v>5</v>
      </c>
      <c r="AI65" s="224">
        <f t="shared" si="22"/>
        <v>-0.99619151314124743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20"/>
        <v>43882</v>
      </c>
      <c r="B66" s="607">
        <v>13.842000000000001</v>
      </c>
      <c r="C66" s="388"/>
      <c r="D66" s="391">
        <f t="shared" si="0"/>
        <v>13.944778278592187</v>
      </c>
      <c r="E66" s="383">
        <f t="shared" si="1"/>
        <v>14.446780136991094</v>
      </c>
      <c r="F66" s="383">
        <f t="shared" si="2"/>
        <v>14.446782457559816</v>
      </c>
      <c r="G66" s="110">
        <f t="shared" si="23"/>
        <v>0.32202089242490484</v>
      </c>
      <c r="H66" s="412" t="b">
        <f>Wh_hp&gt;='2019'!Maxi_hp</f>
        <v>1</v>
      </c>
      <c r="I66" s="388">
        <f>IF(H66,Wh_hp,'2019'!Maxi_hp)</f>
        <v>14.446782457559816</v>
      </c>
      <c r="J66" s="85">
        <f>IF(H66,An,'2019'!An_max)</f>
        <v>2020</v>
      </c>
      <c r="K66" s="197">
        <f t="shared" si="3"/>
        <v>43882</v>
      </c>
      <c r="L66" s="147">
        <f>IF(t&lt;Tvie,1-EXP((T0-t)*PertePVj)+'2019'!Pspv,1-EXP((T0-t)*PertePVj)+Pspv)</f>
        <v>7.370377394237293E-3</v>
      </c>
      <c r="M66" s="832"/>
      <c r="N66" s="832"/>
      <c r="O66" s="48">
        <f>IF(t&lt;Tnet,'2019'!Resal+('2019'!Salim-'2019'!Resal)*(1-EXP(('2019'!Tnet-t)/('2019'!Tau_j))),Resal+(Salim-Resal)*(1-EXP((Tnet-t)/(Tau_j))))*Salcycl</f>
        <v>3.4748355940818113E-2</v>
      </c>
      <c r="P66" s="169">
        <f>(INDEX(Models!$BJ66:$BT66,,T66)*(1-R66)+INDEX(Models!$BJ66:$BT66,,T66+1)*R66-ERP_i)*Q66*Ramure*Pc/MaxiM</f>
        <v>5.1056968072920045E-6</v>
      </c>
      <c r="Q66" s="304">
        <f t="shared" si="4"/>
        <v>0.6</v>
      </c>
      <c r="R66" s="177">
        <f t="shared" si="5"/>
        <v>4.0321651080391652E-3</v>
      </c>
      <c r="S66" s="799">
        <f t="shared" si="6"/>
        <v>-1</v>
      </c>
      <c r="T66" s="176">
        <f t="shared" si="7"/>
        <v>5</v>
      </c>
      <c r="U66" s="250">
        <f t="shared" si="21"/>
        <v>-0.99596783489196083</v>
      </c>
      <c r="V66" s="382">
        <f t="shared" si="8"/>
        <v>42.984576081767734</v>
      </c>
      <c r="W66" s="58"/>
      <c r="X66" s="157">
        <f t="shared" si="9"/>
        <v>43882</v>
      </c>
      <c r="Y66" s="383">
        <f t="shared" si="10"/>
        <v>13.842000000000001</v>
      </c>
      <c r="Z66" s="383">
        <f t="shared" si="11"/>
        <v>13.944778278592187</v>
      </c>
      <c r="AA66" s="384">
        <f t="shared" si="12"/>
        <v>14.446780136991094</v>
      </c>
      <c r="AB66" s="197">
        <f t="shared" si="13"/>
        <v>43882</v>
      </c>
      <c r="AC66" s="424">
        <f>IF(OR(t&lt;Tnet,NoTnet),'2019'!Resal_s+('2019'!Salim-'2019'!Resal_s)*(1-EXP(('2019'!Tnet_s-t)/'2019'!Tau_j)),Resal_s+(Salim-Resal_s)*(1-EXP((Tnet_s-t)/Tau_j)))*Salcycl</f>
        <v>3.4748355940818113E-2</v>
      </c>
      <c r="AD66" s="230">
        <f>(INDEX(Models!$BJ66:$BT66,,AH66)*(1-AF66)+INDEX(Models!$BJ66:$BT66,,AH66+1)*AF66-ERP_i)*AE66*Ramure*Pc/MaxiM</f>
        <v>5.1056968072920045E-6</v>
      </c>
      <c r="AE66" s="304">
        <f t="shared" si="14"/>
        <v>0.6</v>
      </c>
      <c r="AF66" s="177">
        <f t="shared" si="15"/>
        <v>4.0321651080391652E-3</v>
      </c>
      <c r="AG66" s="176">
        <f t="shared" si="16"/>
        <v>-1</v>
      </c>
      <c r="AH66" s="176">
        <f t="shared" si="17"/>
        <v>5</v>
      </c>
      <c r="AI66" s="224">
        <f t="shared" si="22"/>
        <v>-0.99596783489196083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20"/>
        <v>43883</v>
      </c>
      <c r="B67" s="607">
        <v>40.606000000000002</v>
      </c>
      <c r="C67" s="388"/>
      <c r="D67" s="391">
        <f t="shared" si="0"/>
        <v>40.908287738827902</v>
      </c>
      <c r="E67" s="383">
        <f t="shared" si="1"/>
        <v>42.383595389281645</v>
      </c>
      <c r="F67" s="383">
        <f t="shared" si="2"/>
        <v>42.383788099046349</v>
      </c>
      <c r="G67" s="110">
        <f t="shared" si="23"/>
        <v>0.93712295437293003</v>
      </c>
      <c r="H67" s="412" t="b">
        <f>Wh_hp&gt;='2019'!Maxi_hp</f>
        <v>1</v>
      </c>
      <c r="I67" s="388">
        <f>IF(H67,Wh_hp,'2019'!Maxi_hp)</f>
        <v>42.383788099046349</v>
      </c>
      <c r="J67" s="85">
        <f>IF(H67,An,'2019'!An_max)</f>
        <v>2020</v>
      </c>
      <c r="K67" s="197">
        <f t="shared" si="3"/>
        <v>43883</v>
      </c>
      <c r="L67" s="147">
        <f>IF(t&lt;Tvie,1-EXP((T0-t)*PertePVj)+'2019'!Pspv,1-EXP((T0-t)*PertePVj)+Pspv)</f>
        <v>7.3894009144993555E-3</v>
      </c>
      <c r="M67" s="832"/>
      <c r="N67" s="832"/>
      <c r="O67" s="48">
        <f>IF(t&lt;Tnet,'2019'!Resal+('2019'!Salim-'2019'!Resal)*(1-EXP(('2019'!Tnet-t)/('2019'!Tau_j))),Resal+(Salim-Resal)*(1-EXP((Tnet-t)/(Tau_j))))*Salcycl</f>
        <v>3.4808459190482768E-2</v>
      </c>
      <c r="P67" s="169">
        <f>(INDEX(Models!$BJ67:$BT67,,T67)*(1-R67)+INDEX(Models!$BJ67:$BT67,,T67+1)*R67-ERP_i)*Q67*Ramure*Pc/MaxiM</f>
        <v>4.9954941261428571E-6</v>
      </c>
      <c r="Q67" s="304">
        <f t="shared" si="4"/>
        <v>0.6</v>
      </c>
      <c r="R67" s="177">
        <f t="shared" si="5"/>
        <v>4.2650123671084117E-3</v>
      </c>
      <c r="S67" s="799">
        <f t="shared" si="6"/>
        <v>-1</v>
      </c>
      <c r="T67" s="176">
        <f t="shared" si="7"/>
        <v>5</v>
      </c>
      <c r="U67" s="250">
        <f t="shared" si="21"/>
        <v>-0.99573498763289159</v>
      </c>
      <c r="V67" s="382">
        <f t="shared" si="8"/>
        <v>43.330473968175326</v>
      </c>
      <c r="W67" s="58"/>
      <c r="X67" s="157">
        <f t="shared" si="9"/>
        <v>43883</v>
      </c>
      <c r="Y67" s="383">
        <f t="shared" si="10"/>
        <v>40.606000000000002</v>
      </c>
      <c r="Z67" s="383">
        <f t="shared" si="11"/>
        <v>40.908287738827902</v>
      </c>
      <c r="AA67" s="384">
        <f t="shared" si="12"/>
        <v>42.383595389281645</v>
      </c>
      <c r="AB67" s="197">
        <f t="shared" si="13"/>
        <v>43883</v>
      </c>
      <c r="AC67" s="424">
        <f>IF(OR(t&lt;Tnet,NoTnet),'2019'!Resal_s+('2019'!Salim-'2019'!Resal_s)*(1-EXP(('2019'!Tnet_s-t)/'2019'!Tau_j)),Resal_s+(Salim-Resal_s)*(1-EXP((Tnet_s-t)/Tau_j)))*Salcycl</f>
        <v>3.4808459190482768E-2</v>
      </c>
      <c r="AD67" s="230">
        <f>(INDEX(Models!$BJ67:$BT67,,AH67)*(1-AF67)+INDEX(Models!$BJ67:$BT67,,AH67+1)*AF67-ERP_i)*AE67*Ramure*Pc/MaxiM</f>
        <v>4.9954941261428571E-6</v>
      </c>
      <c r="AE67" s="304">
        <f t="shared" si="14"/>
        <v>0.6</v>
      </c>
      <c r="AF67" s="177">
        <f t="shared" si="15"/>
        <v>4.2650123671084117E-3</v>
      </c>
      <c r="AG67" s="176">
        <f t="shared" si="16"/>
        <v>-1</v>
      </c>
      <c r="AH67" s="176">
        <f t="shared" si="17"/>
        <v>5</v>
      </c>
      <c r="AI67" s="224">
        <f t="shared" si="22"/>
        <v>-0.99573498763289159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20"/>
        <v>43884</v>
      </c>
      <c r="B68" s="607">
        <v>42.198</v>
      </c>
      <c r="C68" s="388"/>
      <c r="D68" s="391">
        <f t="shared" si="0"/>
        <v>42.512953991646164</v>
      </c>
      <c r="E68" s="383">
        <f t="shared" si="1"/>
        <v>44.048871998105305</v>
      </c>
      <c r="F68" s="383">
        <f t="shared" si="2"/>
        <v>44.04907717434498</v>
      </c>
      <c r="G68" s="110">
        <f t="shared" si="23"/>
        <v>0.96618840297850628</v>
      </c>
      <c r="H68" s="412" t="b">
        <f>Wh_hp&gt;='2019'!Maxi_hp</f>
        <v>1</v>
      </c>
      <c r="I68" s="388">
        <f>IF(H68,Wh_hp,'2019'!Maxi_hp)</f>
        <v>44.04907717434498</v>
      </c>
      <c r="J68" s="85">
        <f>IF(H68,An,'2019'!An_max)</f>
        <v>2020</v>
      </c>
      <c r="K68" s="197">
        <f t="shared" si="3"/>
        <v>43884</v>
      </c>
      <c r="L68" s="147">
        <f>IF(t&lt;Tvie,1-EXP((T0-t)*PertePVj)+'2019'!Pspv,1-EXP((T0-t)*PertePVj)+Pspv)</f>
        <v>7.408424070179942E-3</v>
      </c>
      <c r="M68" s="832"/>
      <c r="N68" s="832"/>
      <c r="O68" s="48">
        <f>IF(t&lt;Tnet,'2019'!Resal+('2019'!Salim-'2019'!Resal)*(1-EXP(('2019'!Tnet-t)/('2019'!Tau_j))),Resal+(Salim-Resal)*(1-EXP((Tnet-t)/(Tau_j))))*Salcycl</f>
        <v>3.4868498029307193E-2</v>
      </c>
      <c r="P68" s="169">
        <f>(INDEX(Models!$BJ68:$BT68,,T68)*(1-R68)+INDEX(Models!$BJ68:$BT68,,T68+1)*R68-ERP_i)*Q68*Ramure*Pc/MaxiM</f>
        <v>4.8943055034289689E-6</v>
      </c>
      <c r="Q68" s="304">
        <f t="shared" si="4"/>
        <v>0.6</v>
      </c>
      <c r="R68" s="177">
        <f t="shared" si="5"/>
        <v>4.5073952274863327E-3</v>
      </c>
      <c r="S68" s="799">
        <f t="shared" si="6"/>
        <v>-1</v>
      </c>
      <c r="T68" s="176">
        <f t="shared" si="7"/>
        <v>5</v>
      </c>
      <c r="U68" s="250">
        <f t="shared" si="21"/>
        <v>-0.99549260477251367</v>
      </c>
      <c r="V68" s="382">
        <f t="shared" si="8"/>
        <v>43.674701428903532</v>
      </c>
      <c r="W68" s="58"/>
      <c r="X68" s="157">
        <f t="shared" si="9"/>
        <v>43884</v>
      </c>
      <c r="Y68" s="383">
        <f t="shared" si="10"/>
        <v>42.198</v>
      </c>
      <c r="Z68" s="383">
        <f t="shared" si="11"/>
        <v>42.512953991646164</v>
      </c>
      <c r="AA68" s="384">
        <f t="shared" si="12"/>
        <v>44.048871998105305</v>
      </c>
      <c r="AB68" s="197">
        <f t="shared" si="13"/>
        <v>43884</v>
      </c>
      <c r="AC68" s="424">
        <f>IF(OR(t&lt;Tnet,NoTnet),'2019'!Resal_s+('2019'!Salim-'2019'!Resal_s)*(1-EXP(('2019'!Tnet_s-t)/'2019'!Tau_j)),Resal_s+(Salim-Resal_s)*(1-EXP((Tnet_s-t)/Tau_j)))*Salcycl</f>
        <v>3.4868498029307193E-2</v>
      </c>
      <c r="AD68" s="230">
        <f>(INDEX(Models!$BJ68:$BT68,,AH68)*(1-AF68)+INDEX(Models!$BJ68:$BT68,,AH68+1)*AF68-ERP_i)*AE68*Ramure*Pc/MaxiM</f>
        <v>4.8943055034289689E-6</v>
      </c>
      <c r="AE68" s="304">
        <f t="shared" si="14"/>
        <v>0.6</v>
      </c>
      <c r="AF68" s="177">
        <f t="shared" si="15"/>
        <v>4.5073952274863327E-3</v>
      </c>
      <c r="AG68" s="176">
        <f t="shared" si="16"/>
        <v>-1</v>
      </c>
      <c r="AH68" s="176">
        <f t="shared" si="17"/>
        <v>5</v>
      </c>
      <c r="AI68" s="224">
        <f t="shared" si="22"/>
        <v>-0.99549260477251367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20"/>
        <v>43885</v>
      </c>
      <c r="B69" s="607">
        <v>39.866</v>
      </c>
      <c r="C69" s="388"/>
      <c r="D69" s="391">
        <f t="shared" si="0"/>
        <v>40.164318340191556</v>
      </c>
      <c r="E69" s="383">
        <f t="shared" si="1"/>
        <v>41.617970455386143</v>
      </c>
      <c r="F69" s="383">
        <f t="shared" si="2"/>
        <v>41.618143376112755</v>
      </c>
      <c r="G69" s="110">
        <f t="shared" si="23"/>
        <v>0.90568749009970695</v>
      </c>
      <c r="H69" s="412" t="b">
        <f>Wh_hp&gt;='2019'!Maxi_hp</f>
        <v>1</v>
      </c>
      <c r="I69" s="388">
        <f>IF(H69,Wh_hp,'2019'!Maxi_hp)</f>
        <v>41.618143376112755</v>
      </c>
      <c r="J69" s="85">
        <f>IF(H69,An,'2019'!An_max)</f>
        <v>2020</v>
      </c>
      <c r="K69" s="197">
        <f t="shared" si="3"/>
        <v>43885</v>
      </c>
      <c r="L69" s="147">
        <f>IF(t&lt;Tvie,1-EXP((T0-t)*PertePVj)+'2019'!Pspv,1-EXP((T0-t)*PertePVj)+Pspv)</f>
        <v>7.4274468612861577E-3</v>
      </c>
      <c r="M69" s="832"/>
      <c r="N69" s="832"/>
      <c r="O69" s="48">
        <f>IF(t&lt;Tnet,'2019'!Resal+('2019'!Salim-'2019'!Resal)*(1-EXP(('2019'!Tnet-t)/('2019'!Tau_j))),Resal+(Salim-Resal)*(1-EXP((Tnet-t)/(Tau_j))))*Salcycl</f>
        <v>3.4928471986707739E-2</v>
      </c>
      <c r="P69" s="169">
        <f>(INDEX(Models!$BJ69:$BT69,,T69)*(1-R69)+INDEX(Models!$BJ69:$BT69,,T69+1)*R69-ERP_i)*Q69*Ramure*Pc/MaxiM</f>
        <v>4.8019028106448118E-6</v>
      </c>
      <c r="Q69" s="304">
        <f t="shared" si="4"/>
        <v>0.6</v>
      </c>
      <c r="R69" s="177">
        <f t="shared" si="5"/>
        <v>4.7596941547045635E-3</v>
      </c>
      <c r="S69" s="799">
        <f t="shared" si="6"/>
        <v>-1</v>
      </c>
      <c r="T69" s="176">
        <f t="shared" si="7"/>
        <v>5</v>
      </c>
      <c r="U69" s="250">
        <f t="shared" si="21"/>
        <v>-0.99524030584529544</v>
      </c>
      <c r="V69" s="382">
        <f t="shared" si="8"/>
        <v>44.017362107463121</v>
      </c>
      <c r="W69" s="58"/>
      <c r="X69" s="157">
        <f t="shared" si="9"/>
        <v>43885</v>
      </c>
      <c r="Y69" s="383">
        <f t="shared" si="10"/>
        <v>39.866</v>
      </c>
      <c r="Z69" s="383">
        <f t="shared" si="11"/>
        <v>40.164318340191556</v>
      </c>
      <c r="AA69" s="384">
        <f t="shared" si="12"/>
        <v>41.617970455386143</v>
      </c>
      <c r="AB69" s="197">
        <f t="shared" si="13"/>
        <v>43885</v>
      </c>
      <c r="AC69" s="424">
        <f>IF(OR(t&lt;Tnet,NoTnet),'2019'!Resal_s+('2019'!Salim-'2019'!Resal_s)*(1-EXP(('2019'!Tnet_s-t)/'2019'!Tau_j)),Resal_s+(Salim-Resal_s)*(1-EXP((Tnet_s-t)/Tau_j)))*Salcycl</f>
        <v>3.4928471986707739E-2</v>
      </c>
      <c r="AD69" s="230">
        <f>(INDEX(Models!$BJ69:$BT69,,AH69)*(1-AF69)+INDEX(Models!$BJ69:$BT69,,AH69+1)*AF69-ERP_i)*AE69*Ramure*Pc/MaxiM</f>
        <v>4.8019028106448118E-6</v>
      </c>
      <c r="AE69" s="304">
        <f t="shared" si="14"/>
        <v>0.6</v>
      </c>
      <c r="AF69" s="177">
        <f t="shared" si="15"/>
        <v>4.7596941547045635E-3</v>
      </c>
      <c r="AG69" s="176">
        <f t="shared" si="16"/>
        <v>-1</v>
      </c>
      <c r="AH69" s="176">
        <f t="shared" si="17"/>
        <v>5</v>
      </c>
      <c r="AI69" s="224">
        <f t="shared" si="22"/>
        <v>-0.99524030584529544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20"/>
        <v>43886</v>
      </c>
      <c r="B70" s="607">
        <v>15.51</v>
      </c>
      <c r="C70" s="388"/>
      <c r="D70" s="391">
        <f t="shared" si="0"/>
        <v>15.626361218896974</v>
      </c>
      <c r="E70" s="383">
        <f t="shared" si="1"/>
        <v>16.192925467429049</v>
      </c>
      <c r="F70" s="383">
        <f t="shared" si="2"/>
        <v>16.192930886400529</v>
      </c>
      <c r="G70" s="110">
        <f t="shared" si="23"/>
        <v>0.34964913552413684</v>
      </c>
      <c r="H70" s="412" t="b">
        <f>Wh_hp&gt;='2019'!Maxi_hp</f>
        <v>1</v>
      </c>
      <c r="I70" s="388">
        <f>IF(H70,Wh_hp,'2019'!Maxi_hp)</f>
        <v>16.192930886400529</v>
      </c>
      <c r="J70" s="85">
        <f>IF(H70,An,'2019'!An_max)</f>
        <v>2020</v>
      </c>
      <c r="K70" s="197">
        <f t="shared" si="3"/>
        <v>43886</v>
      </c>
      <c r="L70" s="147">
        <f>IF(t&lt;Tvie,1-EXP((T0-t)*PertePVj)+'2019'!Pspv,1-EXP((T0-t)*PertePVj)+Pspv)</f>
        <v>7.4464692878248862E-3</v>
      </c>
      <c r="M70" s="832"/>
      <c r="N70" s="832"/>
      <c r="O70" s="48">
        <f>IF(t&lt;Tnet,'2019'!Resal+('2019'!Salim-'2019'!Resal)*(1-EXP(('2019'!Tnet-t)/('2019'!Tau_j))),Resal+(Salim-Resal)*(1-EXP((Tnet-t)/(Tau_j))))*Salcycl</f>
        <v>3.498838117125147E-2</v>
      </c>
      <c r="P70" s="169">
        <f>(INDEX(Models!$BJ70:$BT70,,T70)*(1-R70)+INDEX(Models!$BJ70:$BT70,,T70+1)*R70-ERP_i)*Q70*Ramure*Pc/MaxiM</f>
        <v>4.7180696247245771E-6</v>
      </c>
      <c r="Q70" s="304">
        <f t="shared" si="4"/>
        <v>0.6</v>
      </c>
      <c r="R70" s="177">
        <f t="shared" si="5"/>
        <v>5.0223039468406672E-3</v>
      </c>
      <c r="S70" s="799">
        <f t="shared" si="6"/>
        <v>-1</v>
      </c>
      <c r="T70" s="176">
        <f t="shared" si="7"/>
        <v>5</v>
      </c>
      <c r="U70" s="250">
        <f t="shared" si="21"/>
        <v>-0.99497769605315933</v>
      </c>
      <c r="V70" s="382">
        <f t="shared" si="8"/>
        <v>44.358559588302057</v>
      </c>
      <c r="W70" s="58"/>
      <c r="X70" s="157">
        <f t="shared" si="9"/>
        <v>43886</v>
      </c>
      <c r="Y70" s="383">
        <f t="shared" si="10"/>
        <v>15.510000000000002</v>
      </c>
      <c r="Z70" s="383">
        <f t="shared" si="11"/>
        <v>15.626361218896976</v>
      </c>
      <c r="AA70" s="384">
        <f t="shared" si="12"/>
        <v>16.192925467429049</v>
      </c>
      <c r="AB70" s="197">
        <f t="shared" si="13"/>
        <v>43886</v>
      </c>
      <c r="AC70" s="424">
        <f>IF(OR(t&lt;Tnet,NoTnet),'2019'!Resal_s+('2019'!Salim-'2019'!Resal_s)*(1-EXP(('2019'!Tnet_s-t)/'2019'!Tau_j)),Resal_s+(Salim-Resal_s)*(1-EXP((Tnet_s-t)/Tau_j)))*Salcycl</f>
        <v>3.498838117125147E-2</v>
      </c>
      <c r="AD70" s="230">
        <f>(INDEX(Models!$BJ70:$BT70,,AH70)*(1-AF70)+INDEX(Models!$BJ70:$BT70,,AH70+1)*AF70-ERP_i)*AE70*Ramure*Pc/MaxiM</f>
        <v>4.7180696247245771E-6</v>
      </c>
      <c r="AE70" s="304">
        <f t="shared" si="14"/>
        <v>0.6</v>
      </c>
      <c r="AF70" s="177">
        <f t="shared" si="15"/>
        <v>5.0223039468406672E-3</v>
      </c>
      <c r="AG70" s="176">
        <f t="shared" si="16"/>
        <v>-1</v>
      </c>
      <c r="AH70" s="176">
        <f t="shared" si="17"/>
        <v>5</v>
      </c>
      <c r="AI70" s="224">
        <f t="shared" si="22"/>
        <v>-0.99497769605315933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43887</v>
      </c>
      <c r="B71" s="607">
        <v>19.084</v>
      </c>
      <c r="C71" s="388"/>
      <c r="D71" s="391">
        <f t="shared" si="0"/>
        <v>19.22754305636526</v>
      </c>
      <c r="E71" s="383">
        <f t="shared" si="1"/>
        <v>19.925910890603028</v>
      </c>
      <c r="F71" s="383">
        <f t="shared" si="2"/>
        <v>19.925927667668528</v>
      </c>
      <c r="G71" s="110">
        <f t="shared" si="23"/>
        <v>0.4269488076109611</v>
      </c>
      <c r="H71" s="412" t="b">
        <f>Wh_hp&gt;='2019'!Maxi_hp</f>
        <v>1</v>
      </c>
      <c r="I71" s="388">
        <f>IF(H71,Wh_hp,'2019'!Maxi_hp)</f>
        <v>19.925927667668528</v>
      </c>
      <c r="J71" s="85">
        <f>IF(H71,An,'2019'!An_max)</f>
        <v>2020</v>
      </c>
      <c r="K71" s="197">
        <f t="shared" si="3"/>
        <v>43887</v>
      </c>
      <c r="L71" s="147">
        <f>IF(t&lt;Tvie,1-EXP((T0-t)*PertePVj)+'2019'!Pspv,1-EXP((T0-t)*PertePVj)+Pspv)</f>
        <v>7.4654913498031217E-3</v>
      </c>
      <c r="M71" s="832"/>
      <c r="N71" s="832"/>
      <c r="O71" s="48">
        <f>IF(t&lt;Tnet,'2019'!Resal+('2019'!Salim-'2019'!Resal)*(1-EXP(('2019'!Tnet-t)/('2019'!Tau_j))),Resal+(Salim-Resal)*(1-EXP((Tnet-t)/(Tau_j))))*Salcycl</f>
        <v>3.5048226305534447E-2</v>
      </c>
      <c r="P71" s="169">
        <f>(INDEX(Models!$BJ71:$BT71,,T71)*(1-R71)+INDEX(Models!$BJ71:$BT71,,T71+1)*R71-ERP_i)*Q71*Ramure*Pc/MaxiM</f>
        <v>4.6426004956557594E-6</v>
      </c>
      <c r="Q71" s="304">
        <f t="shared" si="4"/>
        <v>0.6</v>
      </c>
      <c r="R71" s="177">
        <f t="shared" si="5"/>
        <v>5.2956342024059744E-3</v>
      </c>
      <c r="S71" s="799">
        <f t="shared" si="6"/>
        <v>-1</v>
      </c>
      <c r="T71" s="176">
        <f t="shared" si="7"/>
        <v>5</v>
      </c>
      <c r="U71" s="250">
        <f t="shared" si="21"/>
        <v>-0.99470436579759403</v>
      </c>
      <c r="V71" s="382">
        <f t="shared" si="8"/>
        <v>44.698397392239073</v>
      </c>
      <c r="W71" s="58"/>
      <c r="X71" s="157">
        <f t="shared" si="9"/>
        <v>43887</v>
      </c>
      <c r="Y71" s="383">
        <f t="shared" si="10"/>
        <v>19.084</v>
      </c>
      <c r="Z71" s="383">
        <f t="shared" si="11"/>
        <v>19.22754305636526</v>
      </c>
      <c r="AA71" s="384">
        <f t="shared" si="12"/>
        <v>19.925910890603028</v>
      </c>
      <c r="AB71" s="197">
        <f t="shared" si="13"/>
        <v>43887</v>
      </c>
      <c r="AC71" s="424">
        <f>IF(OR(t&lt;Tnet,NoTnet),'2019'!Resal_s+('2019'!Salim-'2019'!Resal_s)*(1-EXP(('2019'!Tnet_s-t)/'2019'!Tau_j)),Resal_s+(Salim-Resal_s)*(1-EXP((Tnet_s-t)/Tau_j)))*Salcycl</f>
        <v>3.5048226305534447E-2</v>
      </c>
      <c r="AD71" s="230">
        <f>(INDEX(Models!$BJ71:$BT71,,AH71)*(1-AF71)+INDEX(Models!$BJ71:$BT71,,AH71+1)*AF71-ERP_i)*AE71*Ramure*Pc/MaxiM</f>
        <v>4.6426004956557594E-6</v>
      </c>
      <c r="AE71" s="304">
        <f t="shared" si="14"/>
        <v>0.6</v>
      </c>
      <c r="AF71" s="177">
        <f t="shared" si="15"/>
        <v>5.2956342024059744E-3</v>
      </c>
      <c r="AG71" s="176">
        <f t="shared" si="16"/>
        <v>-1</v>
      </c>
      <c r="AH71" s="176">
        <f t="shared" si="17"/>
        <v>5</v>
      </c>
      <c r="AI71" s="224">
        <f t="shared" si="22"/>
        <v>-0.99470436579759403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20"/>
        <v>43888</v>
      </c>
      <c r="B72" s="607">
        <v>7.99</v>
      </c>
      <c r="C72" s="388"/>
      <c r="D72" s="391">
        <f t="shared" si="0"/>
        <v>8.0502522177572793</v>
      </c>
      <c r="E72" s="383">
        <f t="shared" si="1"/>
        <v>8.3431640958961193</v>
      </c>
      <c r="F72" s="383">
        <f t="shared" si="2"/>
        <v>8.3431640958961193</v>
      </c>
      <c r="G72" s="110">
        <f t="shared" si="23"/>
        <v>0.17740895648427005</v>
      </c>
      <c r="H72" s="412" t="b">
        <f>Wh_hp&gt;='2019'!Maxi_hp</f>
        <v>1</v>
      </c>
      <c r="I72" s="388">
        <f>IF(H72,Wh_hp,'2019'!Maxi_hp)</f>
        <v>8.3431640958961193</v>
      </c>
      <c r="J72" s="85">
        <f>IF(H72,An,'2019'!An_max)</f>
        <v>2020</v>
      </c>
      <c r="K72" s="197">
        <f t="shared" si="3"/>
        <v>43888</v>
      </c>
      <c r="L72" s="147">
        <f>IF(t&lt;Tvie,1-EXP((T0-t)*PertePVj)+'2019'!Pspv,1-EXP((T0-t)*PertePVj)+Pspv)</f>
        <v>7.4845130472278587E-3</v>
      </c>
      <c r="M72" s="832"/>
      <c r="N72" s="832"/>
      <c r="O72" s="48">
        <f>IF(t&lt;Tnet,'2019'!Resal+('2019'!Salim-'2019'!Resal)*(1-EXP(('2019'!Tnet-t)/('2019'!Tau_j))),Resal+(Salim-Resal)*(1-EXP((Tnet-t)/(Tau_j))))*Salcycl</f>
        <v>3.5108008756883767E-2</v>
      </c>
      <c r="P72" s="169">
        <f>(INDEX(Models!$BJ72:$BT72,,T72)*(1-R72)+INDEX(Models!$BJ72:$BT72,,T72+1)*R72-ERP_i)*Q72*Ramure*Pc/MaxiM</f>
        <v>4.5673498039413677E-6</v>
      </c>
      <c r="Q72" s="304">
        <f t="shared" si="4"/>
        <v>0.6</v>
      </c>
      <c r="R72" s="177">
        <f t="shared" si="5"/>
        <v>5.5801097972161262E-3</v>
      </c>
      <c r="S72" s="799">
        <f t="shared" si="6"/>
        <v>-1</v>
      </c>
      <c r="T72" s="176">
        <f t="shared" si="7"/>
        <v>5</v>
      </c>
      <c r="U72" s="250">
        <f t="shared" si="21"/>
        <v>-0.99441989020278387</v>
      </c>
      <c r="V72" s="382">
        <f t="shared" si="8"/>
        <v>45.036979334149322</v>
      </c>
      <c r="W72" s="58"/>
      <c r="X72" s="157">
        <f t="shared" si="9"/>
        <v>43888</v>
      </c>
      <c r="Y72" s="383">
        <f t="shared" si="10"/>
        <v>7.99</v>
      </c>
      <c r="Z72" s="383">
        <f t="shared" si="11"/>
        <v>8.0502522177572793</v>
      </c>
      <c r="AA72" s="384">
        <f t="shared" si="12"/>
        <v>8.3431640958961193</v>
      </c>
      <c r="AB72" s="197">
        <f t="shared" si="13"/>
        <v>43888</v>
      </c>
      <c r="AC72" s="424">
        <f>IF(OR(t&lt;Tnet,NoTnet),'2019'!Resal_s+('2019'!Salim-'2019'!Resal_s)*(1-EXP(('2019'!Tnet_s-t)/'2019'!Tau_j)),Resal_s+(Salim-Resal_s)*(1-EXP((Tnet_s-t)/Tau_j)))*Salcycl</f>
        <v>3.5108008756883767E-2</v>
      </c>
      <c r="AD72" s="230">
        <f>(INDEX(Models!$BJ72:$BT72,,AH72)*(1-AF72)+INDEX(Models!$BJ72:$BT72,,AH72+1)*AF72-ERP_i)*AE72*Ramure*Pc/MaxiM</f>
        <v>4.5673498039413677E-6</v>
      </c>
      <c r="AE72" s="304">
        <f t="shared" si="14"/>
        <v>0.6</v>
      </c>
      <c r="AF72" s="177">
        <f t="shared" si="15"/>
        <v>5.5801097972161262E-3</v>
      </c>
      <c r="AG72" s="176">
        <f t="shared" si="16"/>
        <v>-1</v>
      </c>
      <c r="AH72" s="176">
        <f t="shared" si="17"/>
        <v>5</v>
      </c>
      <c r="AI72" s="224">
        <f t="shared" si="22"/>
        <v>-0.99441989020278387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20"/>
        <v>43889</v>
      </c>
      <c r="B73" s="607">
        <v>17.896000000000001</v>
      </c>
      <c r="C73" s="388"/>
      <c r="D73" s="391">
        <f t="shared" si="0"/>
        <v>18.031298467972388</v>
      </c>
      <c r="E73" s="383">
        <f t="shared" si="1"/>
        <v>18.688531715990759</v>
      </c>
      <c r="F73" s="383">
        <f t="shared" si="2"/>
        <v>18.688543045889137</v>
      </c>
      <c r="G73" s="110">
        <f t="shared" si="23"/>
        <v>0.39440580996795055</v>
      </c>
      <c r="H73" s="412" t="b">
        <f>Wh_hp&gt;='2019'!Maxi_hp</f>
        <v>1</v>
      </c>
      <c r="I73" s="388">
        <f>IF(H73,Wh_hp,'2019'!Maxi_hp)</f>
        <v>18.688543045889137</v>
      </c>
      <c r="J73" s="85">
        <f>IF(H73,An,'2019'!An_max)</f>
        <v>2020</v>
      </c>
      <c r="K73" s="197">
        <f t="shared" si="3"/>
        <v>43889</v>
      </c>
      <c r="L73" s="147">
        <f>IF(t&lt;Tvie,1-EXP((T0-t)*PertePVj)+'2019'!Pspv,1-EXP((T0-t)*PertePVj)+Pspv)</f>
        <v>7.5035343801060916E-3</v>
      </c>
      <c r="M73" s="832"/>
      <c r="N73" s="832"/>
      <c r="O73" s="48">
        <f>IF(t&lt;Tnet,'2019'!Resal+('2019'!Salim-'2019'!Resal)*(1-EXP(('2019'!Tnet-t)/('2019'!Tau_j))),Resal+(Salim-Resal)*(1-EXP((Tnet-t)/(Tau_j))))*Salcycl</f>
        <v>3.5167730563659585E-2</v>
      </c>
      <c r="P73" s="169">
        <f>(INDEX(Models!$BJ73:$BT73,,T73)*(1-R73)+INDEX(Models!$BJ73:$BT73,,T73+1)*R73-ERP_i)*Q73*Ramure*Pc/MaxiM</f>
        <v>4.4951359468089123E-6</v>
      </c>
      <c r="Q73" s="304">
        <f t="shared" si="4"/>
        <v>0.6</v>
      </c>
      <c r="R73" s="177">
        <f t="shared" si="5"/>
        <v>5.8761713698037843E-3</v>
      </c>
      <c r="S73" s="799">
        <f t="shared" si="6"/>
        <v>-1</v>
      </c>
      <c r="T73" s="176">
        <f t="shared" si="7"/>
        <v>5</v>
      </c>
      <c r="U73" s="250">
        <f t="shared" si="21"/>
        <v>-0.99412382863019622</v>
      </c>
      <c r="V73" s="382">
        <f t="shared" si="8"/>
        <v>45.374408672832679</v>
      </c>
      <c r="W73" s="58"/>
      <c r="X73" s="157">
        <f t="shared" si="9"/>
        <v>43889</v>
      </c>
      <c r="Y73" s="383">
        <f t="shared" si="10"/>
        <v>17.896000000000001</v>
      </c>
      <c r="Z73" s="383">
        <f t="shared" si="11"/>
        <v>18.031298467972388</v>
      </c>
      <c r="AA73" s="384">
        <f t="shared" si="12"/>
        <v>18.688531715990759</v>
      </c>
      <c r="AB73" s="197">
        <f t="shared" si="13"/>
        <v>43889</v>
      </c>
      <c r="AC73" s="424">
        <f>IF(OR(t&lt;Tnet,NoTnet),'2019'!Resal_s+('2019'!Salim-'2019'!Resal_s)*(1-EXP(('2019'!Tnet_s-t)/'2019'!Tau_j)),Resal_s+(Salim-Resal_s)*(1-EXP((Tnet_s-t)/Tau_j)))*Salcycl</f>
        <v>3.5167730563659585E-2</v>
      </c>
      <c r="AD73" s="230">
        <f>(INDEX(Models!$BJ73:$BT73,,AH73)*(1-AF73)+INDEX(Models!$BJ73:$BT73,,AH73+1)*AF73-ERP_i)*AE73*Ramure*Pc/MaxiM</f>
        <v>4.4951359468089123E-6</v>
      </c>
      <c r="AE73" s="304">
        <f t="shared" si="14"/>
        <v>0.6</v>
      </c>
      <c r="AF73" s="177">
        <f t="shared" si="15"/>
        <v>5.8761713698037843E-3</v>
      </c>
      <c r="AG73" s="176">
        <f t="shared" si="16"/>
        <v>-1</v>
      </c>
      <c r="AH73" s="176">
        <f t="shared" si="17"/>
        <v>5</v>
      </c>
      <c r="AI73" s="224">
        <f t="shared" si="22"/>
        <v>-0.99412382863019622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20"/>
        <v>43890</v>
      </c>
      <c r="B74" s="607">
        <v>17.102</v>
      </c>
      <c r="C74" s="388"/>
      <c r="D74" s="391">
        <f t="shared" si="0"/>
        <v>17.231625859270054</v>
      </c>
      <c r="E74" s="383">
        <f t="shared" si="1"/>
        <v>17.860815865072496</v>
      </c>
      <c r="F74" s="383">
        <f t="shared" si="2"/>
        <v>17.860824237027138</v>
      </c>
      <c r="G74" s="110">
        <f t="shared" si="23"/>
        <v>0.37413338952444913</v>
      </c>
      <c r="H74" s="412" t="b">
        <f>Wh_hp&gt;='2019'!Maxi_hp</f>
        <v>1</v>
      </c>
      <c r="I74" s="388">
        <f>IF(H74,Wh_hp,'2019'!Maxi_hp)</f>
        <v>17.860824237027138</v>
      </c>
      <c r="J74" s="85">
        <f>IF(H74,An,'2019'!An_max)</f>
        <v>2020</v>
      </c>
      <c r="K74" s="197">
        <f t="shared" si="3"/>
        <v>43890</v>
      </c>
      <c r="L74" s="147">
        <f>IF(t&lt;Tvie,1-EXP((T0-t)*PertePVj)+'2019'!Pspv,1-EXP((T0-t)*PertePVj)+Pspv)</f>
        <v>7.5225553484449259E-3</v>
      </c>
      <c r="M74" s="832"/>
      <c r="N74" s="832"/>
      <c r="O74" s="48">
        <f>IF(t&lt;Tnet,'2019'!Resal+('2019'!Salim-'2019'!Resal)*(1-EXP(('2019'!Tnet-t)/('2019'!Tau_j))),Resal+(Salim-Resal)*(1-EXP((Tnet-t)/(Tau_j))))*Salcycl</f>
        <v>3.5227394456982593E-2</v>
      </c>
      <c r="P74" s="169">
        <f>(INDEX(Models!$BJ74:$BT74,,T74)*(1-R74)+INDEX(Models!$BJ74:$BT74,,T74+1)*R74-ERP_i)*Q74*Ramure*Pc/MaxiM</f>
        <v>4.4258926862611854E-6</v>
      </c>
      <c r="Q74" s="304">
        <f t="shared" si="4"/>
        <v>0.6</v>
      </c>
      <c r="R74" s="177">
        <f t="shared" si="5"/>
        <v>6.1842758148625832E-3</v>
      </c>
      <c r="S74" s="799">
        <f t="shared" si="6"/>
        <v>-1</v>
      </c>
      <c r="T74" s="176">
        <f t="shared" si="7"/>
        <v>5</v>
      </c>
      <c r="U74" s="250">
        <f t="shared" si="21"/>
        <v>-0.99381572418513742</v>
      </c>
      <c r="V74" s="382">
        <f t="shared" si="8"/>
        <v>45.710788727940525</v>
      </c>
      <c r="W74" s="58"/>
      <c r="X74" s="157">
        <f t="shared" si="9"/>
        <v>43890</v>
      </c>
      <c r="Y74" s="383">
        <f t="shared" si="10"/>
        <v>17.102</v>
      </c>
      <c r="Z74" s="383">
        <f t="shared" si="11"/>
        <v>17.231625859270054</v>
      </c>
      <c r="AA74" s="384">
        <f t="shared" si="12"/>
        <v>17.860815865072496</v>
      </c>
      <c r="AB74" s="197">
        <f t="shared" si="13"/>
        <v>43890</v>
      </c>
      <c r="AC74" s="424">
        <f>IF(OR(t&lt;Tnet,NoTnet),'2019'!Resal_s+('2019'!Salim-'2019'!Resal_s)*(1-EXP(('2019'!Tnet_s-t)/'2019'!Tau_j)),Resal_s+(Salim-Resal_s)*(1-EXP((Tnet_s-t)/Tau_j)))*Salcycl</f>
        <v>3.5227394456982593E-2</v>
      </c>
      <c r="AD74" s="230">
        <f>(INDEX(Models!$BJ74:$BT74,,AH74)*(1-AF74)+INDEX(Models!$BJ74:$BT74,,AH74+1)*AF74-ERP_i)*AE74*Ramure*Pc/MaxiM</f>
        <v>4.4258926862611854E-6</v>
      </c>
      <c r="AE74" s="304">
        <f t="shared" si="14"/>
        <v>0.6</v>
      </c>
      <c r="AF74" s="177">
        <f t="shared" si="15"/>
        <v>6.1842758148625832E-3</v>
      </c>
      <c r="AG74" s="176">
        <f t="shared" si="16"/>
        <v>-1</v>
      </c>
      <c r="AH74" s="176">
        <f t="shared" si="17"/>
        <v>5</v>
      </c>
      <c r="AI74" s="224">
        <f t="shared" si="22"/>
        <v>-0.99381572418513742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20"/>
        <v>43891</v>
      </c>
      <c r="B75" s="607">
        <v>32.213000000000001</v>
      </c>
      <c r="C75" s="388"/>
      <c r="D75" s="391">
        <f t="shared" si="0"/>
        <v>32.457782834487965</v>
      </c>
      <c r="E75" s="383">
        <f t="shared" si="1"/>
        <v>33.645014594967968</v>
      </c>
      <c r="F75" s="383">
        <f t="shared" si="2"/>
        <v>33.645098322767872</v>
      </c>
      <c r="G75" s="110">
        <f t="shared" si="23"/>
        <v>0.69957833255923552</v>
      </c>
      <c r="H75" s="412" t="b">
        <f>Wh_hp&gt;='2019'!Maxi_hp</f>
        <v>1</v>
      </c>
      <c r="I75" s="388">
        <f>IF(H75,Wh_hp,'2019'!Maxi_hp)</f>
        <v>33.645098322767872</v>
      </c>
      <c r="J75" s="85">
        <f>IF(H75,An,'2019'!An_max)</f>
        <v>2020</v>
      </c>
      <c r="K75" s="197">
        <f t="shared" si="3"/>
        <v>43891</v>
      </c>
      <c r="L75" s="147">
        <f>IF(t&lt;Tvie,1-EXP((T0-t)*PertePVj)+'2019'!Pspv,1-EXP((T0-t)*PertePVj)+Pspv)</f>
        <v>7.5415759522511339E-3</v>
      </c>
      <c r="M75" s="832"/>
      <c r="N75" s="832"/>
      <c r="O75" s="48">
        <f>IF(t&lt;Tnet,'2019'!Resal+('2019'!Salim-'2019'!Resal)*(1-EXP(('2019'!Tnet-t)/('2019'!Tau_j))),Resal+(Salim-Resal)*(1-EXP((Tnet-t)/(Tau_j))))*Salcycl</f>
        <v>3.5287003877762242E-2</v>
      </c>
      <c r="P75" s="169">
        <f>(INDEX(Models!$BJ75:$BT75,,T75)*(1-R75)+INDEX(Models!$BJ75:$BT75,,T75+1)*R75-ERP_i)*Q75*Ramure*Pc/MaxiM</f>
        <v>4.359559052950536E-6</v>
      </c>
      <c r="Q75" s="304">
        <f t="shared" si="4"/>
        <v>0.6</v>
      </c>
      <c r="R75" s="177">
        <f t="shared" si="5"/>
        <v>6.5048967841241367E-3</v>
      </c>
      <c r="S75" s="799">
        <f t="shared" si="6"/>
        <v>-1</v>
      </c>
      <c r="T75" s="176">
        <f t="shared" si="7"/>
        <v>5</v>
      </c>
      <c r="U75" s="250">
        <f t="shared" si="21"/>
        <v>-0.99349510321587586</v>
      </c>
      <c r="V75" s="382">
        <f t="shared" si="8"/>
        <v>46.046222746022401</v>
      </c>
      <c r="W75" s="58"/>
      <c r="X75" s="157">
        <f t="shared" si="9"/>
        <v>43891</v>
      </c>
      <c r="Y75" s="383">
        <f t="shared" si="10"/>
        <v>32.213000000000001</v>
      </c>
      <c r="Z75" s="383">
        <f t="shared" si="11"/>
        <v>32.457782834487965</v>
      </c>
      <c r="AA75" s="384">
        <f t="shared" si="12"/>
        <v>33.645014594967968</v>
      </c>
      <c r="AB75" s="197">
        <f t="shared" si="13"/>
        <v>43891</v>
      </c>
      <c r="AC75" s="424">
        <f>IF(OR(t&lt;Tnet,NoTnet),'2019'!Resal_s+('2019'!Salim-'2019'!Resal_s)*(1-EXP(('2019'!Tnet_s-t)/'2019'!Tau_j)),Resal_s+(Salim-Resal_s)*(1-EXP((Tnet_s-t)/Tau_j)))*Salcycl</f>
        <v>3.5287003877762242E-2</v>
      </c>
      <c r="AD75" s="230">
        <f>(INDEX(Models!$BJ75:$BT75,,AH75)*(1-AF75)+INDEX(Models!$BJ75:$BT75,,AH75+1)*AF75-ERP_i)*AE75*Ramure*Pc/MaxiM</f>
        <v>4.359559052950536E-6</v>
      </c>
      <c r="AE75" s="304">
        <f t="shared" si="14"/>
        <v>0.6</v>
      </c>
      <c r="AF75" s="177">
        <f t="shared" si="15"/>
        <v>6.5048967841241367E-3</v>
      </c>
      <c r="AG75" s="176">
        <f t="shared" si="16"/>
        <v>-1</v>
      </c>
      <c r="AH75" s="176">
        <f t="shared" si="17"/>
        <v>5</v>
      </c>
      <c r="AI75" s="224">
        <f t="shared" si="22"/>
        <v>-0.99349510321587586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20"/>
        <v>43892</v>
      </c>
      <c r="B76" s="607">
        <v>22.806000000000001</v>
      </c>
      <c r="C76" s="388"/>
      <c r="D76" s="391">
        <f t="shared" si="0"/>
        <v>22.979740538800044</v>
      </c>
      <c r="E76" s="383">
        <f t="shared" si="1"/>
        <v>23.821757801436029</v>
      </c>
      <c r="F76" s="383">
        <f t="shared" si="2"/>
        <v>23.821785829797371</v>
      </c>
      <c r="G76" s="110">
        <f t="shared" si="23"/>
        <v>0.49171040649505565</v>
      </c>
      <c r="H76" s="412" t="b">
        <f>Wh_hp&gt;='2019'!Maxi_hp</f>
        <v>1</v>
      </c>
      <c r="I76" s="388">
        <f>IF(H76,Wh_hp,'2019'!Maxi_hp)</f>
        <v>23.821785829797371</v>
      </c>
      <c r="J76" s="85">
        <f>IF(H76,An,'2019'!An_max)</f>
        <v>2020</v>
      </c>
      <c r="K76" s="197">
        <f t="shared" si="3"/>
        <v>43892</v>
      </c>
      <c r="L76" s="147">
        <f>IF(t&lt;Tvie,1-EXP((T0-t)*PertePVj)+'2019'!Pspv,1-EXP((T0-t)*PertePVj)+Pspv)</f>
        <v>7.560596191531932E-3</v>
      </c>
      <c r="M76" s="832"/>
      <c r="N76" s="832"/>
      <c r="O76" s="48">
        <f>IF(t&lt;Tnet,'2019'!Resal+('2019'!Salim-'2019'!Resal)*(1-EXP(('2019'!Tnet-t)/('2019'!Tau_j))),Resal+(Salim-Resal)*(1-EXP((Tnet-t)/(Tau_j))))*Salcycl</f>
        <v>3.5346562988950656E-2</v>
      </c>
      <c r="P76" s="169">
        <f>(INDEX(Models!$BJ76:$BT76,,T76)*(1-R76)+INDEX(Models!$BJ76:$BT76,,T76+1)*R76-ERP_i)*Q76*Ramure*Pc/MaxiM</f>
        <v>4.2960791007827476E-6</v>
      </c>
      <c r="Q76" s="304">
        <f t="shared" si="4"/>
        <v>0.6</v>
      </c>
      <c r="R76" s="177">
        <f t="shared" si="5"/>
        <v>6.8385251939819813E-3</v>
      </c>
      <c r="S76" s="799">
        <f t="shared" si="6"/>
        <v>-1</v>
      </c>
      <c r="T76" s="176">
        <f t="shared" si="7"/>
        <v>5</v>
      </c>
      <c r="U76" s="250">
        <f t="shared" si="21"/>
        <v>-0.99316147480601802</v>
      </c>
      <c r="V76" s="382">
        <f t="shared" si="8"/>
        <v>46.380813900810502</v>
      </c>
      <c r="W76" s="58"/>
      <c r="X76" s="157">
        <f t="shared" si="9"/>
        <v>43892</v>
      </c>
      <c r="Y76" s="383">
        <f t="shared" si="10"/>
        <v>22.806000000000001</v>
      </c>
      <c r="Z76" s="383">
        <f t="shared" si="11"/>
        <v>22.979740538800044</v>
      </c>
      <c r="AA76" s="384">
        <f t="shared" si="12"/>
        <v>23.821757801436029</v>
      </c>
      <c r="AB76" s="197">
        <f t="shared" si="13"/>
        <v>43892</v>
      </c>
      <c r="AC76" s="424">
        <f>IF(OR(t&lt;Tnet,NoTnet),'2019'!Resal_s+('2019'!Salim-'2019'!Resal_s)*(1-EXP(('2019'!Tnet_s-t)/'2019'!Tau_j)),Resal_s+(Salim-Resal_s)*(1-EXP((Tnet_s-t)/Tau_j)))*Salcycl</f>
        <v>3.5346562988950656E-2</v>
      </c>
      <c r="AD76" s="230">
        <f>(INDEX(Models!$BJ76:$BT76,,AH76)*(1-AF76)+INDEX(Models!$BJ76:$BT76,,AH76+1)*AF76-ERP_i)*AE76*Ramure*Pc/MaxiM</f>
        <v>4.2960791007827476E-6</v>
      </c>
      <c r="AE76" s="304">
        <f t="shared" si="14"/>
        <v>0.6</v>
      </c>
      <c r="AF76" s="177">
        <f t="shared" si="15"/>
        <v>6.8385251939819813E-3</v>
      </c>
      <c r="AG76" s="176">
        <f t="shared" si="16"/>
        <v>-1</v>
      </c>
      <c r="AH76" s="176">
        <f t="shared" si="17"/>
        <v>5</v>
      </c>
      <c r="AI76" s="224">
        <f t="shared" si="22"/>
        <v>-0.99316147480601802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43893</v>
      </c>
      <c r="B77" s="607">
        <v>5.407</v>
      </c>
      <c r="C77" s="388"/>
      <c r="D77" s="391">
        <f t="shared" si="0"/>
        <v>5.4482959918336276</v>
      </c>
      <c r="E77" s="383">
        <f t="shared" si="1"/>
        <v>5.648279405595118</v>
      </c>
      <c r="F77" s="383">
        <f t="shared" si="2"/>
        <v>5.648279405595118</v>
      </c>
      <c r="G77" s="110">
        <f t="shared" si="23"/>
        <v>0.11574474665526044</v>
      </c>
      <c r="H77" s="412" t="b">
        <f>Wh_hp&gt;='2019'!Maxi_hp</f>
        <v>1</v>
      </c>
      <c r="I77" s="388">
        <f>IF(H77,Wh_hp,'2019'!Maxi_hp)</f>
        <v>5.648279405595118</v>
      </c>
      <c r="J77" s="85">
        <f>IF(H77,An,'2019'!An_max)</f>
        <v>2020</v>
      </c>
      <c r="K77" s="197">
        <f t="shared" si="3"/>
        <v>43893</v>
      </c>
      <c r="L77" s="147">
        <f>IF(t&lt;Tvie,1-EXP((T0-t)*PertePVj)+'2019'!Pspv,1-EXP((T0-t)*PertePVj)+Pspv)</f>
        <v>7.5796160662940926E-3</v>
      </c>
      <c r="M77" s="832"/>
      <c r="N77" s="832"/>
      <c r="O77" s="48">
        <f>IF(t&lt;Tnet,'2019'!Resal+('2019'!Salim-'2019'!Resal)*(1-EXP(('2019'!Tnet-t)/('2019'!Tau_j))),Resal+(Salim-Resal)*(1-EXP((Tnet-t)/(Tau_j))))*Salcycl</f>
        <v>3.5406076682996439E-2</v>
      </c>
      <c r="P77" s="169">
        <f>(INDEX(Models!$BJ77:$BT77,,T77)*(1-R77)+INDEX(Models!$BJ77:$BT77,,T77+1)*R77-ERP_i)*Q77*Ramure*Pc/MaxiM</f>
        <v>4.2354016780863614E-6</v>
      </c>
      <c r="Q77" s="304">
        <f t="shared" si="4"/>
        <v>0.6</v>
      </c>
      <c r="R77" s="177">
        <f t="shared" si="5"/>
        <v>7.1856697390803026E-3</v>
      </c>
      <c r="S77" s="799">
        <f t="shared" si="6"/>
        <v>-1</v>
      </c>
      <c r="T77" s="176">
        <f t="shared" si="7"/>
        <v>5</v>
      </c>
      <c r="U77" s="250">
        <f t="shared" si="21"/>
        <v>-0.9928143302609197</v>
      </c>
      <c r="V77" s="382">
        <f t="shared" si="8"/>
        <v>46.714665290922618</v>
      </c>
      <c r="W77" s="58"/>
      <c r="X77" s="157">
        <f t="shared" si="9"/>
        <v>43893</v>
      </c>
      <c r="Y77" s="383">
        <f t="shared" si="10"/>
        <v>5.407</v>
      </c>
      <c r="Z77" s="383">
        <f t="shared" si="11"/>
        <v>5.4482959918336276</v>
      </c>
      <c r="AA77" s="384">
        <f t="shared" si="12"/>
        <v>5.648279405595118</v>
      </c>
      <c r="AB77" s="197">
        <f t="shared" si="13"/>
        <v>43893</v>
      </c>
      <c r="AC77" s="424">
        <f>IF(OR(t&lt;Tnet,NoTnet),'2019'!Resal_s+('2019'!Salim-'2019'!Resal_s)*(1-EXP(('2019'!Tnet_s-t)/'2019'!Tau_j)),Resal_s+(Salim-Resal_s)*(1-EXP((Tnet_s-t)/Tau_j)))*Salcycl</f>
        <v>3.5406076682996439E-2</v>
      </c>
      <c r="AD77" s="230">
        <f>(INDEX(Models!$BJ77:$BT77,,AH77)*(1-AF77)+INDEX(Models!$BJ77:$BT77,,AH77+1)*AF77-ERP_i)*AE77*Ramure*Pc/MaxiM</f>
        <v>4.2354016780863614E-6</v>
      </c>
      <c r="AE77" s="304">
        <f t="shared" si="14"/>
        <v>0.6</v>
      </c>
      <c r="AF77" s="177">
        <f t="shared" si="15"/>
        <v>7.1856697390803026E-3</v>
      </c>
      <c r="AG77" s="176">
        <f t="shared" si="16"/>
        <v>-1</v>
      </c>
      <c r="AH77" s="176">
        <f t="shared" si="17"/>
        <v>5</v>
      </c>
      <c r="AI77" s="224">
        <f t="shared" si="22"/>
        <v>-0.9928143302609197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20"/>
        <v>43894</v>
      </c>
      <c r="B78" s="607">
        <v>8.74</v>
      </c>
      <c r="C78" s="388"/>
      <c r="D78" s="391">
        <f t="shared" si="0"/>
        <v>8.8069205800392911</v>
      </c>
      <c r="E78" s="383">
        <f t="shared" si="1"/>
        <v>9.1307475698523799</v>
      </c>
      <c r="F78" s="383">
        <f t="shared" si="2"/>
        <v>9.1307475698523799</v>
      </c>
      <c r="G78" s="110">
        <f t="shared" si="23"/>
        <v>0.185767424592859</v>
      </c>
      <c r="H78" s="412" t="b">
        <f>Wh_hp&gt;='2019'!Maxi_hp</f>
        <v>1</v>
      </c>
      <c r="I78" s="388">
        <f>IF(H78,Wh_hp,'2019'!Maxi_hp)</f>
        <v>9.1307475698523799</v>
      </c>
      <c r="J78" s="85">
        <f>IF(H78,An,'2019'!An_max)</f>
        <v>2020</v>
      </c>
      <c r="K78" s="197">
        <f t="shared" si="3"/>
        <v>43894</v>
      </c>
      <c r="L78" s="147">
        <f>IF(t&lt;Tvie,1-EXP((T0-t)*PertePVj)+'2019'!Pspv,1-EXP((T0-t)*PertePVj)+Pspv)</f>
        <v>7.5986355765447211E-3</v>
      </c>
      <c r="M78" s="832"/>
      <c r="N78" s="832"/>
      <c r="O78" s="48">
        <f>IF(t&lt;Tnet,'2019'!Resal+('2019'!Salim-'2019'!Resal)*(1-EXP(('2019'!Tnet-t)/('2019'!Tau_j))),Resal+(Salim-Resal)*(1-EXP((Tnet-t)/(Tau_j))))*Salcycl</f>
        <v>3.5465550584520576E-2</v>
      </c>
      <c r="P78" s="169">
        <f>(INDEX(Models!$BJ78:$BT78,,T78)*(1-R78)+INDEX(Models!$BJ78:$BT78,,T78+1)*R78-ERP_i)*Q78*Ramure*Pc/MaxiM</f>
        <v>4.1774802148771321E-6</v>
      </c>
      <c r="Q78" s="304">
        <f t="shared" si="4"/>
        <v>0.6</v>
      </c>
      <c r="R78" s="177">
        <f t="shared" si="5"/>
        <v>7.5468574109759379E-3</v>
      </c>
      <c r="S78" s="799">
        <f t="shared" si="6"/>
        <v>-1</v>
      </c>
      <c r="T78" s="176">
        <f t="shared" si="7"/>
        <v>5</v>
      </c>
      <c r="U78" s="250">
        <f t="shared" si="21"/>
        <v>-0.99245314258902406</v>
      </c>
      <c r="V78" s="382">
        <f t="shared" si="8"/>
        <v>47.047879939004609</v>
      </c>
      <c r="W78" s="58"/>
      <c r="X78" s="157">
        <f t="shared" si="9"/>
        <v>43894</v>
      </c>
      <c r="Y78" s="383">
        <f t="shared" si="10"/>
        <v>8.74</v>
      </c>
      <c r="Z78" s="383">
        <f t="shared" si="11"/>
        <v>8.8069205800392911</v>
      </c>
      <c r="AA78" s="384">
        <f t="shared" si="12"/>
        <v>9.1307475698523799</v>
      </c>
      <c r="AB78" s="197">
        <f t="shared" si="13"/>
        <v>43894</v>
      </c>
      <c r="AC78" s="424">
        <f>IF(OR(t&lt;Tnet,NoTnet),'2019'!Resal_s+('2019'!Salim-'2019'!Resal_s)*(1-EXP(('2019'!Tnet_s-t)/'2019'!Tau_j)),Resal_s+(Salim-Resal_s)*(1-EXP((Tnet_s-t)/Tau_j)))*Salcycl</f>
        <v>3.5465550584520576E-2</v>
      </c>
      <c r="AD78" s="230">
        <f>(INDEX(Models!$BJ78:$BT78,,AH78)*(1-AF78)+INDEX(Models!$BJ78:$BT78,,AH78+1)*AF78-ERP_i)*AE78*Ramure*Pc/MaxiM</f>
        <v>4.1774802148771321E-6</v>
      </c>
      <c r="AE78" s="304">
        <f t="shared" si="14"/>
        <v>0.6</v>
      </c>
      <c r="AF78" s="177">
        <f t="shared" si="15"/>
        <v>7.5468574109759379E-3</v>
      </c>
      <c r="AG78" s="176">
        <f t="shared" si="16"/>
        <v>-1</v>
      </c>
      <c r="AH78" s="176">
        <f t="shared" si="17"/>
        <v>5</v>
      </c>
      <c r="AI78" s="224">
        <f t="shared" si="22"/>
        <v>-0.99245314258902406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43895</v>
      </c>
      <c r="B79" s="607">
        <v>11.558</v>
      </c>
      <c r="C79" s="388"/>
      <c r="D79" s="391">
        <f t="shared" ref="D79:D142" si="24">Wh/(1-Ppv)</f>
        <v>11.646720696916063</v>
      </c>
      <c r="E79" s="383">
        <f t="shared" si="1"/>
        <v>12.075710193439667</v>
      </c>
      <c r="F79" s="383">
        <f t="shared" ref="F79:F142" si="25">Wh_sa/(1-Pvg*MEDIAN((-Sdif+Wh/Env_an)/Csdif,0,1))</f>
        <v>12.075710193439667</v>
      </c>
      <c r="G79" s="110">
        <f t="shared" si="23"/>
        <v>0.24393427680877142</v>
      </c>
      <c r="H79" s="412" t="b">
        <f>Wh_hp&gt;='2019'!Maxi_hp</f>
        <v>1</v>
      </c>
      <c r="I79" s="388">
        <f>IF(H79,Wh_hp,'2019'!Maxi_hp)</f>
        <v>12.075710193439667</v>
      </c>
      <c r="J79" s="85">
        <f>IF(H79,An,'2019'!An_max)</f>
        <v>2020</v>
      </c>
      <c r="K79" s="197">
        <f t="shared" ref="K79:K142" si="26">t</f>
        <v>43895</v>
      </c>
      <c r="L79" s="147">
        <f>IF(t&lt;Tvie,1-EXP((T0-t)*PertePVj)+'2019'!Pspv,1-EXP((T0-t)*PertePVj)+Pspv)</f>
        <v>7.617654722290701E-3</v>
      </c>
      <c r="M79" s="832"/>
      <c r="N79" s="832"/>
      <c r="O79" s="48">
        <f>IF(t&lt;Tnet,'2019'!Resal+('2019'!Salim-'2019'!Resal)*(1-EXP(('2019'!Tnet-t)/('2019'!Tau_j))),Resal+(Salim-Resal)*(1-EXP((Tnet-t)/(Tau_j))))*Salcycl</f>
        <v>3.5524991048283008E-2</v>
      </c>
      <c r="P79" s="169">
        <f>(INDEX(Models!$BJ79:$BT79,,T79)*(1-R79)+INDEX(Models!$BJ79:$BT79,,T79+1)*R79-ERP_i)*Q79*Ramure*Pc/MaxiM</f>
        <v>4.1221977973923097E-6</v>
      </c>
      <c r="Q79" s="304">
        <f t="shared" ref="Q79:Q142" si="27">IF(OR(t&lt;Ttai,Notai),Dd+PousD*Croivg,Dens+PousD*(Croivg-Croi_tai))</f>
        <v>0.6</v>
      </c>
      <c r="R79" s="177">
        <f t="shared" ref="R79:R142" si="28">(Hp_vg-S79)/(INDEX(Echel_vg,T79+1)-S79)</f>
        <v>7.9226340208740087E-3</v>
      </c>
      <c r="S79" s="799">
        <f t="shared" ref="S79:S142" si="29">INDEX(Echel_vg,T79)</f>
        <v>-1</v>
      </c>
      <c r="T79" s="176">
        <f t="shared" ref="T79:T142" si="30">MIN(MATCH(Hp_vg,Echel_vg),10)</f>
        <v>5</v>
      </c>
      <c r="U79" s="250">
        <f t="shared" ref="U79:U142" si="31">IF(OR(t&lt;Ttai,Notai),Hdd+PousH*Croivg,Hdtf+PousH*(Croivg-Croi_tai))</f>
        <v>-0.99207736597912599</v>
      </c>
      <c r="V79" s="382">
        <f t="shared" ref="V79:V142" si="32">MaxiM*(1-Ppv)*(1-Pvg)*(1-Psa)</f>
        <v>47.381419728472757</v>
      </c>
      <c r="W79" s="58"/>
      <c r="X79" s="157">
        <f t="shared" ref="X79:X142" si="33">t</f>
        <v>43895</v>
      </c>
      <c r="Y79" s="383">
        <f t="shared" ref="Y79:Y142" si="34">Wh_pvt_s*(1-Ppv)</f>
        <v>11.558</v>
      </c>
      <c r="Z79" s="383">
        <f t="shared" ref="Z79:Z142" si="35">Wh_sa_s*(1-Psa_s)</f>
        <v>11.646720696916063</v>
      </c>
      <c r="AA79" s="384">
        <f t="shared" ref="AA79:AA142" si="36">Wh_hp*(1-Pvg_s*MEDIAN((-Sdif+Wh/Env_an)/Csdif,0,1))</f>
        <v>12.075710193439667</v>
      </c>
      <c r="AB79" s="197">
        <f t="shared" ref="AB79:AB142" si="37">t</f>
        <v>43895</v>
      </c>
      <c r="AC79" s="424">
        <f>IF(OR(t&lt;Tnet,NoTnet),'2019'!Resal_s+('2019'!Salim-'2019'!Resal_s)*(1-EXP(('2019'!Tnet_s-t)/'2019'!Tau_j)),Resal_s+(Salim-Resal_s)*(1-EXP((Tnet_s-t)/Tau_j)))*Salcycl</f>
        <v>3.5524991048283008E-2</v>
      </c>
      <c r="AD79" s="230">
        <f>(INDEX(Models!$BJ79:$BT79,,AH79)*(1-AF79)+INDEX(Models!$BJ79:$BT79,,AH79+1)*AF79-ERP_i)*AE79*Ramure*Pc/MaxiM</f>
        <v>4.1221977973923097E-6</v>
      </c>
      <c r="AE79" s="304">
        <f t="shared" ref="AE79:AE142" si="38">IF(OR(t&lt;Ttai,Notai),Dd_s+PousD*Croivg,Dens_s+PousD*(Croivg-Croi_tai))</f>
        <v>0.6</v>
      </c>
      <c r="AF79" s="177">
        <f t="shared" ref="AF79:AF142" si="39">(Hp_vg_s-AG79)/(INDEX(Echel_vg,AH79+1)-AG79)</f>
        <v>7.9226340208740087E-3</v>
      </c>
      <c r="AG79" s="176">
        <f t="shared" ref="AG79:AG142" si="40">INDEX(Echel_vg,AH79)</f>
        <v>-1</v>
      </c>
      <c r="AH79" s="176">
        <f t="shared" ref="AH79:AH142" si="41">MIN(MATCH(Hp_vg_s,Echel_vg),10)</f>
        <v>5</v>
      </c>
      <c r="AI79" s="224">
        <f t="shared" ref="AI79:AI142" si="42">IF(OR(t&lt;Ttai,Notai),Hdd_s+PousH*Croivg,Hdtai_s+PousH*(Croivg-Croi_tai))</f>
        <v>-0.99207736597912599</v>
      </c>
      <c r="AJ79" s="264" t="b">
        <f t="shared" ref="AJ79:AJ142" si="43">t&lt;Tnet</f>
        <v>0</v>
      </c>
      <c r="AK79" s="264" t="b">
        <f t="shared" ref="AK79:AK142" si="44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5">A79+1</f>
        <v>43896</v>
      </c>
      <c r="B80" s="607">
        <v>20.212</v>
      </c>
      <c r="C80" s="388"/>
      <c r="D80" s="391">
        <f t="shared" si="24"/>
        <v>20.367540254997607</v>
      </c>
      <c r="E80" s="383">
        <f t="shared" ref="E80:E143" si="46">Wh_pvt/(1-Psa)</f>
        <v>21.119049052933835</v>
      </c>
      <c r="F80" s="383">
        <f t="shared" si="25"/>
        <v>21.119064196921489</v>
      </c>
      <c r="G80" s="110">
        <f t="shared" ref="G80:G143" si="47">+Wh_hp/MaxiM</f>
        <v>0.42358962583208254</v>
      </c>
      <c r="H80" s="412" t="b">
        <f>Wh_hp&gt;='2019'!Maxi_hp</f>
        <v>1</v>
      </c>
      <c r="I80" s="388">
        <f>IF(H80,Wh_hp,'2019'!Maxi_hp)</f>
        <v>21.119064196921489</v>
      </c>
      <c r="J80" s="85">
        <f>IF(H80,An,'2019'!An_max)</f>
        <v>2020</v>
      </c>
      <c r="K80" s="197">
        <f t="shared" si="26"/>
        <v>43896</v>
      </c>
      <c r="L80" s="147">
        <f>IF(t&lt;Tvie,1-EXP((T0-t)*PertePVj)+'2019'!Pspv,1-EXP((T0-t)*PertePVj)+Pspv)</f>
        <v>7.6366735035391375E-3</v>
      </c>
      <c r="M80" s="832"/>
      <c r="N80" s="832"/>
      <c r="O80" s="48">
        <f>IF(t&lt;Tnet,'2019'!Resal+('2019'!Salim-'2019'!Resal)*(1-EXP(('2019'!Tnet-t)/('2019'!Tau_j))),Resal+(Salim-Resal)*(1-EXP((Tnet-t)/(Tau_j))))*Salcycl</f>
        <v>3.5584405152552609E-2</v>
      </c>
      <c r="P80" s="169">
        <f>(INDEX(Models!$BJ80:$BT80,,T80)*(1-R80)+INDEX(Models!$BJ80:$BT80,,T80+1)*R80-ERP_i)*Q80*Ramure*Pc/MaxiM</f>
        <v>4.0614080114659301E-6</v>
      </c>
      <c r="Q80" s="304">
        <f t="shared" si="27"/>
        <v>0.6</v>
      </c>
      <c r="R80" s="177">
        <f t="shared" si="28"/>
        <v>8.3135647253096412E-3</v>
      </c>
      <c r="S80" s="799">
        <f t="shared" si="29"/>
        <v>-1</v>
      </c>
      <c r="T80" s="176">
        <f t="shared" si="30"/>
        <v>5</v>
      </c>
      <c r="U80" s="250">
        <f t="shared" si="31"/>
        <v>-0.99168643527469036</v>
      </c>
      <c r="V80" s="382">
        <f t="shared" si="32"/>
        <v>47.71583431634425</v>
      </c>
      <c r="W80" s="58"/>
      <c r="X80" s="157">
        <f t="shared" si="33"/>
        <v>43896</v>
      </c>
      <c r="Y80" s="383">
        <f t="shared" si="34"/>
        <v>20.212</v>
      </c>
      <c r="Z80" s="383">
        <f t="shared" si="35"/>
        <v>20.367540254997607</v>
      </c>
      <c r="AA80" s="384">
        <f t="shared" si="36"/>
        <v>21.119049052933835</v>
      </c>
      <c r="AB80" s="197">
        <f t="shared" si="37"/>
        <v>43896</v>
      </c>
      <c r="AC80" s="424">
        <f>IF(OR(t&lt;Tnet,NoTnet),'2019'!Resal_s+('2019'!Salim-'2019'!Resal_s)*(1-EXP(('2019'!Tnet_s-t)/'2019'!Tau_j)),Resal_s+(Salim-Resal_s)*(1-EXP((Tnet_s-t)/Tau_j)))*Salcycl</f>
        <v>3.5584405152552609E-2</v>
      </c>
      <c r="AD80" s="230">
        <f>(INDEX(Models!$BJ80:$BT80,,AH80)*(1-AF80)+INDEX(Models!$BJ80:$BT80,,AH80+1)*AF80-ERP_i)*AE80*Ramure*Pc/MaxiM</f>
        <v>4.0614080114659301E-6</v>
      </c>
      <c r="AE80" s="304">
        <f t="shared" si="38"/>
        <v>0.6</v>
      </c>
      <c r="AF80" s="177">
        <f t="shared" si="39"/>
        <v>8.3135647253096412E-3</v>
      </c>
      <c r="AG80" s="176">
        <f t="shared" si="40"/>
        <v>-1</v>
      </c>
      <c r="AH80" s="176">
        <f t="shared" si="41"/>
        <v>5</v>
      </c>
      <c r="AI80" s="224">
        <f t="shared" si="42"/>
        <v>-0.99168643527469036</v>
      </c>
      <c r="AJ80" s="264" t="b">
        <f t="shared" si="43"/>
        <v>0</v>
      </c>
      <c r="AK80" s="264" t="b">
        <f t="shared" si="44"/>
        <v>0</v>
      </c>
      <c r="AL80" s="264"/>
      <c r="AM80" s="264"/>
      <c r="AN80" s="75"/>
    </row>
    <row r="81" spans="1:40" s="6" customFormat="1" ht="11.25" x14ac:dyDescent="0.2">
      <c r="A81" s="56">
        <f t="shared" si="45"/>
        <v>43897</v>
      </c>
      <c r="B81" s="607">
        <v>28.949000000000002</v>
      </c>
      <c r="C81" s="388"/>
      <c r="D81" s="391">
        <f t="shared" si="24"/>
        <v>29.172334404799024</v>
      </c>
      <c r="E81" s="383">
        <f t="shared" si="46"/>
        <v>30.250580050828187</v>
      </c>
      <c r="F81" s="383">
        <f t="shared" si="25"/>
        <v>30.250632153178124</v>
      </c>
      <c r="G81" s="110">
        <f t="shared" si="47"/>
        <v>0.6024675962106838</v>
      </c>
      <c r="H81" s="412" t="b">
        <f>Wh_hp&gt;='2019'!Maxi_hp</f>
        <v>1</v>
      </c>
      <c r="I81" s="388">
        <f>IF(H81,Wh_hp,'2019'!Maxi_hp)</f>
        <v>30.250632153178124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7.6556919202970253E-3</v>
      </c>
      <c r="M81" s="832"/>
      <c r="N81" s="832"/>
      <c r="O81" s="48">
        <f>IF(t&lt;Tnet,'2019'!Resal+('2019'!Salim-'2019'!Resal)*(1-EXP(('2019'!Tnet-t)/('2019'!Tau_j))),Resal+(Salim-Resal)*(1-EXP((Tnet-t)/(Tau_j))))*Salcycl</f>
        <v>3.5643800688034841E-2</v>
      </c>
      <c r="P81" s="169">
        <f>(INDEX(Models!$BJ81:$BT81,,T81)*(1-R81)+INDEX(Models!$BJ81:$BT81,,T81+1)*R81-ERP_i)*Q81*Ramure*Pc/MaxiM</f>
        <v>3.9860256012532362E-6</v>
      </c>
      <c r="Q81" s="304">
        <f t="shared" si="27"/>
        <v>0.6</v>
      </c>
      <c r="R81" s="177">
        <f t="shared" si="28"/>
        <v>8.7202345535196679E-3</v>
      </c>
      <c r="S81" s="799">
        <f t="shared" si="29"/>
        <v>-1</v>
      </c>
      <c r="T81" s="176">
        <f t="shared" si="30"/>
        <v>5</v>
      </c>
      <c r="U81" s="250">
        <f t="shared" si="31"/>
        <v>-0.99127976544648033</v>
      </c>
      <c r="V81" s="382">
        <f t="shared" si="32"/>
        <v>48.0506082833123</v>
      </c>
      <c r="W81" s="58"/>
      <c r="X81" s="157">
        <f t="shared" si="33"/>
        <v>43897</v>
      </c>
      <c r="Y81" s="383">
        <f t="shared" si="34"/>
        <v>28.949000000000002</v>
      </c>
      <c r="Z81" s="383">
        <f t="shared" si="35"/>
        <v>29.172334404799024</v>
      </c>
      <c r="AA81" s="384">
        <f t="shared" si="36"/>
        <v>30.250580050828187</v>
      </c>
      <c r="AB81" s="197">
        <f t="shared" si="37"/>
        <v>43897</v>
      </c>
      <c r="AC81" s="424">
        <f>IF(OR(t&lt;Tnet,NoTnet),'2019'!Resal_s+('2019'!Salim-'2019'!Resal_s)*(1-EXP(('2019'!Tnet_s-t)/'2019'!Tau_j)),Resal_s+(Salim-Resal_s)*(1-EXP((Tnet_s-t)/Tau_j)))*Salcycl</f>
        <v>3.5643800688034841E-2</v>
      </c>
      <c r="AD81" s="230">
        <f>(INDEX(Models!$BJ81:$BT81,,AH81)*(1-AF81)+INDEX(Models!$BJ81:$BT81,,AH81+1)*AF81-ERP_i)*AE81*Ramure*Pc/MaxiM</f>
        <v>3.9860256012532362E-6</v>
      </c>
      <c r="AE81" s="304">
        <f t="shared" si="38"/>
        <v>0.6</v>
      </c>
      <c r="AF81" s="177">
        <f t="shared" si="39"/>
        <v>8.7202345535196679E-3</v>
      </c>
      <c r="AG81" s="176">
        <f t="shared" si="40"/>
        <v>-1</v>
      </c>
      <c r="AH81" s="176">
        <f t="shared" si="41"/>
        <v>5</v>
      </c>
      <c r="AI81" s="224">
        <f t="shared" si="42"/>
        <v>-0.99127976544648033</v>
      </c>
      <c r="AJ81" s="264" t="b">
        <f t="shared" si="43"/>
        <v>0</v>
      </c>
      <c r="AK81" s="264" t="b">
        <f t="shared" si="44"/>
        <v>0</v>
      </c>
      <c r="AL81" s="264"/>
      <c r="AM81" s="264"/>
      <c r="AN81" s="75"/>
    </row>
    <row r="82" spans="1:40" s="6" customFormat="1" ht="11.25" x14ac:dyDescent="0.2">
      <c r="A82" s="56">
        <f t="shared" si="45"/>
        <v>43898</v>
      </c>
      <c r="B82" s="607">
        <v>32.82</v>
      </c>
      <c r="C82" s="388"/>
      <c r="D82" s="391">
        <f t="shared" si="24"/>
        <v>33.073832068809644</v>
      </c>
      <c r="E82" s="383">
        <f t="shared" si="46"/>
        <v>34.298394014707242</v>
      </c>
      <c r="F82" s="383">
        <f t="shared" si="25"/>
        <v>34.298466238365243</v>
      </c>
      <c r="G82" s="110">
        <f t="shared" si="47"/>
        <v>0.67830501207554117</v>
      </c>
      <c r="H82" s="412" t="b">
        <f>Wh_hp&gt;='2019'!Maxi_hp</f>
        <v>1</v>
      </c>
      <c r="I82" s="388">
        <f>IF(H82,Wh_hp,'2019'!Maxi_hp)</f>
        <v>34.298466238365243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7.6747099725712475E-3</v>
      </c>
      <c r="M82" s="832"/>
      <c r="N82" s="832"/>
      <c r="O82" s="48">
        <f>IF(t&lt;Tnet,'2019'!Resal+('2019'!Salim-'2019'!Resal)*(1-EXP(('2019'!Tnet-t)/('2019'!Tau_j))),Resal+(Salim-Resal)*(1-EXP((Tnet-t)/(Tau_j))))*Salcycl</f>
        <v>3.5703186142549567E-2</v>
      </c>
      <c r="P82" s="169">
        <f>(INDEX(Models!$BJ82:$BT82,,T82)*(1-R82)+INDEX(Models!$BJ82:$BT82,,T82+1)*R82-ERP_i)*Q82*Ramure*Pc/MaxiM</f>
        <v>3.8963622918614217E-6</v>
      </c>
      <c r="Q82" s="304">
        <f t="shared" si="27"/>
        <v>0.6</v>
      </c>
      <c r="R82" s="177">
        <f t="shared" si="28"/>
        <v>9.1432489351066515E-3</v>
      </c>
      <c r="S82" s="799">
        <f t="shared" si="29"/>
        <v>-1</v>
      </c>
      <c r="T82" s="176">
        <f t="shared" si="30"/>
        <v>5</v>
      </c>
      <c r="U82" s="250">
        <f t="shared" si="31"/>
        <v>-0.99085675106489335</v>
      </c>
      <c r="V82" s="382">
        <f t="shared" si="32"/>
        <v>48.385225890094141</v>
      </c>
      <c r="W82" s="58"/>
      <c r="X82" s="157">
        <f t="shared" si="33"/>
        <v>43898</v>
      </c>
      <c r="Y82" s="383">
        <f t="shared" si="34"/>
        <v>32.82</v>
      </c>
      <c r="Z82" s="383">
        <f t="shared" si="35"/>
        <v>33.073832068809644</v>
      </c>
      <c r="AA82" s="384">
        <f t="shared" si="36"/>
        <v>34.298394014707242</v>
      </c>
      <c r="AB82" s="197">
        <f t="shared" si="37"/>
        <v>43898</v>
      </c>
      <c r="AC82" s="424">
        <f>IF(OR(t&lt;Tnet,NoTnet),'2019'!Resal_s+('2019'!Salim-'2019'!Resal_s)*(1-EXP(('2019'!Tnet_s-t)/'2019'!Tau_j)),Resal_s+(Salim-Resal_s)*(1-EXP((Tnet_s-t)/Tau_j)))*Salcycl</f>
        <v>3.5703186142549567E-2</v>
      </c>
      <c r="AD82" s="230">
        <f>(INDEX(Models!$BJ82:$BT82,,AH82)*(1-AF82)+INDEX(Models!$BJ82:$BT82,,AH82+1)*AF82-ERP_i)*AE82*Ramure*Pc/MaxiM</f>
        <v>3.8963622918614217E-6</v>
      </c>
      <c r="AE82" s="304">
        <f t="shared" si="38"/>
        <v>0.6</v>
      </c>
      <c r="AF82" s="177">
        <f t="shared" si="39"/>
        <v>9.1432489351066515E-3</v>
      </c>
      <c r="AG82" s="176">
        <f t="shared" si="40"/>
        <v>-1</v>
      </c>
      <c r="AH82" s="176">
        <f t="shared" si="41"/>
        <v>5</v>
      </c>
      <c r="AI82" s="224">
        <f t="shared" si="42"/>
        <v>-0.99085675106489335</v>
      </c>
      <c r="AJ82" s="264" t="b">
        <f t="shared" si="43"/>
        <v>0</v>
      </c>
      <c r="AK82" s="264" t="b">
        <f t="shared" si="44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5"/>
        <v>43899</v>
      </c>
      <c r="B83" s="607">
        <v>27.282</v>
      </c>
      <c r="C83" s="388"/>
      <c r="D83" s="391">
        <f t="shared" si="24"/>
        <v>27.49352771465939</v>
      </c>
      <c r="E83" s="383">
        <f t="shared" si="46"/>
        <v>28.513234270626146</v>
      </c>
      <c r="F83" s="383">
        <f t="shared" si="25"/>
        <v>28.513274435565638</v>
      </c>
      <c r="G83" s="110">
        <f t="shared" si="47"/>
        <v>0.5599835569534527</v>
      </c>
      <c r="H83" s="412" t="b">
        <f>Wh_hp&gt;='2019'!Maxi_hp</f>
        <v>1</v>
      </c>
      <c r="I83" s="388">
        <f>IF(H83,Wh_hp,'2019'!Maxi_hp)</f>
        <v>28.513274435565638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7.6937276603687987E-3</v>
      </c>
      <c r="M83" s="832"/>
      <c r="N83" s="832"/>
      <c r="O83" s="48">
        <f>IF(t&lt;Tnet,'2019'!Resal+('2019'!Salim-'2019'!Resal)*(1-EXP(('2019'!Tnet-t)/('2019'!Tau_j))),Resal+(Salim-Resal)*(1-EXP((Tnet-t)/(Tau_j))))*Salcycl</f>
        <v>3.5762570681686659E-2</v>
      </c>
      <c r="P83" s="169">
        <f>(INDEX(Models!$BJ83:$BT83,,T83)*(1-R83)+INDEX(Models!$BJ83:$BT83,,T83+1)*R83-ERP_i)*Q83*Ramure*Pc/MaxiM</f>
        <v>3.7927127492633151E-6</v>
      </c>
      <c r="Q83" s="304">
        <f t="shared" si="27"/>
        <v>0.6</v>
      </c>
      <c r="R83" s="177">
        <f t="shared" si="28"/>
        <v>9.5832342264433601E-3</v>
      </c>
      <c r="S83" s="799">
        <f t="shared" si="29"/>
        <v>-1</v>
      </c>
      <c r="T83" s="176">
        <f t="shared" si="30"/>
        <v>5</v>
      </c>
      <c r="U83" s="250">
        <f t="shared" si="31"/>
        <v>-0.99041676577355664</v>
      </c>
      <c r="V83" s="382">
        <f t="shared" si="32"/>
        <v>48.719171516502115</v>
      </c>
      <c r="W83" s="58"/>
      <c r="X83" s="157">
        <f t="shared" si="33"/>
        <v>43899</v>
      </c>
      <c r="Y83" s="383">
        <f t="shared" si="34"/>
        <v>27.282</v>
      </c>
      <c r="Z83" s="383">
        <f t="shared" si="35"/>
        <v>27.49352771465939</v>
      </c>
      <c r="AA83" s="384">
        <f t="shared" si="36"/>
        <v>28.513234270626146</v>
      </c>
      <c r="AB83" s="197">
        <f t="shared" si="37"/>
        <v>43899</v>
      </c>
      <c r="AC83" s="424">
        <f>IF(OR(t&lt;Tnet,NoTnet),'2019'!Resal_s+('2019'!Salim-'2019'!Resal_s)*(1-EXP(('2019'!Tnet_s-t)/'2019'!Tau_j)),Resal_s+(Salim-Resal_s)*(1-EXP((Tnet_s-t)/Tau_j)))*Salcycl</f>
        <v>3.5762570681686659E-2</v>
      </c>
      <c r="AD83" s="230">
        <f>(INDEX(Models!$BJ83:$BT83,,AH83)*(1-AF83)+INDEX(Models!$BJ83:$BT83,,AH83+1)*AF83-ERP_i)*AE83*Ramure*Pc/MaxiM</f>
        <v>3.7927127492633151E-6</v>
      </c>
      <c r="AE83" s="304">
        <f t="shared" si="38"/>
        <v>0.6</v>
      </c>
      <c r="AF83" s="177">
        <f t="shared" si="39"/>
        <v>9.5832342264433601E-3</v>
      </c>
      <c r="AG83" s="176">
        <f t="shared" si="40"/>
        <v>-1</v>
      </c>
      <c r="AH83" s="176">
        <f t="shared" si="41"/>
        <v>5</v>
      </c>
      <c r="AI83" s="224">
        <f t="shared" si="42"/>
        <v>-0.99041676577355664</v>
      </c>
      <c r="AJ83" s="264" t="b">
        <f t="shared" si="43"/>
        <v>0</v>
      </c>
      <c r="AK83" s="264" t="b">
        <f t="shared" si="44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5"/>
        <v>43900</v>
      </c>
      <c r="B84" s="607">
        <v>32.124000000000002</v>
      </c>
      <c r="C84" s="388"/>
      <c r="D84" s="391">
        <f t="shared" si="24"/>
        <v>32.37369001526902</v>
      </c>
      <c r="E84" s="383">
        <f t="shared" si="46"/>
        <v>33.576464937736361</v>
      </c>
      <c r="F84" s="383">
        <f t="shared" si="25"/>
        <v>33.576527503973985</v>
      </c>
      <c r="G84" s="110">
        <f t="shared" si="47"/>
        <v>0.6548965965802559</v>
      </c>
      <c r="H84" s="412" t="b">
        <f>Wh_hp&gt;='2019'!Maxi_hp</f>
        <v>1</v>
      </c>
      <c r="I84" s="388">
        <f>IF(H84,Wh_hp,'2019'!Maxi_hp)</f>
        <v>33.576527503973985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7.7127449836967843E-3</v>
      </c>
      <c r="M84" s="832"/>
      <c r="N84" s="832"/>
      <c r="O84" s="48">
        <f>IF(t&lt;Tnet,'2019'!Resal+('2019'!Salim-'2019'!Resal)*(1-EXP(('2019'!Tnet-t)/('2019'!Tau_j))),Resal+(Salim-Resal)*(1-EXP((Tnet-t)/(Tau_j))))*Salcycl</f>
        <v>3.5821964125697749E-2</v>
      </c>
      <c r="P84" s="169">
        <f>(INDEX(Models!$BJ84:$BT84,,T84)*(1-R84)+INDEX(Models!$BJ84:$BT84,,T84+1)*R84-ERP_i)*Q84*Ramure*Pc/MaxiM</f>
        <v>3.6753526324471463E-6</v>
      </c>
      <c r="Q84" s="304">
        <f t="shared" si="27"/>
        <v>0.6</v>
      </c>
      <c r="R84" s="177">
        <f t="shared" si="28"/>
        <v>1.0040838234108174E-2</v>
      </c>
      <c r="S84" s="799">
        <f t="shared" si="29"/>
        <v>-1</v>
      </c>
      <c r="T84" s="176">
        <f t="shared" si="30"/>
        <v>5</v>
      </c>
      <c r="U84" s="250">
        <f t="shared" si="31"/>
        <v>-0.98995916176589183</v>
      </c>
      <c r="V84" s="382">
        <f t="shared" si="32"/>
        <v>49.051929663733027</v>
      </c>
      <c r="W84" s="58"/>
      <c r="X84" s="157">
        <f t="shared" si="33"/>
        <v>43900</v>
      </c>
      <c r="Y84" s="383">
        <f t="shared" si="34"/>
        <v>32.124000000000002</v>
      </c>
      <c r="Z84" s="383">
        <f t="shared" si="35"/>
        <v>32.37369001526902</v>
      </c>
      <c r="AA84" s="384">
        <f t="shared" si="36"/>
        <v>33.576464937736361</v>
      </c>
      <c r="AB84" s="197">
        <f t="shared" si="37"/>
        <v>43900</v>
      </c>
      <c r="AC84" s="424">
        <f>IF(OR(t&lt;Tnet,NoTnet),'2019'!Resal_s+('2019'!Salim-'2019'!Resal_s)*(1-EXP(('2019'!Tnet_s-t)/'2019'!Tau_j)),Resal_s+(Salim-Resal_s)*(1-EXP((Tnet_s-t)/Tau_j)))*Salcycl</f>
        <v>3.5821964125697749E-2</v>
      </c>
      <c r="AD84" s="230">
        <f>(INDEX(Models!$BJ84:$BT84,,AH84)*(1-AF84)+INDEX(Models!$BJ84:$BT84,,AH84+1)*AF84-ERP_i)*AE84*Ramure*Pc/MaxiM</f>
        <v>3.6753526324471463E-6</v>
      </c>
      <c r="AE84" s="304">
        <f t="shared" si="38"/>
        <v>0.6</v>
      </c>
      <c r="AF84" s="177">
        <f t="shared" si="39"/>
        <v>1.0040838234108174E-2</v>
      </c>
      <c r="AG84" s="176">
        <f t="shared" si="40"/>
        <v>-1</v>
      </c>
      <c r="AH84" s="176">
        <f t="shared" si="41"/>
        <v>5</v>
      </c>
      <c r="AI84" s="224">
        <f t="shared" si="42"/>
        <v>-0.98995916176589183</v>
      </c>
      <c r="AJ84" s="264" t="b">
        <f t="shared" si="43"/>
        <v>0</v>
      </c>
      <c r="AK84" s="264" t="b">
        <f t="shared" si="44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5"/>
        <v>43901</v>
      </c>
      <c r="B85" s="607">
        <v>39.558999999999997</v>
      </c>
      <c r="C85" s="388"/>
      <c r="D85" s="391">
        <f t="shared" si="24"/>
        <v>39.867244040225046</v>
      </c>
      <c r="E85" s="383">
        <f t="shared" si="46"/>
        <v>41.350973921636701</v>
      </c>
      <c r="F85" s="383">
        <f t="shared" si="25"/>
        <v>41.351078837868755</v>
      </c>
      <c r="G85" s="110">
        <f t="shared" si="47"/>
        <v>0.80106458100943478</v>
      </c>
      <c r="H85" s="412" t="b">
        <f>Wh_hp&gt;='2019'!Maxi_hp</f>
        <v>0</v>
      </c>
      <c r="I85" s="388">
        <f>IF(H85,Wh_hp,'2019'!Maxi_hp)</f>
        <v>45.555962265985798</v>
      </c>
      <c r="J85" s="85">
        <f>IF(H85,An,'2019'!An_max)</f>
        <v>2018</v>
      </c>
      <c r="K85" s="197">
        <f t="shared" si="26"/>
        <v>43901</v>
      </c>
      <c r="L85" s="147">
        <f>IF(t&lt;Tvie,1-EXP((T0-t)*PertePVj)+'2019'!Pspv,1-EXP((T0-t)*PertePVj)+Pspv)</f>
        <v>7.7317619425620876E-3</v>
      </c>
      <c r="M85" s="832"/>
      <c r="N85" s="832"/>
      <c r="O85" s="48">
        <f>IF(t&lt;Tnet,'2019'!Resal+('2019'!Salim-'2019'!Resal)*(1-EXP(('2019'!Tnet-t)/('2019'!Tau_j))),Resal+(Salim-Resal)*(1-EXP((Tnet-t)/(Tau_j))))*Salcycl</f>
        <v>3.5881376922909554E-2</v>
      </c>
      <c r="P85" s="169">
        <f>(INDEX(Models!$BJ85:$BT85,,T85)*(1-R85)+INDEX(Models!$BJ85:$BT85,,T85+1)*R85-ERP_i)*Q85*Ramure*Pc/MaxiM</f>
        <v>3.5445366914288095E-6</v>
      </c>
      <c r="Q85" s="304">
        <f t="shared" si="27"/>
        <v>0.6</v>
      </c>
      <c r="R85" s="177">
        <f t="shared" si="28"/>
        <v>1.0516730733463486E-2</v>
      </c>
      <c r="S85" s="799">
        <f t="shared" si="29"/>
        <v>-1</v>
      </c>
      <c r="T85" s="176">
        <f t="shared" si="30"/>
        <v>5</v>
      </c>
      <c r="U85" s="250">
        <f t="shared" si="31"/>
        <v>-0.98948326926653651</v>
      </c>
      <c r="V85" s="382">
        <f t="shared" si="32"/>
        <v>49.382984953698411</v>
      </c>
      <c r="W85" s="58"/>
      <c r="X85" s="157">
        <f t="shared" si="33"/>
        <v>43901</v>
      </c>
      <c r="Y85" s="383">
        <f t="shared" si="34"/>
        <v>39.558999999999997</v>
      </c>
      <c r="Z85" s="383">
        <f t="shared" si="35"/>
        <v>39.867244040225046</v>
      </c>
      <c r="AA85" s="384">
        <f t="shared" si="36"/>
        <v>41.350973921636701</v>
      </c>
      <c r="AB85" s="197">
        <f t="shared" si="37"/>
        <v>43901</v>
      </c>
      <c r="AC85" s="424">
        <f>IF(OR(t&lt;Tnet,NoTnet),'2019'!Resal_s+('2019'!Salim-'2019'!Resal_s)*(1-EXP(('2019'!Tnet_s-t)/'2019'!Tau_j)),Resal_s+(Salim-Resal_s)*(1-EXP((Tnet_s-t)/Tau_j)))*Salcycl</f>
        <v>3.5881376922909554E-2</v>
      </c>
      <c r="AD85" s="230">
        <f>(INDEX(Models!$BJ85:$BT85,,AH85)*(1-AF85)+INDEX(Models!$BJ85:$BT85,,AH85+1)*AF85-ERP_i)*AE85*Ramure*Pc/MaxiM</f>
        <v>3.5445366914288095E-6</v>
      </c>
      <c r="AE85" s="304">
        <f t="shared" si="38"/>
        <v>0.6</v>
      </c>
      <c r="AF85" s="177">
        <f t="shared" si="39"/>
        <v>1.0516730733463486E-2</v>
      </c>
      <c r="AG85" s="176">
        <f t="shared" si="40"/>
        <v>-1</v>
      </c>
      <c r="AH85" s="176">
        <f t="shared" si="41"/>
        <v>5</v>
      </c>
      <c r="AI85" s="224">
        <f t="shared" si="42"/>
        <v>-0.98948326926653651</v>
      </c>
      <c r="AJ85" s="264" t="b">
        <f t="shared" si="43"/>
        <v>0</v>
      </c>
      <c r="AK85" s="264" t="b">
        <f t="shared" si="44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5"/>
        <v>43902</v>
      </c>
      <c r="B86" s="607">
        <v>17.347000000000001</v>
      </c>
      <c r="C86" s="388"/>
      <c r="D86" s="391">
        <f t="shared" si="24"/>
        <v>17.482503009095442</v>
      </c>
      <c r="E86" s="383">
        <f t="shared" si="46"/>
        <v>18.134263304531729</v>
      </c>
      <c r="F86" s="383">
        <f t="shared" si="25"/>
        <v>18.13426762406575</v>
      </c>
      <c r="G86" s="110">
        <f t="shared" si="47"/>
        <v>0.34895009678427619</v>
      </c>
      <c r="H86" s="412" t="b">
        <f>Wh_hp&gt;='2019'!Maxi_hp</f>
        <v>0</v>
      </c>
      <c r="I86" s="388">
        <f>IF(H86,Wh_hp,'2019'!Maxi_hp)</f>
        <v>27.472709081935182</v>
      </c>
      <c r="J86" s="85">
        <f>IF(H86,An,'2019'!An_max)</f>
        <v>2018</v>
      </c>
      <c r="K86" s="197">
        <f t="shared" si="26"/>
        <v>43902</v>
      </c>
      <c r="L86" s="147">
        <f>IF(t&lt;Tvie,1-EXP((T0-t)*PertePVj)+'2019'!Pspv,1-EXP((T0-t)*PertePVj)+Pspv)</f>
        <v>7.750778536971703E-3</v>
      </c>
      <c r="M86" s="832"/>
      <c r="N86" s="832"/>
      <c r="O86" s="48">
        <f>IF(t&lt;Tnet,'2019'!Resal+('2019'!Salim-'2019'!Resal)*(1-EXP(('2019'!Tnet-t)/('2019'!Tau_j))),Resal+(Salim-Resal)*(1-EXP((Tnet-t)/(Tau_j))))*Salcycl</f>
        <v>3.5940820119966695E-2</v>
      </c>
      <c r="P86" s="169">
        <f>(INDEX(Models!$BJ86:$BT86,,T86)*(1-R86)+INDEX(Models!$BJ86:$BT86,,T86+1)*R86-ERP_i)*Q86*Ramure*Pc/MaxiM</f>
        <v>3.4062110661979501E-6</v>
      </c>
      <c r="Q86" s="304">
        <f t="shared" si="27"/>
        <v>0.6</v>
      </c>
      <c r="R86" s="177">
        <f t="shared" si="28"/>
        <v>1.1011603980309204E-2</v>
      </c>
      <c r="S86" s="799">
        <f t="shared" si="29"/>
        <v>-1</v>
      </c>
      <c r="T86" s="176">
        <f t="shared" si="30"/>
        <v>5</v>
      </c>
      <c r="U86" s="250">
        <f t="shared" si="31"/>
        <v>-0.9889883960196908</v>
      </c>
      <c r="V86" s="382">
        <f t="shared" si="32"/>
        <v>49.711821845908666</v>
      </c>
      <c r="W86" s="58"/>
      <c r="X86" s="157">
        <f t="shared" si="33"/>
        <v>43902</v>
      </c>
      <c r="Y86" s="383">
        <f t="shared" si="34"/>
        <v>17.347000000000001</v>
      </c>
      <c r="Z86" s="383">
        <f t="shared" si="35"/>
        <v>17.482503009095442</v>
      </c>
      <c r="AA86" s="384">
        <f t="shared" si="36"/>
        <v>18.134263304531729</v>
      </c>
      <c r="AB86" s="197">
        <f t="shared" si="37"/>
        <v>43902</v>
      </c>
      <c r="AC86" s="424">
        <f>IF(OR(t&lt;Tnet,NoTnet),'2019'!Resal_s+('2019'!Salim-'2019'!Resal_s)*(1-EXP(('2019'!Tnet_s-t)/'2019'!Tau_j)),Resal_s+(Salim-Resal_s)*(1-EXP((Tnet_s-t)/Tau_j)))*Salcycl</f>
        <v>3.5940820119966695E-2</v>
      </c>
      <c r="AD86" s="230">
        <f>(INDEX(Models!$BJ86:$BT86,,AH86)*(1-AF86)+INDEX(Models!$BJ86:$BT86,,AH86+1)*AF86-ERP_i)*AE86*Ramure*Pc/MaxiM</f>
        <v>3.4062110661979501E-6</v>
      </c>
      <c r="AE86" s="304">
        <f t="shared" si="38"/>
        <v>0.6</v>
      </c>
      <c r="AF86" s="177">
        <f t="shared" si="39"/>
        <v>1.1011603980309204E-2</v>
      </c>
      <c r="AG86" s="176">
        <f t="shared" si="40"/>
        <v>-1</v>
      </c>
      <c r="AH86" s="176">
        <f t="shared" si="41"/>
        <v>5</v>
      </c>
      <c r="AI86" s="224">
        <f t="shared" si="42"/>
        <v>-0.9889883960196908</v>
      </c>
      <c r="AJ86" s="264" t="b">
        <f t="shared" si="43"/>
        <v>0</v>
      </c>
      <c r="AK86" s="264" t="b">
        <f t="shared" si="44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5"/>
        <v>43903</v>
      </c>
      <c r="B87" s="607">
        <v>40.411000000000001</v>
      </c>
      <c r="C87" s="388"/>
      <c r="D87" s="391">
        <f t="shared" si="24"/>
        <v>40.727443880331947</v>
      </c>
      <c r="E87" s="383">
        <f t="shared" si="46"/>
        <v>42.248399149380823</v>
      </c>
      <c r="F87" s="383">
        <f t="shared" si="25"/>
        <v>42.248499261755185</v>
      </c>
      <c r="G87" s="110">
        <f t="shared" si="47"/>
        <v>0.80760670696506354</v>
      </c>
      <c r="H87" s="412" t="b">
        <f>Wh_hp&gt;='2019'!Maxi_hp</f>
        <v>1</v>
      </c>
      <c r="I87" s="388">
        <f>IF(H87,Wh_hp,'2019'!Maxi_hp)</f>
        <v>42.248499261755185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7.7697947669326251E-3</v>
      </c>
      <c r="M87" s="832"/>
      <c r="N87" s="832"/>
      <c r="O87" s="48">
        <f>IF(t&lt;Tnet,'2019'!Resal+('2019'!Salim-'2019'!Resal)*(1-EXP(('2019'!Tnet-t)/('2019'!Tau_j))),Resal+(Salim-Resal)*(1-EXP((Tnet-t)/(Tau_j))))*Salcycl</f>
        <v>3.6000305329229619E-2</v>
      </c>
      <c r="P87" s="169">
        <f>(INDEX(Models!$BJ87:$BT87,,T87)*(1-R87)+INDEX(Models!$BJ87:$BT87,,T87+1)*R87-ERP_i)*Q87*Ramure*Pc/MaxiM</f>
        <v>3.2677328394910045E-6</v>
      </c>
      <c r="Q87" s="304">
        <f t="shared" si="27"/>
        <v>0.6</v>
      </c>
      <c r="R87" s="177">
        <f t="shared" si="28"/>
        <v>1.1526173213346924E-2</v>
      </c>
      <c r="S87" s="799">
        <f t="shared" si="29"/>
        <v>-1</v>
      </c>
      <c r="T87" s="176">
        <f t="shared" si="30"/>
        <v>5</v>
      </c>
      <c r="U87" s="250">
        <f t="shared" si="31"/>
        <v>-0.98847382678665308</v>
      </c>
      <c r="V87" s="382">
        <f t="shared" si="32"/>
        <v>50.037924842954666</v>
      </c>
      <c r="W87" s="58"/>
      <c r="X87" s="157">
        <f t="shared" si="33"/>
        <v>43903</v>
      </c>
      <c r="Y87" s="383">
        <f t="shared" si="34"/>
        <v>40.411000000000001</v>
      </c>
      <c r="Z87" s="383">
        <f t="shared" si="35"/>
        <v>40.727443880331947</v>
      </c>
      <c r="AA87" s="384">
        <f t="shared" si="36"/>
        <v>42.248399149380823</v>
      </c>
      <c r="AB87" s="197">
        <f t="shared" si="37"/>
        <v>43903</v>
      </c>
      <c r="AC87" s="424">
        <f>IF(OR(t&lt;Tnet,NoTnet),'2019'!Resal_s+('2019'!Salim-'2019'!Resal_s)*(1-EXP(('2019'!Tnet_s-t)/'2019'!Tau_j)),Resal_s+(Salim-Resal_s)*(1-EXP((Tnet_s-t)/Tau_j)))*Salcycl</f>
        <v>3.6000305329229619E-2</v>
      </c>
      <c r="AD87" s="230">
        <f>(INDEX(Models!$BJ87:$BT87,,AH87)*(1-AF87)+INDEX(Models!$BJ87:$BT87,,AH87+1)*AF87-ERP_i)*AE87*Ramure*Pc/MaxiM</f>
        <v>3.2677328394910045E-6</v>
      </c>
      <c r="AE87" s="304">
        <f t="shared" si="38"/>
        <v>0.6</v>
      </c>
      <c r="AF87" s="177">
        <f t="shared" si="39"/>
        <v>1.1526173213346924E-2</v>
      </c>
      <c r="AG87" s="176">
        <f t="shared" si="40"/>
        <v>-1</v>
      </c>
      <c r="AH87" s="176">
        <f t="shared" si="41"/>
        <v>5</v>
      </c>
      <c r="AI87" s="224">
        <f t="shared" si="42"/>
        <v>-0.98847382678665308</v>
      </c>
      <c r="AJ87" s="264" t="b">
        <f t="shared" si="43"/>
        <v>0</v>
      </c>
      <c r="AK87" s="264" t="b">
        <f t="shared" si="44"/>
        <v>0</v>
      </c>
      <c r="AL87" s="264"/>
      <c r="AM87" s="264"/>
      <c r="AN87" s="75"/>
    </row>
    <row r="88" spans="1:40" s="6" customFormat="1" ht="11.25" x14ac:dyDescent="0.2">
      <c r="A88" s="56">
        <f t="shared" si="45"/>
        <v>43904</v>
      </c>
      <c r="B88" s="607">
        <v>32.719000000000001</v>
      </c>
      <c r="C88" s="388"/>
      <c r="D88" s="391">
        <f t="shared" si="24"/>
        <v>32.975842593405574</v>
      </c>
      <c r="E88" s="383">
        <f t="shared" si="46"/>
        <v>34.209429301060801</v>
      </c>
      <c r="F88" s="383">
        <f t="shared" si="25"/>
        <v>34.209482776257786</v>
      </c>
      <c r="G88" s="110">
        <f t="shared" si="47"/>
        <v>0.64969107821294458</v>
      </c>
      <c r="H88" s="412" t="b">
        <f>Wh_hp&gt;='2019'!Maxi_hp</f>
        <v>1</v>
      </c>
      <c r="I88" s="388">
        <f>IF(H88,Wh_hp,'2019'!Maxi_hp)</f>
        <v>34.209482776257786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7.788810632451848E-3</v>
      </c>
      <c r="M88" s="832"/>
      <c r="N88" s="832"/>
      <c r="O88" s="48">
        <f>IF(t&lt;Tnet,'2019'!Resal+('2019'!Salim-'2019'!Resal)*(1-EXP(('2019'!Tnet-t)/('2019'!Tau_j))),Resal+(Salim-Resal)*(1-EXP((Tnet-t)/(Tau_j))))*Salcycl</f>
        <v>3.605984469366675E-2</v>
      </c>
      <c r="P88" s="169">
        <f>(INDEX(Models!$BJ88:$BT88,,T88)*(1-R88)+INDEX(Models!$BJ88:$BT88,,T88+1)*R88-ERP_i)*Q88*Ramure*Pc/MaxiM</f>
        <v>3.1290903945623531E-6</v>
      </c>
      <c r="Q88" s="304">
        <f t="shared" si="27"/>
        <v>0.6</v>
      </c>
      <c r="R88" s="177">
        <f t="shared" si="28"/>
        <v>1.2061177144978452E-2</v>
      </c>
      <c r="S88" s="799">
        <f t="shared" si="29"/>
        <v>-1</v>
      </c>
      <c r="T88" s="176">
        <f t="shared" si="30"/>
        <v>5</v>
      </c>
      <c r="U88" s="250">
        <f t="shared" si="31"/>
        <v>-0.98793882285502155</v>
      </c>
      <c r="V88" s="382">
        <f t="shared" si="32"/>
        <v>50.360778932857706</v>
      </c>
      <c r="W88" s="58"/>
      <c r="X88" s="157">
        <f t="shared" si="33"/>
        <v>43904</v>
      </c>
      <c r="Y88" s="383">
        <f t="shared" si="34"/>
        <v>32.719000000000001</v>
      </c>
      <c r="Z88" s="383">
        <f t="shared" si="35"/>
        <v>32.975842593405574</v>
      </c>
      <c r="AA88" s="384">
        <f t="shared" si="36"/>
        <v>34.209429301060801</v>
      </c>
      <c r="AB88" s="197">
        <f t="shared" si="37"/>
        <v>43904</v>
      </c>
      <c r="AC88" s="424">
        <f>IF(OR(t&lt;Tnet,NoTnet),'2019'!Resal_s+('2019'!Salim-'2019'!Resal_s)*(1-EXP(('2019'!Tnet_s-t)/'2019'!Tau_j)),Resal_s+(Salim-Resal_s)*(1-EXP((Tnet_s-t)/Tau_j)))*Salcycl</f>
        <v>3.605984469366675E-2</v>
      </c>
      <c r="AD88" s="230">
        <f>(INDEX(Models!$BJ88:$BT88,,AH88)*(1-AF88)+INDEX(Models!$BJ88:$BT88,,AH88+1)*AF88-ERP_i)*AE88*Ramure*Pc/MaxiM</f>
        <v>3.1290903945623531E-6</v>
      </c>
      <c r="AE88" s="304">
        <f t="shared" si="38"/>
        <v>0.6</v>
      </c>
      <c r="AF88" s="177">
        <f t="shared" si="39"/>
        <v>1.2061177144978452E-2</v>
      </c>
      <c r="AG88" s="176">
        <f t="shared" si="40"/>
        <v>-1</v>
      </c>
      <c r="AH88" s="176">
        <f t="shared" si="41"/>
        <v>5</v>
      </c>
      <c r="AI88" s="224">
        <f t="shared" si="42"/>
        <v>-0.98793882285502155</v>
      </c>
      <c r="AJ88" s="264" t="b">
        <f t="shared" si="43"/>
        <v>0</v>
      </c>
      <c r="AK88" s="264" t="b">
        <f t="shared" si="44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5"/>
        <v>43905</v>
      </c>
      <c r="B89" s="607">
        <v>52.097999999999999</v>
      </c>
      <c r="C89" s="388"/>
      <c r="D89" s="391">
        <f t="shared" si="24"/>
        <v>52.507973124782694</v>
      </c>
      <c r="E89" s="383">
        <f t="shared" si="46"/>
        <v>54.475601951989319</v>
      </c>
      <c r="F89" s="383">
        <f t="shared" si="25"/>
        <v>54.475764848808986</v>
      </c>
      <c r="G89" s="110">
        <f t="shared" si="47"/>
        <v>1.0279821316351678</v>
      </c>
      <c r="H89" s="412" t="b">
        <f>Wh_hp&gt;='2019'!Maxi_hp</f>
        <v>1</v>
      </c>
      <c r="I89" s="388">
        <f>IF(H89,Wh_hp,'2019'!Maxi_hp)</f>
        <v>54.475764848808986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7.8078261335362553E-3</v>
      </c>
      <c r="M89" s="832"/>
      <c r="N89" s="832"/>
      <c r="O89" s="48">
        <f>IF(t&lt;Tnet,'2019'!Resal+('2019'!Salim-'2019'!Resal)*(1-EXP(('2019'!Tnet-t)/('2019'!Tau_j))),Resal+(Salim-Resal)*(1-EXP((Tnet-t)/(Tau_j))))*Salcycl</f>
        <v>3.6119450849588446E-2</v>
      </c>
      <c r="P89" s="169">
        <f>(INDEX(Models!$BJ89:$BT89,,T89)*(1-R89)+INDEX(Models!$BJ89:$BT89,,T89+1)*R89-ERP_i)*Q89*Ramure*Pc/MaxiM</f>
        <v>2.9902621857629687E-6</v>
      </c>
      <c r="Q89" s="304">
        <f t="shared" si="27"/>
        <v>0.6</v>
      </c>
      <c r="R89" s="177">
        <f t="shared" si="28"/>
        <v>1.2617378437750348E-2</v>
      </c>
      <c r="S89" s="799">
        <f t="shared" si="29"/>
        <v>-1</v>
      </c>
      <c r="T89" s="176">
        <f t="shared" si="30"/>
        <v>5</v>
      </c>
      <c r="U89" s="250">
        <f t="shared" si="31"/>
        <v>-0.98738262156224965</v>
      </c>
      <c r="V89" s="382">
        <f t="shared" si="32"/>
        <v>50.679869228008762</v>
      </c>
      <c r="W89" s="58"/>
      <c r="X89" s="157">
        <f t="shared" si="33"/>
        <v>43905</v>
      </c>
      <c r="Y89" s="383">
        <f t="shared" si="34"/>
        <v>52.097999999999999</v>
      </c>
      <c r="Z89" s="383">
        <f t="shared" si="35"/>
        <v>52.507973124782694</v>
      </c>
      <c r="AA89" s="384">
        <f t="shared" si="36"/>
        <v>54.475601951989319</v>
      </c>
      <c r="AB89" s="197">
        <f t="shared" si="37"/>
        <v>43905</v>
      </c>
      <c r="AC89" s="424">
        <f>IF(OR(t&lt;Tnet,NoTnet),'2019'!Resal_s+('2019'!Salim-'2019'!Resal_s)*(1-EXP(('2019'!Tnet_s-t)/'2019'!Tau_j)),Resal_s+(Salim-Resal_s)*(1-EXP((Tnet_s-t)/Tau_j)))*Salcycl</f>
        <v>3.6119450849588446E-2</v>
      </c>
      <c r="AD89" s="230">
        <f>(INDEX(Models!$BJ89:$BT89,,AH89)*(1-AF89)+INDEX(Models!$BJ89:$BT89,,AH89+1)*AF89-ERP_i)*AE89*Ramure*Pc/MaxiM</f>
        <v>2.9902621857629687E-6</v>
      </c>
      <c r="AE89" s="304">
        <f t="shared" si="38"/>
        <v>0.6</v>
      </c>
      <c r="AF89" s="177">
        <f t="shared" si="39"/>
        <v>1.2617378437750348E-2</v>
      </c>
      <c r="AG89" s="176">
        <f t="shared" si="40"/>
        <v>-1</v>
      </c>
      <c r="AH89" s="176">
        <f t="shared" si="41"/>
        <v>5</v>
      </c>
      <c r="AI89" s="224">
        <f t="shared" si="42"/>
        <v>-0.98738262156224965</v>
      </c>
      <c r="AJ89" s="264" t="b">
        <f t="shared" si="43"/>
        <v>0</v>
      </c>
      <c r="AK89" s="264" t="b">
        <f t="shared" si="44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5"/>
        <v>43906</v>
      </c>
      <c r="B90" s="607">
        <v>9.4770000000000003</v>
      </c>
      <c r="C90" s="388"/>
      <c r="D90" s="391">
        <f t="shared" si="24"/>
        <v>9.5517601102337615</v>
      </c>
      <c r="E90" s="383">
        <f t="shared" si="46"/>
        <v>9.9103064436566175</v>
      </c>
      <c r="F90" s="383">
        <f t="shared" si="25"/>
        <v>9.9103064436566175</v>
      </c>
      <c r="G90" s="110">
        <f t="shared" si="47"/>
        <v>0.18584238196357886</v>
      </c>
      <c r="H90" s="412" t="b">
        <f>Wh_hp&gt;='2019'!Maxi_hp</f>
        <v>0</v>
      </c>
      <c r="I90" s="388">
        <f>IF(H90,Wh_hp,'2019'!Maxi_hp)</f>
        <v>15.851237367259257</v>
      </c>
      <c r="J90" s="85">
        <f>IF(H90,An,'2019'!An_max)</f>
        <v>2018</v>
      </c>
      <c r="K90" s="197">
        <f t="shared" si="26"/>
        <v>43906</v>
      </c>
      <c r="L90" s="147">
        <f>IF(t&lt;Tvie,1-EXP((T0-t)*PertePVj)+'2019'!Pspv,1-EXP((T0-t)*PertePVj)+Pspv)</f>
        <v>7.8268412701930634E-3</v>
      </c>
      <c r="M90" s="832"/>
      <c r="N90" s="832"/>
      <c r="O90" s="48">
        <f>IF(t&lt;Tnet,'2019'!Resal+('2019'!Salim-'2019'!Resal)*(1-EXP(('2019'!Tnet-t)/('2019'!Tau_j))),Resal+(Salim-Resal)*(1-EXP((Tnet-t)/(Tau_j))))*Salcycl</f>
        <v>3.6179136887573661E-2</v>
      </c>
      <c r="P90" s="169">
        <f>(INDEX(Models!$BJ90:$BT90,,T90)*(1-R90)+INDEX(Models!$BJ90:$BT90,,T90+1)*R90-ERP_i)*Q90*Ramure*Pc/MaxiM</f>
        <v>2.851216575867446E-6</v>
      </c>
      <c r="Q90" s="304">
        <f t="shared" si="27"/>
        <v>0.6</v>
      </c>
      <c r="R90" s="177">
        <f t="shared" si="28"/>
        <v>1.3195564163514639E-2</v>
      </c>
      <c r="S90" s="799">
        <f t="shared" si="29"/>
        <v>-1</v>
      </c>
      <c r="T90" s="176">
        <f t="shared" si="30"/>
        <v>5</v>
      </c>
      <c r="U90" s="250">
        <f t="shared" si="31"/>
        <v>-0.98680443583648536</v>
      </c>
      <c r="V90" s="382">
        <f t="shared" si="32"/>
        <v>50.994680970446211</v>
      </c>
      <c r="W90" s="58"/>
      <c r="X90" s="157">
        <f t="shared" si="33"/>
        <v>43906</v>
      </c>
      <c r="Y90" s="383">
        <f t="shared" si="34"/>
        <v>9.4770000000000003</v>
      </c>
      <c r="Z90" s="383">
        <f t="shared" si="35"/>
        <v>9.5517601102337615</v>
      </c>
      <c r="AA90" s="384">
        <f t="shared" si="36"/>
        <v>9.9103064436566175</v>
      </c>
      <c r="AB90" s="197">
        <f t="shared" si="37"/>
        <v>43906</v>
      </c>
      <c r="AC90" s="424">
        <f>IF(OR(t&lt;Tnet,NoTnet),'2019'!Resal_s+('2019'!Salim-'2019'!Resal_s)*(1-EXP(('2019'!Tnet_s-t)/'2019'!Tau_j)),Resal_s+(Salim-Resal_s)*(1-EXP((Tnet_s-t)/Tau_j)))*Salcycl</f>
        <v>3.6179136887573661E-2</v>
      </c>
      <c r="AD90" s="230">
        <f>(INDEX(Models!$BJ90:$BT90,,AH90)*(1-AF90)+INDEX(Models!$BJ90:$BT90,,AH90+1)*AF90-ERP_i)*AE90*Ramure*Pc/MaxiM</f>
        <v>2.851216575867446E-6</v>
      </c>
      <c r="AE90" s="304">
        <f t="shared" si="38"/>
        <v>0.6</v>
      </c>
      <c r="AF90" s="177">
        <f t="shared" si="39"/>
        <v>1.3195564163514639E-2</v>
      </c>
      <c r="AG90" s="176">
        <f t="shared" si="40"/>
        <v>-1</v>
      </c>
      <c r="AH90" s="176">
        <f t="shared" si="41"/>
        <v>5</v>
      </c>
      <c r="AI90" s="224">
        <f t="shared" si="42"/>
        <v>-0.98680443583648536</v>
      </c>
      <c r="AJ90" s="264" t="b">
        <f t="shared" si="43"/>
        <v>0</v>
      </c>
      <c r="AK90" s="264" t="b">
        <f t="shared" si="44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5"/>
        <v>43907</v>
      </c>
      <c r="B91" s="607">
        <v>13.256</v>
      </c>
      <c r="C91" s="388"/>
      <c r="D91" s="391">
        <f t="shared" si="24"/>
        <v>13.360827126240263</v>
      </c>
      <c r="E91" s="383">
        <f t="shared" si="46"/>
        <v>13.863215014982648</v>
      </c>
      <c r="F91" s="383">
        <f t="shared" si="25"/>
        <v>13.863215014982648</v>
      </c>
      <c r="G91" s="110">
        <f t="shared" si="47"/>
        <v>0.25837718907649271</v>
      </c>
      <c r="H91" s="412" t="b">
        <f>Wh_hp&gt;='2019'!Maxi_hp</f>
        <v>0</v>
      </c>
      <c r="I91" s="388">
        <f>IF(H91,Wh_hp,'2019'!Maxi_hp)</f>
        <v>36.161356704838056</v>
      </c>
      <c r="J91" s="85">
        <f>IF(H91,An,'2019'!An_max)</f>
        <v>2018</v>
      </c>
      <c r="K91" s="197">
        <f t="shared" si="26"/>
        <v>43907</v>
      </c>
      <c r="L91" s="147">
        <f>IF(t&lt;Tvie,1-EXP((T0-t)*PertePVj)+'2019'!Pspv,1-EXP((T0-t)*PertePVj)+Pspv)</f>
        <v>7.8458560424290447E-3</v>
      </c>
      <c r="M91" s="832"/>
      <c r="N91" s="832"/>
      <c r="O91" s="48">
        <f>IF(t&lt;Tnet,'2019'!Resal+('2019'!Salim-'2019'!Resal)*(1-EXP(('2019'!Tnet-t)/('2019'!Tau_j))),Resal+(Salim-Resal)*(1-EXP((Tnet-t)/(Tau_j))))*Salcycl</f>
        <v>3.6238916311940005E-2</v>
      </c>
      <c r="P91" s="169">
        <f>(INDEX(Models!$BJ91:$BT91,,T91)*(1-R91)+INDEX(Models!$BJ91:$BT91,,T91+1)*R91-ERP_i)*Q91*Ramure*Pc/MaxiM</f>
        <v>2.7119116632461532E-6</v>
      </c>
      <c r="Q91" s="304">
        <f t="shared" si="27"/>
        <v>0.6</v>
      </c>
      <c r="R91" s="177">
        <f t="shared" si="28"/>
        <v>1.3796546242140106E-2</v>
      </c>
      <c r="S91" s="799">
        <f t="shared" si="29"/>
        <v>-1</v>
      </c>
      <c r="T91" s="176">
        <f t="shared" si="30"/>
        <v>5</v>
      </c>
      <c r="U91" s="250">
        <f t="shared" si="31"/>
        <v>-0.98620345375785989</v>
      </c>
      <c r="V91" s="382">
        <f t="shared" si="32"/>
        <v>51.30469952970406</v>
      </c>
      <c r="W91" s="58"/>
      <c r="X91" s="157">
        <f t="shared" si="33"/>
        <v>43907</v>
      </c>
      <c r="Y91" s="383">
        <f t="shared" si="34"/>
        <v>13.256</v>
      </c>
      <c r="Z91" s="383">
        <f t="shared" si="35"/>
        <v>13.360827126240263</v>
      </c>
      <c r="AA91" s="384">
        <f t="shared" si="36"/>
        <v>13.863215014982648</v>
      </c>
      <c r="AB91" s="197">
        <f t="shared" si="37"/>
        <v>43907</v>
      </c>
      <c r="AC91" s="424">
        <f>IF(OR(t&lt;Tnet,NoTnet),'2019'!Resal_s+('2019'!Salim-'2019'!Resal_s)*(1-EXP(('2019'!Tnet_s-t)/'2019'!Tau_j)),Resal_s+(Salim-Resal_s)*(1-EXP((Tnet_s-t)/Tau_j)))*Salcycl</f>
        <v>3.6238916311940005E-2</v>
      </c>
      <c r="AD91" s="230">
        <f>(INDEX(Models!$BJ91:$BT91,,AH91)*(1-AF91)+INDEX(Models!$BJ91:$BT91,,AH91+1)*AF91-ERP_i)*AE91*Ramure*Pc/MaxiM</f>
        <v>2.7119116632461532E-6</v>
      </c>
      <c r="AE91" s="304">
        <f t="shared" si="38"/>
        <v>0.6</v>
      </c>
      <c r="AF91" s="177">
        <f t="shared" si="39"/>
        <v>1.3796546242140106E-2</v>
      </c>
      <c r="AG91" s="176">
        <f t="shared" si="40"/>
        <v>-1</v>
      </c>
      <c r="AH91" s="176">
        <f t="shared" si="41"/>
        <v>5</v>
      </c>
      <c r="AI91" s="224">
        <f t="shared" si="42"/>
        <v>-0.98620345375785989</v>
      </c>
      <c r="AJ91" s="264" t="b">
        <f t="shared" si="43"/>
        <v>0</v>
      </c>
      <c r="AK91" s="264" t="b">
        <f t="shared" si="44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5"/>
        <v>43908</v>
      </c>
      <c r="B92" s="607">
        <v>46.039000000000001</v>
      </c>
      <c r="C92" s="388"/>
      <c r="D92" s="391">
        <f t="shared" si="24"/>
        <v>46.403961142766349</v>
      </c>
      <c r="E92" s="383">
        <f t="shared" si="46"/>
        <v>48.151814366505441</v>
      </c>
      <c r="F92" s="383">
        <f t="shared" si="25"/>
        <v>48.151919129153704</v>
      </c>
      <c r="G92" s="110">
        <f t="shared" si="47"/>
        <v>0.89206564024935497</v>
      </c>
      <c r="H92" s="412" t="b">
        <f>Wh_hp&gt;='2019'!Maxi_hp</f>
        <v>1</v>
      </c>
      <c r="I92" s="388">
        <f>IF(H92,Wh_hp,'2019'!Maxi_hp)</f>
        <v>48.151919129153704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7.8648704502511935E-3</v>
      </c>
      <c r="M92" s="832"/>
      <c r="N92" s="832"/>
      <c r="O92" s="48">
        <f>IF(t&lt;Tnet,'2019'!Resal+('2019'!Salim-'2019'!Resal)*(1-EXP(('2019'!Tnet-t)/('2019'!Tau_j))),Resal+(Salim-Resal)*(1-EXP((Tnet-t)/(Tau_j))))*Salcycl</f>
        <v>3.629880299910164E-2</v>
      </c>
      <c r="P92" s="169">
        <f>(INDEX(Models!$BJ92:$BT92,,T92)*(1-R92)+INDEX(Models!$BJ92:$BT92,,T92+1)*R92-ERP_i)*Q92*Ramure*Pc/MaxiM</f>
        <v>2.5722950959484935E-6</v>
      </c>
      <c r="Q92" s="304">
        <f t="shared" si="27"/>
        <v>0.6</v>
      </c>
      <c r="R92" s="177">
        <f t="shared" si="28"/>
        <v>1.4421161856346676E-2</v>
      </c>
      <c r="S92" s="799">
        <f t="shared" si="29"/>
        <v>-1</v>
      </c>
      <c r="T92" s="176">
        <f t="shared" si="30"/>
        <v>5</v>
      </c>
      <c r="U92" s="250">
        <f t="shared" si="31"/>
        <v>-0.98557883814365332</v>
      </c>
      <c r="V92" s="382">
        <f t="shared" si="32"/>
        <v>51.609410409342118</v>
      </c>
      <c r="W92" s="58"/>
      <c r="X92" s="157">
        <f t="shared" si="33"/>
        <v>43908</v>
      </c>
      <c r="Y92" s="383">
        <f t="shared" si="34"/>
        <v>46.039000000000001</v>
      </c>
      <c r="Z92" s="383">
        <f t="shared" si="35"/>
        <v>46.403961142766349</v>
      </c>
      <c r="AA92" s="384">
        <f t="shared" si="36"/>
        <v>48.151814366505441</v>
      </c>
      <c r="AB92" s="197">
        <f t="shared" si="37"/>
        <v>43908</v>
      </c>
      <c r="AC92" s="424">
        <f>IF(OR(t&lt;Tnet,NoTnet),'2019'!Resal_s+('2019'!Salim-'2019'!Resal_s)*(1-EXP(('2019'!Tnet_s-t)/'2019'!Tau_j)),Resal_s+(Salim-Resal_s)*(1-EXP((Tnet_s-t)/Tau_j)))*Salcycl</f>
        <v>3.629880299910164E-2</v>
      </c>
      <c r="AD92" s="230">
        <f>(INDEX(Models!$BJ92:$BT92,,AH92)*(1-AF92)+INDEX(Models!$BJ92:$BT92,,AH92+1)*AF92-ERP_i)*AE92*Ramure*Pc/MaxiM</f>
        <v>2.5722950959484935E-6</v>
      </c>
      <c r="AE92" s="304">
        <f t="shared" si="38"/>
        <v>0.6</v>
      </c>
      <c r="AF92" s="177">
        <f t="shared" si="39"/>
        <v>1.4421161856346676E-2</v>
      </c>
      <c r="AG92" s="176">
        <f t="shared" si="40"/>
        <v>-1</v>
      </c>
      <c r="AH92" s="176">
        <f t="shared" si="41"/>
        <v>5</v>
      </c>
      <c r="AI92" s="224">
        <f t="shared" si="42"/>
        <v>-0.98557883814365332</v>
      </c>
      <c r="AJ92" s="264" t="b">
        <f t="shared" si="43"/>
        <v>0</v>
      </c>
      <c r="AK92" s="264" t="b">
        <f t="shared" si="44"/>
        <v>0</v>
      </c>
      <c r="AL92" s="264"/>
      <c r="AM92" s="264"/>
      <c r="AN92" s="75"/>
    </row>
    <row r="93" spans="1:40" s="6" customFormat="1" ht="11.25" x14ac:dyDescent="0.2">
      <c r="A93" s="56">
        <f t="shared" si="45"/>
        <v>43909</v>
      </c>
      <c r="B93" s="607">
        <v>47.709000000000003</v>
      </c>
      <c r="C93" s="388"/>
      <c r="D93" s="391">
        <f t="shared" si="24"/>
        <v>48.088121193003083</v>
      </c>
      <c r="E93" s="383">
        <f t="shared" si="46"/>
        <v>49.902517399290467</v>
      </c>
      <c r="F93" s="383">
        <f t="shared" si="25"/>
        <v>49.902624735411933</v>
      </c>
      <c r="G93" s="110">
        <f t="shared" si="47"/>
        <v>0.91905089178739119</v>
      </c>
      <c r="H93" s="412" t="b">
        <f>Wh_hp&gt;='2019'!Maxi_hp</f>
        <v>0</v>
      </c>
      <c r="I93" s="388">
        <f>IF(H93,Wh_hp,'2019'!Maxi_hp)</f>
        <v>53.213779784597463</v>
      </c>
      <c r="J93" s="85">
        <f>IF(H93,An,'2019'!An_max)</f>
        <v>2018</v>
      </c>
      <c r="K93" s="197">
        <f t="shared" si="26"/>
        <v>43909</v>
      </c>
      <c r="L93" s="147">
        <f>IF(t&lt;Tvie,1-EXP((T0-t)*PertePVj)+'2019'!Pspv,1-EXP((T0-t)*PertePVj)+Pspv)</f>
        <v>7.8838844936666153E-3</v>
      </c>
      <c r="M93" s="832"/>
      <c r="N93" s="832"/>
      <c r="O93" s="48">
        <f>IF(t&lt;Tnet,'2019'!Resal+('2019'!Salim-'2019'!Resal)*(1-EXP(('2019'!Tnet-t)/('2019'!Tau_j))),Resal+(Salim-Resal)*(1-EXP((Tnet-t)/(Tau_j))))*Salcycl</f>
        <v>3.6358811155149877E-2</v>
      </c>
      <c r="P93" s="169">
        <f>(INDEX(Models!$BJ93:$BT93,,T93)*(1-R93)+INDEX(Models!$BJ93:$BT93,,T93+1)*R93-ERP_i)*Q93*Ramure*Pc/MaxiM</f>
        <v>2.4321704880906256E-6</v>
      </c>
      <c r="Q93" s="304">
        <f t="shared" si="27"/>
        <v>0.6</v>
      </c>
      <c r="R93" s="177">
        <f t="shared" si="28"/>
        <v>1.5070273838968085E-2</v>
      </c>
      <c r="S93" s="799">
        <f t="shared" si="29"/>
        <v>-1</v>
      </c>
      <c r="T93" s="176">
        <f t="shared" si="30"/>
        <v>5</v>
      </c>
      <c r="U93" s="250">
        <f t="shared" si="31"/>
        <v>-0.98492972616103192</v>
      </c>
      <c r="V93" s="382">
        <f t="shared" si="32"/>
        <v>51.911147693456826</v>
      </c>
      <c r="W93" s="58"/>
      <c r="X93" s="157">
        <f t="shared" si="33"/>
        <v>43909</v>
      </c>
      <c r="Y93" s="383">
        <f t="shared" si="34"/>
        <v>47.709000000000003</v>
      </c>
      <c r="Z93" s="383">
        <f t="shared" si="35"/>
        <v>48.088121193003083</v>
      </c>
      <c r="AA93" s="384">
        <f t="shared" si="36"/>
        <v>49.902517399290467</v>
      </c>
      <c r="AB93" s="197">
        <f t="shared" si="37"/>
        <v>43909</v>
      </c>
      <c r="AC93" s="424">
        <f>IF(OR(t&lt;Tnet,NoTnet),'2019'!Resal_s+('2019'!Salim-'2019'!Resal_s)*(1-EXP(('2019'!Tnet_s-t)/'2019'!Tau_j)),Resal_s+(Salim-Resal_s)*(1-EXP((Tnet_s-t)/Tau_j)))*Salcycl</f>
        <v>3.6358811155149877E-2</v>
      </c>
      <c r="AD93" s="230">
        <f>(INDEX(Models!$BJ93:$BT93,,AH93)*(1-AF93)+INDEX(Models!$BJ93:$BT93,,AH93+1)*AF93-ERP_i)*AE93*Ramure*Pc/MaxiM</f>
        <v>2.4321704880906256E-6</v>
      </c>
      <c r="AE93" s="304">
        <f t="shared" si="38"/>
        <v>0.6</v>
      </c>
      <c r="AF93" s="177">
        <f t="shared" si="39"/>
        <v>1.5070273838968085E-2</v>
      </c>
      <c r="AG93" s="176">
        <f t="shared" si="40"/>
        <v>-1</v>
      </c>
      <c r="AH93" s="176">
        <f t="shared" si="41"/>
        <v>5</v>
      </c>
      <c r="AI93" s="224">
        <f t="shared" si="42"/>
        <v>-0.98492972616103192</v>
      </c>
      <c r="AJ93" s="264" t="b">
        <f t="shared" si="43"/>
        <v>0</v>
      </c>
      <c r="AK93" s="264" t="b">
        <f t="shared" si="44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5"/>
        <v>43910</v>
      </c>
      <c r="B94" s="607">
        <v>51.103999999999999</v>
      </c>
      <c r="C94" s="388"/>
      <c r="D94" s="391">
        <f t="shared" si="24"/>
        <v>51.511086874332037</v>
      </c>
      <c r="E94" s="383">
        <f t="shared" si="46"/>
        <v>53.457970303810662</v>
      </c>
      <c r="F94" s="383">
        <f t="shared" si="25"/>
        <v>53.458089214511951</v>
      </c>
      <c r="G94" s="110">
        <f t="shared" si="47"/>
        <v>0.97877674561009098</v>
      </c>
      <c r="H94" s="412" t="b">
        <f>Wh_hp&gt;='2019'!Maxi_hp</f>
        <v>1</v>
      </c>
      <c r="I94" s="388">
        <f>IF(H94,Wh_hp,'2019'!Maxi_hp)</f>
        <v>53.458089214511951</v>
      </c>
      <c r="J94" s="85">
        <f>IF(H94,An,'2019'!An_max)</f>
        <v>2020</v>
      </c>
      <c r="K94" s="197">
        <f t="shared" si="26"/>
        <v>43910</v>
      </c>
      <c r="L94" s="147">
        <f>IF(t&lt;Tvie,1-EXP((T0-t)*PertePVj)+'2019'!Pspv,1-EXP((T0-t)*PertePVj)+Pspv)</f>
        <v>7.9028981726823044E-3</v>
      </c>
      <c r="M94" s="832"/>
      <c r="N94" s="832"/>
      <c r="O94" s="48">
        <f>IF(t&lt;Tnet,'2019'!Resal+('2019'!Salim-'2019'!Resal)*(1-EXP(('2019'!Tnet-t)/('2019'!Tau_j))),Resal+(Salim-Resal)*(1-EXP((Tnet-t)/(Tau_j))))*Salcycl</f>
        <v>3.6418955272977276E-2</v>
      </c>
      <c r="P94" s="169">
        <f>(INDEX(Models!$BJ94:$BT94,,T94)*(1-R94)+INDEX(Models!$BJ94:$BT94,,T94+1)*R94-ERP_i)*Q94*Ramure*Pc/MaxiM</f>
        <v>2.2939214907671916E-6</v>
      </c>
      <c r="Q94" s="304">
        <f t="shared" si="27"/>
        <v>0.6</v>
      </c>
      <c r="R94" s="177">
        <f t="shared" si="28"/>
        <v>1.5744771028668336E-2</v>
      </c>
      <c r="S94" s="799">
        <f t="shared" si="29"/>
        <v>-1</v>
      </c>
      <c r="T94" s="176">
        <f t="shared" si="30"/>
        <v>5</v>
      </c>
      <c r="U94" s="250">
        <f t="shared" si="31"/>
        <v>-0.98425522897133166</v>
      </c>
      <c r="V94" s="382">
        <f t="shared" si="32"/>
        <v>52.212107280812205</v>
      </c>
      <c r="W94" s="58"/>
      <c r="X94" s="157">
        <f t="shared" si="33"/>
        <v>43910</v>
      </c>
      <c r="Y94" s="383">
        <f t="shared" si="34"/>
        <v>51.103999999999999</v>
      </c>
      <c r="Z94" s="383">
        <f t="shared" si="35"/>
        <v>51.511086874332037</v>
      </c>
      <c r="AA94" s="384">
        <f t="shared" si="36"/>
        <v>53.457970303810662</v>
      </c>
      <c r="AB94" s="197">
        <f t="shared" si="37"/>
        <v>43910</v>
      </c>
      <c r="AC94" s="424">
        <f>IF(OR(t&lt;Tnet,NoTnet),'2019'!Resal_s+('2019'!Salim-'2019'!Resal_s)*(1-EXP(('2019'!Tnet_s-t)/'2019'!Tau_j)),Resal_s+(Salim-Resal_s)*(1-EXP((Tnet_s-t)/Tau_j)))*Salcycl</f>
        <v>3.6418955272977276E-2</v>
      </c>
      <c r="AD94" s="230">
        <f>(INDEX(Models!$BJ94:$BT94,,AH94)*(1-AF94)+INDEX(Models!$BJ94:$BT94,,AH94+1)*AF94-ERP_i)*AE94*Ramure*Pc/MaxiM</f>
        <v>2.2939214907671916E-6</v>
      </c>
      <c r="AE94" s="304">
        <f t="shared" si="38"/>
        <v>0.6</v>
      </c>
      <c r="AF94" s="177">
        <f t="shared" si="39"/>
        <v>1.5744771028668336E-2</v>
      </c>
      <c r="AG94" s="176">
        <f t="shared" si="40"/>
        <v>-1</v>
      </c>
      <c r="AH94" s="176">
        <f t="shared" si="41"/>
        <v>5</v>
      </c>
      <c r="AI94" s="224">
        <f t="shared" si="42"/>
        <v>-0.98425522897133166</v>
      </c>
      <c r="AJ94" s="264" t="b">
        <f t="shared" si="43"/>
        <v>0</v>
      </c>
      <c r="AK94" s="264" t="b">
        <f t="shared" si="44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5"/>
        <v>43911</v>
      </c>
      <c r="B95" s="607">
        <v>50.789000000000001</v>
      </c>
      <c r="C95" s="388"/>
      <c r="D95" s="391">
        <f t="shared" si="24"/>
        <v>51.194558763153339</v>
      </c>
      <c r="E95" s="383">
        <f t="shared" si="46"/>
        <v>53.132803593379101</v>
      </c>
      <c r="F95" s="383">
        <f t="shared" si="25"/>
        <v>53.132913238257949</v>
      </c>
      <c r="G95" s="110">
        <f t="shared" si="47"/>
        <v>0.96719632098819974</v>
      </c>
      <c r="H95" s="412" t="b">
        <f>Wh_hp&gt;='2019'!Maxi_hp</f>
        <v>1</v>
      </c>
      <c r="I95" s="388">
        <f>IF(H95,Wh_hp,'2019'!Maxi_hp)</f>
        <v>53.132913238257949</v>
      </c>
      <c r="J95" s="85">
        <f>IF(H95,An,'2019'!An_max)</f>
        <v>2020</v>
      </c>
      <c r="K95" s="197">
        <f t="shared" si="26"/>
        <v>43911</v>
      </c>
      <c r="L95" s="147">
        <f>IF(t&lt;Tvie,1-EXP((T0-t)*PertePVj)+'2019'!Pspv,1-EXP((T0-t)*PertePVj)+Pspv)</f>
        <v>7.9219114873050334E-3</v>
      </c>
      <c r="M95" s="832"/>
      <c r="N95" s="832"/>
      <c r="O95" s="48">
        <f>IF(t&lt;Tnet,'2019'!Resal+('2019'!Salim-'2019'!Resal)*(1-EXP(('2019'!Tnet-t)/('2019'!Tau_j))),Resal+(Salim-Resal)*(1-EXP((Tnet-t)/(Tau_j))))*Salcycl</f>
        <v>3.6479250089247871E-2</v>
      </c>
      <c r="P95" s="169">
        <f>(INDEX(Models!$BJ95:$BT95,,T95)*(1-R95)+INDEX(Models!$BJ95:$BT95,,T95+1)*R95-ERP_i)*Q95*Ramure*Pc/MaxiM</f>
        <v>2.165055614282197E-6</v>
      </c>
      <c r="Q95" s="304">
        <f t="shared" si="27"/>
        <v>0.6</v>
      </c>
      <c r="R95" s="177">
        <f t="shared" si="28"/>
        <v>1.6445568589843029E-2</v>
      </c>
      <c r="S95" s="799">
        <f t="shared" si="29"/>
        <v>-1</v>
      </c>
      <c r="T95" s="176">
        <f t="shared" si="30"/>
        <v>5</v>
      </c>
      <c r="U95" s="250">
        <f t="shared" si="31"/>
        <v>-0.98355443141015697</v>
      </c>
      <c r="V95" s="382">
        <f t="shared" si="32"/>
        <v>52.511567450004577</v>
      </c>
      <c r="W95" s="58"/>
      <c r="X95" s="157">
        <f t="shared" si="33"/>
        <v>43911</v>
      </c>
      <c r="Y95" s="383">
        <f t="shared" si="34"/>
        <v>50.789000000000001</v>
      </c>
      <c r="Z95" s="383">
        <f t="shared" si="35"/>
        <v>51.194558763153339</v>
      </c>
      <c r="AA95" s="384">
        <f t="shared" si="36"/>
        <v>53.132803593379101</v>
      </c>
      <c r="AB95" s="197">
        <f t="shared" si="37"/>
        <v>43911</v>
      </c>
      <c r="AC95" s="424">
        <f>IF(OR(t&lt;Tnet,NoTnet),'2019'!Resal_s+('2019'!Salim-'2019'!Resal_s)*(1-EXP(('2019'!Tnet_s-t)/'2019'!Tau_j)),Resal_s+(Salim-Resal_s)*(1-EXP((Tnet_s-t)/Tau_j)))*Salcycl</f>
        <v>3.6479250089247871E-2</v>
      </c>
      <c r="AD95" s="230">
        <f>(INDEX(Models!$BJ95:$BT95,,AH95)*(1-AF95)+INDEX(Models!$BJ95:$BT95,,AH95+1)*AF95-ERP_i)*AE95*Ramure*Pc/MaxiM</f>
        <v>2.165055614282197E-6</v>
      </c>
      <c r="AE95" s="304">
        <f t="shared" si="38"/>
        <v>0.6</v>
      </c>
      <c r="AF95" s="177">
        <f t="shared" si="39"/>
        <v>1.6445568589843029E-2</v>
      </c>
      <c r="AG95" s="176">
        <f t="shared" si="40"/>
        <v>-1</v>
      </c>
      <c r="AH95" s="176">
        <f t="shared" si="41"/>
        <v>5</v>
      </c>
      <c r="AI95" s="224">
        <f t="shared" si="42"/>
        <v>-0.98355443141015697</v>
      </c>
      <c r="AJ95" s="264" t="b">
        <f t="shared" si="43"/>
        <v>0</v>
      </c>
      <c r="AK95" s="264" t="b">
        <f t="shared" si="44"/>
        <v>0</v>
      </c>
      <c r="AL95" s="264"/>
      <c r="AM95" s="264"/>
      <c r="AN95" s="75"/>
    </row>
    <row r="96" spans="1:40" s="6" customFormat="1" ht="11.25" x14ac:dyDescent="0.2">
      <c r="A96" s="56">
        <f t="shared" si="45"/>
        <v>43912</v>
      </c>
      <c r="B96" s="607">
        <v>44.273000000000003</v>
      </c>
      <c r="C96" s="388"/>
      <c r="D96" s="391">
        <f t="shared" si="24"/>
        <v>44.627382673656783</v>
      </c>
      <c r="E96" s="383">
        <f t="shared" si="46"/>
        <v>46.319898351740854</v>
      </c>
      <c r="F96" s="383">
        <f t="shared" si="25"/>
        <v>46.319971219468741</v>
      </c>
      <c r="G96" s="110">
        <f t="shared" si="47"/>
        <v>0.83836355216680747</v>
      </c>
      <c r="H96" s="412" t="b">
        <f>Wh_hp&gt;='2019'!Maxi_hp</f>
        <v>0</v>
      </c>
      <c r="I96" s="388">
        <f>IF(H96,Wh_hp,'2019'!Maxi_hp)</f>
        <v>48.450927824356008</v>
      </c>
      <c r="J96" s="85">
        <f>IF(H96,An,'2019'!An_max)</f>
        <v>2018</v>
      </c>
      <c r="K96" s="197">
        <f t="shared" si="26"/>
        <v>43912</v>
      </c>
      <c r="L96" s="147">
        <f>IF(t&lt;Tvie,1-EXP((T0-t)*PertePVj)+'2019'!Pspv,1-EXP((T0-t)*PertePVj)+Pspv)</f>
        <v>7.9409244375420185E-3</v>
      </c>
      <c r="M96" s="832"/>
      <c r="N96" s="832"/>
      <c r="O96" s="48">
        <f>IF(t&lt;Tnet,'2019'!Resal+('2019'!Salim-'2019'!Resal)*(1-EXP(('2019'!Tnet-t)/('2019'!Tau_j))),Resal+(Salim-Resal)*(1-EXP((Tnet-t)/(Tau_j))))*Salcycl</f>
        <v>3.6539710541494748E-2</v>
      </c>
      <c r="P96" s="169">
        <f>(INDEX(Models!$BJ96:$BT96,,T96)*(1-R96)+INDEX(Models!$BJ96:$BT96,,T96+1)*R96-ERP_i)*Q96*Ramure*Pc/MaxiM</f>
        <v>2.0454507053937551E-6</v>
      </c>
      <c r="Q96" s="304">
        <f t="shared" si="27"/>
        <v>0.6</v>
      </c>
      <c r="R96" s="177">
        <f t="shared" si="28"/>
        <v>1.7173608292137654E-2</v>
      </c>
      <c r="S96" s="799">
        <f t="shared" si="29"/>
        <v>-1</v>
      </c>
      <c r="T96" s="176">
        <f t="shared" si="30"/>
        <v>5</v>
      </c>
      <c r="U96" s="250">
        <f t="shared" si="31"/>
        <v>-0.98282639170786235</v>
      </c>
      <c r="V96" s="382">
        <f t="shared" si="32"/>
        <v>52.80880708000754</v>
      </c>
      <c r="W96" s="58"/>
      <c r="X96" s="157">
        <f t="shared" si="33"/>
        <v>43912</v>
      </c>
      <c r="Y96" s="383">
        <f t="shared" si="34"/>
        <v>44.273000000000003</v>
      </c>
      <c r="Z96" s="383">
        <f t="shared" si="35"/>
        <v>44.627382673656783</v>
      </c>
      <c r="AA96" s="384">
        <f t="shared" si="36"/>
        <v>46.319898351740854</v>
      </c>
      <c r="AB96" s="197">
        <f t="shared" si="37"/>
        <v>43912</v>
      </c>
      <c r="AC96" s="424">
        <f>IF(OR(t&lt;Tnet,NoTnet),'2019'!Resal_s+('2019'!Salim-'2019'!Resal_s)*(1-EXP(('2019'!Tnet_s-t)/'2019'!Tau_j)),Resal_s+(Salim-Resal_s)*(1-EXP((Tnet_s-t)/Tau_j)))*Salcycl</f>
        <v>3.6539710541494748E-2</v>
      </c>
      <c r="AD96" s="230">
        <f>(INDEX(Models!$BJ96:$BT96,,AH96)*(1-AF96)+INDEX(Models!$BJ96:$BT96,,AH96+1)*AF96-ERP_i)*AE96*Ramure*Pc/MaxiM</f>
        <v>2.0454507053937551E-6</v>
      </c>
      <c r="AE96" s="304">
        <f t="shared" si="38"/>
        <v>0.6</v>
      </c>
      <c r="AF96" s="177">
        <f t="shared" si="39"/>
        <v>1.7173608292137654E-2</v>
      </c>
      <c r="AG96" s="176">
        <f t="shared" si="40"/>
        <v>-1</v>
      </c>
      <c r="AH96" s="176">
        <f t="shared" si="41"/>
        <v>5</v>
      </c>
      <c r="AI96" s="224">
        <f t="shared" si="42"/>
        <v>-0.98282639170786235</v>
      </c>
      <c r="AJ96" s="264" t="b">
        <f t="shared" si="43"/>
        <v>0</v>
      </c>
      <c r="AK96" s="264" t="b">
        <f t="shared" si="44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5"/>
        <v>43913</v>
      </c>
      <c r="B97" s="607">
        <v>35.408000000000001</v>
      </c>
      <c r="C97" s="388"/>
      <c r="D97" s="391">
        <f t="shared" si="24"/>
        <v>35.692106923342273</v>
      </c>
      <c r="E97" s="383">
        <f t="shared" si="46"/>
        <v>37.048079670023228</v>
      </c>
      <c r="F97" s="383">
        <f t="shared" si="25"/>
        <v>37.048117232120831</v>
      </c>
      <c r="G97" s="110">
        <f t="shared" si="47"/>
        <v>0.66677771876464742</v>
      </c>
      <c r="H97" s="412" t="b">
        <f>Wh_hp&gt;='2019'!Maxi_hp</f>
        <v>0</v>
      </c>
      <c r="I97" s="388">
        <f>IF(H97,Wh_hp,'2019'!Maxi_hp)</f>
        <v>52.931336323355495</v>
      </c>
      <c r="J97" s="85">
        <f>IF(H97,An,'2019'!An_max)</f>
        <v>2018</v>
      </c>
      <c r="K97" s="197">
        <f t="shared" si="26"/>
        <v>43913</v>
      </c>
      <c r="L97" s="147">
        <f>IF(t&lt;Tvie,1-EXP((T0-t)*PertePVj)+'2019'!Pspv,1-EXP((T0-t)*PertePVj)+Pspv)</f>
        <v>7.9599370234001432E-3</v>
      </c>
      <c r="M97" s="832"/>
      <c r="N97" s="832"/>
      <c r="O97" s="48">
        <f>IF(t&lt;Tnet,'2019'!Resal+('2019'!Salim-'2019'!Resal)*(1-EXP(('2019'!Tnet-t)/('2019'!Tau_j))),Resal+(Salim-Resal)*(1-EXP((Tnet-t)/(Tau_j))))*Salcycl</f>
        <v>3.6600351725601471E-2</v>
      </c>
      <c r="P97" s="169">
        <f>(INDEX(Models!$BJ97:$BT97,,T97)*(1-R97)+INDEX(Models!$BJ97:$BT97,,T97+1)*R97-ERP_i)*Q97*Ramure*Pc/MaxiM</f>
        <v>1.9349870480813208E-6</v>
      </c>
      <c r="Q97" s="304">
        <f t="shared" si="27"/>
        <v>0.6</v>
      </c>
      <c r="R97" s="177">
        <f t="shared" si="28"/>
        <v>1.7929858744697547E-2</v>
      </c>
      <c r="S97" s="799">
        <f t="shared" si="29"/>
        <v>-1</v>
      </c>
      <c r="T97" s="176">
        <f t="shared" si="30"/>
        <v>5</v>
      </c>
      <c r="U97" s="250">
        <f t="shared" si="31"/>
        <v>-0.98207014125530245</v>
      </c>
      <c r="V97" s="382">
        <f t="shared" si="32"/>
        <v>53.103105260885286</v>
      </c>
      <c r="W97" s="58"/>
      <c r="X97" s="157">
        <f t="shared" si="33"/>
        <v>43913</v>
      </c>
      <c r="Y97" s="383">
        <f t="shared" si="34"/>
        <v>35.408000000000001</v>
      </c>
      <c r="Z97" s="383">
        <f t="shared" si="35"/>
        <v>35.692106923342273</v>
      </c>
      <c r="AA97" s="384">
        <f t="shared" si="36"/>
        <v>37.048079670023228</v>
      </c>
      <c r="AB97" s="197">
        <f t="shared" si="37"/>
        <v>43913</v>
      </c>
      <c r="AC97" s="424">
        <f>IF(OR(t&lt;Tnet,NoTnet),'2019'!Resal_s+('2019'!Salim-'2019'!Resal_s)*(1-EXP(('2019'!Tnet_s-t)/'2019'!Tau_j)),Resal_s+(Salim-Resal_s)*(1-EXP((Tnet_s-t)/Tau_j)))*Salcycl</f>
        <v>3.6600351725601471E-2</v>
      </c>
      <c r="AD97" s="230">
        <f>(INDEX(Models!$BJ97:$BT97,,AH97)*(1-AF97)+INDEX(Models!$BJ97:$BT97,,AH97+1)*AF97-ERP_i)*AE97*Ramure*Pc/MaxiM</f>
        <v>1.9349870480813208E-6</v>
      </c>
      <c r="AE97" s="304">
        <f t="shared" si="38"/>
        <v>0.6</v>
      </c>
      <c r="AF97" s="177">
        <f t="shared" si="39"/>
        <v>1.7929858744697547E-2</v>
      </c>
      <c r="AG97" s="176">
        <f t="shared" si="40"/>
        <v>-1</v>
      </c>
      <c r="AH97" s="176">
        <f t="shared" si="41"/>
        <v>5</v>
      </c>
      <c r="AI97" s="224">
        <f t="shared" si="42"/>
        <v>-0.98207014125530245</v>
      </c>
      <c r="AJ97" s="264" t="b">
        <f t="shared" si="43"/>
        <v>0</v>
      </c>
      <c r="AK97" s="264" t="b">
        <f t="shared" si="44"/>
        <v>0</v>
      </c>
      <c r="AL97" s="264"/>
      <c r="AM97" s="264"/>
      <c r="AN97" s="75"/>
    </row>
    <row r="98" spans="1:40" s="6" customFormat="1" ht="11.25" x14ac:dyDescent="0.2">
      <c r="A98" s="56">
        <f t="shared" si="45"/>
        <v>43914</v>
      </c>
      <c r="B98" s="607">
        <v>44.470999999999997</v>
      </c>
      <c r="C98" s="388"/>
      <c r="D98" s="391">
        <f t="shared" si="24"/>
        <v>44.828685808783234</v>
      </c>
      <c r="E98" s="383">
        <f t="shared" si="46"/>
        <v>46.534703356807185</v>
      </c>
      <c r="F98" s="383">
        <f t="shared" si="25"/>
        <v>46.534768311108202</v>
      </c>
      <c r="G98" s="110">
        <f t="shared" si="47"/>
        <v>0.832887515533558</v>
      </c>
      <c r="H98" s="412" t="b">
        <f>Wh_hp&gt;='2019'!Maxi_hp</f>
        <v>1</v>
      </c>
      <c r="I98" s="388">
        <f>IF(H98,Wh_hp,'2019'!Maxi_hp)</f>
        <v>46.534768311108202</v>
      </c>
      <c r="J98" s="85">
        <f>IF(H98,An,'2019'!An_max)</f>
        <v>2020</v>
      </c>
      <c r="K98" s="197">
        <f t="shared" si="26"/>
        <v>43914</v>
      </c>
      <c r="L98" s="147">
        <f>IF(t&lt;Tvie,1-EXP((T0-t)*PertePVj)+'2019'!Pspv,1-EXP((T0-t)*PertePVj)+Pspv)</f>
        <v>7.9789492448864019E-3</v>
      </c>
      <c r="M98" s="832"/>
      <c r="N98" s="832"/>
      <c r="O98" s="48">
        <f>IF(t&lt;Tnet,'2019'!Resal+('2019'!Salim-'2019'!Resal)*(1-EXP(('2019'!Tnet-t)/('2019'!Tau_j))),Resal+(Salim-Resal)*(1-EXP((Tnet-t)/(Tau_j))))*Salcycl</f>
        <v>3.6661188853896201E-2</v>
      </c>
      <c r="P98" s="169">
        <f>(INDEX(Models!$BJ98:$BT98,,T98)*(1-R98)+INDEX(Models!$BJ98:$BT98,,T98+1)*R98-ERP_i)*Q98*Ramure*Pc/MaxiM</f>
        <v>1.8335491445476204E-6</v>
      </c>
      <c r="Q98" s="304">
        <f t="shared" si="27"/>
        <v>0.6</v>
      </c>
      <c r="R98" s="177">
        <f t="shared" si="28"/>
        <v>1.8715315579944769E-2</v>
      </c>
      <c r="S98" s="799">
        <f t="shared" si="29"/>
        <v>-1</v>
      </c>
      <c r="T98" s="176">
        <f t="shared" si="30"/>
        <v>5</v>
      </c>
      <c r="U98" s="250">
        <f t="shared" si="31"/>
        <v>-0.98128468442005523</v>
      </c>
      <c r="V98" s="382">
        <f t="shared" si="32"/>
        <v>53.393741296945549</v>
      </c>
      <c r="W98" s="58"/>
      <c r="X98" s="157">
        <f t="shared" si="33"/>
        <v>43914</v>
      </c>
      <c r="Y98" s="383">
        <f t="shared" si="34"/>
        <v>44.470999999999997</v>
      </c>
      <c r="Z98" s="383">
        <f t="shared" si="35"/>
        <v>44.828685808783234</v>
      </c>
      <c r="AA98" s="384">
        <f t="shared" si="36"/>
        <v>46.534703356807185</v>
      </c>
      <c r="AB98" s="197">
        <f t="shared" si="37"/>
        <v>43914</v>
      </c>
      <c r="AC98" s="424">
        <f>IF(OR(t&lt;Tnet,NoTnet),'2019'!Resal_s+('2019'!Salim-'2019'!Resal_s)*(1-EXP(('2019'!Tnet_s-t)/'2019'!Tau_j)),Resal_s+(Salim-Resal_s)*(1-EXP((Tnet_s-t)/Tau_j)))*Salcycl</f>
        <v>3.6661188853896201E-2</v>
      </c>
      <c r="AD98" s="230">
        <f>(INDEX(Models!$BJ98:$BT98,,AH98)*(1-AF98)+INDEX(Models!$BJ98:$BT98,,AH98+1)*AF98-ERP_i)*AE98*Ramure*Pc/MaxiM</f>
        <v>1.8335491445476204E-6</v>
      </c>
      <c r="AE98" s="304">
        <f t="shared" si="38"/>
        <v>0.6</v>
      </c>
      <c r="AF98" s="177">
        <f t="shared" si="39"/>
        <v>1.8715315579944769E-2</v>
      </c>
      <c r="AG98" s="176">
        <f t="shared" si="40"/>
        <v>-1</v>
      </c>
      <c r="AH98" s="176">
        <f t="shared" si="41"/>
        <v>5</v>
      </c>
      <c r="AI98" s="224">
        <f t="shared" si="42"/>
        <v>-0.98128468442005523</v>
      </c>
      <c r="AJ98" s="264" t="b">
        <f t="shared" si="43"/>
        <v>0</v>
      </c>
      <c r="AK98" s="264" t="b">
        <f t="shared" si="44"/>
        <v>0</v>
      </c>
      <c r="AL98" s="264"/>
      <c r="AM98" s="264"/>
      <c r="AN98" s="75"/>
    </row>
    <row r="99" spans="1:40" s="6" customFormat="1" ht="11.25" x14ac:dyDescent="0.2">
      <c r="A99" s="56">
        <f t="shared" si="45"/>
        <v>43915</v>
      </c>
      <c r="B99" s="607">
        <v>54.05</v>
      </c>
      <c r="C99" s="388"/>
      <c r="D99" s="391">
        <f t="shared" si="24"/>
        <v>54.485775109942054</v>
      </c>
      <c r="E99" s="383">
        <f t="shared" si="46"/>
        <v>56.562891011167025</v>
      </c>
      <c r="F99" s="383">
        <f t="shared" si="25"/>
        <v>56.562989488883829</v>
      </c>
      <c r="G99" s="110">
        <f t="shared" si="47"/>
        <v>1.0068927966935739</v>
      </c>
      <c r="H99" s="412" t="b">
        <f>Wh_hp&gt;='2019'!Maxi_hp</f>
        <v>1</v>
      </c>
      <c r="I99" s="388">
        <f>IF(H99,Wh_hp,'2019'!Maxi_hp)</f>
        <v>56.562989488883829</v>
      </c>
      <c r="J99" s="85">
        <f>IF(H99,An,'2019'!An_max)</f>
        <v>2020</v>
      </c>
      <c r="K99" s="197">
        <f t="shared" si="26"/>
        <v>43915</v>
      </c>
      <c r="L99" s="147">
        <f>IF(t&lt;Tvie,1-EXP((T0-t)*PertePVj)+'2019'!Pspv,1-EXP((T0-t)*PertePVj)+Pspv)</f>
        <v>7.997961102007678E-3</v>
      </c>
      <c r="M99" s="832"/>
      <c r="N99" s="832"/>
      <c r="O99" s="48">
        <f>IF(t&lt;Tnet,'2019'!Resal+('2019'!Salim-'2019'!Resal)*(1-EXP(('2019'!Tnet-t)/('2019'!Tau_j))),Resal+(Salim-Resal)*(1-EXP((Tnet-t)/(Tau_j))))*Salcycl</f>
        <v>3.672223721405779E-2</v>
      </c>
      <c r="P99" s="169">
        <f>(INDEX(Models!$BJ99:$BT99,,T99)*(1-R99)+INDEX(Models!$BJ99:$BT99,,T99+1)*R99-ERP_i)*Q99*Ramure*Pc/MaxiM</f>
        <v>1.7410274402068613E-6</v>
      </c>
      <c r="Q99" s="304">
        <f t="shared" si="27"/>
        <v>0.6</v>
      </c>
      <c r="R99" s="177">
        <f t="shared" si="28"/>
        <v>1.9531001581348351E-2</v>
      </c>
      <c r="S99" s="799">
        <f t="shared" si="29"/>
        <v>-1</v>
      </c>
      <c r="T99" s="176">
        <f t="shared" si="30"/>
        <v>5</v>
      </c>
      <c r="U99" s="250">
        <f t="shared" si="31"/>
        <v>-0.98046899841865165</v>
      </c>
      <c r="V99" s="382">
        <f t="shared" si="32"/>
        <v>53.679994709952183</v>
      </c>
      <c r="W99" s="58"/>
      <c r="X99" s="157">
        <f t="shared" si="33"/>
        <v>43915</v>
      </c>
      <c r="Y99" s="383">
        <f t="shared" si="34"/>
        <v>54.05</v>
      </c>
      <c r="Z99" s="383">
        <f t="shared" si="35"/>
        <v>54.485775109942054</v>
      </c>
      <c r="AA99" s="384">
        <f t="shared" si="36"/>
        <v>56.562891011167025</v>
      </c>
      <c r="AB99" s="197">
        <f t="shared" si="37"/>
        <v>43915</v>
      </c>
      <c r="AC99" s="424">
        <f>IF(OR(t&lt;Tnet,NoTnet),'2019'!Resal_s+('2019'!Salim-'2019'!Resal_s)*(1-EXP(('2019'!Tnet_s-t)/'2019'!Tau_j)),Resal_s+(Salim-Resal_s)*(1-EXP((Tnet_s-t)/Tau_j)))*Salcycl</f>
        <v>3.672223721405779E-2</v>
      </c>
      <c r="AD99" s="230">
        <f>(INDEX(Models!$BJ99:$BT99,,AH99)*(1-AF99)+INDEX(Models!$BJ99:$BT99,,AH99+1)*AF99-ERP_i)*AE99*Ramure*Pc/MaxiM</f>
        <v>1.7410274402068613E-6</v>
      </c>
      <c r="AE99" s="304">
        <f t="shared" si="38"/>
        <v>0.6</v>
      </c>
      <c r="AF99" s="177">
        <f t="shared" si="39"/>
        <v>1.9531001581348351E-2</v>
      </c>
      <c r="AG99" s="176">
        <f t="shared" si="40"/>
        <v>-1</v>
      </c>
      <c r="AH99" s="176">
        <f t="shared" si="41"/>
        <v>5</v>
      </c>
      <c r="AI99" s="224">
        <f t="shared" si="42"/>
        <v>-0.98046899841865165</v>
      </c>
      <c r="AJ99" s="264" t="b">
        <f t="shared" si="43"/>
        <v>0</v>
      </c>
      <c r="AK99" s="264" t="b">
        <f t="shared" si="44"/>
        <v>0</v>
      </c>
      <c r="AL99" s="264"/>
      <c r="AM99" s="264"/>
      <c r="AN99" s="75"/>
    </row>
    <row r="100" spans="1:40" s="6" customFormat="1" ht="11.25" x14ac:dyDescent="0.2">
      <c r="A100" s="56">
        <f t="shared" si="45"/>
        <v>43916</v>
      </c>
      <c r="B100" s="607">
        <v>25.343</v>
      </c>
      <c r="C100" s="388"/>
      <c r="D100" s="391">
        <f t="shared" si="24"/>
        <v>25.547816141865589</v>
      </c>
      <c r="E100" s="383">
        <f t="shared" si="46"/>
        <v>26.523441472990175</v>
      </c>
      <c r="F100" s="383">
        <f t="shared" si="25"/>
        <v>26.523452116674026</v>
      </c>
      <c r="G100" s="110">
        <f t="shared" si="47"/>
        <v>0.4696521553349392</v>
      </c>
      <c r="H100" s="412" t="b">
        <f>Wh_hp&gt;='2019'!Maxi_hp</f>
        <v>0</v>
      </c>
      <c r="I100" s="388">
        <f>IF(H100,Wh_hp,'2019'!Maxi_hp)</f>
        <v>55.827090198915265</v>
      </c>
      <c r="J100" s="85">
        <f>IF(H100,An,'2019'!An_max)</f>
        <v>2018</v>
      </c>
      <c r="K100" s="197">
        <f t="shared" si="26"/>
        <v>43916</v>
      </c>
      <c r="L100" s="147">
        <f>IF(t&lt;Tvie,1-EXP((T0-t)*PertePVj)+'2019'!Pspv,1-EXP((T0-t)*PertePVj)+Pspv)</f>
        <v>8.0169725947711878E-3</v>
      </c>
      <c r="M100" s="832"/>
      <c r="N100" s="832"/>
      <c r="O100" s="48">
        <f>IF(t&lt;Tnet,'2019'!Resal+('2019'!Salim-'2019'!Resal)*(1-EXP(('2019'!Tnet-t)/('2019'!Tau_j))),Resal+(Salim-Resal)*(1-EXP((Tnet-t)/(Tau_j))))*Salcycl</f>
        <v>3.678351212900114E-2</v>
      </c>
      <c r="P100" s="169">
        <f>(INDEX(Models!$BJ100:$BT100,,T100)*(1-R100)+INDEX(Models!$BJ100:$BT100,,T100+1)*R100-ERP_i)*Q100*Ramure*Pc/MaxiM</f>
        <v>1.6557664107102943E-6</v>
      </c>
      <c r="Q100" s="304">
        <f t="shared" si="27"/>
        <v>0.6</v>
      </c>
      <c r="R100" s="177">
        <f t="shared" si="28"/>
        <v>2.0377966749312915E-2</v>
      </c>
      <c r="S100" s="799">
        <f t="shared" si="29"/>
        <v>-1</v>
      </c>
      <c r="T100" s="176">
        <f t="shared" si="30"/>
        <v>5</v>
      </c>
      <c r="U100" s="250">
        <f t="shared" si="31"/>
        <v>-0.97962203325068709</v>
      </c>
      <c r="V100" s="382">
        <f t="shared" si="32"/>
        <v>53.961145328507449</v>
      </c>
      <c r="W100" s="58"/>
      <c r="X100" s="157">
        <f t="shared" si="33"/>
        <v>43916</v>
      </c>
      <c r="Y100" s="383">
        <f t="shared" si="34"/>
        <v>25.343</v>
      </c>
      <c r="Z100" s="383">
        <f t="shared" si="35"/>
        <v>25.547816141865589</v>
      </c>
      <c r="AA100" s="384">
        <f t="shared" si="36"/>
        <v>26.523441472990175</v>
      </c>
      <c r="AB100" s="197">
        <f t="shared" si="37"/>
        <v>43916</v>
      </c>
      <c r="AC100" s="424">
        <f>IF(OR(t&lt;Tnet,NoTnet),'2019'!Resal_s+('2019'!Salim-'2019'!Resal_s)*(1-EXP(('2019'!Tnet_s-t)/'2019'!Tau_j)),Resal_s+(Salim-Resal_s)*(1-EXP((Tnet_s-t)/Tau_j)))*Salcycl</f>
        <v>3.678351212900114E-2</v>
      </c>
      <c r="AD100" s="230">
        <f>(INDEX(Models!$BJ100:$BT100,,AH100)*(1-AF100)+INDEX(Models!$BJ100:$BT100,,AH100+1)*AF100-ERP_i)*AE100*Ramure*Pc/MaxiM</f>
        <v>1.6557664107102943E-6</v>
      </c>
      <c r="AE100" s="304">
        <f t="shared" si="38"/>
        <v>0.6</v>
      </c>
      <c r="AF100" s="177">
        <f t="shared" si="39"/>
        <v>2.0377966749312915E-2</v>
      </c>
      <c r="AG100" s="176">
        <f t="shared" si="40"/>
        <v>-1</v>
      </c>
      <c r="AH100" s="176">
        <f t="shared" si="41"/>
        <v>5</v>
      </c>
      <c r="AI100" s="224">
        <f t="shared" si="42"/>
        <v>-0.97962203325068709</v>
      </c>
      <c r="AJ100" s="264" t="b">
        <f t="shared" si="43"/>
        <v>0</v>
      </c>
      <c r="AK100" s="264" t="b">
        <f t="shared" si="44"/>
        <v>0</v>
      </c>
      <c r="AL100" s="264"/>
      <c r="AM100" s="264"/>
      <c r="AN100" s="75"/>
    </row>
    <row r="101" spans="1:40" s="6" customFormat="1" ht="11.25" x14ac:dyDescent="0.2">
      <c r="A101" s="56">
        <f t="shared" si="45"/>
        <v>43917</v>
      </c>
      <c r="B101" s="607">
        <v>49.832000000000001</v>
      </c>
      <c r="C101" s="388"/>
      <c r="D101" s="391">
        <f t="shared" si="24"/>
        <v>50.235693212982376</v>
      </c>
      <c r="E101" s="383">
        <f t="shared" si="46"/>
        <v>52.157435429670869</v>
      </c>
      <c r="F101" s="383">
        <f t="shared" si="25"/>
        <v>52.157507920574744</v>
      </c>
      <c r="G101" s="110">
        <f t="shared" si="47"/>
        <v>0.9187911338763487</v>
      </c>
      <c r="H101" s="412" t="b">
        <f>Wh_hp&gt;='2019'!Maxi_hp</f>
        <v>0</v>
      </c>
      <c r="I101" s="388">
        <f>IF(H101,Wh_hp,'2019'!Maxi_hp)</f>
        <v>54.360653644959861</v>
      </c>
      <c r="J101" s="85">
        <f>IF(H101,An,'2019'!An_max)</f>
        <v>2018</v>
      </c>
      <c r="K101" s="197">
        <f t="shared" si="26"/>
        <v>43917</v>
      </c>
      <c r="L101" s="147">
        <f>IF(t&lt;Tvie,1-EXP((T0-t)*PertePVj)+'2019'!Pspv,1-EXP((T0-t)*PertePVj)+Pspv)</f>
        <v>8.0359837231837039E-3</v>
      </c>
      <c r="M101" s="832"/>
      <c r="N101" s="832"/>
      <c r="O101" s="48">
        <f>IF(t&lt;Tnet,'2019'!Resal+('2019'!Salim-'2019'!Resal)*(1-EXP(('2019'!Tnet-t)/('2019'!Tau_j))),Resal+(Salim-Resal)*(1-EXP((Tnet-t)/(Tau_j))))*Salcycl</f>
        <v>3.6845028917876319E-2</v>
      </c>
      <c r="P101" s="169">
        <f>(INDEX(Models!$BJ101:$BT101,,T101)*(1-R101)+INDEX(Models!$BJ101:$BT101,,T101+1)*R101-ERP_i)*Q101*Ramure*Pc/MaxiM</f>
        <v>1.5722460858054853E-6</v>
      </c>
      <c r="Q101" s="304">
        <f t="shared" si="27"/>
        <v>0.6</v>
      </c>
      <c r="R101" s="177">
        <f t="shared" si="28"/>
        <v>2.1257288298977217E-2</v>
      </c>
      <c r="S101" s="799">
        <f t="shared" si="29"/>
        <v>-1</v>
      </c>
      <c r="T101" s="176">
        <f t="shared" si="30"/>
        <v>5</v>
      </c>
      <c r="U101" s="250">
        <f t="shared" si="31"/>
        <v>-0.97874271170102278</v>
      </c>
      <c r="V101" s="382">
        <f t="shared" si="32"/>
        <v>54.236473419575702</v>
      </c>
      <c r="W101" s="58"/>
      <c r="X101" s="157">
        <f t="shared" si="33"/>
        <v>43917</v>
      </c>
      <c r="Y101" s="383">
        <f t="shared" si="34"/>
        <v>49.832000000000001</v>
      </c>
      <c r="Z101" s="383">
        <f t="shared" si="35"/>
        <v>50.235693212982376</v>
      </c>
      <c r="AA101" s="384">
        <f t="shared" si="36"/>
        <v>52.157435429670869</v>
      </c>
      <c r="AB101" s="197">
        <f t="shared" si="37"/>
        <v>43917</v>
      </c>
      <c r="AC101" s="424">
        <f>IF(OR(t&lt;Tnet,NoTnet),'2019'!Resal_s+('2019'!Salim-'2019'!Resal_s)*(1-EXP(('2019'!Tnet_s-t)/'2019'!Tau_j)),Resal_s+(Salim-Resal_s)*(1-EXP((Tnet_s-t)/Tau_j)))*Salcycl</f>
        <v>3.6845028917876319E-2</v>
      </c>
      <c r="AD101" s="230">
        <f>(INDEX(Models!$BJ101:$BT101,,AH101)*(1-AF101)+INDEX(Models!$BJ101:$BT101,,AH101+1)*AF101-ERP_i)*AE101*Ramure*Pc/MaxiM</f>
        <v>1.5722460858054853E-6</v>
      </c>
      <c r="AE101" s="304">
        <f t="shared" si="38"/>
        <v>0.6</v>
      </c>
      <c r="AF101" s="177">
        <f t="shared" si="39"/>
        <v>2.1257288298977217E-2</v>
      </c>
      <c r="AG101" s="176">
        <f t="shared" si="40"/>
        <v>-1</v>
      </c>
      <c r="AH101" s="176">
        <f t="shared" si="41"/>
        <v>5</v>
      </c>
      <c r="AI101" s="224">
        <f t="shared" si="42"/>
        <v>-0.97874271170102278</v>
      </c>
      <c r="AJ101" s="264" t="b">
        <f t="shared" si="43"/>
        <v>0</v>
      </c>
      <c r="AK101" s="264" t="b">
        <f t="shared" si="44"/>
        <v>0</v>
      </c>
      <c r="AL101" s="264"/>
      <c r="AM101" s="264"/>
      <c r="AN101" s="75"/>
    </row>
    <row r="102" spans="1:40" s="6" customFormat="1" ht="11.25" x14ac:dyDescent="0.2">
      <c r="A102" s="56">
        <f t="shared" si="45"/>
        <v>43918</v>
      </c>
      <c r="B102" s="607">
        <v>50.048000000000002</v>
      </c>
      <c r="C102" s="388"/>
      <c r="D102" s="391">
        <f t="shared" si="24"/>
        <v>50.454409994362159</v>
      </c>
      <c r="E102" s="383">
        <f t="shared" si="46"/>
        <v>52.387879121253768</v>
      </c>
      <c r="F102" s="383">
        <f t="shared" si="25"/>
        <v>52.387948078976372</v>
      </c>
      <c r="G102" s="110">
        <f t="shared" si="47"/>
        <v>0.91822315918474662</v>
      </c>
      <c r="H102" s="412" t="b">
        <f>Wh_hp&gt;='2019'!Maxi_hp</f>
        <v>0</v>
      </c>
      <c r="I102" s="388">
        <f>IF(H102,Wh_hp,'2019'!Maxi_hp)</f>
        <v>55.663741564699173</v>
      </c>
      <c r="J102" s="85">
        <f>IF(H102,An,'2019'!An_max)</f>
        <v>2018</v>
      </c>
      <c r="K102" s="197">
        <f t="shared" si="26"/>
        <v>43918</v>
      </c>
      <c r="L102" s="147">
        <f>IF(t&lt;Tvie,1-EXP((T0-t)*PertePVj)+'2019'!Pspv,1-EXP((T0-t)*PertePVj)+Pspv)</f>
        <v>8.0549944872523316E-3</v>
      </c>
      <c r="M102" s="832"/>
      <c r="N102" s="832"/>
      <c r="O102" s="48">
        <f>IF(t&lt;Tnet,'2019'!Resal+('2019'!Salim-'2019'!Resal)*(1-EXP(('2019'!Tnet-t)/('2019'!Tau_j))),Resal+(Salim-Resal)*(1-EXP((Tnet-t)/(Tau_j))))*Salcycl</f>
        <v>3.6906802858281774E-2</v>
      </c>
      <c r="P102" s="169">
        <f>(INDEX(Models!$BJ102:$BT102,,T102)*(1-R102)+INDEX(Models!$BJ102:$BT102,,T102+1)*R102-ERP_i)*Q102*Ramure*Pc/MaxiM</f>
        <v>1.4904045895331185E-6</v>
      </c>
      <c r="Q102" s="304">
        <f t="shared" si="27"/>
        <v>0.6</v>
      </c>
      <c r="R102" s="177">
        <f t="shared" si="28"/>
        <v>2.2170070583363621E-2</v>
      </c>
      <c r="S102" s="799">
        <f t="shared" si="29"/>
        <v>-1</v>
      </c>
      <c r="T102" s="176">
        <f t="shared" si="30"/>
        <v>5</v>
      </c>
      <c r="U102" s="250">
        <f t="shared" si="31"/>
        <v>-0.97782992941663638</v>
      </c>
      <c r="V102" s="382">
        <f t="shared" si="32"/>
        <v>54.505259190290964</v>
      </c>
      <c r="W102" s="58"/>
      <c r="X102" s="157">
        <f t="shared" si="33"/>
        <v>43918</v>
      </c>
      <c r="Y102" s="383">
        <f t="shared" si="34"/>
        <v>50.048000000000002</v>
      </c>
      <c r="Z102" s="383">
        <f t="shared" si="35"/>
        <v>50.454409994362159</v>
      </c>
      <c r="AA102" s="384">
        <f t="shared" si="36"/>
        <v>52.387879121253768</v>
      </c>
      <c r="AB102" s="197">
        <f t="shared" si="37"/>
        <v>43918</v>
      </c>
      <c r="AC102" s="424">
        <f>IF(OR(t&lt;Tnet,NoTnet),'2019'!Resal_s+('2019'!Salim-'2019'!Resal_s)*(1-EXP(('2019'!Tnet_s-t)/'2019'!Tau_j)),Resal_s+(Salim-Resal_s)*(1-EXP((Tnet_s-t)/Tau_j)))*Salcycl</f>
        <v>3.6906802858281774E-2</v>
      </c>
      <c r="AD102" s="230">
        <f>(INDEX(Models!$BJ102:$BT102,,AH102)*(1-AF102)+INDEX(Models!$BJ102:$BT102,,AH102+1)*AF102-ERP_i)*AE102*Ramure*Pc/MaxiM</f>
        <v>1.4904045895331185E-6</v>
      </c>
      <c r="AE102" s="304">
        <f t="shared" si="38"/>
        <v>0.6</v>
      </c>
      <c r="AF102" s="177">
        <f t="shared" si="39"/>
        <v>2.2170070583363621E-2</v>
      </c>
      <c r="AG102" s="176">
        <f t="shared" si="40"/>
        <v>-1</v>
      </c>
      <c r="AH102" s="176">
        <f t="shared" si="41"/>
        <v>5</v>
      </c>
      <c r="AI102" s="224">
        <f t="shared" si="42"/>
        <v>-0.97782992941663638</v>
      </c>
      <c r="AJ102" s="264" t="b">
        <f t="shared" si="43"/>
        <v>0</v>
      </c>
      <c r="AK102" s="264" t="b">
        <f t="shared" si="44"/>
        <v>0</v>
      </c>
      <c r="AL102" s="264"/>
      <c r="AM102" s="264"/>
      <c r="AN102" s="75"/>
    </row>
    <row r="103" spans="1:40" s="6" customFormat="1" ht="11.25" x14ac:dyDescent="0.2">
      <c r="A103" s="56">
        <f t="shared" si="45"/>
        <v>43919</v>
      </c>
      <c r="B103" s="607">
        <v>33.572000000000003</v>
      </c>
      <c r="C103" s="388"/>
      <c r="D103" s="391">
        <f t="shared" si="24"/>
        <v>33.845266849947755</v>
      </c>
      <c r="E103" s="383">
        <f t="shared" si="46"/>
        <v>35.14451928171421</v>
      </c>
      <c r="F103" s="383">
        <f t="shared" si="25"/>
        <v>35.144541442063833</v>
      </c>
      <c r="G103" s="110">
        <f t="shared" si="47"/>
        <v>0.6129988276701549</v>
      </c>
      <c r="H103" s="412" t="b">
        <f>Wh_hp&gt;='2019'!Maxi_hp</f>
        <v>0</v>
      </c>
      <c r="I103" s="388">
        <f>IF(H103,Wh_hp,'2019'!Maxi_hp)</f>
        <v>56.745534114329011</v>
      </c>
      <c r="J103" s="85">
        <f>IF(H103,An,'2019'!An_max)</f>
        <v>2018</v>
      </c>
      <c r="K103" s="197">
        <f t="shared" si="26"/>
        <v>43919</v>
      </c>
      <c r="L103" s="147">
        <f>IF(t&lt;Tvie,1-EXP((T0-t)*PertePVj)+'2019'!Pspv,1-EXP((T0-t)*PertePVj)+Pspv)</f>
        <v>8.0740048869839542E-3</v>
      </c>
      <c r="M103" s="832"/>
      <c r="N103" s="832"/>
      <c r="O103" s="48">
        <f>IF(t&lt;Tnet,'2019'!Resal+('2019'!Salim-'2019'!Resal)*(1-EXP(('2019'!Tnet-t)/('2019'!Tau_j))),Resal+(Salim-Resal)*(1-EXP((Tnet-t)/(Tau_j))))*Salcycl</f>
        <v>3.6968849149757933E-2</v>
      </c>
      <c r="P103" s="169">
        <f>(INDEX(Models!$BJ103:$BT103,,T103)*(1-R103)+INDEX(Models!$BJ103:$BT103,,T103+1)*R103-ERP_i)*Q103*Ramure*Pc/MaxiM</f>
        <v>1.4101762396793064E-6</v>
      </c>
      <c r="Q103" s="304">
        <f t="shared" si="27"/>
        <v>0.6</v>
      </c>
      <c r="R103" s="177">
        <f t="shared" si="28"/>
        <v>2.3117444934981912E-2</v>
      </c>
      <c r="S103" s="799">
        <f t="shared" si="29"/>
        <v>-1</v>
      </c>
      <c r="T103" s="176">
        <f t="shared" si="30"/>
        <v>5</v>
      </c>
      <c r="U103" s="250">
        <f t="shared" si="31"/>
        <v>-0.97688255506501809</v>
      </c>
      <c r="V103" s="382">
        <f t="shared" si="32"/>
        <v>54.766783084937295</v>
      </c>
      <c r="W103" s="58"/>
      <c r="X103" s="157">
        <f t="shared" si="33"/>
        <v>43919</v>
      </c>
      <c r="Y103" s="383">
        <f t="shared" si="34"/>
        <v>33.572000000000003</v>
      </c>
      <c r="Z103" s="383">
        <f t="shared" si="35"/>
        <v>33.845266849947755</v>
      </c>
      <c r="AA103" s="384">
        <f t="shared" si="36"/>
        <v>35.14451928171421</v>
      </c>
      <c r="AB103" s="197">
        <f t="shared" si="37"/>
        <v>43919</v>
      </c>
      <c r="AC103" s="424">
        <f>IF(OR(t&lt;Tnet,NoTnet),'2019'!Resal_s+('2019'!Salim-'2019'!Resal_s)*(1-EXP(('2019'!Tnet_s-t)/'2019'!Tau_j)),Resal_s+(Salim-Resal_s)*(1-EXP((Tnet_s-t)/Tau_j)))*Salcycl</f>
        <v>3.6968849149757933E-2</v>
      </c>
      <c r="AD103" s="230">
        <f>(INDEX(Models!$BJ103:$BT103,,AH103)*(1-AF103)+INDEX(Models!$BJ103:$BT103,,AH103+1)*AF103-ERP_i)*AE103*Ramure*Pc/MaxiM</f>
        <v>1.4101762396793064E-6</v>
      </c>
      <c r="AE103" s="304">
        <f t="shared" si="38"/>
        <v>0.6</v>
      </c>
      <c r="AF103" s="177">
        <f t="shared" si="39"/>
        <v>2.3117444934981912E-2</v>
      </c>
      <c r="AG103" s="176">
        <f t="shared" si="40"/>
        <v>-1</v>
      </c>
      <c r="AH103" s="176">
        <f t="shared" si="41"/>
        <v>5</v>
      </c>
      <c r="AI103" s="224">
        <f t="shared" si="42"/>
        <v>-0.97688255506501809</v>
      </c>
      <c r="AJ103" s="264" t="b">
        <f t="shared" si="43"/>
        <v>0</v>
      </c>
      <c r="AK103" s="264" t="b">
        <f t="shared" si="44"/>
        <v>0</v>
      </c>
      <c r="AL103" s="264"/>
      <c r="AM103" s="264"/>
      <c r="AN103" s="75"/>
    </row>
    <row r="104" spans="1:40" s="6" customFormat="1" ht="11.25" x14ac:dyDescent="0.2">
      <c r="A104" s="56">
        <f t="shared" si="45"/>
        <v>43920</v>
      </c>
      <c r="B104" s="607">
        <v>16.893000000000001</v>
      </c>
      <c r="C104" s="388"/>
      <c r="D104" s="391">
        <f t="shared" si="24"/>
        <v>17.030830767542344</v>
      </c>
      <c r="E104" s="383">
        <f t="shared" si="46"/>
        <v>17.685755202803392</v>
      </c>
      <c r="F104" s="383">
        <f t="shared" si="25"/>
        <v>17.685755439363874</v>
      </c>
      <c r="G104" s="110">
        <f t="shared" si="47"/>
        <v>0.30703158316296697</v>
      </c>
      <c r="H104" s="412" t="b">
        <f>Wh_hp&gt;='2019'!Maxi_hp</f>
        <v>0</v>
      </c>
      <c r="I104" s="388">
        <f>IF(H104,Wh_hp,'2019'!Maxi_hp)</f>
        <v>49.839250107991163</v>
      </c>
      <c r="J104" s="85">
        <f>IF(H104,An,'2019'!An_max)</f>
        <v>2018</v>
      </c>
      <c r="K104" s="197">
        <f t="shared" si="26"/>
        <v>43920</v>
      </c>
      <c r="L104" s="147">
        <f>IF(t&lt;Tvie,1-EXP((T0-t)*PertePVj)+'2019'!Pspv,1-EXP((T0-t)*PertePVj)+Pspv)</f>
        <v>8.0930149223855663E-3</v>
      </c>
      <c r="M104" s="832"/>
      <c r="N104" s="832"/>
      <c r="O104" s="48">
        <f>IF(t&lt;Tnet,'2019'!Resal+('2019'!Salim-'2019'!Resal)*(1-EXP(('2019'!Tnet-t)/('2019'!Tau_j))),Resal+(Salim-Resal)*(1-EXP((Tnet-t)/(Tau_j))))*Salcycl</f>
        <v>3.7031182878593402E-2</v>
      </c>
      <c r="P104" s="169">
        <f>(INDEX(Models!$BJ104:$BT104,,T104)*(1-R104)+INDEX(Models!$BJ104:$BT104,,T104+1)*R104-ERP_i)*Q104*Ramure*Pc/MaxiM</f>
        <v>1.3314918254606512E-6</v>
      </c>
      <c r="Q104" s="304">
        <f t="shared" si="27"/>
        <v>0.6</v>
      </c>
      <c r="R104" s="177">
        <f t="shared" si="28"/>
        <v>2.4100569418646134E-2</v>
      </c>
      <c r="S104" s="799">
        <f t="shared" si="29"/>
        <v>-1</v>
      </c>
      <c r="T104" s="176">
        <f t="shared" si="30"/>
        <v>5</v>
      </c>
      <c r="U104" s="250">
        <f t="shared" si="31"/>
        <v>-0.97589943058135387</v>
      </c>
      <c r="V104" s="382">
        <f t="shared" si="32"/>
        <v>55.020325788759571</v>
      </c>
      <c r="W104" s="58"/>
      <c r="X104" s="157">
        <f t="shared" si="33"/>
        <v>43920</v>
      </c>
      <c r="Y104" s="383">
        <f t="shared" si="34"/>
        <v>16.893000000000001</v>
      </c>
      <c r="Z104" s="383">
        <f t="shared" si="35"/>
        <v>17.030830767542344</v>
      </c>
      <c r="AA104" s="384">
        <f t="shared" si="36"/>
        <v>17.685755202803392</v>
      </c>
      <c r="AB104" s="197">
        <f t="shared" si="37"/>
        <v>43920</v>
      </c>
      <c r="AC104" s="424">
        <f>IF(OR(t&lt;Tnet,NoTnet),'2019'!Resal_s+('2019'!Salim-'2019'!Resal_s)*(1-EXP(('2019'!Tnet_s-t)/'2019'!Tau_j)),Resal_s+(Salim-Resal_s)*(1-EXP((Tnet_s-t)/Tau_j)))*Salcycl</f>
        <v>3.7031182878593402E-2</v>
      </c>
      <c r="AD104" s="230">
        <f>(INDEX(Models!$BJ104:$BT104,,AH104)*(1-AF104)+INDEX(Models!$BJ104:$BT104,,AH104+1)*AF104-ERP_i)*AE104*Ramure*Pc/MaxiM</f>
        <v>1.3314918254606512E-6</v>
      </c>
      <c r="AE104" s="304">
        <f t="shared" si="38"/>
        <v>0.6</v>
      </c>
      <c r="AF104" s="177">
        <f t="shared" si="39"/>
        <v>2.4100569418646134E-2</v>
      </c>
      <c r="AG104" s="176">
        <f t="shared" si="40"/>
        <v>-1</v>
      </c>
      <c r="AH104" s="176">
        <f t="shared" si="41"/>
        <v>5</v>
      </c>
      <c r="AI104" s="224">
        <f t="shared" si="42"/>
        <v>-0.97589943058135387</v>
      </c>
      <c r="AJ104" s="264" t="b">
        <f t="shared" si="43"/>
        <v>0</v>
      </c>
      <c r="AK104" s="264" t="b">
        <f t="shared" si="44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5"/>
        <v>43921</v>
      </c>
      <c r="B105" s="607">
        <v>42.956000000000003</v>
      </c>
      <c r="C105" s="388"/>
      <c r="D105" s="391">
        <f t="shared" si="24"/>
        <v>43.3073099635007</v>
      </c>
      <c r="E105" s="383">
        <f t="shared" si="46"/>
        <v>44.975627758254554</v>
      </c>
      <c r="F105" s="383">
        <f t="shared" si="25"/>
        <v>44.975666220842946</v>
      </c>
      <c r="G105" s="110">
        <f t="shared" si="47"/>
        <v>0.77727046214158579</v>
      </c>
      <c r="H105" s="412" t="b">
        <f>Wh_hp&gt;='2019'!Maxi_hp</f>
        <v>1</v>
      </c>
      <c r="I105" s="388">
        <f>IF(H105,Wh_hp,'2019'!Maxi_hp)</f>
        <v>44.975666220842946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8.1120245934642732E-3</v>
      </c>
      <c r="M105" s="832"/>
      <c r="N105" s="832"/>
      <c r="O105" s="48">
        <f>IF(t&lt;Tnet,'2019'!Resal+('2019'!Salim-'2019'!Resal)*(1-EXP(('2019'!Tnet-t)/('2019'!Tau_j))),Resal+(Salim-Resal)*(1-EXP((Tnet-t)/(Tau_j))))*Salcycl</f>
        <v>3.7093818983942095E-2</v>
      </c>
      <c r="P105" s="169">
        <f>(INDEX(Models!$BJ105:$BT105,,T105)*(1-R105)+INDEX(Models!$BJ105:$BT105,,T105+1)*R105-ERP_i)*Q105*Ramure*Pc/MaxiM</f>
        <v>1.2542788604106987E-6</v>
      </c>
      <c r="Q105" s="304">
        <f t="shared" si="27"/>
        <v>0.6</v>
      </c>
      <c r="R105" s="177">
        <f t="shared" si="28"/>
        <v>2.5120628487931396E-2</v>
      </c>
      <c r="S105" s="799">
        <f t="shared" si="29"/>
        <v>-1</v>
      </c>
      <c r="T105" s="176">
        <f t="shared" si="30"/>
        <v>5</v>
      </c>
      <c r="U105" s="250">
        <f t="shared" si="31"/>
        <v>-0.9748793715120686</v>
      </c>
      <c r="V105" s="382">
        <f t="shared" si="32"/>
        <v>55.265168237867108</v>
      </c>
      <c r="W105" s="58"/>
      <c r="X105" s="157">
        <f t="shared" si="33"/>
        <v>43921</v>
      </c>
      <c r="Y105" s="383">
        <f t="shared" si="34"/>
        <v>42.956000000000003</v>
      </c>
      <c r="Z105" s="383">
        <f t="shared" si="35"/>
        <v>43.3073099635007</v>
      </c>
      <c r="AA105" s="384">
        <f t="shared" si="36"/>
        <v>44.975627758254554</v>
      </c>
      <c r="AB105" s="197">
        <f t="shared" si="37"/>
        <v>43921</v>
      </c>
      <c r="AC105" s="424">
        <f>IF(OR(t&lt;Tnet,NoTnet),'2019'!Resal_s+('2019'!Salim-'2019'!Resal_s)*(1-EXP(('2019'!Tnet_s-t)/'2019'!Tau_j)),Resal_s+(Salim-Resal_s)*(1-EXP((Tnet_s-t)/Tau_j)))*Salcycl</f>
        <v>3.7093818983942095E-2</v>
      </c>
      <c r="AD105" s="230">
        <f>(INDEX(Models!$BJ105:$BT105,,AH105)*(1-AF105)+INDEX(Models!$BJ105:$BT105,,AH105+1)*AF105-ERP_i)*AE105*Ramure*Pc/MaxiM</f>
        <v>1.2542788604106987E-6</v>
      </c>
      <c r="AE105" s="304">
        <f t="shared" si="38"/>
        <v>0.6</v>
      </c>
      <c r="AF105" s="177">
        <f t="shared" si="39"/>
        <v>2.5120628487931396E-2</v>
      </c>
      <c r="AG105" s="176">
        <f t="shared" si="40"/>
        <v>-1</v>
      </c>
      <c r="AH105" s="176">
        <f t="shared" si="41"/>
        <v>5</v>
      </c>
      <c r="AI105" s="224">
        <f t="shared" si="42"/>
        <v>-0.9748793715120686</v>
      </c>
      <c r="AJ105" s="264" t="b">
        <f t="shared" si="43"/>
        <v>0</v>
      </c>
      <c r="AK105" s="264" t="b">
        <f t="shared" si="44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5"/>
        <v>43922</v>
      </c>
      <c r="B106" s="607">
        <v>43.039000000000001</v>
      </c>
      <c r="C106" s="388"/>
      <c r="D106" s="391">
        <f t="shared" si="24"/>
        <v>43.391820362358892</v>
      </c>
      <c r="E106" s="383">
        <f t="shared" si="46"/>
        <v>45.066340096342934</v>
      </c>
      <c r="F106" s="383">
        <f t="shared" si="25"/>
        <v>45.066376170194189</v>
      </c>
      <c r="G106" s="110">
        <f t="shared" si="47"/>
        <v>0.77546891800278706</v>
      </c>
      <c r="H106" s="412" t="b">
        <f>Wh_hp&gt;='2019'!Maxi_hp</f>
        <v>1</v>
      </c>
      <c r="I106" s="388">
        <f>IF(H106,Wh_hp,'2019'!Maxi_hp)</f>
        <v>45.066376170194189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8.1310339002268472E-3</v>
      </c>
      <c r="M106" s="832"/>
      <c r="N106" s="832"/>
      <c r="O106" s="48">
        <f>IF(t&lt;Tnet,'2019'!Resal+('2019'!Salim-'2019'!Resal)*(1-EXP(('2019'!Tnet-t)/('2019'!Tau_j))),Resal+(Salim-Resal)*(1-EXP((Tnet-t)/(Tau_j))))*Salcycl</f>
        <v>3.7156772225218453E-2</v>
      </c>
      <c r="P106" s="169">
        <f>(INDEX(Models!$BJ106:$BT106,,T106)*(1-R106)+INDEX(Models!$BJ106:$BT106,,T106+1)*R106-ERP_i)*Q106*Ramure*Pc/MaxiM</f>
        <v>1.1784618103039194E-6</v>
      </c>
      <c r="Q106" s="304">
        <f t="shared" si="27"/>
        <v>0.6</v>
      </c>
      <c r="R106" s="177">
        <f t="shared" si="28"/>
        <v>2.6178832537370744E-2</v>
      </c>
      <c r="S106" s="799">
        <f t="shared" si="29"/>
        <v>-1</v>
      </c>
      <c r="T106" s="176">
        <f t="shared" si="30"/>
        <v>5</v>
      </c>
      <c r="U106" s="250">
        <f t="shared" si="31"/>
        <v>-0.97382116746262926</v>
      </c>
      <c r="V106" s="382">
        <f t="shared" si="32"/>
        <v>55.500591618852312</v>
      </c>
      <c r="W106" s="58"/>
      <c r="X106" s="157">
        <f t="shared" si="33"/>
        <v>43922</v>
      </c>
      <c r="Y106" s="383">
        <f t="shared" si="34"/>
        <v>43.039000000000001</v>
      </c>
      <c r="Z106" s="383">
        <f t="shared" si="35"/>
        <v>43.391820362358892</v>
      </c>
      <c r="AA106" s="384">
        <f t="shared" si="36"/>
        <v>45.066340096342934</v>
      </c>
      <c r="AB106" s="197">
        <f t="shared" si="37"/>
        <v>43922</v>
      </c>
      <c r="AC106" s="424">
        <f>IF(OR(t&lt;Tnet,NoTnet),'2019'!Resal_s+('2019'!Salim-'2019'!Resal_s)*(1-EXP(('2019'!Tnet_s-t)/'2019'!Tau_j)),Resal_s+(Salim-Resal_s)*(1-EXP((Tnet_s-t)/Tau_j)))*Salcycl</f>
        <v>3.7156772225218453E-2</v>
      </c>
      <c r="AD106" s="230">
        <f>(INDEX(Models!$BJ106:$BT106,,AH106)*(1-AF106)+INDEX(Models!$BJ106:$BT106,,AH106+1)*AF106-ERP_i)*AE106*Ramure*Pc/MaxiM</f>
        <v>1.1784618103039194E-6</v>
      </c>
      <c r="AE106" s="304">
        <f t="shared" si="38"/>
        <v>0.6</v>
      </c>
      <c r="AF106" s="177">
        <f t="shared" si="39"/>
        <v>2.6178832537370744E-2</v>
      </c>
      <c r="AG106" s="176">
        <f t="shared" si="40"/>
        <v>-1</v>
      </c>
      <c r="AH106" s="176">
        <f t="shared" si="41"/>
        <v>5</v>
      </c>
      <c r="AI106" s="224">
        <f t="shared" si="42"/>
        <v>-0.97382116746262926</v>
      </c>
      <c r="AJ106" s="264" t="b">
        <f t="shared" si="43"/>
        <v>0</v>
      </c>
      <c r="AK106" s="264" t="b">
        <f t="shared" si="44"/>
        <v>0</v>
      </c>
      <c r="AL106" s="264"/>
      <c r="AM106" s="264"/>
      <c r="AN106" s="75"/>
    </row>
    <row r="107" spans="1:40" s="6" customFormat="1" ht="11.25" x14ac:dyDescent="0.2">
      <c r="A107" s="56">
        <f t="shared" si="45"/>
        <v>43923</v>
      </c>
      <c r="B107" s="607">
        <v>26.844000000000001</v>
      </c>
      <c r="C107" s="388"/>
      <c r="D107" s="391">
        <f t="shared" si="24"/>
        <v>27.064577465865852</v>
      </c>
      <c r="E107" s="383">
        <f t="shared" si="46"/>
        <v>28.110865485803259</v>
      </c>
      <c r="F107" s="383">
        <f t="shared" si="25"/>
        <v>28.110873541012758</v>
      </c>
      <c r="G107" s="110">
        <f t="shared" si="47"/>
        <v>0.48170113715219015</v>
      </c>
      <c r="H107" s="412" t="b">
        <f>Wh_hp&gt;='2019'!Maxi_hp</f>
        <v>1</v>
      </c>
      <c r="I107" s="388">
        <f>IF(H107,Wh_hp,'2019'!Maxi_hp)</f>
        <v>28.110873541012758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8.1500428426805049E-3</v>
      </c>
      <c r="M107" s="832"/>
      <c r="N107" s="832"/>
      <c r="O107" s="48">
        <f>IF(t&lt;Tnet,'2019'!Resal+('2019'!Salim-'2019'!Resal)*(1-EXP(('2019'!Tnet-t)/('2019'!Tau_j))),Resal+(Salim-Resal)*(1-EXP((Tnet-t)/(Tau_j))))*Salcycl</f>
        <v>3.7220057150706129E-2</v>
      </c>
      <c r="P107" s="169">
        <f>(INDEX(Models!$BJ107:$BT107,,T107)*(1-R107)+INDEX(Models!$BJ107:$BT107,,T107+1)*R107-ERP_i)*Q107*Ramure*Pc/MaxiM</f>
        <v>1.1039310583272073E-6</v>
      </c>
      <c r="Q107" s="304">
        <f t="shared" si="27"/>
        <v>0.6</v>
      </c>
      <c r="R107" s="177">
        <f t="shared" si="28"/>
        <v>2.7276417342184334E-2</v>
      </c>
      <c r="S107" s="799">
        <f t="shared" si="29"/>
        <v>-1</v>
      </c>
      <c r="T107" s="176">
        <f t="shared" si="30"/>
        <v>5</v>
      </c>
      <c r="U107" s="250">
        <f t="shared" si="31"/>
        <v>-0.97272358265781567</v>
      </c>
      <c r="V107" s="382">
        <f t="shared" si="32"/>
        <v>55.727454198997151</v>
      </c>
      <c r="W107" s="58"/>
      <c r="X107" s="157">
        <f t="shared" si="33"/>
        <v>43923</v>
      </c>
      <c r="Y107" s="383">
        <f t="shared" si="34"/>
        <v>26.844000000000001</v>
      </c>
      <c r="Z107" s="383">
        <f t="shared" si="35"/>
        <v>27.064577465865852</v>
      </c>
      <c r="AA107" s="384">
        <f t="shared" si="36"/>
        <v>28.110865485803259</v>
      </c>
      <c r="AB107" s="197">
        <f t="shared" si="37"/>
        <v>43923</v>
      </c>
      <c r="AC107" s="424">
        <f>IF(OR(t&lt;Tnet,NoTnet),'2019'!Resal_s+('2019'!Salim-'2019'!Resal_s)*(1-EXP(('2019'!Tnet_s-t)/'2019'!Tau_j)),Resal_s+(Salim-Resal_s)*(1-EXP((Tnet_s-t)/Tau_j)))*Salcycl</f>
        <v>3.7220057150706129E-2</v>
      </c>
      <c r="AD107" s="230">
        <f>(INDEX(Models!$BJ107:$BT107,,AH107)*(1-AF107)+INDEX(Models!$BJ107:$BT107,,AH107+1)*AF107-ERP_i)*AE107*Ramure*Pc/MaxiM</f>
        <v>1.1039310583272073E-6</v>
      </c>
      <c r="AE107" s="304">
        <f t="shared" si="38"/>
        <v>0.6</v>
      </c>
      <c r="AF107" s="177">
        <f t="shared" si="39"/>
        <v>2.7276417342184334E-2</v>
      </c>
      <c r="AG107" s="176">
        <f t="shared" si="40"/>
        <v>-1</v>
      </c>
      <c r="AH107" s="176">
        <f t="shared" si="41"/>
        <v>5</v>
      </c>
      <c r="AI107" s="224">
        <f t="shared" si="42"/>
        <v>-0.97272358265781567</v>
      </c>
      <c r="AJ107" s="264" t="b">
        <f t="shared" si="43"/>
        <v>0</v>
      </c>
      <c r="AK107" s="264" t="b">
        <f t="shared" si="44"/>
        <v>0</v>
      </c>
      <c r="AL107" s="264"/>
      <c r="AM107" s="264"/>
      <c r="AN107" s="75"/>
    </row>
    <row r="108" spans="1:40" s="6" customFormat="1" ht="11.25" x14ac:dyDescent="0.2">
      <c r="A108" s="56">
        <f t="shared" si="45"/>
        <v>43924</v>
      </c>
      <c r="B108" s="607">
        <v>55.889000000000003</v>
      </c>
      <c r="C108" s="388"/>
      <c r="D108" s="391">
        <f t="shared" si="24"/>
        <v>56.349320496666216</v>
      </c>
      <c r="E108" s="383">
        <f t="shared" si="46"/>
        <v>58.531594196780063</v>
      </c>
      <c r="F108" s="383">
        <f t="shared" si="25"/>
        <v>58.531654511187028</v>
      </c>
      <c r="G108" s="110">
        <f t="shared" si="47"/>
        <v>0.99896040491007776</v>
      </c>
      <c r="H108" s="412" t="b">
        <f>Wh_hp&gt;='2019'!Maxi_hp</f>
        <v>1</v>
      </c>
      <c r="I108" s="388">
        <f>IF(H108,Wh_hp,'2019'!Maxi_hp)</f>
        <v>58.531654511187028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8.1690514208321297E-3</v>
      </c>
      <c r="M108" s="832"/>
      <c r="N108" s="832"/>
      <c r="O108" s="48">
        <f>IF(t&lt;Tnet,'2019'!Resal+('2019'!Salim-'2019'!Resal)*(1-EXP(('2019'!Tnet-t)/('2019'!Tau_j))),Resal+(Salim-Resal)*(1-EXP((Tnet-t)/(Tau_j))))*Salcycl</f>
        <v>3.7283688067288254E-2</v>
      </c>
      <c r="P108" s="169">
        <f>(INDEX(Models!$BJ108:$BT108,,T108)*(1-R108)+INDEX(Models!$BJ108:$BT108,,T108+1)*R108-ERP_i)*Q108*Ramure*Pc/MaxiM</f>
        <v>1.0319905640701202E-6</v>
      </c>
      <c r="Q108" s="304">
        <f t="shared" si="27"/>
        <v>0.6</v>
      </c>
      <c r="R108" s="177">
        <f t="shared" si="28"/>
        <v>2.841464337703703E-2</v>
      </c>
      <c r="S108" s="799">
        <f t="shared" si="29"/>
        <v>-1</v>
      </c>
      <c r="T108" s="176">
        <f t="shared" si="30"/>
        <v>5</v>
      </c>
      <c r="U108" s="250">
        <f t="shared" si="31"/>
        <v>-0.97158535662296297</v>
      </c>
      <c r="V108" s="382">
        <f t="shared" si="32"/>
        <v>55.94716230957409</v>
      </c>
      <c r="W108" s="58"/>
      <c r="X108" s="157">
        <f t="shared" si="33"/>
        <v>43924</v>
      </c>
      <c r="Y108" s="383">
        <f t="shared" si="34"/>
        <v>55.889000000000003</v>
      </c>
      <c r="Z108" s="383">
        <f t="shared" si="35"/>
        <v>56.349320496666216</v>
      </c>
      <c r="AA108" s="384">
        <f t="shared" si="36"/>
        <v>58.531594196780063</v>
      </c>
      <c r="AB108" s="197">
        <f t="shared" si="37"/>
        <v>43924</v>
      </c>
      <c r="AC108" s="424">
        <f>IF(OR(t&lt;Tnet,NoTnet),'2019'!Resal_s+('2019'!Salim-'2019'!Resal_s)*(1-EXP(('2019'!Tnet_s-t)/'2019'!Tau_j)),Resal_s+(Salim-Resal_s)*(1-EXP((Tnet_s-t)/Tau_j)))*Salcycl</f>
        <v>3.7283688067288254E-2</v>
      </c>
      <c r="AD108" s="230">
        <f>(INDEX(Models!$BJ108:$BT108,,AH108)*(1-AF108)+INDEX(Models!$BJ108:$BT108,,AH108+1)*AF108-ERP_i)*AE108*Ramure*Pc/MaxiM</f>
        <v>1.0319905640701202E-6</v>
      </c>
      <c r="AE108" s="304">
        <f t="shared" si="38"/>
        <v>0.6</v>
      </c>
      <c r="AF108" s="177">
        <f t="shared" si="39"/>
        <v>2.841464337703703E-2</v>
      </c>
      <c r="AG108" s="176">
        <f t="shared" si="40"/>
        <v>-1</v>
      </c>
      <c r="AH108" s="176">
        <f t="shared" si="41"/>
        <v>5</v>
      </c>
      <c r="AI108" s="224">
        <f t="shared" si="42"/>
        <v>-0.97158535662296297</v>
      </c>
      <c r="AJ108" s="264" t="b">
        <f t="shared" si="43"/>
        <v>0</v>
      </c>
      <c r="AK108" s="264" t="b">
        <f t="shared" si="44"/>
        <v>0</v>
      </c>
      <c r="AL108" s="264"/>
      <c r="AM108" s="264"/>
      <c r="AN108" s="75"/>
    </row>
    <row r="109" spans="1:40" s="6" customFormat="1" ht="11.25" x14ac:dyDescent="0.2">
      <c r="A109" s="56">
        <f t="shared" si="45"/>
        <v>43925</v>
      </c>
      <c r="B109" s="607">
        <v>57.887999999999998</v>
      </c>
      <c r="C109" s="388"/>
      <c r="D109" s="391">
        <f t="shared" si="24"/>
        <v>58.365903498478019</v>
      </c>
      <c r="E109" s="383">
        <f t="shared" si="46"/>
        <v>60.630304655086285</v>
      </c>
      <c r="F109" s="383">
        <f t="shared" si="25"/>
        <v>60.630362862646294</v>
      </c>
      <c r="G109" s="110">
        <f t="shared" si="47"/>
        <v>1.0307725406236437</v>
      </c>
      <c r="H109" s="412" t="b">
        <f>Wh_hp&gt;='2019'!Maxi_hp</f>
        <v>1</v>
      </c>
      <c r="I109" s="388">
        <f>IF(H109,Wh_hp,'2019'!Maxi_hp)</f>
        <v>60.630362862646294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8.1880596346886048E-3</v>
      </c>
      <c r="M109" s="832"/>
      <c r="N109" s="832"/>
      <c r="O109" s="48">
        <f>IF(t&lt;Tnet,'2019'!Resal+('2019'!Salim-'2019'!Resal)*(1-EXP(('2019'!Tnet-t)/('2019'!Tau_j))),Resal+(Salim-Resal)*(1-EXP((Tnet-t)/(Tau_j))))*Salcycl</f>
        <v>3.7347679011180857E-2</v>
      </c>
      <c r="P109" s="169">
        <f>(INDEX(Models!$BJ109:$BT109,,T109)*(1-R109)+INDEX(Models!$BJ109:$BT109,,T109+1)*R109-ERP_i)*Q109*Ramure*Pc/MaxiM</f>
        <v>9.6003977640167869E-7</v>
      </c>
      <c r="Q109" s="304">
        <f t="shared" si="27"/>
        <v>0.6</v>
      </c>
      <c r="R109" s="177">
        <f t="shared" si="28"/>
        <v>2.9594795005055685E-2</v>
      </c>
      <c r="S109" s="799">
        <f t="shared" si="29"/>
        <v>-1</v>
      </c>
      <c r="T109" s="176">
        <f t="shared" si="30"/>
        <v>5</v>
      </c>
      <c r="U109" s="250">
        <f t="shared" si="31"/>
        <v>-0.97040520499494431</v>
      </c>
      <c r="V109" s="382">
        <f t="shared" si="32"/>
        <v>56.15981966785445</v>
      </c>
      <c r="W109" s="58"/>
      <c r="X109" s="157">
        <f t="shared" si="33"/>
        <v>43925</v>
      </c>
      <c r="Y109" s="383">
        <f t="shared" si="34"/>
        <v>57.887999999999998</v>
      </c>
      <c r="Z109" s="383">
        <f t="shared" si="35"/>
        <v>58.365903498478019</v>
      </c>
      <c r="AA109" s="384">
        <f t="shared" si="36"/>
        <v>60.630304655086285</v>
      </c>
      <c r="AB109" s="197">
        <f t="shared" si="37"/>
        <v>43925</v>
      </c>
      <c r="AC109" s="424">
        <f>IF(OR(t&lt;Tnet,NoTnet),'2019'!Resal_s+('2019'!Salim-'2019'!Resal_s)*(1-EXP(('2019'!Tnet_s-t)/'2019'!Tau_j)),Resal_s+(Salim-Resal_s)*(1-EXP((Tnet_s-t)/Tau_j)))*Salcycl</f>
        <v>3.7347679011180857E-2</v>
      </c>
      <c r="AD109" s="230">
        <f>(INDEX(Models!$BJ109:$BT109,,AH109)*(1-AF109)+INDEX(Models!$BJ109:$BT109,,AH109+1)*AF109-ERP_i)*AE109*Ramure*Pc/MaxiM</f>
        <v>9.6003977640167869E-7</v>
      </c>
      <c r="AE109" s="304">
        <f t="shared" si="38"/>
        <v>0.6</v>
      </c>
      <c r="AF109" s="177">
        <f t="shared" si="39"/>
        <v>2.9594795005055685E-2</v>
      </c>
      <c r="AG109" s="176">
        <f t="shared" si="40"/>
        <v>-1</v>
      </c>
      <c r="AH109" s="176">
        <f t="shared" si="41"/>
        <v>5</v>
      </c>
      <c r="AI109" s="224">
        <f t="shared" si="42"/>
        <v>-0.97040520499494431</v>
      </c>
      <c r="AJ109" s="264" t="b">
        <f t="shared" si="43"/>
        <v>0</v>
      </c>
      <c r="AK109" s="264" t="b">
        <f t="shared" si="44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5"/>
        <v>43926</v>
      </c>
      <c r="B110" s="607">
        <v>58.99</v>
      </c>
      <c r="C110" s="388"/>
      <c r="D110" s="391">
        <f t="shared" si="24"/>
        <v>59.478141117993538</v>
      </c>
      <c r="E110" s="383">
        <f t="shared" si="46"/>
        <v>61.789824742689035</v>
      </c>
      <c r="F110" s="383">
        <f t="shared" si="25"/>
        <v>61.789879611435509</v>
      </c>
      <c r="G110" s="110">
        <f t="shared" si="47"/>
        <v>1.0465616160922917</v>
      </c>
      <c r="H110" s="412" t="b">
        <f>Wh_hp&gt;='2019'!Maxi_hp</f>
        <v>1</v>
      </c>
      <c r="I110" s="388">
        <f>IF(H110,Wh_hp,'2019'!Maxi_hp)</f>
        <v>61.789879611435509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8.2070674842570357E-3</v>
      </c>
      <c r="M110" s="832"/>
      <c r="N110" s="832"/>
      <c r="O110" s="48">
        <f>IF(t&lt;Tnet,'2019'!Resal+('2019'!Salim-'2019'!Resal)*(1-EXP(('2019'!Tnet-t)/('2019'!Tau_j))),Resal+(Salim-Resal)*(1-EXP((Tnet-t)/(Tau_j))))*Salcycl</f>
        <v>3.741204371952863E-2</v>
      </c>
      <c r="P110" s="169">
        <f>(INDEX(Models!$BJ110:$BT110,,T110)*(1-R110)+INDEX(Models!$BJ110:$BT110,,T110+1)*R110-ERP_i)*Q110*Ramure*Pc/MaxiM</f>
        <v>8.8798921148272741E-7</v>
      </c>
      <c r="Q110" s="304">
        <f t="shared" si="27"/>
        <v>0.6</v>
      </c>
      <c r="R110" s="177">
        <f t="shared" si="28"/>
        <v>3.0818179528095957E-2</v>
      </c>
      <c r="S110" s="799">
        <f t="shared" si="29"/>
        <v>-1</v>
      </c>
      <c r="T110" s="176">
        <f t="shared" si="30"/>
        <v>5</v>
      </c>
      <c r="U110" s="250">
        <f t="shared" si="31"/>
        <v>-0.96918182047190404</v>
      </c>
      <c r="V110" s="382">
        <f t="shared" si="32"/>
        <v>56.365529838806864</v>
      </c>
      <c r="W110" s="58"/>
      <c r="X110" s="157">
        <f t="shared" si="33"/>
        <v>43926</v>
      </c>
      <c r="Y110" s="383">
        <f t="shared" si="34"/>
        <v>58.99</v>
      </c>
      <c r="Z110" s="383">
        <f t="shared" si="35"/>
        <v>59.478141117993538</v>
      </c>
      <c r="AA110" s="384">
        <f t="shared" si="36"/>
        <v>61.789824742689035</v>
      </c>
      <c r="AB110" s="197">
        <f t="shared" si="37"/>
        <v>43926</v>
      </c>
      <c r="AC110" s="424">
        <f>IF(OR(t&lt;Tnet,NoTnet),'2019'!Resal_s+('2019'!Salim-'2019'!Resal_s)*(1-EXP(('2019'!Tnet_s-t)/'2019'!Tau_j)),Resal_s+(Salim-Resal_s)*(1-EXP((Tnet_s-t)/Tau_j)))*Salcycl</f>
        <v>3.741204371952863E-2</v>
      </c>
      <c r="AD110" s="230">
        <f>(INDEX(Models!$BJ110:$BT110,,AH110)*(1-AF110)+INDEX(Models!$BJ110:$BT110,,AH110+1)*AF110-ERP_i)*AE110*Ramure*Pc/MaxiM</f>
        <v>8.8798921148272741E-7</v>
      </c>
      <c r="AE110" s="304">
        <f t="shared" si="38"/>
        <v>0.6</v>
      </c>
      <c r="AF110" s="177">
        <f t="shared" si="39"/>
        <v>3.0818179528095957E-2</v>
      </c>
      <c r="AG110" s="176">
        <f t="shared" si="40"/>
        <v>-1</v>
      </c>
      <c r="AH110" s="176">
        <f t="shared" si="41"/>
        <v>5</v>
      </c>
      <c r="AI110" s="224">
        <f t="shared" si="42"/>
        <v>-0.96918182047190404</v>
      </c>
      <c r="AJ110" s="264" t="b">
        <f t="shared" si="43"/>
        <v>0</v>
      </c>
      <c r="AK110" s="264" t="b">
        <f t="shared" si="44"/>
        <v>0</v>
      </c>
      <c r="AL110" s="264"/>
      <c r="AM110" s="264"/>
      <c r="AN110" s="75"/>
    </row>
    <row r="111" spans="1:40" s="6" customFormat="1" ht="11.25" x14ac:dyDescent="0.2">
      <c r="A111" s="56">
        <f t="shared" si="45"/>
        <v>43927</v>
      </c>
      <c r="B111" s="607">
        <v>32.597999999999999</v>
      </c>
      <c r="C111" s="388"/>
      <c r="D111" s="391">
        <f t="shared" si="24"/>
        <v>32.868377739411706</v>
      </c>
      <c r="E111" s="383">
        <f t="shared" si="46"/>
        <v>34.148140625859384</v>
      </c>
      <c r="F111" s="383">
        <f t="shared" si="25"/>
        <v>34.148151621085873</v>
      </c>
      <c r="G111" s="110">
        <f t="shared" si="47"/>
        <v>0.57629862588740577</v>
      </c>
      <c r="H111" s="412" t="b">
        <f>Wh_hp&gt;='2019'!Maxi_hp</f>
        <v>1</v>
      </c>
      <c r="I111" s="388">
        <f>IF(H111,Wh_hp,'2019'!Maxi_hp)</f>
        <v>34.148151621085873</v>
      </c>
      <c r="J111" s="85">
        <f>IF(H111,An,'2019'!An_max)</f>
        <v>2020</v>
      </c>
      <c r="K111" s="197">
        <f t="shared" si="26"/>
        <v>43927</v>
      </c>
      <c r="L111" s="147">
        <f>IF(t&lt;Tvie,1-EXP((T0-t)*PertePVj)+'2019'!Pspv,1-EXP((T0-t)*PertePVj)+Pspv)</f>
        <v>8.2260749695444169E-3</v>
      </c>
      <c r="M111" s="832"/>
      <c r="N111" s="832"/>
      <c r="O111" s="48">
        <f>IF(t&lt;Tnet,'2019'!Resal+('2019'!Salim-'2019'!Resal)*(1-EXP(('2019'!Tnet-t)/('2019'!Tau_j))),Resal+(Salim-Resal)*(1-EXP((Tnet-t)/(Tau_j))))*Salcycl</f>
        <v>3.7476795602702534E-2</v>
      </c>
      <c r="P111" s="169">
        <f>(INDEX(Models!$BJ111:$BT111,,T111)*(1-R111)+INDEX(Models!$BJ111:$BT111,,T111+1)*R111-ERP_i)*Q111*Ramure*Pc/MaxiM</f>
        <v>8.1574767815848508E-7</v>
      </c>
      <c r="Q111" s="304">
        <f t="shared" si="27"/>
        <v>0.6</v>
      </c>
      <c r="R111" s="177">
        <f t="shared" si="28"/>
        <v>3.2086126089044931E-2</v>
      </c>
      <c r="S111" s="799">
        <f t="shared" si="29"/>
        <v>-1</v>
      </c>
      <c r="T111" s="176">
        <f t="shared" si="30"/>
        <v>5</v>
      </c>
      <c r="U111" s="250">
        <f t="shared" si="31"/>
        <v>-0.96791387391095507</v>
      </c>
      <c r="V111" s="382">
        <f t="shared" si="32"/>
        <v>56.564396373765106</v>
      </c>
      <c r="W111" s="58"/>
      <c r="X111" s="157">
        <f t="shared" si="33"/>
        <v>43927</v>
      </c>
      <c r="Y111" s="383">
        <f t="shared" si="34"/>
        <v>32.597999999999999</v>
      </c>
      <c r="Z111" s="383">
        <f t="shared" si="35"/>
        <v>32.868377739411706</v>
      </c>
      <c r="AA111" s="384">
        <f t="shared" si="36"/>
        <v>34.148140625859384</v>
      </c>
      <c r="AB111" s="197">
        <f t="shared" si="37"/>
        <v>43927</v>
      </c>
      <c r="AC111" s="424">
        <f>IF(OR(t&lt;Tnet,NoTnet),'2019'!Resal_s+('2019'!Salim-'2019'!Resal_s)*(1-EXP(('2019'!Tnet_s-t)/'2019'!Tau_j)),Resal_s+(Salim-Resal_s)*(1-EXP((Tnet_s-t)/Tau_j)))*Salcycl</f>
        <v>3.7476795602702534E-2</v>
      </c>
      <c r="AD111" s="230">
        <f>(INDEX(Models!$BJ111:$BT111,,AH111)*(1-AF111)+INDEX(Models!$BJ111:$BT111,,AH111+1)*AF111-ERP_i)*AE111*Ramure*Pc/MaxiM</f>
        <v>8.1574767815848508E-7</v>
      </c>
      <c r="AE111" s="304">
        <f t="shared" si="38"/>
        <v>0.6</v>
      </c>
      <c r="AF111" s="177">
        <f t="shared" si="39"/>
        <v>3.2086126089044931E-2</v>
      </c>
      <c r="AG111" s="176">
        <f t="shared" si="40"/>
        <v>-1</v>
      </c>
      <c r="AH111" s="176">
        <f t="shared" si="41"/>
        <v>5</v>
      </c>
      <c r="AI111" s="224">
        <f t="shared" si="42"/>
        <v>-0.96791387391095507</v>
      </c>
      <c r="AJ111" s="264" t="b">
        <f t="shared" si="43"/>
        <v>0</v>
      </c>
      <c r="AK111" s="264" t="b">
        <f t="shared" si="44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5"/>
        <v>43928</v>
      </c>
      <c r="B112" s="607">
        <v>38.139000000000003</v>
      </c>
      <c r="C112" s="388"/>
      <c r="D112" s="391">
        <f t="shared" si="24"/>
        <v>38.456073482745758</v>
      </c>
      <c r="E112" s="383">
        <f t="shared" si="46"/>
        <v>39.956103428643864</v>
      </c>
      <c r="F112" s="383">
        <f t="shared" si="25"/>
        <v>39.956119209058031</v>
      </c>
      <c r="G112" s="110">
        <f t="shared" si="47"/>
        <v>0.67197539285190033</v>
      </c>
      <c r="H112" s="412" t="b">
        <f>Wh_hp&gt;='2019'!Maxi_hp</f>
        <v>1</v>
      </c>
      <c r="I112" s="388">
        <f>IF(H112,Wh_hp,'2019'!Maxi_hp)</f>
        <v>39.956119209058031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8.2450820905576316E-3</v>
      </c>
      <c r="M112" s="832"/>
      <c r="N112" s="832"/>
      <c r="O112" s="48">
        <f>IF(t&lt;Tnet,'2019'!Resal+('2019'!Salim-'2019'!Resal)*(1-EXP(('2019'!Tnet-t)/('2019'!Tau_j))),Resal+(Salim-Resal)*(1-EXP((Tnet-t)/(Tau_j))))*Salcycl</f>
        <v>3.7541947717122909E-2</v>
      </c>
      <c r="P112" s="169">
        <f>(INDEX(Models!$BJ112:$BT112,,T112)*(1-R112)+INDEX(Models!$BJ112:$BT112,,T112+1)*R112-ERP_i)*Q112*Ramure*Pc/MaxiM</f>
        <v>7.4322216432415291E-7</v>
      </c>
      <c r="Q112" s="304">
        <f t="shared" si="27"/>
        <v>0.6</v>
      </c>
      <c r="R112" s="177">
        <f t="shared" si="28"/>
        <v>3.3399984416788486E-2</v>
      </c>
      <c r="S112" s="799">
        <f t="shared" si="29"/>
        <v>-1</v>
      </c>
      <c r="T112" s="176">
        <f t="shared" si="30"/>
        <v>5</v>
      </c>
      <c r="U112" s="250">
        <f t="shared" si="31"/>
        <v>-0.96660001558321151</v>
      </c>
      <c r="V112" s="382">
        <f t="shared" si="32"/>
        <v>56.756522817204988</v>
      </c>
      <c r="W112" s="58"/>
      <c r="X112" s="157">
        <f t="shared" si="33"/>
        <v>43928</v>
      </c>
      <c r="Y112" s="383">
        <f t="shared" si="34"/>
        <v>38.139000000000003</v>
      </c>
      <c r="Z112" s="383">
        <f t="shared" si="35"/>
        <v>38.456073482745758</v>
      </c>
      <c r="AA112" s="384">
        <f t="shared" si="36"/>
        <v>39.956103428643864</v>
      </c>
      <c r="AB112" s="197">
        <f t="shared" si="37"/>
        <v>43928</v>
      </c>
      <c r="AC112" s="424">
        <f>IF(OR(t&lt;Tnet,NoTnet),'2019'!Resal_s+('2019'!Salim-'2019'!Resal_s)*(1-EXP(('2019'!Tnet_s-t)/'2019'!Tau_j)),Resal_s+(Salim-Resal_s)*(1-EXP((Tnet_s-t)/Tau_j)))*Salcycl</f>
        <v>3.7541947717122909E-2</v>
      </c>
      <c r="AD112" s="230">
        <f>(INDEX(Models!$BJ112:$BT112,,AH112)*(1-AF112)+INDEX(Models!$BJ112:$BT112,,AH112+1)*AF112-ERP_i)*AE112*Ramure*Pc/MaxiM</f>
        <v>7.4322216432415291E-7</v>
      </c>
      <c r="AE112" s="304">
        <f t="shared" si="38"/>
        <v>0.6</v>
      </c>
      <c r="AF112" s="177">
        <f t="shared" si="39"/>
        <v>3.3399984416788486E-2</v>
      </c>
      <c r="AG112" s="176">
        <f t="shared" si="40"/>
        <v>-1</v>
      </c>
      <c r="AH112" s="176">
        <f t="shared" si="41"/>
        <v>5</v>
      </c>
      <c r="AI112" s="224">
        <f t="shared" si="42"/>
        <v>-0.96660001558321151</v>
      </c>
      <c r="AJ112" s="264" t="b">
        <f t="shared" si="43"/>
        <v>0</v>
      </c>
      <c r="AK112" s="264" t="b">
        <f t="shared" si="44"/>
        <v>0</v>
      </c>
      <c r="AL112" s="264"/>
      <c r="AM112" s="264"/>
      <c r="AN112" s="75"/>
    </row>
    <row r="113" spans="1:40" s="6" customFormat="1" ht="11.25" x14ac:dyDescent="0.2">
      <c r="A113" s="56">
        <f t="shared" si="45"/>
        <v>43929</v>
      </c>
      <c r="B113" s="607">
        <v>39.451999999999998</v>
      </c>
      <c r="C113" s="388"/>
      <c r="D113" s="391">
        <f t="shared" si="24"/>
        <v>39.78075166618185</v>
      </c>
      <c r="E113" s="383">
        <f t="shared" si="46"/>
        <v>41.335268295137233</v>
      </c>
      <c r="F113" s="383">
        <f t="shared" si="25"/>
        <v>41.335283844945479</v>
      </c>
      <c r="G113" s="110">
        <f t="shared" si="47"/>
        <v>0.69284499304633829</v>
      </c>
      <c r="H113" s="412" t="b">
        <f>Wh_hp&gt;='2019'!Maxi_hp</f>
        <v>1</v>
      </c>
      <c r="I113" s="388">
        <f>IF(H113,Wh_hp,'2019'!Maxi_hp)</f>
        <v>41.335283844945479</v>
      </c>
      <c r="J113" s="85">
        <f>IF(H113,An,'2019'!An_max)</f>
        <v>2020</v>
      </c>
      <c r="K113" s="197">
        <f t="shared" si="26"/>
        <v>43929</v>
      </c>
      <c r="L113" s="147">
        <f>IF(t&lt;Tvie,1-EXP((T0-t)*PertePVj)+'2019'!Pspv,1-EXP((T0-t)*PertePVj)+Pspv)</f>
        <v>8.2640888473036744E-3</v>
      </c>
      <c r="M113" s="832"/>
      <c r="N113" s="832"/>
      <c r="O113" s="48">
        <f>IF(t&lt;Tnet,'2019'!Resal+('2019'!Salim-'2019'!Resal)*(1-EXP(('2019'!Tnet-t)/('2019'!Tau_j))),Resal+(Salim-Resal)*(1-EXP((Tnet-t)/(Tau_j))))*Salcycl</f>
        <v>3.7607512738419988E-2</v>
      </c>
      <c r="P113" s="169">
        <f>(INDEX(Models!$BJ113:$BT113,,T113)*(1-R113)+INDEX(Models!$BJ113:$BT113,,T113+1)*R113-ERP_i)*Q113*Ramure*Pc/MaxiM</f>
        <v>6.7031772910624716E-7</v>
      </c>
      <c r="Q113" s="304">
        <f t="shared" si="27"/>
        <v>0.6</v>
      </c>
      <c r="R113" s="177">
        <f t="shared" si="28"/>
        <v>3.4761123404354555E-2</v>
      </c>
      <c r="S113" s="799">
        <f t="shared" si="29"/>
        <v>-1</v>
      </c>
      <c r="T113" s="176">
        <f t="shared" si="30"/>
        <v>5</v>
      </c>
      <c r="U113" s="250">
        <f t="shared" si="31"/>
        <v>-0.96523887659564545</v>
      </c>
      <c r="V113" s="382">
        <f t="shared" si="32"/>
        <v>56.942012704020222</v>
      </c>
      <c r="W113" s="58"/>
      <c r="X113" s="157">
        <f t="shared" si="33"/>
        <v>43929</v>
      </c>
      <c r="Y113" s="383">
        <f t="shared" si="34"/>
        <v>39.451999999999998</v>
      </c>
      <c r="Z113" s="383">
        <f t="shared" si="35"/>
        <v>39.78075166618185</v>
      </c>
      <c r="AA113" s="384">
        <f t="shared" si="36"/>
        <v>41.335268295137233</v>
      </c>
      <c r="AB113" s="197">
        <f t="shared" si="37"/>
        <v>43929</v>
      </c>
      <c r="AC113" s="424">
        <f>IF(OR(t&lt;Tnet,NoTnet),'2019'!Resal_s+('2019'!Salim-'2019'!Resal_s)*(1-EXP(('2019'!Tnet_s-t)/'2019'!Tau_j)),Resal_s+(Salim-Resal_s)*(1-EXP((Tnet_s-t)/Tau_j)))*Salcycl</f>
        <v>3.7607512738419988E-2</v>
      </c>
      <c r="AD113" s="230">
        <f>(INDEX(Models!$BJ113:$BT113,,AH113)*(1-AF113)+INDEX(Models!$BJ113:$BT113,,AH113+1)*AF113-ERP_i)*AE113*Ramure*Pc/MaxiM</f>
        <v>6.7031772910624716E-7</v>
      </c>
      <c r="AE113" s="304">
        <f t="shared" si="38"/>
        <v>0.6</v>
      </c>
      <c r="AF113" s="177">
        <f t="shared" si="39"/>
        <v>3.4761123404354555E-2</v>
      </c>
      <c r="AG113" s="176">
        <f t="shared" si="40"/>
        <v>-1</v>
      </c>
      <c r="AH113" s="176">
        <f t="shared" si="41"/>
        <v>5</v>
      </c>
      <c r="AI113" s="224">
        <f t="shared" si="42"/>
        <v>-0.96523887659564545</v>
      </c>
      <c r="AJ113" s="264" t="b">
        <f t="shared" si="43"/>
        <v>0</v>
      </c>
      <c r="AK113" s="264" t="b">
        <f t="shared" si="44"/>
        <v>0</v>
      </c>
      <c r="AL113" s="264"/>
      <c r="AM113" s="264"/>
      <c r="AN113" s="75"/>
    </row>
    <row r="114" spans="1:40" s="6" customFormat="1" ht="11.25" x14ac:dyDescent="0.2">
      <c r="A114" s="56">
        <f t="shared" si="45"/>
        <v>43930</v>
      </c>
      <c r="B114" s="607">
        <v>56.914000000000001</v>
      </c>
      <c r="C114" s="388"/>
      <c r="D114" s="391">
        <f t="shared" si="24"/>
        <v>57.389361547448239</v>
      </c>
      <c r="E114" s="383">
        <f t="shared" si="46"/>
        <v>59.636060861323379</v>
      </c>
      <c r="F114" s="383">
        <f t="shared" si="25"/>
        <v>59.63609644920016</v>
      </c>
      <c r="G114" s="110">
        <f t="shared" si="47"/>
        <v>0.99637664456870645</v>
      </c>
      <c r="H114" s="412" t="b">
        <f>Wh_hp&gt;='2019'!Maxi_hp</f>
        <v>1</v>
      </c>
      <c r="I114" s="388">
        <f>IF(H114,Wh_hp,'2019'!Maxi_hp)</f>
        <v>59.63609644920016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8.2830952397896507E-3</v>
      </c>
      <c r="M114" s="832"/>
      <c r="N114" s="832"/>
      <c r="O114" s="48">
        <f>IF(t&lt;Tnet,'2019'!Resal+('2019'!Salim-'2019'!Resal)*(1-EXP(('2019'!Tnet-t)/('2019'!Tau_j))),Resal+(Salim-Resal)*(1-EXP((Tnet-t)/(Tau_j))))*Salcycl</f>
        <v>3.7673502934735724E-2</v>
      </c>
      <c r="P114" s="169">
        <f>(INDEX(Models!$BJ114:$BT114,,T114)*(1-R114)+INDEX(Models!$BJ114:$BT114,,T114+1)*R114-ERP_i)*Q114*Ramure*Pc/MaxiM</f>
        <v>5.998555904977296E-7</v>
      </c>
      <c r="Q114" s="304">
        <f t="shared" si="27"/>
        <v>0.6</v>
      </c>
      <c r="R114" s="177">
        <f t="shared" si="28"/>
        <v>3.6170929510697114E-2</v>
      </c>
      <c r="S114" s="799">
        <f t="shared" si="29"/>
        <v>-1</v>
      </c>
      <c r="T114" s="176">
        <f t="shared" si="30"/>
        <v>5</v>
      </c>
      <c r="U114" s="250">
        <f t="shared" si="31"/>
        <v>-0.96382907048930289</v>
      </c>
      <c r="V114" s="382">
        <f t="shared" si="32"/>
        <v>57.120969397991857</v>
      </c>
      <c r="W114" s="58"/>
      <c r="X114" s="157">
        <f t="shared" si="33"/>
        <v>43930</v>
      </c>
      <c r="Y114" s="383">
        <f t="shared" si="34"/>
        <v>56.914000000000001</v>
      </c>
      <c r="Z114" s="383">
        <f t="shared" si="35"/>
        <v>57.389361547448239</v>
      </c>
      <c r="AA114" s="384">
        <f t="shared" si="36"/>
        <v>59.636060861323379</v>
      </c>
      <c r="AB114" s="197">
        <f t="shared" si="37"/>
        <v>43930</v>
      </c>
      <c r="AC114" s="424">
        <f>IF(OR(t&lt;Tnet,NoTnet),'2019'!Resal_s+('2019'!Salim-'2019'!Resal_s)*(1-EXP(('2019'!Tnet_s-t)/'2019'!Tau_j)),Resal_s+(Salim-Resal_s)*(1-EXP((Tnet_s-t)/Tau_j)))*Salcycl</f>
        <v>3.7673502934735724E-2</v>
      </c>
      <c r="AD114" s="230">
        <f>(INDEX(Models!$BJ114:$BT114,,AH114)*(1-AF114)+INDEX(Models!$BJ114:$BT114,,AH114+1)*AF114-ERP_i)*AE114*Ramure*Pc/MaxiM</f>
        <v>5.998555904977296E-7</v>
      </c>
      <c r="AE114" s="304">
        <f t="shared" si="38"/>
        <v>0.6</v>
      </c>
      <c r="AF114" s="177">
        <f t="shared" si="39"/>
        <v>3.6170929510697114E-2</v>
      </c>
      <c r="AG114" s="176">
        <f t="shared" si="40"/>
        <v>-1</v>
      </c>
      <c r="AH114" s="176">
        <f t="shared" si="41"/>
        <v>5</v>
      </c>
      <c r="AI114" s="224">
        <f t="shared" si="42"/>
        <v>-0.96382907048930289</v>
      </c>
      <c r="AJ114" s="264" t="b">
        <f t="shared" si="43"/>
        <v>0</v>
      </c>
      <c r="AK114" s="264" t="b">
        <f t="shared" si="44"/>
        <v>0</v>
      </c>
      <c r="AL114" s="264"/>
      <c r="AM114" s="264"/>
      <c r="AN114" s="75"/>
    </row>
    <row r="115" spans="1:40" s="6" customFormat="1" ht="11.25" customHeight="1" x14ac:dyDescent="0.2">
      <c r="A115" s="56">
        <f t="shared" si="45"/>
        <v>43931</v>
      </c>
      <c r="B115" s="607">
        <v>58.249000000000002</v>
      </c>
      <c r="C115" s="388"/>
      <c r="D115" s="391">
        <f t="shared" si="24"/>
        <v>58.736637512774173</v>
      </c>
      <c r="E115" s="383">
        <f t="shared" si="46"/>
        <v>61.040293941863169</v>
      </c>
      <c r="F115" s="383">
        <f t="shared" si="25"/>
        <v>61.040326499043537</v>
      </c>
      <c r="G115" s="110">
        <f t="shared" si="47"/>
        <v>1.0166773496082961</v>
      </c>
      <c r="H115" s="412" t="b">
        <f>Wh_hp&gt;='2019'!Maxi_hp</f>
        <v>1</v>
      </c>
      <c r="I115" s="388">
        <f>IF(H115,Wh_hp,'2019'!Maxi_hp)</f>
        <v>61.040326499043537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8.3021012680223327E-3</v>
      </c>
      <c r="M115" s="832"/>
      <c r="N115" s="832"/>
      <c r="O115" s="48">
        <f>IF(t&lt;Tnet,'2019'!Resal+('2019'!Salim-'2019'!Resal)*(1-EXP(('2019'!Tnet-t)/('2019'!Tau_j))),Resal+(Salim-Resal)*(1-EXP((Tnet-t)/(Tau_j))))*Salcycl</f>
        <v>3.7739930139967418E-2</v>
      </c>
      <c r="P115" s="169">
        <f>(INDEX(Models!$BJ115:$BT115,,T115)*(1-R115)+INDEX(Models!$BJ115:$BT115,,T115+1)*R115-ERP_i)*Q115*Ramure*Pc/MaxiM</f>
        <v>5.3337166157986717E-7</v>
      </c>
      <c r="Q115" s="304">
        <f t="shared" si="27"/>
        <v>0.6</v>
      </c>
      <c r="R115" s="177">
        <f t="shared" si="28"/>
        <v>3.7630804976594212E-2</v>
      </c>
      <c r="S115" s="799">
        <f t="shared" si="29"/>
        <v>-1</v>
      </c>
      <c r="T115" s="176">
        <f t="shared" si="30"/>
        <v>5</v>
      </c>
      <c r="U115" s="250">
        <f t="shared" si="31"/>
        <v>-0.96236919502340579</v>
      </c>
      <c r="V115" s="382">
        <f t="shared" si="32"/>
        <v>57.293496331399616</v>
      </c>
      <c r="W115" s="58"/>
      <c r="X115" s="157">
        <f t="shared" si="33"/>
        <v>43931</v>
      </c>
      <c r="Y115" s="383">
        <f t="shared" si="34"/>
        <v>58.249000000000002</v>
      </c>
      <c r="Z115" s="383">
        <f t="shared" si="35"/>
        <v>58.736637512774173</v>
      </c>
      <c r="AA115" s="384">
        <f t="shared" si="36"/>
        <v>61.040293941863169</v>
      </c>
      <c r="AB115" s="197">
        <f t="shared" si="37"/>
        <v>43931</v>
      </c>
      <c r="AC115" s="424">
        <f>IF(OR(t&lt;Tnet,NoTnet),'2019'!Resal_s+('2019'!Salim-'2019'!Resal_s)*(1-EXP(('2019'!Tnet_s-t)/'2019'!Tau_j)),Resal_s+(Salim-Resal_s)*(1-EXP((Tnet_s-t)/Tau_j)))*Salcycl</f>
        <v>3.7739930139967418E-2</v>
      </c>
      <c r="AD115" s="230">
        <f>(INDEX(Models!$BJ115:$BT115,,AH115)*(1-AF115)+INDEX(Models!$BJ115:$BT115,,AH115+1)*AF115-ERP_i)*AE115*Ramure*Pc/MaxiM</f>
        <v>5.3337166157986717E-7</v>
      </c>
      <c r="AE115" s="304">
        <f t="shared" si="38"/>
        <v>0.6</v>
      </c>
      <c r="AF115" s="177">
        <f t="shared" si="39"/>
        <v>3.7630804976594212E-2</v>
      </c>
      <c r="AG115" s="176">
        <f t="shared" si="40"/>
        <v>-1</v>
      </c>
      <c r="AH115" s="176">
        <f t="shared" si="41"/>
        <v>5</v>
      </c>
      <c r="AI115" s="224">
        <f t="shared" si="42"/>
        <v>-0.96236919502340579</v>
      </c>
      <c r="AJ115" s="264" t="b">
        <f t="shared" si="43"/>
        <v>0</v>
      </c>
      <c r="AK115" s="264" t="b">
        <f t="shared" si="44"/>
        <v>0</v>
      </c>
      <c r="AL115" s="264"/>
      <c r="AM115" s="264"/>
      <c r="AN115" s="75"/>
    </row>
    <row r="116" spans="1:40" s="6" customFormat="1" ht="11.25" x14ac:dyDescent="0.2">
      <c r="A116" s="56">
        <f t="shared" si="45"/>
        <v>43932</v>
      </c>
      <c r="B116" s="607">
        <v>57.253999999999998</v>
      </c>
      <c r="C116" s="388"/>
      <c r="D116" s="391">
        <f t="shared" si="24"/>
        <v>57.734414234502189</v>
      </c>
      <c r="E116" s="383">
        <f t="shared" si="46"/>
        <v>60.002933483758007</v>
      </c>
      <c r="F116" s="383">
        <f t="shared" si="25"/>
        <v>60.002961591028409</v>
      </c>
      <c r="G116" s="110">
        <f t="shared" si="47"/>
        <v>0.99642014879189844</v>
      </c>
      <c r="H116" s="412" t="b">
        <f>Wh_hp&gt;='2019'!Maxi_hp</f>
        <v>1</v>
      </c>
      <c r="I116" s="388">
        <f>IF(H116,Wh_hp,'2019'!Maxi_hp)</f>
        <v>60.002961591028409</v>
      </c>
      <c r="J116" s="85">
        <f>IF(H116,An,'2019'!An_max)</f>
        <v>2020</v>
      </c>
      <c r="K116" s="197">
        <f t="shared" si="26"/>
        <v>43932</v>
      </c>
      <c r="L116" s="147">
        <f>IF(t&lt;Tvie,1-EXP((T0-t)*PertePVj)+'2019'!Pspv,1-EXP((T0-t)*PertePVj)+Pspv)</f>
        <v>8.321106932008937E-3</v>
      </c>
      <c r="M116" s="832"/>
      <c r="N116" s="832"/>
      <c r="O116" s="48">
        <f>IF(t&lt;Tnet,'2019'!Resal+('2019'!Salim-'2019'!Resal)*(1-EXP(('2019'!Tnet-t)/('2019'!Tau_j))),Resal+(Salim-Resal)*(1-EXP((Tnet-t)/(Tau_j))))*Salcycl</f>
        <v>3.780680572675453E-2</v>
      </c>
      <c r="P116" s="169">
        <f>(INDEX(Models!$BJ116:$BT116,,T116)*(1-R116)+INDEX(Models!$BJ116:$BT116,,T116+1)*R116-ERP_i)*Q116*Ramure*Pc/MaxiM</f>
        <v>4.7083928997882949E-7</v>
      </c>
      <c r="Q116" s="304">
        <f t="shared" si="27"/>
        <v>0.6</v>
      </c>
      <c r="R116" s="177">
        <f t="shared" si="28"/>
        <v>3.9142165845222565E-2</v>
      </c>
      <c r="S116" s="799">
        <f t="shared" si="29"/>
        <v>-1</v>
      </c>
      <c r="T116" s="176">
        <f t="shared" si="30"/>
        <v>5</v>
      </c>
      <c r="U116" s="250">
        <f t="shared" si="31"/>
        <v>-0.96085783415477743</v>
      </c>
      <c r="V116" s="382">
        <f t="shared" si="32"/>
        <v>57.459697027960438</v>
      </c>
      <c r="W116" s="58"/>
      <c r="X116" s="157">
        <f t="shared" si="33"/>
        <v>43932</v>
      </c>
      <c r="Y116" s="383">
        <f t="shared" si="34"/>
        <v>57.253999999999998</v>
      </c>
      <c r="Z116" s="383">
        <f t="shared" si="35"/>
        <v>57.734414234502189</v>
      </c>
      <c r="AA116" s="384">
        <f t="shared" si="36"/>
        <v>60.002933483758007</v>
      </c>
      <c r="AB116" s="197">
        <f t="shared" si="37"/>
        <v>43932</v>
      </c>
      <c r="AC116" s="424">
        <f>IF(OR(t&lt;Tnet,NoTnet),'2019'!Resal_s+('2019'!Salim-'2019'!Resal_s)*(1-EXP(('2019'!Tnet_s-t)/'2019'!Tau_j)),Resal_s+(Salim-Resal_s)*(1-EXP((Tnet_s-t)/Tau_j)))*Salcycl</f>
        <v>3.780680572675453E-2</v>
      </c>
      <c r="AD116" s="230">
        <f>(INDEX(Models!$BJ116:$BT116,,AH116)*(1-AF116)+INDEX(Models!$BJ116:$BT116,,AH116+1)*AF116-ERP_i)*AE116*Ramure*Pc/MaxiM</f>
        <v>4.7083928997882949E-7</v>
      </c>
      <c r="AE116" s="304">
        <f t="shared" si="38"/>
        <v>0.6</v>
      </c>
      <c r="AF116" s="177">
        <f t="shared" si="39"/>
        <v>3.9142165845222565E-2</v>
      </c>
      <c r="AG116" s="176">
        <f t="shared" si="40"/>
        <v>-1</v>
      </c>
      <c r="AH116" s="176">
        <f t="shared" si="41"/>
        <v>5</v>
      </c>
      <c r="AI116" s="224">
        <f t="shared" si="42"/>
        <v>-0.96085783415477743</v>
      </c>
      <c r="AJ116" s="264" t="b">
        <f t="shared" si="43"/>
        <v>0</v>
      </c>
      <c r="AK116" s="264" t="b">
        <f t="shared" si="44"/>
        <v>0</v>
      </c>
      <c r="AL116" s="264"/>
      <c r="AM116" s="264"/>
      <c r="AN116" s="75"/>
    </row>
    <row r="117" spans="1:40" s="6" customFormat="1" ht="11.25" x14ac:dyDescent="0.2">
      <c r="A117" s="56">
        <f t="shared" si="45"/>
        <v>43933</v>
      </c>
      <c r="B117" s="607">
        <v>44.226999999999997</v>
      </c>
      <c r="C117" s="388"/>
      <c r="D117" s="391">
        <f t="shared" si="24"/>
        <v>44.59896033461029</v>
      </c>
      <c r="E117" s="383">
        <f t="shared" si="46"/>
        <v>46.354601009737245</v>
      </c>
      <c r="F117" s="383">
        <f t="shared" si="25"/>
        <v>46.354613773885383</v>
      </c>
      <c r="G117" s="110">
        <f t="shared" si="47"/>
        <v>0.76756757026488875</v>
      </c>
      <c r="H117" s="412" t="b">
        <f>Wh_hp&gt;='2019'!Maxi_hp</f>
        <v>0</v>
      </c>
      <c r="I117" s="388">
        <f>IF(H117,Wh_hp,'2019'!Maxi_hp)</f>
        <v>59.530054657867453</v>
      </c>
      <c r="J117" s="85">
        <f>IF(H117,An,'2019'!An_max)</f>
        <v>2018</v>
      </c>
      <c r="K117" s="197">
        <f t="shared" si="26"/>
        <v>43933</v>
      </c>
      <c r="L117" s="147">
        <f>IF(t&lt;Tvie,1-EXP((T0-t)*PertePVj)+'2019'!Pspv,1-EXP((T0-t)*PertePVj)+Pspv)</f>
        <v>8.3401122317562359E-3</v>
      </c>
      <c r="M117" s="832"/>
      <c r="N117" s="832"/>
      <c r="O117" s="48">
        <f>IF(t&lt;Tnet,'2019'!Resal+('2019'!Salim-'2019'!Resal)*(1-EXP(('2019'!Tnet-t)/('2019'!Tau_j))),Resal+(Salim-Resal)*(1-EXP((Tnet-t)/(Tau_j))))*Salcycl</f>
        <v>3.7874140579015274E-2</v>
      </c>
      <c r="P117" s="169">
        <f>(INDEX(Models!$BJ117:$BT117,,T117)*(1-R117)+INDEX(Models!$BJ117:$BT117,,T117+1)*R117-ERP_i)*Q117*Ramure*Pc/MaxiM</f>
        <v>4.1224218365922554E-7</v>
      </c>
      <c r="Q117" s="304">
        <f t="shared" si="27"/>
        <v>0.6</v>
      </c>
      <c r="R117" s="177">
        <f t="shared" si="28"/>
        <v>4.0706439778144032E-2</v>
      </c>
      <c r="S117" s="799">
        <f t="shared" si="29"/>
        <v>-1</v>
      </c>
      <c r="T117" s="176">
        <f t="shared" si="30"/>
        <v>5</v>
      </c>
      <c r="U117" s="250">
        <f t="shared" si="31"/>
        <v>-0.95929356022185597</v>
      </c>
      <c r="V117" s="382">
        <f t="shared" si="32"/>
        <v>57.619675008926649</v>
      </c>
      <c r="W117" s="58"/>
      <c r="X117" s="157">
        <f t="shared" si="33"/>
        <v>43933</v>
      </c>
      <c r="Y117" s="383">
        <f t="shared" si="34"/>
        <v>44.226999999999997</v>
      </c>
      <c r="Z117" s="383">
        <f t="shared" si="35"/>
        <v>44.59896033461029</v>
      </c>
      <c r="AA117" s="384">
        <f t="shared" si="36"/>
        <v>46.354601009737245</v>
      </c>
      <c r="AB117" s="197">
        <f t="shared" si="37"/>
        <v>43933</v>
      </c>
      <c r="AC117" s="424">
        <f>IF(OR(t&lt;Tnet,NoTnet),'2019'!Resal_s+('2019'!Salim-'2019'!Resal_s)*(1-EXP(('2019'!Tnet_s-t)/'2019'!Tau_j)),Resal_s+(Salim-Resal_s)*(1-EXP((Tnet_s-t)/Tau_j)))*Salcycl</f>
        <v>3.7874140579015274E-2</v>
      </c>
      <c r="AD117" s="230">
        <f>(INDEX(Models!$BJ117:$BT117,,AH117)*(1-AF117)+INDEX(Models!$BJ117:$BT117,,AH117+1)*AF117-ERP_i)*AE117*Ramure*Pc/MaxiM</f>
        <v>4.1224218365922554E-7</v>
      </c>
      <c r="AE117" s="304">
        <f t="shared" si="38"/>
        <v>0.6</v>
      </c>
      <c r="AF117" s="177">
        <f t="shared" si="39"/>
        <v>4.0706439778144032E-2</v>
      </c>
      <c r="AG117" s="176">
        <f t="shared" si="40"/>
        <v>-1</v>
      </c>
      <c r="AH117" s="176">
        <f t="shared" si="41"/>
        <v>5</v>
      </c>
      <c r="AI117" s="224">
        <f t="shared" si="42"/>
        <v>-0.95929356022185597</v>
      </c>
      <c r="AJ117" s="264" t="b">
        <f t="shared" si="43"/>
        <v>0</v>
      </c>
      <c r="AK117" s="264" t="b">
        <f t="shared" si="44"/>
        <v>0</v>
      </c>
      <c r="AL117" s="264"/>
      <c r="AM117" s="264"/>
      <c r="AN117" s="75"/>
    </row>
    <row r="118" spans="1:40" s="6" customFormat="1" ht="11.25" x14ac:dyDescent="0.2">
      <c r="A118" s="56">
        <f t="shared" si="45"/>
        <v>43934</v>
      </c>
      <c r="B118" s="607">
        <v>19.481000000000002</v>
      </c>
      <c r="C118" s="388"/>
      <c r="D118" s="391">
        <f t="shared" si="24"/>
        <v>19.645216667903437</v>
      </c>
      <c r="E118" s="383">
        <f t="shared" si="46"/>
        <v>20.419990838502194</v>
      </c>
      <c r="F118" s="383">
        <f t="shared" si="25"/>
        <v>20.419991226491337</v>
      </c>
      <c r="G118" s="110">
        <f t="shared" si="47"/>
        <v>0.3371958078606207</v>
      </c>
      <c r="H118" s="412" t="b">
        <f>Wh_hp&gt;='2019'!Maxi_hp</f>
        <v>0</v>
      </c>
      <c r="I118" s="388">
        <f>IF(H118,Wh_hp,'2019'!Maxi_hp)</f>
        <v>30.203738754751733</v>
      </c>
      <c r="J118" s="85">
        <f>IF(H118,An,'2019'!An_max)</f>
        <v>2018</v>
      </c>
      <c r="K118" s="197">
        <f t="shared" si="26"/>
        <v>43934</v>
      </c>
      <c r="L118" s="147">
        <f>IF(t&lt;Tvie,1-EXP((T0-t)*PertePVj)+'2019'!Pspv,1-EXP((T0-t)*PertePVj)+Pspv)</f>
        <v>8.3591171672713349E-3</v>
      </c>
      <c r="M118" s="832"/>
      <c r="N118" s="832"/>
      <c r="O118" s="48">
        <f>IF(t&lt;Tnet,'2019'!Resal+('2019'!Salim-'2019'!Resal)*(1-EXP(('2019'!Tnet-t)/('2019'!Tau_j))),Resal+(Salim-Resal)*(1-EXP((Tnet-t)/(Tau_j))))*Salcycl</f>
        <v>3.7941945063849257E-2</v>
      </c>
      <c r="P118" s="169">
        <f>(INDEX(Models!$BJ118:$BT118,,T118)*(1-R118)+INDEX(Models!$BJ118:$BT118,,T118+1)*R118-ERP_i)*Q118*Ramure*Pc/MaxiM</f>
        <v>3.5757466020069975E-7</v>
      </c>
      <c r="Q118" s="304">
        <f t="shared" si="27"/>
        <v>0.6</v>
      </c>
      <c r="R118" s="177">
        <f t="shared" si="28"/>
        <v>4.2325063657707607E-2</v>
      </c>
      <c r="S118" s="799">
        <f t="shared" si="29"/>
        <v>-1</v>
      </c>
      <c r="T118" s="176">
        <f t="shared" si="30"/>
        <v>5</v>
      </c>
      <c r="U118" s="250">
        <f t="shared" si="31"/>
        <v>-0.95767493634229239</v>
      </c>
      <c r="V118" s="382">
        <f t="shared" si="32"/>
        <v>57.773533804691418</v>
      </c>
      <c r="W118" s="58"/>
      <c r="X118" s="157">
        <f t="shared" si="33"/>
        <v>43934</v>
      </c>
      <c r="Y118" s="383">
        <f t="shared" si="34"/>
        <v>19.481000000000002</v>
      </c>
      <c r="Z118" s="383">
        <f t="shared" si="35"/>
        <v>19.645216667903437</v>
      </c>
      <c r="AA118" s="384">
        <f t="shared" si="36"/>
        <v>20.419990838502194</v>
      </c>
      <c r="AB118" s="197">
        <f t="shared" si="37"/>
        <v>43934</v>
      </c>
      <c r="AC118" s="424">
        <f>IF(OR(t&lt;Tnet,NoTnet),'2019'!Resal_s+('2019'!Salim-'2019'!Resal_s)*(1-EXP(('2019'!Tnet_s-t)/'2019'!Tau_j)),Resal_s+(Salim-Resal_s)*(1-EXP((Tnet_s-t)/Tau_j)))*Salcycl</f>
        <v>3.7941945063849257E-2</v>
      </c>
      <c r="AD118" s="230">
        <f>(INDEX(Models!$BJ118:$BT118,,AH118)*(1-AF118)+INDEX(Models!$BJ118:$BT118,,AH118+1)*AF118-ERP_i)*AE118*Ramure*Pc/MaxiM</f>
        <v>3.5757466020069975E-7</v>
      </c>
      <c r="AE118" s="304">
        <f t="shared" si="38"/>
        <v>0.6</v>
      </c>
      <c r="AF118" s="177">
        <f t="shared" si="39"/>
        <v>4.2325063657707607E-2</v>
      </c>
      <c r="AG118" s="176">
        <f t="shared" si="40"/>
        <v>-1</v>
      </c>
      <c r="AH118" s="176">
        <f t="shared" si="41"/>
        <v>5</v>
      </c>
      <c r="AI118" s="224">
        <f t="shared" si="42"/>
        <v>-0.95767493634229239</v>
      </c>
      <c r="AJ118" s="264" t="b">
        <f t="shared" si="43"/>
        <v>0</v>
      </c>
      <c r="AK118" s="264" t="b">
        <f t="shared" si="44"/>
        <v>0</v>
      </c>
      <c r="AL118" s="264"/>
      <c r="AM118" s="264"/>
      <c r="AN118" s="75"/>
    </row>
    <row r="119" spans="1:40" s="6" customFormat="1" ht="11.25" x14ac:dyDescent="0.2">
      <c r="A119" s="56">
        <f t="shared" si="45"/>
        <v>43935</v>
      </c>
      <c r="B119" s="607">
        <v>52.707000000000001</v>
      </c>
      <c r="C119" s="388"/>
      <c r="D119" s="391">
        <f t="shared" si="24"/>
        <v>53.152316578985285</v>
      </c>
      <c r="E119" s="383">
        <f t="shared" si="46"/>
        <v>55.252475838572053</v>
      </c>
      <c r="F119" s="383">
        <f t="shared" si="25"/>
        <v>55.252490611972753</v>
      </c>
      <c r="G119" s="110">
        <f t="shared" si="47"/>
        <v>0.90997487798500021</v>
      </c>
      <c r="H119" s="412" t="b">
        <f>Wh_hp&gt;='2019'!Maxi_hp</f>
        <v>1</v>
      </c>
      <c r="I119" s="388">
        <f>IF(H119,Wh_hp,'2019'!Maxi_hp)</f>
        <v>55.252490611972753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8.3781217385612283E-3</v>
      </c>
      <c r="M119" s="832"/>
      <c r="N119" s="832"/>
      <c r="O119" s="48">
        <f>IF(t&lt;Tnet,'2019'!Resal+('2019'!Salim-'2019'!Resal)*(1-EXP(('2019'!Tnet-t)/('2019'!Tau_j))),Resal+(Salim-Resal)*(1-EXP((Tnet-t)/(Tau_j))))*Salcycl</f>
        <v>3.8010229002636585E-2</v>
      </c>
      <c r="P119" s="169">
        <f>(INDEX(Models!$BJ119:$BT119,,T119)*(1-R119)+INDEX(Models!$BJ119:$BT119,,T119+1)*R119-ERP_i)*Q119*Ramure*Pc/MaxiM</f>
        <v>3.0684191425908951E-7</v>
      </c>
      <c r="Q119" s="304">
        <f t="shared" si="27"/>
        <v>0.6</v>
      </c>
      <c r="R119" s="177">
        <f t="shared" si="28"/>
        <v>4.3999480967239157E-2</v>
      </c>
      <c r="S119" s="799">
        <f t="shared" si="29"/>
        <v>-1</v>
      </c>
      <c r="T119" s="176">
        <f t="shared" si="30"/>
        <v>5</v>
      </c>
      <c r="U119" s="250">
        <f t="shared" si="31"/>
        <v>-0.95600051903276084</v>
      </c>
      <c r="V119" s="382">
        <f t="shared" si="32"/>
        <v>57.921376947001136</v>
      </c>
      <c r="W119" s="58"/>
      <c r="X119" s="157">
        <f t="shared" si="33"/>
        <v>43935</v>
      </c>
      <c r="Y119" s="383">
        <f t="shared" si="34"/>
        <v>52.707000000000001</v>
      </c>
      <c r="Z119" s="383">
        <f t="shared" si="35"/>
        <v>53.152316578985285</v>
      </c>
      <c r="AA119" s="384">
        <f t="shared" si="36"/>
        <v>55.252475838572053</v>
      </c>
      <c r="AB119" s="197">
        <f t="shared" si="37"/>
        <v>43935</v>
      </c>
      <c r="AC119" s="424">
        <f>IF(OR(t&lt;Tnet,NoTnet),'2019'!Resal_s+('2019'!Salim-'2019'!Resal_s)*(1-EXP(('2019'!Tnet_s-t)/'2019'!Tau_j)),Resal_s+(Salim-Resal_s)*(1-EXP((Tnet_s-t)/Tau_j)))*Salcycl</f>
        <v>3.8010229002636585E-2</v>
      </c>
      <c r="AD119" s="230">
        <f>(INDEX(Models!$BJ119:$BT119,,AH119)*(1-AF119)+INDEX(Models!$BJ119:$BT119,,AH119+1)*AF119-ERP_i)*AE119*Ramure*Pc/MaxiM</f>
        <v>3.0684191425908951E-7</v>
      </c>
      <c r="AE119" s="304">
        <f t="shared" si="38"/>
        <v>0.6</v>
      </c>
      <c r="AF119" s="177">
        <f t="shared" si="39"/>
        <v>4.3999480967239157E-2</v>
      </c>
      <c r="AG119" s="176">
        <f t="shared" si="40"/>
        <v>-1</v>
      </c>
      <c r="AH119" s="176">
        <f t="shared" si="41"/>
        <v>5</v>
      </c>
      <c r="AI119" s="224">
        <f t="shared" si="42"/>
        <v>-0.95600051903276084</v>
      </c>
      <c r="AJ119" s="264" t="b">
        <f t="shared" si="43"/>
        <v>0</v>
      </c>
      <c r="AK119" s="264" t="b">
        <f t="shared" si="44"/>
        <v>0</v>
      </c>
      <c r="AL119" s="264"/>
      <c r="AM119" s="264"/>
      <c r="AN119" s="75"/>
    </row>
    <row r="120" spans="1:40" s="6" customFormat="1" ht="11.25" x14ac:dyDescent="0.2">
      <c r="A120" s="56">
        <f t="shared" si="45"/>
        <v>43936</v>
      </c>
      <c r="B120" s="607">
        <v>53.895000000000003</v>
      </c>
      <c r="C120" s="388"/>
      <c r="D120" s="391">
        <f t="shared" si="24"/>
        <v>54.351395513447322</v>
      </c>
      <c r="E120" s="383">
        <f t="shared" si="46"/>
        <v>56.502972287931094</v>
      </c>
      <c r="F120" s="383">
        <f t="shared" si="25"/>
        <v>56.502985475141656</v>
      </c>
      <c r="G120" s="110">
        <f t="shared" si="47"/>
        <v>0.9282109551927118</v>
      </c>
      <c r="H120" s="412" t="b">
        <f>Wh_hp&gt;='2019'!Maxi_hp</f>
        <v>1</v>
      </c>
      <c r="I120" s="388">
        <f>IF(H120,Wh_hp,'2019'!Maxi_hp)</f>
        <v>56.502985475141656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8.3971259456327996E-3</v>
      </c>
      <c r="M120" s="832"/>
      <c r="N120" s="832"/>
      <c r="O120" s="48">
        <f>IF(t&lt;Tnet,'2019'!Resal+('2019'!Salim-'2019'!Resal)*(1-EXP(('2019'!Tnet-t)/('2019'!Tau_j))),Resal+(Salim-Resal)*(1-EXP((Tnet-t)/(Tau_j))))*Salcycl</f>
        <v>3.807900164118172E-2</v>
      </c>
      <c r="P120" s="169">
        <f>(INDEX(Models!$BJ120:$BT120,,T120)*(1-R120)+INDEX(Models!$BJ120:$BT120,,T120+1)*R120-ERP_i)*Q120*Ramure*Pc/MaxiM</f>
        <v>2.6006030194125858E-7</v>
      </c>
      <c r="Q120" s="304">
        <f t="shared" si="27"/>
        <v>0.6</v>
      </c>
      <c r="R120" s="177">
        <f t="shared" si="28"/>
        <v>4.5731138940881544E-2</v>
      </c>
      <c r="S120" s="799">
        <f t="shared" si="29"/>
        <v>-1</v>
      </c>
      <c r="T120" s="176">
        <f t="shared" si="30"/>
        <v>5</v>
      </c>
      <c r="U120" s="250">
        <f t="shared" si="31"/>
        <v>-0.95426886105911846</v>
      </c>
      <c r="V120" s="382">
        <f t="shared" si="32"/>
        <v>58.063307980882449</v>
      </c>
      <c r="W120" s="58"/>
      <c r="X120" s="157">
        <f t="shared" si="33"/>
        <v>43936</v>
      </c>
      <c r="Y120" s="383">
        <f t="shared" si="34"/>
        <v>53.895000000000003</v>
      </c>
      <c r="Z120" s="383">
        <f t="shared" si="35"/>
        <v>54.351395513447322</v>
      </c>
      <c r="AA120" s="384">
        <f t="shared" si="36"/>
        <v>56.502972287931094</v>
      </c>
      <c r="AB120" s="197">
        <f t="shared" si="37"/>
        <v>43936</v>
      </c>
      <c r="AC120" s="424">
        <f>IF(OR(t&lt;Tnet,NoTnet),'2019'!Resal_s+('2019'!Salim-'2019'!Resal_s)*(1-EXP(('2019'!Tnet_s-t)/'2019'!Tau_j)),Resal_s+(Salim-Resal_s)*(1-EXP((Tnet_s-t)/Tau_j)))*Salcycl</f>
        <v>3.807900164118172E-2</v>
      </c>
      <c r="AD120" s="230">
        <f>(INDEX(Models!$BJ120:$BT120,,AH120)*(1-AF120)+INDEX(Models!$BJ120:$BT120,,AH120+1)*AF120-ERP_i)*AE120*Ramure*Pc/MaxiM</f>
        <v>2.6006030194125858E-7</v>
      </c>
      <c r="AE120" s="304">
        <f t="shared" si="38"/>
        <v>0.6</v>
      </c>
      <c r="AF120" s="177">
        <f t="shared" si="39"/>
        <v>4.5731138940881544E-2</v>
      </c>
      <c r="AG120" s="176">
        <f t="shared" si="40"/>
        <v>-1</v>
      </c>
      <c r="AH120" s="176">
        <f t="shared" si="41"/>
        <v>5</v>
      </c>
      <c r="AI120" s="224">
        <f t="shared" si="42"/>
        <v>-0.95426886105911846</v>
      </c>
      <c r="AJ120" s="264" t="b">
        <f t="shared" si="43"/>
        <v>0</v>
      </c>
      <c r="AK120" s="264" t="b">
        <f t="shared" si="44"/>
        <v>0</v>
      </c>
      <c r="AL120" s="264"/>
      <c r="AM120" s="264"/>
      <c r="AN120" s="75"/>
    </row>
    <row r="121" spans="1:40" s="6" customFormat="1" ht="11.25" x14ac:dyDescent="0.2">
      <c r="A121" s="56">
        <f t="shared" si="45"/>
        <v>43937</v>
      </c>
      <c r="B121" s="607">
        <v>47.883000000000003</v>
      </c>
      <c r="C121" s="388"/>
      <c r="D121" s="391">
        <f t="shared" si="24"/>
        <v>48.289409941477224</v>
      </c>
      <c r="E121" s="383">
        <f t="shared" si="46"/>
        <v>50.204629795433362</v>
      </c>
      <c r="F121" s="383">
        <f t="shared" si="25"/>
        <v>50.204637941217648</v>
      </c>
      <c r="G121" s="110">
        <f t="shared" si="47"/>
        <v>0.82275932470073043</v>
      </c>
      <c r="H121" s="412" t="b">
        <f>Wh_hp&gt;='2019'!Maxi_hp</f>
        <v>1</v>
      </c>
      <c r="I121" s="388">
        <f>IF(H121,Wh_hp,'2019'!Maxi_hp)</f>
        <v>50.204637941217648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8.4161297884930431E-3</v>
      </c>
      <c r="M121" s="832"/>
      <c r="N121" s="832"/>
      <c r="O121" s="48">
        <f>IF(t&lt;Tnet,'2019'!Resal+('2019'!Salim-'2019'!Resal)*(1-EXP(('2019'!Tnet-t)/('2019'!Tau_j))),Resal+(Salim-Resal)*(1-EXP((Tnet-t)/(Tau_j))))*Salcycl</f>
        <v>3.8148271618773121E-2</v>
      </c>
      <c r="P121" s="169">
        <f>(INDEX(Models!$BJ121:$BT121,,T121)*(1-R121)+INDEX(Models!$BJ121:$BT121,,T121+1)*R121-ERP_i)*Q121*Ramure*Pc/MaxiM</f>
        <v>2.1726275364192149E-7</v>
      </c>
      <c r="Q121" s="304">
        <f t="shared" si="27"/>
        <v>0.6</v>
      </c>
      <c r="R121" s="177">
        <f t="shared" si="28"/>
        <v>4.7521485475558345E-2</v>
      </c>
      <c r="S121" s="799">
        <f t="shared" si="29"/>
        <v>-1</v>
      </c>
      <c r="T121" s="176">
        <f t="shared" si="30"/>
        <v>5</v>
      </c>
      <c r="U121" s="250">
        <f t="shared" si="31"/>
        <v>-0.95247851452444166</v>
      </c>
      <c r="V121" s="382">
        <f t="shared" si="32"/>
        <v>58.198060998359146</v>
      </c>
      <c r="W121" s="58"/>
      <c r="X121" s="157">
        <f t="shared" si="33"/>
        <v>43937</v>
      </c>
      <c r="Y121" s="383">
        <f t="shared" si="34"/>
        <v>47.883000000000003</v>
      </c>
      <c r="Z121" s="383">
        <f t="shared" si="35"/>
        <v>48.289409941477224</v>
      </c>
      <c r="AA121" s="384">
        <f t="shared" si="36"/>
        <v>50.204629795433362</v>
      </c>
      <c r="AB121" s="197">
        <f t="shared" si="37"/>
        <v>43937</v>
      </c>
      <c r="AC121" s="424">
        <f>IF(OR(t&lt;Tnet,NoTnet),'2019'!Resal_s+('2019'!Salim-'2019'!Resal_s)*(1-EXP(('2019'!Tnet_s-t)/'2019'!Tau_j)),Resal_s+(Salim-Resal_s)*(1-EXP((Tnet_s-t)/Tau_j)))*Salcycl</f>
        <v>3.8148271618773121E-2</v>
      </c>
      <c r="AD121" s="230">
        <f>(INDEX(Models!$BJ121:$BT121,,AH121)*(1-AF121)+INDEX(Models!$BJ121:$BT121,,AH121+1)*AF121-ERP_i)*AE121*Ramure*Pc/MaxiM</f>
        <v>2.1726275364192149E-7</v>
      </c>
      <c r="AE121" s="304">
        <f t="shared" si="38"/>
        <v>0.6</v>
      </c>
      <c r="AF121" s="177">
        <f t="shared" si="39"/>
        <v>4.7521485475558345E-2</v>
      </c>
      <c r="AG121" s="176">
        <f t="shared" si="40"/>
        <v>-1</v>
      </c>
      <c r="AH121" s="176">
        <f t="shared" si="41"/>
        <v>5</v>
      </c>
      <c r="AI121" s="224">
        <f t="shared" si="42"/>
        <v>-0.95247851452444166</v>
      </c>
      <c r="AJ121" s="264" t="b">
        <f t="shared" si="43"/>
        <v>0</v>
      </c>
      <c r="AK121" s="264" t="b">
        <f t="shared" si="44"/>
        <v>0</v>
      </c>
      <c r="AL121" s="264"/>
      <c r="AM121" s="264"/>
      <c r="AN121" s="75"/>
    </row>
    <row r="122" spans="1:40" s="18" customFormat="1" ht="11.25" x14ac:dyDescent="0.2">
      <c r="A122" s="56">
        <f t="shared" si="45"/>
        <v>43938</v>
      </c>
      <c r="B122" s="607">
        <v>34.570999999999998</v>
      </c>
      <c r="C122" s="388"/>
      <c r="D122" s="391">
        <f t="shared" si="24"/>
        <v>34.865091694817153</v>
      </c>
      <c r="E122" s="383">
        <f t="shared" si="46"/>
        <v>36.250515601532712</v>
      </c>
      <c r="F122" s="383">
        <f t="shared" si="25"/>
        <v>36.250518329677988</v>
      </c>
      <c r="G122" s="110">
        <f t="shared" si="47"/>
        <v>0.59273394193339879</v>
      </c>
      <c r="H122" s="412" t="b">
        <f>Wh_hp&gt;='2019'!Maxi_hp</f>
        <v>1</v>
      </c>
      <c r="I122" s="388">
        <f>IF(H122,Wh_hp,'2019'!Maxi_hp)</f>
        <v>36.250518329677988</v>
      </c>
      <c r="J122" s="85">
        <f>IF(H122,An,'2019'!An_max)</f>
        <v>2020</v>
      </c>
      <c r="K122" s="197">
        <f t="shared" si="26"/>
        <v>43938</v>
      </c>
      <c r="L122" s="147">
        <f>IF(t&lt;Tvie,1-EXP((T0-t)*PertePVj)+'2019'!Pspv,1-EXP((T0-t)*PertePVj)+Pspv)</f>
        <v>8.4351332671490642E-3</v>
      </c>
      <c r="M122" s="832"/>
      <c r="N122" s="832"/>
      <c r="O122" s="48">
        <f>IF(t&lt;Tnet,'2019'!Resal+('2019'!Salim-'2019'!Resal)*(1-EXP(('2019'!Tnet-t)/('2019'!Tau_j))),Resal+(Salim-Resal)*(1-EXP((Tnet-t)/(Tau_j))))*Salcycl</f>
        <v>3.8218046936054628E-2</v>
      </c>
      <c r="P122" s="169">
        <f>(INDEX(Models!$BJ122:$BT122,,T122)*(1-R122)+INDEX(Models!$BJ122:$BT122,,T122+1)*R122-ERP_i)*Q122*Ramure*Pc/MaxiM</f>
        <v>1.7996089279583945E-7</v>
      </c>
      <c r="Q122" s="304">
        <f t="shared" si="27"/>
        <v>0.6</v>
      </c>
      <c r="R122" s="177">
        <f t="shared" si="28"/>
        <v>4.9371965798281181E-2</v>
      </c>
      <c r="S122" s="799">
        <f t="shared" si="29"/>
        <v>-1</v>
      </c>
      <c r="T122" s="176">
        <f t="shared" si="30"/>
        <v>5</v>
      </c>
      <c r="U122" s="250">
        <f t="shared" si="31"/>
        <v>-0.95062803420171882</v>
      </c>
      <c r="V122" s="382">
        <f t="shared" si="32"/>
        <v>58.324644388601762</v>
      </c>
      <c r="W122" s="58"/>
      <c r="X122" s="157">
        <f t="shared" si="33"/>
        <v>43938</v>
      </c>
      <c r="Y122" s="383">
        <f t="shared" si="34"/>
        <v>34.570999999999998</v>
      </c>
      <c r="Z122" s="383">
        <f t="shared" si="35"/>
        <v>34.865091694817153</v>
      </c>
      <c r="AA122" s="384">
        <f t="shared" si="36"/>
        <v>36.250515601532712</v>
      </c>
      <c r="AB122" s="197">
        <f t="shared" si="37"/>
        <v>43938</v>
      </c>
      <c r="AC122" s="424">
        <f>IF(OR(t&lt;Tnet,NoTnet),'2019'!Resal_s+('2019'!Salim-'2019'!Resal_s)*(1-EXP(('2019'!Tnet_s-t)/'2019'!Tau_j)),Resal_s+(Salim-Resal_s)*(1-EXP((Tnet_s-t)/Tau_j)))*Salcycl</f>
        <v>3.8218046936054628E-2</v>
      </c>
      <c r="AD122" s="230">
        <f>(INDEX(Models!$BJ122:$BT122,,AH122)*(1-AF122)+INDEX(Models!$BJ122:$BT122,,AH122+1)*AF122-ERP_i)*AE122*Ramure*Pc/MaxiM</f>
        <v>1.7996089279583945E-7</v>
      </c>
      <c r="AE122" s="304">
        <f t="shared" si="38"/>
        <v>0.6</v>
      </c>
      <c r="AF122" s="177">
        <f t="shared" si="39"/>
        <v>4.9371965798281181E-2</v>
      </c>
      <c r="AG122" s="176">
        <f t="shared" si="40"/>
        <v>-1</v>
      </c>
      <c r="AH122" s="176">
        <f t="shared" si="41"/>
        <v>5</v>
      </c>
      <c r="AI122" s="224">
        <f t="shared" si="42"/>
        <v>-0.95062803420171882</v>
      </c>
      <c r="AJ122" s="264" t="b">
        <f t="shared" si="43"/>
        <v>0</v>
      </c>
      <c r="AK122" s="264" t="b">
        <f t="shared" si="44"/>
        <v>0</v>
      </c>
      <c r="AL122" s="264"/>
      <c r="AM122" s="264"/>
      <c r="AN122" s="264"/>
    </row>
    <row r="123" spans="1:40" s="18" customFormat="1" ht="11.25" x14ac:dyDescent="0.2">
      <c r="A123" s="56">
        <f t="shared" si="45"/>
        <v>43939</v>
      </c>
      <c r="B123" s="607">
        <v>43.84</v>
      </c>
      <c r="C123" s="388"/>
      <c r="D123" s="391">
        <f t="shared" si="24"/>
        <v>44.213789405582475</v>
      </c>
      <c r="E123" s="383">
        <f t="shared" si="46"/>
        <v>45.974059597145178</v>
      </c>
      <c r="F123" s="383">
        <f t="shared" si="25"/>
        <v>45.974063934000291</v>
      </c>
      <c r="G123" s="110">
        <f t="shared" si="47"/>
        <v>0.75012521055284043</v>
      </c>
      <c r="H123" s="412" t="b">
        <f>Wh_hp&gt;='2019'!Maxi_hp</f>
        <v>0</v>
      </c>
      <c r="I123" s="388">
        <f>IF(H123,Wh_hp,'2019'!Maxi_hp)</f>
        <v>50.936347080308607</v>
      </c>
      <c r="J123" s="85">
        <f>IF(H123,An,'2019'!An_max)</f>
        <v>2018</v>
      </c>
      <c r="K123" s="197">
        <f t="shared" si="26"/>
        <v>43939</v>
      </c>
      <c r="L123" s="147">
        <f>IF(t&lt;Tvie,1-EXP((T0-t)*PertePVj)+'2019'!Pspv,1-EXP((T0-t)*PertePVj)+Pspv)</f>
        <v>8.4541363816076354E-3</v>
      </c>
      <c r="M123" s="832"/>
      <c r="N123" s="832"/>
      <c r="O123" s="48">
        <f>IF(t&lt;Tnet,'2019'!Resal+('2019'!Salim-'2019'!Resal)*(1-EXP(('2019'!Tnet-t)/('2019'!Tau_j))),Resal+(Salim-Resal)*(1-EXP((Tnet-t)/(Tau_j))))*Salcycl</f>
        <v>3.8288334921635088E-2</v>
      </c>
      <c r="P123" s="169">
        <f>(INDEX(Models!$BJ123:$BT123,,T123)*(1-R123)+INDEX(Models!$BJ123:$BT123,,T123+1)*R123-ERP_i)*Q123*Ramure*Pc/MaxiM</f>
        <v>1.4669884085071141E-7</v>
      </c>
      <c r="Q123" s="304">
        <f t="shared" si="27"/>
        <v>0.6</v>
      </c>
      <c r="R123" s="177">
        <f t="shared" si="28"/>
        <v>5.1284018882918114E-2</v>
      </c>
      <c r="S123" s="799">
        <f t="shared" si="29"/>
        <v>-1</v>
      </c>
      <c r="T123" s="176">
        <f t="shared" si="30"/>
        <v>5</v>
      </c>
      <c r="U123" s="250">
        <f t="shared" si="31"/>
        <v>-0.94871598111708189</v>
      </c>
      <c r="V123" s="382">
        <f t="shared" si="32"/>
        <v>58.443573269529026</v>
      </c>
      <c r="W123" s="58"/>
      <c r="X123" s="157">
        <f t="shared" si="33"/>
        <v>43939</v>
      </c>
      <c r="Y123" s="383">
        <f t="shared" si="34"/>
        <v>43.84</v>
      </c>
      <c r="Z123" s="383">
        <f t="shared" si="35"/>
        <v>44.213789405582475</v>
      </c>
      <c r="AA123" s="384">
        <f t="shared" si="36"/>
        <v>45.974059597145178</v>
      </c>
      <c r="AB123" s="197">
        <f t="shared" si="37"/>
        <v>43939</v>
      </c>
      <c r="AC123" s="424">
        <f>IF(OR(t&lt;Tnet,NoTnet),'2019'!Resal_s+('2019'!Salim-'2019'!Resal_s)*(1-EXP(('2019'!Tnet_s-t)/'2019'!Tau_j)),Resal_s+(Salim-Resal_s)*(1-EXP((Tnet_s-t)/Tau_j)))*Salcycl</f>
        <v>3.8288334921635088E-2</v>
      </c>
      <c r="AD123" s="230">
        <f>(INDEX(Models!$BJ123:$BT123,,AH123)*(1-AF123)+INDEX(Models!$BJ123:$BT123,,AH123+1)*AF123-ERP_i)*AE123*Ramure*Pc/MaxiM</f>
        <v>1.4669884085071141E-7</v>
      </c>
      <c r="AE123" s="304">
        <f t="shared" si="38"/>
        <v>0.6</v>
      </c>
      <c r="AF123" s="177">
        <f t="shared" si="39"/>
        <v>5.1284018882918114E-2</v>
      </c>
      <c r="AG123" s="176">
        <f t="shared" si="40"/>
        <v>-1</v>
      </c>
      <c r="AH123" s="176">
        <f t="shared" si="41"/>
        <v>5</v>
      </c>
      <c r="AI123" s="224">
        <f t="shared" si="42"/>
        <v>-0.94871598111708189</v>
      </c>
      <c r="AJ123" s="264" t="b">
        <f t="shared" si="43"/>
        <v>0</v>
      </c>
      <c r="AK123" s="264" t="b">
        <f t="shared" si="44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5"/>
        <v>43940</v>
      </c>
      <c r="B124" s="607">
        <v>18.009</v>
      </c>
      <c r="C124" s="388"/>
      <c r="D124" s="391">
        <f t="shared" si="24"/>
        <v>18.162896751210909</v>
      </c>
      <c r="E124" s="383">
        <f t="shared" si="46"/>
        <v>18.887401261957574</v>
      </c>
      <c r="F124" s="383">
        <f t="shared" si="25"/>
        <v>18.887401285917669</v>
      </c>
      <c r="G124" s="110">
        <f t="shared" si="47"/>
        <v>0.30755505769517855</v>
      </c>
      <c r="H124" s="412" t="b">
        <f>Wh_hp&gt;='2019'!Maxi_hp</f>
        <v>0</v>
      </c>
      <c r="I124" s="388">
        <f>IF(H124,Wh_hp,'2019'!Maxi_hp)</f>
        <v>57.174498343837172</v>
      </c>
      <c r="J124" s="85">
        <f>IF(H124,An,'2019'!An_max)</f>
        <v>2018</v>
      </c>
      <c r="K124" s="197">
        <f t="shared" si="26"/>
        <v>43940</v>
      </c>
      <c r="L124" s="147">
        <f>IF(t&lt;Tvie,1-EXP((T0-t)*PertePVj)+'2019'!Pspv,1-EXP((T0-t)*PertePVj)+Pspv)</f>
        <v>8.473139131875973E-3</v>
      </c>
      <c r="M124" s="832"/>
      <c r="N124" s="832"/>
      <c r="O124" s="48">
        <f>IF(t&lt;Tnet,'2019'!Resal+('2019'!Salim-'2019'!Resal)*(1-EXP(('2019'!Tnet-t)/('2019'!Tau_j))),Resal+(Salim-Resal)*(1-EXP((Tnet-t)/(Tau_j))))*Salcycl</f>
        <v>3.8359142197393899E-2</v>
      </c>
      <c r="P124" s="169">
        <f>(INDEX(Models!$BJ124:$BT124,,T124)*(1-R124)+INDEX(Models!$BJ124:$BT124,,T124+1)*R124-ERP_i)*Q124*Ramure*Pc/MaxiM</f>
        <v>1.1753698008215283E-7</v>
      </c>
      <c r="Q124" s="304">
        <f t="shared" si="27"/>
        <v>0.6</v>
      </c>
      <c r="R124" s="177">
        <f t="shared" si="28"/>
        <v>5.3259073611587326E-2</v>
      </c>
      <c r="S124" s="799">
        <f t="shared" si="29"/>
        <v>-1</v>
      </c>
      <c r="T124" s="176">
        <f t="shared" si="30"/>
        <v>5</v>
      </c>
      <c r="U124" s="250">
        <f t="shared" si="31"/>
        <v>-0.94674092638841267</v>
      </c>
      <c r="V124" s="382">
        <f t="shared" si="32"/>
        <v>58.555362545756694</v>
      </c>
      <c r="W124" s="58"/>
      <c r="X124" s="157">
        <f t="shared" si="33"/>
        <v>43940</v>
      </c>
      <c r="Y124" s="383">
        <f t="shared" si="34"/>
        <v>18.009</v>
      </c>
      <c r="Z124" s="383">
        <f t="shared" si="35"/>
        <v>18.162896751210909</v>
      </c>
      <c r="AA124" s="384">
        <f t="shared" si="36"/>
        <v>18.887401261957574</v>
      </c>
      <c r="AB124" s="197">
        <f t="shared" si="37"/>
        <v>43940</v>
      </c>
      <c r="AC124" s="424">
        <f>IF(OR(t&lt;Tnet,NoTnet),'2019'!Resal_s+('2019'!Salim-'2019'!Resal_s)*(1-EXP(('2019'!Tnet_s-t)/'2019'!Tau_j)),Resal_s+(Salim-Resal_s)*(1-EXP((Tnet_s-t)/Tau_j)))*Salcycl</f>
        <v>3.8359142197393899E-2</v>
      </c>
      <c r="AD124" s="230">
        <f>(INDEX(Models!$BJ124:$BT124,,AH124)*(1-AF124)+INDEX(Models!$BJ124:$BT124,,AH124+1)*AF124-ERP_i)*AE124*Ramure*Pc/MaxiM</f>
        <v>1.1753698008215283E-7</v>
      </c>
      <c r="AE124" s="304">
        <f t="shared" si="38"/>
        <v>0.6</v>
      </c>
      <c r="AF124" s="177">
        <f t="shared" si="39"/>
        <v>5.3259073611587326E-2</v>
      </c>
      <c r="AG124" s="176">
        <f t="shared" si="40"/>
        <v>-1</v>
      </c>
      <c r="AH124" s="176">
        <f t="shared" si="41"/>
        <v>5</v>
      </c>
      <c r="AI124" s="224">
        <f t="shared" si="42"/>
        <v>-0.94674092638841267</v>
      </c>
      <c r="AJ124" s="264" t="b">
        <f t="shared" si="43"/>
        <v>0</v>
      </c>
      <c r="AK124" s="264" t="b">
        <f t="shared" si="44"/>
        <v>0</v>
      </c>
      <c r="AL124" s="264"/>
      <c r="AM124" s="264"/>
      <c r="AN124" s="75"/>
    </row>
    <row r="125" spans="1:40" s="6" customFormat="1" ht="11.25" x14ac:dyDescent="0.2">
      <c r="A125" s="56">
        <f t="shared" si="45"/>
        <v>43941</v>
      </c>
      <c r="B125" s="607">
        <v>14.502000000000001</v>
      </c>
      <c r="C125" s="388"/>
      <c r="D125" s="391">
        <f t="shared" si="24"/>
        <v>14.626207826735747</v>
      </c>
      <c r="E125" s="383">
        <f t="shared" si="46"/>
        <v>15.210764735183899</v>
      </c>
      <c r="F125" s="383">
        <f t="shared" si="25"/>
        <v>15.210764735183899</v>
      </c>
      <c r="G125" s="110">
        <f t="shared" si="47"/>
        <v>0.24721903128030129</v>
      </c>
      <c r="H125" s="412" t="b">
        <f>Wh_hp&gt;='2019'!Maxi_hp</f>
        <v>0</v>
      </c>
      <c r="I125" s="388">
        <f>IF(H125,Wh_hp,'2019'!Maxi_hp)</f>
        <v>19.427917028939895</v>
      </c>
      <c r="J125" s="85">
        <f>IF(H125,An,'2019'!An_max)</f>
        <v>2018</v>
      </c>
      <c r="K125" s="197">
        <f t="shared" si="26"/>
        <v>43941</v>
      </c>
      <c r="L125" s="147">
        <f>IF(t&lt;Tvie,1-EXP((T0-t)*PertePVj)+'2019'!Pspv,1-EXP((T0-t)*PertePVj)+Pspv)</f>
        <v>8.4921415179608495E-3</v>
      </c>
      <c r="M125" s="832"/>
      <c r="N125" s="832"/>
      <c r="O125" s="48">
        <f>IF(t&lt;Tnet,'2019'!Resal+('2019'!Salim-'2019'!Resal)*(1-EXP(('2019'!Tnet-t)/('2019'!Tau_j))),Resal+(Salim-Resal)*(1-EXP((Tnet-t)/(Tau_j))))*Salcycl</f>
        <v>3.8430474642475905E-2</v>
      </c>
      <c r="P125" s="169">
        <f>(INDEX(Models!$BJ125:$BT125,,T125)*(1-R125)+INDEX(Models!$BJ125:$BT125,,T125+1)*R125-ERP_i)*Q125*Ramure*Pc/MaxiM</f>
        <v>9.2550137669652283E-8</v>
      </c>
      <c r="Q125" s="304">
        <f t="shared" si="27"/>
        <v>0.6</v>
      </c>
      <c r="R125" s="177">
        <f t="shared" si="28"/>
        <v>5.5298544677060413E-2</v>
      </c>
      <c r="S125" s="799">
        <f t="shared" si="29"/>
        <v>-1</v>
      </c>
      <c r="T125" s="176">
        <f t="shared" si="30"/>
        <v>5</v>
      </c>
      <c r="U125" s="250">
        <f t="shared" si="31"/>
        <v>-0.94470145532293959</v>
      </c>
      <c r="V125" s="382">
        <f t="shared" si="32"/>
        <v>58.660526993956566</v>
      </c>
      <c r="W125" s="58"/>
      <c r="X125" s="157">
        <f t="shared" si="33"/>
        <v>43941</v>
      </c>
      <c r="Y125" s="383">
        <f t="shared" si="34"/>
        <v>14.502000000000001</v>
      </c>
      <c r="Z125" s="383">
        <f t="shared" si="35"/>
        <v>14.626207826735747</v>
      </c>
      <c r="AA125" s="384">
        <f t="shared" si="36"/>
        <v>15.210764735183899</v>
      </c>
      <c r="AB125" s="197">
        <f t="shared" si="37"/>
        <v>43941</v>
      </c>
      <c r="AC125" s="424">
        <f>IF(OR(t&lt;Tnet,NoTnet),'2019'!Resal_s+('2019'!Salim-'2019'!Resal_s)*(1-EXP(('2019'!Tnet_s-t)/'2019'!Tau_j)),Resal_s+(Salim-Resal_s)*(1-EXP((Tnet_s-t)/Tau_j)))*Salcycl</f>
        <v>3.8430474642475905E-2</v>
      </c>
      <c r="AD125" s="230">
        <f>(INDEX(Models!$BJ125:$BT125,,AH125)*(1-AF125)+INDEX(Models!$BJ125:$BT125,,AH125+1)*AF125-ERP_i)*AE125*Ramure*Pc/MaxiM</f>
        <v>9.2550137669652283E-8</v>
      </c>
      <c r="AE125" s="304">
        <f t="shared" si="38"/>
        <v>0.6</v>
      </c>
      <c r="AF125" s="177">
        <f t="shared" si="39"/>
        <v>5.5298544677060413E-2</v>
      </c>
      <c r="AG125" s="176">
        <f t="shared" si="40"/>
        <v>-1</v>
      </c>
      <c r="AH125" s="176">
        <f t="shared" si="41"/>
        <v>5</v>
      </c>
      <c r="AI125" s="224">
        <f t="shared" si="42"/>
        <v>-0.94470145532293959</v>
      </c>
      <c r="AJ125" s="264" t="b">
        <f t="shared" si="43"/>
        <v>0</v>
      </c>
      <c r="AK125" s="264" t="b">
        <f t="shared" si="44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5"/>
        <v>43942</v>
      </c>
      <c r="B126" s="607">
        <v>15.369</v>
      </c>
      <c r="C126" s="388"/>
      <c r="D126" s="391">
        <f t="shared" si="24"/>
        <v>15.500930645727346</v>
      </c>
      <c r="E126" s="383">
        <f t="shared" si="46"/>
        <v>16.121651926955078</v>
      </c>
      <c r="F126" s="383">
        <f t="shared" si="25"/>
        <v>16.121651926955078</v>
      </c>
      <c r="G126" s="110">
        <f t="shared" si="47"/>
        <v>0.26155732502525048</v>
      </c>
      <c r="H126" s="412" t="b">
        <f>Wh_hp&gt;='2019'!Maxi_hp</f>
        <v>0</v>
      </c>
      <c r="I126" s="388">
        <f>IF(H126,Wh_hp,'2019'!Maxi_hp)</f>
        <v>33.983185612984599</v>
      </c>
      <c r="J126" s="85">
        <f>IF(H126,An,'2019'!An_max)</f>
        <v>2018</v>
      </c>
      <c r="K126" s="197">
        <f t="shared" si="26"/>
        <v>43942</v>
      </c>
      <c r="L126" s="147">
        <f>IF(t&lt;Tvie,1-EXP((T0-t)*PertePVj)+'2019'!Pspv,1-EXP((T0-t)*PertePVj)+Pspv)</f>
        <v>8.5111435398693702E-3</v>
      </c>
      <c r="M126" s="832"/>
      <c r="N126" s="832"/>
      <c r="O126" s="48">
        <f>IF(t&lt;Tnet,'2019'!Resal+('2019'!Salim-'2019'!Resal)*(1-EXP(('2019'!Tnet-t)/('2019'!Tau_j))),Resal+(Salim-Resal)*(1-EXP((Tnet-t)/(Tau_j))))*Salcycl</f>
        <v>3.8502337356006139E-2</v>
      </c>
      <c r="P126" s="169">
        <f>(INDEX(Models!$BJ126:$BT126,,T126)*(1-R126)+INDEX(Models!$BJ126:$BT126,,T126+1)*R126-ERP_i)*Q126*Ramure*Pc/MaxiM</f>
        <v>7.1827156740285748E-8</v>
      </c>
      <c r="Q126" s="304">
        <f t="shared" si="27"/>
        <v>0.6</v>
      </c>
      <c r="R126" s="177">
        <f t="shared" si="28"/>
        <v>5.7403828223942854E-2</v>
      </c>
      <c r="S126" s="799">
        <f t="shared" si="29"/>
        <v>-1</v>
      </c>
      <c r="T126" s="176">
        <f t="shared" si="30"/>
        <v>5</v>
      </c>
      <c r="U126" s="250">
        <f t="shared" si="31"/>
        <v>-0.94259617177605715</v>
      </c>
      <c r="V126" s="382">
        <f t="shared" si="32"/>
        <v>58.759581268101435</v>
      </c>
      <c r="W126" s="58"/>
      <c r="X126" s="157">
        <f t="shared" si="33"/>
        <v>43942</v>
      </c>
      <c r="Y126" s="383">
        <f t="shared" si="34"/>
        <v>15.369000000000002</v>
      </c>
      <c r="Z126" s="383">
        <f t="shared" si="35"/>
        <v>15.500930645727347</v>
      </c>
      <c r="AA126" s="384">
        <f t="shared" si="36"/>
        <v>16.121651926955078</v>
      </c>
      <c r="AB126" s="197">
        <f t="shared" si="37"/>
        <v>43942</v>
      </c>
      <c r="AC126" s="424">
        <f>IF(OR(t&lt;Tnet,NoTnet),'2019'!Resal_s+('2019'!Salim-'2019'!Resal_s)*(1-EXP(('2019'!Tnet_s-t)/'2019'!Tau_j)),Resal_s+(Salim-Resal_s)*(1-EXP((Tnet_s-t)/Tau_j)))*Salcycl</f>
        <v>3.8502337356006139E-2</v>
      </c>
      <c r="AD126" s="230">
        <f>(INDEX(Models!$BJ126:$BT126,,AH126)*(1-AF126)+INDEX(Models!$BJ126:$BT126,,AH126+1)*AF126-ERP_i)*AE126*Ramure*Pc/MaxiM</f>
        <v>7.1827156740285748E-8</v>
      </c>
      <c r="AE126" s="304">
        <f t="shared" si="38"/>
        <v>0.6</v>
      </c>
      <c r="AF126" s="177">
        <f t="shared" si="39"/>
        <v>5.7403828223942854E-2</v>
      </c>
      <c r="AG126" s="176">
        <f t="shared" si="40"/>
        <v>-1</v>
      </c>
      <c r="AH126" s="176">
        <f t="shared" si="41"/>
        <v>5</v>
      </c>
      <c r="AI126" s="224">
        <f t="shared" si="42"/>
        <v>-0.94259617177605715</v>
      </c>
      <c r="AJ126" s="264" t="b">
        <f t="shared" si="43"/>
        <v>0</v>
      </c>
      <c r="AK126" s="264" t="b">
        <f t="shared" si="44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5"/>
        <v>43943</v>
      </c>
      <c r="B127" s="607">
        <v>9.6280000000000001</v>
      </c>
      <c r="C127" s="388"/>
      <c r="D127" s="391">
        <f t="shared" si="24"/>
        <v>9.7108348310992696</v>
      </c>
      <c r="E127" s="383">
        <f t="shared" si="46"/>
        <v>10.100457290611027</v>
      </c>
      <c r="F127" s="383">
        <f t="shared" si="25"/>
        <v>10.100457290611027</v>
      </c>
      <c r="G127" s="110">
        <f t="shared" si="47"/>
        <v>0.16359391941017287</v>
      </c>
      <c r="H127" s="412" t="b">
        <f>Wh_hp&gt;='2019'!Maxi_hp</f>
        <v>0</v>
      </c>
      <c r="I127" s="388">
        <f>IF(H127,Wh_hp,'2019'!Maxi_hp)</f>
        <v>38.887858681267055</v>
      </c>
      <c r="J127" s="85">
        <f>IF(H127,An,'2019'!An_max)</f>
        <v>2018</v>
      </c>
      <c r="K127" s="197">
        <f t="shared" si="26"/>
        <v>43943</v>
      </c>
      <c r="L127" s="147">
        <f>IF(t&lt;Tvie,1-EXP((T0-t)*PertePVj)+'2019'!Pspv,1-EXP((T0-t)*PertePVj)+Pspv)</f>
        <v>8.5301451976084186E-3</v>
      </c>
      <c r="M127" s="832"/>
      <c r="N127" s="832"/>
      <c r="O127" s="48">
        <f>IF(t&lt;Tnet,'2019'!Resal+('2019'!Salim-'2019'!Resal)*(1-EXP(('2019'!Tnet-t)/('2019'!Tau_j))),Resal+(Salim-Resal)*(1-EXP((Tnet-t)/(Tau_j))))*Salcycl</f>
        <v>3.8574734618593544E-2</v>
      </c>
      <c r="P127" s="169">
        <f>(INDEX(Models!$BJ127:$BT127,,T127)*(1-R127)+INDEX(Models!$BJ127:$BT127,,T127+1)*R127-ERP_i)*Q127*Ramure*Pc/MaxiM</f>
        <v>5.5470924849069661E-8</v>
      </c>
      <c r="Q127" s="304">
        <f t="shared" si="27"/>
        <v>0.6</v>
      </c>
      <c r="R127" s="177">
        <f t="shared" si="28"/>
        <v>5.9576297227976194E-2</v>
      </c>
      <c r="S127" s="799">
        <f t="shared" si="29"/>
        <v>-1</v>
      </c>
      <c r="T127" s="176">
        <f t="shared" si="30"/>
        <v>5</v>
      </c>
      <c r="U127" s="250">
        <f t="shared" si="31"/>
        <v>-0.94042370277202381</v>
      </c>
      <c r="V127" s="382">
        <f t="shared" si="32"/>
        <v>58.853039896831461</v>
      </c>
      <c r="W127" s="58"/>
      <c r="X127" s="157">
        <f t="shared" si="33"/>
        <v>43943</v>
      </c>
      <c r="Y127" s="383">
        <f t="shared" si="34"/>
        <v>9.6280000000000001</v>
      </c>
      <c r="Z127" s="383">
        <f t="shared" si="35"/>
        <v>9.7108348310992696</v>
      </c>
      <c r="AA127" s="384">
        <f t="shared" si="36"/>
        <v>10.100457290611027</v>
      </c>
      <c r="AB127" s="197">
        <f t="shared" si="37"/>
        <v>43943</v>
      </c>
      <c r="AC127" s="424">
        <f>IF(OR(t&lt;Tnet,NoTnet),'2019'!Resal_s+('2019'!Salim-'2019'!Resal_s)*(1-EXP(('2019'!Tnet_s-t)/'2019'!Tau_j)),Resal_s+(Salim-Resal_s)*(1-EXP((Tnet_s-t)/Tau_j)))*Salcycl</f>
        <v>3.8574734618593544E-2</v>
      </c>
      <c r="AD127" s="230">
        <f>(INDEX(Models!$BJ127:$BT127,,AH127)*(1-AF127)+INDEX(Models!$BJ127:$BT127,,AH127+1)*AF127-ERP_i)*AE127*Ramure*Pc/MaxiM</f>
        <v>5.5470924849069661E-8</v>
      </c>
      <c r="AE127" s="304">
        <f t="shared" si="38"/>
        <v>0.6</v>
      </c>
      <c r="AF127" s="177">
        <f t="shared" si="39"/>
        <v>5.9576297227976194E-2</v>
      </c>
      <c r="AG127" s="176">
        <f t="shared" si="40"/>
        <v>-1</v>
      </c>
      <c r="AH127" s="176">
        <f t="shared" si="41"/>
        <v>5</v>
      </c>
      <c r="AI127" s="224">
        <f t="shared" si="42"/>
        <v>-0.94042370277202381</v>
      </c>
      <c r="AJ127" s="264" t="b">
        <f t="shared" si="43"/>
        <v>0</v>
      </c>
      <c r="AK127" s="264" t="b">
        <f t="shared" si="44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5"/>
        <v>43944</v>
      </c>
      <c r="B128" s="607">
        <v>15.907</v>
      </c>
      <c r="C128" s="388"/>
      <c r="D128" s="391">
        <f t="shared" si="24"/>
        <v>16.04416390757444</v>
      </c>
      <c r="E128" s="383">
        <f t="shared" si="46"/>
        <v>16.689161095720944</v>
      </c>
      <c r="F128" s="383">
        <f t="shared" si="25"/>
        <v>16.689161095720944</v>
      </c>
      <c r="G128" s="110">
        <f t="shared" si="47"/>
        <v>0.26987812713088394</v>
      </c>
      <c r="H128" s="412" t="b">
        <f>Wh_hp&gt;='2019'!Maxi_hp</f>
        <v>0</v>
      </c>
      <c r="I128" s="388">
        <f>IF(H128,Wh_hp,'2019'!Maxi_hp)</f>
        <v>53.104674902103845</v>
      </c>
      <c r="J128" s="85">
        <f>IF(H128,An,'2019'!An_max)</f>
        <v>2018</v>
      </c>
      <c r="K128" s="197">
        <f t="shared" si="26"/>
        <v>43944</v>
      </c>
      <c r="L128" s="147">
        <f>IF(t&lt;Tvie,1-EXP((T0-t)*PertePVj)+'2019'!Pspv,1-EXP((T0-t)*PertePVj)+Pspv)</f>
        <v>8.5491464911851001E-3</v>
      </c>
      <c r="M128" s="832"/>
      <c r="N128" s="832"/>
      <c r="O128" s="48">
        <f>IF(t&lt;Tnet,'2019'!Resal+('2019'!Salim-'2019'!Resal)*(1-EXP(('2019'!Tnet-t)/('2019'!Tau_j))),Resal+(Salim-Resal)*(1-EXP((Tnet-t)/(Tau_j))))*Salcycl</f>
        <v>3.8647669852733338E-2</v>
      </c>
      <c r="P128" s="169">
        <f>(INDEX(Models!$BJ128:$BT128,,T128)*(1-R128)+INDEX(Models!$BJ128:$BT128,,T128+1)*R128-ERP_i)*Q128*Ramure*Pc/MaxiM</f>
        <v>4.359886530057408E-8</v>
      </c>
      <c r="Q128" s="304">
        <f t="shared" si="27"/>
        <v>0.6</v>
      </c>
      <c r="R128" s="177">
        <f t="shared" si="28"/>
        <v>6.1817296614557704E-2</v>
      </c>
      <c r="S128" s="799">
        <f t="shared" si="29"/>
        <v>-1</v>
      </c>
      <c r="T128" s="176">
        <f t="shared" si="30"/>
        <v>5</v>
      </c>
      <c r="U128" s="250">
        <f t="shared" si="31"/>
        <v>-0.9381827033854423</v>
      </c>
      <c r="V128" s="382">
        <f t="shared" si="32"/>
        <v>58.941417281876888</v>
      </c>
      <c r="W128" s="58"/>
      <c r="X128" s="157">
        <f t="shared" si="33"/>
        <v>43944</v>
      </c>
      <c r="Y128" s="383">
        <f t="shared" si="34"/>
        <v>15.907000000000002</v>
      </c>
      <c r="Z128" s="383">
        <f t="shared" si="35"/>
        <v>16.04416390757444</v>
      </c>
      <c r="AA128" s="384">
        <f t="shared" si="36"/>
        <v>16.689161095720944</v>
      </c>
      <c r="AB128" s="197">
        <f t="shared" si="37"/>
        <v>43944</v>
      </c>
      <c r="AC128" s="424">
        <f>IF(OR(t&lt;Tnet,NoTnet),'2019'!Resal_s+('2019'!Salim-'2019'!Resal_s)*(1-EXP(('2019'!Tnet_s-t)/'2019'!Tau_j)),Resal_s+(Salim-Resal_s)*(1-EXP((Tnet_s-t)/Tau_j)))*Salcycl</f>
        <v>3.8647669852733338E-2</v>
      </c>
      <c r="AD128" s="230">
        <f>(INDEX(Models!$BJ128:$BT128,,AH128)*(1-AF128)+INDEX(Models!$BJ128:$BT128,,AH128+1)*AF128-ERP_i)*AE128*Ramure*Pc/MaxiM</f>
        <v>4.359886530057408E-8</v>
      </c>
      <c r="AE128" s="304">
        <f t="shared" si="38"/>
        <v>0.6</v>
      </c>
      <c r="AF128" s="177">
        <f t="shared" si="39"/>
        <v>6.1817296614557704E-2</v>
      </c>
      <c r="AG128" s="176">
        <f t="shared" si="40"/>
        <v>-1</v>
      </c>
      <c r="AH128" s="176">
        <f t="shared" si="41"/>
        <v>5</v>
      </c>
      <c r="AI128" s="224">
        <f t="shared" si="42"/>
        <v>-0.9381827033854423</v>
      </c>
      <c r="AJ128" s="264" t="b">
        <f t="shared" si="43"/>
        <v>0</v>
      </c>
      <c r="AK128" s="264" t="b">
        <f t="shared" si="44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5"/>
        <v>43945</v>
      </c>
      <c r="B129" s="607">
        <v>51.253999999999998</v>
      </c>
      <c r="C129" s="388"/>
      <c r="D129" s="391">
        <f t="shared" si="24"/>
        <v>51.696947063636514</v>
      </c>
      <c r="E129" s="383">
        <f t="shared" si="46"/>
        <v>53.779344907102931</v>
      </c>
      <c r="F129" s="383">
        <f t="shared" si="25"/>
        <v>53.779346350507211</v>
      </c>
      <c r="G129" s="110">
        <f t="shared" si="47"/>
        <v>0.8683405640157178</v>
      </c>
      <c r="H129" s="412" t="b">
        <f>Wh_hp&gt;='2019'!Maxi_hp</f>
        <v>1</v>
      </c>
      <c r="I129" s="388">
        <f>IF(H129,Wh_hp,'2019'!Maxi_hp)</f>
        <v>53.779346350507211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8.568147420606298E-3</v>
      </c>
      <c r="M129" s="832"/>
      <c r="N129" s="832"/>
      <c r="O129" s="48">
        <f>IF(t&lt;Tnet,'2019'!Resal+('2019'!Salim-'2019'!Resal)*(1-EXP(('2019'!Tnet-t)/('2019'!Tau_j))),Resal+(Salim-Resal)*(1-EXP((Tnet-t)/(Tau_j))))*Salcycl</f>
        <v>3.8721145582258351E-2</v>
      </c>
      <c r="P129" s="169">
        <f>(INDEX(Models!$BJ129:$BT129,,T129)*(1-R129)+INDEX(Models!$BJ129:$BT129,,T129+1)*R129-ERP_i)*Q129*Ramure*Pc/MaxiM</f>
        <v>3.3056879198036588E-8</v>
      </c>
      <c r="Q129" s="304">
        <f t="shared" si="27"/>
        <v>0.6</v>
      </c>
      <c r="R129" s="177">
        <f t="shared" si="28"/>
        <v>6.4128138119523559E-2</v>
      </c>
      <c r="S129" s="799">
        <f t="shared" si="29"/>
        <v>-1</v>
      </c>
      <c r="T129" s="176">
        <f t="shared" si="30"/>
        <v>5</v>
      </c>
      <c r="U129" s="250">
        <f t="shared" si="31"/>
        <v>-0.93587186188047644</v>
      </c>
      <c r="V129" s="382">
        <f t="shared" si="32"/>
        <v>59.025227894801539</v>
      </c>
      <c r="W129" s="58"/>
      <c r="X129" s="157">
        <f t="shared" si="33"/>
        <v>43945</v>
      </c>
      <c r="Y129" s="383">
        <f t="shared" si="34"/>
        <v>51.253999999999998</v>
      </c>
      <c r="Z129" s="383">
        <f t="shared" si="35"/>
        <v>51.696947063636514</v>
      </c>
      <c r="AA129" s="384">
        <f t="shared" si="36"/>
        <v>53.779344907102931</v>
      </c>
      <c r="AB129" s="197">
        <f t="shared" si="37"/>
        <v>43945</v>
      </c>
      <c r="AC129" s="424">
        <f>IF(OR(t&lt;Tnet,NoTnet),'2019'!Resal_s+('2019'!Salim-'2019'!Resal_s)*(1-EXP(('2019'!Tnet_s-t)/'2019'!Tau_j)),Resal_s+(Salim-Resal_s)*(1-EXP((Tnet_s-t)/Tau_j)))*Salcycl</f>
        <v>3.8721145582258351E-2</v>
      </c>
      <c r="AD129" s="230">
        <f>(INDEX(Models!$BJ129:$BT129,,AH129)*(1-AF129)+INDEX(Models!$BJ129:$BT129,,AH129+1)*AF129-ERP_i)*AE129*Ramure*Pc/MaxiM</f>
        <v>3.3056879198036588E-8</v>
      </c>
      <c r="AE129" s="304">
        <f t="shared" si="38"/>
        <v>0.6</v>
      </c>
      <c r="AF129" s="177">
        <f t="shared" si="39"/>
        <v>6.4128138119523559E-2</v>
      </c>
      <c r="AG129" s="176">
        <f t="shared" si="40"/>
        <v>-1</v>
      </c>
      <c r="AH129" s="176">
        <f t="shared" si="41"/>
        <v>5</v>
      </c>
      <c r="AI129" s="224">
        <f t="shared" si="42"/>
        <v>-0.93587186188047644</v>
      </c>
      <c r="AJ129" s="264" t="b">
        <f t="shared" si="43"/>
        <v>0</v>
      </c>
      <c r="AK129" s="264" t="b">
        <f t="shared" si="44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5"/>
        <v>43946</v>
      </c>
      <c r="B130" s="607">
        <v>48.503999999999998</v>
      </c>
      <c r="C130" s="388"/>
      <c r="D130" s="391">
        <f t="shared" si="24"/>
        <v>48.924118646899629</v>
      </c>
      <c r="E130" s="383">
        <f t="shared" si="46"/>
        <v>50.898743726153953</v>
      </c>
      <c r="F130" s="383">
        <f t="shared" si="25"/>
        <v>50.898744630161893</v>
      </c>
      <c r="G130" s="110">
        <f t="shared" si="47"/>
        <v>0.82064142248219829</v>
      </c>
      <c r="H130" s="412" t="b">
        <f>Wh_hp&gt;='2019'!Maxi_hp</f>
        <v>1</v>
      </c>
      <c r="I130" s="388">
        <f>IF(H130,Wh_hp,'2019'!Maxi_hp)</f>
        <v>50.898744630161893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8.5871479858790067E-3</v>
      </c>
      <c r="M130" s="832"/>
      <c r="N130" s="832"/>
      <c r="O130" s="48">
        <f>IF(t&lt;Tnet,'2019'!Resal+('2019'!Salim-'2019'!Resal)*(1-EXP(('2019'!Tnet-t)/('2019'!Tau_j))),Resal+(Salim-Resal)*(1-EXP((Tnet-t)/(Tau_j))))*Salcycl</f>
        <v>3.879516339103032E-2</v>
      </c>
      <c r="P130" s="169">
        <f>(INDEX(Models!$BJ130:$BT130,,T130)*(1-R130)+INDEX(Models!$BJ130:$BT130,,T130+1)*R130-ERP_i)*Q130*Ramure*Pc/MaxiM</f>
        <v>2.3879459543608423E-8</v>
      </c>
      <c r="Q130" s="304">
        <f t="shared" si="27"/>
        <v>0.6</v>
      </c>
      <c r="R130" s="177">
        <f t="shared" si="28"/>
        <v>6.6510094897382466E-2</v>
      </c>
      <c r="S130" s="799">
        <f t="shared" si="29"/>
        <v>-1</v>
      </c>
      <c r="T130" s="176">
        <f t="shared" si="30"/>
        <v>5</v>
      </c>
      <c r="U130" s="250">
        <f t="shared" si="31"/>
        <v>-0.93348990510261753</v>
      </c>
      <c r="V130" s="382">
        <f t="shared" si="32"/>
        <v>59.104985898122834</v>
      </c>
      <c r="W130" s="58"/>
      <c r="X130" s="157">
        <f t="shared" si="33"/>
        <v>43946</v>
      </c>
      <c r="Y130" s="383">
        <f t="shared" si="34"/>
        <v>48.503999999999998</v>
      </c>
      <c r="Z130" s="383">
        <f t="shared" si="35"/>
        <v>48.924118646899629</v>
      </c>
      <c r="AA130" s="384">
        <f t="shared" si="36"/>
        <v>50.898743726153953</v>
      </c>
      <c r="AB130" s="197">
        <f t="shared" si="37"/>
        <v>43946</v>
      </c>
      <c r="AC130" s="424">
        <f>IF(OR(t&lt;Tnet,NoTnet),'2019'!Resal_s+('2019'!Salim-'2019'!Resal_s)*(1-EXP(('2019'!Tnet_s-t)/'2019'!Tau_j)),Resal_s+(Salim-Resal_s)*(1-EXP((Tnet_s-t)/Tau_j)))*Salcycl</f>
        <v>3.879516339103032E-2</v>
      </c>
      <c r="AD130" s="230">
        <f>(INDEX(Models!$BJ130:$BT130,,AH130)*(1-AF130)+INDEX(Models!$BJ130:$BT130,,AH130+1)*AF130-ERP_i)*AE130*Ramure*Pc/MaxiM</f>
        <v>2.3879459543608423E-8</v>
      </c>
      <c r="AE130" s="304">
        <f t="shared" si="38"/>
        <v>0.6</v>
      </c>
      <c r="AF130" s="177">
        <f t="shared" si="39"/>
        <v>6.6510094897382466E-2</v>
      </c>
      <c r="AG130" s="176">
        <f t="shared" si="40"/>
        <v>-1</v>
      </c>
      <c r="AH130" s="176">
        <f t="shared" si="41"/>
        <v>5</v>
      </c>
      <c r="AI130" s="224">
        <f t="shared" si="42"/>
        <v>-0.93348990510261753</v>
      </c>
      <c r="AJ130" s="264" t="b">
        <f t="shared" si="43"/>
        <v>0</v>
      </c>
      <c r="AK130" s="264" t="b">
        <f t="shared" si="44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5"/>
        <v>43947</v>
      </c>
      <c r="B131" s="607">
        <v>21.829000000000001</v>
      </c>
      <c r="C131" s="388"/>
      <c r="D131" s="391">
        <f t="shared" si="24"/>
        <v>22.018494425884018</v>
      </c>
      <c r="E131" s="383">
        <f t="shared" si="46"/>
        <v>22.908959350230909</v>
      </c>
      <c r="F131" s="383">
        <f t="shared" si="25"/>
        <v>22.908959386521637</v>
      </c>
      <c r="G131" s="110">
        <f t="shared" si="47"/>
        <v>0.36885020441804584</v>
      </c>
      <c r="H131" s="412" t="b">
        <f>Wh_hp&gt;='2019'!Maxi_hp</f>
        <v>0</v>
      </c>
      <c r="I131" s="388">
        <f>IF(H131,Wh_hp,'2019'!Maxi_hp)</f>
        <v>28.441678855068353</v>
      </c>
      <c r="J131" s="85">
        <f>IF(H131,An,'2019'!An_max)</f>
        <v>2018</v>
      </c>
      <c r="K131" s="197">
        <f t="shared" si="26"/>
        <v>43947</v>
      </c>
      <c r="L131" s="147">
        <f>IF(t&lt;Tvie,1-EXP((T0-t)*PertePVj)+'2019'!Pspv,1-EXP((T0-t)*PertePVj)+Pspv)</f>
        <v>8.6061481870103318E-3</v>
      </c>
      <c r="M131" s="832"/>
      <c r="N131" s="832"/>
      <c r="O131" s="48">
        <f>IF(t&lt;Tnet,'2019'!Resal+('2019'!Salim-'2019'!Resal)*(1-EXP(('2019'!Tnet-t)/('2019'!Tau_j))),Resal+(Salim-Resal)*(1-EXP((Tnet-t)/(Tau_j))))*Salcycl</f>
        <v>3.8869723881103109E-2</v>
      </c>
      <c r="P131" s="169">
        <f>(INDEX(Models!$BJ131:$BT131,,T131)*(1-R131)+INDEX(Models!$BJ131:$BT131,,T131+1)*R131-ERP_i)*Q131*Ramure*Pc/MaxiM</f>
        <v>1.6105828577776986E-8</v>
      </c>
      <c r="Q131" s="304">
        <f t="shared" si="27"/>
        <v>0.6</v>
      </c>
      <c r="R131" s="177">
        <f t="shared" si="28"/>
        <v>6.8964395884517415E-2</v>
      </c>
      <c r="S131" s="799">
        <f t="shared" si="29"/>
        <v>-1</v>
      </c>
      <c r="T131" s="176">
        <f t="shared" si="30"/>
        <v>5</v>
      </c>
      <c r="U131" s="250">
        <f t="shared" si="31"/>
        <v>-0.93103560411548258</v>
      </c>
      <c r="V131" s="382">
        <f t="shared" si="32"/>
        <v>59.181205328180717</v>
      </c>
      <c r="W131" s="58"/>
      <c r="X131" s="157">
        <f t="shared" si="33"/>
        <v>43947</v>
      </c>
      <c r="Y131" s="383">
        <f t="shared" si="34"/>
        <v>21.829000000000001</v>
      </c>
      <c r="Z131" s="383">
        <f t="shared" si="35"/>
        <v>22.018494425884018</v>
      </c>
      <c r="AA131" s="384">
        <f t="shared" si="36"/>
        <v>22.908959350230909</v>
      </c>
      <c r="AB131" s="197">
        <f t="shared" si="37"/>
        <v>43947</v>
      </c>
      <c r="AC131" s="424">
        <f>IF(OR(t&lt;Tnet,NoTnet),'2019'!Resal_s+('2019'!Salim-'2019'!Resal_s)*(1-EXP(('2019'!Tnet_s-t)/'2019'!Tau_j)),Resal_s+(Salim-Resal_s)*(1-EXP((Tnet_s-t)/Tau_j)))*Salcycl</f>
        <v>3.8869723881103109E-2</v>
      </c>
      <c r="AD131" s="230">
        <f>(INDEX(Models!$BJ131:$BT131,,AH131)*(1-AF131)+INDEX(Models!$BJ131:$BT131,,AH131+1)*AF131-ERP_i)*AE131*Ramure*Pc/MaxiM</f>
        <v>1.6105828577776986E-8</v>
      </c>
      <c r="AE131" s="304">
        <f t="shared" si="38"/>
        <v>0.6</v>
      </c>
      <c r="AF131" s="177">
        <f t="shared" si="39"/>
        <v>6.8964395884517415E-2</v>
      </c>
      <c r="AG131" s="176">
        <f t="shared" si="40"/>
        <v>-1</v>
      </c>
      <c r="AH131" s="176">
        <f t="shared" si="41"/>
        <v>5</v>
      </c>
      <c r="AI131" s="224">
        <f t="shared" si="42"/>
        <v>-0.93103560411548258</v>
      </c>
      <c r="AJ131" s="264" t="b">
        <f t="shared" si="43"/>
        <v>0</v>
      </c>
      <c r="AK131" s="264" t="b">
        <f t="shared" si="44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5"/>
        <v>43948</v>
      </c>
      <c r="B132" s="607">
        <v>23.068999999999999</v>
      </c>
      <c r="C132" s="388"/>
      <c r="D132" s="391">
        <f t="shared" si="24"/>
        <v>23.269704647055779</v>
      </c>
      <c r="E132" s="383">
        <f t="shared" si="46"/>
        <v>24.21266259404684</v>
      </c>
      <c r="F132" s="383">
        <f t="shared" si="25"/>
        <v>24.212662624262805</v>
      </c>
      <c r="G132" s="110">
        <f t="shared" si="47"/>
        <v>0.38932129537436061</v>
      </c>
      <c r="H132" s="412" t="b">
        <f>Wh_hp&gt;='2019'!Maxi_hp</f>
        <v>0</v>
      </c>
      <c r="I132" s="388">
        <f>IF(H132,Wh_hp,'2019'!Maxi_hp)</f>
        <v>48.436349706395312</v>
      </c>
      <c r="J132" s="85">
        <f>IF(H132,An,'2019'!An_max)</f>
        <v>2018</v>
      </c>
      <c r="K132" s="197">
        <f t="shared" si="26"/>
        <v>43948</v>
      </c>
      <c r="L132" s="147">
        <f>IF(t&lt;Tvie,1-EXP((T0-t)*PertePVj)+'2019'!Pspv,1-EXP((T0-t)*PertePVj)+Pspv)</f>
        <v>8.6251480240070455E-3</v>
      </c>
      <c r="M132" s="832"/>
      <c r="N132" s="832"/>
      <c r="O132" s="48">
        <f>IF(t&lt;Tnet,'2019'!Resal+('2019'!Salim-'2019'!Resal)*(1-EXP(('2019'!Tnet-t)/('2019'!Tau_j))),Resal+(Salim-Resal)*(1-EXP((Tnet-t)/(Tau_j))))*Salcycl</f>
        <v>3.8944826630628718E-2</v>
      </c>
      <c r="P132" s="169">
        <f>(INDEX(Models!$BJ132:$BT132,,T132)*(1-R132)+INDEX(Models!$BJ132:$BT132,,T132+1)*R132-ERP_i)*Q132*Ramure*Pc/MaxiM</f>
        <v>9.7799572550823228E-9</v>
      </c>
      <c r="Q132" s="304">
        <f t="shared" si="27"/>
        <v>0.6</v>
      </c>
      <c r="R132" s="177">
        <f t="shared" si="28"/>
        <v>7.149221992739474E-2</v>
      </c>
      <c r="S132" s="799">
        <f t="shared" si="29"/>
        <v>-1</v>
      </c>
      <c r="T132" s="176">
        <f t="shared" si="30"/>
        <v>5</v>
      </c>
      <c r="U132" s="250">
        <f t="shared" si="31"/>
        <v>-0.92850778007260526</v>
      </c>
      <c r="V132" s="382">
        <f t="shared" si="32"/>
        <v>59.254400099004059</v>
      </c>
      <c r="W132" s="58"/>
      <c r="X132" s="157">
        <f t="shared" si="33"/>
        <v>43948</v>
      </c>
      <c r="Y132" s="383">
        <f t="shared" si="34"/>
        <v>23.068999999999999</v>
      </c>
      <c r="Z132" s="383">
        <f t="shared" si="35"/>
        <v>23.269704647055779</v>
      </c>
      <c r="AA132" s="384">
        <f t="shared" si="36"/>
        <v>24.21266259404684</v>
      </c>
      <c r="AB132" s="197">
        <f t="shared" si="37"/>
        <v>43948</v>
      </c>
      <c r="AC132" s="424">
        <f>IF(OR(t&lt;Tnet,NoTnet),'2019'!Resal_s+('2019'!Salim-'2019'!Resal_s)*(1-EXP(('2019'!Tnet_s-t)/'2019'!Tau_j)),Resal_s+(Salim-Resal_s)*(1-EXP((Tnet_s-t)/Tau_j)))*Salcycl</f>
        <v>3.8944826630628718E-2</v>
      </c>
      <c r="AD132" s="230">
        <f>(INDEX(Models!$BJ132:$BT132,,AH132)*(1-AF132)+INDEX(Models!$BJ132:$BT132,,AH132+1)*AF132-ERP_i)*AE132*Ramure*Pc/MaxiM</f>
        <v>9.7799572550823228E-9</v>
      </c>
      <c r="AE132" s="304">
        <f t="shared" si="38"/>
        <v>0.6</v>
      </c>
      <c r="AF132" s="177">
        <f t="shared" si="39"/>
        <v>7.149221992739474E-2</v>
      </c>
      <c r="AG132" s="176">
        <f t="shared" si="40"/>
        <v>-1</v>
      </c>
      <c r="AH132" s="176">
        <f t="shared" si="41"/>
        <v>5</v>
      </c>
      <c r="AI132" s="224">
        <f t="shared" si="42"/>
        <v>-0.92850778007260526</v>
      </c>
      <c r="AJ132" s="264" t="b">
        <f t="shared" si="43"/>
        <v>0</v>
      </c>
      <c r="AK132" s="264" t="b">
        <f t="shared" si="44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5"/>
        <v>43949</v>
      </c>
      <c r="B133" s="607">
        <v>29.806999999999999</v>
      </c>
      <c r="C133" s="388"/>
      <c r="D133" s="391">
        <f t="shared" si="24"/>
        <v>30.066902742076739</v>
      </c>
      <c r="E133" s="383">
        <f t="shared" si="46"/>
        <v>31.287766084701815</v>
      </c>
      <c r="F133" s="383">
        <f t="shared" si="25"/>
        <v>31.287766129495619</v>
      </c>
      <c r="G133" s="110">
        <f t="shared" si="47"/>
        <v>0.5024350221683217</v>
      </c>
      <c r="H133" s="412" t="b">
        <f>Wh_hp&gt;='2019'!Maxi_hp</f>
        <v>0</v>
      </c>
      <c r="I133" s="388">
        <f>IF(H133,Wh_hp,'2019'!Maxi_hp)</f>
        <v>49.060314253198726</v>
      </c>
      <c r="J133" s="85">
        <f>IF(H133,An,'2019'!An_max)</f>
        <v>2018</v>
      </c>
      <c r="K133" s="197">
        <f t="shared" si="26"/>
        <v>43949</v>
      </c>
      <c r="L133" s="147">
        <f>IF(t&lt;Tvie,1-EXP((T0-t)*PertePVj)+'2019'!Pspv,1-EXP((T0-t)*PertePVj)+Pspv)</f>
        <v>8.6441474968761423E-3</v>
      </c>
      <c r="M133" s="832"/>
      <c r="N133" s="832"/>
      <c r="O133" s="48">
        <f>IF(t&lt;Tnet,'2019'!Resal+('2019'!Salim-'2019'!Resal)*(1-EXP(('2019'!Tnet-t)/('2019'!Tau_j))),Resal+(Salim-Resal)*(1-EXP((Tnet-t)/(Tau_j))))*Salcycl</f>
        <v>3.9020470151814937E-2</v>
      </c>
      <c r="P133" s="169">
        <f>(INDEX(Models!$BJ133:$BT133,,T133)*(1-R133)+INDEX(Models!$BJ133:$BT133,,T133+1)*R133-ERP_i)*Q133*Ramure*Pc/MaxiM</f>
        <v>4.9505765256040025E-9</v>
      </c>
      <c r="Q133" s="304">
        <f t="shared" si="27"/>
        <v>0.6</v>
      </c>
      <c r="R133" s="177">
        <f t="shared" si="28"/>
        <v>7.4094689688526838E-2</v>
      </c>
      <c r="S133" s="799">
        <f t="shared" si="29"/>
        <v>-1</v>
      </c>
      <c r="T133" s="176">
        <f t="shared" si="30"/>
        <v>5</v>
      </c>
      <c r="U133" s="250">
        <f t="shared" si="31"/>
        <v>-0.92590531031147316</v>
      </c>
      <c r="V133" s="382">
        <f t="shared" si="32"/>
        <v>59.325084000864692</v>
      </c>
      <c r="W133" s="58"/>
      <c r="X133" s="157">
        <f t="shared" si="33"/>
        <v>43949</v>
      </c>
      <c r="Y133" s="383">
        <f t="shared" si="34"/>
        <v>29.806999999999999</v>
      </c>
      <c r="Z133" s="383">
        <f t="shared" si="35"/>
        <v>30.066902742076739</v>
      </c>
      <c r="AA133" s="384">
        <f t="shared" si="36"/>
        <v>31.287766084701815</v>
      </c>
      <c r="AB133" s="197">
        <f t="shared" si="37"/>
        <v>43949</v>
      </c>
      <c r="AC133" s="424">
        <f>IF(OR(t&lt;Tnet,NoTnet),'2019'!Resal_s+('2019'!Salim-'2019'!Resal_s)*(1-EXP(('2019'!Tnet_s-t)/'2019'!Tau_j)),Resal_s+(Salim-Resal_s)*(1-EXP((Tnet_s-t)/Tau_j)))*Salcycl</f>
        <v>3.9020470151814937E-2</v>
      </c>
      <c r="AD133" s="230">
        <f>(INDEX(Models!$BJ133:$BT133,,AH133)*(1-AF133)+INDEX(Models!$BJ133:$BT133,,AH133+1)*AF133-ERP_i)*AE133*Ramure*Pc/MaxiM</f>
        <v>4.9505765256040025E-9</v>
      </c>
      <c r="AE133" s="304">
        <f t="shared" si="38"/>
        <v>0.6</v>
      </c>
      <c r="AF133" s="177">
        <f t="shared" si="39"/>
        <v>7.4094689688526838E-2</v>
      </c>
      <c r="AG133" s="176">
        <f t="shared" si="40"/>
        <v>-1</v>
      </c>
      <c r="AH133" s="176">
        <f t="shared" si="41"/>
        <v>5</v>
      </c>
      <c r="AI133" s="224">
        <f t="shared" si="42"/>
        <v>-0.92590531031147316</v>
      </c>
      <c r="AJ133" s="264" t="b">
        <f t="shared" si="43"/>
        <v>0</v>
      </c>
      <c r="AK133" s="264" t="b">
        <f t="shared" si="44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5"/>
        <v>43950</v>
      </c>
      <c r="B134" s="607">
        <v>53.487000000000002</v>
      </c>
      <c r="C134" s="388"/>
      <c r="D134" s="391">
        <f t="shared" si="24"/>
        <v>53.954415007228341</v>
      </c>
      <c r="E134" s="383">
        <f t="shared" si="46"/>
        <v>56.149679477196941</v>
      </c>
      <c r="F134" s="383">
        <f t="shared" si="25"/>
        <v>56.149679557701475</v>
      </c>
      <c r="G134" s="110">
        <f t="shared" si="47"/>
        <v>0.90054898608333478</v>
      </c>
      <c r="H134" s="412" t="b">
        <f>Wh_hp&gt;='2019'!Maxi_hp</f>
        <v>0</v>
      </c>
      <c r="I134" s="388">
        <f>IF(H134,Wh_hp,'2019'!Maxi_hp)</f>
        <v>62.303261019981171</v>
      </c>
      <c r="J134" s="85">
        <f>IF(H134,An,'2019'!An_max)</f>
        <v>2018</v>
      </c>
      <c r="K134" s="197">
        <f t="shared" si="26"/>
        <v>43950</v>
      </c>
      <c r="L134" s="147">
        <f>IF(t&lt;Tvie,1-EXP((T0-t)*PertePVj)+'2019'!Pspv,1-EXP((T0-t)*PertePVj)+Pspv)</f>
        <v>8.6631466056247275E-3</v>
      </c>
      <c r="M134" s="832"/>
      <c r="N134" s="832"/>
      <c r="O134" s="48">
        <f>IF(t&lt;Tnet,'2019'!Resal+('2019'!Salim-'2019'!Resal)*(1-EXP(('2019'!Tnet-t)/('2019'!Tau_j))),Resal+(Salim-Resal)*(1-EXP((Tnet-t)/(Tau_j))))*Salcycl</f>
        <v>3.9096651849279407E-2</v>
      </c>
      <c r="P134" s="169">
        <f>(INDEX(Models!$BJ134:$BT134,,T134)*(1-R134)+INDEX(Models!$BJ134:$BT134,,T134+1)*R134-ERP_i)*Q134*Ramure*Pc/MaxiM</f>
        <v>1.6711778171105831E-9</v>
      </c>
      <c r="Q134" s="304">
        <f t="shared" si="27"/>
        <v>0.6</v>
      </c>
      <c r="R134" s="177">
        <f t="shared" si="28"/>
        <v>7.6772865345805963E-2</v>
      </c>
      <c r="S134" s="799">
        <f t="shared" si="29"/>
        <v>-1</v>
      </c>
      <c r="T134" s="176">
        <f t="shared" si="30"/>
        <v>5</v>
      </c>
      <c r="U134" s="250">
        <f t="shared" si="31"/>
        <v>-0.92322713465419404</v>
      </c>
      <c r="V134" s="382">
        <f t="shared" si="32"/>
        <v>59.393770704163629</v>
      </c>
      <c r="W134" s="58"/>
      <c r="X134" s="157">
        <f t="shared" si="33"/>
        <v>43950</v>
      </c>
      <c r="Y134" s="383">
        <f t="shared" si="34"/>
        <v>53.487000000000002</v>
      </c>
      <c r="Z134" s="383">
        <f t="shared" si="35"/>
        <v>53.954415007228341</v>
      </c>
      <c r="AA134" s="384">
        <f t="shared" si="36"/>
        <v>56.149679477196941</v>
      </c>
      <c r="AB134" s="197">
        <f t="shared" si="37"/>
        <v>43950</v>
      </c>
      <c r="AC134" s="424">
        <f>IF(OR(t&lt;Tnet,NoTnet),'2019'!Resal_s+('2019'!Salim-'2019'!Resal_s)*(1-EXP(('2019'!Tnet_s-t)/'2019'!Tau_j)),Resal_s+(Salim-Resal_s)*(1-EXP((Tnet_s-t)/Tau_j)))*Salcycl</f>
        <v>3.9096651849279407E-2</v>
      </c>
      <c r="AD134" s="230">
        <f>(INDEX(Models!$BJ134:$BT134,,AH134)*(1-AF134)+INDEX(Models!$BJ134:$BT134,,AH134+1)*AF134-ERP_i)*AE134*Ramure*Pc/MaxiM</f>
        <v>1.6711778171105831E-9</v>
      </c>
      <c r="AE134" s="304">
        <f t="shared" si="38"/>
        <v>0.6</v>
      </c>
      <c r="AF134" s="177">
        <f t="shared" si="39"/>
        <v>7.6772865345805963E-2</v>
      </c>
      <c r="AG134" s="176">
        <f t="shared" si="40"/>
        <v>-1</v>
      </c>
      <c r="AH134" s="176">
        <f t="shared" si="41"/>
        <v>5</v>
      </c>
      <c r="AI134" s="224">
        <f t="shared" si="42"/>
        <v>-0.92322713465419404</v>
      </c>
      <c r="AJ134" s="264" t="b">
        <f t="shared" si="43"/>
        <v>0</v>
      </c>
      <c r="AK134" s="264" t="b">
        <f t="shared" si="44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5"/>
        <v>43951</v>
      </c>
      <c r="B135" s="607">
        <v>42.136000000000003</v>
      </c>
      <c r="C135" s="388"/>
      <c r="D135" s="391">
        <f t="shared" si="24"/>
        <v>42.505034891041895</v>
      </c>
      <c r="E135" s="383">
        <f t="shared" si="46"/>
        <v>44.237985786930949</v>
      </c>
      <c r="F135" s="383">
        <f t="shared" si="25"/>
        <v>44.237985786930949</v>
      </c>
      <c r="G135" s="110">
        <f t="shared" si="47"/>
        <v>0.70865343993659546</v>
      </c>
      <c r="H135" s="412" t="b">
        <f>Wh_hp&gt;='2019'!Maxi_hp</f>
        <v>0</v>
      </c>
      <c r="I135" s="388">
        <f>IF(H135,Wh_hp,'2019'!Maxi_hp)</f>
        <v>58.712576893324226</v>
      </c>
      <c r="J135" s="85">
        <f>IF(H135,An,'2019'!An_max)</f>
        <v>2018</v>
      </c>
      <c r="K135" s="197">
        <f t="shared" si="26"/>
        <v>43951</v>
      </c>
      <c r="L135" s="147">
        <f>IF(t&lt;Tvie,1-EXP((T0-t)*PertePVj)+'2019'!Pspv,1-EXP((T0-t)*PertePVj)+Pspv)</f>
        <v>8.6821453502597956E-3</v>
      </c>
      <c r="M135" s="832"/>
      <c r="N135" s="832"/>
      <c r="O135" s="48">
        <f>IF(t&lt;Tnet,'2019'!Resal+('2019'!Salim-'2019'!Resal)*(1-EXP(('2019'!Tnet-t)/('2019'!Tau_j))),Resal+(Salim-Resal)*(1-EXP((Tnet-t)/(Tau_j))))*Salcycl</f>
        <v>3.9173367979177177E-2</v>
      </c>
      <c r="P135" s="169">
        <f>(INDEX(Models!$BJ135:$BT135,,T135)*(1-R135)+INDEX(Models!$BJ135:$BT135,,T135+1)*R135-ERP_i)*Q135*Ramure*Pc/MaxiM</f>
        <v>0</v>
      </c>
      <c r="Q135" s="304">
        <f t="shared" si="27"/>
        <v>0.6</v>
      </c>
      <c r="R135" s="177">
        <f t="shared" si="28"/>
        <v>7.952773810386593E-2</v>
      </c>
      <c r="S135" s="799">
        <f t="shared" si="29"/>
        <v>-1</v>
      </c>
      <c r="T135" s="176">
        <f t="shared" si="30"/>
        <v>5</v>
      </c>
      <c r="U135" s="250">
        <f t="shared" si="31"/>
        <v>-0.92047226189613407</v>
      </c>
      <c r="V135" s="382">
        <f t="shared" si="32"/>
        <v>59.459247109235775</v>
      </c>
      <c r="W135" s="58"/>
      <c r="X135" s="157">
        <f t="shared" si="33"/>
        <v>43951</v>
      </c>
      <c r="Y135" s="383">
        <f t="shared" si="34"/>
        <v>42.136000000000003</v>
      </c>
      <c r="Z135" s="383">
        <f t="shared" si="35"/>
        <v>42.505034891041895</v>
      </c>
      <c r="AA135" s="384">
        <f t="shared" si="36"/>
        <v>44.237985786930949</v>
      </c>
      <c r="AB135" s="197">
        <f t="shared" si="37"/>
        <v>43951</v>
      </c>
      <c r="AC135" s="424">
        <f>IF(OR(t&lt;Tnet,NoTnet),'2019'!Resal_s+('2019'!Salim-'2019'!Resal_s)*(1-EXP(('2019'!Tnet_s-t)/'2019'!Tau_j)),Resal_s+(Salim-Resal_s)*(1-EXP((Tnet_s-t)/Tau_j)))*Salcycl</f>
        <v>3.9173367979177177E-2</v>
      </c>
      <c r="AD135" s="230">
        <f>(INDEX(Models!$BJ135:$BT135,,AH135)*(1-AF135)+INDEX(Models!$BJ135:$BT135,,AH135+1)*AF135-ERP_i)*AE135*Ramure*Pc/MaxiM</f>
        <v>0</v>
      </c>
      <c r="AE135" s="304">
        <f t="shared" si="38"/>
        <v>0.6</v>
      </c>
      <c r="AF135" s="177">
        <f t="shared" si="39"/>
        <v>7.952773810386593E-2</v>
      </c>
      <c r="AG135" s="176">
        <f t="shared" si="40"/>
        <v>-1</v>
      </c>
      <c r="AH135" s="176">
        <f t="shared" si="41"/>
        <v>5</v>
      </c>
      <c r="AI135" s="224">
        <f t="shared" si="42"/>
        <v>-0.92047226189613407</v>
      </c>
      <c r="AJ135" s="264" t="b">
        <f t="shared" si="43"/>
        <v>0</v>
      </c>
      <c r="AK135" s="264" t="b">
        <f t="shared" si="44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5"/>
        <v>43952</v>
      </c>
      <c r="B136" s="607">
        <v>21.363</v>
      </c>
      <c r="C136" s="388"/>
      <c r="D136" s="391">
        <f t="shared" si="24"/>
        <v>21.550514120837789</v>
      </c>
      <c r="E136" s="383">
        <f t="shared" si="46"/>
        <v>22.430942372810122</v>
      </c>
      <c r="F136" s="383">
        <f t="shared" si="25"/>
        <v>22.430942372810122</v>
      </c>
      <c r="G136" s="110">
        <f t="shared" si="47"/>
        <v>0.35892079469404281</v>
      </c>
      <c r="H136" s="412" t="b">
        <f>Wh_hp&gt;='2019'!Maxi_hp</f>
        <v>0</v>
      </c>
      <c r="I136" s="388">
        <f>IF(H136,Wh_hp,'2019'!Maxi_hp)</f>
        <v>31.910127048016342</v>
      </c>
      <c r="J136" s="85">
        <f>IF(H136,An,'2019'!An_max)</f>
        <v>2018</v>
      </c>
      <c r="K136" s="197">
        <f t="shared" si="26"/>
        <v>43952</v>
      </c>
      <c r="L136" s="147">
        <f>IF(t&lt;Tvie,1-EXP((T0-t)*PertePVj)+'2019'!Pspv,1-EXP((T0-t)*PertePVj)+Pspv)</f>
        <v>8.70114373078823E-3</v>
      </c>
      <c r="M136" s="832"/>
      <c r="N136" s="832"/>
      <c r="O136" s="48">
        <f>IF(t&lt;Tnet,'2019'!Resal+('2019'!Salim-'2019'!Resal)*(1-EXP(('2019'!Tnet-t)/('2019'!Tau_j))),Resal+(Salim-Resal)*(1-EXP((Tnet-t)/(Tau_j))))*Salcycl</f>
        <v>3.9250613609509044E-2</v>
      </c>
      <c r="P136" s="169">
        <f>(INDEX(Models!$BJ136:$BT136,,T136)*(1-R136)+INDEX(Models!$BJ136:$BT136,,T136+1)*R136-ERP_i)*Q136*Ramure*Pc/MaxiM</f>
        <v>0</v>
      </c>
      <c r="Q136" s="304">
        <f t="shared" si="27"/>
        <v>0.6</v>
      </c>
      <c r="R136" s="177">
        <f t="shared" si="28"/>
        <v>8.2360223539301058E-2</v>
      </c>
      <c r="S136" s="799">
        <f t="shared" si="29"/>
        <v>-1</v>
      </c>
      <c r="T136" s="176">
        <f t="shared" si="30"/>
        <v>5</v>
      </c>
      <c r="U136" s="250">
        <f t="shared" si="31"/>
        <v>-0.91763977646069894</v>
      </c>
      <c r="V136" s="382">
        <f t="shared" si="32"/>
        <v>59.520095563731829</v>
      </c>
      <c r="W136" s="58"/>
      <c r="X136" s="157">
        <f t="shared" si="33"/>
        <v>43952</v>
      </c>
      <c r="Y136" s="383">
        <f t="shared" si="34"/>
        <v>21.363</v>
      </c>
      <c r="Z136" s="383">
        <f t="shared" si="35"/>
        <v>21.550514120837789</v>
      </c>
      <c r="AA136" s="384">
        <f t="shared" si="36"/>
        <v>22.430942372810122</v>
      </c>
      <c r="AB136" s="197">
        <f t="shared" si="37"/>
        <v>43952</v>
      </c>
      <c r="AC136" s="424">
        <f>IF(OR(t&lt;Tnet,NoTnet),'2019'!Resal_s+('2019'!Salim-'2019'!Resal_s)*(1-EXP(('2019'!Tnet_s-t)/'2019'!Tau_j)),Resal_s+(Salim-Resal_s)*(1-EXP((Tnet_s-t)/Tau_j)))*Salcycl</f>
        <v>3.9250613609509044E-2</v>
      </c>
      <c r="AD136" s="230">
        <f>(INDEX(Models!$BJ136:$BT136,,AH136)*(1-AF136)+INDEX(Models!$BJ136:$BT136,,AH136+1)*AF136-ERP_i)*AE136*Ramure*Pc/MaxiM</f>
        <v>0</v>
      </c>
      <c r="AE136" s="304">
        <f t="shared" si="38"/>
        <v>0.6</v>
      </c>
      <c r="AF136" s="177">
        <f t="shared" si="39"/>
        <v>8.2360223539301058E-2</v>
      </c>
      <c r="AG136" s="176">
        <f t="shared" si="40"/>
        <v>-1</v>
      </c>
      <c r="AH136" s="176">
        <f t="shared" si="41"/>
        <v>5</v>
      </c>
      <c r="AI136" s="224">
        <f t="shared" si="42"/>
        <v>-0.91763977646069894</v>
      </c>
      <c r="AJ136" s="264" t="b">
        <f t="shared" si="43"/>
        <v>0</v>
      </c>
      <c r="AK136" s="264" t="b">
        <f t="shared" si="44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5"/>
        <v>43953</v>
      </c>
      <c r="B137" s="607">
        <v>32.365000000000002</v>
      </c>
      <c r="C137" s="388"/>
      <c r="D137" s="391">
        <f t="shared" si="24"/>
        <v>32.649710100078231</v>
      </c>
      <c r="E137" s="383">
        <f t="shared" si="46"/>
        <v>33.98633779546067</v>
      </c>
      <c r="F137" s="383">
        <f t="shared" si="25"/>
        <v>33.98633779546067</v>
      </c>
      <c r="G137" s="110">
        <f t="shared" si="47"/>
        <v>0.54325090516566277</v>
      </c>
      <c r="H137" s="412" t="b">
        <f>Wh_hp&gt;='2019'!Maxi_hp</f>
        <v>1</v>
      </c>
      <c r="I137" s="388">
        <f>IF(H137,Wh_hp,'2019'!Maxi_hp)</f>
        <v>33.98633779546067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8.7201417472170251E-3</v>
      </c>
      <c r="M137" s="832"/>
      <c r="N137" s="832"/>
      <c r="O137" s="48">
        <f>IF(t&lt;Tnet,'2019'!Resal+('2019'!Salim-'2019'!Resal)*(1-EXP(('2019'!Tnet-t)/('2019'!Tau_j))),Resal+(Salim-Resal)*(1-EXP((Tnet-t)/(Tau_j))))*Salcycl</f>
        <v>3.9328382582043492E-2</v>
      </c>
      <c r="P137" s="169">
        <f>(INDEX(Models!$BJ137:$BT137,,T137)*(1-R137)+INDEX(Models!$BJ137:$BT137,,T137+1)*R137-ERP_i)*Q137*Ramure*Pc/MaxiM</f>
        <v>0</v>
      </c>
      <c r="Q137" s="304">
        <f t="shared" si="27"/>
        <v>0.6</v>
      </c>
      <c r="R137" s="177">
        <f t="shared" si="28"/>
        <v>8.5271154804864802E-2</v>
      </c>
      <c r="S137" s="799">
        <f t="shared" si="29"/>
        <v>-1</v>
      </c>
      <c r="T137" s="176">
        <f t="shared" si="30"/>
        <v>5</v>
      </c>
      <c r="U137" s="250">
        <f t="shared" si="31"/>
        <v>-0.9147288451951352</v>
      </c>
      <c r="V137" s="382">
        <f t="shared" si="32"/>
        <v>59.576522914638112</v>
      </c>
      <c r="W137" s="58"/>
      <c r="X137" s="157">
        <f t="shared" si="33"/>
        <v>43953</v>
      </c>
      <c r="Y137" s="383">
        <f t="shared" si="34"/>
        <v>32.365000000000002</v>
      </c>
      <c r="Z137" s="383">
        <f t="shared" si="35"/>
        <v>32.649710100078231</v>
      </c>
      <c r="AA137" s="384">
        <f t="shared" si="36"/>
        <v>33.98633779546067</v>
      </c>
      <c r="AB137" s="197">
        <f t="shared" si="37"/>
        <v>43953</v>
      </c>
      <c r="AC137" s="424">
        <f>IF(OR(t&lt;Tnet,NoTnet),'2019'!Resal_s+('2019'!Salim-'2019'!Resal_s)*(1-EXP(('2019'!Tnet_s-t)/'2019'!Tau_j)),Resal_s+(Salim-Resal_s)*(1-EXP((Tnet_s-t)/Tau_j)))*Salcycl</f>
        <v>3.9328382582043492E-2</v>
      </c>
      <c r="AD137" s="230">
        <f>(INDEX(Models!$BJ137:$BT137,,AH137)*(1-AF137)+INDEX(Models!$BJ137:$BT137,,AH137+1)*AF137-ERP_i)*AE137*Ramure*Pc/MaxiM</f>
        <v>0</v>
      </c>
      <c r="AE137" s="304">
        <f t="shared" si="38"/>
        <v>0.6</v>
      </c>
      <c r="AF137" s="177">
        <f t="shared" si="39"/>
        <v>8.5271154804864802E-2</v>
      </c>
      <c r="AG137" s="176">
        <f t="shared" si="40"/>
        <v>-1</v>
      </c>
      <c r="AH137" s="176">
        <f t="shared" si="41"/>
        <v>5</v>
      </c>
      <c r="AI137" s="224">
        <f t="shared" si="42"/>
        <v>-0.9147288451951352</v>
      </c>
      <c r="AJ137" s="264" t="b">
        <f t="shared" si="43"/>
        <v>0</v>
      </c>
      <c r="AK137" s="264" t="b">
        <f t="shared" si="44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5"/>
        <v>43954</v>
      </c>
      <c r="B138" s="607">
        <v>50.613</v>
      </c>
      <c r="C138" s="388"/>
      <c r="D138" s="391">
        <f t="shared" si="24"/>
        <v>51.059213585152207</v>
      </c>
      <c r="E138" s="383">
        <f t="shared" si="46"/>
        <v>53.153828843479751</v>
      </c>
      <c r="F138" s="383">
        <f t="shared" si="25"/>
        <v>53.153828843479751</v>
      </c>
      <c r="G138" s="110">
        <f t="shared" si="47"/>
        <v>0.84880216259038188</v>
      </c>
      <c r="H138" s="412" t="b">
        <f>Wh_hp&gt;='2019'!Maxi_hp</f>
        <v>1</v>
      </c>
      <c r="I138" s="388">
        <f>IF(H138,Wh_hp,'2019'!Maxi_hp)</f>
        <v>53.153828843479751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8.7391393995531752E-3</v>
      </c>
      <c r="M138" s="832"/>
      <c r="N138" s="832"/>
      <c r="O138" s="48">
        <f>IF(t&lt;Tnet,'2019'!Resal+('2019'!Salim-'2019'!Resal)*(1-EXP(('2019'!Tnet-t)/('2019'!Tau_j))),Resal+(Salim-Resal)*(1-EXP((Tnet-t)/(Tau_j))))*Salcycl</f>
        <v>3.9406667476307063E-2</v>
      </c>
      <c r="P138" s="169">
        <f>(INDEX(Models!$BJ138:$BT138,,T138)*(1-R138)+INDEX(Models!$BJ138:$BT138,,T138+1)*R138-ERP_i)*Q138*Ramure*Pc/MaxiM</f>
        <v>0</v>
      </c>
      <c r="Q138" s="304">
        <f t="shared" si="27"/>
        <v>0.6</v>
      </c>
      <c r="R138" s="177">
        <f t="shared" si="28"/>
        <v>8.8261275721155275E-2</v>
      </c>
      <c r="S138" s="799">
        <f t="shared" si="29"/>
        <v>-1</v>
      </c>
      <c r="T138" s="176">
        <f t="shared" si="30"/>
        <v>5</v>
      </c>
      <c r="U138" s="250">
        <f t="shared" si="31"/>
        <v>-0.91173872427884473</v>
      </c>
      <c r="V138" s="382">
        <f t="shared" si="32"/>
        <v>59.628735918319066</v>
      </c>
      <c r="W138" s="58"/>
      <c r="X138" s="157">
        <f t="shared" si="33"/>
        <v>43954</v>
      </c>
      <c r="Y138" s="383">
        <f t="shared" si="34"/>
        <v>50.613</v>
      </c>
      <c r="Z138" s="383">
        <f t="shared" si="35"/>
        <v>51.059213585152207</v>
      </c>
      <c r="AA138" s="384">
        <f t="shared" si="36"/>
        <v>53.153828843479751</v>
      </c>
      <c r="AB138" s="197">
        <f t="shared" si="37"/>
        <v>43954</v>
      </c>
      <c r="AC138" s="424">
        <f>IF(OR(t&lt;Tnet,NoTnet),'2019'!Resal_s+('2019'!Salim-'2019'!Resal_s)*(1-EXP(('2019'!Tnet_s-t)/'2019'!Tau_j)),Resal_s+(Salim-Resal_s)*(1-EXP((Tnet_s-t)/Tau_j)))*Salcycl</f>
        <v>3.9406667476307063E-2</v>
      </c>
      <c r="AD138" s="230">
        <f>(INDEX(Models!$BJ138:$BT138,,AH138)*(1-AF138)+INDEX(Models!$BJ138:$BT138,,AH138+1)*AF138-ERP_i)*AE138*Ramure*Pc/MaxiM</f>
        <v>0</v>
      </c>
      <c r="AE138" s="304">
        <f t="shared" si="38"/>
        <v>0.6</v>
      </c>
      <c r="AF138" s="177">
        <f t="shared" si="39"/>
        <v>8.8261275721155275E-2</v>
      </c>
      <c r="AG138" s="176">
        <f t="shared" si="40"/>
        <v>-1</v>
      </c>
      <c r="AH138" s="176">
        <f t="shared" si="41"/>
        <v>5</v>
      </c>
      <c r="AI138" s="224">
        <f t="shared" si="42"/>
        <v>-0.91173872427884473</v>
      </c>
      <c r="AJ138" s="264" t="b">
        <f t="shared" si="43"/>
        <v>0</v>
      </c>
      <c r="AK138" s="264" t="b">
        <f t="shared" si="44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5"/>
        <v>43955</v>
      </c>
      <c r="B139" s="607">
        <v>59.216000000000001</v>
      </c>
      <c r="C139" s="388"/>
      <c r="D139" s="391">
        <f t="shared" si="24"/>
        <v>59.739204115262062</v>
      </c>
      <c r="E139" s="383">
        <f t="shared" si="46"/>
        <v>62.195002367063097</v>
      </c>
      <c r="F139" s="383">
        <f t="shared" si="25"/>
        <v>62.195002367063097</v>
      </c>
      <c r="G139" s="110">
        <f t="shared" si="47"/>
        <v>0.99227605608197145</v>
      </c>
      <c r="H139" s="412" t="b">
        <f>Wh_hp&gt;='2019'!Maxi_hp</f>
        <v>1</v>
      </c>
      <c r="I139" s="388">
        <f>IF(H139,Wh_hp,'2019'!Maxi_hp)</f>
        <v>62.195002367063097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8.7581366878035638E-3</v>
      </c>
      <c r="M139" s="832"/>
      <c r="N139" s="832"/>
      <c r="O139" s="48">
        <f>IF(t&lt;Tnet,'2019'!Resal+('2019'!Salim-'2019'!Resal)*(1-EXP(('2019'!Tnet-t)/('2019'!Tau_j))),Resal+(Salim-Resal)*(1-EXP((Tnet-t)/(Tau_j))))*Salcycl</f>
        <v>3.9485459576114844E-2</v>
      </c>
      <c r="P139" s="169">
        <f>(INDEX(Models!$BJ139:$BT139,,T139)*(1-R139)+INDEX(Models!$BJ139:$BT139,,T139+1)*R139-ERP_i)*Q139*Ramure*Pc/MaxiM</f>
        <v>0</v>
      </c>
      <c r="Q139" s="304">
        <f t="shared" si="27"/>
        <v>0.6</v>
      </c>
      <c r="R139" s="177">
        <f t="shared" si="28"/>
        <v>9.1331233787731669E-2</v>
      </c>
      <c r="S139" s="799">
        <f t="shared" si="29"/>
        <v>-1</v>
      </c>
      <c r="T139" s="176">
        <f t="shared" si="30"/>
        <v>5</v>
      </c>
      <c r="U139" s="250">
        <f t="shared" si="31"/>
        <v>-0.90866876621226833</v>
      </c>
      <c r="V139" s="382">
        <f t="shared" si="32"/>
        <v>59.676941348172761</v>
      </c>
      <c r="W139" s="58"/>
      <c r="X139" s="157">
        <f t="shared" si="33"/>
        <v>43955</v>
      </c>
      <c r="Y139" s="383">
        <f t="shared" si="34"/>
        <v>59.216000000000001</v>
      </c>
      <c r="Z139" s="383">
        <f t="shared" si="35"/>
        <v>59.739204115262062</v>
      </c>
      <c r="AA139" s="384">
        <f t="shared" si="36"/>
        <v>62.195002367063097</v>
      </c>
      <c r="AB139" s="197">
        <f t="shared" si="37"/>
        <v>43955</v>
      </c>
      <c r="AC139" s="424">
        <f>IF(OR(t&lt;Tnet,NoTnet),'2019'!Resal_s+('2019'!Salim-'2019'!Resal_s)*(1-EXP(('2019'!Tnet_s-t)/'2019'!Tau_j)),Resal_s+(Salim-Resal_s)*(1-EXP((Tnet_s-t)/Tau_j)))*Salcycl</f>
        <v>3.9485459576114844E-2</v>
      </c>
      <c r="AD139" s="230">
        <f>(INDEX(Models!$BJ139:$BT139,,AH139)*(1-AF139)+INDEX(Models!$BJ139:$BT139,,AH139+1)*AF139-ERP_i)*AE139*Ramure*Pc/MaxiM</f>
        <v>0</v>
      </c>
      <c r="AE139" s="304">
        <f t="shared" si="38"/>
        <v>0.6</v>
      </c>
      <c r="AF139" s="177">
        <f t="shared" si="39"/>
        <v>9.1331233787731669E-2</v>
      </c>
      <c r="AG139" s="176">
        <f t="shared" si="40"/>
        <v>-1</v>
      </c>
      <c r="AH139" s="176">
        <f t="shared" si="41"/>
        <v>5</v>
      </c>
      <c r="AI139" s="224">
        <f t="shared" si="42"/>
        <v>-0.90866876621226833</v>
      </c>
      <c r="AJ139" s="264" t="b">
        <f t="shared" si="43"/>
        <v>0</v>
      </c>
      <c r="AK139" s="264" t="b">
        <f t="shared" si="44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5"/>
        <v>43956</v>
      </c>
      <c r="B140" s="607">
        <v>49.904000000000003</v>
      </c>
      <c r="C140" s="388"/>
      <c r="D140" s="391">
        <f t="shared" si="24"/>
        <v>50.345892626396051</v>
      </c>
      <c r="E140" s="383">
        <f t="shared" si="46"/>
        <v>52.419871683742471</v>
      </c>
      <c r="F140" s="383">
        <f t="shared" si="25"/>
        <v>52.419871683742471</v>
      </c>
      <c r="G140" s="110">
        <f t="shared" si="47"/>
        <v>0.83561412039993188</v>
      </c>
      <c r="H140" s="412" t="b">
        <f>Wh_hp&gt;='2019'!Maxi_hp</f>
        <v>0</v>
      </c>
      <c r="I140" s="388">
        <f>IF(H140,Wh_hp,'2019'!Maxi_hp)</f>
        <v>64.219243698545085</v>
      </c>
      <c r="J140" s="85">
        <f>IF(H140,An,'2019'!An_max)</f>
        <v>2018</v>
      </c>
      <c r="K140" s="197">
        <f t="shared" si="26"/>
        <v>43956</v>
      </c>
      <c r="L140" s="147">
        <f>IF(t&lt;Tvie,1-EXP((T0-t)*PertePVj)+'2019'!Pspv,1-EXP((T0-t)*PertePVj)+Pspv)</f>
        <v>8.7771336119754073E-3</v>
      </c>
      <c r="M140" s="832"/>
      <c r="N140" s="832"/>
      <c r="O140" s="48">
        <f>IF(t&lt;Tnet,'2019'!Resal+('2019'!Salim-'2019'!Resal)*(1-EXP(('2019'!Tnet-t)/('2019'!Tau_j))),Resal+(Salim-Resal)*(1-EXP((Tnet-t)/(Tau_j))))*Salcycl</f>
        <v>3.9564748839124711E-2</v>
      </c>
      <c r="P140" s="169">
        <f>(INDEX(Models!$BJ140:$BT140,,T140)*(1-R140)+INDEX(Models!$BJ140:$BT140,,T140+1)*R140-ERP_i)*Q140*Ramure*Pc/MaxiM</f>
        <v>1.2016492217106695E-20</v>
      </c>
      <c r="Q140" s="304">
        <f t="shared" si="27"/>
        <v>0.6</v>
      </c>
      <c r="R140" s="177">
        <f t="shared" si="28"/>
        <v>9.4481573149073017E-2</v>
      </c>
      <c r="S140" s="799">
        <f t="shared" si="29"/>
        <v>-1</v>
      </c>
      <c r="T140" s="176">
        <f t="shared" si="30"/>
        <v>5</v>
      </c>
      <c r="U140" s="250">
        <f t="shared" si="31"/>
        <v>-0.90551842685092698</v>
      </c>
      <c r="V140" s="382">
        <f t="shared" si="32"/>
        <v>59.721345991754589</v>
      </c>
      <c r="W140" s="58"/>
      <c r="X140" s="157">
        <f t="shared" si="33"/>
        <v>43956</v>
      </c>
      <c r="Y140" s="383">
        <f t="shared" si="34"/>
        <v>49.904000000000003</v>
      </c>
      <c r="Z140" s="383">
        <f t="shared" si="35"/>
        <v>50.345892626396051</v>
      </c>
      <c r="AA140" s="384">
        <f t="shared" si="36"/>
        <v>52.419871683742471</v>
      </c>
      <c r="AB140" s="197">
        <f t="shared" si="37"/>
        <v>43956</v>
      </c>
      <c r="AC140" s="424">
        <f>IF(OR(t&lt;Tnet,NoTnet),'2019'!Resal_s+('2019'!Salim-'2019'!Resal_s)*(1-EXP(('2019'!Tnet_s-t)/'2019'!Tau_j)),Resal_s+(Salim-Resal_s)*(1-EXP((Tnet_s-t)/Tau_j)))*Salcycl</f>
        <v>3.9564748839124711E-2</v>
      </c>
      <c r="AD140" s="230">
        <f>(INDEX(Models!$BJ140:$BT140,,AH140)*(1-AF140)+INDEX(Models!$BJ140:$BT140,,AH140+1)*AF140-ERP_i)*AE140*Ramure*Pc/MaxiM</f>
        <v>1.2016492217106695E-20</v>
      </c>
      <c r="AE140" s="304">
        <f t="shared" si="38"/>
        <v>0.6</v>
      </c>
      <c r="AF140" s="177">
        <f t="shared" si="39"/>
        <v>9.4481573149073017E-2</v>
      </c>
      <c r="AG140" s="176">
        <f t="shared" si="40"/>
        <v>-1</v>
      </c>
      <c r="AH140" s="176">
        <f t="shared" si="41"/>
        <v>5</v>
      </c>
      <c r="AI140" s="224">
        <f t="shared" si="42"/>
        <v>-0.90551842685092698</v>
      </c>
      <c r="AJ140" s="264" t="b">
        <f t="shared" si="43"/>
        <v>0</v>
      </c>
      <c r="AK140" s="264" t="b">
        <f t="shared" si="44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5"/>
        <v>43957</v>
      </c>
      <c r="B141" s="607">
        <v>57.366999999999997</v>
      </c>
      <c r="C141" s="388"/>
      <c r="D141" s="391">
        <f t="shared" si="24"/>
        <v>57.876085582635035</v>
      </c>
      <c r="E141" s="383">
        <f t="shared" si="46"/>
        <v>60.265273662889911</v>
      </c>
      <c r="F141" s="383">
        <f t="shared" si="25"/>
        <v>60.265273662889911</v>
      </c>
      <c r="G141" s="110">
        <f t="shared" si="47"/>
        <v>0.9599218505104149</v>
      </c>
      <c r="H141" s="412" t="b">
        <f>Wh_hp&gt;='2019'!Maxi_hp</f>
        <v>1</v>
      </c>
      <c r="I141" s="388">
        <f>IF(H141,Wh_hp,'2019'!Maxi_hp)</f>
        <v>60.265273662889911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8.7961301720754781E-3</v>
      </c>
      <c r="M141" s="832"/>
      <c r="N141" s="832"/>
      <c r="O141" s="48">
        <f>IF(t&lt;Tnet,'2019'!Resal+('2019'!Salim-'2019'!Resal)*(1-EXP(('2019'!Tnet-t)/('2019'!Tau_j))),Resal+(Salim-Resal)*(1-EXP((Tnet-t)/(Tau_j))))*Salcycl</f>
        <v>3.9644523869906328E-2</v>
      </c>
      <c r="P141" s="169">
        <f>(INDEX(Models!$BJ141:$BT141,,T141)*(1-R141)+INDEX(Models!$BJ141:$BT141,,T141+1)*R141-ERP_i)*Q141*Ramure*Pc/MaxiM</f>
        <v>0</v>
      </c>
      <c r="Q141" s="304">
        <f t="shared" si="27"/>
        <v>0.6</v>
      </c>
      <c r="R141" s="177">
        <f t="shared" si="28"/>
        <v>9.7712727554225332E-2</v>
      </c>
      <c r="S141" s="799">
        <f t="shared" si="29"/>
        <v>-1</v>
      </c>
      <c r="T141" s="176">
        <f t="shared" si="30"/>
        <v>5</v>
      </c>
      <c r="U141" s="250">
        <f t="shared" si="31"/>
        <v>-0.90228727244577467</v>
      </c>
      <c r="V141" s="382">
        <f t="shared" si="32"/>
        <v>59.762156647956814</v>
      </c>
      <c r="W141" s="58"/>
      <c r="X141" s="157">
        <f t="shared" si="33"/>
        <v>43957</v>
      </c>
      <c r="Y141" s="383">
        <f t="shared" si="34"/>
        <v>57.366999999999997</v>
      </c>
      <c r="Z141" s="383">
        <f t="shared" si="35"/>
        <v>57.876085582635035</v>
      </c>
      <c r="AA141" s="384">
        <f t="shared" si="36"/>
        <v>60.265273662889911</v>
      </c>
      <c r="AB141" s="197">
        <f t="shared" si="37"/>
        <v>43957</v>
      </c>
      <c r="AC141" s="424">
        <f>IF(OR(t&lt;Tnet,NoTnet),'2019'!Resal_s+('2019'!Salim-'2019'!Resal_s)*(1-EXP(('2019'!Tnet_s-t)/'2019'!Tau_j)),Resal_s+(Salim-Resal_s)*(1-EXP((Tnet_s-t)/Tau_j)))*Salcycl</f>
        <v>3.9644523869906328E-2</v>
      </c>
      <c r="AD141" s="230">
        <f>(INDEX(Models!$BJ141:$BT141,,AH141)*(1-AF141)+INDEX(Models!$BJ141:$BT141,,AH141+1)*AF141-ERP_i)*AE141*Ramure*Pc/MaxiM</f>
        <v>0</v>
      </c>
      <c r="AE141" s="304">
        <f t="shared" si="38"/>
        <v>0.6</v>
      </c>
      <c r="AF141" s="177">
        <f t="shared" si="39"/>
        <v>9.7712727554225332E-2</v>
      </c>
      <c r="AG141" s="176">
        <f t="shared" si="40"/>
        <v>-1</v>
      </c>
      <c r="AH141" s="176">
        <f t="shared" si="41"/>
        <v>5</v>
      </c>
      <c r="AI141" s="224">
        <f t="shared" si="42"/>
        <v>-0.90228727244577467</v>
      </c>
      <c r="AJ141" s="264" t="b">
        <f t="shared" si="43"/>
        <v>0</v>
      </c>
      <c r="AK141" s="264" t="b">
        <f t="shared" si="44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5"/>
        <v>43958</v>
      </c>
      <c r="B142" s="607">
        <v>53.116</v>
      </c>
      <c r="C142" s="388"/>
      <c r="D142" s="391">
        <f t="shared" si="24"/>
        <v>53.588388415748227</v>
      </c>
      <c r="E142" s="383">
        <f t="shared" si="46"/>
        <v>55.805238797643128</v>
      </c>
      <c r="F142" s="383">
        <f t="shared" si="25"/>
        <v>55.805238797643128</v>
      </c>
      <c r="G142" s="110">
        <f t="shared" si="47"/>
        <v>0.88823366117045399</v>
      </c>
      <c r="H142" s="412" t="b">
        <f>Wh_hp&gt;='2019'!Maxi_hp</f>
        <v>1</v>
      </c>
      <c r="I142" s="388">
        <f>IF(H142,Wh_hp,'2019'!Maxi_hp)</f>
        <v>55.805238797643128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8.8151263681107705E-3</v>
      </c>
      <c r="M142" s="832"/>
      <c r="N142" s="832"/>
      <c r="O142" s="48">
        <f>IF(t&lt;Tnet,'2019'!Resal+('2019'!Salim-'2019'!Resal)*(1-EXP(('2019'!Tnet-t)/('2019'!Tau_j))),Resal+(Salim-Resal)*(1-EXP((Tnet-t)/(Tau_j))))*Salcycl</f>
        <v>3.9724771897016446E-2</v>
      </c>
      <c r="P142" s="169">
        <f>(INDEX(Models!$BJ142:$BT142,,T142)*(1-R142)+INDEX(Models!$BJ142:$BT142,,T142+1)*R142-ERP_i)*Q142*Ramure*Pc/MaxiM</f>
        <v>0</v>
      </c>
      <c r="Q142" s="304">
        <f t="shared" si="27"/>
        <v>0.6</v>
      </c>
      <c r="R142" s="177">
        <f t="shared" si="28"/>
        <v>0.10102501335235825</v>
      </c>
      <c r="S142" s="799">
        <f t="shared" si="29"/>
        <v>-1</v>
      </c>
      <c r="T142" s="176">
        <f t="shared" si="30"/>
        <v>5</v>
      </c>
      <c r="U142" s="250">
        <f t="shared" si="31"/>
        <v>-0.89897498664764175</v>
      </c>
      <c r="V142" s="382">
        <f t="shared" si="32"/>
        <v>59.799580135262325</v>
      </c>
      <c r="W142" s="58"/>
      <c r="X142" s="157">
        <f t="shared" si="33"/>
        <v>43958</v>
      </c>
      <c r="Y142" s="383">
        <f t="shared" si="34"/>
        <v>53.116</v>
      </c>
      <c r="Z142" s="383">
        <f t="shared" si="35"/>
        <v>53.588388415748227</v>
      </c>
      <c r="AA142" s="384">
        <f t="shared" si="36"/>
        <v>55.805238797643128</v>
      </c>
      <c r="AB142" s="197">
        <f t="shared" si="37"/>
        <v>43958</v>
      </c>
      <c r="AC142" s="424">
        <f>IF(OR(t&lt;Tnet,NoTnet),'2019'!Resal_s+('2019'!Salim-'2019'!Resal_s)*(1-EXP(('2019'!Tnet_s-t)/'2019'!Tau_j)),Resal_s+(Salim-Resal_s)*(1-EXP((Tnet_s-t)/Tau_j)))*Salcycl</f>
        <v>3.9724771897016446E-2</v>
      </c>
      <c r="AD142" s="230">
        <f>(INDEX(Models!$BJ142:$BT142,,AH142)*(1-AF142)+INDEX(Models!$BJ142:$BT142,,AH142+1)*AF142-ERP_i)*AE142*Ramure*Pc/MaxiM</f>
        <v>0</v>
      </c>
      <c r="AE142" s="304">
        <f t="shared" si="38"/>
        <v>0.6</v>
      </c>
      <c r="AF142" s="177">
        <f t="shared" si="39"/>
        <v>0.10102501335235825</v>
      </c>
      <c r="AG142" s="176">
        <f t="shared" si="40"/>
        <v>-1</v>
      </c>
      <c r="AH142" s="176">
        <f t="shared" si="41"/>
        <v>5</v>
      </c>
      <c r="AI142" s="224">
        <f t="shared" si="42"/>
        <v>-0.89897498664764175</v>
      </c>
      <c r="AJ142" s="264" t="b">
        <f t="shared" si="43"/>
        <v>0</v>
      </c>
      <c r="AK142" s="264" t="b">
        <f t="shared" si="44"/>
        <v>0</v>
      </c>
      <c r="AL142" s="264"/>
      <c r="AM142" s="264"/>
      <c r="AN142" s="75"/>
    </row>
    <row r="143" spans="1:40" s="6" customFormat="1" ht="11.25" x14ac:dyDescent="0.2">
      <c r="A143" s="56">
        <f t="shared" si="45"/>
        <v>43959</v>
      </c>
      <c r="B143" s="607">
        <v>52.112000000000002</v>
      </c>
      <c r="C143" s="388"/>
      <c r="D143" s="391">
        <f t="shared" ref="D143:D206" si="48">Wh/(1-Ppv)</f>
        <v>52.576466933741578</v>
      </c>
      <c r="E143" s="383">
        <f t="shared" si="46"/>
        <v>54.756058038684294</v>
      </c>
      <c r="F143" s="383">
        <f t="shared" ref="F143:F206" si="49">Wh_sa/(1-Pvg*MEDIAN((-Sdif+Wh/Env_an)/Csdif,0,1))</f>
        <v>54.756058038684294</v>
      </c>
      <c r="G143" s="110">
        <f t="shared" si="47"/>
        <v>0.87094551441459378</v>
      </c>
      <c r="H143" s="412" t="b">
        <f>Wh_hp&gt;='2019'!Maxi_hp</f>
        <v>1</v>
      </c>
      <c r="I143" s="388">
        <f>IF(H143,Wh_hp,'2019'!Maxi_hp)</f>
        <v>54.756058038684294</v>
      </c>
      <c r="J143" s="85">
        <f>IF(H143,An,'2019'!An_max)</f>
        <v>2020</v>
      </c>
      <c r="K143" s="197">
        <f t="shared" ref="K143:K206" si="50">t</f>
        <v>43959</v>
      </c>
      <c r="L143" s="147">
        <f>IF(t&lt;Tvie,1-EXP((T0-t)*PertePVj)+'2019'!Pspv,1-EXP((T0-t)*PertePVj)+Pspv)</f>
        <v>8.8341222000882791E-3</v>
      </c>
      <c r="M143" s="832"/>
      <c r="N143" s="832"/>
      <c r="O143" s="48">
        <f>IF(t&lt;Tnet,'2019'!Resal+('2019'!Salim-'2019'!Resal)*(1-EXP(('2019'!Tnet-t)/('2019'!Tau_j))),Resal+(Salim-Resal)*(1-EXP((Tnet-t)/(Tau_j))))*Salcycl</f>
        <v>3.980547875456749E-2</v>
      </c>
      <c r="P143" s="169">
        <f>(INDEX(Models!$BJ143:$BT143,,T143)*(1-R143)+INDEX(Models!$BJ143:$BT143,,T143+1)*R143-ERP_i)*Q143*Ramure*Pc/MaxiM</f>
        <v>0</v>
      </c>
      <c r="Q143" s="304">
        <f t="shared" ref="Q143:Q206" si="51">IF(OR(t&lt;Ttai,Notai),Dd+PousD*Croivg,Dens+PousD*(Croivg-Croi_tai))</f>
        <v>0.6</v>
      </c>
      <c r="R143" s="177">
        <f t="shared" ref="R143:R206" si="52">(Hp_vg-S143)/(INDEX(Echel_vg,T143+1)-S143)</f>
        <v>0.10441862256970369</v>
      </c>
      <c r="S143" s="799">
        <f t="shared" ref="S143:S206" si="53">INDEX(Echel_vg,T143)</f>
        <v>-1</v>
      </c>
      <c r="T143" s="176">
        <f t="shared" ref="T143:T206" si="54">MIN(MATCH(Hp_vg,Echel_vg),10)</f>
        <v>5</v>
      </c>
      <c r="U143" s="250">
        <f t="shared" ref="U143:U206" si="55">IF(OR(t&lt;Ttai,Notai),Hdd+PousH*Croivg,Hdtf+PousH*(Croivg-Croi_tai))</f>
        <v>-0.89558137743029631</v>
      </c>
      <c r="V143" s="382">
        <f t="shared" ref="V143:V206" si="56">MaxiM*(1-Ppv)*(1-Pvg)*(1-Psa)</f>
        <v>59.833823284602481</v>
      </c>
      <c r="W143" s="58"/>
      <c r="X143" s="157">
        <f t="shared" ref="X143:X206" si="57">t</f>
        <v>43959</v>
      </c>
      <c r="Y143" s="383">
        <f t="shared" ref="Y143:Y206" si="58">Wh_pvt_s*(1-Ppv)</f>
        <v>52.112000000000002</v>
      </c>
      <c r="Z143" s="383">
        <f t="shared" ref="Z143:Z206" si="59">Wh_sa_s*(1-Psa_s)</f>
        <v>52.576466933741578</v>
      </c>
      <c r="AA143" s="384">
        <f t="shared" ref="AA143:AA206" si="60">Wh_hp*(1-Pvg_s*MEDIAN((-Sdif+Wh/Env_an)/Csdif,0,1))</f>
        <v>54.756058038684294</v>
      </c>
      <c r="AB143" s="197">
        <f t="shared" ref="AB143:AB206" si="61">t</f>
        <v>43959</v>
      </c>
      <c r="AC143" s="424">
        <f>IF(OR(t&lt;Tnet,NoTnet),'2019'!Resal_s+('2019'!Salim-'2019'!Resal_s)*(1-EXP(('2019'!Tnet_s-t)/'2019'!Tau_j)),Resal_s+(Salim-Resal_s)*(1-EXP((Tnet_s-t)/Tau_j)))*Salcycl</f>
        <v>3.980547875456749E-2</v>
      </c>
      <c r="AD143" s="230">
        <f>(INDEX(Models!$BJ143:$BT143,,AH143)*(1-AF143)+INDEX(Models!$BJ143:$BT143,,AH143+1)*AF143-ERP_i)*AE143*Ramure*Pc/MaxiM</f>
        <v>0</v>
      </c>
      <c r="AE143" s="304">
        <f t="shared" ref="AE143:AE206" si="62">IF(OR(t&lt;Ttai,Notai),Dd_s+PousD*Croivg,Dens_s+PousD*(Croivg-Croi_tai))</f>
        <v>0.6</v>
      </c>
      <c r="AF143" s="177">
        <f t="shared" ref="AF143:AF206" si="63">(Hp_vg_s-AG143)/(INDEX(Echel_vg,AH143+1)-AG143)</f>
        <v>0.10441862256970369</v>
      </c>
      <c r="AG143" s="176">
        <f t="shared" ref="AG143:AG206" si="64">INDEX(Echel_vg,AH143)</f>
        <v>-1</v>
      </c>
      <c r="AH143" s="176">
        <f t="shared" ref="AH143:AH206" si="65">MIN(MATCH(Hp_vg_s,Echel_vg),10)</f>
        <v>5</v>
      </c>
      <c r="AI143" s="224">
        <f t="shared" ref="AI143:AI206" si="66">IF(OR(t&lt;Ttai,Notai),Hdd_s+PousH*Croivg,Hdtai_s+PousH*(Croivg-Croi_tai))</f>
        <v>-0.89558137743029631</v>
      </c>
      <c r="AJ143" s="264" t="b">
        <f t="shared" ref="AJ143:AJ206" si="67">t&lt;Tnet</f>
        <v>0</v>
      </c>
      <c r="AK143" s="264" t="b">
        <f t="shared" ref="AK143:AK206" si="68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169" si="69">A143+1</f>
        <v>43960</v>
      </c>
      <c r="B144" s="607">
        <v>48.457000000000001</v>
      </c>
      <c r="C144" s="388"/>
      <c r="D144" s="391">
        <f t="shared" si="48"/>
        <v>48.889827394694173</v>
      </c>
      <c r="E144" s="383">
        <f t="shared" ref="E144:E169" si="70">Wh_pvt/(1-Psa)</f>
        <v>50.920890037278376</v>
      </c>
      <c r="F144" s="383">
        <f t="shared" si="49"/>
        <v>50.920890037278376</v>
      </c>
      <c r="G144" s="110">
        <f t="shared" ref="G144:G169" si="71">+Wh_hp/MaxiM</f>
        <v>0.80943664529640835</v>
      </c>
      <c r="H144" s="412" t="b">
        <f>Wh_hp&gt;='2019'!Maxi_hp</f>
        <v>1</v>
      </c>
      <c r="I144" s="388">
        <f>IF(H144,Wh_hp,'2019'!Maxi_hp)</f>
        <v>50.920890037278376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8.8531176680149981E-3</v>
      </c>
      <c r="M144" s="832"/>
      <c r="N144" s="832"/>
      <c r="O144" s="48">
        <f>IF(t&lt;Tnet,'2019'!Resal+('2019'!Salim-'2019'!Resal)*(1-EXP(('2019'!Tnet-t)/('2019'!Tau_j))),Resal+(Salim-Resal)*(1-EXP((Tnet-t)/(Tau_j))))*Salcycl</f>
        <v>3.9886628868766739E-2</v>
      </c>
      <c r="P144" s="169">
        <f>(INDEX(Models!$BJ144:$BT144,,T144)*(1-R144)+INDEX(Models!$BJ144:$BT144,,T144+1)*R144-ERP_i)*Q144*Ramure*Pc/MaxiM</f>
        <v>0</v>
      </c>
      <c r="Q144" s="304">
        <f t="shared" si="51"/>
        <v>0.6</v>
      </c>
      <c r="R144" s="177">
        <f t="shared" si="52"/>
        <v>0.1078936161164219</v>
      </c>
      <c r="S144" s="799">
        <f t="shared" si="53"/>
        <v>-1</v>
      </c>
      <c r="T144" s="176">
        <f t="shared" si="54"/>
        <v>5</v>
      </c>
      <c r="U144" s="250">
        <f t="shared" si="55"/>
        <v>-0.8921063838835781</v>
      </c>
      <c r="V144" s="382">
        <f t="shared" si="56"/>
        <v>59.865092940356668</v>
      </c>
      <c r="W144" s="58"/>
      <c r="X144" s="157">
        <f t="shared" si="57"/>
        <v>43960</v>
      </c>
      <c r="Y144" s="383">
        <f t="shared" si="58"/>
        <v>48.457000000000001</v>
      </c>
      <c r="Z144" s="383">
        <f t="shared" si="59"/>
        <v>48.889827394694173</v>
      </c>
      <c r="AA144" s="384">
        <f t="shared" si="60"/>
        <v>50.920890037278376</v>
      </c>
      <c r="AB144" s="197">
        <f t="shared" si="61"/>
        <v>43960</v>
      </c>
      <c r="AC144" s="424">
        <f>IF(OR(t&lt;Tnet,NoTnet),'2019'!Resal_s+('2019'!Salim-'2019'!Resal_s)*(1-EXP(('2019'!Tnet_s-t)/'2019'!Tau_j)),Resal_s+(Salim-Resal_s)*(1-EXP((Tnet_s-t)/Tau_j)))*Salcycl</f>
        <v>3.9886628868766739E-2</v>
      </c>
      <c r="AD144" s="230">
        <f>(INDEX(Models!$BJ144:$BT144,,AH144)*(1-AF144)+INDEX(Models!$BJ144:$BT144,,AH144+1)*AF144-ERP_i)*AE144*Ramure*Pc/MaxiM</f>
        <v>0</v>
      </c>
      <c r="AE144" s="304">
        <f t="shared" si="62"/>
        <v>0.6</v>
      </c>
      <c r="AF144" s="177">
        <f t="shared" si="63"/>
        <v>0.1078936161164219</v>
      </c>
      <c r="AG144" s="176">
        <f t="shared" si="64"/>
        <v>-1</v>
      </c>
      <c r="AH144" s="176">
        <f t="shared" si="65"/>
        <v>5</v>
      </c>
      <c r="AI144" s="224">
        <f t="shared" si="66"/>
        <v>-0.8921063838835781</v>
      </c>
      <c r="AJ144" s="264" t="b">
        <f t="shared" si="67"/>
        <v>0</v>
      </c>
      <c r="AK144" s="264" t="b">
        <f t="shared" si="68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9"/>
        <v>43961</v>
      </c>
      <c r="B145" s="607">
        <v>11.596</v>
      </c>
      <c r="C145" s="388"/>
      <c r="D145" s="391">
        <f t="shared" si="48"/>
        <v>11.699801962419459</v>
      </c>
      <c r="E145" s="383">
        <f t="shared" si="70"/>
        <v>12.186890086765084</v>
      </c>
      <c r="F145" s="383">
        <f t="shared" si="49"/>
        <v>12.186890086765084</v>
      </c>
      <c r="G145" s="110">
        <f t="shared" si="71"/>
        <v>0.19361001478223785</v>
      </c>
      <c r="H145" s="412" t="b">
        <f>Wh_hp&gt;='2019'!Maxi_hp</f>
        <v>0</v>
      </c>
      <c r="I145" s="388">
        <f>IF(H145,Wh_hp,'2019'!Maxi_hp)</f>
        <v>37.579648692808874</v>
      </c>
      <c r="J145" s="85">
        <f>IF(H145,An,'2019'!An_max)</f>
        <v>2018</v>
      </c>
      <c r="K145" s="197">
        <f t="shared" si="50"/>
        <v>43961</v>
      </c>
      <c r="L145" s="147">
        <f>IF(t&lt;Tvie,1-EXP((T0-t)*PertePVj)+'2019'!Pspv,1-EXP((T0-t)*PertePVj)+Pspv)</f>
        <v>8.872112771898033E-3</v>
      </c>
      <c r="M145" s="832"/>
      <c r="N145" s="832"/>
      <c r="O145" s="48">
        <f>IF(t&lt;Tnet,'2019'!Resal+('2019'!Salim-'2019'!Resal)*(1-EXP(('2019'!Tnet-t)/('2019'!Tau_j))),Resal+(Salim-Resal)*(1-EXP((Tnet-t)/(Tau_j))))*Salcycl</f>
        <v>3.9968205249885716E-2</v>
      </c>
      <c r="P145" s="169">
        <f>(INDEX(Models!$BJ145:$BT145,,T145)*(1-R145)+INDEX(Models!$BJ145:$BT145,,T145+1)*R145-ERP_i)*Q145*Ramure*Pc/MaxiM</f>
        <v>0</v>
      </c>
      <c r="Q145" s="304">
        <f t="shared" si="51"/>
        <v>0.6</v>
      </c>
      <c r="R145" s="177">
        <f t="shared" si="52"/>
        <v>0.11144991717478614</v>
      </c>
      <c r="S145" s="799">
        <f t="shared" si="53"/>
        <v>-1</v>
      </c>
      <c r="T145" s="176">
        <f t="shared" si="54"/>
        <v>5</v>
      </c>
      <c r="U145" s="250">
        <f t="shared" si="55"/>
        <v>-0.88855008282521386</v>
      </c>
      <c r="V145" s="382">
        <f t="shared" si="56"/>
        <v>59.893595964250906</v>
      </c>
      <c r="W145" s="58"/>
      <c r="X145" s="157">
        <f t="shared" si="57"/>
        <v>43961</v>
      </c>
      <c r="Y145" s="383">
        <f t="shared" si="58"/>
        <v>11.596</v>
      </c>
      <c r="Z145" s="383">
        <f t="shared" si="59"/>
        <v>11.699801962419459</v>
      </c>
      <c r="AA145" s="384">
        <f t="shared" si="60"/>
        <v>12.186890086765084</v>
      </c>
      <c r="AB145" s="197">
        <f t="shared" si="61"/>
        <v>43961</v>
      </c>
      <c r="AC145" s="424">
        <f>IF(OR(t&lt;Tnet,NoTnet),'2019'!Resal_s+('2019'!Salim-'2019'!Resal_s)*(1-EXP(('2019'!Tnet_s-t)/'2019'!Tau_j)),Resal_s+(Salim-Resal_s)*(1-EXP((Tnet_s-t)/Tau_j)))*Salcycl</f>
        <v>3.9968205249885716E-2</v>
      </c>
      <c r="AD145" s="230">
        <f>(INDEX(Models!$BJ145:$BT145,,AH145)*(1-AF145)+INDEX(Models!$BJ145:$BT145,,AH145+1)*AF145-ERP_i)*AE145*Ramure*Pc/MaxiM</f>
        <v>0</v>
      </c>
      <c r="AE145" s="304">
        <f t="shared" si="62"/>
        <v>0.6</v>
      </c>
      <c r="AF145" s="177">
        <f t="shared" si="63"/>
        <v>0.11144991717478614</v>
      </c>
      <c r="AG145" s="176">
        <f t="shared" si="64"/>
        <v>-1</v>
      </c>
      <c r="AH145" s="176">
        <f t="shared" si="65"/>
        <v>5</v>
      </c>
      <c r="AI145" s="224">
        <f t="shared" si="66"/>
        <v>-0.88855008282521386</v>
      </c>
      <c r="AJ145" s="264" t="b">
        <f t="shared" si="67"/>
        <v>0</v>
      </c>
      <c r="AK145" s="264" t="b">
        <f t="shared" si="68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9"/>
        <v>43962</v>
      </c>
      <c r="B146" s="607">
        <v>8.0809999999999995</v>
      </c>
      <c r="C146" s="388"/>
      <c r="D146" s="391">
        <f t="shared" si="48"/>
        <v>8.1534935880880059</v>
      </c>
      <c r="E146" s="383">
        <f t="shared" si="70"/>
        <v>8.4936665425842079</v>
      </c>
      <c r="F146" s="383">
        <f t="shared" si="49"/>
        <v>8.4936665425842079</v>
      </c>
      <c r="G146" s="110">
        <f t="shared" si="71"/>
        <v>0.13486418794323363</v>
      </c>
      <c r="H146" s="412" t="b">
        <f>Wh_hp&gt;='2019'!Maxi_hp</f>
        <v>0</v>
      </c>
      <c r="I146" s="388">
        <f>IF(H146,Wh_hp,'2019'!Maxi_hp)</f>
        <v>54.191031708919418</v>
      </c>
      <c r="J146" s="85">
        <f>IF(H146,An,'2019'!An_max)</f>
        <v>2018</v>
      </c>
      <c r="K146" s="197">
        <f t="shared" si="50"/>
        <v>43962</v>
      </c>
      <c r="L146" s="147">
        <f>IF(t&lt;Tvie,1-EXP((T0-t)*PertePVj)+'2019'!Pspv,1-EXP((T0-t)*PertePVj)+Pspv)</f>
        <v>8.8911075117441563E-3</v>
      </c>
      <c r="M146" s="832"/>
      <c r="N146" s="832"/>
      <c r="O146" s="48">
        <f>IF(t&lt;Tnet,'2019'!Resal+('2019'!Salim-'2019'!Resal)*(1-EXP(('2019'!Tnet-t)/('2019'!Tau_j))),Resal+(Salim-Resal)*(1-EXP((Tnet-t)/(Tau_j))))*Salcycl</f>
        <v>4.0050189490097865E-2</v>
      </c>
      <c r="P146" s="169">
        <f>(INDEX(Models!$BJ146:$BT146,,T146)*(1-R146)+INDEX(Models!$BJ146:$BT146,,T146+1)*R146-ERP_i)*Q146*Ramure*Pc/MaxiM</f>
        <v>0</v>
      </c>
      <c r="Q146" s="304">
        <f t="shared" si="51"/>
        <v>0.6</v>
      </c>
      <c r="R146" s="177">
        <f t="shared" si="52"/>
        <v>0.11508730482261487</v>
      </c>
      <c r="S146" s="799">
        <f t="shared" si="53"/>
        <v>-1</v>
      </c>
      <c r="T146" s="176">
        <f t="shared" si="54"/>
        <v>5</v>
      </c>
      <c r="U146" s="250">
        <f t="shared" si="55"/>
        <v>-0.88491269517738513</v>
      </c>
      <c r="V146" s="382">
        <f t="shared" si="56"/>
        <v>59.919539228615783</v>
      </c>
      <c r="W146" s="58"/>
      <c r="X146" s="157">
        <f t="shared" si="57"/>
        <v>43962</v>
      </c>
      <c r="Y146" s="383">
        <f t="shared" si="58"/>
        <v>8.0809999999999995</v>
      </c>
      <c r="Z146" s="383">
        <f t="shared" si="59"/>
        <v>8.1534935880880059</v>
      </c>
      <c r="AA146" s="384">
        <f t="shared" si="60"/>
        <v>8.4936665425842079</v>
      </c>
      <c r="AB146" s="197">
        <f t="shared" si="61"/>
        <v>43962</v>
      </c>
      <c r="AC146" s="424">
        <f>IF(OR(t&lt;Tnet,NoTnet),'2019'!Resal_s+('2019'!Salim-'2019'!Resal_s)*(1-EXP(('2019'!Tnet_s-t)/'2019'!Tau_j)),Resal_s+(Salim-Resal_s)*(1-EXP((Tnet_s-t)/Tau_j)))*Salcycl</f>
        <v>4.0050189490097865E-2</v>
      </c>
      <c r="AD146" s="230">
        <f>(INDEX(Models!$BJ146:$BT146,,AH146)*(1-AF146)+INDEX(Models!$BJ146:$BT146,,AH146+1)*AF146-ERP_i)*AE146*Ramure*Pc/MaxiM</f>
        <v>0</v>
      </c>
      <c r="AE146" s="304">
        <f t="shared" si="62"/>
        <v>0.6</v>
      </c>
      <c r="AF146" s="177">
        <f t="shared" si="63"/>
        <v>0.11508730482261487</v>
      </c>
      <c r="AG146" s="176">
        <f t="shared" si="64"/>
        <v>-1</v>
      </c>
      <c r="AH146" s="176">
        <f t="shared" si="65"/>
        <v>5</v>
      </c>
      <c r="AI146" s="224">
        <f t="shared" si="66"/>
        <v>-0.88491269517738513</v>
      </c>
      <c r="AJ146" s="264" t="b">
        <f t="shared" si="67"/>
        <v>0</v>
      </c>
      <c r="AK146" s="264" t="b">
        <f t="shared" si="68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9"/>
        <v>43963</v>
      </c>
      <c r="B147" s="607">
        <v>19.963999999999999</v>
      </c>
      <c r="C147" s="388"/>
      <c r="D147" s="391">
        <f t="shared" si="48"/>
        <v>20.143480463298065</v>
      </c>
      <c r="E147" s="383">
        <f t="shared" si="70"/>
        <v>20.985689961930824</v>
      </c>
      <c r="F147" s="383">
        <f t="shared" si="49"/>
        <v>20.985689961930824</v>
      </c>
      <c r="G147" s="110">
        <f t="shared" si="71"/>
        <v>0.33304901040545004</v>
      </c>
      <c r="H147" s="412" t="b">
        <f>Wh_hp&gt;='2019'!Maxi_hp</f>
        <v>0</v>
      </c>
      <c r="I147" s="388">
        <f>IF(H147,Wh_hp,'2019'!Maxi_hp)</f>
        <v>65.060121509053133</v>
      </c>
      <c r="J147" s="85">
        <f>IF(H147,An,'2019'!An_max)</f>
        <v>2018</v>
      </c>
      <c r="K147" s="197">
        <f t="shared" si="50"/>
        <v>43963</v>
      </c>
      <c r="L147" s="147">
        <f>IF(t&lt;Tvie,1-EXP((T0-t)*PertePVj)+'2019'!Pspv,1-EXP((T0-t)*PertePVj)+Pspv)</f>
        <v>8.9101018875603621E-3</v>
      </c>
      <c r="M147" s="832"/>
      <c r="N147" s="832"/>
      <c r="O147" s="48">
        <f>IF(t&lt;Tnet,'2019'!Resal+('2019'!Salim-'2019'!Resal)*(1-EXP(('2019'!Tnet-t)/('2019'!Tau_j))),Resal+(Salim-Resal)*(1-EXP((Tnet-t)/(Tau_j))))*Salcycl</f>
        <v>4.013256176759377E-2</v>
      </c>
      <c r="P147" s="169">
        <f>(INDEX(Models!$BJ147:$BT147,,T147)*(1-R147)+INDEX(Models!$BJ147:$BT147,,T147+1)*R147-ERP_i)*Q147*Ramure*Pc/MaxiM</f>
        <v>0</v>
      </c>
      <c r="Q147" s="304">
        <f t="shared" si="51"/>
        <v>0.6</v>
      </c>
      <c r="R147" s="177">
        <f t="shared" si="52"/>
        <v>0.11880540794806704</v>
      </c>
      <c r="S147" s="799">
        <f t="shared" si="53"/>
        <v>-1</v>
      </c>
      <c r="T147" s="176">
        <f t="shared" si="54"/>
        <v>5</v>
      </c>
      <c r="U147" s="250">
        <f t="shared" si="55"/>
        <v>-0.88119459205193296</v>
      </c>
      <c r="V147" s="382">
        <f t="shared" si="56"/>
        <v>59.943129618358725</v>
      </c>
      <c r="W147" s="58"/>
      <c r="X147" s="157">
        <f t="shared" si="57"/>
        <v>43963</v>
      </c>
      <c r="Y147" s="383">
        <f t="shared" si="58"/>
        <v>19.963999999999999</v>
      </c>
      <c r="Z147" s="383">
        <f t="shared" si="59"/>
        <v>20.143480463298065</v>
      </c>
      <c r="AA147" s="384">
        <f t="shared" si="60"/>
        <v>20.985689961930824</v>
      </c>
      <c r="AB147" s="197">
        <f t="shared" si="61"/>
        <v>43963</v>
      </c>
      <c r="AC147" s="424">
        <f>IF(OR(t&lt;Tnet,NoTnet),'2019'!Resal_s+('2019'!Salim-'2019'!Resal_s)*(1-EXP(('2019'!Tnet_s-t)/'2019'!Tau_j)),Resal_s+(Salim-Resal_s)*(1-EXP((Tnet_s-t)/Tau_j)))*Salcycl</f>
        <v>4.013256176759377E-2</v>
      </c>
      <c r="AD147" s="230">
        <f>(INDEX(Models!$BJ147:$BT147,,AH147)*(1-AF147)+INDEX(Models!$BJ147:$BT147,,AH147+1)*AF147-ERP_i)*AE147*Ramure*Pc/MaxiM</f>
        <v>0</v>
      </c>
      <c r="AE147" s="304">
        <f t="shared" si="62"/>
        <v>0.6</v>
      </c>
      <c r="AF147" s="177">
        <f t="shared" si="63"/>
        <v>0.11880540794806704</v>
      </c>
      <c r="AG147" s="176">
        <f t="shared" si="64"/>
        <v>-1</v>
      </c>
      <c r="AH147" s="176">
        <f t="shared" si="65"/>
        <v>5</v>
      </c>
      <c r="AI147" s="224">
        <f t="shared" si="66"/>
        <v>-0.88119459205193296</v>
      </c>
      <c r="AJ147" s="264" t="b">
        <f t="shared" si="67"/>
        <v>0</v>
      </c>
      <c r="AK147" s="264" t="b">
        <f t="shared" si="68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9"/>
        <v>43964</v>
      </c>
      <c r="B148" s="607">
        <v>30.145</v>
      </c>
      <c r="C148" s="388"/>
      <c r="D148" s="391">
        <f t="shared" si="48"/>
        <v>30.416592672907974</v>
      </c>
      <c r="E148" s="383">
        <f t="shared" si="70"/>
        <v>31.691058109259586</v>
      </c>
      <c r="F148" s="383">
        <f t="shared" si="49"/>
        <v>31.691058109259586</v>
      </c>
      <c r="G148" s="110">
        <f t="shared" si="71"/>
        <v>0.50271348522799286</v>
      </c>
      <c r="H148" s="412" t="b">
        <f>Wh_hp&gt;='2019'!Maxi_hp</f>
        <v>0</v>
      </c>
      <c r="I148" s="388">
        <f>IF(H148,Wh_hp,'2019'!Maxi_hp)</f>
        <v>63.419199758926844</v>
      </c>
      <c r="J148" s="85">
        <f>IF(H148,An,'2019'!An_max)</f>
        <v>2018</v>
      </c>
      <c r="K148" s="197">
        <f t="shared" si="50"/>
        <v>43964</v>
      </c>
      <c r="L148" s="147">
        <f>IF(t&lt;Tvie,1-EXP((T0-t)*PertePVj)+'2019'!Pspv,1-EXP((T0-t)*PertePVj)+Pspv)</f>
        <v>8.9290958993537561E-3</v>
      </c>
      <c r="M148" s="832"/>
      <c r="N148" s="832"/>
      <c r="O148" s="48">
        <f>IF(t&lt;Tnet,'2019'!Resal+('2019'!Salim-'2019'!Resal)*(1-EXP(('2019'!Tnet-t)/('2019'!Tau_j))),Resal+(Salim-Resal)*(1-EXP((Tnet-t)/(Tau_j))))*Salcycl</f>
        <v>4.021530085734925E-2</v>
      </c>
      <c r="P148" s="169">
        <f>(INDEX(Models!$BJ148:$BT148,,T148)*(1-R148)+INDEX(Models!$BJ148:$BT148,,T148+1)*R148-ERP_i)*Q148*Ramure*Pc/MaxiM</f>
        <v>0</v>
      </c>
      <c r="Q148" s="304">
        <f t="shared" si="51"/>
        <v>0.6</v>
      </c>
      <c r="R148" s="177">
        <f t="shared" si="52"/>
        <v>0.12260369951366945</v>
      </c>
      <c r="S148" s="799">
        <f t="shared" si="53"/>
        <v>-1</v>
      </c>
      <c r="T148" s="176">
        <f t="shared" si="54"/>
        <v>5</v>
      </c>
      <c r="U148" s="250">
        <f t="shared" si="55"/>
        <v>-0.87739630048633055</v>
      </c>
      <c r="V148" s="382">
        <f t="shared" si="56"/>
        <v>59.964574028342412</v>
      </c>
      <c r="W148" s="58"/>
      <c r="X148" s="157">
        <f t="shared" si="57"/>
        <v>43964</v>
      </c>
      <c r="Y148" s="383">
        <f t="shared" si="58"/>
        <v>30.145</v>
      </c>
      <c r="Z148" s="383">
        <f t="shared" si="59"/>
        <v>30.416592672907974</v>
      </c>
      <c r="AA148" s="384">
        <f t="shared" si="60"/>
        <v>31.691058109259586</v>
      </c>
      <c r="AB148" s="197">
        <f t="shared" si="61"/>
        <v>43964</v>
      </c>
      <c r="AC148" s="424">
        <f>IF(OR(t&lt;Tnet,NoTnet),'2019'!Resal_s+('2019'!Salim-'2019'!Resal_s)*(1-EXP(('2019'!Tnet_s-t)/'2019'!Tau_j)),Resal_s+(Salim-Resal_s)*(1-EXP((Tnet_s-t)/Tau_j)))*Salcycl</f>
        <v>4.021530085734925E-2</v>
      </c>
      <c r="AD148" s="230">
        <f>(INDEX(Models!$BJ148:$BT148,,AH148)*(1-AF148)+INDEX(Models!$BJ148:$BT148,,AH148+1)*AF148-ERP_i)*AE148*Ramure*Pc/MaxiM</f>
        <v>0</v>
      </c>
      <c r="AE148" s="304">
        <f t="shared" si="62"/>
        <v>0.6</v>
      </c>
      <c r="AF148" s="177">
        <f t="shared" si="63"/>
        <v>0.12260369951366945</v>
      </c>
      <c r="AG148" s="176">
        <f t="shared" si="64"/>
        <v>-1</v>
      </c>
      <c r="AH148" s="176">
        <f t="shared" si="65"/>
        <v>5</v>
      </c>
      <c r="AI148" s="224">
        <f t="shared" si="66"/>
        <v>-0.87739630048633055</v>
      </c>
      <c r="AJ148" s="264" t="b">
        <f t="shared" si="67"/>
        <v>0</v>
      </c>
      <c r="AK148" s="264" t="b">
        <f t="shared" si="68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9"/>
        <v>43965</v>
      </c>
      <c r="B149" s="607">
        <v>20.288</v>
      </c>
      <c r="C149" s="388"/>
      <c r="D149" s="391">
        <f t="shared" si="48"/>
        <v>20.471177933282267</v>
      </c>
      <c r="E149" s="383">
        <f t="shared" si="70"/>
        <v>21.330773643771817</v>
      </c>
      <c r="F149" s="383">
        <f t="shared" si="49"/>
        <v>21.330773643771817</v>
      </c>
      <c r="G149" s="110">
        <f t="shared" si="71"/>
        <v>0.33822721779957854</v>
      </c>
      <c r="H149" s="412" t="b">
        <f>Wh_hp&gt;='2019'!Maxi_hp</f>
        <v>0</v>
      </c>
      <c r="I149" s="388">
        <f>IF(H149,Wh_hp,'2019'!Maxi_hp)</f>
        <v>63.720230232595142</v>
      </c>
      <c r="J149" s="85">
        <f>IF(H149,An,'2019'!An_max)</f>
        <v>2018</v>
      </c>
      <c r="K149" s="197">
        <f t="shared" si="50"/>
        <v>43965</v>
      </c>
      <c r="L149" s="147">
        <f>IF(t&lt;Tvie,1-EXP((T0-t)*PertePVj)+'2019'!Pspv,1-EXP((T0-t)*PertePVj)+Pspv)</f>
        <v>8.9480895471312216E-3</v>
      </c>
      <c r="M149" s="832"/>
      <c r="N149" s="832"/>
      <c r="O149" s="48">
        <f>IF(t&lt;Tnet,'2019'!Resal+('2019'!Salim-'2019'!Resal)*(1-EXP(('2019'!Tnet-t)/('2019'!Tau_j))),Resal+(Salim-Resal)*(1-EXP((Tnet-t)/(Tau_j))))*Salcycl</f>
        <v>4.0298384148881441E-2</v>
      </c>
      <c r="P149" s="169">
        <f>(INDEX(Models!$BJ149:$BT149,,T149)*(1-R149)+INDEX(Models!$BJ149:$BT149,,T149+1)*R149-ERP_i)*Q149*Ramure*Pc/MaxiM</f>
        <v>0</v>
      </c>
      <c r="Q149" s="304">
        <f t="shared" si="51"/>
        <v>0.6</v>
      </c>
      <c r="R149" s="177">
        <f t="shared" si="52"/>
        <v>0.126481491228709</v>
      </c>
      <c r="S149" s="799">
        <f t="shared" si="53"/>
        <v>-1</v>
      </c>
      <c r="T149" s="176">
        <f t="shared" si="54"/>
        <v>5</v>
      </c>
      <c r="U149" s="250">
        <f t="shared" si="55"/>
        <v>-0.873518508771291</v>
      </c>
      <c r="V149" s="382">
        <f t="shared" si="56"/>
        <v>59.983345314397347</v>
      </c>
      <c r="W149" s="58"/>
      <c r="X149" s="157">
        <f t="shared" si="57"/>
        <v>43965</v>
      </c>
      <c r="Y149" s="383">
        <f t="shared" si="58"/>
        <v>20.288</v>
      </c>
      <c r="Z149" s="383">
        <f t="shared" si="59"/>
        <v>20.471177933282267</v>
      </c>
      <c r="AA149" s="384">
        <f t="shared" si="60"/>
        <v>21.330773643771817</v>
      </c>
      <c r="AB149" s="197">
        <f t="shared" si="61"/>
        <v>43965</v>
      </c>
      <c r="AC149" s="424">
        <f>IF(OR(t&lt;Tnet,NoTnet),'2019'!Resal_s+('2019'!Salim-'2019'!Resal_s)*(1-EXP(('2019'!Tnet_s-t)/'2019'!Tau_j)),Resal_s+(Salim-Resal_s)*(1-EXP((Tnet_s-t)/Tau_j)))*Salcycl</f>
        <v>4.0298384148881441E-2</v>
      </c>
      <c r="AD149" s="230">
        <f>(INDEX(Models!$BJ149:$BT149,,AH149)*(1-AF149)+INDEX(Models!$BJ149:$BT149,,AH149+1)*AF149-ERP_i)*AE149*Ramure*Pc/MaxiM</f>
        <v>0</v>
      </c>
      <c r="AE149" s="304">
        <f t="shared" si="62"/>
        <v>0.6</v>
      </c>
      <c r="AF149" s="177">
        <f t="shared" si="63"/>
        <v>0.126481491228709</v>
      </c>
      <c r="AG149" s="176">
        <f t="shared" si="64"/>
        <v>-1</v>
      </c>
      <c r="AH149" s="176">
        <f t="shared" si="65"/>
        <v>5</v>
      </c>
      <c r="AI149" s="224">
        <f t="shared" si="66"/>
        <v>-0.873518508771291</v>
      </c>
      <c r="AJ149" s="264" t="b">
        <f t="shared" si="67"/>
        <v>0</v>
      </c>
      <c r="AK149" s="264" t="b">
        <f t="shared" si="68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9"/>
        <v>43966</v>
      </c>
      <c r="B150" s="607">
        <v>15.462999999999999</v>
      </c>
      <c r="C150" s="388"/>
      <c r="D150" s="391">
        <f t="shared" si="48"/>
        <v>15.602912609775142</v>
      </c>
      <c r="E150" s="383">
        <f t="shared" si="70"/>
        <v>16.259500298469099</v>
      </c>
      <c r="F150" s="383">
        <f t="shared" si="49"/>
        <v>16.259500298469099</v>
      </c>
      <c r="G150" s="110">
        <f t="shared" si="71"/>
        <v>0.25772161331894167</v>
      </c>
      <c r="H150" s="412" t="b">
        <f>Wh_hp&gt;='2019'!Maxi_hp</f>
        <v>0</v>
      </c>
      <c r="I150" s="388">
        <f>IF(H150,Wh_hp,'2019'!Maxi_hp)</f>
        <v>57.127425816284799</v>
      </c>
      <c r="J150" s="85">
        <f>IF(H150,An,'2019'!An_max)</f>
        <v>2018</v>
      </c>
      <c r="K150" s="197">
        <f t="shared" si="50"/>
        <v>43966</v>
      </c>
      <c r="L150" s="147">
        <f>IF(t&lt;Tvie,1-EXP((T0-t)*PertePVj)+'2019'!Pspv,1-EXP((T0-t)*PertePVj)+Pspv)</f>
        <v>8.967082830899753E-3</v>
      </c>
      <c r="M150" s="832"/>
      <c r="N150" s="832"/>
      <c r="O150" s="48">
        <f>IF(t&lt;Tnet,'2019'!Resal+('2019'!Salim-'2019'!Resal)*(1-EXP(('2019'!Tnet-t)/('2019'!Tau_j))),Resal+(Salim-Resal)*(1-EXP((Tnet-t)/(Tau_j))))*Salcycl</f>
        <v>4.0381787671283892E-2</v>
      </c>
      <c r="P150" s="169">
        <f>(INDEX(Models!$BJ150:$BT150,,T150)*(1-R150)+INDEX(Models!$BJ150:$BT150,,T150+1)*R150-ERP_i)*Q150*Ramure*Pc/MaxiM</f>
        <v>0</v>
      </c>
      <c r="Q150" s="304">
        <f t="shared" si="51"/>
        <v>0.6</v>
      </c>
      <c r="R150" s="177">
        <f t="shared" si="52"/>
        <v>0.13043792868983517</v>
      </c>
      <c r="S150" s="799">
        <f t="shared" si="53"/>
        <v>-1</v>
      </c>
      <c r="T150" s="176">
        <f t="shared" si="54"/>
        <v>5</v>
      </c>
      <c r="U150" s="250">
        <f t="shared" si="55"/>
        <v>-0.86956207131016483</v>
      </c>
      <c r="V150" s="382">
        <f t="shared" si="56"/>
        <v>59.9988483731237</v>
      </c>
      <c r="W150" s="58"/>
      <c r="X150" s="157">
        <f t="shared" si="57"/>
        <v>43966</v>
      </c>
      <c r="Y150" s="383">
        <f t="shared" si="58"/>
        <v>15.463000000000001</v>
      </c>
      <c r="Z150" s="383">
        <f t="shared" si="59"/>
        <v>15.602912609775144</v>
      </c>
      <c r="AA150" s="384">
        <f t="shared" si="60"/>
        <v>16.259500298469099</v>
      </c>
      <c r="AB150" s="197">
        <f t="shared" si="61"/>
        <v>43966</v>
      </c>
      <c r="AC150" s="424">
        <f>IF(OR(t&lt;Tnet,NoTnet),'2019'!Resal_s+('2019'!Salim-'2019'!Resal_s)*(1-EXP(('2019'!Tnet_s-t)/'2019'!Tau_j)),Resal_s+(Salim-Resal_s)*(1-EXP((Tnet_s-t)/Tau_j)))*Salcycl</f>
        <v>4.0381787671283892E-2</v>
      </c>
      <c r="AD150" s="230">
        <f>(INDEX(Models!$BJ150:$BT150,,AH150)*(1-AF150)+INDEX(Models!$BJ150:$BT150,,AH150+1)*AF150-ERP_i)*AE150*Ramure*Pc/MaxiM</f>
        <v>0</v>
      </c>
      <c r="AE150" s="304">
        <f t="shared" si="62"/>
        <v>0.6</v>
      </c>
      <c r="AF150" s="177">
        <f t="shared" si="63"/>
        <v>0.13043792868983517</v>
      </c>
      <c r="AG150" s="176">
        <f t="shared" si="64"/>
        <v>-1</v>
      </c>
      <c r="AH150" s="176">
        <f t="shared" si="65"/>
        <v>5</v>
      </c>
      <c r="AI150" s="224">
        <f t="shared" si="66"/>
        <v>-0.86956207131016483</v>
      </c>
      <c r="AJ150" s="264" t="b">
        <f t="shared" si="67"/>
        <v>0</v>
      </c>
      <c r="AK150" s="264" t="b">
        <f t="shared" si="68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9"/>
        <v>43967</v>
      </c>
      <c r="B151" s="607">
        <v>35.137</v>
      </c>
      <c r="C151" s="388"/>
      <c r="D151" s="391">
        <f t="shared" si="48"/>
        <v>35.45560676820493</v>
      </c>
      <c r="E151" s="383">
        <f t="shared" si="70"/>
        <v>36.950840491447522</v>
      </c>
      <c r="F151" s="383">
        <f t="shared" si="49"/>
        <v>36.950840491447522</v>
      </c>
      <c r="G151" s="110">
        <f t="shared" si="71"/>
        <v>0.58550748706469991</v>
      </c>
      <c r="H151" s="412" t="b">
        <f>Wh_hp&gt;='2019'!Maxi_hp</f>
        <v>1</v>
      </c>
      <c r="I151" s="388">
        <f>IF(H151,Wh_hp,'2019'!Maxi_hp)</f>
        <v>36.950840491447522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8.9860757506663447E-3</v>
      </c>
      <c r="M151" s="832"/>
      <c r="N151" s="832"/>
      <c r="O151" s="48">
        <f>IF(t&lt;Tnet,'2019'!Resal+('2019'!Salim-'2019'!Resal)*(1-EXP(('2019'!Tnet-t)/('2019'!Tau_j))),Resal+(Salim-Resal)*(1-EXP((Tnet-t)/(Tau_j))))*Salcycl</f>
        <v>4.0465486125780395E-2</v>
      </c>
      <c r="P151" s="169">
        <f>(INDEX(Models!$BJ151:$BT151,,T151)*(1-R151)+INDEX(Models!$BJ151:$BT151,,T151+1)*R151-ERP_i)*Q151*Ramure*Pc/MaxiM</f>
        <v>-1.326692502046981E-20</v>
      </c>
      <c r="Q151" s="304">
        <f t="shared" si="51"/>
        <v>0.6</v>
      </c>
      <c r="R151" s="177">
        <f t="shared" si="52"/>
        <v>0.13447198704980901</v>
      </c>
      <c r="S151" s="799">
        <f t="shared" si="53"/>
        <v>-1</v>
      </c>
      <c r="T151" s="176">
        <f t="shared" si="54"/>
        <v>5</v>
      </c>
      <c r="U151" s="250">
        <f t="shared" si="55"/>
        <v>-0.86552801295019099</v>
      </c>
      <c r="V151" s="382">
        <f t="shared" si="56"/>
        <v>60.011188202136999</v>
      </c>
      <c r="W151" s="58"/>
      <c r="X151" s="157">
        <f t="shared" si="57"/>
        <v>43967</v>
      </c>
      <c r="Y151" s="383">
        <f t="shared" si="58"/>
        <v>35.137</v>
      </c>
      <c r="Z151" s="383">
        <f t="shared" si="59"/>
        <v>35.45560676820493</v>
      </c>
      <c r="AA151" s="384">
        <f t="shared" si="60"/>
        <v>36.950840491447522</v>
      </c>
      <c r="AB151" s="197">
        <f t="shared" si="61"/>
        <v>43967</v>
      </c>
      <c r="AC151" s="424">
        <f>IF(OR(t&lt;Tnet,NoTnet),'2019'!Resal_s+('2019'!Salim-'2019'!Resal_s)*(1-EXP(('2019'!Tnet_s-t)/'2019'!Tau_j)),Resal_s+(Salim-Resal_s)*(1-EXP((Tnet_s-t)/Tau_j)))*Salcycl</f>
        <v>4.0465486125780395E-2</v>
      </c>
      <c r="AD151" s="230">
        <f>(INDEX(Models!$BJ151:$BT151,,AH151)*(1-AF151)+INDEX(Models!$BJ151:$BT151,,AH151+1)*AF151-ERP_i)*AE151*Ramure*Pc/MaxiM</f>
        <v>-1.326692502046981E-20</v>
      </c>
      <c r="AE151" s="304">
        <f t="shared" si="62"/>
        <v>0.6</v>
      </c>
      <c r="AF151" s="177">
        <f t="shared" si="63"/>
        <v>0.13447198704980901</v>
      </c>
      <c r="AG151" s="176">
        <f t="shared" si="64"/>
        <v>-1</v>
      </c>
      <c r="AH151" s="176">
        <f t="shared" si="65"/>
        <v>5</v>
      </c>
      <c r="AI151" s="224">
        <f t="shared" si="66"/>
        <v>-0.86552801295019099</v>
      </c>
      <c r="AJ151" s="264" t="b">
        <f t="shared" si="67"/>
        <v>0</v>
      </c>
      <c r="AK151" s="264" t="b">
        <f t="shared" si="68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9"/>
        <v>43968</v>
      </c>
      <c r="B152" s="607">
        <v>61.420999999999999</v>
      </c>
      <c r="C152" s="388"/>
      <c r="D152" s="391">
        <f t="shared" si="48"/>
        <v>61.979126265595028</v>
      </c>
      <c r="E152" s="383">
        <f t="shared" si="70"/>
        <v>64.598562640471044</v>
      </c>
      <c r="F152" s="383">
        <f t="shared" si="49"/>
        <v>64.598562640471044</v>
      </c>
      <c r="G152" s="110">
        <f t="shared" si="71"/>
        <v>1.0233342084916253</v>
      </c>
      <c r="H152" s="412" t="b">
        <f>Wh_hp&gt;='2019'!Maxi_hp</f>
        <v>1</v>
      </c>
      <c r="I152" s="388">
        <f>IF(H152,Wh_hp,'2019'!Maxi_hp)</f>
        <v>64.598562640471044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9.0050683064379911E-3</v>
      </c>
      <c r="M152" s="832"/>
      <c r="N152" s="832"/>
      <c r="O152" s="48">
        <f>IF(t&lt;Tnet,'2019'!Resal+('2019'!Salim-'2019'!Resal)*(1-EXP(('2019'!Tnet-t)/('2019'!Tau_j))),Resal+(Salim-Resal)*(1-EXP((Tnet-t)/(Tau_j))))*Salcycl</f>
        <v>4.0549452925984199E-2</v>
      </c>
      <c r="P152" s="169">
        <f>(INDEX(Models!$BJ152:$BT152,,T152)*(1-R152)+INDEX(Models!$BJ152:$BT152,,T152+1)*R152-ERP_i)*Q152*Ramure*Pc/MaxiM</f>
        <v>0</v>
      </c>
      <c r="Q152" s="304">
        <f t="shared" si="51"/>
        <v>0.6</v>
      </c>
      <c r="R152" s="177">
        <f t="shared" si="52"/>
        <v>0.13858246727376611</v>
      </c>
      <c r="S152" s="799">
        <f t="shared" si="53"/>
        <v>-1</v>
      </c>
      <c r="T152" s="176">
        <f t="shared" si="54"/>
        <v>5</v>
      </c>
      <c r="U152" s="250">
        <f t="shared" si="55"/>
        <v>-0.86141753272623389</v>
      </c>
      <c r="V152" s="382">
        <f t="shared" si="56"/>
        <v>60.020469842920001</v>
      </c>
      <c r="W152" s="58"/>
      <c r="X152" s="157">
        <f t="shared" si="57"/>
        <v>43968</v>
      </c>
      <c r="Y152" s="383">
        <f t="shared" si="58"/>
        <v>61.420999999999992</v>
      </c>
      <c r="Z152" s="383">
        <f t="shared" si="59"/>
        <v>61.979126265595021</v>
      </c>
      <c r="AA152" s="384">
        <f t="shared" si="60"/>
        <v>64.598562640471044</v>
      </c>
      <c r="AB152" s="197">
        <f t="shared" si="61"/>
        <v>43968</v>
      </c>
      <c r="AC152" s="424">
        <f>IF(OR(t&lt;Tnet,NoTnet),'2019'!Resal_s+('2019'!Salim-'2019'!Resal_s)*(1-EXP(('2019'!Tnet_s-t)/'2019'!Tau_j)),Resal_s+(Salim-Resal_s)*(1-EXP((Tnet_s-t)/Tau_j)))*Salcycl</f>
        <v>4.0549452925984199E-2</v>
      </c>
      <c r="AD152" s="230">
        <f>(INDEX(Models!$BJ152:$BT152,,AH152)*(1-AF152)+INDEX(Models!$BJ152:$BT152,,AH152+1)*AF152-ERP_i)*AE152*Ramure*Pc/MaxiM</f>
        <v>0</v>
      </c>
      <c r="AE152" s="304">
        <f t="shared" si="62"/>
        <v>0.6</v>
      </c>
      <c r="AF152" s="177">
        <f t="shared" si="63"/>
        <v>0.13858246727376611</v>
      </c>
      <c r="AG152" s="176">
        <f t="shared" si="64"/>
        <v>-1</v>
      </c>
      <c r="AH152" s="176">
        <f t="shared" si="65"/>
        <v>5</v>
      </c>
      <c r="AI152" s="224">
        <f t="shared" si="66"/>
        <v>-0.86141753272623389</v>
      </c>
      <c r="AJ152" s="264" t="b">
        <f t="shared" si="67"/>
        <v>0</v>
      </c>
      <c r="AK152" s="264" t="b">
        <f t="shared" si="68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9"/>
        <v>43969</v>
      </c>
      <c r="B153" s="607">
        <v>60.180999999999997</v>
      </c>
      <c r="C153" s="388"/>
      <c r="D153" s="391">
        <f t="shared" si="48"/>
        <v>60.729022371881719</v>
      </c>
      <c r="E153" s="383">
        <f t="shared" si="70"/>
        <v>63.301181056084516</v>
      </c>
      <c r="F153" s="383">
        <f t="shared" si="49"/>
        <v>63.301181056084516</v>
      </c>
      <c r="G153" s="110">
        <f t="shared" si="71"/>
        <v>1.0025688796505328</v>
      </c>
      <c r="H153" s="412" t="b">
        <f>Wh_hp&gt;='2019'!Maxi_hp</f>
        <v>1</v>
      </c>
      <c r="I153" s="388">
        <f>IF(H153,Wh_hp,'2019'!Maxi_hp)</f>
        <v>63.301181056084516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9.0240604982216865E-3</v>
      </c>
      <c r="M153" s="832"/>
      <c r="N153" s="832"/>
      <c r="O153" s="48">
        <f>IF(t&lt;Tnet,'2019'!Resal+('2019'!Salim-'2019'!Resal)*(1-EXP(('2019'!Tnet-t)/('2019'!Tau_j))),Resal+(Salim-Resal)*(1-EXP((Tnet-t)/(Tau_j))))*Salcycl</f>
        <v>4.0633660245989335E-2</v>
      </c>
      <c r="P153" s="169">
        <f>(INDEX(Models!$BJ153:$BT153,,T153)*(1-R153)+INDEX(Models!$BJ153:$BT153,,T153+1)*R153-ERP_i)*Q153*Ramure*Pc/MaxiM</f>
        <v>0</v>
      </c>
      <c r="Q153" s="304">
        <f t="shared" si="51"/>
        <v>0.6</v>
      </c>
      <c r="R153" s="177">
        <f t="shared" si="52"/>
        <v>0.14276799304106258</v>
      </c>
      <c r="S153" s="799">
        <f t="shared" si="53"/>
        <v>-1</v>
      </c>
      <c r="T153" s="176">
        <f t="shared" si="54"/>
        <v>5</v>
      </c>
      <c r="U153" s="250">
        <f t="shared" si="55"/>
        <v>-0.85723200695893742</v>
      </c>
      <c r="V153" s="382">
        <f t="shared" si="56"/>
        <v>60.02679837915715</v>
      </c>
      <c r="W153" s="58"/>
      <c r="X153" s="157">
        <f t="shared" si="57"/>
        <v>43969</v>
      </c>
      <c r="Y153" s="383">
        <f t="shared" si="58"/>
        <v>60.180999999999997</v>
      </c>
      <c r="Z153" s="383">
        <f t="shared" si="59"/>
        <v>60.729022371881719</v>
      </c>
      <c r="AA153" s="384">
        <f t="shared" si="60"/>
        <v>63.301181056084516</v>
      </c>
      <c r="AB153" s="197">
        <f t="shared" si="61"/>
        <v>43969</v>
      </c>
      <c r="AC153" s="424">
        <f>IF(OR(t&lt;Tnet,NoTnet),'2019'!Resal_s+('2019'!Salim-'2019'!Resal_s)*(1-EXP(('2019'!Tnet_s-t)/'2019'!Tau_j)),Resal_s+(Salim-Resal_s)*(1-EXP((Tnet_s-t)/Tau_j)))*Salcycl</f>
        <v>4.0633660245989335E-2</v>
      </c>
      <c r="AD153" s="230">
        <f>(INDEX(Models!$BJ153:$BT153,,AH153)*(1-AF153)+INDEX(Models!$BJ153:$BT153,,AH153+1)*AF153-ERP_i)*AE153*Ramure*Pc/MaxiM</f>
        <v>0</v>
      </c>
      <c r="AE153" s="304">
        <f t="shared" si="62"/>
        <v>0.6</v>
      </c>
      <c r="AF153" s="177">
        <f t="shared" si="63"/>
        <v>0.14276799304106258</v>
      </c>
      <c r="AG153" s="176">
        <f t="shared" si="64"/>
        <v>-1</v>
      </c>
      <c r="AH153" s="176">
        <f t="shared" si="65"/>
        <v>5</v>
      </c>
      <c r="AI153" s="224">
        <f t="shared" si="66"/>
        <v>-0.85723200695893742</v>
      </c>
      <c r="AJ153" s="264" t="b">
        <f t="shared" si="67"/>
        <v>0</v>
      </c>
      <c r="AK153" s="264" t="b">
        <f t="shared" si="68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9"/>
        <v>43970</v>
      </c>
      <c r="B154" s="607">
        <v>59.366</v>
      </c>
      <c r="C154" s="388"/>
      <c r="D154" s="391">
        <f t="shared" si="48"/>
        <v>59.907748908110371</v>
      </c>
      <c r="E154" s="383">
        <f t="shared" si="70"/>
        <v>62.450618114879568</v>
      </c>
      <c r="F154" s="383">
        <f t="shared" si="49"/>
        <v>62.450618114879568</v>
      </c>
      <c r="G154" s="110">
        <f t="shared" si="71"/>
        <v>0.98893426884309432</v>
      </c>
      <c r="H154" s="412" t="b">
        <f>Wh_hp&gt;='2019'!Maxi_hp</f>
        <v>1</v>
      </c>
      <c r="I154" s="388">
        <f>IF(H154,Wh_hp,'2019'!Maxi_hp)</f>
        <v>62.450618114879568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9.0430523260243145E-3</v>
      </c>
      <c r="M154" s="832"/>
      <c r="N154" s="832"/>
      <c r="O154" s="48">
        <f>IF(t&lt;Tnet,'2019'!Resal+('2019'!Salim-'2019'!Resal)*(1-EXP(('2019'!Tnet-t)/('2019'!Tau_j))),Resal+(Salim-Resal)*(1-EXP((Tnet-t)/(Tau_j))))*Salcycl</f>
        <v>4.0718079076359541E-2</v>
      </c>
      <c r="P154" s="169">
        <f>(INDEX(Models!$BJ154:$BT154,,T154)*(1-R154)+INDEX(Models!$BJ154:$BT154,,T154+1)*R154-ERP_i)*Q154*Ramure*Pc/MaxiM</f>
        <v>0</v>
      </c>
      <c r="Q154" s="304">
        <f t="shared" si="51"/>
        <v>0.6</v>
      </c>
      <c r="R154" s="177">
        <f t="shared" si="52"/>
        <v>0.14702700834872318</v>
      </c>
      <c r="S154" s="799">
        <f t="shared" si="53"/>
        <v>-1</v>
      </c>
      <c r="T154" s="176">
        <f t="shared" si="54"/>
        <v>5</v>
      </c>
      <c r="U154" s="250">
        <f t="shared" si="55"/>
        <v>-0.85297299165127682</v>
      </c>
      <c r="V154" s="382">
        <f t="shared" si="56"/>
        <v>60.030278927890102</v>
      </c>
      <c r="W154" s="58"/>
      <c r="X154" s="157">
        <f t="shared" si="57"/>
        <v>43970</v>
      </c>
      <c r="Y154" s="383">
        <f t="shared" si="58"/>
        <v>59.366</v>
      </c>
      <c r="Z154" s="383">
        <f t="shared" si="59"/>
        <v>59.907748908110371</v>
      </c>
      <c r="AA154" s="384">
        <f t="shared" si="60"/>
        <v>62.450618114879568</v>
      </c>
      <c r="AB154" s="197">
        <f t="shared" si="61"/>
        <v>43970</v>
      </c>
      <c r="AC154" s="424">
        <f>IF(OR(t&lt;Tnet,NoTnet),'2019'!Resal_s+('2019'!Salim-'2019'!Resal_s)*(1-EXP(('2019'!Tnet_s-t)/'2019'!Tau_j)),Resal_s+(Salim-Resal_s)*(1-EXP((Tnet_s-t)/Tau_j)))*Salcycl</f>
        <v>4.0718079076359541E-2</v>
      </c>
      <c r="AD154" s="230">
        <f>(INDEX(Models!$BJ154:$BT154,,AH154)*(1-AF154)+INDEX(Models!$BJ154:$BT154,,AH154+1)*AF154-ERP_i)*AE154*Ramure*Pc/MaxiM</f>
        <v>0</v>
      </c>
      <c r="AE154" s="304">
        <f t="shared" si="62"/>
        <v>0.6</v>
      </c>
      <c r="AF154" s="177">
        <f t="shared" si="63"/>
        <v>0.14702700834872318</v>
      </c>
      <c r="AG154" s="176">
        <f t="shared" si="64"/>
        <v>-1</v>
      </c>
      <c r="AH154" s="176">
        <f t="shared" si="65"/>
        <v>5</v>
      </c>
      <c r="AI154" s="224">
        <f t="shared" si="66"/>
        <v>-0.85297299165127682</v>
      </c>
      <c r="AJ154" s="264" t="b">
        <f t="shared" si="67"/>
        <v>0</v>
      </c>
      <c r="AK154" s="264" t="b">
        <f t="shared" si="68"/>
        <v>0</v>
      </c>
      <c r="AL154" s="264"/>
      <c r="AM154" s="264"/>
      <c r="AN154" s="75"/>
    </row>
    <row r="155" spans="1:40" s="6" customFormat="1" ht="11.25" x14ac:dyDescent="0.2">
      <c r="A155" s="56">
        <f t="shared" si="69"/>
        <v>43971</v>
      </c>
      <c r="B155" s="607">
        <v>57.860999999999997</v>
      </c>
      <c r="C155" s="388"/>
      <c r="D155" s="391">
        <f t="shared" si="48"/>
        <v>58.390133950757132</v>
      </c>
      <c r="E155" s="383">
        <f t="shared" si="70"/>
        <v>60.873954388671315</v>
      </c>
      <c r="F155" s="383">
        <f t="shared" si="49"/>
        <v>60.873954388671315</v>
      </c>
      <c r="G155" s="110">
        <f t="shared" si="71"/>
        <v>0.96385174262237427</v>
      </c>
      <c r="H155" s="412" t="b">
        <f>Wh_hp&gt;='2019'!Maxi_hp</f>
        <v>1</v>
      </c>
      <c r="I155" s="388">
        <f>IF(H155,Wh_hp,'2019'!Maxi_hp)</f>
        <v>60.873954388671315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9.0620437898528694E-3</v>
      </c>
      <c r="M155" s="832"/>
      <c r="N155" s="832"/>
      <c r="O155" s="48">
        <f>IF(t&lt;Tnet,'2019'!Resal+('2019'!Salim-'2019'!Resal)*(1-EXP(('2019'!Tnet-t)/('2019'!Tau_j))),Resal+(Salim-Resal)*(1-EXP((Tnet-t)/(Tau_j))))*Salcycl</f>
        <v>4.0802679288014662E-2</v>
      </c>
      <c r="P155" s="169">
        <f>(INDEX(Models!$BJ155:$BT155,,T155)*(1-R155)+INDEX(Models!$BJ155:$BT155,,T155+1)*R155-ERP_i)*Q155*Ramure*Pc/MaxiM</f>
        <v>1.3779418004803794E-20</v>
      </c>
      <c r="Q155" s="304">
        <f t="shared" si="51"/>
        <v>0.6</v>
      </c>
      <c r="R155" s="177">
        <f t="shared" si="52"/>
        <v>0.15135777586966603</v>
      </c>
      <c r="S155" s="799">
        <f t="shared" si="53"/>
        <v>-1</v>
      </c>
      <c r="T155" s="176">
        <f t="shared" si="54"/>
        <v>5</v>
      </c>
      <c r="U155" s="250">
        <f t="shared" si="55"/>
        <v>-0.84864222413033397</v>
      </c>
      <c r="V155" s="382">
        <f t="shared" si="56"/>
        <v>60.031016640148614</v>
      </c>
      <c r="W155" s="58"/>
      <c r="X155" s="157">
        <f t="shared" si="57"/>
        <v>43971</v>
      </c>
      <c r="Y155" s="383">
        <f t="shared" si="58"/>
        <v>57.860999999999997</v>
      </c>
      <c r="Z155" s="383">
        <f t="shared" si="59"/>
        <v>58.390133950757132</v>
      </c>
      <c r="AA155" s="384">
        <f t="shared" si="60"/>
        <v>60.873954388671315</v>
      </c>
      <c r="AB155" s="197">
        <f t="shared" si="61"/>
        <v>43971</v>
      </c>
      <c r="AC155" s="424">
        <f>IF(OR(t&lt;Tnet,NoTnet),'2019'!Resal_s+('2019'!Salim-'2019'!Resal_s)*(1-EXP(('2019'!Tnet_s-t)/'2019'!Tau_j)),Resal_s+(Salim-Resal_s)*(1-EXP((Tnet_s-t)/Tau_j)))*Salcycl</f>
        <v>4.0802679288014662E-2</v>
      </c>
      <c r="AD155" s="230">
        <f>(INDEX(Models!$BJ155:$BT155,,AH155)*(1-AF155)+INDEX(Models!$BJ155:$BT155,,AH155+1)*AF155-ERP_i)*AE155*Ramure*Pc/MaxiM</f>
        <v>1.3779418004803794E-20</v>
      </c>
      <c r="AE155" s="304">
        <f t="shared" si="62"/>
        <v>0.6</v>
      </c>
      <c r="AF155" s="177">
        <f t="shared" si="63"/>
        <v>0.15135777586966603</v>
      </c>
      <c r="AG155" s="176">
        <f t="shared" si="64"/>
        <v>-1</v>
      </c>
      <c r="AH155" s="176">
        <f t="shared" si="65"/>
        <v>5</v>
      </c>
      <c r="AI155" s="224">
        <f t="shared" si="66"/>
        <v>-0.84864222413033397</v>
      </c>
      <c r="AJ155" s="264" t="b">
        <f t="shared" si="67"/>
        <v>0</v>
      </c>
      <c r="AK155" s="264" t="b">
        <f t="shared" si="68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9"/>
        <v>43972</v>
      </c>
      <c r="B156" s="607">
        <v>51.414000000000001</v>
      </c>
      <c r="C156" s="388"/>
      <c r="D156" s="391">
        <f t="shared" si="48"/>
        <v>51.885171048550689</v>
      </c>
      <c r="E156" s="383">
        <f t="shared" si="70"/>
        <v>54.097060820019372</v>
      </c>
      <c r="F156" s="383">
        <f t="shared" si="49"/>
        <v>54.097060820019372</v>
      </c>
      <c r="G156" s="110">
        <f t="shared" si="71"/>
        <v>0.8564843668255655</v>
      </c>
      <c r="H156" s="412" t="b">
        <f>Wh_hp&gt;='2019'!Maxi_hp</f>
        <v>0</v>
      </c>
      <c r="I156" s="388">
        <f>IF(H156,Wh_hp,'2019'!Maxi_hp)</f>
        <v>60.177941095555454</v>
      </c>
      <c r="J156" s="85">
        <f>IF(H156,An,'2019'!An_max)</f>
        <v>2018</v>
      </c>
      <c r="K156" s="197">
        <f t="shared" si="50"/>
        <v>43972</v>
      </c>
      <c r="L156" s="147">
        <f>IF(t&lt;Tvie,1-EXP((T0-t)*PertePVj)+'2019'!Pspv,1-EXP((T0-t)*PertePVj)+Pspv)</f>
        <v>9.0810348897143456E-3</v>
      </c>
      <c r="M156" s="832"/>
      <c r="N156" s="832"/>
      <c r="O156" s="48">
        <f>IF(t&lt;Tnet,'2019'!Resal+('2019'!Salim-'2019'!Resal)*(1-EXP(('2019'!Tnet-t)/('2019'!Tau_j))),Resal+(Salim-Resal)*(1-EXP((Tnet-t)/(Tau_j))))*Salcycl</f>
        <v>4.0887429703946883E-2</v>
      </c>
      <c r="P156" s="169">
        <f>(INDEX(Models!$BJ156:$BT156,,T156)*(1-R156)+INDEX(Models!$BJ156:$BT156,,T156+1)*R156-ERP_i)*Q156*Ramure*Pc/MaxiM</f>
        <v>-1.3910798768833795E-20</v>
      </c>
      <c r="Q156" s="304">
        <f t="shared" si="51"/>
        <v>0.6</v>
      </c>
      <c r="R156" s="177">
        <f t="shared" si="52"/>
        <v>0.1557583761152217</v>
      </c>
      <c r="S156" s="799">
        <f t="shared" si="53"/>
        <v>-1</v>
      </c>
      <c r="T156" s="176">
        <f t="shared" si="54"/>
        <v>5</v>
      </c>
      <c r="U156" s="250">
        <f t="shared" si="55"/>
        <v>-0.8442416238847783</v>
      </c>
      <c r="V156" s="382">
        <f t="shared" si="56"/>
        <v>60.02911669077919</v>
      </c>
      <c r="W156" s="58"/>
      <c r="X156" s="157">
        <f t="shared" si="57"/>
        <v>43972</v>
      </c>
      <c r="Y156" s="383">
        <f t="shared" si="58"/>
        <v>51.414000000000001</v>
      </c>
      <c r="Z156" s="383">
        <f t="shared" si="59"/>
        <v>51.885171048550689</v>
      </c>
      <c r="AA156" s="384">
        <f t="shared" si="60"/>
        <v>54.097060820019372</v>
      </c>
      <c r="AB156" s="197">
        <f t="shared" si="61"/>
        <v>43972</v>
      </c>
      <c r="AC156" s="424">
        <f>IF(OR(t&lt;Tnet,NoTnet),'2019'!Resal_s+('2019'!Salim-'2019'!Resal_s)*(1-EXP(('2019'!Tnet_s-t)/'2019'!Tau_j)),Resal_s+(Salim-Resal_s)*(1-EXP((Tnet_s-t)/Tau_j)))*Salcycl</f>
        <v>4.0887429703946883E-2</v>
      </c>
      <c r="AD156" s="230">
        <f>(INDEX(Models!$BJ156:$BT156,,AH156)*(1-AF156)+INDEX(Models!$BJ156:$BT156,,AH156+1)*AF156-ERP_i)*AE156*Ramure*Pc/MaxiM</f>
        <v>-1.3910798768833795E-20</v>
      </c>
      <c r="AE156" s="304">
        <f t="shared" si="62"/>
        <v>0.6</v>
      </c>
      <c r="AF156" s="177">
        <f t="shared" si="63"/>
        <v>0.1557583761152217</v>
      </c>
      <c r="AG156" s="176">
        <f t="shared" si="64"/>
        <v>-1</v>
      </c>
      <c r="AH156" s="176">
        <f t="shared" si="65"/>
        <v>5</v>
      </c>
      <c r="AI156" s="224">
        <f t="shared" si="66"/>
        <v>-0.8442416238847783</v>
      </c>
      <c r="AJ156" s="264" t="b">
        <f t="shared" si="67"/>
        <v>0</v>
      </c>
      <c r="AK156" s="264" t="b">
        <f t="shared" si="68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9"/>
        <v>43973</v>
      </c>
      <c r="B157" s="607">
        <v>55.634999999999998</v>
      </c>
      <c r="C157" s="388"/>
      <c r="D157" s="391">
        <f t="shared" si="48"/>
        <v>56.14592939628016</v>
      </c>
      <c r="E157" s="383">
        <f t="shared" si="70"/>
        <v>58.544637750972903</v>
      </c>
      <c r="F157" s="383">
        <f t="shared" si="49"/>
        <v>58.544637750972903</v>
      </c>
      <c r="G157" s="110">
        <f t="shared" si="71"/>
        <v>0.92686868195977923</v>
      </c>
      <c r="H157" s="412" t="b">
        <f>Wh_hp&gt;='2019'!Maxi_hp</f>
        <v>1</v>
      </c>
      <c r="I157" s="388">
        <f>IF(H157,Wh_hp,'2019'!Maxi_hp)</f>
        <v>58.544637750972903</v>
      </c>
      <c r="J157" s="85">
        <f>IF(H157,An,'2019'!An_max)</f>
        <v>2020</v>
      </c>
      <c r="K157" s="197">
        <f t="shared" si="50"/>
        <v>43973</v>
      </c>
      <c r="L157" s="147">
        <f>IF(t&lt;Tvie,1-EXP((T0-t)*PertePVj)+'2019'!Pspv,1-EXP((T0-t)*PertePVj)+Pspv)</f>
        <v>9.1000256256157375E-3</v>
      </c>
      <c r="M157" s="832"/>
      <c r="N157" s="832"/>
      <c r="O157" s="48">
        <f>IF(t&lt;Tnet,'2019'!Resal+('2019'!Salim-'2019'!Resal)*(1-EXP(('2019'!Tnet-t)/('2019'!Tau_j))),Resal+(Salim-Resal)*(1-EXP((Tnet-t)/(Tau_j))))*Salcycl</f>
        <v>4.0972298178630018E-2</v>
      </c>
      <c r="P157" s="169">
        <f>(INDEX(Models!$BJ157:$BT157,,T157)*(1-R157)+INDEX(Models!$BJ157:$BT157,,T157+1)*R157-ERP_i)*Q157*Ramure*Pc/MaxiM</f>
        <v>-1.4043172568555057E-20</v>
      </c>
      <c r="Q157" s="304">
        <f t="shared" si="51"/>
        <v>0.6</v>
      </c>
      <c r="R157" s="177">
        <f t="shared" si="52"/>
        <v>0.16022670744699397</v>
      </c>
      <c r="S157" s="799">
        <f t="shared" si="53"/>
        <v>-1</v>
      </c>
      <c r="T157" s="176">
        <f t="shared" si="54"/>
        <v>5</v>
      </c>
      <c r="U157" s="250">
        <f t="shared" si="55"/>
        <v>-0.83977329255300603</v>
      </c>
      <c r="V157" s="382">
        <f t="shared" si="56"/>
        <v>60.024684276056099</v>
      </c>
      <c r="W157" s="58"/>
      <c r="X157" s="157">
        <f t="shared" si="57"/>
        <v>43973</v>
      </c>
      <c r="Y157" s="383">
        <f t="shared" si="58"/>
        <v>55.634999999999998</v>
      </c>
      <c r="Z157" s="383">
        <f t="shared" si="59"/>
        <v>56.14592939628016</v>
      </c>
      <c r="AA157" s="384">
        <f t="shared" si="60"/>
        <v>58.544637750972903</v>
      </c>
      <c r="AB157" s="197">
        <f t="shared" si="61"/>
        <v>43973</v>
      </c>
      <c r="AC157" s="424">
        <f>IF(OR(t&lt;Tnet,NoTnet),'2019'!Resal_s+('2019'!Salim-'2019'!Resal_s)*(1-EXP(('2019'!Tnet_s-t)/'2019'!Tau_j)),Resal_s+(Salim-Resal_s)*(1-EXP((Tnet_s-t)/Tau_j)))*Salcycl</f>
        <v>4.0972298178630018E-2</v>
      </c>
      <c r="AD157" s="230">
        <f>(INDEX(Models!$BJ157:$BT157,,AH157)*(1-AF157)+INDEX(Models!$BJ157:$BT157,,AH157+1)*AF157-ERP_i)*AE157*Ramure*Pc/MaxiM</f>
        <v>-1.4043172568555057E-20</v>
      </c>
      <c r="AE157" s="304">
        <f t="shared" si="62"/>
        <v>0.6</v>
      </c>
      <c r="AF157" s="177">
        <f t="shared" si="63"/>
        <v>0.16022670744699397</v>
      </c>
      <c r="AG157" s="176">
        <f t="shared" si="64"/>
        <v>-1</v>
      </c>
      <c r="AH157" s="176">
        <f t="shared" si="65"/>
        <v>5</v>
      </c>
      <c r="AI157" s="224">
        <f t="shared" si="66"/>
        <v>-0.83977329255300603</v>
      </c>
      <c r="AJ157" s="264" t="b">
        <f t="shared" si="67"/>
        <v>0</v>
      </c>
      <c r="AK157" s="264" t="b">
        <f t="shared" si="68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9"/>
        <v>43974</v>
      </c>
      <c r="B158" s="607">
        <v>17.456</v>
      </c>
      <c r="C158" s="388"/>
      <c r="D158" s="391">
        <f t="shared" si="48"/>
        <v>17.616646481084437</v>
      </c>
      <c r="E158" s="383">
        <f t="shared" si="70"/>
        <v>18.370905366392147</v>
      </c>
      <c r="F158" s="383">
        <f t="shared" si="49"/>
        <v>18.370905366392147</v>
      </c>
      <c r="G158" s="110">
        <f t="shared" si="71"/>
        <v>0.29084692947801533</v>
      </c>
      <c r="H158" s="412" t="b">
        <f>Wh_hp&gt;='2019'!Maxi_hp</f>
        <v>1</v>
      </c>
      <c r="I158" s="388">
        <f>IF(H158,Wh_hp,'2019'!Maxi_hp)</f>
        <v>18.370905366392147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9.1190159975640395E-3</v>
      </c>
      <c r="M158" s="832"/>
      <c r="N158" s="832"/>
      <c r="O158" s="48">
        <f>IF(t&lt;Tnet,'2019'!Resal+('2019'!Salim-'2019'!Resal)*(1-EXP(('2019'!Tnet-t)/('2019'!Tau_j))),Resal+(Salim-Resal)*(1-EXP((Tnet-t)/(Tau_j))))*Salcycl</f>
        <v>4.1057251684914621E-2</v>
      </c>
      <c r="P158" s="169">
        <f>(INDEX(Models!$BJ158:$BT158,,T158)*(1-R158)+INDEX(Models!$BJ158:$BT158,,T158+1)*R158-ERP_i)*Q158*Ramure*Pc/MaxiM</f>
        <v>1.4176377305478259E-20</v>
      </c>
      <c r="Q158" s="304">
        <f t="shared" si="51"/>
        <v>0.6</v>
      </c>
      <c r="R158" s="177">
        <f t="shared" si="52"/>
        <v>0.16476048697782353</v>
      </c>
      <c r="S158" s="799">
        <f t="shared" si="53"/>
        <v>-1</v>
      </c>
      <c r="T158" s="176">
        <f t="shared" si="54"/>
        <v>5</v>
      </c>
      <c r="U158" s="250">
        <f t="shared" si="55"/>
        <v>-0.83523951302217647</v>
      </c>
      <c r="V158" s="382">
        <f t="shared" si="56"/>
        <v>60.017824603919252</v>
      </c>
      <c r="W158" s="58"/>
      <c r="X158" s="157">
        <f t="shared" si="57"/>
        <v>43974</v>
      </c>
      <c r="Y158" s="383">
        <f t="shared" si="58"/>
        <v>17.456</v>
      </c>
      <c r="Z158" s="383">
        <f t="shared" si="59"/>
        <v>17.616646481084437</v>
      </c>
      <c r="AA158" s="384">
        <f t="shared" si="60"/>
        <v>18.370905366392147</v>
      </c>
      <c r="AB158" s="197">
        <f t="shared" si="61"/>
        <v>43974</v>
      </c>
      <c r="AC158" s="424">
        <f>IF(OR(t&lt;Tnet,NoTnet),'2019'!Resal_s+('2019'!Salim-'2019'!Resal_s)*(1-EXP(('2019'!Tnet_s-t)/'2019'!Tau_j)),Resal_s+(Salim-Resal_s)*(1-EXP((Tnet_s-t)/Tau_j)))*Salcycl</f>
        <v>4.1057251684914621E-2</v>
      </c>
      <c r="AD158" s="230">
        <f>(INDEX(Models!$BJ158:$BT158,,AH158)*(1-AF158)+INDEX(Models!$BJ158:$BT158,,AH158+1)*AF158-ERP_i)*AE158*Ramure*Pc/MaxiM</f>
        <v>1.4176377305478259E-20</v>
      </c>
      <c r="AE158" s="304">
        <f t="shared" si="62"/>
        <v>0.6</v>
      </c>
      <c r="AF158" s="177">
        <f t="shared" si="63"/>
        <v>0.16476048697782353</v>
      </c>
      <c r="AG158" s="176">
        <f t="shared" si="64"/>
        <v>-1</v>
      </c>
      <c r="AH158" s="176">
        <f t="shared" si="65"/>
        <v>5</v>
      </c>
      <c r="AI158" s="224">
        <f t="shared" si="66"/>
        <v>-0.83523951302217647</v>
      </c>
      <c r="AJ158" s="264" t="b">
        <f t="shared" si="67"/>
        <v>0</v>
      </c>
      <c r="AK158" s="264" t="b">
        <f t="shared" si="68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9"/>
        <v>43975</v>
      </c>
      <c r="B159" s="607">
        <v>56.076999999999998</v>
      </c>
      <c r="C159" s="388"/>
      <c r="D159" s="391">
        <f t="shared" si="48"/>
        <v>56.594157753430807</v>
      </c>
      <c r="E159" s="383">
        <f t="shared" si="70"/>
        <v>59.02247557748224</v>
      </c>
      <c r="F159" s="383">
        <f t="shared" si="49"/>
        <v>59.02247557748224</v>
      </c>
      <c r="G159" s="110">
        <f t="shared" si="71"/>
        <v>0.93448205626463077</v>
      </c>
      <c r="H159" s="412" t="b">
        <f>Wh_hp&gt;='2019'!Maxi_hp</f>
        <v>1</v>
      </c>
      <c r="I159" s="388">
        <f>IF(H159,Wh_hp,'2019'!Maxi_hp)</f>
        <v>59.02247557748224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9.138006005566135E-3</v>
      </c>
      <c r="M159" s="832"/>
      <c r="N159" s="832"/>
      <c r="O159" s="48">
        <f>IF(t&lt;Tnet,'2019'!Resal+('2019'!Salim-'2019'!Resal)*(1-EXP(('2019'!Tnet-t)/('2019'!Tau_j))),Resal+(Salim-Resal)*(1-EXP((Tnet-t)/(Tau_j))))*Salcycl</f>
        <v>4.1142256408131184E-2</v>
      </c>
      <c r="P159" s="169">
        <f>(INDEX(Models!$BJ159:$BT159,,T159)*(1-R159)+INDEX(Models!$BJ159:$BT159,,T159+1)*R159-ERP_i)*Q159*Ramure*Pc/MaxiM</f>
        <v>0</v>
      </c>
      <c r="Q159" s="304">
        <f t="shared" si="51"/>
        <v>0.6</v>
      </c>
      <c r="R159" s="177">
        <f t="shared" si="52"/>
        <v>0.16935725239554056</v>
      </c>
      <c r="S159" s="799">
        <f t="shared" si="53"/>
        <v>-1</v>
      </c>
      <c r="T159" s="176">
        <f t="shared" si="54"/>
        <v>5</v>
      </c>
      <c r="U159" s="250">
        <f t="shared" si="55"/>
        <v>-0.83064274760445944</v>
      </c>
      <c r="V159" s="382">
        <f t="shared" si="56"/>
        <v>60.008642888397922</v>
      </c>
      <c r="W159" s="58"/>
      <c r="X159" s="157">
        <f t="shared" si="57"/>
        <v>43975</v>
      </c>
      <c r="Y159" s="383">
        <f t="shared" si="58"/>
        <v>56.076999999999998</v>
      </c>
      <c r="Z159" s="383">
        <f t="shared" si="59"/>
        <v>56.594157753430807</v>
      </c>
      <c r="AA159" s="384">
        <f t="shared" si="60"/>
        <v>59.02247557748224</v>
      </c>
      <c r="AB159" s="197">
        <f t="shared" si="61"/>
        <v>43975</v>
      </c>
      <c r="AC159" s="424">
        <f>IF(OR(t&lt;Tnet,NoTnet),'2019'!Resal_s+('2019'!Salim-'2019'!Resal_s)*(1-EXP(('2019'!Tnet_s-t)/'2019'!Tau_j)),Resal_s+(Salim-Resal_s)*(1-EXP((Tnet_s-t)/Tau_j)))*Salcycl</f>
        <v>4.1142256408131184E-2</v>
      </c>
      <c r="AD159" s="230">
        <f>(INDEX(Models!$BJ159:$BT159,,AH159)*(1-AF159)+INDEX(Models!$BJ159:$BT159,,AH159+1)*AF159-ERP_i)*AE159*Ramure*Pc/MaxiM</f>
        <v>0</v>
      </c>
      <c r="AE159" s="304">
        <f t="shared" si="62"/>
        <v>0.6</v>
      </c>
      <c r="AF159" s="177">
        <f t="shared" si="63"/>
        <v>0.16935725239554056</v>
      </c>
      <c r="AG159" s="176">
        <f t="shared" si="64"/>
        <v>-1</v>
      </c>
      <c r="AH159" s="176">
        <f t="shared" si="65"/>
        <v>5</v>
      </c>
      <c r="AI159" s="224">
        <f t="shared" si="66"/>
        <v>-0.83064274760445944</v>
      </c>
      <c r="AJ159" s="264" t="b">
        <f t="shared" si="67"/>
        <v>0</v>
      </c>
      <c r="AK159" s="264" t="b">
        <f t="shared" si="68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9"/>
        <v>43976</v>
      </c>
      <c r="B160" s="607">
        <v>58.703000000000003</v>
      </c>
      <c r="C160" s="388"/>
      <c r="D160" s="391">
        <f t="shared" si="48"/>
        <v>59.245510885438009</v>
      </c>
      <c r="E160" s="383">
        <f t="shared" si="70"/>
        <v>61.793070992258549</v>
      </c>
      <c r="F160" s="383">
        <f t="shared" si="49"/>
        <v>61.793070992258549</v>
      </c>
      <c r="G160" s="110">
        <f t="shared" si="71"/>
        <v>0.97842827018236467</v>
      </c>
      <c r="H160" s="412" t="b">
        <f>Wh_hp&gt;='2019'!Maxi_hp</f>
        <v>1</v>
      </c>
      <c r="I160" s="388">
        <f>IF(H160,Wh_hp,'2019'!Maxi_hp)</f>
        <v>61.793070992258549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9.1569956496290184E-3</v>
      </c>
      <c r="M160" s="832"/>
      <c r="N160" s="832"/>
      <c r="O160" s="48">
        <f>IF(t&lt;Tnet,'2019'!Resal+('2019'!Salim-'2019'!Resal)*(1-EXP(('2019'!Tnet-t)/('2019'!Tau_j))),Resal+(Salim-Resal)*(1-EXP((Tnet-t)/(Tau_j))))*Salcycl</f>
        <v>4.1227277847053344E-2</v>
      </c>
      <c r="P160" s="169">
        <f>(INDEX(Models!$BJ160:$BT160,,T160)*(1-R160)+INDEX(Models!$BJ160:$BT160,,T160+1)*R160-ERP_i)*Q160*Ramure*Pc/MaxiM</f>
        <v>0</v>
      </c>
      <c r="Q160" s="304">
        <f t="shared" si="51"/>
        <v>0.6</v>
      </c>
      <c r="R160" s="177">
        <f t="shared" si="52"/>
        <v>0.17401436473637288</v>
      </c>
      <c r="S160" s="799">
        <f t="shared" si="53"/>
        <v>-1</v>
      </c>
      <c r="T160" s="176">
        <f t="shared" si="54"/>
        <v>5</v>
      </c>
      <c r="U160" s="250">
        <f t="shared" si="55"/>
        <v>-0.82598563526362712</v>
      </c>
      <c r="V160" s="382">
        <f t="shared" si="56"/>
        <v>59.997244344808877</v>
      </c>
      <c r="W160" s="58"/>
      <c r="X160" s="157">
        <f t="shared" si="57"/>
        <v>43976</v>
      </c>
      <c r="Y160" s="383">
        <f t="shared" si="58"/>
        <v>58.703000000000003</v>
      </c>
      <c r="Z160" s="383">
        <f t="shared" si="59"/>
        <v>59.245510885438009</v>
      </c>
      <c r="AA160" s="384">
        <f t="shared" si="60"/>
        <v>61.793070992258549</v>
      </c>
      <c r="AB160" s="197">
        <f t="shared" si="61"/>
        <v>43976</v>
      </c>
      <c r="AC160" s="424">
        <f>IF(OR(t&lt;Tnet,NoTnet),'2019'!Resal_s+('2019'!Salim-'2019'!Resal_s)*(1-EXP(('2019'!Tnet_s-t)/'2019'!Tau_j)),Resal_s+(Salim-Resal_s)*(1-EXP((Tnet_s-t)/Tau_j)))*Salcycl</f>
        <v>4.1227277847053344E-2</v>
      </c>
      <c r="AD160" s="230">
        <f>(INDEX(Models!$BJ160:$BT160,,AH160)*(1-AF160)+INDEX(Models!$BJ160:$BT160,,AH160+1)*AF160-ERP_i)*AE160*Ramure*Pc/MaxiM</f>
        <v>0</v>
      </c>
      <c r="AE160" s="304">
        <f t="shared" si="62"/>
        <v>0.6</v>
      </c>
      <c r="AF160" s="177">
        <f t="shared" si="63"/>
        <v>0.17401436473637288</v>
      </c>
      <c r="AG160" s="176">
        <f t="shared" si="64"/>
        <v>-1</v>
      </c>
      <c r="AH160" s="176">
        <f t="shared" si="65"/>
        <v>5</v>
      </c>
      <c r="AI160" s="224">
        <f t="shared" si="66"/>
        <v>-0.82598563526362712</v>
      </c>
      <c r="AJ160" s="264" t="b">
        <f t="shared" si="67"/>
        <v>0</v>
      </c>
      <c r="AK160" s="264" t="b">
        <f t="shared" si="68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9"/>
        <v>43977</v>
      </c>
      <c r="B161" s="607">
        <v>58.473999999999997</v>
      </c>
      <c r="C161" s="388"/>
      <c r="D161" s="391">
        <f t="shared" si="48"/>
        <v>59.015525573282289</v>
      </c>
      <c r="E161" s="383">
        <f t="shared" si="70"/>
        <v>61.558653979625923</v>
      </c>
      <c r="F161" s="383">
        <f t="shared" si="49"/>
        <v>61.558653979625923</v>
      </c>
      <c r="G161" s="110">
        <f t="shared" si="71"/>
        <v>0.97483094043765073</v>
      </c>
      <c r="H161" s="412" t="b">
        <f>Wh_hp&gt;='2019'!Maxi_hp</f>
        <v>1</v>
      </c>
      <c r="I161" s="388">
        <f>IF(H161,Wh_hp,'2019'!Maxi_hp)</f>
        <v>61.558653979625923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9.1759849297597951E-3</v>
      </c>
      <c r="M161" s="832"/>
      <c r="N161" s="832"/>
      <c r="O161" s="48">
        <f>IF(t&lt;Tnet,'2019'!Resal+('2019'!Salim-'2019'!Resal)*(1-EXP(('2019'!Tnet-t)/('2019'!Tau_j))),Resal+(Salim-Resal)*(1-EXP((Tnet-t)/(Tau_j))))*Salcycl</f>
        <v>4.1312280921303679E-2</v>
      </c>
      <c r="P161" s="169">
        <f>(INDEX(Models!$BJ161:$BT161,,T161)*(1-R161)+INDEX(Models!$BJ161:$BT161,,T161+1)*R161-ERP_i)*Q161*Ramure*Pc/MaxiM</f>
        <v>0</v>
      </c>
      <c r="Q161" s="304">
        <f t="shared" si="51"/>
        <v>0.6</v>
      </c>
      <c r="R161" s="177">
        <f t="shared" si="52"/>
        <v>0.17872901212734882</v>
      </c>
      <c r="S161" s="799">
        <f t="shared" si="53"/>
        <v>-1</v>
      </c>
      <c r="T161" s="176">
        <f t="shared" si="54"/>
        <v>5</v>
      </c>
      <c r="U161" s="250">
        <f t="shared" si="55"/>
        <v>-0.82127098787265118</v>
      </c>
      <c r="V161" s="382">
        <f t="shared" si="56"/>
        <v>59.983734178305902</v>
      </c>
      <c r="W161" s="58"/>
      <c r="X161" s="157">
        <f t="shared" si="57"/>
        <v>43977</v>
      </c>
      <c r="Y161" s="383">
        <f t="shared" si="58"/>
        <v>58.473999999999997</v>
      </c>
      <c r="Z161" s="383">
        <f t="shared" si="59"/>
        <v>59.015525573282289</v>
      </c>
      <c r="AA161" s="384">
        <f t="shared" si="60"/>
        <v>61.558653979625923</v>
      </c>
      <c r="AB161" s="197">
        <f t="shared" si="61"/>
        <v>43977</v>
      </c>
      <c r="AC161" s="424">
        <f>IF(OR(t&lt;Tnet,NoTnet),'2019'!Resal_s+('2019'!Salim-'2019'!Resal_s)*(1-EXP(('2019'!Tnet_s-t)/'2019'!Tau_j)),Resal_s+(Salim-Resal_s)*(1-EXP((Tnet_s-t)/Tau_j)))*Salcycl</f>
        <v>4.1312280921303679E-2</v>
      </c>
      <c r="AD161" s="230">
        <f>(INDEX(Models!$BJ161:$BT161,,AH161)*(1-AF161)+INDEX(Models!$BJ161:$BT161,,AH161+1)*AF161-ERP_i)*AE161*Ramure*Pc/MaxiM</f>
        <v>0</v>
      </c>
      <c r="AE161" s="304">
        <f t="shared" si="62"/>
        <v>0.6</v>
      </c>
      <c r="AF161" s="177">
        <f t="shared" si="63"/>
        <v>0.17872901212734882</v>
      </c>
      <c r="AG161" s="176">
        <f t="shared" si="64"/>
        <v>-1</v>
      </c>
      <c r="AH161" s="176">
        <f t="shared" si="65"/>
        <v>5</v>
      </c>
      <c r="AI161" s="224">
        <f t="shared" si="66"/>
        <v>-0.82127098787265118</v>
      </c>
      <c r="AJ161" s="264" t="b">
        <f t="shared" si="67"/>
        <v>0</v>
      </c>
      <c r="AK161" s="264" t="b">
        <f t="shared" si="68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9"/>
        <v>43978</v>
      </c>
      <c r="B162" s="607">
        <v>57.914999999999999</v>
      </c>
      <c r="C162" s="388"/>
      <c r="D162" s="391">
        <f t="shared" si="48"/>
        <v>58.452468922978895</v>
      </c>
      <c r="E162" s="383">
        <f t="shared" si="70"/>
        <v>60.976736931549574</v>
      </c>
      <c r="F162" s="383">
        <f t="shared" si="49"/>
        <v>60.976736931549574</v>
      </c>
      <c r="G162" s="110">
        <f t="shared" si="71"/>
        <v>0.96576157070742608</v>
      </c>
      <c r="H162" s="412" t="b">
        <f>Wh_hp&gt;='2019'!Maxi_hp</f>
        <v>1</v>
      </c>
      <c r="I162" s="388">
        <f>IF(H162,Wh_hp,'2019'!Maxi_hp)</f>
        <v>60.976736931549574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9.1949738459653485E-3</v>
      </c>
      <c r="M162" s="832"/>
      <c r="N162" s="832"/>
      <c r="O162" s="48">
        <f>IF(t&lt;Tnet,'2019'!Resal+('2019'!Salim-'2019'!Resal)*(1-EXP(('2019'!Tnet-t)/('2019'!Tau_j))),Resal+(Salim-Resal)*(1-EXP((Tnet-t)/(Tau_j))))*Salcycl</f>
        <v>4.1397230084717969E-2</v>
      </c>
      <c r="P162" s="169">
        <f>(INDEX(Models!$BJ162:$BT162,,T162)*(1-R162)+INDEX(Models!$BJ162:$BT162,,T162+1)*R162-ERP_i)*Q162*Ramure*Pc/MaxiM</f>
        <v>0</v>
      </c>
      <c r="Q162" s="304">
        <f t="shared" si="51"/>
        <v>0.6</v>
      </c>
      <c r="R162" s="177">
        <f t="shared" si="52"/>
        <v>0.18349821450889114</v>
      </c>
      <c r="S162" s="799">
        <f t="shared" si="53"/>
        <v>-1</v>
      </c>
      <c r="T162" s="176">
        <f t="shared" si="54"/>
        <v>5</v>
      </c>
      <c r="U162" s="250">
        <f t="shared" si="55"/>
        <v>-0.81650178549110886</v>
      </c>
      <c r="V162" s="382">
        <f t="shared" si="56"/>
        <v>59.968217577322861</v>
      </c>
      <c r="W162" s="58"/>
      <c r="X162" s="157">
        <f t="shared" si="57"/>
        <v>43978</v>
      </c>
      <c r="Y162" s="383">
        <f t="shared" si="58"/>
        <v>57.914999999999999</v>
      </c>
      <c r="Z162" s="383">
        <f t="shared" si="59"/>
        <v>58.452468922978895</v>
      </c>
      <c r="AA162" s="384">
        <f t="shared" si="60"/>
        <v>60.976736931549574</v>
      </c>
      <c r="AB162" s="197">
        <f t="shared" si="61"/>
        <v>43978</v>
      </c>
      <c r="AC162" s="424">
        <f>IF(OR(t&lt;Tnet,NoTnet),'2019'!Resal_s+('2019'!Salim-'2019'!Resal_s)*(1-EXP(('2019'!Tnet_s-t)/'2019'!Tau_j)),Resal_s+(Salim-Resal_s)*(1-EXP((Tnet_s-t)/Tau_j)))*Salcycl</f>
        <v>4.1397230084717969E-2</v>
      </c>
      <c r="AD162" s="230">
        <f>(INDEX(Models!$BJ162:$BT162,,AH162)*(1-AF162)+INDEX(Models!$BJ162:$BT162,,AH162+1)*AF162-ERP_i)*AE162*Ramure*Pc/MaxiM</f>
        <v>0</v>
      </c>
      <c r="AE162" s="304">
        <f t="shared" si="62"/>
        <v>0.6</v>
      </c>
      <c r="AF162" s="177">
        <f t="shared" si="63"/>
        <v>0.18349821450889114</v>
      </c>
      <c r="AG162" s="176">
        <f t="shared" si="64"/>
        <v>-1</v>
      </c>
      <c r="AH162" s="176">
        <f t="shared" si="65"/>
        <v>5</v>
      </c>
      <c r="AI162" s="224">
        <f t="shared" si="66"/>
        <v>-0.81650178549110886</v>
      </c>
      <c r="AJ162" s="264" t="b">
        <f t="shared" si="67"/>
        <v>0</v>
      </c>
      <c r="AK162" s="264" t="b">
        <f t="shared" si="68"/>
        <v>0</v>
      </c>
      <c r="AL162" s="264"/>
      <c r="AM162" s="264"/>
      <c r="AN162" s="75"/>
    </row>
    <row r="163" spans="1:40" s="6" customFormat="1" ht="11.25" x14ac:dyDescent="0.2">
      <c r="A163" s="56">
        <f t="shared" si="69"/>
        <v>43979</v>
      </c>
      <c r="B163" s="607">
        <v>57.883000000000003</v>
      </c>
      <c r="C163" s="388"/>
      <c r="D163" s="391">
        <f t="shared" si="48"/>
        <v>58.421291583911518</v>
      </c>
      <c r="E163" s="383">
        <f t="shared" si="70"/>
        <v>60.949608703744261</v>
      </c>
      <c r="F163" s="383">
        <f t="shared" si="49"/>
        <v>60.949608703744261</v>
      </c>
      <c r="G163" s="110">
        <f t="shared" si="71"/>
        <v>0.96551607467598721</v>
      </c>
      <c r="H163" s="412" t="b">
        <f>Wh_hp&gt;='2019'!Maxi_hp</f>
        <v>1</v>
      </c>
      <c r="I163" s="388">
        <f>IF(H163,Wh_hp,'2019'!Maxi_hp)</f>
        <v>60.949608703744261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9.213962398252673E-3</v>
      </c>
      <c r="M163" s="832"/>
      <c r="N163" s="832"/>
      <c r="O163" s="48">
        <f>IF(t&lt;Tnet,'2019'!Resal+('2019'!Salim-'2019'!Resal)*(1-EXP(('2019'!Tnet-t)/('2019'!Tau_j))),Resal+(Salim-Resal)*(1-EXP((Tnet-t)/(Tau_j))))*Salcycl</f>
        <v>4.1482089444118443E-2</v>
      </c>
      <c r="P163" s="169">
        <f>(INDEX(Models!$BJ163:$BT163,,T163)*(1-R163)+INDEX(Models!$BJ163:$BT163,,T163+1)*R163-ERP_i)*Q163*Ramure*Pc/MaxiM</f>
        <v>0</v>
      </c>
      <c r="Q163" s="304">
        <f t="shared" si="51"/>
        <v>0.6</v>
      </c>
      <c r="R163" s="177">
        <f t="shared" si="52"/>
        <v>0.18831882934011313</v>
      </c>
      <c r="S163" s="799">
        <f t="shared" si="53"/>
        <v>-1</v>
      </c>
      <c r="T163" s="176">
        <f t="shared" si="54"/>
        <v>5</v>
      </c>
      <c r="U163" s="250">
        <f t="shared" si="55"/>
        <v>-0.81168117065988687</v>
      </c>
      <c r="V163" s="382">
        <f t="shared" si="56"/>
        <v>59.950322442249004</v>
      </c>
      <c r="W163" s="58"/>
      <c r="X163" s="157">
        <f t="shared" si="57"/>
        <v>43979</v>
      </c>
      <c r="Y163" s="383">
        <f t="shared" si="58"/>
        <v>57.883000000000003</v>
      </c>
      <c r="Z163" s="383">
        <f t="shared" si="59"/>
        <v>58.421291583911518</v>
      </c>
      <c r="AA163" s="384">
        <f t="shared" si="60"/>
        <v>60.949608703744261</v>
      </c>
      <c r="AB163" s="197">
        <f t="shared" si="61"/>
        <v>43979</v>
      </c>
      <c r="AC163" s="424">
        <f>IF(OR(t&lt;Tnet,NoTnet),'2019'!Resal_s+('2019'!Salim-'2019'!Resal_s)*(1-EXP(('2019'!Tnet_s-t)/'2019'!Tau_j)),Resal_s+(Salim-Resal_s)*(1-EXP((Tnet_s-t)/Tau_j)))*Salcycl</f>
        <v>4.1482089444118443E-2</v>
      </c>
      <c r="AD163" s="230">
        <f>(INDEX(Models!$BJ163:$BT163,,AH163)*(1-AF163)+INDEX(Models!$BJ163:$BT163,,AH163+1)*AF163-ERP_i)*AE163*Ramure*Pc/MaxiM</f>
        <v>0</v>
      </c>
      <c r="AE163" s="304">
        <f t="shared" si="62"/>
        <v>0.6</v>
      </c>
      <c r="AF163" s="177">
        <f t="shared" si="63"/>
        <v>0.18831882934011313</v>
      </c>
      <c r="AG163" s="176">
        <f t="shared" si="64"/>
        <v>-1</v>
      </c>
      <c r="AH163" s="176">
        <f t="shared" si="65"/>
        <v>5</v>
      </c>
      <c r="AI163" s="224">
        <f t="shared" si="66"/>
        <v>-0.81168117065988687</v>
      </c>
      <c r="AJ163" s="264" t="b">
        <f t="shared" si="67"/>
        <v>0</v>
      </c>
      <c r="AK163" s="264" t="b">
        <f t="shared" si="68"/>
        <v>0</v>
      </c>
      <c r="AL163" s="264"/>
      <c r="AM163" s="264"/>
      <c r="AN163" s="75"/>
    </row>
    <row r="164" spans="1:40" s="6" customFormat="1" ht="11.25" x14ac:dyDescent="0.2">
      <c r="A164" s="56">
        <f t="shared" si="69"/>
        <v>43980</v>
      </c>
      <c r="B164" s="607">
        <v>56.231000000000002</v>
      </c>
      <c r="C164" s="388"/>
      <c r="D164" s="391">
        <f t="shared" si="48"/>
        <v>56.755016260678147</v>
      </c>
      <c r="E164" s="383">
        <f t="shared" si="70"/>
        <v>59.216456207612119</v>
      </c>
      <c r="F164" s="383">
        <f t="shared" si="49"/>
        <v>59.216456207612119</v>
      </c>
      <c r="G164" s="110">
        <f t="shared" si="71"/>
        <v>0.93828305043061311</v>
      </c>
      <c r="H164" s="412" t="b">
        <f>Wh_hp&gt;='2019'!Maxi_hp</f>
        <v>1</v>
      </c>
      <c r="I164" s="388">
        <f>IF(H164,Wh_hp,'2019'!Maxi_hp)</f>
        <v>59.216456207612119</v>
      </c>
      <c r="J164" s="85">
        <f>IF(H164,An,'2019'!An_max)</f>
        <v>2020</v>
      </c>
      <c r="K164" s="197">
        <f t="shared" si="50"/>
        <v>43980</v>
      </c>
      <c r="L164" s="147">
        <f>IF(t&lt;Tvie,1-EXP((T0-t)*PertePVj)+'2019'!Pspv,1-EXP((T0-t)*PertePVj)+Pspv)</f>
        <v>9.2329505866286521E-3</v>
      </c>
      <c r="M164" s="832"/>
      <c r="N164" s="832"/>
      <c r="O164" s="48">
        <f>IF(t&lt;Tnet,'2019'!Resal+('2019'!Salim-'2019'!Resal)*(1-EXP(('2019'!Tnet-t)/('2019'!Tau_j))),Resal+(Salim-Resal)*(1-EXP((Tnet-t)/(Tau_j))))*Salcycl</f>
        <v>4.1566822882885761E-2</v>
      </c>
      <c r="P164" s="169">
        <f>(INDEX(Models!$BJ164:$BT164,,T164)*(1-R164)+INDEX(Models!$BJ164:$BT164,,T164+1)*R164-ERP_i)*Q164*Ramure*Pc/MaxiM</f>
        <v>0</v>
      </c>
      <c r="Q164" s="304">
        <f t="shared" si="51"/>
        <v>0.6</v>
      </c>
      <c r="R164" s="177">
        <f t="shared" si="52"/>
        <v>0.19318755828020073</v>
      </c>
      <c r="S164" s="799">
        <f t="shared" si="53"/>
        <v>-1</v>
      </c>
      <c r="T164" s="176">
        <f t="shared" si="54"/>
        <v>5</v>
      </c>
      <c r="U164" s="250">
        <f t="shared" si="55"/>
        <v>-0.80681244171979927</v>
      </c>
      <c r="V164" s="382">
        <f t="shared" si="56"/>
        <v>59.929676843457315</v>
      </c>
      <c r="W164" s="58"/>
      <c r="X164" s="157">
        <f t="shared" si="57"/>
        <v>43980</v>
      </c>
      <c r="Y164" s="383">
        <f t="shared" si="58"/>
        <v>56.231000000000002</v>
      </c>
      <c r="Z164" s="383">
        <f t="shared" si="59"/>
        <v>56.755016260678147</v>
      </c>
      <c r="AA164" s="384">
        <f t="shared" si="60"/>
        <v>59.216456207612119</v>
      </c>
      <c r="AB164" s="197">
        <f t="shared" si="61"/>
        <v>43980</v>
      </c>
      <c r="AC164" s="424">
        <f>IF(OR(t&lt;Tnet,NoTnet),'2019'!Resal_s+('2019'!Salim-'2019'!Resal_s)*(1-EXP(('2019'!Tnet_s-t)/'2019'!Tau_j)),Resal_s+(Salim-Resal_s)*(1-EXP((Tnet_s-t)/Tau_j)))*Salcycl</f>
        <v>4.1566822882885761E-2</v>
      </c>
      <c r="AD164" s="230">
        <f>(INDEX(Models!$BJ164:$BT164,,AH164)*(1-AF164)+INDEX(Models!$BJ164:$BT164,,AH164+1)*AF164-ERP_i)*AE164*Ramure*Pc/MaxiM</f>
        <v>0</v>
      </c>
      <c r="AE164" s="304">
        <f t="shared" si="62"/>
        <v>0.6</v>
      </c>
      <c r="AF164" s="177">
        <f t="shared" si="63"/>
        <v>0.19318755828020073</v>
      </c>
      <c r="AG164" s="176">
        <f t="shared" si="64"/>
        <v>-1</v>
      </c>
      <c r="AH164" s="176">
        <f t="shared" si="65"/>
        <v>5</v>
      </c>
      <c r="AI164" s="224">
        <f t="shared" si="66"/>
        <v>-0.80681244171979927</v>
      </c>
      <c r="AJ164" s="264" t="b">
        <f t="shared" si="67"/>
        <v>0</v>
      </c>
      <c r="AK164" s="264" t="b">
        <f t="shared" si="68"/>
        <v>0</v>
      </c>
      <c r="AL164" s="264"/>
      <c r="AM164" s="264"/>
      <c r="AN164" s="75"/>
    </row>
    <row r="165" spans="1:40" s="6" customFormat="1" ht="11.25" x14ac:dyDescent="0.2">
      <c r="A165" s="56">
        <f t="shared" si="69"/>
        <v>43981</v>
      </c>
      <c r="B165" s="607">
        <v>59.337000000000003</v>
      </c>
      <c r="C165" s="388"/>
      <c r="D165" s="391">
        <f t="shared" si="48"/>
        <v>59.891108850456938</v>
      </c>
      <c r="E165" s="383">
        <f t="shared" si="70"/>
        <v>62.494074168087401</v>
      </c>
      <c r="F165" s="383">
        <f t="shared" si="49"/>
        <v>62.494074168087401</v>
      </c>
      <c r="G165" s="110">
        <f t="shared" si="71"/>
        <v>0.99049540097428435</v>
      </c>
      <c r="H165" s="412" t="b">
        <f>Wh_hp&gt;='2019'!Maxi_hp</f>
        <v>1</v>
      </c>
      <c r="I165" s="388">
        <f>IF(H165,Wh_hp,'2019'!Maxi_hp)</f>
        <v>62.494074168087401</v>
      </c>
      <c r="J165" s="85">
        <f>IF(H165,An,'2019'!An_max)</f>
        <v>2020</v>
      </c>
      <c r="K165" s="197">
        <f t="shared" si="50"/>
        <v>43981</v>
      </c>
      <c r="L165" s="147">
        <f>IF(t&lt;Tvie,1-EXP((T0-t)*PertePVj)+'2019'!Pspv,1-EXP((T0-t)*PertePVj)+Pspv)</f>
        <v>9.2519384111003911E-3</v>
      </c>
      <c r="M165" s="832"/>
      <c r="N165" s="832"/>
      <c r="O165" s="48">
        <f>IF(t&lt;Tnet,'2019'!Resal+('2019'!Salim-'2019'!Resal)*(1-EXP(('2019'!Tnet-t)/('2019'!Tau_j))),Resal+(Salim-Resal)*(1-EXP((Tnet-t)/(Tau_j))))*Salcycl</f>
        <v>4.1651394188661581E-2</v>
      </c>
      <c r="P165" s="169">
        <f>(INDEX(Models!$BJ165:$BT165,,T165)*(1-R165)+INDEX(Models!$BJ165:$BT165,,T165+1)*R165-ERP_i)*Q165*Ramure*Pc/MaxiM</f>
        <v>0</v>
      </c>
      <c r="Q165" s="304">
        <f t="shared" si="51"/>
        <v>0.6</v>
      </c>
      <c r="R165" s="177">
        <f t="shared" si="52"/>
        <v>0.19810095482982737</v>
      </c>
      <c r="S165" s="799">
        <f t="shared" si="53"/>
        <v>-1</v>
      </c>
      <c r="T165" s="176">
        <f t="shared" si="54"/>
        <v>5</v>
      </c>
      <c r="U165" s="250">
        <f t="shared" si="55"/>
        <v>-0.80189904517017263</v>
      </c>
      <c r="V165" s="382">
        <f t="shared" si="56"/>
        <v>59.906386179717892</v>
      </c>
      <c r="W165" s="58"/>
      <c r="X165" s="157">
        <f t="shared" si="57"/>
        <v>43981</v>
      </c>
      <c r="Y165" s="383">
        <f t="shared" si="58"/>
        <v>59.337000000000003</v>
      </c>
      <c r="Z165" s="383">
        <f t="shared" si="59"/>
        <v>59.891108850456938</v>
      </c>
      <c r="AA165" s="384">
        <f t="shared" si="60"/>
        <v>62.494074168087401</v>
      </c>
      <c r="AB165" s="197">
        <f t="shared" si="61"/>
        <v>43981</v>
      </c>
      <c r="AC165" s="424">
        <f>IF(OR(t&lt;Tnet,NoTnet),'2019'!Resal_s+('2019'!Salim-'2019'!Resal_s)*(1-EXP(('2019'!Tnet_s-t)/'2019'!Tau_j)),Resal_s+(Salim-Resal_s)*(1-EXP((Tnet_s-t)/Tau_j)))*Salcycl</f>
        <v>4.1651394188661581E-2</v>
      </c>
      <c r="AD165" s="230">
        <f>(INDEX(Models!$BJ165:$BT165,,AH165)*(1-AF165)+INDEX(Models!$BJ165:$BT165,,AH165+1)*AF165-ERP_i)*AE165*Ramure*Pc/MaxiM</f>
        <v>0</v>
      </c>
      <c r="AE165" s="304">
        <f t="shared" si="62"/>
        <v>0.6</v>
      </c>
      <c r="AF165" s="177">
        <f t="shared" si="63"/>
        <v>0.19810095482982737</v>
      </c>
      <c r="AG165" s="176">
        <f t="shared" si="64"/>
        <v>-1</v>
      </c>
      <c r="AH165" s="176">
        <f t="shared" si="65"/>
        <v>5</v>
      </c>
      <c r="AI165" s="224">
        <f t="shared" si="66"/>
        <v>-0.80189904517017263</v>
      </c>
      <c r="AJ165" s="264" t="b">
        <f t="shared" si="67"/>
        <v>0</v>
      </c>
      <c r="AK165" s="264" t="b">
        <f t="shared" si="68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9"/>
        <v>43982</v>
      </c>
      <c r="B166" s="607">
        <v>59.692999999999998</v>
      </c>
      <c r="C166" s="388"/>
      <c r="D166" s="391">
        <f t="shared" si="48"/>
        <v>60.251588006054824</v>
      </c>
      <c r="E166" s="383">
        <f t="shared" si="70"/>
        <v>62.875755916534317</v>
      </c>
      <c r="F166" s="383">
        <f t="shared" si="49"/>
        <v>62.875755916534317</v>
      </c>
      <c r="G166" s="110">
        <f t="shared" si="71"/>
        <v>0.99686783473884144</v>
      </c>
      <c r="H166" s="412" t="b">
        <f>Wh_hp&gt;='2019'!Maxi_hp</f>
        <v>0</v>
      </c>
      <c r="I166" s="388">
        <f>IF(H166,Wh_hp,'2019'!Maxi_hp)</f>
        <v>63.527407036379969</v>
      </c>
      <c r="J166" s="85">
        <f>IF(H166,An,'2019'!An_max)</f>
        <v>2018</v>
      </c>
      <c r="K166" s="197">
        <f t="shared" si="50"/>
        <v>43982</v>
      </c>
      <c r="L166" s="147">
        <f>IF(t&lt;Tvie,1-EXP((T0-t)*PertePVj)+'2019'!Pspv,1-EXP((T0-t)*PertePVj)+Pspv)</f>
        <v>9.2709258716747733E-3</v>
      </c>
      <c r="M166" s="832"/>
      <c r="N166" s="832"/>
      <c r="O166" s="48">
        <f>IF(t&lt;Tnet,'2019'!Resal+('2019'!Salim-'2019'!Resal)*(1-EXP(('2019'!Tnet-t)/('2019'!Tau_j))),Resal+(Salim-Resal)*(1-EXP((Tnet-t)/(Tau_j))))*Salcycl</f>
        <v>4.1735767184461356E-2</v>
      </c>
      <c r="P166" s="169">
        <f>(INDEX(Models!$BJ166:$BT166,,T166)*(1-R166)+INDEX(Models!$BJ166:$BT166,,T166+1)*R166-ERP_i)*Q166*Ramure*Pc/MaxiM</f>
        <v>-1.5253469461685042E-20</v>
      </c>
      <c r="Q166" s="304">
        <f t="shared" si="51"/>
        <v>0.6</v>
      </c>
      <c r="R166" s="177">
        <f t="shared" si="52"/>
        <v>0.20305543290690964</v>
      </c>
      <c r="S166" s="799">
        <f t="shared" si="53"/>
        <v>-1</v>
      </c>
      <c r="T166" s="176">
        <f t="shared" si="54"/>
        <v>5</v>
      </c>
      <c r="U166" s="250">
        <f t="shared" si="55"/>
        <v>-0.79694456709309036</v>
      </c>
      <c r="V166" s="382">
        <f t="shared" si="56"/>
        <v>59.880555796685243</v>
      </c>
      <c r="W166" s="58"/>
      <c r="X166" s="157">
        <f t="shared" si="57"/>
        <v>43982</v>
      </c>
      <c r="Y166" s="383">
        <f t="shared" si="58"/>
        <v>59.692999999999998</v>
      </c>
      <c r="Z166" s="383">
        <f t="shared" si="59"/>
        <v>60.251588006054824</v>
      </c>
      <c r="AA166" s="384">
        <f t="shared" si="60"/>
        <v>62.875755916534317</v>
      </c>
      <c r="AB166" s="197">
        <f t="shared" si="61"/>
        <v>43982</v>
      </c>
      <c r="AC166" s="424">
        <f>IF(OR(t&lt;Tnet,NoTnet),'2019'!Resal_s+('2019'!Salim-'2019'!Resal_s)*(1-EXP(('2019'!Tnet_s-t)/'2019'!Tau_j)),Resal_s+(Salim-Resal_s)*(1-EXP((Tnet_s-t)/Tau_j)))*Salcycl</f>
        <v>4.1735767184461356E-2</v>
      </c>
      <c r="AD166" s="230">
        <f>(INDEX(Models!$BJ166:$BT166,,AH166)*(1-AF166)+INDEX(Models!$BJ166:$BT166,,AH166+1)*AF166-ERP_i)*AE166*Ramure*Pc/MaxiM</f>
        <v>-1.5253469461685042E-20</v>
      </c>
      <c r="AE166" s="304">
        <f t="shared" si="62"/>
        <v>0.6</v>
      </c>
      <c r="AF166" s="177">
        <f t="shared" si="63"/>
        <v>0.20305543290690964</v>
      </c>
      <c r="AG166" s="176">
        <f t="shared" si="64"/>
        <v>-1</v>
      </c>
      <c r="AH166" s="176">
        <f t="shared" si="65"/>
        <v>5</v>
      </c>
      <c r="AI166" s="224">
        <f t="shared" si="66"/>
        <v>-0.79694456709309036</v>
      </c>
      <c r="AJ166" s="264" t="b">
        <f t="shared" si="67"/>
        <v>0</v>
      </c>
      <c r="AK166" s="264" t="b">
        <f t="shared" si="68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9"/>
        <v>43983</v>
      </c>
      <c r="B167" s="607">
        <v>32.350999999999999</v>
      </c>
      <c r="C167" s="388"/>
      <c r="D167" s="391">
        <f t="shared" si="48"/>
        <v>32.654356126452534</v>
      </c>
      <c r="E167" s="383">
        <f t="shared" si="70"/>
        <v>34.079560122613216</v>
      </c>
      <c r="F167" s="383">
        <f t="shared" si="49"/>
        <v>34.079560122613216</v>
      </c>
      <c r="G167" s="110">
        <f t="shared" si="71"/>
        <v>0.54051397984212712</v>
      </c>
      <c r="H167" s="412" t="b">
        <f>Wh_hp&gt;='2019'!Maxi_hp</f>
        <v>0</v>
      </c>
      <c r="I167" s="388">
        <f>IF(H167,Wh_hp,'2019'!Maxi_hp)</f>
        <v>63.013679668505368</v>
      </c>
      <c r="J167" s="85">
        <f>IF(H167,An,'2019'!An_max)</f>
        <v>2018</v>
      </c>
      <c r="K167" s="197">
        <f t="shared" si="50"/>
        <v>43983</v>
      </c>
      <c r="L167" s="147">
        <f>IF(t&lt;Tvie,1-EXP((T0-t)*PertePVj)+'2019'!Pspv,1-EXP((T0-t)*PertePVj)+Pspv)</f>
        <v>9.2899129683587933E-3</v>
      </c>
      <c r="M167" s="832"/>
      <c r="N167" s="832"/>
      <c r="O167" s="48">
        <f>IF(t&lt;Tnet,'2019'!Resal+('2019'!Salim-'2019'!Resal)*(1-EXP(('2019'!Tnet-t)/('2019'!Tau_j))),Resal+(Salim-Resal)*(1-EXP((Tnet-t)/(Tau_j))))*Salcycl</f>
        <v>4.1819905862429285E-2</v>
      </c>
      <c r="P167" s="169">
        <f>(INDEX(Models!$BJ167:$BT167,,T167)*(1-R167)+INDEX(Models!$BJ167:$BT167,,T167+1)*R167-ERP_i)*Q167*Ramure*Pc/MaxiM</f>
        <v>0</v>
      </c>
      <c r="Q167" s="304">
        <f t="shared" si="51"/>
        <v>0.6</v>
      </c>
      <c r="R167" s="177">
        <f t="shared" si="52"/>
        <v>0.20804727632132225</v>
      </c>
      <c r="S167" s="799">
        <f t="shared" si="53"/>
        <v>-1</v>
      </c>
      <c r="T167" s="176">
        <f t="shared" si="54"/>
        <v>5</v>
      </c>
      <c r="U167" s="250">
        <f t="shared" si="55"/>
        <v>-0.79195272367867775</v>
      </c>
      <c r="V167" s="382">
        <f t="shared" si="56"/>
        <v>59.852290979502598</v>
      </c>
      <c r="W167" s="58"/>
      <c r="X167" s="157">
        <f t="shared" si="57"/>
        <v>43983</v>
      </c>
      <c r="Y167" s="383">
        <f t="shared" si="58"/>
        <v>32.350999999999999</v>
      </c>
      <c r="Z167" s="383">
        <f t="shared" si="59"/>
        <v>32.654356126452534</v>
      </c>
      <c r="AA167" s="384">
        <f t="shared" si="60"/>
        <v>34.079560122613216</v>
      </c>
      <c r="AB167" s="197">
        <f t="shared" si="61"/>
        <v>43983</v>
      </c>
      <c r="AC167" s="424">
        <f>IF(OR(t&lt;Tnet,NoTnet),'2019'!Resal_s+('2019'!Salim-'2019'!Resal_s)*(1-EXP(('2019'!Tnet_s-t)/'2019'!Tau_j)),Resal_s+(Salim-Resal_s)*(1-EXP((Tnet_s-t)/Tau_j)))*Salcycl</f>
        <v>4.1819905862429285E-2</v>
      </c>
      <c r="AD167" s="230">
        <f>(INDEX(Models!$BJ167:$BT167,,AH167)*(1-AF167)+INDEX(Models!$BJ167:$BT167,,AH167+1)*AF167-ERP_i)*AE167*Ramure*Pc/MaxiM</f>
        <v>0</v>
      </c>
      <c r="AE167" s="304">
        <f t="shared" si="62"/>
        <v>0.6</v>
      </c>
      <c r="AF167" s="177">
        <f t="shared" si="63"/>
        <v>0.20804727632132225</v>
      </c>
      <c r="AG167" s="176">
        <f t="shared" si="64"/>
        <v>-1</v>
      </c>
      <c r="AH167" s="176">
        <f t="shared" si="65"/>
        <v>5</v>
      </c>
      <c r="AI167" s="224">
        <f t="shared" si="66"/>
        <v>-0.79195272367867775</v>
      </c>
      <c r="AJ167" s="264" t="b">
        <f t="shared" si="67"/>
        <v>0</v>
      </c>
      <c r="AK167" s="264" t="b">
        <f t="shared" si="68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9"/>
        <v>43984</v>
      </c>
      <c r="B168" s="607">
        <v>46.515999999999998</v>
      </c>
      <c r="C168" s="388"/>
      <c r="D168" s="391">
        <f t="shared" si="48"/>
        <v>46.953081526591404</v>
      </c>
      <c r="E168" s="383">
        <f t="shared" si="70"/>
        <v>49.006644925503252</v>
      </c>
      <c r="F168" s="383">
        <f t="shared" si="49"/>
        <v>49.006644925503252</v>
      </c>
      <c r="G168" s="110">
        <f t="shared" si="71"/>
        <v>0.77757740711669499</v>
      </c>
      <c r="H168" s="412" t="b">
        <f>Wh_hp&gt;='2019'!Maxi_hp</f>
        <v>1</v>
      </c>
      <c r="I168" s="388">
        <f>IF(H168,Wh_hp,'2019'!Maxi_hp)</f>
        <v>49.006644925503252</v>
      </c>
      <c r="J168" s="85">
        <f>IF(H168,An,'2019'!An_max)</f>
        <v>2020</v>
      </c>
      <c r="K168" s="197">
        <f t="shared" si="50"/>
        <v>43984</v>
      </c>
      <c r="L168" s="147">
        <f>IF(t&lt;Tvie,1-EXP((T0-t)*PertePVj)+'2019'!Pspv,1-EXP((T0-t)*PertePVj)+Pspv)</f>
        <v>9.3088997011595565E-3</v>
      </c>
      <c r="M168" s="832"/>
      <c r="N168" s="832"/>
      <c r="O168" s="48">
        <f>IF(t&lt;Tnet,'2019'!Resal+('2019'!Salim-'2019'!Resal)*(1-EXP(('2019'!Tnet-t)/('2019'!Tau_j))),Resal+(Salim-Resal)*(1-EXP((Tnet-t)/(Tau_j))))*Salcycl</f>
        <v>4.1903774519425674E-2</v>
      </c>
      <c r="P168" s="169">
        <f>(INDEX(Models!$BJ168:$BT168,,T168)*(1-R168)+INDEX(Models!$BJ168:$BT168,,T168+1)*R168-ERP_i)*Q168*Ramure*Pc/MaxiM</f>
        <v>0</v>
      </c>
      <c r="Q168" s="304">
        <f t="shared" si="51"/>
        <v>0.6</v>
      </c>
      <c r="R168" s="177">
        <f t="shared" si="52"/>
        <v>0.21307264910359414</v>
      </c>
      <c r="S168" s="799">
        <f t="shared" si="53"/>
        <v>-1</v>
      </c>
      <c r="T168" s="176">
        <f t="shared" si="54"/>
        <v>5</v>
      </c>
      <c r="U168" s="250">
        <f t="shared" si="55"/>
        <v>-0.78692735089640586</v>
      </c>
      <c r="V168" s="382">
        <f t="shared" si="56"/>
        <v>59.821696945239445</v>
      </c>
      <c r="W168" s="58"/>
      <c r="X168" s="157">
        <f t="shared" si="57"/>
        <v>43984</v>
      </c>
      <c r="Y168" s="383">
        <f t="shared" si="58"/>
        <v>46.515999999999998</v>
      </c>
      <c r="Z168" s="383">
        <f t="shared" si="59"/>
        <v>46.953081526591404</v>
      </c>
      <c r="AA168" s="384">
        <f t="shared" si="60"/>
        <v>49.006644925503252</v>
      </c>
      <c r="AB168" s="197">
        <f t="shared" si="61"/>
        <v>43984</v>
      </c>
      <c r="AC168" s="424">
        <f>IF(OR(t&lt;Tnet,NoTnet),'2019'!Resal_s+('2019'!Salim-'2019'!Resal_s)*(1-EXP(('2019'!Tnet_s-t)/'2019'!Tau_j)),Resal_s+(Salim-Resal_s)*(1-EXP((Tnet_s-t)/Tau_j)))*Salcycl</f>
        <v>4.1903774519425674E-2</v>
      </c>
      <c r="AD168" s="230">
        <f>(INDEX(Models!$BJ168:$BT168,,AH168)*(1-AF168)+INDEX(Models!$BJ168:$BT168,,AH168+1)*AF168-ERP_i)*AE168*Ramure*Pc/MaxiM</f>
        <v>0</v>
      </c>
      <c r="AE168" s="304">
        <f t="shared" si="62"/>
        <v>0.6</v>
      </c>
      <c r="AF168" s="177">
        <f t="shared" si="63"/>
        <v>0.21307264910359414</v>
      </c>
      <c r="AG168" s="176">
        <f t="shared" si="64"/>
        <v>-1</v>
      </c>
      <c r="AH168" s="176">
        <f t="shared" si="65"/>
        <v>5</v>
      </c>
      <c r="AI168" s="224">
        <f t="shared" si="66"/>
        <v>-0.78692735089640586</v>
      </c>
      <c r="AJ168" s="264" t="b">
        <f t="shared" si="67"/>
        <v>0</v>
      </c>
      <c r="AK168" s="264" t="b">
        <f t="shared" si="68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9"/>
        <v>43985</v>
      </c>
      <c r="B169" s="607">
        <v>29.207000000000001</v>
      </c>
      <c r="C169" s="388"/>
      <c r="D169" s="391">
        <f t="shared" si="48"/>
        <v>29.482004781721564</v>
      </c>
      <c r="E169" s="383">
        <f t="shared" si="70"/>
        <v>30.774128514020905</v>
      </c>
      <c r="F169" s="383">
        <f t="shared" si="49"/>
        <v>30.774128514020905</v>
      </c>
      <c r="G169" s="110">
        <f t="shared" si="71"/>
        <v>0.48850221933267468</v>
      </c>
      <c r="H169" s="412" t="b">
        <f>Wh_hp&gt;='2019'!Maxi_hp</f>
        <v>0</v>
      </c>
      <c r="I169" s="388">
        <f>IF(H169,Wh_hp,'2019'!Maxi_hp)</f>
        <v>59.234814387524935</v>
      </c>
      <c r="J169" s="85">
        <f>IF(H169,An,'2019'!An_max)</f>
        <v>2018</v>
      </c>
      <c r="K169" s="197">
        <f t="shared" si="50"/>
        <v>43985</v>
      </c>
      <c r="L169" s="147">
        <f>IF(t&lt;Tvie,1-EXP((T0-t)*PertePVj)+'2019'!Pspv,1-EXP((T0-t)*PertePVj)+Pspv)</f>
        <v>9.3278860700837241E-3</v>
      </c>
      <c r="M169" s="832"/>
      <c r="N169" s="832"/>
      <c r="O169" s="48">
        <f>IF(t&lt;Tnet,'2019'!Resal+('2019'!Salim-'2019'!Resal)*(1-EXP(('2019'!Tnet-t)/('2019'!Tau_j))),Resal+(Salim-Resal)*(1-EXP((Tnet-t)/(Tau_j))))*Salcycl</f>
        <v>4.1987337893602483E-2</v>
      </c>
      <c r="P169" s="169">
        <f>(INDEX(Models!$BJ169:$BT169,,T169)*(1-R169)+INDEX(Models!$BJ169:$BT169,,T169+1)*R169-ERP_i)*Q169*Ramure*Pc/MaxiM</f>
        <v>-1.5653625717230827E-20</v>
      </c>
      <c r="Q169" s="304">
        <f t="shared" si="51"/>
        <v>0.6</v>
      </c>
      <c r="R169" s="177">
        <f t="shared" si="52"/>
        <v>0.21812760663325392</v>
      </c>
      <c r="S169" s="799">
        <f t="shared" si="53"/>
        <v>-1</v>
      </c>
      <c r="T169" s="176">
        <f t="shared" si="54"/>
        <v>5</v>
      </c>
      <c r="U169" s="250">
        <f t="shared" si="55"/>
        <v>-0.78187239336674608</v>
      </c>
      <c r="V169" s="382">
        <f t="shared" si="56"/>
        <v>59.788878830271507</v>
      </c>
      <c r="W169" s="58"/>
      <c r="X169" s="157">
        <f t="shared" si="57"/>
        <v>43985</v>
      </c>
      <c r="Y169" s="383">
        <f t="shared" si="58"/>
        <v>29.207000000000001</v>
      </c>
      <c r="Z169" s="383">
        <f t="shared" si="59"/>
        <v>29.482004781721564</v>
      </c>
      <c r="AA169" s="384">
        <f t="shared" si="60"/>
        <v>30.774128514020905</v>
      </c>
      <c r="AB169" s="197">
        <f t="shared" si="61"/>
        <v>43985</v>
      </c>
      <c r="AC169" s="424">
        <f>IF(OR(t&lt;Tnet,NoTnet),'2019'!Resal_s+('2019'!Salim-'2019'!Resal_s)*(1-EXP(('2019'!Tnet_s-t)/'2019'!Tau_j)),Resal_s+(Salim-Resal_s)*(1-EXP((Tnet_s-t)/Tau_j)))*Salcycl</f>
        <v>4.1987337893602483E-2</v>
      </c>
      <c r="AD169" s="230">
        <f>(INDEX(Models!$BJ169:$BT169,,AH169)*(1-AF169)+INDEX(Models!$BJ169:$BT169,,AH169+1)*AF169-ERP_i)*AE169*Ramure*Pc/MaxiM</f>
        <v>-1.5653625717230827E-20</v>
      </c>
      <c r="AE169" s="304">
        <f t="shared" si="62"/>
        <v>0.6</v>
      </c>
      <c r="AF169" s="177">
        <f t="shared" si="63"/>
        <v>0.21812760663325392</v>
      </c>
      <c r="AG169" s="176">
        <f t="shared" si="64"/>
        <v>-1</v>
      </c>
      <c r="AH169" s="176">
        <f t="shared" si="65"/>
        <v>5</v>
      </c>
      <c r="AI169" s="224">
        <f t="shared" si="66"/>
        <v>-0.78187239336674608</v>
      </c>
      <c r="AJ169" s="264" t="b">
        <f t="shared" si="67"/>
        <v>0</v>
      </c>
      <c r="AK169" s="264" t="b">
        <f t="shared" si="68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ref="A170:A207" si="72">A169+1</f>
        <v>43986</v>
      </c>
      <c r="B170" s="607">
        <v>34.771999999999998</v>
      </c>
      <c r="C170" s="388"/>
      <c r="D170" s="391">
        <f t="shared" si="48"/>
        <v>35.100075919446724</v>
      </c>
      <c r="E170" s="383">
        <f t="shared" ref="E170:E232" si="73">Wh_pvt/(1-Psa)</f>
        <v>36.641608976044076</v>
      </c>
      <c r="F170" s="383">
        <f t="shared" si="49"/>
        <v>36.641608976044076</v>
      </c>
      <c r="G170" s="110">
        <f t="shared" ref="G170:G232" si="74">+Wh_hp/MaxiM</f>
        <v>0.58191976997372086</v>
      </c>
      <c r="H170" s="412" t="b">
        <f>Wh_hp&gt;='2019'!Maxi_hp</f>
        <v>1</v>
      </c>
      <c r="I170" s="388">
        <f>IF(H170,Wh_hp,'2019'!Maxi_hp)</f>
        <v>36.641608976044076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9.3468720751386236E-3</v>
      </c>
      <c r="M170" s="832"/>
      <c r="N170" s="832"/>
      <c r="O170" s="48">
        <f>IF(t&lt;Tnet,'2019'!Resal+('2019'!Salim-'2019'!Resal)*(1-EXP(('2019'!Tnet-t)/('2019'!Tau_j))),Resal+(Salim-Resal)*(1-EXP((Tnet-t)/(Tau_j))))*Salcycl</f>
        <v>4.2070561301093323E-2</v>
      </c>
      <c r="P170" s="169">
        <f>(INDEX(Models!$BJ170:$BT170,,T170)*(1-R170)+INDEX(Models!$BJ170:$BT170,,T170+1)*R170-ERP_i)*Q170*Ramure*Pc/MaxiM</f>
        <v>-1.5785288094062871E-20</v>
      </c>
      <c r="Q170" s="304">
        <f t="shared" si="51"/>
        <v>0.6</v>
      </c>
      <c r="R170" s="177">
        <f t="shared" si="52"/>
        <v>0.22320810750352593</v>
      </c>
      <c r="S170" s="799">
        <f t="shared" si="53"/>
        <v>-1</v>
      </c>
      <c r="T170" s="176">
        <f t="shared" si="54"/>
        <v>5</v>
      </c>
      <c r="U170" s="250">
        <f t="shared" si="55"/>
        <v>-0.77679189249647407</v>
      </c>
      <c r="V170" s="382">
        <f t="shared" si="56"/>
        <v>59.75394168438423</v>
      </c>
      <c r="W170" s="58"/>
      <c r="X170" s="157">
        <f t="shared" si="57"/>
        <v>43986</v>
      </c>
      <c r="Y170" s="383">
        <f t="shared" si="58"/>
        <v>34.771999999999998</v>
      </c>
      <c r="Z170" s="383">
        <f t="shared" si="59"/>
        <v>35.100075919446724</v>
      </c>
      <c r="AA170" s="384">
        <f t="shared" si="60"/>
        <v>36.641608976044076</v>
      </c>
      <c r="AB170" s="197">
        <f t="shared" si="61"/>
        <v>43986</v>
      </c>
      <c r="AC170" s="424">
        <f>IF(OR(t&lt;Tnet,NoTnet),'2019'!Resal_s+('2019'!Salim-'2019'!Resal_s)*(1-EXP(('2019'!Tnet_s-t)/'2019'!Tau_j)),Resal_s+(Salim-Resal_s)*(1-EXP((Tnet_s-t)/Tau_j)))*Salcycl</f>
        <v>4.2070561301093323E-2</v>
      </c>
      <c r="AD170" s="230">
        <f>(INDEX(Models!$BJ170:$BT170,,AH170)*(1-AF170)+INDEX(Models!$BJ170:$BT170,,AH170+1)*AF170-ERP_i)*AE170*Ramure*Pc/MaxiM</f>
        <v>-1.5785288094062871E-20</v>
      </c>
      <c r="AE170" s="304">
        <f t="shared" si="62"/>
        <v>0.6</v>
      </c>
      <c r="AF170" s="177">
        <f t="shared" si="63"/>
        <v>0.22320810750352593</v>
      </c>
      <c r="AG170" s="176">
        <f t="shared" si="64"/>
        <v>-1</v>
      </c>
      <c r="AH170" s="176">
        <f t="shared" si="65"/>
        <v>5</v>
      </c>
      <c r="AI170" s="224">
        <f t="shared" si="66"/>
        <v>-0.77679189249647407</v>
      </c>
      <c r="AJ170" s="264" t="b">
        <f t="shared" si="67"/>
        <v>0</v>
      </c>
      <c r="AK170" s="264" t="b">
        <f t="shared" si="68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2"/>
        <v>43987</v>
      </c>
      <c r="B171" s="607">
        <v>21.690999999999999</v>
      </c>
      <c r="C171" s="388"/>
      <c r="D171" s="391">
        <f t="shared" si="48"/>
        <v>21.896075527940731</v>
      </c>
      <c r="E171" s="383">
        <f t="shared" si="73"/>
        <v>22.859689405572443</v>
      </c>
      <c r="F171" s="383">
        <f t="shared" si="49"/>
        <v>22.859689405572443</v>
      </c>
      <c r="G171" s="110">
        <f t="shared" si="74"/>
        <v>0.36322995906420641</v>
      </c>
      <c r="H171" s="412" t="b">
        <f>Wh_hp&gt;='2019'!Maxi_hp</f>
        <v>0</v>
      </c>
      <c r="I171" s="388">
        <f>IF(H171,Wh_hp,'2019'!Maxi_hp)</f>
        <v>54.411394736000254</v>
      </c>
      <c r="J171" s="85">
        <f>IF(H171,An,'2019'!An_max)</f>
        <v>2018</v>
      </c>
      <c r="K171" s="197">
        <f t="shared" si="50"/>
        <v>43987</v>
      </c>
      <c r="L171" s="147">
        <f>IF(t&lt;Tvie,1-EXP((T0-t)*PertePVj)+'2019'!Pspv,1-EXP((T0-t)*PertePVj)+Pspv)</f>
        <v>9.3658577163310275E-3</v>
      </c>
      <c r="M171" s="832"/>
      <c r="N171" s="832"/>
      <c r="O171" s="48">
        <f>IF(t&lt;Tnet,'2019'!Resal+('2019'!Salim-'2019'!Resal)*(1-EXP(('2019'!Tnet-t)/('2019'!Tau_j))),Resal+(Salim-Resal)*(1-EXP((Tnet-t)/(Tau_j))))*Salcycl</f>
        <v>4.2153410771924658E-2</v>
      </c>
      <c r="P171" s="169">
        <f>(INDEX(Models!$BJ171:$BT171,,T171)*(1-R171)+INDEX(Models!$BJ171:$BT171,,T171+1)*R171-ERP_i)*Q171*Ramure*Pc/MaxiM</f>
        <v>0</v>
      </c>
      <c r="Q171" s="304">
        <f t="shared" si="51"/>
        <v>0.6</v>
      </c>
      <c r="R171" s="177">
        <f t="shared" si="52"/>
        <v>0.22831002605066586</v>
      </c>
      <c r="S171" s="799">
        <f t="shared" si="53"/>
        <v>-1</v>
      </c>
      <c r="T171" s="176">
        <f t="shared" si="54"/>
        <v>5</v>
      </c>
      <c r="U171" s="250">
        <f t="shared" si="55"/>
        <v>-0.77168997394933414</v>
      </c>
      <c r="V171" s="382">
        <f t="shared" si="56"/>
        <v>59.716990459384952</v>
      </c>
      <c r="W171" s="58"/>
      <c r="X171" s="157">
        <f t="shared" si="57"/>
        <v>43987</v>
      </c>
      <c r="Y171" s="383">
        <f t="shared" si="58"/>
        <v>21.690999999999999</v>
      </c>
      <c r="Z171" s="383">
        <f t="shared" si="59"/>
        <v>21.896075527940731</v>
      </c>
      <c r="AA171" s="384">
        <f t="shared" si="60"/>
        <v>22.859689405572443</v>
      </c>
      <c r="AB171" s="197">
        <f t="shared" si="61"/>
        <v>43987</v>
      </c>
      <c r="AC171" s="424">
        <f>IF(OR(t&lt;Tnet,NoTnet),'2019'!Resal_s+('2019'!Salim-'2019'!Resal_s)*(1-EXP(('2019'!Tnet_s-t)/'2019'!Tau_j)),Resal_s+(Salim-Resal_s)*(1-EXP((Tnet_s-t)/Tau_j)))*Salcycl</f>
        <v>4.2153410771924658E-2</v>
      </c>
      <c r="AD171" s="230">
        <f>(INDEX(Models!$BJ171:$BT171,,AH171)*(1-AF171)+INDEX(Models!$BJ171:$BT171,,AH171+1)*AF171-ERP_i)*AE171*Ramure*Pc/MaxiM</f>
        <v>0</v>
      </c>
      <c r="AE171" s="304">
        <f t="shared" si="62"/>
        <v>0.6</v>
      </c>
      <c r="AF171" s="177">
        <f t="shared" si="63"/>
        <v>0.22831002605066586</v>
      </c>
      <c r="AG171" s="176">
        <f t="shared" si="64"/>
        <v>-1</v>
      </c>
      <c r="AH171" s="176">
        <f t="shared" si="65"/>
        <v>5</v>
      </c>
      <c r="AI171" s="224">
        <f t="shared" si="66"/>
        <v>-0.77168997394933414</v>
      </c>
      <c r="AJ171" s="264" t="b">
        <f t="shared" si="67"/>
        <v>0</v>
      </c>
      <c r="AK171" s="264" t="b">
        <f t="shared" si="68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2"/>
        <v>43988</v>
      </c>
      <c r="B172" s="607">
        <v>26.731000000000002</v>
      </c>
      <c r="C172" s="388"/>
      <c r="D172" s="391">
        <f t="shared" si="48"/>
        <v>26.984242882757684</v>
      </c>
      <c r="E172" s="383">
        <f t="shared" si="73"/>
        <v>28.174204445291792</v>
      </c>
      <c r="F172" s="383">
        <f t="shared" si="49"/>
        <v>28.174204445291792</v>
      </c>
      <c r="G172" s="110">
        <f t="shared" si="74"/>
        <v>0.44791953097123977</v>
      </c>
      <c r="H172" s="412" t="b">
        <f>Wh_hp&gt;='2019'!Maxi_hp</f>
        <v>1</v>
      </c>
      <c r="I172" s="388">
        <f>IF(H172,Wh_hp,'2019'!Maxi_hp)</f>
        <v>28.174204445291792</v>
      </c>
      <c r="J172" s="85">
        <f>IF(H172,An,'2019'!An_max)</f>
        <v>2020</v>
      </c>
      <c r="K172" s="197">
        <f t="shared" si="50"/>
        <v>43988</v>
      </c>
      <c r="L172" s="147">
        <f>IF(t&lt;Tvie,1-EXP((T0-t)*PertePVj)+'2019'!Pspv,1-EXP((T0-t)*PertePVj)+Pspv)</f>
        <v>9.3848429936679301E-3</v>
      </c>
      <c r="M172" s="832"/>
      <c r="N172" s="832"/>
      <c r="O172" s="48">
        <f>IF(t&lt;Tnet,'2019'!Resal+('2019'!Salim-'2019'!Resal)*(1-EXP(('2019'!Tnet-t)/('2019'!Tau_j))),Resal+(Salim-Resal)*(1-EXP((Tnet-t)/(Tau_j))))*Salcycl</f>
        <v>4.2235853184240009E-2</v>
      </c>
      <c r="P172" s="169">
        <f>(INDEX(Models!$BJ172:$BT172,,T172)*(1-R172)+INDEX(Models!$BJ172:$BT172,,T172+1)*R172-ERP_i)*Q172*Ramure*Pc/MaxiM</f>
        <v>0</v>
      </c>
      <c r="Q172" s="304">
        <f t="shared" si="51"/>
        <v>0.6</v>
      </c>
      <c r="R172" s="177">
        <f t="shared" si="52"/>
        <v>0.23342916546849191</v>
      </c>
      <c r="S172" s="799">
        <f t="shared" si="53"/>
        <v>-1</v>
      </c>
      <c r="T172" s="176">
        <f t="shared" si="54"/>
        <v>5</v>
      </c>
      <c r="U172" s="250">
        <f t="shared" si="55"/>
        <v>-0.76657083453150809</v>
      </c>
      <c r="V172" s="382">
        <f t="shared" si="56"/>
        <v>59.678130002588247</v>
      </c>
      <c r="W172" s="58"/>
      <c r="X172" s="157">
        <f t="shared" si="57"/>
        <v>43988</v>
      </c>
      <c r="Y172" s="383">
        <f t="shared" si="58"/>
        <v>26.731000000000002</v>
      </c>
      <c r="Z172" s="383">
        <f t="shared" si="59"/>
        <v>26.984242882757684</v>
      </c>
      <c r="AA172" s="384">
        <f t="shared" si="60"/>
        <v>28.174204445291792</v>
      </c>
      <c r="AB172" s="197">
        <f t="shared" si="61"/>
        <v>43988</v>
      </c>
      <c r="AC172" s="424">
        <f>IF(OR(t&lt;Tnet,NoTnet),'2019'!Resal_s+('2019'!Salim-'2019'!Resal_s)*(1-EXP(('2019'!Tnet_s-t)/'2019'!Tau_j)),Resal_s+(Salim-Resal_s)*(1-EXP((Tnet_s-t)/Tau_j)))*Salcycl</f>
        <v>4.2235853184240009E-2</v>
      </c>
      <c r="AD172" s="230">
        <f>(INDEX(Models!$BJ172:$BT172,,AH172)*(1-AF172)+INDEX(Models!$BJ172:$BT172,,AH172+1)*AF172-ERP_i)*AE172*Ramure*Pc/MaxiM</f>
        <v>0</v>
      </c>
      <c r="AE172" s="304">
        <f t="shared" si="62"/>
        <v>0.6</v>
      </c>
      <c r="AF172" s="177">
        <f t="shared" si="63"/>
        <v>0.23342916546849191</v>
      </c>
      <c r="AG172" s="176">
        <f t="shared" si="64"/>
        <v>-1</v>
      </c>
      <c r="AH172" s="176">
        <f t="shared" si="65"/>
        <v>5</v>
      </c>
      <c r="AI172" s="224">
        <f t="shared" si="66"/>
        <v>-0.76657083453150809</v>
      </c>
      <c r="AJ172" s="264" t="b">
        <f t="shared" si="67"/>
        <v>0</v>
      </c>
      <c r="AK172" s="264" t="b">
        <f t="shared" si="68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2"/>
        <v>43989</v>
      </c>
      <c r="B173" s="607">
        <v>38.841000000000001</v>
      </c>
      <c r="C173" s="388"/>
      <c r="D173" s="391">
        <f t="shared" si="48"/>
        <v>39.209721473019812</v>
      </c>
      <c r="E173" s="383">
        <f t="shared" si="73"/>
        <v>40.942312368340325</v>
      </c>
      <c r="F173" s="383">
        <f t="shared" si="49"/>
        <v>40.942312368340325</v>
      </c>
      <c r="G173" s="110">
        <f t="shared" si="74"/>
        <v>0.65128522764365404</v>
      </c>
      <c r="H173" s="412" t="b">
        <f>Wh_hp&gt;='2019'!Maxi_hp</f>
        <v>0</v>
      </c>
      <c r="I173" s="388">
        <f>IF(H173,Wh_hp,'2019'!Maxi_hp)</f>
        <v>63.783632046651569</v>
      </c>
      <c r="J173" s="85">
        <f>IF(H173,An,'2019'!An_max)</f>
        <v>2018</v>
      </c>
      <c r="K173" s="197">
        <f t="shared" si="50"/>
        <v>43989</v>
      </c>
      <c r="L173" s="147">
        <f>IF(t&lt;Tvie,1-EXP((T0-t)*PertePVj)+'2019'!Pspv,1-EXP((T0-t)*PertePVj)+Pspv)</f>
        <v>9.4038279071563258E-3</v>
      </c>
      <c r="M173" s="832"/>
      <c r="N173" s="832"/>
      <c r="O173" s="48">
        <f>IF(t&lt;Tnet,'2019'!Resal+('2019'!Salim-'2019'!Resal)*(1-EXP(('2019'!Tnet-t)/('2019'!Tau_j))),Resal+(Salim-Resal)*(1-EXP((Tnet-t)/(Tau_j))))*Salcycl</f>
        <v>4.2317856395924718E-2</v>
      </c>
      <c r="P173" s="169">
        <f>(INDEX(Models!$BJ173:$BT173,,T173)*(1-R173)+INDEX(Models!$BJ173:$BT173,,T173+1)*R173-ERP_i)*Q173*Ramure*Pc/MaxiM</f>
        <v>0</v>
      </c>
      <c r="Q173" s="304">
        <f t="shared" si="51"/>
        <v>0.6</v>
      </c>
      <c r="R173" s="177">
        <f t="shared" si="52"/>
        <v>0.23856127142175831</v>
      </c>
      <c r="S173" s="799">
        <f t="shared" si="53"/>
        <v>-1</v>
      </c>
      <c r="T173" s="176">
        <f t="shared" si="54"/>
        <v>5</v>
      </c>
      <c r="U173" s="250">
        <f t="shared" si="55"/>
        <v>-0.76143872857824169</v>
      </c>
      <c r="V173" s="382">
        <f t="shared" si="56"/>
        <v>59.637465048188638</v>
      </c>
      <c r="W173" s="58"/>
      <c r="X173" s="157">
        <f t="shared" si="57"/>
        <v>43989</v>
      </c>
      <c r="Y173" s="383">
        <f t="shared" si="58"/>
        <v>38.841000000000001</v>
      </c>
      <c r="Z173" s="383">
        <f t="shared" si="59"/>
        <v>39.209721473019812</v>
      </c>
      <c r="AA173" s="384">
        <f t="shared" si="60"/>
        <v>40.942312368340325</v>
      </c>
      <c r="AB173" s="197">
        <f t="shared" si="61"/>
        <v>43989</v>
      </c>
      <c r="AC173" s="424">
        <f>IF(OR(t&lt;Tnet,NoTnet),'2019'!Resal_s+('2019'!Salim-'2019'!Resal_s)*(1-EXP(('2019'!Tnet_s-t)/'2019'!Tau_j)),Resal_s+(Salim-Resal_s)*(1-EXP((Tnet_s-t)/Tau_j)))*Salcycl</f>
        <v>4.2317856395924718E-2</v>
      </c>
      <c r="AD173" s="230">
        <f>(INDEX(Models!$BJ173:$BT173,,AH173)*(1-AF173)+INDEX(Models!$BJ173:$BT173,,AH173+1)*AF173-ERP_i)*AE173*Ramure*Pc/MaxiM</f>
        <v>0</v>
      </c>
      <c r="AE173" s="304">
        <f t="shared" si="62"/>
        <v>0.6</v>
      </c>
      <c r="AF173" s="177">
        <f t="shared" si="63"/>
        <v>0.23856127142175831</v>
      </c>
      <c r="AG173" s="176">
        <f t="shared" si="64"/>
        <v>-1</v>
      </c>
      <c r="AH173" s="176">
        <f t="shared" si="65"/>
        <v>5</v>
      </c>
      <c r="AI173" s="224">
        <f t="shared" si="66"/>
        <v>-0.76143872857824169</v>
      </c>
      <c r="AJ173" s="264" t="b">
        <f t="shared" si="67"/>
        <v>0</v>
      </c>
      <c r="AK173" s="264" t="b">
        <f t="shared" si="68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2"/>
        <v>43990</v>
      </c>
      <c r="B174" s="607">
        <v>42.673999999999999</v>
      </c>
      <c r="C174" s="388"/>
      <c r="D174" s="391">
        <f t="shared" si="48"/>
        <v>43.079934140053147</v>
      </c>
      <c r="E174" s="383">
        <f t="shared" si="73"/>
        <v>44.987371208789725</v>
      </c>
      <c r="F174" s="383">
        <f t="shared" si="49"/>
        <v>44.987371208789725</v>
      </c>
      <c r="G174" s="110">
        <f t="shared" si="74"/>
        <v>0.71606558006633403</v>
      </c>
      <c r="H174" s="412" t="b">
        <f>Wh_hp&gt;='2019'!Maxi_hp</f>
        <v>0</v>
      </c>
      <c r="I174" s="388">
        <f>IF(H174,Wh_hp,'2019'!Maxi_hp)</f>
        <v>50.615541702379353</v>
      </c>
      <c r="J174" s="85">
        <f>IF(H174,An,'2019'!An_max)</f>
        <v>2018</v>
      </c>
      <c r="K174" s="197">
        <f t="shared" si="50"/>
        <v>43990</v>
      </c>
      <c r="L174" s="147">
        <f>IF(t&lt;Tvie,1-EXP((T0-t)*PertePVj)+'2019'!Pspv,1-EXP((T0-t)*PertePVj)+Pspv)</f>
        <v>9.422812456803098E-3</v>
      </c>
      <c r="M174" s="832"/>
      <c r="N174" s="832"/>
      <c r="O174" s="48">
        <f>IF(t&lt;Tnet,'2019'!Resal+('2019'!Salim-'2019'!Resal)*(1-EXP(('2019'!Tnet-t)/('2019'!Tau_j))),Resal+(Salim-Resal)*(1-EXP((Tnet-t)/(Tau_j))))*Salcycl</f>
        <v>4.2399389372720205E-2</v>
      </c>
      <c r="P174" s="169">
        <f>(INDEX(Models!$BJ174:$BT174,,T174)*(1-R174)+INDEX(Models!$BJ174:$BT174,,T174+1)*R174-ERP_i)*Q174*Ramure*Pc/MaxiM</f>
        <v>0</v>
      </c>
      <c r="Q174" s="304">
        <f t="shared" si="51"/>
        <v>0.6</v>
      </c>
      <c r="R174" s="177">
        <f t="shared" si="52"/>
        <v>0.24370204606606416</v>
      </c>
      <c r="S174" s="799">
        <f t="shared" si="53"/>
        <v>-1</v>
      </c>
      <c r="T174" s="176">
        <f t="shared" si="54"/>
        <v>5</v>
      </c>
      <c r="U174" s="250">
        <f t="shared" si="55"/>
        <v>-0.75629795393393584</v>
      </c>
      <c r="V174" s="382">
        <f t="shared" si="56"/>
        <v>59.595100208624487</v>
      </c>
      <c r="W174" s="58"/>
      <c r="X174" s="157">
        <f t="shared" si="57"/>
        <v>43990</v>
      </c>
      <c r="Y174" s="383">
        <f t="shared" si="58"/>
        <v>42.673999999999999</v>
      </c>
      <c r="Z174" s="383">
        <f t="shared" si="59"/>
        <v>43.079934140053147</v>
      </c>
      <c r="AA174" s="384">
        <f t="shared" si="60"/>
        <v>44.987371208789725</v>
      </c>
      <c r="AB174" s="197">
        <f t="shared" si="61"/>
        <v>43990</v>
      </c>
      <c r="AC174" s="424">
        <f>IF(OR(t&lt;Tnet,NoTnet),'2019'!Resal_s+('2019'!Salim-'2019'!Resal_s)*(1-EXP(('2019'!Tnet_s-t)/'2019'!Tau_j)),Resal_s+(Salim-Resal_s)*(1-EXP((Tnet_s-t)/Tau_j)))*Salcycl</f>
        <v>4.2399389372720205E-2</v>
      </c>
      <c r="AD174" s="230">
        <f>(INDEX(Models!$BJ174:$BT174,,AH174)*(1-AF174)+INDEX(Models!$BJ174:$BT174,,AH174+1)*AF174-ERP_i)*AE174*Ramure*Pc/MaxiM</f>
        <v>0</v>
      </c>
      <c r="AE174" s="304">
        <f t="shared" si="62"/>
        <v>0.6</v>
      </c>
      <c r="AF174" s="177">
        <f t="shared" si="63"/>
        <v>0.24370204606606416</v>
      </c>
      <c r="AG174" s="176">
        <f t="shared" si="64"/>
        <v>-1</v>
      </c>
      <c r="AH174" s="176">
        <f t="shared" si="65"/>
        <v>5</v>
      </c>
      <c r="AI174" s="224">
        <f t="shared" si="66"/>
        <v>-0.75629795393393584</v>
      </c>
      <c r="AJ174" s="264" t="b">
        <f t="shared" si="67"/>
        <v>0</v>
      </c>
      <c r="AK174" s="264" t="b">
        <f t="shared" si="68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2"/>
        <v>43991</v>
      </c>
      <c r="B175" s="607">
        <v>22.684999999999999</v>
      </c>
      <c r="C175" s="388"/>
      <c r="D175" s="391">
        <f t="shared" si="48"/>
        <v>22.901228744673222</v>
      </c>
      <c r="E175" s="383">
        <f t="shared" si="73"/>
        <v>23.917243342395327</v>
      </c>
      <c r="F175" s="383">
        <f t="shared" si="49"/>
        <v>23.917243342395327</v>
      </c>
      <c r="G175" s="110">
        <f t="shared" si="74"/>
        <v>0.38093309403228071</v>
      </c>
      <c r="H175" s="412" t="b">
        <f>Wh_hp&gt;='2019'!Maxi_hp</f>
        <v>1</v>
      </c>
      <c r="I175" s="388">
        <f>IF(H175,Wh_hp,'2019'!Maxi_hp)</f>
        <v>23.917243342395327</v>
      </c>
      <c r="J175" s="85">
        <f>IF(H175,An,'2019'!An_max)</f>
        <v>2020</v>
      </c>
      <c r="K175" s="197">
        <f t="shared" si="50"/>
        <v>43991</v>
      </c>
      <c r="L175" s="147">
        <f>IF(t&lt;Tvie,1-EXP((T0-t)*PertePVj)+'2019'!Pspv,1-EXP((T0-t)*PertePVj)+Pspv)</f>
        <v>9.4417966426154631E-3</v>
      </c>
      <c r="M175" s="832"/>
      <c r="N175" s="832"/>
      <c r="O175" s="48">
        <f>IF(t&lt;Tnet,'2019'!Resal+('2019'!Salim-'2019'!Resal)*(1-EXP(('2019'!Tnet-t)/('2019'!Tau_j))),Resal+(Salim-Resal)*(1-EXP((Tnet-t)/(Tau_j))))*Salcycl</f>
        <v>4.2480422311928126E-2</v>
      </c>
      <c r="P175" s="169">
        <f>(INDEX(Models!$BJ175:$BT175,,T175)*(1-R175)+INDEX(Models!$BJ175:$BT175,,T175+1)*R175-ERP_i)*Q175*Ramure*Pc/MaxiM</f>
        <v>0</v>
      </c>
      <c r="Q175" s="304">
        <f t="shared" si="51"/>
        <v>0.6</v>
      </c>
      <c r="R175" s="177">
        <f t="shared" si="52"/>
        <v>0.24884716237707571</v>
      </c>
      <c r="S175" s="799">
        <f t="shared" si="53"/>
        <v>-1</v>
      </c>
      <c r="T175" s="176">
        <f t="shared" si="54"/>
        <v>5</v>
      </c>
      <c r="U175" s="250">
        <f t="shared" si="55"/>
        <v>-0.75115283762292429</v>
      </c>
      <c r="V175" s="382">
        <f t="shared" si="56"/>
        <v>59.551139964955745</v>
      </c>
      <c r="W175" s="58"/>
      <c r="X175" s="157">
        <f t="shared" si="57"/>
        <v>43991</v>
      </c>
      <c r="Y175" s="383">
        <f t="shared" si="58"/>
        <v>22.684999999999999</v>
      </c>
      <c r="Z175" s="383">
        <f t="shared" si="59"/>
        <v>22.901228744673222</v>
      </c>
      <c r="AA175" s="384">
        <f t="shared" si="60"/>
        <v>23.917243342395327</v>
      </c>
      <c r="AB175" s="197">
        <f t="shared" si="61"/>
        <v>43991</v>
      </c>
      <c r="AC175" s="424">
        <f>IF(OR(t&lt;Tnet,NoTnet),'2019'!Resal_s+('2019'!Salim-'2019'!Resal_s)*(1-EXP(('2019'!Tnet_s-t)/'2019'!Tau_j)),Resal_s+(Salim-Resal_s)*(1-EXP((Tnet_s-t)/Tau_j)))*Salcycl</f>
        <v>4.2480422311928126E-2</v>
      </c>
      <c r="AD175" s="230">
        <f>(INDEX(Models!$BJ175:$BT175,,AH175)*(1-AF175)+INDEX(Models!$BJ175:$BT175,,AH175+1)*AF175-ERP_i)*AE175*Ramure*Pc/MaxiM</f>
        <v>0</v>
      </c>
      <c r="AE175" s="304">
        <f t="shared" si="62"/>
        <v>0.6</v>
      </c>
      <c r="AF175" s="177">
        <f t="shared" si="63"/>
        <v>0.24884716237707571</v>
      </c>
      <c r="AG175" s="176">
        <f t="shared" si="64"/>
        <v>-1</v>
      </c>
      <c r="AH175" s="176">
        <f t="shared" si="65"/>
        <v>5</v>
      </c>
      <c r="AI175" s="224">
        <f t="shared" si="66"/>
        <v>-0.75115283762292429</v>
      </c>
      <c r="AJ175" s="264" t="b">
        <f t="shared" si="67"/>
        <v>0</v>
      </c>
      <c r="AK175" s="264" t="b">
        <f t="shared" si="68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2"/>
        <v>43992</v>
      </c>
      <c r="B176" s="607">
        <v>42.616</v>
      </c>
      <c r="C176" s="388"/>
      <c r="D176" s="391">
        <f t="shared" si="48"/>
        <v>43.023031455522279</v>
      </c>
      <c r="E176" s="383">
        <f t="shared" si="73"/>
        <v>44.935529223774161</v>
      </c>
      <c r="F176" s="383">
        <f t="shared" si="49"/>
        <v>44.935529223774161</v>
      </c>
      <c r="G176" s="110">
        <f t="shared" si="74"/>
        <v>0.71616682296859191</v>
      </c>
      <c r="H176" s="412" t="b">
        <f>Wh_hp&gt;='2019'!Maxi_hp</f>
        <v>1</v>
      </c>
      <c r="I176" s="388">
        <f>IF(H176,Wh_hp,'2019'!Maxi_hp)</f>
        <v>44.935529223774161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9.4607804646000826E-3</v>
      </c>
      <c r="M176" s="832"/>
      <c r="N176" s="832"/>
      <c r="O176" s="48">
        <f>IF(t&lt;Tnet,'2019'!Resal+('2019'!Salim-'2019'!Resal)*(1-EXP(('2019'!Tnet-t)/('2019'!Tau_j))),Resal+(Salim-Resal)*(1-EXP((Tnet-t)/(Tau_j))))*Salcycl</f>
        <v>4.2560926760823098E-2</v>
      </c>
      <c r="P176" s="169">
        <f>(INDEX(Models!$BJ176:$BT176,,T176)*(1-R176)+INDEX(Models!$BJ176:$BT176,,T176+1)*R176-ERP_i)*Q176*Ramure*Pc/MaxiM</f>
        <v>-1.6545981072515534E-20</v>
      </c>
      <c r="Q176" s="304">
        <f t="shared" si="51"/>
        <v>0.6</v>
      </c>
      <c r="R176" s="177">
        <f t="shared" si="52"/>
        <v>0.25399227868808727</v>
      </c>
      <c r="S176" s="799">
        <f t="shared" si="53"/>
        <v>-1</v>
      </c>
      <c r="T176" s="176">
        <f t="shared" si="54"/>
        <v>5</v>
      </c>
      <c r="U176" s="250">
        <f t="shared" si="55"/>
        <v>-0.74600772131191273</v>
      </c>
      <c r="V176" s="382">
        <f t="shared" si="56"/>
        <v>59.505688665319475</v>
      </c>
      <c r="W176" s="58"/>
      <c r="X176" s="157">
        <f t="shared" si="57"/>
        <v>43992</v>
      </c>
      <c r="Y176" s="383">
        <f t="shared" si="58"/>
        <v>42.616</v>
      </c>
      <c r="Z176" s="383">
        <f t="shared" si="59"/>
        <v>43.023031455522279</v>
      </c>
      <c r="AA176" s="384">
        <f t="shared" si="60"/>
        <v>44.935529223774161</v>
      </c>
      <c r="AB176" s="197">
        <f t="shared" si="61"/>
        <v>43992</v>
      </c>
      <c r="AC176" s="424">
        <f>IF(OR(t&lt;Tnet,NoTnet),'2019'!Resal_s+('2019'!Salim-'2019'!Resal_s)*(1-EXP(('2019'!Tnet_s-t)/'2019'!Tau_j)),Resal_s+(Salim-Resal_s)*(1-EXP((Tnet_s-t)/Tau_j)))*Salcycl</f>
        <v>4.2560926760823098E-2</v>
      </c>
      <c r="AD176" s="230">
        <f>(INDEX(Models!$BJ176:$BT176,,AH176)*(1-AF176)+INDEX(Models!$BJ176:$BT176,,AH176+1)*AF176-ERP_i)*AE176*Ramure*Pc/MaxiM</f>
        <v>-1.6545981072515534E-20</v>
      </c>
      <c r="AE176" s="304">
        <f t="shared" si="62"/>
        <v>0.6</v>
      </c>
      <c r="AF176" s="177">
        <f t="shared" si="63"/>
        <v>0.25399227868808727</v>
      </c>
      <c r="AG176" s="176">
        <f t="shared" si="64"/>
        <v>-1</v>
      </c>
      <c r="AH176" s="176">
        <f t="shared" si="65"/>
        <v>5</v>
      </c>
      <c r="AI176" s="224">
        <f t="shared" si="66"/>
        <v>-0.74600772131191273</v>
      </c>
      <c r="AJ176" s="264" t="b">
        <f t="shared" si="67"/>
        <v>0</v>
      </c>
      <c r="AK176" s="264" t="b">
        <f t="shared" si="68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2"/>
        <v>43993</v>
      </c>
      <c r="B177" s="607">
        <v>26.888999999999999</v>
      </c>
      <c r="C177" s="388"/>
      <c r="D177" s="391">
        <f t="shared" si="48"/>
        <v>27.146340903128536</v>
      </c>
      <c r="E177" s="383">
        <f t="shared" si="73"/>
        <v>28.355441771965541</v>
      </c>
      <c r="F177" s="383">
        <f t="shared" si="49"/>
        <v>28.355441771965541</v>
      </c>
      <c r="G177" s="110">
        <f t="shared" si="74"/>
        <v>0.45223066411293933</v>
      </c>
      <c r="H177" s="412" t="b">
        <f>Wh_hp&gt;='2019'!Maxi_hp</f>
        <v>0</v>
      </c>
      <c r="I177" s="388">
        <f>IF(H177,Wh_hp,'2019'!Maxi_hp)</f>
        <v>58.629383345992608</v>
      </c>
      <c r="J177" s="85">
        <f>IF(H177,An,'2019'!An_max)</f>
        <v>2018</v>
      </c>
      <c r="K177" s="197">
        <f t="shared" si="50"/>
        <v>43993</v>
      </c>
      <c r="L177" s="147">
        <f>IF(t&lt;Tvie,1-EXP((T0-t)*PertePVj)+'2019'!Pspv,1-EXP((T0-t)*PertePVj)+Pspv)</f>
        <v>9.4797639227641728E-3</v>
      </c>
      <c r="M177" s="832"/>
      <c r="N177" s="832"/>
      <c r="O177" s="48">
        <f>IF(t&lt;Tnet,'2019'!Resal+('2019'!Salim-'2019'!Resal)*(1-EXP(('2019'!Tnet-t)/('2019'!Tau_j))),Resal+(Salim-Resal)*(1-EXP((Tnet-t)/(Tau_j))))*Salcycl</f>
        <v>4.2640875728919794E-2</v>
      </c>
      <c r="P177" s="169">
        <f>(INDEX(Models!$BJ177:$BT177,,T177)*(1-R177)+INDEX(Models!$BJ177:$BT177,,T177+1)*R177-ERP_i)*Q177*Ramure*Pc/MaxiM</f>
        <v>0</v>
      </c>
      <c r="Q177" s="304">
        <f t="shared" si="51"/>
        <v>0.6</v>
      </c>
      <c r="R177" s="177">
        <f t="shared" si="52"/>
        <v>0.25913305333239323</v>
      </c>
      <c r="S177" s="799">
        <f t="shared" si="53"/>
        <v>-1</v>
      </c>
      <c r="T177" s="176">
        <f t="shared" si="54"/>
        <v>5</v>
      </c>
      <c r="U177" s="250">
        <f t="shared" si="55"/>
        <v>-0.74086694666760677</v>
      </c>
      <c r="V177" s="382">
        <f t="shared" si="56"/>
        <v>59.458595212121189</v>
      </c>
      <c r="W177" s="58"/>
      <c r="X177" s="157">
        <f t="shared" si="57"/>
        <v>43993</v>
      </c>
      <c r="Y177" s="383">
        <f t="shared" si="58"/>
        <v>26.888999999999999</v>
      </c>
      <c r="Z177" s="383">
        <f t="shared" si="59"/>
        <v>27.146340903128536</v>
      </c>
      <c r="AA177" s="384">
        <f t="shared" si="60"/>
        <v>28.355441771965541</v>
      </c>
      <c r="AB177" s="197">
        <f t="shared" si="61"/>
        <v>43993</v>
      </c>
      <c r="AC177" s="424">
        <f>IF(OR(t&lt;Tnet,NoTnet),'2019'!Resal_s+('2019'!Salim-'2019'!Resal_s)*(1-EXP(('2019'!Tnet_s-t)/'2019'!Tau_j)),Resal_s+(Salim-Resal_s)*(1-EXP((Tnet_s-t)/Tau_j)))*Salcycl</f>
        <v>4.2640875728919794E-2</v>
      </c>
      <c r="AD177" s="230">
        <f>(INDEX(Models!$BJ177:$BT177,,AH177)*(1-AF177)+INDEX(Models!$BJ177:$BT177,,AH177+1)*AF177-ERP_i)*AE177*Ramure*Pc/MaxiM</f>
        <v>0</v>
      </c>
      <c r="AE177" s="304">
        <f t="shared" si="62"/>
        <v>0.6</v>
      </c>
      <c r="AF177" s="177">
        <f t="shared" si="63"/>
        <v>0.25913305333239323</v>
      </c>
      <c r="AG177" s="176">
        <f t="shared" si="64"/>
        <v>-1</v>
      </c>
      <c r="AH177" s="176">
        <f t="shared" si="65"/>
        <v>5</v>
      </c>
      <c r="AI177" s="224">
        <f t="shared" si="66"/>
        <v>-0.74086694666760677</v>
      </c>
      <c r="AJ177" s="264" t="b">
        <f t="shared" si="67"/>
        <v>0</v>
      </c>
      <c r="AK177" s="264" t="b">
        <f t="shared" si="68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2"/>
        <v>43994</v>
      </c>
      <c r="B178" s="607">
        <v>53.89</v>
      </c>
      <c r="C178" s="388"/>
      <c r="D178" s="391">
        <f t="shared" si="48"/>
        <v>54.406796394967458</v>
      </c>
      <c r="E178" s="383">
        <f t="shared" si="73"/>
        <v>56.834792590368217</v>
      </c>
      <c r="F178" s="383">
        <f t="shared" si="49"/>
        <v>56.834792590368217</v>
      </c>
      <c r="G178" s="110">
        <f t="shared" si="74"/>
        <v>0.90709183972661067</v>
      </c>
      <c r="H178" s="412" t="b">
        <f>Wh_hp&gt;='2019'!Maxi_hp</f>
        <v>0</v>
      </c>
      <c r="I178" s="388">
        <f>IF(H178,Wh_hp,'2019'!Maxi_hp)</f>
        <v>65.55404847482302</v>
      </c>
      <c r="J178" s="85">
        <f>IF(H178,An,'2019'!An_max)</f>
        <v>2018</v>
      </c>
      <c r="K178" s="197">
        <f t="shared" si="50"/>
        <v>43994</v>
      </c>
      <c r="L178" s="147">
        <f>IF(t&lt;Tvie,1-EXP((T0-t)*PertePVj)+'2019'!Pspv,1-EXP((T0-t)*PertePVj)+Pspv)</f>
        <v>9.4987470171146171E-3</v>
      </c>
      <c r="M178" s="832"/>
      <c r="N178" s="832"/>
      <c r="O178" s="48">
        <f>IF(t&lt;Tnet,'2019'!Resal+('2019'!Salim-'2019'!Resal)*(1-EXP(('2019'!Tnet-t)/('2019'!Tau_j))),Resal+(Salim-Resal)*(1-EXP((Tnet-t)/(Tau_j))))*Salcycl</f>
        <v>4.2720243793275062E-2</v>
      </c>
      <c r="P178" s="169">
        <f>(INDEX(Models!$BJ178:$BT178,,T178)*(1-R178)+INDEX(Models!$BJ178:$BT178,,T178+1)*R178-ERP_i)*Q178*Ramure*Pc/MaxiM</f>
        <v>0</v>
      </c>
      <c r="Q178" s="304">
        <f t="shared" si="51"/>
        <v>0.6</v>
      </c>
      <c r="R178" s="177">
        <f t="shared" si="52"/>
        <v>0.26426515928565975</v>
      </c>
      <c r="S178" s="799">
        <f t="shared" si="53"/>
        <v>-1</v>
      </c>
      <c r="T178" s="176">
        <f t="shared" si="54"/>
        <v>5</v>
      </c>
      <c r="U178" s="250">
        <f t="shared" si="55"/>
        <v>-0.73573484071434025</v>
      </c>
      <c r="V178" s="382">
        <f t="shared" si="56"/>
        <v>59.409640391255159</v>
      </c>
      <c r="W178" s="58"/>
      <c r="X178" s="157">
        <f t="shared" si="57"/>
        <v>43994</v>
      </c>
      <c r="Y178" s="383">
        <f t="shared" si="58"/>
        <v>53.89</v>
      </c>
      <c r="Z178" s="383">
        <f t="shared" si="59"/>
        <v>54.406796394967458</v>
      </c>
      <c r="AA178" s="384">
        <f t="shared" si="60"/>
        <v>56.834792590368217</v>
      </c>
      <c r="AB178" s="197">
        <f t="shared" si="61"/>
        <v>43994</v>
      </c>
      <c r="AC178" s="424">
        <f>IF(OR(t&lt;Tnet,NoTnet),'2019'!Resal_s+('2019'!Salim-'2019'!Resal_s)*(1-EXP(('2019'!Tnet_s-t)/'2019'!Tau_j)),Resal_s+(Salim-Resal_s)*(1-EXP((Tnet_s-t)/Tau_j)))*Salcycl</f>
        <v>4.2720243793275062E-2</v>
      </c>
      <c r="AD178" s="230">
        <f>(INDEX(Models!$BJ178:$BT178,,AH178)*(1-AF178)+INDEX(Models!$BJ178:$BT178,,AH178+1)*AF178-ERP_i)*AE178*Ramure*Pc/MaxiM</f>
        <v>0</v>
      </c>
      <c r="AE178" s="304">
        <f t="shared" si="62"/>
        <v>0.6</v>
      </c>
      <c r="AF178" s="177">
        <f t="shared" si="63"/>
        <v>0.26426515928565975</v>
      </c>
      <c r="AG178" s="176">
        <f t="shared" si="64"/>
        <v>-1</v>
      </c>
      <c r="AH178" s="176">
        <f t="shared" si="65"/>
        <v>5</v>
      </c>
      <c r="AI178" s="224">
        <f t="shared" si="66"/>
        <v>-0.73573484071434025</v>
      </c>
      <c r="AJ178" s="264" t="b">
        <f t="shared" si="67"/>
        <v>0</v>
      </c>
      <c r="AK178" s="264" t="b">
        <f t="shared" si="68"/>
        <v>0</v>
      </c>
      <c r="AL178" s="264"/>
      <c r="AM178" s="264"/>
      <c r="AN178" s="75"/>
    </row>
    <row r="179" spans="1:40" s="6" customFormat="1" ht="11.25" x14ac:dyDescent="0.2">
      <c r="A179" s="56">
        <f t="shared" si="72"/>
        <v>43995</v>
      </c>
      <c r="B179" s="607">
        <v>44.039000000000001</v>
      </c>
      <c r="C179" s="388"/>
      <c r="D179" s="391">
        <f t="shared" si="48"/>
        <v>44.462179003749704</v>
      </c>
      <c r="E179" s="383">
        <f t="shared" si="73"/>
        <v>46.450201512542925</v>
      </c>
      <c r="F179" s="383">
        <f t="shared" si="49"/>
        <v>46.450201512542925</v>
      </c>
      <c r="G179" s="110">
        <f t="shared" si="74"/>
        <v>0.74191157129546237</v>
      </c>
      <c r="H179" s="412" t="b">
        <f>Wh_hp&gt;='2019'!Maxi_hp</f>
        <v>1</v>
      </c>
      <c r="I179" s="388">
        <f>IF(H179,Wh_hp,'2019'!Maxi_hp)</f>
        <v>46.450201512542925</v>
      </c>
      <c r="J179" s="85">
        <f>IF(H179,An,'2019'!An_max)</f>
        <v>2020</v>
      </c>
      <c r="K179" s="197">
        <f t="shared" si="50"/>
        <v>43995</v>
      </c>
      <c r="L179" s="147">
        <f>IF(t&lt;Tvie,1-EXP((T0-t)*PertePVj)+'2019'!Pspv,1-EXP((T0-t)*PertePVj)+Pspv)</f>
        <v>9.51772974765841E-3</v>
      </c>
      <c r="M179" s="832"/>
      <c r="N179" s="832"/>
      <c r="O179" s="48">
        <f>IF(t&lt;Tnet,'2019'!Resal+('2019'!Salim-'2019'!Resal)*(1-EXP(('2019'!Tnet-t)/('2019'!Tau_j))),Resal+(Salim-Resal)*(1-EXP((Tnet-t)/(Tau_j))))*Salcycl</f>
        <v>4.2799007196048337E-2</v>
      </c>
      <c r="P179" s="169">
        <f>(INDEX(Models!$BJ179:$BT179,,T179)*(1-R179)+INDEX(Models!$BJ179:$BT179,,T179+1)*R179-ERP_i)*Q179*Ramure*Pc/MaxiM</f>
        <v>0</v>
      </c>
      <c r="Q179" s="304">
        <f t="shared" si="51"/>
        <v>0.6</v>
      </c>
      <c r="R179" s="177">
        <f t="shared" si="52"/>
        <v>0.26938429870348557</v>
      </c>
      <c r="S179" s="799">
        <f t="shared" si="53"/>
        <v>-1</v>
      </c>
      <c r="T179" s="176">
        <f t="shared" si="54"/>
        <v>5</v>
      </c>
      <c r="U179" s="250">
        <f t="shared" si="55"/>
        <v>-0.73061570129651443</v>
      </c>
      <c r="V179" s="382">
        <f t="shared" si="56"/>
        <v>59.358826178034768</v>
      </c>
      <c r="W179" s="58"/>
      <c r="X179" s="157">
        <f t="shared" si="57"/>
        <v>43995</v>
      </c>
      <c r="Y179" s="383">
        <f t="shared" si="58"/>
        <v>44.039000000000001</v>
      </c>
      <c r="Z179" s="383">
        <f t="shared" si="59"/>
        <v>44.462179003749704</v>
      </c>
      <c r="AA179" s="384">
        <f t="shared" si="60"/>
        <v>46.450201512542925</v>
      </c>
      <c r="AB179" s="197">
        <f t="shared" si="61"/>
        <v>43995</v>
      </c>
      <c r="AC179" s="424">
        <f>IF(OR(t&lt;Tnet,NoTnet),'2019'!Resal_s+('2019'!Salim-'2019'!Resal_s)*(1-EXP(('2019'!Tnet_s-t)/'2019'!Tau_j)),Resal_s+(Salim-Resal_s)*(1-EXP((Tnet_s-t)/Tau_j)))*Salcycl</f>
        <v>4.2799007196048337E-2</v>
      </c>
      <c r="AD179" s="230">
        <f>(INDEX(Models!$BJ179:$BT179,,AH179)*(1-AF179)+INDEX(Models!$BJ179:$BT179,,AH179+1)*AF179-ERP_i)*AE179*Ramure*Pc/MaxiM</f>
        <v>0</v>
      </c>
      <c r="AE179" s="304">
        <f t="shared" si="62"/>
        <v>0.6</v>
      </c>
      <c r="AF179" s="177">
        <f t="shared" si="63"/>
        <v>0.26938429870348557</v>
      </c>
      <c r="AG179" s="176">
        <f t="shared" si="64"/>
        <v>-1</v>
      </c>
      <c r="AH179" s="176">
        <f t="shared" si="65"/>
        <v>5</v>
      </c>
      <c r="AI179" s="224">
        <f t="shared" si="66"/>
        <v>-0.73061570129651443</v>
      </c>
      <c r="AJ179" s="264" t="b">
        <f t="shared" si="67"/>
        <v>0</v>
      </c>
      <c r="AK179" s="264" t="b">
        <f t="shared" si="68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2"/>
        <v>43996</v>
      </c>
      <c r="B180" s="607">
        <v>46.875999999999998</v>
      </c>
      <c r="C180" s="388"/>
      <c r="D180" s="391">
        <f t="shared" si="48"/>
        <v>47.327347286206901</v>
      </c>
      <c r="E180" s="383">
        <f t="shared" si="73"/>
        <v>49.447515526599517</v>
      </c>
      <c r="F180" s="383">
        <f t="shared" si="49"/>
        <v>49.447515526599517</v>
      </c>
      <c r="G180" s="110">
        <f t="shared" si="74"/>
        <v>0.79040700667824848</v>
      </c>
      <c r="H180" s="412" t="b">
        <f>Wh_hp&gt;='2019'!Maxi_hp</f>
        <v>1</v>
      </c>
      <c r="I180" s="388">
        <f>IF(H180,Wh_hp,'2019'!Maxi_hp)</f>
        <v>49.447515526599517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9.5367121144025457E-3</v>
      </c>
      <c r="M180" s="832"/>
      <c r="N180" s="832"/>
      <c r="O180" s="48">
        <f>IF(t&lt;Tnet,'2019'!Resal+('2019'!Salim-'2019'!Resal)*(1-EXP(('2019'!Tnet-t)/('2019'!Tau_j))),Resal+(Salim-Resal)*(1-EXP((Tnet-t)/(Tau_j))))*Salcycl</f>
        <v>4.2877143933593695E-2</v>
      </c>
      <c r="P180" s="169">
        <f>(INDEX(Models!$BJ180:$BT180,,T180)*(1-R180)+INDEX(Models!$BJ180:$BT180,,T180+1)*R180-ERP_i)*Q180*Ramure*Pc/MaxiM</f>
        <v>0</v>
      </c>
      <c r="Q180" s="304">
        <f t="shared" si="51"/>
        <v>0.6</v>
      </c>
      <c r="R180" s="177">
        <f t="shared" si="52"/>
        <v>0.27448621725062572</v>
      </c>
      <c r="S180" s="799">
        <f t="shared" si="53"/>
        <v>-1</v>
      </c>
      <c r="T180" s="176">
        <f t="shared" si="54"/>
        <v>5</v>
      </c>
      <c r="U180" s="250">
        <f t="shared" si="55"/>
        <v>-0.72551378274937428</v>
      </c>
      <c r="V180" s="382">
        <f t="shared" si="56"/>
        <v>59.306154429222872</v>
      </c>
      <c r="W180" s="58"/>
      <c r="X180" s="157">
        <f t="shared" si="57"/>
        <v>43996</v>
      </c>
      <c r="Y180" s="383">
        <f t="shared" si="58"/>
        <v>46.875999999999998</v>
      </c>
      <c r="Z180" s="383">
        <f t="shared" si="59"/>
        <v>47.327347286206901</v>
      </c>
      <c r="AA180" s="384">
        <f t="shared" si="60"/>
        <v>49.447515526599517</v>
      </c>
      <c r="AB180" s="197">
        <f t="shared" si="61"/>
        <v>43996</v>
      </c>
      <c r="AC180" s="424">
        <f>IF(OR(t&lt;Tnet,NoTnet),'2019'!Resal_s+('2019'!Salim-'2019'!Resal_s)*(1-EXP(('2019'!Tnet_s-t)/'2019'!Tau_j)),Resal_s+(Salim-Resal_s)*(1-EXP((Tnet_s-t)/Tau_j)))*Salcycl</f>
        <v>4.2877143933593695E-2</v>
      </c>
      <c r="AD180" s="230">
        <f>(INDEX(Models!$BJ180:$BT180,,AH180)*(1-AF180)+INDEX(Models!$BJ180:$BT180,,AH180+1)*AF180-ERP_i)*AE180*Ramure*Pc/MaxiM</f>
        <v>0</v>
      </c>
      <c r="AE180" s="304">
        <f t="shared" si="62"/>
        <v>0.6</v>
      </c>
      <c r="AF180" s="177">
        <f t="shared" si="63"/>
        <v>0.27448621725062572</v>
      </c>
      <c r="AG180" s="176">
        <f t="shared" si="64"/>
        <v>-1</v>
      </c>
      <c r="AH180" s="176">
        <f t="shared" si="65"/>
        <v>5</v>
      </c>
      <c r="AI180" s="224">
        <f t="shared" si="66"/>
        <v>-0.72551378274937428</v>
      </c>
      <c r="AJ180" s="264" t="b">
        <f t="shared" si="67"/>
        <v>0</v>
      </c>
      <c r="AK180" s="264" t="b">
        <f t="shared" si="68"/>
        <v>0</v>
      </c>
      <c r="AL180" s="264"/>
      <c r="AM180" s="264"/>
      <c r="AN180" s="75"/>
    </row>
    <row r="181" spans="1:40" s="6" customFormat="1" ht="11.25" x14ac:dyDescent="0.2">
      <c r="A181" s="56">
        <f t="shared" si="72"/>
        <v>43997</v>
      </c>
      <c r="B181" s="607">
        <v>46.408000000000001</v>
      </c>
      <c r="C181" s="388"/>
      <c r="D181" s="391">
        <f t="shared" si="48"/>
        <v>46.855739110583265</v>
      </c>
      <c r="E181" s="383">
        <f t="shared" si="73"/>
        <v>48.958744033638936</v>
      </c>
      <c r="F181" s="383">
        <f t="shared" si="49"/>
        <v>48.958744033638936</v>
      </c>
      <c r="G181" s="110">
        <f t="shared" si="74"/>
        <v>0.78323587802736161</v>
      </c>
      <c r="H181" s="412" t="b">
        <f>Wh_hp&gt;='2019'!Maxi_hp</f>
        <v>0</v>
      </c>
      <c r="I181" s="388">
        <f>IF(H181,Wh_hp,'2019'!Maxi_hp)</f>
        <v>62.896396798110899</v>
      </c>
      <c r="J181" s="85">
        <f>IF(H181,An,'2019'!An_max)</f>
        <v>2018</v>
      </c>
      <c r="K181" s="197">
        <f t="shared" si="50"/>
        <v>43997</v>
      </c>
      <c r="L181" s="147">
        <f>IF(t&lt;Tvie,1-EXP((T0-t)*PertePVj)+'2019'!Pspv,1-EXP((T0-t)*PertePVj)+Pspv)</f>
        <v>9.5556941173537968E-3</v>
      </c>
      <c r="M181" s="832"/>
      <c r="N181" s="832"/>
      <c r="O181" s="48">
        <f>IF(t&lt;Tnet,'2019'!Resal+('2019'!Salim-'2019'!Resal)*(1-EXP(('2019'!Tnet-t)/('2019'!Tau_j))),Resal+(Salim-Resal)*(1-EXP((Tnet-t)/(Tau_j))))*Salcycl</f>
        <v>4.2954633836413847E-2</v>
      </c>
      <c r="P181" s="169">
        <f>(INDEX(Models!$BJ181:$BT181,,T181)*(1-R181)+INDEX(Models!$BJ181:$BT181,,T181+1)*R181-ERP_i)*Q181*Ramure*Pc/MaxiM</f>
        <v>0</v>
      </c>
      <c r="Q181" s="304">
        <f t="shared" si="51"/>
        <v>0.6</v>
      </c>
      <c r="R181" s="177">
        <f t="shared" si="52"/>
        <v>0.27956671812089762</v>
      </c>
      <c r="S181" s="799">
        <f t="shared" si="53"/>
        <v>-1</v>
      </c>
      <c r="T181" s="176">
        <f t="shared" si="54"/>
        <v>5</v>
      </c>
      <c r="U181" s="250">
        <f t="shared" si="55"/>
        <v>-0.72043328187910238</v>
      </c>
      <c r="V181" s="382">
        <f t="shared" si="56"/>
        <v>59.251626875012455</v>
      </c>
      <c r="W181" s="58"/>
      <c r="X181" s="157">
        <f t="shared" si="57"/>
        <v>43997</v>
      </c>
      <c r="Y181" s="383">
        <f t="shared" si="58"/>
        <v>46.408000000000001</v>
      </c>
      <c r="Z181" s="383">
        <f t="shared" si="59"/>
        <v>46.855739110583265</v>
      </c>
      <c r="AA181" s="384">
        <f t="shared" si="60"/>
        <v>48.958744033638936</v>
      </c>
      <c r="AB181" s="197">
        <f t="shared" si="61"/>
        <v>43997</v>
      </c>
      <c r="AC181" s="424">
        <f>IF(OR(t&lt;Tnet,NoTnet),'2019'!Resal_s+('2019'!Salim-'2019'!Resal_s)*(1-EXP(('2019'!Tnet_s-t)/'2019'!Tau_j)),Resal_s+(Salim-Resal_s)*(1-EXP((Tnet_s-t)/Tau_j)))*Salcycl</f>
        <v>4.2954633836413847E-2</v>
      </c>
      <c r="AD181" s="230">
        <f>(INDEX(Models!$BJ181:$BT181,,AH181)*(1-AF181)+INDEX(Models!$BJ181:$BT181,,AH181+1)*AF181-ERP_i)*AE181*Ramure*Pc/MaxiM</f>
        <v>0</v>
      </c>
      <c r="AE181" s="304">
        <f t="shared" si="62"/>
        <v>0.6</v>
      </c>
      <c r="AF181" s="177">
        <f t="shared" si="63"/>
        <v>0.27956671812089762</v>
      </c>
      <c r="AG181" s="176">
        <f t="shared" si="64"/>
        <v>-1</v>
      </c>
      <c r="AH181" s="176">
        <f t="shared" si="65"/>
        <v>5</v>
      </c>
      <c r="AI181" s="224">
        <f t="shared" si="66"/>
        <v>-0.72043328187910238</v>
      </c>
      <c r="AJ181" s="264" t="b">
        <f t="shared" si="67"/>
        <v>0</v>
      </c>
      <c r="AK181" s="264" t="b">
        <f t="shared" si="68"/>
        <v>0</v>
      </c>
      <c r="AL181" s="264"/>
      <c r="AM181" s="264"/>
      <c r="AN181" s="75"/>
    </row>
    <row r="182" spans="1:40" s="6" customFormat="1" ht="11.25" x14ac:dyDescent="0.2">
      <c r="A182" s="56">
        <f t="shared" si="72"/>
        <v>43998</v>
      </c>
      <c r="B182" s="607">
        <v>31.978999999999999</v>
      </c>
      <c r="C182" s="388"/>
      <c r="D182" s="391">
        <f t="shared" si="48"/>
        <v>32.288148553174977</v>
      </c>
      <c r="E182" s="383">
        <f t="shared" si="73"/>
        <v>33.740031315206338</v>
      </c>
      <c r="F182" s="383">
        <f t="shared" si="49"/>
        <v>33.740031315206338</v>
      </c>
      <c r="G182" s="110">
        <f t="shared" si="74"/>
        <v>0.54022920146419751</v>
      </c>
      <c r="H182" s="412" t="b">
        <f>Wh_hp&gt;='2019'!Maxi_hp</f>
        <v>0</v>
      </c>
      <c r="I182" s="388">
        <f>IF(H182,Wh_hp,'2019'!Maxi_hp)</f>
        <v>61.724084548861946</v>
      </c>
      <c r="J182" s="85">
        <f>IF(H182,An,'2019'!An_max)</f>
        <v>2018</v>
      </c>
      <c r="K182" s="197">
        <f t="shared" si="50"/>
        <v>43998</v>
      </c>
      <c r="L182" s="147">
        <f>IF(t&lt;Tvie,1-EXP((T0-t)*PertePVj)+'2019'!Pspv,1-EXP((T0-t)*PertePVj)+Pspv)</f>
        <v>9.5746757565193796E-3</v>
      </c>
      <c r="M182" s="832"/>
      <c r="N182" s="832"/>
      <c r="O182" s="48">
        <f>IF(t&lt;Tnet,'2019'!Resal+('2019'!Salim-'2019'!Resal)*(1-EXP(('2019'!Tnet-t)/('2019'!Tau_j))),Resal+(Salim-Resal)*(1-EXP((Tnet-t)/(Tau_j))))*Salcycl</f>
        <v>4.3031458639370253E-2</v>
      </c>
      <c r="P182" s="169">
        <f>(INDEX(Models!$BJ182:$BT182,,T182)*(1-R182)+INDEX(Models!$BJ182:$BT182,,T182+1)*R182-ERP_i)*Q182*Ramure*Pc/MaxiM</f>
        <v>0</v>
      </c>
      <c r="Q182" s="304">
        <f t="shared" si="51"/>
        <v>0.6</v>
      </c>
      <c r="R182" s="177">
        <f t="shared" si="52"/>
        <v>0.28462167565055729</v>
      </c>
      <c r="S182" s="799">
        <f t="shared" si="53"/>
        <v>-1</v>
      </c>
      <c r="T182" s="176">
        <f t="shared" si="54"/>
        <v>5</v>
      </c>
      <c r="U182" s="250">
        <f t="shared" si="55"/>
        <v>-0.71537832434944271</v>
      </c>
      <c r="V182" s="382">
        <f t="shared" si="56"/>
        <v>59.195245116936412</v>
      </c>
      <c r="W182" s="58"/>
      <c r="X182" s="157">
        <f t="shared" si="57"/>
        <v>43998</v>
      </c>
      <c r="Y182" s="383">
        <f t="shared" si="58"/>
        <v>31.978999999999996</v>
      </c>
      <c r="Z182" s="383">
        <f t="shared" si="59"/>
        <v>32.288148553174977</v>
      </c>
      <c r="AA182" s="384">
        <f t="shared" si="60"/>
        <v>33.740031315206338</v>
      </c>
      <c r="AB182" s="197">
        <f t="shared" si="61"/>
        <v>43998</v>
      </c>
      <c r="AC182" s="424">
        <f>IF(OR(t&lt;Tnet,NoTnet),'2019'!Resal_s+('2019'!Salim-'2019'!Resal_s)*(1-EXP(('2019'!Tnet_s-t)/'2019'!Tau_j)),Resal_s+(Salim-Resal_s)*(1-EXP((Tnet_s-t)/Tau_j)))*Salcycl</f>
        <v>4.3031458639370253E-2</v>
      </c>
      <c r="AD182" s="230">
        <f>(INDEX(Models!$BJ182:$BT182,,AH182)*(1-AF182)+INDEX(Models!$BJ182:$BT182,,AH182+1)*AF182-ERP_i)*AE182*Ramure*Pc/MaxiM</f>
        <v>0</v>
      </c>
      <c r="AE182" s="304">
        <f t="shared" si="62"/>
        <v>0.6</v>
      </c>
      <c r="AF182" s="177">
        <f t="shared" si="63"/>
        <v>0.28462167565055729</v>
      </c>
      <c r="AG182" s="176">
        <f t="shared" si="64"/>
        <v>-1</v>
      </c>
      <c r="AH182" s="176">
        <f t="shared" si="65"/>
        <v>5</v>
      </c>
      <c r="AI182" s="224">
        <f t="shared" si="66"/>
        <v>-0.71537832434944271</v>
      </c>
      <c r="AJ182" s="264" t="b">
        <f t="shared" si="67"/>
        <v>0</v>
      </c>
      <c r="AK182" s="264" t="b">
        <f t="shared" si="68"/>
        <v>0</v>
      </c>
      <c r="AL182" s="264"/>
      <c r="AM182" s="264"/>
      <c r="AN182" s="75"/>
    </row>
    <row r="183" spans="1:40" s="6" customFormat="1" ht="11.25" x14ac:dyDescent="0.2">
      <c r="A183" s="56">
        <f t="shared" si="72"/>
        <v>43999</v>
      </c>
      <c r="B183" s="607">
        <v>52.847000000000001</v>
      </c>
      <c r="C183" s="388"/>
      <c r="D183" s="391">
        <f t="shared" si="48"/>
        <v>53.358907053872208</v>
      </c>
      <c r="E183" s="383">
        <f t="shared" si="73"/>
        <v>55.762703484444103</v>
      </c>
      <c r="F183" s="383">
        <f t="shared" si="49"/>
        <v>55.762703484444103</v>
      </c>
      <c r="G183" s="110">
        <f t="shared" si="74"/>
        <v>0.89363664893525208</v>
      </c>
      <c r="H183" s="412" t="b">
        <f>Wh_hp&gt;='2019'!Maxi_hp</f>
        <v>0</v>
      </c>
      <c r="I183" s="388">
        <f>IF(H183,Wh_hp,'2019'!Maxi_hp)</f>
        <v>57.369036816167828</v>
      </c>
      <c r="J183" s="85">
        <f>IF(H183,An,'2019'!An_max)</f>
        <v>2018</v>
      </c>
      <c r="K183" s="197">
        <f t="shared" si="50"/>
        <v>43999</v>
      </c>
      <c r="L183" s="147">
        <f>IF(t&lt;Tvie,1-EXP((T0-t)*PertePVj)+'2019'!Pspv,1-EXP((T0-t)*PertePVj)+Pspv)</f>
        <v>9.5936570319061776E-3</v>
      </c>
      <c r="M183" s="832"/>
      <c r="N183" s="832"/>
      <c r="O183" s="48">
        <f>IF(t&lt;Tnet,'2019'!Resal+('2019'!Salim-'2019'!Resal)*(1-EXP(('2019'!Tnet-t)/('2019'!Tau_j))),Resal+(Salim-Resal)*(1-EXP((Tnet-t)/(Tau_j))))*Salcycl</f>
        <v>4.3107602041613242E-2</v>
      </c>
      <c r="P183" s="169">
        <f>(INDEX(Models!$BJ183:$BT183,,T183)*(1-R183)+INDEX(Models!$BJ183:$BT183,,T183+1)*R183-ERP_i)*Q183*Ramure*Pc/MaxiM</f>
        <v>0</v>
      </c>
      <c r="Q183" s="304">
        <f t="shared" si="51"/>
        <v>0.6</v>
      </c>
      <c r="R183" s="177">
        <f t="shared" si="52"/>
        <v>0.28964704843282929</v>
      </c>
      <c r="S183" s="799">
        <f t="shared" si="53"/>
        <v>-1</v>
      </c>
      <c r="T183" s="176">
        <f t="shared" si="54"/>
        <v>5</v>
      </c>
      <c r="U183" s="250">
        <f t="shared" si="55"/>
        <v>-0.71035295156717071</v>
      </c>
      <c r="V183" s="382">
        <f t="shared" si="56"/>
        <v>59.137010621672694</v>
      </c>
      <c r="W183" s="58"/>
      <c r="X183" s="157">
        <f t="shared" si="57"/>
        <v>43999</v>
      </c>
      <c r="Y183" s="383">
        <f t="shared" si="58"/>
        <v>52.847000000000001</v>
      </c>
      <c r="Z183" s="383">
        <f t="shared" si="59"/>
        <v>53.358907053872208</v>
      </c>
      <c r="AA183" s="384">
        <f t="shared" si="60"/>
        <v>55.762703484444103</v>
      </c>
      <c r="AB183" s="197">
        <f t="shared" si="61"/>
        <v>43999</v>
      </c>
      <c r="AC183" s="424">
        <f>IF(OR(t&lt;Tnet,NoTnet),'2019'!Resal_s+('2019'!Salim-'2019'!Resal_s)*(1-EXP(('2019'!Tnet_s-t)/'2019'!Tau_j)),Resal_s+(Salim-Resal_s)*(1-EXP((Tnet_s-t)/Tau_j)))*Salcycl</f>
        <v>4.3107602041613242E-2</v>
      </c>
      <c r="AD183" s="230">
        <f>(INDEX(Models!$BJ183:$BT183,,AH183)*(1-AF183)+INDEX(Models!$BJ183:$BT183,,AH183+1)*AF183-ERP_i)*AE183*Ramure*Pc/MaxiM</f>
        <v>0</v>
      </c>
      <c r="AE183" s="304">
        <f t="shared" si="62"/>
        <v>0.6</v>
      </c>
      <c r="AF183" s="177">
        <f t="shared" si="63"/>
        <v>0.28964704843282929</v>
      </c>
      <c r="AG183" s="176">
        <f t="shared" si="64"/>
        <v>-1</v>
      </c>
      <c r="AH183" s="176">
        <f t="shared" si="65"/>
        <v>5</v>
      </c>
      <c r="AI183" s="224">
        <f t="shared" si="66"/>
        <v>-0.71035295156717071</v>
      </c>
      <c r="AJ183" s="264" t="b">
        <f t="shared" si="67"/>
        <v>0</v>
      </c>
      <c r="AK183" s="264" t="b">
        <f t="shared" si="68"/>
        <v>0</v>
      </c>
      <c r="AL183" s="264"/>
      <c r="AM183" s="264"/>
      <c r="AN183" s="75"/>
    </row>
    <row r="184" spans="1:40" s="6" customFormat="1" ht="11.25" x14ac:dyDescent="0.2">
      <c r="A184" s="56">
        <f t="shared" si="72"/>
        <v>44000</v>
      </c>
      <c r="B184" s="607">
        <v>42.591000000000001</v>
      </c>
      <c r="C184" s="388"/>
      <c r="D184" s="391">
        <f t="shared" si="48"/>
        <v>43.004385588647246</v>
      </c>
      <c r="E184" s="383">
        <f t="shared" si="73"/>
        <v>44.945258941817784</v>
      </c>
      <c r="F184" s="383">
        <f t="shared" si="49"/>
        <v>44.945258941817784</v>
      </c>
      <c r="G184" s="110">
        <f t="shared" si="74"/>
        <v>0.72094138618245118</v>
      </c>
      <c r="H184" s="412" t="b">
        <f>Wh_hp&gt;='2019'!Maxi_hp</f>
        <v>0</v>
      </c>
      <c r="I184" s="388">
        <f>IF(H184,Wh_hp,'2019'!Maxi_hp)</f>
        <v>52.635233247813638</v>
      </c>
      <c r="J184" s="85">
        <f>IF(H184,An,'2019'!An_max)</f>
        <v>2018</v>
      </c>
      <c r="K184" s="197">
        <f t="shared" si="50"/>
        <v>44000</v>
      </c>
      <c r="L184" s="147">
        <f>IF(t&lt;Tvie,1-EXP((T0-t)*PertePVj)+'2019'!Pspv,1-EXP((T0-t)*PertePVj)+Pspv)</f>
        <v>9.6126379435211851E-3</v>
      </c>
      <c r="M184" s="832"/>
      <c r="N184" s="832"/>
      <c r="O184" s="48">
        <f>IF(t&lt;Tnet,'2019'!Resal+('2019'!Salim-'2019'!Resal)*(1-EXP(('2019'!Tnet-t)/('2019'!Tau_j))),Resal+(Salim-Resal)*(1-EXP((Tnet-t)/(Tau_j))))*Salcycl</f>
        <v>4.318304975577112E-2</v>
      </c>
      <c r="P184" s="169">
        <f>(INDEX(Models!$BJ184:$BT184,,T184)*(1-R184)+INDEX(Models!$BJ184:$BT184,,T184+1)*R184-ERP_i)*Q184*Ramure*Pc/MaxiM</f>
        <v>0</v>
      </c>
      <c r="Q184" s="304">
        <f t="shared" si="51"/>
        <v>0.6</v>
      </c>
      <c r="R184" s="177">
        <f t="shared" si="52"/>
        <v>0.29463889184724179</v>
      </c>
      <c r="S184" s="799">
        <f t="shared" si="53"/>
        <v>-1</v>
      </c>
      <c r="T184" s="176">
        <f t="shared" si="54"/>
        <v>5</v>
      </c>
      <c r="U184" s="250">
        <f t="shared" si="55"/>
        <v>-0.70536110815275821</v>
      </c>
      <c r="V184" s="382">
        <f t="shared" si="56"/>
        <v>59.076924721341143</v>
      </c>
      <c r="W184" s="58"/>
      <c r="X184" s="157">
        <f t="shared" si="57"/>
        <v>44000</v>
      </c>
      <c r="Y184" s="383">
        <f t="shared" si="58"/>
        <v>42.591000000000001</v>
      </c>
      <c r="Z184" s="383">
        <f t="shared" si="59"/>
        <v>43.004385588647246</v>
      </c>
      <c r="AA184" s="384">
        <f t="shared" si="60"/>
        <v>44.945258941817784</v>
      </c>
      <c r="AB184" s="197">
        <f t="shared" si="61"/>
        <v>44000</v>
      </c>
      <c r="AC184" s="424">
        <f>IF(OR(t&lt;Tnet,NoTnet),'2019'!Resal_s+('2019'!Salim-'2019'!Resal_s)*(1-EXP(('2019'!Tnet_s-t)/'2019'!Tau_j)),Resal_s+(Salim-Resal_s)*(1-EXP((Tnet_s-t)/Tau_j)))*Salcycl</f>
        <v>4.318304975577112E-2</v>
      </c>
      <c r="AD184" s="230">
        <f>(INDEX(Models!$BJ184:$BT184,,AH184)*(1-AF184)+INDEX(Models!$BJ184:$BT184,,AH184+1)*AF184-ERP_i)*AE184*Ramure*Pc/MaxiM</f>
        <v>0</v>
      </c>
      <c r="AE184" s="304">
        <f t="shared" si="62"/>
        <v>0.6</v>
      </c>
      <c r="AF184" s="177">
        <f t="shared" si="63"/>
        <v>0.29463889184724179</v>
      </c>
      <c r="AG184" s="176">
        <f t="shared" si="64"/>
        <v>-1</v>
      </c>
      <c r="AH184" s="176">
        <f t="shared" si="65"/>
        <v>5</v>
      </c>
      <c r="AI184" s="224">
        <f t="shared" si="66"/>
        <v>-0.70536110815275821</v>
      </c>
      <c r="AJ184" s="264" t="b">
        <f t="shared" si="67"/>
        <v>0</v>
      </c>
      <c r="AK184" s="264" t="b">
        <f t="shared" si="68"/>
        <v>0</v>
      </c>
      <c r="AL184" s="264"/>
      <c r="AM184" s="264"/>
      <c r="AN184" s="75"/>
    </row>
    <row r="185" spans="1:40" s="6" customFormat="1" ht="11.25" x14ac:dyDescent="0.2">
      <c r="A185" s="56">
        <f t="shared" si="72"/>
        <v>44001</v>
      </c>
      <c r="B185" s="607">
        <v>55.067999999999998</v>
      </c>
      <c r="C185" s="388"/>
      <c r="D185" s="391">
        <f t="shared" si="48"/>
        <v>55.603552201570579</v>
      </c>
      <c r="E185" s="383">
        <f t="shared" si="73"/>
        <v>58.11759070939933</v>
      </c>
      <c r="F185" s="383">
        <f t="shared" si="49"/>
        <v>58.11759070939933</v>
      </c>
      <c r="G185" s="110">
        <f t="shared" si="74"/>
        <v>0.93311887873955313</v>
      </c>
      <c r="H185" s="412" t="b">
        <f>Wh_hp&gt;='2019'!Maxi_hp</f>
        <v>1</v>
      </c>
      <c r="I185" s="388">
        <f>IF(H185,Wh_hp,'2019'!Maxi_hp)</f>
        <v>58.11759070939933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9.6316184913713965E-3</v>
      </c>
      <c r="M185" s="832"/>
      <c r="N185" s="832"/>
      <c r="O185" s="48">
        <f>IF(t&lt;Tnet,'2019'!Resal+('2019'!Salim-'2019'!Resal)*(1-EXP(('2019'!Tnet-t)/('2019'!Tau_j))),Resal+(Salim-Resal)*(1-EXP((Tnet-t)/(Tau_j))))*Salcycl</f>
        <v>4.3257789546017007E-2</v>
      </c>
      <c r="P185" s="169">
        <f>(INDEX(Models!$BJ185:$BT185,,T185)*(1-R185)+INDEX(Models!$BJ185:$BT185,,T185+1)*R185-ERP_i)*Q185*Ramure*Pc/MaxiM</f>
        <v>0</v>
      </c>
      <c r="Q185" s="304">
        <f t="shared" si="51"/>
        <v>0.6</v>
      </c>
      <c r="R185" s="177">
        <f t="shared" si="52"/>
        <v>0.29959336992432406</v>
      </c>
      <c r="S185" s="799">
        <f t="shared" si="53"/>
        <v>-1</v>
      </c>
      <c r="T185" s="176">
        <f t="shared" si="54"/>
        <v>5</v>
      </c>
      <c r="U185" s="250">
        <f t="shared" si="55"/>
        <v>-0.70040663007567594</v>
      </c>
      <c r="V185" s="382">
        <f t="shared" si="56"/>
        <v>59.014988609366966</v>
      </c>
      <c r="W185" s="58"/>
      <c r="X185" s="157">
        <f t="shared" si="57"/>
        <v>44001</v>
      </c>
      <c r="Y185" s="383">
        <f t="shared" si="58"/>
        <v>55.067999999999998</v>
      </c>
      <c r="Z185" s="383">
        <f t="shared" si="59"/>
        <v>55.603552201570579</v>
      </c>
      <c r="AA185" s="384">
        <f t="shared" si="60"/>
        <v>58.11759070939933</v>
      </c>
      <c r="AB185" s="197">
        <f t="shared" si="61"/>
        <v>44001</v>
      </c>
      <c r="AC185" s="424">
        <f>IF(OR(t&lt;Tnet,NoTnet),'2019'!Resal_s+('2019'!Salim-'2019'!Resal_s)*(1-EXP(('2019'!Tnet_s-t)/'2019'!Tau_j)),Resal_s+(Salim-Resal_s)*(1-EXP((Tnet_s-t)/Tau_j)))*Salcycl</f>
        <v>4.3257789546017007E-2</v>
      </c>
      <c r="AD185" s="230">
        <f>(INDEX(Models!$BJ185:$BT185,,AH185)*(1-AF185)+INDEX(Models!$BJ185:$BT185,,AH185+1)*AF185-ERP_i)*AE185*Ramure*Pc/MaxiM</f>
        <v>0</v>
      </c>
      <c r="AE185" s="304">
        <f t="shared" si="62"/>
        <v>0.6</v>
      </c>
      <c r="AF185" s="177">
        <f t="shared" si="63"/>
        <v>0.29959336992432406</v>
      </c>
      <c r="AG185" s="176">
        <f t="shared" si="64"/>
        <v>-1</v>
      </c>
      <c r="AH185" s="176">
        <f t="shared" si="65"/>
        <v>5</v>
      </c>
      <c r="AI185" s="224">
        <f t="shared" si="66"/>
        <v>-0.70040663007567594</v>
      </c>
      <c r="AJ185" s="264" t="b">
        <f t="shared" si="67"/>
        <v>0</v>
      </c>
      <c r="AK185" s="264" t="b">
        <f t="shared" si="68"/>
        <v>0</v>
      </c>
      <c r="AL185" s="264"/>
      <c r="AM185" s="264"/>
      <c r="AN185" s="75"/>
    </row>
    <row r="186" spans="1:40" s="6" customFormat="1" ht="11.25" x14ac:dyDescent="0.2">
      <c r="A186" s="56">
        <f t="shared" si="72"/>
        <v>44002</v>
      </c>
      <c r="B186" s="607">
        <v>51.969000000000001</v>
      </c>
      <c r="C186" s="388"/>
      <c r="D186" s="391">
        <f t="shared" si="48"/>
        <v>52.475419211133364</v>
      </c>
      <c r="E186" s="383">
        <f t="shared" si="73"/>
        <v>54.852267304881771</v>
      </c>
      <c r="F186" s="383">
        <f t="shared" si="49"/>
        <v>54.852267304881771</v>
      </c>
      <c r="G186" s="110">
        <f t="shared" si="74"/>
        <v>0.88155961295508256</v>
      </c>
      <c r="H186" s="412" t="b">
        <f>Wh_hp&gt;='2019'!Maxi_hp</f>
        <v>1</v>
      </c>
      <c r="I186" s="388">
        <f>IF(H186,Wh_hp,'2019'!Maxi_hp)</f>
        <v>54.852267304881771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9.6505986754635842E-3</v>
      </c>
      <c r="M186" s="832"/>
      <c r="N186" s="832"/>
      <c r="O186" s="48">
        <f>IF(t&lt;Tnet,'2019'!Resal+('2019'!Salim-'2019'!Resal)*(1-EXP(('2019'!Tnet-t)/('2019'!Tau_j))),Resal+(Salim-Resal)*(1-EXP((Tnet-t)/(Tau_j))))*Salcycl</f>
        <v>4.3331811254716752E-2</v>
      </c>
      <c r="P186" s="169">
        <f>(INDEX(Models!$BJ186:$BT186,,T186)*(1-R186)+INDEX(Models!$BJ186:$BT186,,T186+1)*R186-ERP_i)*Q186*Ramure*Pc/MaxiM</f>
        <v>0</v>
      </c>
      <c r="Q186" s="304">
        <f t="shared" si="51"/>
        <v>0.6</v>
      </c>
      <c r="R186" s="177">
        <f t="shared" si="52"/>
        <v>0.30450676647395081</v>
      </c>
      <c r="S186" s="799">
        <f t="shared" si="53"/>
        <v>-1</v>
      </c>
      <c r="T186" s="176">
        <f t="shared" si="54"/>
        <v>5</v>
      </c>
      <c r="U186" s="250">
        <f t="shared" si="55"/>
        <v>-0.69549323352604919</v>
      </c>
      <c r="V186" s="382">
        <f t="shared" si="56"/>
        <v>58.951203340400689</v>
      </c>
      <c r="W186" s="58"/>
      <c r="X186" s="157">
        <f t="shared" si="57"/>
        <v>44002</v>
      </c>
      <c r="Y186" s="383">
        <f t="shared" si="58"/>
        <v>51.969000000000001</v>
      </c>
      <c r="Z186" s="383">
        <f t="shared" si="59"/>
        <v>52.475419211133364</v>
      </c>
      <c r="AA186" s="384">
        <f t="shared" si="60"/>
        <v>54.852267304881771</v>
      </c>
      <c r="AB186" s="197">
        <f t="shared" si="61"/>
        <v>44002</v>
      </c>
      <c r="AC186" s="424">
        <f>IF(OR(t&lt;Tnet,NoTnet),'2019'!Resal_s+('2019'!Salim-'2019'!Resal_s)*(1-EXP(('2019'!Tnet_s-t)/'2019'!Tau_j)),Resal_s+(Salim-Resal_s)*(1-EXP((Tnet_s-t)/Tau_j)))*Salcycl</f>
        <v>4.3331811254716752E-2</v>
      </c>
      <c r="AD186" s="230">
        <f>(INDEX(Models!$BJ186:$BT186,,AH186)*(1-AF186)+INDEX(Models!$BJ186:$BT186,,AH186+1)*AF186-ERP_i)*AE186*Ramure*Pc/MaxiM</f>
        <v>0</v>
      </c>
      <c r="AE186" s="304">
        <f t="shared" si="62"/>
        <v>0.6</v>
      </c>
      <c r="AF186" s="177">
        <f t="shared" si="63"/>
        <v>0.30450676647395081</v>
      </c>
      <c r="AG186" s="176">
        <f t="shared" si="64"/>
        <v>-1</v>
      </c>
      <c r="AH186" s="176">
        <f t="shared" si="65"/>
        <v>5</v>
      </c>
      <c r="AI186" s="224">
        <f t="shared" si="66"/>
        <v>-0.69549323352604919</v>
      </c>
      <c r="AJ186" s="264" t="b">
        <f t="shared" si="67"/>
        <v>0</v>
      </c>
      <c r="AK186" s="264" t="b">
        <f t="shared" si="68"/>
        <v>0</v>
      </c>
      <c r="AL186" s="264"/>
      <c r="AM186" s="264"/>
      <c r="AN186" s="75"/>
    </row>
    <row r="187" spans="1:40" s="6" customFormat="1" ht="11.25" x14ac:dyDescent="0.2">
      <c r="A187" s="56">
        <f t="shared" si="72"/>
        <v>44003</v>
      </c>
      <c r="B187" s="607">
        <v>59.067</v>
      </c>
      <c r="C187" s="388"/>
      <c r="D187" s="391">
        <f t="shared" si="48"/>
        <v>59.643729726371724</v>
      </c>
      <c r="E187" s="383">
        <f t="shared" si="73"/>
        <v>62.350039866865146</v>
      </c>
      <c r="F187" s="383">
        <f t="shared" si="49"/>
        <v>62.350039866865146</v>
      </c>
      <c r="G187" s="110">
        <f t="shared" si="74"/>
        <v>1.0030810633804628</v>
      </c>
      <c r="H187" s="412" t="b">
        <f>Wh_hp&gt;='2019'!Maxi_hp</f>
        <v>1</v>
      </c>
      <c r="I187" s="388">
        <f>IF(H187,Wh_hp,'2019'!Maxi_hp)</f>
        <v>62.350039866865146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9.6695784958049646E-3</v>
      </c>
      <c r="M187" s="832"/>
      <c r="N187" s="832"/>
      <c r="O187" s="48">
        <f>IF(t&lt;Tnet,'2019'!Resal+('2019'!Salim-'2019'!Resal)*(1-EXP(('2019'!Tnet-t)/('2019'!Tau_j))),Resal+(Salim-Resal)*(1-EXP((Tnet-t)/(Tau_j))))*Salcycl</f>
        <v>4.3405106817448066E-2</v>
      </c>
      <c r="P187" s="169">
        <f>(INDEX(Models!$BJ187:$BT187,,T187)*(1-R187)+INDEX(Models!$BJ187:$BT187,,T187+1)*R187-ERP_i)*Q187*Ramure*Pc/MaxiM</f>
        <v>0</v>
      </c>
      <c r="Q187" s="304">
        <f t="shared" si="51"/>
        <v>0.6</v>
      </c>
      <c r="R187" s="177">
        <f t="shared" si="52"/>
        <v>0.30937549541403842</v>
      </c>
      <c r="S187" s="799">
        <f t="shared" si="53"/>
        <v>-1</v>
      </c>
      <c r="T187" s="176">
        <f t="shared" si="54"/>
        <v>5</v>
      </c>
      <c r="U187" s="250">
        <f t="shared" si="55"/>
        <v>-0.69062450458596158</v>
      </c>
      <c r="V187" s="382">
        <f t="shared" si="56"/>
        <v>58.885569827167821</v>
      </c>
      <c r="W187" s="58"/>
      <c r="X187" s="157">
        <f t="shared" si="57"/>
        <v>44003</v>
      </c>
      <c r="Y187" s="383">
        <f t="shared" si="58"/>
        <v>59.067</v>
      </c>
      <c r="Z187" s="383">
        <f t="shared" si="59"/>
        <v>59.643729726371724</v>
      </c>
      <c r="AA187" s="384">
        <f t="shared" si="60"/>
        <v>62.350039866865146</v>
      </c>
      <c r="AB187" s="197">
        <f t="shared" si="61"/>
        <v>44003</v>
      </c>
      <c r="AC187" s="424">
        <f>IF(OR(t&lt;Tnet,NoTnet),'2019'!Resal_s+('2019'!Salim-'2019'!Resal_s)*(1-EXP(('2019'!Tnet_s-t)/'2019'!Tau_j)),Resal_s+(Salim-Resal_s)*(1-EXP((Tnet_s-t)/Tau_j)))*Salcycl</f>
        <v>4.3405106817448066E-2</v>
      </c>
      <c r="AD187" s="230">
        <f>(INDEX(Models!$BJ187:$BT187,,AH187)*(1-AF187)+INDEX(Models!$BJ187:$BT187,,AH187+1)*AF187-ERP_i)*AE187*Ramure*Pc/MaxiM</f>
        <v>0</v>
      </c>
      <c r="AE187" s="304">
        <f t="shared" si="62"/>
        <v>0.6</v>
      </c>
      <c r="AF187" s="177">
        <f t="shared" si="63"/>
        <v>0.30937549541403842</v>
      </c>
      <c r="AG187" s="176">
        <f t="shared" si="64"/>
        <v>-1</v>
      </c>
      <c r="AH187" s="176">
        <f t="shared" si="65"/>
        <v>5</v>
      </c>
      <c r="AI187" s="224">
        <f t="shared" si="66"/>
        <v>-0.69062450458596158</v>
      </c>
      <c r="AJ187" s="264" t="b">
        <f t="shared" si="67"/>
        <v>0</v>
      </c>
      <c r="AK187" s="264" t="b">
        <f t="shared" si="68"/>
        <v>0</v>
      </c>
      <c r="AL187" s="264"/>
      <c r="AM187" s="264"/>
      <c r="AN187" s="75"/>
    </row>
    <row r="188" spans="1:40" s="6" customFormat="1" ht="11.25" x14ac:dyDescent="0.2">
      <c r="A188" s="56">
        <f t="shared" si="72"/>
        <v>44004</v>
      </c>
      <c r="B188" s="607">
        <v>44.395000000000003</v>
      </c>
      <c r="C188" s="388"/>
      <c r="D188" s="391">
        <f t="shared" si="48"/>
        <v>44.829331576950757</v>
      </c>
      <c r="E188" s="383">
        <f t="shared" si="73"/>
        <v>46.866999528834924</v>
      </c>
      <c r="F188" s="383">
        <f t="shared" si="49"/>
        <v>46.866999528834924</v>
      </c>
      <c r="G188" s="110">
        <f t="shared" si="74"/>
        <v>0.75478480977005047</v>
      </c>
      <c r="H188" s="412" t="b">
        <f>Wh_hp&gt;='2019'!Maxi_hp</f>
        <v>0</v>
      </c>
      <c r="I188" s="388">
        <f>IF(H188,Wh_hp,'2019'!Maxi_hp)</f>
        <v>54.242625495320887</v>
      </c>
      <c r="J188" s="85">
        <f>IF(H188,An,'2019'!An_max)</f>
        <v>2018</v>
      </c>
      <c r="K188" s="197">
        <f t="shared" si="50"/>
        <v>44004</v>
      </c>
      <c r="L188" s="147">
        <f>IF(t&lt;Tvie,1-EXP((T0-t)*PertePVj)+'2019'!Pspv,1-EXP((T0-t)*PertePVj)+Pspv)</f>
        <v>9.6885579524024212E-3</v>
      </c>
      <c r="M188" s="832"/>
      <c r="N188" s="832"/>
      <c r="O188" s="48">
        <f>IF(t&lt;Tnet,'2019'!Resal+('2019'!Salim-'2019'!Resal)*(1-EXP(('2019'!Tnet-t)/('2019'!Tau_j))),Resal+(Salim-Resal)*(1-EXP((Tnet-t)/(Tau_j))))*Salcycl</f>
        <v>4.3477670266271043E-2</v>
      </c>
      <c r="P188" s="169">
        <f>(INDEX(Models!$BJ188:$BT188,,T188)*(1-R188)+INDEX(Models!$BJ188:$BT188,,T188+1)*R188-ERP_i)*Q188*Ramure*Pc/MaxiM</f>
        <v>0</v>
      </c>
      <c r="Q188" s="304">
        <f t="shared" si="51"/>
        <v>0.6</v>
      </c>
      <c r="R188" s="177">
        <f t="shared" si="52"/>
        <v>0.3141961102452604</v>
      </c>
      <c r="S188" s="799">
        <f t="shared" si="53"/>
        <v>-1</v>
      </c>
      <c r="T188" s="176">
        <f t="shared" si="54"/>
        <v>5</v>
      </c>
      <c r="U188" s="250">
        <f t="shared" si="55"/>
        <v>-0.6858038897547396</v>
      </c>
      <c r="V188" s="382">
        <f t="shared" si="56"/>
        <v>58.818088845117593</v>
      </c>
      <c r="W188" s="58"/>
      <c r="X188" s="157">
        <f t="shared" si="57"/>
        <v>44004</v>
      </c>
      <c r="Y188" s="383">
        <f t="shared" si="58"/>
        <v>44.395000000000003</v>
      </c>
      <c r="Z188" s="383">
        <f t="shared" si="59"/>
        <v>44.829331576950757</v>
      </c>
      <c r="AA188" s="384">
        <f t="shared" si="60"/>
        <v>46.866999528834924</v>
      </c>
      <c r="AB188" s="197">
        <f t="shared" si="61"/>
        <v>44004</v>
      </c>
      <c r="AC188" s="424">
        <f>IF(OR(t&lt;Tnet,NoTnet),'2019'!Resal_s+('2019'!Salim-'2019'!Resal_s)*(1-EXP(('2019'!Tnet_s-t)/'2019'!Tau_j)),Resal_s+(Salim-Resal_s)*(1-EXP((Tnet_s-t)/Tau_j)))*Salcycl</f>
        <v>4.3477670266271043E-2</v>
      </c>
      <c r="AD188" s="230">
        <f>(INDEX(Models!$BJ188:$BT188,,AH188)*(1-AF188)+INDEX(Models!$BJ188:$BT188,,AH188+1)*AF188-ERP_i)*AE188*Ramure*Pc/MaxiM</f>
        <v>0</v>
      </c>
      <c r="AE188" s="304">
        <f t="shared" si="62"/>
        <v>0.6</v>
      </c>
      <c r="AF188" s="177">
        <f t="shared" si="63"/>
        <v>0.3141961102452604</v>
      </c>
      <c r="AG188" s="176">
        <f t="shared" si="64"/>
        <v>-1</v>
      </c>
      <c r="AH188" s="176">
        <f t="shared" si="65"/>
        <v>5</v>
      </c>
      <c r="AI188" s="224">
        <f t="shared" si="66"/>
        <v>-0.6858038897547396</v>
      </c>
      <c r="AJ188" s="264" t="b">
        <f t="shared" si="67"/>
        <v>0</v>
      </c>
      <c r="AK188" s="264" t="b">
        <f t="shared" si="68"/>
        <v>0</v>
      </c>
      <c r="AL188" s="264"/>
      <c r="AM188" s="264"/>
      <c r="AN188" s="75"/>
    </row>
    <row r="189" spans="1:40" s="6" customFormat="1" ht="11.25" x14ac:dyDescent="0.2">
      <c r="A189" s="56">
        <f t="shared" si="72"/>
        <v>44005</v>
      </c>
      <c r="B189" s="607">
        <v>58.082999999999998</v>
      </c>
      <c r="C189" s="388"/>
      <c r="D189" s="391">
        <f t="shared" si="48"/>
        <v>58.652370055102374</v>
      </c>
      <c r="E189" s="383">
        <f t="shared" si="73"/>
        <v>61.322953896057307</v>
      </c>
      <c r="F189" s="383">
        <f t="shared" si="49"/>
        <v>61.322953896057307</v>
      </c>
      <c r="G189" s="110">
        <f t="shared" si="74"/>
        <v>0.98866765838126902</v>
      </c>
      <c r="H189" s="412" t="b">
        <f>Wh_hp&gt;='2019'!Maxi_hp</f>
        <v>1</v>
      </c>
      <c r="I189" s="388">
        <f>IF(H189,Wh_hp,'2019'!Maxi_hp)</f>
        <v>61.322953896057307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9.7075370452629484E-3</v>
      </c>
      <c r="M189" s="832"/>
      <c r="N189" s="832"/>
      <c r="O189" s="48">
        <f>IF(t&lt;Tnet,'2019'!Resal+('2019'!Salim-'2019'!Resal)*(1-EXP(('2019'!Tnet-t)/('2019'!Tau_j))),Resal+(Salim-Resal)*(1-EXP((Tnet-t)/(Tau_j))))*Salcycl</f>
        <v>4.3549497721221742E-2</v>
      </c>
      <c r="P189" s="169">
        <f>(INDEX(Models!$BJ189:$BT189,,T189)*(1-R189)+INDEX(Models!$BJ189:$BT189,,T189+1)*R189-ERP_i)*Q189*Ramure*Pc/MaxiM</f>
        <v>0</v>
      </c>
      <c r="Q189" s="304">
        <f t="shared" si="51"/>
        <v>0.6</v>
      </c>
      <c r="R189" s="177">
        <f t="shared" si="52"/>
        <v>0.31896531262680272</v>
      </c>
      <c r="S189" s="799">
        <f t="shared" si="53"/>
        <v>-1</v>
      </c>
      <c r="T189" s="176">
        <f t="shared" si="54"/>
        <v>5</v>
      </c>
      <c r="U189" s="250">
        <f t="shared" si="55"/>
        <v>-0.68103468737319728</v>
      </c>
      <c r="V189" s="382">
        <f t="shared" si="56"/>
        <v>58.748761029665346</v>
      </c>
      <c r="W189" s="58"/>
      <c r="X189" s="157">
        <f t="shared" si="57"/>
        <v>44005</v>
      </c>
      <c r="Y189" s="383">
        <f t="shared" si="58"/>
        <v>58.082999999999998</v>
      </c>
      <c r="Z189" s="383">
        <f t="shared" si="59"/>
        <v>58.652370055102374</v>
      </c>
      <c r="AA189" s="384">
        <f t="shared" si="60"/>
        <v>61.322953896057307</v>
      </c>
      <c r="AB189" s="197">
        <f t="shared" si="61"/>
        <v>44005</v>
      </c>
      <c r="AC189" s="424">
        <f>IF(OR(t&lt;Tnet,NoTnet),'2019'!Resal_s+('2019'!Salim-'2019'!Resal_s)*(1-EXP(('2019'!Tnet_s-t)/'2019'!Tau_j)),Resal_s+(Salim-Resal_s)*(1-EXP((Tnet_s-t)/Tau_j)))*Salcycl</f>
        <v>4.3549497721221742E-2</v>
      </c>
      <c r="AD189" s="230">
        <f>(INDEX(Models!$BJ189:$BT189,,AH189)*(1-AF189)+INDEX(Models!$BJ189:$BT189,,AH189+1)*AF189-ERP_i)*AE189*Ramure*Pc/MaxiM</f>
        <v>0</v>
      </c>
      <c r="AE189" s="304">
        <f t="shared" si="62"/>
        <v>0.6</v>
      </c>
      <c r="AF189" s="177">
        <f t="shared" si="63"/>
        <v>0.31896531262680272</v>
      </c>
      <c r="AG189" s="176">
        <f t="shared" si="64"/>
        <v>-1</v>
      </c>
      <c r="AH189" s="176">
        <f t="shared" si="65"/>
        <v>5</v>
      </c>
      <c r="AI189" s="224">
        <f t="shared" si="66"/>
        <v>-0.68103468737319728</v>
      </c>
      <c r="AJ189" s="264" t="b">
        <f t="shared" si="67"/>
        <v>0</v>
      </c>
      <c r="AK189" s="264" t="b">
        <f t="shared" si="68"/>
        <v>0</v>
      </c>
      <c r="AL189" s="264"/>
      <c r="AM189" s="264"/>
      <c r="AN189" s="75"/>
    </row>
    <row r="190" spans="1:40" s="6" customFormat="1" ht="11.25" x14ac:dyDescent="0.2">
      <c r="A190" s="56">
        <f t="shared" si="72"/>
        <v>44006</v>
      </c>
      <c r="B190" s="607">
        <v>57.737000000000002</v>
      </c>
      <c r="C190" s="388"/>
      <c r="D190" s="391">
        <f t="shared" si="48"/>
        <v>58.304095706602013</v>
      </c>
      <c r="E190" s="383">
        <f t="shared" si="73"/>
        <v>60.963352971258608</v>
      </c>
      <c r="F190" s="383">
        <f t="shared" si="49"/>
        <v>60.963352971258608</v>
      </c>
      <c r="G190" s="110">
        <f t="shared" si="74"/>
        <v>0.98397025285686968</v>
      </c>
      <c r="H190" s="412" t="b">
        <f>Wh_hp&gt;='2019'!Maxi_hp</f>
        <v>1</v>
      </c>
      <c r="I190" s="388">
        <f>IF(H190,Wh_hp,'2019'!Maxi_hp)</f>
        <v>60.963352971258608</v>
      </c>
      <c r="J190" s="85">
        <f>IF(H190,An,'2019'!An_max)</f>
        <v>2020</v>
      </c>
      <c r="K190" s="197">
        <f t="shared" si="50"/>
        <v>44006</v>
      </c>
      <c r="L190" s="147">
        <f>IF(t&lt;Tvie,1-EXP((T0-t)*PertePVj)+'2019'!Pspv,1-EXP((T0-t)*PertePVj)+Pspv)</f>
        <v>9.7265157743934294E-3</v>
      </c>
      <c r="M190" s="832"/>
      <c r="N190" s="832"/>
      <c r="O190" s="48">
        <f>IF(t&lt;Tnet,'2019'!Resal+('2019'!Salim-'2019'!Resal)*(1-EXP(('2019'!Tnet-t)/('2019'!Tau_j))),Resal+(Salim-Resal)*(1-EXP((Tnet-t)/(Tau_j))))*Salcycl</f>
        <v>4.3620587370092882E-2</v>
      </c>
      <c r="P190" s="169">
        <f>(INDEX(Models!$BJ190:$BT190,,T190)*(1-R190)+INDEX(Models!$BJ190:$BT190,,T190+1)*R190-ERP_i)*Q190*Ramure*Pc/MaxiM</f>
        <v>0</v>
      </c>
      <c r="Q190" s="304">
        <f t="shared" si="51"/>
        <v>0.6</v>
      </c>
      <c r="R190" s="177">
        <f t="shared" si="52"/>
        <v>0.32367996001777866</v>
      </c>
      <c r="S190" s="799">
        <f t="shared" si="53"/>
        <v>-1</v>
      </c>
      <c r="T190" s="176">
        <f t="shared" si="54"/>
        <v>5</v>
      </c>
      <c r="U190" s="250">
        <f t="shared" si="55"/>
        <v>-0.67632003998222134</v>
      </c>
      <c r="V190" s="382">
        <f t="shared" si="56"/>
        <v>58.677586880666141</v>
      </c>
      <c r="W190" s="58"/>
      <c r="X190" s="157">
        <f t="shared" si="57"/>
        <v>44006</v>
      </c>
      <c r="Y190" s="383">
        <f t="shared" si="58"/>
        <v>57.737000000000002</v>
      </c>
      <c r="Z190" s="383">
        <f t="shared" si="59"/>
        <v>58.304095706602013</v>
      </c>
      <c r="AA190" s="384">
        <f t="shared" si="60"/>
        <v>60.963352971258608</v>
      </c>
      <c r="AB190" s="197">
        <f t="shared" si="61"/>
        <v>44006</v>
      </c>
      <c r="AC190" s="424">
        <f>IF(OR(t&lt;Tnet,NoTnet),'2019'!Resal_s+('2019'!Salim-'2019'!Resal_s)*(1-EXP(('2019'!Tnet_s-t)/'2019'!Tau_j)),Resal_s+(Salim-Resal_s)*(1-EXP((Tnet_s-t)/Tau_j)))*Salcycl</f>
        <v>4.3620587370092882E-2</v>
      </c>
      <c r="AD190" s="230">
        <f>(INDEX(Models!$BJ190:$BT190,,AH190)*(1-AF190)+INDEX(Models!$BJ190:$BT190,,AH190+1)*AF190-ERP_i)*AE190*Ramure*Pc/MaxiM</f>
        <v>0</v>
      </c>
      <c r="AE190" s="304">
        <f t="shared" si="62"/>
        <v>0.6</v>
      </c>
      <c r="AF190" s="177">
        <f t="shared" si="63"/>
        <v>0.32367996001777866</v>
      </c>
      <c r="AG190" s="176">
        <f t="shared" si="64"/>
        <v>-1</v>
      </c>
      <c r="AH190" s="176">
        <f t="shared" si="65"/>
        <v>5</v>
      </c>
      <c r="AI190" s="224">
        <f t="shared" si="66"/>
        <v>-0.67632003998222134</v>
      </c>
      <c r="AJ190" s="264" t="b">
        <f t="shared" si="67"/>
        <v>0</v>
      </c>
      <c r="AK190" s="264" t="b">
        <f t="shared" si="68"/>
        <v>0</v>
      </c>
      <c r="AL190" s="264"/>
      <c r="AM190" s="264"/>
      <c r="AN190" s="75"/>
    </row>
    <row r="191" spans="1:40" s="6" customFormat="1" ht="11.25" x14ac:dyDescent="0.2">
      <c r="A191" s="56">
        <f t="shared" si="72"/>
        <v>44007</v>
      </c>
      <c r="B191" s="607">
        <v>52.692</v>
      </c>
      <c r="C191" s="388"/>
      <c r="D191" s="391">
        <f t="shared" si="48"/>
        <v>53.21056323215447</v>
      </c>
      <c r="E191" s="383">
        <f t="shared" si="73"/>
        <v>55.641596871213586</v>
      </c>
      <c r="F191" s="383">
        <f t="shared" si="49"/>
        <v>55.641596871213586</v>
      </c>
      <c r="G191" s="110">
        <f t="shared" si="74"/>
        <v>0.89911759861857843</v>
      </c>
      <c r="H191" s="412" t="b">
        <f>Wh_hp&gt;='2019'!Maxi_hp</f>
        <v>0</v>
      </c>
      <c r="I191" s="388">
        <f>IF(H191,Wh_hp,'2019'!Maxi_hp)</f>
        <v>60.568355603676984</v>
      </c>
      <c r="J191" s="85">
        <f>IF(H191,An,'2019'!An_max)</f>
        <v>2018</v>
      </c>
      <c r="K191" s="197">
        <f t="shared" si="50"/>
        <v>44007</v>
      </c>
      <c r="L191" s="147">
        <f>IF(t&lt;Tvie,1-EXP((T0-t)*PertePVj)+'2019'!Pspv,1-EXP((T0-t)*PertePVj)+Pspv)</f>
        <v>9.7454941398009698E-3</v>
      </c>
      <c r="M191" s="832"/>
      <c r="N191" s="832"/>
      <c r="O191" s="48">
        <f>IF(t&lt;Tnet,'2019'!Resal+('2019'!Salim-'2019'!Resal)*(1-EXP(('2019'!Tnet-t)/('2019'!Tau_j))),Resal+(Salim-Resal)*(1-EXP((Tnet-t)/(Tau_j))))*Salcycl</f>
        <v>4.3690939436657701E-2</v>
      </c>
      <c r="P191" s="169">
        <f>(INDEX(Models!$BJ191:$BT191,,T191)*(1-R191)+INDEX(Models!$BJ191:$BT191,,T191+1)*R191-ERP_i)*Q191*Ramure*Pc/MaxiM</f>
        <v>0</v>
      </c>
      <c r="Q191" s="304">
        <f t="shared" si="51"/>
        <v>0.6</v>
      </c>
      <c r="R191" s="177">
        <f t="shared" si="52"/>
        <v>0.32833707235861087</v>
      </c>
      <c r="S191" s="799">
        <f t="shared" si="53"/>
        <v>-1</v>
      </c>
      <c r="T191" s="176">
        <f t="shared" si="54"/>
        <v>5</v>
      </c>
      <c r="U191" s="250">
        <f t="shared" si="55"/>
        <v>-0.67166292764138913</v>
      </c>
      <c r="V191" s="382">
        <f t="shared" si="56"/>
        <v>58.604124845244947</v>
      </c>
      <c r="W191" s="58"/>
      <c r="X191" s="157">
        <f t="shared" si="57"/>
        <v>44007</v>
      </c>
      <c r="Y191" s="383">
        <f t="shared" si="58"/>
        <v>52.692</v>
      </c>
      <c r="Z191" s="383">
        <f t="shared" si="59"/>
        <v>53.21056323215447</v>
      </c>
      <c r="AA191" s="384">
        <f t="shared" si="60"/>
        <v>55.641596871213586</v>
      </c>
      <c r="AB191" s="197">
        <f t="shared" si="61"/>
        <v>44007</v>
      </c>
      <c r="AC191" s="424">
        <f>IF(OR(t&lt;Tnet,NoTnet),'2019'!Resal_s+('2019'!Salim-'2019'!Resal_s)*(1-EXP(('2019'!Tnet_s-t)/'2019'!Tau_j)),Resal_s+(Salim-Resal_s)*(1-EXP((Tnet_s-t)/Tau_j)))*Salcycl</f>
        <v>4.3690939436657701E-2</v>
      </c>
      <c r="AD191" s="230">
        <f>(INDEX(Models!$BJ191:$BT191,,AH191)*(1-AF191)+INDEX(Models!$BJ191:$BT191,,AH191+1)*AF191-ERP_i)*AE191*Ramure*Pc/MaxiM</f>
        <v>0</v>
      </c>
      <c r="AE191" s="304">
        <f t="shared" si="62"/>
        <v>0.6</v>
      </c>
      <c r="AF191" s="177">
        <f t="shared" si="63"/>
        <v>0.32833707235861087</v>
      </c>
      <c r="AG191" s="176">
        <f t="shared" si="64"/>
        <v>-1</v>
      </c>
      <c r="AH191" s="176">
        <f t="shared" si="65"/>
        <v>5</v>
      </c>
      <c r="AI191" s="224">
        <f t="shared" si="66"/>
        <v>-0.67166292764138913</v>
      </c>
      <c r="AJ191" s="264" t="b">
        <f t="shared" si="67"/>
        <v>0</v>
      </c>
      <c r="AK191" s="264" t="b">
        <f t="shared" si="68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2"/>
        <v>44008</v>
      </c>
      <c r="B192" s="607">
        <v>48.546999999999997</v>
      </c>
      <c r="C192" s="388"/>
      <c r="D192" s="391">
        <f t="shared" si="48"/>
        <v>49.025710181282008</v>
      </c>
      <c r="E192" s="383">
        <f t="shared" si="73"/>
        <v>51.269282496085651</v>
      </c>
      <c r="F192" s="383">
        <f t="shared" si="49"/>
        <v>51.269282496085651</v>
      </c>
      <c r="G192" s="110">
        <f t="shared" si="74"/>
        <v>0.82946525531908899</v>
      </c>
      <c r="H192" s="412" t="b">
        <f>Wh_hp&gt;='2019'!Maxi_hp</f>
        <v>0</v>
      </c>
      <c r="I192" s="388">
        <f>IF(H192,Wh_hp,'2019'!Maxi_hp)</f>
        <v>60.063496146867578</v>
      </c>
      <c r="J192" s="85">
        <f>IF(H192,An,'2019'!An_max)</f>
        <v>2018</v>
      </c>
      <c r="K192" s="197">
        <f t="shared" si="50"/>
        <v>44008</v>
      </c>
      <c r="L192" s="147">
        <f>IF(t&lt;Tvie,1-EXP((T0-t)*PertePVj)+'2019'!Pspv,1-EXP((T0-t)*PertePVj)+Pspv)</f>
        <v>9.7644721414924529E-3</v>
      </c>
      <c r="M192" s="832"/>
      <c r="N192" s="832"/>
      <c r="O192" s="48">
        <f>IF(t&lt;Tnet,'2019'!Resal+('2019'!Salim-'2019'!Resal)*(1-EXP(('2019'!Tnet-t)/('2019'!Tau_j))),Resal+(Salim-Resal)*(1-EXP((Tnet-t)/(Tau_j))))*Salcycl</f>
        <v>4.3760556137584679E-2</v>
      </c>
      <c r="P192" s="169">
        <f>(INDEX(Models!$BJ192:$BT192,,T192)*(1-R192)+INDEX(Models!$BJ192:$BT192,,T192+1)*R192-ERP_i)*Q192*Ramure*Pc/MaxiM</f>
        <v>0</v>
      </c>
      <c r="Q192" s="304">
        <f t="shared" si="51"/>
        <v>0.6</v>
      </c>
      <c r="R192" s="177">
        <f t="shared" si="52"/>
        <v>0.33293383777632801</v>
      </c>
      <c r="S192" s="799">
        <f t="shared" si="53"/>
        <v>-1</v>
      </c>
      <c r="T192" s="176">
        <f t="shared" si="54"/>
        <v>5</v>
      </c>
      <c r="U192" s="250">
        <f t="shared" si="55"/>
        <v>-0.66706616222367199</v>
      </c>
      <c r="V192" s="382">
        <f t="shared" si="56"/>
        <v>58.528069365996934</v>
      </c>
      <c r="W192" s="58"/>
      <c r="X192" s="157">
        <f t="shared" si="57"/>
        <v>44008</v>
      </c>
      <c r="Y192" s="383">
        <f t="shared" si="58"/>
        <v>48.546999999999997</v>
      </c>
      <c r="Z192" s="383">
        <f t="shared" si="59"/>
        <v>49.025710181282008</v>
      </c>
      <c r="AA192" s="384">
        <f t="shared" si="60"/>
        <v>51.269282496085651</v>
      </c>
      <c r="AB192" s="197">
        <f t="shared" si="61"/>
        <v>44008</v>
      </c>
      <c r="AC192" s="424">
        <f>IF(OR(t&lt;Tnet,NoTnet),'2019'!Resal_s+('2019'!Salim-'2019'!Resal_s)*(1-EXP(('2019'!Tnet_s-t)/'2019'!Tau_j)),Resal_s+(Salim-Resal_s)*(1-EXP((Tnet_s-t)/Tau_j)))*Salcycl</f>
        <v>4.3760556137584679E-2</v>
      </c>
      <c r="AD192" s="230">
        <f>(INDEX(Models!$BJ192:$BT192,,AH192)*(1-AF192)+INDEX(Models!$BJ192:$BT192,,AH192+1)*AF192-ERP_i)*AE192*Ramure*Pc/MaxiM</f>
        <v>0</v>
      </c>
      <c r="AE192" s="304">
        <f t="shared" si="62"/>
        <v>0.6</v>
      </c>
      <c r="AF192" s="177">
        <f t="shared" si="63"/>
        <v>0.33293383777632801</v>
      </c>
      <c r="AG192" s="176">
        <f t="shared" si="64"/>
        <v>-1</v>
      </c>
      <c r="AH192" s="176">
        <f t="shared" si="65"/>
        <v>5</v>
      </c>
      <c r="AI192" s="224">
        <f t="shared" si="66"/>
        <v>-0.66706616222367199</v>
      </c>
      <c r="AJ192" s="264" t="b">
        <f t="shared" si="67"/>
        <v>0</v>
      </c>
      <c r="AK192" s="264" t="b">
        <f t="shared" si="68"/>
        <v>0</v>
      </c>
      <c r="AL192" s="264"/>
      <c r="AM192" s="264"/>
      <c r="AN192" s="75"/>
    </row>
    <row r="193" spans="1:40" s="6" customFormat="1" ht="11.25" x14ac:dyDescent="0.2">
      <c r="A193" s="56">
        <f t="shared" si="72"/>
        <v>44009</v>
      </c>
      <c r="B193" s="607">
        <v>42.292999999999999</v>
      </c>
      <c r="C193" s="388"/>
      <c r="D193" s="391">
        <f t="shared" si="48"/>
        <v>42.710859549440144</v>
      </c>
      <c r="E193" s="383">
        <f t="shared" si="73"/>
        <v>44.668662066083364</v>
      </c>
      <c r="F193" s="383">
        <f t="shared" si="49"/>
        <v>44.668662066083364</v>
      </c>
      <c r="G193" s="110">
        <f t="shared" si="74"/>
        <v>0.72358035201992232</v>
      </c>
      <c r="H193" s="412" t="b">
        <f>Wh_hp&gt;='2019'!Maxi_hp</f>
        <v>0</v>
      </c>
      <c r="I193" s="388">
        <f>IF(H193,Wh_hp,'2019'!Maxi_hp)</f>
        <v>55.239897258152212</v>
      </c>
      <c r="J193" s="85">
        <f>IF(H193,An,'2019'!An_max)</f>
        <v>2018</v>
      </c>
      <c r="K193" s="197">
        <f t="shared" si="50"/>
        <v>44009</v>
      </c>
      <c r="L193" s="147">
        <f>IF(t&lt;Tvie,1-EXP((T0-t)*PertePVj)+'2019'!Pspv,1-EXP((T0-t)*PertePVj)+Pspv)</f>
        <v>9.7834497794747621E-3</v>
      </c>
      <c r="M193" s="832"/>
      <c r="N193" s="832"/>
      <c r="O193" s="48">
        <f>IF(t&lt;Tnet,'2019'!Resal+('2019'!Salim-'2019'!Resal)*(1-EXP(('2019'!Tnet-t)/('2019'!Tau_j))),Resal+(Salim-Resal)*(1-EXP((Tnet-t)/(Tau_j))))*Salcycl</f>
        <v>4.3829441628379706E-2</v>
      </c>
      <c r="P193" s="169">
        <f>(INDEX(Models!$BJ193:$BT193,,T193)*(1-R193)+INDEX(Models!$BJ193:$BT193,,T193+1)*R193-ERP_i)*Q193*Ramure*Pc/MaxiM</f>
        <v>0</v>
      </c>
      <c r="Q193" s="304">
        <f t="shared" si="51"/>
        <v>0.6</v>
      </c>
      <c r="R193" s="177">
        <f t="shared" si="52"/>
        <v>0.33746761730715757</v>
      </c>
      <c r="S193" s="799">
        <f t="shared" si="53"/>
        <v>-1</v>
      </c>
      <c r="T193" s="176">
        <f t="shared" si="54"/>
        <v>5</v>
      </c>
      <c r="U193" s="250">
        <f t="shared" si="55"/>
        <v>-0.66253238269284243</v>
      </c>
      <c r="V193" s="382">
        <f t="shared" si="56"/>
        <v>58.449624678083488</v>
      </c>
      <c r="W193" s="58"/>
      <c r="X193" s="157">
        <f t="shared" si="57"/>
        <v>44009</v>
      </c>
      <c r="Y193" s="383">
        <f t="shared" si="58"/>
        <v>42.292999999999999</v>
      </c>
      <c r="Z193" s="383">
        <f t="shared" si="59"/>
        <v>42.710859549440144</v>
      </c>
      <c r="AA193" s="384">
        <f t="shared" si="60"/>
        <v>44.668662066083364</v>
      </c>
      <c r="AB193" s="197">
        <f t="shared" si="61"/>
        <v>44009</v>
      </c>
      <c r="AC193" s="424">
        <f>IF(OR(t&lt;Tnet,NoTnet),'2019'!Resal_s+('2019'!Salim-'2019'!Resal_s)*(1-EXP(('2019'!Tnet_s-t)/'2019'!Tau_j)),Resal_s+(Salim-Resal_s)*(1-EXP((Tnet_s-t)/Tau_j)))*Salcycl</f>
        <v>4.3829441628379706E-2</v>
      </c>
      <c r="AD193" s="230">
        <f>(INDEX(Models!$BJ193:$BT193,,AH193)*(1-AF193)+INDEX(Models!$BJ193:$BT193,,AH193+1)*AF193-ERP_i)*AE193*Ramure*Pc/MaxiM</f>
        <v>0</v>
      </c>
      <c r="AE193" s="304">
        <f t="shared" si="62"/>
        <v>0.6</v>
      </c>
      <c r="AF193" s="177">
        <f t="shared" si="63"/>
        <v>0.33746761730715757</v>
      </c>
      <c r="AG193" s="176">
        <f t="shared" si="64"/>
        <v>-1</v>
      </c>
      <c r="AH193" s="176">
        <f t="shared" si="65"/>
        <v>5</v>
      </c>
      <c r="AI193" s="224">
        <f t="shared" si="66"/>
        <v>-0.66253238269284243</v>
      </c>
      <c r="AJ193" s="264" t="b">
        <f t="shared" si="67"/>
        <v>0</v>
      </c>
      <c r="AK193" s="264" t="b">
        <f t="shared" si="68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2"/>
        <v>44010</v>
      </c>
      <c r="B194" s="607">
        <v>47.548000000000002</v>
      </c>
      <c r="C194" s="388"/>
      <c r="D194" s="391">
        <f t="shared" si="48"/>
        <v>48.018699802025523</v>
      </c>
      <c r="E194" s="383">
        <f t="shared" si="73"/>
        <v>50.223386009069337</v>
      </c>
      <c r="F194" s="383">
        <f t="shared" si="49"/>
        <v>50.223386009069337</v>
      </c>
      <c r="G194" s="110">
        <f t="shared" si="74"/>
        <v>0.81461056761276474</v>
      </c>
      <c r="H194" s="412" t="b">
        <f>Wh_hp&gt;='2019'!Maxi_hp</f>
        <v>0</v>
      </c>
      <c r="I194" s="388">
        <f>IF(H194,Wh_hp,'2019'!Maxi_hp)</f>
        <v>57.264742855697342</v>
      </c>
      <c r="J194" s="85">
        <f>IF(H194,An,'2019'!An_max)</f>
        <v>2018</v>
      </c>
      <c r="K194" s="197">
        <f t="shared" si="50"/>
        <v>44010</v>
      </c>
      <c r="L194" s="147">
        <f>IF(t&lt;Tvie,1-EXP((T0-t)*PertePVj)+'2019'!Pspv,1-EXP((T0-t)*PertePVj)+Pspv)</f>
        <v>9.8024270537551139E-3</v>
      </c>
      <c r="M194" s="832"/>
      <c r="N194" s="832"/>
      <c r="O194" s="48">
        <f>IF(t&lt;Tnet,'2019'!Resal+('2019'!Salim-'2019'!Resal)*(1-EXP(('2019'!Tnet-t)/('2019'!Tau_j))),Resal+(Salim-Resal)*(1-EXP((Tnet-t)/(Tau_j))))*Salcycl</f>
        <v>4.3897601938779916E-2</v>
      </c>
      <c r="P194" s="169">
        <f>(INDEX(Models!$BJ194:$BT194,,T194)*(1-R194)+INDEX(Models!$BJ194:$BT194,,T194+1)*R194-ERP_i)*Q194*Ramure*Pc/MaxiM</f>
        <v>0</v>
      </c>
      <c r="Q194" s="304">
        <f t="shared" si="51"/>
        <v>0.6</v>
      </c>
      <c r="R194" s="177">
        <f t="shared" si="52"/>
        <v>0.34193594863892984</v>
      </c>
      <c r="S194" s="799">
        <f t="shared" si="53"/>
        <v>-1</v>
      </c>
      <c r="T194" s="176">
        <f t="shared" si="54"/>
        <v>5</v>
      </c>
      <c r="U194" s="250">
        <f t="shared" si="55"/>
        <v>-0.65806405136107016</v>
      </c>
      <c r="V194" s="382">
        <f t="shared" si="56"/>
        <v>58.368994818395898</v>
      </c>
      <c r="W194" s="58"/>
      <c r="X194" s="157">
        <f t="shared" si="57"/>
        <v>44010</v>
      </c>
      <c r="Y194" s="383">
        <f t="shared" si="58"/>
        <v>47.548000000000002</v>
      </c>
      <c r="Z194" s="383">
        <f t="shared" si="59"/>
        <v>48.018699802025523</v>
      </c>
      <c r="AA194" s="384">
        <f t="shared" si="60"/>
        <v>50.223386009069337</v>
      </c>
      <c r="AB194" s="197">
        <f t="shared" si="61"/>
        <v>44010</v>
      </c>
      <c r="AC194" s="424">
        <f>IF(OR(t&lt;Tnet,NoTnet),'2019'!Resal_s+('2019'!Salim-'2019'!Resal_s)*(1-EXP(('2019'!Tnet_s-t)/'2019'!Tau_j)),Resal_s+(Salim-Resal_s)*(1-EXP((Tnet_s-t)/Tau_j)))*Salcycl</f>
        <v>4.3897601938779916E-2</v>
      </c>
      <c r="AD194" s="230">
        <f>(INDEX(Models!$BJ194:$BT194,,AH194)*(1-AF194)+INDEX(Models!$BJ194:$BT194,,AH194+1)*AF194-ERP_i)*AE194*Ramure*Pc/MaxiM</f>
        <v>0</v>
      </c>
      <c r="AE194" s="304">
        <f t="shared" si="62"/>
        <v>0.6</v>
      </c>
      <c r="AF194" s="177">
        <f t="shared" si="63"/>
        <v>0.34193594863892984</v>
      </c>
      <c r="AG194" s="176">
        <f t="shared" si="64"/>
        <v>-1</v>
      </c>
      <c r="AH194" s="176">
        <f t="shared" si="65"/>
        <v>5</v>
      </c>
      <c r="AI194" s="224">
        <f t="shared" si="66"/>
        <v>-0.65806405136107016</v>
      </c>
      <c r="AJ194" s="264" t="b">
        <f t="shared" si="67"/>
        <v>0</v>
      </c>
      <c r="AK194" s="264" t="b">
        <f t="shared" si="68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2"/>
        <v>44011</v>
      </c>
      <c r="B195" s="607">
        <v>25.31</v>
      </c>
      <c r="C195" s="388"/>
      <c r="D195" s="391">
        <f t="shared" si="48"/>
        <v>25.561045352154327</v>
      </c>
      <c r="E195" s="383">
        <f t="shared" si="73"/>
        <v>26.736517546505421</v>
      </c>
      <c r="F195" s="383">
        <f t="shared" si="49"/>
        <v>26.736517546505421</v>
      </c>
      <c r="G195" s="110">
        <f t="shared" si="74"/>
        <v>0.43423520938345983</v>
      </c>
      <c r="H195" s="412" t="b">
        <f>Wh_hp&gt;='2019'!Maxi_hp</f>
        <v>0</v>
      </c>
      <c r="I195" s="388">
        <f>IF(H195,Wh_hp,'2019'!Maxi_hp)</f>
        <v>48.567329624942467</v>
      </c>
      <c r="J195" s="85">
        <f>IF(H195,An,'2019'!An_max)</f>
        <v>2018</v>
      </c>
      <c r="K195" s="197">
        <f t="shared" si="50"/>
        <v>44011</v>
      </c>
      <c r="L195" s="147">
        <f>IF(t&lt;Tvie,1-EXP((T0-t)*PertePVj)+'2019'!Pspv,1-EXP((T0-t)*PertePVj)+Pspv)</f>
        <v>9.8214039643401696E-3</v>
      </c>
      <c r="M195" s="832"/>
      <c r="N195" s="832"/>
      <c r="O195" s="48">
        <f>IF(t&lt;Tnet,'2019'!Resal+('2019'!Salim-'2019'!Resal)*(1-EXP(('2019'!Tnet-t)/('2019'!Tau_j))),Resal+(Salim-Resal)*(1-EXP((Tnet-t)/(Tau_j))))*Salcycl</f>
        <v>4.3965044898105488E-2</v>
      </c>
      <c r="P195" s="169">
        <f>(INDEX(Models!$BJ195:$BT195,,T195)*(1-R195)+INDEX(Models!$BJ195:$BT195,,T195+1)*R195-ERP_i)*Q195*Ramure*Pc/MaxiM</f>
        <v>0</v>
      </c>
      <c r="Q195" s="304">
        <f t="shared" si="51"/>
        <v>0.6</v>
      </c>
      <c r="R195" s="177">
        <f t="shared" si="52"/>
        <v>0.3463365488844854</v>
      </c>
      <c r="S195" s="799">
        <f t="shared" si="53"/>
        <v>-1</v>
      </c>
      <c r="T195" s="176">
        <f t="shared" si="54"/>
        <v>5</v>
      </c>
      <c r="U195" s="250">
        <f t="shared" si="55"/>
        <v>-0.6536634511155146</v>
      </c>
      <c r="V195" s="382">
        <f t="shared" si="56"/>
        <v>58.286383630511899</v>
      </c>
      <c r="W195" s="58"/>
      <c r="X195" s="157">
        <f t="shared" si="57"/>
        <v>44011</v>
      </c>
      <c r="Y195" s="383">
        <f t="shared" si="58"/>
        <v>25.31</v>
      </c>
      <c r="Z195" s="383">
        <f t="shared" si="59"/>
        <v>25.561045352154327</v>
      </c>
      <c r="AA195" s="384">
        <f t="shared" si="60"/>
        <v>26.736517546505421</v>
      </c>
      <c r="AB195" s="197">
        <f t="shared" si="61"/>
        <v>44011</v>
      </c>
      <c r="AC195" s="424">
        <f>IF(OR(t&lt;Tnet,NoTnet),'2019'!Resal_s+('2019'!Salim-'2019'!Resal_s)*(1-EXP(('2019'!Tnet_s-t)/'2019'!Tau_j)),Resal_s+(Salim-Resal_s)*(1-EXP((Tnet_s-t)/Tau_j)))*Salcycl</f>
        <v>4.3965044898105488E-2</v>
      </c>
      <c r="AD195" s="230">
        <f>(INDEX(Models!$BJ195:$BT195,,AH195)*(1-AF195)+INDEX(Models!$BJ195:$BT195,,AH195+1)*AF195-ERP_i)*AE195*Ramure*Pc/MaxiM</f>
        <v>0</v>
      </c>
      <c r="AE195" s="304">
        <f t="shared" si="62"/>
        <v>0.6</v>
      </c>
      <c r="AF195" s="177">
        <f t="shared" si="63"/>
        <v>0.3463365488844854</v>
      </c>
      <c r="AG195" s="176">
        <f t="shared" si="64"/>
        <v>-1</v>
      </c>
      <c r="AH195" s="176">
        <f t="shared" si="65"/>
        <v>5</v>
      </c>
      <c r="AI195" s="224">
        <f t="shared" si="66"/>
        <v>-0.6536634511155146</v>
      </c>
      <c r="AJ195" s="264" t="b">
        <f t="shared" si="67"/>
        <v>0</v>
      </c>
      <c r="AK195" s="264" t="b">
        <f t="shared" si="68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2"/>
        <v>44012</v>
      </c>
      <c r="B196" s="607">
        <v>57.579000000000001</v>
      </c>
      <c r="C196" s="388"/>
      <c r="D196" s="391">
        <f t="shared" si="48"/>
        <v>58.151230232686189</v>
      </c>
      <c r="E196" s="383">
        <f t="shared" si="73"/>
        <v>60.829668831248355</v>
      </c>
      <c r="F196" s="383">
        <f t="shared" si="49"/>
        <v>60.829668831248355</v>
      </c>
      <c r="G196" s="110">
        <f t="shared" si="74"/>
        <v>0.98929598931531948</v>
      </c>
      <c r="H196" s="412" t="b">
        <f>Wh_hp&gt;='2019'!Maxi_hp</f>
        <v>1</v>
      </c>
      <c r="I196" s="388">
        <f>IF(H196,Wh_hp,'2019'!Maxi_hp)</f>
        <v>60.829668831248355</v>
      </c>
      <c r="J196" s="85">
        <f>IF(H196,An,'2019'!An_max)</f>
        <v>2020</v>
      </c>
      <c r="K196" s="197">
        <f t="shared" si="50"/>
        <v>44012</v>
      </c>
      <c r="L196" s="147">
        <f>IF(t&lt;Tvie,1-EXP((T0-t)*PertePVj)+'2019'!Pspv,1-EXP((T0-t)*PertePVj)+Pspv)</f>
        <v>9.8403805112371456E-3</v>
      </c>
      <c r="M196" s="832"/>
      <c r="N196" s="832"/>
      <c r="O196" s="48">
        <f>IF(t&lt;Tnet,'2019'!Resal+('2019'!Salim-'2019'!Resal)*(1-EXP(('2019'!Tnet-t)/('2019'!Tau_j))),Resal+(Salim-Resal)*(1-EXP((Tnet-t)/(Tau_j))))*Salcycl</f>
        <v>4.4031780051155704E-2</v>
      </c>
      <c r="P196" s="169">
        <f>(INDEX(Models!$BJ196:$BT196,,T196)*(1-R196)+INDEX(Models!$BJ196:$BT196,,T196+1)*R196-ERP_i)*Q196*Ramure*Pc/MaxiM</f>
        <v>0</v>
      </c>
      <c r="Q196" s="304">
        <f t="shared" si="51"/>
        <v>0.6</v>
      </c>
      <c r="R196" s="177">
        <f t="shared" si="52"/>
        <v>0.35066731640542836</v>
      </c>
      <c r="S196" s="799">
        <f t="shared" si="53"/>
        <v>-1</v>
      </c>
      <c r="T196" s="176">
        <f t="shared" si="54"/>
        <v>5</v>
      </c>
      <c r="U196" s="250">
        <f t="shared" si="55"/>
        <v>-0.64933268359457164</v>
      </c>
      <c r="V196" s="382">
        <f t="shared" si="56"/>
        <v>58.201994773929862</v>
      </c>
      <c r="W196" s="58"/>
      <c r="X196" s="157">
        <f t="shared" si="57"/>
        <v>44012</v>
      </c>
      <c r="Y196" s="383">
        <f t="shared" si="58"/>
        <v>57.579000000000001</v>
      </c>
      <c r="Z196" s="383">
        <f t="shared" si="59"/>
        <v>58.151230232686189</v>
      </c>
      <c r="AA196" s="384">
        <f t="shared" si="60"/>
        <v>60.829668831248355</v>
      </c>
      <c r="AB196" s="197">
        <f t="shared" si="61"/>
        <v>44012</v>
      </c>
      <c r="AC196" s="424">
        <f>IF(OR(t&lt;Tnet,NoTnet),'2019'!Resal_s+('2019'!Salim-'2019'!Resal_s)*(1-EXP(('2019'!Tnet_s-t)/'2019'!Tau_j)),Resal_s+(Salim-Resal_s)*(1-EXP((Tnet_s-t)/Tau_j)))*Salcycl</f>
        <v>4.4031780051155704E-2</v>
      </c>
      <c r="AD196" s="230">
        <f>(INDEX(Models!$BJ196:$BT196,,AH196)*(1-AF196)+INDEX(Models!$BJ196:$BT196,,AH196+1)*AF196-ERP_i)*AE196*Ramure*Pc/MaxiM</f>
        <v>0</v>
      </c>
      <c r="AE196" s="304">
        <f t="shared" si="62"/>
        <v>0.6</v>
      </c>
      <c r="AF196" s="177">
        <f t="shared" si="63"/>
        <v>0.35066731640542836</v>
      </c>
      <c r="AG196" s="176">
        <f t="shared" si="64"/>
        <v>-1</v>
      </c>
      <c r="AH196" s="176">
        <f t="shared" si="65"/>
        <v>5</v>
      </c>
      <c r="AI196" s="224">
        <f t="shared" si="66"/>
        <v>-0.64933268359457164</v>
      </c>
      <c r="AJ196" s="264" t="b">
        <f t="shared" si="67"/>
        <v>0</v>
      </c>
      <c r="AK196" s="264" t="b">
        <f t="shared" si="68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2"/>
        <v>44013</v>
      </c>
      <c r="B197" s="607">
        <v>43.420999999999999</v>
      </c>
      <c r="C197" s="388"/>
      <c r="D197" s="391">
        <f t="shared" si="48"/>
        <v>43.853365977423813</v>
      </c>
      <c r="E197" s="383">
        <f t="shared" si="73"/>
        <v>45.876415839542609</v>
      </c>
      <c r="F197" s="383">
        <f t="shared" si="49"/>
        <v>45.876415839542609</v>
      </c>
      <c r="G197" s="110">
        <f t="shared" si="74"/>
        <v>0.74714323579985853</v>
      </c>
      <c r="H197" s="412" t="b">
        <f>Wh_hp&gt;='2019'!Maxi_hp</f>
        <v>1</v>
      </c>
      <c r="I197" s="388">
        <f>IF(H197,Wh_hp,'2019'!Maxi_hp)</f>
        <v>45.876415839542609</v>
      </c>
      <c r="J197" s="85">
        <f>IF(H197,An,'2019'!An_max)</f>
        <v>2020</v>
      </c>
      <c r="K197" s="197">
        <f t="shared" si="50"/>
        <v>44013</v>
      </c>
      <c r="L197" s="147">
        <f>IF(t&lt;Tvie,1-EXP((T0-t)*PertePVj)+'2019'!Pspv,1-EXP((T0-t)*PertePVj)+Pspv)</f>
        <v>9.8593566944530364E-3</v>
      </c>
      <c r="M197" s="832"/>
      <c r="N197" s="832"/>
      <c r="O197" s="48">
        <f>IF(t&lt;Tnet,'2019'!Resal+('2019'!Salim-'2019'!Resal)*(1-EXP(('2019'!Tnet-t)/('2019'!Tau_j))),Resal+(Salim-Resal)*(1-EXP((Tnet-t)/(Tau_j))))*Salcycl</f>
        <v>4.409781856530854E-2</v>
      </c>
      <c r="P197" s="169">
        <f>(INDEX(Models!$BJ197:$BT197,,T197)*(1-R197)+INDEX(Models!$BJ197:$BT197,,T197+1)*R197-ERP_i)*Q197*Ramure*Pc/MaxiM</f>
        <v>0</v>
      </c>
      <c r="Q197" s="304">
        <f t="shared" si="51"/>
        <v>0.6</v>
      </c>
      <c r="R197" s="177">
        <f t="shared" si="52"/>
        <v>0.35492633171308896</v>
      </c>
      <c r="S197" s="799">
        <f t="shared" si="53"/>
        <v>-1</v>
      </c>
      <c r="T197" s="176">
        <f t="shared" si="54"/>
        <v>5</v>
      </c>
      <c r="U197" s="250">
        <f t="shared" si="55"/>
        <v>-0.64507366828691104</v>
      </c>
      <c r="V197" s="382">
        <f t="shared" si="56"/>
        <v>58.116031731874536</v>
      </c>
      <c r="W197" s="58"/>
      <c r="X197" s="157">
        <f t="shared" si="57"/>
        <v>44013</v>
      </c>
      <c r="Y197" s="383">
        <f t="shared" si="58"/>
        <v>43.420999999999999</v>
      </c>
      <c r="Z197" s="383">
        <f t="shared" si="59"/>
        <v>43.853365977423813</v>
      </c>
      <c r="AA197" s="384">
        <f t="shared" si="60"/>
        <v>45.876415839542609</v>
      </c>
      <c r="AB197" s="197">
        <f t="shared" si="61"/>
        <v>44013</v>
      </c>
      <c r="AC197" s="424">
        <f>IF(OR(t&lt;Tnet,NoTnet),'2019'!Resal_s+('2019'!Salim-'2019'!Resal_s)*(1-EXP(('2019'!Tnet_s-t)/'2019'!Tau_j)),Resal_s+(Salim-Resal_s)*(1-EXP((Tnet_s-t)/Tau_j)))*Salcycl</f>
        <v>4.409781856530854E-2</v>
      </c>
      <c r="AD197" s="230">
        <f>(INDEX(Models!$BJ197:$BT197,,AH197)*(1-AF197)+INDEX(Models!$BJ197:$BT197,,AH197+1)*AF197-ERP_i)*AE197*Ramure*Pc/MaxiM</f>
        <v>0</v>
      </c>
      <c r="AE197" s="304">
        <f t="shared" si="62"/>
        <v>0.6</v>
      </c>
      <c r="AF197" s="177">
        <f t="shared" si="63"/>
        <v>0.35492633171308896</v>
      </c>
      <c r="AG197" s="176">
        <f t="shared" si="64"/>
        <v>-1</v>
      </c>
      <c r="AH197" s="176">
        <f t="shared" si="65"/>
        <v>5</v>
      </c>
      <c r="AI197" s="224">
        <f t="shared" si="66"/>
        <v>-0.64507366828691104</v>
      </c>
      <c r="AJ197" s="264" t="b">
        <f t="shared" si="67"/>
        <v>0</v>
      </c>
      <c r="AK197" s="264" t="b">
        <f t="shared" si="68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2"/>
        <v>44014</v>
      </c>
      <c r="B198" s="607">
        <v>18.837</v>
      </c>
      <c r="C198" s="388"/>
      <c r="D198" s="391">
        <f t="shared" si="48"/>
        <v>19.024934630335462</v>
      </c>
      <c r="E198" s="383">
        <f t="shared" si="73"/>
        <v>19.903956507541054</v>
      </c>
      <c r="F198" s="383">
        <f t="shared" si="49"/>
        <v>19.903956507541054</v>
      </c>
      <c r="G198" s="110">
        <f t="shared" si="74"/>
        <v>0.32461524569167877</v>
      </c>
      <c r="H198" s="412" t="b">
        <f>Wh_hp&gt;='2019'!Maxi_hp</f>
        <v>0</v>
      </c>
      <c r="I198" s="388">
        <f>IF(H198,Wh_hp,'2019'!Maxi_hp)</f>
        <v>49.576613014309146</v>
      </c>
      <c r="J198" s="85">
        <f>IF(H198,An,'2019'!An_max)</f>
        <v>2018</v>
      </c>
      <c r="K198" s="197">
        <f t="shared" si="50"/>
        <v>44014</v>
      </c>
      <c r="L198" s="147">
        <f>IF(t&lt;Tvie,1-EXP((T0-t)*PertePVj)+'2019'!Pspv,1-EXP((T0-t)*PertePVj)+Pspv)</f>
        <v>9.8783325139945033E-3</v>
      </c>
      <c r="M198" s="832"/>
      <c r="N198" s="832"/>
      <c r="O198" s="48">
        <f>IF(t&lt;Tnet,'2019'!Resal+('2019'!Salim-'2019'!Resal)*(1-EXP(('2019'!Tnet-t)/('2019'!Tau_j))),Resal+(Salim-Resal)*(1-EXP((Tnet-t)/(Tau_j))))*Salcycl</f>
        <v>4.4163173129551224E-2</v>
      </c>
      <c r="P198" s="169">
        <f>(INDEX(Models!$BJ198:$BT198,,T198)*(1-R198)+INDEX(Models!$BJ198:$BT198,,T198+1)*R198-ERP_i)*Q198*Ramure*Pc/MaxiM</f>
        <v>0</v>
      </c>
      <c r="Q198" s="304">
        <f t="shared" si="51"/>
        <v>0.6</v>
      </c>
      <c r="R198" s="177">
        <f t="shared" si="52"/>
        <v>0.35911185748038543</v>
      </c>
      <c r="S198" s="799">
        <f t="shared" si="53"/>
        <v>-1</v>
      </c>
      <c r="T198" s="176">
        <f t="shared" si="54"/>
        <v>5</v>
      </c>
      <c r="U198" s="250">
        <f t="shared" si="55"/>
        <v>-0.64088814251961457</v>
      </c>
      <c r="V198" s="382">
        <f t="shared" si="56"/>
        <v>58.028697819976941</v>
      </c>
      <c r="W198" s="58"/>
      <c r="X198" s="157">
        <f t="shared" si="57"/>
        <v>44014</v>
      </c>
      <c r="Y198" s="383">
        <f t="shared" si="58"/>
        <v>18.837</v>
      </c>
      <c r="Z198" s="383">
        <f t="shared" si="59"/>
        <v>19.024934630335462</v>
      </c>
      <c r="AA198" s="384">
        <f t="shared" si="60"/>
        <v>19.903956507541054</v>
      </c>
      <c r="AB198" s="197">
        <f t="shared" si="61"/>
        <v>44014</v>
      </c>
      <c r="AC198" s="424">
        <f>IF(OR(t&lt;Tnet,NoTnet),'2019'!Resal_s+('2019'!Salim-'2019'!Resal_s)*(1-EXP(('2019'!Tnet_s-t)/'2019'!Tau_j)),Resal_s+(Salim-Resal_s)*(1-EXP((Tnet_s-t)/Tau_j)))*Salcycl</f>
        <v>4.4163173129551224E-2</v>
      </c>
      <c r="AD198" s="230">
        <f>(INDEX(Models!$BJ198:$BT198,,AH198)*(1-AF198)+INDEX(Models!$BJ198:$BT198,,AH198+1)*AF198-ERP_i)*AE198*Ramure*Pc/MaxiM</f>
        <v>0</v>
      </c>
      <c r="AE198" s="304">
        <f t="shared" si="62"/>
        <v>0.6</v>
      </c>
      <c r="AF198" s="177">
        <f t="shared" si="63"/>
        <v>0.35911185748038543</v>
      </c>
      <c r="AG198" s="176">
        <f t="shared" si="64"/>
        <v>-1</v>
      </c>
      <c r="AH198" s="176">
        <f t="shared" si="65"/>
        <v>5</v>
      </c>
      <c r="AI198" s="224">
        <f t="shared" si="66"/>
        <v>-0.64088814251961457</v>
      </c>
      <c r="AJ198" s="264" t="b">
        <f t="shared" si="67"/>
        <v>0</v>
      </c>
      <c r="AK198" s="264" t="b">
        <f t="shared" si="68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2"/>
        <v>44015</v>
      </c>
      <c r="B199" s="607">
        <v>46.186999999999998</v>
      </c>
      <c r="C199" s="388"/>
      <c r="D199" s="391">
        <f t="shared" si="48"/>
        <v>46.648696515809917</v>
      </c>
      <c r="E199" s="383">
        <f t="shared" si="73"/>
        <v>48.807340639464719</v>
      </c>
      <c r="F199" s="383">
        <f t="shared" si="49"/>
        <v>48.807340639464719</v>
      </c>
      <c r="G199" s="110">
        <f t="shared" si="74"/>
        <v>0.79714952716685694</v>
      </c>
      <c r="H199" s="412" t="b">
        <f>Wh_hp&gt;='2019'!Maxi_hp</f>
        <v>0</v>
      </c>
      <c r="I199" s="388">
        <f>IF(H199,Wh_hp,'2019'!Maxi_hp)</f>
        <v>58.038793817867159</v>
      </c>
      <c r="J199" s="85">
        <f>IF(H199,An,'2019'!An_max)</f>
        <v>2018</v>
      </c>
      <c r="K199" s="197">
        <f t="shared" si="50"/>
        <v>44015</v>
      </c>
      <c r="L199" s="147">
        <f>IF(t&lt;Tvie,1-EXP((T0-t)*PertePVj)+'2019'!Pspv,1-EXP((T0-t)*PertePVj)+Pspv)</f>
        <v>9.8973079698688737E-3</v>
      </c>
      <c r="M199" s="832"/>
      <c r="N199" s="832"/>
      <c r="O199" s="48">
        <f>IF(t&lt;Tnet,'2019'!Resal+('2019'!Salim-'2019'!Resal)*(1-EXP(('2019'!Tnet-t)/('2019'!Tau_j))),Resal+(Salim-Resal)*(1-EXP((Tnet-t)/(Tau_j))))*Salcycl</f>
        <v>4.4227857846230727E-2</v>
      </c>
      <c r="P199" s="169">
        <f>(INDEX(Models!$BJ199:$BT199,,T199)*(1-R199)+INDEX(Models!$BJ199:$BT199,,T199+1)*R199-ERP_i)*Q199*Ramure*Pc/MaxiM</f>
        <v>0</v>
      </c>
      <c r="Q199" s="304">
        <f t="shared" si="51"/>
        <v>0.6</v>
      </c>
      <c r="R199" s="177">
        <f t="shared" si="52"/>
        <v>0.36322233770434253</v>
      </c>
      <c r="S199" s="799">
        <f t="shared" si="53"/>
        <v>-1</v>
      </c>
      <c r="T199" s="176">
        <f t="shared" si="54"/>
        <v>5</v>
      </c>
      <c r="U199" s="250">
        <f t="shared" si="55"/>
        <v>-0.63677766229565747</v>
      </c>
      <c r="V199" s="382">
        <f t="shared" si="56"/>
        <v>57.940196193997451</v>
      </c>
      <c r="W199" s="58"/>
      <c r="X199" s="157">
        <f t="shared" si="57"/>
        <v>44015</v>
      </c>
      <c r="Y199" s="383">
        <f t="shared" si="58"/>
        <v>46.186999999999998</v>
      </c>
      <c r="Z199" s="383">
        <f t="shared" si="59"/>
        <v>46.648696515809917</v>
      </c>
      <c r="AA199" s="384">
        <f t="shared" si="60"/>
        <v>48.807340639464719</v>
      </c>
      <c r="AB199" s="197">
        <f t="shared" si="61"/>
        <v>44015</v>
      </c>
      <c r="AC199" s="424">
        <f>IF(OR(t&lt;Tnet,NoTnet),'2019'!Resal_s+('2019'!Salim-'2019'!Resal_s)*(1-EXP(('2019'!Tnet_s-t)/'2019'!Tau_j)),Resal_s+(Salim-Resal_s)*(1-EXP((Tnet_s-t)/Tau_j)))*Salcycl</f>
        <v>4.4227857846230727E-2</v>
      </c>
      <c r="AD199" s="230">
        <f>(INDEX(Models!$BJ199:$BT199,,AH199)*(1-AF199)+INDEX(Models!$BJ199:$BT199,,AH199+1)*AF199-ERP_i)*AE199*Ramure*Pc/MaxiM</f>
        <v>0</v>
      </c>
      <c r="AE199" s="304">
        <f t="shared" si="62"/>
        <v>0.6</v>
      </c>
      <c r="AF199" s="177">
        <f t="shared" si="63"/>
        <v>0.36322233770434253</v>
      </c>
      <c r="AG199" s="176">
        <f t="shared" si="64"/>
        <v>-1</v>
      </c>
      <c r="AH199" s="176">
        <f t="shared" si="65"/>
        <v>5</v>
      </c>
      <c r="AI199" s="224">
        <f t="shared" si="66"/>
        <v>-0.63677766229565747</v>
      </c>
      <c r="AJ199" s="264" t="b">
        <f t="shared" si="67"/>
        <v>0</v>
      </c>
      <c r="AK199" s="264" t="b">
        <f t="shared" si="68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2"/>
        <v>44016</v>
      </c>
      <c r="B200" s="607">
        <v>56.893999999999998</v>
      </c>
      <c r="C200" s="388"/>
      <c r="D200" s="391">
        <f t="shared" si="48"/>
        <v>57.463827580115151</v>
      </c>
      <c r="E200" s="383">
        <f t="shared" si="73"/>
        <v>60.126964358247427</v>
      </c>
      <c r="F200" s="383">
        <f t="shared" si="49"/>
        <v>60.126964358247427</v>
      </c>
      <c r="G200" s="110">
        <f t="shared" si="74"/>
        <v>0.98346209525721306</v>
      </c>
      <c r="H200" s="412" t="b">
        <f>Wh_hp&gt;='2019'!Maxi_hp</f>
        <v>1</v>
      </c>
      <c r="I200" s="388">
        <f>IF(H200,Wh_hp,'2019'!Maxi_hp)</f>
        <v>60.126964358247427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9.9162830620829201E-3</v>
      </c>
      <c r="M200" s="832"/>
      <c r="N200" s="832"/>
      <c r="O200" s="48">
        <f>IF(t&lt;Tnet,'2019'!Resal+('2019'!Salim-'2019'!Resal)*(1-EXP(('2019'!Tnet-t)/('2019'!Tau_j))),Resal+(Salim-Resal)*(1-EXP((Tnet-t)/(Tau_j))))*Salcycl</f>
        <v>4.4291888116366973E-2</v>
      </c>
      <c r="P200" s="169">
        <f>(INDEX(Models!$BJ200:$BT200,,T200)*(1-R200)+INDEX(Models!$BJ200:$BT200,,T200+1)*R200-ERP_i)*Q200*Ramure*Pc/MaxiM</f>
        <v>0</v>
      </c>
      <c r="Q200" s="304">
        <f t="shared" si="51"/>
        <v>0.6</v>
      </c>
      <c r="R200" s="177">
        <f t="shared" si="52"/>
        <v>0.36725639606431637</v>
      </c>
      <c r="S200" s="799">
        <f t="shared" si="53"/>
        <v>-1</v>
      </c>
      <c r="T200" s="176">
        <f t="shared" si="54"/>
        <v>5</v>
      </c>
      <c r="U200" s="250">
        <f t="shared" si="55"/>
        <v>-0.63274360393568363</v>
      </c>
      <c r="V200" s="382">
        <f t="shared" si="56"/>
        <v>57.850729859720758</v>
      </c>
      <c r="W200" s="58"/>
      <c r="X200" s="157">
        <f t="shared" si="57"/>
        <v>44016</v>
      </c>
      <c r="Y200" s="383">
        <f t="shared" si="58"/>
        <v>56.893999999999998</v>
      </c>
      <c r="Z200" s="383">
        <f t="shared" si="59"/>
        <v>57.463827580115151</v>
      </c>
      <c r="AA200" s="384">
        <f t="shared" si="60"/>
        <v>60.126964358247427</v>
      </c>
      <c r="AB200" s="197">
        <f t="shared" si="61"/>
        <v>44016</v>
      </c>
      <c r="AC200" s="424">
        <f>IF(OR(t&lt;Tnet,NoTnet),'2019'!Resal_s+('2019'!Salim-'2019'!Resal_s)*(1-EXP(('2019'!Tnet_s-t)/'2019'!Tau_j)),Resal_s+(Salim-Resal_s)*(1-EXP((Tnet_s-t)/Tau_j)))*Salcycl</f>
        <v>4.4291888116366973E-2</v>
      </c>
      <c r="AD200" s="230">
        <f>(INDEX(Models!$BJ200:$BT200,,AH200)*(1-AF200)+INDEX(Models!$BJ200:$BT200,,AH200+1)*AF200-ERP_i)*AE200*Ramure*Pc/MaxiM</f>
        <v>0</v>
      </c>
      <c r="AE200" s="304">
        <f t="shared" si="62"/>
        <v>0.6</v>
      </c>
      <c r="AF200" s="177">
        <f t="shared" si="63"/>
        <v>0.36725639606431637</v>
      </c>
      <c r="AG200" s="176">
        <f t="shared" si="64"/>
        <v>-1</v>
      </c>
      <c r="AH200" s="176">
        <f t="shared" si="65"/>
        <v>5</v>
      </c>
      <c r="AI200" s="224">
        <f t="shared" si="66"/>
        <v>-0.63274360393568363</v>
      </c>
      <c r="AJ200" s="264" t="b">
        <f t="shared" si="67"/>
        <v>0</v>
      </c>
      <c r="AK200" s="264" t="b">
        <f t="shared" si="68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72"/>
        <v>44017</v>
      </c>
      <c r="B201" s="607">
        <v>56.595999999999997</v>
      </c>
      <c r="C201" s="388"/>
      <c r="D201" s="391">
        <f t="shared" si="48"/>
        <v>57.163938464978045</v>
      </c>
      <c r="E201" s="383">
        <f t="shared" si="73"/>
        <v>59.81714469792518</v>
      </c>
      <c r="F201" s="383">
        <f t="shared" si="49"/>
        <v>59.81714469792518</v>
      </c>
      <c r="G201" s="110">
        <f t="shared" si="74"/>
        <v>0.97983913489460228</v>
      </c>
      <c r="H201" s="412" t="b">
        <f>Wh_hp&gt;='2019'!Maxi_hp</f>
        <v>1</v>
      </c>
      <c r="I201" s="388">
        <f>IF(H201,Wh_hp,'2019'!Maxi_hp)</f>
        <v>59.81714469792518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9.9352577906436368E-3</v>
      </c>
      <c r="M201" s="832"/>
      <c r="N201" s="832"/>
      <c r="O201" s="48">
        <f>IF(t&lt;Tnet,'2019'!Resal+('2019'!Salim-'2019'!Resal)*(1-EXP(('2019'!Tnet-t)/('2019'!Tau_j))),Resal+(Salim-Resal)*(1-EXP((Tnet-t)/(Tau_j))))*Salcycl</f>
        <v>4.4355280519418679E-2</v>
      </c>
      <c r="P201" s="169">
        <f>(INDEX(Models!$BJ201:$BT201,,T201)*(1-R201)+INDEX(Models!$BJ201:$BT201,,T201+1)*R201-ERP_i)*Q201*Ramure*Pc/MaxiM</f>
        <v>0</v>
      </c>
      <c r="Q201" s="304">
        <f t="shared" si="51"/>
        <v>0.6</v>
      </c>
      <c r="R201" s="177">
        <f t="shared" si="52"/>
        <v>0.37121283352544254</v>
      </c>
      <c r="S201" s="799">
        <f t="shared" si="53"/>
        <v>-1</v>
      </c>
      <c r="T201" s="176">
        <f t="shared" si="54"/>
        <v>5</v>
      </c>
      <c r="U201" s="250">
        <f t="shared" si="55"/>
        <v>-0.62878716647455746</v>
      </c>
      <c r="V201" s="382">
        <f t="shared" si="56"/>
        <v>57.760501682848002</v>
      </c>
      <c r="W201" s="58"/>
      <c r="X201" s="157">
        <f t="shared" si="57"/>
        <v>44017</v>
      </c>
      <c r="Y201" s="383">
        <f t="shared" si="58"/>
        <v>56.595999999999997</v>
      </c>
      <c r="Z201" s="383">
        <f t="shared" si="59"/>
        <v>57.163938464978045</v>
      </c>
      <c r="AA201" s="384">
        <f t="shared" si="60"/>
        <v>59.81714469792518</v>
      </c>
      <c r="AB201" s="197">
        <f t="shared" si="61"/>
        <v>44017</v>
      </c>
      <c r="AC201" s="424">
        <f>IF(OR(t&lt;Tnet,NoTnet),'2019'!Resal_s+('2019'!Salim-'2019'!Resal_s)*(1-EXP(('2019'!Tnet_s-t)/'2019'!Tau_j)),Resal_s+(Salim-Resal_s)*(1-EXP((Tnet_s-t)/Tau_j)))*Salcycl</f>
        <v>4.4355280519418679E-2</v>
      </c>
      <c r="AD201" s="230">
        <f>(INDEX(Models!$BJ201:$BT201,,AH201)*(1-AF201)+INDEX(Models!$BJ201:$BT201,,AH201+1)*AF201-ERP_i)*AE201*Ramure*Pc/MaxiM</f>
        <v>0</v>
      </c>
      <c r="AE201" s="304">
        <f t="shared" si="62"/>
        <v>0.6</v>
      </c>
      <c r="AF201" s="177">
        <f t="shared" si="63"/>
        <v>0.37121283352544254</v>
      </c>
      <c r="AG201" s="176">
        <f t="shared" si="64"/>
        <v>-1</v>
      </c>
      <c r="AH201" s="176">
        <f t="shared" si="65"/>
        <v>5</v>
      </c>
      <c r="AI201" s="224">
        <f t="shared" si="66"/>
        <v>-0.62878716647455746</v>
      </c>
      <c r="AJ201" s="264" t="b">
        <f t="shared" si="67"/>
        <v>0</v>
      </c>
      <c r="AK201" s="264" t="b">
        <f t="shared" si="68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72"/>
        <v>44018</v>
      </c>
      <c r="B202" s="607">
        <v>35.25</v>
      </c>
      <c r="C202" s="388"/>
      <c r="D202" s="391">
        <f t="shared" si="48"/>
        <v>35.604414608778519</v>
      </c>
      <c r="E202" s="383">
        <f t="shared" si="73"/>
        <v>37.25940481499029</v>
      </c>
      <c r="F202" s="383">
        <f t="shared" si="49"/>
        <v>37.25940481499029</v>
      </c>
      <c r="G202" s="110">
        <f t="shared" si="74"/>
        <v>0.61123937178756937</v>
      </c>
      <c r="H202" s="412" t="b">
        <f>Wh_hp&gt;='2019'!Maxi_hp</f>
        <v>0</v>
      </c>
      <c r="I202" s="388">
        <f>IF(H202,Wh_hp,'2019'!Maxi_hp)</f>
        <v>51.039588400524707</v>
      </c>
      <c r="J202" s="85">
        <f>IF(H202,An,'2019'!An_max)</f>
        <v>2018</v>
      </c>
      <c r="K202" s="197">
        <f t="shared" si="50"/>
        <v>44018</v>
      </c>
      <c r="L202" s="147">
        <f>IF(t&lt;Tvie,1-EXP((T0-t)*PertePVj)+'2019'!Pspv,1-EXP((T0-t)*PertePVj)+Pspv)</f>
        <v>9.9542321555580182E-3</v>
      </c>
      <c r="M202" s="832"/>
      <c r="N202" s="832"/>
      <c r="O202" s="48">
        <f>IF(t&lt;Tnet,'2019'!Resal+('2019'!Salim-'2019'!Resal)*(1-EXP(('2019'!Tnet-t)/('2019'!Tau_j))),Resal+(Salim-Resal)*(1-EXP((Tnet-t)/(Tau_j))))*Salcycl</f>
        <v>4.4418052688429639E-2</v>
      </c>
      <c r="P202" s="169">
        <f>(INDEX(Models!$BJ202:$BT202,,T202)*(1-R202)+INDEX(Models!$BJ202:$BT202,,T202+1)*R202-ERP_i)*Q202*Ramure*Pc/MaxiM</f>
        <v>0</v>
      </c>
      <c r="Q202" s="304">
        <f t="shared" si="51"/>
        <v>0.6</v>
      </c>
      <c r="R202" s="177">
        <f t="shared" si="52"/>
        <v>0.37509062524048209</v>
      </c>
      <c r="S202" s="799">
        <f t="shared" si="53"/>
        <v>-1</v>
      </c>
      <c r="T202" s="176">
        <f t="shared" si="54"/>
        <v>5</v>
      </c>
      <c r="U202" s="250">
        <f t="shared" si="55"/>
        <v>-0.62490937475951791</v>
      </c>
      <c r="V202" s="382">
        <f t="shared" si="56"/>
        <v>57.669714398323826</v>
      </c>
      <c r="W202" s="58"/>
      <c r="X202" s="157">
        <f t="shared" si="57"/>
        <v>44018</v>
      </c>
      <c r="Y202" s="383">
        <f t="shared" si="58"/>
        <v>35.25</v>
      </c>
      <c r="Z202" s="383">
        <f t="shared" si="59"/>
        <v>35.604414608778519</v>
      </c>
      <c r="AA202" s="384">
        <f t="shared" si="60"/>
        <v>37.25940481499029</v>
      </c>
      <c r="AB202" s="197">
        <f t="shared" si="61"/>
        <v>44018</v>
      </c>
      <c r="AC202" s="424">
        <f>IF(OR(t&lt;Tnet,NoTnet),'2019'!Resal_s+('2019'!Salim-'2019'!Resal_s)*(1-EXP(('2019'!Tnet_s-t)/'2019'!Tau_j)),Resal_s+(Salim-Resal_s)*(1-EXP((Tnet_s-t)/Tau_j)))*Salcycl</f>
        <v>4.4418052688429639E-2</v>
      </c>
      <c r="AD202" s="230">
        <f>(INDEX(Models!$BJ202:$BT202,,AH202)*(1-AF202)+INDEX(Models!$BJ202:$BT202,,AH202+1)*AF202-ERP_i)*AE202*Ramure*Pc/MaxiM</f>
        <v>0</v>
      </c>
      <c r="AE202" s="304">
        <f t="shared" si="62"/>
        <v>0.6</v>
      </c>
      <c r="AF202" s="177">
        <f t="shared" si="63"/>
        <v>0.37509062524048209</v>
      </c>
      <c r="AG202" s="176">
        <f t="shared" si="64"/>
        <v>-1</v>
      </c>
      <c r="AH202" s="176">
        <f t="shared" si="65"/>
        <v>5</v>
      </c>
      <c r="AI202" s="224">
        <f t="shared" si="66"/>
        <v>-0.62490937475951791</v>
      </c>
      <c r="AJ202" s="264" t="b">
        <f t="shared" si="67"/>
        <v>0</v>
      </c>
      <c r="AK202" s="264" t="b">
        <f t="shared" si="68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72"/>
        <v>44019</v>
      </c>
      <c r="B203" s="607">
        <v>59.851999999999997</v>
      </c>
      <c r="C203" s="388"/>
      <c r="D203" s="391">
        <f t="shared" si="48"/>
        <v>60.454929474849472</v>
      </c>
      <c r="E203" s="383">
        <f t="shared" si="73"/>
        <v>63.269155638139843</v>
      </c>
      <c r="F203" s="383">
        <f t="shared" si="49"/>
        <v>63.269155638139843</v>
      </c>
      <c r="G203" s="110">
        <f t="shared" si="74"/>
        <v>1.039483949603794</v>
      </c>
      <c r="H203" s="412" t="b">
        <f>Wh_hp&gt;='2019'!Maxi_hp</f>
        <v>1</v>
      </c>
      <c r="I203" s="388">
        <f>IF(H203,Wh_hp,'2019'!Maxi_hp)</f>
        <v>63.269155638139843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9.9732061568330588E-3</v>
      </c>
      <c r="M203" s="832"/>
      <c r="N203" s="832"/>
      <c r="O203" s="48">
        <f>IF(t&lt;Tnet,'2019'!Resal+('2019'!Salim-'2019'!Resal)*(1-EXP(('2019'!Tnet-t)/('2019'!Tau_j))),Resal+(Salim-Resal)*(1-EXP((Tnet-t)/(Tau_j))))*Salcycl</f>
        <v>4.4480223181513463E-2</v>
      </c>
      <c r="P203" s="169">
        <f>(INDEX(Models!$BJ203:$BT203,,T203)*(1-R203)+INDEX(Models!$BJ203:$BT203,,T203+1)*R203-ERP_i)*Q203*Ramure*Pc/MaxiM</f>
        <v>0</v>
      </c>
      <c r="Q203" s="304">
        <f t="shared" si="51"/>
        <v>0.6</v>
      </c>
      <c r="R203" s="177">
        <f t="shared" si="52"/>
        <v>0.3788889168060845</v>
      </c>
      <c r="S203" s="799">
        <f t="shared" si="53"/>
        <v>-1</v>
      </c>
      <c r="T203" s="176">
        <f t="shared" si="54"/>
        <v>5</v>
      </c>
      <c r="U203" s="250">
        <f t="shared" si="55"/>
        <v>-0.6211110831939155</v>
      </c>
      <c r="V203" s="382">
        <f t="shared" si="56"/>
        <v>57.578570619404914</v>
      </c>
      <c r="W203" s="58"/>
      <c r="X203" s="157">
        <f t="shared" si="57"/>
        <v>44019</v>
      </c>
      <c r="Y203" s="383">
        <f t="shared" si="58"/>
        <v>59.851999999999997</v>
      </c>
      <c r="Z203" s="383">
        <f t="shared" si="59"/>
        <v>60.454929474849472</v>
      </c>
      <c r="AA203" s="384">
        <f t="shared" si="60"/>
        <v>63.269155638139843</v>
      </c>
      <c r="AB203" s="197">
        <f t="shared" si="61"/>
        <v>44019</v>
      </c>
      <c r="AC203" s="424">
        <f>IF(OR(t&lt;Tnet,NoTnet),'2019'!Resal_s+('2019'!Salim-'2019'!Resal_s)*(1-EXP(('2019'!Tnet_s-t)/'2019'!Tau_j)),Resal_s+(Salim-Resal_s)*(1-EXP((Tnet_s-t)/Tau_j)))*Salcycl</f>
        <v>4.4480223181513463E-2</v>
      </c>
      <c r="AD203" s="230">
        <f>(INDEX(Models!$BJ203:$BT203,,AH203)*(1-AF203)+INDEX(Models!$BJ203:$BT203,,AH203+1)*AF203-ERP_i)*AE203*Ramure*Pc/MaxiM</f>
        <v>0</v>
      </c>
      <c r="AE203" s="304">
        <f t="shared" si="62"/>
        <v>0.6</v>
      </c>
      <c r="AF203" s="177">
        <f t="shared" si="63"/>
        <v>0.3788889168060845</v>
      </c>
      <c r="AG203" s="176">
        <f t="shared" si="64"/>
        <v>-1</v>
      </c>
      <c r="AH203" s="176">
        <f t="shared" si="65"/>
        <v>5</v>
      </c>
      <c r="AI203" s="224">
        <f t="shared" si="66"/>
        <v>-0.6211110831939155</v>
      </c>
      <c r="AJ203" s="264" t="b">
        <f t="shared" si="67"/>
        <v>0</v>
      </c>
      <c r="AK203" s="264" t="b">
        <f t="shared" si="68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72"/>
        <v>44020</v>
      </c>
      <c r="B204" s="607">
        <v>57.139000000000003</v>
      </c>
      <c r="C204" s="388"/>
      <c r="D204" s="391">
        <f t="shared" si="48"/>
        <v>57.715705708403412</v>
      </c>
      <c r="E204" s="383">
        <f t="shared" si="73"/>
        <v>60.406312274105431</v>
      </c>
      <c r="F204" s="383">
        <f t="shared" si="49"/>
        <v>60.406312274105431</v>
      </c>
      <c r="G204" s="110">
        <f t="shared" si="74"/>
        <v>0.99394173994334623</v>
      </c>
      <c r="H204" s="412" t="b">
        <f>Wh_hp&gt;='2019'!Maxi_hp</f>
        <v>1</v>
      </c>
      <c r="I204" s="388">
        <f>IF(H204,Wh_hp,'2019'!Maxi_hp)</f>
        <v>60.406312274105431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9.9921797944756419E-3</v>
      </c>
      <c r="M204" s="832"/>
      <c r="N204" s="832"/>
      <c r="O204" s="48">
        <f>IF(t&lt;Tnet,'2019'!Resal+('2019'!Salim-'2019'!Resal)*(1-EXP(('2019'!Tnet-t)/('2019'!Tau_j))),Resal+(Salim-Resal)*(1-EXP((Tnet-t)/(Tau_j))))*Salcycl</f>
        <v>4.4541811350655963E-2</v>
      </c>
      <c r="P204" s="169">
        <f>(INDEX(Models!$BJ204:$BT204,,T204)*(1-R204)+INDEX(Models!$BJ204:$BT204,,T204+1)*R204-ERP_i)*Q204*Ramure*Pc/MaxiM</f>
        <v>0</v>
      </c>
      <c r="Q204" s="304">
        <f t="shared" si="51"/>
        <v>0.6</v>
      </c>
      <c r="R204" s="177">
        <f t="shared" si="52"/>
        <v>0.38260701993153656</v>
      </c>
      <c r="S204" s="799">
        <f t="shared" si="53"/>
        <v>-1</v>
      </c>
      <c r="T204" s="176">
        <f t="shared" si="54"/>
        <v>5</v>
      </c>
      <c r="U204" s="250">
        <f t="shared" si="55"/>
        <v>-0.61739298006846344</v>
      </c>
      <c r="V204" s="382">
        <f t="shared" si="56"/>
        <v>57.487272848866255</v>
      </c>
      <c r="W204" s="58"/>
      <c r="X204" s="157">
        <f t="shared" si="57"/>
        <v>44020</v>
      </c>
      <c r="Y204" s="383">
        <f t="shared" si="58"/>
        <v>57.139000000000003</v>
      </c>
      <c r="Z204" s="383">
        <f t="shared" si="59"/>
        <v>57.715705708403412</v>
      </c>
      <c r="AA204" s="384">
        <f t="shared" si="60"/>
        <v>60.406312274105431</v>
      </c>
      <c r="AB204" s="197">
        <f t="shared" si="61"/>
        <v>44020</v>
      </c>
      <c r="AC204" s="424">
        <f>IF(OR(t&lt;Tnet,NoTnet),'2019'!Resal_s+('2019'!Salim-'2019'!Resal_s)*(1-EXP(('2019'!Tnet_s-t)/'2019'!Tau_j)),Resal_s+(Salim-Resal_s)*(1-EXP((Tnet_s-t)/Tau_j)))*Salcycl</f>
        <v>4.4541811350655963E-2</v>
      </c>
      <c r="AD204" s="230">
        <f>(INDEX(Models!$BJ204:$BT204,,AH204)*(1-AF204)+INDEX(Models!$BJ204:$BT204,,AH204+1)*AF204-ERP_i)*AE204*Ramure*Pc/MaxiM</f>
        <v>0</v>
      </c>
      <c r="AE204" s="304">
        <f t="shared" si="62"/>
        <v>0.6</v>
      </c>
      <c r="AF204" s="177">
        <f t="shared" si="63"/>
        <v>0.38260701993153656</v>
      </c>
      <c r="AG204" s="176">
        <f t="shared" si="64"/>
        <v>-1</v>
      </c>
      <c r="AH204" s="176">
        <f t="shared" si="65"/>
        <v>5</v>
      </c>
      <c r="AI204" s="224">
        <f t="shared" si="66"/>
        <v>-0.61739298006846344</v>
      </c>
      <c r="AJ204" s="264" t="b">
        <f t="shared" si="67"/>
        <v>0</v>
      </c>
      <c r="AK204" s="264" t="b">
        <f t="shared" si="68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72"/>
        <v>44021</v>
      </c>
      <c r="B205" s="607">
        <v>53.786000000000001</v>
      </c>
      <c r="C205" s="388"/>
      <c r="D205" s="391">
        <f t="shared" si="48"/>
        <v>54.329904995102645</v>
      </c>
      <c r="E205" s="383">
        <f t="shared" si="73"/>
        <v>56.866303471510115</v>
      </c>
      <c r="F205" s="383">
        <f t="shared" si="49"/>
        <v>56.866303471510115</v>
      </c>
      <c r="G205" s="110">
        <f t="shared" si="74"/>
        <v>0.93711156254068295</v>
      </c>
      <c r="H205" s="412" t="b">
        <f>Wh_hp&gt;='2019'!Maxi_hp</f>
        <v>0</v>
      </c>
      <c r="I205" s="388">
        <f>IF(H205,Wh_hp,'2019'!Maxi_hp)</f>
        <v>57.09180423598459</v>
      </c>
      <c r="J205" s="85">
        <f>IF(H205,An,'2019'!An_max)</f>
        <v>2018</v>
      </c>
      <c r="K205" s="197">
        <f t="shared" si="50"/>
        <v>44021</v>
      </c>
      <c r="L205" s="147">
        <f>IF(t&lt;Tvie,1-EXP((T0-t)*PertePVj)+'2019'!Pspv,1-EXP((T0-t)*PertePVj)+Pspv)</f>
        <v>1.0011153068492762E-2</v>
      </c>
      <c r="M205" s="832"/>
      <c r="N205" s="832"/>
      <c r="O205" s="48">
        <f>IF(t&lt;Tnet,'2019'!Resal+('2019'!Salim-'2019'!Resal)*(1-EXP(('2019'!Tnet-t)/('2019'!Tau_j))),Resal+(Salim-Resal)*(1-EXP((Tnet-t)/(Tau_j))))*Salcycl</f>
        <v>4.4602837208826081E-2</v>
      </c>
      <c r="P205" s="169">
        <f>(INDEX(Models!$BJ205:$BT205,,T205)*(1-R205)+INDEX(Models!$BJ205:$BT205,,T205+1)*R205-ERP_i)*Q205*Ramure*Pc/MaxiM</f>
        <v>0</v>
      </c>
      <c r="Q205" s="304">
        <f t="shared" si="51"/>
        <v>0.6</v>
      </c>
      <c r="R205" s="177">
        <f t="shared" si="52"/>
        <v>0.38624440757936529</v>
      </c>
      <c r="S205" s="799">
        <f t="shared" si="53"/>
        <v>-1</v>
      </c>
      <c r="T205" s="176">
        <f t="shared" si="54"/>
        <v>5</v>
      </c>
      <c r="U205" s="250">
        <f t="shared" si="55"/>
        <v>-0.61375559242063471</v>
      </c>
      <c r="V205" s="382">
        <f t="shared" si="56"/>
        <v>57.395514205561824</v>
      </c>
      <c r="W205" s="58"/>
      <c r="X205" s="157">
        <f t="shared" si="57"/>
        <v>44021</v>
      </c>
      <c r="Y205" s="383">
        <f t="shared" si="58"/>
        <v>53.786000000000001</v>
      </c>
      <c r="Z205" s="383">
        <f t="shared" si="59"/>
        <v>54.329904995102645</v>
      </c>
      <c r="AA205" s="384">
        <f t="shared" si="60"/>
        <v>56.866303471510115</v>
      </c>
      <c r="AB205" s="197">
        <f t="shared" si="61"/>
        <v>44021</v>
      </c>
      <c r="AC205" s="424">
        <f>IF(OR(t&lt;Tnet,NoTnet),'2019'!Resal_s+('2019'!Salim-'2019'!Resal_s)*(1-EXP(('2019'!Tnet_s-t)/'2019'!Tau_j)),Resal_s+(Salim-Resal_s)*(1-EXP((Tnet_s-t)/Tau_j)))*Salcycl</f>
        <v>4.4602837208826081E-2</v>
      </c>
      <c r="AD205" s="230">
        <f>(INDEX(Models!$BJ205:$BT205,,AH205)*(1-AF205)+INDEX(Models!$BJ205:$BT205,,AH205+1)*AF205-ERP_i)*AE205*Ramure*Pc/MaxiM</f>
        <v>0</v>
      </c>
      <c r="AE205" s="304">
        <f t="shared" si="62"/>
        <v>0.6</v>
      </c>
      <c r="AF205" s="177">
        <f t="shared" si="63"/>
        <v>0.38624440757936529</v>
      </c>
      <c r="AG205" s="176">
        <f t="shared" si="64"/>
        <v>-1</v>
      </c>
      <c r="AH205" s="176">
        <f t="shared" si="65"/>
        <v>5</v>
      </c>
      <c r="AI205" s="224">
        <f t="shared" si="66"/>
        <v>-0.61375559242063471</v>
      </c>
      <c r="AJ205" s="264" t="b">
        <f t="shared" si="67"/>
        <v>0</v>
      </c>
      <c r="AK205" s="264" t="b">
        <f t="shared" si="68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72"/>
        <v>44022</v>
      </c>
      <c r="B206" s="607">
        <v>46.902999999999999</v>
      </c>
      <c r="C206" s="388"/>
      <c r="D206" s="391">
        <f t="shared" si="48"/>
        <v>47.378209409026837</v>
      </c>
      <c r="E206" s="383">
        <f t="shared" si="73"/>
        <v>49.593206735576146</v>
      </c>
      <c r="F206" s="383">
        <f t="shared" si="49"/>
        <v>49.593206735576146</v>
      </c>
      <c r="G206" s="110">
        <f t="shared" si="74"/>
        <v>0.81851074233374377</v>
      </c>
      <c r="H206" s="412" t="b">
        <f>Wh_hp&gt;='2019'!Maxi_hp</f>
        <v>0</v>
      </c>
      <c r="I206" s="388">
        <f>IF(H206,Wh_hp,'2019'!Maxi_hp)</f>
        <v>60.058702365360794</v>
      </c>
      <c r="J206" s="85">
        <f>IF(H206,An,'2019'!An_max)</f>
        <v>2018</v>
      </c>
      <c r="K206" s="197">
        <f t="shared" si="50"/>
        <v>44022</v>
      </c>
      <c r="L206" s="147">
        <f>IF(t&lt;Tvie,1-EXP((T0-t)*PertePVj)+'2019'!Pspv,1-EXP((T0-t)*PertePVj)+Pspv)</f>
        <v>1.0030125978891413E-2</v>
      </c>
      <c r="M206" s="832"/>
      <c r="N206" s="832"/>
      <c r="O206" s="48">
        <f>IF(t&lt;Tnet,'2019'!Resal+('2019'!Salim-'2019'!Resal)*(1-EXP(('2019'!Tnet-t)/('2019'!Tau_j))),Resal+(Salim-Resal)*(1-EXP((Tnet-t)/(Tau_j))))*Salcycl</f>
        <v>4.4663321296389627E-2</v>
      </c>
      <c r="P206" s="169">
        <f>(INDEX(Models!$BJ206:$BT206,,T206)*(1-R206)+INDEX(Models!$BJ206:$BT206,,T206+1)*R206-ERP_i)*Q206*Ramure*Pc/MaxiM</f>
        <v>0</v>
      </c>
      <c r="Q206" s="304">
        <f t="shared" si="51"/>
        <v>0.6</v>
      </c>
      <c r="R206" s="177">
        <f t="shared" si="52"/>
        <v>0.38980070863772953</v>
      </c>
      <c r="S206" s="799">
        <f t="shared" si="53"/>
        <v>-1</v>
      </c>
      <c r="T206" s="176">
        <f t="shared" si="54"/>
        <v>5</v>
      </c>
      <c r="U206" s="250">
        <f t="shared" si="55"/>
        <v>-0.61019929136227047</v>
      </c>
      <c r="V206" s="382">
        <f t="shared" si="56"/>
        <v>57.302852087524009</v>
      </c>
      <c r="W206" s="58"/>
      <c r="X206" s="157">
        <f t="shared" si="57"/>
        <v>44022</v>
      </c>
      <c r="Y206" s="383">
        <f t="shared" si="58"/>
        <v>46.902999999999999</v>
      </c>
      <c r="Z206" s="383">
        <f t="shared" si="59"/>
        <v>47.378209409026837</v>
      </c>
      <c r="AA206" s="384">
        <f t="shared" si="60"/>
        <v>49.593206735576146</v>
      </c>
      <c r="AB206" s="197">
        <f t="shared" si="61"/>
        <v>44022</v>
      </c>
      <c r="AC206" s="424">
        <f>IF(OR(t&lt;Tnet,NoTnet),'2019'!Resal_s+('2019'!Salim-'2019'!Resal_s)*(1-EXP(('2019'!Tnet_s-t)/'2019'!Tau_j)),Resal_s+(Salim-Resal_s)*(1-EXP((Tnet_s-t)/Tau_j)))*Salcycl</f>
        <v>4.4663321296389627E-2</v>
      </c>
      <c r="AD206" s="230">
        <f>(INDEX(Models!$BJ206:$BT206,,AH206)*(1-AF206)+INDEX(Models!$BJ206:$BT206,,AH206+1)*AF206-ERP_i)*AE206*Ramure*Pc/MaxiM</f>
        <v>0</v>
      </c>
      <c r="AE206" s="304">
        <f t="shared" si="62"/>
        <v>0.6</v>
      </c>
      <c r="AF206" s="177">
        <f t="shared" si="63"/>
        <v>0.38980070863772953</v>
      </c>
      <c r="AG206" s="176">
        <f t="shared" si="64"/>
        <v>-1</v>
      </c>
      <c r="AH206" s="176">
        <f t="shared" si="65"/>
        <v>5</v>
      </c>
      <c r="AI206" s="224">
        <f t="shared" si="66"/>
        <v>-0.61019929136227047</v>
      </c>
      <c r="AJ206" s="264" t="b">
        <f t="shared" si="67"/>
        <v>0</v>
      </c>
      <c r="AK206" s="264" t="b">
        <f t="shared" si="68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72"/>
        <v>44023</v>
      </c>
      <c r="B207" s="607">
        <v>42.289000000000001</v>
      </c>
      <c r="C207" s="388"/>
      <c r="D207" s="391">
        <f t="shared" ref="D207:D270" si="75">Wh/(1-Ppv)</f>
        <v>42.718280206644117</v>
      </c>
      <c r="E207" s="383">
        <f t="shared" si="73"/>
        <v>44.71822615965587</v>
      </c>
      <c r="F207" s="383">
        <f t="shared" ref="F207:F270" si="76">Wh_sa/(1-Pvg*MEDIAN((-Sdif+Wh/Env_an)/Csdif,0,1))</f>
        <v>44.71822615965587</v>
      </c>
      <c r="G207" s="110">
        <f t="shared" si="74"/>
        <v>0.73919818715794761</v>
      </c>
      <c r="H207" s="412" t="b">
        <f>Wh_hp&gt;='2019'!Maxi_hp</f>
        <v>0</v>
      </c>
      <c r="I207" s="388">
        <f>IF(H207,Wh_hp,'2019'!Maxi_hp)</f>
        <v>60.040514635762435</v>
      </c>
      <c r="J207" s="85">
        <f>IF(H207,An,'2019'!An_max)</f>
        <v>2018</v>
      </c>
      <c r="K207" s="197">
        <f t="shared" ref="K207:K270" si="77">t</f>
        <v>44023</v>
      </c>
      <c r="L207" s="147">
        <f>IF(t&lt;Tvie,1-EXP((T0-t)*PertePVj)+'2019'!Pspv,1-EXP((T0-t)*PertePVj)+Pspv)</f>
        <v>1.0049098525678701E-2</v>
      </c>
      <c r="M207" s="832"/>
      <c r="N207" s="832"/>
      <c r="O207" s="48">
        <f>IF(t&lt;Tnet,'2019'!Resal+('2019'!Salim-'2019'!Resal)*(1-EXP(('2019'!Tnet-t)/('2019'!Tau_j))),Resal+(Salim-Resal)*(1-EXP((Tnet-t)/(Tau_j))))*Salcycl</f>
        <v>4.472328454781322E-2</v>
      </c>
      <c r="P207" s="169">
        <f>(INDEX(Models!$BJ207:$BT207,,T207)*(1-R207)+INDEX(Models!$BJ207:$BT207,,T207+1)*R207-ERP_i)*Q207*Ramure*Pc/MaxiM</f>
        <v>0</v>
      </c>
      <c r="Q207" s="304">
        <f t="shared" ref="Q207:Q270" si="78">IF(OR(t&lt;Ttai,Notai),Dd+PousD*Croivg,Dens+PousD*(Croivg-Croi_tai))</f>
        <v>0.6</v>
      </c>
      <c r="R207" s="177">
        <f t="shared" ref="R207:R270" si="79">(Hp_vg-S207)/(INDEX(Echel_vg,T207+1)-S207)</f>
        <v>0.39327570218444774</v>
      </c>
      <c r="S207" s="799">
        <f t="shared" ref="S207:S270" si="80">INDEX(Echel_vg,T207)</f>
        <v>-1</v>
      </c>
      <c r="T207" s="176">
        <f t="shared" ref="T207:T270" si="81">MIN(MATCH(Hp_vg,Echel_vg),10)</f>
        <v>5</v>
      </c>
      <c r="U207" s="250">
        <f t="shared" ref="U207:U270" si="82">IF(OR(t&lt;Ttai,Notai),Hdd+PousH*Croivg,Hdtf+PousH*(Croivg-Croi_tai))</f>
        <v>-0.60672429781555226</v>
      </c>
      <c r="V207" s="382">
        <f t="shared" ref="V207:V270" si="83">MaxiM*(1-Ppv)*(1-Pvg)*(1-Psa)</f>
        <v>57.209285323861224</v>
      </c>
      <c r="W207" s="58"/>
      <c r="X207" s="157">
        <f t="shared" ref="X207:X270" si="84">t</f>
        <v>44023</v>
      </c>
      <c r="Y207" s="383">
        <f t="shared" ref="Y207:Y270" si="85">Wh_pvt_s*(1-Ppv)</f>
        <v>42.289000000000001</v>
      </c>
      <c r="Z207" s="383">
        <f t="shared" ref="Z207:Z270" si="86">Wh_sa_s*(1-Psa_s)</f>
        <v>42.718280206644117</v>
      </c>
      <c r="AA207" s="384">
        <f t="shared" ref="AA207:AA270" si="87">Wh_hp*(1-Pvg_s*MEDIAN((-Sdif+Wh/Env_an)/Csdif,0,1))</f>
        <v>44.71822615965587</v>
      </c>
      <c r="AB207" s="197">
        <f t="shared" ref="AB207:AB270" si="88">t</f>
        <v>44023</v>
      </c>
      <c r="AC207" s="424">
        <f>IF(OR(t&lt;Tnet,NoTnet),'2019'!Resal_s+('2019'!Salim-'2019'!Resal_s)*(1-EXP(('2019'!Tnet_s-t)/'2019'!Tau_j)),Resal_s+(Salim-Resal_s)*(1-EXP((Tnet_s-t)/Tau_j)))*Salcycl</f>
        <v>4.472328454781322E-2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89">IF(OR(t&lt;Ttai,Notai),Dd_s+PousD*Croivg,Dens_s+PousD*(Croivg-Croi_tai))</f>
        <v>0.6</v>
      </c>
      <c r="AF207" s="177">
        <f t="shared" ref="AF207:AF270" si="90">(Hp_vg_s-AG207)/(INDEX(Echel_vg,AH207+1)-AG207)</f>
        <v>0.39327570218444774</v>
      </c>
      <c r="AG207" s="176">
        <f t="shared" ref="AG207:AG270" si="91">INDEX(Echel_vg,AH207)</f>
        <v>-1</v>
      </c>
      <c r="AH207" s="176">
        <f t="shared" ref="AH207:AH270" si="92">MIN(MATCH(Hp_vg_s,Echel_vg),10)</f>
        <v>5</v>
      </c>
      <c r="AI207" s="224">
        <f t="shared" ref="AI207:AI270" si="93">IF(OR(t&lt;Ttai,Notai),Hdd_s+PousH*Croivg,Hdtai_s+PousH*(Croivg-Croi_tai))</f>
        <v>-0.60672429781555226</v>
      </c>
      <c r="AJ207" s="264" t="b">
        <f t="shared" ref="AJ207:AJ270" si="94">t&lt;Tnet</f>
        <v>0</v>
      </c>
      <c r="AK207" s="264" t="b">
        <f t="shared" ref="AK207:AK270" si="95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6">A207+1</f>
        <v>44024</v>
      </c>
      <c r="B208" s="607">
        <v>41.356999999999999</v>
      </c>
      <c r="C208" s="388"/>
      <c r="D208" s="391">
        <f t="shared" si="75"/>
        <v>41.777620032535509</v>
      </c>
      <c r="E208" s="383">
        <f t="shared" si="73"/>
        <v>43.736249478372258</v>
      </c>
      <c r="F208" s="383">
        <f t="shared" si="76"/>
        <v>43.736249478372258</v>
      </c>
      <c r="G208" s="110">
        <f t="shared" si="74"/>
        <v>0.72410287315947774</v>
      </c>
      <c r="H208" s="412" t="b">
        <f>Wh_hp&gt;='2019'!Maxi_hp</f>
        <v>0</v>
      </c>
      <c r="I208" s="388">
        <f>IF(H208,Wh_hp,'2019'!Maxi_hp)</f>
        <v>53.39660717667973</v>
      </c>
      <c r="J208" s="85">
        <f>IF(H208,An,'2019'!An_max)</f>
        <v>2018</v>
      </c>
      <c r="K208" s="197">
        <f t="shared" si="77"/>
        <v>44024</v>
      </c>
      <c r="L208" s="147">
        <f>IF(t&lt;Tvie,1-EXP((T0-t)*PertePVj)+'2019'!Pspv,1-EXP((T0-t)*PertePVj)+Pspv)</f>
        <v>1.0068070708861288E-2</v>
      </c>
      <c r="M208" s="832"/>
      <c r="N208" s="832"/>
      <c r="O208" s="48">
        <f>IF(t&lt;Tnet,'2019'!Resal+('2019'!Salim-'2019'!Resal)*(1-EXP(('2019'!Tnet-t)/('2019'!Tau_j))),Resal+(Salim-Resal)*(1-EXP((Tnet-t)/(Tau_j))))*Salcycl</f>
        <v>4.4782748159631292E-2</v>
      </c>
      <c r="P208" s="169">
        <f>(INDEX(Models!$BJ208:$BT208,,T208)*(1-R208)+INDEX(Models!$BJ208:$BT208,,T208+1)*R208-ERP_i)*Q208*Ramure*Pc/MaxiM</f>
        <v>0</v>
      </c>
      <c r="Q208" s="304">
        <f t="shared" si="78"/>
        <v>0.6</v>
      </c>
      <c r="R208" s="177">
        <f t="shared" si="79"/>
        <v>0.39666931140179318</v>
      </c>
      <c r="S208" s="799">
        <f t="shared" si="80"/>
        <v>-1</v>
      </c>
      <c r="T208" s="176">
        <f t="shared" si="81"/>
        <v>5</v>
      </c>
      <c r="U208" s="250">
        <f t="shared" si="82"/>
        <v>-0.60333068859820682</v>
      </c>
      <c r="V208" s="382">
        <f t="shared" si="83"/>
        <v>57.114812733095533</v>
      </c>
      <c r="W208" s="58"/>
      <c r="X208" s="157">
        <f t="shared" si="84"/>
        <v>44024</v>
      </c>
      <c r="Y208" s="383">
        <f t="shared" si="85"/>
        <v>41.356999999999999</v>
      </c>
      <c r="Z208" s="383">
        <f t="shared" si="86"/>
        <v>41.777620032535509</v>
      </c>
      <c r="AA208" s="384">
        <f t="shared" si="87"/>
        <v>43.736249478372258</v>
      </c>
      <c r="AB208" s="197">
        <f t="shared" si="88"/>
        <v>44024</v>
      </c>
      <c r="AC208" s="424">
        <f>IF(OR(t&lt;Tnet,NoTnet),'2019'!Resal_s+('2019'!Salim-'2019'!Resal_s)*(1-EXP(('2019'!Tnet_s-t)/'2019'!Tau_j)),Resal_s+(Salim-Resal_s)*(1-EXP((Tnet_s-t)/Tau_j)))*Salcycl</f>
        <v>4.4782748159631292E-2</v>
      </c>
      <c r="AD208" s="230">
        <f>(INDEX(Models!$BJ208:$BT208,,AH208)*(1-AF208)+INDEX(Models!$BJ208:$BT208,,AH208+1)*AF208-ERP_i)*AE208*Ramure*Pc/MaxiM</f>
        <v>0</v>
      </c>
      <c r="AE208" s="304">
        <f t="shared" si="89"/>
        <v>0.6</v>
      </c>
      <c r="AF208" s="177">
        <f t="shared" si="90"/>
        <v>0.39666931140179318</v>
      </c>
      <c r="AG208" s="176">
        <f t="shared" si="91"/>
        <v>-1</v>
      </c>
      <c r="AH208" s="176">
        <f t="shared" si="92"/>
        <v>5</v>
      </c>
      <c r="AI208" s="224">
        <f t="shared" si="93"/>
        <v>-0.60333068859820682</v>
      </c>
      <c r="AJ208" s="264" t="b">
        <f t="shared" si="94"/>
        <v>0</v>
      </c>
      <c r="AK208" s="264" t="b">
        <f t="shared" si="95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6"/>
        <v>44025</v>
      </c>
      <c r="B209" s="607">
        <v>55.738</v>
      </c>
      <c r="C209" s="388"/>
      <c r="D209" s="391">
        <f t="shared" si="75"/>
        <v>56.305960619372641</v>
      </c>
      <c r="E209" s="383">
        <f t="shared" si="73"/>
        <v>58.949351737669787</v>
      </c>
      <c r="F209" s="383">
        <f t="shared" si="76"/>
        <v>58.949351737669787</v>
      </c>
      <c r="G209" s="110">
        <f t="shared" si="74"/>
        <v>0.97752637898610084</v>
      </c>
      <c r="H209" s="412" t="b">
        <f>Wh_hp&gt;='2019'!Maxi_hp</f>
        <v>0</v>
      </c>
      <c r="I209" s="388">
        <f>IF(H209,Wh_hp,'2019'!Maxi_hp)</f>
        <v>60.412493272450547</v>
      </c>
      <c r="J209" s="85">
        <f>IF(H209,An,'2019'!An_max)</f>
        <v>2018</v>
      </c>
      <c r="K209" s="197">
        <f t="shared" si="77"/>
        <v>44025</v>
      </c>
      <c r="L209" s="147">
        <f>IF(t&lt;Tvie,1-EXP((T0-t)*PertePVj)+'2019'!Pspv,1-EXP((T0-t)*PertePVj)+Pspv)</f>
        <v>1.0087042528446388E-2</v>
      </c>
      <c r="M209" s="832"/>
      <c r="N209" s="832"/>
      <c r="O209" s="48">
        <f>IF(t&lt;Tnet,'2019'!Resal+('2019'!Salim-'2019'!Resal)*(1-EXP(('2019'!Tnet-t)/('2019'!Tau_j))),Resal+(Salim-Resal)*(1-EXP((Tnet-t)/(Tau_j))))*Salcycl</f>
        <v>4.4841733460623728E-2</v>
      </c>
      <c r="P209" s="169">
        <f>(INDEX(Models!$BJ209:$BT209,,T209)*(1-R209)+INDEX(Models!$BJ209:$BT209,,T209+1)*R209-ERP_i)*Q209*Ramure*Pc/MaxiM</f>
        <v>0</v>
      </c>
      <c r="Q209" s="304">
        <f t="shared" si="78"/>
        <v>0.6</v>
      </c>
      <c r="R209" s="177">
        <f t="shared" si="79"/>
        <v>0.3999815971999261</v>
      </c>
      <c r="S209" s="799">
        <f t="shared" si="80"/>
        <v>-1</v>
      </c>
      <c r="T209" s="176">
        <f t="shared" si="81"/>
        <v>5</v>
      </c>
      <c r="U209" s="250">
        <f t="shared" si="82"/>
        <v>-0.6000184028000739</v>
      </c>
      <c r="V209" s="382">
        <f t="shared" si="83"/>
        <v>57.019433130604575</v>
      </c>
      <c r="W209" s="58"/>
      <c r="X209" s="157">
        <f t="shared" si="84"/>
        <v>44025</v>
      </c>
      <c r="Y209" s="383">
        <f t="shared" si="85"/>
        <v>55.738</v>
      </c>
      <c r="Z209" s="383">
        <f t="shared" si="86"/>
        <v>56.305960619372641</v>
      </c>
      <c r="AA209" s="384">
        <f t="shared" si="87"/>
        <v>58.949351737669787</v>
      </c>
      <c r="AB209" s="197">
        <f t="shared" si="88"/>
        <v>44025</v>
      </c>
      <c r="AC209" s="424">
        <f>IF(OR(t&lt;Tnet,NoTnet),'2019'!Resal_s+('2019'!Salim-'2019'!Resal_s)*(1-EXP(('2019'!Tnet_s-t)/'2019'!Tau_j)),Resal_s+(Salim-Resal_s)*(1-EXP((Tnet_s-t)/Tau_j)))*Salcycl</f>
        <v>4.4841733460623728E-2</v>
      </c>
      <c r="AD209" s="230">
        <f>(INDEX(Models!$BJ209:$BT209,,AH209)*(1-AF209)+INDEX(Models!$BJ209:$BT209,,AH209+1)*AF209-ERP_i)*AE209*Ramure*Pc/MaxiM</f>
        <v>0</v>
      </c>
      <c r="AE209" s="304">
        <f t="shared" si="89"/>
        <v>0.6</v>
      </c>
      <c r="AF209" s="177">
        <f t="shared" si="90"/>
        <v>0.3999815971999261</v>
      </c>
      <c r="AG209" s="176">
        <f t="shared" si="91"/>
        <v>-1</v>
      </c>
      <c r="AH209" s="176">
        <f t="shared" si="92"/>
        <v>5</v>
      </c>
      <c r="AI209" s="224">
        <f t="shared" si="93"/>
        <v>-0.6000184028000739</v>
      </c>
      <c r="AJ209" s="264" t="b">
        <f t="shared" si="94"/>
        <v>0</v>
      </c>
      <c r="AK209" s="264" t="b">
        <f t="shared" si="95"/>
        <v>0</v>
      </c>
      <c r="AL209" s="264"/>
      <c r="AM209" s="264"/>
      <c r="AN209" s="75"/>
    </row>
    <row r="210" spans="1:40" s="6" customFormat="1" ht="11.25" x14ac:dyDescent="0.2">
      <c r="A210" s="56">
        <f t="shared" si="96"/>
        <v>44026</v>
      </c>
      <c r="B210" s="607">
        <v>45.183</v>
      </c>
      <c r="C210" s="388"/>
      <c r="D210" s="391">
        <f t="shared" si="75"/>
        <v>45.644281749671947</v>
      </c>
      <c r="E210" s="383">
        <f t="shared" si="73"/>
        <v>47.790068328343303</v>
      </c>
      <c r="F210" s="383">
        <f t="shared" si="76"/>
        <v>47.790068328343303</v>
      </c>
      <c r="G210" s="110">
        <f t="shared" si="74"/>
        <v>0.79375445142311896</v>
      </c>
      <c r="H210" s="412" t="b">
        <f>Wh_hp&gt;='2019'!Maxi_hp</f>
        <v>0</v>
      </c>
      <c r="I210" s="388">
        <f>IF(H210,Wh_hp,'2019'!Maxi_hp)</f>
        <v>62.029169256698459</v>
      </c>
      <c r="J210" s="85">
        <f>IF(H210,An,'2019'!An_max)</f>
        <v>2018</v>
      </c>
      <c r="K210" s="197">
        <f t="shared" si="77"/>
        <v>44026</v>
      </c>
      <c r="L210" s="147">
        <f>IF(t&lt;Tvie,1-EXP((T0-t)*PertePVj)+'2019'!Pspv,1-EXP((T0-t)*PertePVj)+Pspv)</f>
        <v>1.0106013984440887E-2</v>
      </c>
      <c r="M210" s="832"/>
      <c r="N210" s="832"/>
      <c r="O210" s="48">
        <f>IF(t&lt;Tnet,'2019'!Resal+('2019'!Salim-'2019'!Resal)*(1-EXP(('2019'!Tnet-t)/('2019'!Tau_j))),Resal+(Salim-Resal)*(1-EXP((Tnet-t)/(Tau_j))))*Salcycl</f>
        <v>4.4900261785119404E-2</v>
      </c>
      <c r="P210" s="169">
        <f>(INDEX(Models!$BJ210:$BT210,,T210)*(1-R210)+INDEX(Models!$BJ210:$BT210,,T210+1)*R210-ERP_i)*Q210*Ramure*Pc/MaxiM</f>
        <v>0</v>
      </c>
      <c r="Q210" s="304">
        <f t="shared" si="78"/>
        <v>0.6</v>
      </c>
      <c r="R210" s="177">
        <f t="shared" si="79"/>
        <v>0.40321275160507852</v>
      </c>
      <c r="S210" s="799">
        <f t="shared" si="80"/>
        <v>-1</v>
      </c>
      <c r="T210" s="176">
        <f t="shared" si="81"/>
        <v>5</v>
      </c>
      <c r="U210" s="250">
        <f t="shared" si="82"/>
        <v>-0.59678724839492148</v>
      </c>
      <c r="V210" s="382">
        <f t="shared" si="83"/>
        <v>56.923145336686424</v>
      </c>
      <c r="W210" s="58"/>
      <c r="X210" s="157">
        <f t="shared" si="84"/>
        <v>44026</v>
      </c>
      <c r="Y210" s="383">
        <f t="shared" si="85"/>
        <v>45.183</v>
      </c>
      <c r="Z210" s="383">
        <f t="shared" si="86"/>
        <v>45.644281749671947</v>
      </c>
      <c r="AA210" s="384">
        <f t="shared" si="87"/>
        <v>47.790068328343303</v>
      </c>
      <c r="AB210" s="197">
        <f t="shared" si="88"/>
        <v>44026</v>
      </c>
      <c r="AC210" s="424">
        <f>IF(OR(t&lt;Tnet,NoTnet),'2019'!Resal_s+('2019'!Salim-'2019'!Resal_s)*(1-EXP(('2019'!Tnet_s-t)/'2019'!Tau_j)),Resal_s+(Salim-Resal_s)*(1-EXP((Tnet_s-t)/Tau_j)))*Salcycl</f>
        <v>4.4900261785119404E-2</v>
      </c>
      <c r="AD210" s="230">
        <f>(INDEX(Models!$BJ210:$BT210,,AH210)*(1-AF210)+INDEX(Models!$BJ210:$BT210,,AH210+1)*AF210-ERP_i)*AE210*Ramure*Pc/MaxiM</f>
        <v>0</v>
      </c>
      <c r="AE210" s="304">
        <f t="shared" si="89"/>
        <v>0.6</v>
      </c>
      <c r="AF210" s="177">
        <f t="shared" si="90"/>
        <v>0.40321275160507852</v>
      </c>
      <c r="AG210" s="176">
        <f t="shared" si="91"/>
        <v>-1</v>
      </c>
      <c r="AH210" s="176">
        <f t="shared" si="92"/>
        <v>5</v>
      </c>
      <c r="AI210" s="224">
        <f t="shared" si="93"/>
        <v>-0.59678724839492148</v>
      </c>
      <c r="AJ210" s="264" t="b">
        <f t="shared" si="94"/>
        <v>0</v>
      </c>
      <c r="AK210" s="264" t="b">
        <f t="shared" si="95"/>
        <v>0</v>
      </c>
      <c r="AL210" s="264"/>
      <c r="AM210" s="264"/>
      <c r="AN210" s="75"/>
    </row>
    <row r="211" spans="1:40" s="6" customFormat="1" ht="11.25" x14ac:dyDescent="0.2">
      <c r="A211" s="56">
        <f t="shared" si="96"/>
        <v>44027</v>
      </c>
      <c r="B211" s="607">
        <v>19.271000000000001</v>
      </c>
      <c r="C211" s="388"/>
      <c r="D211" s="391">
        <f t="shared" si="75"/>
        <v>19.468114367444823</v>
      </c>
      <c r="E211" s="383">
        <f t="shared" si="73"/>
        <v>20.384571140037508</v>
      </c>
      <c r="F211" s="383">
        <f t="shared" si="76"/>
        <v>20.384571140037508</v>
      </c>
      <c r="G211" s="110">
        <f t="shared" si="74"/>
        <v>0.33912324590371667</v>
      </c>
      <c r="H211" s="412" t="b">
        <f>Wh_hp&gt;='2019'!Maxi_hp</f>
        <v>0</v>
      </c>
      <c r="I211" s="388">
        <f>IF(H211,Wh_hp,'2019'!Maxi_hp)</f>
        <v>60.446549664611396</v>
      </c>
      <c r="J211" s="85">
        <f>IF(H211,An,'2019'!An_max)</f>
        <v>2018</v>
      </c>
      <c r="K211" s="197">
        <f t="shared" si="77"/>
        <v>44027</v>
      </c>
      <c r="L211" s="147">
        <f>IF(t&lt;Tvie,1-EXP((T0-t)*PertePVj)+'2019'!Pspv,1-EXP((T0-t)*PertePVj)+Pspv)</f>
        <v>1.0124985076851778E-2</v>
      </c>
      <c r="M211" s="832"/>
      <c r="N211" s="832"/>
      <c r="O211" s="48">
        <f>IF(t&lt;Tnet,'2019'!Resal+('2019'!Salim-'2019'!Resal)*(1-EXP(('2019'!Tnet-t)/('2019'!Tau_j))),Resal+(Salim-Resal)*(1-EXP((Tnet-t)/(Tau_j))))*Salcycl</f>
        <v>4.4958354350299087E-2</v>
      </c>
      <c r="P211" s="169">
        <f>(INDEX(Models!$BJ211:$BT211,,T211)*(1-R211)+INDEX(Models!$BJ211:$BT211,,T211+1)*R211-ERP_i)*Q211*Ramure*Pc/MaxiM</f>
        <v>0</v>
      </c>
      <c r="Q211" s="304">
        <f t="shared" si="78"/>
        <v>0.6</v>
      </c>
      <c r="R211" s="177">
        <f t="shared" si="79"/>
        <v>0.40636309096641998</v>
      </c>
      <c r="S211" s="799">
        <f t="shared" si="80"/>
        <v>-1</v>
      </c>
      <c r="T211" s="176">
        <f t="shared" si="81"/>
        <v>5</v>
      </c>
      <c r="U211" s="250">
        <f t="shared" si="82"/>
        <v>-0.59363690903358002</v>
      </c>
      <c r="V211" s="382">
        <f t="shared" si="83"/>
        <v>56.825948184841891</v>
      </c>
      <c r="W211" s="58"/>
      <c r="X211" s="157">
        <f t="shared" si="84"/>
        <v>44027</v>
      </c>
      <c r="Y211" s="383">
        <f t="shared" si="85"/>
        <v>19.271000000000001</v>
      </c>
      <c r="Z211" s="383">
        <f t="shared" si="86"/>
        <v>19.468114367444823</v>
      </c>
      <c r="AA211" s="384">
        <f t="shared" si="87"/>
        <v>20.384571140037508</v>
      </c>
      <c r="AB211" s="197">
        <f t="shared" si="88"/>
        <v>44027</v>
      </c>
      <c r="AC211" s="424">
        <f>IF(OR(t&lt;Tnet,NoTnet),'2019'!Resal_s+('2019'!Salim-'2019'!Resal_s)*(1-EXP(('2019'!Tnet_s-t)/'2019'!Tau_j)),Resal_s+(Salim-Resal_s)*(1-EXP((Tnet_s-t)/Tau_j)))*Salcycl</f>
        <v>4.4958354350299087E-2</v>
      </c>
      <c r="AD211" s="230">
        <f>(INDEX(Models!$BJ211:$BT211,,AH211)*(1-AF211)+INDEX(Models!$BJ211:$BT211,,AH211+1)*AF211-ERP_i)*AE211*Ramure*Pc/MaxiM</f>
        <v>0</v>
      </c>
      <c r="AE211" s="304">
        <f t="shared" si="89"/>
        <v>0.6</v>
      </c>
      <c r="AF211" s="177">
        <f t="shared" si="90"/>
        <v>0.40636309096641998</v>
      </c>
      <c r="AG211" s="176">
        <f t="shared" si="91"/>
        <v>-1</v>
      </c>
      <c r="AH211" s="176">
        <f t="shared" si="92"/>
        <v>5</v>
      </c>
      <c r="AI211" s="224">
        <f t="shared" si="93"/>
        <v>-0.59363690903358002</v>
      </c>
      <c r="AJ211" s="264" t="b">
        <f t="shared" si="94"/>
        <v>0</v>
      </c>
      <c r="AK211" s="264" t="b">
        <f t="shared" si="95"/>
        <v>0</v>
      </c>
      <c r="AL211" s="264"/>
      <c r="AM211" s="264"/>
      <c r="AN211" s="75"/>
    </row>
    <row r="212" spans="1:40" s="6" customFormat="1" ht="11.25" x14ac:dyDescent="0.2">
      <c r="A212" s="56">
        <f t="shared" si="96"/>
        <v>44028</v>
      </c>
      <c r="B212" s="607">
        <v>23.966999999999999</v>
      </c>
      <c r="C212" s="388"/>
      <c r="D212" s="391">
        <f t="shared" si="75"/>
        <v>24.212611662646118</v>
      </c>
      <c r="E212" s="383">
        <f t="shared" si="73"/>
        <v>25.353945696974392</v>
      </c>
      <c r="F212" s="383">
        <f t="shared" si="76"/>
        <v>25.353945696974392</v>
      </c>
      <c r="G212" s="110">
        <f t="shared" si="74"/>
        <v>0.42249096347136267</v>
      </c>
      <c r="H212" s="412" t="b">
        <f>Wh_hp&gt;='2019'!Maxi_hp</f>
        <v>0</v>
      </c>
      <c r="I212" s="388">
        <f>IF(H212,Wh_hp,'2019'!Maxi_hp)</f>
        <v>53.847416141927276</v>
      </c>
      <c r="J212" s="85">
        <f>IF(H212,An,'2019'!An_max)</f>
        <v>2018</v>
      </c>
      <c r="K212" s="197">
        <f t="shared" si="77"/>
        <v>44028</v>
      </c>
      <c r="L212" s="147">
        <f>IF(t&lt;Tvie,1-EXP((T0-t)*PertePVj)+'2019'!Pspv,1-EXP((T0-t)*PertePVj)+Pspv)</f>
        <v>1.0143955805686056E-2</v>
      </c>
      <c r="M212" s="832"/>
      <c r="N212" s="832"/>
      <c r="O212" s="48">
        <f>IF(t&lt;Tnet,'2019'!Resal+('2019'!Salim-'2019'!Resal)*(1-EXP(('2019'!Tnet-t)/('2019'!Tau_j))),Resal+(Salim-Resal)*(1-EXP((Tnet-t)/(Tau_j))))*Salcycl</f>
        <v>4.5016032138322143E-2</v>
      </c>
      <c r="P212" s="169">
        <f>(INDEX(Models!$BJ212:$BT212,,T212)*(1-R212)+INDEX(Models!$BJ212:$BT212,,T212+1)*R212-ERP_i)*Q212*Ramure*Pc/MaxiM</f>
        <v>-1.9448925844073106E-20</v>
      </c>
      <c r="Q212" s="304">
        <f t="shared" si="78"/>
        <v>0.6</v>
      </c>
      <c r="R212" s="177">
        <f t="shared" si="79"/>
        <v>0.40943304903299627</v>
      </c>
      <c r="S212" s="799">
        <f t="shared" si="80"/>
        <v>-1</v>
      </c>
      <c r="T212" s="176">
        <f t="shared" si="81"/>
        <v>5</v>
      </c>
      <c r="U212" s="250">
        <f t="shared" si="82"/>
        <v>-0.59056695096700373</v>
      </c>
      <c r="V212" s="382">
        <f t="shared" si="83"/>
        <v>56.727840527231848</v>
      </c>
      <c r="W212" s="58"/>
      <c r="X212" s="157">
        <f t="shared" si="84"/>
        <v>44028</v>
      </c>
      <c r="Y212" s="383">
        <f t="shared" si="85"/>
        <v>23.966999999999999</v>
      </c>
      <c r="Z212" s="383">
        <f t="shared" si="86"/>
        <v>24.212611662646118</v>
      </c>
      <c r="AA212" s="384">
        <f t="shared" si="87"/>
        <v>25.353945696974392</v>
      </c>
      <c r="AB212" s="197">
        <f t="shared" si="88"/>
        <v>44028</v>
      </c>
      <c r="AC212" s="424">
        <f>IF(OR(t&lt;Tnet,NoTnet),'2019'!Resal_s+('2019'!Salim-'2019'!Resal_s)*(1-EXP(('2019'!Tnet_s-t)/'2019'!Tau_j)),Resal_s+(Salim-Resal_s)*(1-EXP((Tnet_s-t)/Tau_j)))*Salcycl</f>
        <v>4.5016032138322143E-2</v>
      </c>
      <c r="AD212" s="230">
        <f>(INDEX(Models!$BJ212:$BT212,,AH212)*(1-AF212)+INDEX(Models!$BJ212:$BT212,,AH212+1)*AF212-ERP_i)*AE212*Ramure*Pc/MaxiM</f>
        <v>-1.9448925844073106E-20</v>
      </c>
      <c r="AE212" s="304">
        <f t="shared" si="89"/>
        <v>0.6</v>
      </c>
      <c r="AF212" s="177">
        <f t="shared" si="90"/>
        <v>0.40943304903299627</v>
      </c>
      <c r="AG212" s="176">
        <f t="shared" si="91"/>
        <v>-1</v>
      </c>
      <c r="AH212" s="176">
        <f t="shared" si="92"/>
        <v>5</v>
      </c>
      <c r="AI212" s="224">
        <f t="shared" si="93"/>
        <v>-0.59056695096700373</v>
      </c>
      <c r="AJ212" s="264" t="b">
        <f t="shared" si="94"/>
        <v>0</v>
      </c>
      <c r="AK212" s="264" t="b">
        <f t="shared" si="95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6"/>
        <v>44029</v>
      </c>
      <c r="B213" s="607">
        <v>27.123999999999999</v>
      </c>
      <c r="C213" s="388"/>
      <c r="D213" s="391">
        <f t="shared" si="75"/>
        <v>27.402489477459667</v>
      </c>
      <c r="E213" s="383">
        <f t="shared" si="73"/>
        <v>28.695909257115936</v>
      </c>
      <c r="F213" s="383">
        <f t="shared" si="76"/>
        <v>28.695909257115936</v>
      </c>
      <c r="G213" s="110">
        <f t="shared" si="74"/>
        <v>0.47897871445378776</v>
      </c>
      <c r="H213" s="412" t="b">
        <f>Wh_hp&gt;='2019'!Maxi_hp</f>
        <v>0</v>
      </c>
      <c r="I213" s="388">
        <f>IF(H213,Wh_hp,'2019'!Maxi_hp)</f>
        <v>36.225413806131193</v>
      </c>
      <c r="J213" s="85">
        <f>IF(H213,An,'2019'!An_max)</f>
        <v>2018</v>
      </c>
      <c r="K213" s="197">
        <f t="shared" si="77"/>
        <v>44029</v>
      </c>
      <c r="L213" s="147">
        <f>IF(t&lt;Tvie,1-EXP((T0-t)*PertePVj)+'2019'!Pspv,1-EXP((T0-t)*PertePVj)+Pspv)</f>
        <v>1.0162926170950493E-2</v>
      </c>
      <c r="M213" s="832"/>
      <c r="N213" s="832"/>
      <c r="O213" s="48">
        <f>IF(t&lt;Tnet,'2019'!Resal+('2019'!Salim-'2019'!Resal)*(1-EXP(('2019'!Tnet-t)/('2019'!Tau_j))),Resal+(Salim-Resal)*(1-EXP((Tnet-t)/(Tau_j))))*Salcycl</f>
        <v>4.5073315784044332E-2</v>
      </c>
      <c r="P213" s="169">
        <f>(INDEX(Models!$BJ213:$BT213,,T213)*(1-R213)+INDEX(Models!$BJ213:$BT213,,T213+1)*R213-ERP_i)*Q213*Ramure*Pc/MaxiM</f>
        <v>0</v>
      </c>
      <c r="Q213" s="304">
        <f t="shared" si="78"/>
        <v>0.6</v>
      </c>
      <c r="R213" s="177">
        <f t="shared" si="79"/>
        <v>0.41242316994928663</v>
      </c>
      <c r="S213" s="799">
        <f t="shared" si="80"/>
        <v>-1</v>
      </c>
      <c r="T213" s="176">
        <f t="shared" si="81"/>
        <v>5</v>
      </c>
      <c r="U213" s="250">
        <f t="shared" si="82"/>
        <v>-0.58757683005071337</v>
      </c>
      <c r="V213" s="382">
        <f t="shared" si="83"/>
        <v>56.628821242988536</v>
      </c>
      <c r="W213" s="58"/>
      <c r="X213" s="157">
        <f t="shared" si="84"/>
        <v>44029</v>
      </c>
      <c r="Y213" s="383">
        <f t="shared" si="85"/>
        <v>27.123999999999999</v>
      </c>
      <c r="Z213" s="383">
        <f t="shared" si="86"/>
        <v>27.402489477459667</v>
      </c>
      <c r="AA213" s="384">
        <f t="shared" si="87"/>
        <v>28.695909257115936</v>
      </c>
      <c r="AB213" s="197">
        <f t="shared" si="88"/>
        <v>44029</v>
      </c>
      <c r="AC213" s="424">
        <f>IF(OR(t&lt;Tnet,NoTnet),'2019'!Resal_s+('2019'!Salim-'2019'!Resal_s)*(1-EXP(('2019'!Tnet_s-t)/'2019'!Tau_j)),Resal_s+(Salim-Resal_s)*(1-EXP((Tnet_s-t)/Tau_j)))*Salcycl</f>
        <v>4.5073315784044332E-2</v>
      </c>
      <c r="AD213" s="230">
        <f>(INDEX(Models!$BJ213:$BT213,,AH213)*(1-AF213)+INDEX(Models!$BJ213:$BT213,,AH213+1)*AF213-ERP_i)*AE213*Ramure*Pc/MaxiM</f>
        <v>0</v>
      </c>
      <c r="AE213" s="304">
        <f t="shared" si="89"/>
        <v>0.6</v>
      </c>
      <c r="AF213" s="177">
        <f t="shared" si="90"/>
        <v>0.41242316994928663</v>
      </c>
      <c r="AG213" s="176">
        <f t="shared" si="91"/>
        <v>-1</v>
      </c>
      <c r="AH213" s="176">
        <f t="shared" si="92"/>
        <v>5</v>
      </c>
      <c r="AI213" s="224">
        <f t="shared" si="93"/>
        <v>-0.58757683005071337</v>
      </c>
      <c r="AJ213" s="264" t="b">
        <f t="shared" si="94"/>
        <v>0</v>
      </c>
      <c r="AK213" s="264" t="b">
        <f t="shared" si="95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6"/>
        <v>44030</v>
      </c>
      <c r="B214" s="607">
        <v>56.796999999999997</v>
      </c>
      <c r="C214" s="388"/>
      <c r="D214" s="391">
        <f t="shared" si="75"/>
        <v>57.381249929034439</v>
      </c>
      <c r="E214" s="383">
        <f t="shared" si="73"/>
        <v>60.093272883435894</v>
      </c>
      <c r="F214" s="383">
        <f t="shared" si="76"/>
        <v>60.093272883435894</v>
      </c>
      <c r="G214" s="110">
        <f t="shared" si="74"/>
        <v>1.0047428980101096</v>
      </c>
      <c r="H214" s="412" t="b">
        <f>Wh_hp&gt;='2019'!Maxi_hp</f>
        <v>1</v>
      </c>
      <c r="I214" s="388">
        <f>IF(H214,Wh_hp,'2019'!Maxi_hp)</f>
        <v>60.093272883435894</v>
      </c>
      <c r="J214" s="85">
        <f>IF(H214,An,'2019'!An_max)</f>
        <v>2020</v>
      </c>
      <c r="K214" s="197">
        <f t="shared" si="77"/>
        <v>44030</v>
      </c>
      <c r="L214" s="147">
        <f>IF(t&lt;Tvie,1-EXP((T0-t)*PertePVj)+'2019'!Pspv,1-EXP((T0-t)*PertePVj)+Pspv)</f>
        <v>1.0181896172652305E-2</v>
      </c>
      <c r="M214" s="832"/>
      <c r="N214" s="832"/>
      <c r="O214" s="48">
        <f>IF(t&lt;Tnet,'2019'!Resal+('2019'!Salim-'2019'!Resal)*(1-EXP(('2019'!Tnet-t)/('2019'!Tau_j))),Resal+(Salim-Resal)*(1-EXP((Tnet-t)/(Tau_j))))*Salcycl</f>
        <v>4.5130225469030755E-2</v>
      </c>
      <c r="P214" s="169">
        <f>(INDEX(Models!$BJ214:$BT214,,T214)*(1-R214)+INDEX(Models!$BJ214:$BT214,,T214+1)*R214-ERP_i)*Q214*Ramure*Pc/MaxiM</f>
        <v>1.953612006557277E-20</v>
      </c>
      <c r="Q214" s="304">
        <f t="shared" si="78"/>
        <v>0.6</v>
      </c>
      <c r="R214" s="177">
        <f t="shared" si="79"/>
        <v>0.41533410121485037</v>
      </c>
      <c r="S214" s="799">
        <f t="shared" si="80"/>
        <v>-1</v>
      </c>
      <c r="T214" s="176">
        <f t="shared" si="81"/>
        <v>5</v>
      </c>
      <c r="U214" s="250">
        <f t="shared" si="82"/>
        <v>-0.58466589878514963</v>
      </c>
      <c r="V214" s="382">
        <f t="shared" si="83"/>
        <v>56.52888924369239</v>
      </c>
      <c r="W214" s="58"/>
      <c r="X214" s="157">
        <f t="shared" si="84"/>
        <v>44030</v>
      </c>
      <c r="Y214" s="383">
        <f t="shared" si="85"/>
        <v>56.796999999999997</v>
      </c>
      <c r="Z214" s="383">
        <f t="shared" si="86"/>
        <v>57.381249929034439</v>
      </c>
      <c r="AA214" s="384">
        <f t="shared" si="87"/>
        <v>60.093272883435894</v>
      </c>
      <c r="AB214" s="197">
        <f t="shared" si="88"/>
        <v>44030</v>
      </c>
      <c r="AC214" s="424">
        <f>IF(OR(t&lt;Tnet,NoTnet),'2019'!Resal_s+('2019'!Salim-'2019'!Resal_s)*(1-EXP(('2019'!Tnet_s-t)/'2019'!Tau_j)),Resal_s+(Salim-Resal_s)*(1-EXP((Tnet_s-t)/Tau_j)))*Salcycl</f>
        <v>4.5130225469030755E-2</v>
      </c>
      <c r="AD214" s="230">
        <f>(INDEX(Models!$BJ214:$BT214,,AH214)*(1-AF214)+INDEX(Models!$BJ214:$BT214,,AH214+1)*AF214-ERP_i)*AE214*Ramure*Pc/MaxiM</f>
        <v>1.953612006557277E-20</v>
      </c>
      <c r="AE214" s="304">
        <f t="shared" si="89"/>
        <v>0.6</v>
      </c>
      <c r="AF214" s="177">
        <f t="shared" si="90"/>
        <v>0.41533410121485037</v>
      </c>
      <c r="AG214" s="176">
        <f t="shared" si="91"/>
        <v>-1</v>
      </c>
      <c r="AH214" s="176">
        <f t="shared" si="92"/>
        <v>5</v>
      </c>
      <c r="AI214" s="224">
        <f t="shared" si="93"/>
        <v>-0.58466589878514963</v>
      </c>
      <c r="AJ214" s="264" t="b">
        <f t="shared" si="94"/>
        <v>0</v>
      </c>
      <c r="AK214" s="264" t="b">
        <f t="shared" si="95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6"/>
        <v>44031</v>
      </c>
      <c r="B215" s="607">
        <v>55.969000000000001</v>
      </c>
      <c r="C215" s="388"/>
      <c r="D215" s="391">
        <f t="shared" si="75"/>
        <v>56.545816284075919</v>
      </c>
      <c r="E215" s="383">
        <f t="shared" si="73"/>
        <v>59.221861562396249</v>
      </c>
      <c r="F215" s="383">
        <f t="shared" si="76"/>
        <v>59.221861562396249</v>
      </c>
      <c r="G215" s="110">
        <f t="shared" si="74"/>
        <v>0.99186497614912816</v>
      </c>
      <c r="H215" s="412" t="b">
        <f>Wh_hp&gt;='2019'!Maxi_hp</f>
        <v>1</v>
      </c>
      <c r="I215" s="388">
        <f>IF(H215,Wh_hp,'2019'!Maxi_hp)</f>
        <v>59.221861562396249</v>
      </c>
      <c r="J215" s="85">
        <f>IF(H215,An,'2019'!An_max)</f>
        <v>2020</v>
      </c>
      <c r="K215" s="197">
        <f t="shared" si="77"/>
        <v>44031</v>
      </c>
      <c r="L215" s="147">
        <f>IF(t&lt;Tvie,1-EXP((T0-t)*PertePVj)+'2019'!Pspv,1-EXP((T0-t)*PertePVj)+Pspv)</f>
        <v>1.0200865810798376E-2</v>
      </c>
      <c r="M215" s="832"/>
      <c r="N215" s="832"/>
      <c r="O215" s="48">
        <f>IF(t&lt;Tnet,'2019'!Resal+('2019'!Salim-'2019'!Resal)*(1-EXP(('2019'!Tnet-t)/('2019'!Tau_j))),Resal+(Salim-Resal)*(1-EXP((Tnet-t)/(Tau_j))))*Salcycl</f>
        <v>4.5186780822498211E-2</v>
      </c>
      <c r="P215" s="169">
        <f>(INDEX(Models!$BJ215:$BT215,,T215)*(1-R215)+INDEX(Models!$BJ215:$BT215,,T215+1)*R215-ERP_i)*Q215*Ramure*Pc/MaxiM</f>
        <v>0</v>
      </c>
      <c r="Q215" s="304">
        <f t="shared" si="78"/>
        <v>0.6</v>
      </c>
      <c r="R215" s="177">
        <f t="shared" si="79"/>
        <v>0.4181665866502855</v>
      </c>
      <c r="S215" s="799">
        <f t="shared" si="80"/>
        <v>-1</v>
      </c>
      <c r="T215" s="176">
        <f t="shared" si="81"/>
        <v>5</v>
      </c>
      <c r="U215" s="250">
        <f t="shared" si="82"/>
        <v>-0.5818334133497145</v>
      </c>
      <c r="V215" s="382">
        <f t="shared" si="83"/>
        <v>56.428043479564295</v>
      </c>
      <c r="W215" s="58"/>
      <c r="X215" s="157">
        <f t="shared" si="84"/>
        <v>44031</v>
      </c>
      <c r="Y215" s="383">
        <f t="shared" si="85"/>
        <v>55.969000000000001</v>
      </c>
      <c r="Z215" s="383">
        <f t="shared" si="86"/>
        <v>56.545816284075919</v>
      </c>
      <c r="AA215" s="384">
        <f t="shared" si="87"/>
        <v>59.221861562396249</v>
      </c>
      <c r="AB215" s="197">
        <f t="shared" si="88"/>
        <v>44031</v>
      </c>
      <c r="AC215" s="424">
        <f>IF(OR(t&lt;Tnet,NoTnet),'2019'!Resal_s+('2019'!Salim-'2019'!Resal_s)*(1-EXP(('2019'!Tnet_s-t)/'2019'!Tau_j)),Resal_s+(Salim-Resal_s)*(1-EXP((Tnet_s-t)/Tau_j)))*Salcycl</f>
        <v>4.5186780822498211E-2</v>
      </c>
      <c r="AD215" s="230">
        <f>(INDEX(Models!$BJ215:$BT215,,AH215)*(1-AF215)+INDEX(Models!$BJ215:$BT215,,AH215+1)*AF215-ERP_i)*AE215*Ramure*Pc/MaxiM</f>
        <v>0</v>
      </c>
      <c r="AE215" s="304">
        <f t="shared" si="89"/>
        <v>0.6</v>
      </c>
      <c r="AF215" s="177">
        <f t="shared" si="90"/>
        <v>0.4181665866502855</v>
      </c>
      <c r="AG215" s="176">
        <f t="shared" si="91"/>
        <v>-1</v>
      </c>
      <c r="AH215" s="176">
        <f t="shared" si="92"/>
        <v>5</v>
      </c>
      <c r="AI215" s="224">
        <f t="shared" si="93"/>
        <v>-0.5818334133497145</v>
      </c>
      <c r="AJ215" s="264" t="b">
        <f t="shared" si="94"/>
        <v>0</v>
      </c>
      <c r="AK215" s="264" t="b">
        <f t="shared" si="95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6"/>
        <v>44032</v>
      </c>
      <c r="B216" s="607">
        <v>50.764000000000003</v>
      </c>
      <c r="C216" s="388"/>
      <c r="D216" s="391">
        <f t="shared" si="75"/>
        <v>51.288156501277022</v>
      </c>
      <c r="E216" s="383">
        <f t="shared" si="73"/>
        <v>53.718544661992269</v>
      </c>
      <c r="F216" s="383">
        <f t="shared" si="76"/>
        <v>53.718544661992269</v>
      </c>
      <c r="G216" s="110">
        <f t="shared" si="74"/>
        <v>0.90124889032874211</v>
      </c>
      <c r="H216" s="412" t="b">
        <f>Wh_hp&gt;='2019'!Maxi_hp</f>
        <v>1</v>
      </c>
      <c r="I216" s="388">
        <f>IF(H216,Wh_hp,'2019'!Maxi_hp)</f>
        <v>53.718544661992269</v>
      </c>
      <c r="J216" s="85">
        <f>IF(H216,An,'2019'!An_max)</f>
        <v>2020</v>
      </c>
      <c r="K216" s="197">
        <f t="shared" si="77"/>
        <v>44032</v>
      </c>
      <c r="L216" s="147">
        <f>IF(t&lt;Tvie,1-EXP((T0-t)*PertePVj)+'2019'!Pspv,1-EXP((T0-t)*PertePVj)+Pspv)</f>
        <v>1.0219835085395701E-2</v>
      </c>
      <c r="M216" s="832"/>
      <c r="N216" s="832"/>
      <c r="O216" s="48">
        <f>IF(t&lt;Tnet,'2019'!Resal+('2019'!Salim-'2019'!Resal)*(1-EXP(('2019'!Tnet-t)/('2019'!Tau_j))),Resal+(Salim-Resal)*(1-EXP((Tnet-t)/(Tau_j))))*Salcycl</f>
        <v>4.5243000829745687E-2</v>
      </c>
      <c r="P216" s="169">
        <f>(INDEX(Models!$BJ216:$BT216,,T216)*(1-R216)+INDEX(Models!$BJ216:$BT216,,T216+1)*R216-ERP_i)*Q216*Ramure*Pc/MaxiM</f>
        <v>-1.9619566310446586E-20</v>
      </c>
      <c r="Q216" s="304">
        <f t="shared" si="78"/>
        <v>0.6</v>
      </c>
      <c r="R216" s="177">
        <f t="shared" si="79"/>
        <v>0.42092145940834547</v>
      </c>
      <c r="S216" s="799">
        <f t="shared" si="80"/>
        <v>-1</v>
      </c>
      <c r="T216" s="176">
        <f t="shared" si="81"/>
        <v>5</v>
      </c>
      <c r="U216" s="250">
        <f t="shared" si="82"/>
        <v>-0.57907854059165453</v>
      </c>
      <c r="V216" s="382">
        <f t="shared" si="83"/>
        <v>56.326282944418587</v>
      </c>
      <c r="W216" s="58"/>
      <c r="X216" s="157">
        <f t="shared" si="84"/>
        <v>44032</v>
      </c>
      <c r="Y216" s="383">
        <f t="shared" si="85"/>
        <v>50.764000000000003</v>
      </c>
      <c r="Z216" s="383">
        <f t="shared" si="86"/>
        <v>51.288156501277022</v>
      </c>
      <c r="AA216" s="384">
        <f t="shared" si="87"/>
        <v>53.718544661992269</v>
      </c>
      <c r="AB216" s="197">
        <f t="shared" si="88"/>
        <v>44032</v>
      </c>
      <c r="AC216" s="424">
        <f>IF(OR(t&lt;Tnet,NoTnet),'2019'!Resal_s+('2019'!Salim-'2019'!Resal_s)*(1-EXP(('2019'!Tnet_s-t)/'2019'!Tau_j)),Resal_s+(Salim-Resal_s)*(1-EXP((Tnet_s-t)/Tau_j)))*Salcycl</f>
        <v>4.5243000829745687E-2</v>
      </c>
      <c r="AD216" s="230">
        <f>(INDEX(Models!$BJ216:$BT216,,AH216)*(1-AF216)+INDEX(Models!$BJ216:$BT216,,AH216+1)*AF216-ERP_i)*AE216*Ramure*Pc/MaxiM</f>
        <v>-1.9619566310446586E-20</v>
      </c>
      <c r="AE216" s="304">
        <f t="shared" si="89"/>
        <v>0.6</v>
      </c>
      <c r="AF216" s="177">
        <f t="shared" si="90"/>
        <v>0.42092145940834547</v>
      </c>
      <c r="AG216" s="176">
        <f t="shared" si="91"/>
        <v>-1</v>
      </c>
      <c r="AH216" s="176">
        <f t="shared" si="92"/>
        <v>5</v>
      </c>
      <c r="AI216" s="224">
        <f t="shared" si="93"/>
        <v>-0.57907854059165453</v>
      </c>
      <c r="AJ216" s="264" t="b">
        <f t="shared" si="94"/>
        <v>0</v>
      </c>
      <c r="AK216" s="264" t="b">
        <f t="shared" si="95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6"/>
        <v>44033</v>
      </c>
      <c r="B217" s="607">
        <v>52.256</v>
      </c>
      <c r="C217" s="388"/>
      <c r="D217" s="391">
        <f t="shared" si="75"/>
        <v>52.796573770520531</v>
      </c>
      <c r="E217" s="383">
        <f t="shared" si="73"/>
        <v>55.301679214386333</v>
      </c>
      <c r="F217" s="383">
        <f t="shared" si="76"/>
        <v>55.301679214386333</v>
      </c>
      <c r="G217" s="110">
        <f t="shared" si="74"/>
        <v>0.92943165841453379</v>
      </c>
      <c r="H217" s="412" t="b">
        <f>Wh_hp&gt;='2019'!Maxi_hp</f>
        <v>1</v>
      </c>
      <c r="I217" s="388">
        <f>IF(H217,Wh_hp,'2019'!Maxi_hp)</f>
        <v>55.301679214386333</v>
      </c>
      <c r="J217" s="85">
        <f>IF(H217,An,'2019'!An_max)</f>
        <v>2020</v>
      </c>
      <c r="K217" s="197">
        <f t="shared" si="77"/>
        <v>44033</v>
      </c>
      <c r="L217" s="147">
        <f>IF(t&lt;Tvie,1-EXP((T0-t)*PertePVj)+'2019'!Pspv,1-EXP((T0-t)*PertePVj)+Pspv)</f>
        <v>1.0238803996451162E-2</v>
      </c>
      <c r="M217" s="832"/>
      <c r="N217" s="832"/>
      <c r="O217" s="48">
        <f>IF(t&lt;Tnet,'2019'!Resal+('2019'!Salim-'2019'!Resal)*(1-EXP(('2019'!Tnet-t)/('2019'!Tau_j))),Resal+(Salim-Resal)*(1-EXP((Tnet-t)/(Tau_j))))*Salcycl</f>
        <v>4.5298903748552326E-2</v>
      </c>
      <c r="P217" s="169">
        <f>(INDEX(Models!$BJ217:$BT217,,T217)*(1-R217)+INDEX(Models!$BJ217:$BT217,,T217+1)*R217-ERP_i)*Q217*Ramure*Pc/MaxiM</f>
        <v>0</v>
      </c>
      <c r="Q217" s="304">
        <f t="shared" si="78"/>
        <v>0.6</v>
      </c>
      <c r="R217" s="177">
        <f t="shared" si="79"/>
        <v>0.42359963506562459</v>
      </c>
      <c r="S217" s="799">
        <f t="shared" si="80"/>
        <v>-1</v>
      </c>
      <c r="T217" s="176">
        <f t="shared" si="81"/>
        <v>5</v>
      </c>
      <c r="U217" s="250">
        <f t="shared" si="82"/>
        <v>-0.57640036493437541</v>
      </c>
      <c r="V217" s="382">
        <f t="shared" si="83"/>
        <v>56.223606681464481</v>
      </c>
      <c r="W217" s="58"/>
      <c r="X217" s="157">
        <f t="shared" si="84"/>
        <v>44033</v>
      </c>
      <c r="Y217" s="383">
        <f t="shared" si="85"/>
        <v>52.256</v>
      </c>
      <c r="Z217" s="383">
        <f t="shared" si="86"/>
        <v>52.796573770520531</v>
      </c>
      <c r="AA217" s="384">
        <f t="shared" si="87"/>
        <v>55.301679214386333</v>
      </c>
      <c r="AB217" s="197">
        <f t="shared" si="88"/>
        <v>44033</v>
      </c>
      <c r="AC217" s="424">
        <f>IF(OR(t&lt;Tnet,NoTnet),'2019'!Resal_s+('2019'!Salim-'2019'!Resal_s)*(1-EXP(('2019'!Tnet_s-t)/'2019'!Tau_j)),Resal_s+(Salim-Resal_s)*(1-EXP((Tnet_s-t)/Tau_j)))*Salcycl</f>
        <v>4.5298903748552326E-2</v>
      </c>
      <c r="AD217" s="230">
        <f>(INDEX(Models!$BJ217:$BT217,,AH217)*(1-AF217)+INDEX(Models!$BJ217:$BT217,,AH217+1)*AF217-ERP_i)*AE217*Ramure*Pc/MaxiM</f>
        <v>0</v>
      </c>
      <c r="AE217" s="304">
        <f t="shared" si="89"/>
        <v>0.6</v>
      </c>
      <c r="AF217" s="177">
        <f t="shared" si="90"/>
        <v>0.42359963506562459</v>
      </c>
      <c r="AG217" s="176">
        <f t="shared" si="91"/>
        <v>-1</v>
      </c>
      <c r="AH217" s="176">
        <f t="shared" si="92"/>
        <v>5</v>
      </c>
      <c r="AI217" s="224">
        <f t="shared" si="93"/>
        <v>-0.57640036493437541</v>
      </c>
      <c r="AJ217" s="264" t="b">
        <f t="shared" si="94"/>
        <v>0</v>
      </c>
      <c r="AK217" s="264" t="b">
        <f t="shared" si="95"/>
        <v>0</v>
      </c>
      <c r="AL217" s="264"/>
      <c r="AM217" s="264"/>
      <c r="AN217" s="75"/>
    </row>
    <row r="218" spans="1:40" s="6" customFormat="1" ht="11.25" x14ac:dyDescent="0.2">
      <c r="A218" s="56">
        <f t="shared" si="96"/>
        <v>44034</v>
      </c>
      <c r="B218" s="607">
        <v>50.137999999999998</v>
      </c>
      <c r="C218" s="388"/>
      <c r="D218" s="391">
        <f t="shared" si="75"/>
        <v>50.657634492237023</v>
      </c>
      <c r="E218" s="383">
        <f t="shared" si="73"/>
        <v>53.064341544047835</v>
      </c>
      <c r="F218" s="383">
        <f t="shared" si="76"/>
        <v>53.064341544047835</v>
      </c>
      <c r="G218" s="110">
        <f t="shared" si="74"/>
        <v>0.89340676556374099</v>
      </c>
      <c r="H218" s="412" t="b">
        <f>Wh_hp&gt;='2019'!Maxi_hp</f>
        <v>0</v>
      </c>
      <c r="I218" s="388">
        <f>IF(H218,Wh_hp,'2019'!Maxi_hp)</f>
        <v>57.020157721480658</v>
      </c>
      <c r="J218" s="85">
        <f>IF(H218,An,'2019'!An_max)</f>
        <v>2018</v>
      </c>
      <c r="K218" s="197">
        <f t="shared" si="77"/>
        <v>44034</v>
      </c>
      <c r="L218" s="147">
        <f>IF(t&lt;Tvie,1-EXP((T0-t)*PertePVj)+'2019'!Pspv,1-EXP((T0-t)*PertePVj)+Pspv)</f>
        <v>1.0257772543971755E-2</v>
      </c>
      <c r="M218" s="832"/>
      <c r="N218" s="832"/>
      <c r="O218" s="48">
        <f>IF(t&lt;Tnet,'2019'!Resal+('2019'!Salim-'2019'!Resal)*(1-EXP(('2019'!Tnet-t)/('2019'!Tau_j))),Resal+(Salim-Resal)*(1-EXP((Tnet-t)/(Tau_j))))*Salcycl</f>
        <v>4.5354507033938091E-2</v>
      </c>
      <c r="P218" s="169">
        <f>(INDEX(Models!$BJ218:$BT218,,T218)*(1-R218)+INDEX(Models!$BJ218:$BT218,,T218+1)*R218-ERP_i)*Q218*Ramure*Pc/MaxiM</f>
        <v>0</v>
      </c>
      <c r="Q218" s="304">
        <f t="shared" si="78"/>
        <v>0.6</v>
      </c>
      <c r="R218" s="177">
        <f t="shared" si="79"/>
        <v>0.4262021048267568</v>
      </c>
      <c r="S218" s="799">
        <f t="shared" si="80"/>
        <v>-1</v>
      </c>
      <c r="T218" s="176">
        <f t="shared" si="81"/>
        <v>5</v>
      </c>
      <c r="U218" s="250">
        <f t="shared" si="82"/>
        <v>-0.5737978951732432</v>
      </c>
      <c r="V218" s="382">
        <f t="shared" si="83"/>
        <v>56.120013786064014</v>
      </c>
      <c r="W218" s="58"/>
      <c r="X218" s="157">
        <f t="shared" si="84"/>
        <v>44034</v>
      </c>
      <c r="Y218" s="383">
        <f t="shared" si="85"/>
        <v>50.137999999999998</v>
      </c>
      <c r="Z218" s="383">
        <f t="shared" si="86"/>
        <v>50.657634492237023</v>
      </c>
      <c r="AA218" s="384">
        <f t="shared" si="87"/>
        <v>53.064341544047835</v>
      </c>
      <c r="AB218" s="197">
        <f t="shared" si="88"/>
        <v>44034</v>
      </c>
      <c r="AC218" s="424">
        <f>IF(OR(t&lt;Tnet,NoTnet),'2019'!Resal_s+('2019'!Salim-'2019'!Resal_s)*(1-EXP(('2019'!Tnet_s-t)/'2019'!Tau_j)),Resal_s+(Salim-Resal_s)*(1-EXP((Tnet_s-t)/Tau_j)))*Salcycl</f>
        <v>4.5354507033938091E-2</v>
      </c>
      <c r="AD218" s="230">
        <f>(INDEX(Models!$BJ218:$BT218,,AH218)*(1-AF218)+INDEX(Models!$BJ218:$BT218,,AH218+1)*AF218-ERP_i)*AE218*Ramure*Pc/MaxiM</f>
        <v>0</v>
      </c>
      <c r="AE218" s="304">
        <f t="shared" si="89"/>
        <v>0.6</v>
      </c>
      <c r="AF218" s="177">
        <f t="shared" si="90"/>
        <v>0.4262021048267568</v>
      </c>
      <c r="AG218" s="176">
        <f t="shared" si="91"/>
        <v>-1</v>
      </c>
      <c r="AH218" s="176">
        <f t="shared" si="92"/>
        <v>5</v>
      </c>
      <c r="AI218" s="224">
        <f t="shared" si="93"/>
        <v>-0.5737978951732432</v>
      </c>
      <c r="AJ218" s="264" t="b">
        <f t="shared" si="94"/>
        <v>0</v>
      </c>
      <c r="AK218" s="264" t="b">
        <f t="shared" si="95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6"/>
        <v>44035</v>
      </c>
      <c r="B219" s="607">
        <v>48.360999999999997</v>
      </c>
      <c r="C219" s="388"/>
      <c r="D219" s="391">
        <f t="shared" si="75"/>
        <v>48.863153964443185</v>
      </c>
      <c r="E219" s="383">
        <f t="shared" si="73"/>
        <v>51.187572803921498</v>
      </c>
      <c r="F219" s="383">
        <f t="shared" si="76"/>
        <v>51.187572803921498</v>
      </c>
      <c r="G219" s="110">
        <f t="shared" si="74"/>
        <v>0.86334687251166287</v>
      </c>
      <c r="H219" s="412" t="b">
        <f>Wh_hp&gt;='2019'!Maxi_hp</f>
        <v>0</v>
      </c>
      <c r="I219" s="388">
        <f>IF(H219,Wh_hp,'2019'!Maxi_hp)</f>
        <v>57.130225133334037</v>
      </c>
      <c r="J219" s="85">
        <f>IF(H219,An,'2019'!An_max)</f>
        <v>2018</v>
      </c>
      <c r="K219" s="197">
        <f t="shared" si="77"/>
        <v>44035</v>
      </c>
      <c r="L219" s="147">
        <f>IF(t&lt;Tvie,1-EXP((T0-t)*PertePVj)+'2019'!Pspv,1-EXP((T0-t)*PertePVj)+Pspv)</f>
        <v>1.0276740727964362E-2</v>
      </c>
      <c r="M219" s="832"/>
      <c r="N219" s="832"/>
      <c r="O219" s="48">
        <f>IF(t&lt;Tnet,'2019'!Resal+('2019'!Salim-'2019'!Resal)*(1-EXP(('2019'!Tnet-t)/('2019'!Tau_j))),Resal+(Salim-Resal)*(1-EXP((Tnet-t)/(Tau_j))))*Salcycl</f>
        <v>4.5409827271595794E-2</v>
      </c>
      <c r="P219" s="169">
        <f>(INDEX(Models!$BJ219:$BT219,,T219)*(1-R219)+INDEX(Models!$BJ219:$BT219,,T219+1)*R219-ERP_i)*Q219*Ramure*Pc/MaxiM</f>
        <v>1.9739139617537201E-20</v>
      </c>
      <c r="Q219" s="304">
        <f t="shared" si="78"/>
        <v>0.6</v>
      </c>
      <c r="R219" s="177">
        <f t="shared" si="79"/>
        <v>0.42872992886963401</v>
      </c>
      <c r="S219" s="799">
        <f t="shared" si="80"/>
        <v>-1</v>
      </c>
      <c r="T219" s="176">
        <f t="shared" si="81"/>
        <v>5</v>
      </c>
      <c r="U219" s="250">
        <f t="shared" si="82"/>
        <v>-0.57127007113036599</v>
      </c>
      <c r="V219" s="382">
        <f t="shared" si="83"/>
        <v>56.015723853041116</v>
      </c>
      <c r="W219" s="58"/>
      <c r="X219" s="157">
        <f t="shared" si="84"/>
        <v>44035</v>
      </c>
      <c r="Y219" s="383">
        <f t="shared" si="85"/>
        <v>48.360999999999997</v>
      </c>
      <c r="Z219" s="383">
        <f t="shared" si="86"/>
        <v>48.863153964443185</v>
      </c>
      <c r="AA219" s="384">
        <f t="shared" si="87"/>
        <v>51.187572803921498</v>
      </c>
      <c r="AB219" s="197">
        <f t="shared" si="88"/>
        <v>44035</v>
      </c>
      <c r="AC219" s="424">
        <f>IF(OR(t&lt;Tnet,NoTnet),'2019'!Resal_s+('2019'!Salim-'2019'!Resal_s)*(1-EXP(('2019'!Tnet_s-t)/'2019'!Tau_j)),Resal_s+(Salim-Resal_s)*(1-EXP((Tnet_s-t)/Tau_j)))*Salcycl</f>
        <v>4.5409827271595794E-2</v>
      </c>
      <c r="AD219" s="230">
        <f>(INDEX(Models!$BJ219:$BT219,,AH219)*(1-AF219)+INDEX(Models!$BJ219:$BT219,,AH219+1)*AF219-ERP_i)*AE219*Ramure*Pc/MaxiM</f>
        <v>1.9739139617537201E-20</v>
      </c>
      <c r="AE219" s="304">
        <f t="shared" si="89"/>
        <v>0.6</v>
      </c>
      <c r="AF219" s="177">
        <f t="shared" si="90"/>
        <v>0.42872992886963401</v>
      </c>
      <c r="AG219" s="176">
        <f t="shared" si="91"/>
        <v>-1</v>
      </c>
      <c r="AH219" s="176">
        <f t="shared" si="92"/>
        <v>5</v>
      </c>
      <c r="AI219" s="224">
        <f t="shared" si="93"/>
        <v>-0.57127007113036599</v>
      </c>
      <c r="AJ219" s="264" t="b">
        <f t="shared" si="94"/>
        <v>0</v>
      </c>
      <c r="AK219" s="264" t="b">
        <f t="shared" si="95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6"/>
        <v>44036</v>
      </c>
      <c r="B220" s="607">
        <v>53.732999999999997</v>
      </c>
      <c r="C220" s="388"/>
      <c r="D220" s="391">
        <f t="shared" si="75"/>
        <v>54.291974344368796</v>
      </c>
      <c r="E220" s="383">
        <f t="shared" si="73"/>
        <v>56.877922261473579</v>
      </c>
      <c r="F220" s="383">
        <f t="shared" si="76"/>
        <v>56.877922261473579</v>
      </c>
      <c r="G220" s="110">
        <f t="shared" si="74"/>
        <v>0.9610471466531425</v>
      </c>
      <c r="H220" s="412" t="b">
        <f>Wh_hp&gt;='2019'!Maxi_hp</f>
        <v>0</v>
      </c>
      <c r="I220" s="388">
        <f>IF(H220,Wh_hp,'2019'!Maxi_hp)</f>
        <v>58.039813998105629</v>
      </c>
      <c r="J220" s="85">
        <f>IF(H220,An,'2019'!An_max)</f>
        <v>2018</v>
      </c>
      <c r="K220" s="197">
        <f t="shared" si="77"/>
        <v>44036</v>
      </c>
      <c r="L220" s="147">
        <f>IF(t&lt;Tvie,1-EXP((T0-t)*PertePVj)+'2019'!Pspv,1-EXP((T0-t)*PertePVj)+Pspv)</f>
        <v>1.02957085484362E-2</v>
      </c>
      <c r="M220" s="832"/>
      <c r="N220" s="832"/>
      <c r="O220" s="48">
        <f>IF(t&lt;Tnet,'2019'!Resal+('2019'!Salim-'2019'!Resal)*(1-EXP(('2019'!Tnet-t)/('2019'!Tau_j))),Resal+(Salim-Resal)*(1-EXP((Tnet-t)/(Tau_j))))*Salcycl</f>
        <v>4.5464880120214664E-2</v>
      </c>
      <c r="P220" s="169">
        <f>(INDEX(Models!$BJ220:$BT220,,T220)*(1-R220)+INDEX(Models!$BJ220:$BT220,,T220+1)*R220-ERP_i)*Q220*Ramure*Pc/MaxiM</f>
        <v>0</v>
      </c>
      <c r="Q220" s="304">
        <f t="shared" si="78"/>
        <v>0.6</v>
      </c>
      <c r="R220" s="177">
        <f t="shared" si="79"/>
        <v>0.43118422985676896</v>
      </c>
      <c r="S220" s="799">
        <f t="shared" si="80"/>
        <v>-1</v>
      </c>
      <c r="T220" s="176">
        <f t="shared" si="81"/>
        <v>5</v>
      </c>
      <c r="U220" s="250">
        <f t="shared" si="82"/>
        <v>-0.56881577014323104</v>
      </c>
      <c r="V220" s="382">
        <f t="shared" si="83"/>
        <v>55.910888645916877</v>
      </c>
      <c r="W220" s="58"/>
      <c r="X220" s="157">
        <f t="shared" si="84"/>
        <v>44036</v>
      </c>
      <c r="Y220" s="383">
        <f t="shared" si="85"/>
        <v>53.732999999999997</v>
      </c>
      <c r="Z220" s="383">
        <f t="shared" si="86"/>
        <v>54.291974344368796</v>
      </c>
      <c r="AA220" s="384">
        <f t="shared" si="87"/>
        <v>56.877922261473579</v>
      </c>
      <c r="AB220" s="197">
        <f t="shared" si="88"/>
        <v>44036</v>
      </c>
      <c r="AC220" s="424">
        <f>IF(OR(t&lt;Tnet,NoTnet),'2019'!Resal_s+('2019'!Salim-'2019'!Resal_s)*(1-EXP(('2019'!Tnet_s-t)/'2019'!Tau_j)),Resal_s+(Salim-Resal_s)*(1-EXP((Tnet_s-t)/Tau_j)))*Salcycl</f>
        <v>4.5464880120214664E-2</v>
      </c>
      <c r="AD220" s="230">
        <f>(INDEX(Models!$BJ220:$BT220,,AH220)*(1-AF220)+INDEX(Models!$BJ220:$BT220,,AH220+1)*AF220-ERP_i)*AE220*Ramure*Pc/MaxiM</f>
        <v>0</v>
      </c>
      <c r="AE220" s="304">
        <f t="shared" si="89"/>
        <v>0.6</v>
      </c>
      <c r="AF220" s="177">
        <f t="shared" si="90"/>
        <v>0.43118422985676896</v>
      </c>
      <c r="AG220" s="176">
        <f t="shared" si="91"/>
        <v>-1</v>
      </c>
      <c r="AH220" s="176">
        <f t="shared" si="92"/>
        <v>5</v>
      </c>
      <c r="AI220" s="224">
        <f t="shared" si="93"/>
        <v>-0.56881577014323104</v>
      </c>
      <c r="AJ220" s="264" t="b">
        <f t="shared" si="94"/>
        <v>0</v>
      </c>
      <c r="AK220" s="264" t="b">
        <f t="shared" si="95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6"/>
        <v>44037</v>
      </c>
      <c r="B221" s="607">
        <v>54.627000000000002</v>
      </c>
      <c r="C221" s="388"/>
      <c r="D221" s="391">
        <f t="shared" si="75"/>
        <v>55.196332284197574</v>
      </c>
      <c r="E221" s="383">
        <f t="shared" si="73"/>
        <v>57.828675084046168</v>
      </c>
      <c r="F221" s="383">
        <f t="shared" si="76"/>
        <v>57.828675084046168</v>
      </c>
      <c r="G221" s="110">
        <f t="shared" si="74"/>
        <v>0.97888366525337545</v>
      </c>
      <c r="H221" s="412" t="b">
        <f>Wh_hp&gt;='2019'!Maxi_hp</f>
        <v>1</v>
      </c>
      <c r="I221" s="388">
        <f>IF(H221,Wh_hp,'2019'!Maxi_hp)</f>
        <v>57.828675084046168</v>
      </c>
      <c r="J221" s="85">
        <f>IF(H221,An,'2019'!An_max)</f>
        <v>2020</v>
      </c>
      <c r="K221" s="197">
        <f t="shared" si="77"/>
        <v>44037</v>
      </c>
      <c r="L221" s="147">
        <f>IF(t&lt;Tvie,1-EXP((T0-t)*PertePVj)+'2019'!Pspv,1-EXP((T0-t)*PertePVj)+Pspv)</f>
        <v>1.0314676005394041E-2</v>
      </c>
      <c r="M221" s="832"/>
      <c r="N221" s="832"/>
      <c r="O221" s="48">
        <f>IF(t&lt;Tnet,'2019'!Resal+('2019'!Salim-'2019'!Resal)*(1-EXP(('2019'!Tnet-t)/('2019'!Tau_j))),Resal+(Salim-Resal)*(1-EXP((Tnet-t)/(Tau_j))))*Salcycl</f>
        <v>4.5519680262825275E-2</v>
      </c>
      <c r="P221" s="169">
        <f>(INDEX(Models!$BJ221:$BT221,,T221)*(1-R221)+INDEX(Models!$BJ221:$BT221,,T221+1)*R221-ERP_i)*Q221*Ramure*Pc/MaxiM</f>
        <v>0</v>
      </c>
      <c r="Q221" s="304">
        <f t="shared" si="78"/>
        <v>0.6</v>
      </c>
      <c r="R221" s="177">
        <f t="shared" si="79"/>
        <v>0.43356618663462787</v>
      </c>
      <c r="S221" s="799">
        <f t="shared" si="80"/>
        <v>-1</v>
      </c>
      <c r="T221" s="176">
        <f t="shared" si="81"/>
        <v>5</v>
      </c>
      <c r="U221" s="250">
        <f t="shared" si="82"/>
        <v>-0.56643381336537213</v>
      </c>
      <c r="V221" s="382">
        <f t="shared" si="83"/>
        <v>55.805405625866975</v>
      </c>
      <c r="W221" s="58"/>
      <c r="X221" s="157">
        <f t="shared" si="84"/>
        <v>44037</v>
      </c>
      <c r="Y221" s="383">
        <f t="shared" si="85"/>
        <v>54.627000000000002</v>
      </c>
      <c r="Z221" s="383">
        <f t="shared" si="86"/>
        <v>55.196332284197574</v>
      </c>
      <c r="AA221" s="384">
        <f t="shared" si="87"/>
        <v>57.828675084046168</v>
      </c>
      <c r="AB221" s="197">
        <f t="shared" si="88"/>
        <v>44037</v>
      </c>
      <c r="AC221" s="424">
        <f>IF(OR(t&lt;Tnet,NoTnet),'2019'!Resal_s+('2019'!Salim-'2019'!Resal_s)*(1-EXP(('2019'!Tnet_s-t)/'2019'!Tau_j)),Resal_s+(Salim-Resal_s)*(1-EXP((Tnet_s-t)/Tau_j)))*Salcycl</f>
        <v>4.5519680262825275E-2</v>
      </c>
      <c r="AD221" s="230">
        <f>(INDEX(Models!$BJ221:$BT221,,AH221)*(1-AF221)+INDEX(Models!$BJ221:$BT221,,AH221+1)*AF221-ERP_i)*AE221*Ramure*Pc/MaxiM</f>
        <v>0</v>
      </c>
      <c r="AE221" s="304">
        <f t="shared" si="89"/>
        <v>0.6</v>
      </c>
      <c r="AF221" s="177">
        <f t="shared" si="90"/>
        <v>0.43356618663462787</v>
      </c>
      <c r="AG221" s="176">
        <f t="shared" si="91"/>
        <v>-1</v>
      </c>
      <c r="AH221" s="176">
        <f t="shared" si="92"/>
        <v>5</v>
      </c>
      <c r="AI221" s="224">
        <f t="shared" si="93"/>
        <v>-0.56643381336537213</v>
      </c>
      <c r="AJ221" s="264" t="b">
        <f t="shared" si="94"/>
        <v>0</v>
      </c>
      <c r="AK221" s="264" t="b">
        <f t="shared" si="95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6"/>
        <v>44038</v>
      </c>
      <c r="B222" s="607">
        <v>41.972999999999999</v>
      </c>
      <c r="C222" s="388"/>
      <c r="D222" s="391">
        <f t="shared" si="75"/>
        <v>42.411262853701444</v>
      </c>
      <c r="E222" s="383">
        <f t="shared" si="73"/>
        <v>44.436418935774732</v>
      </c>
      <c r="F222" s="383">
        <f t="shared" si="76"/>
        <v>44.436418935774732</v>
      </c>
      <c r="G222" s="110">
        <f t="shared" si="74"/>
        <v>0.75356595492589951</v>
      </c>
      <c r="H222" s="412" t="b">
        <f>Wh_hp&gt;='2019'!Maxi_hp</f>
        <v>1</v>
      </c>
      <c r="I222" s="388">
        <f>IF(H222,Wh_hp,'2019'!Maxi_hp)</f>
        <v>44.436418935774732</v>
      </c>
      <c r="J222" s="85">
        <f>IF(H222,An,'2019'!An_max)</f>
        <v>2020</v>
      </c>
      <c r="K222" s="197">
        <f t="shared" si="77"/>
        <v>44038</v>
      </c>
      <c r="L222" s="147">
        <f>IF(t&lt;Tvie,1-EXP((T0-t)*PertePVj)+'2019'!Pspv,1-EXP((T0-t)*PertePVj)+Pspv)</f>
        <v>1.033364309884488E-2</v>
      </c>
      <c r="M222" s="832"/>
      <c r="N222" s="832"/>
      <c r="O222" s="48">
        <f>IF(t&lt;Tnet,'2019'!Resal+('2019'!Salim-'2019'!Resal)*(1-EXP(('2019'!Tnet-t)/('2019'!Tau_j))),Resal+(Salim-Resal)*(1-EXP((Tnet-t)/(Tau_j))))*Salcycl</f>
        <v>4.5574241367206093E-2</v>
      </c>
      <c r="P222" s="169">
        <f>(INDEX(Models!$BJ222:$BT222,,T222)*(1-R222)+INDEX(Models!$BJ222:$BT222,,T222+1)*R222-ERP_i)*Q222*Ramure*Pc/MaxiM</f>
        <v>0</v>
      </c>
      <c r="Q222" s="304">
        <f t="shared" si="78"/>
        <v>0.6</v>
      </c>
      <c r="R222" s="177">
        <f t="shared" si="79"/>
        <v>0.43587702813959384</v>
      </c>
      <c r="S222" s="799">
        <f t="shared" si="80"/>
        <v>-1</v>
      </c>
      <c r="T222" s="176">
        <f t="shared" si="81"/>
        <v>5</v>
      </c>
      <c r="U222" s="250">
        <f t="shared" si="82"/>
        <v>-0.56412297186040616</v>
      </c>
      <c r="V222" s="382">
        <f t="shared" si="83"/>
        <v>55.699172349323206</v>
      </c>
      <c r="W222" s="58"/>
      <c r="X222" s="157">
        <f t="shared" si="84"/>
        <v>44038</v>
      </c>
      <c r="Y222" s="383">
        <f t="shared" si="85"/>
        <v>41.972999999999999</v>
      </c>
      <c r="Z222" s="383">
        <f t="shared" si="86"/>
        <v>42.411262853701444</v>
      </c>
      <c r="AA222" s="384">
        <f t="shared" si="87"/>
        <v>44.436418935774732</v>
      </c>
      <c r="AB222" s="197">
        <f t="shared" si="88"/>
        <v>44038</v>
      </c>
      <c r="AC222" s="424">
        <f>IF(OR(t&lt;Tnet,NoTnet),'2019'!Resal_s+('2019'!Salim-'2019'!Resal_s)*(1-EXP(('2019'!Tnet_s-t)/'2019'!Tau_j)),Resal_s+(Salim-Resal_s)*(1-EXP((Tnet_s-t)/Tau_j)))*Salcycl</f>
        <v>4.5574241367206093E-2</v>
      </c>
      <c r="AD222" s="230">
        <f>(INDEX(Models!$BJ222:$BT222,,AH222)*(1-AF222)+INDEX(Models!$BJ222:$BT222,,AH222+1)*AF222-ERP_i)*AE222*Ramure*Pc/MaxiM</f>
        <v>0</v>
      </c>
      <c r="AE222" s="304">
        <f t="shared" si="89"/>
        <v>0.6</v>
      </c>
      <c r="AF222" s="177">
        <f t="shared" si="90"/>
        <v>0.43587702813959384</v>
      </c>
      <c r="AG222" s="176">
        <f t="shared" si="91"/>
        <v>-1</v>
      </c>
      <c r="AH222" s="176">
        <f t="shared" si="92"/>
        <v>5</v>
      </c>
      <c r="AI222" s="224">
        <f t="shared" si="93"/>
        <v>-0.56412297186040616</v>
      </c>
      <c r="AJ222" s="264" t="b">
        <f t="shared" si="94"/>
        <v>0</v>
      </c>
      <c r="AK222" s="264" t="b">
        <f t="shared" si="95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6"/>
        <v>44039</v>
      </c>
      <c r="B223" s="607">
        <v>53.465000000000003</v>
      </c>
      <c r="C223" s="388"/>
      <c r="D223" s="391">
        <f t="shared" si="75"/>
        <v>54.024292420708363</v>
      </c>
      <c r="E223" s="383">
        <f t="shared" si="73"/>
        <v>56.607198272356136</v>
      </c>
      <c r="F223" s="383">
        <f t="shared" si="76"/>
        <v>56.607198272356136</v>
      </c>
      <c r="G223" s="110">
        <f t="shared" si="74"/>
        <v>0.9617376032330478</v>
      </c>
      <c r="H223" s="412" t="b">
        <f>Wh_hp&gt;='2019'!Maxi_hp</f>
        <v>1</v>
      </c>
      <c r="I223" s="388">
        <f>IF(H223,Wh_hp,'2019'!Maxi_hp)</f>
        <v>56.607198272356136</v>
      </c>
      <c r="J223" s="85">
        <f>IF(H223,An,'2019'!An_max)</f>
        <v>2020</v>
      </c>
      <c r="K223" s="197">
        <f t="shared" si="77"/>
        <v>44039</v>
      </c>
      <c r="L223" s="147">
        <f>IF(t&lt;Tvie,1-EXP((T0-t)*PertePVj)+'2019'!Pspv,1-EXP((T0-t)*PertePVj)+Pspv)</f>
        <v>1.0352609828795711E-2</v>
      </c>
      <c r="M223" s="832"/>
      <c r="N223" s="832"/>
      <c r="O223" s="48">
        <f>IF(t&lt;Tnet,'2019'!Resal+('2019'!Salim-'2019'!Resal)*(1-EXP(('2019'!Tnet-t)/('2019'!Tau_j))),Resal+(Salim-Resal)*(1-EXP((Tnet-t)/(Tau_j))))*Salcycl</f>
        <v>4.5628576055302239E-2</v>
      </c>
      <c r="P223" s="169">
        <f>(INDEX(Models!$BJ223:$BT223,,T223)*(1-R223)+INDEX(Models!$BJ223:$BT223,,T223+1)*R223-ERP_i)*Q223*Ramure*Pc/MaxiM</f>
        <v>0</v>
      </c>
      <c r="Q223" s="304">
        <f t="shared" si="78"/>
        <v>0.6</v>
      </c>
      <c r="R223" s="177">
        <f t="shared" si="79"/>
        <v>0.43811802752617535</v>
      </c>
      <c r="S223" s="799">
        <f t="shared" si="80"/>
        <v>-1</v>
      </c>
      <c r="T223" s="176">
        <f t="shared" si="81"/>
        <v>5</v>
      </c>
      <c r="U223" s="250">
        <f t="shared" si="82"/>
        <v>-0.56188197247382465</v>
      </c>
      <c r="V223" s="382">
        <f t="shared" si="83"/>
        <v>55.592086469602656</v>
      </c>
      <c r="W223" s="58"/>
      <c r="X223" s="157">
        <f t="shared" si="84"/>
        <v>44039</v>
      </c>
      <c r="Y223" s="383">
        <f t="shared" si="85"/>
        <v>53.465000000000003</v>
      </c>
      <c r="Z223" s="383">
        <f t="shared" si="86"/>
        <v>54.024292420708363</v>
      </c>
      <c r="AA223" s="384">
        <f t="shared" si="87"/>
        <v>56.607198272356136</v>
      </c>
      <c r="AB223" s="197">
        <f t="shared" si="88"/>
        <v>44039</v>
      </c>
      <c r="AC223" s="424">
        <f>IF(OR(t&lt;Tnet,NoTnet),'2019'!Resal_s+('2019'!Salim-'2019'!Resal_s)*(1-EXP(('2019'!Tnet_s-t)/'2019'!Tau_j)),Resal_s+(Salim-Resal_s)*(1-EXP((Tnet_s-t)/Tau_j)))*Salcycl</f>
        <v>4.5628576055302239E-2</v>
      </c>
      <c r="AD223" s="230">
        <f>(INDEX(Models!$BJ223:$BT223,,AH223)*(1-AF223)+INDEX(Models!$BJ223:$BT223,,AH223+1)*AF223-ERP_i)*AE223*Ramure*Pc/MaxiM</f>
        <v>0</v>
      </c>
      <c r="AE223" s="304">
        <f t="shared" si="89"/>
        <v>0.6</v>
      </c>
      <c r="AF223" s="177">
        <f t="shared" si="90"/>
        <v>0.43811802752617535</v>
      </c>
      <c r="AG223" s="176">
        <f t="shared" si="91"/>
        <v>-1</v>
      </c>
      <c r="AH223" s="176">
        <f t="shared" si="92"/>
        <v>5</v>
      </c>
      <c r="AI223" s="224">
        <f t="shared" si="93"/>
        <v>-0.56188197247382465</v>
      </c>
      <c r="AJ223" s="264" t="b">
        <f t="shared" si="94"/>
        <v>0</v>
      </c>
      <c r="AK223" s="264" t="b">
        <f t="shared" si="95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6"/>
        <v>44040</v>
      </c>
      <c r="B224" s="607">
        <v>33.128999999999998</v>
      </c>
      <c r="C224" s="388"/>
      <c r="D224" s="391">
        <f t="shared" si="75"/>
        <v>33.476200969078413</v>
      </c>
      <c r="E224" s="383">
        <f t="shared" si="73"/>
        <v>35.078690100878937</v>
      </c>
      <c r="F224" s="383">
        <f t="shared" si="76"/>
        <v>35.078690100878937</v>
      </c>
      <c r="G224" s="110">
        <f t="shared" si="74"/>
        <v>0.59709056107413538</v>
      </c>
      <c r="H224" s="412" t="b">
        <f>Wh_hp&gt;='2019'!Maxi_hp</f>
        <v>0</v>
      </c>
      <c r="I224" s="388">
        <f>IF(H224,Wh_hp,'2019'!Maxi_hp)</f>
        <v>59.144534762584179</v>
      </c>
      <c r="J224" s="85">
        <f>IF(H224,An,'2019'!An_max)</f>
        <v>2018</v>
      </c>
      <c r="K224" s="197">
        <f t="shared" si="77"/>
        <v>44040</v>
      </c>
      <c r="L224" s="147">
        <f>IF(t&lt;Tvie,1-EXP((T0-t)*PertePVj)+'2019'!Pspv,1-EXP((T0-t)*PertePVj)+Pspv)</f>
        <v>1.0371576195253529E-2</v>
      </c>
      <c r="M224" s="832"/>
      <c r="N224" s="832"/>
      <c r="O224" s="48">
        <f>IF(t&lt;Tnet,'2019'!Resal+('2019'!Salim-'2019'!Resal)*(1-EXP(('2019'!Tnet-t)/('2019'!Tau_j))),Resal+(Salim-Resal)*(1-EXP((Tnet-t)/(Tau_j))))*Salcycl</f>
        <v>4.568269588151963E-2</v>
      </c>
      <c r="P224" s="169">
        <f>(INDEX(Models!$BJ224:$BT224,,T224)*(1-R224)+INDEX(Models!$BJ224:$BT224,,T224+1)*R224-ERP_i)*Q224*Ramure*Pc/MaxiM</f>
        <v>1.9927150967186139E-20</v>
      </c>
      <c r="Q224" s="304">
        <f t="shared" si="78"/>
        <v>0.6</v>
      </c>
      <c r="R224" s="177">
        <f t="shared" si="79"/>
        <v>0.44029049653020869</v>
      </c>
      <c r="S224" s="799">
        <f t="shared" si="80"/>
        <v>-1</v>
      </c>
      <c r="T224" s="176">
        <f t="shared" si="81"/>
        <v>5</v>
      </c>
      <c r="U224" s="250">
        <f t="shared" si="82"/>
        <v>-0.55970950346979131</v>
      </c>
      <c r="V224" s="382">
        <f t="shared" si="83"/>
        <v>55.484045737388001</v>
      </c>
      <c r="W224" s="58"/>
      <c r="X224" s="157">
        <f t="shared" si="84"/>
        <v>44040</v>
      </c>
      <c r="Y224" s="383">
        <f t="shared" si="85"/>
        <v>33.128999999999998</v>
      </c>
      <c r="Z224" s="383">
        <f t="shared" si="86"/>
        <v>33.476200969078413</v>
      </c>
      <c r="AA224" s="384">
        <f t="shared" si="87"/>
        <v>35.078690100878937</v>
      </c>
      <c r="AB224" s="197">
        <f t="shared" si="88"/>
        <v>44040</v>
      </c>
      <c r="AC224" s="424">
        <f>IF(OR(t&lt;Tnet,NoTnet),'2019'!Resal_s+('2019'!Salim-'2019'!Resal_s)*(1-EXP(('2019'!Tnet_s-t)/'2019'!Tau_j)),Resal_s+(Salim-Resal_s)*(1-EXP((Tnet_s-t)/Tau_j)))*Salcycl</f>
        <v>4.568269588151963E-2</v>
      </c>
      <c r="AD224" s="230">
        <f>(INDEX(Models!$BJ224:$BT224,,AH224)*(1-AF224)+INDEX(Models!$BJ224:$BT224,,AH224+1)*AF224-ERP_i)*AE224*Ramure*Pc/MaxiM</f>
        <v>1.9927150967186139E-20</v>
      </c>
      <c r="AE224" s="304">
        <f t="shared" si="89"/>
        <v>0.6</v>
      </c>
      <c r="AF224" s="177">
        <f t="shared" si="90"/>
        <v>0.44029049653020869</v>
      </c>
      <c r="AG224" s="176">
        <f t="shared" si="91"/>
        <v>-1</v>
      </c>
      <c r="AH224" s="176">
        <f t="shared" si="92"/>
        <v>5</v>
      </c>
      <c r="AI224" s="224">
        <f t="shared" si="93"/>
        <v>-0.55970950346979131</v>
      </c>
      <c r="AJ224" s="264" t="b">
        <f t="shared" si="94"/>
        <v>0</v>
      </c>
      <c r="AK224" s="264" t="b">
        <f t="shared" si="95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6"/>
        <v>44041</v>
      </c>
      <c r="B225" s="607">
        <v>47.552999999999997</v>
      </c>
      <c r="C225" s="388"/>
      <c r="D225" s="391">
        <f t="shared" si="75"/>
        <v>48.052289340109738</v>
      </c>
      <c r="E225" s="383">
        <f t="shared" si="73"/>
        <v>50.355373485052532</v>
      </c>
      <c r="F225" s="383">
        <f t="shared" si="76"/>
        <v>50.355373485052532</v>
      </c>
      <c r="G225" s="110">
        <f t="shared" si="74"/>
        <v>0.85874572739071475</v>
      </c>
      <c r="H225" s="412" t="b">
        <f>Wh_hp&gt;='2019'!Maxi_hp</f>
        <v>1</v>
      </c>
      <c r="I225" s="388">
        <f>IF(H225,Wh_hp,'2019'!Maxi_hp)</f>
        <v>50.355373485052532</v>
      </c>
      <c r="J225" s="85">
        <f>IF(H225,An,'2019'!An_max)</f>
        <v>2020</v>
      </c>
      <c r="K225" s="197">
        <f t="shared" si="77"/>
        <v>44041</v>
      </c>
      <c r="L225" s="147">
        <f>IF(t&lt;Tvie,1-EXP((T0-t)*PertePVj)+'2019'!Pspv,1-EXP((T0-t)*PertePVj)+Pspv)</f>
        <v>1.0390542198225217E-2</v>
      </c>
      <c r="M225" s="832"/>
      <c r="N225" s="832"/>
      <c r="O225" s="48">
        <f>IF(t&lt;Tnet,'2019'!Resal+('2019'!Salim-'2019'!Resal)*(1-EXP(('2019'!Tnet-t)/('2019'!Tau_j))),Resal+(Salim-Resal)*(1-EXP((Tnet-t)/(Tau_j))))*Salcycl</f>
        <v>4.5736611319672583E-2</v>
      </c>
      <c r="P225" s="169">
        <f>(INDEX(Models!$BJ225:$BT225,,T225)*(1-R225)+INDEX(Models!$BJ225:$BT225,,T225+1)*R225-ERP_i)*Q225*Ramure*Pc/MaxiM</f>
        <v>-1.9963849872836837E-20</v>
      </c>
      <c r="Q225" s="304">
        <f t="shared" si="78"/>
        <v>0.6</v>
      </c>
      <c r="R225" s="177">
        <f t="shared" si="79"/>
        <v>0.44239578007709113</v>
      </c>
      <c r="S225" s="799">
        <f t="shared" si="80"/>
        <v>-1</v>
      </c>
      <c r="T225" s="176">
        <f t="shared" si="81"/>
        <v>5</v>
      </c>
      <c r="U225" s="250">
        <f t="shared" si="82"/>
        <v>-0.55760421992290887</v>
      </c>
      <c r="V225" s="382">
        <f t="shared" si="83"/>
        <v>55.374948000602039</v>
      </c>
      <c r="W225" s="58"/>
      <c r="X225" s="157">
        <f t="shared" si="84"/>
        <v>44041</v>
      </c>
      <c r="Y225" s="383">
        <f t="shared" si="85"/>
        <v>47.552999999999997</v>
      </c>
      <c r="Z225" s="383">
        <f t="shared" si="86"/>
        <v>48.052289340109738</v>
      </c>
      <c r="AA225" s="384">
        <f t="shared" si="87"/>
        <v>50.355373485052532</v>
      </c>
      <c r="AB225" s="197">
        <f t="shared" si="88"/>
        <v>44041</v>
      </c>
      <c r="AC225" s="424">
        <f>IF(OR(t&lt;Tnet,NoTnet),'2019'!Resal_s+('2019'!Salim-'2019'!Resal_s)*(1-EXP(('2019'!Tnet_s-t)/'2019'!Tau_j)),Resal_s+(Salim-Resal_s)*(1-EXP((Tnet_s-t)/Tau_j)))*Salcycl</f>
        <v>4.5736611319672583E-2</v>
      </c>
      <c r="AD225" s="230">
        <f>(INDEX(Models!$BJ225:$BT225,,AH225)*(1-AF225)+INDEX(Models!$BJ225:$BT225,,AH225+1)*AF225-ERP_i)*AE225*Ramure*Pc/MaxiM</f>
        <v>-1.9963849872836837E-20</v>
      </c>
      <c r="AE225" s="304">
        <f t="shared" si="89"/>
        <v>0.6</v>
      </c>
      <c r="AF225" s="177">
        <f t="shared" si="90"/>
        <v>0.44239578007709113</v>
      </c>
      <c r="AG225" s="176">
        <f t="shared" si="91"/>
        <v>-1</v>
      </c>
      <c r="AH225" s="176">
        <f t="shared" si="92"/>
        <v>5</v>
      </c>
      <c r="AI225" s="224">
        <f t="shared" si="93"/>
        <v>-0.55760421992290887</v>
      </c>
      <c r="AJ225" s="264" t="b">
        <f t="shared" si="94"/>
        <v>0</v>
      </c>
      <c r="AK225" s="264" t="b">
        <f t="shared" si="95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6"/>
        <v>44042</v>
      </c>
      <c r="B226" s="607">
        <v>53.003</v>
      </c>
      <c r="C226" s="388"/>
      <c r="D226" s="391">
        <f t="shared" si="75"/>
        <v>53.560538848940432</v>
      </c>
      <c r="E226" s="383">
        <f t="shared" si="73"/>
        <v>56.130786169494748</v>
      </c>
      <c r="F226" s="383">
        <f t="shared" si="76"/>
        <v>56.130786169494748</v>
      </c>
      <c r="G226" s="110">
        <f t="shared" si="74"/>
        <v>0.95907529463955898</v>
      </c>
      <c r="H226" s="412" t="b">
        <f>Wh_hp&gt;='2019'!Maxi_hp</f>
        <v>0</v>
      </c>
      <c r="I226" s="388">
        <f>IF(H226,Wh_hp,'2019'!Maxi_hp)</f>
        <v>57.930822779575145</v>
      </c>
      <c r="J226" s="85">
        <f>IF(H226,An,'2019'!An_max)</f>
        <v>2018</v>
      </c>
      <c r="K226" s="197">
        <f t="shared" si="77"/>
        <v>44042</v>
      </c>
      <c r="L226" s="147">
        <f>IF(t&lt;Tvie,1-EXP((T0-t)*PertePVj)+'2019'!Pspv,1-EXP((T0-t)*PertePVj)+Pspv)</f>
        <v>1.0409507837717769E-2</v>
      </c>
      <c r="M226" s="832"/>
      <c r="N226" s="832"/>
      <c r="O226" s="48">
        <f>IF(t&lt;Tnet,'2019'!Resal+('2019'!Salim-'2019'!Resal)*(1-EXP(('2019'!Tnet-t)/('2019'!Tau_j))),Resal+(Salim-Resal)*(1-EXP((Tnet-t)/(Tau_j))))*Salcycl</f>
        <v>4.5790331758281448E-2</v>
      </c>
      <c r="P226" s="169">
        <f>(INDEX(Models!$BJ226:$BT226,,T226)*(1-R226)+INDEX(Models!$BJ226:$BT226,,T226+1)*R226-ERP_i)*Q226*Ramure*Pc/MaxiM</f>
        <v>0</v>
      </c>
      <c r="Q226" s="304">
        <f t="shared" si="78"/>
        <v>0.6</v>
      </c>
      <c r="R226" s="177">
        <f t="shared" si="79"/>
        <v>0.44443525114256421</v>
      </c>
      <c r="S226" s="799">
        <f t="shared" si="80"/>
        <v>-1</v>
      </c>
      <c r="T226" s="176">
        <f t="shared" si="81"/>
        <v>5</v>
      </c>
      <c r="U226" s="250">
        <f t="shared" si="82"/>
        <v>-0.55556474885743579</v>
      </c>
      <c r="V226" s="382">
        <f t="shared" si="83"/>
        <v>55.264691204374792</v>
      </c>
      <c r="W226" s="58"/>
      <c r="X226" s="157">
        <f t="shared" si="84"/>
        <v>44042</v>
      </c>
      <c r="Y226" s="383">
        <f t="shared" si="85"/>
        <v>53.003</v>
      </c>
      <c r="Z226" s="383">
        <f t="shared" si="86"/>
        <v>53.560538848940432</v>
      </c>
      <c r="AA226" s="384">
        <f t="shared" si="87"/>
        <v>56.130786169494748</v>
      </c>
      <c r="AB226" s="197">
        <f t="shared" si="88"/>
        <v>44042</v>
      </c>
      <c r="AC226" s="424">
        <f>IF(OR(t&lt;Tnet,NoTnet),'2019'!Resal_s+('2019'!Salim-'2019'!Resal_s)*(1-EXP(('2019'!Tnet_s-t)/'2019'!Tau_j)),Resal_s+(Salim-Resal_s)*(1-EXP((Tnet_s-t)/Tau_j)))*Salcycl</f>
        <v>4.5790331758281448E-2</v>
      </c>
      <c r="AD226" s="230">
        <f>(INDEX(Models!$BJ226:$BT226,,AH226)*(1-AF226)+INDEX(Models!$BJ226:$BT226,,AH226+1)*AF226-ERP_i)*AE226*Ramure*Pc/MaxiM</f>
        <v>0</v>
      </c>
      <c r="AE226" s="304">
        <f t="shared" si="89"/>
        <v>0.6</v>
      </c>
      <c r="AF226" s="177">
        <f t="shared" si="90"/>
        <v>0.44443525114256421</v>
      </c>
      <c r="AG226" s="176">
        <f t="shared" si="91"/>
        <v>-1</v>
      </c>
      <c r="AH226" s="176">
        <f t="shared" si="92"/>
        <v>5</v>
      </c>
      <c r="AI226" s="224">
        <f t="shared" si="93"/>
        <v>-0.55556474885743579</v>
      </c>
      <c r="AJ226" s="264" t="b">
        <f t="shared" si="94"/>
        <v>0</v>
      </c>
      <c r="AK226" s="264" t="b">
        <f t="shared" si="95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6"/>
        <v>44043</v>
      </c>
      <c r="B227" s="607">
        <v>51.726999999999997</v>
      </c>
      <c r="C227" s="388"/>
      <c r="D227" s="391">
        <f t="shared" si="75"/>
        <v>52.272118381135812</v>
      </c>
      <c r="E227" s="383">
        <f t="shared" si="73"/>
        <v>54.783610869659157</v>
      </c>
      <c r="F227" s="383">
        <f t="shared" si="76"/>
        <v>54.783610869659157</v>
      </c>
      <c r="G227" s="110">
        <f t="shared" si="74"/>
        <v>0.93787894369347846</v>
      </c>
      <c r="H227" s="412" t="b">
        <f>Wh_hp&gt;='2019'!Maxi_hp</f>
        <v>1</v>
      </c>
      <c r="I227" s="388">
        <f>IF(H227,Wh_hp,'2019'!Maxi_hp)</f>
        <v>54.783610869659157</v>
      </c>
      <c r="J227" s="85">
        <f>IF(H227,An,'2019'!An_max)</f>
        <v>2020</v>
      </c>
      <c r="K227" s="197">
        <f t="shared" si="77"/>
        <v>44043</v>
      </c>
      <c r="L227" s="147">
        <f>IF(t&lt;Tvie,1-EXP((T0-t)*PertePVj)+'2019'!Pspv,1-EXP((T0-t)*PertePVj)+Pspv)</f>
        <v>1.0428473113738179E-2</v>
      </c>
      <c r="M227" s="832"/>
      <c r="N227" s="832"/>
      <c r="O227" s="48">
        <f>IF(t&lt;Tnet,'2019'!Resal+('2019'!Salim-'2019'!Resal)*(1-EXP(('2019'!Tnet-t)/('2019'!Tau_j))),Resal+(Salim-Resal)*(1-EXP((Tnet-t)/(Tau_j))))*Salcycl</f>
        <v>4.5843865503839662E-2</v>
      </c>
      <c r="P227" s="169">
        <f>(INDEX(Models!$BJ227:$BT227,,T227)*(1-R227)+INDEX(Models!$BJ227:$BT227,,T227+1)*R227-ERP_i)*Q227*Ramure*Pc/MaxiM</f>
        <v>0</v>
      </c>
      <c r="Q227" s="304">
        <f t="shared" si="78"/>
        <v>0.6</v>
      </c>
      <c r="R227" s="177">
        <f t="shared" si="79"/>
        <v>0.44641030587123343</v>
      </c>
      <c r="S227" s="799">
        <f t="shared" si="80"/>
        <v>-1</v>
      </c>
      <c r="T227" s="176">
        <f t="shared" si="81"/>
        <v>5</v>
      </c>
      <c r="U227" s="250">
        <f t="shared" si="82"/>
        <v>-0.55358969412876657</v>
      </c>
      <c r="V227" s="382">
        <f t="shared" si="83"/>
        <v>55.153173389619923</v>
      </c>
      <c r="W227" s="58"/>
      <c r="X227" s="157">
        <f t="shared" si="84"/>
        <v>44043</v>
      </c>
      <c r="Y227" s="383">
        <f t="shared" si="85"/>
        <v>51.726999999999997</v>
      </c>
      <c r="Z227" s="383">
        <f t="shared" si="86"/>
        <v>52.272118381135812</v>
      </c>
      <c r="AA227" s="384">
        <f t="shared" si="87"/>
        <v>54.783610869659157</v>
      </c>
      <c r="AB227" s="197">
        <f t="shared" si="88"/>
        <v>44043</v>
      </c>
      <c r="AC227" s="424">
        <f>IF(OR(t&lt;Tnet,NoTnet),'2019'!Resal_s+('2019'!Salim-'2019'!Resal_s)*(1-EXP(('2019'!Tnet_s-t)/'2019'!Tau_j)),Resal_s+(Salim-Resal_s)*(1-EXP((Tnet_s-t)/Tau_j)))*Salcycl</f>
        <v>4.5843865503839662E-2</v>
      </c>
      <c r="AD227" s="230">
        <f>(INDEX(Models!$BJ227:$BT227,,AH227)*(1-AF227)+INDEX(Models!$BJ227:$BT227,,AH227+1)*AF227-ERP_i)*AE227*Ramure*Pc/MaxiM</f>
        <v>0</v>
      </c>
      <c r="AE227" s="304">
        <f t="shared" si="89"/>
        <v>0.6</v>
      </c>
      <c r="AF227" s="177">
        <f t="shared" si="90"/>
        <v>0.44641030587123343</v>
      </c>
      <c r="AG227" s="176">
        <f t="shared" si="91"/>
        <v>-1</v>
      </c>
      <c r="AH227" s="176">
        <f t="shared" si="92"/>
        <v>5</v>
      </c>
      <c r="AI227" s="224">
        <f t="shared" si="93"/>
        <v>-0.55358969412876657</v>
      </c>
      <c r="AJ227" s="264" t="b">
        <f t="shared" si="94"/>
        <v>0</v>
      </c>
      <c r="AK227" s="264" t="b">
        <f t="shared" si="95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6"/>
        <v>44044</v>
      </c>
      <c r="B228" s="607">
        <v>46.218000000000004</v>
      </c>
      <c r="C228" s="388"/>
      <c r="D228" s="391">
        <f t="shared" si="75"/>
        <v>46.705957597458138</v>
      </c>
      <c r="E228" s="383">
        <f t="shared" si="73"/>
        <v>48.952752854630887</v>
      </c>
      <c r="F228" s="383">
        <f t="shared" si="76"/>
        <v>48.952752854630887</v>
      </c>
      <c r="G228" s="110">
        <f t="shared" si="74"/>
        <v>0.83971210435148391</v>
      </c>
      <c r="H228" s="412" t="b">
        <f>Wh_hp&gt;='2019'!Maxi_hp</f>
        <v>0</v>
      </c>
      <c r="I228" s="388">
        <f>IF(H228,Wh_hp,'2019'!Maxi_hp)</f>
        <v>56.06769133508174</v>
      </c>
      <c r="J228" s="85">
        <f>IF(H228,An,'2019'!An_max)</f>
        <v>2018</v>
      </c>
      <c r="K228" s="197">
        <f t="shared" si="77"/>
        <v>44044</v>
      </c>
      <c r="L228" s="147">
        <f>IF(t&lt;Tvie,1-EXP((T0-t)*PertePVj)+'2019'!Pspv,1-EXP((T0-t)*PertePVj)+Pspv)</f>
        <v>1.0447438026293443E-2</v>
      </c>
      <c r="M228" s="832"/>
      <c r="N228" s="832"/>
      <c r="O228" s="48">
        <f>IF(t&lt;Tnet,'2019'!Resal+('2019'!Salim-'2019'!Resal)*(1-EXP(('2019'!Tnet-t)/('2019'!Tau_j))),Resal+(Salim-Resal)*(1-EXP((Tnet-t)/(Tau_j))))*Salcycl</f>
        <v>4.5897219791597554E-2</v>
      </c>
      <c r="P228" s="169">
        <f>(INDEX(Models!$BJ228:$BT228,,T228)*(1-R228)+INDEX(Models!$BJ228:$BT228,,T228+1)*R228-ERP_i)*Q228*Ramure*Pc/MaxiM</f>
        <v>0</v>
      </c>
      <c r="Q228" s="304">
        <f t="shared" si="78"/>
        <v>0.6</v>
      </c>
      <c r="R228" s="177">
        <f t="shared" si="79"/>
        <v>0.44832235895587025</v>
      </c>
      <c r="S228" s="799">
        <f t="shared" si="80"/>
        <v>-1</v>
      </c>
      <c r="T228" s="176">
        <f t="shared" si="81"/>
        <v>5</v>
      </c>
      <c r="U228" s="250">
        <f t="shared" si="82"/>
        <v>-0.55167764104412975</v>
      </c>
      <c r="V228" s="382">
        <f t="shared" si="83"/>
        <v>55.040292691379655</v>
      </c>
      <c r="W228" s="58"/>
      <c r="X228" s="157">
        <f t="shared" si="84"/>
        <v>44044</v>
      </c>
      <c r="Y228" s="383">
        <f t="shared" si="85"/>
        <v>46.218000000000004</v>
      </c>
      <c r="Z228" s="383">
        <f t="shared" si="86"/>
        <v>46.705957597458138</v>
      </c>
      <c r="AA228" s="384">
        <f t="shared" si="87"/>
        <v>48.952752854630887</v>
      </c>
      <c r="AB228" s="197">
        <f t="shared" si="88"/>
        <v>44044</v>
      </c>
      <c r="AC228" s="424">
        <f>IF(OR(t&lt;Tnet,NoTnet),'2019'!Resal_s+('2019'!Salim-'2019'!Resal_s)*(1-EXP(('2019'!Tnet_s-t)/'2019'!Tau_j)),Resal_s+(Salim-Resal_s)*(1-EXP((Tnet_s-t)/Tau_j)))*Salcycl</f>
        <v>4.5897219791597554E-2</v>
      </c>
      <c r="AD228" s="230">
        <f>(INDEX(Models!$BJ228:$BT228,,AH228)*(1-AF228)+INDEX(Models!$BJ228:$BT228,,AH228+1)*AF228-ERP_i)*AE228*Ramure*Pc/MaxiM</f>
        <v>0</v>
      </c>
      <c r="AE228" s="304">
        <f t="shared" si="89"/>
        <v>0.6</v>
      </c>
      <c r="AF228" s="177">
        <f t="shared" si="90"/>
        <v>0.44832235895587025</v>
      </c>
      <c r="AG228" s="176">
        <f t="shared" si="91"/>
        <v>-1</v>
      </c>
      <c r="AH228" s="176">
        <f t="shared" si="92"/>
        <v>5</v>
      </c>
      <c r="AI228" s="224">
        <f t="shared" si="93"/>
        <v>-0.55167764104412975</v>
      </c>
      <c r="AJ228" s="264" t="b">
        <f t="shared" si="94"/>
        <v>0</v>
      </c>
      <c r="AK228" s="264" t="b">
        <f t="shared" si="95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6"/>
        <v>44045</v>
      </c>
      <c r="B229" s="607">
        <v>33.930999999999997</v>
      </c>
      <c r="C229" s="388"/>
      <c r="D229" s="391">
        <f t="shared" si="75"/>
        <v>34.289891811970669</v>
      </c>
      <c r="E229" s="383">
        <f t="shared" si="73"/>
        <v>35.941414199894851</v>
      </c>
      <c r="F229" s="383">
        <f t="shared" si="76"/>
        <v>35.941414199894851</v>
      </c>
      <c r="G229" s="110">
        <f t="shared" si="74"/>
        <v>0.61775903091091811</v>
      </c>
      <c r="H229" s="412" t="b">
        <f>Wh_hp&gt;='2019'!Maxi_hp</f>
        <v>0</v>
      </c>
      <c r="I229" s="388">
        <f>IF(H229,Wh_hp,'2019'!Maxi_hp)</f>
        <v>57.188879305352565</v>
      </c>
      <c r="J229" s="85">
        <f>IF(H229,An,'2019'!An_max)</f>
        <v>2018</v>
      </c>
      <c r="K229" s="197">
        <f t="shared" si="77"/>
        <v>44045</v>
      </c>
      <c r="L229" s="147">
        <f>IF(t&lt;Tvie,1-EXP((T0-t)*PertePVj)+'2019'!Pspv,1-EXP((T0-t)*PertePVj)+Pspv)</f>
        <v>1.0466402575390443E-2</v>
      </c>
      <c r="M229" s="832"/>
      <c r="N229" s="832"/>
      <c r="O229" s="48">
        <f>IF(t&lt;Tnet,'2019'!Resal+('2019'!Salim-'2019'!Resal)*(1-EXP(('2019'!Tnet-t)/('2019'!Tau_j))),Resal+(Salim-Resal)*(1-EXP((Tnet-t)/(Tau_j))))*Salcycl</f>
        <v>4.5950400803344303E-2</v>
      </c>
      <c r="P229" s="169">
        <f>(INDEX(Models!$BJ229:$BT229,,T229)*(1-R229)+INDEX(Models!$BJ229:$BT229,,T229+1)*R229-ERP_i)*Q229*Ramure*Pc/MaxiM</f>
        <v>0</v>
      </c>
      <c r="Q229" s="304">
        <f t="shared" si="78"/>
        <v>0.6</v>
      </c>
      <c r="R229" s="177">
        <f t="shared" si="79"/>
        <v>0.4501728392785932</v>
      </c>
      <c r="S229" s="799">
        <f t="shared" si="80"/>
        <v>-1</v>
      </c>
      <c r="T229" s="176">
        <f t="shared" si="81"/>
        <v>5</v>
      </c>
      <c r="U229" s="250">
        <f t="shared" si="82"/>
        <v>-0.5498271607214068</v>
      </c>
      <c r="V229" s="382">
        <f t="shared" si="83"/>
        <v>54.925947338992295</v>
      </c>
      <c r="W229" s="58"/>
      <c r="X229" s="157">
        <f t="shared" si="84"/>
        <v>44045</v>
      </c>
      <c r="Y229" s="383">
        <f t="shared" si="85"/>
        <v>33.930999999999997</v>
      </c>
      <c r="Z229" s="383">
        <f t="shared" si="86"/>
        <v>34.289891811970669</v>
      </c>
      <c r="AA229" s="384">
        <f t="shared" si="87"/>
        <v>35.941414199894851</v>
      </c>
      <c r="AB229" s="197">
        <f t="shared" si="88"/>
        <v>44045</v>
      </c>
      <c r="AC229" s="424">
        <f>IF(OR(t&lt;Tnet,NoTnet),'2019'!Resal_s+('2019'!Salim-'2019'!Resal_s)*(1-EXP(('2019'!Tnet_s-t)/'2019'!Tau_j)),Resal_s+(Salim-Resal_s)*(1-EXP((Tnet_s-t)/Tau_j)))*Salcycl</f>
        <v>4.5950400803344303E-2</v>
      </c>
      <c r="AD229" s="230">
        <f>(INDEX(Models!$BJ229:$BT229,,AH229)*(1-AF229)+INDEX(Models!$BJ229:$BT229,,AH229+1)*AF229-ERP_i)*AE229*Ramure*Pc/MaxiM</f>
        <v>0</v>
      </c>
      <c r="AE229" s="304">
        <f t="shared" si="89"/>
        <v>0.6</v>
      </c>
      <c r="AF229" s="177">
        <f t="shared" si="90"/>
        <v>0.4501728392785932</v>
      </c>
      <c r="AG229" s="176">
        <f t="shared" si="91"/>
        <v>-1</v>
      </c>
      <c r="AH229" s="176">
        <f t="shared" si="92"/>
        <v>5</v>
      </c>
      <c r="AI229" s="224">
        <f t="shared" si="93"/>
        <v>-0.5498271607214068</v>
      </c>
      <c r="AJ229" s="264" t="b">
        <f t="shared" si="94"/>
        <v>0</v>
      </c>
      <c r="AK229" s="264" t="b">
        <f t="shared" si="95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6"/>
        <v>44046</v>
      </c>
      <c r="B230" s="607">
        <v>48.953000000000003</v>
      </c>
      <c r="C230" s="388"/>
      <c r="D230" s="391">
        <f t="shared" si="75"/>
        <v>49.471729225229204</v>
      </c>
      <c r="E230" s="383">
        <f t="shared" si="73"/>
        <v>51.857344077787822</v>
      </c>
      <c r="F230" s="383">
        <f t="shared" si="76"/>
        <v>51.857344077787822</v>
      </c>
      <c r="G230" s="110">
        <f t="shared" si="74"/>
        <v>0.89313935702123171</v>
      </c>
      <c r="H230" s="412" t="b">
        <f>Wh_hp&gt;='2019'!Maxi_hp</f>
        <v>0</v>
      </c>
      <c r="I230" s="388">
        <f>IF(H230,Wh_hp,'2019'!Maxi_hp)</f>
        <v>55.300943232417936</v>
      </c>
      <c r="J230" s="85">
        <f>IF(H230,An,'2019'!An_max)</f>
        <v>2018</v>
      </c>
      <c r="K230" s="197">
        <f t="shared" si="77"/>
        <v>44046</v>
      </c>
      <c r="L230" s="147">
        <f>IF(t&lt;Tvie,1-EXP((T0-t)*PertePVj)+'2019'!Pspv,1-EXP((T0-t)*PertePVj)+Pspv)</f>
        <v>1.0485366761036174E-2</v>
      </c>
      <c r="M230" s="832"/>
      <c r="N230" s="832"/>
      <c r="O230" s="48">
        <f>IF(t&lt;Tnet,'2019'!Resal+('2019'!Salim-'2019'!Resal)*(1-EXP(('2019'!Tnet-t)/('2019'!Tau_j))),Resal+(Salim-Resal)*(1-EXP((Tnet-t)/(Tau_j))))*Salcycl</f>
        <v>4.60034136916097E-2</v>
      </c>
      <c r="P230" s="169">
        <f>(INDEX(Models!$BJ230:$BT230,,T230)*(1-R230)+INDEX(Models!$BJ230:$BT230,,T230+1)*R230-ERP_i)*Q230*Ramure*Pc/MaxiM</f>
        <v>0</v>
      </c>
      <c r="Q230" s="304">
        <f t="shared" si="78"/>
        <v>0.6</v>
      </c>
      <c r="R230" s="177">
        <f t="shared" si="79"/>
        <v>0.45196318581327</v>
      </c>
      <c r="S230" s="799">
        <f t="shared" si="80"/>
        <v>-1</v>
      </c>
      <c r="T230" s="176">
        <f t="shared" si="81"/>
        <v>5</v>
      </c>
      <c r="U230" s="250">
        <f t="shared" si="82"/>
        <v>-0.54803681418673</v>
      </c>
      <c r="V230" s="382">
        <f t="shared" si="83"/>
        <v>54.810035651397563</v>
      </c>
      <c r="W230" s="58"/>
      <c r="X230" s="157">
        <f t="shared" si="84"/>
        <v>44046</v>
      </c>
      <c r="Y230" s="383">
        <f t="shared" si="85"/>
        <v>48.953000000000003</v>
      </c>
      <c r="Z230" s="383">
        <f t="shared" si="86"/>
        <v>49.471729225229204</v>
      </c>
      <c r="AA230" s="384">
        <f t="shared" si="87"/>
        <v>51.857344077787822</v>
      </c>
      <c r="AB230" s="197">
        <f t="shared" si="88"/>
        <v>44046</v>
      </c>
      <c r="AC230" s="424">
        <f>IF(OR(t&lt;Tnet,NoTnet),'2019'!Resal_s+('2019'!Salim-'2019'!Resal_s)*(1-EXP(('2019'!Tnet_s-t)/'2019'!Tau_j)),Resal_s+(Salim-Resal_s)*(1-EXP((Tnet_s-t)/Tau_j)))*Salcycl</f>
        <v>4.60034136916097E-2</v>
      </c>
      <c r="AD230" s="230">
        <f>(INDEX(Models!$BJ230:$BT230,,AH230)*(1-AF230)+INDEX(Models!$BJ230:$BT230,,AH230+1)*AF230-ERP_i)*AE230*Ramure*Pc/MaxiM</f>
        <v>0</v>
      </c>
      <c r="AE230" s="304">
        <f t="shared" si="89"/>
        <v>0.6</v>
      </c>
      <c r="AF230" s="177">
        <f t="shared" si="90"/>
        <v>0.45196318581327</v>
      </c>
      <c r="AG230" s="176">
        <f t="shared" si="91"/>
        <v>-1</v>
      </c>
      <c r="AH230" s="176">
        <f t="shared" si="92"/>
        <v>5</v>
      </c>
      <c r="AI230" s="224">
        <f t="shared" si="93"/>
        <v>-0.54803681418673</v>
      </c>
      <c r="AJ230" s="264" t="b">
        <f t="shared" si="94"/>
        <v>0</v>
      </c>
      <c r="AK230" s="264" t="b">
        <f t="shared" si="95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6"/>
        <v>44047</v>
      </c>
      <c r="B231" s="607">
        <v>51.682000000000002</v>
      </c>
      <c r="C231" s="388"/>
      <c r="D231" s="391">
        <f t="shared" si="75"/>
        <v>52.230647993096198</v>
      </c>
      <c r="E231" s="383">
        <f t="shared" si="73"/>
        <v>54.752335956396053</v>
      </c>
      <c r="F231" s="383">
        <f t="shared" si="76"/>
        <v>54.752335956396053</v>
      </c>
      <c r="G231" s="110">
        <f t="shared" si="74"/>
        <v>0.94495664933613299</v>
      </c>
      <c r="H231" s="412" t="b">
        <f>Wh_hp&gt;='2019'!Maxi_hp</f>
        <v>1</v>
      </c>
      <c r="I231" s="388">
        <f>IF(H231,Wh_hp,'2019'!Maxi_hp)</f>
        <v>54.752335956396053</v>
      </c>
      <c r="J231" s="85">
        <f>IF(H231,An,'2019'!An_max)</f>
        <v>2020</v>
      </c>
      <c r="K231" s="197">
        <f t="shared" si="77"/>
        <v>44047</v>
      </c>
      <c r="L231" s="147">
        <f>IF(t&lt;Tvie,1-EXP((T0-t)*PertePVj)+'2019'!Pspv,1-EXP((T0-t)*PertePVj)+Pspv)</f>
        <v>1.0504330583237631E-2</v>
      </c>
      <c r="M231" s="832"/>
      <c r="N231" s="832"/>
      <c r="O231" s="48">
        <f>IF(t&lt;Tnet,'2019'!Resal+('2019'!Salim-'2019'!Resal)*(1-EXP(('2019'!Tnet-t)/('2019'!Tau_j))),Resal+(Salim-Resal)*(1-EXP((Tnet-t)/(Tau_j))))*Salcycl</f>
        <v>4.6056262609655306E-2</v>
      </c>
      <c r="P231" s="169">
        <f>(INDEX(Models!$BJ231:$BT231,,T231)*(1-R231)+INDEX(Models!$BJ231:$BT231,,T231+1)*R231-ERP_i)*Q231*Ramure*Pc/MaxiM</f>
        <v>0</v>
      </c>
      <c r="Q231" s="304">
        <f t="shared" si="78"/>
        <v>0.6</v>
      </c>
      <c r="R231" s="177">
        <f t="shared" si="79"/>
        <v>0.45369484378691238</v>
      </c>
      <c r="S231" s="799">
        <f t="shared" si="80"/>
        <v>-1</v>
      </c>
      <c r="T231" s="176">
        <f t="shared" si="81"/>
        <v>5</v>
      </c>
      <c r="U231" s="250">
        <f t="shared" si="82"/>
        <v>-0.54630515621308762</v>
      </c>
      <c r="V231" s="382">
        <f t="shared" si="83"/>
        <v>54.692456036272688</v>
      </c>
      <c r="W231" s="58"/>
      <c r="X231" s="157">
        <f t="shared" si="84"/>
        <v>44047</v>
      </c>
      <c r="Y231" s="383">
        <f t="shared" si="85"/>
        <v>51.682000000000002</v>
      </c>
      <c r="Z231" s="383">
        <f t="shared" si="86"/>
        <v>52.230647993096198</v>
      </c>
      <c r="AA231" s="384">
        <f t="shared" si="87"/>
        <v>54.752335956396053</v>
      </c>
      <c r="AB231" s="197">
        <f t="shared" si="88"/>
        <v>44047</v>
      </c>
      <c r="AC231" s="424">
        <f>IF(OR(t&lt;Tnet,NoTnet),'2019'!Resal_s+('2019'!Salim-'2019'!Resal_s)*(1-EXP(('2019'!Tnet_s-t)/'2019'!Tau_j)),Resal_s+(Salim-Resal_s)*(1-EXP((Tnet_s-t)/Tau_j)))*Salcycl</f>
        <v>4.6056262609655306E-2</v>
      </c>
      <c r="AD231" s="230">
        <f>(INDEX(Models!$BJ231:$BT231,,AH231)*(1-AF231)+INDEX(Models!$BJ231:$BT231,,AH231+1)*AF231-ERP_i)*AE231*Ramure*Pc/MaxiM</f>
        <v>0</v>
      </c>
      <c r="AE231" s="304">
        <f t="shared" si="89"/>
        <v>0.6</v>
      </c>
      <c r="AF231" s="177">
        <f t="shared" si="90"/>
        <v>0.45369484378691238</v>
      </c>
      <c r="AG231" s="176">
        <f t="shared" si="91"/>
        <v>-1</v>
      </c>
      <c r="AH231" s="176">
        <f t="shared" si="92"/>
        <v>5</v>
      </c>
      <c r="AI231" s="224">
        <f t="shared" si="93"/>
        <v>-0.54630515621308762</v>
      </c>
      <c r="AJ231" s="264" t="b">
        <f t="shared" si="94"/>
        <v>0</v>
      </c>
      <c r="AK231" s="264" t="b">
        <f t="shared" si="95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6"/>
        <v>44048</v>
      </c>
      <c r="B232" s="607">
        <v>54.558999999999997</v>
      </c>
      <c r="C232" s="388"/>
      <c r="D232" s="391">
        <f t="shared" si="75"/>
        <v>55.139246504218306</v>
      </c>
      <c r="E232" s="383">
        <f t="shared" si="73"/>
        <v>57.804553829679008</v>
      </c>
      <c r="F232" s="383">
        <f t="shared" si="76"/>
        <v>57.804553829679008</v>
      </c>
      <c r="G232" s="110">
        <f t="shared" si="74"/>
        <v>0.99974150294386832</v>
      </c>
      <c r="H232" s="412" t="b">
        <f>Wh_hp&gt;='2019'!Maxi_hp</f>
        <v>1</v>
      </c>
      <c r="I232" s="388">
        <f>IF(H232,Wh_hp,'2019'!Maxi_hp)</f>
        <v>57.804553829679008</v>
      </c>
      <c r="J232" s="85">
        <f>IF(H232,An,'2019'!An_max)</f>
        <v>2020</v>
      </c>
      <c r="K232" s="197">
        <f t="shared" si="77"/>
        <v>44048</v>
      </c>
      <c r="L232" s="147">
        <f>IF(t&lt;Tvie,1-EXP((T0-t)*PertePVj)+'2019'!Pspv,1-EXP((T0-t)*PertePVj)+Pspv)</f>
        <v>1.0523294042001807E-2</v>
      </c>
      <c r="M232" s="832"/>
      <c r="N232" s="832"/>
      <c r="O232" s="48">
        <f>IF(t&lt;Tnet,'2019'!Resal+('2019'!Salim-'2019'!Resal)*(1-EXP(('2019'!Tnet-t)/('2019'!Tau_j))),Resal+(Salim-Resal)*(1-EXP((Tnet-t)/(Tau_j))))*Salcycl</f>
        <v>4.6108950746580064E-2</v>
      </c>
      <c r="P232" s="169">
        <f>(INDEX(Models!$BJ232:$BT232,,T232)*(1-R232)+INDEX(Models!$BJ232:$BT232,,T232+1)*R232-ERP_i)*Q232*Ramure*Pc/MaxiM</f>
        <v>0</v>
      </c>
      <c r="Q232" s="304">
        <f t="shared" si="78"/>
        <v>0.6</v>
      </c>
      <c r="R232" s="177">
        <f t="shared" si="79"/>
        <v>0.45536926109644393</v>
      </c>
      <c r="S232" s="799">
        <f t="shared" si="80"/>
        <v>-1</v>
      </c>
      <c r="T232" s="176">
        <f t="shared" si="81"/>
        <v>5</v>
      </c>
      <c r="U232" s="250">
        <f t="shared" si="82"/>
        <v>-0.54463073890355607</v>
      </c>
      <c r="V232" s="382">
        <f t="shared" si="83"/>
        <v>54.573106987500218</v>
      </c>
      <c r="W232" s="58"/>
      <c r="X232" s="157">
        <f t="shared" si="84"/>
        <v>44048</v>
      </c>
      <c r="Y232" s="383">
        <f t="shared" si="85"/>
        <v>54.558999999999997</v>
      </c>
      <c r="Z232" s="383">
        <f t="shared" si="86"/>
        <v>55.139246504218306</v>
      </c>
      <c r="AA232" s="384">
        <f t="shared" si="87"/>
        <v>57.804553829679008</v>
      </c>
      <c r="AB232" s="197">
        <f t="shared" si="88"/>
        <v>44048</v>
      </c>
      <c r="AC232" s="424">
        <f>IF(OR(t&lt;Tnet,NoTnet),'2019'!Resal_s+('2019'!Salim-'2019'!Resal_s)*(1-EXP(('2019'!Tnet_s-t)/'2019'!Tau_j)),Resal_s+(Salim-Resal_s)*(1-EXP((Tnet_s-t)/Tau_j)))*Salcycl</f>
        <v>4.6108950746580064E-2</v>
      </c>
      <c r="AD232" s="230">
        <f>(INDEX(Models!$BJ232:$BT232,,AH232)*(1-AF232)+INDEX(Models!$BJ232:$BT232,,AH232+1)*AF232-ERP_i)*AE232*Ramure*Pc/MaxiM</f>
        <v>0</v>
      </c>
      <c r="AE232" s="304">
        <f t="shared" si="89"/>
        <v>0.6</v>
      </c>
      <c r="AF232" s="177">
        <f t="shared" si="90"/>
        <v>0.45536926109644393</v>
      </c>
      <c r="AG232" s="176">
        <f t="shared" si="91"/>
        <v>-1</v>
      </c>
      <c r="AH232" s="176">
        <f t="shared" si="92"/>
        <v>5</v>
      </c>
      <c r="AI232" s="224">
        <f t="shared" si="93"/>
        <v>-0.54463073890355607</v>
      </c>
      <c r="AJ232" s="264" t="b">
        <f t="shared" si="94"/>
        <v>0</v>
      </c>
      <c r="AK232" s="264" t="b">
        <f t="shared" si="95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6"/>
        <v>44049</v>
      </c>
      <c r="B233" s="607">
        <v>53.186999999999998</v>
      </c>
      <c r="C233" s="388"/>
      <c r="D233" s="391">
        <f t="shared" si="75"/>
        <v>53.753685171153684</v>
      </c>
      <c r="E233" s="383">
        <f t="shared" ref="E233:E296" si="97">Wh_pvt/(1-Psa)</f>
        <v>56.355120981931385</v>
      </c>
      <c r="F233" s="383">
        <f t="shared" si="76"/>
        <v>56.355120981931385</v>
      </c>
      <c r="G233" s="110">
        <f t="shared" ref="G233:G296" si="98">+Wh_hp/MaxiM</f>
        <v>0.97676994791978744</v>
      </c>
      <c r="H233" s="412" t="b">
        <f>Wh_hp&gt;='2019'!Maxi_hp</f>
        <v>1</v>
      </c>
      <c r="I233" s="388">
        <f>IF(H233,Wh_hp,'2019'!Maxi_hp)</f>
        <v>56.355120981931385</v>
      </c>
      <c r="J233" s="85">
        <f>IF(H233,An,'2019'!An_max)</f>
        <v>2020</v>
      </c>
      <c r="K233" s="197">
        <f t="shared" si="77"/>
        <v>44049</v>
      </c>
      <c r="L233" s="147">
        <f>IF(t&lt;Tvie,1-EXP((T0-t)*PertePVj)+'2019'!Pspv,1-EXP((T0-t)*PertePVj)+Pspv)</f>
        <v>1.0542257137335587E-2</v>
      </c>
      <c r="M233" s="832"/>
      <c r="N233" s="832"/>
      <c r="O233" s="48">
        <f>IF(t&lt;Tnet,'2019'!Resal+('2019'!Salim-'2019'!Resal)*(1-EXP(('2019'!Tnet-t)/('2019'!Tau_j))),Resal+(Salim-Resal)*(1-EXP((Tnet-t)/(Tau_j))))*Salcycl</f>
        <v>4.6161480366828961E-2</v>
      </c>
      <c r="P233" s="169">
        <f>(INDEX(Models!$BJ233:$BT233,,T233)*(1-R233)+INDEX(Models!$BJ233:$BT233,,T233+1)*R233-ERP_i)*Q233*Ramure*Pc/MaxiM</f>
        <v>0</v>
      </c>
      <c r="Q233" s="304">
        <f t="shared" si="78"/>
        <v>0.6</v>
      </c>
      <c r="R233" s="177">
        <f t="shared" si="79"/>
        <v>0.4569878849760074</v>
      </c>
      <c r="S233" s="799">
        <f t="shared" si="80"/>
        <v>-1</v>
      </c>
      <c r="T233" s="176">
        <f t="shared" si="81"/>
        <v>5</v>
      </c>
      <c r="U233" s="250">
        <f t="shared" si="82"/>
        <v>-0.5430121150239926</v>
      </c>
      <c r="V233" s="382">
        <f t="shared" si="83"/>
        <v>54.451920959762916</v>
      </c>
      <c r="W233" s="58"/>
      <c r="X233" s="157">
        <f t="shared" si="84"/>
        <v>44049</v>
      </c>
      <c r="Y233" s="383">
        <f t="shared" si="85"/>
        <v>53.186999999999998</v>
      </c>
      <c r="Z233" s="383">
        <f t="shared" si="86"/>
        <v>53.753685171153684</v>
      </c>
      <c r="AA233" s="384">
        <f t="shared" si="87"/>
        <v>56.355120981931385</v>
      </c>
      <c r="AB233" s="197">
        <f t="shared" si="88"/>
        <v>44049</v>
      </c>
      <c r="AC233" s="424">
        <f>IF(OR(t&lt;Tnet,NoTnet),'2019'!Resal_s+('2019'!Salim-'2019'!Resal_s)*(1-EXP(('2019'!Tnet_s-t)/'2019'!Tau_j)),Resal_s+(Salim-Resal_s)*(1-EXP((Tnet_s-t)/Tau_j)))*Salcycl</f>
        <v>4.6161480366828961E-2</v>
      </c>
      <c r="AD233" s="230">
        <f>(INDEX(Models!$BJ233:$BT233,,AH233)*(1-AF233)+INDEX(Models!$BJ233:$BT233,,AH233+1)*AF233-ERP_i)*AE233*Ramure*Pc/MaxiM</f>
        <v>0</v>
      </c>
      <c r="AE233" s="304">
        <f t="shared" si="89"/>
        <v>0.6</v>
      </c>
      <c r="AF233" s="177">
        <f t="shared" si="90"/>
        <v>0.4569878849760074</v>
      </c>
      <c r="AG233" s="176">
        <f t="shared" si="91"/>
        <v>-1</v>
      </c>
      <c r="AH233" s="176">
        <f t="shared" si="92"/>
        <v>5</v>
      </c>
      <c r="AI233" s="224">
        <f t="shared" si="93"/>
        <v>-0.5430121150239926</v>
      </c>
      <c r="AJ233" s="264" t="b">
        <f t="shared" si="94"/>
        <v>0</v>
      </c>
      <c r="AK233" s="264" t="b">
        <f t="shared" si="95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6"/>
        <v>44050</v>
      </c>
      <c r="B234" s="607">
        <v>52.646000000000001</v>
      </c>
      <c r="C234" s="388"/>
      <c r="D234" s="391">
        <f t="shared" si="75"/>
        <v>53.207940761168516</v>
      </c>
      <c r="E234" s="383">
        <f t="shared" si="97"/>
        <v>55.786028052877967</v>
      </c>
      <c r="F234" s="383">
        <f t="shared" si="76"/>
        <v>55.786028052877967</v>
      </c>
      <c r="G234" s="110">
        <f t="shared" si="98"/>
        <v>0.96902267600587733</v>
      </c>
      <c r="H234" s="412" t="b">
        <f>Wh_hp&gt;='2019'!Maxi_hp</f>
        <v>1</v>
      </c>
      <c r="I234" s="388">
        <f>IF(H234,Wh_hp,'2019'!Maxi_hp)</f>
        <v>55.786028052877967</v>
      </c>
      <c r="J234" s="85">
        <f>IF(H234,An,'2019'!An_max)</f>
        <v>2020</v>
      </c>
      <c r="K234" s="197">
        <f t="shared" si="77"/>
        <v>44050</v>
      </c>
      <c r="L234" s="147">
        <f>IF(t&lt;Tvie,1-EXP((T0-t)*PertePVj)+'2019'!Pspv,1-EXP((T0-t)*PertePVj)+Pspv)</f>
        <v>1.0561219869245964E-2</v>
      </c>
      <c r="M234" s="832"/>
      <c r="N234" s="832"/>
      <c r="O234" s="48">
        <f>IF(t&lt;Tnet,'2019'!Resal+('2019'!Salim-'2019'!Resal)*(1-EXP(('2019'!Tnet-t)/('2019'!Tau_j))),Resal+(Salim-Resal)*(1-EXP((Tnet-t)/(Tau_j))))*Salcycl</f>
        <v>4.621385285336603E-2</v>
      </c>
      <c r="P234" s="169">
        <f>(INDEX(Models!$BJ234:$BT234,,T234)*(1-R234)+INDEX(Models!$BJ234:$BT234,,T234+1)*R234-ERP_i)*Q234*Ramure*Pc/MaxiM</f>
        <v>0</v>
      </c>
      <c r="Q234" s="304">
        <f t="shared" si="78"/>
        <v>0.6</v>
      </c>
      <c r="R234" s="177">
        <f t="shared" si="79"/>
        <v>0.45855215890892898</v>
      </c>
      <c r="S234" s="799">
        <f t="shared" si="80"/>
        <v>-1</v>
      </c>
      <c r="T234" s="176">
        <f t="shared" si="81"/>
        <v>5</v>
      </c>
      <c r="U234" s="250">
        <f t="shared" si="82"/>
        <v>-0.54144784109107102</v>
      </c>
      <c r="V234" s="382">
        <f t="shared" si="83"/>
        <v>54.328965981473786</v>
      </c>
      <c r="W234" s="58"/>
      <c r="X234" s="157">
        <f t="shared" si="84"/>
        <v>44050</v>
      </c>
      <c r="Y234" s="383">
        <f t="shared" si="85"/>
        <v>52.646000000000001</v>
      </c>
      <c r="Z234" s="383">
        <f t="shared" si="86"/>
        <v>53.207940761168516</v>
      </c>
      <c r="AA234" s="384">
        <f t="shared" si="87"/>
        <v>55.786028052877967</v>
      </c>
      <c r="AB234" s="197">
        <f t="shared" si="88"/>
        <v>44050</v>
      </c>
      <c r="AC234" s="424">
        <f>IF(OR(t&lt;Tnet,NoTnet),'2019'!Resal_s+('2019'!Salim-'2019'!Resal_s)*(1-EXP(('2019'!Tnet_s-t)/'2019'!Tau_j)),Resal_s+(Salim-Resal_s)*(1-EXP((Tnet_s-t)/Tau_j)))*Salcycl</f>
        <v>4.621385285336603E-2</v>
      </c>
      <c r="AD234" s="230">
        <f>(INDEX(Models!$BJ234:$BT234,,AH234)*(1-AF234)+INDEX(Models!$BJ234:$BT234,,AH234+1)*AF234-ERP_i)*AE234*Ramure*Pc/MaxiM</f>
        <v>0</v>
      </c>
      <c r="AE234" s="304">
        <f t="shared" si="89"/>
        <v>0.6</v>
      </c>
      <c r="AF234" s="177">
        <f t="shared" si="90"/>
        <v>0.45855215890892898</v>
      </c>
      <c r="AG234" s="176">
        <f t="shared" si="91"/>
        <v>-1</v>
      </c>
      <c r="AH234" s="176">
        <f t="shared" si="92"/>
        <v>5</v>
      </c>
      <c r="AI234" s="224">
        <f t="shared" si="93"/>
        <v>-0.54144784109107102</v>
      </c>
      <c r="AJ234" s="264" t="b">
        <f t="shared" si="94"/>
        <v>0</v>
      </c>
      <c r="AK234" s="264" t="b">
        <f t="shared" si="95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6"/>
        <v>44051</v>
      </c>
      <c r="B235" s="607">
        <v>49.930999999999997</v>
      </c>
      <c r="C235" s="388"/>
      <c r="D235" s="391">
        <f t="shared" si="75"/>
        <v>50.464928136296457</v>
      </c>
      <c r="E235" s="383">
        <f t="shared" si="97"/>
        <v>52.913004856977068</v>
      </c>
      <c r="F235" s="383">
        <f t="shared" si="76"/>
        <v>52.913004856977068</v>
      </c>
      <c r="G235" s="110">
        <f t="shared" si="98"/>
        <v>0.92116233373403933</v>
      </c>
      <c r="H235" s="412" t="b">
        <f>Wh_hp&gt;='2019'!Maxi_hp</f>
        <v>0</v>
      </c>
      <c r="I235" s="388">
        <f>IF(H235,Wh_hp,'2019'!Maxi_hp)</f>
        <v>54.154598122309835</v>
      </c>
      <c r="J235" s="85">
        <f>IF(H235,An,'2019'!An_max)</f>
        <v>2018</v>
      </c>
      <c r="K235" s="197">
        <f t="shared" si="77"/>
        <v>44051</v>
      </c>
      <c r="L235" s="147">
        <f>IF(t&lt;Tvie,1-EXP((T0-t)*PertePVj)+'2019'!Pspv,1-EXP((T0-t)*PertePVj)+Pspv)</f>
        <v>1.0580182237739821E-2</v>
      </c>
      <c r="M235" s="832"/>
      <c r="N235" s="832"/>
      <c r="O235" s="48">
        <f>IF(t&lt;Tnet,'2019'!Resal+('2019'!Salim-'2019'!Resal)*(1-EXP(('2019'!Tnet-t)/('2019'!Tau_j))),Resal+(Salim-Resal)*(1-EXP((Tnet-t)/(Tau_j))))*Salcycl</f>
        <v>4.6266068753753817E-2</v>
      </c>
      <c r="P235" s="169">
        <f>(INDEX(Models!$BJ235:$BT235,,T235)*(1-R235)+INDEX(Models!$BJ235:$BT235,,T235+1)*R235-ERP_i)*Q235*Ramure*Pc/MaxiM</f>
        <v>0</v>
      </c>
      <c r="Q235" s="304">
        <f t="shared" si="78"/>
        <v>0.6</v>
      </c>
      <c r="R235" s="177">
        <f t="shared" si="79"/>
        <v>0.46006351977755733</v>
      </c>
      <c r="S235" s="799">
        <f t="shared" si="80"/>
        <v>-1</v>
      </c>
      <c r="T235" s="176">
        <f t="shared" si="81"/>
        <v>5</v>
      </c>
      <c r="U235" s="250">
        <f t="shared" si="82"/>
        <v>-0.53993648022244267</v>
      </c>
      <c r="V235" s="382">
        <f t="shared" si="83"/>
        <v>54.204343980934219</v>
      </c>
      <c r="W235" s="58"/>
      <c r="X235" s="157">
        <f t="shared" si="84"/>
        <v>44051</v>
      </c>
      <c r="Y235" s="383">
        <f t="shared" si="85"/>
        <v>49.930999999999997</v>
      </c>
      <c r="Z235" s="383">
        <f t="shared" si="86"/>
        <v>50.464928136296457</v>
      </c>
      <c r="AA235" s="384">
        <f t="shared" si="87"/>
        <v>52.913004856977068</v>
      </c>
      <c r="AB235" s="197">
        <f t="shared" si="88"/>
        <v>44051</v>
      </c>
      <c r="AC235" s="424">
        <f>IF(OR(t&lt;Tnet,NoTnet),'2019'!Resal_s+('2019'!Salim-'2019'!Resal_s)*(1-EXP(('2019'!Tnet_s-t)/'2019'!Tau_j)),Resal_s+(Salim-Resal_s)*(1-EXP((Tnet_s-t)/Tau_j)))*Salcycl</f>
        <v>4.6266068753753817E-2</v>
      </c>
      <c r="AD235" s="230">
        <f>(INDEX(Models!$BJ235:$BT235,,AH235)*(1-AF235)+INDEX(Models!$BJ235:$BT235,,AH235+1)*AF235-ERP_i)*AE235*Ramure*Pc/MaxiM</f>
        <v>0</v>
      </c>
      <c r="AE235" s="304">
        <f t="shared" si="89"/>
        <v>0.6</v>
      </c>
      <c r="AF235" s="177">
        <f t="shared" si="90"/>
        <v>0.46006351977755733</v>
      </c>
      <c r="AG235" s="176">
        <f t="shared" si="91"/>
        <v>-1</v>
      </c>
      <c r="AH235" s="176">
        <f t="shared" si="92"/>
        <v>5</v>
      </c>
      <c r="AI235" s="224">
        <f t="shared" si="93"/>
        <v>-0.53993648022244267</v>
      </c>
      <c r="AJ235" s="264" t="b">
        <f t="shared" si="94"/>
        <v>0</v>
      </c>
      <c r="AK235" s="264" t="b">
        <f t="shared" si="95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6"/>
        <v>44052</v>
      </c>
      <c r="B236" s="607">
        <v>41.685000000000002</v>
      </c>
      <c r="C236" s="388"/>
      <c r="D236" s="391">
        <f t="shared" si="75"/>
        <v>42.131558465349229</v>
      </c>
      <c r="E236" s="383">
        <f t="shared" si="97"/>
        <v>44.177791037813797</v>
      </c>
      <c r="F236" s="383">
        <f t="shared" si="76"/>
        <v>44.177791037813797</v>
      </c>
      <c r="G236" s="110">
        <f t="shared" si="98"/>
        <v>0.77082878540950106</v>
      </c>
      <c r="H236" s="412" t="b">
        <f>Wh_hp&gt;='2019'!Maxi_hp</f>
        <v>1</v>
      </c>
      <c r="I236" s="388">
        <f>IF(H236,Wh_hp,'2019'!Maxi_hp)</f>
        <v>44.177791037813797</v>
      </c>
      <c r="J236" s="85">
        <f>IF(H236,An,'2019'!An_max)</f>
        <v>2020</v>
      </c>
      <c r="K236" s="197">
        <f t="shared" si="77"/>
        <v>44052</v>
      </c>
      <c r="L236" s="147">
        <f>IF(t&lt;Tvie,1-EXP((T0-t)*PertePVj)+'2019'!Pspv,1-EXP((T0-t)*PertePVj)+Pspv)</f>
        <v>1.0599144242824377E-2</v>
      </c>
      <c r="M236" s="832"/>
      <c r="N236" s="832"/>
      <c r="O236" s="48">
        <f>IF(t&lt;Tnet,'2019'!Resal+('2019'!Salim-'2019'!Resal)*(1-EXP(('2019'!Tnet-t)/('2019'!Tau_j))),Resal+(Salim-Resal)*(1-EXP((Tnet-t)/(Tau_j))))*Salcycl</f>
        <v>4.631812782837208E-2</v>
      </c>
      <c r="P236" s="169">
        <f>(INDEX(Models!$BJ236:$BT236,,T236)*(1-R236)+INDEX(Models!$BJ236:$BT236,,T236+1)*R236-ERP_i)*Q236*Ramure*Pc/MaxiM</f>
        <v>0</v>
      </c>
      <c r="Q236" s="304">
        <f t="shared" si="78"/>
        <v>0.6</v>
      </c>
      <c r="R236" s="177">
        <f t="shared" si="79"/>
        <v>0.46152339524345443</v>
      </c>
      <c r="S236" s="799">
        <f t="shared" si="80"/>
        <v>-1</v>
      </c>
      <c r="T236" s="176">
        <f t="shared" si="81"/>
        <v>5</v>
      </c>
      <c r="U236" s="250">
        <f t="shared" si="82"/>
        <v>-0.53847660475654557</v>
      </c>
      <c r="V236" s="382">
        <f t="shared" si="83"/>
        <v>54.078156899466251</v>
      </c>
      <c r="W236" s="58"/>
      <c r="X236" s="157">
        <f t="shared" si="84"/>
        <v>44052</v>
      </c>
      <c r="Y236" s="383">
        <f t="shared" si="85"/>
        <v>41.685000000000002</v>
      </c>
      <c r="Z236" s="383">
        <f t="shared" si="86"/>
        <v>42.131558465349229</v>
      </c>
      <c r="AA236" s="384">
        <f t="shared" si="87"/>
        <v>44.177791037813797</v>
      </c>
      <c r="AB236" s="197">
        <f t="shared" si="88"/>
        <v>44052</v>
      </c>
      <c r="AC236" s="424">
        <f>IF(OR(t&lt;Tnet,NoTnet),'2019'!Resal_s+('2019'!Salim-'2019'!Resal_s)*(1-EXP(('2019'!Tnet_s-t)/'2019'!Tau_j)),Resal_s+(Salim-Resal_s)*(1-EXP((Tnet_s-t)/Tau_j)))*Salcycl</f>
        <v>4.631812782837208E-2</v>
      </c>
      <c r="AD236" s="230">
        <f>(INDEX(Models!$BJ236:$BT236,,AH236)*(1-AF236)+INDEX(Models!$BJ236:$BT236,,AH236+1)*AF236-ERP_i)*AE236*Ramure*Pc/MaxiM</f>
        <v>0</v>
      </c>
      <c r="AE236" s="304">
        <f t="shared" si="89"/>
        <v>0.6</v>
      </c>
      <c r="AF236" s="177">
        <f t="shared" si="90"/>
        <v>0.46152339524345443</v>
      </c>
      <c r="AG236" s="176">
        <f t="shared" si="91"/>
        <v>-1</v>
      </c>
      <c r="AH236" s="176">
        <f t="shared" si="92"/>
        <v>5</v>
      </c>
      <c r="AI236" s="224">
        <f t="shared" si="93"/>
        <v>-0.53847660475654557</v>
      </c>
      <c r="AJ236" s="264" t="b">
        <f t="shared" si="94"/>
        <v>0</v>
      </c>
      <c r="AK236" s="264" t="b">
        <f t="shared" si="95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6"/>
        <v>44053</v>
      </c>
      <c r="B237" s="607">
        <v>38.433999999999997</v>
      </c>
      <c r="C237" s="388"/>
      <c r="D237" s="391">
        <f t="shared" si="75"/>
        <v>38.846475995358645</v>
      </c>
      <c r="E237" s="383">
        <f t="shared" si="97"/>
        <v>40.735376593394093</v>
      </c>
      <c r="F237" s="383">
        <f t="shared" si="76"/>
        <v>40.735376593394093</v>
      </c>
      <c r="G237" s="110">
        <f t="shared" si="98"/>
        <v>0.71239368004825143</v>
      </c>
      <c r="H237" s="412" t="b">
        <f>Wh_hp&gt;='2019'!Maxi_hp</f>
        <v>1</v>
      </c>
      <c r="I237" s="388">
        <f>IF(H237,Wh_hp,'2019'!Maxi_hp)</f>
        <v>40.735376593394093</v>
      </c>
      <c r="J237" s="85">
        <f>IF(H237,An,'2019'!An_max)</f>
        <v>2020</v>
      </c>
      <c r="K237" s="197">
        <f t="shared" si="77"/>
        <v>44053</v>
      </c>
      <c r="L237" s="147">
        <f>IF(t&lt;Tvie,1-EXP((T0-t)*PertePVj)+'2019'!Pspv,1-EXP((T0-t)*PertePVj)+Pspv)</f>
        <v>1.061810588450629E-2</v>
      </c>
      <c r="M237" s="832"/>
      <c r="N237" s="832"/>
      <c r="O237" s="48">
        <f>IF(t&lt;Tnet,'2019'!Resal+('2019'!Salim-'2019'!Resal)*(1-EXP(('2019'!Tnet-t)/('2019'!Tau_j))),Resal+(Salim-Resal)*(1-EXP((Tnet-t)/(Tau_j))))*Salcycl</f>
        <v>4.6370029100007391E-2</v>
      </c>
      <c r="P237" s="169">
        <f>(INDEX(Models!$BJ237:$BT237,,T237)*(1-R237)+INDEX(Models!$BJ237:$BT237,,T237+1)*R237-ERP_i)*Q237*Ramure*Pc/MaxiM</f>
        <v>0</v>
      </c>
      <c r="Q237" s="304">
        <f t="shared" si="78"/>
        <v>0.6</v>
      </c>
      <c r="R237" s="177">
        <f t="shared" si="79"/>
        <v>0.46293320134979687</v>
      </c>
      <c r="S237" s="799">
        <f t="shared" si="80"/>
        <v>-1</v>
      </c>
      <c r="T237" s="176">
        <f t="shared" si="81"/>
        <v>5</v>
      </c>
      <c r="U237" s="250">
        <f t="shared" si="82"/>
        <v>-0.53706679865020313</v>
      </c>
      <c r="V237" s="382">
        <f t="shared" si="83"/>
        <v>53.950506688095281</v>
      </c>
      <c r="W237" s="58"/>
      <c r="X237" s="157">
        <f t="shared" si="84"/>
        <v>44053</v>
      </c>
      <c r="Y237" s="383">
        <f t="shared" si="85"/>
        <v>38.433999999999997</v>
      </c>
      <c r="Z237" s="383">
        <f t="shared" si="86"/>
        <v>38.846475995358645</v>
      </c>
      <c r="AA237" s="384">
        <f t="shared" si="87"/>
        <v>40.735376593394093</v>
      </c>
      <c r="AB237" s="197">
        <f t="shared" si="88"/>
        <v>44053</v>
      </c>
      <c r="AC237" s="424">
        <f>IF(OR(t&lt;Tnet,NoTnet),'2019'!Resal_s+('2019'!Salim-'2019'!Resal_s)*(1-EXP(('2019'!Tnet_s-t)/'2019'!Tau_j)),Resal_s+(Salim-Resal_s)*(1-EXP((Tnet_s-t)/Tau_j)))*Salcycl</f>
        <v>4.6370029100007391E-2</v>
      </c>
      <c r="AD237" s="230">
        <f>(INDEX(Models!$BJ237:$BT237,,AH237)*(1-AF237)+INDEX(Models!$BJ237:$BT237,,AH237+1)*AF237-ERP_i)*AE237*Ramure*Pc/MaxiM</f>
        <v>0</v>
      </c>
      <c r="AE237" s="304">
        <f t="shared" si="89"/>
        <v>0.6</v>
      </c>
      <c r="AF237" s="177">
        <f t="shared" si="90"/>
        <v>0.46293320134979687</v>
      </c>
      <c r="AG237" s="176">
        <f t="shared" si="91"/>
        <v>-1</v>
      </c>
      <c r="AH237" s="176">
        <f t="shared" si="92"/>
        <v>5</v>
      </c>
      <c r="AI237" s="224">
        <f t="shared" si="93"/>
        <v>-0.53706679865020313</v>
      </c>
      <c r="AJ237" s="264" t="b">
        <f t="shared" si="94"/>
        <v>0</v>
      </c>
      <c r="AK237" s="264" t="b">
        <f t="shared" si="95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6"/>
        <v>44054</v>
      </c>
      <c r="B238" s="607">
        <v>42.195</v>
      </c>
      <c r="C238" s="388"/>
      <c r="D238" s="391">
        <f t="shared" si="75"/>
        <v>42.648656624922182</v>
      </c>
      <c r="E238" s="383">
        <f t="shared" si="97"/>
        <v>44.724864015987343</v>
      </c>
      <c r="F238" s="383">
        <f t="shared" si="76"/>
        <v>44.724864015987343</v>
      </c>
      <c r="G238" s="110">
        <f t="shared" si="98"/>
        <v>0.78398044797399968</v>
      </c>
      <c r="H238" s="412" t="b">
        <f>Wh_hp&gt;='2019'!Maxi_hp</f>
        <v>1</v>
      </c>
      <c r="I238" s="388">
        <f>IF(H238,Wh_hp,'2019'!Maxi_hp)</f>
        <v>44.724864015987343</v>
      </c>
      <c r="J238" s="85">
        <f>IF(H238,An,'2019'!An_max)</f>
        <v>2020</v>
      </c>
      <c r="K238" s="197">
        <f t="shared" si="77"/>
        <v>44054</v>
      </c>
      <c r="L238" s="147">
        <f>IF(t&lt;Tvie,1-EXP((T0-t)*PertePVj)+'2019'!Pspv,1-EXP((T0-t)*PertePVj)+Pspv)</f>
        <v>1.0637067162792779E-2</v>
      </c>
      <c r="M238" s="832"/>
      <c r="N238" s="832"/>
      <c r="O238" s="48">
        <f>IF(t&lt;Tnet,'2019'!Resal+('2019'!Salim-'2019'!Resal)*(1-EXP(('2019'!Tnet-t)/('2019'!Tau_j))),Resal+(Salim-Resal)*(1-EXP((Tnet-t)/(Tau_j))))*Salcycl</f>
        <v>4.6421770904054679E-2</v>
      </c>
      <c r="P238" s="169">
        <f>(INDEX(Models!$BJ238:$BT238,,T238)*(1-R238)+INDEX(Models!$BJ238:$BT238,,T238+1)*R238-ERP_i)*Q238*Ramure*Pc/MaxiM</f>
        <v>0</v>
      </c>
      <c r="Q238" s="304">
        <f t="shared" si="78"/>
        <v>0.6</v>
      </c>
      <c r="R238" s="177">
        <f t="shared" si="79"/>
        <v>0.46429434033736294</v>
      </c>
      <c r="S238" s="799">
        <f t="shared" si="80"/>
        <v>-1</v>
      </c>
      <c r="T238" s="176">
        <f t="shared" si="81"/>
        <v>5</v>
      </c>
      <c r="U238" s="250">
        <f t="shared" si="82"/>
        <v>-0.53570565966263706</v>
      </c>
      <c r="V238" s="382">
        <f t="shared" si="83"/>
        <v>53.821495305198439</v>
      </c>
      <c r="W238" s="58"/>
      <c r="X238" s="157">
        <f t="shared" si="84"/>
        <v>44054</v>
      </c>
      <c r="Y238" s="383">
        <f t="shared" si="85"/>
        <v>42.195</v>
      </c>
      <c r="Z238" s="383">
        <f t="shared" si="86"/>
        <v>42.648656624922182</v>
      </c>
      <c r="AA238" s="384">
        <f t="shared" si="87"/>
        <v>44.724864015987343</v>
      </c>
      <c r="AB238" s="197">
        <f t="shared" si="88"/>
        <v>44054</v>
      </c>
      <c r="AC238" s="424">
        <f>IF(OR(t&lt;Tnet,NoTnet),'2019'!Resal_s+('2019'!Salim-'2019'!Resal_s)*(1-EXP(('2019'!Tnet_s-t)/'2019'!Tau_j)),Resal_s+(Salim-Resal_s)*(1-EXP((Tnet_s-t)/Tau_j)))*Salcycl</f>
        <v>4.6421770904054679E-2</v>
      </c>
      <c r="AD238" s="230">
        <f>(INDEX(Models!$BJ238:$BT238,,AH238)*(1-AF238)+INDEX(Models!$BJ238:$BT238,,AH238+1)*AF238-ERP_i)*AE238*Ramure*Pc/MaxiM</f>
        <v>0</v>
      </c>
      <c r="AE238" s="304">
        <f t="shared" si="89"/>
        <v>0.6</v>
      </c>
      <c r="AF238" s="177">
        <f t="shared" si="90"/>
        <v>0.46429434033736294</v>
      </c>
      <c r="AG238" s="176">
        <f t="shared" si="91"/>
        <v>-1</v>
      </c>
      <c r="AH238" s="176">
        <f t="shared" si="92"/>
        <v>5</v>
      </c>
      <c r="AI238" s="224">
        <f t="shared" si="93"/>
        <v>-0.53570565966263706</v>
      </c>
      <c r="AJ238" s="264" t="b">
        <f t="shared" si="94"/>
        <v>0</v>
      </c>
      <c r="AK238" s="264" t="b">
        <f t="shared" si="95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6"/>
        <v>44055</v>
      </c>
      <c r="B239" s="607">
        <v>30.561</v>
      </c>
      <c r="C239" s="388"/>
      <c r="D239" s="391">
        <f t="shared" si="75"/>
        <v>30.890166481349802</v>
      </c>
      <c r="E239" s="383">
        <f t="shared" si="97"/>
        <v>32.395703373110784</v>
      </c>
      <c r="F239" s="383">
        <f t="shared" si="76"/>
        <v>32.395703373110784</v>
      </c>
      <c r="G239" s="110">
        <f t="shared" si="98"/>
        <v>0.56919915988931491</v>
      </c>
      <c r="H239" s="412" t="b">
        <f>Wh_hp&gt;='2019'!Maxi_hp</f>
        <v>0</v>
      </c>
      <c r="I239" s="388">
        <f>IF(H239,Wh_hp,'2019'!Maxi_hp)</f>
        <v>50.157042918193603</v>
      </c>
      <c r="J239" s="85">
        <f>IF(H239,An,'2019'!An_max)</f>
        <v>2018</v>
      </c>
      <c r="K239" s="197">
        <f t="shared" si="77"/>
        <v>44055</v>
      </c>
      <c r="L239" s="147">
        <f>IF(t&lt;Tvie,1-EXP((T0-t)*PertePVj)+'2019'!Pspv,1-EXP((T0-t)*PertePVj)+Pspv)</f>
        <v>1.0656028077690616E-2</v>
      </c>
      <c r="M239" s="832"/>
      <c r="N239" s="832"/>
      <c r="O239" s="48">
        <f>IF(t&lt;Tnet,'2019'!Resal+('2019'!Salim-'2019'!Resal)*(1-EXP(('2019'!Tnet-t)/('2019'!Tau_j))),Resal+(Salim-Resal)*(1-EXP((Tnet-t)/(Tau_j))))*Salcycl</f>
        <v>4.6473350938588301E-2</v>
      </c>
      <c r="P239" s="169">
        <f>(INDEX(Models!$BJ239:$BT239,,T239)*(1-R239)+INDEX(Models!$BJ239:$BT239,,T239+1)*R239-ERP_i)*Q239*Ramure*Pc/MaxiM</f>
        <v>0</v>
      </c>
      <c r="Q239" s="304">
        <f t="shared" si="78"/>
        <v>0.6</v>
      </c>
      <c r="R239" s="177">
        <f t="shared" si="79"/>
        <v>0.46560819866510661</v>
      </c>
      <c r="S239" s="799">
        <f t="shared" si="80"/>
        <v>-1</v>
      </c>
      <c r="T239" s="176">
        <f t="shared" si="81"/>
        <v>5</v>
      </c>
      <c r="U239" s="250">
        <f t="shared" si="82"/>
        <v>-0.53439180133489339</v>
      </c>
      <c r="V239" s="382">
        <f t="shared" si="83"/>
        <v>53.691224712880484</v>
      </c>
      <c r="W239" s="58"/>
      <c r="X239" s="157">
        <f t="shared" si="84"/>
        <v>44055</v>
      </c>
      <c r="Y239" s="383">
        <f t="shared" si="85"/>
        <v>30.560999999999996</v>
      </c>
      <c r="Z239" s="383">
        <f t="shared" si="86"/>
        <v>30.890166481349798</v>
      </c>
      <c r="AA239" s="384">
        <f t="shared" si="87"/>
        <v>32.395703373110784</v>
      </c>
      <c r="AB239" s="197">
        <f t="shared" si="88"/>
        <v>44055</v>
      </c>
      <c r="AC239" s="424">
        <f>IF(OR(t&lt;Tnet,NoTnet),'2019'!Resal_s+('2019'!Salim-'2019'!Resal_s)*(1-EXP(('2019'!Tnet_s-t)/'2019'!Tau_j)),Resal_s+(Salim-Resal_s)*(1-EXP((Tnet_s-t)/Tau_j)))*Salcycl</f>
        <v>4.6473350938588301E-2</v>
      </c>
      <c r="AD239" s="230">
        <f>(INDEX(Models!$BJ239:$BT239,,AH239)*(1-AF239)+INDEX(Models!$BJ239:$BT239,,AH239+1)*AF239-ERP_i)*AE239*Ramure*Pc/MaxiM</f>
        <v>0</v>
      </c>
      <c r="AE239" s="304">
        <f t="shared" si="89"/>
        <v>0.6</v>
      </c>
      <c r="AF239" s="177">
        <f t="shared" si="90"/>
        <v>0.46560819866510661</v>
      </c>
      <c r="AG239" s="176">
        <f t="shared" si="91"/>
        <v>-1</v>
      </c>
      <c r="AH239" s="176">
        <f t="shared" si="92"/>
        <v>5</v>
      </c>
      <c r="AI239" s="224">
        <f t="shared" si="93"/>
        <v>-0.53439180133489339</v>
      </c>
      <c r="AJ239" s="264" t="b">
        <f t="shared" si="94"/>
        <v>0</v>
      </c>
      <c r="AK239" s="264" t="b">
        <f t="shared" si="95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6"/>
        <v>44056</v>
      </c>
      <c r="B240" s="607">
        <v>17.760999999999999</v>
      </c>
      <c r="C240" s="388"/>
      <c r="D240" s="391">
        <f t="shared" si="75"/>
        <v>17.952644273483635</v>
      </c>
      <c r="E240" s="383">
        <f t="shared" si="97"/>
        <v>18.828642464129345</v>
      </c>
      <c r="F240" s="383">
        <f t="shared" si="76"/>
        <v>18.828642468634769</v>
      </c>
      <c r="G240" s="110">
        <f t="shared" si="98"/>
        <v>0.33161066772227493</v>
      </c>
      <c r="H240" s="412" t="b">
        <f>Wh_hp&gt;='2019'!Maxi_hp</f>
        <v>0</v>
      </c>
      <c r="I240" s="388">
        <f>IF(H240,Wh_hp,'2019'!Maxi_hp)</f>
        <v>57.247327740538942</v>
      </c>
      <c r="J240" s="85">
        <f>IF(H240,An,'2019'!An_max)</f>
        <v>2018</v>
      </c>
      <c r="K240" s="197">
        <f t="shared" si="77"/>
        <v>44056</v>
      </c>
      <c r="L240" s="147">
        <f>IF(t&lt;Tvie,1-EXP((T0-t)*PertePVj)+'2019'!Pspv,1-EXP((T0-t)*PertePVj)+Pspv)</f>
        <v>1.0674988629206905E-2</v>
      </c>
      <c r="M240" s="832"/>
      <c r="N240" s="832"/>
      <c r="O240" s="48">
        <f>IF(t&lt;Tnet,'2019'!Resal+('2019'!Salim-'2019'!Resal)*(1-EXP(('2019'!Tnet-t)/('2019'!Tau_j))),Resal+(Salim-Resal)*(1-EXP((Tnet-t)/(Tau_j))))*Salcycl</f>
        <v>4.6524766313587589E-2</v>
      </c>
      <c r="P240" s="169">
        <f>(INDEX(Models!$BJ240:$BT240,,T240)*(1-R240)+INDEX(Models!$BJ240:$BT240,,T240+1)*R240-ERP_i)*Q240*Ramure*Pc/MaxiM</f>
        <v>5.2988437535618065E-9</v>
      </c>
      <c r="Q240" s="304">
        <f t="shared" si="78"/>
        <v>0.6</v>
      </c>
      <c r="R240" s="177">
        <f t="shared" si="79"/>
        <v>0.46687614522605547</v>
      </c>
      <c r="S240" s="799">
        <f t="shared" si="80"/>
        <v>-1</v>
      </c>
      <c r="T240" s="176">
        <f t="shared" si="81"/>
        <v>5</v>
      </c>
      <c r="U240" s="250">
        <f t="shared" si="82"/>
        <v>-0.53312385477394453</v>
      </c>
      <c r="V240" s="382">
        <f t="shared" si="83"/>
        <v>53.559796589571981</v>
      </c>
      <c r="W240" s="58"/>
      <c r="X240" s="157">
        <f t="shared" si="84"/>
        <v>44056</v>
      </c>
      <c r="Y240" s="383">
        <f t="shared" si="85"/>
        <v>17.760999999999999</v>
      </c>
      <c r="Z240" s="383">
        <f t="shared" si="86"/>
        <v>17.952644273483635</v>
      </c>
      <c r="AA240" s="384">
        <f t="shared" si="87"/>
        <v>18.828642464129345</v>
      </c>
      <c r="AB240" s="197">
        <f t="shared" si="88"/>
        <v>44056</v>
      </c>
      <c r="AC240" s="424">
        <f>IF(OR(t&lt;Tnet,NoTnet),'2019'!Resal_s+('2019'!Salim-'2019'!Resal_s)*(1-EXP(('2019'!Tnet_s-t)/'2019'!Tau_j)),Resal_s+(Salim-Resal_s)*(1-EXP((Tnet_s-t)/Tau_j)))*Salcycl</f>
        <v>4.6524766313587589E-2</v>
      </c>
      <c r="AD240" s="230">
        <f>(INDEX(Models!$BJ240:$BT240,,AH240)*(1-AF240)+INDEX(Models!$BJ240:$BT240,,AH240+1)*AF240-ERP_i)*AE240*Ramure*Pc/MaxiM</f>
        <v>5.2988437535618065E-9</v>
      </c>
      <c r="AE240" s="304">
        <f t="shared" si="89"/>
        <v>0.6</v>
      </c>
      <c r="AF240" s="177">
        <f t="shared" si="90"/>
        <v>0.46687614522605547</v>
      </c>
      <c r="AG240" s="176">
        <f t="shared" si="91"/>
        <v>-1</v>
      </c>
      <c r="AH240" s="176">
        <f t="shared" si="92"/>
        <v>5</v>
      </c>
      <c r="AI240" s="224">
        <f t="shared" si="93"/>
        <v>-0.53312385477394453</v>
      </c>
      <c r="AJ240" s="264" t="b">
        <f t="shared" si="94"/>
        <v>0</v>
      </c>
      <c r="AK240" s="264" t="b">
        <f t="shared" si="95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6"/>
        <v>44057</v>
      </c>
      <c r="B241" s="607">
        <v>47.176000000000002</v>
      </c>
      <c r="C241" s="388"/>
      <c r="D241" s="391">
        <f t="shared" si="75"/>
        <v>47.685951120590175</v>
      </c>
      <c r="E241" s="383">
        <f t="shared" si="97"/>
        <v>50.015472445346845</v>
      </c>
      <c r="F241" s="383">
        <f t="shared" si="76"/>
        <v>50.015473109752712</v>
      </c>
      <c r="G241" s="110">
        <f t="shared" si="98"/>
        <v>0.88299405899387395</v>
      </c>
      <c r="H241" s="412" t="b">
        <f>Wh_hp&gt;='2019'!Maxi_hp</f>
        <v>1</v>
      </c>
      <c r="I241" s="388">
        <f>IF(H241,Wh_hp,'2019'!Maxi_hp)</f>
        <v>50.015473109752712</v>
      </c>
      <c r="J241" s="85">
        <f>IF(H241,An,'2019'!An_max)</f>
        <v>2020</v>
      </c>
      <c r="K241" s="197">
        <f t="shared" si="77"/>
        <v>44057</v>
      </c>
      <c r="L241" s="147">
        <f>IF(t&lt;Tvie,1-EXP((T0-t)*PertePVj)+'2019'!Pspv,1-EXP((T0-t)*PertePVj)+Pspv)</f>
        <v>1.0693948817348531E-2</v>
      </c>
      <c r="M241" s="832"/>
      <c r="N241" s="832"/>
      <c r="O241" s="48">
        <f>IF(t&lt;Tnet,'2019'!Resal+('2019'!Salim-'2019'!Resal)*(1-EXP(('2019'!Tnet-t)/('2019'!Tau_j))),Resal+(Salim-Resal)*(1-EXP((Tnet-t)/(Tau_j))))*Salcycl</f>
        <v>4.65760135986358E-2</v>
      </c>
      <c r="P241" s="169">
        <f>(INDEX(Models!$BJ241:$BT241,,T241)*(1-R241)+INDEX(Models!$BJ241:$BT241,,T241+1)*R241-ERP_i)*Q241*Ramure*Pc/MaxiM</f>
        <v>1.5950084421843349E-8</v>
      </c>
      <c r="Q241" s="304">
        <f t="shared" si="78"/>
        <v>0.6</v>
      </c>
      <c r="R241" s="177">
        <f t="shared" si="79"/>
        <v>0.46809952974909574</v>
      </c>
      <c r="S241" s="799">
        <f t="shared" si="80"/>
        <v>-1</v>
      </c>
      <c r="T241" s="176">
        <f t="shared" si="81"/>
        <v>5</v>
      </c>
      <c r="U241" s="250">
        <f t="shared" si="82"/>
        <v>-0.53190047025090426</v>
      </c>
      <c r="V241" s="382">
        <f t="shared" si="83"/>
        <v>53.427312894924476</v>
      </c>
      <c r="W241" s="58"/>
      <c r="X241" s="157">
        <f t="shared" si="84"/>
        <v>44057</v>
      </c>
      <c r="Y241" s="383">
        <f t="shared" si="85"/>
        <v>47.176000000000002</v>
      </c>
      <c r="Z241" s="383">
        <f t="shared" si="86"/>
        <v>47.685951120590175</v>
      </c>
      <c r="AA241" s="384">
        <f t="shared" si="87"/>
        <v>50.015472445346845</v>
      </c>
      <c r="AB241" s="197">
        <f t="shared" si="88"/>
        <v>44057</v>
      </c>
      <c r="AC241" s="424">
        <f>IF(OR(t&lt;Tnet,NoTnet),'2019'!Resal_s+('2019'!Salim-'2019'!Resal_s)*(1-EXP(('2019'!Tnet_s-t)/'2019'!Tau_j)),Resal_s+(Salim-Resal_s)*(1-EXP((Tnet_s-t)/Tau_j)))*Salcycl</f>
        <v>4.65760135986358E-2</v>
      </c>
      <c r="AD241" s="230">
        <f>(INDEX(Models!$BJ241:$BT241,,AH241)*(1-AF241)+INDEX(Models!$BJ241:$BT241,,AH241+1)*AF241-ERP_i)*AE241*Ramure*Pc/MaxiM</f>
        <v>1.5950084421843349E-8</v>
      </c>
      <c r="AE241" s="304">
        <f t="shared" si="89"/>
        <v>0.6</v>
      </c>
      <c r="AF241" s="177">
        <f t="shared" si="90"/>
        <v>0.46809952974909574</v>
      </c>
      <c r="AG241" s="176">
        <f t="shared" si="91"/>
        <v>-1</v>
      </c>
      <c r="AH241" s="176">
        <f t="shared" si="92"/>
        <v>5</v>
      </c>
      <c r="AI241" s="224">
        <f t="shared" si="93"/>
        <v>-0.53190047025090426</v>
      </c>
      <c r="AJ241" s="264" t="b">
        <f t="shared" si="94"/>
        <v>0</v>
      </c>
      <c r="AK241" s="264" t="b">
        <f t="shared" si="95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6"/>
        <v>44058</v>
      </c>
      <c r="B242" s="607">
        <v>47.88</v>
      </c>
      <c r="C242" s="388"/>
      <c r="D242" s="391">
        <f t="shared" si="75"/>
        <v>48.398488586645541</v>
      </c>
      <c r="E242" s="383">
        <f t="shared" si="97"/>
        <v>50.765537830524316</v>
      </c>
      <c r="F242" s="383">
        <f t="shared" si="76"/>
        <v>50.765539219536151</v>
      </c>
      <c r="G242" s="110">
        <f t="shared" si="98"/>
        <v>0.89841467247708817</v>
      </c>
      <c r="H242" s="412" t="b">
        <f>Wh_hp&gt;='2019'!Maxi_hp</f>
        <v>0</v>
      </c>
      <c r="I242" s="388">
        <f>IF(H242,Wh_hp,'2019'!Maxi_hp)</f>
        <v>56.868065915870055</v>
      </c>
      <c r="J242" s="85">
        <f>IF(H242,An,'2019'!An_max)</f>
        <v>2018</v>
      </c>
      <c r="K242" s="197">
        <f t="shared" si="77"/>
        <v>44058</v>
      </c>
      <c r="L242" s="147">
        <f>IF(t&lt;Tvie,1-EXP((T0-t)*PertePVj)+'2019'!Pspv,1-EXP((T0-t)*PertePVj)+Pspv)</f>
        <v>1.0712908642122487E-2</v>
      </c>
      <c r="M242" s="832"/>
      <c r="N242" s="832"/>
      <c r="O242" s="48">
        <f>IF(t&lt;Tnet,'2019'!Resal+('2019'!Salim-'2019'!Resal)*(1-EXP(('2019'!Tnet-t)/('2019'!Tau_j))),Resal+(Salim-Resal)*(1-EXP((Tnet-t)/(Tau_j))))*Salcycl</f>
        <v>4.6627088868455048E-2</v>
      </c>
      <c r="P242" s="169">
        <f>(INDEX(Models!$BJ242:$BT242,,T242)*(1-R242)+INDEX(Models!$BJ242:$BT242,,T242+1)*R242-ERP_i)*Q242*Ramure*Pc/MaxiM</f>
        <v>3.2006099139443822E-8</v>
      </c>
      <c r="Q242" s="304">
        <f t="shared" si="78"/>
        <v>0.6</v>
      </c>
      <c r="R242" s="177">
        <f t="shared" si="79"/>
        <v>0.46927968137711451</v>
      </c>
      <c r="S242" s="799">
        <f t="shared" si="80"/>
        <v>-1</v>
      </c>
      <c r="T242" s="176">
        <f t="shared" si="81"/>
        <v>5</v>
      </c>
      <c r="U242" s="250">
        <f t="shared" si="82"/>
        <v>-0.53072031862288549</v>
      </c>
      <c r="V242" s="382">
        <f t="shared" si="83"/>
        <v>53.293875583748019</v>
      </c>
      <c r="W242" s="58"/>
      <c r="X242" s="157">
        <f t="shared" si="84"/>
        <v>44058</v>
      </c>
      <c r="Y242" s="383">
        <f t="shared" si="85"/>
        <v>47.88</v>
      </c>
      <c r="Z242" s="383">
        <f t="shared" si="86"/>
        <v>48.398488586645541</v>
      </c>
      <c r="AA242" s="384">
        <f t="shared" si="87"/>
        <v>50.765537830524316</v>
      </c>
      <c r="AB242" s="197">
        <f t="shared" si="88"/>
        <v>44058</v>
      </c>
      <c r="AC242" s="424">
        <f>IF(OR(t&lt;Tnet,NoTnet),'2019'!Resal_s+('2019'!Salim-'2019'!Resal_s)*(1-EXP(('2019'!Tnet_s-t)/'2019'!Tau_j)),Resal_s+(Salim-Resal_s)*(1-EXP((Tnet_s-t)/Tau_j)))*Salcycl</f>
        <v>4.6627088868455048E-2</v>
      </c>
      <c r="AD242" s="230">
        <f>(INDEX(Models!$BJ242:$BT242,,AH242)*(1-AF242)+INDEX(Models!$BJ242:$BT242,,AH242+1)*AF242-ERP_i)*AE242*Ramure*Pc/MaxiM</f>
        <v>3.2006099139443822E-8</v>
      </c>
      <c r="AE242" s="304">
        <f t="shared" si="89"/>
        <v>0.6</v>
      </c>
      <c r="AF242" s="177">
        <f t="shared" si="90"/>
        <v>0.46927968137711451</v>
      </c>
      <c r="AG242" s="176">
        <f t="shared" si="91"/>
        <v>-1</v>
      </c>
      <c r="AH242" s="176">
        <f t="shared" si="92"/>
        <v>5</v>
      </c>
      <c r="AI242" s="224">
        <f t="shared" si="93"/>
        <v>-0.53072031862288549</v>
      </c>
      <c r="AJ242" s="264" t="b">
        <f t="shared" si="94"/>
        <v>0</v>
      </c>
      <c r="AK242" s="264" t="b">
        <f t="shared" si="95"/>
        <v>0</v>
      </c>
      <c r="AL242" s="264"/>
      <c r="AM242" s="264"/>
      <c r="AN242" s="75"/>
    </row>
    <row r="243" spans="1:40" s="6" customFormat="1" ht="11.25" x14ac:dyDescent="0.2">
      <c r="A243" s="56">
        <f t="shared" si="96"/>
        <v>44059</v>
      </c>
      <c r="B243" s="607">
        <v>16.998999999999999</v>
      </c>
      <c r="C243" s="388"/>
      <c r="D243" s="391">
        <f t="shared" si="75"/>
        <v>17.183410090661948</v>
      </c>
      <c r="E243" s="383">
        <f t="shared" si="97"/>
        <v>18.024770087945964</v>
      </c>
      <c r="F243" s="383">
        <f t="shared" si="76"/>
        <v>18.024770115194546</v>
      </c>
      <c r="G243" s="110">
        <f t="shared" si="98"/>
        <v>0.31977297421106859</v>
      </c>
      <c r="H243" s="412" t="b">
        <f>Wh_hp&gt;='2019'!Maxi_hp</f>
        <v>0</v>
      </c>
      <c r="I243" s="388">
        <f>IF(H243,Wh_hp,'2019'!Maxi_hp)</f>
        <v>54.878692753943</v>
      </c>
      <c r="J243" s="85">
        <f>IF(H243,An,'2019'!An_max)</f>
        <v>2018</v>
      </c>
      <c r="K243" s="197">
        <f t="shared" si="77"/>
        <v>44059</v>
      </c>
      <c r="L243" s="147">
        <f>IF(t&lt;Tvie,1-EXP((T0-t)*PertePVj)+'2019'!Pspv,1-EXP((T0-t)*PertePVj)+Pspv)</f>
        <v>1.0731868103535658E-2</v>
      </c>
      <c r="M243" s="832"/>
      <c r="N243" s="832"/>
      <c r="O243" s="48">
        <f>IF(t&lt;Tnet,'2019'!Resal+('2019'!Salim-'2019'!Resal)*(1-EXP(('2019'!Tnet-t)/('2019'!Tau_j))),Resal+(Salim-Resal)*(1-EXP((Tnet-t)/(Tau_j))))*Salcycl</f>
        <v>4.6677987745689618E-2</v>
      </c>
      <c r="P243" s="169">
        <f>(INDEX(Models!$BJ243:$BT243,,T243)*(1-R243)+INDEX(Models!$BJ243:$BT243,,T243+1)*R243-ERP_i)*Q243*Ramure*Pc/MaxiM</f>
        <v>5.3517997826873761E-8</v>
      </c>
      <c r="Q243" s="304">
        <f t="shared" si="78"/>
        <v>0.6</v>
      </c>
      <c r="R243" s="177">
        <f t="shared" si="79"/>
        <v>0.47041790741196721</v>
      </c>
      <c r="S243" s="799">
        <f t="shared" si="80"/>
        <v>-1</v>
      </c>
      <c r="T243" s="176">
        <f t="shared" si="81"/>
        <v>5</v>
      </c>
      <c r="U243" s="250">
        <f t="shared" si="82"/>
        <v>-0.52958209258803279</v>
      </c>
      <c r="V243" s="382">
        <f t="shared" si="83"/>
        <v>53.159586603229108</v>
      </c>
      <c r="W243" s="58"/>
      <c r="X243" s="157">
        <f t="shared" si="84"/>
        <v>44059</v>
      </c>
      <c r="Y243" s="383">
        <f t="shared" si="85"/>
        <v>16.998999999999999</v>
      </c>
      <c r="Z243" s="383">
        <f t="shared" si="86"/>
        <v>17.183410090661948</v>
      </c>
      <c r="AA243" s="384">
        <f t="shared" si="87"/>
        <v>18.024770087945964</v>
      </c>
      <c r="AB243" s="197">
        <f t="shared" si="88"/>
        <v>44059</v>
      </c>
      <c r="AC243" s="424">
        <f>IF(OR(t&lt;Tnet,NoTnet),'2019'!Resal_s+('2019'!Salim-'2019'!Resal_s)*(1-EXP(('2019'!Tnet_s-t)/'2019'!Tau_j)),Resal_s+(Salim-Resal_s)*(1-EXP((Tnet_s-t)/Tau_j)))*Salcycl</f>
        <v>4.6677987745689618E-2</v>
      </c>
      <c r="AD243" s="230">
        <f>(INDEX(Models!$BJ243:$BT243,,AH243)*(1-AF243)+INDEX(Models!$BJ243:$BT243,,AH243+1)*AF243-ERP_i)*AE243*Ramure*Pc/MaxiM</f>
        <v>5.3517997826873761E-8</v>
      </c>
      <c r="AE243" s="304">
        <f t="shared" si="89"/>
        <v>0.6</v>
      </c>
      <c r="AF243" s="177">
        <f t="shared" si="90"/>
        <v>0.47041790741196721</v>
      </c>
      <c r="AG243" s="176">
        <f t="shared" si="91"/>
        <v>-1</v>
      </c>
      <c r="AH243" s="176">
        <f t="shared" si="92"/>
        <v>5</v>
      </c>
      <c r="AI243" s="224">
        <f t="shared" si="93"/>
        <v>-0.52958209258803279</v>
      </c>
      <c r="AJ243" s="264" t="b">
        <f t="shared" si="94"/>
        <v>0</v>
      </c>
      <c r="AK243" s="264" t="b">
        <f t="shared" si="95"/>
        <v>0</v>
      </c>
      <c r="AL243" s="264"/>
      <c r="AM243" s="264"/>
      <c r="AN243" s="75"/>
    </row>
    <row r="244" spans="1:40" s="6" customFormat="1" ht="11.25" x14ac:dyDescent="0.2">
      <c r="A244" s="56">
        <f t="shared" si="96"/>
        <v>44060</v>
      </c>
      <c r="B244" s="607">
        <v>41.887</v>
      </c>
      <c r="C244" s="388"/>
      <c r="D244" s="391">
        <f t="shared" si="75"/>
        <v>42.342213824156502</v>
      </c>
      <c r="E244" s="383">
        <f t="shared" si="97"/>
        <v>44.417800122386424</v>
      </c>
      <c r="F244" s="383">
        <f t="shared" si="76"/>
        <v>44.417802626203354</v>
      </c>
      <c r="G244" s="110">
        <f t="shared" si="98"/>
        <v>0.789954854001091</v>
      </c>
      <c r="H244" s="412" t="b">
        <f>Wh_hp&gt;='2019'!Maxi_hp</f>
        <v>1</v>
      </c>
      <c r="I244" s="388">
        <f>IF(H244,Wh_hp,'2019'!Maxi_hp)</f>
        <v>44.417802626203354</v>
      </c>
      <c r="J244" s="85">
        <f>IF(H244,An,'2019'!An_max)</f>
        <v>2020</v>
      </c>
      <c r="K244" s="197">
        <f t="shared" si="77"/>
        <v>44060</v>
      </c>
      <c r="L244" s="147">
        <f>IF(t&lt;Tvie,1-EXP((T0-t)*PertePVj)+'2019'!Pspv,1-EXP((T0-t)*PertePVj)+Pspv)</f>
        <v>1.0750827201595148E-2</v>
      </c>
      <c r="M244" s="832"/>
      <c r="N244" s="832"/>
      <c r="O244" s="48">
        <f>IF(t&lt;Tnet,'2019'!Resal+('2019'!Salim-'2019'!Resal)*(1-EXP(('2019'!Tnet-t)/('2019'!Tau_j))),Resal+(Salim-Resal)*(1-EXP((Tnet-t)/(Tau_j))))*Salcycl</f>
        <v>4.6728705440408191E-2</v>
      </c>
      <c r="P244" s="169">
        <f>(INDEX(Models!$BJ244:$BT244,,T244)*(1-R244)+INDEX(Models!$BJ244:$BT244,,T244+1)*R244-ERP_i)*Q244*Ramure*Pc/MaxiM</f>
        <v>8.0535518645461869E-8</v>
      </c>
      <c r="Q244" s="304">
        <f t="shared" si="78"/>
        <v>0.6</v>
      </c>
      <c r="R244" s="177">
        <f t="shared" si="79"/>
        <v>0.4715154922167808</v>
      </c>
      <c r="S244" s="799">
        <f t="shared" si="80"/>
        <v>-1</v>
      </c>
      <c r="T244" s="176">
        <f t="shared" si="81"/>
        <v>5</v>
      </c>
      <c r="U244" s="250">
        <f t="shared" si="82"/>
        <v>-0.5284845077832192</v>
      </c>
      <c r="V244" s="382">
        <f t="shared" si="83"/>
        <v>53.024547891071308</v>
      </c>
      <c r="W244" s="58"/>
      <c r="X244" s="157">
        <f t="shared" si="84"/>
        <v>44060</v>
      </c>
      <c r="Y244" s="383">
        <f t="shared" si="85"/>
        <v>41.887</v>
      </c>
      <c r="Z244" s="383">
        <f t="shared" si="86"/>
        <v>42.342213824156502</v>
      </c>
      <c r="AA244" s="384">
        <f t="shared" si="87"/>
        <v>44.417800122386424</v>
      </c>
      <c r="AB244" s="197">
        <f t="shared" si="88"/>
        <v>44060</v>
      </c>
      <c r="AC244" s="424">
        <f>IF(OR(t&lt;Tnet,NoTnet),'2019'!Resal_s+('2019'!Salim-'2019'!Resal_s)*(1-EXP(('2019'!Tnet_s-t)/'2019'!Tau_j)),Resal_s+(Salim-Resal_s)*(1-EXP((Tnet_s-t)/Tau_j)))*Salcycl</f>
        <v>4.6728705440408191E-2</v>
      </c>
      <c r="AD244" s="230">
        <f>(INDEX(Models!$BJ244:$BT244,,AH244)*(1-AF244)+INDEX(Models!$BJ244:$BT244,,AH244+1)*AF244-ERP_i)*AE244*Ramure*Pc/MaxiM</f>
        <v>8.0535518645461869E-8</v>
      </c>
      <c r="AE244" s="304">
        <f t="shared" si="89"/>
        <v>0.6</v>
      </c>
      <c r="AF244" s="177">
        <f t="shared" si="90"/>
        <v>0.4715154922167808</v>
      </c>
      <c r="AG244" s="176">
        <f t="shared" si="91"/>
        <v>-1</v>
      </c>
      <c r="AH244" s="176">
        <f t="shared" si="92"/>
        <v>5</v>
      </c>
      <c r="AI244" s="224">
        <f t="shared" si="93"/>
        <v>-0.5284845077832192</v>
      </c>
      <c r="AJ244" s="264" t="b">
        <f t="shared" si="94"/>
        <v>0</v>
      </c>
      <c r="AK244" s="264" t="b">
        <f t="shared" si="95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6"/>
        <v>44061</v>
      </c>
      <c r="B245" s="607">
        <v>40.048999999999999</v>
      </c>
      <c r="C245" s="388"/>
      <c r="D245" s="391">
        <f t="shared" si="75"/>
        <v>40.485014944581366</v>
      </c>
      <c r="E245" s="383">
        <f t="shared" si="97"/>
        <v>42.471813987843653</v>
      </c>
      <c r="F245" s="383">
        <f t="shared" si="76"/>
        <v>42.471817125649565</v>
      </c>
      <c r="G245" s="110">
        <f t="shared" si="98"/>
        <v>0.75722935586230045</v>
      </c>
      <c r="H245" s="412" t="b">
        <f>Wh_hp&gt;='2019'!Maxi_hp</f>
        <v>1</v>
      </c>
      <c r="I245" s="388">
        <f>IF(H245,Wh_hp,'2019'!Maxi_hp)</f>
        <v>42.471817125649565</v>
      </c>
      <c r="J245" s="85">
        <f>IF(H245,An,'2019'!An_max)</f>
        <v>2020</v>
      </c>
      <c r="K245" s="197">
        <f t="shared" si="77"/>
        <v>44061</v>
      </c>
      <c r="L245" s="147">
        <f>IF(t&lt;Tvie,1-EXP((T0-t)*PertePVj)+'2019'!Pspv,1-EXP((T0-t)*PertePVj)+Pspv)</f>
        <v>1.0769785936307841E-2</v>
      </c>
      <c r="M245" s="832"/>
      <c r="N245" s="832"/>
      <c r="O245" s="48">
        <f>IF(t&lt;Tnet,'2019'!Resal+('2019'!Salim-'2019'!Resal)*(1-EXP(('2019'!Tnet-t)/('2019'!Tau_j))),Resal+(Salim-Resal)*(1-EXP((Tnet-t)/(Tau_j))))*Salcycl</f>
        <v>4.6779236785858699E-2</v>
      </c>
      <c r="P245" s="169">
        <f>(INDEX(Models!$BJ245:$BT245,,T245)*(1-R245)+INDEX(Models!$BJ245:$BT245,,T245+1)*R245-ERP_i)*Q245*Ramure*Pc/MaxiM</f>
        <v>1.1310691074154215E-7</v>
      </c>
      <c r="Q245" s="304">
        <f t="shared" si="78"/>
        <v>0.6</v>
      </c>
      <c r="R245" s="177">
        <f t="shared" si="79"/>
        <v>0.47257369626622014</v>
      </c>
      <c r="S245" s="799">
        <f t="shared" si="80"/>
        <v>-1</v>
      </c>
      <c r="T245" s="176">
        <f t="shared" si="81"/>
        <v>5</v>
      </c>
      <c r="U245" s="250">
        <f t="shared" si="82"/>
        <v>-0.52742630373377986</v>
      </c>
      <c r="V245" s="382">
        <f t="shared" si="83"/>
        <v>52.888861371973618</v>
      </c>
      <c r="W245" s="58"/>
      <c r="X245" s="157">
        <f t="shared" si="84"/>
        <v>44061</v>
      </c>
      <c r="Y245" s="383">
        <f t="shared" si="85"/>
        <v>40.048999999999999</v>
      </c>
      <c r="Z245" s="383">
        <f t="shared" si="86"/>
        <v>40.485014944581366</v>
      </c>
      <c r="AA245" s="384">
        <f t="shared" si="87"/>
        <v>42.471813987843653</v>
      </c>
      <c r="AB245" s="197">
        <f t="shared" si="88"/>
        <v>44061</v>
      </c>
      <c r="AC245" s="424">
        <f>IF(OR(t&lt;Tnet,NoTnet),'2019'!Resal_s+('2019'!Salim-'2019'!Resal_s)*(1-EXP(('2019'!Tnet_s-t)/'2019'!Tau_j)),Resal_s+(Salim-Resal_s)*(1-EXP((Tnet_s-t)/Tau_j)))*Salcycl</f>
        <v>4.6779236785858699E-2</v>
      </c>
      <c r="AD245" s="230">
        <f>(INDEX(Models!$BJ245:$BT245,,AH245)*(1-AF245)+INDEX(Models!$BJ245:$BT245,,AH245+1)*AF245-ERP_i)*AE245*Ramure*Pc/MaxiM</f>
        <v>1.1310691074154215E-7</v>
      </c>
      <c r="AE245" s="304">
        <f t="shared" si="89"/>
        <v>0.6</v>
      </c>
      <c r="AF245" s="177">
        <f t="shared" si="90"/>
        <v>0.47257369626622014</v>
      </c>
      <c r="AG245" s="176">
        <f t="shared" si="91"/>
        <v>-1</v>
      </c>
      <c r="AH245" s="176">
        <f t="shared" si="92"/>
        <v>5</v>
      </c>
      <c r="AI245" s="224">
        <f t="shared" si="93"/>
        <v>-0.52742630373377986</v>
      </c>
      <c r="AJ245" s="264" t="b">
        <f t="shared" si="94"/>
        <v>0</v>
      </c>
      <c r="AK245" s="264" t="b">
        <f t="shared" si="95"/>
        <v>0</v>
      </c>
      <c r="AL245" s="264"/>
      <c r="AM245" s="264"/>
      <c r="AN245" s="75"/>
    </row>
    <row r="246" spans="1:40" s="6" customFormat="1" ht="11.25" x14ac:dyDescent="0.2">
      <c r="A246" s="56">
        <f t="shared" si="96"/>
        <v>44062</v>
      </c>
      <c r="B246" s="607">
        <v>51.186999999999998</v>
      </c>
      <c r="C246" s="388"/>
      <c r="D246" s="391">
        <f t="shared" si="75"/>
        <v>51.745266448849442</v>
      </c>
      <c r="E246" s="383">
        <f t="shared" si="97"/>
        <v>54.28752840059942</v>
      </c>
      <c r="F246" s="383">
        <f t="shared" si="76"/>
        <v>54.28753626495611</v>
      </c>
      <c r="G246" s="110">
        <f t="shared" si="98"/>
        <v>0.97032130308344777</v>
      </c>
      <c r="H246" s="412" t="b">
        <f>Wh_hp&gt;='2019'!Maxi_hp</f>
        <v>1</v>
      </c>
      <c r="I246" s="388">
        <f>IF(H246,Wh_hp,'2019'!Maxi_hp)</f>
        <v>54.28753626495611</v>
      </c>
      <c r="J246" s="85">
        <f>IF(H246,An,'2019'!An_max)</f>
        <v>2020</v>
      </c>
      <c r="K246" s="197">
        <f t="shared" si="77"/>
        <v>44062</v>
      </c>
      <c r="L246" s="147">
        <f>IF(t&lt;Tvie,1-EXP((T0-t)*PertePVj)+'2019'!Pspv,1-EXP((T0-t)*PertePVj)+Pspv)</f>
        <v>1.078874430768062E-2</v>
      </c>
      <c r="M246" s="832"/>
      <c r="N246" s="832"/>
      <c r="O246" s="48">
        <f>IF(t&lt;Tnet,'2019'!Resal+('2019'!Salim-'2019'!Resal)*(1-EXP(('2019'!Tnet-t)/('2019'!Tau_j))),Resal+(Salim-Resal)*(1-EXP((Tnet-t)/(Tau_j))))*Salcycl</f>
        <v>4.6829576270079505E-2</v>
      </c>
      <c r="P246" s="169">
        <f>(INDEX(Models!$BJ246:$BT246,,T246)*(1-R246)+INDEX(Models!$BJ246:$BT246,,T246+1)*R246-ERP_i)*Q246*Ramure*Pc/MaxiM</f>
        <v>1.5127880482411059E-7</v>
      </c>
      <c r="Q246" s="304">
        <f t="shared" si="78"/>
        <v>0.6</v>
      </c>
      <c r="R246" s="177">
        <f t="shared" si="79"/>
        <v>0.47359375533550541</v>
      </c>
      <c r="S246" s="799">
        <f t="shared" si="80"/>
        <v>-1</v>
      </c>
      <c r="T246" s="176">
        <f t="shared" si="81"/>
        <v>5</v>
      </c>
      <c r="U246" s="250">
        <f t="shared" si="82"/>
        <v>-0.52640624466449459</v>
      </c>
      <c r="V246" s="382">
        <f t="shared" si="83"/>
        <v>52.752628958088117</v>
      </c>
      <c r="W246" s="58"/>
      <c r="X246" s="157">
        <f t="shared" si="84"/>
        <v>44062</v>
      </c>
      <c r="Y246" s="383">
        <f t="shared" si="85"/>
        <v>51.186999999999998</v>
      </c>
      <c r="Z246" s="383">
        <f t="shared" si="86"/>
        <v>51.745266448849442</v>
      </c>
      <c r="AA246" s="384">
        <f t="shared" si="87"/>
        <v>54.28752840059942</v>
      </c>
      <c r="AB246" s="197">
        <f t="shared" si="88"/>
        <v>44062</v>
      </c>
      <c r="AC246" s="424">
        <f>IF(OR(t&lt;Tnet,NoTnet),'2019'!Resal_s+('2019'!Salim-'2019'!Resal_s)*(1-EXP(('2019'!Tnet_s-t)/'2019'!Tau_j)),Resal_s+(Salim-Resal_s)*(1-EXP((Tnet_s-t)/Tau_j)))*Salcycl</f>
        <v>4.6829576270079505E-2</v>
      </c>
      <c r="AD246" s="230">
        <f>(INDEX(Models!$BJ246:$BT246,,AH246)*(1-AF246)+INDEX(Models!$BJ246:$BT246,,AH246+1)*AF246-ERP_i)*AE246*Ramure*Pc/MaxiM</f>
        <v>1.5127880482411059E-7</v>
      </c>
      <c r="AE246" s="304">
        <f t="shared" si="89"/>
        <v>0.6</v>
      </c>
      <c r="AF246" s="177">
        <f t="shared" si="90"/>
        <v>0.47359375533550541</v>
      </c>
      <c r="AG246" s="176">
        <f t="shared" si="91"/>
        <v>-1</v>
      </c>
      <c r="AH246" s="176">
        <f t="shared" si="92"/>
        <v>5</v>
      </c>
      <c r="AI246" s="224">
        <f t="shared" si="93"/>
        <v>-0.52640624466449459</v>
      </c>
      <c r="AJ246" s="264" t="b">
        <f t="shared" si="94"/>
        <v>0</v>
      </c>
      <c r="AK246" s="264" t="b">
        <f t="shared" si="95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6"/>
        <v>44063</v>
      </c>
      <c r="B247" s="607">
        <v>52.301000000000002</v>
      </c>
      <c r="C247" s="388"/>
      <c r="D247" s="391">
        <f t="shared" si="75"/>
        <v>52.8724294785127</v>
      </c>
      <c r="E247" s="383">
        <f t="shared" si="97"/>
        <v>55.472987492264863</v>
      </c>
      <c r="F247" s="383">
        <f t="shared" si="76"/>
        <v>55.472998221971906</v>
      </c>
      <c r="G247" s="110">
        <f t="shared" si="98"/>
        <v>0.99400229445735977</v>
      </c>
      <c r="H247" s="412" t="b">
        <f>Wh_hp&gt;='2019'!Maxi_hp</f>
        <v>1</v>
      </c>
      <c r="I247" s="388">
        <f>IF(H247,Wh_hp,'2019'!Maxi_hp)</f>
        <v>55.472998221971906</v>
      </c>
      <c r="J247" s="85">
        <f>IF(H247,An,'2019'!An_max)</f>
        <v>2020</v>
      </c>
      <c r="K247" s="197">
        <f t="shared" si="77"/>
        <v>44063</v>
      </c>
      <c r="L247" s="147">
        <f>IF(t&lt;Tvie,1-EXP((T0-t)*PertePVj)+'2019'!Pspv,1-EXP((T0-t)*PertePVj)+Pspv)</f>
        <v>1.0807702315720591E-2</v>
      </c>
      <c r="M247" s="832"/>
      <c r="N247" s="832"/>
      <c r="O247" s="48">
        <f>IF(t&lt;Tnet,'2019'!Resal+('2019'!Salim-'2019'!Resal)*(1-EXP(('2019'!Tnet-t)/('2019'!Tau_j))),Resal+(Salim-Resal)*(1-EXP((Tnet-t)/(Tau_j))))*Salcycl</f>
        <v>4.6879718063044334E-2</v>
      </c>
      <c r="P247" s="169">
        <f>(INDEX(Models!$BJ247:$BT247,,T247)*(1-R247)+INDEX(Models!$BJ247:$BT247,,T247+1)*R247-ERP_i)*Q247*Ramure*Pc/MaxiM</f>
        <v>1.9509375047329078E-7</v>
      </c>
      <c r="Q247" s="304">
        <f t="shared" si="78"/>
        <v>0.6</v>
      </c>
      <c r="R247" s="177">
        <f t="shared" si="79"/>
        <v>0.47457687981916963</v>
      </c>
      <c r="S247" s="799">
        <f t="shared" si="80"/>
        <v>-1</v>
      </c>
      <c r="T247" s="176">
        <f t="shared" si="81"/>
        <v>5</v>
      </c>
      <c r="U247" s="250">
        <f t="shared" si="82"/>
        <v>-0.52542312018083037</v>
      </c>
      <c r="V247" s="382">
        <f t="shared" si="83"/>
        <v>52.61657865802605</v>
      </c>
      <c r="W247" s="58"/>
      <c r="X247" s="157">
        <f t="shared" si="84"/>
        <v>44063</v>
      </c>
      <c r="Y247" s="383">
        <f t="shared" si="85"/>
        <v>52.301000000000002</v>
      </c>
      <c r="Z247" s="383">
        <f t="shared" si="86"/>
        <v>52.8724294785127</v>
      </c>
      <c r="AA247" s="384">
        <f t="shared" si="87"/>
        <v>55.472987492264863</v>
      </c>
      <c r="AB247" s="197">
        <f t="shared" si="88"/>
        <v>44063</v>
      </c>
      <c r="AC247" s="424">
        <f>IF(OR(t&lt;Tnet,NoTnet),'2019'!Resal_s+('2019'!Salim-'2019'!Resal_s)*(1-EXP(('2019'!Tnet_s-t)/'2019'!Tau_j)),Resal_s+(Salim-Resal_s)*(1-EXP((Tnet_s-t)/Tau_j)))*Salcycl</f>
        <v>4.6879718063044334E-2</v>
      </c>
      <c r="AD247" s="230">
        <f>(INDEX(Models!$BJ247:$BT247,,AH247)*(1-AF247)+INDEX(Models!$BJ247:$BT247,,AH247+1)*AF247-ERP_i)*AE247*Ramure*Pc/MaxiM</f>
        <v>1.9509375047329078E-7</v>
      </c>
      <c r="AE247" s="304">
        <f t="shared" si="89"/>
        <v>0.6</v>
      </c>
      <c r="AF247" s="177">
        <f t="shared" si="90"/>
        <v>0.47457687981916963</v>
      </c>
      <c r="AG247" s="176">
        <f t="shared" si="91"/>
        <v>-1</v>
      </c>
      <c r="AH247" s="176">
        <f t="shared" si="92"/>
        <v>5</v>
      </c>
      <c r="AI247" s="224">
        <f t="shared" si="93"/>
        <v>-0.52542312018083037</v>
      </c>
      <c r="AJ247" s="264" t="b">
        <f t="shared" si="94"/>
        <v>0</v>
      </c>
      <c r="AK247" s="264" t="b">
        <f t="shared" si="95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6"/>
        <v>44064</v>
      </c>
      <c r="B248" s="607">
        <v>45.832000000000001</v>
      </c>
      <c r="C248" s="388"/>
      <c r="D248" s="391">
        <f t="shared" si="75"/>
        <v>46.333638549302997</v>
      </c>
      <c r="E248" s="383">
        <f t="shared" si="97"/>
        <v>48.615129872516199</v>
      </c>
      <c r="F248" s="383">
        <f t="shared" si="76"/>
        <v>48.615140065272826</v>
      </c>
      <c r="G248" s="110">
        <f t="shared" si="98"/>
        <v>0.8733048376112571</v>
      </c>
      <c r="H248" s="412" t="b">
        <f>Wh_hp&gt;='2019'!Maxi_hp</f>
        <v>0</v>
      </c>
      <c r="I248" s="388">
        <f>IF(H248,Wh_hp,'2019'!Maxi_hp)</f>
        <v>56.932210607769058</v>
      </c>
      <c r="J248" s="85">
        <f>IF(H248,An,'2019'!An_max)</f>
        <v>2018</v>
      </c>
      <c r="K248" s="197">
        <f t="shared" si="77"/>
        <v>44064</v>
      </c>
      <c r="L248" s="147">
        <f>IF(t&lt;Tvie,1-EXP((T0-t)*PertePVj)+'2019'!Pspv,1-EXP((T0-t)*PertePVj)+Pspv)</f>
        <v>1.0826659960434748E-2</v>
      </c>
      <c r="M248" s="832"/>
      <c r="N248" s="832"/>
      <c r="O248" s="48">
        <f>IF(t&lt;Tnet,'2019'!Resal+('2019'!Salim-'2019'!Resal)*(1-EXP(('2019'!Tnet-t)/('2019'!Tau_j))),Resal+(Salim-Resal)*(1-EXP((Tnet-t)/(Tau_j))))*Salcycl</f>
        <v>4.6929656039096761E-2</v>
      </c>
      <c r="P248" s="169">
        <f>(INDEX(Models!$BJ248:$BT248,,T248)*(1-R248)+INDEX(Models!$BJ248:$BT248,,T248+1)*R248-ERP_i)*Q248*Ramure*Pc/MaxiM</f>
        <v>2.55995609124845E-7</v>
      </c>
      <c r="Q248" s="304">
        <f t="shared" si="78"/>
        <v>0.6</v>
      </c>
      <c r="R248" s="177">
        <f t="shared" si="79"/>
        <v>0.47552425417078803</v>
      </c>
      <c r="S248" s="799">
        <f t="shared" si="80"/>
        <v>-1</v>
      </c>
      <c r="T248" s="176">
        <f t="shared" si="81"/>
        <v>5</v>
      </c>
      <c r="U248" s="250">
        <f t="shared" si="82"/>
        <v>-0.52447574582921197</v>
      </c>
      <c r="V248" s="382">
        <f t="shared" si="83"/>
        <v>52.481099270914427</v>
      </c>
      <c r="W248" s="58"/>
      <c r="X248" s="157">
        <f t="shared" si="84"/>
        <v>44064</v>
      </c>
      <c r="Y248" s="383">
        <f t="shared" si="85"/>
        <v>45.832000000000001</v>
      </c>
      <c r="Z248" s="383">
        <f t="shared" si="86"/>
        <v>46.333638549302997</v>
      </c>
      <c r="AA248" s="384">
        <f t="shared" si="87"/>
        <v>48.615129872516199</v>
      </c>
      <c r="AB248" s="197">
        <f t="shared" si="88"/>
        <v>44064</v>
      </c>
      <c r="AC248" s="424">
        <f>IF(OR(t&lt;Tnet,NoTnet),'2019'!Resal_s+('2019'!Salim-'2019'!Resal_s)*(1-EXP(('2019'!Tnet_s-t)/'2019'!Tau_j)),Resal_s+(Salim-Resal_s)*(1-EXP((Tnet_s-t)/Tau_j)))*Salcycl</f>
        <v>4.6929656039096761E-2</v>
      </c>
      <c r="AD248" s="230">
        <f>(INDEX(Models!$BJ248:$BT248,,AH248)*(1-AF248)+INDEX(Models!$BJ248:$BT248,,AH248+1)*AF248-ERP_i)*AE248*Ramure*Pc/MaxiM</f>
        <v>2.55995609124845E-7</v>
      </c>
      <c r="AE248" s="304">
        <f t="shared" si="89"/>
        <v>0.6</v>
      </c>
      <c r="AF248" s="177">
        <f t="shared" si="90"/>
        <v>0.47552425417078803</v>
      </c>
      <c r="AG248" s="176">
        <f t="shared" si="91"/>
        <v>-1</v>
      </c>
      <c r="AH248" s="176">
        <f t="shared" si="92"/>
        <v>5</v>
      </c>
      <c r="AI248" s="224">
        <f t="shared" si="93"/>
        <v>-0.52447574582921197</v>
      </c>
      <c r="AJ248" s="264" t="b">
        <f t="shared" si="94"/>
        <v>0</v>
      </c>
      <c r="AK248" s="264" t="b">
        <f t="shared" si="95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6"/>
        <v>44065</v>
      </c>
      <c r="B249" s="607">
        <v>35.26</v>
      </c>
      <c r="C249" s="388"/>
      <c r="D249" s="391">
        <f t="shared" si="75"/>
        <v>35.646609482415258</v>
      </c>
      <c r="E249" s="383">
        <f t="shared" si="97"/>
        <v>37.403817793936568</v>
      </c>
      <c r="F249" s="383">
        <f t="shared" si="76"/>
        <v>37.40382446400853</v>
      </c>
      <c r="G249" s="110">
        <f t="shared" si="98"/>
        <v>0.67359758935867475</v>
      </c>
      <c r="H249" s="412" t="b">
        <f>Wh_hp&gt;='2019'!Maxi_hp</f>
        <v>0</v>
      </c>
      <c r="I249" s="388">
        <f>IF(H249,Wh_hp,'2019'!Maxi_hp)</f>
        <v>54.337170768740876</v>
      </c>
      <c r="J249" s="85">
        <f>IF(H249,An,'2019'!An_max)</f>
        <v>2018</v>
      </c>
      <c r="K249" s="197">
        <f t="shared" si="77"/>
        <v>44065</v>
      </c>
      <c r="L249" s="147">
        <f>IF(t&lt;Tvie,1-EXP((T0-t)*PertePVj)+'2019'!Pspv,1-EXP((T0-t)*PertePVj)+Pspv)</f>
        <v>1.0845617241829864E-2</v>
      </c>
      <c r="M249" s="832"/>
      <c r="N249" s="832"/>
      <c r="O249" s="48">
        <f>IF(t&lt;Tnet,'2019'!Resal+('2019'!Salim-'2019'!Resal)*(1-EXP(('2019'!Tnet-t)/('2019'!Tau_j))),Resal+(Salim-Resal)*(1-EXP((Tnet-t)/(Tau_j))))*Salcycl</f>
        <v>4.6979383794511102E-2</v>
      </c>
      <c r="P249" s="169">
        <f>(INDEX(Models!$BJ249:$BT249,,T249)*(1-R249)+INDEX(Models!$BJ249:$BT249,,T249+1)*R249-ERP_i)*Q249*Ramure*Pc/MaxiM</f>
        <v>3.3412453087439724E-7</v>
      </c>
      <c r="Q249" s="304">
        <f t="shared" si="78"/>
        <v>0.6</v>
      </c>
      <c r="R249" s="177">
        <f t="shared" si="79"/>
        <v>0.47643703645517421</v>
      </c>
      <c r="S249" s="799">
        <f t="shared" si="80"/>
        <v>-1</v>
      </c>
      <c r="T249" s="176">
        <f t="shared" si="81"/>
        <v>5</v>
      </c>
      <c r="U249" s="250">
        <f t="shared" si="82"/>
        <v>-0.52356296354482579</v>
      </c>
      <c r="V249" s="382">
        <f t="shared" si="83"/>
        <v>52.345784877453603</v>
      </c>
      <c r="W249" s="58"/>
      <c r="X249" s="157">
        <f t="shared" si="84"/>
        <v>44065</v>
      </c>
      <c r="Y249" s="383">
        <f t="shared" si="85"/>
        <v>35.26</v>
      </c>
      <c r="Z249" s="383">
        <f t="shared" si="86"/>
        <v>35.646609482415258</v>
      </c>
      <c r="AA249" s="384">
        <f t="shared" si="87"/>
        <v>37.403817793936568</v>
      </c>
      <c r="AB249" s="197">
        <f t="shared" si="88"/>
        <v>44065</v>
      </c>
      <c r="AC249" s="424">
        <f>IF(OR(t&lt;Tnet,NoTnet),'2019'!Resal_s+('2019'!Salim-'2019'!Resal_s)*(1-EXP(('2019'!Tnet_s-t)/'2019'!Tau_j)),Resal_s+(Salim-Resal_s)*(1-EXP((Tnet_s-t)/Tau_j)))*Salcycl</f>
        <v>4.6979383794511102E-2</v>
      </c>
      <c r="AD249" s="230">
        <f>(INDEX(Models!$BJ249:$BT249,,AH249)*(1-AF249)+INDEX(Models!$BJ249:$BT249,,AH249+1)*AF249-ERP_i)*AE249*Ramure*Pc/MaxiM</f>
        <v>3.3412453087439724E-7</v>
      </c>
      <c r="AE249" s="304">
        <f t="shared" si="89"/>
        <v>0.6</v>
      </c>
      <c r="AF249" s="177">
        <f t="shared" si="90"/>
        <v>0.47643703645517421</v>
      </c>
      <c r="AG249" s="176">
        <f t="shared" si="91"/>
        <v>-1</v>
      </c>
      <c r="AH249" s="176">
        <f t="shared" si="92"/>
        <v>5</v>
      </c>
      <c r="AI249" s="224">
        <f t="shared" si="93"/>
        <v>-0.52356296354482579</v>
      </c>
      <c r="AJ249" s="264" t="b">
        <f t="shared" si="94"/>
        <v>0</v>
      </c>
      <c r="AK249" s="264" t="b">
        <f t="shared" si="95"/>
        <v>0</v>
      </c>
      <c r="AL249" s="264"/>
      <c r="AM249" s="264"/>
      <c r="AN249" s="75"/>
    </row>
    <row r="250" spans="1:40" s="6" customFormat="1" ht="11.25" x14ac:dyDescent="0.2">
      <c r="A250" s="56">
        <f t="shared" si="96"/>
        <v>44066</v>
      </c>
      <c r="B250" s="607">
        <v>42.180999999999997</v>
      </c>
      <c r="C250" s="388"/>
      <c r="D250" s="391">
        <f t="shared" si="75"/>
        <v>42.644312293410245</v>
      </c>
      <c r="E250" s="383">
        <f t="shared" si="97"/>
        <v>44.748798840233597</v>
      </c>
      <c r="F250" s="383">
        <f t="shared" si="76"/>
        <v>44.748812789420867</v>
      </c>
      <c r="G250" s="110">
        <f t="shared" si="98"/>
        <v>0.807906712567938</v>
      </c>
      <c r="H250" s="412" t="b">
        <f>Wh_hp&gt;='2019'!Maxi_hp</f>
        <v>0</v>
      </c>
      <c r="I250" s="388">
        <f>IF(H250,Wh_hp,'2019'!Maxi_hp)</f>
        <v>54.747664261265655</v>
      </c>
      <c r="J250" s="85">
        <f>IF(H250,An,'2019'!An_max)</f>
        <v>2018</v>
      </c>
      <c r="K250" s="197">
        <f t="shared" si="77"/>
        <v>44066</v>
      </c>
      <c r="L250" s="147">
        <f>IF(t&lt;Tvie,1-EXP((T0-t)*PertePVj)+'2019'!Pspv,1-EXP((T0-t)*PertePVj)+Pspv)</f>
        <v>1.0864574159913043E-2</v>
      </c>
      <c r="M250" s="832"/>
      <c r="N250" s="832"/>
      <c r="O250" s="48">
        <f>IF(t&lt;Tnet,'2019'!Resal+('2019'!Salim-'2019'!Resal)*(1-EXP(('2019'!Tnet-t)/('2019'!Tau_j))),Resal+(Salim-Resal)*(1-EXP((Tnet-t)/(Tau_j))))*Salcycl</f>
        <v>4.7028894660099921E-2</v>
      </c>
      <c r="P250" s="169">
        <f>(INDEX(Models!$BJ250:$BT250,,T250)*(1-R250)+INDEX(Models!$BJ250:$BT250,,T250+1)*R250-ERP_i)*Q250*Ramure*Pc/MaxiM</f>
        <v>4.2961693556019996E-7</v>
      </c>
      <c r="Q250" s="304">
        <f t="shared" si="78"/>
        <v>0.6</v>
      </c>
      <c r="R250" s="177">
        <f t="shared" si="79"/>
        <v>0.47731635800483851</v>
      </c>
      <c r="S250" s="799">
        <f t="shared" si="80"/>
        <v>-1</v>
      </c>
      <c r="T250" s="176">
        <f t="shared" si="81"/>
        <v>5</v>
      </c>
      <c r="U250" s="250">
        <f t="shared" si="82"/>
        <v>-0.52268364199516149</v>
      </c>
      <c r="V250" s="382">
        <f t="shared" si="83"/>
        <v>52.210229684807935</v>
      </c>
      <c r="W250" s="58"/>
      <c r="X250" s="157">
        <f t="shared" si="84"/>
        <v>44066</v>
      </c>
      <c r="Y250" s="383">
        <f t="shared" si="85"/>
        <v>42.180999999999997</v>
      </c>
      <c r="Z250" s="383">
        <f t="shared" si="86"/>
        <v>42.644312293410245</v>
      </c>
      <c r="AA250" s="384">
        <f t="shared" si="87"/>
        <v>44.748798840233597</v>
      </c>
      <c r="AB250" s="197">
        <f t="shared" si="88"/>
        <v>44066</v>
      </c>
      <c r="AC250" s="424">
        <f>IF(OR(t&lt;Tnet,NoTnet),'2019'!Resal_s+('2019'!Salim-'2019'!Resal_s)*(1-EXP(('2019'!Tnet_s-t)/'2019'!Tau_j)),Resal_s+(Salim-Resal_s)*(1-EXP((Tnet_s-t)/Tau_j)))*Salcycl</f>
        <v>4.7028894660099921E-2</v>
      </c>
      <c r="AD250" s="230">
        <f>(INDEX(Models!$BJ250:$BT250,,AH250)*(1-AF250)+INDEX(Models!$BJ250:$BT250,,AH250+1)*AF250-ERP_i)*AE250*Ramure*Pc/MaxiM</f>
        <v>4.2961693556019996E-7</v>
      </c>
      <c r="AE250" s="304">
        <f t="shared" si="89"/>
        <v>0.6</v>
      </c>
      <c r="AF250" s="177">
        <f t="shared" si="90"/>
        <v>0.47731635800483851</v>
      </c>
      <c r="AG250" s="176">
        <f t="shared" si="91"/>
        <v>-1</v>
      </c>
      <c r="AH250" s="176">
        <f t="shared" si="92"/>
        <v>5</v>
      </c>
      <c r="AI250" s="224">
        <f t="shared" si="93"/>
        <v>-0.52268364199516149</v>
      </c>
      <c r="AJ250" s="264" t="b">
        <f t="shared" si="94"/>
        <v>0</v>
      </c>
      <c r="AK250" s="264" t="b">
        <f t="shared" si="95"/>
        <v>0</v>
      </c>
      <c r="AL250" s="264"/>
      <c r="AM250" s="264"/>
      <c r="AN250" s="75"/>
    </row>
    <row r="251" spans="1:40" s="6" customFormat="1" ht="11.25" x14ac:dyDescent="0.2">
      <c r="A251" s="56">
        <f t="shared" si="96"/>
        <v>44067</v>
      </c>
      <c r="B251" s="607">
        <v>46.8</v>
      </c>
      <c r="C251" s="388"/>
      <c r="D251" s="391">
        <f t="shared" si="75"/>
        <v>47.31495375242875</v>
      </c>
      <c r="E251" s="383">
        <f t="shared" si="97"/>
        <v>49.652503326325906</v>
      </c>
      <c r="F251" s="383">
        <f t="shared" si="76"/>
        <v>49.652526370057089</v>
      </c>
      <c r="G251" s="110">
        <f t="shared" si="98"/>
        <v>0.89872049655977293</v>
      </c>
      <c r="H251" s="412" t="b">
        <f>Wh_hp&gt;='2019'!Maxi_hp</f>
        <v>1</v>
      </c>
      <c r="I251" s="388">
        <f>IF(H251,Wh_hp,'2019'!Maxi_hp)</f>
        <v>49.652526370057089</v>
      </c>
      <c r="J251" s="85">
        <f>IF(H251,An,'2019'!An_max)</f>
        <v>2020</v>
      </c>
      <c r="K251" s="197">
        <f t="shared" si="77"/>
        <v>44067</v>
      </c>
      <c r="L251" s="147">
        <f>IF(t&lt;Tvie,1-EXP((T0-t)*PertePVj)+'2019'!Pspv,1-EXP((T0-t)*PertePVj)+Pspv)</f>
        <v>1.0883530714691281E-2</v>
      </c>
      <c r="M251" s="832"/>
      <c r="N251" s="832"/>
      <c r="O251" s="48">
        <f>IF(t&lt;Tnet,'2019'!Resal+('2019'!Salim-'2019'!Resal)*(1-EXP(('2019'!Tnet-t)/('2019'!Tau_j))),Resal+(Salim-Resal)*(1-EXP((Tnet-t)/(Tau_j))))*Salcycl</f>
        <v>4.7078181708872367E-2</v>
      </c>
      <c r="P251" s="169">
        <f>(INDEX(Models!$BJ251:$BT251,,T251)*(1-R251)+INDEX(Models!$BJ251:$BT251,,T251+1)*R251-ERP_i)*Q251*Ramure*Pc/MaxiM</f>
        <v>5.426069003671884E-7</v>
      </c>
      <c r="Q251" s="304">
        <f t="shared" si="78"/>
        <v>0.6</v>
      </c>
      <c r="R251" s="177">
        <f t="shared" si="79"/>
        <v>0.47816332317280308</v>
      </c>
      <c r="S251" s="799">
        <f t="shared" si="80"/>
        <v>-1</v>
      </c>
      <c r="T251" s="176">
        <f t="shared" si="81"/>
        <v>5</v>
      </c>
      <c r="U251" s="250">
        <f t="shared" si="82"/>
        <v>-0.52183667682719692</v>
      </c>
      <c r="V251" s="382">
        <f t="shared" si="83"/>
        <v>52.074028026528701</v>
      </c>
      <c r="W251" s="58"/>
      <c r="X251" s="157">
        <f t="shared" si="84"/>
        <v>44067</v>
      </c>
      <c r="Y251" s="383">
        <f t="shared" si="85"/>
        <v>46.8</v>
      </c>
      <c r="Z251" s="383">
        <f t="shared" si="86"/>
        <v>47.31495375242875</v>
      </c>
      <c r="AA251" s="384">
        <f t="shared" si="87"/>
        <v>49.652503326325906</v>
      </c>
      <c r="AB251" s="197">
        <f t="shared" si="88"/>
        <v>44067</v>
      </c>
      <c r="AC251" s="424">
        <f>IF(OR(t&lt;Tnet,NoTnet),'2019'!Resal_s+('2019'!Salim-'2019'!Resal_s)*(1-EXP(('2019'!Tnet_s-t)/'2019'!Tau_j)),Resal_s+(Salim-Resal_s)*(1-EXP((Tnet_s-t)/Tau_j)))*Salcycl</f>
        <v>4.7078181708872367E-2</v>
      </c>
      <c r="AD251" s="230">
        <f>(INDEX(Models!$BJ251:$BT251,,AH251)*(1-AF251)+INDEX(Models!$BJ251:$BT251,,AH251+1)*AF251-ERP_i)*AE251*Ramure*Pc/MaxiM</f>
        <v>5.426069003671884E-7</v>
      </c>
      <c r="AE251" s="304">
        <f t="shared" si="89"/>
        <v>0.6</v>
      </c>
      <c r="AF251" s="177">
        <f t="shared" si="90"/>
        <v>0.47816332317280308</v>
      </c>
      <c r="AG251" s="176">
        <f t="shared" si="91"/>
        <v>-1</v>
      </c>
      <c r="AH251" s="176">
        <f t="shared" si="92"/>
        <v>5</v>
      </c>
      <c r="AI251" s="224">
        <f t="shared" si="93"/>
        <v>-0.52183667682719692</v>
      </c>
      <c r="AJ251" s="264" t="b">
        <f t="shared" si="94"/>
        <v>0</v>
      </c>
      <c r="AK251" s="264" t="b">
        <f t="shared" si="95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6"/>
        <v>44068</v>
      </c>
      <c r="B252" s="607">
        <v>51.088000000000001</v>
      </c>
      <c r="C252" s="388"/>
      <c r="D252" s="391">
        <f t="shared" si="75"/>
        <v>51.651125721871715</v>
      </c>
      <c r="E252" s="383">
        <f t="shared" si="97"/>
        <v>54.205690170414449</v>
      </c>
      <c r="F252" s="383">
        <f t="shared" si="76"/>
        <v>54.205725811203237</v>
      </c>
      <c r="G252" s="110">
        <f t="shared" si="98"/>
        <v>0.98365753023099978</v>
      </c>
      <c r="H252" s="412" t="b">
        <f>Wh_hp&gt;='2019'!Maxi_hp</f>
        <v>1</v>
      </c>
      <c r="I252" s="388">
        <f>IF(H252,Wh_hp,'2019'!Maxi_hp)</f>
        <v>54.205725811203237</v>
      </c>
      <c r="J252" s="85">
        <f>IF(H252,An,'2019'!An_max)</f>
        <v>2020</v>
      </c>
      <c r="K252" s="197">
        <f t="shared" si="77"/>
        <v>44068</v>
      </c>
      <c r="L252" s="147">
        <f>IF(t&lt;Tvie,1-EXP((T0-t)*PertePVj)+'2019'!Pspv,1-EXP((T0-t)*PertePVj)+Pspv)</f>
        <v>1.0902486906171349E-2</v>
      </c>
      <c r="M252" s="832"/>
      <c r="N252" s="832"/>
      <c r="O252" s="48">
        <f>IF(t&lt;Tnet,'2019'!Resal+('2019'!Salim-'2019'!Resal)*(1-EXP(('2019'!Tnet-t)/('2019'!Tau_j))),Resal+(Salim-Resal)*(1-EXP((Tnet-t)/(Tau_j))))*Salcycl</f>
        <v>4.7127237758832548E-2</v>
      </c>
      <c r="P252" s="169">
        <f>(INDEX(Models!$BJ252:$BT252,,T252)*(1-R252)+INDEX(Models!$BJ252:$BT252,,T252+1)*R252-ERP_i)*Q252*Ramure*Pc/MaxiM</f>
        <v>6.7322707193560085E-7</v>
      </c>
      <c r="Q252" s="304">
        <f t="shared" si="78"/>
        <v>0.6</v>
      </c>
      <c r="R252" s="177">
        <f t="shared" si="79"/>
        <v>0.47897900917420677</v>
      </c>
      <c r="S252" s="799">
        <f t="shared" si="80"/>
        <v>-1</v>
      </c>
      <c r="T252" s="176">
        <f t="shared" si="81"/>
        <v>5</v>
      </c>
      <c r="U252" s="250">
        <f t="shared" si="82"/>
        <v>-0.52102099082579323</v>
      </c>
      <c r="V252" s="382">
        <f t="shared" si="83"/>
        <v>51.936774361938106</v>
      </c>
      <c r="W252" s="58"/>
      <c r="X252" s="157">
        <f t="shared" si="84"/>
        <v>44068</v>
      </c>
      <c r="Y252" s="383">
        <f t="shared" si="85"/>
        <v>51.088000000000001</v>
      </c>
      <c r="Z252" s="383">
        <f t="shared" si="86"/>
        <v>51.651125721871715</v>
      </c>
      <c r="AA252" s="384">
        <f t="shared" si="87"/>
        <v>54.205690170414449</v>
      </c>
      <c r="AB252" s="197">
        <f t="shared" si="88"/>
        <v>44068</v>
      </c>
      <c r="AC252" s="424">
        <f>IF(OR(t&lt;Tnet,NoTnet),'2019'!Resal_s+('2019'!Salim-'2019'!Resal_s)*(1-EXP(('2019'!Tnet_s-t)/'2019'!Tau_j)),Resal_s+(Salim-Resal_s)*(1-EXP((Tnet_s-t)/Tau_j)))*Salcycl</f>
        <v>4.7127237758832548E-2</v>
      </c>
      <c r="AD252" s="230">
        <f>(INDEX(Models!$BJ252:$BT252,,AH252)*(1-AF252)+INDEX(Models!$BJ252:$BT252,,AH252+1)*AF252-ERP_i)*AE252*Ramure*Pc/MaxiM</f>
        <v>6.7322707193560085E-7</v>
      </c>
      <c r="AE252" s="304">
        <f t="shared" si="89"/>
        <v>0.6</v>
      </c>
      <c r="AF252" s="177">
        <f t="shared" si="90"/>
        <v>0.47897900917420677</v>
      </c>
      <c r="AG252" s="176">
        <f t="shared" si="91"/>
        <v>-1</v>
      </c>
      <c r="AH252" s="176">
        <f t="shared" si="92"/>
        <v>5</v>
      </c>
      <c r="AI252" s="224">
        <f t="shared" si="93"/>
        <v>-0.52102099082579323</v>
      </c>
      <c r="AJ252" s="264" t="b">
        <f t="shared" si="94"/>
        <v>0</v>
      </c>
      <c r="AK252" s="264" t="b">
        <f t="shared" si="95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6"/>
        <v>44069</v>
      </c>
      <c r="B253" s="607">
        <v>25.125</v>
      </c>
      <c r="C253" s="388"/>
      <c r="D253" s="391">
        <f t="shared" si="75"/>
        <v>25.402431197638538</v>
      </c>
      <c r="E253" s="383">
        <f t="shared" si="97"/>
        <v>26.660152004819583</v>
      </c>
      <c r="F253" s="383">
        <f t="shared" si="76"/>
        <v>26.660157795577241</v>
      </c>
      <c r="G253" s="110">
        <f t="shared" si="98"/>
        <v>0.48505645244305873</v>
      </c>
      <c r="H253" s="412" t="b">
        <f>Wh_hp&gt;='2019'!Maxi_hp</f>
        <v>0</v>
      </c>
      <c r="I253" s="388">
        <f>IF(H253,Wh_hp,'2019'!Maxi_hp)</f>
        <v>33.615700591089521</v>
      </c>
      <c r="J253" s="85">
        <f>IF(H253,An,'2019'!An_max)</f>
        <v>2018</v>
      </c>
      <c r="K253" s="197">
        <f t="shared" si="77"/>
        <v>44069</v>
      </c>
      <c r="L253" s="147">
        <f>IF(t&lt;Tvie,1-EXP((T0-t)*PertePVj)+'2019'!Pspv,1-EXP((T0-t)*PertePVj)+Pspv)</f>
        <v>1.0921442734360354E-2</v>
      </c>
      <c r="M253" s="832"/>
      <c r="N253" s="832"/>
      <c r="O253" s="48">
        <f>IF(t&lt;Tnet,'2019'!Resal+('2019'!Salim-'2019'!Resal)*(1-EXP(('2019'!Tnet-t)/('2019'!Tau_j))),Resal+(Salim-Resal)*(1-EXP((Tnet-t)/(Tau_j))))*Salcycl</f>
        <v>4.7176055371090049E-2</v>
      </c>
      <c r="P253" s="169">
        <f>(INDEX(Models!$BJ253:$BT253,,T253)*(1-R253)+INDEX(Models!$BJ253:$BT253,,T253+1)*R253-ERP_i)*Q253*Ramure*Pc/MaxiM</f>
        <v>8.2161014676986863E-7</v>
      </c>
      <c r="Q253" s="304">
        <f t="shared" si="78"/>
        <v>0.6</v>
      </c>
      <c r="R253" s="177">
        <f t="shared" si="79"/>
        <v>0.47976446600945399</v>
      </c>
      <c r="S253" s="799">
        <f t="shared" si="80"/>
        <v>-1</v>
      </c>
      <c r="T253" s="176">
        <f t="shared" si="81"/>
        <v>5</v>
      </c>
      <c r="U253" s="250">
        <f t="shared" si="82"/>
        <v>-0.52023553399054601</v>
      </c>
      <c r="V253" s="382">
        <f t="shared" si="83"/>
        <v>51.798063272445034</v>
      </c>
      <c r="W253" s="58"/>
      <c r="X253" s="157">
        <f t="shared" si="84"/>
        <v>44069</v>
      </c>
      <c r="Y253" s="383">
        <f t="shared" si="85"/>
        <v>25.125</v>
      </c>
      <c r="Z253" s="383">
        <f t="shared" si="86"/>
        <v>25.402431197638538</v>
      </c>
      <c r="AA253" s="384">
        <f t="shared" si="87"/>
        <v>26.660152004819583</v>
      </c>
      <c r="AB253" s="197">
        <f t="shared" si="88"/>
        <v>44069</v>
      </c>
      <c r="AC253" s="424">
        <f>IF(OR(t&lt;Tnet,NoTnet),'2019'!Resal_s+('2019'!Salim-'2019'!Resal_s)*(1-EXP(('2019'!Tnet_s-t)/'2019'!Tau_j)),Resal_s+(Salim-Resal_s)*(1-EXP((Tnet_s-t)/Tau_j)))*Salcycl</f>
        <v>4.7176055371090049E-2</v>
      </c>
      <c r="AD253" s="230">
        <f>(INDEX(Models!$BJ253:$BT253,,AH253)*(1-AF253)+INDEX(Models!$BJ253:$BT253,,AH253+1)*AF253-ERP_i)*AE253*Ramure*Pc/MaxiM</f>
        <v>8.2161014676986863E-7</v>
      </c>
      <c r="AE253" s="304">
        <f t="shared" si="89"/>
        <v>0.6</v>
      </c>
      <c r="AF253" s="177">
        <f t="shared" si="90"/>
        <v>0.47976446600945399</v>
      </c>
      <c r="AG253" s="176">
        <f t="shared" si="91"/>
        <v>-1</v>
      </c>
      <c r="AH253" s="176">
        <f t="shared" si="92"/>
        <v>5</v>
      </c>
      <c r="AI253" s="224">
        <f t="shared" si="93"/>
        <v>-0.52023553399054601</v>
      </c>
      <c r="AJ253" s="264" t="b">
        <f t="shared" si="94"/>
        <v>0</v>
      </c>
      <c r="AK253" s="264" t="b">
        <f t="shared" si="95"/>
        <v>0</v>
      </c>
      <c r="AL253" s="264"/>
      <c r="AM253" s="264"/>
      <c r="AN253" s="75"/>
    </row>
    <row r="254" spans="1:40" s="6" customFormat="1" ht="11.25" x14ac:dyDescent="0.2">
      <c r="A254" s="56">
        <f t="shared" si="96"/>
        <v>44070</v>
      </c>
      <c r="B254" s="607">
        <v>48.929000000000002</v>
      </c>
      <c r="C254" s="388"/>
      <c r="D254" s="391">
        <f t="shared" si="75"/>
        <v>49.470223949008989</v>
      </c>
      <c r="E254" s="383">
        <f t="shared" si="97"/>
        <v>51.922231979105831</v>
      </c>
      <c r="F254" s="383">
        <f t="shared" si="76"/>
        <v>51.922279686713658</v>
      </c>
      <c r="G254" s="110">
        <f t="shared" si="98"/>
        <v>0.94718107922966588</v>
      </c>
      <c r="H254" s="412" t="b">
        <f>Wh_hp&gt;='2019'!Maxi_hp</f>
        <v>1</v>
      </c>
      <c r="I254" s="388">
        <f>IF(H254,Wh_hp,'2019'!Maxi_hp)</f>
        <v>51.922279686713658</v>
      </c>
      <c r="J254" s="85">
        <f>IF(H254,An,'2019'!An_max)</f>
        <v>2020</v>
      </c>
      <c r="K254" s="197">
        <f t="shared" si="77"/>
        <v>44070</v>
      </c>
      <c r="L254" s="147">
        <f>IF(t&lt;Tvie,1-EXP((T0-t)*PertePVj)+'2019'!Pspv,1-EXP((T0-t)*PertePVj)+Pspv)</f>
        <v>1.0940398199265289E-2</v>
      </c>
      <c r="M254" s="832"/>
      <c r="N254" s="832"/>
      <c r="O254" s="48">
        <f>IF(t&lt;Tnet,'2019'!Resal+('2019'!Salim-'2019'!Resal)*(1-EXP(('2019'!Tnet-t)/('2019'!Tau_j))),Resal+(Salim-Resal)*(1-EXP((Tnet-t)/(Tau_j))))*Salcycl</f>
        <v>4.7224626843537121E-2</v>
      </c>
      <c r="P254" s="169">
        <f>(INDEX(Models!$BJ254:$BT254,,T254)*(1-R254)+INDEX(Models!$BJ254:$BT254,,T254+1)*R254-ERP_i)*Q254*Ramure*Pc/MaxiM</f>
        <v>9.9381619299412E-7</v>
      </c>
      <c r="Q254" s="304">
        <f t="shared" si="78"/>
        <v>0.6</v>
      </c>
      <c r="R254" s="177">
        <f t="shared" si="79"/>
        <v>0.48052071646201377</v>
      </c>
      <c r="S254" s="799">
        <f t="shared" si="80"/>
        <v>-1</v>
      </c>
      <c r="T254" s="176">
        <f t="shared" si="81"/>
        <v>5</v>
      </c>
      <c r="U254" s="250">
        <f t="shared" si="82"/>
        <v>-0.51947928353798623</v>
      </c>
      <c r="V254" s="382">
        <f t="shared" si="83"/>
        <v>51.657489157889849</v>
      </c>
      <c r="W254" s="58"/>
      <c r="X254" s="157">
        <f t="shared" si="84"/>
        <v>44070</v>
      </c>
      <c r="Y254" s="383">
        <f t="shared" si="85"/>
        <v>48.929000000000002</v>
      </c>
      <c r="Z254" s="383">
        <f t="shared" si="86"/>
        <v>49.470223949008989</v>
      </c>
      <c r="AA254" s="384">
        <f t="shared" si="87"/>
        <v>51.922231979105831</v>
      </c>
      <c r="AB254" s="197">
        <f t="shared" si="88"/>
        <v>44070</v>
      </c>
      <c r="AC254" s="424">
        <f>IF(OR(t&lt;Tnet,NoTnet),'2019'!Resal_s+('2019'!Salim-'2019'!Resal_s)*(1-EXP(('2019'!Tnet_s-t)/'2019'!Tau_j)),Resal_s+(Salim-Resal_s)*(1-EXP((Tnet_s-t)/Tau_j)))*Salcycl</f>
        <v>4.7224626843537121E-2</v>
      </c>
      <c r="AD254" s="230">
        <f>(INDEX(Models!$BJ254:$BT254,,AH254)*(1-AF254)+INDEX(Models!$BJ254:$BT254,,AH254+1)*AF254-ERP_i)*AE254*Ramure*Pc/MaxiM</f>
        <v>9.9381619299412E-7</v>
      </c>
      <c r="AE254" s="304">
        <f t="shared" si="89"/>
        <v>0.6</v>
      </c>
      <c r="AF254" s="177">
        <f t="shared" si="90"/>
        <v>0.48052071646201377</v>
      </c>
      <c r="AG254" s="176">
        <f t="shared" si="91"/>
        <v>-1</v>
      </c>
      <c r="AH254" s="176">
        <f t="shared" si="92"/>
        <v>5</v>
      </c>
      <c r="AI254" s="224">
        <f t="shared" si="93"/>
        <v>-0.51947928353798623</v>
      </c>
      <c r="AJ254" s="264" t="b">
        <f t="shared" si="94"/>
        <v>0</v>
      </c>
      <c r="AK254" s="264" t="b">
        <f t="shared" si="95"/>
        <v>0</v>
      </c>
      <c r="AL254" s="264"/>
      <c r="AM254" s="264"/>
      <c r="AN254" s="75"/>
    </row>
    <row r="255" spans="1:40" s="6" customFormat="1" ht="11.25" x14ac:dyDescent="0.2">
      <c r="A255" s="56">
        <f t="shared" si="96"/>
        <v>44071</v>
      </c>
      <c r="B255" s="607">
        <v>9.4309999999999992</v>
      </c>
      <c r="C255" s="388"/>
      <c r="D255" s="391">
        <f t="shared" si="75"/>
        <v>9.5355029456834508</v>
      </c>
      <c r="E255" s="383">
        <f t="shared" si="97"/>
        <v>10.008640866906834</v>
      </c>
      <c r="F255" s="383">
        <f t="shared" si="76"/>
        <v>10.008640866906834</v>
      </c>
      <c r="G255" s="110">
        <f t="shared" si="98"/>
        <v>0.18307392857540561</v>
      </c>
      <c r="H255" s="412" t="b">
        <f>Wh_hp&gt;='2019'!Maxi_hp</f>
        <v>0</v>
      </c>
      <c r="I255" s="388">
        <f>IF(H255,Wh_hp,'2019'!Maxi_hp)</f>
        <v>51.668519055548828</v>
      </c>
      <c r="J255" s="85">
        <f>IF(H255,An,'2019'!An_max)</f>
        <v>2018</v>
      </c>
      <c r="K255" s="197">
        <f t="shared" si="77"/>
        <v>44071</v>
      </c>
      <c r="L255" s="147">
        <f>IF(t&lt;Tvie,1-EXP((T0-t)*PertePVj)+'2019'!Pspv,1-EXP((T0-t)*PertePVj)+Pspv)</f>
        <v>1.0959353300893038E-2</v>
      </c>
      <c r="M255" s="832"/>
      <c r="N255" s="832"/>
      <c r="O255" s="48">
        <f>IF(t&lt;Tnet,'2019'!Resal+('2019'!Salim-'2019'!Resal)*(1-EXP(('2019'!Tnet-t)/('2019'!Tau_j))),Resal+(Salim-Resal)*(1-EXP((Tnet-t)/(Tau_j))))*Salcycl</f>
        <v>4.7272944200425229E-2</v>
      </c>
      <c r="P255" s="169">
        <f>(INDEX(Models!$BJ255:$BT255,,T255)*(1-R255)+INDEX(Models!$BJ255:$BT255,,T255+1)*R255-ERP_i)*Q255*Ramure*Pc/MaxiM</f>
        <v>1.1844884946270537E-6</v>
      </c>
      <c r="Q255" s="304">
        <f t="shared" si="78"/>
        <v>0.6</v>
      </c>
      <c r="R255" s="177">
        <f t="shared" si="79"/>
        <v>0.4812487561643084</v>
      </c>
      <c r="S255" s="799">
        <f t="shared" si="80"/>
        <v>-1</v>
      </c>
      <c r="T255" s="176">
        <f t="shared" si="81"/>
        <v>5</v>
      </c>
      <c r="U255" s="250">
        <f t="shared" si="82"/>
        <v>-0.5187512438356916</v>
      </c>
      <c r="V255" s="382">
        <f t="shared" si="83"/>
        <v>51.514647129039538</v>
      </c>
      <c r="W255" s="58"/>
      <c r="X255" s="157">
        <f t="shared" si="84"/>
        <v>44071</v>
      </c>
      <c r="Y255" s="383">
        <f t="shared" si="85"/>
        <v>9.4309999999999992</v>
      </c>
      <c r="Z255" s="383">
        <f t="shared" si="86"/>
        <v>9.5355029456834508</v>
      </c>
      <c r="AA255" s="384">
        <f t="shared" si="87"/>
        <v>10.008640866906834</v>
      </c>
      <c r="AB255" s="197">
        <f t="shared" si="88"/>
        <v>44071</v>
      </c>
      <c r="AC255" s="424">
        <f>IF(OR(t&lt;Tnet,NoTnet),'2019'!Resal_s+('2019'!Salim-'2019'!Resal_s)*(1-EXP(('2019'!Tnet_s-t)/'2019'!Tau_j)),Resal_s+(Salim-Resal_s)*(1-EXP((Tnet_s-t)/Tau_j)))*Salcycl</f>
        <v>4.7272944200425229E-2</v>
      </c>
      <c r="AD255" s="230">
        <f>(INDEX(Models!$BJ255:$BT255,,AH255)*(1-AF255)+INDEX(Models!$BJ255:$BT255,,AH255+1)*AF255-ERP_i)*AE255*Ramure*Pc/MaxiM</f>
        <v>1.1844884946270537E-6</v>
      </c>
      <c r="AE255" s="304">
        <f t="shared" si="89"/>
        <v>0.6</v>
      </c>
      <c r="AF255" s="177">
        <f t="shared" si="90"/>
        <v>0.4812487561643084</v>
      </c>
      <c r="AG255" s="176">
        <f t="shared" si="91"/>
        <v>-1</v>
      </c>
      <c r="AH255" s="176">
        <f t="shared" si="92"/>
        <v>5</v>
      </c>
      <c r="AI255" s="224">
        <f t="shared" si="93"/>
        <v>-0.5187512438356916</v>
      </c>
      <c r="AJ255" s="264" t="b">
        <f t="shared" si="94"/>
        <v>0</v>
      </c>
      <c r="AK255" s="264" t="b">
        <f t="shared" si="95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6"/>
        <v>44072</v>
      </c>
      <c r="B256" s="607">
        <v>23.643999999999998</v>
      </c>
      <c r="C256" s="388"/>
      <c r="D256" s="391">
        <f t="shared" si="75"/>
        <v>23.90645239855704</v>
      </c>
      <c r="E256" s="383">
        <f t="shared" si="97"/>
        <v>25.093921853988689</v>
      </c>
      <c r="F256" s="383">
        <f t="shared" si="76"/>
        <v>25.093929862132253</v>
      </c>
      <c r="G256" s="110">
        <f t="shared" si="98"/>
        <v>0.46027592073619766</v>
      </c>
      <c r="H256" s="412" t="b">
        <f>Wh_hp&gt;='2019'!Maxi_hp</f>
        <v>0</v>
      </c>
      <c r="I256" s="388">
        <f>IF(H256,Wh_hp,'2019'!Maxi_hp)</f>
        <v>51.109731247506751</v>
      </c>
      <c r="J256" s="85">
        <f>IF(H256,An,'2019'!An_max)</f>
        <v>2018</v>
      </c>
      <c r="K256" s="197">
        <f t="shared" si="77"/>
        <v>44072</v>
      </c>
      <c r="L256" s="147">
        <f>IF(t&lt;Tvie,1-EXP((T0-t)*PertePVj)+'2019'!Pspv,1-EXP((T0-t)*PertePVj)+Pspv)</f>
        <v>1.0978308039250595E-2</v>
      </c>
      <c r="M256" s="832"/>
      <c r="N256" s="832"/>
      <c r="O256" s="48">
        <f>IF(t&lt;Tnet,'2019'!Resal+('2019'!Salim-'2019'!Resal)*(1-EXP(('2019'!Tnet-t)/('2019'!Tau_j))),Resal+(Salim-Resal)*(1-EXP((Tnet-t)/(Tau_j))))*Salcycl</f>
        <v>4.7320999178249327E-2</v>
      </c>
      <c r="P256" s="169">
        <f>(INDEX(Models!$BJ256:$BT256,,T256)*(1-R256)+INDEX(Models!$BJ256:$BT256,,T256+1)*R256-ERP_i)*Q256*Ramure*Pc/MaxiM</f>
        <v>1.3937715316379961E-6</v>
      </c>
      <c r="Q256" s="304">
        <f t="shared" si="78"/>
        <v>0.6</v>
      </c>
      <c r="R256" s="177">
        <f t="shared" si="79"/>
        <v>0.4819495537254832</v>
      </c>
      <c r="S256" s="799">
        <f t="shared" si="80"/>
        <v>-1</v>
      </c>
      <c r="T256" s="176">
        <f t="shared" si="81"/>
        <v>5</v>
      </c>
      <c r="U256" s="250">
        <f t="shared" si="82"/>
        <v>-0.5180504462745168</v>
      </c>
      <c r="V256" s="382">
        <f t="shared" si="83"/>
        <v>51.369132135507243</v>
      </c>
      <c r="W256" s="58"/>
      <c r="X256" s="157">
        <f t="shared" si="84"/>
        <v>44072</v>
      </c>
      <c r="Y256" s="383">
        <f t="shared" si="85"/>
        <v>23.643999999999998</v>
      </c>
      <c r="Z256" s="383">
        <f t="shared" si="86"/>
        <v>23.90645239855704</v>
      </c>
      <c r="AA256" s="384">
        <f t="shared" si="87"/>
        <v>25.093921853988689</v>
      </c>
      <c r="AB256" s="197">
        <f t="shared" si="88"/>
        <v>44072</v>
      </c>
      <c r="AC256" s="424">
        <f>IF(OR(t&lt;Tnet,NoTnet),'2019'!Resal_s+('2019'!Salim-'2019'!Resal_s)*(1-EXP(('2019'!Tnet_s-t)/'2019'!Tau_j)),Resal_s+(Salim-Resal_s)*(1-EXP((Tnet_s-t)/Tau_j)))*Salcycl</f>
        <v>4.7320999178249327E-2</v>
      </c>
      <c r="AD256" s="230">
        <f>(INDEX(Models!$BJ256:$BT256,,AH256)*(1-AF256)+INDEX(Models!$BJ256:$BT256,,AH256+1)*AF256-ERP_i)*AE256*Ramure*Pc/MaxiM</f>
        <v>1.3937715316379961E-6</v>
      </c>
      <c r="AE256" s="304">
        <f t="shared" si="89"/>
        <v>0.6</v>
      </c>
      <c r="AF256" s="177">
        <f t="shared" si="90"/>
        <v>0.4819495537254832</v>
      </c>
      <c r="AG256" s="176">
        <f t="shared" si="91"/>
        <v>-1</v>
      </c>
      <c r="AH256" s="176">
        <f t="shared" si="92"/>
        <v>5</v>
      </c>
      <c r="AI256" s="224">
        <f t="shared" si="93"/>
        <v>-0.5180504462745168</v>
      </c>
      <c r="AJ256" s="264" t="b">
        <f t="shared" si="94"/>
        <v>0</v>
      </c>
      <c r="AK256" s="264" t="b">
        <f t="shared" si="95"/>
        <v>0</v>
      </c>
      <c r="AL256" s="264"/>
      <c r="AM256" s="264"/>
      <c r="AN256" s="75"/>
    </row>
    <row r="257" spans="1:40" s="6" customFormat="1" ht="11.25" x14ac:dyDescent="0.2">
      <c r="A257" s="56">
        <f t="shared" si="96"/>
        <v>44073</v>
      </c>
      <c r="B257" s="607">
        <v>30.254000000000001</v>
      </c>
      <c r="C257" s="388"/>
      <c r="D257" s="391">
        <f t="shared" si="75"/>
        <v>30.590410774651449</v>
      </c>
      <c r="E257" s="383">
        <f t="shared" si="97"/>
        <v>32.11149313128594</v>
      </c>
      <c r="F257" s="383">
        <f t="shared" si="76"/>
        <v>32.111514756064857</v>
      </c>
      <c r="G257" s="110">
        <f t="shared" si="98"/>
        <v>0.59066092926027258</v>
      </c>
      <c r="H257" s="412" t="b">
        <f>Wh_hp&gt;='2019'!Maxi_hp</f>
        <v>0</v>
      </c>
      <c r="I257" s="388">
        <f>IF(H257,Wh_hp,'2019'!Maxi_hp)</f>
        <v>49.940880723417187</v>
      </c>
      <c r="J257" s="85">
        <f>IF(H257,An,'2019'!An_max)</f>
        <v>2018</v>
      </c>
      <c r="K257" s="197">
        <f t="shared" si="77"/>
        <v>44073</v>
      </c>
      <c r="L257" s="147">
        <f>IF(t&lt;Tvie,1-EXP((T0-t)*PertePVj)+'2019'!Pspv,1-EXP((T0-t)*PertePVj)+Pspv)</f>
        <v>1.0997262414344955E-2</v>
      </c>
      <c r="M257" s="832"/>
      <c r="N257" s="832"/>
      <c r="O257" s="48">
        <f>IF(t&lt;Tnet,'2019'!Resal+('2019'!Salim-'2019'!Resal)*(1-EXP(('2019'!Tnet-t)/('2019'!Tau_j))),Resal+(Salim-Resal)*(1-EXP((Tnet-t)/(Tau_j))))*Salcycl</f>
        <v>4.7368783208418072E-2</v>
      </c>
      <c r="P257" s="169">
        <f>(INDEX(Models!$BJ257:$BT257,,T257)*(1-R257)+INDEX(Models!$BJ257:$BT257,,T257+1)*R257-ERP_i)*Q257*Ramure*Pc/MaxiM</f>
        <v>1.6218154333271144E-6</v>
      </c>
      <c r="Q257" s="304">
        <f t="shared" si="78"/>
        <v>0.6</v>
      </c>
      <c r="R257" s="177">
        <f t="shared" si="79"/>
        <v>0.48262405091518334</v>
      </c>
      <c r="S257" s="799">
        <f t="shared" si="80"/>
        <v>-1</v>
      </c>
      <c r="T257" s="176">
        <f t="shared" si="81"/>
        <v>5</v>
      </c>
      <c r="U257" s="250">
        <f t="shared" si="82"/>
        <v>-0.51737594908481666</v>
      </c>
      <c r="V257" s="382">
        <f t="shared" si="83"/>
        <v>51.220539244644286</v>
      </c>
      <c r="W257" s="58"/>
      <c r="X257" s="157">
        <f t="shared" si="84"/>
        <v>44073</v>
      </c>
      <c r="Y257" s="383">
        <f t="shared" si="85"/>
        <v>30.254000000000001</v>
      </c>
      <c r="Z257" s="383">
        <f t="shared" si="86"/>
        <v>30.590410774651449</v>
      </c>
      <c r="AA257" s="384">
        <f t="shared" si="87"/>
        <v>32.11149313128594</v>
      </c>
      <c r="AB257" s="197">
        <f t="shared" si="88"/>
        <v>44073</v>
      </c>
      <c r="AC257" s="424">
        <f>IF(OR(t&lt;Tnet,NoTnet),'2019'!Resal_s+('2019'!Salim-'2019'!Resal_s)*(1-EXP(('2019'!Tnet_s-t)/'2019'!Tau_j)),Resal_s+(Salim-Resal_s)*(1-EXP((Tnet_s-t)/Tau_j)))*Salcycl</f>
        <v>4.7368783208418072E-2</v>
      </c>
      <c r="AD257" s="230">
        <f>(INDEX(Models!$BJ257:$BT257,,AH257)*(1-AF257)+INDEX(Models!$BJ257:$BT257,,AH257+1)*AF257-ERP_i)*AE257*Ramure*Pc/MaxiM</f>
        <v>1.6218154333271144E-6</v>
      </c>
      <c r="AE257" s="304">
        <f t="shared" si="89"/>
        <v>0.6</v>
      </c>
      <c r="AF257" s="177">
        <f t="shared" si="90"/>
        <v>0.48262405091518334</v>
      </c>
      <c r="AG257" s="176">
        <f t="shared" si="91"/>
        <v>-1</v>
      </c>
      <c r="AH257" s="176">
        <f t="shared" si="92"/>
        <v>5</v>
      </c>
      <c r="AI257" s="224">
        <f t="shared" si="93"/>
        <v>-0.51737594908481666</v>
      </c>
      <c r="AJ257" s="264" t="b">
        <f t="shared" si="94"/>
        <v>0</v>
      </c>
      <c r="AK257" s="264" t="b">
        <f t="shared" si="95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6"/>
        <v>44074</v>
      </c>
      <c r="B258" s="607">
        <v>42.033000000000001</v>
      </c>
      <c r="C258" s="388"/>
      <c r="D258" s="391">
        <f t="shared" si="75"/>
        <v>42.501202444501651</v>
      </c>
      <c r="E258" s="383">
        <f t="shared" si="97"/>
        <v>44.616763736570206</v>
      </c>
      <c r="F258" s="383">
        <f t="shared" si="76"/>
        <v>44.616826041056136</v>
      </c>
      <c r="G258" s="110">
        <f t="shared" si="98"/>
        <v>0.82307117043526778</v>
      </c>
      <c r="H258" s="412" t="b">
        <f>Wh_hp&gt;='2019'!Maxi_hp</f>
        <v>1</v>
      </c>
      <c r="I258" s="388">
        <f>IF(H258,Wh_hp,'2019'!Maxi_hp)</f>
        <v>44.616826041056136</v>
      </c>
      <c r="J258" s="85">
        <f>IF(H258,An,'2019'!An_max)</f>
        <v>2020</v>
      </c>
      <c r="K258" s="197">
        <f t="shared" si="77"/>
        <v>44074</v>
      </c>
      <c r="L258" s="147">
        <f>IF(t&lt;Tvie,1-EXP((T0-t)*PertePVj)+'2019'!Pspv,1-EXP((T0-t)*PertePVj)+Pspv)</f>
        <v>1.1016216426183001E-2</v>
      </c>
      <c r="M258" s="832"/>
      <c r="N258" s="832"/>
      <c r="O258" s="48">
        <f>IF(t&lt;Tnet,'2019'!Resal+('2019'!Salim-'2019'!Resal)*(1-EXP(('2019'!Tnet-t)/('2019'!Tau_j))),Resal+(Salim-Resal)*(1-EXP((Tnet-t)/(Tau_j))))*Salcycl</f>
        <v>4.7416287397253142E-2</v>
      </c>
      <c r="P258" s="169">
        <f>(INDEX(Models!$BJ258:$BT258,,T258)*(1-R258)+INDEX(Models!$BJ258:$BT258,,T258+1)*R258-ERP_i)*Q258*Ramure*Pc/MaxiM</f>
        <v>1.8687774199924634E-6</v>
      </c>
      <c r="Q258" s="304">
        <f t="shared" si="78"/>
        <v>0.6</v>
      </c>
      <c r="R258" s="177">
        <f t="shared" si="79"/>
        <v>0.48327316289780486</v>
      </c>
      <c r="S258" s="799">
        <f t="shared" si="80"/>
        <v>-1</v>
      </c>
      <c r="T258" s="176">
        <f t="shared" si="81"/>
        <v>5</v>
      </c>
      <c r="U258" s="250">
        <f t="shared" si="82"/>
        <v>-0.51672683710219514</v>
      </c>
      <c r="V258" s="382">
        <f t="shared" si="83"/>
        <v>51.068463646666189</v>
      </c>
      <c r="W258" s="58"/>
      <c r="X258" s="157">
        <f t="shared" si="84"/>
        <v>44074</v>
      </c>
      <c r="Y258" s="383">
        <f t="shared" si="85"/>
        <v>42.033000000000001</v>
      </c>
      <c r="Z258" s="383">
        <f t="shared" si="86"/>
        <v>42.501202444501651</v>
      </c>
      <c r="AA258" s="384">
        <f t="shared" si="87"/>
        <v>44.616763736570206</v>
      </c>
      <c r="AB258" s="197">
        <f t="shared" si="88"/>
        <v>44074</v>
      </c>
      <c r="AC258" s="424">
        <f>IF(OR(t&lt;Tnet,NoTnet),'2019'!Resal_s+('2019'!Salim-'2019'!Resal_s)*(1-EXP(('2019'!Tnet_s-t)/'2019'!Tau_j)),Resal_s+(Salim-Resal_s)*(1-EXP((Tnet_s-t)/Tau_j)))*Salcycl</f>
        <v>4.7416287397253142E-2</v>
      </c>
      <c r="AD258" s="230">
        <f>(INDEX(Models!$BJ258:$BT258,,AH258)*(1-AF258)+INDEX(Models!$BJ258:$BT258,,AH258+1)*AF258-ERP_i)*AE258*Ramure*Pc/MaxiM</f>
        <v>1.8687774199924634E-6</v>
      </c>
      <c r="AE258" s="304">
        <f t="shared" si="89"/>
        <v>0.6</v>
      </c>
      <c r="AF258" s="177">
        <f t="shared" si="90"/>
        <v>0.48327316289780486</v>
      </c>
      <c r="AG258" s="176">
        <f t="shared" si="91"/>
        <v>-1</v>
      </c>
      <c r="AH258" s="176">
        <f t="shared" si="92"/>
        <v>5</v>
      </c>
      <c r="AI258" s="224">
        <f t="shared" si="93"/>
        <v>-0.51672683710219514</v>
      </c>
      <c r="AJ258" s="264" t="b">
        <f t="shared" si="94"/>
        <v>0</v>
      </c>
      <c r="AK258" s="264" t="b">
        <f t="shared" si="95"/>
        <v>0</v>
      </c>
      <c r="AL258" s="264"/>
      <c r="AM258" s="264"/>
      <c r="AN258" s="75"/>
    </row>
    <row r="259" spans="1:40" s="6" customFormat="1" ht="11.25" x14ac:dyDescent="0.2">
      <c r="A259" s="56">
        <f t="shared" si="96"/>
        <v>44075</v>
      </c>
      <c r="B259" s="607">
        <v>44.640999999999998</v>
      </c>
      <c r="C259" s="388"/>
      <c r="D259" s="391">
        <f t="shared" si="75"/>
        <v>45.139117842416226</v>
      </c>
      <c r="E259" s="383">
        <f t="shared" si="97"/>
        <v>47.388334159449833</v>
      </c>
      <c r="F259" s="383">
        <f t="shared" si="76"/>
        <v>47.388417522758331</v>
      </c>
      <c r="G259" s="110">
        <f t="shared" si="98"/>
        <v>0.87681772965874127</v>
      </c>
      <c r="H259" s="412" t="b">
        <f>Wh_hp&gt;='2019'!Maxi_hp</f>
        <v>0</v>
      </c>
      <c r="I259" s="388">
        <f>IF(H259,Wh_hp,'2019'!Maxi_hp)</f>
        <v>52.82794412076764</v>
      </c>
      <c r="J259" s="85">
        <f>IF(H259,An,'2019'!An_max)</f>
        <v>2018</v>
      </c>
      <c r="K259" s="197">
        <f t="shared" si="77"/>
        <v>44075</v>
      </c>
      <c r="L259" s="147">
        <f>IF(t&lt;Tvie,1-EXP((T0-t)*PertePVj)+'2019'!Pspv,1-EXP((T0-t)*PertePVj)+Pspv)</f>
        <v>1.1035170074771727E-2</v>
      </c>
      <c r="M259" s="832"/>
      <c r="N259" s="832"/>
      <c r="O259" s="48">
        <f>IF(t&lt;Tnet,'2019'!Resal+('2019'!Salim-'2019'!Resal)*(1-EXP(('2019'!Tnet-t)/('2019'!Tau_j))),Resal+(Salim-Resal)*(1-EXP((Tnet-t)/(Tau_j))))*Salcycl</f>
        <v>4.7463502503919203E-2</v>
      </c>
      <c r="P259" s="169">
        <f>(INDEX(Models!$BJ259:$BT259,,T259)*(1-R259)+INDEX(Models!$BJ259:$BT259,,T259+1)*R259-ERP_i)*Q259*Ramure*Pc/MaxiM</f>
        <v>2.1348232667987607E-6</v>
      </c>
      <c r="Q259" s="304">
        <f t="shared" si="78"/>
        <v>0.6</v>
      </c>
      <c r="R259" s="177">
        <f t="shared" si="79"/>
        <v>0.48389777851201143</v>
      </c>
      <c r="S259" s="799">
        <f t="shared" si="80"/>
        <v>-1</v>
      </c>
      <c r="T259" s="176">
        <f t="shared" si="81"/>
        <v>5</v>
      </c>
      <c r="U259" s="250">
        <f t="shared" si="82"/>
        <v>-0.51610222148798857</v>
      </c>
      <c r="V259" s="382">
        <f t="shared" si="83"/>
        <v>50.91250064809919</v>
      </c>
      <c r="W259" s="58"/>
      <c r="X259" s="157">
        <f t="shared" si="84"/>
        <v>44075</v>
      </c>
      <c r="Y259" s="383">
        <f t="shared" si="85"/>
        <v>44.640999999999998</v>
      </c>
      <c r="Z259" s="383">
        <f t="shared" si="86"/>
        <v>45.139117842416226</v>
      </c>
      <c r="AA259" s="384">
        <f t="shared" si="87"/>
        <v>47.388334159449833</v>
      </c>
      <c r="AB259" s="197">
        <f t="shared" si="88"/>
        <v>44075</v>
      </c>
      <c r="AC259" s="424">
        <f>IF(OR(t&lt;Tnet,NoTnet),'2019'!Resal_s+('2019'!Salim-'2019'!Resal_s)*(1-EXP(('2019'!Tnet_s-t)/'2019'!Tau_j)),Resal_s+(Salim-Resal_s)*(1-EXP((Tnet_s-t)/Tau_j)))*Salcycl</f>
        <v>4.7463502503919203E-2</v>
      </c>
      <c r="AD259" s="230">
        <f>(INDEX(Models!$BJ259:$BT259,,AH259)*(1-AF259)+INDEX(Models!$BJ259:$BT259,,AH259+1)*AF259-ERP_i)*AE259*Ramure*Pc/MaxiM</f>
        <v>2.1348232667987607E-6</v>
      </c>
      <c r="AE259" s="304">
        <f t="shared" si="89"/>
        <v>0.6</v>
      </c>
      <c r="AF259" s="177">
        <f t="shared" si="90"/>
        <v>0.48389777851201143</v>
      </c>
      <c r="AG259" s="176">
        <f t="shared" si="91"/>
        <v>-1</v>
      </c>
      <c r="AH259" s="176">
        <f t="shared" si="92"/>
        <v>5</v>
      </c>
      <c r="AI259" s="224">
        <f t="shared" si="93"/>
        <v>-0.51610222148798857</v>
      </c>
      <c r="AJ259" s="264" t="b">
        <f t="shared" si="94"/>
        <v>0</v>
      </c>
      <c r="AK259" s="264" t="b">
        <f t="shared" si="95"/>
        <v>0</v>
      </c>
      <c r="AL259" s="264"/>
      <c r="AM259" s="264"/>
      <c r="AN259" s="75"/>
    </row>
    <row r="260" spans="1:40" s="6" customFormat="1" ht="11.25" x14ac:dyDescent="0.2">
      <c r="A260" s="56">
        <f t="shared" si="96"/>
        <v>44076</v>
      </c>
      <c r="B260" s="607">
        <v>52.408999999999999</v>
      </c>
      <c r="C260" s="388"/>
      <c r="D260" s="391">
        <f t="shared" si="75"/>
        <v>52.994811180232453</v>
      </c>
      <c r="E260" s="383">
        <f t="shared" si="97"/>
        <v>55.63820563787457</v>
      </c>
      <c r="F260" s="383">
        <f t="shared" si="76"/>
        <v>55.63834028982383</v>
      </c>
      <c r="G260" s="110">
        <f t="shared" si="98"/>
        <v>1.032643960861821</v>
      </c>
      <c r="H260" s="412" t="b">
        <f>Wh_hp&gt;='2019'!Maxi_hp</f>
        <v>1</v>
      </c>
      <c r="I260" s="388">
        <f>IF(H260,Wh_hp,'2019'!Maxi_hp)</f>
        <v>55.63834028982383</v>
      </c>
      <c r="J260" s="85">
        <f>IF(H260,An,'2019'!An_max)</f>
        <v>2020</v>
      </c>
      <c r="K260" s="197">
        <f t="shared" si="77"/>
        <v>44076</v>
      </c>
      <c r="L260" s="147">
        <f>IF(t&lt;Tvie,1-EXP((T0-t)*PertePVj)+'2019'!Pspv,1-EXP((T0-t)*PertePVj)+Pspv)</f>
        <v>1.1054123360118129E-2</v>
      </c>
      <c r="M260" s="832"/>
      <c r="N260" s="832"/>
      <c r="O260" s="48">
        <f>IF(t&lt;Tnet,'2019'!Resal+('2019'!Salim-'2019'!Resal)*(1-EXP(('2019'!Tnet-t)/('2019'!Tau_j))),Resal+(Salim-Resal)*(1-EXP((Tnet-t)/(Tau_j))))*Salcycl</f>
        <v>4.7510418916937205E-2</v>
      </c>
      <c r="P260" s="169">
        <f>(INDEX(Models!$BJ260:$BT260,,T260)*(1-R260)+INDEX(Models!$BJ260:$BT260,,T260+1)*R260-ERP_i)*Q260*Ramure*Pc/MaxiM</f>
        <v>2.4201287916675571E-6</v>
      </c>
      <c r="Q260" s="304">
        <f t="shared" si="78"/>
        <v>0.6</v>
      </c>
      <c r="R260" s="177">
        <f t="shared" si="79"/>
        <v>0.4844987605906369</v>
      </c>
      <c r="S260" s="799">
        <f t="shared" si="80"/>
        <v>-1</v>
      </c>
      <c r="T260" s="176">
        <f t="shared" si="81"/>
        <v>5</v>
      </c>
      <c r="U260" s="250">
        <f t="shared" si="82"/>
        <v>-0.5155012394093631</v>
      </c>
      <c r="V260" s="382">
        <f t="shared" si="83"/>
        <v>50.752245678423996</v>
      </c>
      <c r="W260" s="58"/>
      <c r="X260" s="157">
        <f t="shared" si="84"/>
        <v>44076</v>
      </c>
      <c r="Y260" s="383">
        <f t="shared" si="85"/>
        <v>52.408999999999999</v>
      </c>
      <c r="Z260" s="383">
        <f t="shared" si="86"/>
        <v>52.994811180232453</v>
      </c>
      <c r="AA260" s="384">
        <f t="shared" si="87"/>
        <v>55.63820563787457</v>
      </c>
      <c r="AB260" s="197">
        <f t="shared" si="88"/>
        <v>44076</v>
      </c>
      <c r="AC260" s="424">
        <f>IF(OR(t&lt;Tnet,NoTnet),'2019'!Resal_s+('2019'!Salim-'2019'!Resal_s)*(1-EXP(('2019'!Tnet_s-t)/'2019'!Tau_j)),Resal_s+(Salim-Resal_s)*(1-EXP((Tnet_s-t)/Tau_j)))*Salcycl</f>
        <v>4.7510418916937205E-2</v>
      </c>
      <c r="AD260" s="230">
        <f>(INDEX(Models!$BJ260:$BT260,,AH260)*(1-AF260)+INDEX(Models!$BJ260:$BT260,,AH260+1)*AF260-ERP_i)*AE260*Ramure*Pc/MaxiM</f>
        <v>2.4201287916675571E-6</v>
      </c>
      <c r="AE260" s="304">
        <f t="shared" si="89"/>
        <v>0.6</v>
      </c>
      <c r="AF260" s="177">
        <f t="shared" si="90"/>
        <v>0.4844987605906369</v>
      </c>
      <c r="AG260" s="176">
        <f t="shared" si="91"/>
        <v>-1</v>
      </c>
      <c r="AH260" s="176">
        <f t="shared" si="92"/>
        <v>5</v>
      </c>
      <c r="AI260" s="224">
        <f t="shared" si="93"/>
        <v>-0.5155012394093631</v>
      </c>
      <c r="AJ260" s="264" t="b">
        <f t="shared" si="94"/>
        <v>0</v>
      </c>
      <c r="AK260" s="264" t="b">
        <f t="shared" si="95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96"/>
        <v>44077</v>
      </c>
      <c r="B261" s="607">
        <v>50.238999999999997</v>
      </c>
      <c r="C261" s="388"/>
      <c r="D261" s="391">
        <f t="shared" si="75"/>
        <v>50.801529208176021</v>
      </c>
      <c r="E261" s="383">
        <f t="shared" si="97"/>
        <v>53.338132180686138</v>
      </c>
      <c r="F261" s="383">
        <f t="shared" si="76"/>
        <v>53.338276080048061</v>
      </c>
      <c r="G261" s="110">
        <f t="shared" si="98"/>
        <v>0.99308210303922095</v>
      </c>
      <c r="H261" s="412" t="b">
        <f>Wh_hp&gt;='2019'!Maxi_hp</f>
        <v>0</v>
      </c>
      <c r="I261" s="388">
        <f>IF(H261,Wh_hp,'2019'!Maxi_hp)</f>
        <v>54.520522140500951</v>
      </c>
      <c r="J261" s="85">
        <f>IF(H261,An,'2019'!An_max)</f>
        <v>2018</v>
      </c>
      <c r="K261" s="197">
        <f t="shared" si="77"/>
        <v>44077</v>
      </c>
      <c r="L261" s="147">
        <f>IF(t&lt;Tvie,1-EXP((T0-t)*PertePVj)+'2019'!Pspv,1-EXP((T0-t)*PertePVj)+Pspv)</f>
        <v>1.1073076282229088E-2</v>
      </c>
      <c r="M261" s="832"/>
      <c r="N261" s="832"/>
      <c r="O261" s="48">
        <f>IF(t&lt;Tnet,'2019'!Resal+('2019'!Salim-'2019'!Resal)*(1-EXP(('2019'!Tnet-t)/('2019'!Tau_j))),Resal+(Salim-Resal)*(1-EXP((Tnet-t)/(Tau_j))))*Salcycl</f>
        <v>4.7557026629976872E-2</v>
      </c>
      <c r="P261" s="169">
        <f>(INDEX(Models!$BJ261:$BT261,,T261)*(1-R261)+INDEX(Models!$BJ261:$BT261,,T261+1)*R261-ERP_i)*Q261*Ramure*Pc/MaxiM</f>
        <v>2.724791224826924E-6</v>
      </c>
      <c r="Q261" s="304">
        <f t="shared" si="78"/>
        <v>0.6</v>
      </c>
      <c r="R261" s="177">
        <f t="shared" si="79"/>
        <v>0.48507694631640108</v>
      </c>
      <c r="S261" s="799">
        <f t="shared" si="80"/>
        <v>-1</v>
      </c>
      <c r="T261" s="176">
        <f t="shared" si="81"/>
        <v>5</v>
      </c>
      <c r="U261" s="250">
        <f t="shared" si="82"/>
        <v>-0.51492305368359892</v>
      </c>
      <c r="V261" s="382">
        <f t="shared" si="83"/>
        <v>50.58896791453455</v>
      </c>
      <c r="W261" s="58"/>
      <c r="X261" s="157">
        <f t="shared" si="84"/>
        <v>44077</v>
      </c>
      <c r="Y261" s="383">
        <f t="shared" si="85"/>
        <v>50.238999999999997</v>
      </c>
      <c r="Z261" s="383">
        <f t="shared" si="86"/>
        <v>50.801529208176021</v>
      </c>
      <c r="AA261" s="384">
        <f t="shared" si="87"/>
        <v>53.338132180686138</v>
      </c>
      <c r="AB261" s="197">
        <f t="shared" si="88"/>
        <v>44077</v>
      </c>
      <c r="AC261" s="424">
        <f>IF(OR(t&lt;Tnet,NoTnet),'2019'!Resal_s+('2019'!Salim-'2019'!Resal_s)*(1-EXP(('2019'!Tnet_s-t)/'2019'!Tau_j)),Resal_s+(Salim-Resal_s)*(1-EXP((Tnet_s-t)/Tau_j)))*Salcycl</f>
        <v>4.7557026629976872E-2</v>
      </c>
      <c r="AD261" s="230">
        <f>(INDEX(Models!$BJ261:$BT261,,AH261)*(1-AF261)+INDEX(Models!$BJ261:$BT261,,AH261+1)*AF261-ERP_i)*AE261*Ramure*Pc/MaxiM</f>
        <v>2.724791224826924E-6</v>
      </c>
      <c r="AE261" s="304">
        <f t="shared" si="89"/>
        <v>0.6</v>
      </c>
      <c r="AF261" s="177">
        <f t="shared" si="90"/>
        <v>0.48507694631640108</v>
      </c>
      <c r="AG261" s="176">
        <f t="shared" si="91"/>
        <v>-1</v>
      </c>
      <c r="AH261" s="176">
        <f t="shared" si="92"/>
        <v>5</v>
      </c>
      <c r="AI261" s="224">
        <f t="shared" si="93"/>
        <v>-0.51492305368359892</v>
      </c>
      <c r="AJ261" s="264" t="b">
        <f t="shared" si="94"/>
        <v>0</v>
      </c>
      <c r="AK261" s="264" t="b">
        <f t="shared" si="95"/>
        <v>0</v>
      </c>
      <c r="AL261" s="264"/>
      <c r="AM261" s="264"/>
      <c r="AN261" s="75"/>
    </row>
    <row r="262" spans="1:40" s="6" customFormat="1" ht="11.25" x14ac:dyDescent="0.2">
      <c r="A262" s="56">
        <f t="shared" si="96"/>
        <v>44078</v>
      </c>
      <c r="B262" s="607">
        <v>51.357999999999997</v>
      </c>
      <c r="C262" s="388"/>
      <c r="D262" s="391">
        <f t="shared" si="75"/>
        <v>51.934054025082062</v>
      </c>
      <c r="E262" s="383">
        <f t="shared" si="97"/>
        <v>54.529855946475706</v>
      </c>
      <c r="F262" s="383">
        <f t="shared" si="76"/>
        <v>54.53002186266891</v>
      </c>
      <c r="G262" s="110">
        <f t="shared" si="98"/>
        <v>1.0185228421154429</v>
      </c>
      <c r="H262" s="412" t="b">
        <f>Wh_hp&gt;='2019'!Maxi_hp</f>
        <v>1</v>
      </c>
      <c r="I262" s="388">
        <f>IF(H262,Wh_hp,'2019'!Maxi_hp)</f>
        <v>54.53002186266891</v>
      </c>
      <c r="J262" s="85">
        <f>IF(H262,An,'2019'!An_max)</f>
        <v>2020</v>
      </c>
      <c r="K262" s="197">
        <f t="shared" si="77"/>
        <v>44078</v>
      </c>
      <c r="L262" s="147">
        <f>IF(t&lt;Tvie,1-EXP((T0-t)*PertePVj)+'2019'!Pspv,1-EXP((T0-t)*PertePVj)+Pspv)</f>
        <v>1.1092028841111712E-2</v>
      </c>
      <c r="M262" s="832"/>
      <c r="N262" s="832"/>
      <c r="O262" s="48">
        <f>IF(t&lt;Tnet,'2019'!Resal+('2019'!Salim-'2019'!Resal)*(1-EXP(('2019'!Tnet-t)/('2019'!Tau_j))),Resal+(Salim-Resal)*(1-EXP((Tnet-t)/(Tau_j))))*Salcycl</f>
        <v>4.7603315217659446E-2</v>
      </c>
      <c r="P262" s="169">
        <f>(INDEX(Models!$BJ262:$BT262,,T262)*(1-R262)+INDEX(Models!$BJ262:$BT262,,T262+1)*R262-ERP_i)*Q262*Ramure*Pc/MaxiM</f>
        <v>3.0426577422265037E-6</v>
      </c>
      <c r="Q262" s="304">
        <f t="shared" si="78"/>
        <v>0.6</v>
      </c>
      <c r="R262" s="177">
        <f t="shared" si="79"/>
        <v>0.48563314760917309</v>
      </c>
      <c r="S262" s="799">
        <f t="shared" si="80"/>
        <v>-1</v>
      </c>
      <c r="T262" s="176">
        <f t="shared" si="81"/>
        <v>5</v>
      </c>
      <c r="U262" s="250">
        <f t="shared" si="82"/>
        <v>-0.51436685239082691</v>
      </c>
      <c r="V262" s="382">
        <f t="shared" si="83"/>
        <v>50.424004132622983</v>
      </c>
      <c r="W262" s="58"/>
      <c r="X262" s="157">
        <f t="shared" si="84"/>
        <v>44078</v>
      </c>
      <c r="Y262" s="383">
        <f t="shared" si="85"/>
        <v>51.357999999999997</v>
      </c>
      <c r="Z262" s="383">
        <f t="shared" si="86"/>
        <v>51.934054025082062</v>
      </c>
      <c r="AA262" s="384">
        <f t="shared" si="87"/>
        <v>54.529855946475706</v>
      </c>
      <c r="AB262" s="197">
        <f t="shared" si="88"/>
        <v>44078</v>
      </c>
      <c r="AC262" s="424">
        <f>IF(OR(t&lt;Tnet,NoTnet),'2019'!Resal_s+('2019'!Salim-'2019'!Resal_s)*(1-EXP(('2019'!Tnet_s-t)/'2019'!Tau_j)),Resal_s+(Salim-Resal_s)*(1-EXP((Tnet_s-t)/Tau_j)))*Salcycl</f>
        <v>4.7603315217659446E-2</v>
      </c>
      <c r="AD262" s="230">
        <f>(INDEX(Models!$BJ262:$BT262,,AH262)*(1-AF262)+INDEX(Models!$BJ262:$BT262,,AH262+1)*AF262-ERP_i)*AE262*Ramure*Pc/MaxiM</f>
        <v>3.0426577422265037E-6</v>
      </c>
      <c r="AE262" s="304">
        <f t="shared" si="89"/>
        <v>0.6</v>
      </c>
      <c r="AF262" s="177">
        <f t="shared" si="90"/>
        <v>0.48563314760917309</v>
      </c>
      <c r="AG262" s="176">
        <f t="shared" si="91"/>
        <v>-1</v>
      </c>
      <c r="AH262" s="176">
        <f t="shared" si="92"/>
        <v>5</v>
      </c>
      <c r="AI262" s="224">
        <f t="shared" si="93"/>
        <v>-0.51436685239082691</v>
      </c>
      <c r="AJ262" s="264" t="b">
        <f t="shared" si="94"/>
        <v>0</v>
      </c>
      <c r="AK262" s="264" t="b">
        <f t="shared" si="95"/>
        <v>0</v>
      </c>
      <c r="AL262" s="264"/>
      <c r="AM262" s="264"/>
      <c r="AN262" s="75"/>
    </row>
    <row r="263" spans="1:40" s="6" customFormat="1" ht="11.25" x14ac:dyDescent="0.2">
      <c r="A263" s="56">
        <f t="shared" si="96"/>
        <v>44079</v>
      </c>
      <c r="B263" s="607">
        <v>43.6</v>
      </c>
      <c r="C263" s="388"/>
      <c r="D263" s="391">
        <f t="shared" si="75"/>
        <v>44.089881841049454</v>
      </c>
      <c r="E263" s="383">
        <f t="shared" si="97"/>
        <v>46.295845247617045</v>
      </c>
      <c r="F263" s="383">
        <f t="shared" si="76"/>
        <v>46.295971439426587</v>
      </c>
      <c r="G263" s="110">
        <f t="shared" si="98"/>
        <v>0.86753940026978871</v>
      </c>
      <c r="H263" s="412" t="b">
        <f>Wh_hp&gt;='2019'!Maxi_hp</f>
        <v>0</v>
      </c>
      <c r="I263" s="388">
        <f>IF(H263,Wh_hp,'2019'!Maxi_hp)</f>
        <v>55.510997901314788</v>
      </c>
      <c r="J263" s="85">
        <f>IF(H263,An,'2019'!An_max)</f>
        <v>2018</v>
      </c>
      <c r="K263" s="197">
        <f t="shared" si="77"/>
        <v>44079</v>
      </c>
      <c r="L263" s="147">
        <f>IF(t&lt;Tvie,1-EXP((T0-t)*PertePVj)+'2019'!Pspv,1-EXP((T0-t)*PertePVj)+Pspv)</f>
        <v>1.1110981036772771E-2</v>
      </c>
      <c r="M263" s="832"/>
      <c r="N263" s="832"/>
      <c r="O263" s="48">
        <f>IF(t&lt;Tnet,'2019'!Resal+('2019'!Salim-'2019'!Resal)*(1-EXP(('2019'!Tnet-t)/('2019'!Tau_j))),Resal+(Salim-Resal)*(1-EXP((Tnet-t)/(Tau_j))))*Salcycl</f>
        <v>4.7649273812127572E-2</v>
      </c>
      <c r="P263" s="169">
        <f>(INDEX(Models!$BJ263:$BT263,,T263)*(1-R263)+INDEX(Models!$BJ263:$BT263,,T263+1)*R263-ERP_i)*Q263*Ramure*Pc/MaxiM</f>
        <v>3.3619369728816374E-6</v>
      </c>
      <c r="Q263" s="304">
        <f t="shared" si="78"/>
        <v>0.6</v>
      </c>
      <c r="R263" s="177">
        <f t="shared" si="79"/>
        <v>0.48616815154080473</v>
      </c>
      <c r="S263" s="799">
        <f t="shared" si="80"/>
        <v>-1</v>
      </c>
      <c r="T263" s="176">
        <f t="shared" si="81"/>
        <v>5</v>
      </c>
      <c r="U263" s="250">
        <f t="shared" si="82"/>
        <v>-0.51383184845919527</v>
      </c>
      <c r="V263" s="382">
        <f t="shared" si="83"/>
        <v>50.257051436679482</v>
      </c>
      <c r="W263" s="58"/>
      <c r="X263" s="157">
        <f t="shared" si="84"/>
        <v>44079</v>
      </c>
      <c r="Y263" s="383">
        <f t="shared" si="85"/>
        <v>43.6</v>
      </c>
      <c r="Z263" s="383">
        <f t="shared" si="86"/>
        <v>44.089881841049454</v>
      </c>
      <c r="AA263" s="384">
        <f t="shared" si="87"/>
        <v>46.295845247617045</v>
      </c>
      <c r="AB263" s="197">
        <f t="shared" si="88"/>
        <v>44079</v>
      </c>
      <c r="AC263" s="424">
        <f>IF(OR(t&lt;Tnet,NoTnet),'2019'!Resal_s+('2019'!Salim-'2019'!Resal_s)*(1-EXP(('2019'!Tnet_s-t)/'2019'!Tau_j)),Resal_s+(Salim-Resal_s)*(1-EXP((Tnet_s-t)/Tau_j)))*Salcycl</f>
        <v>4.7649273812127572E-2</v>
      </c>
      <c r="AD263" s="230">
        <f>(INDEX(Models!$BJ263:$BT263,,AH263)*(1-AF263)+INDEX(Models!$BJ263:$BT263,,AH263+1)*AF263-ERP_i)*AE263*Ramure*Pc/MaxiM</f>
        <v>3.3619369728816374E-6</v>
      </c>
      <c r="AE263" s="304">
        <f t="shared" si="89"/>
        <v>0.6</v>
      </c>
      <c r="AF263" s="177">
        <f t="shared" si="90"/>
        <v>0.48616815154080473</v>
      </c>
      <c r="AG263" s="176">
        <f t="shared" si="91"/>
        <v>-1</v>
      </c>
      <c r="AH263" s="176">
        <f t="shared" si="92"/>
        <v>5</v>
      </c>
      <c r="AI263" s="224">
        <f t="shared" si="93"/>
        <v>-0.51383184845919527</v>
      </c>
      <c r="AJ263" s="264" t="b">
        <f t="shared" si="94"/>
        <v>0</v>
      </c>
      <c r="AK263" s="264" t="b">
        <f t="shared" si="95"/>
        <v>0</v>
      </c>
      <c r="AL263" s="264"/>
      <c r="AM263" s="264"/>
      <c r="AN263" s="75"/>
    </row>
    <row r="264" spans="1:40" s="6" customFormat="1" ht="11.25" x14ac:dyDescent="0.2">
      <c r="A264" s="56">
        <f t="shared" si="96"/>
        <v>44080</v>
      </c>
      <c r="B264" s="607">
        <v>25.995999999999999</v>
      </c>
      <c r="C264" s="388"/>
      <c r="D264" s="391">
        <f t="shared" si="75"/>
        <v>26.28859024464936</v>
      </c>
      <c r="E264" s="383">
        <f t="shared" si="97"/>
        <v>27.605218115961705</v>
      </c>
      <c r="F264" s="383">
        <f t="shared" si="76"/>
        <v>27.605249922204646</v>
      </c>
      <c r="G264" s="110">
        <f t="shared" si="98"/>
        <v>0.51900724091062855</v>
      </c>
      <c r="H264" s="412" t="b">
        <f>Wh_hp&gt;='2019'!Maxi_hp</f>
        <v>0</v>
      </c>
      <c r="I264" s="388">
        <f>IF(H264,Wh_hp,'2019'!Maxi_hp)</f>
        <v>52.173352901498127</v>
      </c>
      <c r="J264" s="85">
        <f>IF(H264,An,'2019'!An_max)</f>
        <v>2018</v>
      </c>
      <c r="K264" s="197">
        <f t="shared" si="77"/>
        <v>44080</v>
      </c>
      <c r="L264" s="147">
        <f>IF(t&lt;Tvie,1-EXP((T0-t)*PertePVj)+'2019'!Pspv,1-EXP((T0-t)*PertePVj)+Pspv)</f>
        <v>1.1129932869219372E-2</v>
      </c>
      <c r="M264" s="832"/>
      <c r="N264" s="832"/>
      <c r="O264" s="48">
        <f>IF(t&lt;Tnet,'2019'!Resal+('2019'!Salim-'2019'!Resal)*(1-EXP(('2019'!Tnet-t)/('2019'!Tau_j))),Resal+(Salim-Resal)*(1-EXP((Tnet-t)/(Tau_j))))*Salcycl</f>
        <v>4.7694891081155828E-2</v>
      </c>
      <c r="P264" s="169">
        <f>(INDEX(Models!$BJ264:$BT264,,T264)*(1-R264)+INDEX(Models!$BJ264:$BT264,,T264+1)*R264-ERP_i)*Q264*Ramure*Pc/MaxiM</f>
        <v>3.6826262986618368E-6</v>
      </c>
      <c r="Q264" s="304">
        <f t="shared" si="78"/>
        <v>0.6</v>
      </c>
      <c r="R264" s="177">
        <f t="shared" si="79"/>
        <v>0.48668272077384223</v>
      </c>
      <c r="S264" s="799">
        <f t="shared" si="80"/>
        <v>-1</v>
      </c>
      <c r="T264" s="176">
        <f t="shared" si="81"/>
        <v>5</v>
      </c>
      <c r="U264" s="250">
        <f t="shared" si="82"/>
        <v>-0.51331727922615777</v>
      </c>
      <c r="V264" s="382">
        <f t="shared" si="83"/>
        <v>50.087806429936137</v>
      </c>
      <c r="W264" s="58"/>
      <c r="X264" s="157">
        <f t="shared" si="84"/>
        <v>44080</v>
      </c>
      <c r="Y264" s="383">
        <f t="shared" si="85"/>
        <v>25.995999999999999</v>
      </c>
      <c r="Z264" s="383">
        <f t="shared" si="86"/>
        <v>26.28859024464936</v>
      </c>
      <c r="AA264" s="384">
        <f t="shared" si="87"/>
        <v>27.605218115961705</v>
      </c>
      <c r="AB264" s="197">
        <f t="shared" si="88"/>
        <v>44080</v>
      </c>
      <c r="AC264" s="424">
        <f>IF(OR(t&lt;Tnet,NoTnet),'2019'!Resal_s+('2019'!Salim-'2019'!Resal_s)*(1-EXP(('2019'!Tnet_s-t)/'2019'!Tau_j)),Resal_s+(Salim-Resal_s)*(1-EXP((Tnet_s-t)/Tau_j)))*Salcycl</f>
        <v>4.7694891081155828E-2</v>
      </c>
      <c r="AD264" s="230">
        <f>(INDEX(Models!$BJ264:$BT264,,AH264)*(1-AF264)+INDEX(Models!$BJ264:$BT264,,AH264+1)*AF264-ERP_i)*AE264*Ramure*Pc/MaxiM</f>
        <v>3.6826262986618368E-6</v>
      </c>
      <c r="AE264" s="304">
        <f t="shared" si="89"/>
        <v>0.6</v>
      </c>
      <c r="AF264" s="177">
        <f t="shared" si="90"/>
        <v>0.48668272077384223</v>
      </c>
      <c r="AG264" s="176">
        <f t="shared" si="91"/>
        <v>-1</v>
      </c>
      <c r="AH264" s="176">
        <f t="shared" si="92"/>
        <v>5</v>
      </c>
      <c r="AI264" s="224">
        <f t="shared" si="93"/>
        <v>-0.51331727922615777</v>
      </c>
      <c r="AJ264" s="264" t="b">
        <f t="shared" si="94"/>
        <v>0</v>
      </c>
      <c r="AK264" s="264" t="b">
        <f t="shared" si="95"/>
        <v>0</v>
      </c>
      <c r="AL264" s="264"/>
      <c r="AM264" s="264"/>
      <c r="AN264" s="75"/>
    </row>
    <row r="265" spans="1:40" s="6" customFormat="1" ht="11.25" x14ac:dyDescent="0.2">
      <c r="A265" s="56">
        <f t="shared" si="96"/>
        <v>44081</v>
      </c>
      <c r="B265" s="607">
        <v>48.215000000000003</v>
      </c>
      <c r="C265" s="388"/>
      <c r="D265" s="391">
        <f t="shared" si="75"/>
        <v>48.758604036912232</v>
      </c>
      <c r="E265" s="383">
        <f t="shared" si="97"/>
        <v>51.203045370029535</v>
      </c>
      <c r="F265" s="383">
        <f t="shared" si="76"/>
        <v>51.203240442877672</v>
      </c>
      <c r="G265" s="110">
        <f t="shared" si="98"/>
        <v>0.96592322354140125</v>
      </c>
      <c r="H265" s="412" t="b">
        <f>Wh_hp&gt;='2019'!Maxi_hp</f>
        <v>1</v>
      </c>
      <c r="I265" s="388">
        <f>IF(H265,Wh_hp,'2019'!Maxi_hp)</f>
        <v>51.203240442877672</v>
      </c>
      <c r="J265" s="85">
        <f>IF(H265,An,'2019'!An_max)</f>
        <v>2020</v>
      </c>
      <c r="K265" s="197">
        <f t="shared" si="77"/>
        <v>44081</v>
      </c>
      <c r="L265" s="147">
        <f>IF(t&lt;Tvie,1-EXP((T0-t)*PertePVj)+'2019'!Pspv,1-EXP((T0-t)*PertePVj)+Pspv)</f>
        <v>1.1148884338458398E-2</v>
      </c>
      <c r="M265" s="832"/>
      <c r="N265" s="832"/>
      <c r="O265" s="48">
        <f>IF(t&lt;Tnet,'2019'!Resal+('2019'!Salim-'2019'!Resal)*(1-EXP(('2019'!Tnet-t)/('2019'!Tau_j))),Resal+(Salim-Resal)*(1-EXP((Tnet-t)/(Tau_j))))*Salcycl</f>
        <v>4.7740155208582533E-2</v>
      </c>
      <c r="P265" s="169">
        <f>(INDEX(Models!$BJ265:$BT265,,T265)*(1-R265)+INDEX(Models!$BJ265:$BT265,,T265+1)*R265-ERP_i)*Q265*Ramure*Pc/MaxiM</f>
        <v>4.0047290183410231E-6</v>
      </c>
      <c r="Q265" s="304">
        <f t="shared" si="78"/>
        <v>0.6</v>
      </c>
      <c r="R265" s="177">
        <f t="shared" si="79"/>
        <v>0.48717759402068816</v>
      </c>
      <c r="S265" s="799">
        <f t="shared" si="80"/>
        <v>-1</v>
      </c>
      <c r="T265" s="176">
        <f t="shared" si="81"/>
        <v>5</v>
      </c>
      <c r="U265" s="250">
        <f t="shared" si="82"/>
        <v>-0.51282240597931184</v>
      </c>
      <c r="V265" s="382">
        <f t="shared" si="83"/>
        <v>49.91596580886128</v>
      </c>
      <c r="W265" s="58"/>
      <c r="X265" s="157">
        <f t="shared" si="84"/>
        <v>44081</v>
      </c>
      <c r="Y265" s="383">
        <f t="shared" si="85"/>
        <v>48.215000000000003</v>
      </c>
      <c r="Z265" s="383">
        <f t="shared" si="86"/>
        <v>48.758604036912232</v>
      </c>
      <c r="AA265" s="384">
        <f t="shared" si="87"/>
        <v>51.203045370029535</v>
      </c>
      <c r="AB265" s="197">
        <f t="shared" si="88"/>
        <v>44081</v>
      </c>
      <c r="AC265" s="424">
        <f>IF(OR(t&lt;Tnet,NoTnet),'2019'!Resal_s+('2019'!Salim-'2019'!Resal_s)*(1-EXP(('2019'!Tnet_s-t)/'2019'!Tau_j)),Resal_s+(Salim-Resal_s)*(1-EXP((Tnet_s-t)/Tau_j)))*Salcycl</f>
        <v>4.7740155208582533E-2</v>
      </c>
      <c r="AD265" s="230">
        <f>(INDEX(Models!$BJ265:$BT265,,AH265)*(1-AF265)+INDEX(Models!$BJ265:$BT265,,AH265+1)*AF265-ERP_i)*AE265*Ramure*Pc/MaxiM</f>
        <v>4.0047290183410231E-6</v>
      </c>
      <c r="AE265" s="304">
        <f t="shared" si="89"/>
        <v>0.6</v>
      </c>
      <c r="AF265" s="177">
        <f t="shared" si="90"/>
        <v>0.48717759402068816</v>
      </c>
      <c r="AG265" s="176">
        <f t="shared" si="91"/>
        <v>-1</v>
      </c>
      <c r="AH265" s="176">
        <f t="shared" si="92"/>
        <v>5</v>
      </c>
      <c r="AI265" s="224">
        <f t="shared" si="93"/>
        <v>-0.51282240597931184</v>
      </c>
      <c r="AJ265" s="264" t="b">
        <f t="shared" si="94"/>
        <v>0</v>
      </c>
      <c r="AK265" s="264" t="b">
        <f t="shared" si="95"/>
        <v>0</v>
      </c>
      <c r="AL265" s="264"/>
      <c r="AM265" s="264"/>
      <c r="AN265" s="75"/>
    </row>
    <row r="266" spans="1:40" s="6" customFormat="1" ht="11.25" x14ac:dyDescent="0.2">
      <c r="A266" s="56">
        <f t="shared" si="96"/>
        <v>44082</v>
      </c>
      <c r="B266" s="607">
        <v>48.235999999999997</v>
      </c>
      <c r="C266" s="388"/>
      <c r="D266" s="391">
        <f t="shared" si="75"/>
        <v>48.780775675600012</v>
      </c>
      <c r="E266" s="383">
        <f t="shared" si="97"/>
        <v>51.228743966114905</v>
      </c>
      <c r="F266" s="383">
        <f t="shared" si="76"/>
        <v>51.228956112547721</v>
      </c>
      <c r="G266" s="110">
        <f t="shared" si="98"/>
        <v>0.96973867554542381</v>
      </c>
      <c r="H266" s="412" t="b">
        <f>Wh_hp&gt;='2019'!Maxi_hp</f>
        <v>1</v>
      </c>
      <c r="I266" s="388">
        <f>IF(H266,Wh_hp,'2019'!Maxi_hp)</f>
        <v>51.228956112547721</v>
      </c>
      <c r="J266" s="85">
        <f>IF(H266,An,'2019'!An_max)</f>
        <v>2020</v>
      </c>
      <c r="K266" s="197">
        <f t="shared" si="77"/>
        <v>44082</v>
      </c>
      <c r="L266" s="147">
        <f>IF(t&lt;Tvie,1-EXP((T0-t)*PertePVj)+'2019'!Pspv,1-EXP((T0-t)*PertePVj)+Pspv)</f>
        <v>1.1167835444496843E-2</v>
      </c>
      <c r="M266" s="832"/>
      <c r="N266" s="832"/>
      <c r="O266" s="48">
        <f>IF(t&lt;Tnet,'2019'!Resal+('2019'!Salim-'2019'!Resal)*(1-EXP(('2019'!Tnet-t)/('2019'!Tau_j))),Resal+(Salim-Resal)*(1-EXP((Tnet-t)/(Tau_j))))*Salcycl</f>
        <v>4.7785053877840482E-2</v>
      </c>
      <c r="P266" s="169">
        <f>(INDEX(Models!$BJ266:$BT266,,T266)*(1-R266)+INDEX(Models!$BJ266:$BT266,,T266+1)*R266-ERP_i)*Q266*Ramure*Pc/MaxiM</f>
        <v>4.3282543144940682E-6</v>
      </c>
      <c r="Q266" s="304">
        <f t="shared" si="78"/>
        <v>0.6</v>
      </c>
      <c r="R266" s="177">
        <f t="shared" si="79"/>
        <v>0.48765348652004326</v>
      </c>
      <c r="S266" s="799">
        <f t="shared" si="80"/>
        <v>-1</v>
      </c>
      <c r="T266" s="176">
        <f t="shared" si="81"/>
        <v>5</v>
      </c>
      <c r="U266" s="250">
        <f t="shared" si="82"/>
        <v>-0.51234651347995674</v>
      </c>
      <c r="V266" s="382">
        <f t="shared" si="83"/>
        <v>49.741226364237789</v>
      </c>
      <c r="W266" s="58"/>
      <c r="X266" s="157">
        <f t="shared" si="84"/>
        <v>44082</v>
      </c>
      <c r="Y266" s="383">
        <f t="shared" si="85"/>
        <v>48.235999999999997</v>
      </c>
      <c r="Z266" s="383">
        <f t="shared" si="86"/>
        <v>48.780775675600012</v>
      </c>
      <c r="AA266" s="384">
        <f t="shared" si="87"/>
        <v>51.228743966114905</v>
      </c>
      <c r="AB266" s="197">
        <f t="shared" si="88"/>
        <v>44082</v>
      </c>
      <c r="AC266" s="424">
        <f>IF(OR(t&lt;Tnet,NoTnet),'2019'!Resal_s+('2019'!Salim-'2019'!Resal_s)*(1-EXP(('2019'!Tnet_s-t)/'2019'!Tau_j)),Resal_s+(Salim-Resal_s)*(1-EXP((Tnet_s-t)/Tau_j)))*Salcycl</f>
        <v>4.7785053877840482E-2</v>
      </c>
      <c r="AD266" s="230">
        <f>(INDEX(Models!$BJ266:$BT266,,AH266)*(1-AF266)+INDEX(Models!$BJ266:$BT266,,AH266+1)*AF266-ERP_i)*AE266*Ramure*Pc/MaxiM</f>
        <v>4.3282543144940682E-6</v>
      </c>
      <c r="AE266" s="304">
        <f t="shared" si="89"/>
        <v>0.6</v>
      </c>
      <c r="AF266" s="177">
        <f t="shared" si="90"/>
        <v>0.48765348652004326</v>
      </c>
      <c r="AG266" s="176">
        <f t="shared" si="91"/>
        <v>-1</v>
      </c>
      <c r="AH266" s="176">
        <f t="shared" si="92"/>
        <v>5</v>
      </c>
      <c r="AI266" s="224">
        <f t="shared" si="93"/>
        <v>-0.51234651347995674</v>
      </c>
      <c r="AJ266" s="264" t="b">
        <f t="shared" si="94"/>
        <v>0</v>
      </c>
      <c r="AK266" s="264" t="b">
        <f t="shared" si="95"/>
        <v>0</v>
      </c>
      <c r="AL266" s="264"/>
      <c r="AM266" s="264"/>
      <c r="AN266" s="75"/>
    </row>
    <row r="267" spans="1:40" s="6" customFormat="1" ht="11.25" x14ac:dyDescent="0.2">
      <c r="A267" s="56">
        <f t="shared" si="96"/>
        <v>44083</v>
      </c>
      <c r="B267" s="607">
        <v>22.198</v>
      </c>
      <c r="C267" s="388"/>
      <c r="D267" s="391">
        <f t="shared" si="75"/>
        <v>22.449133658326758</v>
      </c>
      <c r="E267" s="383">
        <f t="shared" si="97"/>
        <v>23.576802063416991</v>
      </c>
      <c r="F267" s="383">
        <f t="shared" si="76"/>
        <v>23.576825238756737</v>
      </c>
      <c r="G267" s="110">
        <f t="shared" si="98"/>
        <v>0.4478702034697003</v>
      </c>
      <c r="H267" s="412" t="b">
        <f>Wh_hp&gt;='2019'!Maxi_hp</f>
        <v>1</v>
      </c>
      <c r="I267" s="388">
        <f>IF(H267,Wh_hp,'2019'!Maxi_hp)</f>
        <v>23.576825238756737</v>
      </c>
      <c r="J267" s="85">
        <f>IF(H267,An,'2019'!An_max)</f>
        <v>2020</v>
      </c>
      <c r="K267" s="197">
        <f t="shared" si="77"/>
        <v>44083</v>
      </c>
      <c r="L267" s="147">
        <f>IF(t&lt;Tvie,1-EXP((T0-t)*PertePVj)+'2019'!Pspv,1-EXP((T0-t)*PertePVj)+Pspv)</f>
        <v>1.1186786187341702E-2</v>
      </c>
      <c r="M267" s="832"/>
      <c r="N267" s="832"/>
      <c r="O267" s="48">
        <f>IF(t&lt;Tnet,'2019'!Resal+('2019'!Salim-'2019'!Resal)*(1-EXP(('2019'!Tnet-t)/('2019'!Tau_j))),Resal+(Salim-Resal)*(1-EXP((Tnet-t)/(Tau_j))))*Salcycl</f>
        <v>4.7829574259351366E-2</v>
      </c>
      <c r="P267" s="169">
        <f>(INDEX(Models!$BJ267:$BT267,,T267)*(1-R267)+INDEX(Models!$BJ267:$BT267,,T267+1)*R267-ERP_i)*Q267*Ramure*Pc/MaxiM</f>
        <v>4.6532172236982441E-6</v>
      </c>
      <c r="Q267" s="304">
        <f t="shared" si="78"/>
        <v>0.6</v>
      </c>
      <c r="R267" s="177">
        <f t="shared" si="79"/>
        <v>0.48811109052770818</v>
      </c>
      <c r="S267" s="799">
        <f t="shared" si="80"/>
        <v>-1</v>
      </c>
      <c r="T267" s="176">
        <f t="shared" si="81"/>
        <v>5</v>
      </c>
      <c r="U267" s="250">
        <f t="shared" si="82"/>
        <v>-0.51188890947229182</v>
      </c>
      <c r="V267" s="382">
        <f t="shared" si="83"/>
        <v>49.563284978166699</v>
      </c>
      <c r="W267" s="58"/>
      <c r="X267" s="157">
        <f t="shared" si="84"/>
        <v>44083</v>
      </c>
      <c r="Y267" s="383">
        <f t="shared" si="85"/>
        <v>22.198</v>
      </c>
      <c r="Z267" s="383">
        <f t="shared" si="86"/>
        <v>22.449133658326758</v>
      </c>
      <c r="AA267" s="384">
        <f t="shared" si="87"/>
        <v>23.576802063416991</v>
      </c>
      <c r="AB267" s="197">
        <f t="shared" si="88"/>
        <v>44083</v>
      </c>
      <c r="AC267" s="424">
        <f>IF(OR(t&lt;Tnet,NoTnet),'2019'!Resal_s+('2019'!Salim-'2019'!Resal_s)*(1-EXP(('2019'!Tnet_s-t)/'2019'!Tau_j)),Resal_s+(Salim-Resal_s)*(1-EXP((Tnet_s-t)/Tau_j)))*Salcycl</f>
        <v>4.7829574259351366E-2</v>
      </c>
      <c r="AD267" s="230">
        <f>(INDEX(Models!$BJ267:$BT267,,AH267)*(1-AF267)+INDEX(Models!$BJ267:$BT267,,AH267+1)*AF267-ERP_i)*AE267*Ramure*Pc/MaxiM</f>
        <v>4.6532172236982441E-6</v>
      </c>
      <c r="AE267" s="304">
        <f t="shared" si="89"/>
        <v>0.6</v>
      </c>
      <c r="AF267" s="177">
        <f t="shared" si="90"/>
        <v>0.48811109052770818</v>
      </c>
      <c r="AG267" s="176">
        <f t="shared" si="91"/>
        <v>-1</v>
      </c>
      <c r="AH267" s="176">
        <f t="shared" si="92"/>
        <v>5</v>
      </c>
      <c r="AI267" s="224">
        <f t="shared" si="93"/>
        <v>-0.51188890947229182</v>
      </c>
      <c r="AJ267" s="264" t="b">
        <f t="shared" si="94"/>
        <v>0</v>
      </c>
      <c r="AK267" s="264" t="b">
        <f t="shared" si="95"/>
        <v>0</v>
      </c>
      <c r="AL267" s="264"/>
      <c r="AM267" s="264"/>
      <c r="AN267" s="75"/>
    </row>
    <row r="268" spans="1:40" s="6" customFormat="1" ht="11.25" x14ac:dyDescent="0.2">
      <c r="A268" s="56">
        <f t="shared" si="96"/>
        <v>44084</v>
      </c>
      <c r="B268" s="607">
        <v>43.393000000000001</v>
      </c>
      <c r="C268" s="388"/>
      <c r="D268" s="391">
        <f t="shared" si="75"/>
        <v>43.884761071877186</v>
      </c>
      <c r="E268" s="383">
        <f t="shared" si="97"/>
        <v>46.091323399288086</v>
      </c>
      <c r="F268" s="383">
        <f t="shared" si="76"/>
        <v>46.091513574370204</v>
      </c>
      <c r="G268" s="110">
        <f t="shared" si="98"/>
        <v>0.87872311296566907</v>
      </c>
      <c r="H268" s="412" t="b">
        <f>Wh_hp&gt;='2019'!Maxi_hp</f>
        <v>1</v>
      </c>
      <c r="I268" s="388">
        <f>IF(H268,Wh_hp,'2019'!Maxi_hp)</f>
        <v>46.091513574370204</v>
      </c>
      <c r="J268" s="85">
        <f>IF(H268,An,'2019'!An_max)</f>
        <v>2020</v>
      </c>
      <c r="K268" s="197">
        <f t="shared" si="77"/>
        <v>44084</v>
      </c>
      <c r="L268" s="147">
        <f>IF(t&lt;Tvie,1-EXP((T0-t)*PertePVj)+'2019'!Pspv,1-EXP((T0-t)*PertePVj)+Pspv)</f>
        <v>1.1205736566999858E-2</v>
      </c>
      <c r="M268" s="832"/>
      <c r="N268" s="832"/>
      <c r="O268" s="48">
        <f>IF(t&lt;Tnet,'2019'!Resal+('2019'!Salim-'2019'!Resal)*(1-EXP(('2019'!Tnet-t)/('2019'!Tau_j))),Resal+(Salim-Resal)*(1-EXP((Tnet-t)/(Tau_j))))*Salcycl</f>
        <v>4.7873703002526163E-2</v>
      </c>
      <c r="P268" s="169">
        <f>(INDEX(Models!$BJ268:$BT268,,T268)*(1-R268)+INDEX(Models!$BJ268:$BT268,,T268+1)*R268-ERP_i)*Q268*Ramure*Pc/MaxiM</f>
        <v>4.9906749537893919E-6</v>
      </c>
      <c r="Q268" s="304">
        <f t="shared" si="78"/>
        <v>0.6</v>
      </c>
      <c r="R268" s="177">
        <f t="shared" si="79"/>
        <v>0.48855107581904489</v>
      </c>
      <c r="S268" s="799">
        <f t="shared" si="80"/>
        <v>-1</v>
      </c>
      <c r="T268" s="176">
        <f t="shared" si="81"/>
        <v>5</v>
      </c>
      <c r="U268" s="250">
        <f t="shared" si="82"/>
        <v>-0.51144892418095511</v>
      </c>
      <c r="V268" s="382">
        <f t="shared" si="83"/>
        <v>49.38183807862319</v>
      </c>
      <c r="W268" s="58"/>
      <c r="X268" s="157">
        <f t="shared" si="84"/>
        <v>44084</v>
      </c>
      <c r="Y268" s="383">
        <f t="shared" si="85"/>
        <v>43.393000000000001</v>
      </c>
      <c r="Z268" s="383">
        <f t="shared" si="86"/>
        <v>43.884761071877186</v>
      </c>
      <c r="AA268" s="384">
        <f t="shared" si="87"/>
        <v>46.091323399288086</v>
      </c>
      <c r="AB268" s="197">
        <f t="shared" si="88"/>
        <v>44084</v>
      </c>
      <c r="AC268" s="424">
        <f>IF(OR(t&lt;Tnet,NoTnet),'2019'!Resal_s+('2019'!Salim-'2019'!Resal_s)*(1-EXP(('2019'!Tnet_s-t)/'2019'!Tau_j)),Resal_s+(Salim-Resal_s)*(1-EXP((Tnet_s-t)/Tau_j)))*Salcycl</f>
        <v>4.7873703002526163E-2</v>
      </c>
      <c r="AD268" s="230">
        <f>(INDEX(Models!$BJ268:$BT268,,AH268)*(1-AF268)+INDEX(Models!$BJ268:$BT268,,AH268+1)*AF268-ERP_i)*AE268*Ramure*Pc/MaxiM</f>
        <v>4.9906749537893919E-6</v>
      </c>
      <c r="AE268" s="304">
        <f t="shared" si="89"/>
        <v>0.6</v>
      </c>
      <c r="AF268" s="177">
        <f t="shared" si="90"/>
        <v>0.48855107581904489</v>
      </c>
      <c r="AG268" s="176">
        <f t="shared" si="91"/>
        <v>-1</v>
      </c>
      <c r="AH268" s="176">
        <f t="shared" si="92"/>
        <v>5</v>
      </c>
      <c r="AI268" s="224">
        <f t="shared" si="93"/>
        <v>-0.51144892418095511</v>
      </c>
      <c r="AJ268" s="264" t="b">
        <f t="shared" si="94"/>
        <v>0</v>
      </c>
      <c r="AK268" s="264" t="b">
        <f t="shared" si="95"/>
        <v>0</v>
      </c>
      <c r="AL268" s="264"/>
      <c r="AM268" s="264"/>
      <c r="AN268" s="75"/>
    </row>
    <row r="269" spans="1:40" s="6" customFormat="1" ht="11.25" x14ac:dyDescent="0.2">
      <c r="A269" s="56">
        <f t="shared" si="96"/>
        <v>44085</v>
      </c>
      <c r="B269" s="607">
        <v>43.828000000000003</v>
      </c>
      <c r="C269" s="388"/>
      <c r="D269" s="391">
        <f t="shared" si="75"/>
        <v>44.325540297482583</v>
      </c>
      <c r="E269" s="383">
        <f t="shared" si="97"/>
        <v>46.5564033192083</v>
      </c>
      <c r="F269" s="383">
        <f t="shared" si="76"/>
        <v>46.556612961363186</v>
      </c>
      <c r="G269" s="110">
        <f t="shared" si="98"/>
        <v>0.89087413900517842</v>
      </c>
      <c r="H269" s="412" t="b">
        <f>Wh_hp&gt;='2019'!Maxi_hp</f>
        <v>0</v>
      </c>
      <c r="I269" s="388">
        <f>IF(H269,Wh_hp,'2019'!Maxi_hp)</f>
        <v>51.806611892360216</v>
      </c>
      <c r="J269" s="85">
        <f>IF(H269,An,'2019'!An_max)</f>
        <v>2018</v>
      </c>
      <c r="K269" s="197">
        <f t="shared" si="77"/>
        <v>44085</v>
      </c>
      <c r="L269" s="147">
        <f>IF(t&lt;Tvie,1-EXP((T0-t)*PertePVj)+'2019'!Pspv,1-EXP((T0-t)*PertePVj)+Pspv)</f>
        <v>1.1224686583478305E-2</v>
      </c>
      <c r="M269" s="832"/>
      <c r="N269" s="832"/>
      <c r="O269" s="48">
        <f>IF(t&lt;Tnet,'2019'!Resal+('2019'!Salim-'2019'!Resal)*(1-EXP(('2019'!Tnet-t)/('2019'!Tau_j))),Resal+(Salim-Resal)*(1-EXP((Tnet-t)/(Tau_j))))*Salcycl</f>
        <v>4.7917426233080658E-2</v>
      </c>
      <c r="P269" s="169">
        <f>(INDEX(Models!$BJ269:$BT269,,T269)*(1-R269)+INDEX(Models!$BJ269:$BT269,,T269+1)*R269-ERP_i)*Q269*Ramure*Pc/MaxiM</f>
        <v>5.3345740824174563E-6</v>
      </c>
      <c r="Q269" s="304">
        <f t="shared" si="78"/>
        <v>0.6</v>
      </c>
      <c r="R269" s="177">
        <f t="shared" si="79"/>
        <v>0.48897409020063187</v>
      </c>
      <c r="S269" s="799">
        <f t="shared" si="80"/>
        <v>-1</v>
      </c>
      <c r="T269" s="176">
        <f t="shared" si="81"/>
        <v>5</v>
      </c>
      <c r="U269" s="250">
        <f t="shared" si="82"/>
        <v>-0.51102590979936813</v>
      </c>
      <c r="V269" s="382">
        <f t="shared" si="83"/>
        <v>49.196583032939721</v>
      </c>
      <c r="W269" s="58"/>
      <c r="X269" s="157">
        <f t="shared" si="84"/>
        <v>44085</v>
      </c>
      <c r="Y269" s="383">
        <f t="shared" si="85"/>
        <v>43.828000000000003</v>
      </c>
      <c r="Z269" s="383">
        <f t="shared" si="86"/>
        <v>44.325540297482583</v>
      </c>
      <c r="AA269" s="384">
        <f t="shared" si="87"/>
        <v>46.5564033192083</v>
      </c>
      <c r="AB269" s="197">
        <f t="shared" si="88"/>
        <v>44085</v>
      </c>
      <c r="AC269" s="424">
        <f>IF(OR(t&lt;Tnet,NoTnet),'2019'!Resal_s+('2019'!Salim-'2019'!Resal_s)*(1-EXP(('2019'!Tnet_s-t)/'2019'!Tau_j)),Resal_s+(Salim-Resal_s)*(1-EXP((Tnet_s-t)/Tau_j)))*Salcycl</f>
        <v>4.7917426233080658E-2</v>
      </c>
      <c r="AD269" s="230">
        <f>(INDEX(Models!$BJ269:$BT269,,AH269)*(1-AF269)+INDEX(Models!$BJ269:$BT269,,AH269+1)*AF269-ERP_i)*AE269*Ramure*Pc/MaxiM</f>
        <v>5.3345740824174563E-6</v>
      </c>
      <c r="AE269" s="304">
        <f t="shared" si="89"/>
        <v>0.6</v>
      </c>
      <c r="AF269" s="177">
        <f t="shared" si="90"/>
        <v>0.48897409020063187</v>
      </c>
      <c r="AG269" s="176">
        <f t="shared" si="91"/>
        <v>-1</v>
      </c>
      <c r="AH269" s="176">
        <f t="shared" si="92"/>
        <v>5</v>
      </c>
      <c r="AI269" s="224">
        <f t="shared" si="93"/>
        <v>-0.51102590979936813</v>
      </c>
      <c r="AJ269" s="264" t="b">
        <f t="shared" si="94"/>
        <v>0</v>
      </c>
      <c r="AK269" s="264" t="b">
        <f t="shared" si="95"/>
        <v>0</v>
      </c>
      <c r="AL269" s="264"/>
      <c r="AM269" s="264"/>
      <c r="AN269" s="75"/>
    </row>
    <row r="270" spans="1:40" s="6" customFormat="1" ht="11.25" x14ac:dyDescent="0.2">
      <c r="A270" s="56">
        <f t="shared" si="96"/>
        <v>44086</v>
      </c>
      <c r="B270" s="607">
        <v>46.573999999999998</v>
      </c>
      <c r="C270" s="388"/>
      <c r="D270" s="391">
        <f t="shared" si="75"/>
        <v>47.103615922873985</v>
      </c>
      <c r="E270" s="383">
        <f t="shared" si="97"/>
        <v>49.476547223648552</v>
      </c>
      <c r="F270" s="383">
        <f t="shared" si="76"/>
        <v>49.476808548086147</v>
      </c>
      <c r="G270" s="110">
        <f t="shared" si="98"/>
        <v>0.95034943998726096</v>
      </c>
      <c r="H270" s="412" t="b">
        <f>Wh_hp&gt;='2019'!Maxi_hp</f>
        <v>1</v>
      </c>
      <c r="I270" s="388">
        <f>IF(H270,Wh_hp,'2019'!Maxi_hp)</f>
        <v>49.476808548086147</v>
      </c>
      <c r="J270" s="85">
        <f>IF(H270,An,'2019'!An_max)</f>
        <v>2020</v>
      </c>
      <c r="K270" s="197">
        <f t="shared" si="77"/>
        <v>44086</v>
      </c>
      <c r="L270" s="147">
        <f>IF(t&lt;Tvie,1-EXP((T0-t)*PertePVj)+'2019'!Pspv,1-EXP((T0-t)*PertePVj)+Pspv)</f>
        <v>1.1243636236784038E-2</v>
      </c>
      <c r="M270" s="832"/>
      <c r="N270" s="832"/>
      <c r="O270" s="48">
        <f>IF(t&lt;Tnet,'2019'!Resal+('2019'!Salim-'2019'!Resal)*(1-EXP(('2019'!Tnet-t)/('2019'!Tau_j))),Resal+(Salim-Resal)*(1-EXP((Tnet-t)/(Tau_j))))*Salcycl</f>
        <v>4.7960729556333417E-2</v>
      </c>
      <c r="P270" s="169">
        <f>(INDEX(Models!$BJ270:$BT270,,T270)*(1-R270)+INDEX(Models!$BJ270:$BT270,,T270+1)*R270-ERP_i)*Q270*Ramure*Pc/MaxiM</f>
        <v>5.6849854798334526E-6</v>
      </c>
      <c r="Q270" s="304">
        <f t="shared" si="78"/>
        <v>0.6</v>
      </c>
      <c r="R270" s="177">
        <f t="shared" si="79"/>
        <v>0.48938076002884201</v>
      </c>
      <c r="S270" s="799">
        <f t="shared" si="80"/>
        <v>-1</v>
      </c>
      <c r="T270" s="176">
        <f t="shared" si="81"/>
        <v>5</v>
      </c>
      <c r="U270" s="250">
        <f t="shared" si="82"/>
        <v>-0.51061923997115799</v>
      </c>
      <c r="V270" s="382">
        <f t="shared" si="83"/>
        <v>49.007216988018719</v>
      </c>
      <c r="W270" s="58"/>
      <c r="X270" s="157">
        <f t="shared" si="84"/>
        <v>44086</v>
      </c>
      <c r="Y270" s="383">
        <f t="shared" si="85"/>
        <v>46.573999999999998</v>
      </c>
      <c r="Z270" s="383">
        <f t="shared" si="86"/>
        <v>47.103615922873985</v>
      </c>
      <c r="AA270" s="384">
        <f t="shared" si="87"/>
        <v>49.476547223648552</v>
      </c>
      <c r="AB270" s="197">
        <f t="shared" si="88"/>
        <v>44086</v>
      </c>
      <c r="AC270" s="424">
        <f>IF(OR(t&lt;Tnet,NoTnet),'2019'!Resal_s+('2019'!Salim-'2019'!Resal_s)*(1-EXP(('2019'!Tnet_s-t)/'2019'!Tau_j)),Resal_s+(Salim-Resal_s)*(1-EXP((Tnet_s-t)/Tau_j)))*Salcycl</f>
        <v>4.7960729556333417E-2</v>
      </c>
      <c r="AD270" s="230">
        <f>(INDEX(Models!$BJ270:$BT270,,AH270)*(1-AF270)+INDEX(Models!$BJ270:$BT270,,AH270+1)*AF270-ERP_i)*AE270*Ramure*Pc/MaxiM</f>
        <v>5.6849854798334526E-6</v>
      </c>
      <c r="AE270" s="304">
        <f t="shared" si="89"/>
        <v>0.6</v>
      </c>
      <c r="AF270" s="177">
        <f t="shared" si="90"/>
        <v>0.48938076002884201</v>
      </c>
      <c r="AG270" s="176">
        <f t="shared" si="91"/>
        <v>-1</v>
      </c>
      <c r="AH270" s="176">
        <f t="shared" si="92"/>
        <v>5</v>
      </c>
      <c r="AI270" s="224">
        <f t="shared" si="93"/>
        <v>-0.51061923997115799</v>
      </c>
      <c r="AJ270" s="264" t="b">
        <f t="shared" si="94"/>
        <v>0</v>
      </c>
      <c r="AK270" s="264" t="b">
        <f t="shared" si="95"/>
        <v>0</v>
      </c>
      <c r="AL270" s="264"/>
      <c r="AM270" s="264"/>
      <c r="AN270" s="75"/>
    </row>
    <row r="271" spans="1:40" s="6" customFormat="1" ht="11.25" x14ac:dyDescent="0.2">
      <c r="A271" s="56">
        <f t="shared" si="96"/>
        <v>44087</v>
      </c>
      <c r="B271" s="607">
        <v>46.518999999999998</v>
      </c>
      <c r="C271" s="388"/>
      <c r="D271" s="391">
        <f t="shared" ref="D271:D334" si="99">Wh/(1-Ppv)</f>
        <v>47.048892172034563</v>
      </c>
      <c r="E271" s="383">
        <f t="shared" si="97"/>
        <v>49.421292009621304</v>
      </c>
      <c r="F271" s="383">
        <f t="shared" ref="F271:F334" si="100">Wh_sa/(1-Pvg*MEDIAN((-Sdif+Wh/Env_an)/Csdif,0,1))</f>
        <v>49.421570563132221</v>
      </c>
      <c r="G271" s="110">
        <f t="shared" si="98"/>
        <v>0.95299540080039047</v>
      </c>
      <c r="H271" s="412" t="b">
        <f>Wh_hp&gt;='2019'!Maxi_hp</f>
        <v>1</v>
      </c>
      <c r="I271" s="388">
        <f>IF(H271,Wh_hp,'2019'!Maxi_hp)</f>
        <v>49.421570563132221</v>
      </c>
      <c r="J271" s="85">
        <f>IF(H271,An,'2019'!An_max)</f>
        <v>2020</v>
      </c>
      <c r="K271" s="197">
        <f t="shared" ref="K271:K334" si="101">t</f>
        <v>44087</v>
      </c>
      <c r="L271" s="147">
        <f>IF(t&lt;Tvie,1-EXP((T0-t)*PertePVj)+'2019'!Pspv,1-EXP((T0-t)*PertePVj)+Pspv)</f>
        <v>1.1262585526924052E-2</v>
      </c>
      <c r="M271" s="832"/>
      <c r="N271" s="832"/>
      <c r="O271" s="48">
        <f>IF(t&lt;Tnet,'2019'!Resal+('2019'!Salim-'2019'!Resal)*(1-EXP(('2019'!Tnet-t)/('2019'!Tau_j))),Resal+(Salim-Resal)*(1-EXP((Tnet-t)/(Tau_j))))*Salcycl</f>
        <v>4.8003598067102013E-2</v>
      </c>
      <c r="P271" s="169">
        <f>(INDEX(Models!$BJ271:$BT271,,T271)*(1-R271)+INDEX(Models!$BJ271:$BT271,,T271+1)*R271-ERP_i)*Q271*Ramure*Pc/MaxiM</f>
        <v>6.0419865541489517E-6</v>
      </c>
      <c r="Q271" s="304">
        <f t="shared" ref="Q271:Q334" si="102">IF(OR(t&lt;Ttai,Notai),Dd+PousD*Croivg,Dens+PousD*(Croivg-Croi_tai))</f>
        <v>0.6</v>
      </c>
      <c r="R271" s="177">
        <f t="shared" ref="R271:R334" si="103">(Hp_vg-S271)/(INDEX(Echel_vg,T271+1)-S271)</f>
        <v>0.48977169073327753</v>
      </c>
      <c r="S271" s="799">
        <f t="shared" ref="S271:S334" si="104">INDEX(Echel_vg,T271)</f>
        <v>-1</v>
      </c>
      <c r="T271" s="176">
        <f t="shared" ref="T271:T334" si="105">MIN(MATCH(Hp_vg,Echel_vg),10)</f>
        <v>5</v>
      </c>
      <c r="U271" s="250">
        <f t="shared" ref="U271:U334" si="106">IF(OR(t&lt;Ttai,Notai),Hdd+PousH*Croivg,Hdtf+PousH*(Croivg-Croi_tai))</f>
        <v>-0.51022830926672247</v>
      </c>
      <c r="V271" s="382">
        <f t="shared" ref="V271:V334" si="107">MaxiM*(1-Ppv)*(1-Pvg)*(1-Psa)</f>
        <v>48.813437176590099</v>
      </c>
      <c r="W271" s="58"/>
      <c r="X271" s="157">
        <f t="shared" ref="X271:X334" si="108">t</f>
        <v>44087</v>
      </c>
      <c r="Y271" s="383">
        <f t="shared" ref="Y271:Y334" si="109">Wh_pvt_s*(1-Ppv)</f>
        <v>46.518999999999998</v>
      </c>
      <c r="Z271" s="383">
        <f t="shared" ref="Z271:Z334" si="110">Wh_sa_s*(1-Psa_s)</f>
        <v>47.048892172034563</v>
      </c>
      <c r="AA271" s="384">
        <f t="shared" ref="AA271:AA334" si="111">Wh_hp*(1-Pvg_s*MEDIAN((-Sdif+Wh/Env_an)/Csdif,0,1))</f>
        <v>49.421292009621304</v>
      </c>
      <c r="AB271" s="197">
        <f t="shared" ref="AB271:AB334" si="112">t</f>
        <v>44087</v>
      </c>
      <c r="AC271" s="424">
        <f>IF(OR(t&lt;Tnet,NoTnet),'2019'!Resal_s+('2019'!Salim-'2019'!Resal_s)*(1-EXP(('2019'!Tnet_s-t)/'2019'!Tau_j)),Resal_s+(Salim-Resal_s)*(1-EXP((Tnet_s-t)/Tau_j)))*Salcycl</f>
        <v>4.8003598067102013E-2</v>
      </c>
      <c r="AD271" s="230">
        <f>(INDEX(Models!$BJ271:$BT271,,AH271)*(1-AF271)+INDEX(Models!$BJ271:$BT271,,AH271+1)*AF271-ERP_i)*AE271*Ramure*Pc/MaxiM</f>
        <v>6.0419865541489517E-6</v>
      </c>
      <c r="AE271" s="304">
        <f t="shared" ref="AE271:AE334" si="113">IF(OR(t&lt;Ttai,Notai),Dd_s+PousD*Croivg,Dens_s+PousD*(Croivg-Croi_tai))</f>
        <v>0.6</v>
      </c>
      <c r="AF271" s="177">
        <f t="shared" ref="AF271:AF334" si="114">(Hp_vg_s-AG271)/(INDEX(Echel_vg,AH271+1)-AG271)</f>
        <v>0.48977169073327753</v>
      </c>
      <c r="AG271" s="176">
        <f t="shared" ref="AG271:AG334" si="115">INDEX(Echel_vg,AH271)</f>
        <v>-1</v>
      </c>
      <c r="AH271" s="176">
        <f t="shared" ref="AH271:AH334" si="116">MIN(MATCH(Hp_vg_s,Echel_vg),10)</f>
        <v>5</v>
      </c>
      <c r="AI271" s="224">
        <f t="shared" ref="AI271:AI334" si="117">IF(OR(t&lt;Ttai,Notai),Hdd_s+PousH*Croivg,Hdtai_s+PousH*(Croivg-Croi_tai))</f>
        <v>-0.51022830926672247</v>
      </c>
      <c r="AJ271" s="264" t="b">
        <f t="shared" ref="AJ271:AJ334" si="118">t&lt;Tnet</f>
        <v>0</v>
      </c>
      <c r="AK271" s="264" t="b">
        <f t="shared" ref="AK271:AK334" si="119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0">A271+1</f>
        <v>44088</v>
      </c>
      <c r="B272" s="607">
        <v>48.008000000000003</v>
      </c>
      <c r="C272" s="388"/>
      <c r="D272" s="391">
        <f t="shared" si="99"/>
        <v>48.555783747281325</v>
      </c>
      <c r="E272" s="383">
        <f t="shared" si="97"/>
        <v>51.006439998246883</v>
      </c>
      <c r="F272" s="383">
        <f t="shared" si="100"/>
        <v>51.00676090295368</v>
      </c>
      <c r="G272" s="110">
        <f t="shared" si="98"/>
        <v>0.98751522921298174</v>
      </c>
      <c r="H272" s="412" t="b">
        <f>Wh_hp&gt;='2019'!Maxi_hp</f>
        <v>1</v>
      </c>
      <c r="I272" s="388">
        <f>IF(H272,Wh_hp,'2019'!Maxi_hp)</f>
        <v>51.00676090295368</v>
      </c>
      <c r="J272" s="85">
        <f>IF(H272,An,'2019'!An_max)</f>
        <v>2020</v>
      </c>
      <c r="K272" s="197">
        <f t="shared" si="101"/>
        <v>44088</v>
      </c>
      <c r="L272" s="147">
        <f>IF(t&lt;Tvie,1-EXP((T0-t)*PertePVj)+'2019'!Pspv,1-EXP((T0-t)*PertePVj)+Pspv)</f>
        <v>1.1281534453905118E-2</v>
      </c>
      <c r="M272" s="832"/>
      <c r="N272" s="832"/>
      <c r="O272" s="48">
        <f>IF(t&lt;Tnet,'2019'!Resal+('2019'!Salim-'2019'!Resal)*(1-EXP(('2019'!Tnet-t)/('2019'!Tau_j))),Resal+(Salim-Resal)*(1-EXP((Tnet-t)/(Tau_j))))*Salcycl</f>
        <v>4.8046016366752695E-2</v>
      </c>
      <c r="P272" s="169">
        <f>(INDEX(Models!$BJ272:$BT272,,T272)*(1-R272)+INDEX(Models!$BJ272:$BT272,,T272+1)*R272-ERP_i)*Q272*Ramure*Pc/MaxiM</f>
        <v>6.4056615396222675E-6</v>
      </c>
      <c r="Q272" s="304">
        <f t="shared" si="102"/>
        <v>0.6</v>
      </c>
      <c r="R272" s="177">
        <f t="shared" si="103"/>
        <v>0.4901474673431756</v>
      </c>
      <c r="S272" s="799">
        <f t="shared" si="104"/>
        <v>-1</v>
      </c>
      <c r="T272" s="176">
        <f t="shared" si="105"/>
        <v>5</v>
      </c>
      <c r="U272" s="250">
        <f t="shared" si="106"/>
        <v>-0.5098525326568244</v>
      </c>
      <c r="V272" s="382">
        <f t="shared" si="107"/>
        <v>48.614940909300465</v>
      </c>
      <c r="W272" s="58"/>
      <c r="X272" s="157">
        <f t="shared" si="108"/>
        <v>44088</v>
      </c>
      <c r="Y272" s="383">
        <f t="shared" si="109"/>
        <v>48.008000000000003</v>
      </c>
      <c r="Z272" s="383">
        <f t="shared" si="110"/>
        <v>48.555783747281325</v>
      </c>
      <c r="AA272" s="384">
        <f t="shared" si="111"/>
        <v>51.006439998246883</v>
      </c>
      <c r="AB272" s="197">
        <f t="shared" si="112"/>
        <v>44088</v>
      </c>
      <c r="AC272" s="424">
        <f>IF(OR(t&lt;Tnet,NoTnet),'2019'!Resal_s+('2019'!Salim-'2019'!Resal_s)*(1-EXP(('2019'!Tnet_s-t)/'2019'!Tau_j)),Resal_s+(Salim-Resal_s)*(1-EXP((Tnet_s-t)/Tau_j)))*Salcycl</f>
        <v>4.8046016366752695E-2</v>
      </c>
      <c r="AD272" s="230">
        <f>(INDEX(Models!$BJ272:$BT272,,AH272)*(1-AF272)+INDEX(Models!$BJ272:$BT272,,AH272+1)*AF272-ERP_i)*AE272*Ramure*Pc/MaxiM</f>
        <v>6.4056615396222675E-6</v>
      </c>
      <c r="AE272" s="304">
        <f t="shared" si="113"/>
        <v>0.6</v>
      </c>
      <c r="AF272" s="177">
        <f t="shared" si="114"/>
        <v>0.4901474673431756</v>
      </c>
      <c r="AG272" s="176">
        <f t="shared" si="115"/>
        <v>-1</v>
      </c>
      <c r="AH272" s="176">
        <f t="shared" si="116"/>
        <v>5</v>
      </c>
      <c r="AI272" s="224">
        <f t="shared" si="117"/>
        <v>-0.5098525326568244</v>
      </c>
      <c r="AJ272" s="264" t="b">
        <f t="shared" si="118"/>
        <v>0</v>
      </c>
      <c r="AK272" s="264" t="b">
        <f t="shared" si="119"/>
        <v>0</v>
      </c>
      <c r="AL272" s="264"/>
      <c r="AM272" s="264"/>
      <c r="AN272" s="75"/>
    </row>
    <row r="273" spans="1:40" s="6" customFormat="1" ht="11.25" x14ac:dyDescent="0.2">
      <c r="A273" s="56">
        <f t="shared" si="120"/>
        <v>44089</v>
      </c>
      <c r="B273" s="607">
        <v>39.390999999999998</v>
      </c>
      <c r="C273" s="388"/>
      <c r="D273" s="391">
        <f t="shared" si="99"/>
        <v>39.841225087507105</v>
      </c>
      <c r="E273" s="383">
        <f t="shared" si="97"/>
        <v>41.853893818743749</v>
      </c>
      <c r="F273" s="383">
        <f t="shared" si="100"/>
        <v>41.854101934724142</v>
      </c>
      <c r="G273" s="110">
        <f t="shared" si="98"/>
        <v>0.81367008890351056</v>
      </c>
      <c r="H273" s="412" t="b">
        <f>Wh_hp&gt;='2019'!Maxi_hp</f>
        <v>0</v>
      </c>
      <c r="I273" s="388">
        <f>IF(H273,Wh_hp,'2019'!Maxi_hp)</f>
        <v>45.030086079266795</v>
      </c>
      <c r="J273" s="85">
        <f>IF(H273,An,'2019'!An_max)</f>
        <v>2018</v>
      </c>
      <c r="K273" s="197">
        <f t="shared" si="101"/>
        <v>44089</v>
      </c>
      <c r="L273" s="147">
        <f>IF(t&lt;Tvie,1-EXP((T0-t)*PertePVj)+'2019'!Pspv,1-EXP((T0-t)*PertePVj)+Pspv)</f>
        <v>1.1300483017734342E-2</v>
      </c>
      <c r="M273" s="832"/>
      <c r="N273" s="832"/>
      <c r="O273" s="48">
        <f>IF(t&lt;Tnet,'2019'!Resal+('2019'!Salim-'2019'!Resal)*(1-EXP(('2019'!Tnet-t)/('2019'!Tau_j))),Resal+(Salim-Resal)*(1-EXP((Tnet-t)/(Tau_j))))*Salcycl</f>
        <v>4.808796858789028E-2</v>
      </c>
      <c r="P273" s="169">
        <f>(INDEX(Models!$BJ273:$BT273,,T273)*(1-R273)+INDEX(Models!$BJ273:$BT273,,T273+1)*R273-ERP_i)*Q273*Ramure*Pc/MaxiM</f>
        <v>6.7761018212394003E-6</v>
      </c>
      <c r="Q273" s="304">
        <f t="shared" si="102"/>
        <v>0.6</v>
      </c>
      <c r="R273" s="177">
        <f t="shared" si="103"/>
        <v>0.49050865501507124</v>
      </c>
      <c r="S273" s="799">
        <f t="shared" si="104"/>
        <v>-1</v>
      </c>
      <c r="T273" s="176">
        <f t="shared" si="105"/>
        <v>5</v>
      </c>
      <c r="U273" s="250">
        <f t="shared" si="106"/>
        <v>-0.50949134498492876</v>
      </c>
      <c r="V273" s="382">
        <f t="shared" si="107"/>
        <v>48.411425573867319</v>
      </c>
      <c r="W273" s="58"/>
      <c r="X273" s="157">
        <f t="shared" si="108"/>
        <v>44089</v>
      </c>
      <c r="Y273" s="383">
        <f t="shared" si="109"/>
        <v>39.390999999999998</v>
      </c>
      <c r="Z273" s="383">
        <f t="shared" si="110"/>
        <v>39.841225087507105</v>
      </c>
      <c r="AA273" s="384">
        <f t="shared" si="111"/>
        <v>41.853893818743749</v>
      </c>
      <c r="AB273" s="197">
        <f t="shared" si="112"/>
        <v>44089</v>
      </c>
      <c r="AC273" s="424">
        <f>IF(OR(t&lt;Tnet,NoTnet),'2019'!Resal_s+('2019'!Salim-'2019'!Resal_s)*(1-EXP(('2019'!Tnet_s-t)/'2019'!Tau_j)),Resal_s+(Salim-Resal_s)*(1-EXP((Tnet_s-t)/Tau_j)))*Salcycl</f>
        <v>4.808796858789028E-2</v>
      </c>
      <c r="AD273" s="230">
        <f>(INDEX(Models!$BJ273:$BT273,,AH273)*(1-AF273)+INDEX(Models!$BJ273:$BT273,,AH273+1)*AF273-ERP_i)*AE273*Ramure*Pc/MaxiM</f>
        <v>6.7761018212394003E-6</v>
      </c>
      <c r="AE273" s="304">
        <f t="shared" si="113"/>
        <v>0.6</v>
      </c>
      <c r="AF273" s="177">
        <f t="shared" si="114"/>
        <v>0.49050865501507124</v>
      </c>
      <c r="AG273" s="176">
        <f t="shared" si="115"/>
        <v>-1</v>
      </c>
      <c r="AH273" s="176">
        <f t="shared" si="116"/>
        <v>5</v>
      </c>
      <c r="AI273" s="224">
        <f t="shared" si="117"/>
        <v>-0.50949134498492876</v>
      </c>
      <c r="AJ273" s="264" t="b">
        <f t="shared" si="118"/>
        <v>0</v>
      </c>
      <c r="AK273" s="264" t="b">
        <f t="shared" si="119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20"/>
        <v>44090</v>
      </c>
      <c r="B274" s="607">
        <v>41.113999999999997</v>
      </c>
      <c r="C274" s="388"/>
      <c r="D274" s="391">
        <f t="shared" si="99"/>
        <v>41.584715324857243</v>
      </c>
      <c r="E274" s="383">
        <f t="shared" si="97"/>
        <v>43.687363601350732</v>
      </c>
      <c r="F274" s="383">
        <f t="shared" si="100"/>
        <v>43.687610462372476</v>
      </c>
      <c r="G274" s="110">
        <f t="shared" si="98"/>
        <v>0.8529404619702905</v>
      </c>
      <c r="H274" s="412" t="b">
        <f>Wh_hp&gt;='2019'!Maxi_hp</f>
        <v>0</v>
      </c>
      <c r="I274" s="388">
        <f>IF(H274,Wh_hp,'2019'!Maxi_hp)</f>
        <v>44.080323885388495</v>
      </c>
      <c r="J274" s="85">
        <f>IF(H274,An,'2019'!An_max)</f>
        <v>2018</v>
      </c>
      <c r="K274" s="197">
        <f t="shared" si="101"/>
        <v>44090</v>
      </c>
      <c r="L274" s="147">
        <f>IF(t&lt;Tvie,1-EXP((T0-t)*PertePVj)+'2019'!Pspv,1-EXP((T0-t)*PertePVj)+Pspv)</f>
        <v>1.1319431218418718E-2</v>
      </c>
      <c r="M274" s="832"/>
      <c r="N274" s="832"/>
      <c r="O274" s="48">
        <f>IF(t&lt;Tnet,'2019'!Resal+('2019'!Salim-'2019'!Resal)*(1-EXP(('2019'!Tnet-t)/('2019'!Tau_j))),Resal+(Salim-Resal)*(1-EXP((Tnet-t)/(Tau_j))))*Salcycl</f>
        <v>4.8129438427098846E-2</v>
      </c>
      <c r="P274" s="169">
        <f>(INDEX(Models!$BJ274:$BT274,,T274)*(1-R274)+INDEX(Models!$BJ274:$BT274,,T274+1)*R274-ERP_i)*Q274*Ramure*Pc/MaxiM</f>
        <v>7.1534063056676156E-6</v>
      </c>
      <c r="Q274" s="304">
        <f t="shared" si="102"/>
        <v>0.6</v>
      </c>
      <c r="R274" s="177">
        <f t="shared" si="103"/>
        <v>0.49085579956016956</v>
      </c>
      <c r="S274" s="799">
        <f t="shared" si="104"/>
        <v>-1</v>
      </c>
      <c r="T274" s="176">
        <f t="shared" si="105"/>
        <v>5</v>
      </c>
      <c r="U274" s="250">
        <f t="shared" si="106"/>
        <v>-0.50914420043983044</v>
      </c>
      <c r="V274" s="382">
        <f t="shared" si="107"/>
        <v>48.202588628660628</v>
      </c>
      <c r="W274" s="58"/>
      <c r="X274" s="157">
        <f t="shared" si="108"/>
        <v>44090</v>
      </c>
      <c r="Y274" s="383">
        <f t="shared" si="109"/>
        <v>41.113999999999997</v>
      </c>
      <c r="Z274" s="383">
        <f t="shared" si="110"/>
        <v>41.584715324857243</v>
      </c>
      <c r="AA274" s="384">
        <f t="shared" si="111"/>
        <v>43.687363601350732</v>
      </c>
      <c r="AB274" s="197">
        <f t="shared" si="112"/>
        <v>44090</v>
      </c>
      <c r="AC274" s="424">
        <f>IF(OR(t&lt;Tnet,NoTnet),'2019'!Resal_s+('2019'!Salim-'2019'!Resal_s)*(1-EXP(('2019'!Tnet_s-t)/'2019'!Tau_j)),Resal_s+(Salim-Resal_s)*(1-EXP((Tnet_s-t)/Tau_j)))*Salcycl</f>
        <v>4.8129438427098846E-2</v>
      </c>
      <c r="AD274" s="230">
        <f>(INDEX(Models!$BJ274:$BT274,,AH274)*(1-AF274)+INDEX(Models!$BJ274:$BT274,,AH274+1)*AF274-ERP_i)*AE274*Ramure*Pc/MaxiM</f>
        <v>7.1534063056676156E-6</v>
      </c>
      <c r="AE274" s="304">
        <f t="shared" si="113"/>
        <v>0.6</v>
      </c>
      <c r="AF274" s="177">
        <f t="shared" si="114"/>
        <v>0.49085579956016956</v>
      </c>
      <c r="AG274" s="176">
        <f t="shared" si="115"/>
        <v>-1</v>
      </c>
      <c r="AH274" s="176">
        <f t="shared" si="116"/>
        <v>5</v>
      </c>
      <c r="AI274" s="224">
        <f t="shared" si="117"/>
        <v>-0.50914420043983044</v>
      </c>
      <c r="AJ274" s="264" t="b">
        <f t="shared" si="118"/>
        <v>0</v>
      </c>
      <c r="AK274" s="264" t="b">
        <f t="shared" si="119"/>
        <v>0</v>
      </c>
      <c r="AL274" s="264"/>
      <c r="AM274" s="264"/>
      <c r="AN274" s="75"/>
    </row>
    <row r="275" spans="1:40" s="6" customFormat="1" ht="11.25" x14ac:dyDescent="0.2">
      <c r="A275" s="56">
        <f t="shared" si="120"/>
        <v>44091</v>
      </c>
      <c r="B275" s="607">
        <v>42.491</v>
      </c>
      <c r="C275" s="388"/>
      <c r="D275" s="391">
        <f t="shared" si="99"/>
        <v>42.978304305397209</v>
      </c>
      <c r="E275" s="383">
        <f t="shared" si="97"/>
        <v>45.153360139439563</v>
      </c>
      <c r="F275" s="383">
        <f t="shared" si="100"/>
        <v>45.153644787836392</v>
      </c>
      <c r="G275" s="110">
        <f t="shared" si="98"/>
        <v>0.88543711014270277</v>
      </c>
      <c r="H275" s="412" t="b">
        <f>Wh_hp&gt;='2019'!Maxi_hp</f>
        <v>1</v>
      </c>
      <c r="I275" s="388">
        <f>IF(H275,Wh_hp,'2019'!Maxi_hp)</f>
        <v>45.153644787836392</v>
      </c>
      <c r="J275" s="85">
        <f>IF(H275,An,'2019'!An_max)</f>
        <v>2020</v>
      </c>
      <c r="K275" s="197">
        <f t="shared" si="101"/>
        <v>44091</v>
      </c>
      <c r="L275" s="147">
        <f>IF(t&lt;Tvie,1-EXP((T0-t)*PertePVj)+'2019'!Pspv,1-EXP((T0-t)*PertePVj)+Pspv)</f>
        <v>1.1338379055965131E-2</v>
      </c>
      <c r="M275" s="832"/>
      <c r="N275" s="832"/>
      <c r="O275" s="48">
        <f>IF(t&lt;Tnet,'2019'!Resal+('2019'!Salim-'2019'!Resal)*(1-EXP(('2019'!Tnet-t)/('2019'!Tau_j))),Resal+(Salim-Resal)*(1-EXP((Tnet-t)/(Tau_j))))*Salcycl</f>
        <v>4.8170409186060421E-2</v>
      </c>
      <c r="P275" s="169">
        <f>(INDEX(Models!$BJ275:$BT275,,T275)*(1-R275)+INDEX(Models!$BJ275:$BT275,,T275+1)*R275-ERP_i)*Q275*Ramure*Pc/MaxiM</f>
        <v>7.53759695314391E-6</v>
      </c>
      <c r="Q275" s="304">
        <f t="shared" si="102"/>
        <v>0.6</v>
      </c>
      <c r="R275" s="177">
        <f t="shared" si="103"/>
        <v>0.4911894279700274</v>
      </c>
      <c r="S275" s="799">
        <f t="shared" si="104"/>
        <v>-1</v>
      </c>
      <c r="T275" s="176">
        <f t="shared" si="105"/>
        <v>5</v>
      </c>
      <c r="U275" s="250">
        <f t="shared" si="106"/>
        <v>-0.5088105720299726</v>
      </c>
      <c r="V275" s="382">
        <f t="shared" si="107"/>
        <v>47.988668078169894</v>
      </c>
      <c r="W275" s="58"/>
      <c r="X275" s="157">
        <f t="shared" si="108"/>
        <v>44091</v>
      </c>
      <c r="Y275" s="383">
        <f t="shared" si="109"/>
        <v>42.491</v>
      </c>
      <c r="Z275" s="383">
        <f t="shared" si="110"/>
        <v>42.978304305397209</v>
      </c>
      <c r="AA275" s="384">
        <f t="shared" si="111"/>
        <v>45.153360139439563</v>
      </c>
      <c r="AB275" s="197">
        <f t="shared" si="112"/>
        <v>44091</v>
      </c>
      <c r="AC275" s="424">
        <f>IF(OR(t&lt;Tnet,NoTnet),'2019'!Resal_s+('2019'!Salim-'2019'!Resal_s)*(1-EXP(('2019'!Tnet_s-t)/'2019'!Tau_j)),Resal_s+(Salim-Resal_s)*(1-EXP((Tnet_s-t)/Tau_j)))*Salcycl</f>
        <v>4.8170409186060421E-2</v>
      </c>
      <c r="AD275" s="230">
        <f>(INDEX(Models!$BJ275:$BT275,,AH275)*(1-AF275)+INDEX(Models!$BJ275:$BT275,,AH275+1)*AF275-ERP_i)*AE275*Ramure*Pc/MaxiM</f>
        <v>7.53759695314391E-6</v>
      </c>
      <c r="AE275" s="304">
        <f t="shared" si="113"/>
        <v>0.6</v>
      </c>
      <c r="AF275" s="177">
        <f t="shared" si="114"/>
        <v>0.4911894279700274</v>
      </c>
      <c r="AG275" s="176">
        <f t="shared" si="115"/>
        <v>-1</v>
      </c>
      <c r="AH275" s="176">
        <f t="shared" si="116"/>
        <v>5</v>
      </c>
      <c r="AI275" s="224">
        <f t="shared" si="117"/>
        <v>-0.5088105720299726</v>
      </c>
      <c r="AJ275" s="264" t="b">
        <f t="shared" si="118"/>
        <v>0</v>
      </c>
      <c r="AK275" s="264" t="b">
        <f t="shared" si="119"/>
        <v>0</v>
      </c>
      <c r="AL275" s="264"/>
      <c r="AM275" s="264"/>
      <c r="AN275" s="75"/>
    </row>
    <row r="276" spans="1:40" s="6" customFormat="1" ht="11.25" x14ac:dyDescent="0.2">
      <c r="A276" s="56">
        <f t="shared" si="120"/>
        <v>44092</v>
      </c>
      <c r="B276" s="607">
        <v>21.009</v>
      </c>
      <c r="C276" s="388"/>
      <c r="D276" s="391">
        <f t="shared" si="99"/>
        <v>21.250347131253584</v>
      </c>
      <c r="E276" s="383">
        <f t="shared" si="97"/>
        <v>22.326738479670528</v>
      </c>
      <c r="F276" s="383">
        <f t="shared" si="100"/>
        <v>22.326773926558889</v>
      </c>
      <c r="G276" s="110">
        <f t="shared" si="98"/>
        <v>0.43979047736687166</v>
      </c>
      <c r="H276" s="412" t="b">
        <f>Wh_hp&gt;='2019'!Maxi_hp</f>
        <v>0</v>
      </c>
      <c r="I276" s="388">
        <f>IF(H276,Wh_hp,'2019'!Maxi_hp)</f>
        <v>41.378548942317927</v>
      </c>
      <c r="J276" s="85">
        <f>IF(H276,An,'2019'!An_max)</f>
        <v>2018</v>
      </c>
      <c r="K276" s="197">
        <f t="shared" si="101"/>
        <v>44092</v>
      </c>
      <c r="L276" s="147">
        <f>IF(t&lt;Tvie,1-EXP((T0-t)*PertePVj)+'2019'!Pspv,1-EXP((T0-t)*PertePVj)+Pspv)</f>
        <v>1.1357326530380574E-2</v>
      </c>
      <c r="M276" s="832"/>
      <c r="N276" s="832"/>
      <c r="O276" s="48">
        <f>IF(t&lt;Tnet,'2019'!Resal+('2019'!Salim-'2019'!Resal)*(1-EXP(('2019'!Tnet-t)/('2019'!Tau_j))),Resal+(Salim-Resal)*(1-EXP((Tnet-t)/(Tau_j))))*Salcycl</f>
        <v>4.821086382128964E-2</v>
      </c>
      <c r="P276" s="169">
        <f>(INDEX(Models!$BJ276:$BT276,,T276)*(1-R276)+INDEX(Models!$BJ276:$BT276,,T276+1)*R276-ERP_i)*Q276*Ramure*Pc/MaxiM</f>
        <v>7.9499409295029813E-6</v>
      </c>
      <c r="Q276" s="304">
        <f t="shared" si="102"/>
        <v>0.6</v>
      </c>
      <c r="R276" s="177">
        <f t="shared" si="103"/>
        <v>0.49151004893928896</v>
      </c>
      <c r="S276" s="799">
        <f t="shared" si="104"/>
        <v>-1</v>
      </c>
      <c r="T276" s="176">
        <f t="shared" si="105"/>
        <v>5</v>
      </c>
      <c r="U276" s="250">
        <f t="shared" si="106"/>
        <v>-0.50848995106071104</v>
      </c>
      <c r="V276" s="382">
        <f t="shared" si="107"/>
        <v>47.770171059639637</v>
      </c>
      <c r="W276" s="58"/>
      <c r="X276" s="157">
        <f t="shared" si="108"/>
        <v>44092</v>
      </c>
      <c r="Y276" s="383">
        <f t="shared" si="109"/>
        <v>21.009</v>
      </c>
      <c r="Z276" s="383">
        <f t="shared" si="110"/>
        <v>21.250347131253584</v>
      </c>
      <c r="AA276" s="384">
        <f t="shared" si="111"/>
        <v>22.326738479670528</v>
      </c>
      <c r="AB276" s="197">
        <f t="shared" si="112"/>
        <v>44092</v>
      </c>
      <c r="AC276" s="424">
        <f>IF(OR(t&lt;Tnet,NoTnet),'2019'!Resal_s+('2019'!Salim-'2019'!Resal_s)*(1-EXP(('2019'!Tnet_s-t)/'2019'!Tau_j)),Resal_s+(Salim-Resal_s)*(1-EXP((Tnet_s-t)/Tau_j)))*Salcycl</f>
        <v>4.821086382128964E-2</v>
      </c>
      <c r="AD276" s="230">
        <f>(INDEX(Models!$BJ276:$BT276,,AH276)*(1-AF276)+INDEX(Models!$BJ276:$BT276,,AH276+1)*AF276-ERP_i)*AE276*Ramure*Pc/MaxiM</f>
        <v>7.9499409295029813E-6</v>
      </c>
      <c r="AE276" s="304">
        <f t="shared" si="113"/>
        <v>0.6</v>
      </c>
      <c r="AF276" s="177">
        <f t="shared" si="114"/>
        <v>0.49151004893928896</v>
      </c>
      <c r="AG276" s="176">
        <f t="shared" si="115"/>
        <v>-1</v>
      </c>
      <c r="AH276" s="176">
        <f t="shared" si="116"/>
        <v>5</v>
      </c>
      <c r="AI276" s="224">
        <f t="shared" si="117"/>
        <v>-0.50848995106071104</v>
      </c>
      <c r="AJ276" s="264" t="b">
        <f t="shared" si="118"/>
        <v>0</v>
      </c>
      <c r="AK276" s="264" t="b">
        <f t="shared" si="119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20"/>
        <v>44093</v>
      </c>
      <c r="B277" s="607">
        <v>32.540999999999997</v>
      </c>
      <c r="C277" s="388"/>
      <c r="D277" s="391">
        <f t="shared" si="99"/>
        <v>32.915455225687623</v>
      </c>
      <c r="E277" s="383">
        <f t="shared" si="97"/>
        <v>34.584168504702696</v>
      </c>
      <c r="F277" s="383">
        <f t="shared" si="100"/>
        <v>34.584327977215416</v>
      </c>
      <c r="G277" s="110">
        <f t="shared" si="98"/>
        <v>0.68439102231878257</v>
      </c>
      <c r="H277" s="412" t="b">
        <f>Wh_hp&gt;='2019'!Maxi_hp</f>
        <v>0</v>
      </c>
      <c r="I277" s="388">
        <f>IF(H277,Wh_hp,'2019'!Maxi_hp)</f>
        <v>48.33049849945759</v>
      </c>
      <c r="J277" s="85">
        <f>IF(H277,An,'2019'!An_max)</f>
        <v>2018</v>
      </c>
      <c r="K277" s="197">
        <f t="shared" si="101"/>
        <v>44093</v>
      </c>
      <c r="L277" s="147">
        <f>IF(t&lt;Tvie,1-EXP((T0-t)*PertePVj)+'2019'!Pspv,1-EXP((T0-t)*PertePVj)+Pspv)</f>
        <v>1.1376273641672041E-2</v>
      </c>
      <c r="M277" s="832"/>
      <c r="N277" s="832"/>
      <c r="O277" s="48">
        <f>IF(t&lt;Tnet,'2019'!Resal+('2019'!Salim-'2019'!Resal)*(1-EXP(('2019'!Tnet-t)/('2019'!Tau_j))),Resal+(Salim-Resal)*(1-EXP((Tnet-t)/(Tau_j))))*Salcycl</f>
        <v>4.8250785002627979E-2</v>
      </c>
      <c r="P277" s="169">
        <f>(INDEX(Models!$BJ277:$BT277,,T277)*(1-R277)+INDEX(Models!$BJ277:$BT277,,T277+1)*R277-ERP_i)*Q277*Ramure*Pc/MaxiM</f>
        <v>8.3970815839167626E-6</v>
      </c>
      <c r="Q277" s="304">
        <f t="shared" si="102"/>
        <v>0.6</v>
      </c>
      <c r="R277" s="177">
        <f t="shared" si="103"/>
        <v>0.49181815338434776</v>
      </c>
      <c r="S277" s="799">
        <f t="shared" si="104"/>
        <v>-1</v>
      </c>
      <c r="T277" s="176">
        <f t="shared" si="105"/>
        <v>5</v>
      </c>
      <c r="U277" s="250">
        <f t="shared" si="106"/>
        <v>-0.50818184661565224</v>
      </c>
      <c r="V277" s="382">
        <f t="shared" si="107"/>
        <v>47.547199976745951</v>
      </c>
      <c r="W277" s="58"/>
      <c r="X277" s="157">
        <f t="shared" si="108"/>
        <v>44093</v>
      </c>
      <c r="Y277" s="383">
        <f t="shared" si="109"/>
        <v>32.540999999999997</v>
      </c>
      <c r="Z277" s="383">
        <f t="shared" si="110"/>
        <v>32.915455225687623</v>
      </c>
      <c r="AA277" s="384">
        <f t="shared" si="111"/>
        <v>34.584168504702696</v>
      </c>
      <c r="AB277" s="197">
        <f t="shared" si="112"/>
        <v>44093</v>
      </c>
      <c r="AC277" s="424">
        <f>IF(OR(t&lt;Tnet,NoTnet),'2019'!Resal_s+('2019'!Salim-'2019'!Resal_s)*(1-EXP(('2019'!Tnet_s-t)/'2019'!Tau_j)),Resal_s+(Salim-Resal_s)*(1-EXP((Tnet_s-t)/Tau_j)))*Salcycl</f>
        <v>4.8250785002627979E-2</v>
      </c>
      <c r="AD277" s="230">
        <f>(INDEX(Models!$BJ277:$BT277,,AH277)*(1-AF277)+INDEX(Models!$BJ277:$BT277,,AH277+1)*AF277-ERP_i)*AE277*Ramure*Pc/MaxiM</f>
        <v>8.3970815839167626E-6</v>
      </c>
      <c r="AE277" s="304">
        <f t="shared" si="113"/>
        <v>0.6</v>
      </c>
      <c r="AF277" s="177">
        <f t="shared" si="114"/>
        <v>0.49181815338434776</v>
      </c>
      <c r="AG277" s="176">
        <f t="shared" si="115"/>
        <v>-1</v>
      </c>
      <c r="AH277" s="176">
        <f t="shared" si="116"/>
        <v>5</v>
      </c>
      <c r="AI277" s="224">
        <f t="shared" si="117"/>
        <v>-0.50818184661565224</v>
      </c>
      <c r="AJ277" s="264" t="b">
        <f t="shared" si="118"/>
        <v>0</v>
      </c>
      <c r="AK277" s="264" t="b">
        <f t="shared" si="119"/>
        <v>0</v>
      </c>
      <c r="AL277" s="264"/>
      <c r="AM277" s="264"/>
      <c r="AN277" s="75"/>
    </row>
    <row r="278" spans="1:40" s="6" customFormat="1" ht="11.25" x14ac:dyDescent="0.2">
      <c r="A278" s="56">
        <f t="shared" si="120"/>
        <v>44094</v>
      </c>
      <c r="B278" s="607">
        <v>31.582999999999998</v>
      </c>
      <c r="C278" s="388"/>
      <c r="D278" s="391">
        <f t="shared" si="99"/>
        <v>31.947043602656297</v>
      </c>
      <c r="E278" s="383">
        <f t="shared" si="97"/>
        <v>33.568049943537922</v>
      </c>
      <c r="F278" s="383">
        <f t="shared" si="100"/>
        <v>33.568206398193674</v>
      </c>
      <c r="G278" s="110">
        <f t="shared" si="98"/>
        <v>0.66743368299572492</v>
      </c>
      <c r="H278" s="412" t="b">
        <f>Wh_hp&gt;='2019'!Maxi_hp</f>
        <v>0</v>
      </c>
      <c r="I278" s="388">
        <f>IF(H278,Wh_hp,'2019'!Maxi_hp)</f>
        <v>33.749737318549698</v>
      </c>
      <c r="J278" s="85">
        <f>IF(H278,An,'2019'!An_max)</f>
        <v>2018</v>
      </c>
      <c r="K278" s="197">
        <f t="shared" si="101"/>
        <v>44094</v>
      </c>
      <c r="L278" s="147">
        <f>IF(t&lt;Tvie,1-EXP((T0-t)*PertePVj)+'2019'!Pspv,1-EXP((T0-t)*PertePVj)+Pspv)</f>
        <v>1.1395220389846306E-2</v>
      </c>
      <c r="M278" s="832"/>
      <c r="N278" s="832"/>
      <c r="O278" s="48">
        <f>IF(t&lt;Tnet,'2019'!Resal+('2019'!Salim-'2019'!Resal)*(1-EXP(('2019'!Tnet-t)/('2019'!Tau_j))),Resal+(Salim-Resal)*(1-EXP((Tnet-t)/(Tau_j))))*Salcycl</f>
        <v>4.8290155180541972E-2</v>
      </c>
      <c r="P278" s="169">
        <f>(INDEX(Models!$BJ278:$BT278,,T278)*(1-R278)+INDEX(Models!$BJ278:$BT278,,T278+1)*R278-ERP_i)*Q278*Ramure*Pc/MaxiM</f>
        <v>8.8792462523612224E-6</v>
      </c>
      <c r="Q278" s="304">
        <f t="shared" si="102"/>
        <v>0.6</v>
      </c>
      <c r="R278" s="177">
        <f t="shared" si="103"/>
        <v>0.49211421495693541</v>
      </c>
      <c r="S278" s="799">
        <f t="shared" si="104"/>
        <v>-1</v>
      </c>
      <c r="T278" s="176">
        <f t="shared" si="105"/>
        <v>5</v>
      </c>
      <c r="U278" s="250">
        <f t="shared" si="106"/>
        <v>-0.50788578504306459</v>
      </c>
      <c r="V278" s="382">
        <f t="shared" si="107"/>
        <v>47.319857497145698</v>
      </c>
      <c r="W278" s="58"/>
      <c r="X278" s="157">
        <f t="shared" si="108"/>
        <v>44094</v>
      </c>
      <c r="Y278" s="383">
        <f t="shared" si="109"/>
        <v>31.582999999999995</v>
      </c>
      <c r="Z278" s="383">
        <f t="shared" si="110"/>
        <v>31.947043602656294</v>
      </c>
      <c r="AA278" s="384">
        <f t="shared" si="111"/>
        <v>33.568049943537922</v>
      </c>
      <c r="AB278" s="197">
        <f t="shared" si="112"/>
        <v>44094</v>
      </c>
      <c r="AC278" s="424">
        <f>IF(OR(t&lt;Tnet,NoTnet),'2019'!Resal_s+('2019'!Salim-'2019'!Resal_s)*(1-EXP(('2019'!Tnet_s-t)/'2019'!Tau_j)),Resal_s+(Salim-Resal_s)*(1-EXP((Tnet_s-t)/Tau_j)))*Salcycl</f>
        <v>4.8290155180541972E-2</v>
      </c>
      <c r="AD278" s="230">
        <f>(INDEX(Models!$BJ278:$BT278,,AH278)*(1-AF278)+INDEX(Models!$BJ278:$BT278,,AH278+1)*AF278-ERP_i)*AE278*Ramure*Pc/MaxiM</f>
        <v>8.8792462523612224E-6</v>
      </c>
      <c r="AE278" s="304">
        <f t="shared" si="113"/>
        <v>0.6</v>
      </c>
      <c r="AF278" s="177">
        <f t="shared" si="114"/>
        <v>0.49211421495693541</v>
      </c>
      <c r="AG278" s="176">
        <f t="shared" si="115"/>
        <v>-1</v>
      </c>
      <c r="AH278" s="176">
        <f t="shared" si="116"/>
        <v>5</v>
      </c>
      <c r="AI278" s="224">
        <f t="shared" si="117"/>
        <v>-0.50788578504306459</v>
      </c>
      <c r="AJ278" s="264" t="b">
        <f t="shared" si="118"/>
        <v>0</v>
      </c>
      <c r="AK278" s="264" t="b">
        <f t="shared" si="119"/>
        <v>0</v>
      </c>
      <c r="AL278" s="264"/>
      <c r="AM278" s="264"/>
      <c r="AN278" s="75"/>
    </row>
    <row r="279" spans="1:40" s="6" customFormat="1" ht="11.25" x14ac:dyDescent="0.2">
      <c r="A279" s="56">
        <f t="shared" si="120"/>
        <v>44095</v>
      </c>
      <c r="B279" s="607">
        <v>27.091999999999999</v>
      </c>
      <c r="C279" s="388"/>
      <c r="D279" s="391">
        <f t="shared" si="99"/>
        <v>27.404802991781764</v>
      </c>
      <c r="E279" s="383">
        <f t="shared" si="97"/>
        <v>28.796508188022486</v>
      </c>
      <c r="F279" s="383">
        <f t="shared" si="100"/>
        <v>28.796614625423107</v>
      </c>
      <c r="G279" s="110">
        <f t="shared" si="98"/>
        <v>0.57534199560049892</v>
      </c>
      <c r="H279" s="412" t="b">
        <f>Wh_hp&gt;='2019'!Maxi_hp</f>
        <v>1</v>
      </c>
      <c r="I279" s="388">
        <f>IF(H279,Wh_hp,'2019'!Maxi_hp)</f>
        <v>28.796614625423107</v>
      </c>
      <c r="J279" s="85">
        <f>IF(H279,An,'2019'!An_max)</f>
        <v>2020</v>
      </c>
      <c r="K279" s="197">
        <f t="shared" si="101"/>
        <v>44095</v>
      </c>
      <c r="L279" s="147">
        <f>IF(t&lt;Tvie,1-EXP((T0-t)*PertePVj)+'2019'!Pspv,1-EXP((T0-t)*PertePVj)+Pspv)</f>
        <v>1.1414166774910584E-2</v>
      </c>
      <c r="M279" s="832"/>
      <c r="N279" s="832"/>
      <c r="O279" s="48">
        <f>IF(t&lt;Tnet,'2019'!Resal+('2019'!Salim-'2019'!Resal)*(1-EXP(('2019'!Tnet-t)/('2019'!Tau_j))),Resal+(Salim-Resal)*(1-EXP((Tnet-t)/(Tau_j))))*Salcycl</f>
        <v>4.832895666216859E-2</v>
      </c>
      <c r="P279" s="169">
        <f>(INDEX(Models!$BJ279:$BT279,,T279)*(1-R279)+INDEX(Models!$BJ279:$BT279,,T279+1)*R279-ERP_i)*Q279*Ramure*Pc/MaxiM</f>
        <v>9.3966540182682172E-6</v>
      </c>
      <c r="Q279" s="304">
        <f t="shared" si="102"/>
        <v>0.6</v>
      </c>
      <c r="R279" s="177">
        <f t="shared" si="103"/>
        <v>0.49239869055174557</v>
      </c>
      <c r="S279" s="799">
        <f t="shared" si="104"/>
        <v>-1</v>
      </c>
      <c r="T279" s="176">
        <f t="shared" si="105"/>
        <v>5</v>
      </c>
      <c r="U279" s="250">
        <f t="shared" si="106"/>
        <v>-0.50760130944825443</v>
      </c>
      <c r="V279" s="382">
        <f t="shared" si="107"/>
        <v>47.088246241862407</v>
      </c>
      <c r="W279" s="58"/>
      <c r="X279" s="157">
        <f t="shared" si="108"/>
        <v>44095</v>
      </c>
      <c r="Y279" s="383">
        <f t="shared" si="109"/>
        <v>27.091999999999999</v>
      </c>
      <c r="Z279" s="383">
        <f t="shared" si="110"/>
        <v>27.404802991781764</v>
      </c>
      <c r="AA279" s="384">
        <f t="shared" si="111"/>
        <v>28.796508188022486</v>
      </c>
      <c r="AB279" s="197">
        <f t="shared" si="112"/>
        <v>44095</v>
      </c>
      <c r="AC279" s="424">
        <f>IF(OR(t&lt;Tnet,NoTnet),'2019'!Resal_s+('2019'!Salim-'2019'!Resal_s)*(1-EXP(('2019'!Tnet_s-t)/'2019'!Tau_j)),Resal_s+(Salim-Resal_s)*(1-EXP((Tnet_s-t)/Tau_j)))*Salcycl</f>
        <v>4.832895666216859E-2</v>
      </c>
      <c r="AD279" s="230">
        <f>(INDEX(Models!$BJ279:$BT279,,AH279)*(1-AF279)+INDEX(Models!$BJ279:$BT279,,AH279+1)*AF279-ERP_i)*AE279*Ramure*Pc/MaxiM</f>
        <v>9.3966540182682172E-6</v>
      </c>
      <c r="AE279" s="304">
        <f t="shared" si="113"/>
        <v>0.6</v>
      </c>
      <c r="AF279" s="177">
        <f t="shared" si="114"/>
        <v>0.49239869055174557</v>
      </c>
      <c r="AG279" s="176">
        <f t="shared" si="115"/>
        <v>-1</v>
      </c>
      <c r="AH279" s="176">
        <f t="shared" si="116"/>
        <v>5</v>
      </c>
      <c r="AI279" s="224">
        <f t="shared" si="117"/>
        <v>-0.50760130944825443</v>
      </c>
      <c r="AJ279" s="264" t="b">
        <f t="shared" si="118"/>
        <v>0</v>
      </c>
      <c r="AK279" s="264" t="b">
        <f t="shared" si="119"/>
        <v>0</v>
      </c>
      <c r="AL279" s="264"/>
      <c r="AM279" s="264"/>
      <c r="AN279" s="75"/>
    </row>
    <row r="280" spans="1:40" s="6" customFormat="1" ht="11.25" x14ac:dyDescent="0.2">
      <c r="A280" s="56">
        <f t="shared" si="120"/>
        <v>44096</v>
      </c>
      <c r="B280" s="607">
        <v>23.649000000000001</v>
      </c>
      <c r="C280" s="388"/>
      <c r="D280" s="391">
        <f t="shared" si="99"/>
        <v>23.922508740817921</v>
      </c>
      <c r="E280" s="383">
        <f t="shared" si="97"/>
        <v>25.138381137451145</v>
      </c>
      <c r="F280" s="383">
        <f t="shared" si="100"/>
        <v>25.138454298245868</v>
      </c>
      <c r="G280" s="110">
        <f t="shared" si="98"/>
        <v>0.50475106533580483</v>
      </c>
      <c r="H280" s="412" t="b">
        <f>Wh_hp&gt;='2019'!Maxi_hp</f>
        <v>0</v>
      </c>
      <c r="I280" s="388">
        <f>IF(H280,Wh_hp,'2019'!Maxi_hp)</f>
        <v>42.58953079746825</v>
      </c>
      <c r="J280" s="85">
        <f>IF(H280,An,'2019'!An_max)</f>
        <v>2018</v>
      </c>
      <c r="K280" s="197">
        <f t="shared" si="101"/>
        <v>44096</v>
      </c>
      <c r="L280" s="147">
        <f>IF(t&lt;Tvie,1-EXP((T0-t)*PertePVj)+'2019'!Pspv,1-EXP((T0-t)*PertePVj)+Pspv)</f>
        <v>1.1433112796871647E-2</v>
      </c>
      <c r="M280" s="832"/>
      <c r="N280" s="832"/>
      <c r="O280" s="48">
        <f>IF(t&lt;Tnet,'2019'!Resal+('2019'!Salim-'2019'!Resal)*(1-EXP(('2019'!Tnet-t)/('2019'!Tau_j))),Resal+(Salim-Resal)*(1-EXP((Tnet-t)/(Tau_j))))*Salcycl</f>
        <v>4.8367171695945725E-2</v>
      </c>
      <c r="P280" s="169">
        <f>(INDEX(Models!$BJ280:$BT280,,T280)*(1-R280)+INDEX(Models!$BJ280:$BT280,,T280+1)*R280-ERP_i)*Q280*Ramure*Pc/MaxiM</f>
        <v>9.9495669226176315E-6</v>
      </c>
      <c r="Q280" s="304">
        <f t="shared" si="102"/>
        <v>0.6</v>
      </c>
      <c r="R280" s="177">
        <f t="shared" si="103"/>
        <v>0.49267202080731076</v>
      </c>
      <c r="S280" s="799">
        <f t="shared" si="104"/>
        <v>-1</v>
      </c>
      <c r="T280" s="176">
        <f t="shared" si="105"/>
        <v>5</v>
      </c>
      <c r="U280" s="250">
        <f t="shared" si="106"/>
        <v>-0.50732797919268924</v>
      </c>
      <c r="V280" s="382">
        <f t="shared" si="107"/>
        <v>46.852468775849239</v>
      </c>
      <c r="W280" s="58"/>
      <c r="X280" s="157">
        <f t="shared" si="108"/>
        <v>44096</v>
      </c>
      <c r="Y280" s="383">
        <f t="shared" si="109"/>
        <v>23.649000000000001</v>
      </c>
      <c r="Z280" s="383">
        <f t="shared" si="110"/>
        <v>23.922508740817921</v>
      </c>
      <c r="AA280" s="384">
        <f t="shared" si="111"/>
        <v>25.138381137451145</v>
      </c>
      <c r="AB280" s="197">
        <f t="shared" si="112"/>
        <v>44096</v>
      </c>
      <c r="AC280" s="424">
        <f>IF(OR(t&lt;Tnet,NoTnet),'2019'!Resal_s+('2019'!Salim-'2019'!Resal_s)*(1-EXP(('2019'!Tnet_s-t)/'2019'!Tau_j)),Resal_s+(Salim-Resal_s)*(1-EXP((Tnet_s-t)/Tau_j)))*Salcycl</f>
        <v>4.8367171695945725E-2</v>
      </c>
      <c r="AD280" s="230">
        <f>(INDEX(Models!$BJ280:$BT280,,AH280)*(1-AF280)+INDEX(Models!$BJ280:$BT280,,AH280+1)*AF280-ERP_i)*AE280*Ramure*Pc/MaxiM</f>
        <v>9.9495669226176315E-6</v>
      </c>
      <c r="AE280" s="304">
        <f t="shared" si="113"/>
        <v>0.6</v>
      </c>
      <c r="AF280" s="177">
        <f t="shared" si="114"/>
        <v>0.49267202080731076</v>
      </c>
      <c r="AG280" s="176">
        <f t="shared" si="115"/>
        <v>-1</v>
      </c>
      <c r="AH280" s="176">
        <f t="shared" si="116"/>
        <v>5</v>
      </c>
      <c r="AI280" s="224">
        <f t="shared" si="117"/>
        <v>-0.50732797919268924</v>
      </c>
      <c r="AJ280" s="264" t="b">
        <f t="shared" si="118"/>
        <v>0</v>
      </c>
      <c r="AK280" s="264" t="b">
        <f t="shared" si="119"/>
        <v>0</v>
      </c>
      <c r="AL280" s="264"/>
      <c r="AM280" s="264"/>
      <c r="AN280" s="75"/>
    </row>
    <row r="281" spans="1:40" s="6" customFormat="1" ht="11.25" x14ac:dyDescent="0.2">
      <c r="A281" s="56">
        <f t="shared" si="120"/>
        <v>44097</v>
      </c>
      <c r="B281" s="607">
        <v>39.703000000000003</v>
      </c>
      <c r="C281" s="388"/>
      <c r="D281" s="391">
        <f t="shared" si="99"/>
        <v>40.162948433211881</v>
      </c>
      <c r="E281" s="383">
        <f t="shared" si="97"/>
        <v>42.205916651674166</v>
      </c>
      <c r="F281" s="383">
        <f t="shared" si="100"/>
        <v>42.206267242239484</v>
      </c>
      <c r="G281" s="110">
        <f t="shared" si="98"/>
        <v>0.85176299717797921</v>
      </c>
      <c r="H281" s="412" t="b">
        <f>Wh_hp&gt;='2019'!Maxi_hp</f>
        <v>1</v>
      </c>
      <c r="I281" s="388">
        <f>IF(H281,Wh_hp,'2019'!Maxi_hp)</f>
        <v>42.206267242239484</v>
      </c>
      <c r="J281" s="85">
        <f>IF(H281,An,'2019'!An_max)</f>
        <v>2020</v>
      </c>
      <c r="K281" s="197">
        <f t="shared" si="101"/>
        <v>44097</v>
      </c>
      <c r="L281" s="147">
        <f>IF(t&lt;Tvie,1-EXP((T0-t)*PertePVj)+'2019'!Pspv,1-EXP((T0-t)*PertePVj)+Pspv)</f>
        <v>1.1452058455736602E-2</v>
      </c>
      <c r="M281" s="832"/>
      <c r="N281" s="832"/>
      <c r="O281" s="48">
        <f>IF(t&lt;Tnet,'2019'!Resal+('2019'!Salim-'2019'!Resal)*(1-EXP(('2019'!Tnet-t)/('2019'!Tau_j))),Resal+(Salim-Resal)*(1-EXP((Tnet-t)/(Tau_j))))*Salcycl</f>
        <v>4.8404782564561308E-2</v>
      </c>
      <c r="P281" s="169">
        <f>(INDEX(Models!$BJ281:$BT281,,T281)*(1-R281)+INDEX(Models!$BJ281:$BT281,,T281+1)*R281-ERP_i)*Q281*Ramure*Pc/MaxiM</f>
        <v>1.0538219785747654E-5</v>
      </c>
      <c r="Q281" s="304">
        <f t="shared" si="102"/>
        <v>0.6</v>
      </c>
      <c r="R281" s="177">
        <f t="shared" si="103"/>
        <v>0.49293463059944687</v>
      </c>
      <c r="S281" s="799">
        <f t="shared" si="104"/>
        <v>-1</v>
      </c>
      <c r="T281" s="176">
        <f t="shared" si="105"/>
        <v>5</v>
      </c>
      <c r="U281" s="250">
        <f t="shared" si="106"/>
        <v>-0.50706536940055313</v>
      </c>
      <c r="V281" s="382">
        <f t="shared" si="107"/>
        <v>46.612627607435584</v>
      </c>
      <c r="W281" s="58"/>
      <c r="X281" s="157">
        <f t="shared" si="108"/>
        <v>44097</v>
      </c>
      <c r="Y281" s="383">
        <f t="shared" si="109"/>
        <v>39.703000000000003</v>
      </c>
      <c r="Z281" s="383">
        <f t="shared" si="110"/>
        <v>40.162948433211881</v>
      </c>
      <c r="AA281" s="384">
        <f t="shared" si="111"/>
        <v>42.205916651674166</v>
      </c>
      <c r="AB281" s="197">
        <f t="shared" si="112"/>
        <v>44097</v>
      </c>
      <c r="AC281" s="424">
        <f>IF(OR(t&lt;Tnet,NoTnet),'2019'!Resal_s+('2019'!Salim-'2019'!Resal_s)*(1-EXP(('2019'!Tnet_s-t)/'2019'!Tau_j)),Resal_s+(Salim-Resal_s)*(1-EXP((Tnet_s-t)/Tau_j)))*Salcycl</f>
        <v>4.8404782564561308E-2</v>
      </c>
      <c r="AD281" s="230">
        <f>(INDEX(Models!$BJ281:$BT281,,AH281)*(1-AF281)+INDEX(Models!$BJ281:$BT281,,AH281+1)*AF281-ERP_i)*AE281*Ramure*Pc/MaxiM</f>
        <v>1.0538219785747654E-5</v>
      </c>
      <c r="AE281" s="304">
        <f t="shared" si="113"/>
        <v>0.6</v>
      </c>
      <c r="AF281" s="177">
        <f t="shared" si="114"/>
        <v>0.49293463059944687</v>
      </c>
      <c r="AG281" s="176">
        <f t="shared" si="115"/>
        <v>-1</v>
      </c>
      <c r="AH281" s="176">
        <f t="shared" si="116"/>
        <v>5</v>
      </c>
      <c r="AI281" s="224">
        <f t="shared" si="117"/>
        <v>-0.50706536940055313</v>
      </c>
      <c r="AJ281" s="264" t="b">
        <f t="shared" si="118"/>
        <v>0</v>
      </c>
      <c r="AK281" s="264" t="b">
        <f t="shared" si="119"/>
        <v>0</v>
      </c>
      <c r="AL281" s="264"/>
      <c r="AM281" s="264"/>
      <c r="AN281" s="75"/>
    </row>
    <row r="282" spans="1:40" s="6" customFormat="1" ht="11.25" x14ac:dyDescent="0.2">
      <c r="A282" s="56">
        <f t="shared" si="120"/>
        <v>44098</v>
      </c>
      <c r="B282" s="607">
        <v>22.456</v>
      </c>
      <c r="C282" s="388"/>
      <c r="D282" s="391">
        <f t="shared" si="99"/>
        <v>22.716581997312709</v>
      </c>
      <c r="E282" s="383">
        <f t="shared" si="97"/>
        <v>23.873034062832954</v>
      </c>
      <c r="F282" s="383">
        <f t="shared" si="100"/>
        <v>23.873104016996642</v>
      </c>
      <c r="G282" s="110">
        <f t="shared" si="98"/>
        <v>0.4842869112829859</v>
      </c>
      <c r="H282" s="412" t="b">
        <f>Wh_hp&gt;='2019'!Maxi_hp</f>
        <v>0</v>
      </c>
      <c r="I282" s="388">
        <f>IF(H282,Wh_hp,'2019'!Maxi_hp)</f>
        <v>30.156301542389691</v>
      </c>
      <c r="J282" s="85">
        <f>IF(H282,An,'2019'!An_max)</f>
        <v>2018</v>
      </c>
      <c r="K282" s="197">
        <f t="shared" si="101"/>
        <v>44098</v>
      </c>
      <c r="L282" s="147">
        <f>IF(t&lt;Tvie,1-EXP((T0-t)*PertePVj)+'2019'!Pspv,1-EXP((T0-t)*PertePVj)+Pspv)</f>
        <v>1.1471003751512221E-2</v>
      </c>
      <c r="M282" s="832"/>
      <c r="N282" s="832"/>
      <c r="O282" s="48">
        <f>IF(t&lt;Tnet,'2019'!Resal+('2019'!Salim-'2019'!Resal)*(1-EXP(('2019'!Tnet-t)/('2019'!Tau_j))),Resal+(Salim-Resal)*(1-EXP((Tnet-t)/(Tau_j))))*Salcycl</f>
        <v>4.8441771685848782E-2</v>
      </c>
      <c r="P282" s="169">
        <f>(INDEX(Models!$BJ282:$BT282,,T282)*(1-R282)+INDEX(Models!$BJ282:$BT282,,T282+1)*R282-ERP_i)*Q282*Ramure*Pc/MaxiM</f>
        <v>1.1130094945936799E-5</v>
      </c>
      <c r="Q282" s="304">
        <f t="shared" si="102"/>
        <v>0.6</v>
      </c>
      <c r="R282" s="177">
        <f t="shared" si="103"/>
        <v>0.4931869295266651</v>
      </c>
      <c r="S282" s="799">
        <f t="shared" si="104"/>
        <v>-1</v>
      </c>
      <c r="T282" s="176">
        <f t="shared" si="105"/>
        <v>5</v>
      </c>
      <c r="U282" s="250">
        <f t="shared" si="106"/>
        <v>-0.5068130704733349</v>
      </c>
      <c r="V282" s="382">
        <f t="shared" si="107"/>
        <v>46.368826702857582</v>
      </c>
      <c r="W282" s="58"/>
      <c r="X282" s="157">
        <f t="shared" si="108"/>
        <v>44098</v>
      </c>
      <c r="Y282" s="383">
        <f t="shared" si="109"/>
        <v>22.456</v>
      </c>
      <c r="Z282" s="383">
        <f t="shared" si="110"/>
        <v>22.716581997312709</v>
      </c>
      <c r="AA282" s="384">
        <f t="shared" si="111"/>
        <v>23.873034062832954</v>
      </c>
      <c r="AB282" s="197">
        <f t="shared" si="112"/>
        <v>44098</v>
      </c>
      <c r="AC282" s="424">
        <f>IF(OR(t&lt;Tnet,NoTnet),'2019'!Resal_s+('2019'!Salim-'2019'!Resal_s)*(1-EXP(('2019'!Tnet_s-t)/'2019'!Tau_j)),Resal_s+(Salim-Resal_s)*(1-EXP((Tnet_s-t)/Tau_j)))*Salcycl</f>
        <v>4.8441771685848782E-2</v>
      </c>
      <c r="AD282" s="230">
        <f>(INDEX(Models!$BJ282:$BT282,,AH282)*(1-AF282)+INDEX(Models!$BJ282:$BT282,,AH282+1)*AF282-ERP_i)*AE282*Ramure*Pc/MaxiM</f>
        <v>1.1130094945936799E-5</v>
      </c>
      <c r="AE282" s="304">
        <f t="shared" si="113"/>
        <v>0.6</v>
      </c>
      <c r="AF282" s="177">
        <f t="shared" si="114"/>
        <v>0.4931869295266651</v>
      </c>
      <c r="AG282" s="176">
        <f t="shared" si="115"/>
        <v>-1</v>
      </c>
      <c r="AH282" s="176">
        <f t="shared" si="116"/>
        <v>5</v>
      </c>
      <c r="AI282" s="224">
        <f t="shared" si="117"/>
        <v>-0.5068130704733349</v>
      </c>
      <c r="AJ282" s="264" t="b">
        <f t="shared" si="118"/>
        <v>0</v>
      </c>
      <c r="AK282" s="264" t="b">
        <f t="shared" si="119"/>
        <v>0</v>
      </c>
      <c r="AL282" s="264"/>
      <c r="AM282" s="264"/>
      <c r="AN282" s="75"/>
    </row>
    <row r="283" spans="1:40" s="6" customFormat="1" ht="11.25" x14ac:dyDescent="0.2">
      <c r="A283" s="56">
        <f t="shared" si="120"/>
        <v>44099</v>
      </c>
      <c r="B283" s="607">
        <v>21.361000000000001</v>
      </c>
      <c r="C283" s="388"/>
      <c r="D283" s="391">
        <f t="shared" si="99"/>
        <v>21.609289628938644</v>
      </c>
      <c r="E283" s="383">
        <f t="shared" si="97"/>
        <v>22.710239377812766</v>
      </c>
      <c r="F283" s="383">
        <f t="shared" si="100"/>
        <v>22.710301379308568</v>
      </c>
      <c r="G283" s="110">
        <f t="shared" si="98"/>
        <v>0.46314541859167313</v>
      </c>
      <c r="H283" s="412" t="b">
        <f>Wh_hp&gt;='2019'!Maxi_hp</f>
        <v>0</v>
      </c>
      <c r="I283" s="388">
        <f>IF(H283,Wh_hp,'2019'!Maxi_hp)</f>
        <v>39.717752875217975</v>
      </c>
      <c r="J283" s="85">
        <f>IF(H283,An,'2019'!An_max)</f>
        <v>2018</v>
      </c>
      <c r="K283" s="197">
        <f t="shared" si="101"/>
        <v>44099</v>
      </c>
      <c r="L283" s="147">
        <f>IF(t&lt;Tvie,1-EXP((T0-t)*PertePVj)+'2019'!Pspv,1-EXP((T0-t)*PertePVj)+Pspv)</f>
        <v>1.1489948684205609E-2</v>
      </c>
      <c r="M283" s="832"/>
      <c r="N283" s="832"/>
      <c r="O283" s="48">
        <f>IF(t&lt;Tnet,'2019'!Resal+('2019'!Salim-'2019'!Resal)*(1-EXP(('2019'!Tnet-t)/('2019'!Tau_j))),Resal+(Salim-Resal)*(1-EXP((Tnet-t)/(Tau_j))))*Salcycl</f>
        <v>4.8478121721152706E-2</v>
      </c>
      <c r="P283" s="169">
        <f>(INDEX(Models!$BJ283:$BT283,,T283)*(1-R283)+INDEX(Models!$BJ283:$BT283,,T283+1)*R283-ERP_i)*Q283*Ramure*Pc/MaxiM</f>
        <v>1.1713625938637396E-5</v>
      </c>
      <c r="Q283" s="304">
        <f t="shared" si="102"/>
        <v>0.6</v>
      </c>
      <c r="R283" s="177">
        <f t="shared" si="103"/>
        <v>0.49342931238704302</v>
      </c>
      <c r="S283" s="799">
        <f t="shared" si="104"/>
        <v>-1</v>
      </c>
      <c r="T283" s="176">
        <f t="shared" si="105"/>
        <v>5</v>
      </c>
      <c r="U283" s="250">
        <f t="shared" si="106"/>
        <v>-0.50657068761295698</v>
      </c>
      <c r="V283" s="382">
        <f t="shared" si="107"/>
        <v>46.121168956886486</v>
      </c>
      <c r="W283" s="58"/>
      <c r="X283" s="157">
        <f t="shared" si="108"/>
        <v>44099</v>
      </c>
      <c r="Y283" s="383">
        <f t="shared" si="109"/>
        <v>21.361000000000001</v>
      </c>
      <c r="Z283" s="383">
        <f t="shared" si="110"/>
        <v>21.609289628938644</v>
      </c>
      <c r="AA283" s="384">
        <f t="shared" si="111"/>
        <v>22.710239377812766</v>
      </c>
      <c r="AB283" s="197">
        <f t="shared" si="112"/>
        <v>44099</v>
      </c>
      <c r="AC283" s="424">
        <f>IF(OR(t&lt;Tnet,NoTnet),'2019'!Resal_s+('2019'!Salim-'2019'!Resal_s)*(1-EXP(('2019'!Tnet_s-t)/'2019'!Tau_j)),Resal_s+(Salim-Resal_s)*(1-EXP((Tnet_s-t)/Tau_j)))*Salcycl</f>
        <v>4.8478121721152706E-2</v>
      </c>
      <c r="AD283" s="230">
        <f>(INDEX(Models!$BJ283:$BT283,,AH283)*(1-AF283)+INDEX(Models!$BJ283:$BT283,,AH283+1)*AF283-ERP_i)*AE283*Ramure*Pc/MaxiM</f>
        <v>1.1713625938637396E-5</v>
      </c>
      <c r="AE283" s="304">
        <f t="shared" si="113"/>
        <v>0.6</v>
      </c>
      <c r="AF283" s="177">
        <f t="shared" si="114"/>
        <v>0.49342931238704302</v>
      </c>
      <c r="AG283" s="176">
        <f t="shared" si="115"/>
        <v>-1</v>
      </c>
      <c r="AH283" s="176">
        <f t="shared" si="116"/>
        <v>5</v>
      </c>
      <c r="AI283" s="224">
        <f t="shared" si="117"/>
        <v>-0.50657068761295698</v>
      </c>
      <c r="AJ283" s="264" t="b">
        <f t="shared" si="118"/>
        <v>0</v>
      </c>
      <c r="AK283" s="264" t="b">
        <f t="shared" si="119"/>
        <v>0</v>
      </c>
      <c r="AL283" s="264"/>
      <c r="AM283" s="264"/>
      <c r="AN283" s="75"/>
    </row>
    <row r="284" spans="1:40" s="6" customFormat="1" ht="11.25" x14ac:dyDescent="0.2">
      <c r="A284" s="56">
        <f t="shared" si="120"/>
        <v>44100</v>
      </c>
      <c r="B284" s="607">
        <v>14.428000000000001</v>
      </c>
      <c r="C284" s="388"/>
      <c r="D284" s="391">
        <f t="shared" si="99"/>
        <v>14.59598361738707</v>
      </c>
      <c r="E284" s="383">
        <f t="shared" si="97"/>
        <v>15.340195010798613</v>
      </c>
      <c r="F284" s="383">
        <f t="shared" si="100"/>
        <v>15.340198927162746</v>
      </c>
      <c r="G284" s="110">
        <f t="shared" si="98"/>
        <v>0.31453897803636305</v>
      </c>
      <c r="H284" s="412" t="b">
        <f>Wh_hp&gt;='2019'!Maxi_hp</f>
        <v>0</v>
      </c>
      <c r="I284" s="388">
        <f>IF(H284,Wh_hp,'2019'!Maxi_hp)</f>
        <v>41.366659117573256</v>
      </c>
      <c r="J284" s="85">
        <f>IF(H284,An,'2019'!An_max)</f>
        <v>2018</v>
      </c>
      <c r="K284" s="197">
        <f t="shared" si="101"/>
        <v>44100</v>
      </c>
      <c r="L284" s="147">
        <f>IF(t&lt;Tvie,1-EXP((T0-t)*PertePVj)+'2019'!Pspv,1-EXP((T0-t)*PertePVj)+Pspv)</f>
        <v>1.150889325382376E-2</v>
      </c>
      <c r="M284" s="832"/>
      <c r="N284" s="832"/>
      <c r="O284" s="48">
        <f>IF(t&lt;Tnet,'2019'!Resal+('2019'!Salim-'2019'!Resal)*(1-EXP(('2019'!Tnet-t)/('2019'!Tau_j))),Resal+(Salim-Resal)*(1-EXP((Tnet-t)/(Tau_j))))*Salcycl</f>
        <v>4.8513815690586722E-2</v>
      </c>
      <c r="P284" s="169">
        <f>(INDEX(Models!$BJ284:$BT284,,T284)*(1-R284)+INDEX(Models!$BJ284:$BT284,,T284+1)*R284-ERP_i)*Q284*Ramure*Pc/MaxiM</f>
        <v>1.2288622000142227E-5</v>
      </c>
      <c r="Q284" s="304">
        <f t="shared" si="102"/>
        <v>0.6</v>
      </c>
      <c r="R284" s="177">
        <f t="shared" si="103"/>
        <v>0.49366215964611238</v>
      </c>
      <c r="S284" s="799">
        <f t="shared" si="104"/>
        <v>-1</v>
      </c>
      <c r="T284" s="176">
        <f t="shared" si="105"/>
        <v>5</v>
      </c>
      <c r="U284" s="250">
        <f t="shared" si="106"/>
        <v>-0.50633784035388762</v>
      </c>
      <c r="V284" s="382">
        <f t="shared" si="107"/>
        <v>45.869756661855021</v>
      </c>
      <c r="W284" s="58"/>
      <c r="X284" s="157">
        <f t="shared" si="108"/>
        <v>44100</v>
      </c>
      <c r="Y284" s="383">
        <f t="shared" si="109"/>
        <v>14.428000000000001</v>
      </c>
      <c r="Z284" s="383">
        <f t="shared" si="110"/>
        <v>14.59598361738707</v>
      </c>
      <c r="AA284" s="384">
        <f t="shared" si="111"/>
        <v>15.340195010798613</v>
      </c>
      <c r="AB284" s="197">
        <f t="shared" si="112"/>
        <v>44100</v>
      </c>
      <c r="AC284" s="424">
        <f>IF(OR(t&lt;Tnet,NoTnet),'2019'!Resal_s+('2019'!Salim-'2019'!Resal_s)*(1-EXP(('2019'!Tnet_s-t)/'2019'!Tau_j)),Resal_s+(Salim-Resal_s)*(1-EXP((Tnet_s-t)/Tau_j)))*Salcycl</f>
        <v>4.8513815690586722E-2</v>
      </c>
      <c r="AD284" s="230">
        <f>(INDEX(Models!$BJ284:$BT284,,AH284)*(1-AF284)+INDEX(Models!$BJ284:$BT284,,AH284+1)*AF284-ERP_i)*AE284*Ramure*Pc/MaxiM</f>
        <v>1.2288622000142227E-5</v>
      </c>
      <c r="AE284" s="304">
        <f t="shared" si="113"/>
        <v>0.6</v>
      </c>
      <c r="AF284" s="177">
        <f t="shared" si="114"/>
        <v>0.49366215964611238</v>
      </c>
      <c r="AG284" s="176">
        <f t="shared" si="115"/>
        <v>-1</v>
      </c>
      <c r="AH284" s="176">
        <f t="shared" si="116"/>
        <v>5</v>
      </c>
      <c r="AI284" s="224">
        <f t="shared" si="117"/>
        <v>-0.50633784035388762</v>
      </c>
      <c r="AJ284" s="264" t="b">
        <f t="shared" si="118"/>
        <v>0</v>
      </c>
      <c r="AK284" s="264" t="b">
        <f t="shared" si="119"/>
        <v>0</v>
      </c>
      <c r="AL284" s="264"/>
      <c r="AM284" s="264"/>
      <c r="AN284" s="75"/>
    </row>
    <row r="285" spans="1:40" s="6" customFormat="1" ht="11.25" x14ac:dyDescent="0.2">
      <c r="A285" s="56">
        <f t="shared" si="120"/>
        <v>44101</v>
      </c>
      <c r="B285" s="607">
        <v>12.715999999999999</v>
      </c>
      <c r="C285" s="388"/>
      <c r="D285" s="391">
        <f t="shared" si="99"/>
        <v>12.864297530979009</v>
      </c>
      <c r="E285" s="383">
        <f t="shared" si="97"/>
        <v>13.520712394417254</v>
      </c>
      <c r="F285" s="383">
        <f t="shared" si="100"/>
        <v>13.520712394417254</v>
      </c>
      <c r="G285" s="110">
        <f t="shared" si="98"/>
        <v>0.27876624772109915</v>
      </c>
      <c r="H285" s="412" t="b">
        <f>Wh_hp&gt;='2019'!Maxi_hp</f>
        <v>0</v>
      </c>
      <c r="I285" s="388">
        <f>IF(H285,Wh_hp,'2019'!Maxi_hp)</f>
        <v>36.836006686533622</v>
      </c>
      <c r="J285" s="85">
        <f>IF(H285,An,'2019'!An_max)</f>
        <v>2018</v>
      </c>
      <c r="K285" s="197">
        <f t="shared" si="101"/>
        <v>44101</v>
      </c>
      <c r="L285" s="147">
        <f>IF(t&lt;Tvie,1-EXP((T0-t)*PertePVj)+'2019'!Pspv,1-EXP((T0-t)*PertePVj)+Pspv)</f>
        <v>1.1527837460373447E-2</v>
      </c>
      <c r="M285" s="832"/>
      <c r="N285" s="832"/>
      <c r="O285" s="48">
        <f>IF(t&lt;Tnet,'2019'!Resal+('2019'!Salim-'2019'!Resal)*(1-EXP(('2019'!Tnet-t)/('2019'!Tau_j))),Resal+(Salim-Resal)*(1-EXP((Tnet-t)/(Tau_j))))*Salcycl</f>
        <v>4.8548837094506934E-2</v>
      </c>
      <c r="P285" s="169">
        <f>(INDEX(Models!$BJ285:$BT285,,T285)*(1-R285)+INDEX(Models!$BJ285:$BT285,,T285+1)*R285-ERP_i)*Q285*Ramure*Pc/MaxiM</f>
        <v>1.2854879114720549E-5</v>
      </c>
      <c r="Q285" s="304">
        <f t="shared" si="102"/>
        <v>0.6</v>
      </c>
      <c r="R285" s="177">
        <f t="shared" si="103"/>
        <v>0.49388583789539897</v>
      </c>
      <c r="S285" s="799">
        <f t="shared" si="104"/>
        <v>-1</v>
      </c>
      <c r="T285" s="176">
        <f t="shared" si="105"/>
        <v>5</v>
      </c>
      <c r="U285" s="250">
        <f t="shared" si="106"/>
        <v>-0.50611416210460103</v>
      </c>
      <c r="V285" s="382">
        <f t="shared" si="107"/>
        <v>45.614692027132186</v>
      </c>
      <c r="W285" s="58"/>
      <c r="X285" s="157">
        <f t="shared" si="108"/>
        <v>44101</v>
      </c>
      <c r="Y285" s="383">
        <f t="shared" si="109"/>
        <v>12.715999999999999</v>
      </c>
      <c r="Z285" s="383">
        <f t="shared" si="110"/>
        <v>12.864297530979009</v>
      </c>
      <c r="AA285" s="384">
        <f t="shared" si="111"/>
        <v>13.520712394417254</v>
      </c>
      <c r="AB285" s="197">
        <f t="shared" si="112"/>
        <v>44101</v>
      </c>
      <c r="AC285" s="424">
        <f>IF(OR(t&lt;Tnet,NoTnet),'2019'!Resal_s+('2019'!Salim-'2019'!Resal_s)*(1-EXP(('2019'!Tnet_s-t)/'2019'!Tau_j)),Resal_s+(Salim-Resal_s)*(1-EXP((Tnet_s-t)/Tau_j)))*Salcycl</f>
        <v>4.8548837094506934E-2</v>
      </c>
      <c r="AD285" s="230">
        <f>(INDEX(Models!$BJ285:$BT285,,AH285)*(1-AF285)+INDEX(Models!$BJ285:$BT285,,AH285+1)*AF285-ERP_i)*AE285*Ramure*Pc/MaxiM</f>
        <v>1.2854879114720549E-5</v>
      </c>
      <c r="AE285" s="304">
        <f t="shared" si="113"/>
        <v>0.6</v>
      </c>
      <c r="AF285" s="177">
        <f t="shared" si="114"/>
        <v>0.49388583789539897</v>
      </c>
      <c r="AG285" s="176">
        <f t="shared" si="115"/>
        <v>-1</v>
      </c>
      <c r="AH285" s="176">
        <f t="shared" si="116"/>
        <v>5</v>
      </c>
      <c r="AI285" s="224">
        <f t="shared" si="117"/>
        <v>-0.50611416210460103</v>
      </c>
      <c r="AJ285" s="264" t="b">
        <f t="shared" si="118"/>
        <v>0</v>
      </c>
      <c r="AK285" s="264" t="b">
        <f t="shared" si="119"/>
        <v>0</v>
      </c>
      <c r="AL285" s="264"/>
      <c r="AM285" s="264"/>
      <c r="AN285" s="75"/>
    </row>
    <row r="286" spans="1:40" s="6" customFormat="1" ht="11.25" x14ac:dyDescent="0.2">
      <c r="A286" s="56">
        <f t="shared" si="120"/>
        <v>44102</v>
      </c>
      <c r="B286" s="607">
        <v>26.256</v>
      </c>
      <c r="C286" s="388"/>
      <c r="D286" s="391">
        <f t="shared" si="99"/>
        <v>26.56271384763571</v>
      </c>
      <c r="E286" s="383">
        <f t="shared" si="97"/>
        <v>27.919112854840403</v>
      </c>
      <c r="F286" s="383">
        <f t="shared" si="100"/>
        <v>27.919262042216264</v>
      </c>
      <c r="G286" s="110">
        <f t="shared" si="98"/>
        <v>0.5788813711948384</v>
      </c>
      <c r="H286" s="412" t="b">
        <f>Wh_hp&gt;='2019'!Maxi_hp</f>
        <v>0</v>
      </c>
      <c r="I286" s="388">
        <f>IF(H286,Wh_hp,'2019'!Maxi_hp)</f>
        <v>46.051965901147405</v>
      </c>
      <c r="J286" s="85">
        <f>IF(H286,An,'2019'!An_max)</f>
        <v>2018</v>
      </c>
      <c r="K286" s="197">
        <f t="shared" si="101"/>
        <v>44102</v>
      </c>
      <c r="L286" s="147">
        <f>IF(t&lt;Tvie,1-EXP((T0-t)*PertePVj)+'2019'!Pspv,1-EXP((T0-t)*PertePVj)+Pspv)</f>
        <v>1.1546781303861775E-2</v>
      </c>
      <c r="M286" s="832"/>
      <c r="N286" s="832"/>
      <c r="O286" s="48">
        <f>IF(t&lt;Tnet,'2019'!Resal+('2019'!Salim-'2019'!Resal)*(1-EXP(('2019'!Tnet-t)/('2019'!Tau_j))),Resal+(Salim-Resal)*(1-EXP((Tnet-t)/(Tau_j))))*Salcycl</f>
        <v>4.8583170040431022E-2</v>
      </c>
      <c r="P286" s="169">
        <f>(INDEX(Models!$BJ286:$BT286,,T286)*(1-R286)+INDEX(Models!$BJ286:$BT286,,T286+1)*R286-ERP_i)*Q286*Ramure*Pc/MaxiM</f>
        <v>1.3412180863400076E-5</v>
      </c>
      <c r="Q286" s="304">
        <f t="shared" si="102"/>
        <v>0.6</v>
      </c>
      <c r="R286" s="177">
        <f t="shared" si="103"/>
        <v>0.49410070030130915</v>
      </c>
      <c r="S286" s="799">
        <f t="shared" si="104"/>
        <v>-1</v>
      </c>
      <c r="T286" s="176">
        <f t="shared" si="105"/>
        <v>5</v>
      </c>
      <c r="U286" s="250">
        <f t="shared" si="106"/>
        <v>-0.50589929969869085</v>
      </c>
      <c r="V286" s="382">
        <f t="shared" si="107"/>
        <v>45.356077177162497</v>
      </c>
      <c r="W286" s="58"/>
      <c r="X286" s="157">
        <f t="shared" si="108"/>
        <v>44102</v>
      </c>
      <c r="Y286" s="383">
        <f t="shared" si="109"/>
        <v>26.256</v>
      </c>
      <c r="Z286" s="383">
        <f t="shared" si="110"/>
        <v>26.56271384763571</v>
      </c>
      <c r="AA286" s="384">
        <f t="shared" si="111"/>
        <v>27.919112854840403</v>
      </c>
      <c r="AB286" s="197">
        <f t="shared" si="112"/>
        <v>44102</v>
      </c>
      <c r="AC286" s="424">
        <f>IF(OR(t&lt;Tnet,NoTnet),'2019'!Resal_s+('2019'!Salim-'2019'!Resal_s)*(1-EXP(('2019'!Tnet_s-t)/'2019'!Tau_j)),Resal_s+(Salim-Resal_s)*(1-EXP((Tnet_s-t)/Tau_j)))*Salcycl</f>
        <v>4.8583170040431022E-2</v>
      </c>
      <c r="AD286" s="230">
        <f>(INDEX(Models!$BJ286:$BT286,,AH286)*(1-AF286)+INDEX(Models!$BJ286:$BT286,,AH286+1)*AF286-ERP_i)*AE286*Ramure*Pc/MaxiM</f>
        <v>1.3412180863400076E-5</v>
      </c>
      <c r="AE286" s="304">
        <f t="shared" si="113"/>
        <v>0.6</v>
      </c>
      <c r="AF286" s="177">
        <f t="shared" si="114"/>
        <v>0.49410070030130915</v>
      </c>
      <c r="AG286" s="176">
        <f t="shared" si="115"/>
        <v>-1</v>
      </c>
      <c r="AH286" s="176">
        <f t="shared" si="116"/>
        <v>5</v>
      </c>
      <c r="AI286" s="224">
        <f t="shared" si="117"/>
        <v>-0.50589929969869085</v>
      </c>
      <c r="AJ286" s="264" t="b">
        <f t="shared" si="118"/>
        <v>0</v>
      </c>
      <c r="AK286" s="264" t="b">
        <f t="shared" si="119"/>
        <v>0</v>
      </c>
      <c r="AL286" s="264"/>
      <c r="AM286" s="264"/>
      <c r="AN286" s="75"/>
    </row>
    <row r="287" spans="1:40" s="6" customFormat="1" ht="11.25" x14ac:dyDescent="0.2">
      <c r="A287" s="56">
        <f t="shared" si="120"/>
        <v>44103</v>
      </c>
      <c r="B287" s="607">
        <v>34.848999999999997</v>
      </c>
      <c r="C287" s="388"/>
      <c r="D287" s="391">
        <f t="shared" si="99"/>
        <v>35.25677009975697</v>
      </c>
      <c r="E287" s="383">
        <f t="shared" si="97"/>
        <v>37.05843247660728</v>
      </c>
      <c r="F287" s="383">
        <f t="shared" si="100"/>
        <v>37.058781916389229</v>
      </c>
      <c r="G287" s="110">
        <f t="shared" si="98"/>
        <v>0.77280416833273191</v>
      </c>
      <c r="H287" s="412" t="b">
        <f>Wh_hp&gt;='2019'!Maxi_hp</f>
        <v>1</v>
      </c>
      <c r="I287" s="388">
        <f>IF(H287,Wh_hp,'2019'!Maxi_hp)</f>
        <v>37.058781916389229</v>
      </c>
      <c r="J287" s="85">
        <f>IF(H287,An,'2019'!An_max)</f>
        <v>2020</v>
      </c>
      <c r="K287" s="197">
        <f t="shared" si="101"/>
        <v>44103</v>
      </c>
      <c r="L287" s="147">
        <f>IF(t&lt;Tvie,1-EXP((T0-t)*PertePVj)+'2019'!Pspv,1-EXP((T0-t)*PertePVj)+Pspv)</f>
        <v>1.1565724784295628E-2</v>
      </c>
      <c r="M287" s="832"/>
      <c r="N287" s="832"/>
      <c r="O287" s="48">
        <f>IF(t&lt;Tnet,'2019'!Resal+('2019'!Salim-'2019'!Resal)*(1-EXP(('2019'!Tnet-t)/('2019'!Tau_j))),Resal+(Salim-Resal)*(1-EXP((Tnet-t)/(Tau_j))))*Salcycl</f>
        <v>4.8616799374544224E-2</v>
      </c>
      <c r="P287" s="169">
        <f>(INDEX(Models!$BJ287:$BT287,,T287)*(1-R287)+INDEX(Models!$BJ287:$BT287,,T287+1)*R287-ERP_i)*Q287*Ramure*Pc/MaxiM</f>
        <v>1.3960299390314606E-5</v>
      </c>
      <c r="Q287" s="304">
        <f t="shared" si="102"/>
        <v>0.6</v>
      </c>
      <c r="R287" s="177">
        <f t="shared" si="103"/>
        <v>0.49430708704411819</v>
      </c>
      <c r="S287" s="799">
        <f t="shared" si="104"/>
        <v>-1</v>
      </c>
      <c r="T287" s="176">
        <f t="shared" si="105"/>
        <v>5</v>
      </c>
      <c r="U287" s="250">
        <f t="shared" si="106"/>
        <v>-0.50569291295588181</v>
      </c>
      <c r="V287" s="382">
        <f t="shared" si="107"/>
        <v>45.094014146200486</v>
      </c>
      <c r="W287" s="58"/>
      <c r="X287" s="157">
        <f t="shared" si="108"/>
        <v>44103</v>
      </c>
      <c r="Y287" s="383">
        <f t="shared" si="109"/>
        <v>34.848999999999997</v>
      </c>
      <c r="Z287" s="383">
        <f t="shared" si="110"/>
        <v>35.25677009975697</v>
      </c>
      <c r="AA287" s="384">
        <f t="shared" si="111"/>
        <v>37.05843247660728</v>
      </c>
      <c r="AB287" s="197">
        <f t="shared" si="112"/>
        <v>44103</v>
      </c>
      <c r="AC287" s="424">
        <f>IF(OR(t&lt;Tnet,NoTnet),'2019'!Resal_s+('2019'!Salim-'2019'!Resal_s)*(1-EXP(('2019'!Tnet_s-t)/'2019'!Tau_j)),Resal_s+(Salim-Resal_s)*(1-EXP((Tnet_s-t)/Tau_j)))*Salcycl</f>
        <v>4.8616799374544224E-2</v>
      </c>
      <c r="AD287" s="230">
        <f>(INDEX(Models!$BJ287:$BT287,,AH287)*(1-AF287)+INDEX(Models!$BJ287:$BT287,,AH287+1)*AF287-ERP_i)*AE287*Ramure*Pc/MaxiM</f>
        <v>1.3960299390314606E-5</v>
      </c>
      <c r="AE287" s="304">
        <f t="shared" si="113"/>
        <v>0.6</v>
      </c>
      <c r="AF287" s="177">
        <f t="shared" si="114"/>
        <v>0.49430708704411819</v>
      </c>
      <c r="AG287" s="176">
        <f t="shared" si="115"/>
        <v>-1</v>
      </c>
      <c r="AH287" s="176">
        <f t="shared" si="116"/>
        <v>5</v>
      </c>
      <c r="AI287" s="224">
        <f t="shared" si="117"/>
        <v>-0.50569291295588181</v>
      </c>
      <c r="AJ287" s="264" t="b">
        <f t="shared" si="118"/>
        <v>0</v>
      </c>
      <c r="AK287" s="264" t="b">
        <f t="shared" si="119"/>
        <v>0</v>
      </c>
      <c r="AL287" s="264"/>
      <c r="AM287" s="264"/>
      <c r="AN287" s="75"/>
    </row>
    <row r="288" spans="1:40" s="6" customFormat="1" ht="11.25" x14ac:dyDescent="0.2">
      <c r="A288" s="56">
        <f t="shared" si="120"/>
        <v>44104</v>
      </c>
      <c r="B288" s="607">
        <v>42.896000000000001</v>
      </c>
      <c r="C288" s="388"/>
      <c r="D288" s="391">
        <f t="shared" si="99"/>
        <v>43.398760224546095</v>
      </c>
      <c r="E288" s="383">
        <f t="shared" si="97"/>
        <v>45.618065940579363</v>
      </c>
      <c r="F288" s="383">
        <f t="shared" si="100"/>
        <v>45.618686630492995</v>
      </c>
      <c r="G288" s="110">
        <f t="shared" si="98"/>
        <v>0.95688817028764894</v>
      </c>
      <c r="H288" s="412" t="b">
        <f>Wh_hp&gt;='2019'!Maxi_hp</f>
        <v>1</v>
      </c>
      <c r="I288" s="388">
        <f>IF(H288,Wh_hp,'2019'!Maxi_hp)</f>
        <v>45.618686630492995</v>
      </c>
      <c r="J288" s="85">
        <f>IF(H288,An,'2019'!An_max)</f>
        <v>2020</v>
      </c>
      <c r="K288" s="197">
        <f t="shared" si="101"/>
        <v>44104</v>
      </c>
      <c r="L288" s="147">
        <f>IF(t&lt;Tvie,1-EXP((T0-t)*PertePVj)+'2019'!Pspv,1-EXP((T0-t)*PertePVj)+Pspv)</f>
        <v>1.1584667901682111E-2</v>
      </c>
      <c r="M288" s="832"/>
      <c r="N288" s="832"/>
      <c r="O288" s="48">
        <f>IF(t&lt;Tnet,'2019'!Resal+('2019'!Salim-'2019'!Resal)*(1-EXP(('2019'!Tnet-t)/('2019'!Tau_j))),Resal+(Salim-Resal)*(1-EXP((Tnet-t)/(Tau_j))))*Salcycl</f>
        <v>4.8649710816851981E-2</v>
      </c>
      <c r="P288" s="169">
        <f>(INDEX(Models!$BJ288:$BT288,,T288)*(1-R288)+INDEX(Models!$BJ288:$BT288,,T288+1)*R288-ERP_i)*Q288*Ramure*Pc/MaxiM</f>
        <v>1.4498996485125044E-5</v>
      </c>
      <c r="Q288" s="304">
        <f t="shared" si="102"/>
        <v>0.6</v>
      </c>
      <c r="R288" s="177">
        <f t="shared" si="103"/>
        <v>0.49450532574686645</v>
      </c>
      <c r="S288" s="799">
        <f t="shared" si="104"/>
        <v>-1</v>
      </c>
      <c r="T288" s="176">
        <f t="shared" si="105"/>
        <v>5</v>
      </c>
      <c r="U288" s="250">
        <f t="shared" si="106"/>
        <v>-0.50549467425313355</v>
      </c>
      <c r="V288" s="382">
        <f t="shared" si="107"/>
        <v>44.828604875057543</v>
      </c>
      <c r="W288" s="58"/>
      <c r="X288" s="157">
        <f t="shared" si="108"/>
        <v>44104</v>
      </c>
      <c r="Y288" s="383">
        <f t="shared" si="109"/>
        <v>42.896000000000001</v>
      </c>
      <c r="Z288" s="383">
        <f t="shared" si="110"/>
        <v>43.398760224546095</v>
      </c>
      <c r="AA288" s="384">
        <f t="shared" si="111"/>
        <v>45.618065940579363</v>
      </c>
      <c r="AB288" s="197">
        <f t="shared" si="112"/>
        <v>44104</v>
      </c>
      <c r="AC288" s="424">
        <f>IF(OR(t&lt;Tnet,NoTnet),'2019'!Resal_s+('2019'!Salim-'2019'!Resal_s)*(1-EXP(('2019'!Tnet_s-t)/'2019'!Tau_j)),Resal_s+(Salim-Resal_s)*(1-EXP((Tnet_s-t)/Tau_j)))*Salcycl</f>
        <v>4.8649710816851981E-2</v>
      </c>
      <c r="AD288" s="230">
        <f>(INDEX(Models!$BJ288:$BT288,,AH288)*(1-AF288)+INDEX(Models!$BJ288:$BT288,,AH288+1)*AF288-ERP_i)*AE288*Ramure*Pc/MaxiM</f>
        <v>1.4498996485125044E-5</v>
      </c>
      <c r="AE288" s="304">
        <f t="shared" si="113"/>
        <v>0.6</v>
      </c>
      <c r="AF288" s="177">
        <f t="shared" si="114"/>
        <v>0.49450532574686645</v>
      </c>
      <c r="AG288" s="176">
        <f t="shared" si="115"/>
        <v>-1</v>
      </c>
      <c r="AH288" s="176">
        <f t="shared" si="116"/>
        <v>5</v>
      </c>
      <c r="AI288" s="224">
        <f t="shared" si="117"/>
        <v>-0.50549467425313355</v>
      </c>
      <c r="AJ288" s="264" t="b">
        <f t="shared" si="118"/>
        <v>0</v>
      </c>
      <c r="AK288" s="264" t="b">
        <f t="shared" si="119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20"/>
        <v>44105</v>
      </c>
      <c r="B289" s="607">
        <v>7.9009999999999998</v>
      </c>
      <c r="C289" s="388"/>
      <c r="D289" s="391">
        <f t="shared" si="99"/>
        <v>7.9937564373784564</v>
      </c>
      <c r="E289" s="383">
        <f t="shared" si="97"/>
        <v>8.4028216877032502</v>
      </c>
      <c r="F289" s="383">
        <f t="shared" si="100"/>
        <v>8.4028216877032502</v>
      </c>
      <c r="G289" s="110">
        <f t="shared" si="98"/>
        <v>0.17731177293106451</v>
      </c>
      <c r="H289" s="412" t="b">
        <f>Wh_hp&gt;='2019'!Maxi_hp</f>
        <v>0</v>
      </c>
      <c r="I289" s="388">
        <f>IF(H289,Wh_hp,'2019'!Maxi_hp)</f>
        <v>23.80740923248225</v>
      </c>
      <c r="J289" s="85">
        <f>IF(H289,An,'2019'!An_max)</f>
        <v>2018</v>
      </c>
      <c r="K289" s="197">
        <f t="shared" si="101"/>
        <v>44105</v>
      </c>
      <c r="L289" s="147">
        <f>IF(t&lt;Tvie,1-EXP((T0-t)*PertePVj)+'2019'!Pspv,1-EXP((T0-t)*PertePVj)+Pspv)</f>
        <v>1.1603610656027996E-2</v>
      </c>
      <c r="M289" s="832"/>
      <c r="N289" s="832"/>
      <c r="O289" s="48">
        <f>IF(t&lt;Tnet,'2019'!Resal+('2019'!Salim-'2019'!Resal)*(1-EXP(('2019'!Tnet-t)/('2019'!Tau_j))),Resal+(Salim-Resal)*(1-EXP((Tnet-t)/(Tau_j))))*Salcycl</f>
        <v>4.8681891098965396E-2</v>
      </c>
      <c r="P289" s="169">
        <f>(INDEX(Models!$BJ289:$BT289,,T289)*(1-R289)+INDEX(Models!$BJ289:$BT289,,T289+1)*R289-ERP_i)*Q289*Ramure*Pc/MaxiM</f>
        <v>1.5028258140218551E-5</v>
      </c>
      <c r="Q289" s="304">
        <f t="shared" si="102"/>
        <v>0.6</v>
      </c>
      <c r="R289" s="177">
        <f t="shared" si="103"/>
        <v>0.49469573189402283</v>
      </c>
      <c r="S289" s="799">
        <f t="shared" si="104"/>
        <v>-1</v>
      </c>
      <c r="T289" s="176">
        <f t="shared" si="105"/>
        <v>5</v>
      </c>
      <c r="U289" s="250">
        <f t="shared" si="106"/>
        <v>-0.50530426810597717</v>
      </c>
      <c r="V289" s="382">
        <f t="shared" si="107"/>
        <v>44.559259270416007</v>
      </c>
      <c r="W289" s="58"/>
      <c r="X289" s="157">
        <f t="shared" si="108"/>
        <v>44105</v>
      </c>
      <c r="Y289" s="383">
        <f t="shared" si="109"/>
        <v>7.9009999999999998</v>
      </c>
      <c r="Z289" s="383">
        <f t="shared" si="110"/>
        <v>7.9937564373784564</v>
      </c>
      <c r="AA289" s="384">
        <f t="shared" si="111"/>
        <v>8.4028216877032502</v>
      </c>
      <c r="AB289" s="197">
        <f t="shared" si="112"/>
        <v>44105</v>
      </c>
      <c r="AC289" s="424">
        <f>IF(OR(t&lt;Tnet,NoTnet),'2019'!Resal_s+('2019'!Salim-'2019'!Resal_s)*(1-EXP(('2019'!Tnet_s-t)/'2019'!Tau_j)),Resal_s+(Salim-Resal_s)*(1-EXP((Tnet_s-t)/Tau_j)))*Salcycl</f>
        <v>4.8681891098965396E-2</v>
      </c>
      <c r="AD289" s="230">
        <f>(INDEX(Models!$BJ289:$BT289,,AH289)*(1-AF289)+INDEX(Models!$BJ289:$BT289,,AH289+1)*AF289-ERP_i)*AE289*Ramure*Pc/MaxiM</f>
        <v>1.5028258140218551E-5</v>
      </c>
      <c r="AE289" s="304">
        <f t="shared" si="113"/>
        <v>0.6</v>
      </c>
      <c r="AF289" s="177">
        <f t="shared" si="114"/>
        <v>0.49469573189402283</v>
      </c>
      <c r="AG289" s="176">
        <f t="shared" si="115"/>
        <v>-1</v>
      </c>
      <c r="AH289" s="176">
        <f t="shared" si="116"/>
        <v>5</v>
      </c>
      <c r="AI289" s="224">
        <f t="shared" si="117"/>
        <v>-0.50530426810597717</v>
      </c>
      <c r="AJ289" s="264" t="b">
        <f t="shared" si="118"/>
        <v>0</v>
      </c>
      <c r="AK289" s="264" t="b">
        <f t="shared" si="119"/>
        <v>0</v>
      </c>
      <c r="AL289" s="264"/>
      <c r="AM289" s="264"/>
      <c r="AN289" s="75"/>
    </row>
    <row r="290" spans="1:40" s="6" customFormat="1" ht="11.25" x14ac:dyDescent="0.2">
      <c r="A290" s="56">
        <f t="shared" si="120"/>
        <v>44106</v>
      </c>
      <c r="B290" s="607">
        <v>5.2389999999999999</v>
      </c>
      <c r="C290" s="388"/>
      <c r="D290" s="391">
        <f t="shared" si="99"/>
        <v>5.3006065811727616</v>
      </c>
      <c r="E290" s="383">
        <f t="shared" si="97"/>
        <v>5.5720391526195279</v>
      </c>
      <c r="F290" s="383">
        <f t="shared" si="100"/>
        <v>5.5720391526195279</v>
      </c>
      <c r="G290" s="110">
        <f t="shared" si="98"/>
        <v>0.11829885387171547</v>
      </c>
      <c r="H290" s="412" t="b">
        <f>Wh_hp&gt;='2019'!Maxi_hp</f>
        <v>0</v>
      </c>
      <c r="I290" s="388">
        <f>IF(H290,Wh_hp,'2019'!Maxi_hp)</f>
        <v>33.567789319657322</v>
      </c>
      <c r="J290" s="85">
        <f>IF(H290,An,'2019'!An_max)</f>
        <v>2018</v>
      </c>
      <c r="K290" s="197">
        <f t="shared" si="101"/>
        <v>44106</v>
      </c>
      <c r="L290" s="147">
        <f>IF(t&lt;Tvie,1-EXP((T0-t)*PertePVj)+'2019'!Pspv,1-EXP((T0-t)*PertePVj)+Pspv)</f>
        <v>1.1622553047340278E-2</v>
      </c>
      <c r="M290" s="832"/>
      <c r="N290" s="832"/>
      <c r="O290" s="48">
        <f>IF(t&lt;Tnet,'2019'!Resal+('2019'!Salim-'2019'!Resal)*(1-EXP(('2019'!Tnet-t)/('2019'!Tau_j))),Resal+(Salim-Resal)*(1-EXP((Tnet-t)/(Tau_j))))*Salcycl</f>
        <v>4.8713328103439577E-2</v>
      </c>
      <c r="P290" s="169">
        <f>(INDEX(Models!$BJ290:$BT290,,T290)*(1-R290)+INDEX(Models!$BJ290:$BT290,,T290+1)*R290-ERP_i)*Q290*Ramure*Pc/MaxiM</f>
        <v>1.5525970231046547E-5</v>
      </c>
      <c r="Q290" s="304">
        <f t="shared" si="102"/>
        <v>0.6</v>
      </c>
      <c r="R290" s="177">
        <f t="shared" si="103"/>
        <v>0.49487860923981097</v>
      </c>
      <c r="S290" s="799">
        <f t="shared" si="104"/>
        <v>-1</v>
      </c>
      <c r="T290" s="176">
        <f t="shared" si="105"/>
        <v>5</v>
      </c>
      <c r="U290" s="250">
        <f t="shared" si="106"/>
        <v>-0.50512139076018903</v>
      </c>
      <c r="V290" s="382">
        <f t="shared" si="107"/>
        <v>44.285455758710043</v>
      </c>
      <c r="W290" s="58"/>
      <c r="X290" s="157">
        <f t="shared" si="108"/>
        <v>44106</v>
      </c>
      <c r="Y290" s="383">
        <f t="shared" si="109"/>
        <v>5.2389999999999999</v>
      </c>
      <c r="Z290" s="383">
        <f t="shared" si="110"/>
        <v>5.3006065811727616</v>
      </c>
      <c r="AA290" s="384">
        <f t="shared" si="111"/>
        <v>5.5720391526195279</v>
      </c>
      <c r="AB290" s="197">
        <f t="shared" si="112"/>
        <v>44106</v>
      </c>
      <c r="AC290" s="424">
        <f>IF(OR(t&lt;Tnet,NoTnet),'2019'!Resal_s+('2019'!Salim-'2019'!Resal_s)*(1-EXP(('2019'!Tnet_s-t)/'2019'!Tau_j)),Resal_s+(Salim-Resal_s)*(1-EXP((Tnet_s-t)/Tau_j)))*Salcycl</f>
        <v>4.8713328103439577E-2</v>
      </c>
      <c r="AD290" s="230">
        <f>(INDEX(Models!$BJ290:$BT290,,AH290)*(1-AF290)+INDEX(Models!$BJ290:$BT290,,AH290+1)*AF290-ERP_i)*AE290*Ramure*Pc/MaxiM</f>
        <v>1.5525970231046547E-5</v>
      </c>
      <c r="AE290" s="304">
        <f t="shared" si="113"/>
        <v>0.6</v>
      </c>
      <c r="AF290" s="177">
        <f t="shared" si="114"/>
        <v>0.49487860923981097</v>
      </c>
      <c r="AG290" s="176">
        <f t="shared" si="115"/>
        <v>-1</v>
      </c>
      <c r="AH290" s="176">
        <f t="shared" si="116"/>
        <v>5</v>
      </c>
      <c r="AI290" s="224">
        <f t="shared" si="117"/>
        <v>-0.50512139076018903</v>
      </c>
      <c r="AJ290" s="264" t="b">
        <f t="shared" si="118"/>
        <v>0</v>
      </c>
      <c r="AK290" s="264" t="b">
        <f t="shared" si="119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20"/>
        <v>44107</v>
      </c>
      <c r="B291" s="607">
        <v>18.132999999999999</v>
      </c>
      <c r="C291" s="388"/>
      <c r="D291" s="391">
        <f t="shared" si="99"/>
        <v>18.34658163981447</v>
      </c>
      <c r="E291" s="383">
        <f t="shared" si="97"/>
        <v>19.286692385683924</v>
      </c>
      <c r="F291" s="383">
        <f t="shared" si="100"/>
        <v>19.286741685551526</v>
      </c>
      <c r="G291" s="110">
        <f t="shared" si="98"/>
        <v>0.41203882628111915</v>
      </c>
      <c r="H291" s="412" t="b">
        <f>Wh_hp&gt;='2019'!Maxi_hp</f>
        <v>1</v>
      </c>
      <c r="I291" s="388">
        <f>IF(H291,Wh_hp,'2019'!Maxi_hp)</f>
        <v>19.286741685551526</v>
      </c>
      <c r="J291" s="85">
        <f>IF(H291,An,'2019'!An_max)</f>
        <v>2020</v>
      </c>
      <c r="K291" s="197">
        <f t="shared" si="101"/>
        <v>44107</v>
      </c>
      <c r="L291" s="147">
        <f>IF(t&lt;Tvie,1-EXP((T0-t)*PertePVj)+'2019'!Pspv,1-EXP((T0-t)*PertePVj)+Pspv)</f>
        <v>1.1641495075626063E-2</v>
      </c>
      <c r="M291" s="832"/>
      <c r="N291" s="832"/>
      <c r="O291" s="48">
        <f>IF(t&lt;Tnet,'2019'!Resal+('2019'!Salim-'2019'!Resal)*(1-EXP(('2019'!Tnet-t)/('2019'!Tau_j))),Resal+(Salim-Resal)*(1-EXP((Tnet-t)/(Tau_j))))*Salcycl</f>
        <v>4.8744011003528848E-2</v>
      </c>
      <c r="P291" s="169">
        <f>(INDEX(Models!$BJ291:$BT291,,T291)*(1-R291)+INDEX(Models!$BJ291:$BT291,,T291+1)*R291-ERP_i)*Q291*Ramure*Pc/MaxiM</f>
        <v>1.5969633712444251E-5</v>
      </c>
      <c r="Q291" s="304">
        <f t="shared" si="102"/>
        <v>0.6</v>
      </c>
      <c r="R291" s="177">
        <f t="shared" si="103"/>
        <v>0.49505425020614136</v>
      </c>
      <c r="S291" s="799">
        <f t="shared" si="104"/>
        <v>-1</v>
      </c>
      <c r="T291" s="176">
        <f t="shared" si="105"/>
        <v>5</v>
      </c>
      <c r="U291" s="250">
        <f t="shared" si="106"/>
        <v>-0.50494574979385864</v>
      </c>
      <c r="V291" s="382">
        <f t="shared" si="107"/>
        <v>44.007398371642473</v>
      </c>
      <c r="W291" s="58"/>
      <c r="X291" s="157">
        <f t="shared" si="108"/>
        <v>44107</v>
      </c>
      <c r="Y291" s="383">
        <f t="shared" si="109"/>
        <v>18.132999999999999</v>
      </c>
      <c r="Z291" s="383">
        <f t="shared" si="110"/>
        <v>18.34658163981447</v>
      </c>
      <c r="AA291" s="384">
        <f t="shared" si="111"/>
        <v>19.286692385683924</v>
      </c>
      <c r="AB291" s="197">
        <f t="shared" si="112"/>
        <v>44107</v>
      </c>
      <c r="AC291" s="424">
        <f>IF(OR(t&lt;Tnet,NoTnet),'2019'!Resal_s+('2019'!Salim-'2019'!Resal_s)*(1-EXP(('2019'!Tnet_s-t)/'2019'!Tau_j)),Resal_s+(Salim-Resal_s)*(1-EXP((Tnet_s-t)/Tau_j)))*Salcycl</f>
        <v>4.8744011003528848E-2</v>
      </c>
      <c r="AD291" s="230">
        <f>(INDEX(Models!$BJ291:$BT291,,AH291)*(1-AF291)+INDEX(Models!$BJ291:$BT291,,AH291+1)*AF291-ERP_i)*AE291*Ramure*Pc/MaxiM</f>
        <v>1.5969633712444251E-5</v>
      </c>
      <c r="AE291" s="304">
        <f t="shared" si="113"/>
        <v>0.6</v>
      </c>
      <c r="AF291" s="177">
        <f t="shared" si="114"/>
        <v>0.49505425020614136</v>
      </c>
      <c r="AG291" s="176">
        <f t="shared" si="115"/>
        <v>-1</v>
      </c>
      <c r="AH291" s="176">
        <f t="shared" si="116"/>
        <v>5</v>
      </c>
      <c r="AI291" s="224">
        <f t="shared" si="117"/>
        <v>-0.50494574979385864</v>
      </c>
      <c r="AJ291" s="264" t="b">
        <f t="shared" si="118"/>
        <v>0</v>
      </c>
      <c r="AK291" s="264" t="b">
        <f t="shared" si="119"/>
        <v>0</v>
      </c>
      <c r="AL291" s="264"/>
      <c r="AM291" s="264"/>
      <c r="AN291" s="75"/>
    </row>
    <row r="292" spans="1:40" s="6" customFormat="1" ht="11.25" x14ac:dyDescent="0.2">
      <c r="A292" s="56">
        <f t="shared" si="120"/>
        <v>44108</v>
      </c>
      <c r="B292" s="607">
        <v>21.177</v>
      </c>
      <c r="C292" s="388"/>
      <c r="D292" s="391">
        <f t="shared" si="99"/>
        <v>21.426846386850684</v>
      </c>
      <c r="E292" s="383">
        <f t="shared" si="97"/>
        <v>22.525503738464536</v>
      </c>
      <c r="F292" s="383">
        <f t="shared" si="100"/>
        <v>22.525600766684924</v>
      </c>
      <c r="G292" s="110">
        <f t="shared" si="98"/>
        <v>0.48431342093014979</v>
      </c>
      <c r="H292" s="412" t="b">
        <f>Wh_hp&gt;='2019'!Maxi_hp</f>
        <v>0</v>
      </c>
      <c r="I292" s="388">
        <f>IF(H292,Wh_hp,'2019'!Maxi_hp)</f>
        <v>40.66295843102975</v>
      </c>
      <c r="J292" s="85">
        <f>IF(H292,An,'2019'!An_max)</f>
        <v>2018</v>
      </c>
      <c r="K292" s="197">
        <f t="shared" si="101"/>
        <v>44108</v>
      </c>
      <c r="L292" s="147">
        <f>IF(t&lt;Tvie,1-EXP((T0-t)*PertePVj)+'2019'!Pspv,1-EXP((T0-t)*PertePVj)+Pspv)</f>
        <v>1.1660436740892122E-2</v>
      </c>
      <c r="M292" s="832"/>
      <c r="N292" s="832"/>
      <c r="O292" s="48">
        <f>IF(t&lt;Tnet,'2019'!Resal+('2019'!Salim-'2019'!Resal)*(1-EXP(('2019'!Tnet-t)/('2019'!Tau_j))),Resal+(Salim-Resal)*(1-EXP((Tnet-t)/(Tau_j))))*Salcycl</f>
        <v>4.8773930402177187E-2</v>
      </c>
      <c r="P292" s="169">
        <f>(INDEX(Models!$BJ292:$BT292,,T292)*(1-R292)+INDEX(Models!$BJ292:$BT292,,T292+1)*R292-ERP_i)*Q292*Ramure*Pc/MaxiM</f>
        <v>1.6358708394834263E-5</v>
      </c>
      <c r="Q292" s="304">
        <f t="shared" si="102"/>
        <v>0.6</v>
      </c>
      <c r="R292" s="177">
        <f t="shared" si="103"/>
        <v>0.49522293627012304</v>
      </c>
      <c r="S292" s="799">
        <f t="shared" si="104"/>
        <v>-1</v>
      </c>
      <c r="T292" s="176">
        <f t="shared" si="105"/>
        <v>5</v>
      </c>
      <c r="U292" s="250">
        <f t="shared" si="106"/>
        <v>-0.50477706372987696</v>
      </c>
      <c r="V292" s="382">
        <f t="shared" si="107"/>
        <v>43.725290017841587</v>
      </c>
      <c r="W292" s="58"/>
      <c r="X292" s="157">
        <f t="shared" si="108"/>
        <v>44108</v>
      </c>
      <c r="Y292" s="383">
        <f t="shared" si="109"/>
        <v>21.177</v>
      </c>
      <c r="Z292" s="383">
        <f t="shared" si="110"/>
        <v>21.426846386850684</v>
      </c>
      <c r="AA292" s="384">
        <f t="shared" si="111"/>
        <v>22.525503738464536</v>
      </c>
      <c r="AB292" s="197">
        <f t="shared" si="112"/>
        <v>44108</v>
      </c>
      <c r="AC292" s="424">
        <f>IF(OR(t&lt;Tnet,NoTnet),'2019'!Resal_s+('2019'!Salim-'2019'!Resal_s)*(1-EXP(('2019'!Tnet_s-t)/'2019'!Tau_j)),Resal_s+(Salim-Resal_s)*(1-EXP((Tnet_s-t)/Tau_j)))*Salcycl</f>
        <v>4.8773930402177187E-2</v>
      </c>
      <c r="AD292" s="230">
        <f>(INDEX(Models!$BJ292:$BT292,,AH292)*(1-AF292)+INDEX(Models!$BJ292:$BT292,,AH292+1)*AF292-ERP_i)*AE292*Ramure*Pc/MaxiM</f>
        <v>1.6358708394834263E-5</v>
      </c>
      <c r="AE292" s="304">
        <f t="shared" si="113"/>
        <v>0.6</v>
      </c>
      <c r="AF292" s="177">
        <f t="shared" si="114"/>
        <v>0.49522293627012304</v>
      </c>
      <c r="AG292" s="176">
        <f t="shared" si="115"/>
        <v>-1</v>
      </c>
      <c r="AH292" s="176">
        <f t="shared" si="116"/>
        <v>5</v>
      </c>
      <c r="AI292" s="224">
        <f t="shared" si="117"/>
        <v>-0.50477706372987696</v>
      </c>
      <c r="AJ292" s="264" t="b">
        <f t="shared" si="118"/>
        <v>0</v>
      </c>
      <c r="AK292" s="264" t="b">
        <f t="shared" si="119"/>
        <v>0</v>
      </c>
      <c r="AL292" s="264"/>
      <c r="AM292" s="264"/>
      <c r="AN292" s="75"/>
    </row>
    <row r="293" spans="1:40" s="6" customFormat="1" ht="11.25" x14ac:dyDescent="0.2">
      <c r="A293" s="56">
        <f t="shared" si="120"/>
        <v>44109</v>
      </c>
      <c r="B293" s="607">
        <v>30.117999999999999</v>
      </c>
      <c r="C293" s="388"/>
      <c r="D293" s="391">
        <f t="shared" si="99"/>
        <v>30.473916389973709</v>
      </c>
      <c r="E293" s="383">
        <f t="shared" si="97"/>
        <v>32.037442195381814</v>
      </c>
      <c r="F293" s="383">
        <f t="shared" si="100"/>
        <v>32.037742700397558</v>
      </c>
      <c r="G293" s="110">
        <f t="shared" si="98"/>
        <v>0.69332969343884354</v>
      </c>
      <c r="H293" s="412" t="b">
        <f>Wh_hp&gt;='2019'!Maxi_hp</f>
        <v>1</v>
      </c>
      <c r="I293" s="388">
        <f>IF(H293,Wh_hp,'2019'!Maxi_hp)</f>
        <v>32.037742700397558</v>
      </c>
      <c r="J293" s="85">
        <f>IF(H293,An,'2019'!An_max)</f>
        <v>2020</v>
      </c>
      <c r="K293" s="197">
        <f t="shared" si="101"/>
        <v>44109</v>
      </c>
      <c r="L293" s="147">
        <f>IF(t&lt;Tvie,1-EXP((T0-t)*PertePVj)+'2019'!Pspv,1-EXP((T0-t)*PertePVj)+Pspv)</f>
        <v>1.167937804314545E-2</v>
      </c>
      <c r="M293" s="832"/>
      <c r="N293" s="832"/>
      <c r="O293" s="48">
        <f>IF(t&lt;Tnet,'2019'!Resal+('2019'!Salim-'2019'!Resal)*(1-EXP(('2019'!Tnet-t)/('2019'!Tau_j))),Resal+(Salim-Resal)*(1-EXP((Tnet-t)/(Tau_j))))*Salcycl</f>
        <v>4.8803078469025971E-2</v>
      </c>
      <c r="P293" s="169">
        <f>(INDEX(Models!$BJ293:$BT293,,T293)*(1-R293)+INDEX(Models!$BJ293:$BT293,,T293+1)*R293-ERP_i)*Q293*Ramure*Pc/MaxiM</f>
        <v>1.669265909210939E-5</v>
      </c>
      <c r="Q293" s="304">
        <f t="shared" si="102"/>
        <v>0.6</v>
      </c>
      <c r="R293" s="177">
        <f t="shared" si="103"/>
        <v>0.49538493834116215</v>
      </c>
      <c r="S293" s="799">
        <f t="shared" si="104"/>
        <v>-1</v>
      </c>
      <c r="T293" s="176">
        <f t="shared" si="105"/>
        <v>5</v>
      </c>
      <c r="U293" s="250">
        <f t="shared" si="106"/>
        <v>-0.50461506165883785</v>
      </c>
      <c r="V293" s="382">
        <f t="shared" si="107"/>
        <v>43.439333453923823</v>
      </c>
      <c r="W293" s="58"/>
      <c r="X293" s="157">
        <f t="shared" si="108"/>
        <v>44109</v>
      </c>
      <c r="Y293" s="383">
        <f t="shared" si="109"/>
        <v>30.118000000000002</v>
      </c>
      <c r="Z293" s="383">
        <f t="shared" si="110"/>
        <v>30.473916389973713</v>
      </c>
      <c r="AA293" s="384">
        <f t="shared" si="111"/>
        <v>32.037442195381814</v>
      </c>
      <c r="AB293" s="197">
        <f t="shared" si="112"/>
        <v>44109</v>
      </c>
      <c r="AC293" s="424">
        <f>IF(OR(t&lt;Tnet,NoTnet),'2019'!Resal_s+('2019'!Salim-'2019'!Resal_s)*(1-EXP(('2019'!Tnet_s-t)/'2019'!Tau_j)),Resal_s+(Salim-Resal_s)*(1-EXP((Tnet_s-t)/Tau_j)))*Salcycl</f>
        <v>4.8803078469025971E-2</v>
      </c>
      <c r="AD293" s="230">
        <f>(INDEX(Models!$BJ293:$BT293,,AH293)*(1-AF293)+INDEX(Models!$BJ293:$BT293,,AH293+1)*AF293-ERP_i)*AE293*Ramure*Pc/MaxiM</f>
        <v>1.669265909210939E-5</v>
      </c>
      <c r="AE293" s="304">
        <f t="shared" si="113"/>
        <v>0.6</v>
      </c>
      <c r="AF293" s="177">
        <f t="shared" si="114"/>
        <v>0.49538493834116215</v>
      </c>
      <c r="AG293" s="176">
        <f t="shared" si="115"/>
        <v>-1</v>
      </c>
      <c r="AH293" s="176">
        <f t="shared" si="116"/>
        <v>5</v>
      </c>
      <c r="AI293" s="224">
        <f t="shared" si="117"/>
        <v>-0.50461506165883785</v>
      </c>
      <c r="AJ293" s="264" t="b">
        <f t="shared" si="118"/>
        <v>0</v>
      </c>
      <c r="AK293" s="264" t="b">
        <f t="shared" si="119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20"/>
        <v>44110</v>
      </c>
      <c r="B294" s="607">
        <v>6.2549999999999999</v>
      </c>
      <c r="C294" s="388"/>
      <c r="D294" s="391">
        <f t="shared" si="99"/>
        <v>6.3290391184597858</v>
      </c>
      <c r="E294" s="383">
        <f t="shared" si="97"/>
        <v>6.6539617108866063</v>
      </c>
      <c r="F294" s="383">
        <f t="shared" si="100"/>
        <v>6.6539617108866063</v>
      </c>
      <c r="G294" s="110">
        <f t="shared" si="98"/>
        <v>0.14495788640096299</v>
      </c>
      <c r="H294" s="412" t="b">
        <f>Wh_hp&gt;='2019'!Maxi_hp</f>
        <v>0</v>
      </c>
      <c r="I294" s="388">
        <f>IF(H294,Wh_hp,'2019'!Maxi_hp)</f>
        <v>34.113385974942773</v>
      </c>
      <c r="J294" s="85">
        <f>IF(H294,An,'2019'!An_max)</f>
        <v>2018</v>
      </c>
      <c r="K294" s="197">
        <f t="shared" si="101"/>
        <v>44110</v>
      </c>
      <c r="L294" s="147">
        <f>IF(t&lt;Tvie,1-EXP((T0-t)*PertePVj)+'2019'!Pspv,1-EXP((T0-t)*PertePVj)+Pspv)</f>
        <v>1.1698318982393041E-2</v>
      </c>
      <c r="M294" s="832"/>
      <c r="N294" s="832"/>
      <c r="O294" s="48">
        <f>IF(t&lt;Tnet,'2019'!Resal+('2019'!Salim-'2019'!Resal)*(1-EXP(('2019'!Tnet-t)/('2019'!Tau_j))),Resal+(Salim-Resal)*(1-EXP((Tnet-t)/(Tau_j))))*Salcycl</f>
        <v>4.8831449074197709E-2</v>
      </c>
      <c r="P294" s="169">
        <f>(INDEX(Models!$BJ294:$BT294,,T294)*(1-R294)+INDEX(Models!$BJ294:$BT294,,T294+1)*R294-ERP_i)*Q294*Ramure*Pc/MaxiM</f>
        <v>1.6970960539083976E-5</v>
      </c>
      <c r="Q294" s="304">
        <f t="shared" si="102"/>
        <v>0.6</v>
      </c>
      <c r="R294" s="177">
        <f t="shared" si="103"/>
        <v>0.49554051712768499</v>
      </c>
      <c r="S294" s="799">
        <f t="shared" si="104"/>
        <v>-1</v>
      </c>
      <c r="T294" s="176">
        <f t="shared" si="105"/>
        <v>5</v>
      </c>
      <c r="U294" s="250">
        <f t="shared" si="106"/>
        <v>-0.50445948287231501</v>
      </c>
      <c r="V294" s="382">
        <f t="shared" si="107"/>
        <v>43.149731290510005</v>
      </c>
      <c r="W294" s="58"/>
      <c r="X294" s="157">
        <f t="shared" si="108"/>
        <v>44110</v>
      </c>
      <c r="Y294" s="383">
        <f t="shared" si="109"/>
        <v>6.2549999999999999</v>
      </c>
      <c r="Z294" s="383">
        <f t="shared" si="110"/>
        <v>6.3290391184597858</v>
      </c>
      <c r="AA294" s="384">
        <f t="shared" si="111"/>
        <v>6.6539617108866063</v>
      </c>
      <c r="AB294" s="197">
        <f t="shared" si="112"/>
        <v>44110</v>
      </c>
      <c r="AC294" s="424">
        <f>IF(OR(t&lt;Tnet,NoTnet),'2019'!Resal_s+('2019'!Salim-'2019'!Resal_s)*(1-EXP(('2019'!Tnet_s-t)/'2019'!Tau_j)),Resal_s+(Salim-Resal_s)*(1-EXP((Tnet_s-t)/Tau_j)))*Salcycl</f>
        <v>4.8831449074197709E-2</v>
      </c>
      <c r="AD294" s="230">
        <f>(INDEX(Models!$BJ294:$BT294,,AH294)*(1-AF294)+INDEX(Models!$BJ294:$BT294,,AH294+1)*AF294-ERP_i)*AE294*Ramure*Pc/MaxiM</f>
        <v>1.6970960539083976E-5</v>
      </c>
      <c r="AE294" s="304">
        <f t="shared" si="113"/>
        <v>0.6</v>
      </c>
      <c r="AF294" s="177">
        <f t="shared" si="114"/>
        <v>0.49554051712768499</v>
      </c>
      <c r="AG294" s="176">
        <f t="shared" si="115"/>
        <v>-1</v>
      </c>
      <c r="AH294" s="176">
        <f t="shared" si="116"/>
        <v>5</v>
      </c>
      <c r="AI294" s="224">
        <f t="shared" si="117"/>
        <v>-0.50445948287231501</v>
      </c>
      <c r="AJ294" s="264" t="b">
        <f t="shared" si="118"/>
        <v>0</v>
      </c>
      <c r="AK294" s="264" t="b">
        <f t="shared" si="119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20"/>
        <v>44111</v>
      </c>
      <c r="B295" s="607">
        <v>28.39</v>
      </c>
      <c r="C295" s="388"/>
      <c r="D295" s="391">
        <f t="shared" si="99"/>
        <v>28.726596993205895</v>
      </c>
      <c r="E295" s="383">
        <f t="shared" si="97"/>
        <v>30.202249864534039</v>
      </c>
      <c r="F295" s="383">
        <f t="shared" si="100"/>
        <v>30.202518730582266</v>
      </c>
      <c r="G295" s="110">
        <f t="shared" si="98"/>
        <v>0.66243490281248008</v>
      </c>
      <c r="H295" s="412" t="b">
        <f>Wh_hp&gt;='2019'!Maxi_hp</f>
        <v>0</v>
      </c>
      <c r="I295" s="388">
        <f>IF(H295,Wh_hp,'2019'!Maxi_hp)</f>
        <v>41.816614397917711</v>
      </c>
      <c r="J295" s="85">
        <f>IF(H295,An,'2019'!An_max)</f>
        <v>2018</v>
      </c>
      <c r="K295" s="197">
        <f t="shared" si="101"/>
        <v>44111</v>
      </c>
      <c r="L295" s="147">
        <f>IF(t&lt;Tvie,1-EXP((T0-t)*PertePVj)+'2019'!Pspv,1-EXP((T0-t)*PertePVj)+Pspv)</f>
        <v>1.171725955864189E-2</v>
      </c>
      <c r="M295" s="832"/>
      <c r="N295" s="832"/>
      <c r="O295" s="48">
        <f>IF(t&lt;Tnet,'2019'!Resal+('2019'!Salim-'2019'!Resal)*(1-EXP(('2019'!Tnet-t)/('2019'!Tau_j))),Resal+(Salim-Resal)*(1-EXP((Tnet-t)/(Tau_j))))*Salcycl</f>
        <v>4.8859037917601454E-2</v>
      </c>
      <c r="P295" s="169">
        <f>(INDEX(Models!$BJ295:$BT295,,T295)*(1-R295)+INDEX(Models!$BJ295:$BT295,,T295+1)*R295-ERP_i)*Q295*Ramure*Pc/MaxiM</f>
        <v>1.7193102268149312E-5</v>
      </c>
      <c r="Q295" s="304">
        <f t="shared" si="102"/>
        <v>0.6</v>
      </c>
      <c r="R295" s="177">
        <f t="shared" si="103"/>
        <v>0.49568992349354624</v>
      </c>
      <c r="S295" s="799">
        <f t="shared" si="104"/>
        <v>-1</v>
      </c>
      <c r="T295" s="176">
        <f t="shared" si="105"/>
        <v>5</v>
      </c>
      <c r="U295" s="250">
        <f t="shared" si="106"/>
        <v>-0.50431007650645376</v>
      </c>
      <c r="V295" s="382">
        <f t="shared" si="107"/>
        <v>42.856685986819961</v>
      </c>
      <c r="W295" s="58"/>
      <c r="X295" s="157">
        <f t="shared" si="108"/>
        <v>44111</v>
      </c>
      <c r="Y295" s="383">
        <f t="shared" si="109"/>
        <v>28.39</v>
      </c>
      <c r="Z295" s="383">
        <f t="shared" si="110"/>
        <v>28.726596993205895</v>
      </c>
      <c r="AA295" s="384">
        <f t="shared" si="111"/>
        <v>30.202249864534039</v>
      </c>
      <c r="AB295" s="197">
        <f t="shared" si="112"/>
        <v>44111</v>
      </c>
      <c r="AC295" s="424">
        <f>IF(OR(t&lt;Tnet,NoTnet),'2019'!Resal_s+('2019'!Salim-'2019'!Resal_s)*(1-EXP(('2019'!Tnet_s-t)/'2019'!Tau_j)),Resal_s+(Salim-Resal_s)*(1-EXP((Tnet_s-t)/Tau_j)))*Salcycl</f>
        <v>4.8859037917601454E-2</v>
      </c>
      <c r="AD295" s="230">
        <f>(INDEX(Models!$BJ295:$BT295,,AH295)*(1-AF295)+INDEX(Models!$BJ295:$BT295,,AH295+1)*AF295-ERP_i)*AE295*Ramure*Pc/MaxiM</f>
        <v>1.7193102268149312E-5</v>
      </c>
      <c r="AE295" s="304">
        <f t="shared" si="113"/>
        <v>0.6</v>
      </c>
      <c r="AF295" s="177">
        <f t="shared" si="114"/>
        <v>0.49568992349354624</v>
      </c>
      <c r="AG295" s="176">
        <f t="shared" si="115"/>
        <v>-1</v>
      </c>
      <c r="AH295" s="176">
        <f t="shared" si="116"/>
        <v>5</v>
      </c>
      <c r="AI295" s="224">
        <f t="shared" si="117"/>
        <v>-0.50431007650645376</v>
      </c>
      <c r="AJ295" s="264" t="b">
        <f t="shared" si="118"/>
        <v>0</v>
      </c>
      <c r="AK295" s="264" t="b">
        <f t="shared" si="119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20"/>
        <v>44112</v>
      </c>
      <c r="B296" s="607">
        <v>33.991</v>
      </c>
      <c r="C296" s="388"/>
      <c r="D296" s="391">
        <f t="shared" si="99"/>
        <v>34.394662631733091</v>
      </c>
      <c r="E296" s="383">
        <f t="shared" si="97"/>
        <v>36.162496758174967</v>
      </c>
      <c r="F296" s="383">
        <f t="shared" si="100"/>
        <v>36.162944892699876</v>
      </c>
      <c r="G296" s="110">
        <f t="shared" si="98"/>
        <v>0.79864924436004125</v>
      </c>
      <c r="H296" s="412" t="b">
        <f>Wh_hp&gt;='2019'!Maxi_hp</f>
        <v>1</v>
      </c>
      <c r="I296" s="388">
        <f>IF(H296,Wh_hp,'2019'!Maxi_hp)</f>
        <v>36.162944892699876</v>
      </c>
      <c r="J296" s="85">
        <f>IF(H296,An,'2019'!An_max)</f>
        <v>2020</v>
      </c>
      <c r="K296" s="197">
        <f t="shared" si="101"/>
        <v>44112</v>
      </c>
      <c r="L296" s="147">
        <f>IF(t&lt;Tvie,1-EXP((T0-t)*PertePVj)+'2019'!Pspv,1-EXP((T0-t)*PertePVj)+Pspv)</f>
        <v>1.1736199771898992E-2</v>
      </c>
      <c r="M296" s="832"/>
      <c r="N296" s="832"/>
      <c r="O296" s="48">
        <f>IF(t&lt;Tnet,'2019'!Resal+('2019'!Salim-'2019'!Resal)*(1-EXP(('2019'!Tnet-t)/('2019'!Tau_j))),Resal+(Salim-Resal)*(1-EXP((Tnet-t)/(Tau_j))))*Salcycl</f>
        <v>4.8885842652505403E-2</v>
      </c>
      <c r="P296" s="169">
        <f>(INDEX(Models!$BJ296:$BT296,,T296)*(1-R296)+INDEX(Models!$BJ296:$BT296,,T296+1)*R296-ERP_i)*Q296*Ramure*Pc/MaxiM</f>
        <v>1.7395784082437925E-5</v>
      </c>
      <c r="Q296" s="304">
        <f t="shared" si="102"/>
        <v>0.6</v>
      </c>
      <c r="R296" s="177">
        <f t="shared" si="103"/>
        <v>0.49583339880420874</v>
      </c>
      <c r="S296" s="799">
        <f t="shared" si="104"/>
        <v>-1</v>
      </c>
      <c r="T296" s="176">
        <f t="shared" si="105"/>
        <v>5</v>
      </c>
      <c r="U296" s="250">
        <f t="shared" si="106"/>
        <v>-0.50416660119579126</v>
      </c>
      <c r="V296" s="382">
        <f t="shared" si="107"/>
        <v>42.560398269226894</v>
      </c>
      <c r="W296" s="58"/>
      <c r="X296" s="157">
        <f t="shared" si="108"/>
        <v>44112</v>
      </c>
      <c r="Y296" s="383">
        <f t="shared" si="109"/>
        <v>33.991</v>
      </c>
      <c r="Z296" s="383">
        <f t="shared" si="110"/>
        <v>34.394662631733091</v>
      </c>
      <c r="AA296" s="384">
        <f t="shared" si="111"/>
        <v>36.162496758174967</v>
      </c>
      <c r="AB296" s="197">
        <f t="shared" si="112"/>
        <v>44112</v>
      </c>
      <c r="AC296" s="424">
        <f>IF(OR(t&lt;Tnet,NoTnet),'2019'!Resal_s+('2019'!Salim-'2019'!Resal_s)*(1-EXP(('2019'!Tnet_s-t)/'2019'!Tau_j)),Resal_s+(Salim-Resal_s)*(1-EXP((Tnet_s-t)/Tau_j)))*Salcycl</f>
        <v>4.8885842652505403E-2</v>
      </c>
      <c r="AD296" s="230">
        <f>(INDEX(Models!$BJ296:$BT296,,AH296)*(1-AF296)+INDEX(Models!$BJ296:$BT296,,AH296+1)*AF296-ERP_i)*AE296*Ramure*Pc/MaxiM</f>
        <v>1.7395784082437925E-5</v>
      </c>
      <c r="AE296" s="304">
        <f t="shared" si="113"/>
        <v>0.6</v>
      </c>
      <c r="AF296" s="177">
        <f t="shared" si="114"/>
        <v>0.49583339880420874</v>
      </c>
      <c r="AG296" s="176">
        <f t="shared" si="115"/>
        <v>-1</v>
      </c>
      <c r="AH296" s="176">
        <f t="shared" si="116"/>
        <v>5</v>
      </c>
      <c r="AI296" s="224">
        <f t="shared" si="117"/>
        <v>-0.50416660119579126</v>
      </c>
      <c r="AJ296" s="264" t="b">
        <f t="shared" si="118"/>
        <v>0</v>
      </c>
      <c r="AK296" s="264" t="b">
        <f t="shared" si="119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20"/>
        <v>44113</v>
      </c>
      <c r="B297" s="607">
        <v>24.321000000000002</v>
      </c>
      <c r="C297" s="388"/>
      <c r="D297" s="391">
        <f t="shared" si="99"/>
        <v>24.610297483056495</v>
      </c>
      <c r="E297" s="383">
        <f t="shared" ref="E297:E360" si="121">Wh_pvt/(1-Psa)</f>
        <v>25.875937808182027</v>
      </c>
      <c r="F297" s="383">
        <f t="shared" si="100"/>
        <v>25.876117172694507</v>
      </c>
      <c r="G297" s="110">
        <f t="shared" ref="G297:G360" si="122">+Wh_hp/MaxiM</f>
        <v>0.57548805245293022</v>
      </c>
      <c r="H297" s="412" t="b">
        <f>Wh_hp&gt;='2019'!Maxi_hp</f>
        <v>0</v>
      </c>
      <c r="I297" s="388">
        <f>IF(H297,Wh_hp,'2019'!Maxi_hp)</f>
        <v>32.079659827056922</v>
      </c>
      <c r="J297" s="85">
        <f>IF(H297,An,'2019'!An_max)</f>
        <v>2018</v>
      </c>
      <c r="K297" s="197">
        <f t="shared" si="101"/>
        <v>44113</v>
      </c>
      <c r="L297" s="147">
        <f>IF(t&lt;Tvie,1-EXP((T0-t)*PertePVj)+'2019'!Pspv,1-EXP((T0-t)*PertePVj)+Pspv)</f>
        <v>1.1755139622171118E-2</v>
      </c>
      <c r="M297" s="832"/>
      <c r="N297" s="832"/>
      <c r="O297" s="48">
        <f>IF(t&lt;Tnet,'2019'!Resal+('2019'!Salim-'2019'!Resal)*(1-EXP(('2019'!Tnet-t)/('2019'!Tau_j))),Resal+(Salim-Resal)*(1-EXP((Tnet-t)/(Tau_j))))*Salcycl</f>
        <v>4.8911863002133626E-2</v>
      </c>
      <c r="P297" s="169">
        <f>(INDEX(Models!$BJ297:$BT297,,T297)*(1-R297)+INDEX(Models!$BJ297:$BT297,,T297+1)*R297-ERP_i)*Q297*Ramure*Pc/MaxiM</f>
        <v>1.7612580594740772E-5</v>
      </c>
      <c r="Q297" s="304">
        <f t="shared" si="102"/>
        <v>0.6</v>
      </c>
      <c r="R297" s="177">
        <f t="shared" si="103"/>
        <v>0.49597117526279988</v>
      </c>
      <c r="S297" s="799">
        <f t="shared" si="104"/>
        <v>-1</v>
      </c>
      <c r="T297" s="176">
        <f t="shared" si="105"/>
        <v>5</v>
      </c>
      <c r="U297" s="250">
        <f t="shared" si="106"/>
        <v>-0.50402882473720012</v>
      </c>
      <c r="V297" s="382">
        <f t="shared" si="107"/>
        <v>42.261068885667136</v>
      </c>
      <c r="W297" s="58"/>
      <c r="X297" s="157">
        <f t="shared" si="108"/>
        <v>44113</v>
      </c>
      <c r="Y297" s="383">
        <f t="shared" si="109"/>
        <v>24.321000000000002</v>
      </c>
      <c r="Z297" s="383">
        <f t="shared" si="110"/>
        <v>24.610297483056495</v>
      </c>
      <c r="AA297" s="384">
        <f t="shared" si="111"/>
        <v>25.875937808182027</v>
      </c>
      <c r="AB297" s="197">
        <f t="shared" si="112"/>
        <v>44113</v>
      </c>
      <c r="AC297" s="424">
        <f>IF(OR(t&lt;Tnet,NoTnet),'2019'!Resal_s+('2019'!Salim-'2019'!Resal_s)*(1-EXP(('2019'!Tnet_s-t)/'2019'!Tau_j)),Resal_s+(Salim-Resal_s)*(1-EXP((Tnet_s-t)/Tau_j)))*Salcycl</f>
        <v>4.8911863002133626E-2</v>
      </c>
      <c r="AD297" s="230">
        <f>(INDEX(Models!$BJ297:$BT297,,AH297)*(1-AF297)+INDEX(Models!$BJ297:$BT297,,AH297+1)*AF297-ERP_i)*AE297*Ramure*Pc/MaxiM</f>
        <v>1.7612580594740772E-5</v>
      </c>
      <c r="AE297" s="304">
        <f t="shared" si="113"/>
        <v>0.6</v>
      </c>
      <c r="AF297" s="177">
        <f t="shared" si="114"/>
        <v>0.49597117526279988</v>
      </c>
      <c r="AG297" s="176">
        <f t="shared" si="115"/>
        <v>-1</v>
      </c>
      <c r="AH297" s="176">
        <f t="shared" si="116"/>
        <v>5</v>
      </c>
      <c r="AI297" s="224">
        <f t="shared" si="117"/>
        <v>-0.50402882473720012</v>
      </c>
      <c r="AJ297" s="264" t="b">
        <f t="shared" si="118"/>
        <v>0</v>
      </c>
      <c r="AK297" s="264" t="b">
        <f t="shared" si="119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20"/>
        <v>44114</v>
      </c>
      <c r="B298" s="607">
        <v>20.943000000000001</v>
      </c>
      <c r="C298" s="388"/>
      <c r="D298" s="391">
        <f t="shared" si="99"/>
        <v>21.1925224356869</v>
      </c>
      <c r="E298" s="383">
        <f t="shared" si="121"/>
        <v>22.282987229372587</v>
      </c>
      <c r="F298" s="383">
        <f t="shared" si="100"/>
        <v>22.283100337866184</v>
      </c>
      <c r="G298" s="110">
        <f t="shared" si="122"/>
        <v>0.49912492143619558</v>
      </c>
      <c r="H298" s="412" t="b">
        <f>Wh_hp&gt;='2019'!Maxi_hp</f>
        <v>0</v>
      </c>
      <c r="I298" s="388">
        <f>IF(H298,Wh_hp,'2019'!Maxi_hp)</f>
        <v>43.335854459213074</v>
      </c>
      <c r="J298" s="85">
        <f>IF(H298,An,'2019'!An_max)</f>
        <v>2018</v>
      </c>
      <c r="K298" s="197">
        <f t="shared" si="101"/>
        <v>44114</v>
      </c>
      <c r="L298" s="147">
        <f>IF(t&lt;Tvie,1-EXP((T0-t)*PertePVj)+'2019'!Pspv,1-EXP((T0-t)*PertePVj)+Pspv)</f>
        <v>1.1774079109465374E-2</v>
      </c>
      <c r="M298" s="832"/>
      <c r="N298" s="832"/>
      <c r="O298" s="48">
        <f>IF(t&lt;Tnet,'2019'!Resal+('2019'!Salim-'2019'!Resal)*(1-EXP(('2019'!Tnet-t)/('2019'!Tau_j))),Resal+(Salim-Resal)*(1-EXP((Tnet-t)/(Tau_j))))*Salcycl</f>
        <v>4.8937100868068316E-2</v>
      </c>
      <c r="P298" s="169">
        <f>(INDEX(Models!$BJ298:$BT298,,T298)*(1-R298)+INDEX(Models!$BJ298:$BT298,,T298+1)*R298-ERP_i)*Q298*Ramure*Pc/MaxiM</f>
        <v>1.784342116563709E-5</v>
      </c>
      <c r="Q298" s="304">
        <f t="shared" si="102"/>
        <v>0.6</v>
      </c>
      <c r="R298" s="177">
        <f t="shared" si="103"/>
        <v>0.49610347623616624</v>
      </c>
      <c r="S298" s="799">
        <f t="shared" si="104"/>
        <v>-1</v>
      </c>
      <c r="T298" s="176">
        <f t="shared" si="105"/>
        <v>5</v>
      </c>
      <c r="U298" s="250">
        <f t="shared" si="106"/>
        <v>-0.50389652376383376</v>
      </c>
      <c r="V298" s="382">
        <f t="shared" si="107"/>
        <v>41.958899887803355</v>
      </c>
      <c r="W298" s="58"/>
      <c r="X298" s="157">
        <f t="shared" si="108"/>
        <v>44114</v>
      </c>
      <c r="Y298" s="383">
        <f t="shared" si="109"/>
        <v>20.943000000000001</v>
      </c>
      <c r="Z298" s="383">
        <f t="shared" si="110"/>
        <v>21.1925224356869</v>
      </c>
      <c r="AA298" s="384">
        <f t="shared" si="111"/>
        <v>22.282987229372587</v>
      </c>
      <c r="AB298" s="197">
        <f t="shared" si="112"/>
        <v>44114</v>
      </c>
      <c r="AC298" s="424">
        <f>IF(OR(t&lt;Tnet,NoTnet),'2019'!Resal_s+('2019'!Salim-'2019'!Resal_s)*(1-EXP(('2019'!Tnet_s-t)/'2019'!Tau_j)),Resal_s+(Salim-Resal_s)*(1-EXP((Tnet_s-t)/Tau_j)))*Salcycl</f>
        <v>4.8937100868068316E-2</v>
      </c>
      <c r="AD298" s="230">
        <f>(INDEX(Models!$BJ298:$BT298,,AH298)*(1-AF298)+INDEX(Models!$BJ298:$BT298,,AH298+1)*AF298-ERP_i)*AE298*Ramure*Pc/MaxiM</f>
        <v>1.784342116563709E-5</v>
      </c>
      <c r="AE298" s="304">
        <f t="shared" si="113"/>
        <v>0.6</v>
      </c>
      <c r="AF298" s="177">
        <f t="shared" si="114"/>
        <v>0.49610347623616624</v>
      </c>
      <c r="AG298" s="176">
        <f t="shared" si="115"/>
        <v>-1</v>
      </c>
      <c r="AH298" s="176">
        <f t="shared" si="116"/>
        <v>5</v>
      </c>
      <c r="AI298" s="224">
        <f t="shared" si="117"/>
        <v>-0.50389652376383376</v>
      </c>
      <c r="AJ298" s="264" t="b">
        <f t="shared" si="118"/>
        <v>0</v>
      </c>
      <c r="AK298" s="264" t="b">
        <f t="shared" si="119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20"/>
        <v>44115</v>
      </c>
      <c r="B299" s="607">
        <v>14.628</v>
      </c>
      <c r="C299" s="388"/>
      <c r="D299" s="391">
        <f t="shared" si="99"/>
        <v>14.802566941852142</v>
      </c>
      <c r="E299" s="383">
        <f t="shared" si="121"/>
        <v>15.564635798037404</v>
      </c>
      <c r="F299" s="383">
        <f t="shared" si="100"/>
        <v>15.564656381603076</v>
      </c>
      <c r="G299" s="110">
        <f t="shared" si="122"/>
        <v>0.35117208498454666</v>
      </c>
      <c r="H299" s="412" t="b">
        <f>Wh_hp&gt;='2019'!Maxi_hp</f>
        <v>0</v>
      </c>
      <c r="I299" s="388">
        <f>IF(H299,Wh_hp,'2019'!Maxi_hp)</f>
        <v>20.595691292660689</v>
      </c>
      <c r="J299" s="85">
        <f>IF(H299,An,'2019'!An_max)</f>
        <v>2018</v>
      </c>
      <c r="K299" s="197">
        <f t="shared" si="101"/>
        <v>44115</v>
      </c>
      <c r="L299" s="147">
        <f>IF(t&lt;Tvie,1-EXP((T0-t)*PertePVj)+'2019'!Pspv,1-EXP((T0-t)*PertePVj)+Pspv)</f>
        <v>1.1793018233788755E-2</v>
      </c>
      <c r="M299" s="832"/>
      <c r="N299" s="832"/>
      <c r="O299" s="48">
        <f>IF(t&lt;Tnet,'2019'!Resal+('2019'!Salim-'2019'!Resal)*(1-EXP(('2019'!Tnet-t)/('2019'!Tau_j))),Resal+(Salim-Resal)*(1-EXP((Tnet-t)/(Tau_j))))*Salcycl</f>
        <v>4.896156042927477E-2</v>
      </c>
      <c r="P299" s="169">
        <f>(INDEX(Models!$BJ299:$BT299,,T299)*(1-R299)+INDEX(Models!$BJ299:$BT299,,T299+1)*R299-ERP_i)*Q299*Ramure*Pc/MaxiM</f>
        <v>1.808822840221817E-5</v>
      </c>
      <c r="Q299" s="304">
        <f t="shared" si="102"/>
        <v>0.6</v>
      </c>
      <c r="R299" s="177">
        <f t="shared" si="103"/>
        <v>0.49623051657106765</v>
      </c>
      <c r="S299" s="799">
        <f t="shared" si="104"/>
        <v>-1</v>
      </c>
      <c r="T299" s="176">
        <f t="shared" si="105"/>
        <v>5</v>
      </c>
      <c r="U299" s="250">
        <f t="shared" si="106"/>
        <v>-0.50376948342893235</v>
      </c>
      <c r="V299" s="382">
        <f t="shared" si="107"/>
        <v>41.654093179398266</v>
      </c>
      <c r="W299" s="58"/>
      <c r="X299" s="157">
        <f t="shared" si="108"/>
        <v>44115</v>
      </c>
      <c r="Y299" s="383">
        <f t="shared" si="109"/>
        <v>14.628</v>
      </c>
      <c r="Z299" s="383">
        <f t="shared" si="110"/>
        <v>14.802566941852142</v>
      </c>
      <c r="AA299" s="384">
        <f t="shared" si="111"/>
        <v>15.564635798037404</v>
      </c>
      <c r="AB299" s="197">
        <f t="shared" si="112"/>
        <v>44115</v>
      </c>
      <c r="AC299" s="424">
        <f>IF(OR(t&lt;Tnet,NoTnet),'2019'!Resal_s+('2019'!Salim-'2019'!Resal_s)*(1-EXP(('2019'!Tnet_s-t)/'2019'!Tau_j)),Resal_s+(Salim-Resal_s)*(1-EXP((Tnet_s-t)/Tau_j)))*Salcycl</f>
        <v>4.896156042927477E-2</v>
      </c>
      <c r="AD299" s="230">
        <f>(INDEX(Models!$BJ299:$BT299,,AH299)*(1-AF299)+INDEX(Models!$BJ299:$BT299,,AH299+1)*AF299-ERP_i)*AE299*Ramure*Pc/MaxiM</f>
        <v>1.808822840221817E-5</v>
      </c>
      <c r="AE299" s="304">
        <f t="shared" si="113"/>
        <v>0.6</v>
      </c>
      <c r="AF299" s="177">
        <f t="shared" si="114"/>
        <v>0.49623051657106765</v>
      </c>
      <c r="AG299" s="176">
        <f t="shared" si="115"/>
        <v>-1</v>
      </c>
      <c r="AH299" s="176">
        <f t="shared" si="116"/>
        <v>5</v>
      </c>
      <c r="AI299" s="224">
        <f t="shared" si="117"/>
        <v>-0.50376948342893235</v>
      </c>
      <c r="AJ299" s="264" t="b">
        <f t="shared" si="118"/>
        <v>0</v>
      </c>
      <c r="AK299" s="264" t="b">
        <f t="shared" si="119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20"/>
        <v>44116</v>
      </c>
      <c r="B300" s="607">
        <v>21.96</v>
      </c>
      <c r="C300" s="388"/>
      <c r="D300" s="391">
        <f t="shared" si="99"/>
        <v>22.222491109308208</v>
      </c>
      <c r="E300" s="383">
        <f t="shared" si="121"/>
        <v>23.367136070142703</v>
      </c>
      <c r="F300" s="383">
        <f t="shared" si="100"/>
        <v>23.367277618360152</v>
      </c>
      <c r="G300" s="110">
        <f t="shared" si="122"/>
        <v>0.53111010511638823</v>
      </c>
      <c r="H300" s="412" t="b">
        <f>Wh_hp&gt;='2019'!Maxi_hp</f>
        <v>0</v>
      </c>
      <c r="I300" s="388">
        <f>IF(H300,Wh_hp,'2019'!Maxi_hp)</f>
        <v>41.170852070636847</v>
      </c>
      <c r="J300" s="85">
        <f>IF(H300,An,'2019'!An_max)</f>
        <v>2018</v>
      </c>
      <c r="K300" s="197">
        <f t="shared" si="101"/>
        <v>44116</v>
      </c>
      <c r="L300" s="147">
        <f>IF(t&lt;Tvie,1-EXP((T0-t)*PertePVj)+'2019'!Pspv,1-EXP((T0-t)*PertePVj)+Pspv)</f>
        <v>1.1811956995148032E-2</v>
      </c>
      <c r="M300" s="832"/>
      <c r="N300" s="832"/>
      <c r="O300" s="48">
        <f>IF(t&lt;Tnet,'2019'!Resal+('2019'!Salim-'2019'!Resal)*(1-EXP(('2019'!Tnet-t)/('2019'!Tau_j))),Resal+(Salim-Resal)*(1-EXP((Tnet-t)/(Tau_j))))*Salcycl</f>
        <v>4.8985248230614911E-2</v>
      </c>
      <c r="P300" s="169">
        <f>(INDEX(Models!$BJ300:$BT300,,T300)*(1-R300)+INDEX(Models!$BJ300:$BT300,,T300+1)*R300-ERP_i)*Q300*Ramure*Pc/MaxiM</f>
        <v>1.8346918247833236E-5</v>
      </c>
      <c r="Q300" s="304">
        <f t="shared" si="102"/>
        <v>0.6</v>
      </c>
      <c r="R300" s="177">
        <f t="shared" si="103"/>
        <v>0.4963525029006618</v>
      </c>
      <c r="S300" s="799">
        <f t="shared" si="104"/>
        <v>-1</v>
      </c>
      <c r="T300" s="176">
        <f t="shared" si="105"/>
        <v>5</v>
      </c>
      <c r="U300" s="250">
        <f t="shared" si="106"/>
        <v>-0.5036474970993382</v>
      </c>
      <c r="V300" s="382">
        <f t="shared" si="107"/>
        <v>41.346850515685965</v>
      </c>
      <c r="W300" s="58"/>
      <c r="X300" s="157">
        <f t="shared" si="108"/>
        <v>44116</v>
      </c>
      <c r="Y300" s="383">
        <f t="shared" si="109"/>
        <v>21.96</v>
      </c>
      <c r="Z300" s="383">
        <f t="shared" si="110"/>
        <v>22.222491109308208</v>
      </c>
      <c r="AA300" s="384">
        <f t="shared" si="111"/>
        <v>23.367136070142703</v>
      </c>
      <c r="AB300" s="197">
        <f t="shared" si="112"/>
        <v>44116</v>
      </c>
      <c r="AC300" s="424">
        <f>IF(OR(t&lt;Tnet,NoTnet),'2019'!Resal_s+('2019'!Salim-'2019'!Resal_s)*(1-EXP(('2019'!Tnet_s-t)/'2019'!Tau_j)),Resal_s+(Salim-Resal_s)*(1-EXP((Tnet_s-t)/Tau_j)))*Salcycl</f>
        <v>4.8985248230614911E-2</v>
      </c>
      <c r="AD300" s="230">
        <f>(INDEX(Models!$BJ300:$BT300,,AH300)*(1-AF300)+INDEX(Models!$BJ300:$BT300,,AH300+1)*AF300-ERP_i)*AE300*Ramure*Pc/MaxiM</f>
        <v>1.8346918247833236E-5</v>
      </c>
      <c r="AE300" s="304">
        <f t="shared" si="113"/>
        <v>0.6</v>
      </c>
      <c r="AF300" s="177">
        <f t="shared" si="114"/>
        <v>0.4963525029006618</v>
      </c>
      <c r="AG300" s="176">
        <f t="shared" si="115"/>
        <v>-1</v>
      </c>
      <c r="AH300" s="176">
        <f t="shared" si="116"/>
        <v>5</v>
      </c>
      <c r="AI300" s="224">
        <f t="shared" si="117"/>
        <v>-0.5036474970993382</v>
      </c>
      <c r="AJ300" s="264" t="b">
        <f t="shared" si="118"/>
        <v>0</v>
      </c>
      <c r="AK300" s="264" t="b">
        <f t="shared" si="119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20"/>
        <v>44117</v>
      </c>
      <c r="B301" s="607">
        <v>23.061</v>
      </c>
      <c r="C301" s="388"/>
      <c r="D301" s="391">
        <f t="shared" si="99"/>
        <v>23.337098774388743</v>
      </c>
      <c r="E301" s="383">
        <f t="shared" si="121"/>
        <v>24.539746944390476</v>
      </c>
      <c r="F301" s="383">
        <f t="shared" si="100"/>
        <v>24.539917930603011</v>
      </c>
      <c r="G301" s="110">
        <f t="shared" si="122"/>
        <v>0.56194462088823904</v>
      </c>
      <c r="H301" s="412" t="b">
        <f>Wh_hp&gt;='2019'!Maxi_hp</f>
        <v>1</v>
      </c>
      <c r="I301" s="388">
        <f>IF(H301,Wh_hp,'2019'!Maxi_hp)</f>
        <v>24.539917930603011</v>
      </c>
      <c r="J301" s="85">
        <f>IF(H301,An,'2019'!An_max)</f>
        <v>2020</v>
      </c>
      <c r="K301" s="197">
        <f t="shared" si="101"/>
        <v>44117</v>
      </c>
      <c r="L301" s="147">
        <f>IF(t&lt;Tvie,1-EXP((T0-t)*PertePVj)+'2019'!Pspv,1-EXP((T0-t)*PertePVj)+Pspv)</f>
        <v>1.1830895393550311E-2</v>
      </c>
      <c r="M301" s="832"/>
      <c r="N301" s="832"/>
      <c r="O301" s="48">
        <f>IF(t&lt;Tnet,'2019'!Resal+('2019'!Salim-'2019'!Resal)*(1-EXP(('2019'!Tnet-t)/('2019'!Tau_j))),Resal+(Salim-Resal)*(1-EXP((Tnet-t)/(Tau_j))))*Salcycl</f>
        <v>4.9008173259775446E-2</v>
      </c>
      <c r="P301" s="169">
        <f>(INDEX(Models!$BJ301:$BT301,,T301)*(1-R301)+INDEX(Models!$BJ301:$BT301,,T301+1)*R301-ERP_i)*Q301*Ramure*Pc/MaxiM</f>
        <v>1.8619400183068336E-5</v>
      </c>
      <c r="Q301" s="304">
        <f t="shared" si="102"/>
        <v>0.6</v>
      </c>
      <c r="R301" s="177">
        <f t="shared" si="103"/>
        <v>0.49646963394144261</v>
      </c>
      <c r="S301" s="799">
        <f t="shared" si="104"/>
        <v>-1</v>
      </c>
      <c r="T301" s="176">
        <f t="shared" si="105"/>
        <v>5</v>
      </c>
      <c r="U301" s="250">
        <f t="shared" si="106"/>
        <v>-0.50353036605855739</v>
      </c>
      <c r="V301" s="382">
        <f t="shared" si="107"/>
        <v>41.037373507161234</v>
      </c>
      <c r="W301" s="58"/>
      <c r="X301" s="157">
        <f t="shared" si="108"/>
        <v>44117</v>
      </c>
      <c r="Y301" s="383">
        <f t="shared" si="109"/>
        <v>23.061</v>
      </c>
      <c r="Z301" s="383">
        <f t="shared" si="110"/>
        <v>23.337098774388743</v>
      </c>
      <c r="AA301" s="384">
        <f t="shared" si="111"/>
        <v>24.539746944390476</v>
      </c>
      <c r="AB301" s="197">
        <f t="shared" si="112"/>
        <v>44117</v>
      </c>
      <c r="AC301" s="424">
        <f>IF(OR(t&lt;Tnet,NoTnet),'2019'!Resal_s+('2019'!Salim-'2019'!Resal_s)*(1-EXP(('2019'!Tnet_s-t)/'2019'!Tau_j)),Resal_s+(Salim-Resal_s)*(1-EXP((Tnet_s-t)/Tau_j)))*Salcycl</f>
        <v>4.9008173259775446E-2</v>
      </c>
      <c r="AD301" s="230">
        <f>(INDEX(Models!$BJ301:$BT301,,AH301)*(1-AF301)+INDEX(Models!$BJ301:$BT301,,AH301+1)*AF301-ERP_i)*AE301*Ramure*Pc/MaxiM</f>
        <v>1.8619400183068336E-5</v>
      </c>
      <c r="AE301" s="304">
        <f t="shared" si="113"/>
        <v>0.6</v>
      </c>
      <c r="AF301" s="177">
        <f t="shared" si="114"/>
        <v>0.49646963394144261</v>
      </c>
      <c r="AG301" s="176">
        <f t="shared" si="115"/>
        <v>-1</v>
      </c>
      <c r="AH301" s="176">
        <f t="shared" si="116"/>
        <v>5</v>
      </c>
      <c r="AI301" s="224">
        <f t="shared" si="117"/>
        <v>-0.50353036605855739</v>
      </c>
      <c r="AJ301" s="264" t="b">
        <f t="shared" si="118"/>
        <v>0</v>
      </c>
      <c r="AK301" s="264" t="b">
        <f t="shared" si="119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20"/>
        <v>44118</v>
      </c>
      <c r="B302" s="607">
        <v>14.337</v>
      </c>
      <c r="C302" s="388"/>
      <c r="D302" s="391">
        <f t="shared" si="99"/>
        <v>14.508928384590726</v>
      </c>
      <c r="E302" s="383">
        <f t="shared" si="121"/>
        <v>15.256983584067987</v>
      </c>
      <c r="F302" s="383">
        <f t="shared" si="100"/>
        <v>15.257005026360952</v>
      </c>
      <c r="G302" s="110">
        <f t="shared" si="122"/>
        <v>0.35203057282002737</v>
      </c>
      <c r="H302" s="412" t="b">
        <f>Wh_hp&gt;='2019'!Maxi_hp</f>
        <v>0</v>
      </c>
      <c r="I302" s="388">
        <f>IF(H302,Wh_hp,'2019'!Maxi_hp)</f>
        <v>33.145618671904685</v>
      </c>
      <c r="J302" s="85">
        <f>IF(H302,An,'2019'!An_max)</f>
        <v>2018</v>
      </c>
      <c r="K302" s="197">
        <f t="shared" si="101"/>
        <v>44118</v>
      </c>
      <c r="L302" s="147">
        <f>IF(t&lt;Tvie,1-EXP((T0-t)*PertePVj)+'2019'!Pspv,1-EXP((T0-t)*PertePVj)+Pspv)</f>
        <v>1.1849833429002476E-2</v>
      </c>
      <c r="M302" s="832"/>
      <c r="N302" s="832"/>
      <c r="O302" s="48">
        <f>IF(t&lt;Tnet,'2019'!Resal+('2019'!Salim-'2019'!Resal)*(1-EXP(('2019'!Tnet-t)/('2019'!Tau_j))),Resal+(Salim-Resal)*(1-EXP((Tnet-t)/(Tau_j))))*Salcycl</f>
        <v>4.9030347011608029E-2</v>
      </c>
      <c r="P302" s="169">
        <f>(INDEX(Models!$BJ302:$BT302,,T302)*(1-R302)+INDEX(Models!$BJ302:$BT302,,T302+1)*R302-ERP_i)*Q302*Ramure*Pc/MaxiM</f>
        <v>1.8905577543873612E-5</v>
      </c>
      <c r="Q302" s="304">
        <f t="shared" si="102"/>
        <v>0.6</v>
      </c>
      <c r="R302" s="177">
        <f t="shared" si="103"/>
        <v>0.49658210078080867</v>
      </c>
      <c r="S302" s="799">
        <f t="shared" si="104"/>
        <v>-1</v>
      </c>
      <c r="T302" s="176">
        <f t="shared" si="105"/>
        <v>5</v>
      </c>
      <c r="U302" s="250">
        <f t="shared" si="106"/>
        <v>-0.50341789921919133</v>
      </c>
      <c r="V302" s="382">
        <f t="shared" si="107"/>
        <v>40.725863622713433</v>
      </c>
      <c r="W302" s="58"/>
      <c r="X302" s="157">
        <f t="shared" si="108"/>
        <v>44118</v>
      </c>
      <c r="Y302" s="383">
        <f t="shared" si="109"/>
        <v>14.337</v>
      </c>
      <c r="Z302" s="383">
        <f t="shared" si="110"/>
        <v>14.508928384590726</v>
      </c>
      <c r="AA302" s="384">
        <f t="shared" si="111"/>
        <v>15.256983584067987</v>
      </c>
      <c r="AB302" s="197">
        <f t="shared" si="112"/>
        <v>44118</v>
      </c>
      <c r="AC302" s="424">
        <f>IF(OR(t&lt;Tnet,NoTnet),'2019'!Resal_s+('2019'!Salim-'2019'!Resal_s)*(1-EXP(('2019'!Tnet_s-t)/'2019'!Tau_j)),Resal_s+(Salim-Resal_s)*(1-EXP((Tnet_s-t)/Tau_j)))*Salcycl</f>
        <v>4.9030347011608029E-2</v>
      </c>
      <c r="AD302" s="230">
        <f>(INDEX(Models!$BJ302:$BT302,,AH302)*(1-AF302)+INDEX(Models!$BJ302:$BT302,,AH302+1)*AF302-ERP_i)*AE302*Ramure*Pc/MaxiM</f>
        <v>1.8905577543873612E-5</v>
      </c>
      <c r="AE302" s="304">
        <f t="shared" si="113"/>
        <v>0.6</v>
      </c>
      <c r="AF302" s="177">
        <f t="shared" si="114"/>
        <v>0.49658210078080867</v>
      </c>
      <c r="AG302" s="176">
        <f t="shared" si="115"/>
        <v>-1</v>
      </c>
      <c r="AH302" s="176">
        <f t="shared" si="116"/>
        <v>5</v>
      </c>
      <c r="AI302" s="224">
        <f t="shared" si="117"/>
        <v>-0.50341789921919133</v>
      </c>
      <c r="AJ302" s="264" t="b">
        <f t="shared" si="118"/>
        <v>0</v>
      </c>
      <c r="AK302" s="264" t="b">
        <f t="shared" si="119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20"/>
        <v>44119</v>
      </c>
      <c r="B303" s="607">
        <v>16.504000000000001</v>
      </c>
      <c r="C303" s="388"/>
      <c r="D303" s="391">
        <f t="shared" si="99"/>
        <v>16.702235004147887</v>
      </c>
      <c r="E303" s="383">
        <f t="shared" si="121"/>
        <v>17.563769209542645</v>
      </c>
      <c r="F303" s="383">
        <f t="shared" si="100"/>
        <v>17.563821458174704</v>
      </c>
      <c r="G303" s="110">
        <f t="shared" si="122"/>
        <v>0.4084111268128971</v>
      </c>
      <c r="H303" s="412" t="b">
        <f>Wh_hp&gt;='2019'!Maxi_hp</f>
        <v>0</v>
      </c>
      <c r="I303" s="388">
        <f>IF(H303,Wh_hp,'2019'!Maxi_hp)</f>
        <v>37.053307520290254</v>
      </c>
      <c r="J303" s="85">
        <f>IF(H303,An,'2019'!An_max)</f>
        <v>2018</v>
      </c>
      <c r="K303" s="197">
        <f t="shared" si="101"/>
        <v>44119</v>
      </c>
      <c r="L303" s="147">
        <f>IF(t&lt;Tvie,1-EXP((T0-t)*PertePVj)+'2019'!Pspv,1-EXP((T0-t)*PertePVj)+Pspv)</f>
        <v>1.1868771101511522E-2</v>
      </c>
      <c r="M303" s="832"/>
      <c r="N303" s="832"/>
      <c r="O303" s="48">
        <f>IF(t&lt;Tnet,'2019'!Resal+('2019'!Salim-'2019'!Resal)*(1-EXP(('2019'!Tnet-t)/('2019'!Tau_j))),Resal+(Salim-Resal)*(1-EXP((Tnet-t)/(Tau_j))))*Salcycl</f>
        <v>4.905178353896128E-2</v>
      </c>
      <c r="P303" s="169">
        <f>(INDEX(Models!$BJ303:$BT303,,T303)*(1-R303)+INDEX(Models!$BJ303:$BT303,,T303+1)*R303-ERP_i)*Q303*Ramure*Pc/MaxiM</f>
        <v>1.9206734617016854E-5</v>
      </c>
      <c r="Q303" s="304">
        <f t="shared" si="102"/>
        <v>0.6</v>
      </c>
      <c r="R303" s="177">
        <f t="shared" si="103"/>
        <v>0.49669008715544161</v>
      </c>
      <c r="S303" s="799">
        <f t="shared" si="104"/>
        <v>-1</v>
      </c>
      <c r="T303" s="176">
        <f t="shared" si="105"/>
        <v>5</v>
      </c>
      <c r="U303" s="250">
        <f t="shared" si="106"/>
        <v>-0.50330991284455839</v>
      </c>
      <c r="V303" s="382">
        <f t="shared" si="107"/>
        <v>40.409604498127237</v>
      </c>
      <c r="W303" s="58"/>
      <c r="X303" s="157">
        <f t="shared" si="108"/>
        <v>44119</v>
      </c>
      <c r="Y303" s="383">
        <f t="shared" si="109"/>
        <v>16.504000000000001</v>
      </c>
      <c r="Z303" s="383">
        <f t="shared" si="110"/>
        <v>16.702235004147887</v>
      </c>
      <c r="AA303" s="384">
        <f t="shared" si="111"/>
        <v>17.563769209542645</v>
      </c>
      <c r="AB303" s="197">
        <f t="shared" si="112"/>
        <v>44119</v>
      </c>
      <c r="AC303" s="424">
        <f>IF(OR(t&lt;Tnet,NoTnet),'2019'!Resal_s+('2019'!Salim-'2019'!Resal_s)*(1-EXP(('2019'!Tnet_s-t)/'2019'!Tau_j)),Resal_s+(Salim-Resal_s)*(1-EXP((Tnet_s-t)/Tau_j)))*Salcycl</f>
        <v>4.905178353896128E-2</v>
      </c>
      <c r="AD303" s="230">
        <f>(INDEX(Models!$BJ303:$BT303,,AH303)*(1-AF303)+INDEX(Models!$BJ303:$BT303,,AH303+1)*AF303-ERP_i)*AE303*Ramure*Pc/MaxiM</f>
        <v>1.9206734617016854E-5</v>
      </c>
      <c r="AE303" s="304">
        <f t="shared" si="113"/>
        <v>0.6</v>
      </c>
      <c r="AF303" s="177">
        <f t="shared" si="114"/>
        <v>0.49669008715544161</v>
      </c>
      <c r="AG303" s="176">
        <f t="shared" si="115"/>
        <v>-1</v>
      </c>
      <c r="AH303" s="176">
        <f t="shared" si="116"/>
        <v>5</v>
      </c>
      <c r="AI303" s="224">
        <f t="shared" si="117"/>
        <v>-0.50330991284455839</v>
      </c>
      <c r="AJ303" s="264" t="b">
        <f t="shared" si="118"/>
        <v>0</v>
      </c>
      <c r="AK303" s="264" t="b">
        <f t="shared" si="119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20"/>
        <v>44120</v>
      </c>
      <c r="B304" s="607">
        <v>9.4450000000000003</v>
      </c>
      <c r="C304" s="388"/>
      <c r="D304" s="391">
        <f t="shared" si="99"/>
        <v>9.5586302087307757</v>
      </c>
      <c r="E304" s="383">
        <f t="shared" si="121"/>
        <v>10.051902172979577</v>
      </c>
      <c r="F304" s="383">
        <f t="shared" si="100"/>
        <v>10.051902172979577</v>
      </c>
      <c r="G304" s="110">
        <f t="shared" si="122"/>
        <v>0.2356109563640657</v>
      </c>
      <c r="H304" s="412" t="b">
        <f>Wh_hp&gt;='2019'!Maxi_hp</f>
        <v>0</v>
      </c>
      <c r="I304" s="388">
        <f>IF(H304,Wh_hp,'2019'!Maxi_hp)</f>
        <v>19.541690585624199</v>
      </c>
      <c r="J304" s="85">
        <f>IF(H304,An,'2019'!An_max)</f>
        <v>2018</v>
      </c>
      <c r="K304" s="197">
        <f t="shared" si="101"/>
        <v>44120</v>
      </c>
      <c r="L304" s="147">
        <f>IF(t&lt;Tvie,1-EXP((T0-t)*PertePVj)+'2019'!Pspv,1-EXP((T0-t)*PertePVj)+Pspv)</f>
        <v>1.1887708411084441E-2</v>
      </c>
      <c r="M304" s="832"/>
      <c r="N304" s="832"/>
      <c r="O304" s="48">
        <f>IF(t&lt;Tnet,'2019'!Resal+('2019'!Salim-'2019'!Resal)*(1-EXP(('2019'!Tnet-t)/('2019'!Tau_j))),Resal+(Salim-Resal)*(1-EXP((Tnet-t)/(Tau_j))))*Salcycl</f>
        <v>4.9072499489177385E-2</v>
      </c>
      <c r="P304" s="169">
        <f>(INDEX(Models!$BJ304:$BT304,,T304)*(1-R304)+INDEX(Models!$BJ304:$BT304,,T304+1)*R304-ERP_i)*Q304*Ramure*Pc/MaxiM</f>
        <v>1.9506202614445254E-5</v>
      </c>
      <c r="Q304" s="304">
        <f t="shared" si="102"/>
        <v>0.6</v>
      </c>
      <c r="R304" s="177">
        <f t="shared" si="103"/>
        <v>0.49679376972068645</v>
      </c>
      <c r="S304" s="799">
        <f t="shared" si="104"/>
        <v>-1</v>
      </c>
      <c r="T304" s="176">
        <f t="shared" si="105"/>
        <v>5</v>
      </c>
      <c r="U304" s="250">
        <f t="shared" si="106"/>
        <v>-0.50320623027931355</v>
      </c>
      <c r="V304" s="382">
        <f t="shared" si="107"/>
        <v>40.08648795314167</v>
      </c>
      <c r="W304" s="58"/>
      <c r="X304" s="157">
        <f t="shared" si="108"/>
        <v>44120</v>
      </c>
      <c r="Y304" s="383">
        <f t="shared" si="109"/>
        <v>9.4450000000000003</v>
      </c>
      <c r="Z304" s="383">
        <f t="shared" si="110"/>
        <v>9.5586302087307757</v>
      </c>
      <c r="AA304" s="384">
        <f t="shared" si="111"/>
        <v>10.051902172979577</v>
      </c>
      <c r="AB304" s="197">
        <f t="shared" si="112"/>
        <v>44120</v>
      </c>
      <c r="AC304" s="424">
        <f>IF(OR(t&lt;Tnet,NoTnet),'2019'!Resal_s+('2019'!Salim-'2019'!Resal_s)*(1-EXP(('2019'!Tnet_s-t)/'2019'!Tau_j)),Resal_s+(Salim-Resal_s)*(1-EXP((Tnet_s-t)/Tau_j)))*Salcycl</f>
        <v>4.9072499489177385E-2</v>
      </c>
      <c r="AD304" s="230">
        <f>(INDEX(Models!$BJ304:$BT304,,AH304)*(1-AF304)+INDEX(Models!$BJ304:$BT304,,AH304+1)*AF304-ERP_i)*AE304*Ramure*Pc/MaxiM</f>
        <v>1.9506202614445254E-5</v>
      </c>
      <c r="AE304" s="304">
        <f t="shared" si="113"/>
        <v>0.6</v>
      </c>
      <c r="AF304" s="177">
        <f t="shared" si="114"/>
        <v>0.49679376972068645</v>
      </c>
      <c r="AG304" s="176">
        <f t="shared" si="115"/>
        <v>-1</v>
      </c>
      <c r="AH304" s="176">
        <f t="shared" si="116"/>
        <v>5</v>
      </c>
      <c r="AI304" s="224">
        <f t="shared" si="117"/>
        <v>-0.50320623027931355</v>
      </c>
      <c r="AJ304" s="264" t="b">
        <f t="shared" si="118"/>
        <v>0</v>
      </c>
      <c r="AK304" s="264" t="b">
        <f t="shared" si="119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20"/>
        <v>44121</v>
      </c>
      <c r="B305" s="607">
        <v>37.048999999999999</v>
      </c>
      <c r="C305" s="388"/>
      <c r="D305" s="391">
        <f t="shared" si="99"/>
        <v>37.495444965737242</v>
      </c>
      <c r="E305" s="383">
        <f t="shared" si="121"/>
        <v>39.43122282948034</v>
      </c>
      <c r="F305" s="383">
        <f t="shared" si="100"/>
        <v>39.431928527147996</v>
      </c>
      <c r="G305" s="110">
        <f t="shared" si="122"/>
        <v>0.93186975134291394</v>
      </c>
      <c r="H305" s="412" t="b">
        <f>Wh_hp&gt;='2019'!Maxi_hp</f>
        <v>1</v>
      </c>
      <c r="I305" s="388">
        <f>IF(H305,Wh_hp,'2019'!Maxi_hp)</f>
        <v>39.431928527147996</v>
      </c>
      <c r="J305" s="85">
        <f>IF(H305,An,'2019'!An_max)</f>
        <v>2020</v>
      </c>
      <c r="K305" s="197">
        <f t="shared" si="101"/>
        <v>44121</v>
      </c>
      <c r="L305" s="147">
        <f>IF(t&lt;Tvie,1-EXP((T0-t)*PertePVj)+'2019'!Pspv,1-EXP((T0-t)*PertePVj)+Pspv)</f>
        <v>1.1906645357728007E-2</v>
      </c>
      <c r="M305" s="832"/>
      <c r="N305" s="832"/>
      <c r="O305" s="48">
        <f>IF(t&lt;Tnet,'2019'!Resal+('2019'!Salim-'2019'!Resal)*(1-EXP(('2019'!Tnet-t)/('2019'!Tau_j))),Resal+(Salim-Resal)*(1-EXP((Tnet-t)/(Tau_j))))*Salcycl</f>
        <v>4.9092514125527724E-2</v>
      </c>
      <c r="P305" s="169">
        <f>(INDEX(Models!$BJ305:$BT305,,T305)*(1-R305)+INDEX(Models!$BJ305:$BT305,,T305+1)*R305-ERP_i)*Q305*Ramure*Pc/MaxiM</f>
        <v>1.9826219167915939E-5</v>
      </c>
      <c r="Q305" s="304">
        <f t="shared" si="102"/>
        <v>0.6</v>
      </c>
      <c r="R305" s="177">
        <f t="shared" si="103"/>
        <v>0.49689331831112693</v>
      </c>
      <c r="S305" s="799">
        <f t="shared" si="104"/>
        <v>-1</v>
      </c>
      <c r="T305" s="176">
        <f t="shared" si="105"/>
        <v>5</v>
      </c>
      <c r="U305" s="250">
        <f t="shared" si="106"/>
        <v>-0.50310668168887307</v>
      </c>
      <c r="V305" s="382">
        <f t="shared" si="107"/>
        <v>39.757625413928793</v>
      </c>
      <c r="W305" s="58"/>
      <c r="X305" s="157">
        <f t="shared" si="108"/>
        <v>44121</v>
      </c>
      <c r="Y305" s="383">
        <f t="shared" si="109"/>
        <v>37.048999999999999</v>
      </c>
      <c r="Z305" s="383">
        <f t="shared" si="110"/>
        <v>37.495444965737242</v>
      </c>
      <c r="AA305" s="384">
        <f t="shared" si="111"/>
        <v>39.43122282948034</v>
      </c>
      <c r="AB305" s="197">
        <f t="shared" si="112"/>
        <v>44121</v>
      </c>
      <c r="AC305" s="424">
        <f>IF(OR(t&lt;Tnet,NoTnet),'2019'!Resal_s+('2019'!Salim-'2019'!Resal_s)*(1-EXP(('2019'!Tnet_s-t)/'2019'!Tau_j)),Resal_s+(Salim-Resal_s)*(1-EXP((Tnet_s-t)/Tau_j)))*Salcycl</f>
        <v>4.9092514125527724E-2</v>
      </c>
      <c r="AD305" s="230">
        <f>(INDEX(Models!$BJ305:$BT305,,AH305)*(1-AF305)+INDEX(Models!$BJ305:$BT305,,AH305+1)*AF305-ERP_i)*AE305*Ramure*Pc/MaxiM</f>
        <v>1.9826219167915939E-5</v>
      </c>
      <c r="AE305" s="304">
        <f t="shared" si="113"/>
        <v>0.6</v>
      </c>
      <c r="AF305" s="177">
        <f t="shared" si="114"/>
        <v>0.49689331831112693</v>
      </c>
      <c r="AG305" s="176">
        <f t="shared" si="115"/>
        <v>-1</v>
      </c>
      <c r="AH305" s="176">
        <f t="shared" si="116"/>
        <v>5</v>
      </c>
      <c r="AI305" s="224">
        <f t="shared" si="117"/>
        <v>-0.50310668168887307</v>
      </c>
      <c r="AJ305" s="264" t="b">
        <f t="shared" si="118"/>
        <v>0</v>
      </c>
      <c r="AK305" s="264" t="b">
        <f t="shared" si="119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20"/>
        <v>44122</v>
      </c>
      <c r="B306" s="607">
        <v>37.962000000000003</v>
      </c>
      <c r="C306" s="388"/>
      <c r="D306" s="391">
        <f t="shared" si="99"/>
        <v>38.420183041061669</v>
      </c>
      <c r="E306" s="383">
        <f t="shared" si="121"/>
        <v>40.404523932820879</v>
      </c>
      <c r="F306" s="383">
        <f t="shared" si="100"/>
        <v>40.405295591154072</v>
      </c>
      <c r="G306" s="110">
        <f t="shared" si="122"/>
        <v>0.96291181211986132</v>
      </c>
      <c r="H306" s="412" t="b">
        <f>Wh_hp&gt;='2019'!Maxi_hp</f>
        <v>1</v>
      </c>
      <c r="I306" s="388">
        <f>IF(H306,Wh_hp,'2019'!Maxi_hp)</f>
        <v>40.405295591154072</v>
      </c>
      <c r="J306" s="85">
        <f>IF(H306,An,'2019'!An_max)</f>
        <v>2020</v>
      </c>
      <c r="K306" s="197">
        <f t="shared" si="101"/>
        <v>44122</v>
      </c>
      <c r="L306" s="147">
        <f>IF(t&lt;Tvie,1-EXP((T0-t)*PertePVj)+'2019'!Pspv,1-EXP((T0-t)*PertePVj)+Pspv)</f>
        <v>1.1925581941449437E-2</v>
      </c>
      <c r="M306" s="832"/>
      <c r="N306" s="832"/>
      <c r="O306" s="48">
        <f>IF(t&lt;Tnet,'2019'!Resal+('2019'!Salim-'2019'!Resal)*(1-EXP(('2019'!Tnet-t)/('2019'!Tau_j))),Resal+(Salim-Resal)*(1-EXP((Tnet-t)/(Tau_j))))*Salcycl</f>
        <v>4.9111849332973134E-2</v>
      </c>
      <c r="P306" s="169">
        <f>(INDEX(Models!$BJ306:$BT306,,T306)*(1-R306)+INDEX(Models!$BJ306:$BT306,,T306+1)*R306-ERP_i)*Q306*Ramure*Pc/MaxiM</f>
        <v>2.016639969880245E-5</v>
      </c>
      <c r="Q306" s="304">
        <f t="shared" si="102"/>
        <v>0.6</v>
      </c>
      <c r="R306" s="177">
        <f t="shared" si="103"/>
        <v>0.49698889619255704</v>
      </c>
      <c r="S306" s="799">
        <f t="shared" si="104"/>
        <v>-1</v>
      </c>
      <c r="T306" s="176">
        <f t="shared" si="105"/>
        <v>5</v>
      </c>
      <c r="U306" s="250">
        <f t="shared" si="106"/>
        <v>-0.50301110380744296</v>
      </c>
      <c r="V306" s="382">
        <f t="shared" si="107"/>
        <v>39.424128939888448</v>
      </c>
      <c r="W306" s="58"/>
      <c r="X306" s="157">
        <f t="shared" si="108"/>
        <v>44122</v>
      </c>
      <c r="Y306" s="383">
        <f t="shared" si="109"/>
        <v>37.962000000000003</v>
      </c>
      <c r="Z306" s="383">
        <f t="shared" si="110"/>
        <v>38.420183041061669</v>
      </c>
      <c r="AA306" s="384">
        <f t="shared" si="111"/>
        <v>40.404523932820879</v>
      </c>
      <c r="AB306" s="197">
        <f t="shared" si="112"/>
        <v>44122</v>
      </c>
      <c r="AC306" s="424">
        <f>IF(OR(t&lt;Tnet,NoTnet),'2019'!Resal_s+('2019'!Salim-'2019'!Resal_s)*(1-EXP(('2019'!Tnet_s-t)/'2019'!Tau_j)),Resal_s+(Salim-Resal_s)*(1-EXP((Tnet_s-t)/Tau_j)))*Salcycl</f>
        <v>4.9111849332973134E-2</v>
      </c>
      <c r="AD306" s="230">
        <f>(INDEX(Models!$BJ306:$BT306,,AH306)*(1-AF306)+INDEX(Models!$BJ306:$BT306,,AH306+1)*AF306-ERP_i)*AE306*Ramure*Pc/MaxiM</f>
        <v>2.016639969880245E-5</v>
      </c>
      <c r="AE306" s="304">
        <f t="shared" si="113"/>
        <v>0.6</v>
      </c>
      <c r="AF306" s="177">
        <f t="shared" si="114"/>
        <v>0.49698889619255704</v>
      </c>
      <c r="AG306" s="176">
        <f t="shared" si="115"/>
        <v>-1</v>
      </c>
      <c r="AH306" s="176">
        <f t="shared" si="116"/>
        <v>5</v>
      </c>
      <c r="AI306" s="224">
        <f t="shared" si="117"/>
        <v>-0.50301110380744296</v>
      </c>
      <c r="AJ306" s="264" t="b">
        <f t="shared" si="118"/>
        <v>0</v>
      </c>
      <c r="AK306" s="264" t="b">
        <f t="shared" si="119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20"/>
        <v>44123</v>
      </c>
      <c r="B307" s="607">
        <v>33.142000000000003</v>
      </c>
      <c r="C307" s="388"/>
      <c r="D307" s="391">
        <f t="shared" si="99"/>
        <v>33.54265080171124</v>
      </c>
      <c r="E307" s="383">
        <f t="shared" si="121"/>
        <v>35.275767964108049</v>
      </c>
      <c r="F307" s="383">
        <f t="shared" si="100"/>
        <v>35.276334723455363</v>
      </c>
      <c r="G307" s="110">
        <f t="shared" si="122"/>
        <v>0.84789722022096892</v>
      </c>
      <c r="H307" s="412" t="b">
        <f>Wh_hp&gt;='2019'!Maxi_hp</f>
        <v>1</v>
      </c>
      <c r="I307" s="388">
        <f>IF(H307,Wh_hp,'2019'!Maxi_hp)</f>
        <v>35.276334723455363</v>
      </c>
      <c r="J307" s="85">
        <f>IF(H307,An,'2019'!An_max)</f>
        <v>2020</v>
      </c>
      <c r="K307" s="197">
        <f t="shared" si="101"/>
        <v>44123</v>
      </c>
      <c r="L307" s="147">
        <f>IF(t&lt;Tvie,1-EXP((T0-t)*PertePVj)+'2019'!Pspv,1-EXP((T0-t)*PertePVj)+Pspv)</f>
        <v>1.1944518162255502E-2</v>
      </c>
      <c r="M307" s="832"/>
      <c r="N307" s="832"/>
      <c r="O307" s="48">
        <f>IF(t&lt;Tnet,'2019'!Resal+('2019'!Salim-'2019'!Resal)*(1-EXP(('2019'!Tnet-t)/('2019'!Tau_j))),Resal+(Salim-Resal)*(1-EXP((Tnet-t)/(Tau_j))))*Salcycl</f>
        <v>4.913052960775225E-2</v>
      </c>
      <c r="P307" s="169">
        <f>(INDEX(Models!$BJ307:$BT307,,T307)*(1-R307)+INDEX(Models!$BJ307:$BT307,,T307+1)*R307-ERP_i)*Q307*Ramure*Pc/MaxiM</f>
        <v>2.0526324107238372E-5</v>
      </c>
      <c r="Q307" s="304">
        <f t="shared" si="102"/>
        <v>0.6</v>
      </c>
      <c r="R307" s="177">
        <f t="shared" si="103"/>
        <v>0.49708066030555043</v>
      </c>
      <c r="S307" s="799">
        <f t="shared" si="104"/>
        <v>-1</v>
      </c>
      <c r="T307" s="176">
        <f t="shared" si="105"/>
        <v>5</v>
      </c>
      <c r="U307" s="250">
        <f t="shared" si="106"/>
        <v>-0.50291933969444957</v>
      </c>
      <c r="V307" s="382">
        <f t="shared" si="107"/>
        <v>39.087110315198416</v>
      </c>
      <c r="W307" s="58"/>
      <c r="X307" s="157">
        <f t="shared" si="108"/>
        <v>44123</v>
      </c>
      <c r="Y307" s="383">
        <f t="shared" si="109"/>
        <v>33.142000000000003</v>
      </c>
      <c r="Z307" s="383">
        <f t="shared" si="110"/>
        <v>33.54265080171124</v>
      </c>
      <c r="AA307" s="384">
        <f t="shared" si="111"/>
        <v>35.275767964108049</v>
      </c>
      <c r="AB307" s="197">
        <f t="shared" si="112"/>
        <v>44123</v>
      </c>
      <c r="AC307" s="424">
        <f>IF(OR(t&lt;Tnet,NoTnet),'2019'!Resal_s+('2019'!Salim-'2019'!Resal_s)*(1-EXP(('2019'!Tnet_s-t)/'2019'!Tau_j)),Resal_s+(Salim-Resal_s)*(1-EXP((Tnet_s-t)/Tau_j)))*Salcycl</f>
        <v>4.913052960775225E-2</v>
      </c>
      <c r="AD307" s="230">
        <f>(INDEX(Models!$BJ307:$BT307,,AH307)*(1-AF307)+INDEX(Models!$BJ307:$BT307,,AH307+1)*AF307-ERP_i)*AE307*Ramure*Pc/MaxiM</f>
        <v>2.0526324107238372E-5</v>
      </c>
      <c r="AE307" s="304">
        <f t="shared" si="113"/>
        <v>0.6</v>
      </c>
      <c r="AF307" s="177">
        <f t="shared" si="114"/>
        <v>0.49708066030555043</v>
      </c>
      <c r="AG307" s="176">
        <f t="shared" si="115"/>
        <v>-1</v>
      </c>
      <c r="AH307" s="176">
        <f t="shared" si="116"/>
        <v>5</v>
      </c>
      <c r="AI307" s="224">
        <f t="shared" si="117"/>
        <v>-0.50291933969444957</v>
      </c>
      <c r="AJ307" s="264" t="b">
        <f t="shared" si="118"/>
        <v>0</v>
      </c>
      <c r="AK307" s="264" t="b">
        <f t="shared" si="119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20"/>
        <v>44124</v>
      </c>
      <c r="B308" s="607">
        <v>5.4109999999999996</v>
      </c>
      <c r="C308" s="388"/>
      <c r="D308" s="391">
        <f t="shared" si="99"/>
        <v>5.4765180721466651</v>
      </c>
      <c r="E308" s="383">
        <f t="shared" si="121"/>
        <v>5.7595939477495879</v>
      </c>
      <c r="F308" s="383">
        <f t="shared" si="100"/>
        <v>5.7595939477495879</v>
      </c>
      <c r="G308" s="110">
        <f t="shared" si="122"/>
        <v>0.13964414725723484</v>
      </c>
      <c r="H308" s="412" t="b">
        <f>Wh_hp&gt;='2019'!Maxi_hp</f>
        <v>0</v>
      </c>
      <c r="I308" s="388">
        <f>IF(H308,Wh_hp,'2019'!Maxi_hp)</f>
        <v>23.212774519208907</v>
      </c>
      <c r="J308" s="85">
        <f>IF(H308,An,'2019'!An_max)</f>
        <v>2018</v>
      </c>
      <c r="K308" s="197">
        <f t="shared" si="101"/>
        <v>44124</v>
      </c>
      <c r="L308" s="147">
        <f>IF(t&lt;Tvie,1-EXP((T0-t)*PertePVj)+'2019'!Pspv,1-EXP((T0-t)*PertePVj)+Pspv)</f>
        <v>1.1963454020153308E-2</v>
      </c>
      <c r="M308" s="832"/>
      <c r="N308" s="832"/>
      <c r="O308" s="48">
        <f>IF(t&lt;Tnet,'2019'!Resal+('2019'!Salim-'2019'!Resal)*(1-EXP(('2019'!Tnet-t)/('2019'!Tau_j))),Resal+(Salim-Resal)*(1-EXP((Tnet-t)/(Tau_j))))*Salcycl</f>
        <v>4.914858203042715E-2</v>
      </c>
      <c r="P308" s="169">
        <f>(INDEX(Models!$BJ308:$BT308,,T308)*(1-R308)+INDEX(Models!$BJ308:$BT308,,T308+1)*R308-ERP_i)*Q308*Ramure*Pc/MaxiM</f>
        <v>2.0905531182775951E-5</v>
      </c>
      <c r="Q308" s="304">
        <f t="shared" si="102"/>
        <v>0.6</v>
      </c>
      <c r="R308" s="177">
        <f t="shared" si="103"/>
        <v>0.49716876150083578</v>
      </c>
      <c r="S308" s="799">
        <f t="shared" si="104"/>
        <v>-1</v>
      </c>
      <c r="T308" s="176">
        <f t="shared" si="105"/>
        <v>5</v>
      </c>
      <c r="U308" s="250">
        <f t="shared" si="106"/>
        <v>-0.50283123849916422</v>
      </c>
      <c r="V308" s="382">
        <f t="shared" si="107"/>
        <v>38.747681062518986</v>
      </c>
      <c r="W308" s="58"/>
      <c r="X308" s="157">
        <f t="shared" si="108"/>
        <v>44124</v>
      </c>
      <c r="Y308" s="383">
        <f t="shared" si="109"/>
        <v>5.4109999999999996</v>
      </c>
      <c r="Z308" s="383">
        <f t="shared" si="110"/>
        <v>5.4765180721466651</v>
      </c>
      <c r="AA308" s="384">
        <f t="shared" si="111"/>
        <v>5.7595939477495879</v>
      </c>
      <c r="AB308" s="197">
        <f t="shared" si="112"/>
        <v>44124</v>
      </c>
      <c r="AC308" s="424">
        <f>IF(OR(t&lt;Tnet,NoTnet),'2019'!Resal_s+('2019'!Salim-'2019'!Resal_s)*(1-EXP(('2019'!Tnet_s-t)/'2019'!Tau_j)),Resal_s+(Salim-Resal_s)*(1-EXP((Tnet_s-t)/Tau_j)))*Salcycl</f>
        <v>4.914858203042715E-2</v>
      </c>
      <c r="AD308" s="230">
        <f>(INDEX(Models!$BJ308:$BT308,,AH308)*(1-AF308)+INDEX(Models!$BJ308:$BT308,,AH308+1)*AF308-ERP_i)*AE308*Ramure*Pc/MaxiM</f>
        <v>2.0905531182775951E-5</v>
      </c>
      <c r="AE308" s="304">
        <f t="shared" si="113"/>
        <v>0.6</v>
      </c>
      <c r="AF308" s="177">
        <f t="shared" si="114"/>
        <v>0.49716876150083578</v>
      </c>
      <c r="AG308" s="176">
        <f t="shared" si="115"/>
        <v>-1</v>
      </c>
      <c r="AH308" s="176">
        <f t="shared" si="116"/>
        <v>5</v>
      </c>
      <c r="AI308" s="224">
        <f t="shared" si="117"/>
        <v>-0.50283123849916422</v>
      </c>
      <c r="AJ308" s="264" t="b">
        <f t="shared" si="118"/>
        <v>0</v>
      </c>
      <c r="AK308" s="264" t="b">
        <f t="shared" si="119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20"/>
        <v>44125</v>
      </c>
      <c r="B309" s="607">
        <v>24.606000000000002</v>
      </c>
      <c r="C309" s="388"/>
      <c r="D309" s="391">
        <f t="shared" si="99"/>
        <v>24.904414393914585</v>
      </c>
      <c r="E309" s="383">
        <f t="shared" si="121"/>
        <v>26.192180067868353</v>
      </c>
      <c r="F309" s="383">
        <f t="shared" si="100"/>
        <v>26.192451622477165</v>
      </c>
      <c r="G309" s="110">
        <f t="shared" si="122"/>
        <v>0.64065824891277157</v>
      </c>
      <c r="H309" s="412" t="b">
        <f>Wh_hp&gt;='2019'!Maxi_hp</f>
        <v>1</v>
      </c>
      <c r="I309" s="388">
        <f>IF(H309,Wh_hp,'2019'!Maxi_hp)</f>
        <v>26.192451622477165</v>
      </c>
      <c r="J309" s="85">
        <f>IF(H309,An,'2019'!An_max)</f>
        <v>2020</v>
      </c>
      <c r="K309" s="197">
        <f t="shared" si="101"/>
        <v>44125</v>
      </c>
      <c r="L309" s="147">
        <f>IF(t&lt;Tvie,1-EXP((T0-t)*PertePVj)+'2019'!Pspv,1-EXP((T0-t)*PertePVj)+Pspv)</f>
        <v>1.1982389515149627E-2</v>
      </c>
      <c r="M309" s="832"/>
      <c r="N309" s="832"/>
      <c r="O309" s="48">
        <f>IF(t&lt;Tnet,'2019'!Resal+('2019'!Salim-'2019'!Resal)*(1-EXP(('2019'!Tnet-t)/('2019'!Tau_j))),Resal+(Salim-Resal)*(1-EXP((Tnet-t)/(Tau_j))))*Salcycl</f>
        <v>4.9166036222145382E-2</v>
      </c>
      <c r="P309" s="169">
        <f>(INDEX(Models!$BJ309:$BT309,,T309)*(1-R309)+INDEX(Models!$BJ309:$BT309,,T309+1)*R309-ERP_i)*Q309*Ramure*Pc/MaxiM</f>
        <v>2.1303513017740559E-5</v>
      </c>
      <c r="Q309" s="304">
        <f t="shared" si="102"/>
        <v>0.6</v>
      </c>
      <c r="R309" s="177">
        <f t="shared" si="103"/>
        <v>0.49725334476668159</v>
      </c>
      <c r="S309" s="799">
        <f t="shared" si="104"/>
        <v>-1</v>
      </c>
      <c r="T309" s="176">
        <f t="shared" si="105"/>
        <v>5</v>
      </c>
      <c r="U309" s="250">
        <f t="shared" si="106"/>
        <v>-0.50274665523331841</v>
      </c>
      <c r="V309" s="382">
        <f t="shared" si="107"/>
        <v>38.406952461055667</v>
      </c>
      <c r="W309" s="58"/>
      <c r="X309" s="157">
        <f t="shared" si="108"/>
        <v>44125</v>
      </c>
      <c r="Y309" s="383">
        <f t="shared" si="109"/>
        <v>24.606000000000002</v>
      </c>
      <c r="Z309" s="383">
        <f t="shared" si="110"/>
        <v>24.904414393914585</v>
      </c>
      <c r="AA309" s="384">
        <f t="shared" si="111"/>
        <v>26.192180067868353</v>
      </c>
      <c r="AB309" s="197">
        <f t="shared" si="112"/>
        <v>44125</v>
      </c>
      <c r="AC309" s="424">
        <f>IF(OR(t&lt;Tnet,NoTnet),'2019'!Resal_s+('2019'!Salim-'2019'!Resal_s)*(1-EXP(('2019'!Tnet_s-t)/'2019'!Tau_j)),Resal_s+(Salim-Resal_s)*(1-EXP((Tnet_s-t)/Tau_j)))*Salcycl</f>
        <v>4.9166036222145382E-2</v>
      </c>
      <c r="AD309" s="230">
        <f>(INDEX(Models!$BJ309:$BT309,,AH309)*(1-AF309)+INDEX(Models!$BJ309:$BT309,,AH309+1)*AF309-ERP_i)*AE309*Ramure*Pc/MaxiM</f>
        <v>2.1303513017740559E-5</v>
      </c>
      <c r="AE309" s="304">
        <f t="shared" si="113"/>
        <v>0.6</v>
      </c>
      <c r="AF309" s="177">
        <f t="shared" si="114"/>
        <v>0.49725334476668159</v>
      </c>
      <c r="AG309" s="176">
        <f t="shared" si="115"/>
        <v>-1</v>
      </c>
      <c r="AH309" s="176">
        <f t="shared" si="116"/>
        <v>5</v>
      </c>
      <c r="AI309" s="224">
        <f t="shared" si="117"/>
        <v>-0.50274665523331841</v>
      </c>
      <c r="AJ309" s="264" t="b">
        <f t="shared" si="118"/>
        <v>0</v>
      </c>
      <c r="AK309" s="264" t="b">
        <f t="shared" si="119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20"/>
        <v>44126</v>
      </c>
      <c r="B310" s="607">
        <v>4.9880000000000004</v>
      </c>
      <c r="C310" s="388"/>
      <c r="D310" s="391">
        <f t="shared" si="99"/>
        <v>5.0485897647778915</v>
      </c>
      <c r="E310" s="383">
        <f t="shared" si="121"/>
        <v>5.3097382174969754</v>
      </c>
      <c r="F310" s="383">
        <f t="shared" si="100"/>
        <v>5.3097382174969754</v>
      </c>
      <c r="G310" s="110">
        <f t="shared" si="122"/>
        <v>0.13103260134454614</v>
      </c>
      <c r="H310" s="412" t="b">
        <f>Wh_hp&gt;='2019'!Maxi_hp</f>
        <v>0</v>
      </c>
      <c r="I310" s="388">
        <f>IF(H310,Wh_hp,'2019'!Maxi_hp)</f>
        <v>16.435500851243614</v>
      </c>
      <c r="J310" s="85">
        <f>IF(H310,An,'2019'!An_max)</f>
        <v>2018</v>
      </c>
      <c r="K310" s="197">
        <f t="shared" si="101"/>
        <v>44126</v>
      </c>
      <c r="L310" s="147">
        <f>IF(t&lt;Tvie,1-EXP((T0-t)*PertePVj)+'2019'!Pspv,1-EXP((T0-t)*PertePVj)+Pspv)</f>
        <v>1.2001324647251566E-2</v>
      </c>
      <c r="M310" s="832"/>
      <c r="N310" s="832"/>
      <c r="O310" s="48">
        <f>IF(t&lt;Tnet,'2019'!Resal+('2019'!Salim-'2019'!Resal)*(1-EXP(('2019'!Tnet-t)/('2019'!Tau_j))),Resal+(Salim-Resal)*(1-EXP((Tnet-t)/(Tau_j))))*Salcycl</f>
        <v>4.918292428401292E-2</v>
      </c>
      <c r="P310" s="169">
        <f>(INDEX(Models!$BJ310:$BT310,,T310)*(1-R310)+INDEX(Models!$BJ310:$BT310,,T310+1)*R310-ERP_i)*Q310*Ramure*Pc/MaxiM</f>
        <v>2.1686441118319585E-5</v>
      </c>
      <c r="Q310" s="304">
        <f t="shared" si="102"/>
        <v>0.6</v>
      </c>
      <c r="R310" s="177">
        <f t="shared" si="103"/>
        <v>0.49733454944850342</v>
      </c>
      <c r="S310" s="799">
        <f t="shared" si="104"/>
        <v>-1</v>
      </c>
      <c r="T310" s="176">
        <f t="shared" si="105"/>
        <v>5</v>
      </c>
      <c r="U310" s="250">
        <f t="shared" si="106"/>
        <v>-0.50266545055149658</v>
      </c>
      <c r="V310" s="382">
        <f t="shared" si="107"/>
        <v>38.066036824806652</v>
      </c>
      <c r="W310" s="58"/>
      <c r="X310" s="157">
        <f t="shared" si="108"/>
        <v>44126</v>
      </c>
      <c r="Y310" s="383">
        <f t="shared" si="109"/>
        <v>4.9880000000000004</v>
      </c>
      <c r="Z310" s="383">
        <f t="shared" si="110"/>
        <v>5.0485897647778915</v>
      </c>
      <c r="AA310" s="384">
        <f t="shared" si="111"/>
        <v>5.3097382174969754</v>
      </c>
      <c r="AB310" s="197">
        <f t="shared" si="112"/>
        <v>44126</v>
      </c>
      <c r="AC310" s="424">
        <f>IF(OR(t&lt;Tnet,NoTnet),'2019'!Resal_s+('2019'!Salim-'2019'!Resal_s)*(1-EXP(('2019'!Tnet_s-t)/'2019'!Tau_j)),Resal_s+(Salim-Resal_s)*(1-EXP((Tnet_s-t)/Tau_j)))*Salcycl</f>
        <v>4.918292428401292E-2</v>
      </c>
      <c r="AD310" s="230">
        <f>(INDEX(Models!$BJ310:$BT310,,AH310)*(1-AF310)+INDEX(Models!$BJ310:$BT310,,AH310+1)*AF310-ERP_i)*AE310*Ramure*Pc/MaxiM</f>
        <v>2.1686441118319585E-5</v>
      </c>
      <c r="AE310" s="304">
        <f t="shared" si="113"/>
        <v>0.6</v>
      </c>
      <c r="AF310" s="177">
        <f t="shared" si="114"/>
        <v>0.49733454944850342</v>
      </c>
      <c r="AG310" s="176">
        <f t="shared" si="115"/>
        <v>-1</v>
      </c>
      <c r="AH310" s="176">
        <f t="shared" si="116"/>
        <v>5</v>
      </c>
      <c r="AI310" s="224">
        <f t="shared" si="117"/>
        <v>-0.50266545055149658</v>
      </c>
      <c r="AJ310" s="264" t="b">
        <f t="shared" si="118"/>
        <v>0</v>
      </c>
      <c r="AK310" s="264" t="b">
        <f t="shared" si="119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20"/>
        <v>44127</v>
      </c>
      <c r="B311" s="607">
        <v>10.141</v>
      </c>
      <c r="C311" s="388"/>
      <c r="D311" s="391">
        <f t="shared" si="99"/>
        <v>10.264380516558349</v>
      </c>
      <c r="E311" s="383">
        <f t="shared" si="121"/>
        <v>10.795511938954899</v>
      </c>
      <c r="F311" s="383">
        <f t="shared" si="100"/>
        <v>10.795511938954899</v>
      </c>
      <c r="G311" s="110">
        <f t="shared" si="122"/>
        <v>0.26880041008053229</v>
      </c>
      <c r="H311" s="412" t="b">
        <f>Wh_hp&gt;='2019'!Maxi_hp</f>
        <v>0</v>
      </c>
      <c r="I311" s="388">
        <f>IF(H311,Wh_hp,'2019'!Maxi_hp)</f>
        <v>18.446474611745799</v>
      </c>
      <c r="J311" s="85">
        <f>IF(H311,An,'2019'!An_max)</f>
        <v>2018</v>
      </c>
      <c r="K311" s="197">
        <f t="shared" si="101"/>
        <v>44127</v>
      </c>
      <c r="L311" s="147">
        <f>IF(t&lt;Tvie,1-EXP((T0-t)*PertePVj)+'2019'!Pspv,1-EXP((T0-t)*PertePVj)+Pspv)</f>
        <v>1.2020259416465895E-2</v>
      </c>
      <c r="M311" s="832"/>
      <c r="N311" s="832"/>
      <c r="O311" s="48">
        <f>IF(t&lt;Tnet,'2019'!Resal+('2019'!Salim-'2019'!Resal)*(1-EXP(('2019'!Tnet-t)/('2019'!Tau_j))),Resal+(Salim-Resal)*(1-EXP((Tnet-t)/(Tau_j))))*Salcycl</f>
        <v>4.9199280719610702E-2</v>
      </c>
      <c r="P311" s="169">
        <f>(INDEX(Models!$BJ311:$BT311,,T311)*(1-R311)+INDEX(Models!$BJ311:$BT311,,T311+1)*R311-ERP_i)*Q311*Ramure*Pc/MaxiM</f>
        <v>2.2015934614558362E-5</v>
      </c>
      <c r="Q311" s="304">
        <f t="shared" si="102"/>
        <v>0.6</v>
      </c>
      <c r="R311" s="177">
        <f t="shared" si="103"/>
        <v>0.4974125094608961</v>
      </c>
      <c r="S311" s="799">
        <f t="shared" si="104"/>
        <v>-1</v>
      </c>
      <c r="T311" s="176">
        <f t="shared" si="105"/>
        <v>5</v>
      </c>
      <c r="U311" s="250">
        <f t="shared" si="106"/>
        <v>-0.5025874905391039</v>
      </c>
      <c r="V311" s="382">
        <f t="shared" si="107"/>
        <v>37.726046375334427</v>
      </c>
      <c r="W311" s="58"/>
      <c r="X311" s="157">
        <f t="shared" si="108"/>
        <v>44127</v>
      </c>
      <c r="Y311" s="383">
        <f t="shared" si="109"/>
        <v>10.141</v>
      </c>
      <c r="Z311" s="383">
        <f t="shared" si="110"/>
        <v>10.264380516558349</v>
      </c>
      <c r="AA311" s="384">
        <f t="shared" si="111"/>
        <v>10.795511938954899</v>
      </c>
      <c r="AB311" s="197">
        <f t="shared" si="112"/>
        <v>44127</v>
      </c>
      <c r="AC311" s="424">
        <f>IF(OR(t&lt;Tnet,NoTnet),'2019'!Resal_s+('2019'!Salim-'2019'!Resal_s)*(1-EXP(('2019'!Tnet_s-t)/'2019'!Tau_j)),Resal_s+(Salim-Resal_s)*(1-EXP((Tnet_s-t)/Tau_j)))*Salcycl</f>
        <v>4.9199280719610702E-2</v>
      </c>
      <c r="AD311" s="230">
        <f>(INDEX(Models!$BJ311:$BT311,,AH311)*(1-AF311)+INDEX(Models!$BJ311:$BT311,,AH311+1)*AF311-ERP_i)*AE311*Ramure*Pc/MaxiM</f>
        <v>2.2015934614558362E-5</v>
      </c>
      <c r="AE311" s="304">
        <f t="shared" si="113"/>
        <v>0.6</v>
      </c>
      <c r="AF311" s="177">
        <f t="shared" si="114"/>
        <v>0.4974125094608961</v>
      </c>
      <c r="AG311" s="176">
        <f t="shared" si="115"/>
        <v>-1</v>
      </c>
      <c r="AH311" s="176">
        <f t="shared" si="116"/>
        <v>5</v>
      </c>
      <c r="AI311" s="224">
        <f t="shared" si="117"/>
        <v>-0.5025874905391039</v>
      </c>
      <c r="AJ311" s="264" t="b">
        <f t="shared" si="118"/>
        <v>0</v>
      </c>
      <c r="AK311" s="264" t="b">
        <f t="shared" si="119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20"/>
        <v>44128</v>
      </c>
      <c r="B312" s="607">
        <v>33.005000000000003</v>
      </c>
      <c r="C312" s="388"/>
      <c r="D312" s="391">
        <f t="shared" si="99"/>
        <v>33.407195704158575</v>
      </c>
      <c r="E312" s="383">
        <f t="shared" si="121"/>
        <v>35.136440631171702</v>
      </c>
      <c r="F312" s="383">
        <f t="shared" si="100"/>
        <v>35.137092710502699</v>
      </c>
      <c r="G312" s="110">
        <f t="shared" si="122"/>
        <v>0.88276441266033456</v>
      </c>
      <c r="H312" s="412" t="b">
        <f>Wh_hp&gt;='2019'!Maxi_hp</f>
        <v>1</v>
      </c>
      <c r="I312" s="388">
        <f>IF(H312,Wh_hp,'2019'!Maxi_hp)</f>
        <v>35.137092710502699</v>
      </c>
      <c r="J312" s="85">
        <f>IF(H312,An,'2019'!An_max)</f>
        <v>2020</v>
      </c>
      <c r="K312" s="197">
        <f t="shared" si="101"/>
        <v>44128</v>
      </c>
      <c r="L312" s="147">
        <f>IF(t&lt;Tvie,1-EXP((T0-t)*PertePVj)+'2019'!Pspv,1-EXP((T0-t)*PertePVj)+Pspv)</f>
        <v>1.2039193822799832E-2</v>
      </c>
      <c r="M312" s="832"/>
      <c r="N312" s="832"/>
      <c r="O312" s="48">
        <f>IF(t&lt;Tnet,'2019'!Resal+('2019'!Salim-'2019'!Resal)*(1-EXP(('2019'!Tnet-t)/('2019'!Tau_j))),Resal+(Salim-Resal)*(1-EXP((Tnet-t)/(Tau_j))))*Salcycl</f>
        <v>4.9215142340826919E-2</v>
      </c>
      <c r="P312" s="169">
        <f>(INDEX(Models!$BJ312:$BT312,,T312)*(1-R312)+INDEX(Models!$BJ312:$BT312,,T312+1)*R312-ERP_i)*Q312*Ramure*Pc/MaxiM</f>
        <v>2.2291391065895087E-5</v>
      </c>
      <c r="Q312" s="304">
        <f t="shared" si="102"/>
        <v>0.6</v>
      </c>
      <c r="R312" s="177">
        <f t="shared" si="103"/>
        <v>0.49748735349230433</v>
      </c>
      <c r="S312" s="799">
        <f t="shared" si="104"/>
        <v>-1</v>
      </c>
      <c r="T312" s="176">
        <f t="shared" si="105"/>
        <v>5</v>
      </c>
      <c r="U312" s="250">
        <f t="shared" si="106"/>
        <v>-0.50251264650769567</v>
      </c>
      <c r="V312" s="382">
        <f t="shared" si="107"/>
        <v>37.388091668225997</v>
      </c>
      <c r="W312" s="58"/>
      <c r="X312" s="157">
        <f t="shared" si="108"/>
        <v>44128</v>
      </c>
      <c r="Y312" s="383">
        <f t="shared" si="109"/>
        <v>33.005000000000003</v>
      </c>
      <c r="Z312" s="383">
        <f t="shared" si="110"/>
        <v>33.407195704158575</v>
      </c>
      <c r="AA312" s="384">
        <f t="shared" si="111"/>
        <v>35.136440631171702</v>
      </c>
      <c r="AB312" s="197">
        <f t="shared" si="112"/>
        <v>44128</v>
      </c>
      <c r="AC312" s="424">
        <f>IF(OR(t&lt;Tnet,NoTnet),'2019'!Resal_s+('2019'!Salim-'2019'!Resal_s)*(1-EXP(('2019'!Tnet_s-t)/'2019'!Tau_j)),Resal_s+(Salim-Resal_s)*(1-EXP((Tnet_s-t)/Tau_j)))*Salcycl</f>
        <v>4.9215142340826919E-2</v>
      </c>
      <c r="AD312" s="230">
        <f>(INDEX(Models!$BJ312:$BT312,,AH312)*(1-AF312)+INDEX(Models!$BJ312:$BT312,,AH312+1)*AF312-ERP_i)*AE312*Ramure*Pc/MaxiM</f>
        <v>2.2291391065895087E-5</v>
      </c>
      <c r="AE312" s="304">
        <f t="shared" si="113"/>
        <v>0.6</v>
      </c>
      <c r="AF312" s="177">
        <f t="shared" si="114"/>
        <v>0.49748735349230433</v>
      </c>
      <c r="AG312" s="176">
        <f t="shared" si="115"/>
        <v>-1</v>
      </c>
      <c r="AH312" s="176">
        <f t="shared" si="116"/>
        <v>5</v>
      </c>
      <c r="AI312" s="224">
        <f t="shared" si="117"/>
        <v>-0.50251264650769567</v>
      </c>
      <c r="AJ312" s="264" t="b">
        <f t="shared" si="118"/>
        <v>0</v>
      </c>
      <c r="AK312" s="264" t="b">
        <f t="shared" si="119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20"/>
        <v>44129</v>
      </c>
      <c r="B313" s="607">
        <v>24.870999999999999</v>
      </c>
      <c r="C313" s="388"/>
      <c r="D313" s="391">
        <f t="shared" si="99"/>
        <v>25.174558039820745</v>
      </c>
      <c r="E313" s="383">
        <f t="shared" si="121"/>
        <v>26.478088868999798</v>
      </c>
      <c r="F313" s="383">
        <f t="shared" si="100"/>
        <v>26.478404982504266</v>
      </c>
      <c r="G313" s="110">
        <f t="shared" si="122"/>
        <v>0.67121547568579876</v>
      </c>
      <c r="H313" s="412" t="b">
        <f>Wh_hp&gt;='2019'!Maxi_hp</f>
        <v>0</v>
      </c>
      <c r="I313" s="388">
        <f>IF(H313,Wh_hp,'2019'!Maxi_hp)</f>
        <v>38.488384875395617</v>
      </c>
      <c r="J313" s="85">
        <f>IF(H313,An,'2019'!An_max)</f>
        <v>2018</v>
      </c>
      <c r="K313" s="197">
        <f t="shared" si="101"/>
        <v>44129</v>
      </c>
      <c r="L313" s="147">
        <f>IF(t&lt;Tvie,1-EXP((T0-t)*PertePVj)+'2019'!Pspv,1-EXP((T0-t)*PertePVj)+Pspv)</f>
        <v>1.2058127866260149E-2</v>
      </c>
      <c r="M313" s="832"/>
      <c r="N313" s="832"/>
      <c r="O313" s="48">
        <f>IF(t&lt;Tnet,'2019'!Resal+('2019'!Salim-'2019'!Resal)*(1-EXP(('2019'!Tnet-t)/('2019'!Tau_j))),Resal+(Salim-Resal)*(1-EXP((Tnet-t)/(Tau_j))))*Salcycl</f>
        <v>4.9230548157318442E-2</v>
      </c>
      <c r="P313" s="169">
        <f>(INDEX(Models!$BJ313:$BT313,,T313)*(1-R313)+INDEX(Models!$BJ313:$BT313,,T313+1)*R313-ERP_i)*Q313*Ramure*Pc/MaxiM</f>
        <v>2.2512042117029205E-5</v>
      </c>
      <c r="Q313" s="304">
        <f t="shared" si="102"/>
        <v>0.6</v>
      </c>
      <c r="R313" s="177">
        <f t="shared" si="103"/>
        <v>0.49755920520253383</v>
      </c>
      <c r="S313" s="799">
        <f t="shared" si="104"/>
        <v>-1</v>
      </c>
      <c r="T313" s="176">
        <f t="shared" si="105"/>
        <v>5</v>
      </c>
      <c r="U313" s="250">
        <f t="shared" si="106"/>
        <v>-0.50244079479746617</v>
      </c>
      <c r="V313" s="382">
        <f t="shared" si="107"/>
        <v>37.053283072600777</v>
      </c>
      <c r="W313" s="58"/>
      <c r="X313" s="157">
        <f t="shared" si="108"/>
        <v>44129</v>
      </c>
      <c r="Y313" s="383">
        <f t="shared" si="109"/>
        <v>24.870999999999999</v>
      </c>
      <c r="Z313" s="383">
        <f t="shared" si="110"/>
        <v>25.174558039820745</v>
      </c>
      <c r="AA313" s="384">
        <f t="shared" si="111"/>
        <v>26.478088868999798</v>
      </c>
      <c r="AB313" s="197">
        <f t="shared" si="112"/>
        <v>44129</v>
      </c>
      <c r="AC313" s="424">
        <f>IF(OR(t&lt;Tnet,NoTnet),'2019'!Resal_s+('2019'!Salim-'2019'!Resal_s)*(1-EXP(('2019'!Tnet_s-t)/'2019'!Tau_j)),Resal_s+(Salim-Resal_s)*(1-EXP((Tnet_s-t)/Tau_j)))*Salcycl</f>
        <v>4.9230548157318442E-2</v>
      </c>
      <c r="AD313" s="230">
        <f>(INDEX(Models!$BJ313:$BT313,,AH313)*(1-AF313)+INDEX(Models!$BJ313:$BT313,,AH313+1)*AF313-ERP_i)*AE313*Ramure*Pc/MaxiM</f>
        <v>2.2512042117029205E-5</v>
      </c>
      <c r="AE313" s="304">
        <f t="shared" si="113"/>
        <v>0.6</v>
      </c>
      <c r="AF313" s="177">
        <f t="shared" si="114"/>
        <v>0.49755920520253383</v>
      </c>
      <c r="AG313" s="176">
        <f t="shared" si="115"/>
        <v>-1</v>
      </c>
      <c r="AH313" s="176">
        <f t="shared" si="116"/>
        <v>5</v>
      </c>
      <c r="AI313" s="224">
        <f t="shared" si="117"/>
        <v>-0.50244079479746617</v>
      </c>
      <c r="AJ313" s="264" t="b">
        <f t="shared" si="118"/>
        <v>0</v>
      </c>
      <c r="AK313" s="264" t="b">
        <f t="shared" si="119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20"/>
        <v>44130</v>
      </c>
      <c r="B314" s="607">
        <v>23.661000000000001</v>
      </c>
      <c r="C314" s="388"/>
      <c r="D314" s="391">
        <f t="shared" si="99"/>
        <v>23.95024862672744</v>
      </c>
      <c r="E314" s="383">
        <f t="shared" si="121"/>
        <v>25.190782284456205</v>
      </c>
      <c r="F314" s="383">
        <f t="shared" si="100"/>
        <v>25.191063275521138</v>
      </c>
      <c r="G314" s="110">
        <f t="shared" si="122"/>
        <v>0.64430740446316304</v>
      </c>
      <c r="H314" s="412" t="b">
        <f>Wh_hp&gt;='2019'!Maxi_hp</f>
        <v>0</v>
      </c>
      <c r="I314" s="388">
        <f>IF(H314,Wh_hp,'2019'!Maxi_hp)</f>
        <v>28.610077940420737</v>
      </c>
      <c r="J314" s="85">
        <f>IF(H314,An,'2019'!An_max)</f>
        <v>2018</v>
      </c>
      <c r="K314" s="197">
        <f t="shared" si="101"/>
        <v>44130</v>
      </c>
      <c r="L314" s="147">
        <f>IF(t&lt;Tvie,1-EXP((T0-t)*PertePVj)+'2019'!Pspv,1-EXP((T0-t)*PertePVj)+Pspv)</f>
        <v>1.207706154685384E-2</v>
      </c>
      <c r="M314" s="832"/>
      <c r="N314" s="832"/>
      <c r="O314" s="48">
        <f>IF(t&lt;Tnet,'2019'!Resal+('2019'!Salim-'2019'!Resal)*(1-EXP(('2019'!Tnet-t)/('2019'!Tau_j))),Resal+(Salim-Resal)*(1-EXP((Tnet-t)/(Tau_j))))*Salcycl</f>
        <v>4.9245539250054447E-2</v>
      </c>
      <c r="P314" s="169">
        <f>(INDEX(Models!$BJ314:$BT314,,T314)*(1-R314)+INDEX(Models!$BJ314:$BT314,,T314+1)*R314-ERP_i)*Q314*Ramure*Pc/MaxiM</f>
        <v>2.2677142251096305E-5</v>
      </c>
      <c r="Q314" s="304">
        <f t="shared" si="102"/>
        <v>0.6</v>
      </c>
      <c r="R314" s="177">
        <f t="shared" si="103"/>
        <v>0.49762818341331116</v>
      </c>
      <c r="S314" s="799">
        <f t="shared" si="104"/>
        <v>-1</v>
      </c>
      <c r="T314" s="176">
        <f t="shared" si="105"/>
        <v>5</v>
      </c>
      <c r="U314" s="250">
        <f t="shared" si="106"/>
        <v>-0.50237181658668884</v>
      </c>
      <c r="V314" s="382">
        <f t="shared" si="107"/>
        <v>36.72273078554057</v>
      </c>
      <c r="W314" s="58"/>
      <c r="X314" s="157">
        <f t="shared" si="108"/>
        <v>44130</v>
      </c>
      <c r="Y314" s="383">
        <f t="shared" si="109"/>
        <v>23.661000000000001</v>
      </c>
      <c r="Z314" s="383">
        <f t="shared" si="110"/>
        <v>23.95024862672744</v>
      </c>
      <c r="AA314" s="384">
        <f t="shared" si="111"/>
        <v>25.190782284456205</v>
      </c>
      <c r="AB314" s="197">
        <f t="shared" si="112"/>
        <v>44130</v>
      </c>
      <c r="AC314" s="424">
        <f>IF(OR(t&lt;Tnet,NoTnet),'2019'!Resal_s+('2019'!Salim-'2019'!Resal_s)*(1-EXP(('2019'!Tnet_s-t)/'2019'!Tau_j)),Resal_s+(Salim-Resal_s)*(1-EXP((Tnet_s-t)/Tau_j)))*Salcycl</f>
        <v>4.9245539250054447E-2</v>
      </c>
      <c r="AD314" s="230">
        <f>(INDEX(Models!$BJ314:$BT314,,AH314)*(1-AF314)+INDEX(Models!$BJ314:$BT314,,AH314+1)*AF314-ERP_i)*AE314*Ramure*Pc/MaxiM</f>
        <v>2.2677142251096305E-5</v>
      </c>
      <c r="AE314" s="304">
        <f t="shared" si="113"/>
        <v>0.6</v>
      </c>
      <c r="AF314" s="177">
        <f t="shared" si="114"/>
        <v>0.49762818341331116</v>
      </c>
      <c r="AG314" s="176">
        <f t="shared" si="115"/>
        <v>-1</v>
      </c>
      <c r="AH314" s="176">
        <f t="shared" si="116"/>
        <v>5</v>
      </c>
      <c r="AI314" s="224">
        <f t="shared" si="117"/>
        <v>-0.50237181658668884</v>
      </c>
      <c r="AJ314" s="264" t="b">
        <f t="shared" si="118"/>
        <v>0</v>
      </c>
      <c r="AK314" s="264" t="b">
        <f t="shared" si="119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20"/>
        <v>44131</v>
      </c>
      <c r="B315" s="607">
        <v>23.349</v>
      </c>
      <c r="C315" s="388"/>
      <c r="D315" s="391">
        <f t="shared" si="99"/>
        <v>23.634887477553598</v>
      </c>
      <c r="E315" s="383">
        <f t="shared" si="121"/>
        <v>24.859468856889926</v>
      </c>
      <c r="F315" s="383">
        <f t="shared" si="100"/>
        <v>24.859745204818257</v>
      </c>
      <c r="G315" s="110">
        <f t="shared" si="122"/>
        <v>0.64149182659553994</v>
      </c>
      <c r="H315" s="412" t="b">
        <f>Wh_hp&gt;='2019'!Maxi_hp</f>
        <v>1</v>
      </c>
      <c r="I315" s="388">
        <f>IF(H315,Wh_hp,'2019'!Maxi_hp)</f>
        <v>24.859745204818257</v>
      </c>
      <c r="J315" s="85">
        <f>IF(H315,An,'2019'!An_max)</f>
        <v>2020</v>
      </c>
      <c r="K315" s="197">
        <f t="shared" si="101"/>
        <v>44131</v>
      </c>
      <c r="L315" s="147">
        <f>IF(t&lt;Tvie,1-EXP((T0-t)*PertePVj)+'2019'!Pspv,1-EXP((T0-t)*PertePVj)+Pspv)</f>
        <v>1.2095994864587789E-2</v>
      </c>
      <c r="M315" s="832"/>
      <c r="N315" s="832"/>
      <c r="O315" s="48">
        <f>IF(t&lt;Tnet,'2019'!Resal+('2019'!Salim-'2019'!Resal)*(1-EXP(('2019'!Tnet-t)/('2019'!Tau_j))),Resal+(Salim-Resal)*(1-EXP((Tnet-t)/(Tau_j))))*Salcycl</f>
        <v>4.9260158629532799E-2</v>
      </c>
      <c r="P315" s="169">
        <f>(INDEX(Models!$BJ315:$BT315,,T315)*(1-R315)+INDEX(Models!$BJ315:$BT315,,T315+1)*R315-ERP_i)*Q315*Ramure*Pc/MaxiM</f>
        <v>2.278598179382084E-5</v>
      </c>
      <c r="Q315" s="304">
        <f t="shared" si="102"/>
        <v>0.6</v>
      </c>
      <c r="R315" s="177">
        <f t="shared" si="103"/>
        <v>0.49769440229209327</v>
      </c>
      <c r="S315" s="799">
        <f t="shared" si="104"/>
        <v>-1</v>
      </c>
      <c r="T315" s="176">
        <f t="shared" si="105"/>
        <v>5</v>
      </c>
      <c r="U315" s="250">
        <f t="shared" si="106"/>
        <v>-0.50230559770790673</v>
      </c>
      <c r="V315" s="382">
        <f t="shared" si="107"/>
        <v>36.397544837095325</v>
      </c>
      <c r="W315" s="58"/>
      <c r="X315" s="157">
        <f t="shared" si="108"/>
        <v>44131</v>
      </c>
      <c r="Y315" s="383">
        <f t="shared" si="109"/>
        <v>23.349</v>
      </c>
      <c r="Z315" s="383">
        <f t="shared" si="110"/>
        <v>23.634887477553598</v>
      </c>
      <c r="AA315" s="384">
        <f t="shared" si="111"/>
        <v>24.859468856889926</v>
      </c>
      <c r="AB315" s="197">
        <f t="shared" si="112"/>
        <v>44131</v>
      </c>
      <c r="AC315" s="424">
        <f>IF(OR(t&lt;Tnet,NoTnet),'2019'!Resal_s+('2019'!Salim-'2019'!Resal_s)*(1-EXP(('2019'!Tnet_s-t)/'2019'!Tau_j)),Resal_s+(Salim-Resal_s)*(1-EXP((Tnet_s-t)/Tau_j)))*Salcycl</f>
        <v>4.9260158629532799E-2</v>
      </c>
      <c r="AD315" s="230">
        <f>(INDEX(Models!$BJ315:$BT315,,AH315)*(1-AF315)+INDEX(Models!$BJ315:$BT315,,AH315+1)*AF315-ERP_i)*AE315*Ramure*Pc/MaxiM</f>
        <v>2.278598179382084E-5</v>
      </c>
      <c r="AE315" s="304">
        <f t="shared" si="113"/>
        <v>0.6</v>
      </c>
      <c r="AF315" s="177">
        <f t="shared" si="114"/>
        <v>0.49769440229209327</v>
      </c>
      <c r="AG315" s="176">
        <f t="shared" si="115"/>
        <v>-1</v>
      </c>
      <c r="AH315" s="176">
        <f t="shared" si="116"/>
        <v>5</v>
      </c>
      <c r="AI315" s="224">
        <f t="shared" si="117"/>
        <v>-0.50230559770790673</v>
      </c>
      <c r="AJ315" s="264" t="b">
        <f t="shared" si="118"/>
        <v>0</v>
      </c>
      <c r="AK315" s="264" t="b">
        <f t="shared" si="119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20"/>
        <v>44132</v>
      </c>
      <c r="B316" s="607">
        <v>12.565</v>
      </c>
      <c r="C316" s="388"/>
      <c r="D316" s="391">
        <f t="shared" si="99"/>
        <v>12.719090867792575</v>
      </c>
      <c r="E316" s="383">
        <f t="shared" si="121"/>
        <v>13.378299218142438</v>
      </c>
      <c r="F316" s="383">
        <f t="shared" si="100"/>
        <v>13.378320284679681</v>
      </c>
      <c r="G316" s="110">
        <f t="shared" si="122"/>
        <v>0.34825771924330534</v>
      </c>
      <c r="H316" s="412" t="b">
        <f>Wh_hp&gt;='2019'!Maxi_hp</f>
        <v>0</v>
      </c>
      <c r="I316" s="388">
        <f>IF(H316,Wh_hp,'2019'!Maxi_hp)</f>
        <v>29.53882803142611</v>
      </c>
      <c r="J316" s="85">
        <f>IF(H316,An,'2019'!An_max)</f>
        <v>2018</v>
      </c>
      <c r="K316" s="197">
        <f t="shared" si="101"/>
        <v>44132</v>
      </c>
      <c r="L316" s="147">
        <f>IF(t&lt;Tvie,1-EXP((T0-t)*PertePVj)+'2019'!Pspv,1-EXP((T0-t)*PertePVj)+Pspv)</f>
        <v>1.2114927819469101E-2</v>
      </c>
      <c r="M316" s="832"/>
      <c r="N316" s="832"/>
      <c r="O316" s="48">
        <f>IF(t&lt;Tnet,'2019'!Resal+('2019'!Salim-'2019'!Resal)*(1-EXP(('2019'!Tnet-t)/('2019'!Tau_j))),Resal+(Salim-Resal)*(1-EXP((Tnet-t)/(Tau_j))))*Salcycl</f>
        <v>4.9274451079394689E-2</v>
      </c>
      <c r="P316" s="169">
        <f>(INDEX(Models!$BJ316:$BT316,,T316)*(1-R316)+INDEX(Models!$BJ316:$BT316,,T316+1)*R316-ERP_i)*Q316*Ramure*Pc/MaxiM</f>
        <v>2.2837900460263047E-5</v>
      </c>
      <c r="Q316" s="304">
        <f t="shared" si="102"/>
        <v>0.6</v>
      </c>
      <c r="R316" s="177">
        <f t="shared" si="103"/>
        <v>0.49775797152932943</v>
      </c>
      <c r="S316" s="799">
        <f t="shared" si="104"/>
        <v>-1</v>
      </c>
      <c r="T316" s="176">
        <f t="shared" si="105"/>
        <v>5</v>
      </c>
      <c r="U316" s="250">
        <f t="shared" si="106"/>
        <v>-0.50224202847067057</v>
      </c>
      <c r="V316" s="382">
        <f t="shared" si="107"/>
        <v>36.078835106601282</v>
      </c>
      <c r="W316" s="58"/>
      <c r="X316" s="157">
        <f t="shared" si="108"/>
        <v>44132</v>
      </c>
      <c r="Y316" s="383">
        <f t="shared" si="109"/>
        <v>12.565</v>
      </c>
      <c r="Z316" s="383">
        <f t="shared" si="110"/>
        <v>12.719090867792575</v>
      </c>
      <c r="AA316" s="384">
        <f t="shared" si="111"/>
        <v>13.378299218142438</v>
      </c>
      <c r="AB316" s="197">
        <f t="shared" si="112"/>
        <v>44132</v>
      </c>
      <c r="AC316" s="424">
        <f>IF(OR(t&lt;Tnet,NoTnet),'2019'!Resal_s+('2019'!Salim-'2019'!Resal_s)*(1-EXP(('2019'!Tnet_s-t)/'2019'!Tau_j)),Resal_s+(Salim-Resal_s)*(1-EXP((Tnet_s-t)/Tau_j)))*Salcycl</f>
        <v>4.9274451079394689E-2</v>
      </c>
      <c r="AD316" s="230">
        <f>(INDEX(Models!$BJ316:$BT316,,AH316)*(1-AF316)+INDEX(Models!$BJ316:$BT316,,AH316+1)*AF316-ERP_i)*AE316*Ramure*Pc/MaxiM</f>
        <v>2.2837900460263047E-5</v>
      </c>
      <c r="AE316" s="304">
        <f t="shared" si="113"/>
        <v>0.6</v>
      </c>
      <c r="AF316" s="177">
        <f t="shared" si="114"/>
        <v>0.49775797152932943</v>
      </c>
      <c r="AG316" s="176">
        <f t="shared" si="115"/>
        <v>-1</v>
      </c>
      <c r="AH316" s="176">
        <f t="shared" si="116"/>
        <v>5</v>
      </c>
      <c r="AI316" s="224">
        <f t="shared" si="117"/>
        <v>-0.50224202847067057</v>
      </c>
      <c r="AJ316" s="264" t="b">
        <f t="shared" si="118"/>
        <v>0</v>
      </c>
      <c r="AK316" s="264" t="b">
        <f t="shared" si="119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20"/>
        <v>44133</v>
      </c>
      <c r="B317" s="607">
        <v>28.550999999999998</v>
      </c>
      <c r="C317" s="388"/>
      <c r="D317" s="391">
        <f t="shared" si="99"/>
        <v>28.90168906071948</v>
      </c>
      <c r="E317" s="383">
        <f t="shared" si="121"/>
        <v>30.400061359834734</v>
      </c>
      <c r="F317" s="383">
        <f t="shared" si="100"/>
        <v>30.400555520503801</v>
      </c>
      <c r="G317" s="110">
        <f t="shared" si="122"/>
        <v>0.79830051451611606</v>
      </c>
      <c r="H317" s="412" t="b">
        <f>Wh_hp&gt;='2019'!Maxi_hp</f>
        <v>1</v>
      </c>
      <c r="I317" s="388">
        <f>IF(H317,Wh_hp,'2019'!Maxi_hp)</f>
        <v>30.400555520503801</v>
      </c>
      <c r="J317" s="85">
        <f>IF(H317,An,'2019'!An_max)</f>
        <v>2020</v>
      </c>
      <c r="K317" s="197">
        <f t="shared" si="101"/>
        <v>44133</v>
      </c>
      <c r="L317" s="147">
        <f>IF(t&lt;Tvie,1-EXP((T0-t)*PertePVj)+'2019'!Pspv,1-EXP((T0-t)*PertePVj)+Pspv)</f>
        <v>1.213386041150466E-2</v>
      </c>
      <c r="M317" s="832"/>
      <c r="N317" s="832"/>
      <c r="O317" s="48">
        <f>IF(t&lt;Tnet,'2019'!Resal+('2019'!Salim-'2019'!Resal)*(1-EXP(('2019'!Tnet-t)/('2019'!Tau_j))),Resal+(Salim-Resal)*(1-EXP((Tnet-t)/(Tau_j))))*Salcycl</f>
        <v>4.9288462986293032E-2</v>
      </c>
      <c r="P317" s="169">
        <f>(INDEX(Models!$BJ317:$BT317,,T317)*(1-R317)+INDEX(Models!$BJ317:$BT317,,T317+1)*R317-ERP_i)*Q317*Ramure*Pc/MaxiM</f>
        <v>2.2834356822999413E-5</v>
      </c>
      <c r="Q317" s="304">
        <f t="shared" si="102"/>
        <v>0.6</v>
      </c>
      <c r="R317" s="177">
        <f t="shared" si="103"/>
        <v>0.497818996509372</v>
      </c>
      <c r="S317" s="799">
        <f t="shared" si="104"/>
        <v>-1</v>
      </c>
      <c r="T317" s="176">
        <f t="shared" si="105"/>
        <v>5</v>
      </c>
      <c r="U317" s="250">
        <f t="shared" si="106"/>
        <v>-0.502181003490628</v>
      </c>
      <c r="V317" s="382">
        <f t="shared" si="107"/>
        <v>35.764491729905416</v>
      </c>
      <c r="W317" s="58"/>
      <c r="X317" s="157">
        <f t="shared" si="108"/>
        <v>44133</v>
      </c>
      <c r="Y317" s="383">
        <f t="shared" si="109"/>
        <v>28.550999999999998</v>
      </c>
      <c r="Z317" s="383">
        <f t="shared" si="110"/>
        <v>28.90168906071948</v>
      </c>
      <c r="AA317" s="384">
        <f t="shared" si="111"/>
        <v>30.400061359834734</v>
      </c>
      <c r="AB317" s="197">
        <f t="shared" si="112"/>
        <v>44133</v>
      </c>
      <c r="AC317" s="424">
        <f>IF(OR(t&lt;Tnet,NoTnet),'2019'!Resal_s+('2019'!Salim-'2019'!Resal_s)*(1-EXP(('2019'!Tnet_s-t)/'2019'!Tau_j)),Resal_s+(Salim-Resal_s)*(1-EXP((Tnet_s-t)/Tau_j)))*Salcycl</f>
        <v>4.9288462986293032E-2</v>
      </c>
      <c r="AD317" s="230">
        <f>(INDEX(Models!$BJ317:$BT317,,AH317)*(1-AF317)+INDEX(Models!$BJ317:$BT317,,AH317+1)*AF317-ERP_i)*AE317*Ramure*Pc/MaxiM</f>
        <v>2.2834356822999413E-5</v>
      </c>
      <c r="AE317" s="304">
        <f t="shared" si="113"/>
        <v>0.6</v>
      </c>
      <c r="AF317" s="177">
        <f t="shared" si="114"/>
        <v>0.497818996509372</v>
      </c>
      <c r="AG317" s="176">
        <f t="shared" si="115"/>
        <v>-1</v>
      </c>
      <c r="AH317" s="176">
        <f t="shared" si="116"/>
        <v>5</v>
      </c>
      <c r="AI317" s="224">
        <f t="shared" si="117"/>
        <v>-0.502181003490628</v>
      </c>
      <c r="AJ317" s="264" t="b">
        <f t="shared" si="118"/>
        <v>0</v>
      </c>
      <c r="AK317" s="264" t="b">
        <f t="shared" si="119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20"/>
        <v>44134</v>
      </c>
      <c r="B318" s="607">
        <v>33.731000000000002</v>
      </c>
      <c r="C318" s="388"/>
      <c r="D318" s="391">
        <f t="shared" si="99"/>
        <v>34.145968879306047</v>
      </c>
      <c r="E318" s="383">
        <f t="shared" si="121"/>
        <v>35.916744935612584</v>
      </c>
      <c r="F318" s="383">
        <f t="shared" si="100"/>
        <v>35.917509171902125</v>
      </c>
      <c r="G318" s="110">
        <f t="shared" si="122"/>
        <v>0.95145947452725843</v>
      </c>
      <c r="H318" s="412" t="b">
        <f>Wh_hp&gt;='2019'!Maxi_hp</f>
        <v>1</v>
      </c>
      <c r="I318" s="388">
        <f>IF(H318,Wh_hp,'2019'!Maxi_hp)</f>
        <v>35.917509171902125</v>
      </c>
      <c r="J318" s="85">
        <f>IF(H318,An,'2019'!An_max)</f>
        <v>2020</v>
      </c>
      <c r="K318" s="197">
        <f t="shared" si="101"/>
        <v>44134</v>
      </c>
      <c r="L318" s="147">
        <f>IF(t&lt;Tvie,1-EXP((T0-t)*PertePVj)+'2019'!Pspv,1-EXP((T0-t)*PertePVj)+Pspv)</f>
        <v>1.2152792640701349E-2</v>
      </c>
      <c r="M318" s="832"/>
      <c r="N318" s="832"/>
      <c r="O318" s="48">
        <f>IF(t&lt;Tnet,'2019'!Resal+('2019'!Salim-'2019'!Resal)*(1-EXP(('2019'!Tnet-t)/('2019'!Tau_j))),Resal+(Salim-Resal)*(1-EXP((Tnet-t)/(Tau_j))))*Salcycl</f>
        <v>4.9302242156993276E-2</v>
      </c>
      <c r="P318" s="169">
        <f>(INDEX(Models!$BJ318:$BT318,,T318)*(1-R318)+INDEX(Models!$BJ318:$BT318,,T318+1)*R318-ERP_i)*Q318*Ramure*Pc/MaxiM</f>
        <v>2.2862887252092931E-5</v>
      </c>
      <c r="Q318" s="304">
        <f t="shared" si="102"/>
        <v>0.6</v>
      </c>
      <c r="R318" s="177">
        <f t="shared" si="103"/>
        <v>0.49787757847523295</v>
      </c>
      <c r="S318" s="799">
        <f t="shared" si="104"/>
        <v>-1</v>
      </c>
      <c r="T318" s="176">
        <f t="shared" si="105"/>
        <v>5</v>
      </c>
      <c r="U318" s="250">
        <f t="shared" si="106"/>
        <v>-0.50212242152476705</v>
      </c>
      <c r="V318" s="382">
        <f t="shared" si="107"/>
        <v>35.451795296191506</v>
      </c>
      <c r="W318" s="58"/>
      <c r="X318" s="157">
        <f t="shared" si="108"/>
        <v>44134</v>
      </c>
      <c r="Y318" s="383">
        <f t="shared" si="109"/>
        <v>33.731000000000002</v>
      </c>
      <c r="Z318" s="383">
        <f t="shared" si="110"/>
        <v>34.145968879306047</v>
      </c>
      <c r="AA318" s="384">
        <f t="shared" si="111"/>
        <v>35.916744935612584</v>
      </c>
      <c r="AB318" s="197">
        <f t="shared" si="112"/>
        <v>44134</v>
      </c>
      <c r="AC318" s="424">
        <f>IF(OR(t&lt;Tnet,NoTnet),'2019'!Resal_s+('2019'!Salim-'2019'!Resal_s)*(1-EXP(('2019'!Tnet_s-t)/'2019'!Tau_j)),Resal_s+(Salim-Resal_s)*(1-EXP((Tnet_s-t)/Tau_j)))*Salcycl</f>
        <v>4.9302242156993276E-2</v>
      </c>
      <c r="AD318" s="230">
        <f>(INDEX(Models!$BJ318:$BT318,,AH318)*(1-AF318)+INDEX(Models!$BJ318:$BT318,,AH318+1)*AF318-ERP_i)*AE318*Ramure*Pc/MaxiM</f>
        <v>2.2862887252092931E-5</v>
      </c>
      <c r="AE318" s="304">
        <f t="shared" si="113"/>
        <v>0.6</v>
      </c>
      <c r="AF318" s="177">
        <f t="shared" si="114"/>
        <v>0.49787757847523295</v>
      </c>
      <c r="AG318" s="176">
        <f t="shared" si="115"/>
        <v>-1</v>
      </c>
      <c r="AH318" s="176">
        <f t="shared" si="116"/>
        <v>5</v>
      </c>
      <c r="AI318" s="224">
        <f t="shared" si="117"/>
        <v>-0.50212242152476705</v>
      </c>
      <c r="AJ318" s="264" t="b">
        <f t="shared" si="118"/>
        <v>0</v>
      </c>
      <c r="AK318" s="264" t="b">
        <f t="shared" si="119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20"/>
        <v>44135</v>
      </c>
      <c r="B319" s="607">
        <v>31.193999999999999</v>
      </c>
      <c r="C319" s="388"/>
      <c r="D319" s="391">
        <f t="shared" si="99"/>
        <v>31.578363136481347</v>
      </c>
      <c r="E319" s="383">
        <f t="shared" si="121"/>
        <v>33.21646071977522</v>
      </c>
      <c r="F319" s="383">
        <f t="shared" si="100"/>
        <v>33.217100495865481</v>
      </c>
      <c r="G319" s="110">
        <f t="shared" si="122"/>
        <v>0.88767917151266151</v>
      </c>
      <c r="H319" s="412" t="b">
        <f>Wh_hp&gt;='2019'!Maxi_hp</f>
        <v>1</v>
      </c>
      <c r="I319" s="388">
        <f>IF(H319,Wh_hp,'2019'!Maxi_hp)</f>
        <v>33.217100495865481</v>
      </c>
      <c r="J319" s="85">
        <f>IF(H319,An,'2019'!An_max)</f>
        <v>2020</v>
      </c>
      <c r="K319" s="197">
        <f t="shared" si="101"/>
        <v>44135</v>
      </c>
      <c r="L319" s="147">
        <f>IF(t&lt;Tvie,1-EXP((T0-t)*PertePVj)+'2019'!Pspv,1-EXP((T0-t)*PertePVj)+Pspv)</f>
        <v>1.2171724507066273E-2</v>
      </c>
      <c r="M319" s="832"/>
      <c r="N319" s="832"/>
      <c r="O319" s="48">
        <f>IF(t&lt;Tnet,'2019'!Resal+('2019'!Salim-'2019'!Resal)*(1-EXP(('2019'!Tnet-t)/('2019'!Tau_j))),Resal+(Salim-Resal)*(1-EXP((Tnet-t)/(Tau_j))))*Salcycl</f>
        <v>4.9315837623803351E-2</v>
      </c>
      <c r="P319" s="169">
        <f>(INDEX(Models!$BJ319:$BT319,,T319)*(1-R319)+INDEX(Models!$BJ319:$BT319,,T319+1)*R319-ERP_i)*Q319*Ramure*Pc/MaxiM</f>
        <v>2.2941489506725501E-5</v>
      </c>
      <c r="Q319" s="304">
        <f t="shared" si="102"/>
        <v>0.6</v>
      </c>
      <c r="R319" s="177">
        <f t="shared" si="103"/>
        <v>0.49793381468737463</v>
      </c>
      <c r="S319" s="799">
        <f t="shared" si="104"/>
        <v>-1</v>
      </c>
      <c r="T319" s="176">
        <f t="shared" si="105"/>
        <v>5</v>
      </c>
      <c r="U319" s="250">
        <f t="shared" si="106"/>
        <v>-0.50206618531262537</v>
      </c>
      <c r="V319" s="382">
        <f t="shared" si="107"/>
        <v>35.140945256252444</v>
      </c>
      <c r="W319" s="58"/>
      <c r="X319" s="157">
        <f t="shared" si="108"/>
        <v>44135</v>
      </c>
      <c r="Y319" s="383">
        <f t="shared" si="109"/>
        <v>31.193999999999996</v>
      </c>
      <c r="Z319" s="383">
        <f t="shared" si="110"/>
        <v>31.578363136481343</v>
      </c>
      <c r="AA319" s="384">
        <f t="shared" si="111"/>
        <v>33.21646071977522</v>
      </c>
      <c r="AB319" s="197">
        <f t="shared" si="112"/>
        <v>44135</v>
      </c>
      <c r="AC319" s="424">
        <f>IF(OR(t&lt;Tnet,NoTnet),'2019'!Resal_s+('2019'!Salim-'2019'!Resal_s)*(1-EXP(('2019'!Tnet_s-t)/'2019'!Tau_j)),Resal_s+(Salim-Resal_s)*(1-EXP((Tnet_s-t)/Tau_j)))*Salcycl</f>
        <v>4.9315837623803351E-2</v>
      </c>
      <c r="AD319" s="230">
        <f>(INDEX(Models!$BJ319:$BT319,,AH319)*(1-AF319)+INDEX(Models!$BJ319:$BT319,,AH319+1)*AF319-ERP_i)*AE319*Ramure*Pc/MaxiM</f>
        <v>2.2941489506725501E-5</v>
      </c>
      <c r="AE319" s="304">
        <f t="shared" si="113"/>
        <v>0.6</v>
      </c>
      <c r="AF319" s="177">
        <f t="shared" si="114"/>
        <v>0.49793381468737463</v>
      </c>
      <c r="AG319" s="176">
        <f t="shared" si="115"/>
        <v>-1</v>
      </c>
      <c r="AH319" s="176">
        <f t="shared" si="116"/>
        <v>5</v>
      </c>
      <c r="AI319" s="224">
        <f t="shared" si="117"/>
        <v>-0.50206618531262537</v>
      </c>
      <c r="AJ319" s="264" t="b">
        <f t="shared" si="118"/>
        <v>0</v>
      </c>
      <c r="AK319" s="264" t="b">
        <f t="shared" si="119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20"/>
        <v>44136</v>
      </c>
      <c r="B320" s="607">
        <v>28.617999999999999</v>
      </c>
      <c r="C320" s="388"/>
      <c r="D320" s="391">
        <f t="shared" si="99"/>
        <v>28.971177661088486</v>
      </c>
      <c r="E320" s="383">
        <f t="shared" si="121"/>
        <v>30.474461497560288</v>
      </c>
      <c r="F320" s="383">
        <f t="shared" si="100"/>
        <v>30.474985377795999</v>
      </c>
      <c r="G320" s="110">
        <f t="shared" si="122"/>
        <v>0.821592653358449</v>
      </c>
      <c r="H320" s="412" t="b">
        <f>Wh_hp&gt;='2019'!Maxi_hp</f>
        <v>1</v>
      </c>
      <c r="I320" s="388">
        <f>IF(H320,Wh_hp,'2019'!Maxi_hp)</f>
        <v>30.474985377795999</v>
      </c>
      <c r="J320" s="85">
        <f>IF(H320,An,'2019'!An_max)</f>
        <v>2020</v>
      </c>
      <c r="K320" s="197">
        <f t="shared" si="101"/>
        <v>44136</v>
      </c>
      <c r="L320" s="147">
        <f>IF(t&lt;Tvie,1-EXP((T0-t)*PertePVj)+'2019'!Pspv,1-EXP((T0-t)*PertePVj)+Pspv)</f>
        <v>1.2190656010606205E-2</v>
      </c>
      <c r="M320" s="832"/>
      <c r="N320" s="832"/>
      <c r="O320" s="48">
        <f>IF(t&lt;Tnet,'2019'!Resal+('2019'!Salim-'2019'!Resal)*(1-EXP(('2019'!Tnet-t)/('2019'!Tau_j))),Resal+(Salim-Resal)*(1-EXP((Tnet-t)/(Tau_j))))*Salcycl</f>
        <v>4.9329299439537316E-2</v>
      </c>
      <c r="P320" s="169">
        <f>(INDEX(Models!$BJ320:$BT320,,T320)*(1-R320)+INDEX(Models!$BJ320:$BT320,,T320+1)*R320-ERP_i)*Q320*Ramure*Pc/MaxiM</f>
        <v>2.307018410813753E-5</v>
      </c>
      <c r="Q320" s="304">
        <f t="shared" si="102"/>
        <v>0.6</v>
      </c>
      <c r="R320" s="177">
        <f t="shared" si="103"/>
        <v>0.4979877985767287</v>
      </c>
      <c r="S320" s="799">
        <f t="shared" si="104"/>
        <v>-1</v>
      </c>
      <c r="T320" s="176">
        <f t="shared" si="105"/>
        <v>5</v>
      </c>
      <c r="U320" s="250">
        <f t="shared" si="106"/>
        <v>-0.5020122014232713</v>
      </c>
      <c r="V320" s="382">
        <f t="shared" si="107"/>
        <v>34.832141713202049</v>
      </c>
      <c r="W320" s="58"/>
      <c r="X320" s="157">
        <f t="shared" si="108"/>
        <v>44136</v>
      </c>
      <c r="Y320" s="383">
        <f t="shared" si="109"/>
        <v>28.617999999999999</v>
      </c>
      <c r="Z320" s="383">
        <f t="shared" si="110"/>
        <v>28.971177661088486</v>
      </c>
      <c r="AA320" s="384">
        <f t="shared" si="111"/>
        <v>30.474461497560288</v>
      </c>
      <c r="AB320" s="197">
        <f t="shared" si="112"/>
        <v>44136</v>
      </c>
      <c r="AC320" s="424">
        <f>IF(OR(t&lt;Tnet,NoTnet),'2019'!Resal_s+('2019'!Salim-'2019'!Resal_s)*(1-EXP(('2019'!Tnet_s-t)/'2019'!Tau_j)),Resal_s+(Salim-Resal_s)*(1-EXP((Tnet_s-t)/Tau_j)))*Salcycl</f>
        <v>4.9329299439537316E-2</v>
      </c>
      <c r="AD320" s="230">
        <f>(INDEX(Models!$BJ320:$BT320,,AH320)*(1-AF320)+INDEX(Models!$BJ320:$BT320,,AH320+1)*AF320-ERP_i)*AE320*Ramure*Pc/MaxiM</f>
        <v>2.307018410813753E-5</v>
      </c>
      <c r="AE320" s="304">
        <f t="shared" si="113"/>
        <v>0.6</v>
      </c>
      <c r="AF320" s="177">
        <f t="shared" si="114"/>
        <v>0.4979877985767287</v>
      </c>
      <c r="AG320" s="176">
        <f t="shared" si="115"/>
        <v>-1</v>
      </c>
      <c r="AH320" s="176">
        <f t="shared" si="116"/>
        <v>5</v>
      </c>
      <c r="AI320" s="224">
        <f t="shared" si="117"/>
        <v>-0.5020122014232713</v>
      </c>
      <c r="AJ320" s="264" t="b">
        <f t="shared" si="118"/>
        <v>0</v>
      </c>
      <c r="AK320" s="264" t="b">
        <f t="shared" si="119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20"/>
        <v>44137</v>
      </c>
      <c r="B321" s="607">
        <v>29.748999999999999</v>
      </c>
      <c r="C321" s="388"/>
      <c r="D321" s="391">
        <f t="shared" si="99"/>
        <v>30.116712627537424</v>
      </c>
      <c r="E321" s="383">
        <f t="shared" si="121"/>
        <v>31.679882903395185</v>
      </c>
      <c r="F321" s="383">
        <f t="shared" si="100"/>
        <v>31.680473871325951</v>
      </c>
      <c r="G321" s="110">
        <f t="shared" si="122"/>
        <v>0.86164690599612692</v>
      </c>
      <c r="H321" s="412" t="b">
        <f>Wh_hp&gt;='2019'!Maxi_hp</f>
        <v>1</v>
      </c>
      <c r="I321" s="388">
        <f>IF(H321,Wh_hp,'2019'!Maxi_hp)</f>
        <v>31.680473871325951</v>
      </c>
      <c r="J321" s="85">
        <f>IF(H321,An,'2019'!An_max)</f>
        <v>2020</v>
      </c>
      <c r="K321" s="197">
        <f t="shared" si="101"/>
        <v>44137</v>
      </c>
      <c r="L321" s="147">
        <f>IF(t&lt;Tvie,1-EXP((T0-t)*PertePVj)+'2019'!Pspv,1-EXP((T0-t)*PertePVj)+Pspv)</f>
        <v>1.2209587151328249E-2</v>
      </c>
      <c r="M321" s="832"/>
      <c r="N321" s="832"/>
      <c r="O321" s="48">
        <f>IF(t&lt;Tnet,'2019'!Resal+('2019'!Salim-'2019'!Resal)*(1-EXP(('2019'!Tnet-t)/('2019'!Tau_j))),Resal+(Salim-Resal)*(1-EXP((Tnet-t)/(Tau_j))))*Salcycl</f>
        <v>4.9342678463316997E-2</v>
      </c>
      <c r="P321" s="169">
        <f>(INDEX(Models!$BJ321:$BT321,,T321)*(1-R321)+INDEX(Models!$BJ321:$BT321,,T321+1)*R321-ERP_i)*Q321*Ramure*Pc/MaxiM</f>
        <v>2.3248977269322072E-5</v>
      </c>
      <c r="Q321" s="304">
        <f t="shared" si="102"/>
        <v>0.6</v>
      </c>
      <c r="R321" s="177">
        <f t="shared" si="103"/>
        <v>0.49803961989212198</v>
      </c>
      <c r="S321" s="799">
        <f t="shared" si="104"/>
        <v>-1</v>
      </c>
      <c r="T321" s="176">
        <f t="shared" si="105"/>
        <v>5</v>
      </c>
      <c r="U321" s="250">
        <f t="shared" si="106"/>
        <v>-0.50196038010787802</v>
      </c>
      <c r="V321" s="382">
        <f t="shared" si="107"/>
        <v>34.525584778173048</v>
      </c>
      <c r="W321" s="58"/>
      <c r="X321" s="157">
        <f t="shared" si="108"/>
        <v>44137</v>
      </c>
      <c r="Y321" s="383">
        <f t="shared" si="109"/>
        <v>29.748999999999999</v>
      </c>
      <c r="Z321" s="383">
        <f t="shared" si="110"/>
        <v>30.116712627537424</v>
      </c>
      <c r="AA321" s="384">
        <f t="shared" si="111"/>
        <v>31.679882903395185</v>
      </c>
      <c r="AB321" s="197">
        <f t="shared" si="112"/>
        <v>44137</v>
      </c>
      <c r="AC321" s="424">
        <f>IF(OR(t&lt;Tnet,NoTnet),'2019'!Resal_s+('2019'!Salim-'2019'!Resal_s)*(1-EXP(('2019'!Tnet_s-t)/'2019'!Tau_j)),Resal_s+(Salim-Resal_s)*(1-EXP((Tnet_s-t)/Tau_j)))*Salcycl</f>
        <v>4.9342678463316997E-2</v>
      </c>
      <c r="AD321" s="230">
        <f>(INDEX(Models!$BJ321:$BT321,,AH321)*(1-AF321)+INDEX(Models!$BJ321:$BT321,,AH321+1)*AF321-ERP_i)*AE321*Ramure*Pc/MaxiM</f>
        <v>2.3248977269322072E-5</v>
      </c>
      <c r="AE321" s="304">
        <f t="shared" si="113"/>
        <v>0.6</v>
      </c>
      <c r="AF321" s="177">
        <f t="shared" si="114"/>
        <v>0.49803961989212198</v>
      </c>
      <c r="AG321" s="176">
        <f t="shared" si="115"/>
        <v>-1</v>
      </c>
      <c r="AH321" s="176">
        <f t="shared" si="116"/>
        <v>5</v>
      </c>
      <c r="AI321" s="224">
        <f t="shared" si="117"/>
        <v>-0.50196038010787802</v>
      </c>
      <c r="AJ321" s="264" t="b">
        <f t="shared" si="118"/>
        <v>0</v>
      </c>
      <c r="AK321" s="264" t="b">
        <f t="shared" si="119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20"/>
        <v>44138</v>
      </c>
      <c r="B322" s="607">
        <v>5.0880000000000001</v>
      </c>
      <c r="C322" s="388"/>
      <c r="D322" s="391">
        <f t="shared" si="99"/>
        <v>5.1509889608612047</v>
      </c>
      <c r="E322" s="383">
        <f t="shared" si="121"/>
        <v>5.4184206732395754</v>
      </c>
      <c r="F322" s="383">
        <f t="shared" si="100"/>
        <v>5.4184206732395754</v>
      </c>
      <c r="G322" s="110">
        <f t="shared" si="122"/>
        <v>0.14867508213958258</v>
      </c>
      <c r="H322" s="412" t="b">
        <f>Wh_hp&gt;='2019'!Maxi_hp</f>
        <v>0</v>
      </c>
      <c r="I322" s="388">
        <f>IF(H322,Wh_hp,'2019'!Maxi_hp)</f>
        <v>15.940602982544132</v>
      </c>
      <c r="J322" s="85">
        <f>IF(H322,An,'2019'!An_max)</f>
        <v>2018</v>
      </c>
      <c r="K322" s="197">
        <f t="shared" si="101"/>
        <v>44138</v>
      </c>
      <c r="L322" s="147">
        <f>IF(t&lt;Tvie,1-EXP((T0-t)*PertePVj)+'2019'!Pspv,1-EXP((T0-t)*PertePVj)+Pspv)</f>
        <v>1.2228517929239291E-2</v>
      </c>
      <c r="M322" s="832"/>
      <c r="N322" s="832"/>
      <c r="O322" s="48">
        <f>IF(t&lt;Tnet,'2019'!Resal+('2019'!Salim-'2019'!Resal)*(1-EXP(('2019'!Tnet-t)/('2019'!Tau_j))),Resal+(Salim-Resal)*(1-EXP((Tnet-t)/(Tau_j))))*Salcycl</f>
        <v>4.9356026138605145E-2</v>
      </c>
      <c r="P322" s="169">
        <f>(INDEX(Models!$BJ322:$BT322,,T322)*(1-R322)+INDEX(Models!$BJ322:$BT322,,T322+1)*R322-ERP_i)*Q322*Ramure*Pc/MaxiM</f>
        <v>2.3477863309360576E-5</v>
      </c>
      <c r="Q322" s="304">
        <f t="shared" si="102"/>
        <v>0.6</v>
      </c>
      <c r="R322" s="177">
        <f t="shared" si="103"/>
        <v>0.49808936484229438</v>
      </c>
      <c r="S322" s="799">
        <f t="shared" si="104"/>
        <v>-1</v>
      </c>
      <c r="T322" s="176">
        <f t="shared" si="105"/>
        <v>5</v>
      </c>
      <c r="U322" s="250">
        <f t="shared" si="106"/>
        <v>-0.50191063515770562</v>
      </c>
      <c r="V322" s="382">
        <f t="shared" si="107"/>
        <v>34.221474583446074</v>
      </c>
      <c r="W322" s="58"/>
      <c r="X322" s="157">
        <f t="shared" si="108"/>
        <v>44138</v>
      </c>
      <c r="Y322" s="383">
        <f t="shared" si="109"/>
        <v>5.0880000000000001</v>
      </c>
      <c r="Z322" s="383">
        <f t="shared" si="110"/>
        <v>5.1509889608612047</v>
      </c>
      <c r="AA322" s="384">
        <f t="shared" si="111"/>
        <v>5.4184206732395754</v>
      </c>
      <c r="AB322" s="197">
        <f t="shared" si="112"/>
        <v>44138</v>
      </c>
      <c r="AC322" s="424">
        <f>IF(OR(t&lt;Tnet,NoTnet),'2019'!Resal_s+('2019'!Salim-'2019'!Resal_s)*(1-EXP(('2019'!Tnet_s-t)/'2019'!Tau_j)),Resal_s+(Salim-Resal_s)*(1-EXP((Tnet_s-t)/Tau_j)))*Salcycl</f>
        <v>4.9356026138605145E-2</v>
      </c>
      <c r="AD322" s="230">
        <f>(INDEX(Models!$BJ322:$BT322,,AH322)*(1-AF322)+INDEX(Models!$BJ322:$BT322,,AH322+1)*AF322-ERP_i)*AE322*Ramure*Pc/MaxiM</f>
        <v>2.3477863309360576E-5</v>
      </c>
      <c r="AE322" s="304">
        <f t="shared" si="113"/>
        <v>0.6</v>
      </c>
      <c r="AF322" s="177">
        <f t="shared" si="114"/>
        <v>0.49808936484229438</v>
      </c>
      <c r="AG322" s="176">
        <f t="shared" si="115"/>
        <v>-1</v>
      </c>
      <c r="AH322" s="176">
        <f t="shared" si="116"/>
        <v>5</v>
      </c>
      <c r="AI322" s="224">
        <f t="shared" si="117"/>
        <v>-0.50191063515770562</v>
      </c>
      <c r="AJ322" s="264" t="b">
        <f t="shared" si="118"/>
        <v>0</v>
      </c>
      <c r="AK322" s="264" t="b">
        <f t="shared" si="119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20"/>
        <v>44139</v>
      </c>
      <c r="B323" s="607">
        <v>15.672000000000001</v>
      </c>
      <c r="C323" s="388"/>
      <c r="D323" s="391">
        <f t="shared" si="99"/>
        <v>15.866321958602756</v>
      </c>
      <c r="E323" s="383">
        <f t="shared" si="121"/>
        <v>16.69031258080987</v>
      </c>
      <c r="F323" s="383">
        <f t="shared" si="100"/>
        <v>16.690404360740779</v>
      </c>
      <c r="G323" s="110">
        <f t="shared" si="122"/>
        <v>0.46201971247473383</v>
      </c>
      <c r="H323" s="412" t="b">
        <f>Wh_hp&gt;='2019'!Maxi_hp</f>
        <v>1</v>
      </c>
      <c r="I323" s="388">
        <f>IF(H323,Wh_hp,'2019'!Maxi_hp)</f>
        <v>16.690404360740779</v>
      </c>
      <c r="J323" s="85">
        <f>IF(H323,An,'2019'!An_max)</f>
        <v>2020</v>
      </c>
      <c r="K323" s="197">
        <f t="shared" si="101"/>
        <v>44139</v>
      </c>
      <c r="L323" s="147">
        <f>IF(t&lt;Tvie,1-EXP((T0-t)*PertePVj)+'2019'!Pspv,1-EXP((T0-t)*PertePVj)+Pspv)</f>
        <v>1.2247448344346323E-2</v>
      </c>
      <c r="M323" s="832"/>
      <c r="N323" s="832"/>
      <c r="O323" s="48">
        <f>IF(t&lt;Tnet,'2019'!Resal+('2019'!Salim-'2019'!Resal)*(1-EXP(('2019'!Tnet-t)/('2019'!Tau_j))),Resal+(Salim-Resal)*(1-EXP((Tnet-t)/(Tau_j))))*Salcycl</f>
        <v>4.9369394264941302E-2</v>
      </c>
      <c r="P323" s="169">
        <f>(INDEX(Models!$BJ323:$BT323,,T323)*(1-R323)+INDEX(Models!$BJ323:$BT323,,T323+1)*R323-ERP_i)*Q323*Ramure*Pc/MaxiM</f>
        <v>2.3756827238618939E-5</v>
      </c>
      <c r="Q323" s="304">
        <f t="shared" si="102"/>
        <v>0.6</v>
      </c>
      <c r="R323" s="177">
        <f t="shared" si="103"/>
        <v>0.49813711623268375</v>
      </c>
      <c r="S323" s="799">
        <f t="shared" si="104"/>
        <v>-1</v>
      </c>
      <c r="T323" s="176">
        <f t="shared" si="105"/>
        <v>5</v>
      </c>
      <c r="U323" s="250">
        <f t="shared" si="106"/>
        <v>-0.50186288376731625</v>
      </c>
      <c r="V323" s="382">
        <f t="shared" si="107"/>
        <v>33.920011285339221</v>
      </c>
      <c r="W323" s="58"/>
      <c r="X323" s="157">
        <f t="shared" si="108"/>
        <v>44139</v>
      </c>
      <c r="Y323" s="383">
        <f t="shared" si="109"/>
        <v>15.672000000000002</v>
      </c>
      <c r="Z323" s="383">
        <f t="shared" si="110"/>
        <v>15.866321958602757</v>
      </c>
      <c r="AA323" s="384">
        <f t="shared" si="111"/>
        <v>16.69031258080987</v>
      </c>
      <c r="AB323" s="197">
        <f t="shared" si="112"/>
        <v>44139</v>
      </c>
      <c r="AC323" s="424">
        <f>IF(OR(t&lt;Tnet,NoTnet),'2019'!Resal_s+('2019'!Salim-'2019'!Resal_s)*(1-EXP(('2019'!Tnet_s-t)/'2019'!Tau_j)),Resal_s+(Salim-Resal_s)*(1-EXP((Tnet_s-t)/Tau_j)))*Salcycl</f>
        <v>4.9369394264941302E-2</v>
      </c>
      <c r="AD323" s="230">
        <f>(INDEX(Models!$BJ323:$BT323,,AH323)*(1-AF323)+INDEX(Models!$BJ323:$BT323,,AH323+1)*AF323-ERP_i)*AE323*Ramure*Pc/MaxiM</f>
        <v>2.3756827238618939E-5</v>
      </c>
      <c r="AE323" s="304">
        <f t="shared" si="113"/>
        <v>0.6</v>
      </c>
      <c r="AF323" s="177">
        <f t="shared" si="114"/>
        <v>0.49813711623268375</v>
      </c>
      <c r="AG323" s="176">
        <f t="shared" si="115"/>
        <v>-1</v>
      </c>
      <c r="AH323" s="176">
        <f t="shared" si="116"/>
        <v>5</v>
      </c>
      <c r="AI323" s="224">
        <f t="shared" si="117"/>
        <v>-0.50186288376731625</v>
      </c>
      <c r="AJ323" s="264" t="b">
        <f t="shared" si="118"/>
        <v>0</v>
      </c>
      <c r="AK323" s="264" t="b">
        <f t="shared" si="119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20"/>
        <v>44140</v>
      </c>
      <c r="B324" s="607">
        <v>23.414999999999999</v>
      </c>
      <c r="C324" s="388"/>
      <c r="D324" s="391">
        <f t="shared" si="99"/>
        <v>23.705784118183075</v>
      </c>
      <c r="E324" s="383">
        <f t="shared" si="121"/>
        <v>24.937256537252583</v>
      </c>
      <c r="F324" s="383">
        <f t="shared" si="100"/>
        <v>24.937601381627896</v>
      </c>
      <c r="G324" s="110">
        <f t="shared" si="122"/>
        <v>0.69642439774611953</v>
      </c>
      <c r="H324" s="412" t="b">
        <f>Wh_hp&gt;='2019'!Maxi_hp</f>
        <v>1</v>
      </c>
      <c r="I324" s="388">
        <f>IF(H324,Wh_hp,'2019'!Maxi_hp)</f>
        <v>24.937601381627896</v>
      </c>
      <c r="J324" s="85">
        <f>IF(H324,An,'2019'!An_max)</f>
        <v>2020</v>
      </c>
      <c r="K324" s="197">
        <f t="shared" si="101"/>
        <v>44140</v>
      </c>
      <c r="L324" s="147">
        <f>IF(t&lt;Tvie,1-EXP((T0-t)*PertePVj)+'2019'!Pspv,1-EXP((T0-t)*PertePVj)+Pspv)</f>
        <v>1.226637839665623E-2</v>
      </c>
      <c r="M324" s="832"/>
      <c r="N324" s="832"/>
      <c r="O324" s="48">
        <f>IF(t&lt;Tnet,'2019'!Resal+('2019'!Salim-'2019'!Resal)*(1-EXP(('2019'!Tnet-t)/('2019'!Tau_j))),Resal+(Salim-Resal)*(1-EXP((Tnet-t)/(Tau_j))))*Salcycl</f>
        <v>4.9382834764917671E-2</v>
      </c>
      <c r="P324" s="169">
        <f>(INDEX(Models!$BJ324:$BT324,,T324)*(1-R324)+INDEX(Models!$BJ324:$BT324,,T324+1)*R324-ERP_i)*Q324*Ramure*Pc/MaxiM</f>
        <v>2.4417323321868817E-5</v>
      </c>
      <c r="Q324" s="304">
        <f t="shared" si="102"/>
        <v>0.6</v>
      </c>
      <c r="R324" s="177">
        <f t="shared" si="103"/>
        <v>0.49818295359715292</v>
      </c>
      <c r="S324" s="799">
        <f t="shared" si="104"/>
        <v>-1</v>
      </c>
      <c r="T324" s="176">
        <f t="shared" si="105"/>
        <v>5</v>
      </c>
      <c r="U324" s="250">
        <f t="shared" si="106"/>
        <v>-0.50181704640284708</v>
      </c>
      <c r="V324" s="382">
        <f t="shared" si="107"/>
        <v>33.621383929291824</v>
      </c>
      <c r="W324" s="58"/>
      <c r="X324" s="157">
        <f t="shared" si="108"/>
        <v>44140</v>
      </c>
      <c r="Y324" s="383">
        <f t="shared" si="109"/>
        <v>23.414999999999999</v>
      </c>
      <c r="Z324" s="383">
        <f t="shared" si="110"/>
        <v>23.705784118183075</v>
      </c>
      <c r="AA324" s="384">
        <f t="shared" si="111"/>
        <v>24.937256537252583</v>
      </c>
      <c r="AB324" s="197">
        <f t="shared" si="112"/>
        <v>44140</v>
      </c>
      <c r="AC324" s="424">
        <f>IF(OR(t&lt;Tnet,NoTnet),'2019'!Resal_s+('2019'!Salim-'2019'!Resal_s)*(1-EXP(('2019'!Tnet_s-t)/'2019'!Tau_j)),Resal_s+(Salim-Resal_s)*(1-EXP((Tnet_s-t)/Tau_j)))*Salcycl</f>
        <v>4.9382834764917671E-2</v>
      </c>
      <c r="AD324" s="230">
        <f>(INDEX(Models!$BJ324:$BT324,,AH324)*(1-AF324)+INDEX(Models!$BJ324:$BT324,,AH324+1)*AF324-ERP_i)*AE324*Ramure*Pc/MaxiM</f>
        <v>2.4417323321868817E-5</v>
      </c>
      <c r="AE324" s="304">
        <f t="shared" si="113"/>
        <v>0.6</v>
      </c>
      <c r="AF324" s="177">
        <f t="shared" si="114"/>
        <v>0.49818295359715292</v>
      </c>
      <c r="AG324" s="176">
        <f t="shared" si="115"/>
        <v>-1</v>
      </c>
      <c r="AH324" s="176">
        <f t="shared" si="116"/>
        <v>5</v>
      </c>
      <c r="AI324" s="224">
        <f t="shared" si="117"/>
        <v>-0.50181704640284708</v>
      </c>
      <c r="AJ324" s="264" t="b">
        <f t="shared" si="118"/>
        <v>0</v>
      </c>
      <c r="AK324" s="264" t="b">
        <f t="shared" si="119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20"/>
        <v>44141</v>
      </c>
      <c r="B325" s="607">
        <v>17.657</v>
      </c>
      <c r="C325" s="388"/>
      <c r="D325" s="391">
        <f t="shared" si="99"/>
        <v>17.876619781555842</v>
      </c>
      <c r="E325" s="383">
        <f t="shared" si="121"/>
        <v>18.805546045875388</v>
      </c>
      <c r="F325" s="383">
        <f t="shared" si="100"/>
        <v>18.805703441892177</v>
      </c>
      <c r="G325" s="110">
        <f t="shared" si="122"/>
        <v>0.52982079744687693</v>
      </c>
      <c r="H325" s="412" t="b">
        <f>Wh_hp&gt;='2019'!Maxi_hp</f>
        <v>1</v>
      </c>
      <c r="I325" s="388">
        <f>IF(H325,Wh_hp,'2019'!Maxi_hp)</f>
        <v>18.805703441892177</v>
      </c>
      <c r="J325" s="85">
        <f>IF(H325,An,'2019'!An_max)</f>
        <v>2020</v>
      </c>
      <c r="K325" s="197">
        <f t="shared" si="101"/>
        <v>44141</v>
      </c>
      <c r="L325" s="147">
        <f>IF(t&lt;Tvie,1-EXP((T0-t)*PertePVj)+'2019'!Pspv,1-EXP((T0-t)*PertePVj)+Pspv)</f>
        <v>1.2285308086176006E-2</v>
      </c>
      <c r="M325" s="832"/>
      <c r="N325" s="832"/>
      <c r="O325" s="48">
        <f>IF(t&lt;Tnet,'2019'!Resal+('2019'!Salim-'2019'!Resal)*(1-EXP(('2019'!Tnet-t)/('2019'!Tau_j))),Resal+(Salim-Resal)*(1-EXP((Tnet-t)/(Tau_j))))*Salcycl</f>
        <v>4.9396399447985587E-2</v>
      </c>
      <c r="P325" s="169">
        <f>(INDEX(Models!$BJ325:$BT325,,T325)*(1-R325)+INDEX(Models!$BJ325:$BT325,,T325+1)*R325-ERP_i)*Q325*Ramure*Pc/MaxiM</f>
        <v>2.5491519539830726E-5</v>
      </c>
      <c r="Q325" s="304">
        <f t="shared" si="102"/>
        <v>0.6</v>
      </c>
      <c r="R325" s="177">
        <f t="shared" si="103"/>
        <v>0.49822695332482403</v>
      </c>
      <c r="S325" s="799">
        <f t="shared" si="104"/>
        <v>-1</v>
      </c>
      <c r="T325" s="176">
        <f t="shared" si="105"/>
        <v>5</v>
      </c>
      <c r="U325" s="250">
        <f t="shared" si="106"/>
        <v>-0.50177304667517597</v>
      </c>
      <c r="V325" s="382">
        <f t="shared" si="107"/>
        <v>33.325791967085095</v>
      </c>
      <c r="W325" s="58"/>
      <c r="X325" s="157">
        <f t="shared" si="108"/>
        <v>44141</v>
      </c>
      <c r="Y325" s="383">
        <f t="shared" si="109"/>
        <v>17.657</v>
      </c>
      <c r="Z325" s="383">
        <f t="shared" si="110"/>
        <v>17.876619781555842</v>
      </c>
      <c r="AA325" s="384">
        <f t="shared" si="111"/>
        <v>18.805546045875388</v>
      </c>
      <c r="AB325" s="197">
        <f t="shared" si="112"/>
        <v>44141</v>
      </c>
      <c r="AC325" s="424">
        <f>IF(OR(t&lt;Tnet,NoTnet),'2019'!Resal_s+('2019'!Salim-'2019'!Resal_s)*(1-EXP(('2019'!Tnet_s-t)/'2019'!Tau_j)),Resal_s+(Salim-Resal_s)*(1-EXP((Tnet_s-t)/Tau_j)))*Salcycl</f>
        <v>4.9396399447985587E-2</v>
      </c>
      <c r="AD325" s="230">
        <f>(INDEX(Models!$BJ325:$BT325,,AH325)*(1-AF325)+INDEX(Models!$BJ325:$BT325,,AH325+1)*AF325-ERP_i)*AE325*Ramure*Pc/MaxiM</f>
        <v>2.5491519539830726E-5</v>
      </c>
      <c r="AE325" s="304">
        <f t="shared" si="113"/>
        <v>0.6</v>
      </c>
      <c r="AF325" s="177">
        <f t="shared" si="114"/>
        <v>0.49822695332482403</v>
      </c>
      <c r="AG325" s="176">
        <f t="shared" si="115"/>
        <v>-1</v>
      </c>
      <c r="AH325" s="176">
        <f t="shared" si="116"/>
        <v>5</v>
      </c>
      <c r="AI325" s="224">
        <f t="shared" si="117"/>
        <v>-0.50177304667517597</v>
      </c>
      <c r="AJ325" s="264" t="b">
        <f t="shared" si="118"/>
        <v>0</v>
      </c>
      <c r="AK325" s="264" t="b">
        <f t="shared" si="119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20"/>
        <v>44142</v>
      </c>
      <c r="B326" s="607">
        <v>5.2030000000000003</v>
      </c>
      <c r="C326" s="388"/>
      <c r="D326" s="391">
        <f t="shared" si="99"/>
        <v>5.2678164644259473</v>
      </c>
      <c r="E326" s="383">
        <f t="shared" si="121"/>
        <v>5.5416291345317559</v>
      </c>
      <c r="F326" s="383">
        <f t="shared" si="100"/>
        <v>5.5416291345317559</v>
      </c>
      <c r="G326" s="110">
        <f t="shared" si="122"/>
        <v>0.15750282917740713</v>
      </c>
      <c r="H326" s="412" t="b">
        <f>Wh_hp&gt;='2019'!Maxi_hp</f>
        <v>0</v>
      </c>
      <c r="I326" s="388">
        <f>IF(H326,Wh_hp,'2019'!Maxi_hp)</f>
        <v>14.341482219455916</v>
      </c>
      <c r="J326" s="85">
        <f>IF(H326,An,'2019'!An_max)</f>
        <v>2018</v>
      </c>
      <c r="K326" s="197">
        <f t="shared" si="101"/>
        <v>44142</v>
      </c>
      <c r="L326" s="147">
        <f>IF(t&lt;Tvie,1-EXP((T0-t)*PertePVj)+'2019'!Pspv,1-EXP((T0-t)*PertePVj)+Pspv)</f>
        <v>1.2304237412912644E-2</v>
      </c>
      <c r="M326" s="832"/>
      <c r="N326" s="832"/>
      <c r="O326" s="48">
        <f>IF(t&lt;Tnet,'2019'!Resal+('2019'!Salim-'2019'!Resal)*(1-EXP(('2019'!Tnet-t)/('2019'!Tau_j))),Resal+(Salim-Resal)*(1-EXP((Tnet-t)/(Tau_j))))*Salcycl</f>
        <v>4.9410139772723079E-2</v>
      </c>
      <c r="P326" s="169">
        <f>(INDEX(Models!$BJ326:$BT326,,T326)*(1-R326)+INDEX(Models!$BJ326:$BT326,,T326+1)*R326-ERP_i)*Q326*Ramure*Pc/MaxiM</f>
        <v>2.6978252088904288E-5</v>
      </c>
      <c r="Q326" s="304">
        <f t="shared" si="102"/>
        <v>0.6</v>
      </c>
      <c r="R326" s="177">
        <f t="shared" si="103"/>
        <v>0.49826918878219006</v>
      </c>
      <c r="S326" s="799">
        <f t="shared" si="104"/>
        <v>-1</v>
      </c>
      <c r="T326" s="176">
        <f t="shared" si="105"/>
        <v>5</v>
      </c>
      <c r="U326" s="250">
        <f t="shared" si="106"/>
        <v>-0.50173081121780994</v>
      </c>
      <c r="V326" s="382">
        <f t="shared" si="107"/>
        <v>33.033436029863402</v>
      </c>
      <c r="W326" s="58"/>
      <c r="X326" s="157">
        <f t="shared" si="108"/>
        <v>44142</v>
      </c>
      <c r="Y326" s="383">
        <f t="shared" si="109"/>
        <v>5.2030000000000003</v>
      </c>
      <c r="Z326" s="383">
        <f t="shared" si="110"/>
        <v>5.2678164644259473</v>
      </c>
      <c r="AA326" s="384">
        <f t="shared" si="111"/>
        <v>5.5416291345317559</v>
      </c>
      <c r="AB326" s="197">
        <f t="shared" si="112"/>
        <v>44142</v>
      </c>
      <c r="AC326" s="424">
        <f>IF(OR(t&lt;Tnet,NoTnet),'2019'!Resal_s+('2019'!Salim-'2019'!Resal_s)*(1-EXP(('2019'!Tnet_s-t)/'2019'!Tau_j)),Resal_s+(Salim-Resal_s)*(1-EXP((Tnet_s-t)/Tau_j)))*Salcycl</f>
        <v>4.9410139772723079E-2</v>
      </c>
      <c r="AD326" s="230">
        <f>(INDEX(Models!$BJ326:$BT326,,AH326)*(1-AF326)+INDEX(Models!$BJ326:$BT326,,AH326+1)*AF326-ERP_i)*AE326*Ramure*Pc/MaxiM</f>
        <v>2.6978252088904288E-5</v>
      </c>
      <c r="AE326" s="304">
        <f t="shared" si="113"/>
        <v>0.6</v>
      </c>
      <c r="AF326" s="177">
        <f t="shared" si="114"/>
        <v>0.49826918878219006</v>
      </c>
      <c r="AG326" s="176">
        <f t="shared" si="115"/>
        <v>-1</v>
      </c>
      <c r="AH326" s="176">
        <f t="shared" si="116"/>
        <v>5</v>
      </c>
      <c r="AI326" s="224">
        <f t="shared" si="117"/>
        <v>-0.50173081121780994</v>
      </c>
      <c r="AJ326" s="264" t="b">
        <f t="shared" si="118"/>
        <v>0</v>
      </c>
      <c r="AK326" s="264" t="b">
        <f t="shared" si="119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20"/>
        <v>44143</v>
      </c>
      <c r="B327" s="607">
        <v>24.620999999999999</v>
      </c>
      <c r="C327" s="388"/>
      <c r="D327" s="391">
        <f t="shared" si="99"/>
        <v>24.928194285657163</v>
      </c>
      <c r="E327" s="383">
        <f t="shared" si="121"/>
        <v>26.224307242566731</v>
      </c>
      <c r="F327" s="383">
        <f t="shared" si="100"/>
        <v>26.22479613054475</v>
      </c>
      <c r="G327" s="110">
        <f t="shared" si="122"/>
        <v>0.75190445405876016</v>
      </c>
      <c r="H327" s="412" t="b">
        <f>Wh_hp&gt;='2019'!Maxi_hp</f>
        <v>1</v>
      </c>
      <c r="I327" s="388">
        <f>IF(H327,Wh_hp,'2019'!Maxi_hp)</f>
        <v>26.22479613054475</v>
      </c>
      <c r="J327" s="85">
        <f>IF(H327,An,'2019'!An_max)</f>
        <v>2020</v>
      </c>
      <c r="K327" s="197">
        <f t="shared" si="101"/>
        <v>44143</v>
      </c>
      <c r="L327" s="147">
        <f>IF(t&lt;Tvie,1-EXP((T0-t)*PertePVj)+'2019'!Pspv,1-EXP((T0-t)*PertePVj)+Pspv)</f>
        <v>1.2323166376872918E-2</v>
      </c>
      <c r="M327" s="832"/>
      <c r="N327" s="832"/>
      <c r="O327" s="48">
        <f>IF(t&lt;Tnet,'2019'!Resal+('2019'!Salim-'2019'!Resal)*(1-EXP(('2019'!Tnet-t)/('2019'!Tau_j))),Resal+(Salim-Resal)*(1-EXP((Tnet-t)/(Tau_j))))*Salcycl</f>
        <v>4.9424106609220413E-2</v>
      </c>
      <c r="P327" s="169">
        <f>(INDEX(Models!$BJ327:$BT327,,T327)*(1-R327)+INDEX(Models!$BJ327:$BT327,,T327+1)*R327-ERP_i)*Q327*Ramure*Pc/MaxiM</f>
        <v>2.8876281044173271E-5</v>
      </c>
      <c r="Q327" s="304">
        <f t="shared" si="102"/>
        <v>0.6</v>
      </c>
      <c r="R327" s="177">
        <f t="shared" si="103"/>
        <v>0.49830973043065963</v>
      </c>
      <c r="S327" s="799">
        <f t="shared" si="104"/>
        <v>-1</v>
      </c>
      <c r="T327" s="176">
        <f t="shared" si="105"/>
        <v>5</v>
      </c>
      <c r="U327" s="250">
        <f t="shared" si="106"/>
        <v>-0.50169026956934037</v>
      </c>
      <c r="V327" s="382">
        <f t="shared" si="107"/>
        <v>32.74451679221945</v>
      </c>
      <c r="W327" s="58"/>
      <c r="X327" s="157">
        <f t="shared" si="108"/>
        <v>44143</v>
      </c>
      <c r="Y327" s="383">
        <f t="shared" si="109"/>
        <v>24.620999999999999</v>
      </c>
      <c r="Z327" s="383">
        <f t="shared" si="110"/>
        <v>24.928194285657163</v>
      </c>
      <c r="AA327" s="384">
        <f t="shared" si="111"/>
        <v>26.224307242566731</v>
      </c>
      <c r="AB327" s="197">
        <f t="shared" si="112"/>
        <v>44143</v>
      </c>
      <c r="AC327" s="424">
        <f>IF(OR(t&lt;Tnet,NoTnet),'2019'!Resal_s+('2019'!Salim-'2019'!Resal_s)*(1-EXP(('2019'!Tnet_s-t)/'2019'!Tau_j)),Resal_s+(Salim-Resal_s)*(1-EXP((Tnet_s-t)/Tau_j)))*Salcycl</f>
        <v>4.9424106609220413E-2</v>
      </c>
      <c r="AD327" s="230">
        <f>(INDEX(Models!$BJ327:$BT327,,AH327)*(1-AF327)+INDEX(Models!$BJ327:$BT327,,AH327+1)*AF327-ERP_i)*AE327*Ramure*Pc/MaxiM</f>
        <v>2.8876281044173271E-5</v>
      </c>
      <c r="AE327" s="304">
        <f t="shared" si="113"/>
        <v>0.6</v>
      </c>
      <c r="AF327" s="177">
        <f t="shared" si="114"/>
        <v>0.49830973043065963</v>
      </c>
      <c r="AG327" s="176">
        <f t="shared" si="115"/>
        <v>-1</v>
      </c>
      <c r="AH327" s="176">
        <f t="shared" si="116"/>
        <v>5</v>
      </c>
      <c r="AI327" s="224">
        <f t="shared" si="117"/>
        <v>-0.50169026956934037</v>
      </c>
      <c r="AJ327" s="264" t="b">
        <f t="shared" si="118"/>
        <v>0</v>
      </c>
      <c r="AK327" s="264" t="b">
        <f t="shared" si="119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20"/>
        <v>44144</v>
      </c>
      <c r="B328" s="607">
        <v>15.406000000000001</v>
      </c>
      <c r="C328" s="388"/>
      <c r="D328" s="391">
        <f t="shared" si="99"/>
        <v>15.59851839555502</v>
      </c>
      <c r="E328" s="383">
        <f t="shared" si="121"/>
        <v>16.409791406594614</v>
      </c>
      <c r="F328" s="383">
        <f t="shared" si="100"/>
        <v>16.409919066300311</v>
      </c>
      <c r="G328" s="110">
        <f t="shared" si="122"/>
        <v>0.47461498804880747</v>
      </c>
      <c r="H328" s="412" t="b">
        <f>Wh_hp&gt;='2019'!Maxi_hp</f>
        <v>0</v>
      </c>
      <c r="I328" s="388">
        <f>IF(H328,Wh_hp,'2019'!Maxi_hp)</f>
        <v>21.547122044732756</v>
      </c>
      <c r="J328" s="85">
        <f>IF(H328,An,'2019'!An_max)</f>
        <v>2018</v>
      </c>
      <c r="K328" s="197">
        <f t="shared" si="101"/>
        <v>44144</v>
      </c>
      <c r="L328" s="147">
        <f>IF(t&lt;Tvie,1-EXP((T0-t)*PertePVj)+'2019'!Pspv,1-EXP((T0-t)*PertePVj)+Pspv)</f>
        <v>1.2342094978064044E-2</v>
      </c>
      <c r="M328" s="832"/>
      <c r="N328" s="832"/>
      <c r="O328" s="48">
        <f>IF(t&lt;Tnet,'2019'!Resal+('2019'!Salim-'2019'!Resal)*(1-EXP(('2019'!Tnet-t)/('2019'!Tau_j))),Resal+(Salim-Resal)*(1-EXP((Tnet-t)/(Tau_j))))*Salcycl</f>
        <v>4.9438350003252751E-2</v>
      </c>
      <c r="P328" s="169">
        <f>(INDEX(Models!$BJ328:$BT328,,T328)*(1-R328)+INDEX(Models!$BJ328:$BT328,,T328+1)*R328-ERP_i)*Q328*Ramure*Pc/MaxiM</f>
        <v>3.1184321062492949E-5</v>
      </c>
      <c r="Q328" s="304">
        <f t="shared" si="102"/>
        <v>0.6</v>
      </c>
      <c r="R328" s="177">
        <f t="shared" si="103"/>
        <v>0.49834864593969475</v>
      </c>
      <c r="S328" s="799">
        <f t="shared" si="104"/>
        <v>-1</v>
      </c>
      <c r="T328" s="176">
        <f t="shared" si="105"/>
        <v>5</v>
      </c>
      <c r="U328" s="250">
        <f t="shared" si="106"/>
        <v>-0.50165135406030525</v>
      </c>
      <c r="V328" s="382">
        <f t="shared" si="107"/>
        <v>32.459234978383677</v>
      </c>
      <c r="W328" s="58"/>
      <c r="X328" s="157">
        <f t="shared" si="108"/>
        <v>44144</v>
      </c>
      <c r="Y328" s="383">
        <f t="shared" si="109"/>
        <v>15.406000000000002</v>
      </c>
      <c r="Z328" s="383">
        <f t="shared" si="110"/>
        <v>15.598518395555022</v>
      </c>
      <c r="AA328" s="384">
        <f t="shared" si="111"/>
        <v>16.409791406594614</v>
      </c>
      <c r="AB328" s="197">
        <f t="shared" si="112"/>
        <v>44144</v>
      </c>
      <c r="AC328" s="424">
        <f>IF(OR(t&lt;Tnet,NoTnet),'2019'!Resal_s+('2019'!Salim-'2019'!Resal_s)*(1-EXP(('2019'!Tnet_s-t)/'2019'!Tau_j)),Resal_s+(Salim-Resal_s)*(1-EXP((Tnet_s-t)/Tau_j)))*Salcycl</f>
        <v>4.9438350003252751E-2</v>
      </c>
      <c r="AD328" s="230">
        <f>(INDEX(Models!$BJ328:$BT328,,AH328)*(1-AF328)+INDEX(Models!$BJ328:$BT328,,AH328+1)*AF328-ERP_i)*AE328*Ramure*Pc/MaxiM</f>
        <v>3.1184321062492949E-5</v>
      </c>
      <c r="AE328" s="304">
        <f t="shared" si="113"/>
        <v>0.6</v>
      </c>
      <c r="AF328" s="177">
        <f t="shared" si="114"/>
        <v>0.49834864593969475</v>
      </c>
      <c r="AG328" s="176">
        <f t="shared" si="115"/>
        <v>-1</v>
      </c>
      <c r="AH328" s="176">
        <f t="shared" si="116"/>
        <v>5</v>
      </c>
      <c r="AI328" s="224">
        <f t="shared" si="117"/>
        <v>-0.50165135406030525</v>
      </c>
      <c r="AJ328" s="264" t="b">
        <f t="shared" si="118"/>
        <v>0</v>
      </c>
      <c r="AK328" s="264" t="b">
        <f t="shared" si="119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20"/>
        <v>44145</v>
      </c>
      <c r="B329" s="607">
        <v>10.275</v>
      </c>
      <c r="C329" s="388"/>
      <c r="D329" s="391">
        <f t="shared" si="99"/>
        <v>10.403599130385784</v>
      </c>
      <c r="E329" s="383">
        <f t="shared" si="121"/>
        <v>10.944854113724702</v>
      </c>
      <c r="F329" s="383">
        <f t="shared" si="100"/>
        <v>10.944864354298062</v>
      </c>
      <c r="G329" s="110">
        <f t="shared" si="122"/>
        <v>0.31930909005818953</v>
      </c>
      <c r="H329" s="412" t="b">
        <f>Wh_hp&gt;='2019'!Maxi_hp</f>
        <v>0</v>
      </c>
      <c r="I329" s="388">
        <f>IF(H329,Wh_hp,'2019'!Maxi_hp)</f>
        <v>25.947841009342365</v>
      </c>
      <c r="J329" s="85">
        <f>IF(H329,An,'2019'!An_max)</f>
        <v>2018</v>
      </c>
      <c r="K329" s="197">
        <f t="shared" si="101"/>
        <v>44145</v>
      </c>
      <c r="L329" s="147">
        <f>IF(t&lt;Tvie,1-EXP((T0-t)*PertePVj)+'2019'!Pspv,1-EXP((T0-t)*PertePVj)+Pspv)</f>
        <v>1.2361023216492795E-2</v>
      </c>
      <c r="M329" s="832"/>
      <c r="N329" s="832"/>
      <c r="O329" s="48">
        <f>IF(t&lt;Tnet,'2019'!Resal+('2019'!Salim-'2019'!Resal)*(1-EXP(('2019'!Tnet-t)/('2019'!Tau_j))),Resal+(Salim-Resal)*(1-EXP((Tnet-t)/(Tau_j))))*Salcycl</f>
        <v>4.9452918943907354E-2</v>
      </c>
      <c r="P329" s="169">
        <f>(INDEX(Models!$BJ329:$BT329,,T329)*(1-R329)+INDEX(Models!$BJ329:$BT329,,T329+1)*R329-ERP_i)*Q329*Ramure*Pc/MaxiM</f>
        <v>3.3901071627139813E-5</v>
      </c>
      <c r="Q329" s="304">
        <f t="shared" si="102"/>
        <v>0.6</v>
      </c>
      <c r="R329" s="177">
        <f t="shared" si="103"/>
        <v>0.49838600029569191</v>
      </c>
      <c r="S329" s="799">
        <f t="shared" si="104"/>
        <v>-1</v>
      </c>
      <c r="T329" s="176">
        <f t="shared" si="105"/>
        <v>5</v>
      </c>
      <c r="U329" s="250">
        <f t="shared" si="106"/>
        <v>-0.50161399970430809</v>
      </c>
      <c r="V329" s="382">
        <f t="shared" si="107"/>
        <v>32.177791362324818</v>
      </c>
      <c r="W329" s="58"/>
      <c r="X329" s="157">
        <f t="shared" si="108"/>
        <v>44145</v>
      </c>
      <c r="Y329" s="383">
        <f t="shared" si="109"/>
        <v>10.275</v>
      </c>
      <c r="Z329" s="383">
        <f t="shared" si="110"/>
        <v>10.403599130385784</v>
      </c>
      <c r="AA329" s="384">
        <f t="shared" si="111"/>
        <v>10.944854113724702</v>
      </c>
      <c r="AB329" s="197">
        <f t="shared" si="112"/>
        <v>44145</v>
      </c>
      <c r="AC329" s="424">
        <f>IF(OR(t&lt;Tnet,NoTnet),'2019'!Resal_s+('2019'!Salim-'2019'!Resal_s)*(1-EXP(('2019'!Tnet_s-t)/'2019'!Tau_j)),Resal_s+(Salim-Resal_s)*(1-EXP((Tnet_s-t)/Tau_j)))*Salcycl</f>
        <v>4.9452918943907354E-2</v>
      </c>
      <c r="AD329" s="230">
        <f>(INDEX(Models!$BJ329:$BT329,,AH329)*(1-AF329)+INDEX(Models!$BJ329:$BT329,,AH329+1)*AF329-ERP_i)*AE329*Ramure*Pc/MaxiM</f>
        <v>3.3901071627139813E-5</v>
      </c>
      <c r="AE329" s="304">
        <f t="shared" si="113"/>
        <v>0.6</v>
      </c>
      <c r="AF329" s="177">
        <f t="shared" si="114"/>
        <v>0.49838600029569191</v>
      </c>
      <c r="AG329" s="176">
        <f t="shared" si="115"/>
        <v>-1</v>
      </c>
      <c r="AH329" s="176">
        <f t="shared" si="116"/>
        <v>5</v>
      </c>
      <c r="AI329" s="224">
        <f t="shared" si="117"/>
        <v>-0.50161399970430809</v>
      </c>
      <c r="AJ329" s="264" t="b">
        <f t="shared" si="118"/>
        <v>0</v>
      </c>
      <c r="AK329" s="264" t="b">
        <f t="shared" si="119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20"/>
        <v>44146</v>
      </c>
      <c r="B330" s="607">
        <v>23.838000000000001</v>
      </c>
      <c r="C330" s="388"/>
      <c r="D330" s="391">
        <f t="shared" si="99"/>
        <v>24.136812559001218</v>
      </c>
      <c r="E330" s="383">
        <f t="shared" si="121"/>
        <v>25.392947352475247</v>
      </c>
      <c r="F330" s="383">
        <f t="shared" si="100"/>
        <v>25.393548092988073</v>
      </c>
      <c r="G330" s="110">
        <f t="shared" si="122"/>
        <v>0.74725367742349003</v>
      </c>
      <c r="H330" s="412" t="b">
        <f>Wh_hp&gt;='2019'!Maxi_hp</f>
        <v>1</v>
      </c>
      <c r="I330" s="388">
        <f>IF(H330,Wh_hp,'2019'!Maxi_hp)</f>
        <v>25.393548092988073</v>
      </c>
      <c r="J330" s="85">
        <f>IF(H330,An,'2019'!An_max)</f>
        <v>2020</v>
      </c>
      <c r="K330" s="197">
        <f t="shared" si="101"/>
        <v>44146</v>
      </c>
      <c r="L330" s="147">
        <f>IF(t&lt;Tvie,1-EXP((T0-t)*PertePVj)+'2019'!Pspv,1-EXP((T0-t)*PertePVj)+Pspv)</f>
        <v>1.2379951092166164E-2</v>
      </c>
      <c r="M330" s="832"/>
      <c r="N330" s="832"/>
      <c r="O330" s="48">
        <f>IF(t&lt;Tnet,'2019'!Resal+('2019'!Salim-'2019'!Resal)*(1-EXP(('2019'!Tnet-t)/('2019'!Tau_j))),Resal+(Salim-Resal)*(1-EXP((Tnet-t)/(Tau_j))))*Salcycl</f>
        <v>4.9467861136315974E-2</v>
      </c>
      <c r="P330" s="169">
        <f>(INDEX(Models!$BJ330:$BT330,,T330)*(1-R330)+INDEX(Models!$BJ330:$BT330,,T330+1)*R330-ERP_i)*Q330*Ramure*Pc/MaxiM</f>
        <v>3.7025246123705657E-5</v>
      </c>
      <c r="Q330" s="304">
        <f t="shared" si="102"/>
        <v>0.6</v>
      </c>
      <c r="R330" s="177">
        <f t="shared" si="103"/>
        <v>0.49842185590675503</v>
      </c>
      <c r="S330" s="799">
        <f t="shared" si="104"/>
        <v>-1</v>
      </c>
      <c r="T330" s="176">
        <f t="shared" si="105"/>
        <v>5</v>
      </c>
      <c r="U330" s="250">
        <f t="shared" si="106"/>
        <v>-0.50157814409324497</v>
      </c>
      <c r="V330" s="382">
        <f t="shared" si="107"/>
        <v>31.900386770152469</v>
      </c>
      <c r="W330" s="58"/>
      <c r="X330" s="157">
        <f t="shared" si="108"/>
        <v>44146</v>
      </c>
      <c r="Y330" s="383">
        <f t="shared" si="109"/>
        <v>23.838000000000001</v>
      </c>
      <c r="Z330" s="383">
        <f t="shared" si="110"/>
        <v>24.136812559001218</v>
      </c>
      <c r="AA330" s="384">
        <f t="shared" si="111"/>
        <v>25.392947352475247</v>
      </c>
      <c r="AB330" s="197">
        <f t="shared" si="112"/>
        <v>44146</v>
      </c>
      <c r="AC330" s="424">
        <f>IF(OR(t&lt;Tnet,NoTnet),'2019'!Resal_s+('2019'!Salim-'2019'!Resal_s)*(1-EXP(('2019'!Tnet_s-t)/'2019'!Tau_j)),Resal_s+(Salim-Resal_s)*(1-EXP((Tnet_s-t)/Tau_j)))*Salcycl</f>
        <v>4.9467861136315974E-2</v>
      </c>
      <c r="AD330" s="230">
        <f>(INDEX(Models!$BJ330:$BT330,,AH330)*(1-AF330)+INDEX(Models!$BJ330:$BT330,,AH330+1)*AF330-ERP_i)*AE330*Ramure*Pc/MaxiM</f>
        <v>3.7025246123705657E-5</v>
      </c>
      <c r="AE330" s="304">
        <f t="shared" si="113"/>
        <v>0.6</v>
      </c>
      <c r="AF330" s="177">
        <f t="shared" si="114"/>
        <v>0.49842185590675503</v>
      </c>
      <c r="AG330" s="176">
        <f t="shared" si="115"/>
        <v>-1</v>
      </c>
      <c r="AH330" s="176">
        <f t="shared" si="116"/>
        <v>5</v>
      </c>
      <c r="AI330" s="224">
        <f t="shared" si="117"/>
        <v>-0.50157814409324497</v>
      </c>
      <c r="AJ330" s="264" t="b">
        <f t="shared" si="118"/>
        <v>0</v>
      </c>
      <c r="AK330" s="264" t="b">
        <f t="shared" si="119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20"/>
        <v>44147</v>
      </c>
      <c r="B331" s="607">
        <v>28.715</v>
      </c>
      <c r="C331" s="388"/>
      <c r="D331" s="391">
        <f t="shared" si="99"/>
        <v>29.075503640014425</v>
      </c>
      <c r="E331" s="383">
        <f t="shared" si="121"/>
        <v>30.589153539284531</v>
      </c>
      <c r="F331" s="383">
        <f t="shared" si="100"/>
        <v>30.590231162794389</v>
      </c>
      <c r="G331" s="110">
        <f t="shared" si="122"/>
        <v>0.90798666054146515</v>
      </c>
      <c r="H331" s="412" t="b">
        <f>Wh_hp&gt;='2019'!Maxi_hp</f>
        <v>1</v>
      </c>
      <c r="I331" s="388">
        <f>IF(H331,Wh_hp,'2019'!Maxi_hp)</f>
        <v>30.590231162794389</v>
      </c>
      <c r="J331" s="85">
        <f>IF(H331,An,'2019'!An_max)</f>
        <v>2020</v>
      </c>
      <c r="K331" s="197">
        <f t="shared" si="101"/>
        <v>44147</v>
      </c>
      <c r="L331" s="147">
        <f>IF(t&lt;Tvie,1-EXP((T0-t)*PertePVj)+'2019'!Pspv,1-EXP((T0-t)*PertePVj)+Pspv)</f>
        <v>1.2398878605091146E-2</v>
      </c>
      <c r="M331" s="832"/>
      <c r="N331" s="832"/>
      <c r="O331" s="48">
        <f>IF(t&lt;Tnet,'2019'!Resal+('2019'!Salim-'2019'!Resal)*(1-EXP(('2019'!Tnet-t)/('2019'!Tau_j))),Resal+(Salim-Resal)*(1-EXP((Tnet-t)/(Tau_j))))*Salcycl</f>
        <v>4.9483222781113625E-2</v>
      </c>
      <c r="P331" s="169">
        <f>(INDEX(Models!$BJ331:$BT331,,T331)*(1-R331)+INDEX(Models!$BJ331:$BT331,,T331+1)*R331-ERP_i)*Q331*Ramure*Pc/MaxiM</f>
        <v>4.0558775059089967E-5</v>
      </c>
      <c r="Q331" s="304">
        <f t="shared" si="102"/>
        <v>0.6</v>
      </c>
      <c r="R331" s="177">
        <f t="shared" si="103"/>
        <v>0.49845627270350579</v>
      </c>
      <c r="S331" s="799">
        <f t="shared" si="104"/>
        <v>-1</v>
      </c>
      <c r="T331" s="176">
        <f t="shared" si="105"/>
        <v>5</v>
      </c>
      <c r="U331" s="250">
        <f t="shared" si="106"/>
        <v>-0.50154372729649421</v>
      </c>
      <c r="V331" s="382">
        <f t="shared" si="107"/>
        <v>31.624745341176215</v>
      </c>
      <c r="W331" s="58"/>
      <c r="X331" s="157">
        <f t="shared" si="108"/>
        <v>44147</v>
      </c>
      <c r="Y331" s="383">
        <f t="shared" si="109"/>
        <v>28.715</v>
      </c>
      <c r="Z331" s="383">
        <f t="shared" si="110"/>
        <v>29.075503640014425</v>
      </c>
      <c r="AA331" s="384">
        <f t="shared" si="111"/>
        <v>30.589153539284531</v>
      </c>
      <c r="AB331" s="197">
        <f t="shared" si="112"/>
        <v>44147</v>
      </c>
      <c r="AC331" s="424">
        <f>IF(OR(t&lt;Tnet,NoTnet),'2019'!Resal_s+('2019'!Salim-'2019'!Resal_s)*(1-EXP(('2019'!Tnet_s-t)/'2019'!Tau_j)),Resal_s+(Salim-Resal_s)*(1-EXP((Tnet_s-t)/Tau_j)))*Salcycl</f>
        <v>4.9483222781113625E-2</v>
      </c>
      <c r="AD331" s="230">
        <f>(INDEX(Models!$BJ331:$BT331,,AH331)*(1-AF331)+INDEX(Models!$BJ331:$BT331,,AH331+1)*AF331-ERP_i)*AE331*Ramure*Pc/MaxiM</f>
        <v>4.0558775059089967E-5</v>
      </c>
      <c r="AE331" s="304">
        <f t="shared" si="113"/>
        <v>0.6</v>
      </c>
      <c r="AF331" s="177">
        <f t="shared" si="114"/>
        <v>0.49845627270350579</v>
      </c>
      <c r="AG331" s="176">
        <f t="shared" si="115"/>
        <v>-1</v>
      </c>
      <c r="AH331" s="176">
        <f t="shared" si="116"/>
        <v>5</v>
      </c>
      <c r="AI331" s="224">
        <f t="shared" si="117"/>
        <v>-0.50154372729649421</v>
      </c>
      <c r="AJ331" s="264" t="b">
        <f t="shared" si="118"/>
        <v>0</v>
      </c>
      <c r="AK331" s="264" t="b">
        <f t="shared" si="119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20"/>
        <v>44148</v>
      </c>
      <c r="B332" s="607">
        <v>18.384</v>
      </c>
      <c r="C332" s="388"/>
      <c r="D332" s="391">
        <f t="shared" si="99"/>
        <v>18.615159433954314</v>
      </c>
      <c r="E332" s="383">
        <f t="shared" si="121"/>
        <v>19.584577376675622</v>
      </c>
      <c r="F332" s="383">
        <f t="shared" si="100"/>
        <v>19.58493615154913</v>
      </c>
      <c r="G332" s="110">
        <f t="shared" si="122"/>
        <v>0.58641364768068549</v>
      </c>
      <c r="H332" s="412" t="b">
        <f>Wh_hp&gt;='2019'!Maxi_hp</f>
        <v>1</v>
      </c>
      <c r="I332" s="388">
        <f>IF(H332,Wh_hp,'2019'!Maxi_hp)</f>
        <v>19.58493615154913</v>
      </c>
      <c r="J332" s="85">
        <f>IF(H332,An,'2019'!An_max)</f>
        <v>2020</v>
      </c>
      <c r="K332" s="197">
        <f t="shared" si="101"/>
        <v>44148</v>
      </c>
      <c r="L332" s="147">
        <f>IF(t&lt;Tvie,1-EXP((T0-t)*PertePVj)+'2019'!Pspv,1-EXP((T0-t)*PertePVj)+Pspv)</f>
        <v>1.2417805755274736E-2</v>
      </c>
      <c r="M332" s="832"/>
      <c r="N332" s="832"/>
      <c r="O332" s="48">
        <f>IF(t&lt;Tnet,'2019'!Resal+('2019'!Salim-'2019'!Resal)*(1-EXP(('2019'!Tnet-t)/('2019'!Tau_j))),Resal+(Salim-Resal)*(1-EXP((Tnet-t)/(Tau_j))))*Salcycl</f>
        <v>4.949904836219951E-2</v>
      </c>
      <c r="P332" s="169">
        <f>(INDEX(Models!$BJ332:$BT332,,T332)*(1-R332)+INDEX(Models!$BJ332:$BT332,,T332+1)*R332-ERP_i)*Q332*Ramure*Pc/MaxiM</f>
        <v>4.4769337913313953E-5</v>
      </c>
      <c r="Q332" s="304">
        <f t="shared" si="102"/>
        <v>0.6</v>
      </c>
      <c r="R332" s="177">
        <f t="shared" si="103"/>
        <v>0.49848930823606752</v>
      </c>
      <c r="S332" s="799">
        <f t="shared" si="104"/>
        <v>-1</v>
      </c>
      <c r="T332" s="176">
        <f t="shared" si="105"/>
        <v>5</v>
      </c>
      <c r="U332" s="250">
        <f t="shared" si="106"/>
        <v>-0.50151069176393248</v>
      </c>
      <c r="V332" s="382">
        <f t="shared" si="107"/>
        <v>31.34905505578298</v>
      </c>
      <c r="W332" s="58"/>
      <c r="X332" s="157">
        <f t="shared" si="108"/>
        <v>44148</v>
      </c>
      <c r="Y332" s="383">
        <f t="shared" si="109"/>
        <v>18.384</v>
      </c>
      <c r="Z332" s="383">
        <f t="shared" si="110"/>
        <v>18.615159433954314</v>
      </c>
      <c r="AA332" s="384">
        <f t="shared" si="111"/>
        <v>19.584577376675622</v>
      </c>
      <c r="AB332" s="197">
        <f t="shared" si="112"/>
        <v>44148</v>
      </c>
      <c r="AC332" s="424">
        <f>IF(OR(t&lt;Tnet,NoTnet),'2019'!Resal_s+('2019'!Salim-'2019'!Resal_s)*(1-EXP(('2019'!Tnet_s-t)/'2019'!Tau_j)),Resal_s+(Salim-Resal_s)*(1-EXP((Tnet_s-t)/Tau_j)))*Salcycl</f>
        <v>4.949904836219951E-2</v>
      </c>
      <c r="AD332" s="230">
        <f>(INDEX(Models!$BJ332:$BT332,,AH332)*(1-AF332)+INDEX(Models!$BJ332:$BT332,,AH332+1)*AF332-ERP_i)*AE332*Ramure*Pc/MaxiM</f>
        <v>4.4769337913313953E-5</v>
      </c>
      <c r="AE332" s="304">
        <f t="shared" si="113"/>
        <v>0.6</v>
      </c>
      <c r="AF332" s="177">
        <f t="shared" si="114"/>
        <v>0.49848930823606752</v>
      </c>
      <c r="AG332" s="176">
        <f t="shared" si="115"/>
        <v>-1</v>
      </c>
      <c r="AH332" s="176">
        <f t="shared" si="116"/>
        <v>5</v>
      </c>
      <c r="AI332" s="224">
        <f t="shared" si="117"/>
        <v>-0.50151069176393248</v>
      </c>
      <c r="AJ332" s="264" t="b">
        <f t="shared" si="118"/>
        <v>0</v>
      </c>
      <c r="AK332" s="264" t="b">
        <f t="shared" si="119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20"/>
        <v>44149</v>
      </c>
      <c r="B333" s="607">
        <v>26.210999999999999</v>
      </c>
      <c r="C333" s="388"/>
      <c r="D333" s="391">
        <f t="shared" si="99"/>
        <v>26.541084367674632</v>
      </c>
      <c r="E333" s="383">
        <f t="shared" si="121"/>
        <v>27.923738923920375</v>
      </c>
      <c r="F333" s="383">
        <f t="shared" si="100"/>
        <v>27.924813714733766</v>
      </c>
      <c r="G333" s="110">
        <f t="shared" si="122"/>
        <v>0.84348707292593583</v>
      </c>
      <c r="H333" s="412" t="b">
        <f>Wh_hp&gt;='2019'!Maxi_hp</f>
        <v>1</v>
      </c>
      <c r="I333" s="388">
        <f>IF(H333,Wh_hp,'2019'!Maxi_hp)</f>
        <v>27.924813714733766</v>
      </c>
      <c r="J333" s="85">
        <f>IF(H333,An,'2019'!An_max)</f>
        <v>2020</v>
      </c>
      <c r="K333" s="197">
        <f t="shared" si="101"/>
        <v>44149</v>
      </c>
      <c r="L333" s="147">
        <f>IF(t&lt;Tvie,1-EXP((T0-t)*PertePVj)+'2019'!Pspv,1-EXP((T0-t)*PertePVj)+Pspv)</f>
        <v>1.2436732542723705E-2</v>
      </c>
      <c r="M333" s="832"/>
      <c r="N333" s="832"/>
      <c r="O333" s="48">
        <f>IF(t&lt;Tnet,'2019'!Resal+('2019'!Salim-'2019'!Resal)*(1-EXP(('2019'!Tnet-t)/('2019'!Tau_j))),Resal+(Salim-Resal)*(1-EXP((Tnet-t)/(Tau_j))))*Salcycl</f>
        <v>4.951538044431858E-2</v>
      </c>
      <c r="P333" s="169">
        <f>(INDEX(Models!$BJ333:$BT333,,T333)*(1-R333)+INDEX(Models!$BJ333:$BT333,,T333+1)*R333-ERP_i)*Q333*Ramure*Pc/MaxiM</f>
        <v>4.957183687181231E-5</v>
      </c>
      <c r="Q333" s="304">
        <f t="shared" si="102"/>
        <v>0.6</v>
      </c>
      <c r="R333" s="177">
        <f t="shared" si="103"/>
        <v>0.49852101776736257</v>
      </c>
      <c r="S333" s="799">
        <f t="shared" si="104"/>
        <v>-1</v>
      </c>
      <c r="T333" s="176">
        <f t="shared" si="105"/>
        <v>5</v>
      </c>
      <c r="U333" s="250">
        <f t="shared" si="106"/>
        <v>-0.50147898223263743</v>
      </c>
      <c r="V333" s="382">
        <f t="shared" si="107"/>
        <v>31.074227846514681</v>
      </c>
      <c r="W333" s="58"/>
      <c r="X333" s="157">
        <f t="shared" si="108"/>
        <v>44149</v>
      </c>
      <c r="Y333" s="383">
        <f t="shared" si="109"/>
        <v>26.210999999999999</v>
      </c>
      <c r="Z333" s="383">
        <f t="shared" si="110"/>
        <v>26.541084367674632</v>
      </c>
      <c r="AA333" s="384">
        <f t="shared" si="111"/>
        <v>27.923738923920375</v>
      </c>
      <c r="AB333" s="197">
        <f t="shared" si="112"/>
        <v>44149</v>
      </c>
      <c r="AC333" s="424">
        <f>IF(OR(t&lt;Tnet,NoTnet),'2019'!Resal_s+('2019'!Salim-'2019'!Resal_s)*(1-EXP(('2019'!Tnet_s-t)/'2019'!Tau_j)),Resal_s+(Salim-Resal_s)*(1-EXP((Tnet_s-t)/Tau_j)))*Salcycl</f>
        <v>4.951538044431858E-2</v>
      </c>
      <c r="AD333" s="230">
        <f>(INDEX(Models!$BJ333:$BT333,,AH333)*(1-AF333)+INDEX(Models!$BJ333:$BT333,,AH333+1)*AF333-ERP_i)*AE333*Ramure*Pc/MaxiM</f>
        <v>4.957183687181231E-5</v>
      </c>
      <c r="AE333" s="304">
        <f t="shared" si="113"/>
        <v>0.6</v>
      </c>
      <c r="AF333" s="177">
        <f t="shared" si="114"/>
        <v>0.49852101776736257</v>
      </c>
      <c r="AG333" s="176">
        <f t="shared" si="115"/>
        <v>-1</v>
      </c>
      <c r="AH333" s="176">
        <f t="shared" si="116"/>
        <v>5</v>
      </c>
      <c r="AI333" s="224">
        <f t="shared" si="117"/>
        <v>-0.50147898223263743</v>
      </c>
      <c r="AJ333" s="264" t="b">
        <f t="shared" si="118"/>
        <v>0</v>
      </c>
      <c r="AK333" s="264" t="b">
        <f t="shared" si="119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20"/>
        <v>44150</v>
      </c>
      <c r="B334" s="607">
        <v>21.856999999999999</v>
      </c>
      <c r="C334" s="388"/>
      <c r="D334" s="391">
        <f t="shared" si="99"/>
        <v>22.132677077716629</v>
      </c>
      <c r="E334" s="383">
        <f t="shared" si="121"/>
        <v>23.286089715840703</v>
      </c>
      <c r="F334" s="383">
        <f t="shared" si="100"/>
        <v>23.286838718633803</v>
      </c>
      <c r="G334" s="110">
        <f t="shared" si="122"/>
        <v>0.70959965308963713</v>
      </c>
      <c r="H334" s="412" t="b">
        <f>Wh_hp&gt;='2019'!Maxi_hp</f>
        <v>1</v>
      </c>
      <c r="I334" s="388">
        <f>IF(H334,Wh_hp,'2019'!Maxi_hp)</f>
        <v>23.286838718633803</v>
      </c>
      <c r="J334" s="85">
        <f>IF(H334,An,'2019'!An_max)</f>
        <v>2020</v>
      </c>
      <c r="K334" s="197">
        <f t="shared" si="101"/>
        <v>44150</v>
      </c>
      <c r="L334" s="147">
        <f>IF(t&lt;Tvie,1-EXP((T0-t)*PertePVj)+'2019'!Pspv,1-EXP((T0-t)*PertePVj)+Pspv)</f>
        <v>1.245565896744516E-2</v>
      </c>
      <c r="M334" s="832"/>
      <c r="N334" s="832"/>
      <c r="O334" s="48">
        <f>IF(t&lt;Tnet,'2019'!Resal+('2019'!Salim-'2019'!Resal)*(1-EXP(('2019'!Tnet-t)/('2019'!Tau_j))),Resal+(Salim-Resal)*(1-EXP((Tnet-t)/(Tau_j))))*Salcycl</f>
        <v>4.953225948191075E-2</v>
      </c>
      <c r="P334" s="169">
        <f>(INDEX(Models!$BJ334:$BT334,,T334)*(1-R334)+INDEX(Models!$BJ334:$BT334,,T334+1)*R334-ERP_i)*Q334*Ramure*Pc/MaxiM</f>
        <v>5.4966009111454215E-5</v>
      </c>
      <c r="Q334" s="304">
        <f t="shared" si="102"/>
        <v>0.6</v>
      </c>
      <c r="R334" s="177">
        <f t="shared" si="103"/>
        <v>0.4985514543628522</v>
      </c>
      <c r="S334" s="799">
        <f t="shared" si="104"/>
        <v>-1</v>
      </c>
      <c r="T334" s="176">
        <f t="shared" si="105"/>
        <v>5</v>
      </c>
      <c r="U334" s="250">
        <f t="shared" si="106"/>
        <v>-0.5014485456371478</v>
      </c>
      <c r="V334" s="382">
        <f t="shared" si="107"/>
        <v>30.801172900667069</v>
      </c>
      <c r="W334" s="58"/>
      <c r="X334" s="157">
        <f t="shared" si="108"/>
        <v>44150</v>
      </c>
      <c r="Y334" s="383">
        <f t="shared" si="109"/>
        <v>21.856999999999999</v>
      </c>
      <c r="Z334" s="383">
        <f t="shared" si="110"/>
        <v>22.132677077716629</v>
      </c>
      <c r="AA334" s="384">
        <f t="shared" si="111"/>
        <v>23.286089715840703</v>
      </c>
      <c r="AB334" s="197">
        <f t="shared" si="112"/>
        <v>44150</v>
      </c>
      <c r="AC334" s="424">
        <f>IF(OR(t&lt;Tnet,NoTnet),'2019'!Resal_s+('2019'!Salim-'2019'!Resal_s)*(1-EXP(('2019'!Tnet_s-t)/'2019'!Tau_j)),Resal_s+(Salim-Resal_s)*(1-EXP((Tnet_s-t)/Tau_j)))*Salcycl</f>
        <v>4.953225948191075E-2</v>
      </c>
      <c r="AD334" s="230">
        <f>(INDEX(Models!$BJ334:$BT334,,AH334)*(1-AF334)+INDEX(Models!$BJ334:$BT334,,AH334+1)*AF334-ERP_i)*AE334*Ramure*Pc/MaxiM</f>
        <v>5.4966009111454215E-5</v>
      </c>
      <c r="AE334" s="304">
        <f t="shared" si="113"/>
        <v>0.6</v>
      </c>
      <c r="AF334" s="177">
        <f t="shared" si="114"/>
        <v>0.4985514543628522</v>
      </c>
      <c r="AG334" s="176">
        <f t="shared" si="115"/>
        <v>-1</v>
      </c>
      <c r="AH334" s="176">
        <f t="shared" si="116"/>
        <v>5</v>
      </c>
      <c r="AI334" s="224">
        <f t="shared" si="117"/>
        <v>-0.5014485456371478</v>
      </c>
      <c r="AJ334" s="264" t="b">
        <f t="shared" si="118"/>
        <v>0</v>
      </c>
      <c r="AK334" s="264" t="b">
        <f t="shared" si="119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20"/>
        <v>44151</v>
      </c>
      <c r="B335" s="607">
        <v>23.312000000000001</v>
      </c>
      <c r="C335" s="388"/>
      <c r="D335" s="391">
        <f t="shared" ref="D335:D379" si="123">Wh/(1-Ppv)</f>
        <v>23.606481055168707</v>
      </c>
      <c r="E335" s="383">
        <f t="shared" si="121"/>
        <v>24.837155232981385</v>
      </c>
      <c r="F335" s="383">
        <f t="shared" ref="F335:F379" si="124">Wh_sa/(1-Pvg*MEDIAN((-Sdif+Wh/Env_an)/Csdif,0,1))</f>
        <v>24.838157791635798</v>
      </c>
      <c r="G335" s="110">
        <f t="shared" si="122"/>
        <v>0.76354109682868176</v>
      </c>
      <c r="H335" s="412" t="b">
        <f>Wh_hp&gt;='2019'!Maxi_hp</f>
        <v>1</v>
      </c>
      <c r="I335" s="388">
        <f>IF(H335,Wh_hp,'2019'!Maxi_hp)</f>
        <v>24.838157791635798</v>
      </c>
      <c r="J335" s="85">
        <f>IF(H335,An,'2019'!An_max)</f>
        <v>2020</v>
      </c>
      <c r="K335" s="197">
        <f t="shared" ref="K335:K379" si="125">t</f>
        <v>44151</v>
      </c>
      <c r="L335" s="147">
        <f>IF(t&lt;Tvie,1-EXP((T0-t)*PertePVj)+'2019'!Pspv,1-EXP((T0-t)*PertePVj)+Pspv)</f>
        <v>1.2474585029445984E-2</v>
      </c>
      <c r="M335" s="832"/>
      <c r="N335" s="832"/>
      <c r="O335" s="48">
        <f>IF(t&lt;Tnet,'2019'!Resal+('2019'!Salim-'2019'!Resal)*(1-EXP(('2019'!Tnet-t)/('2019'!Tau_j))),Resal+(Salim-Resal)*(1-EXP((Tnet-t)/(Tau_j))))*Salcycl</f>
        <v>4.9549723640590661E-2</v>
      </c>
      <c r="P335" s="169">
        <f>(INDEX(Models!$BJ335:$BT335,,T335)*(1-R335)+INDEX(Models!$BJ335:$BT335,,T335+1)*R335-ERP_i)*Q335*Ramure*Pc/MaxiM</f>
        <v>6.0951651287945761E-5</v>
      </c>
      <c r="Q335" s="304">
        <f t="shared" ref="Q335:Q379" si="126">IF(OR(t&lt;Ttai,Notai),Dd+PousD*Croivg,Dens+PousD*(Croivg-Croi_tai))</f>
        <v>0.6</v>
      </c>
      <c r="R335" s="177">
        <f t="shared" ref="R335:R379" si="127">(Hp_vg-S335)/(INDEX(Echel_vg,T335+1)-S335)</f>
        <v>0.49858066897684639</v>
      </c>
      <c r="S335" s="799">
        <f t="shared" ref="S335:S379" si="128">INDEX(Echel_vg,T335)</f>
        <v>-1</v>
      </c>
      <c r="T335" s="176">
        <f t="shared" ref="T335:T379" si="129">MIN(MATCH(Hp_vg,Echel_vg),10)</f>
        <v>5</v>
      </c>
      <c r="U335" s="250">
        <f t="shared" ref="U335:U379" si="130">IF(OR(t&lt;Ttai,Notai),Hdd+PousH*Croivg,Hdtf+PousH*(Croivg-Croi_tai))</f>
        <v>-0.50141933102315361</v>
      </c>
      <c r="V335" s="382">
        <f t="shared" ref="V335:V379" si="131">MaxiM*(1-Ppv)*(1-Pvg)*(1-Psa)</f>
        <v>30.530799363536012</v>
      </c>
      <c r="W335" s="58"/>
      <c r="X335" s="157">
        <f t="shared" ref="X335:X379" si="132">t</f>
        <v>44151</v>
      </c>
      <c r="Y335" s="383">
        <f t="shared" ref="Y335:Y379" si="133">Wh_pvt_s*(1-Ppv)</f>
        <v>23.312000000000001</v>
      </c>
      <c r="Z335" s="383">
        <f t="shared" ref="Z335:Z379" si="134">Wh_sa_s*(1-Psa_s)</f>
        <v>23.606481055168707</v>
      </c>
      <c r="AA335" s="384">
        <f t="shared" ref="AA335:AA379" si="135">Wh_hp*(1-Pvg_s*MEDIAN((-Sdif+Wh/Env_an)/Csdif,0,1))</f>
        <v>24.837155232981385</v>
      </c>
      <c r="AB335" s="197">
        <f t="shared" ref="AB335:AB379" si="136">t</f>
        <v>44151</v>
      </c>
      <c r="AC335" s="424">
        <f>IF(OR(t&lt;Tnet,NoTnet),'2019'!Resal_s+('2019'!Salim-'2019'!Resal_s)*(1-EXP(('2019'!Tnet_s-t)/'2019'!Tau_j)),Resal_s+(Salim-Resal_s)*(1-EXP((Tnet_s-t)/Tau_j)))*Salcycl</f>
        <v>4.9549723640590661E-2</v>
      </c>
      <c r="AD335" s="230">
        <f>(INDEX(Models!$BJ335:$BT335,,AH335)*(1-AF335)+INDEX(Models!$BJ335:$BT335,,AH335+1)*AF335-ERP_i)*AE335*Ramure*Pc/MaxiM</f>
        <v>6.0951651287945761E-5</v>
      </c>
      <c r="AE335" s="304">
        <f t="shared" ref="AE335:AE379" si="137">IF(OR(t&lt;Ttai,Notai),Dd_s+PousD*Croivg,Dens_s+PousD*(Croivg-Croi_tai))</f>
        <v>0.6</v>
      </c>
      <c r="AF335" s="177">
        <f t="shared" ref="AF335:AF379" si="138">(Hp_vg_s-AG335)/(INDEX(Echel_vg,AH335+1)-AG335)</f>
        <v>0.49858066897684639</v>
      </c>
      <c r="AG335" s="176">
        <f t="shared" ref="AG335:AG379" si="139">INDEX(Echel_vg,AH335)</f>
        <v>-1</v>
      </c>
      <c r="AH335" s="176">
        <f t="shared" ref="AH335:AH379" si="140">MIN(MATCH(Hp_vg_s,Echel_vg),10)</f>
        <v>5</v>
      </c>
      <c r="AI335" s="224">
        <f t="shared" ref="AI335:AI379" si="141">IF(OR(t&lt;Ttai,Notai),Hdd_s+PousH*Croivg,Hdtai_s+PousH*(Croivg-Croi_tai))</f>
        <v>-0.50141933102315361</v>
      </c>
      <c r="AJ335" s="264" t="b">
        <f t="shared" ref="AJ335:AJ380" si="142">t&lt;Tnet</f>
        <v>0</v>
      </c>
      <c r="AK335" s="264" t="b">
        <f t="shared" ref="AK335:AK380" si="143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80" si="144">A335+1</f>
        <v>44152</v>
      </c>
      <c r="B336" s="607">
        <v>27.916</v>
      </c>
      <c r="C336" s="388"/>
      <c r="D336" s="391">
        <f t="shared" si="123"/>
        <v>28.269181320115361</v>
      </c>
      <c r="E336" s="383">
        <f t="shared" si="121"/>
        <v>29.74350151107771</v>
      </c>
      <c r="F336" s="383">
        <f t="shared" si="124"/>
        <v>29.745287536442678</v>
      </c>
      <c r="G336" s="110">
        <f t="shared" si="122"/>
        <v>0.92240867019847217</v>
      </c>
      <c r="H336" s="412" t="b">
        <f>Wh_hp&gt;='2019'!Maxi_hp</f>
        <v>1</v>
      </c>
      <c r="I336" s="388">
        <f>IF(H336,Wh_hp,'2019'!Maxi_hp)</f>
        <v>29.745287536442678</v>
      </c>
      <c r="J336" s="85">
        <f>IF(H336,An,'2019'!An_max)</f>
        <v>2020</v>
      </c>
      <c r="K336" s="197">
        <f t="shared" si="125"/>
        <v>44152</v>
      </c>
      <c r="L336" s="147">
        <f>IF(t&lt;Tvie,1-EXP((T0-t)*PertePVj)+'2019'!Pspv,1-EXP((T0-t)*PertePVj)+Pspv)</f>
        <v>1.2493510728733059E-2</v>
      </c>
      <c r="M336" s="832"/>
      <c r="N336" s="832"/>
      <c r="O336" s="48">
        <f>IF(t&lt;Tnet,'2019'!Resal+('2019'!Salim-'2019'!Resal)*(1-EXP(('2019'!Tnet-t)/('2019'!Tau_j))),Resal+(Salim-Resal)*(1-EXP((Tnet-t)/(Tau_j))))*Salcycl</f>
        <v>4.9567808632526057E-2</v>
      </c>
      <c r="P336" s="169">
        <f>(INDEX(Models!$BJ336:$BT336,,T336)*(1-R336)+INDEX(Models!$BJ336:$BT336,,T336+1)*R336-ERP_i)*Q336*Ramure*Pc/MaxiM</f>
        <v>6.7528490169900635E-5</v>
      </c>
      <c r="Q336" s="304">
        <f t="shared" si="126"/>
        <v>0.6</v>
      </c>
      <c r="R336" s="177">
        <f t="shared" si="127"/>
        <v>0.4986087105355097</v>
      </c>
      <c r="S336" s="799">
        <f t="shared" si="128"/>
        <v>-1</v>
      </c>
      <c r="T336" s="176">
        <f t="shared" si="129"/>
        <v>5</v>
      </c>
      <c r="U336" s="250">
        <f t="shared" si="130"/>
        <v>-0.5013912894644903</v>
      </c>
      <c r="V336" s="382">
        <f t="shared" si="131"/>
        <v>30.264016321292377</v>
      </c>
      <c r="W336" s="58"/>
      <c r="X336" s="157">
        <f t="shared" si="132"/>
        <v>44152</v>
      </c>
      <c r="Y336" s="383">
        <f t="shared" si="133"/>
        <v>27.916</v>
      </c>
      <c r="Z336" s="383">
        <f t="shared" si="134"/>
        <v>28.269181320115361</v>
      </c>
      <c r="AA336" s="384">
        <f t="shared" si="135"/>
        <v>29.74350151107771</v>
      </c>
      <c r="AB336" s="197">
        <f t="shared" si="136"/>
        <v>44152</v>
      </c>
      <c r="AC336" s="424">
        <f>IF(OR(t&lt;Tnet,NoTnet),'2019'!Resal_s+('2019'!Salim-'2019'!Resal_s)*(1-EXP(('2019'!Tnet_s-t)/'2019'!Tau_j)),Resal_s+(Salim-Resal_s)*(1-EXP((Tnet_s-t)/Tau_j)))*Salcycl</f>
        <v>4.9567808632526057E-2</v>
      </c>
      <c r="AD336" s="230">
        <f>(INDEX(Models!$BJ336:$BT336,,AH336)*(1-AF336)+INDEX(Models!$BJ336:$BT336,,AH336+1)*AF336-ERP_i)*AE336*Ramure*Pc/MaxiM</f>
        <v>6.7528490169900635E-5</v>
      </c>
      <c r="AE336" s="304">
        <f t="shared" si="137"/>
        <v>0.6</v>
      </c>
      <c r="AF336" s="177">
        <f t="shared" si="138"/>
        <v>0.4986087105355097</v>
      </c>
      <c r="AG336" s="176">
        <f t="shared" si="139"/>
        <v>-1</v>
      </c>
      <c r="AH336" s="176">
        <f t="shared" si="140"/>
        <v>5</v>
      </c>
      <c r="AI336" s="224">
        <f t="shared" si="141"/>
        <v>-0.5013912894644903</v>
      </c>
      <c r="AJ336" s="264" t="b">
        <f t="shared" si="142"/>
        <v>0</v>
      </c>
      <c r="AK336" s="264" t="b">
        <f t="shared" si="143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4"/>
        <v>44153</v>
      </c>
      <c r="B337" s="607">
        <v>29.96</v>
      </c>
      <c r="C337" s="388"/>
      <c r="D337" s="391">
        <f t="shared" si="123"/>
        <v>30.339622587876551</v>
      </c>
      <c r="E337" s="383">
        <f t="shared" si="121"/>
        <v>31.922551717050084</v>
      </c>
      <c r="F337" s="383">
        <f t="shared" si="124"/>
        <v>31.924931644225545</v>
      </c>
      <c r="G337" s="110">
        <f t="shared" si="122"/>
        <v>0.99860883855684746</v>
      </c>
      <c r="H337" s="412" t="b">
        <f>Wh_hp&gt;='2019'!Maxi_hp</f>
        <v>1</v>
      </c>
      <c r="I337" s="388">
        <f>IF(H337,Wh_hp,'2019'!Maxi_hp)</f>
        <v>31.924931644225545</v>
      </c>
      <c r="J337" s="85">
        <f>IF(H337,An,'2019'!An_max)</f>
        <v>2020</v>
      </c>
      <c r="K337" s="197">
        <f t="shared" si="125"/>
        <v>44153</v>
      </c>
      <c r="L337" s="147">
        <f>IF(t&lt;Tvie,1-EXP((T0-t)*PertePVj)+'2019'!Pspv,1-EXP((T0-t)*PertePVj)+Pspv)</f>
        <v>1.2512436065313604E-2</v>
      </c>
      <c r="M337" s="832"/>
      <c r="N337" s="832"/>
      <c r="O337" s="48">
        <f>IF(t&lt;Tnet,'2019'!Resal+('2019'!Salim-'2019'!Resal)*(1-EXP(('2019'!Tnet-t)/('2019'!Tau_j))),Resal+(Salim-Resal)*(1-EXP((Tnet-t)/(Tau_j))))*Salcycl</f>
        <v>4.9586547566875069E-2</v>
      </c>
      <c r="P337" s="169">
        <f>(INDEX(Models!$BJ337:$BT337,,T337)*(1-R337)+INDEX(Models!$BJ337:$BT337,,T337+1)*R337-ERP_i)*Q337*Ramure*Pc/MaxiM</f>
        <v>7.4696037530090246E-5</v>
      </c>
      <c r="Q337" s="304">
        <f t="shared" si="126"/>
        <v>0.6</v>
      </c>
      <c r="R337" s="177">
        <f t="shared" si="127"/>
        <v>0.49863562601668021</v>
      </c>
      <c r="S337" s="799">
        <f t="shared" si="128"/>
        <v>-1</v>
      </c>
      <c r="T337" s="176">
        <f t="shared" si="129"/>
        <v>5</v>
      </c>
      <c r="U337" s="250">
        <f t="shared" si="130"/>
        <v>-0.50136437398331979</v>
      </c>
      <c r="V337" s="382">
        <f t="shared" si="131"/>
        <v>30.001732806520781</v>
      </c>
      <c r="W337" s="58"/>
      <c r="X337" s="157">
        <f t="shared" si="132"/>
        <v>44153</v>
      </c>
      <c r="Y337" s="383">
        <f t="shared" si="133"/>
        <v>29.96</v>
      </c>
      <c r="Z337" s="383">
        <f t="shared" si="134"/>
        <v>30.339622587876551</v>
      </c>
      <c r="AA337" s="384">
        <f t="shared" si="135"/>
        <v>31.922551717050084</v>
      </c>
      <c r="AB337" s="197">
        <f t="shared" si="136"/>
        <v>44153</v>
      </c>
      <c r="AC337" s="424">
        <f>IF(OR(t&lt;Tnet,NoTnet),'2019'!Resal_s+('2019'!Salim-'2019'!Resal_s)*(1-EXP(('2019'!Tnet_s-t)/'2019'!Tau_j)),Resal_s+(Salim-Resal_s)*(1-EXP((Tnet_s-t)/Tau_j)))*Salcycl</f>
        <v>4.9586547566875069E-2</v>
      </c>
      <c r="AD337" s="230">
        <f>(INDEX(Models!$BJ337:$BT337,,AH337)*(1-AF337)+INDEX(Models!$BJ337:$BT337,,AH337+1)*AF337-ERP_i)*AE337*Ramure*Pc/MaxiM</f>
        <v>7.4696037530090246E-5</v>
      </c>
      <c r="AE337" s="304">
        <f t="shared" si="137"/>
        <v>0.6</v>
      </c>
      <c r="AF337" s="177">
        <f t="shared" si="138"/>
        <v>0.49863562601668021</v>
      </c>
      <c r="AG337" s="176">
        <f t="shared" si="139"/>
        <v>-1</v>
      </c>
      <c r="AH337" s="176">
        <f t="shared" si="140"/>
        <v>5</v>
      </c>
      <c r="AI337" s="224">
        <f t="shared" si="141"/>
        <v>-0.50136437398331979</v>
      </c>
      <c r="AJ337" s="264" t="b">
        <f t="shared" si="142"/>
        <v>0</v>
      </c>
      <c r="AK337" s="264" t="b">
        <f t="shared" si="143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4"/>
        <v>44154</v>
      </c>
      <c r="B338" s="607">
        <v>8.2260000000000009</v>
      </c>
      <c r="C338" s="388"/>
      <c r="D338" s="391">
        <f t="shared" si="123"/>
        <v>8.3303911389600138</v>
      </c>
      <c r="E338" s="383">
        <f t="shared" si="121"/>
        <v>8.7651972583574391</v>
      </c>
      <c r="F338" s="383">
        <f t="shared" si="124"/>
        <v>8.7651972583574391</v>
      </c>
      <c r="G338" s="110">
        <f t="shared" si="122"/>
        <v>0.27652920038480594</v>
      </c>
      <c r="H338" s="412" t="b">
        <f>Wh_hp&gt;='2019'!Maxi_hp</f>
        <v>0</v>
      </c>
      <c r="I338" s="388">
        <f>IF(H338,Wh_hp,'2019'!Maxi_hp)</f>
        <v>32.554516773217912</v>
      </c>
      <c r="J338" s="85">
        <f>IF(H338,An,'2019'!An_max)</f>
        <v>2018</v>
      </c>
      <c r="K338" s="197">
        <f t="shared" si="125"/>
        <v>44154</v>
      </c>
      <c r="L338" s="147">
        <f>IF(t&lt;Tvie,1-EXP((T0-t)*PertePVj)+'2019'!Pspv,1-EXP((T0-t)*PertePVj)+Pspv)</f>
        <v>1.2531361039194278E-2</v>
      </c>
      <c r="M338" s="832"/>
      <c r="N338" s="832"/>
      <c r="O338" s="48">
        <f>IF(t&lt;Tnet,'2019'!Resal+('2019'!Salim-'2019'!Resal)*(1-EXP(('2019'!Tnet-t)/('2019'!Tau_j))),Resal+(Salim-Resal)*(1-EXP((Tnet-t)/(Tau_j))))*Salcycl</f>
        <v>4.9605970816326714E-2</v>
      </c>
      <c r="P338" s="169">
        <f>(INDEX(Models!$BJ338:$BT338,,T338)*(1-R338)+INDEX(Models!$BJ338:$BT338,,T338+1)*R338-ERP_i)*Q338*Ramure*Pc/MaxiM</f>
        <v>8.2400706363736082E-5</v>
      </c>
      <c r="Q338" s="304">
        <f t="shared" si="126"/>
        <v>0.6</v>
      </c>
      <c r="R338" s="177">
        <f t="shared" si="127"/>
        <v>0.4986614605266193</v>
      </c>
      <c r="S338" s="799">
        <f t="shared" si="128"/>
        <v>-1</v>
      </c>
      <c r="T338" s="176">
        <f t="shared" si="129"/>
        <v>5</v>
      </c>
      <c r="U338" s="250">
        <f t="shared" si="130"/>
        <v>-0.5013385394733807</v>
      </c>
      <c r="V338" s="382">
        <f t="shared" si="131"/>
        <v>29.744859350634414</v>
      </c>
      <c r="W338" s="58"/>
      <c r="X338" s="157">
        <f t="shared" si="132"/>
        <v>44154</v>
      </c>
      <c r="Y338" s="383">
        <f t="shared" si="133"/>
        <v>8.2260000000000009</v>
      </c>
      <c r="Z338" s="383">
        <f t="shared" si="134"/>
        <v>8.3303911389600138</v>
      </c>
      <c r="AA338" s="384">
        <f t="shared" si="135"/>
        <v>8.7651972583574391</v>
      </c>
      <c r="AB338" s="197">
        <f t="shared" si="136"/>
        <v>44154</v>
      </c>
      <c r="AC338" s="424">
        <f>IF(OR(t&lt;Tnet,NoTnet),'2019'!Resal_s+('2019'!Salim-'2019'!Resal_s)*(1-EXP(('2019'!Tnet_s-t)/'2019'!Tau_j)),Resal_s+(Salim-Resal_s)*(1-EXP((Tnet_s-t)/Tau_j)))*Salcycl</f>
        <v>4.9605970816326714E-2</v>
      </c>
      <c r="AD338" s="230">
        <f>(INDEX(Models!$BJ338:$BT338,,AH338)*(1-AF338)+INDEX(Models!$BJ338:$BT338,,AH338+1)*AF338-ERP_i)*AE338*Ramure*Pc/MaxiM</f>
        <v>8.2400706363736082E-5</v>
      </c>
      <c r="AE338" s="304">
        <f t="shared" si="137"/>
        <v>0.6</v>
      </c>
      <c r="AF338" s="177">
        <f t="shared" si="138"/>
        <v>0.4986614605266193</v>
      </c>
      <c r="AG338" s="176">
        <f t="shared" si="139"/>
        <v>-1</v>
      </c>
      <c r="AH338" s="176">
        <f t="shared" si="140"/>
        <v>5</v>
      </c>
      <c r="AI338" s="224">
        <f t="shared" si="141"/>
        <v>-0.5013385394733807</v>
      </c>
      <c r="AJ338" s="264" t="b">
        <f t="shared" si="142"/>
        <v>0</v>
      </c>
      <c r="AK338" s="264" t="b">
        <f t="shared" si="143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4"/>
        <v>44155</v>
      </c>
      <c r="B339" s="607">
        <v>20.466000000000001</v>
      </c>
      <c r="C339" s="388"/>
      <c r="D339" s="391">
        <f t="shared" si="123"/>
        <v>20.726118710237209</v>
      </c>
      <c r="E339" s="383">
        <f t="shared" si="121"/>
        <v>21.8083838780938</v>
      </c>
      <c r="F339" s="383">
        <f t="shared" si="124"/>
        <v>21.809492242035383</v>
      </c>
      <c r="G339" s="110">
        <f t="shared" si="122"/>
        <v>0.69386904083633327</v>
      </c>
      <c r="H339" s="412" t="b">
        <f>Wh_hp&gt;='2019'!Maxi_hp</f>
        <v>0</v>
      </c>
      <c r="I339" s="388">
        <f>IF(H339,Wh_hp,'2019'!Maxi_hp)</f>
        <v>29.917682231011785</v>
      </c>
      <c r="J339" s="85">
        <f>IF(H339,An,'2019'!An_max)</f>
        <v>2018</v>
      </c>
      <c r="K339" s="197">
        <f t="shared" si="125"/>
        <v>44155</v>
      </c>
      <c r="L339" s="147">
        <f>IF(t&lt;Tvie,1-EXP((T0-t)*PertePVj)+'2019'!Pspv,1-EXP((T0-t)*PertePVj)+Pspv)</f>
        <v>1.2550285650382187E-2</v>
      </c>
      <c r="M339" s="832"/>
      <c r="N339" s="832"/>
      <c r="O339" s="48">
        <f>IF(t&lt;Tnet,'2019'!Resal+('2019'!Salim-'2019'!Resal)*(1-EXP(('2019'!Tnet-t)/('2019'!Tau_j))),Resal+(Salim-Resal)*(1-EXP((Tnet-t)/(Tau_j))))*Salcycl</f>
        <v>4.9626105900662847E-2</v>
      </c>
      <c r="P339" s="169">
        <f>(INDEX(Models!$BJ339:$BT339,,T339)*(1-R339)+INDEX(Models!$BJ339:$BT339,,T339+1)*R339-ERP_i)*Q339*Ramure*Pc/MaxiM</f>
        <v>9.0313528640964026E-5</v>
      </c>
      <c r="Q339" s="304">
        <f t="shared" si="126"/>
        <v>0.6</v>
      </c>
      <c r="R339" s="177">
        <f t="shared" si="127"/>
        <v>0.49868625737380445</v>
      </c>
      <c r="S339" s="799">
        <f t="shared" si="128"/>
        <v>-1</v>
      </c>
      <c r="T339" s="176">
        <f t="shared" si="129"/>
        <v>5</v>
      </c>
      <c r="U339" s="250">
        <f t="shared" si="130"/>
        <v>-0.50131374262619555</v>
      </c>
      <c r="V339" s="382">
        <f t="shared" si="131"/>
        <v>29.494314467325747</v>
      </c>
      <c r="W339" s="58"/>
      <c r="X339" s="157">
        <f t="shared" si="132"/>
        <v>44155</v>
      </c>
      <c r="Y339" s="383">
        <f t="shared" si="133"/>
        <v>20.466000000000001</v>
      </c>
      <c r="Z339" s="383">
        <f t="shared" si="134"/>
        <v>20.726118710237209</v>
      </c>
      <c r="AA339" s="384">
        <f t="shared" si="135"/>
        <v>21.8083838780938</v>
      </c>
      <c r="AB339" s="197">
        <f t="shared" si="136"/>
        <v>44155</v>
      </c>
      <c r="AC339" s="424">
        <f>IF(OR(t&lt;Tnet,NoTnet),'2019'!Resal_s+('2019'!Salim-'2019'!Resal_s)*(1-EXP(('2019'!Tnet_s-t)/'2019'!Tau_j)),Resal_s+(Salim-Resal_s)*(1-EXP((Tnet_s-t)/Tau_j)))*Salcycl</f>
        <v>4.9626105900662847E-2</v>
      </c>
      <c r="AD339" s="230">
        <f>(INDEX(Models!$BJ339:$BT339,,AH339)*(1-AF339)+INDEX(Models!$BJ339:$BT339,,AH339+1)*AF339-ERP_i)*AE339*Ramure*Pc/MaxiM</f>
        <v>9.0313528640964026E-5</v>
      </c>
      <c r="AE339" s="304">
        <f t="shared" si="137"/>
        <v>0.6</v>
      </c>
      <c r="AF339" s="177">
        <f t="shared" si="138"/>
        <v>0.49868625737380445</v>
      </c>
      <c r="AG339" s="176">
        <f t="shared" si="139"/>
        <v>-1</v>
      </c>
      <c r="AH339" s="176">
        <f t="shared" si="140"/>
        <v>5</v>
      </c>
      <c r="AI339" s="224">
        <f t="shared" si="141"/>
        <v>-0.50131374262619555</v>
      </c>
      <c r="AJ339" s="264" t="b">
        <f t="shared" si="142"/>
        <v>0</v>
      </c>
      <c r="AK339" s="264" t="b">
        <f t="shared" si="143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4"/>
        <v>44156</v>
      </c>
      <c r="B340" s="607">
        <v>30.091000000000001</v>
      </c>
      <c r="C340" s="388"/>
      <c r="D340" s="391">
        <f t="shared" si="123"/>
        <v>30.474034536555816</v>
      </c>
      <c r="E340" s="383">
        <f t="shared" si="121"/>
        <v>32.066015271676008</v>
      </c>
      <c r="F340" s="383">
        <f t="shared" si="124"/>
        <v>32.069171926586371</v>
      </c>
      <c r="G340" s="110">
        <f t="shared" si="122"/>
        <v>1.0287167323576156</v>
      </c>
      <c r="H340" s="412" t="b">
        <f>Wh_hp&gt;='2019'!Maxi_hp</f>
        <v>1</v>
      </c>
      <c r="I340" s="388">
        <f>IF(H340,Wh_hp,'2019'!Maxi_hp)</f>
        <v>32.069171926586371</v>
      </c>
      <c r="J340" s="85">
        <f>IF(H340,An,'2019'!An_max)</f>
        <v>2020</v>
      </c>
      <c r="K340" s="197">
        <f t="shared" si="125"/>
        <v>44156</v>
      </c>
      <c r="L340" s="147">
        <f>IF(t&lt;Tvie,1-EXP((T0-t)*PertePVj)+'2019'!Pspv,1-EXP((T0-t)*PertePVj)+Pspv)</f>
        <v>1.2569209898884215E-2</v>
      </c>
      <c r="M340" s="832"/>
      <c r="N340" s="832"/>
      <c r="O340" s="48">
        <f>IF(t&lt;Tnet,'2019'!Resal+('2019'!Salim-'2019'!Resal)*(1-EXP(('2019'!Tnet-t)/('2019'!Tau_j))),Resal+(Salim-Resal)*(1-EXP((Tnet-t)/(Tau_j))))*Salcycl</f>
        <v>4.9646977388125603E-2</v>
      </c>
      <c r="P340" s="169">
        <f>(INDEX(Models!$BJ340:$BT340,,T340)*(1-R340)+INDEX(Models!$BJ340:$BT340,,T340+1)*R340-ERP_i)*Q340*Ramure*Pc/MaxiM</f>
        <v>9.8432691607742696E-5</v>
      </c>
      <c r="Q340" s="304">
        <f t="shared" si="126"/>
        <v>0.6</v>
      </c>
      <c r="R340" s="177">
        <f t="shared" si="127"/>
        <v>0.49871005813987301</v>
      </c>
      <c r="S340" s="799">
        <f t="shared" si="128"/>
        <v>-1</v>
      </c>
      <c r="T340" s="176">
        <f t="shared" si="129"/>
        <v>5</v>
      </c>
      <c r="U340" s="250">
        <f t="shared" si="130"/>
        <v>-0.50128994186012699</v>
      </c>
      <c r="V340" s="382">
        <f t="shared" si="131"/>
        <v>29.251006670259333</v>
      </c>
      <c r="W340" s="58"/>
      <c r="X340" s="157">
        <f t="shared" si="132"/>
        <v>44156</v>
      </c>
      <c r="Y340" s="383">
        <f t="shared" si="133"/>
        <v>30.091000000000005</v>
      </c>
      <c r="Z340" s="383">
        <f t="shared" si="134"/>
        <v>30.47403453655582</v>
      </c>
      <c r="AA340" s="384">
        <f t="shared" si="135"/>
        <v>32.066015271676008</v>
      </c>
      <c r="AB340" s="197">
        <f t="shared" si="136"/>
        <v>44156</v>
      </c>
      <c r="AC340" s="424">
        <f>IF(OR(t&lt;Tnet,NoTnet),'2019'!Resal_s+('2019'!Salim-'2019'!Resal_s)*(1-EXP(('2019'!Tnet_s-t)/'2019'!Tau_j)),Resal_s+(Salim-Resal_s)*(1-EXP((Tnet_s-t)/Tau_j)))*Salcycl</f>
        <v>4.9646977388125603E-2</v>
      </c>
      <c r="AD340" s="230">
        <f>(INDEX(Models!$BJ340:$BT340,,AH340)*(1-AF340)+INDEX(Models!$BJ340:$BT340,,AH340+1)*AF340-ERP_i)*AE340*Ramure*Pc/MaxiM</f>
        <v>9.8432691607742696E-5</v>
      </c>
      <c r="AE340" s="304">
        <f t="shared" si="137"/>
        <v>0.6</v>
      </c>
      <c r="AF340" s="177">
        <f t="shared" si="138"/>
        <v>0.49871005813987301</v>
      </c>
      <c r="AG340" s="176">
        <f t="shared" si="139"/>
        <v>-1</v>
      </c>
      <c r="AH340" s="176">
        <f t="shared" si="140"/>
        <v>5</v>
      </c>
      <c r="AI340" s="224">
        <f t="shared" si="141"/>
        <v>-0.50128994186012699</v>
      </c>
      <c r="AJ340" s="264" t="b">
        <f t="shared" si="142"/>
        <v>0</v>
      </c>
      <c r="AK340" s="264" t="b">
        <f t="shared" si="143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4"/>
        <v>44157</v>
      </c>
      <c r="B341" s="607">
        <v>30.352</v>
      </c>
      <c r="C341" s="388"/>
      <c r="D341" s="391">
        <f t="shared" si="123"/>
        <v>30.738945964198216</v>
      </c>
      <c r="E341" s="383">
        <f t="shared" si="121"/>
        <v>32.345501984508132</v>
      </c>
      <c r="F341" s="383">
        <f t="shared" si="124"/>
        <v>32.348955390885784</v>
      </c>
      <c r="G341" s="110">
        <f t="shared" si="122"/>
        <v>1.0460491709917212</v>
      </c>
      <c r="H341" s="412" t="b">
        <f>Wh_hp&gt;='2019'!Maxi_hp</f>
        <v>1</v>
      </c>
      <c r="I341" s="388">
        <f>IF(H341,Wh_hp,'2019'!Maxi_hp)</f>
        <v>32.348955390885784</v>
      </c>
      <c r="J341" s="85">
        <f>IF(H341,An,'2019'!An_max)</f>
        <v>2020</v>
      </c>
      <c r="K341" s="197">
        <f t="shared" si="125"/>
        <v>44157</v>
      </c>
      <c r="L341" s="147">
        <f>IF(t&lt;Tvie,1-EXP((T0-t)*PertePVj)+'2019'!Pspv,1-EXP((T0-t)*PertePVj)+Pspv)</f>
        <v>1.2588133784707245E-2</v>
      </c>
      <c r="M341" s="832"/>
      <c r="N341" s="832"/>
      <c r="O341" s="48">
        <f>IF(t&lt;Tnet,'2019'!Resal+('2019'!Salim-'2019'!Resal)*(1-EXP(('2019'!Tnet-t)/('2019'!Tau_j))),Resal+(Salim-Resal)*(1-EXP((Tnet-t)/(Tau_j))))*Salcycl</f>
        <v>4.9668606815234308E-2</v>
      </c>
      <c r="P341" s="169">
        <f>(INDEX(Models!$BJ341:$BT341,,T341)*(1-R341)+INDEX(Models!$BJ341:$BT341,,T341+1)*R341-ERP_i)*Q341*Ramure*Pc/MaxiM</f>
        <v>1.0675480354522019E-4</v>
      </c>
      <c r="Q341" s="304">
        <f t="shared" si="126"/>
        <v>0.6</v>
      </c>
      <c r="R341" s="177">
        <f t="shared" si="127"/>
        <v>0.49873290274782267</v>
      </c>
      <c r="S341" s="799">
        <f t="shared" si="128"/>
        <v>-1</v>
      </c>
      <c r="T341" s="176">
        <f t="shared" si="129"/>
        <v>5</v>
      </c>
      <c r="U341" s="250">
        <f t="shared" si="130"/>
        <v>-0.50126709725217733</v>
      </c>
      <c r="V341" s="382">
        <f t="shared" si="131"/>
        <v>29.015844418885568</v>
      </c>
      <c r="W341" s="58"/>
      <c r="X341" s="157">
        <f t="shared" si="132"/>
        <v>44157</v>
      </c>
      <c r="Y341" s="383">
        <f t="shared" si="133"/>
        <v>30.352</v>
      </c>
      <c r="Z341" s="383">
        <f t="shared" si="134"/>
        <v>30.738945964198216</v>
      </c>
      <c r="AA341" s="384">
        <f t="shared" si="135"/>
        <v>32.345501984508132</v>
      </c>
      <c r="AB341" s="197">
        <f t="shared" si="136"/>
        <v>44157</v>
      </c>
      <c r="AC341" s="424">
        <f>IF(OR(t&lt;Tnet,NoTnet),'2019'!Resal_s+('2019'!Salim-'2019'!Resal_s)*(1-EXP(('2019'!Tnet_s-t)/'2019'!Tau_j)),Resal_s+(Salim-Resal_s)*(1-EXP((Tnet_s-t)/Tau_j)))*Salcycl</f>
        <v>4.9668606815234308E-2</v>
      </c>
      <c r="AD341" s="230">
        <f>(INDEX(Models!$BJ341:$BT341,,AH341)*(1-AF341)+INDEX(Models!$BJ341:$BT341,,AH341+1)*AF341-ERP_i)*AE341*Ramure*Pc/MaxiM</f>
        <v>1.0675480354522019E-4</v>
      </c>
      <c r="AE341" s="304">
        <f t="shared" si="137"/>
        <v>0.6</v>
      </c>
      <c r="AF341" s="177">
        <f t="shared" si="138"/>
        <v>0.49873290274782267</v>
      </c>
      <c r="AG341" s="176">
        <f t="shared" si="139"/>
        <v>-1</v>
      </c>
      <c r="AH341" s="176">
        <f t="shared" si="140"/>
        <v>5</v>
      </c>
      <c r="AI341" s="224">
        <f t="shared" si="141"/>
        <v>-0.50126709725217733</v>
      </c>
      <c r="AJ341" s="264" t="b">
        <f t="shared" si="142"/>
        <v>0</v>
      </c>
      <c r="AK341" s="264" t="b">
        <f t="shared" si="143"/>
        <v>0</v>
      </c>
      <c r="AL341" s="264"/>
      <c r="AM341" s="264"/>
      <c r="AN341" s="75"/>
    </row>
    <row r="342" spans="1:40" s="6" customFormat="1" ht="11.25" x14ac:dyDescent="0.2">
      <c r="A342" s="56">
        <f t="shared" si="144"/>
        <v>44158</v>
      </c>
      <c r="B342" s="607">
        <v>28.109000000000002</v>
      </c>
      <c r="C342" s="388"/>
      <c r="D342" s="391">
        <f t="shared" si="123"/>
        <v>28.467896401366204</v>
      </c>
      <c r="E342" s="383">
        <f t="shared" si="121"/>
        <v>29.956463402517514</v>
      </c>
      <c r="F342" s="383">
        <f t="shared" si="124"/>
        <v>29.959800379951087</v>
      </c>
      <c r="G342" s="110">
        <f t="shared" si="122"/>
        <v>0.97635110166418571</v>
      </c>
      <c r="H342" s="412" t="b">
        <f>Wh_hp&gt;='2019'!Maxi_hp</f>
        <v>1</v>
      </c>
      <c r="I342" s="388">
        <f>IF(H342,Wh_hp,'2019'!Maxi_hp)</f>
        <v>29.959800379951087</v>
      </c>
      <c r="J342" s="85">
        <f>IF(H342,An,'2019'!An_max)</f>
        <v>2020</v>
      </c>
      <c r="K342" s="197">
        <f t="shared" si="125"/>
        <v>44158</v>
      </c>
      <c r="L342" s="147">
        <f>IF(t&lt;Tvie,1-EXP((T0-t)*PertePVj)+'2019'!Pspv,1-EXP((T0-t)*PertePVj)+Pspv)</f>
        <v>1.2607057307858494E-2</v>
      </c>
      <c r="M342" s="832"/>
      <c r="N342" s="832"/>
      <c r="O342" s="48">
        <f>IF(t&lt;Tnet,'2019'!Resal+('2019'!Salim-'2019'!Resal)*(1-EXP(('2019'!Tnet-t)/('2019'!Tau_j))),Resal+(Salim-Resal)*(1-EXP((Tnet-t)/(Tau_j))))*Salcycl</f>
        <v>4.9691012625549494E-2</v>
      </c>
      <c r="P342" s="169">
        <f>(INDEX(Models!$BJ342:$BT342,,T342)*(1-R342)+INDEX(Models!$BJ342:$BT342,,T342+1)*R342-ERP_i)*Q342*Ramure*Pc/MaxiM</f>
        <v>1.1527569550593831E-4</v>
      </c>
      <c r="Q342" s="304">
        <f t="shared" si="126"/>
        <v>0.6</v>
      </c>
      <c r="R342" s="177">
        <f t="shared" si="127"/>
        <v>0.49875482952757078</v>
      </c>
      <c r="S342" s="799">
        <f t="shared" si="128"/>
        <v>-1</v>
      </c>
      <c r="T342" s="176">
        <f t="shared" si="129"/>
        <v>5</v>
      </c>
      <c r="U342" s="250">
        <f t="shared" si="130"/>
        <v>-0.50124517047242922</v>
      </c>
      <c r="V342" s="382">
        <f t="shared" si="131"/>
        <v>28.789736076774975</v>
      </c>
      <c r="W342" s="58"/>
      <c r="X342" s="157">
        <f t="shared" si="132"/>
        <v>44158</v>
      </c>
      <c r="Y342" s="383">
        <f t="shared" si="133"/>
        <v>28.109000000000002</v>
      </c>
      <c r="Z342" s="383">
        <f t="shared" si="134"/>
        <v>28.467896401366204</v>
      </c>
      <c r="AA342" s="384">
        <f t="shared" si="135"/>
        <v>29.956463402517514</v>
      </c>
      <c r="AB342" s="197">
        <f t="shared" si="136"/>
        <v>44158</v>
      </c>
      <c r="AC342" s="424">
        <f>IF(OR(t&lt;Tnet,NoTnet),'2019'!Resal_s+('2019'!Salim-'2019'!Resal_s)*(1-EXP(('2019'!Tnet_s-t)/'2019'!Tau_j)),Resal_s+(Salim-Resal_s)*(1-EXP((Tnet_s-t)/Tau_j)))*Salcycl</f>
        <v>4.9691012625549494E-2</v>
      </c>
      <c r="AD342" s="230">
        <f>(INDEX(Models!$BJ342:$BT342,,AH342)*(1-AF342)+INDEX(Models!$BJ342:$BT342,,AH342+1)*AF342-ERP_i)*AE342*Ramure*Pc/MaxiM</f>
        <v>1.1527569550593831E-4</v>
      </c>
      <c r="AE342" s="304">
        <f t="shared" si="137"/>
        <v>0.6</v>
      </c>
      <c r="AF342" s="177">
        <f t="shared" si="138"/>
        <v>0.49875482952757078</v>
      </c>
      <c r="AG342" s="176">
        <f t="shared" si="139"/>
        <v>-1</v>
      </c>
      <c r="AH342" s="176">
        <f t="shared" si="140"/>
        <v>5</v>
      </c>
      <c r="AI342" s="224">
        <f t="shared" si="141"/>
        <v>-0.50124517047242922</v>
      </c>
      <c r="AJ342" s="264" t="b">
        <f t="shared" si="142"/>
        <v>0</v>
      </c>
      <c r="AK342" s="264" t="b">
        <f t="shared" si="143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4"/>
        <v>44159</v>
      </c>
      <c r="B343" s="607">
        <v>27.239000000000001</v>
      </c>
      <c r="C343" s="388"/>
      <c r="D343" s="391">
        <f t="shared" si="123"/>
        <v>27.587316924664851</v>
      </c>
      <c r="E343" s="383">
        <f t="shared" si="121"/>
        <v>29.030547671740898</v>
      </c>
      <c r="F343" s="383">
        <f t="shared" si="124"/>
        <v>29.033907399331543</v>
      </c>
      <c r="G343" s="110">
        <f t="shared" si="122"/>
        <v>0.95328499911927389</v>
      </c>
      <c r="H343" s="412" t="b">
        <f>Wh_hp&gt;='2019'!Maxi_hp</f>
        <v>1</v>
      </c>
      <c r="I343" s="388">
        <f>IF(H343,Wh_hp,'2019'!Maxi_hp)</f>
        <v>29.033907399331543</v>
      </c>
      <c r="J343" s="85">
        <f>IF(H343,An,'2019'!An_max)</f>
        <v>2020</v>
      </c>
      <c r="K343" s="197">
        <f t="shared" si="125"/>
        <v>44159</v>
      </c>
      <c r="L343" s="147">
        <f>IF(t&lt;Tvie,1-EXP((T0-t)*PertePVj)+'2019'!Pspv,1-EXP((T0-t)*PertePVj)+Pspv)</f>
        <v>1.2625980468344622E-2</v>
      </c>
      <c r="M343" s="832"/>
      <c r="N343" s="832"/>
      <c r="O343" s="48">
        <f>IF(t&lt;Tnet,'2019'!Resal+('2019'!Salim-'2019'!Resal)*(1-EXP(('2019'!Tnet-t)/('2019'!Tau_j))),Resal+(Salim-Resal)*(1-EXP((Tnet-t)/(Tau_j))))*Salcycl</f>
        <v>4.9714210127731258E-2</v>
      </c>
      <c r="P343" s="169">
        <f>(INDEX(Models!$BJ343:$BT343,,T343)*(1-R343)+INDEX(Models!$BJ343:$BT343,,T343+1)*R343-ERP_i)*Q343*Ramure*Pc/MaxiM</f>
        <v>1.2399057927698471E-4</v>
      </c>
      <c r="Q343" s="304">
        <f t="shared" si="126"/>
        <v>0.6</v>
      </c>
      <c r="R343" s="177">
        <f t="shared" si="127"/>
        <v>0.49877587527896805</v>
      </c>
      <c r="S343" s="799">
        <f t="shared" si="128"/>
        <v>-1</v>
      </c>
      <c r="T343" s="176">
        <f t="shared" si="129"/>
        <v>5</v>
      </c>
      <c r="U343" s="250">
        <f t="shared" si="130"/>
        <v>-0.50122412472103195</v>
      </c>
      <c r="V343" s="382">
        <f t="shared" si="131"/>
        <v>28.573589897367253</v>
      </c>
      <c r="W343" s="58"/>
      <c r="X343" s="157">
        <f t="shared" si="132"/>
        <v>44159</v>
      </c>
      <c r="Y343" s="383">
        <f t="shared" si="133"/>
        <v>27.239000000000001</v>
      </c>
      <c r="Z343" s="383">
        <f t="shared" si="134"/>
        <v>27.587316924664851</v>
      </c>
      <c r="AA343" s="384">
        <f t="shared" si="135"/>
        <v>29.030547671740898</v>
      </c>
      <c r="AB343" s="197">
        <f t="shared" si="136"/>
        <v>44159</v>
      </c>
      <c r="AC343" s="424">
        <f>IF(OR(t&lt;Tnet,NoTnet),'2019'!Resal_s+('2019'!Salim-'2019'!Resal_s)*(1-EXP(('2019'!Tnet_s-t)/'2019'!Tau_j)),Resal_s+(Salim-Resal_s)*(1-EXP((Tnet_s-t)/Tau_j)))*Salcycl</f>
        <v>4.9714210127731258E-2</v>
      </c>
      <c r="AD343" s="230">
        <f>(INDEX(Models!$BJ343:$BT343,,AH343)*(1-AF343)+INDEX(Models!$BJ343:$BT343,,AH343+1)*AF343-ERP_i)*AE343*Ramure*Pc/MaxiM</f>
        <v>1.2399057927698471E-4</v>
      </c>
      <c r="AE343" s="304">
        <f t="shared" si="137"/>
        <v>0.6</v>
      </c>
      <c r="AF343" s="177">
        <f t="shared" si="138"/>
        <v>0.49877587527896805</v>
      </c>
      <c r="AG343" s="176">
        <f t="shared" si="139"/>
        <v>-1</v>
      </c>
      <c r="AH343" s="176">
        <f t="shared" si="140"/>
        <v>5</v>
      </c>
      <c r="AI343" s="224">
        <f t="shared" si="141"/>
        <v>-0.50122412472103195</v>
      </c>
      <c r="AJ343" s="264" t="b">
        <f t="shared" si="142"/>
        <v>0</v>
      </c>
      <c r="AK343" s="264" t="b">
        <f t="shared" si="143"/>
        <v>0</v>
      </c>
      <c r="AL343" s="264"/>
      <c r="AM343" s="264"/>
      <c r="AN343" s="75"/>
    </row>
    <row r="344" spans="1:40" s="6" customFormat="1" ht="11.25" x14ac:dyDescent="0.2">
      <c r="A344" s="56">
        <f t="shared" si="144"/>
        <v>44160</v>
      </c>
      <c r="B344" s="607">
        <v>27.071999999999999</v>
      </c>
      <c r="C344" s="388"/>
      <c r="D344" s="391">
        <f t="shared" si="123"/>
        <v>27.418706896388372</v>
      </c>
      <c r="E344" s="383">
        <f t="shared" si="121"/>
        <v>28.853845569116885</v>
      </c>
      <c r="F344" s="383">
        <f t="shared" si="124"/>
        <v>28.857430187211506</v>
      </c>
      <c r="G344" s="110">
        <f t="shared" si="122"/>
        <v>0.95429587749829425</v>
      </c>
      <c r="H344" s="412" t="b">
        <f>Wh_hp&gt;='2019'!Maxi_hp</f>
        <v>1</v>
      </c>
      <c r="I344" s="388">
        <f>IF(H344,Wh_hp,'2019'!Maxi_hp)</f>
        <v>28.857430187211506</v>
      </c>
      <c r="J344" s="85">
        <f>IF(H344,An,'2019'!An_max)</f>
        <v>2020</v>
      </c>
      <c r="K344" s="197">
        <f t="shared" si="125"/>
        <v>44160</v>
      </c>
      <c r="L344" s="147">
        <f>IF(t&lt;Tvie,1-EXP((T0-t)*PertePVj)+'2019'!Pspv,1-EXP((T0-t)*PertePVj)+Pspv)</f>
        <v>1.2644903266172736E-2</v>
      </c>
      <c r="M344" s="832"/>
      <c r="N344" s="832"/>
      <c r="O344" s="48">
        <f>IF(t&lt;Tnet,'2019'!Resal+('2019'!Salim-'2019'!Resal)*(1-EXP(('2019'!Tnet-t)/('2019'!Tau_j))),Resal+(Salim-Resal)*(1-EXP((Tnet-t)/(Tau_j))))*Salcycl</f>
        <v>4.9738211473086436E-2</v>
      </c>
      <c r="P344" s="169">
        <f>(INDEX(Models!$BJ344:$BT344,,T344)*(1-R344)+INDEX(Models!$BJ344:$BT344,,T344+1)*R344-ERP_i)*Q344*Ramure*Pc/MaxiM</f>
        <v>1.3289345708857202E-4</v>
      </c>
      <c r="Q344" s="304">
        <f t="shared" si="126"/>
        <v>0.6</v>
      </c>
      <c r="R344" s="177">
        <f t="shared" si="127"/>
        <v>0.49879607533236636</v>
      </c>
      <c r="S344" s="799">
        <f t="shared" si="128"/>
        <v>-1</v>
      </c>
      <c r="T344" s="176">
        <f t="shared" si="129"/>
        <v>5</v>
      </c>
      <c r="U344" s="250">
        <f t="shared" si="130"/>
        <v>-0.50120392466763364</v>
      </c>
      <c r="V344" s="382">
        <f t="shared" si="131"/>
        <v>28.368314013142982</v>
      </c>
      <c r="W344" s="58"/>
      <c r="X344" s="157">
        <f t="shared" si="132"/>
        <v>44160</v>
      </c>
      <c r="Y344" s="383">
        <f t="shared" si="133"/>
        <v>27.071999999999999</v>
      </c>
      <c r="Z344" s="383">
        <f t="shared" si="134"/>
        <v>27.418706896388372</v>
      </c>
      <c r="AA344" s="384">
        <f t="shared" si="135"/>
        <v>28.853845569116885</v>
      </c>
      <c r="AB344" s="197">
        <f t="shared" si="136"/>
        <v>44160</v>
      </c>
      <c r="AC344" s="424">
        <f>IF(OR(t&lt;Tnet,NoTnet),'2019'!Resal_s+('2019'!Salim-'2019'!Resal_s)*(1-EXP(('2019'!Tnet_s-t)/'2019'!Tau_j)),Resal_s+(Salim-Resal_s)*(1-EXP((Tnet_s-t)/Tau_j)))*Salcycl</f>
        <v>4.9738211473086436E-2</v>
      </c>
      <c r="AD344" s="230">
        <f>(INDEX(Models!$BJ344:$BT344,,AH344)*(1-AF344)+INDEX(Models!$BJ344:$BT344,,AH344+1)*AF344-ERP_i)*AE344*Ramure*Pc/MaxiM</f>
        <v>1.3289345708857202E-4</v>
      </c>
      <c r="AE344" s="304">
        <f t="shared" si="137"/>
        <v>0.6</v>
      </c>
      <c r="AF344" s="177">
        <f t="shared" si="138"/>
        <v>0.49879607533236636</v>
      </c>
      <c r="AG344" s="176">
        <f t="shared" si="139"/>
        <v>-1</v>
      </c>
      <c r="AH344" s="176">
        <f t="shared" si="140"/>
        <v>5</v>
      </c>
      <c r="AI344" s="224">
        <f t="shared" si="141"/>
        <v>-0.50120392466763364</v>
      </c>
      <c r="AJ344" s="264" t="b">
        <f t="shared" si="142"/>
        <v>0</v>
      </c>
      <c r="AK344" s="264" t="b">
        <f t="shared" si="143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4"/>
        <v>44161</v>
      </c>
      <c r="B345" s="607">
        <v>25.143000000000001</v>
      </c>
      <c r="C345" s="388"/>
      <c r="D345" s="391">
        <f t="shared" si="123"/>
        <v>25.465490533515815</v>
      </c>
      <c r="E345" s="383">
        <f t="shared" si="121"/>
        <v>26.79909456375983</v>
      </c>
      <c r="F345" s="383">
        <f t="shared" si="124"/>
        <v>26.802315744867702</v>
      </c>
      <c r="G345" s="110">
        <f t="shared" si="122"/>
        <v>0.89246602812077858</v>
      </c>
      <c r="H345" s="412" t="b">
        <f>Wh_hp&gt;='2019'!Maxi_hp</f>
        <v>1</v>
      </c>
      <c r="I345" s="388">
        <f>IF(H345,Wh_hp,'2019'!Maxi_hp)</f>
        <v>26.802315744867702</v>
      </c>
      <c r="J345" s="85">
        <f>IF(H345,An,'2019'!An_max)</f>
        <v>2020</v>
      </c>
      <c r="K345" s="197">
        <f t="shared" si="125"/>
        <v>44161</v>
      </c>
      <c r="L345" s="147">
        <f>IF(t&lt;Tvie,1-EXP((T0-t)*PertePVj)+'2019'!Pspv,1-EXP((T0-t)*PertePVj)+Pspv)</f>
        <v>1.2663825701349718E-2</v>
      </c>
      <c r="M345" s="832"/>
      <c r="N345" s="832"/>
      <c r="O345" s="48">
        <f>IF(t&lt;Tnet,'2019'!Resal+('2019'!Salim-'2019'!Resal)*(1-EXP(('2019'!Tnet-t)/('2019'!Tau_j))),Resal+(Salim-Resal)*(1-EXP((Tnet-t)/(Tau_j))))*Salcycl</f>
        <v>4.976302565264417E-2</v>
      </c>
      <c r="P345" s="169">
        <f>(INDEX(Models!$BJ345:$BT345,,T345)*(1-R345)+INDEX(Models!$BJ345:$BT345,,T345+1)*R345-ERP_i)*Q345*Ramure*Pc/MaxiM</f>
        <v>1.4199175988795744E-4</v>
      </c>
      <c r="Q345" s="304">
        <f t="shared" si="126"/>
        <v>0.6</v>
      </c>
      <c r="R345" s="177">
        <f t="shared" si="127"/>
        <v>0.49881546360682694</v>
      </c>
      <c r="S345" s="799">
        <f t="shared" si="128"/>
        <v>-1</v>
      </c>
      <c r="T345" s="176">
        <f t="shared" si="129"/>
        <v>5</v>
      </c>
      <c r="U345" s="250">
        <f t="shared" si="130"/>
        <v>-0.50118453639317306</v>
      </c>
      <c r="V345" s="382">
        <f t="shared" si="131"/>
        <v>28.171886439057523</v>
      </c>
      <c r="W345" s="58"/>
      <c r="X345" s="157">
        <f t="shared" si="132"/>
        <v>44161</v>
      </c>
      <c r="Y345" s="383">
        <f t="shared" si="133"/>
        <v>25.143000000000001</v>
      </c>
      <c r="Z345" s="383">
        <f t="shared" si="134"/>
        <v>25.465490533515815</v>
      </c>
      <c r="AA345" s="384">
        <f t="shared" si="135"/>
        <v>26.79909456375983</v>
      </c>
      <c r="AB345" s="197">
        <f t="shared" si="136"/>
        <v>44161</v>
      </c>
      <c r="AC345" s="424">
        <f>IF(OR(t&lt;Tnet,NoTnet),'2019'!Resal_s+('2019'!Salim-'2019'!Resal_s)*(1-EXP(('2019'!Tnet_s-t)/'2019'!Tau_j)),Resal_s+(Salim-Resal_s)*(1-EXP((Tnet_s-t)/Tau_j)))*Salcycl</f>
        <v>4.976302565264417E-2</v>
      </c>
      <c r="AD345" s="230">
        <f>(INDEX(Models!$BJ345:$BT345,,AH345)*(1-AF345)+INDEX(Models!$BJ345:$BT345,,AH345+1)*AF345-ERP_i)*AE345*Ramure*Pc/MaxiM</f>
        <v>1.4199175988795744E-4</v>
      </c>
      <c r="AE345" s="304">
        <f t="shared" si="137"/>
        <v>0.6</v>
      </c>
      <c r="AF345" s="177">
        <f t="shared" si="138"/>
        <v>0.49881546360682694</v>
      </c>
      <c r="AG345" s="176">
        <f t="shared" si="139"/>
        <v>-1</v>
      </c>
      <c r="AH345" s="176">
        <f t="shared" si="140"/>
        <v>5</v>
      </c>
      <c r="AI345" s="224">
        <f t="shared" si="141"/>
        <v>-0.50118453639317306</v>
      </c>
      <c r="AJ345" s="264" t="b">
        <f t="shared" si="142"/>
        <v>0</v>
      </c>
      <c r="AK345" s="264" t="b">
        <f t="shared" si="143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4"/>
        <v>44162</v>
      </c>
      <c r="B346" s="607">
        <v>17.545999999999999</v>
      </c>
      <c r="C346" s="388"/>
      <c r="D346" s="391">
        <f t="shared" si="123"/>
        <v>17.771390057693004</v>
      </c>
      <c r="E346" s="383">
        <f t="shared" si="121"/>
        <v>18.702565715427422</v>
      </c>
      <c r="F346" s="383">
        <f t="shared" si="124"/>
        <v>18.703888708428419</v>
      </c>
      <c r="G346" s="110">
        <f t="shared" si="122"/>
        <v>0.62699809285781927</v>
      </c>
      <c r="H346" s="412" t="b">
        <f>Wh_hp&gt;='2019'!Maxi_hp</f>
        <v>1</v>
      </c>
      <c r="I346" s="388">
        <f>IF(H346,Wh_hp,'2019'!Maxi_hp)</f>
        <v>18.703888708428419</v>
      </c>
      <c r="J346" s="85">
        <f>IF(H346,An,'2019'!An_max)</f>
        <v>2020</v>
      </c>
      <c r="K346" s="197">
        <f t="shared" si="125"/>
        <v>44162</v>
      </c>
      <c r="L346" s="147">
        <f>IF(t&lt;Tvie,1-EXP((T0-t)*PertePVj)+'2019'!Pspv,1-EXP((T0-t)*PertePVj)+Pspv)</f>
        <v>1.2682747773882563E-2</v>
      </c>
      <c r="M346" s="832"/>
      <c r="N346" s="832"/>
      <c r="O346" s="48">
        <f>IF(t&lt;Tnet,'2019'!Resal+('2019'!Salim-'2019'!Resal)*(1-EXP(('2019'!Tnet-t)/('2019'!Tau_j))),Resal+(Salim-Resal)*(1-EXP((Tnet-t)/(Tau_j))))*Salcycl</f>
        <v>4.9788658513644911E-2</v>
      </c>
      <c r="P346" s="169">
        <f>(INDEX(Models!$BJ346:$BT346,,T346)*(1-R346)+INDEX(Models!$BJ346:$BT346,,T346+1)*R346-ERP_i)*Q346*Ramure*Pc/MaxiM</f>
        <v>1.5139491308167492E-4</v>
      </c>
      <c r="Q346" s="304">
        <f t="shared" si="126"/>
        <v>0.6</v>
      </c>
      <c r="R346" s="177">
        <f t="shared" si="127"/>
        <v>0.49883407266606172</v>
      </c>
      <c r="S346" s="799">
        <f t="shared" si="128"/>
        <v>-1</v>
      </c>
      <c r="T346" s="176">
        <f t="shared" si="129"/>
        <v>5</v>
      </c>
      <c r="U346" s="250">
        <f t="shared" si="130"/>
        <v>-0.50116592733393828</v>
      </c>
      <c r="V346" s="382">
        <f t="shared" si="131"/>
        <v>27.981878758451408</v>
      </c>
      <c r="W346" s="58"/>
      <c r="X346" s="157">
        <f t="shared" si="132"/>
        <v>44162</v>
      </c>
      <c r="Y346" s="383">
        <f t="shared" si="133"/>
        <v>17.545999999999999</v>
      </c>
      <c r="Z346" s="383">
        <f t="shared" si="134"/>
        <v>17.771390057693004</v>
      </c>
      <c r="AA346" s="384">
        <f t="shared" si="135"/>
        <v>18.702565715427422</v>
      </c>
      <c r="AB346" s="197">
        <f t="shared" si="136"/>
        <v>44162</v>
      </c>
      <c r="AC346" s="424">
        <f>IF(OR(t&lt;Tnet,NoTnet),'2019'!Resal_s+('2019'!Salim-'2019'!Resal_s)*(1-EXP(('2019'!Tnet_s-t)/'2019'!Tau_j)),Resal_s+(Salim-Resal_s)*(1-EXP((Tnet_s-t)/Tau_j)))*Salcycl</f>
        <v>4.9788658513644911E-2</v>
      </c>
      <c r="AD346" s="230">
        <f>(INDEX(Models!$BJ346:$BT346,,AH346)*(1-AF346)+INDEX(Models!$BJ346:$BT346,,AH346+1)*AF346-ERP_i)*AE346*Ramure*Pc/MaxiM</f>
        <v>1.5139491308167492E-4</v>
      </c>
      <c r="AE346" s="304">
        <f t="shared" si="137"/>
        <v>0.6</v>
      </c>
      <c r="AF346" s="177">
        <f t="shared" si="138"/>
        <v>0.49883407266606172</v>
      </c>
      <c r="AG346" s="176">
        <f t="shared" si="139"/>
        <v>-1</v>
      </c>
      <c r="AH346" s="176">
        <f t="shared" si="140"/>
        <v>5</v>
      </c>
      <c r="AI346" s="224">
        <f t="shared" si="141"/>
        <v>-0.50116592733393828</v>
      </c>
      <c r="AJ346" s="264" t="b">
        <f t="shared" si="142"/>
        <v>0</v>
      </c>
      <c r="AK346" s="264" t="b">
        <f t="shared" si="143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4"/>
        <v>44163</v>
      </c>
      <c r="B347" s="607">
        <v>8.2759999999999998</v>
      </c>
      <c r="C347" s="388"/>
      <c r="D347" s="391">
        <f t="shared" si="123"/>
        <v>8.3824713809379041</v>
      </c>
      <c r="E347" s="383">
        <f t="shared" si="121"/>
        <v>8.8219371764549521</v>
      </c>
      <c r="F347" s="383">
        <f t="shared" si="124"/>
        <v>8.8219371764549521</v>
      </c>
      <c r="G347" s="110">
        <f t="shared" si="122"/>
        <v>0.29766494159091617</v>
      </c>
      <c r="H347" s="412" t="b">
        <f>Wh_hp&gt;='2019'!Maxi_hp</f>
        <v>0</v>
      </c>
      <c r="I347" s="388">
        <f>IF(H347,Wh_hp,'2019'!Maxi_hp)</f>
        <v>16.758916593732387</v>
      </c>
      <c r="J347" s="85">
        <f>IF(H347,An,'2019'!An_max)</f>
        <v>2018</v>
      </c>
      <c r="K347" s="197">
        <f t="shared" si="125"/>
        <v>44163</v>
      </c>
      <c r="L347" s="147">
        <f>IF(t&lt;Tvie,1-EXP((T0-t)*PertePVj)+'2019'!Pspv,1-EXP((T0-t)*PertePVj)+Pspv)</f>
        <v>1.2701669483778266E-2</v>
      </c>
      <c r="M347" s="832"/>
      <c r="N347" s="832"/>
      <c r="O347" s="48">
        <f>IF(t&lt;Tnet,'2019'!Resal+('2019'!Salim-'2019'!Resal)*(1-EXP(('2019'!Tnet-t)/('2019'!Tau_j))),Resal+(Salim-Resal)*(1-EXP((Tnet-t)/(Tau_j))))*Salcycl</f>
        <v>4.9815112795174685E-2</v>
      </c>
      <c r="P347" s="169">
        <f>(INDEX(Models!$BJ347:$BT347,,T347)*(1-R347)+INDEX(Models!$BJ347:$BT347,,T347+1)*R347-ERP_i)*Q347*Ramure*Pc/MaxiM</f>
        <v>1.6084001098214706E-4</v>
      </c>
      <c r="Q347" s="304">
        <f t="shared" si="126"/>
        <v>0.6</v>
      </c>
      <c r="R347" s="177">
        <f t="shared" si="127"/>
        <v>0.49885193377219084</v>
      </c>
      <c r="S347" s="799">
        <f t="shared" si="128"/>
        <v>-1</v>
      </c>
      <c r="T347" s="176">
        <f t="shared" si="129"/>
        <v>5</v>
      </c>
      <c r="U347" s="250">
        <f t="shared" si="130"/>
        <v>-0.50114806622780916</v>
      </c>
      <c r="V347" s="382">
        <f t="shared" si="131"/>
        <v>27.798600815547395</v>
      </c>
      <c r="W347" s="58"/>
      <c r="X347" s="157">
        <f t="shared" si="132"/>
        <v>44163</v>
      </c>
      <c r="Y347" s="383">
        <f t="shared" si="133"/>
        <v>8.2759999999999998</v>
      </c>
      <c r="Z347" s="383">
        <f t="shared" si="134"/>
        <v>8.3824713809379041</v>
      </c>
      <c r="AA347" s="384">
        <f t="shared" si="135"/>
        <v>8.8219371764549521</v>
      </c>
      <c r="AB347" s="197">
        <f t="shared" si="136"/>
        <v>44163</v>
      </c>
      <c r="AC347" s="424">
        <f>IF(OR(t&lt;Tnet,NoTnet),'2019'!Resal_s+('2019'!Salim-'2019'!Resal_s)*(1-EXP(('2019'!Tnet_s-t)/'2019'!Tau_j)),Resal_s+(Salim-Resal_s)*(1-EXP((Tnet_s-t)/Tau_j)))*Salcycl</f>
        <v>4.9815112795174685E-2</v>
      </c>
      <c r="AD347" s="230">
        <f>(INDEX(Models!$BJ347:$BT347,,AH347)*(1-AF347)+INDEX(Models!$BJ347:$BT347,,AH347+1)*AF347-ERP_i)*AE347*Ramure*Pc/MaxiM</f>
        <v>1.6084001098214706E-4</v>
      </c>
      <c r="AE347" s="304">
        <f t="shared" si="137"/>
        <v>0.6</v>
      </c>
      <c r="AF347" s="177">
        <f t="shared" si="138"/>
        <v>0.49885193377219084</v>
      </c>
      <c r="AG347" s="176">
        <f t="shared" si="139"/>
        <v>-1</v>
      </c>
      <c r="AH347" s="176">
        <f t="shared" si="140"/>
        <v>5</v>
      </c>
      <c r="AI347" s="224">
        <f t="shared" si="141"/>
        <v>-0.50114806622780916</v>
      </c>
      <c r="AJ347" s="264" t="b">
        <f t="shared" si="142"/>
        <v>0</v>
      </c>
      <c r="AK347" s="264" t="b">
        <f t="shared" si="143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4"/>
        <v>44164</v>
      </c>
      <c r="B348" s="607">
        <v>26.163</v>
      </c>
      <c r="C348" s="388"/>
      <c r="D348" s="391">
        <f t="shared" si="123"/>
        <v>26.500096889514527</v>
      </c>
      <c r="E348" s="383">
        <f t="shared" si="121"/>
        <v>27.890211644807842</v>
      </c>
      <c r="F348" s="383">
        <f t="shared" si="124"/>
        <v>27.894604255922708</v>
      </c>
      <c r="G348" s="110">
        <f t="shared" si="122"/>
        <v>0.94715543347810982</v>
      </c>
      <c r="H348" s="412" t="b">
        <f>Wh_hp&gt;='2019'!Maxi_hp</f>
        <v>1</v>
      </c>
      <c r="I348" s="388">
        <f>IF(H348,Wh_hp,'2019'!Maxi_hp)</f>
        <v>27.894604255922708</v>
      </c>
      <c r="J348" s="85">
        <f>IF(H348,An,'2019'!An_max)</f>
        <v>2020</v>
      </c>
      <c r="K348" s="197">
        <f t="shared" si="125"/>
        <v>44164</v>
      </c>
      <c r="L348" s="147">
        <f>IF(t&lt;Tvie,1-EXP((T0-t)*PertePVj)+'2019'!Pspv,1-EXP((T0-t)*PertePVj)+Pspv)</f>
        <v>1.2720590831043599E-2</v>
      </c>
      <c r="M348" s="832"/>
      <c r="N348" s="832"/>
      <c r="O348" s="48">
        <f>IF(t&lt;Tnet,'2019'!Resal+('2019'!Salim-'2019'!Resal)*(1-EXP(('2019'!Tnet-t)/('2019'!Tau_j))),Resal+(Salim-Resal)*(1-EXP((Tnet-t)/(Tau_j))))*Salcycl</f>
        <v>4.9842388182525829E-2</v>
      </c>
      <c r="P348" s="169">
        <f>(INDEX(Models!$BJ348:$BT348,,T348)*(1-R348)+INDEX(Models!$BJ348:$BT348,,T348+1)*R348-ERP_i)*Q348*Ramure*Pc/MaxiM</f>
        <v>1.7032712561694031E-4</v>
      </c>
      <c r="Q348" s="304">
        <f t="shared" si="126"/>
        <v>0.6</v>
      </c>
      <c r="R348" s="177">
        <f t="shared" si="127"/>
        <v>0.49886907693740001</v>
      </c>
      <c r="S348" s="799">
        <f t="shared" si="128"/>
        <v>-1</v>
      </c>
      <c r="T348" s="176">
        <f t="shared" si="129"/>
        <v>5</v>
      </c>
      <c r="U348" s="250">
        <f t="shared" si="130"/>
        <v>-0.50113092306259999</v>
      </c>
      <c r="V348" s="382">
        <f t="shared" si="131"/>
        <v>27.622354986439372</v>
      </c>
      <c r="W348" s="58"/>
      <c r="X348" s="157">
        <f t="shared" si="132"/>
        <v>44164</v>
      </c>
      <c r="Y348" s="383">
        <f t="shared" si="133"/>
        <v>26.163</v>
      </c>
      <c r="Z348" s="383">
        <f t="shared" si="134"/>
        <v>26.500096889514527</v>
      </c>
      <c r="AA348" s="384">
        <f t="shared" si="135"/>
        <v>27.890211644807842</v>
      </c>
      <c r="AB348" s="197">
        <f t="shared" si="136"/>
        <v>44164</v>
      </c>
      <c r="AC348" s="424">
        <f>IF(OR(t&lt;Tnet,NoTnet),'2019'!Resal_s+('2019'!Salim-'2019'!Resal_s)*(1-EXP(('2019'!Tnet_s-t)/'2019'!Tau_j)),Resal_s+(Salim-Resal_s)*(1-EXP((Tnet_s-t)/Tau_j)))*Salcycl</f>
        <v>4.9842388182525829E-2</v>
      </c>
      <c r="AD348" s="230">
        <f>(INDEX(Models!$BJ348:$BT348,,AH348)*(1-AF348)+INDEX(Models!$BJ348:$BT348,,AH348+1)*AF348-ERP_i)*AE348*Ramure*Pc/MaxiM</f>
        <v>1.7032712561694031E-4</v>
      </c>
      <c r="AE348" s="304">
        <f t="shared" si="137"/>
        <v>0.6</v>
      </c>
      <c r="AF348" s="177">
        <f t="shared" si="138"/>
        <v>0.49886907693740001</v>
      </c>
      <c r="AG348" s="176">
        <f t="shared" si="139"/>
        <v>-1</v>
      </c>
      <c r="AH348" s="176">
        <f t="shared" si="140"/>
        <v>5</v>
      </c>
      <c r="AI348" s="224">
        <f t="shared" si="141"/>
        <v>-0.50113092306259999</v>
      </c>
      <c r="AJ348" s="264" t="b">
        <f t="shared" si="142"/>
        <v>0</v>
      </c>
      <c r="AK348" s="264" t="b">
        <f t="shared" si="143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4"/>
        <v>44165</v>
      </c>
      <c r="B349" s="607">
        <v>27.082000000000001</v>
      </c>
      <c r="C349" s="388"/>
      <c r="D349" s="391">
        <f t="shared" si="123"/>
        <v>27.431463452778221</v>
      </c>
      <c r="E349" s="383">
        <f t="shared" si="121"/>
        <v>28.871288508762962</v>
      </c>
      <c r="F349" s="383">
        <f t="shared" si="124"/>
        <v>28.876381708820084</v>
      </c>
      <c r="G349" s="110">
        <f t="shared" si="122"/>
        <v>0.98646662335272084</v>
      </c>
      <c r="H349" s="412" t="b">
        <f>Wh_hp&gt;='2019'!Maxi_hp</f>
        <v>1</v>
      </c>
      <c r="I349" s="388">
        <f>IF(H349,Wh_hp,'2019'!Maxi_hp)</f>
        <v>28.876381708820084</v>
      </c>
      <c r="J349" s="85">
        <f>IF(H349,An,'2019'!An_max)</f>
        <v>2020</v>
      </c>
      <c r="K349" s="197">
        <f t="shared" si="125"/>
        <v>44165</v>
      </c>
      <c r="L349" s="147">
        <f>IF(t&lt;Tvie,1-EXP((T0-t)*PertePVj)+'2019'!Pspv,1-EXP((T0-t)*PertePVj)+Pspv)</f>
        <v>1.2739511815685778E-2</v>
      </c>
      <c r="M349" s="832"/>
      <c r="N349" s="832"/>
      <c r="O349" s="48">
        <f>IF(t&lt;Tnet,'2019'!Resal+('2019'!Salim-'2019'!Resal)*(1-EXP(('2019'!Tnet-t)/('2019'!Tau_j))),Resal+(Salim-Resal)*(1-EXP((Tnet-t)/(Tau_j))))*Salcycl</f>
        <v>4.9870481379718362E-2</v>
      </c>
      <c r="P349" s="169">
        <f>(INDEX(Models!$BJ349:$BT349,,T349)*(1-R349)+INDEX(Models!$BJ349:$BT349,,T349+1)*R349-ERP_i)*Q349*Ramure*Pc/MaxiM</f>
        <v>1.7985578241669261E-4</v>
      </c>
      <c r="Q349" s="304">
        <f t="shared" si="126"/>
        <v>0.6</v>
      </c>
      <c r="R349" s="177">
        <f t="shared" si="127"/>
        <v>0.49888553097357546</v>
      </c>
      <c r="S349" s="799">
        <f t="shared" si="128"/>
        <v>-1</v>
      </c>
      <c r="T349" s="176">
        <f t="shared" si="129"/>
        <v>5</v>
      </c>
      <c r="U349" s="250">
        <f t="shared" si="130"/>
        <v>-0.50111446902642454</v>
      </c>
      <c r="V349" s="382">
        <f t="shared" si="131"/>
        <v>27.453443630016857</v>
      </c>
      <c r="W349" s="58"/>
      <c r="X349" s="157">
        <f t="shared" si="132"/>
        <v>44165</v>
      </c>
      <c r="Y349" s="383">
        <f t="shared" si="133"/>
        <v>27.082000000000001</v>
      </c>
      <c r="Z349" s="383">
        <f t="shared" si="134"/>
        <v>27.431463452778221</v>
      </c>
      <c r="AA349" s="384">
        <f t="shared" si="135"/>
        <v>28.871288508762962</v>
      </c>
      <c r="AB349" s="197">
        <f t="shared" si="136"/>
        <v>44165</v>
      </c>
      <c r="AC349" s="424">
        <f>IF(OR(t&lt;Tnet,NoTnet),'2019'!Resal_s+('2019'!Salim-'2019'!Resal_s)*(1-EXP(('2019'!Tnet_s-t)/'2019'!Tau_j)),Resal_s+(Salim-Resal_s)*(1-EXP((Tnet_s-t)/Tau_j)))*Salcycl</f>
        <v>4.9870481379718362E-2</v>
      </c>
      <c r="AD349" s="230">
        <f>(INDEX(Models!$BJ349:$BT349,,AH349)*(1-AF349)+INDEX(Models!$BJ349:$BT349,,AH349+1)*AF349-ERP_i)*AE349*Ramure*Pc/MaxiM</f>
        <v>1.7985578241669261E-4</v>
      </c>
      <c r="AE349" s="304">
        <f t="shared" si="137"/>
        <v>0.6</v>
      </c>
      <c r="AF349" s="177">
        <f t="shared" si="138"/>
        <v>0.49888553097357546</v>
      </c>
      <c r="AG349" s="176">
        <f t="shared" si="139"/>
        <v>-1</v>
      </c>
      <c r="AH349" s="176">
        <f t="shared" si="140"/>
        <v>5</v>
      </c>
      <c r="AI349" s="224">
        <f t="shared" si="141"/>
        <v>-0.50111446902642454</v>
      </c>
      <c r="AJ349" s="264" t="b">
        <f t="shared" si="142"/>
        <v>0</v>
      </c>
      <c r="AK349" s="264" t="b">
        <f t="shared" si="143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4"/>
        <v>44166</v>
      </c>
      <c r="B350" s="607">
        <v>4.47</v>
      </c>
      <c r="C350" s="388"/>
      <c r="D350" s="391">
        <f t="shared" si="123"/>
        <v>4.5277672120688655</v>
      </c>
      <c r="E350" s="383">
        <f t="shared" si="121"/>
        <v>4.7655660319565705</v>
      </c>
      <c r="F350" s="383">
        <f t="shared" si="124"/>
        <v>4.7655660319565705</v>
      </c>
      <c r="G350" s="110">
        <f t="shared" si="122"/>
        <v>0.16375221969138049</v>
      </c>
      <c r="H350" s="412" t="b">
        <f>Wh_hp&gt;='2019'!Maxi_hp</f>
        <v>1</v>
      </c>
      <c r="I350" s="388">
        <f>IF(H350,Wh_hp,'2019'!Maxi_hp)</f>
        <v>4.7655660319565705</v>
      </c>
      <c r="J350" s="85">
        <f>IF(H350,An,'2019'!An_max)</f>
        <v>2020</v>
      </c>
      <c r="K350" s="197">
        <f t="shared" si="125"/>
        <v>44166</v>
      </c>
      <c r="L350" s="147">
        <f>IF(t&lt;Tvie,1-EXP((T0-t)*PertePVj)+'2019'!Pspv,1-EXP((T0-t)*PertePVj)+Pspv)</f>
        <v>1.2758432437711464E-2</v>
      </c>
      <c r="M350" s="832"/>
      <c r="N350" s="832"/>
      <c r="O350" s="48">
        <f>IF(t&lt;Tnet,'2019'!Resal+('2019'!Salim-'2019'!Resal)*(1-EXP(('2019'!Tnet-t)/('2019'!Tau_j))),Resal+(Salim-Resal)*(1-EXP((Tnet-t)/(Tau_j))))*Salcycl</f>
        <v>4.9899386199475884E-2</v>
      </c>
      <c r="P350" s="169">
        <f>(INDEX(Models!$BJ350:$BT350,,T350)*(1-R350)+INDEX(Models!$BJ350:$BT350,,T350+1)*R350-ERP_i)*Q350*Ramure*Pc/MaxiM</f>
        <v>1.8942489120616309E-4</v>
      </c>
      <c r="Q350" s="304">
        <f t="shared" si="126"/>
        <v>0.6</v>
      </c>
      <c r="R350" s="177">
        <f t="shared" si="127"/>
        <v>0.49890132353999739</v>
      </c>
      <c r="S350" s="799">
        <f t="shared" si="128"/>
        <v>-1</v>
      </c>
      <c r="T350" s="176">
        <f t="shared" si="129"/>
        <v>5</v>
      </c>
      <c r="U350" s="250">
        <f t="shared" si="130"/>
        <v>-0.50109867646000261</v>
      </c>
      <c r="V350" s="382">
        <f t="shared" si="131"/>
        <v>27.292169102557533</v>
      </c>
      <c r="W350" s="58"/>
      <c r="X350" s="157">
        <f t="shared" si="132"/>
        <v>44166</v>
      </c>
      <c r="Y350" s="383">
        <f t="shared" si="133"/>
        <v>4.47</v>
      </c>
      <c r="Z350" s="383">
        <f t="shared" si="134"/>
        <v>4.5277672120688655</v>
      </c>
      <c r="AA350" s="384">
        <f t="shared" si="135"/>
        <v>4.7655660319565705</v>
      </c>
      <c r="AB350" s="197">
        <f t="shared" si="136"/>
        <v>44166</v>
      </c>
      <c r="AC350" s="424">
        <f>IF(OR(t&lt;Tnet,NoTnet),'2019'!Resal_s+('2019'!Salim-'2019'!Resal_s)*(1-EXP(('2019'!Tnet_s-t)/'2019'!Tau_j)),Resal_s+(Salim-Resal_s)*(1-EXP((Tnet_s-t)/Tau_j)))*Salcycl</f>
        <v>4.9899386199475884E-2</v>
      </c>
      <c r="AD350" s="230">
        <f>(INDEX(Models!$BJ350:$BT350,,AH350)*(1-AF350)+INDEX(Models!$BJ350:$BT350,,AH350+1)*AF350-ERP_i)*AE350*Ramure*Pc/MaxiM</f>
        <v>1.8942489120616309E-4</v>
      </c>
      <c r="AE350" s="304">
        <f t="shared" si="137"/>
        <v>0.6</v>
      </c>
      <c r="AF350" s="177">
        <f t="shared" si="138"/>
        <v>0.49890132353999739</v>
      </c>
      <c r="AG350" s="176">
        <f t="shared" si="139"/>
        <v>-1</v>
      </c>
      <c r="AH350" s="176">
        <f t="shared" si="140"/>
        <v>5</v>
      </c>
      <c r="AI350" s="224">
        <f t="shared" si="141"/>
        <v>-0.50109867646000261</v>
      </c>
      <c r="AJ350" s="264" t="b">
        <f t="shared" si="142"/>
        <v>0</v>
      </c>
      <c r="AK350" s="264" t="b">
        <f t="shared" si="143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4"/>
        <v>44167</v>
      </c>
      <c r="B351" s="607">
        <v>1.1890000000000001</v>
      </c>
      <c r="C351" s="388"/>
      <c r="D351" s="391">
        <f t="shared" si="123"/>
        <v>1.2043889017825824</v>
      </c>
      <c r="E351" s="383">
        <f t="shared" si="121"/>
        <v>1.2676831737062073</v>
      </c>
      <c r="F351" s="383">
        <f t="shared" si="124"/>
        <v>1.2676831737062073</v>
      </c>
      <c r="G351" s="110">
        <f t="shared" si="122"/>
        <v>4.3803037435082563E-2</v>
      </c>
      <c r="H351" s="412" t="b">
        <f>Wh_hp&gt;='2019'!Maxi_hp</f>
        <v>0</v>
      </c>
      <c r="I351" s="388">
        <f>IF(H351,Wh_hp,'2019'!Maxi_hp)</f>
        <v>4.7340211609621479</v>
      </c>
      <c r="J351" s="85">
        <f>IF(H351,An,'2019'!An_max)</f>
        <v>2018</v>
      </c>
      <c r="K351" s="197">
        <f t="shared" si="125"/>
        <v>44167</v>
      </c>
      <c r="L351" s="147">
        <f>IF(t&lt;Tvie,1-EXP((T0-t)*PertePVj)+'2019'!Pspv,1-EXP((T0-t)*PertePVj)+Pspv)</f>
        <v>1.2777352697127764E-2</v>
      </c>
      <c r="M351" s="832"/>
      <c r="N351" s="832"/>
      <c r="O351" s="48">
        <f>IF(t&lt;Tnet,'2019'!Resal+('2019'!Salim-'2019'!Resal)*(1-EXP(('2019'!Tnet-t)/('2019'!Tau_j))),Resal+(Salim-Resal)*(1-EXP((Tnet-t)/(Tau_j))))*Salcycl</f>
        <v>4.9929093669814469E-2</v>
      </c>
      <c r="P351" s="169">
        <f>(INDEX(Models!$BJ351:$BT351,,T351)*(1-R351)+INDEX(Models!$BJ351:$BT351,,T351+1)*R351-ERP_i)*Q351*Ramure*Pc/MaxiM</f>
        <v>1.990326805147649E-4</v>
      </c>
      <c r="Q351" s="304">
        <f t="shared" si="126"/>
        <v>0.6</v>
      </c>
      <c r="R351" s="177">
        <f t="shared" si="127"/>
        <v>0.49891648118915999</v>
      </c>
      <c r="S351" s="799">
        <f t="shared" si="128"/>
        <v>-1</v>
      </c>
      <c r="T351" s="176">
        <f t="shared" si="129"/>
        <v>5</v>
      </c>
      <c r="U351" s="250">
        <f t="shared" si="130"/>
        <v>-0.50108351881084001</v>
      </c>
      <c r="V351" s="382">
        <f t="shared" si="131"/>
        <v>27.138833737378405</v>
      </c>
      <c r="W351" s="58"/>
      <c r="X351" s="157">
        <f t="shared" si="132"/>
        <v>44167</v>
      </c>
      <c r="Y351" s="383">
        <f t="shared" si="133"/>
        <v>1.1890000000000001</v>
      </c>
      <c r="Z351" s="383">
        <f t="shared" si="134"/>
        <v>1.2043889017825824</v>
      </c>
      <c r="AA351" s="384">
        <f t="shared" si="135"/>
        <v>1.2676831737062073</v>
      </c>
      <c r="AB351" s="197">
        <f t="shared" si="136"/>
        <v>44167</v>
      </c>
      <c r="AC351" s="424">
        <f>IF(OR(t&lt;Tnet,NoTnet),'2019'!Resal_s+('2019'!Salim-'2019'!Resal_s)*(1-EXP(('2019'!Tnet_s-t)/'2019'!Tau_j)),Resal_s+(Salim-Resal_s)*(1-EXP((Tnet_s-t)/Tau_j)))*Salcycl</f>
        <v>4.9929093669814469E-2</v>
      </c>
      <c r="AD351" s="230">
        <f>(INDEX(Models!$BJ351:$BT351,,AH351)*(1-AF351)+INDEX(Models!$BJ351:$BT351,,AH351+1)*AF351-ERP_i)*AE351*Ramure*Pc/MaxiM</f>
        <v>1.990326805147649E-4</v>
      </c>
      <c r="AE351" s="304">
        <f t="shared" si="137"/>
        <v>0.6</v>
      </c>
      <c r="AF351" s="177">
        <f t="shared" si="138"/>
        <v>0.49891648118915999</v>
      </c>
      <c r="AG351" s="176">
        <f t="shared" si="139"/>
        <v>-1</v>
      </c>
      <c r="AH351" s="176">
        <f t="shared" si="140"/>
        <v>5</v>
      </c>
      <c r="AI351" s="224">
        <f t="shared" si="141"/>
        <v>-0.50108351881084001</v>
      </c>
      <c r="AJ351" s="264" t="b">
        <f t="shared" si="142"/>
        <v>0</v>
      </c>
      <c r="AK351" s="264" t="b">
        <f t="shared" si="143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4"/>
        <v>44168</v>
      </c>
      <c r="B352" s="607">
        <v>13.523999999999999</v>
      </c>
      <c r="C352" s="388"/>
      <c r="D352" s="391">
        <f t="shared" si="123"/>
        <v>13.69929997684995</v>
      </c>
      <c r="E352" s="383">
        <f t="shared" si="121"/>
        <v>14.419702429229105</v>
      </c>
      <c r="F352" s="383">
        <f t="shared" si="124"/>
        <v>14.420566513115322</v>
      </c>
      <c r="G352" s="110">
        <f t="shared" si="122"/>
        <v>0.50093051863354154</v>
      </c>
      <c r="H352" s="412" t="b">
        <f>Wh_hp&gt;='2019'!Maxi_hp</f>
        <v>1</v>
      </c>
      <c r="I352" s="388">
        <f>IF(H352,Wh_hp,'2019'!Maxi_hp)</f>
        <v>14.420566513115322</v>
      </c>
      <c r="J352" s="85">
        <f>IF(H352,An,'2019'!An_max)</f>
        <v>2020</v>
      </c>
      <c r="K352" s="197">
        <f t="shared" si="125"/>
        <v>44168</v>
      </c>
      <c r="L352" s="147">
        <f>IF(t&lt;Tvie,1-EXP((T0-t)*PertePVj)+'2019'!Pspv,1-EXP((T0-t)*PertePVj)+Pspv)</f>
        <v>1.2796272593941671E-2</v>
      </c>
      <c r="M352" s="832"/>
      <c r="N352" s="832"/>
      <c r="O352" s="48">
        <f>IF(t&lt;Tnet,'2019'!Resal+('2019'!Salim-'2019'!Resal)*(1-EXP(('2019'!Tnet-t)/('2019'!Tau_j))),Resal+(Salim-Resal)*(1-EXP((Tnet-t)/(Tau_j))))*Salcycl</f>
        <v>4.9959592156276468E-2</v>
      </c>
      <c r="P352" s="169">
        <f>(INDEX(Models!$BJ352:$BT352,,T352)*(1-R352)+INDEX(Models!$BJ352:$BT352,,T352+1)*R352-ERP_i)*Q352*Ramure*Pc/MaxiM</f>
        <v>2.0867223071027968E-4</v>
      </c>
      <c r="Q352" s="304">
        <f t="shared" si="126"/>
        <v>0.6</v>
      </c>
      <c r="R352" s="177">
        <f t="shared" si="127"/>
        <v>0.49893102941079492</v>
      </c>
      <c r="S352" s="799">
        <f t="shared" si="128"/>
        <v>-1</v>
      </c>
      <c r="T352" s="176">
        <f t="shared" si="129"/>
        <v>5</v>
      </c>
      <c r="U352" s="250">
        <f t="shared" si="130"/>
        <v>-0.50106897058920508</v>
      </c>
      <c r="V352" s="382">
        <f t="shared" si="131"/>
        <v>26.993739959162841</v>
      </c>
      <c r="W352" s="58"/>
      <c r="X352" s="157">
        <f t="shared" si="132"/>
        <v>44168</v>
      </c>
      <c r="Y352" s="383">
        <f t="shared" si="133"/>
        <v>13.523999999999999</v>
      </c>
      <c r="Z352" s="383">
        <f t="shared" si="134"/>
        <v>13.69929997684995</v>
      </c>
      <c r="AA352" s="384">
        <f t="shared" si="135"/>
        <v>14.419702429229105</v>
      </c>
      <c r="AB352" s="197">
        <f t="shared" si="136"/>
        <v>44168</v>
      </c>
      <c r="AC352" s="424">
        <f>IF(OR(t&lt;Tnet,NoTnet),'2019'!Resal_s+('2019'!Salim-'2019'!Resal_s)*(1-EXP(('2019'!Tnet_s-t)/'2019'!Tau_j)),Resal_s+(Salim-Resal_s)*(1-EXP((Tnet_s-t)/Tau_j)))*Salcycl</f>
        <v>4.9959592156276468E-2</v>
      </c>
      <c r="AD352" s="230">
        <f>(INDEX(Models!$BJ352:$BT352,,AH352)*(1-AF352)+INDEX(Models!$BJ352:$BT352,,AH352+1)*AF352-ERP_i)*AE352*Ramure*Pc/MaxiM</f>
        <v>2.0867223071027968E-4</v>
      </c>
      <c r="AE352" s="304">
        <f t="shared" si="137"/>
        <v>0.6</v>
      </c>
      <c r="AF352" s="177">
        <f t="shared" si="138"/>
        <v>0.49893102941079492</v>
      </c>
      <c r="AG352" s="176">
        <f t="shared" si="139"/>
        <v>-1</v>
      </c>
      <c r="AH352" s="176">
        <f t="shared" si="140"/>
        <v>5</v>
      </c>
      <c r="AI352" s="224">
        <f t="shared" si="141"/>
        <v>-0.50106897058920508</v>
      </c>
      <c r="AJ352" s="264" t="b">
        <f t="shared" si="142"/>
        <v>0</v>
      </c>
      <c r="AK352" s="264" t="b">
        <f t="shared" si="143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4"/>
        <v>44169</v>
      </c>
      <c r="B353" s="607">
        <v>8.2390000000000008</v>
      </c>
      <c r="C353" s="388"/>
      <c r="D353" s="391">
        <f t="shared" si="123"/>
        <v>8.345955017036303</v>
      </c>
      <c r="E353" s="383">
        <f t="shared" si="121"/>
        <v>8.7851313545399954</v>
      </c>
      <c r="F353" s="383">
        <f t="shared" si="124"/>
        <v>8.7851499123262986</v>
      </c>
      <c r="G353" s="110">
        <f t="shared" si="122"/>
        <v>0.30670440509917457</v>
      </c>
      <c r="H353" s="412" t="b">
        <f>Wh_hp&gt;='2019'!Maxi_hp</f>
        <v>0</v>
      </c>
      <c r="I353" s="388">
        <f>IF(H353,Wh_hp,'2019'!Maxi_hp)</f>
        <v>10.445309641349432</v>
      </c>
      <c r="J353" s="85">
        <f>IF(H353,An,'2019'!An_max)</f>
        <v>2018</v>
      </c>
      <c r="K353" s="197">
        <f t="shared" si="125"/>
        <v>44169</v>
      </c>
      <c r="L353" s="147">
        <f>IF(t&lt;Tvie,1-EXP((T0-t)*PertePVj)+'2019'!Pspv,1-EXP((T0-t)*PertePVj)+Pspv)</f>
        <v>1.2815192128160069E-2</v>
      </c>
      <c r="M353" s="832"/>
      <c r="N353" s="832"/>
      <c r="O353" s="48">
        <f>IF(t&lt;Tnet,'2019'!Resal+('2019'!Salim-'2019'!Resal)*(1-EXP(('2019'!Tnet-t)/('2019'!Tau_j))),Resal+(Salim-Resal)*(1-EXP((Tnet-t)/(Tau_j))))*Salcycl</f>
        <v>4.999086749872373E-2</v>
      </c>
      <c r="P353" s="169">
        <f>(INDEX(Models!$BJ353:$BT353,,T353)*(1-R353)+INDEX(Models!$BJ353:$BT353,,T353+1)*R353-ERP_i)*Q353*Ramure*Pc/MaxiM</f>
        <v>2.1839264959500537E-4</v>
      </c>
      <c r="Q353" s="304">
        <f t="shared" si="126"/>
        <v>0.6</v>
      </c>
      <c r="R353" s="177">
        <f t="shared" si="127"/>
        <v>0.49894499267416392</v>
      </c>
      <c r="S353" s="799">
        <f t="shared" si="128"/>
        <v>-1</v>
      </c>
      <c r="T353" s="176">
        <f t="shared" si="129"/>
        <v>5</v>
      </c>
      <c r="U353" s="250">
        <f t="shared" si="130"/>
        <v>-0.50105500732583608</v>
      </c>
      <c r="V353" s="382">
        <f t="shared" si="131"/>
        <v>26.857188636170001</v>
      </c>
      <c r="W353" s="58"/>
      <c r="X353" s="157">
        <f t="shared" si="132"/>
        <v>44169</v>
      </c>
      <c r="Y353" s="383">
        <f t="shared" si="133"/>
        <v>8.2390000000000008</v>
      </c>
      <c r="Z353" s="383">
        <f t="shared" si="134"/>
        <v>8.345955017036303</v>
      </c>
      <c r="AA353" s="384">
        <f t="shared" si="135"/>
        <v>8.7851313545399954</v>
      </c>
      <c r="AB353" s="197">
        <f t="shared" si="136"/>
        <v>44169</v>
      </c>
      <c r="AC353" s="424">
        <f>IF(OR(t&lt;Tnet,NoTnet),'2019'!Resal_s+('2019'!Salim-'2019'!Resal_s)*(1-EXP(('2019'!Tnet_s-t)/'2019'!Tau_j)),Resal_s+(Salim-Resal_s)*(1-EXP((Tnet_s-t)/Tau_j)))*Salcycl</f>
        <v>4.999086749872373E-2</v>
      </c>
      <c r="AD353" s="230">
        <f>(INDEX(Models!$BJ353:$BT353,,AH353)*(1-AF353)+INDEX(Models!$BJ353:$BT353,,AH353+1)*AF353-ERP_i)*AE353*Ramure*Pc/MaxiM</f>
        <v>2.1839264959500537E-4</v>
      </c>
      <c r="AE353" s="304">
        <f t="shared" si="137"/>
        <v>0.6</v>
      </c>
      <c r="AF353" s="177">
        <f t="shared" si="138"/>
        <v>0.49894499267416392</v>
      </c>
      <c r="AG353" s="176">
        <f t="shared" si="139"/>
        <v>-1</v>
      </c>
      <c r="AH353" s="176">
        <f t="shared" si="140"/>
        <v>5</v>
      </c>
      <c r="AI353" s="224">
        <f t="shared" si="141"/>
        <v>-0.50105500732583608</v>
      </c>
      <c r="AJ353" s="264" t="b">
        <f t="shared" si="142"/>
        <v>0</v>
      </c>
      <c r="AK353" s="264" t="b">
        <f t="shared" si="143"/>
        <v>0</v>
      </c>
      <c r="AL353" s="264"/>
      <c r="AM353" s="264"/>
      <c r="AN353" s="75"/>
    </row>
    <row r="354" spans="1:40" s="6" customFormat="1" ht="11.25" x14ac:dyDescent="0.2">
      <c r="A354" s="56">
        <f t="shared" si="144"/>
        <v>44170</v>
      </c>
      <c r="B354" s="607">
        <v>20.789000000000001</v>
      </c>
      <c r="C354" s="388"/>
      <c r="D354" s="391">
        <f t="shared" si="123"/>
        <v>21.059277106275051</v>
      </c>
      <c r="E354" s="383">
        <f t="shared" si="121"/>
        <v>22.168194555805314</v>
      </c>
      <c r="F354" s="383">
        <f t="shared" si="124"/>
        <v>22.171647596043584</v>
      </c>
      <c r="G354" s="110">
        <f t="shared" si="122"/>
        <v>0.77769908209080441</v>
      </c>
      <c r="H354" s="412" t="b">
        <f>Wh_hp&gt;='2019'!Maxi_hp</f>
        <v>1</v>
      </c>
      <c r="I354" s="388">
        <f>IF(H354,Wh_hp,'2019'!Maxi_hp)</f>
        <v>22.171647596043584</v>
      </c>
      <c r="J354" s="85">
        <f>IF(H354,An,'2019'!An_max)</f>
        <v>2020</v>
      </c>
      <c r="K354" s="197">
        <f t="shared" si="125"/>
        <v>44170</v>
      </c>
      <c r="L354" s="147">
        <f>IF(t&lt;Tvie,1-EXP((T0-t)*PertePVj)+'2019'!Pspv,1-EXP((T0-t)*PertePVj)+Pspv)</f>
        <v>1.2834111299789841E-2</v>
      </c>
      <c r="M354" s="832"/>
      <c r="N354" s="832"/>
      <c r="O354" s="48">
        <f>IF(t&lt;Tnet,'2019'!Resal+('2019'!Salim-'2019'!Resal)*(1-EXP(('2019'!Tnet-t)/('2019'!Tau_j))),Resal+(Salim-Resal)*(1-EXP((Tnet-t)/(Tau_j))))*Salcycl</f>
        <v>5.0022903161496456E-2</v>
      </c>
      <c r="P354" s="169">
        <f>(INDEX(Models!$BJ354:$BT354,,T354)*(1-R354)+INDEX(Models!$BJ354:$BT354,,T354+1)*R354-ERP_i)*Q354*Ramure*Pc/MaxiM</f>
        <v>2.2818971869166784E-4</v>
      </c>
      <c r="Q354" s="304">
        <f t="shared" si="126"/>
        <v>0.6</v>
      </c>
      <c r="R354" s="177">
        <f t="shared" si="127"/>
        <v>0.49895839446868684</v>
      </c>
      <c r="S354" s="799">
        <f t="shared" si="128"/>
        <v>-1</v>
      </c>
      <c r="T354" s="176">
        <f t="shared" si="129"/>
        <v>5</v>
      </c>
      <c r="U354" s="250">
        <f t="shared" si="130"/>
        <v>-0.50104160553131316</v>
      </c>
      <c r="V354" s="382">
        <f t="shared" si="131"/>
        <v>26.729482023322113</v>
      </c>
      <c r="W354" s="58"/>
      <c r="X354" s="157">
        <f t="shared" si="132"/>
        <v>44170</v>
      </c>
      <c r="Y354" s="383">
        <f t="shared" si="133"/>
        <v>20.789000000000001</v>
      </c>
      <c r="Z354" s="383">
        <f t="shared" si="134"/>
        <v>21.059277106275051</v>
      </c>
      <c r="AA354" s="384">
        <f t="shared" si="135"/>
        <v>22.168194555805314</v>
      </c>
      <c r="AB354" s="197">
        <f t="shared" si="136"/>
        <v>44170</v>
      </c>
      <c r="AC354" s="424">
        <f>IF(OR(t&lt;Tnet,NoTnet),'2019'!Resal_s+('2019'!Salim-'2019'!Resal_s)*(1-EXP(('2019'!Tnet_s-t)/'2019'!Tau_j)),Resal_s+(Salim-Resal_s)*(1-EXP((Tnet_s-t)/Tau_j)))*Salcycl</f>
        <v>5.0022903161496456E-2</v>
      </c>
      <c r="AD354" s="230">
        <f>(INDEX(Models!$BJ354:$BT354,,AH354)*(1-AF354)+INDEX(Models!$BJ354:$BT354,,AH354+1)*AF354-ERP_i)*AE354*Ramure*Pc/MaxiM</f>
        <v>2.2818971869166784E-4</v>
      </c>
      <c r="AE354" s="304">
        <f t="shared" si="137"/>
        <v>0.6</v>
      </c>
      <c r="AF354" s="177">
        <f t="shared" si="138"/>
        <v>0.49895839446868684</v>
      </c>
      <c r="AG354" s="176">
        <f t="shared" si="139"/>
        <v>-1</v>
      </c>
      <c r="AH354" s="176">
        <f t="shared" si="140"/>
        <v>5</v>
      </c>
      <c r="AI354" s="224">
        <f t="shared" si="141"/>
        <v>-0.50104160553131316</v>
      </c>
      <c r="AJ354" s="264" t="b">
        <f t="shared" si="142"/>
        <v>0</v>
      </c>
      <c r="AK354" s="264" t="b">
        <f t="shared" si="143"/>
        <v>0</v>
      </c>
      <c r="AL354" s="264"/>
      <c r="AM354" s="264"/>
      <c r="AN354" s="75"/>
    </row>
    <row r="355" spans="1:40" s="6" customFormat="1" ht="11.25" x14ac:dyDescent="0.2">
      <c r="A355" s="56">
        <f t="shared" si="144"/>
        <v>44171</v>
      </c>
      <c r="B355" s="607">
        <v>12.717000000000001</v>
      </c>
      <c r="C355" s="388"/>
      <c r="D355" s="391">
        <f t="shared" si="123"/>
        <v>12.882580191075414</v>
      </c>
      <c r="E355" s="383">
        <f t="shared" si="121"/>
        <v>13.561405574214016</v>
      </c>
      <c r="F355" s="383">
        <f t="shared" si="124"/>
        <v>13.562226037654687</v>
      </c>
      <c r="G355" s="110">
        <f t="shared" si="122"/>
        <v>0.47780162020082773</v>
      </c>
      <c r="H355" s="412" t="b">
        <f>Wh_hp&gt;='2019'!Maxi_hp</f>
        <v>0</v>
      </c>
      <c r="I355" s="388">
        <f>IF(H355,Wh_hp,'2019'!Maxi_hp)</f>
        <v>15.243646605350044</v>
      </c>
      <c r="J355" s="85">
        <f>IF(H355,An,'2019'!An_max)</f>
        <v>2018</v>
      </c>
      <c r="K355" s="197">
        <f t="shared" si="125"/>
        <v>44171</v>
      </c>
      <c r="L355" s="147">
        <f>IF(t&lt;Tvie,1-EXP((T0-t)*PertePVj)+'2019'!Pspv,1-EXP((T0-t)*PertePVj)+Pspv)</f>
        <v>1.2853030108838093E-2</v>
      </c>
      <c r="M355" s="832"/>
      <c r="N355" s="832"/>
      <c r="O355" s="48">
        <f>IF(t&lt;Tnet,'2019'!Resal+('2019'!Salim-'2019'!Resal)*(1-EXP(('2019'!Tnet-t)/('2019'!Tau_j))),Resal+(Salim-Resal)*(1-EXP((Tnet-t)/(Tau_j))))*Salcycl</f>
        <v>5.005568039564693E-2</v>
      </c>
      <c r="P355" s="169">
        <f>(INDEX(Models!$BJ355:$BT355,,T355)*(1-R355)+INDEX(Models!$BJ355:$BT355,,T355+1)*R355-ERP_i)*Q355*Ramure*Pc/MaxiM</f>
        <v>2.3805831456991466E-4</v>
      </c>
      <c r="Q355" s="304">
        <f t="shared" si="126"/>
        <v>0.6</v>
      </c>
      <c r="R355" s="177">
        <f t="shared" si="127"/>
        <v>0.49897125734297187</v>
      </c>
      <c r="S355" s="799">
        <f t="shared" si="128"/>
        <v>-1</v>
      </c>
      <c r="T355" s="176">
        <f t="shared" si="129"/>
        <v>5</v>
      </c>
      <c r="U355" s="250">
        <f t="shared" si="130"/>
        <v>-0.50102874265702813</v>
      </c>
      <c r="V355" s="382">
        <f t="shared" si="131"/>
        <v>26.610922334075916</v>
      </c>
      <c r="W355" s="58"/>
      <c r="X355" s="157">
        <f t="shared" si="132"/>
        <v>44171</v>
      </c>
      <c r="Y355" s="383">
        <f t="shared" si="133"/>
        <v>12.717000000000001</v>
      </c>
      <c r="Z355" s="383">
        <f t="shared" si="134"/>
        <v>12.882580191075414</v>
      </c>
      <c r="AA355" s="384">
        <f t="shared" si="135"/>
        <v>13.561405574214016</v>
      </c>
      <c r="AB355" s="197">
        <f t="shared" si="136"/>
        <v>44171</v>
      </c>
      <c r="AC355" s="424">
        <f>IF(OR(t&lt;Tnet,NoTnet),'2019'!Resal_s+('2019'!Salim-'2019'!Resal_s)*(1-EXP(('2019'!Tnet_s-t)/'2019'!Tau_j)),Resal_s+(Salim-Resal_s)*(1-EXP((Tnet_s-t)/Tau_j)))*Salcycl</f>
        <v>5.005568039564693E-2</v>
      </c>
      <c r="AD355" s="230">
        <f>(INDEX(Models!$BJ355:$BT355,,AH355)*(1-AF355)+INDEX(Models!$BJ355:$BT355,,AH355+1)*AF355-ERP_i)*AE355*Ramure*Pc/MaxiM</f>
        <v>2.3805831456991466E-4</v>
      </c>
      <c r="AE355" s="304">
        <f t="shared" si="137"/>
        <v>0.6</v>
      </c>
      <c r="AF355" s="177">
        <f t="shared" si="138"/>
        <v>0.49897125734297187</v>
      </c>
      <c r="AG355" s="176">
        <f t="shared" si="139"/>
        <v>-1</v>
      </c>
      <c r="AH355" s="176">
        <f t="shared" si="140"/>
        <v>5</v>
      </c>
      <c r="AI355" s="224">
        <f t="shared" si="141"/>
        <v>-0.50102874265702813</v>
      </c>
      <c r="AJ355" s="264" t="b">
        <f t="shared" si="142"/>
        <v>0</v>
      </c>
      <c r="AK355" s="264" t="b">
        <f t="shared" si="143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4"/>
        <v>44172</v>
      </c>
      <c r="B356" s="607">
        <v>2.6070000000000002</v>
      </c>
      <c r="C356" s="388"/>
      <c r="D356" s="391">
        <f t="shared" si="123"/>
        <v>2.6409947485380298</v>
      </c>
      <c r="E356" s="383">
        <f t="shared" si="121"/>
        <v>2.7802554603206127</v>
      </c>
      <c r="F356" s="383">
        <f t="shared" si="124"/>
        <v>2.7802554603206127</v>
      </c>
      <c r="G356" s="110">
        <f t="shared" si="122"/>
        <v>9.8346238032979358E-2</v>
      </c>
      <c r="H356" s="412" t="b">
        <f>Wh_hp&gt;='2019'!Maxi_hp</f>
        <v>0</v>
      </c>
      <c r="I356" s="388">
        <f>IF(H356,Wh_hp,'2019'!Maxi_hp)</f>
        <v>18.001380759086484</v>
      </c>
      <c r="J356" s="85">
        <f>IF(H356,An,'2019'!An_max)</f>
        <v>2018</v>
      </c>
      <c r="K356" s="197">
        <f t="shared" si="125"/>
        <v>44172</v>
      </c>
      <c r="L356" s="147">
        <f>IF(t&lt;Tvie,1-EXP((T0-t)*PertePVj)+'2019'!Pspv,1-EXP((T0-t)*PertePVj)+Pspv)</f>
        <v>1.2871948555311596E-2</v>
      </c>
      <c r="M356" s="832"/>
      <c r="N356" s="832"/>
      <c r="O356" s="48">
        <f>IF(t&lt;Tnet,'2019'!Resal+('2019'!Salim-'2019'!Resal)*(1-EXP(('2019'!Tnet-t)/('2019'!Tau_j))),Resal+(Salim-Resal)*(1-EXP((Tnet-t)/(Tau_j))))*Salcycl</f>
        <v>5.0089178411872756E-2</v>
      </c>
      <c r="P356" s="169">
        <f>(INDEX(Models!$BJ356:$BT356,,T356)*(1-R356)+INDEX(Models!$BJ356:$BT356,,T356+1)*R356-ERP_i)*Q356*Ramure*Pc/MaxiM</f>
        <v>2.4799236722981876E-4</v>
      </c>
      <c r="Q356" s="304">
        <f t="shared" si="126"/>
        <v>0.6</v>
      </c>
      <c r="R356" s="177">
        <f t="shared" si="127"/>
        <v>0.49898360294230604</v>
      </c>
      <c r="S356" s="799">
        <f t="shared" si="128"/>
        <v>-1</v>
      </c>
      <c r="T356" s="176">
        <f t="shared" si="129"/>
        <v>5</v>
      </c>
      <c r="U356" s="250">
        <f t="shared" si="130"/>
        <v>-0.50101639705769396</v>
      </c>
      <c r="V356" s="382">
        <f t="shared" si="131"/>
        <v>26.501811721813088</v>
      </c>
      <c r="W356" s="58"/>
      <c r="X356" s="157">
        <f t="shared" si="132"/>
        <v>44172</v>
      </c>
      <c r="Y356" s="383">
        <f t="shared" si="133"/>
        <v>2.6070000000000002</v>
      </c>
      <c r="Z356" s="383">
        <f t="shared" si="134"/>
        <v>2.6409947485380298</v>
      </c>
      <c r="AA356" s="384">
        <f t="shared" si="135"/>
        <v>2.7802554603206127</v>
      </c>
      <c r="AB356" s="197">
        <f t="shared" si="136"/>
        <v>44172</v>
      </c>
      <c r="AC356" s="424">
        <f>IF(OR(t&lt;Tnet,NoTnet),'2019'!Resal_s+('2019'!Salim-'2019'!Resal_s)*(1-EXP(('2019'!Tnet_s-t)/'2019'!Tau_j)),Resal_s+(Salim-Resal_s)*(1-EXP((Tnet_s-t)/Tau_j)))*Salcycl</f>
        <v>5.0089178411872756E-2</v>
      </c>
      <c r="AD356" s="230">
        <f>(INDEX(Models!$BJ356:$BT356,,AH356)*(1-AF356)+INDEX(Models!$BJ356:$BT356,,AH356+1)*AF356-ERP_i)*AE356*Ramure*Pc/MaxiM</f>
        <v>2.4799236722981876E-4</v>
      </c>
      <c r="AE356" s="304">
        <f t="shared" si="137"/>
        <v>0.6</v>
      </c>
      <c r="AF356" s="177">
        <f t="shared" si="138"/>
        <v>0.49898360294230604</v>
      </c>
      <c r="AG356" s="176">
        <f t="shared" si="139"/>
        <v>-1</v>
      </c>
      <c r="AH356" s="176">
        <f t="shared" si="140"/>
        <v>5</v>
      </c>
      <c r="AI356" s="224">
        <f t="shared" si="141"/>
        <v>-0.50101639705769396</v>
      </c>
      <c r="AJ356" s="264" t="b">
        <f t="shared" si="142"/>
        <v>0</v>
      </c>
      <c r="AK356" s="264" t="b">
        <f t="shared" si="143"/>
        <v>0</v>
      </c>
      <c r="AL356" s="264"/>
      <c r="AM356" s="264"/>
      <c r="AN356" s="75"/>
    </row>
    <row r="357" spans="1:40" s="6" customFormat="1" ht="11.25" x14ac:dyDescent="0.2">
      <c r="A357" s="56">
        <f t="shared" si="144"/>
        <v>44173</v>
      </c>
      <c r="B357" s="607">
        <v>8.2710000000000008</v>
      </c>
      <c r="C357" s="388"/>
      <c r="D357" s="391">
        <f t="shared" si="123"/>
        <v>8.3790127357447908</v>
      </c>
      <c r="E357" s="383">
        <f t="shared" si="121"/>
        <v>8.8211589919767768</v>
      </c>
      <c r="F357" s="383">
        <f t="shared" si="124"/>
        <v>8.8212021215860439</v>
      </c>
      <c r="G357" s="110">
        <f t="shared" si="122"/>
        <v>0.31318706863167234</v>
      </c>
      <c r="H357" s="412" t="b">
        <f>Wh_hp&gt;='2019'!Maxi_hp</f>
        <v>0</v>
      </c>
      <c r="I357" s="388">
        <f>IF(H357,Wh_hp,'2019'!Maxi_hp)</f>
        <v>12.508888202524682</v>
      </c>
      <c r="J357" s="85">
        <f>IF(H357,An,'2019'!An_max)</f>
        <v>2018</v>
      </c>
      <c r="K357" s="197">
        <f t="shared" si="125"/>
        <v>44173</v>
      </c>
      <c r="L357" s="147">
        <f>IF(t&lt;Tvie,1-EXP((T0-t)*PertePVj)+'2019'!Pspv,1-EXP((T0-t)*PertePVj)+Pspv)</f>
        <v>1.2890866639217458E-2</v>
      </c>
      <c r="M357" s="832"/>
      <c r="N357" s="832"/>
      <c r="O357" s="48">
        <f>IF(t&lt;Tnet,'2019'!Resal+('2019'!Salim-'2019'!Resal)*(1-EXP(('2019'!Tnet-t)/('2019'!Tau_j))),Resal+(Salim-Resal)*(1-EXP((Tnet-t)/(Tau_j))))*Salcycl</f>
        <v>5.0123374562700572E-2</v>
      </c>
      <c r="P357" s="169">
        <f>(INDEX(Models!$BJ357:$BT357,,T357)*(1-R357)+INDEX(Models!$BJ357:$BT357,,T357+1)*R357-ERP_i)*Q357*Ramure*Pc/MaxiM</f>
        <v>2.5798482745035493E-4</v>
      </c>
      <c r="Q357" s="304">
        <f t="shared" si="126"/>
        <v>0.6</v>
      </c>
      <c r="R357" s="177">
        <f t="shared" si="127"/>
        <v>0.498995452044666</v>
      </c>
      <c r="S357" s="799">
        <f t="shared" si="128"/>
        <v>-1</v>
      </c>
      <c r="T357" s="176">
        <f t="shared" si="129"/>
        <v>5</v>
      </c>
      <c r="U357" s="250">
        <f t="shared" si="130"/>
        <v>-0.501004547955334</v>
      </c>
      <c r="V357" s="382">
        <f t="shared" si="131"/>
        <v>26.402452287968647</v>
      </c>
      <c r="W357" s="58"/>
      <c r="X357" s="157">
        <f t="shared" si="132"/>
        <v>44173</v>
      </c>
      <c r="Y357" s="383">
        <f t="shared" si="133"/>
        <v>8.2710000000000008</v>
      </c>
      <c r="Z357" s="383">
        <f t="shared" si="134"/>
        <v>8.3790127357447908</v>
      </c>
      <c r="AA357" s="384">
        <f t="shared" si="135"/>
        <v>8.8211589919767768</v>
      </c>
      <c r="AB357" s="197">
        <f t="shared" si="136"/>
        <v>44173</v>
      </c>
      <c r="AC357" s="424">
        <f>IF(OR(t&lt;Tnet,NoTnet),'2019'!Resal_s+('2019'!Salim-'2019'!Resal_s)*(1-EXP(('2019'!Tnet_s-t)/'2019'!Tau_j)),Resal_s+(Salim-Resal_s)*(1-EXP((Tnet_s-t)/Tau_j)))*Salcycl</f>
        <v>5.0123374562700572E-2</v>
      </c>
      <c r="AD357" s="230">
        <f>(INDEX(Models!$BJ357:$BT357,,AH357)*(1-AF357)+INDEX(Models!$BJ357:$BT357,,AH357+1)*AF357-ERP_i)*AE357*Ramure*Pc/MaxiM</f>
        <v>2.5798482745035493E-4</v>
      </c>
      <c r="AE357" s="304">
        <f t="shared" si="137"/>
        <v>0.6</v>
      </c>
      <c r="AF357" s="177">
        <f t="shared" si="138"/>
        <v>0.498995452044666</v>
      </c>
      <c r="AG357" s="176">
        <f t="shared" si="139"/>
        <v>-1</v>
      </c>
      <c r="AH357" s="176">
        <f t="shared" si="140"/>
        <v>5</v>
      </c>
      <c r="AI357" s="224">
        <f t="shared" si="141"/>
        <v>-0.501004547955334</v>
      </c>
      <c r="AJ357" s="264" t="b">
        <f t="shared" si="142"/>
        <v>0</v>
      </c>
      <c r="AK357" s="264" t="b">
        <f t="shared" si="143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4"/>
        <v>44174</v>
      </c>
      <c r="B358" s="607">
        <v>8.2889999999999997</v>
      </c>
      <c r="C358" s="388"/>
      <c r="D358" s="391">
        <f t="shared" si="123"/>
        <v>8.3974087359688614</v>
      </c>
      <c r="E358" s="383">
        <f t="shared" si="121"/>
        <v>8.8408502654581564</v>
      </c>
      <c r="F358" s="383">
        <f t="shared" si="124"/>
        <v>8.8409010889110959</v>
      </c>
      <c r="G358" s="110">
        <f t="shared" si="122"/>
        <v>0.31493102110739607</v>
      </c>
      <c r="H358" s="412" t="b">
        <f>Wh_hp&gt;='2019'!Maxi_hp</f>
        <v>0</v>
      </c>
      <c r="I358" s="388">
        <f>IF(H358,Wh_hp,'2019'!Maxi_hp)</f>
        <v>24.237624658257118</v>
      </c>
      <c r="J358" s="85">
        <f>IF(H358,An,'2019'!An_max)</f>
        <v>2018</v>
      </c>
      <c r="K358" s="197">
        <f t="shared" si="125"/>
        <v>44174</v>
      </c>
      <c r="L358" s="147">
        <f>IF(t&lt;Tvie,1-EXP((T0-t)*PertePVj)+'2019'!Pspv,1-EXP((T0-t)*PertePVj)+Pspv)</f>
        <v>1.290978436056256E-2</v>
      </c>
      <c r="M358" s="832"/>
      <c r="N358" s="832"/>
      <c r="O358" s="48">
        <f>IF(t&lt;Tnet,'2019'!Resal+('2019'!Salim-'2019'!Resal)*(1-EXP(('2019'!Tnet-t)/('2019'!Tau_j))),Resal+(Salim-Resal)*(1-EXP((Tnet-t)/(Tau_j))))*Salcycl</f>
        <v>5.0158244532412737E-2</v>
      </c>
      <c r="P358" s="169">
        <f>(INDEX(Models!$BJ358:$BT358,,T358)*(1-R358)+INDEX(Models!$BJ358:$BT358,,T358+1)*R358-ERP_i)*Q358*Ramure*Pc/MaxiM</f>
        <v>2.6802764469528305E-4</v>
      </c>
      <c r="Q358" s="304">
        <f t="shared" si="126"/>
        <v>0.6</v>
      </c>
      <c r="R358" s="177">
        <f t="shared" si="127"/>
        <v>0.49900682459531054</v>
      </c>
      <c r="S358" s="799">
        <f t="shared" si="128"/>
        <v>-1</v>
      </c>
      <c r="T358" s="176">
        <f t="shared" si="129"/>
        <v>5</v>
      </c>
      <c r="U358" s="250">
        <f t="shared" si="130"/>
        <v>-0.50099317540468946</v>
      </c>
      <c r="V358" s="382">
        <f t="shared" si="131"/>
        <v>26.313146059635571</v>
      </c>
      <c r="W358" s="58"/>
      <c r="X358" s="157">
        <f t="shared" si="132"/>
        <v>44174</v>
      </c>
      <c r="Y358" s="383">
        <f t="shared" si="133"/>
        <v>8.2889999999999997</v>
      </c>
      <c r="Z358" s="383">
        <f t="shared" si="134"/>
        <v>8.3974087359688614</v>
      </c>
      <c r="AA358" s="384">
        <f t="shared" si="135"/>
        <v>8.8408502654581564</v>
      </c>
      <c r="AB358" s="197">
        <f t="shared" si="136"/>
        <v>44174</v>
      </c>
      <c r="AC358" s="424">
        <f>IF(OR(t&lt;Tnet,NoTnet),'2019'!Resal_s+('2019'!Salim-'2019'!Resal_s)*(1-EXP(('2019'!Tnet_s-t)/'2019'!Tau_j)),Resal_s+(Salim-Resal_s)*(1-EXP((Tnet_s-t)/Tau_j)))*Salcycl</f>
        <v>5.0158244532412737E-2</v>
      </c>
      <c r="AD358" s="230">
        <f>(INDEX(Models!$BJ358:$BT358,,AH358)*(1-AF358)+INDEX(Models!$BJ358:$BT358,,AH358+1)*AF358-ERP_i)*AE358*Ramure*Pc/MaxiM</f>
        <v>2.6802764469528305E-4</v>
      </c>
      <c r="AE358" s="304">
        <f t="shared" si="137"/>
        <v>0.6</v>
      </c>
      <c r="AF358" s="177">
        <f t="shared" si="138"/>
        <v>0.49900682459531054</v>
      </c>
      <c r="AG358" s="176">
        <f t="shared" si="139"/>
        <v>-1</v>
      </c>
      <c r="AH358" s="176">
        <f t="shared" si="140"/>
        <v>5</v>
      </c>
      <c r="AI358" s="224">
        <f t="shared" si="141"/>
        <v>-0.50099317540468946</v>
      </c>
      <c r="AJ358" s="264" t="b">
        <f t="shared" si="142"/>
        <v>0</v>
      </c>
      <c r="AK358" s="264" t="b">
        <f t="shared" si="143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4"/>
        <v>44175</v>
      </c>
      <c r="B359" s="607">
        <v>4.7030000000000003</v>
      </c>
      <c r="C359" s="388"/>
      <c r="D359" s="391">
        <f t="shared" si="123"/>
        <v>4.7646000934198307</v>
      </c>
      <c r="E359" s="383">
        <f t="shared" si="121"/>
        <v>5.0163916654486957</v>
      </c>
      <c r="F359" s="383">
        <f t="shared" si="124"/>
        <v>5.0163916654486957</v>
      </c>
      <c r="G359" s="110">
        <f t="shared" si="122"/>
        <v>0.17922937125823549</v>
      </c>
      <c r="H359" s="412" t="b">
        <f>Wh_hp&gt;='2019'!Maxi_hp</f>
        <v>1</v>
      </c>
      <c r="I359" s="388">
        <f>IF(H359,Wh_hp,'2019'!Maxi_hp)</f>
        <v>5.0163916654486957</v>
      </c>
      <c r="J359" s="85">
        <f>IF(H359,An,'2019'!An_max)</f>
        <v>2020</v>
      </c>
      <c r="K359" s="197">
        <f t="shared" si="125"/>
        <v>44175</v>
      </c>
      <c r="L359" s="147">
        <f>IF(t&lt;Tvie,1-EXP((T0-t)*PertePVj)+'2019'!Pspv,1-EXP((T0-t)*PertePVj)+Pspv)</f>
        <v>1.2928701719353786E-2</v>
      </c>
      <c r="M359" s="832"/>
      <c r="N359" s="832"/>
      <c r="O359" s="48">
        <f>IF(t&lt;Tnet,'2019'!Resal+('2019'!Salim-'2019'!Resal)*(1-EXP(('2019'!Tnet-t)/('2019'!Tau_j))),Resal+(Salim-Resal)*(1-EXP((Tnet-t)/(Tau_j))))*Salcycl</f>
        <v>5.0193762533161969E-2</v>
      </c>
      <c r="P359" s="169">
        <f>(INDEX(Models!$BJ359:$BT359,,T359)*(1-R359)+INDEX(Models!$BJ359:$BT359,,T359+1)*R359-ERP_i)*Q359*Ramure*Pc/MaxiM</f>
        <v>2.7812632113743307E-4</v>
      </c>
      <c r="Q359" s="304">
        <f t="shared" si="126"/>
        <v>0.6</v>
      </c>
      <c r="R359" s="177">
        <f t="shared" si="127"/>
        <v>0.49901773974000196</v>
      </c>
      <c r="S359" s="799">
        <f t="shared" si="128"/>
        <v>-1</v>
      </c>
      <c r="T359" s="176">
        <f t="shared" si="129"/>
        <v>5</v>
      </c>
      <c r="U359" s="250">
        <f t="shared" si="130"/>
        <v>-0.50098226025999804</v>
      </c>
      <c r="V359" s="382">
        <f t="shared" si="131"/>
        <v>26.232820764278898</v>
      </c>
      <c r="W359" s="58"/>
      <c r="X359" s="157">
        <f t="shared" si="132"/>
        <v>44175</v>
      </c>
      <c r="Y359" s="383">
        <f t="shared" si="133"/>
        <v>4.7030000000000003</v>
      </c>
      <c r="Z359" s="383">
        <f t="shared" si="134"/>
        <v>4.7646000934198307</v>
      </c>
      <c r="AA359" s="384">
        <f t="shared" si="135"/>
        <v>5.0163916654486957</v>
      </c>
      <c r="AB359" s="197">
        <f t="shared" si="136"/>
        <v>44175</v>
      </c>
      <c r="AC359" s="424">
        <f>IF(OR(t&lt;Tnet,NoTnet),'2019'!Resal_s+('2019'!Salim-'2019'!Resal_s)*(1-EXP(('2019'!Tnet_s-t)/'2019'!Tau_j)),Resal_s+(Salim-Resal_s)*(1-EXP((Tnet_s-t)/Tau_j)))*Salcycl</f>
        <v>5.0193762533161969E-2</v>
      </c>
      <c r="AD359" s="230">
        <f>(INDEX(Models!$BJ359:$BT359,,AH359)*(1-AF359)+INDEX(Models!$BJ359:$BT359,,AH359+1)*AF359-ERP_i)*AE359*Ramure*Pc/MaxiM</f>
        <v>2.7812632113743307E-4</v>
      </c>
      <c r="AE359" s="304">
        <f t="shared" si="137"/>
        <v>0.6</v>
      </c>
      <c r="AF359" s="177">
        <f t="shared" si="138"/>
        <v>0.49901773974000196</v>
      </c>
      <c r="AG359" s="176">
        <f t="shared" si="139"/>
        <v>-1</v>
      </c>
      <c r="AH359" s="176">
        <f t="shared" si="140"/>
        <v>5</v>
      </c>
      <c r="AI359" s="224">
        <f t="shared" si="141"/>
        <v>-0.50098226025999804</v>
      </c>
      <c r="AJ359" s="264" t="b">
        <f t="shared" si="142"/>
        <v>0</v>
      </c>
      <c r="AK359" s="264" t="b">
        <f t="shared" si="143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4"/>
        <v>44176</v>
      </c>
      <c r="B360" s="607">
        <v>7.1260000000000003</v>
      </c>
      <c r="C360" s="388"/>
      <c r="D360" s="391">
        <f t="shared" si="123"/>
        <v>7.2194750097530731</v>
      </c>
      <c r="E360" s="383">
        <f t="shared" si="121"/>
        <v>7.601286902165314</v>
      </c>
      <c r="F360" s="383">
        <f t="shared" si="124"/>
        <v>7.601286902165314</v>
      </c>
      <c r="G360" s="110">
        <f t="shared" si="122"/>
        <v>0.27231799823485847</v>
      </c>
      <c r="H360" s="412" t="b">
        <f>Wh_hp&gt;='2019'!Maxi_hp</f>
        <v>1</v>
      </c>
      <c r="I360" s="388">
        <f>IF(H360,Wh_hp,'2019'!Maxi_hp)</f>
        <v>7.601286902165314</v>
      </c>
      <c r="J360" s="85">
        <f>IF(H360,An,'2019'!An_max)</f>
        <v>2020</v>
      </c>
      <c r="K360" s="197">
        <f t="shared" si="125"/>
        <v>44176</v>
      </c>
      <c r="L360" s="147">
        <f>IF(t&lt;Tvie,1-EXP((T0-t)*PertePVj)+'2019'!Pspv,1-EXP((T0-t)*PertePVj)+Pspv)</f>
        <v>1.2947618715598241E-2</v>
      </c>
      <c r="M360" s="832"/>
      <c r="N360" s="832"/>
      <c r="O360" s="48">
        <f>IF(t&lt;Tnet,'2019'!Resal+('2019'!Salim-'2019'!Resal)*(1-EXP(('2019'!Tnet-t)/('2019'!Tau_j))),Resal+(Salim-Resal)*(1-EXP((Tnet-t)/(Tau_j))))*Salcycl</f>
        <v>5.0229901505688047E-2</v>
      </c>
      <c r="P360" s="169">
        <f>(INDEX(Models!$BJ360:$BT360,,T360)*(1-R360)+INDEX(Models!$BJ360:$BT360,,T360+1)*R360-ERP_i)*Q360*Ramure*Pc/MaxiM</f>
        <v>2.8828776289167092E-4</v>
      </c>
      <c r="Q360" s="304">
        <f t="shared" si="126"/>
        <v>0.6</v>
      </c>
      <c r="R360" s="177">
        <f t="shared" si="127"/>
        <v>0.49902821585691659</v>
      </c>
      <c r="S360" s="799">
        <f t="shared" si="128"/>
        <v>-1</v>
      </c>
      <c r="T360" s="176">
        <f t="shared" si="129"/>
        <v>5</v>
      </c>
      <c r="U360" s="250">
        <f t="shared" si="130"/>
        <v>-0.50097178414308341</v>
      </c>
      <c r="V360" s="382">
        <f t="shared" si="131"/>
        <v>26.16039228981716</v>
      </c>
      <c r="W360" s="58"/>
      <c r="X360" s="157">
        <f t="shared" si="132"/>
        <v>44176</v>
      </c>
      <c r="Y360" s="383">
        <f t="shared" si="133"/>
        <v>7.1260000000000003</v>
      </c>
      <c r="Z360" s="383">
        <f t="shared" si="134"/>
        <v>7.2194750097530731</v>
      </c>
      <c r="AA360" s="384">
        <f t="shared" si="135"/>
        <v>7.601286902165314</v>
      </c>
      <c r="AB360" s="197">
        <f t="shared" si="136"/>
        <v>44176</v>
      </c>
      <c r="AC360" s="424">
        <f>IF(OR(t&lt;Tnet,NoTnet),'2019'!Resal_s+('2019'!Salim-'2019'!Resal_s)*(1-EXP(('2019'!Tnet_s-t)/'2019'!Tau_j)),Resal_s+(Salim-Resal_s)*(1-EXP((Tnet_s-t)/Tau_j)))*Salcycl</f>
        <v>5.0229901505688047E-2</v>
      </c>
      <c r="AD360" s="230">
        <f>(INDEX(Models!$BJ360:$BT360,,AH360)*(1-AF360)+INDEX(Models!$BJ360:$BT360,,AH360+1)*AF360-ERP_i)*AE360*Ramure*Pc/MaxiM</f>
        <v>2.8828776289167092E-4</v>
      </c>
      <c r="AE360" s="304">
        <f t="shared" si="137"/>
        <v>0.6</v>
      </c>
      <c r="AF360" s="177">
        <f t="shared" si="138"/>
        <v>0.49902821585691659</v>
      </c>
      <c r="AG360" s="176">
        <f t="shared" si="139"/>
        <v>-1</v>
      </c>
      <c r="AH360" s="176">
        <f t="shared" si="140"/>
        <v>5</v>
      </c>
      <c r="AI360" s="224">
        <f t="shared" si="141"/>
        <v>-0.50097178414308341</v>
      </c>
      <c r="AJ360" s="264" t="b">
        <f t="shared" si="142"/>
        <v>0</v>
      </c>
      <c r="AK360" s="264" t="b">
        <f t="shared" si="143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4"/>
        <v>44177</v>
      </c>
      <c r="B361" s="607">
        <v>10.763999999999999</v>
      </c>
      <c r="C361" s="388"/>
      <c r="D361" s="391">
        <f t="shared" si="123"/>
        <v>10.905405323627287</v>
      </c>
      <c r="E361" s="383">
        <f t="shared" ref="E361:E379" si="145">Wh_pvt/(1-Psa)</f>
        <v>11.482596806916783</v>
      </c>
      <c r="F361" s="383">
        <f t="shared" si="124"/>
        <v>11.483146120449204</v>
      </c>
      <c r="G361" s="110">
        <f t="shared" ref="G361:G379" si="146">+Wh_hp/MaxiM</f>
        <v>0.41237131966830087</v>
      </c>
      <c r="H361" s="412" t="b">
        <f>Wh_hp&gt;='2019'!Maxi_hp</f>
        <v>1</v>
      </c>
      <c r="I361" s="388">
        <f>IF(H361,Wh_hp,'2019'!Maxi_hp)</f>
        <v>11.483146120449204</v>
      </c>
      <c r="J361" s="85">
        <f>IF(H361,An,'2019'!An_max)</f>
        <v>2020</v>
      </c>
      <c r="K361" s="197">
        <f t="shared" si="125"/>
        <v>44177</v>
      </c>
      <c r="L361" s="147">
        <f>IF(t&lt;Tvie,1-EXP((T0-t)*PertePVj)+'2019'!Pspv,1-EXP((T0-t)*PertePVj)+Pspv)</f>
        <v>1.2966535349302699E-2</v>
      </c>
      <c r="M361" s="832"/>
      <c r="N361" s="832"/>
      <c r="O361" s="48">
        <f>IF(t&lt;Tnet,'2019'!Resal+('2019'!Salim-'2019'!Resal)*(1-EXP(('2019'!Tnet-t)/('2019'!Tau_j))),Resal+(Salim-Resal)*(1-EXP((Tnet-t)/(Tau_j))))*Salcycl</f>
        <v>5.0266633323031419E-2</v>
      </c>
      <c r="P361" s="169">
        <f>(INDEX(Models!$BJ361:$BT361,,T361)*(1-R361)+INDEX(Models!$BJ361:$BT361,,T361+1)*R361-ERP_i)*Q361*Ramure*Pc/MaxiM</f>
        <v>2.9771710358776372E-4</v>
      </c>
      <c r="Q361" s="304">
        <f t="shared" si="126"/>
        <v>0.6</v>
      </c>
      <c r="R361" s="177">
        <f t="shared" si="127"/>
        <v>0.49903827058729255</v>
      </c>
      <c r="S361" s="799">
        <f t="shared" si="128"/>
        <v>-1</v>
      </c>
      <c r="T361" s="176">
        <f t="shared" si="129"/>
        <v>5</v>
      </c>
      <c r="U361" s="250">
        <f t="shared" si="130"/>
        <v>-0.50096172941270745</v>
      </c>
      <c r="V361" s="382">
        <f t="shared" si="131"/>
        <v>26.096165381187443</v>
      </c>
      <c r="W361" s="58"/>
      <c r="X361" s="157">
        <f t="shared" si="132"/>
        <v>44177</v>
      </c>
      <c r="Y361" s="383">
        <f t="shared" si="133"/>
        <v>10.763999999999999</v>
      </c>
      <c r="Z361" s="383">
        <f t="shared" si="134"/>
        <v>10.905405323627287</v>
      </c>
      <c r="AA361" s="384">
        <f t="shared" si="135"/>
        <v>11.482596806916783</v>
      </c>
      <c r="AB361" s="197">
        <f t="shared" si="136"/>
        <v>44177</v>
      </c>
      <c r="AC361" s="424">
        <f>IF(OR(t&lt;Tnet,NoTnet),'2019'!Resal_s+('2019'!Salim-'2019'!Resal_s)*(1-EXP(('2019'!Tnet_s-t)/'2019'!Tau_j)),Resal_s+(Salim-Resal_s)*(1-EXP((Tnet_s-t)/Tau_j)))*Salcycl</f>
        <v>5.0266633323031419E-2</v>
      </c>
      <c r="AD361" s="230">
        <f>(INDEX(Models!$BJ361:$BT361,,AH361)*(1-AF361)+INDEX(Models!$BJ361:$BT361,,AH361+1)*AF361-ERP_i)*AE361*Ramure*Pc/MaxiM</f>
        <v>2.9771710358776372E-4</v>
      </c>
      <c r="AE361" s="304">
        <f t="shared" si="137"/>
        <v>0.6</v>
      </c>
      <c r="AF361" s="177">
        <f t="shared" si="138"/>
        <v>0.49903827058729255</v>
      </c>
      <c r="AG361" s="176">
        <f t="shared" si="139"/>
        <v>-1</v>
      </c>
      <c r="AH361" s="176">
        <f t="shared" si="140"/>
        <v>5</v>
      </c>
      <c r="AI361" s="224">
        <f t="shared" si="141"/>
        <v>-0.50096172941270745</v>
      </c>
      <c r="AJ361" s="264" t="b">
        <f t="shared" si="142"/>
        <v>0</v>
      </c>
      <c r="AK361" s="264" t="b">
        <f t="shared" si="143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4"/>
        <v>44178</v>
      </c>
      <c r="B362" s="607">
        <v>11.795999999999999</v>
      </c>
      <c r="C362" s="388"/>
      <c r="D362" s="391">
        <f t="shared" si="123"/>
        <v>11.951191620596269</v>
      </c>
      <c r="E362" s="383">
        <f t="shared" si="145"/>
        <v>12.584227718197377</v>
      </c>
      <c r="F362" s="383">
        <f t="shared" si="124"/>
        <v>12.585070500946349</v>
      </c>
      <c r="G362" s="110">
        <f t="shared" si="146"/>
        <v>0.4528795452069605</v>
      </c>
      <c r="H362" s="412" t="b">
        <f>Wh_hp&gt;='2019'!Maxi_hp</f>
        <v>0</v>
      </c>
      <c r="I362" s="388">
        <f>IF(H362,Wh_hp,'2019'!Maxi_hp)</f>
        <v>20.006599068171216</v>
      </c>
      <c r="J362" s="85">
        <f>IF(H362,An,'2019'!An_max)</f>
        <v>2018</v>
      </c>
      <c r="K362" s="197">
        <f t="shared" si="125"/>
        <v>44178</v>
      </c>
      <c r="L362" s="147">
        <f>IF(t&lt;Tvie,1-EXP((T0-t)*PertePVj)+'2019'!Pspv,1-EXP((T0-t)*PertePVj)+Pspv)</f>
        <v>1.2985451620474264E-2</v>
      </c>
      <c r="M362" s="832"/>
      <c r="N362" s="832"/>
      <c r="O362" s="48">
        <f>IF(t&lt;Tnet,'2019'!Resal+('2019'!Salim-'2019'!Resal)*(1-EXP(('2019'!Tnet-t)/('2019'!Tau_j))),Resal+(Salim-Resal)*(1-EXP((Tnet-t)/(Tau_j))))*Salcycl</f>
        <v>5.0303928995635357E-2</v>
      </c>
      <c r="P362" s="169">
        <f>(INDEX(Models!$BJ362:$BT362,,T362)*(1-R362)+INDEX(Models!$BJ362:$BT362,,T362+1)*R362-ERP_i)*Q362*Ramure*Pc/MaxiM</f>
        <v>3.0640835999311988E-4</v>
      </c>
      <c r="Q362" s="304">
        <f t="shared" si="126"/>
        <v>0.6</v>
      </c>
      <c r="R362" s="177">
        <f t="shared" si="127"/>
        <v>0.49904792086486194</v>
      </c>
      <c r="S362" s="799">
        <f t="shared" si="128"/>
        <v>-1</v>
      </c>
      <c r="T362" s="176">
        <f t="shared" si="129"/>
        <v>5</v>
      </c>
      <c r="U362" s="250">
        <f t="shared" si="130"/>
        <v>-0.50095207913513806</v>
      </c>
      <c r="V362" s="382">
        <f t="shared" si="131"/>
        <v>26.040423957783503</v>
      </c>
      <c r="W362" s="58"/>
      <c r="X362" s="157">
        <f t="shared" si="132"/>
        <v>44178</v>
      </c>
      <c r="Y362" s="383">
        <f t="shared" si="133"/>
        <v>11.795999999999999</v>
      </c>
      <c r="Z362" s="383">
        <f t="shared" si="134"/>
        <v>11.951191620596269</v>
      </c>
      <c r="AA362" s="384">
        <f t="shared" si="135"/>
        <v>12.584227718197377</v>
      </c>
      <c r="AB362" s="197">
        <f t="shared" si="136"/>
        <v>44178</v>
      </c>
      <c r="AC362" s="424">
        <f>IF(OR(t&lt;Tnet,NoTnet),'2019'!Resal_s+('2019'!Salim-'2019'!Resal_s)*(1-EXP(('2019'!Tnet_s-t)/'2019'!Tau_j)),Resal_s+(Salim-Resal_s)*(1-EXP((Tnet_s-t)/Tau_j)))*Salcycl</f>
        <v>5.0303928995635357E-2</v>
      </c>
      <c r="AD362" s="230">
        <f>(INDEX(Models!$BJ362:$BT362,,AH362)*(1-AF362)+INDEX(Models!$BJ362:$BT362,,AH362+1)*AF362-ERP_i)*AE362*Ramure*Pc/MaxiM</f>
        <v>3.0640835999311988E-4</v>
      </c>
      <c r="AE362" s="304">
        <f t="shared" si="137"/>
        <v>0.6</v>
      </c>
      <c r="AF362" s="177">
        <f t="shared" si="138"/>
        <v>0.49904792086486194</v>
      </c>
      <c r="AG362" s="176">
        <f t="shared" si="139"/>
        <v>-1</v>
      </c>
      <c r="AH362" s="176">
        <f t="shared" si="140"/>
        <v>5</v>
      </c>
      <c r="AI362" s="224">
        <f t="shared" si="141"/>
        <v>-0.50095207913513806</v>
      </c>
      <c r="AJ362" s="264" t="b">
        <f t="shared" si="142"/>
        <v>0</v>
      </c>
      <c r="AK362" s="264" t="b">
        <f t="shared" si="143"/>
        <v>0</v>
      </c>
      <c r="AL362" s="264"/>
      <c r="AM362" s="264"/>
      <c r="AN362" s="75"/>
    </row>
    <row r="363" spans="1:40" s="6" customFormat="1" ht="11.25" x14ac:dyDescent="0.2">
      <c r="A363" s="56">
        <f t="shared" si="144"/>
        <v>44179</v>
      </c>
      <c r="B363" s="607">
        <v>3.6880000000000002</v>
      </c>
      <c r="C363" s="388"/>
      <c r="D363" s="391">
        <f t="shared" si="123"/>
        <v>3.7365920158808894</v>
      </c>
      <c r="E363" s="383">
        <f t="shared" si="145"/>
        <v>3.9346702361675465</v>
      </c>
      <c r="F363" s="383">
        <f t="shared" si="124"/>
        <v>3.9346702361675465</v>
      </c>
      <c r="G363" s="110">
        <f t="shared" si="146"/>
        <v>0.14183728557009229</v>
      </c>
      <c r="H363" s="412" t="b">
        <f>Wh_hp&gt;='2019'!Maxi_hp</f>
        <v>0</v>
      </c>
      <c r="I363" s="388">
        <f>IF(H363,Wh_hp,'2019'!Maxi_hp)</f>
        <v>28.710535852153466</v>
      </c>
      <c r="J363" s="85">
        <f>IF(H363,An,'2019'!An_max)</f>
        <v>2018</v>
      </c>
      <c r="K363" s="197">
        <f t="shared" si="125"/>
        <v>44179</v>
      </c>
      <c r="L363" s="147">
        <f>IF(t&lt;Tvie,1-EXP((T0-t)*PertePVj)+'2019'!Pspv,1-EXP((T0-t)*PertePVj)+Pspv)</f>
        <v>1.3004367529119709E-2</v>
      </c>
      <c r="M363" s="832"/>
      <c r="N363" s="832"/>
      <c r="O363" s="48">
        <f>IF(t&lt;Tnet,'2019'!Resal+('2019'!Salim-'2019'!Resal)*(1-EXP(('2019'!Tnet-t)/('2019'!Tau_j))),Resal+(Salim-Resal)*(1-EXP((Tnet-t)/(Tau_j))))*Salcycl</f>
        <v>5.0341758876238006E-2</v>
      </c>
      <c r="P363" s="169">
        <f>(INDEX(Models!$BJ363:$BT363,,T363)*(1-R363)+INDEX(Models!$BJ363:$BT363,,T363+1)*R363-ERP_i)*Q363*Ramure*Pc/MaxiM</f>
        <v>3.143550663557463E-4</v>
      </c>
      <c r="Q363" s="304">
        <f t="shared" si="126"/>
        <v>0.6</v>
      </c>
      <c r="R363" s="177">
        <f t="shared" si="127"/>
        <v>0.49905718294411838</v>
      </c>
      <c r="S363" s="799">
        <f t="shared" si="128"/>
        <v>-1</v>
      </c>
      <c r="T363" s="176">
        <f t="shared" si="129"/>
        <v>5</v>
      </c>
      <c r="U363" s="250">
        <f t="shared" si="130"/>
        <v>-0.50094281705588162</v>
      </c>
      <c r="V363" s="382">
        <f t="shared" si="131"/>
        <v>25.993451888878255</v>
      </c>
      <c r="W363" s="58"/>
      <c r="X363" s="157">
        <f t="shared" si="132"/>
        <v>44179</v>
      </c>
      <c r="Y363" s="383">
        <f t="shared" si="133"/>
        <v>3.6880000000000002</v>
      </c>
      <c r="Z363" s="383">
        <f t="shared" si="134"/>
        <v>3.7365920158808894</v>
      </c>
      <c r="AA363" s="384">
        <f t="shared" si="135"/>
        <v>3.9346702361675465</v>
      </c>
      <c r="AB363" s="197">
        <f t="shared" si="136"/>
        <v>44179</v>
      </c>
      <c r="AC363" s="424">
        <f>IF(OR(t&lt;Tnet,NoTnet),'2019'!Resal_s+('2019'!Salim-'2019'!Resal_s)*(1-EXP(('2019'!Tnet_s-t)/'2019'!Tau_j)),Resal_s+(Salim-Resal_s)*(1-EXP((Tnet_s-t)/Tau_j)))*Salcycl</f>
        <v>5.0341758876238006E-2</v>
      </c>
      <c r="AD363" s="230">
        <f>(INDEX(Models!$BJ363:$BT363,,AH363)*(1-AF363)+INDEX(Models!$BJ363:$BT363,,AH363+1)*AF363-ERP_i)*AE363*Ramure*Pc/MaxiM</f>
        <v>3.143550663557463E-4</v>
      </c>
      <c r="AE363" s="304">
        <f t="shared" si="137"/>
        <v>0.6</v>
      </c>
      <c r="AF363" s="177">
        <f t="shared" si="138"/>
        <v>0.49905718294411838</v>
      </c>
      <c r="AG363" s="176">
        <f t="shared" si="139"/>
        <v>-1</v>
      </c>
      <c r="AH363" s="176">
        <f t="shared" si="140"/>
        <v>5</v>
      </c>
      <c r="AI363" s="224">
        <f t="shared" si="141"/>
        <v>-0.50094281705588162</v>
      </c>
      <c r="AJ363" s="264" t="b">
        <f t="shared" si="142"/>
        <v>0</v>
      </c>
      <c r="AK363" s="264" t="b">
        <f t="shared" si="143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4"/>
        <v>44180</v>
      </c>
      <c r="B364" s="607">
        <v>2.3340000000000001</v>
      </c>
      <c r="C364" s="388"/>
      <c r="D364" s="391">
        <f t="shared" si="123"/>
        <v>2.3647974262982965</v>
      </c>
      <c r="E364" s="383">
        <f t="shared" si="145"/>
        <v>2.490256794876859</v>
      </c>
      <c r="F364" s="383">
        <f t="shared" si="124"/>
        <v>2.490256794876859</v>
      </c>
      <c r="G364" s="110">
        <f t="shared" si="146"/>
        <v>8.9894108565840444E-2</v>
      </c>
      <c r="H364" s="412" t="b">
        <f>Wh_hp&gt;='2019'!Maxi_hp</f>
        <v>0</v>
      </c>
      <c r="I364" s="388">
        <f>IF(H364,Wh_hp,'2019'!Maxi_hp)</f>
        <v>15.503336460049537</v>
      </c>
      <c r="J364" s="85">
        <f>IF(H364,An,'2019'!An_max)</f>
        <v>2018</v>
      </c>
      <c r="K364" s="197">
        <f t="shared" si="125"/>
        <v>44180</v>
      </c>
      <c r="L364" s="147">
        <f>IF(t&lt;Tvie,1-EXP((T0-t)*PertePVj)+'2019'!Pspv,1-EXP((T0-t)*PertePVj)+Pspv)</f>
        <v>1.3023283075246139E-2</v>
      </c>
      <c r="M364" s="832"/>
      <c r="N364" s="832"/>
      <c r="O364" s="48">
        <f>IF(t&lt;Tnet,'2019'!Resal+('2019'!Salim-'2019'!Resal)*(1-EXP(('2019'!Tnet-t)/('2019'!Tau_j))),Resal+(Salim-Resal)*(1-EXP((Tnet-t)/(Tau_j))))*Salcycl</f>
        <v>5.0380092862979842E-2</v>
      </c>
      <c r="P364" s="169">
        <f>(INDEX(Models!$BJ364:$BT364,,T364)*(1-R364)+INDEX(Models!$BJ364:$BT364,,T364+1)*R364-ERP_i)*Q364*Ramure*Pc/MaxiM</f>
        <v>3.2155045784549463E-4</v>
      </c>
      <c r="Q364" s="304">
        <f t="shared" si="126"/>
        <v>0.6</v>
      </c>
      <c r="R364" s="177">
        <f t="shared" si="127"/>
        <v>0.49906607242746359</v>
      </c>
      <c r="S364" s="799">
        <f t="shared" si="128"/>
        <v>-1</v>
      </c>
      <c r="T364" s="176">
        <f t="shared" si="129"/>
        <v>5</v>
      </c>
      <c r="U364" s="250">
        <f t="shared" si="130"/>
        <v>-0.50093392757253641</v>
      </c>
      <c r="V364" s="382">
        <f t="shared" si="131"/>
        <v>25.955532998277246</v>
      </c>
      <c r="W364" s="58"/>
      <c r="X364" s="157">
        <f t="shared" si="132"/>
        <v>44180</v>
      </c>
      <c r="Y364" s="383">
        <f t="shared" si="133"/>
        <v>2.3340000000000001</v>
      </c>
      <c r="Z364" s="383">
        <f t="shared" si="134"/>
        <v>2.3647974262982965</v>
      </c>
      <c r="AA364" s="384">
        <f t="shared" si="135"/>
        <v>2.490256794876859</v>
      </c>
      <c r="AB364" s="197">
        <f t="shared" si="136"/>
        <v>44180</v>
      </c>
      <c r="AC364" s="424">
        <f>IF(OR(t&lt;Tnet,NoTnet),'2019'!Resal_s+('2019'!Salim-'2019'!Resal_s)*(1-EXP(('2019'!Tnet_s-t)/'2019'!Tau_j)),Resal_s+(Salim-Resal_s)*(1-EXP((Tnet_s-t)/Tau_j)))*Salcycl</f>
        <v>5.0380092862979842E-2</v>
      </c>
      <c r="AD364" s="230">
        <f>(INDEX(Models!$BJ364:$BT364,,AH364)*(1-AF364)+INDEX(Models!$BJ364:$BT364,,AH364+1)*AF364-ERP_i)*AE364*Ramure*Pc/MaxiM</f>
        <v>3.2155045784549463E-4</v>
      </c>
      <c r="AE364" s="304">
        <f t="shared" si="137"/>
        <v>0.6</v>
      </c>
      <c r="AF364" s="177">
        <f t="shared" si="138"/>
        <v>0.49906607242746359</v>
      </c>
      <c r="AG364" s="176">
        <f t="shared" si="139"/>
        <v>-1</v>
      </c>
      <c r="AH364" s="176">
        <f t="shared" si="140"/>
        <v>5</v>
      </c>
      <c r="AI364" s="224">
        <f t="shared" si="141"/>
        <v>-0.50093392757253641</v>
      </c>
      <c r="AJ364" s="264" t="b">
        <f t="shared" si="142"/>
        <v>0</v>
      </c>
      <c r="AK364" s="264" t="b">
        <f t="shared" si="143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4"/>
        <v>44181</v>
      </c>
      <c r="B365" s="607">
        <v>20.431999999999999</v>
      </c>
      <c r="C365" s="388"/>
      <c r="D365" s="391">
        <f t="shared" si="123"/>
        <v>20.701999582915224</v>
      </c>
      <c r="E365" s="383">
        <f t="shared" si="145"/>
        <v>21.801191700191044</v>
      </c>
      <c r="F365" s="383">
        <f t="shared" si="124"/>
        <v>21.806178391504293</v>
      </c>
      <c r="G365" s="110">
        <f t="shared" si="146"/>
        <v>0.78798199213853004</v>
      </c>
      <c r="H365" s="412" t="b">
        <f>Wh_hp&gt;='2019'!Maxi_hp</f>
        <v>1</v>
      </c>
      <c r="I365" s="388">
        <f>IF(H365,Wh_hp,'2019'!Maxi_hp)</f>
        <v>21.806178391504293</v>
      </c>
      <c r="J365" s="85">
        <f>IF(H365,An,'2019'!An_max)</f>
        <v>2020</v>
      </c>
      <c r="K365" s="197">
        <f t="shared" si="125"/>
        <v>44181</v>
      </c>
      <c r="L365" s="147">
        <f>IF(t&lt;Tvie,1-EXP((T0-t)*PertePVj)+'2019'!Pspv,1-EXP((T0-t)*PertePVj)+Pspv)</f>
        <v>1.3042198258860438E-2</v>
      </c>
      <c r="M365" s="832"/>
      <c r="N365" s="832"/>
      <c r="O365" s="48">
        <f>IF(t&lt;Tnet,'2019'!Resal+('2019'!Salim-'2019'!Resal)*(1-EXP(('2019'!Tnet-t)/('2019'!Tau_j))),Resal+(Salim-Resal)*(1-EXP((Tnet-t)/(Tau_j))))*Salcycl</f>
        <v>5.0418900599190096E-2</v>
      </c>
      <c r="P365" s="169">
        <f>(INDEX(Models!$BJ365:$BT365,,T365)*(1-R365)+INDEX(Models!$BJ365:$BT365,,T365+1)*R365-ERP_i)*Q365*Ramure*Pc/MaxiM</f>
        <v>3.2798766436970141E-4</v>
      </c>
      <c r="Q365" s="304">
        <f t="shared" si="126"/>
        <v>0.6</v>
      </c>
      <c r="R365" s="177">
        <f t="shared" si="127"/>
        <v>0.49907460429127604</v>
      </c>
      <c r="S365" s="799">
        <f t="shared" si="128"/>
        <v>-1</v>
      </c>
      <c r="T365" s="176">
        <f t="shared" si="129"/>
        <v>5</v>
      </c>
      <c r="U365" s="250">
        <f t="shared" si="130"/>
        <v>-0.50092539570872396</v>
      </c>
      <c r="V365" s="382">
        <f t="shared" si="131"/>
        <v>25.92695104270144</v>
      </c>
      <c r="W365" s="58"/>
      <c r="X365" s="157">
        <f t="shared" si="132"/>
        <v>44181</v>
      </c>
      <c r="Y365" s="383">
        <f t="shared" si="133"/>
        <v>20.431999999999999</v>
      </c>
      <c r="Z365" s="383">
        <f t="shared" si="134"/>
        <v>20.701999582915224</v>
      </c>
      <c r="AA365" s="384">
        <f t="shared" si="135"/>
        <v>21.801191700191044</v>
      </c>
      <c r="AB365" s="197">
        <f t="shared" si="136"/>
        <v>44181</v>
      </c>
      <c r="AC365" s="424">
        <f>IF(OR(t&lt;Tnet,NoTnet),'2019'!Resal_s+('2019'!Salim-'2019'!Resal_s)*(1-EXP(('2019'!Tnet_s-t)/'2019'!Tau_j)),Resal_s+(Salim-Resal_s)*(1-EXP((Tnet_s-t)/Tau_j)))*Salcycl</f>
        <v>5.0418900599190096E-2</v>
      </c>
      <c r="AD365" s="230">
        <f>(INDEX(Models!$BJ365:$BT365,,AH365)*(1-AF365)+INDEX(Models!$BJ365:$BT365,,AH365+1)*AF365-ERP_i)*AE365*Ramure*Pc/MaxiM</f>
        <v>3.2798766436970141E-4</v>
      </c>
      <c r="AE365" s="304">
        <f t="shared" si="137"/>
        <v>0.6</v>
      </c>
      <c r="AF365" s="177">
        <f t="shared" si="138"/>
        <v>0.49907460429127604</v>
      </c>
      <c r="AG365" s="176">
        <f t="shared" si="139"/>
        <v>-1</v>
      </c>
      <c r="AH365" s="176">
        <f t="shared" si="140"/>
        <v>5</v>
      </c>
      <c r="AI365" s="224">
        <f t="shared" si="141"/>
        <v>-0.50092539570872396</v>
      </c>
      <c r="AJ365" s="264" t="b">
        <f t="shared" si="142"/>
        <v>0</v>
      </c>
      <c r="AK365" s="264" t="b">
        <f t="shared" si="143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4"/>
        <v>44182</v>
      </c>
      <c r="B366" s="607">
        <v>8.827</v>
      </c>
      <c r="C366" s="388"/>
      <c r="D366" s="391">
        <f t="shared" si="123"/>
        <v>8.9438161946852457</v>
      </c>
      <c r="E366" s="383">
        <f t="shared" si="145"/>
        <v>9.4190858574582332</v>
      </c>
      <c r="F366" s="383">
        <f t="shared" si="124"/>
        <v>9.4192682390246247</v>
      </c>
      <c r="G366" s="110">
        <f t="shared" si="146"/>
        <v>0.34059862388504603</v>
      </c>
      <c r="H366" s="412" t="b">
        <f>Wh_hp&gt;='2019'!Maxi_hp</f>
        <v>0</v>
      </c>
      <c r="I366" s="388">
        <f>IF(H366,Wh_hp,'2019'!Maxi_hp)</f>
        <v>20.015772117516551</v>
      </c>
      <c r="J366" s="85">
        <f>IF(H366,An,'2019'!An_max)</f>
        <v>2018</v>
      </c>
      <c r="K366" s="197">
        <f t="shared" si="125"/>
        <v>44182</v>
      </c>
      <c r="L366" s="147">
        <f>IF(t&lt;Tvie,1-EXP((T0-t)*PertePVj)+'2019'!Pspv,1-EXP((T0-t)*PertePVj)+Pspv)</f>
        <v>1.3061113079969489E-2</v>
      </c>
      <c r="M366" s="832"/>
      <c r="N366" s="832"/>
      <c r="O366" s="48">
        <f>IF(t&lt;Tnet,'2019'!Resal+('2019'!Salim-'2019'!Resal)*(1-EXP(('2019'!Tnet-t)/('2019'!Tau_j))),Resal+(Salim-Resal)*(1-EXP((Tnet-t)/(Tau_j))))*Salcycl</f>
        <v>5.0458151668365897E-2</v>
      </c>
      <c r="P366" s="169">
        <f>(INDEX(Models!$BJ366:$BT366,,T366)*(1-R366)+INDEX(Models!$BJ366:$BT366,,T366+1)*R366-ERP_i)*Q366*Ramure*Pc/MaxiM</f>
        <v>3.3297297969862931E-4</v>
      </c>
      <c r="Q366" s="304">
        <f t="shared" si="126"/>
        <v>0.6</v>
      </c>
      <c r="R366" s="177">
        <f t="shared" si="127"/>
        <v>0.49908279291094537</v>
      </c>
      <c r="S366" s="799">
        <f t="shared" si="128"/>
        <v>-1</v>
      </c>
      <c r="T366" s="176">
        <f t="shared" si="129"/>
        <v>5</v>
      </c>
      <c r="U366" s="250">
        <f t="shared" si="130"/>
        <v>-0.50091720708905463</v>
      </c>
      <c r="V366" s="382">
        <f t="shared" si="131"/>
        <v>25.908007516189347</v>
      </c>
      <c r="W366" s="58"/>
      <c r="X366" s="157">
        <f t="shared" si="132"/>
        <v>44182</v>
      </c>
      <c r="Y366" s="383">
        <f t="shared" si="133"/>
        <v>8.827</v>
      </c>
      <c r="Z366" s="383">
        <f t="shared" si="134"/>
        <v>8.9438161946852457</v>
      </c>
      <c r="AA366" s="384">
        <f t="shared" si="135"/>
        <v>9.4190858574582332</v>
      </c>
      <c r="AB366" s="197">
        <f t="shared" si="136"/>
        <v>44182</v>
      </c>
      <c r="AC366" s="424">
        <f>IF(OR(t&lt;Tnet,NoTnet),'2019'!Resal_s+('2019'!Salim-'2019'!Resal_s)*(1-EXP(('2019'!Tnet_s-t)/'2019'!Tau_j)),Resal_s+(Salim-Resal_s)*(1-EXP((Tnet_s-t)/Tau_j)))*Salcycl</f>
        <v>5.0458151668365897E-2</v>
      </c>
      <c r="AD366" s="230">
        <f>(INDEX(Models!$BJ366:$BT366,,AH366)*(1-AF366)+INDEX(Models!$BJ366:$BT366,,AH366+1)*AF366-ERP_i)*AE366*Ramure*Pc/MaxiM</f>
        <v>3.3297297969862931E-4</v>
      </c>
      <c r="AE366" s="304">
        <f t="shared" si="137"/>
        <v>0.6</v>
      </c>
      <c r="AF366" s="177">
        <f t="shared" si="138"/>
        <v>0.49908279291094537</v>
      </c>
      <c r="AG366" s="176">
        <f t="shared" si="139"/>
        <v>-1</v>
      </c>
      <c r="AH366" s="176">
        <f t="shared" si="140"/>
        <v>5</v>
      </c>
      <c r="AI366" s="224">
        <f t="shared" si="141"/>
        <v>-0.50091720708905463</v>
      </c>
      <c r="AJ366" s="264" t="b">
        <f t="shared" si="142"/>
        <v>0</v>
      </c>
      <c r="AK366" s="264" t="b">
        <f t="shared" si="143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4"/>
        <v>44183</v>
      </c>
      <c r="B367" s="607">
        <v>10.667</v>
      </c>
      <c r="C367" s="388"/>
      <c r="D367" s="391">
        <f t="shared" si="123"/>
        <v>10.808373827308467</v>
      </c>
      <c r="E367" s="383">
        <f t="shared" si="145"/>
        <v>11.383200593920302</v>
      </c>
      <c r="F367" s="383">
        <f t="shared" si="124"/>
        <v>11.383812798064623</v>
      </c>
      <c r="G367" s="110">
        <f t="shared" si="146"/>
        <v>0.41175295590658778</v>
      </c>
      <c r="H367" s="412" t="b">
        <f>Wh_hp&gt;='2019'!Maxi_hp</f>
        <v>0</v>
      </c>
      <c r="I367" s="388">
        <f>IF(H367,Wh_hp,'2019'!Maxi_hp)</f>
        <v>12.167401582781</v>
      </c>
      <c r="J367" s="85">
        <f>IF(H367,An,'2019'!An_max)</f>
        <v>2018</v>
      </c>
      <c r="K367" s="197">
        <f t="shared" si="125"/>
        <v>44183</v>
      </c>
      <c r="L367" s="147">
        <f>IF(t&lt;Tvie,1-EXP((T0-t)*PertePVj)+'2019'!Pspv,1-EXP((T0-t)*PertePVj)+Pspv)</f>
        <v>1.3080027538580397E-2</v>
      </c>
      <c r="M367" s="832"/>
      <c r="N367" s="832"/>
      <c r="O367" s="48">
        <f>IF(t&lt;Tnet,'2019'!Resal+('2019'!Salim-'2019'!Resal)*(1-EXP(('2019'!Tnet-t)/('2019'!Tau_j))),Resal+(Salim-Resal)*(1-EXP((Tnet-t)/(Tau_j))))*Salcycl</f>
        <v>5.0497815782922006E-2</v>
      </c>
      <c r="P367" s="169">
        <f>(INDEX(Models!$BJ367:$BT367,,T367)*(1-R367)+INDEX(Models!$BJ367:$BT367,,T367+1)*R367-ERP_i)*Q367*Ramure*Pc/MaxiM</f>
        <v>3.3650786039442947E-4</v>
      </c>
      <c r="Q367" s="304">
        <f t="shared" si="126"/>
        <v>0.6</v>
      </c>
      <c r="R367" s="177">
        <f t="shared" si="127"/>
        <v>0.49909065208491155</v>
      </c>
      <c r="S367" s="799">
        <f t="shared" si="128"/>
        <v>-1</v>
      </c>
      <c r="T367" s="176">
        <f t="shared" si="129"/>
        <v>5</v>
      </c>
      <c r="U367" s="250">
        <f t="shared" si="130"/>
        <v>-0.50090934791508845</v>
      </c>
      <c r="V367" s="382">
        <f t="shared" si="131"/>
        <v>25.898985813028339</v>
      </c>
      <c r="W367" s="58"/>
      <c r="X367" s="157">
        <f t="shared" si="132"/>
        <v>44183</v>
      </c>
      <c r="Y367" s="383">
        <f t="shared" si="133"/>
        <v>10.667</v>
      </c>
      <c r="Z367" s="383">
        <f t="shared" si="134"/>
        <v>10.808373827308467</v>
      </c>
      <c r="AA367" s="384">
        <f t="shared" si="135"/>
        <v>11.383200593920302</v>
      </c>
      <c r="AB367" s="197">
        <f t="shared" si="136"/>
        <v>44183</v>
      </c>
      <c r="AC367" s="424">
        <f>IF(OR(t&lt;Tnet,NoTnet),'2019'!Resal_s+('2019'!Salim-'2019'!Resal_s)*(1-EXP(('2019'!Tnet_s-t)/'2019'!Tau_j)),Resal_s+(Salim-Resal_s)*(1-EXP((Tnet_s-t)/Tau_j)))*Salcycl</f>
        <v>5.0497815782922006E-2</v>
      </c>
      <c r="AD367" s="230">
        <f>(INDEX(Models!$BJ367:$BT367,,AH367)*(1-AF367)+INDEX(Models!$BJ367:$BT367,,AH367+1)*AF367-ERP_i)*AE367*Ramure*Pc/MaxiM</f>
        <v>3.3650786039442947E-4</v>
      </c>
      <c r="AE367" s="304">
        <f t="shared" si="137"/>
        <v>0.6</v>
      </c>
      <c r="AF367" s="177">
        <f t="shared" si="138"/>
        <v>0.49909065208491155</v>
      </c>
      <c r="AG367" s="176">
        <f t="shared" si="139"/>
        <v>-1</v>
      </c>
      <c r="AH367" s="176">
        <f t="shared" si="140"/>
        <v>5</v>
      </c>
      <c r="AI367" s="224">
        <f t="shared" si="141"/>
        <v>-0.50090934791508845</v>
      </c>
      <c r="AJ367" s="264" t="b">
        <f t="shared" si="142"/>
        <v>0</v>
      </c>
      <c r="AK367" s="264" t="b">
        <f t="shared" si="143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4"/>
        <v>44184</v>
      </c>
      <c r="B368" s="607">
        <v>9.16</v>
      </c>
      <c r="C368" s="388"/>
      <c r="D368" s="391">
        <f t="shared" si="123"/>
        <v>9.2815788597618862</v>
      </c>
      <c r="E368" s="383">
        <f t="shared" si="145"/>
        <v>9.7756176868201958</v>
      </c>
      <c r="F368" s="383">
        <f t="shared" si="124"/>
        <v>9.7758714501319872</v>
      </c>
      <c r="G368" s="110">
        <f t="shared" si="146"/>
        <v>0.35355507044082157</v>
      </c>
      <c r="H368" s="412" t="b">
        <f>Wh_hp&gt;='2019'!Maxi_hp</f>
        <v>1</v>
      </c>
      <c r="I368" s="388">
        <f>IF(H368,Wh_hp,'2019'!Maxi_hp)</f>
        <v>9.7758714501319872</v>
      </c>
      <c r="J368" s="85">
        <f>IF(H368,An,'2019'!An_max)</f>
        <v>2020</v>
      </c>
      <c r="K368" s="197">
        <f t="shared" si="125"/>
        <v>44184</v>
      </c>
      <c r="L368" s="147">
        <f>IF(t&lt;Tvie,1-EXP((T0-t)*PertePVj)+'2019'!Pspv,1-EXP((T0-t)*PertePVj)+Pspv)</f>
        <v>1.3098941634700045E-2</v>
      </c>
      <c r="M368" s="832"/>
      <c r="N368" s="832"/>
      <c r="O368" s="48">
        <f>IF(t&lt;Tnet,'2019'!Resal+('2019'!Salim-'2019'!Resal)*(1-EXP(('2019'!Tnet-t)/('2019'!Tau_j))),Resal+(Salim-Resal)*(1-EXP((Tnet-t)/(Tau_j))))*Salcycl</f>
        <v>5.0537862965364076E-2</v>
      </c>
      <c r="P368" s="169">
        <f>(INDEX(Models!$BJ368:$BT368,,T368)*(1-R368)+INDEX(Models!$BJ368:$BT368,,T368+1)*R368-ERP_i)*Q368*Ramure*Pc/MaxiM</f>
        <v>3.3859073691274241E-4</v>
      </c>
      <c r="Q368" s="304">
        <f t="shared" si="126"/>
        <v>0.6</v>
      </c>
      <c r="R368" s="177">
        <f t="shared" si="127"/>
        <v>0.49909819505774988</v>
      </c>
      <c r="S368" s="799">
        <f t="shared" si="128"/>
        <v>-1</v>
      </c>
      <c r="T368" s="176">
        <f t="shared" si="129"/>
        <v>5</v>
      </c>
      <c r="U368" s="250">
        <f t="shared" si="130"/>
        <v>-0.50090180494225012</v>
      </c>
      <c r="V368" s="382">
        <f t="shared" si="131"/>
        <v>25.900169383899524</v>
      </c>
      <c r="W368" s="58"/>
      <c r="X368" s="157">
        <f t="shared" si="132"/>
        <v>44184</v>
      </c>
      <c r="Y368" s="383">
        <f t="shared" si="133"/>
        <v>9.16</v>
      </c>
      <c r="Z368" s="383">
        <f t="shared" si="134"/>
        <v>9.2815788597618862</v>
      </c>
      <c r="AA368" s="384">
        <f t="shared" si="135"/>
        <v>9.7756176868201958</v>
      </c>
      <c r="AB368" s="197">
        <f t="shared" si="136"/>
        <v>44184</v>
      </c>
      <c r="AC368" s="424">
        <f>IF(OR(t&lt;Tnet,NoTnet),'2019'!Resal_s+('2019'!Salim-'2019'!Resal_s)*(1-EXP(('2019'!Tnet_s-t)/'2019'!Tau_j)),Resal_s+(Salim-Resal_s)*(1-EXP((Tnet_s-t)/Tau_j)))*Salcycl</f>
        <v>5.0537862965364076E-2</v>
      </c>
      <c r="AD368" s="230">
        <f>(INDEX(Models!$BJ368:$BT368,,AH368)*(1-AF368)+INDEX(Models!$BJ368:$BT368,,AH368+1)*AF368-ERP_i)*AE368*Ramure*Pc/MaxiM</f>
        <v>3.3859073691274241E-4</v>
      </c>
      <c r="AE368" s="304">
        <f t="shared" si="137"/>
        <v>0.6</v>
      </c>
      <c r="AF368" s="177">
        <f t="shared" si="138"/>
        <v>0.49909819505774988</v>
      </c>
      <c r="AG368" s="176">
        <f t="shared" si="139"/>
        <v>-1</v>
      </c>
      <c r="AH368" s="176">
        <f t="shared" si="140"/>
        <v>5</v>
      </c>
      <c r="AI368" s="224">
        <f t="shared" si="141"/>
        <v>-0.50090180494225012</v>
      </c>
      <c r="AJ368" s="264" t="b">
        <f t="shared" si="142"/>
        <v>0</v>
      </c>
      <c r="AK368" s="264" t="b">
        <f t="shared" si="143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4"/>
        <v>44185</v>
      </c>
      <c r="B369" s="607">
        <v>6.266</v>
      </c>
      <c r="C369" s="388"/>
      <c r="D369" s="391">
        <f t="shared" si="123"/>
        <v>6.3492890555220924</v>
      </c>
      <c r="E369" s="383">
        <f t="shared" si="145"/>
        <v>6.6875328559507112</v>
      </c>
      <c r="F369" s="383">
        <f t="shared" si="124"/>
        <v>6.6875328559507112</v>
      </c>
      <c r="G369" s="110">
        <f t="shared" si="146"/>
        <v>0.24173791002705305</v>
      </c>
      <c r="H369" s="412" t="b">
        <f>Wh_hp&gt;='2019'!Maxi_hp</f>
        <v>0</v>
      </c>
      <c r="I369" s="388">
        <f>IF(H369,Wh_hp,'2019'!Maxi_hp)</f>
        <v>23.305332831773615</v>
      </c>
      <c r="J369" s="85">
        <f>IF(H369,An,'2019'!An_max)</f>
        <v>2018</v>
      </c>
      <c r="K369" s="197">
        <f t="shared" si="125"/>
        <v>44185</v>
      </c>
      <c r="L369" s="147">
        <f>IF(t&lt;Tvie,1-EXP((T0-t)*PertePVj)+'2019'!Pspv,1-EXP((T0-t)*PertePVj)+Pspv)</f>
        <v>1.3117855368335207E-2</v>
      </c>
      <c r="M369" s="832"/>
      <c r="N369" s="832"/>
      <c r="O369" s="48">
        <f>IF(t&lt;Tnet,'2019'!Resal+('2019'!Salim-'2019'!Resal)*(1-EXP(('2019'!Tnet-t)/('2019'!Tau_j))),Resal+(Salim-Resal)*(1-EXP((Tnet-t)/(Tau_j))))*Salcycl</f>
        <v>5.0578263720624864E-2</v>
      </c>
      <c r="P369" s="169">
        <f>(INDEX(Models!$BJ369:$BT369,,T369)*(1-R369)+INDEX(Models!$BJ369:$BT369,,T369+1)*R369-ERP_i)*Q369*Ramure*Pc/MaxiM</f>
        <v>3.3922170485811058E-4</v>
      </c>
      <c r="Q369" s="304">
        <f t="shared" si="126"/>
        <v>0.6</v>
      </c>
      <c r="R369" s="177">
        <f t="shared" si="127"/>
        <v>0.4991054345423368</v>
      </c>
      <c r="S369" s="799">
        <f t="shared" si="128"/>
        <v>-1</v>
      </c>
      <c r="T369" s="176">
        <f t="shared" si="129"/>
        <v>5</v>
      </c>
      <c r="U369" s="250">
        <f t="shared" si="130"/>
        <v>-0.5008945654576632</v>
      </c>
      <c r="V369" s="382">
        <f t="shared" si="131"/>
        <v>25.911841614318433</v>
      </c>
      <c r="W369" s="58"/>
      <c r="X369" s="157">
        <f t="shared" si="132"/>
        <v>44185</v>
      </c>
      <c r="Y369" s="383">
        <f t="shared" si="133"/>
        <v>6.266</v>
      </c>
      <c r="Z369" s="383">
        <f t="shared" si="134"/>
        <v>6.3492890555220924</v>
      </c>
      <c r="AA369" s="384">
        <f t="shared" si="135"/>
        <v>6.6875328559507112</v>
      </c>
      <c r="AB369" s="197">
        <f t="shared" si="136"/>
        <v>44185</v>
      </c>
      <c r="AC369" s="424">
        <f>IF(OR(t&lt;Tnet,NoTnet),'2019'!Resal_s+('2019'!Salim-'2019'!Resal_s)*(1-EXP(('2019'!Tnet_s-t)/'2019'!Tau_j)),Resal_s+(Salim-Resal_s)*(1-EXP((Tnet_s-t)/Tau_j)))*Salcycl</f>
        <v>5.0578263720624864E-2</v>
      </c>
      <c r="AD369" s="230">
        <f>(INDEX(Models!$BJ369:$BT369,,AH369)*(1-AF369)+INDEX(Models!$BJ369:$BT369,,AH369+1)*AF369-ERP_i)*AE369*Ramure*Pc/MaxiM</f>
        <v>3.3922170485811058E-4</v>
      </c>
      <c r="AE369" s="304">
        <f t="shared" si="137"/>
        <v>0.6</v>
      </c>
      <c r="AF369" s="177">
        <f t="shared" si="138"/>
        <v>0.4991054345423368</v>
      </c>
      <c r="AG369" s="176">
        <f t="shared" si="139"/>
        <v>-1</v>
      </c>
      <c r="AH369" s="176">
        <f t="shared" si="140"/>
        <v>5</v>
      </c>
      <c r="AI369" s="224">
        <f t="shared" si="141"/>
        <v>-0.5008945654576632</v>
      </c>
      <c r="AJ369" s="264" t="b">
        <f t="shared" si="142"/>
        <v>0</v>
      </c>
      <c r="AK369" s="264" t="b">
        <f t="shared" si="143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4"/>
        <v>44186</v>
      </c>
      <c r="B370" s="607">
        <v>8.4559999999999995</v>
      </c>
      <c r="C370" s="388"/>
      <c r="D370" s="391">
        <f t="shared" si="123"/>
        <v>8.5685632336299182</v>
      </c>
      <c r="E370" s="383">
        <f t="shared" si="145"/>
        <v>9.0254209175672671</v>
      </c>
      <c r="F370" s="383">
        <f t="shared" si="124"/>
        <v>9.0255346011324153</v>
      </c>
      <c r="G370" s="110">
        <f t="shared" si="146"/>
        <v>0.32594863036288052</v>
      </c>
      <c r="H370" s="412" t="b">
        <f>Wh_hp&gt;='2019'!Maxi_hp</f>
        <v>1</v>
      </c>
      <c r="I370" s="388">
        <f>IF(H370,Wh_hp,'2019'!Maxi_hp)</f>
        <v>9.0255346011324153</v>
      </c>
      <c r="J370" s="85">
        <f>IF(H370,An,'2019'!An_max)</f>
        <v>2020</v>
      </c>
      <c r="K370" s="197">
        <f t="shared" si="125"/>
        <v>44186</v>
      </c>
      <c r="L370" s="147">
        <f>IF(t&lt;Tvie,1-EXP((T0-t)*PertePVj)+'2019'!Pspv,1-EXP((T0-t)*PertePVj)+Pspv)</f>
        <v>1.3136768739493099E-2</v>
      </c>
      <c r="M370" s="832"/>
      <c r="N370" s="832"/>
      <c r="O370" s="48">
        <f>IF(t&lt;Tnet,'2019'!Resal+('2019'!Salim-'2019'!Resal)*(1-EXP(('2019'!Tnet-t)/('2019'!Tau_j))),Resal+(Salim-Resal)*(1-EXP((Tnet-t)/(Tau_j))))*Salcycl</f>
        <v>5.0618989198399765E-2</v>
      </c>
      <c r="P370" s="169">
        <f>(INDEX(Models!$BJ370:$BT370,,T370)*(1-R370)+INDEX(Models!$BJ370:$BT370,,T370+1)*R370-ERP_i)*Q370*Ramure*Pc/MaxiM</f>
        <v>3.3840284116532795E-4</v>
      </c>
      <c r="Q370" s="304">
        <f t="shared" si="126"/>
        <v>0.6</v>
      </c>
      <c r="R370" s="177">
        <f t="shared" si="127"/>
        <v>0.49911238274113412</v>
      </c>
      <c r="S370" s="799">
        <f t="shared" si="128"/>
        <v>-1</v>
      </c>
      <c r="T370" s="176">
        <f t="shared" si="129"/>
        <v>5</v>
      </c>
      <c r="U370" s="250">
        <f t="shared" si="130"/>
        <v>-0.50088761725886588</v>
      </c>
      <c r="V370" s="382">
        <f t="shared" si="131"/>
        <v>25.934285814607701</v>
      </c>
      <c r="W370" s="58"/>
      <c r="X370" s="157">
        <f t="shared" si="132"/>
        <v>44186</v>
      </c>
      <c r="Y370" s="383">
        <f t="shared" si="133"/>
        <v>8.4559999999999995</v>
      </c>
      <c r="Z370" s="383">
        <f t="shared" si="134"/>
        <v>8.5685632336299182</v>
      </c>
      <c r="AA370" s="384">
        <f t="shared" si="135"/>
        <v>9.0254209175672671</v>
      </c>
      <c r="AB370" s="197">
        <f t="shared" si="136"/>
        <v>44186</v>
      </c>
      <c r="AC370" s="424">
        <f>IF(OR(t&lt;Tnet,NoTnet),'2019'!Resal_s+('2019'!Salim-'2019'!Resal_s)*(1-EXP(('2019'!Tnet_s-t)/'2019'!Tau_j)),Resal_s+(Salim-Resal_s)*(1-EXP((Tnet_s-t)/Tau_j)))*Salcycl</f>
        <v>5.0618989198399765E-2</v>
      </c>
      <c r="AD370" s="230">
        <f>(INDEX(Models!$BJ370:$BT370,,AH370)*(1-AF370)+INDEX(Models!$BJ370:$BT370,,AH370+1)*AF370-ERP_i)*AE370*Ramure*Pc/MaxiM</f>
        <v>3.3840284116532795E-4</v>
      </c>
      <c r="AE370" s="304">
        <f t="shared" si="137"/>
        <v>0.6</v>
      </c>
      <c r="AF370" s="177">
        <f t="shared" si="138"/>
        <v>0.49911238274113412</v>
      </c>
      <c r="AG370" s="176">
        <f t="shared" si="139"/>
        <v>-1</v>
      </c>
      <c r="AH370" s="176">
        <f t="shared" si="140"/>
        <v>5</v>
      </c>
      <c r="AI370" s="224">
        <f t="shared" si="141"/>
        <v>-0.50088761725886588</v>
      </c>
      <c r="AJ370" s="264" t="b">
        <f t="shared" si="142"/>
        <v>0</v>
      </c>
      <c r="AK370" s="264" t="b">
        <f t="shared" si="143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4"/>
        <v>44187</v>
      </c>
      <c r="B371" s="607">
        <v>20.952000000000002</v>
      </c>
      <c r="C371" s="388"/>
      <c r="D371" s="391">
        <f t="shared" si="123"/>
        <v>21.231312388884366</v>
      </c>
      <c r="E371" s="383">
        <f t="shared" si="145"/>
        <v>22.364287444534433</v>
      </c>
      <c r="F371" s="383">
        <f t="shared" si="124"/>
        <v>22.369731890095228</v>
      </c>
      <c r="G371" s="110">
        <f t="shared" si="146"/>
        <v>0.80677100378936595</v>
      </c>
      <c r="H371" s="412" t="b">
        <f>Wh_hp&gt;='2019'!Maxi_hp</f>
        <v>1</v>
      </c>
      <c r="I371" s="388">
        <f>IF(H371,Wh_hp,'2019'!Maxi_hp)</f>
        <v>22.369731890095228</v>
      </c>
      <c r="J371" s="85">
        <f>IF(H371,An,'2019'!An_max)</f>
        <v>2020</v>
      </c>
      <c r="K371" s="197">
        <f t="shared" si="125"/>
        <v>44187</v>
      </c>
      <c r="L371" s="147">
        <f>IF(t&lt;Tvie,1-EXP((T0-t)*PertePVj)+'2019'!Pspv,1-EXP((T0-t)*PertePVj)+Pspv)</f>
        <v>1.3155681748180492E-2</v>
      </c>
      <c r="M371" s="832"/>
      <c r="N371" s="832"/>
      <c r="O371" s="48">
        <f>IF(t&lt;Tnet,'2019'!Resal+('2019'!Salim-'2019'!Resal)*(1-EXP(('2019'!Tnet-t)/('2019'!Tau_j))),Resal+(Salim-Resal)*(1-EXP((Tnet-t)/(Tau_j))))*Salcycl</f>
        <v>5.0660011344423758E-2</v>
      </c>
      <c r="P371" s="169">
        <f>(INDEX(Models!$BJ371:$BT371,,T371)*(1-R371)+INDEX(Models!$BJ371:$BT371,,T371+1)*R371-ERP_i)*Q371*Ramure*Pc/MaxiM</f>
        <v>3.3613599313346457E-4</v>
      </c>
      <c r="Q371" s="304">
        <f t="shared" si="126"/>
        <v>0.6</v>
      </c>
      <c r="R371" s="177">
        <f t="shared" si="127"/>
        <v>0.49911238274113412</v>
      </c>
      <c r="S371" s="799">
        <f t="shared" si="128"/>
        <v>-1</v>
      </c>
      <c r="T371" s="176">
        <f t="shared" si="129"/>
        <v>5</v>
      </c>
      <c r="U371" s="250">
        <f t="shared" si="130"/>
        <v>-0.50088761725886588</v>
      </c>
      <c r="V371" s="382">
        <f t="shared" si="131"/>
        <v>25.967785280830778</v>
      </c>
      <c r="W371" s="58"/>
      <c r="X371" s="157">
        <f t="shared" si="132"/>
        <v>44187</v>
      </c>
      <c r="Y371" s="383">
        <f t="shared" si="133"/>
        <v>20.952000000000002</v>
      </c>
      <c r="Z371" s="383">
        <f t="shared" si="134"/>
        <v>21.231312388884366</v>
      </c>
      <c r="AA371" s="384">
        <f t="shared" si="135"/>
        <v>22.364287444534433</v>
      </c>
      <c r="AB371" s="197">
        <f t="shared" si="136"/>
        <v>44187</v>
      </c>
      <c r="AC371" s="424">
        <f>IF(OR(t&lt;Tnet,NoTnet),'2019'!Resal_s+('2019'!Salim-'2019'!Resal_s)*(1-EXP(('2019'!Tnet_s-t)/'2019'!Tau_j)),Resal_s+(Salim-Resal_s)*(1-EXP((Tnet_s-t)/Tau_j)))*Salcycl</f>
        <v>5.0660011344423758E-2</v>
      </c>
      <c r="AD371" s="230">
        <f>(INDEX(Models!$BJ371:$BT371,,AH371)*(1-AF371)+INDEX(Models!$BJ371:$BT371,,AH371+1)*AF371-ERP_i)*AE371*Ramure*Pc/MaxiM</f>
        <v>3.3613599313346457E-4</v>
      </c>
      <c r="AE371" s="304">
        <f t="shared" si="137"/>
        <v>0.6</v>
      </c>
      <c r="AF371" s="177">
        <f t="shared" si="138"/>
        <v>0.49911238274113412</v>
      </c>
      <c r="AG371" s="176">
        <f t="shared" si="139"/>
        <v>-1</v>
      </c>
      <c r="AH371" s="176">
        <f t="shared" si="140"/>
        <v>5</v>
      </c>
      <c r="AI371" s="224">
        <f t="shared" si="141"/>
        <v>-0.50088761725886588</v>
      </c>
      <c r="AJ371" s="264" t="b">
        <f t="shared" si="142"/>
        <v>0</v>
      </c>
      <c r="AK371" s="264" t="b">
        <f t="shared" si="143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4"/>
        <v>44188</v>
      </c>
      <c r="B372" s="607">
        <v>10.54</v>
      </c>
      <c r="C372" s="388"/>
      <c r="D372" s="391">
        <f t="shared" si="123"/>
        <v>10.680714075791155</v>
      </c>
      <c r="E372" s="383">
        <f t="shared" si="145"/>
        <v>11.251162684613213</v>
      </c>
      <c r="F372" s="383">
        <f t="shared" si="124"/>
        <v>11.251724750617164</v>
      </c>
      <c r="G372" s="110">
        <f t="shared" si="146"/>
        <v>0.40507343308442861</v>
      </c>
      <c r="H372" s="412" t="b">
        <f>Wh_hp&gt;='2019'!Maxi_hp</f>
        <v>0</v>
      </c>
      <c r="I372" s="388">
        <f>IF(H372,Wh_hp,'2019'!Maxi_hp)</f>
        <v>14.087676943522759</v>
      </c>
      <c r="J372" s="85">
        <f>IF(H372,An,'2019'!An_max)</f>
        <v>2018</v>
      </c>
      <c r="K372" s="197">
        <f t="shared" si="125"/>
        <v>44188</v>
      </c>
      <c r="L372" s="147">
        <f>IF(t&lt;Tvie,1-EXP((T0-t)*PertePVj)+'2019'!Pspv,1-EXP((T0-t)*PertePVj)+Pspv)</f>
        <v>1.3174594394404493E-2</v>
      </c>
      <c r="M372" s="832"/>
      <c r="N372" s="832"/>
      <c r="O372" s="48">
        <f>IF(t&lt;Tnet,'2019'!Resal+('2019'!Salim-'2019'!Resal)*(1-EXP(('2019'!Tnet-t)/('2019'!Tau_j))),Resal+(Salim-Resal)*(1-EXP((Tnet-t)/(Tau_j))))*Salcycl</f>
        <v>5.0701303039746203E-2</v>
      </c>
      <c r="P372" s="169">
        <f>(INDEX(Models!$BJ372:$BT372,,T372)*(1-R372)+INDEX(Models!$BJ372:$BT372,,T372+1)*R372-ERP_i)*Q372*Ramure*Pc/MaxiM</f>
        <v>3.3243021856339518E-4</v>
      </c>
      <c r="Q372" s="304">
        <f t="shared" si="126"/>
        <v>0.6</v>
      </c>
      <c r="R372" s="177">
        <f t="shared" si="127"/>
        <v>0.49911238274113412</v>
      </c>
      <c r="S372" s="799">
        <f t="shared" si="128"/>
        <v>-1</v>
      </c>
      <c r="T372" s="176">
        <f t="shared" si="129"/>
        <v>5</v>
      </c>
      <c r="U372" s="250">
        <f t="shared" si="130"/>
        <v>-0.50088761725886588</v>
      </c>
      <c r="V372" s="382">
        <f t="shared" si="131"/>
        <v>26.012623116754533</v>
      </c>
      <c r="W372" s="58"/>
      <c r="X372" s="157">
        <f t="shared" si="132"/>
        <v>44188</v>
      </c>
      <c r="Y372" s="383">
        <f t="shared" si="133"/>
        <v>10.54</v>
      </c>
      <c r="Z372" s="383">
        <f t="shared" si="134"/>
        <v>10.680714075791155</v>
      </c>
      <c r="AA372" s="384">
        <f t="shared" si="135"/>
        <v>11.251162684613213</v>
      </c>
      <c r="AB372" s="197">
        <f t="shared" si="136"/>
        <v>44188</v>
      </c>
      <c r="AC372" s="424">
        <f>IF(OR(t&lt;Tnet,NoTnet),'2019'!Resal_s+('2019'!Salim-'2019'!Resal_s)*(1-EXP(('2019'!Tnet_s-t)/'2019'!Tau_j)),Resal_s+(Salim-Resal_s)*(1-EXP((Tnet_s-t)/Tau_j)))*Salcycl</f>
        <v>5.0701303039746203E-2</v>
      </c>
      <c r="AD372" s="230">
        <f>(INDEX(Models!$BJ372:$BT372,,AH372)*(1-AF372)+INDEX(Models!$BJ372:$BT372,,AH372+1)*AF372-ERP_i)*AE372*Ramure*Pc/MaxiM</f>
        <v>3.3243021856339518E-4</v>
      </c>
      <c r="AE372" s="304">
        <f t="shared" si="137"/>
        <v>0.6</v>
      </c>
      <c r="AF372" s="177">
        <f t="shared" si="138"/>
        <v>0.49911238274113412</v>
      </c>
      <c r="AG372" s="176">
        <f t="shared" si="139"/>
        <v>-1</v>
      </c>
      <c r="AH372" s="176">
        <f t="shared" si="140"/>
        <v>5</v>
      </c>
      <c r="AI372" s="224">
        <f t="shared" si="141"/>
        <v>-0.50088761725886588</v>
      </c>
      <c r="AJ372" s="264" t="b">
        <f t="shared" si="142"/>
        <v>0</v>
      </c>
      <c r="AK372" s="264" t="b">
        <f t="shared" si="143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4"/>
        <v>44189</v>
      </c>
      <c r="B373" s="607">
        <v>11.698</v>
      </c>
      <c r="C373" s="388"/>
      <c r="D373" s="391">
        <f t="shared" si="123"/>
        <v>11.854401120347028</v>
      </c>
      <c r="E373" s="383">
        <f t="shared" si="145"/>
        <v>12.488081836757408</v>
      </c>
      <c r="F373" s="383">
        <f t="shared" si="124"/>
        <v>12.488950362834409</v>
      </c>
      <c r="G373" s="110">
        <f t="shared" si="146"/>
        <v>0.44861933330468201</v>
      </c>
      <c r="H373" s="412" t="b">
        <f>Wh_hp&gt;='2019'!Maxi_hp</f>
        <v>1</v>
      </c>
      <c r="I373" s="388">
        <f>IF(H373,Wh_hp,'2019'!Maxi_hp)</f>
        <v>12.488950362834409</v>
      </c>
      <c r="J373" s="85">
        <f>IF(H373,An,'2019'!An_max)</f>
        <v>2020</v>
      </c>
      <c r="K373" s="197">
        <f t="shared" si="125"/>
        <v>44189</v>
      </c>
      <c r="L373" s="147">
        <f>IF(t&lt;Tvie,1-EXP((T0-t)*PertePVj)+'2019'!Pspv,1-EXP((T0-t)*PertePVj)+Pspv)</f>
        <v>1.3193506678171874E-2</v>
      </c>
      <c r="M373" s="832"/>
      <c r="N373" s="832"/>
      <c r="O373" s="48">
        <f>IF(t&lt;Tnet,'2019'!Resal+('2019'!Salim-'2019'!Resal)*(1-EXP(('2019'!Tnet-t)/('2019'!Tau_j))),Resal+(Salim-Resal)*(1-EXP((Tnet-t)/(Tau_j))))*Salcycl</f>
        <v>5.0742838227181189E-2</v>
      </c>
      <c r="P373" s="169">
        <f>(INDEX(Models!$BJ373:$BT373,,T373)*(1-R373)+INDEX(Models!$BJ373:$BT373,,T373+1)*R373-ERP_i)*Q373*Ramure*Pc/MaxiM</f>
        <v>3.2729681017854803E-4</v>
      </c>
      <c r="Q373" s="304">
        <f t="shared" si="126"/>
        <v>0.6</v>
      </c>
      <c r="R373" s="177">
        <f t="shared" si="127"/>
        <v>0.49911238274113412</v>
      </c>
      <c r="S373" s="799">
        <f t="shared" si="128"/>
        <v>-1</v>
      </c>
      <c r="T373" s="176">
        <f t="shared" si="129"/>
        <v>5</v>
      </c>
      <c r="U373" s="250">
        <f t="shared" si="130"/>
        <v>-0.50088761725886588</v>
      </c>
      <c r="V373" s="382">
        <f t="shared" si="131"/>
        <v>26.068837708432294</v>
      </c>
      <c r="W373" s="58"/>
      <c r="X373" s="157">
        <f t="shared" si="132"/>
        <v>44189</v>
      </c>
      <c r="Y373" s="383">
        <f t="shared" si="133"/>
        <v>11.698</v>
      </c>
      <c r="Z373" s="383">
        <f t="shared" si="134"/>
        <v>11.854401120347028</v>
      </c>
      <c r="AA373" s="384">
        <f t="shared" si="135"/>
        <v>12.488081836757408</v>
      </c>
      <c r="AB373" s="197">
        <f t="shared" si="136"/>
        <v>44189</v>
      </c>
      <c r="AC373" s="424">
        <f>IF(OR(t&lt;Tnet,NoTnet),'2019'!Resal_s+('2019'!Salim-'2019'!Resal_s)*(1-EXP(('2019'!Tnet_s-t)/'2019'!Tau_j)),Resal_s+(Salim-Resal_s)*(1-EXP((Tnet_s-t)/Tau_j)))*Salcycl</f>
        <v>5.0742838227181189E-2</v>
      </c>
      <c r="AD373" s="230">
        <f>(INDEX(Models!$BJ373:$BT373,,AH373)*(1-AF373)+INDEX(Models!$BJ373:$BT373,,AH373+1)*AF373-ERP_i)*AE373*Ramure*Pc/MaxiM</f>
        <v>3.2729681017854803E-4</v>
      </c>
      <c r="AE373" s="304">
        <f t="shared" si="137"/>
        <v>0.6</v>
      </c>
      <c r="AF373" s="177">
        <f t="shared" si="138"/>
        <v>0.49911238274113412</v>
      </c>
      <c r="AG373" s="176">
        <f t="shared" si="139"/>
        <v>-1</v>
      </c>
      <c r="AH373" s="176">
        <f t="shared" si="140"/>
        <v>5</v>
      </c>
      <c r="AI373" s="224">
        <f t="shared" si="141"/>
        <v>-0.50088761725886588</v>
      </c>
      <c r="AJ373" s="264" t="b">
        <f t="shared" si="142"/>
        <v>0</v>
      </c>
      <c r="AK373" s="264" t="b">
        <f t="shared" si="143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4"/>
        <v>44190</v>
      </c>
      <c r="B374" s="607">
        <v>4.0049999999999999</v>
      </c>
      <c r="C374" s="388"/>
      <c r="D374" s="391">
        <f t="shared" si="123"/>
        <v>4.0586242424290084</v>
      </c>
      <c r="E374" s="383">
        <f t="shared" si="145"/>
        <v>4.2757673425088818</v>
      </c>
      <c r="F374" s="383">
        <f t="shared" si="124"/>
        <v>4.2757673425088818</v>
      </c>
      <c r="G374" s="110">
        <f t="shared" si="146"/>
        <v>0.15318691679378402</v>
      </c>
      <c r="H374" s="412" t="b">
        <f>Wh_hp&gt;='2019'!Maxi_hp</f>
        <v>0</v>
      </c>
      <c r="I374" s="388">
        <f>IF(H374,Wh_hp,'2019'!Maxi_hp)</f>
        <v>9.2943524946391847</v>
      </c>
      <c r="J374" s="85">
        <f>IF(H374,An,'2019'!An_max)</f>
        <v>2018</v>
      </c>
      <c r="K374" s="197">
        <f t="shared" si="125"/>
        <v>44190</v>
      </c>
      <c r="L374" s="147">
        <f>IF(t&lt;Tvie,1-EXP((T0-t)*PertePVj)+'2019'!Pspv,1-EXP((T0-t)*PertePVj)+Pspv)</f>
        <v>1.3212418599489628E-2</v>
      </c>
      <c r="M374" s="832"/>
      <c r="N374" s="832"/>
      <c r="O374" s="48">
        <f>IF(t&lt;Tnet,'2019'!Resal+('2019'!Salim-'2019'!Resal)*(1-EXP(('2019'!Tnet-t)/('2019'!Tau_j))),Resal+(Salim-Resal)*(1-EXP((Tnet-t)/(Tau_j))))*Salcycl</f>
        <v>5.0784592024237789E-2</v>
      </c>
      <c r="P374" s="169">
        <f>(INDEX(Models!$BJ374:$BT374,,T374)*(1-R374)+INDEX(Models!$BJ374:$BT374,,T374+1)*R374-ERP_i)*Q374*Ramure*Pc/MaxiM</f>
        <v>3.2075388067392204E-4</v>
      </c>
      <c r="Q374" s="304">
        <f t="shared" si="126"/>
        <v>0.6</v>
      </c>
      <c r="R374" s="177">
        <f t="shared" si="127"/>
        <v>0.49911238274113412</v>
      </c>
      <c r="S374" s="799">
        <f t="shared" si="128"/>
        <v>-1</v>
      </c>
      <c r="T374" s="176">
        <f t="shared" si="129"/>
        <v>5</v>
      </c>
      <c r="U374" s="250">
        <f t="shared" si="130"/>
        <v>-0.50088761725886588</v>
      </c>
      <c r="V374" s="382">
        <f t="shared" si="131"/>
        <v>26.13614442085542</v>
      </c>
      <c r="W374" s="58"/>
      <c r="X374" s="157">
        <f t="shared" si="132"/>
        <v>44190</v>
      </c>
      <c r="Y374" s="383">
        <f t="shared" si="133"/>
        <v>4.0049999999999999</v>
      </c>
      <c r="Z374" s="383">
        <f t="shared" si="134"/>
        <v>4.0586242424290084</v>
      </c>
      <c r="AA374" s="384">
        <f t="shared" si="135"/>
        <v>4.2757673425088818</v>
      </c>
      <c r="AB374" s="197">
        <f t="shared" si="136"/>
        <v>44190</v>
      </c>
      <c r="AC374" s="424">
        <f>IF(OR(t&lt;Tnet,NoTnet),'2019'!Resal_s+('2019'!Salim-'2019'!Resal_s)*(1-EXP(('2019'!Tnet_s-t)/'2019'!Tau_j)),Resal_s+(Salim-Resal_s)*(1-EXP((Tnet_s-t)/Tau_j)))*Salcycl</f>
        <v>5.0784592024237789E-2</v>
      </c>
      <c r="AD374" s="230">
        <f>(INDEX(Models!$BJ374:$BT374,,AH374)*(1-AF374)+INDEX(Models!$BJ374:$BT374,,AH374+1)*AF374-ERP_i)*AE374*Ramure*Pc/MaxiM</f>
        <v>3.2075388067392204E-4</v>
      </c>
      <c r="AE374" s="304">
        <f t="shared" si="137"/>
        <v>0.6</v>
      </c>
      <c r="AF374" s="177">
        <f t="shared" si="138"/>
        <v>0.49911238274113412</v>
      </c>
      <c r="AG374" s="176">
        <f t="shared" si="139"/>
        <v>-1</v>
      </c>
      <c r="AH374" s="176">
        <f t="shared" si="140"/>
        <v>5</v>
      </c>
      <c r="AI374" s="224">
        <f t="shared" si="141"/>
        <v>-0.50088761725886588</v>
      </c>
      <c r="AJ374" s="264" t="b">
        <f t="shared" si="142"/>
        <v>0</v>
      </c>
      <c r="AK374" s="264" t="b">
        <f t="shared" si="143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4"/>
        <v>44191</v>
      </c>
      <c r="B375" s="607">
        <v>17.353000000000002</v>
      </c>
      <c r="C375" s="388"/>
      <c r="D375" s="391">
        <f t="shared" si="123"/>
        <v>17.585681964127371</v>
      </c>
      <c r="E375" s="383">
        <f t="shared" si="145"/>
        <v>18.527363775380159</v>
      </c>
      <c r="F375" s="383">
        <f t="shared" si="124"/>
        <v>18.530361167647825</v>
      </c>
      <c r="G375" s="110">
        <f t="shared" si="146"/>
        <v>0.66186586864389596</v>
      </c>
      <c r="H375" s="412" t="b">
        <f>Wh_hp&gt;='2019'!Maxi_hp</f>
        <v>0</v>
      </c>
      <c r="I375" s="388">
        <f>IF(H375,Wh_hp,'2019'!Maxi_hp)</f>
        <v>23.939485558369796</v>
      </c>
      <c r="J375" s="85">
        <f>IF(H375,An,'2019'!An_max)</f>
        <v>2018</v>
      </c>
      <c r="K375" s="197">
        <f t="shared" si="125"/>
        <v>44191</v>
      </c>
      <c r="L375" s="147">
        <f>IF(t&lt;Tvie,1-EXP((T0-t)*PertePVj)+'2019'!Pspv,1-EXP((T0-t)*PertePVj)+Pspv)</f>
        <v>1.3231330158364751E-2</v>
      </c>
      <c r="M375" s="832"/>
      <c r="N375" s="832"/>
      <c r="O375" s="48">
        <f>IF(t&lt;Tnet,'2019'!Resal+('2019'!Salim-'2019'!Resal)*(1-EXP(('2019'!Tnet-t)/('2019'!Tau_j))),Resal+(Salim-Resal)*(1-EXP((Tnet-t)/(Tau_j))))*Salcycl</f>
        <v>5.0826540821966824E-2</v>
      </c>
      <c r="P375" s="169">
        <f>(INDEX(Models!$BJ375:$BT375,,T375)*(1-R375)+INDEX(Models!$BJ375:$BT375,,T375+1)*R375-ERP_i)*Q375*Ramure*Pc/MaxiM</f>
        <v>3.1281682338893076E-4</v>
      </c>
      <c r="Q375" s="304">
        <f t="shared" si="126"/>
        <v>0.6</v>
      </c>
      <c r="R375" s="177">
        <f t="shared" si="127"/>
        <v>0.49911238274113412</v>
      </c>
      <c r="S375" s="799">
        <f t="shared" si="128"/>
        <v>-1</v>
      </c>
      <c r="T375" s="176">
        <f t="shared" si="129"/>
        <v>5</v>
      </c>
      <c r="U375" s="250">
        <f t="shared" si="130"/>
        <v>-0.50088761725886588</v>
      </c>
      <c r="V375" s="382">
        <f t="shared" si="131"/>
        <v>26.214341960956123</v>
      </c>
      <c r="W375" s="58"/>
      <c r="X375" s="157">
        <f t="shared" si="132"/>
        <v>44191</v>
      </c>
      <c r="Y375" s="383">
        <f t="shared" si="133"/>
        <v>17.353000000000002</v>
      </c>
      <c r="Z375" s="383">
        <f t="shared" si="134"/>
        <v>17.585681964127371</v>
      </c>
      <c r="AA375" s="384">
        <f t="shared" si="135"/>
        <v>18.527363775380159</v>
      </c>
      <c r="AB375" s="197">
        <f t="shared" si="136"/>
        <v>44191</v>
      </c>
      <c r="AC375" s="424">
        <f>IF(OR(t&lt;Tnet,NoTnet),'2019'!Resal_s+('2019'!Salim-'2019'!Resal_s)*(1-EXP(('2019'!Tnet_s-t)/'2019'!Tau_j)),Resal_s+(Salim-Resal_s)*(1-EXP((Tnet_s-t)/Tau_j)))*Salcycl</f>
        <v>5.0826540821966824E-2</v>
      </c>
      <c r="AD375" s="230">
        <f>(INDEX(Models!$BJ375:$BT375,,AH375)*(1-AF375)+INDEX(Models!$BJ375:$BT375,,AH375+1)*AF375-ERP_i)*AE375*Ramure*Pc/MaxiM</f>
        <v>3.1281682338893076E-4</v>
      </c>
      <c r="AE375" s="304">
        <f t="shared" si="137"/>
        <v>0.6</v>
      </c>
      <c r="AF375" s="177">
        <f t="shared" si="138"/>
        <v>0.49911238274113412</v>
      </c>
      <c r="AG375" s="176">
        <f t="shared" si="139"/>
        <v>-1</v>
      </c>
      <c r="AH375" s="176">
        <f t="shared" si="140"/>
        <v>5</v>
      </c>
      <c r="AI375" s="224">
        <f t="shared" si="141"/>
        <v>-0.50088761725886588</v>
      </c>
      <c r="AJ375" s="264" t="b">
        <f t="shared" si="142"/>
        <v>0</v>
      </c>
      <c r="AK375" s="264" t="b">
        <f t="shared" si="143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4"/>
        <v>44192</v>
      </c>
      <c r="B376" s="607">
        <v>6.0270000000000001</v>
      </c>
      <c r="C376" s="388"/>
      <c r="D376" s="391">
        <f t="shared" si="123"/>
        <v>6.107931567447304</v>
      </c>
      <c r="E376" s="383">
        <f t="shared" si="145"/>
        <v>6.4352859559925566</v>
      </c>
      <c r="F376" s="383">
        <f t="shared" si="124"/>
        <v>6.4352859559925566</v>
      </c>
      <c r="G376" s="110">
        <f t="shared" si="146"/>
        <v>0.22906582206754753</v>
      </c>
      <c r="H376" s="412" t="b">
        <f>Wh_hp&gt;='2019'!Maxi_hp</f>
        <v>1</v>
      </c>
      <c r="I376" s="388">
        <f>IF(H376,Wh_hp,'2019'!Maxi_hp)</f>
        <v>6.4352859559925566</v>
      </c>
      <c r="J376" s="85">
        <f>IF(H376,An,'2019'!An_max)</f>
        <v>2020</v>
      </c>
      <c r="K376" s="197">
        <f t="shared" si="125"/>
        <v>44192</v>
      </c>
      <c r="L376" s="147">
        <f>IF(t&lt;Tvie,1-EXP((T0-t)*PertePVj)+'2019'!Pspv,1-EXP((T0-t)*PertePVj)+Pspv)</f>
        <v>1.3250241354804126E-2</v>
      </c>
      <c r="M376" s="832"/>
      <c r="N376" s="832"/>
      <c r="O376" s="48">
        <f>IF(t&lt;Tnet,'2019'!Resal+('2019'!Salim-'2019'!Resal)*(1-EXP(('2019'!Tnet-t)/('2019'!Tau_j))),Resal+(Salim-Resal)*(1-EXP((Tnet-t)/(Tau_j))))*Salcycl</f>
        <v>5.0868662369295201E-2</v>
      </c>
      <c r="P376" s="169">
        <f>(INDEX(Models!$BJ376:$BT376,,T376)*(1-R376)+INDEX(Models!$BJ376:$BT376,,T376+1)*R376-ERP_i)*Q376*Ramure*Pc/MaxiM</f>
        <v>3.041753327998909E-4</v>
      </c>
      <c r="Q376" s="304">
        <f t="shared" si="126"/>
        <v>0.6</v>
      </c>
      <c r="R376" s="177">
        <f t="shared" si="127"/>
        <v>0.49911238274113412</v>
      </c>
      <c r="S376" s="799">
        <f t="shared" si="128"/>
        <v>-1</v>
      </c>
      <c r="T376" s="176">
        <f t="shared" si="129"/>
        <v>5</v>
      </c>
      <c r="U376" s="250">
        <f t="shared" si="130"/>
        <v>-0.50088761725886588</v>
      </c>
      <c r="V376" s="382">
        <f t="shared" si="131"/>
        <v>26.303211369055742</v>
      </c>
      <c r="W376" s="58"/>
      <c r="X376" s="157">
        <f t="shared" si="132"/>
        <v>44192</v>
      </c>
      <c r="Y376" s="383">
        <f t="shared" si="133"/>
        <v>6.0270000000000001</v>
      </c>
      <c r="Z376" s="383">
        <f t="shared" si="134"/>
        <v>6.107931567447304</v>
      </c>
      <c r="AA376" s="384">
        <f t="shared" si="135"/>
        <v>6.4352859559925566</v>
      </c>
      <c r="AB376" s="197">
        <f t="shared" si="136"/>
        <v>44192</v>
      </c>
      <c r="AC376" s="424">
        <f>IF(OR(t&lt;Tnet,NoTnet),'2019'!Resal_s+('2019'!Salim-'2019'!Resal_s)*(1-EXP(('2019'!Tnet_s-t)/'2019'!Tau_j)),Resal_s+(Salim-Resal_s)*(1-EXP((Tnet_s-t)/Tau_j)))*Salcycl</f>
        <v>5.0868662369295201E-2</v>
      </c>
      <c r="AD376" s="230">
        <f>(INDEX(Models!$BJ376:$BT376,,AH376)*(1-AF376)+INDEX(Models!$BJ376:$BT376,,AH376+1)*AF376-ERP_i)*AE376*Ramure*Pc/MaxiM</f>
        <v>3.041753327998909E-4</v>
      </c>
      <c r="AE376" s="304">
        <f t="shared" si="137"/>
        <v>0.6</v>
      </c>
      <c r="AF376" s="177">
        <f t="shared" si="138"/>
        <v>0.49911238274113412</v>
      </c>
      <c r="AG376" s="176">
        <f t="shared" si="139"/>
        <v>-1</v>
      </c>
      <c r="AH376" s="176">
        <f t="shared" si="140"/>
        <v>5</v>
      </c>
      <c r="AI376" s="224">
        <f t="shared" si="141"/>
        <v>-0.50088761725886588</v>
      </c>
      <c r="AJ376" s="264" t="b">
        <f t="shared" si="142"/>
        <v>0</v>
      </c>
      <c r="AK376" s="264" t="b">
        <f t="shared" si="143"/>
        <v>0</v>
      </c>
      <c r="AL376" s="264"/>
      <c r="AM376" s="264"/>
      <c r="AN376" s="75"/>
    </row>
    <row r="377" spans="1:40" s="6" customFormat="1" ht="11.25" x14ac:dyDescent="0.2">
      <c r="A377" s="56">
        <f t="shared" si="144"/>
        <v>44193</v>
      </c>
      <c r="B377" s="607">
        <v>7.08</v>
      </c>
      <c r="C377" s="388"/>
      <c r="D377" s="391">
        <f t="shared" si="123"/>
        <v>7.1752089394034888</v>
      </c>
      <c r="E377" s="383">
        <f t="shared" si="145"/>
        <v>7.5601007433093717</v>
      </c>
      <c r="F377" s="383">
        <f t="shared" si="124"/>
        <v>7.5601007433093717</v>
      </c>
      <c r="G377" s="110">
        <f t="shared" si="146"/>
        <v>0.26807683894895562</v>
      </c>
      <c r="H377" s="412" t="b">
        <f>Wh_hp&gt;='2019'!Maxi_hp</f>
        <v>0</v>
      </c>
      <c r="I377" s="388">
        <f>IF(H377,Wh_hp,'2019'!Maxi_hp)</f>
        <v>26.417584370860784</v>
      </c>
      <c r="J377" s="85">
        <f>IF(H377,An,'2019'!An_max)</f>
        <v>2018</v>
      </c>
      <c r="K377" s="197">
        <f t="shared" si="125"/>
        <v>44193</v>
      </c>
      <c r="L377" s="147">
        <f>IF(t&lt;Tvie,1-EXP((T0-t)*PertePVj)+'2019'!Pspv,1-EXP((T0-t)*PertePVj)+Pspv)</f>
        <v>1.3269152188814748E-2</v>
      </c>
      <c r="M377" s="832"/>
      <c r="N377" s="832"/>
      <c r="O377" s="48">
        <f>IF(t&lt;Tnet,'2019'!Resal+('2019'!Salim-'2019'!Resal)*(1-EXP(('2019'!Tnet-t)/('2019'!Tau_j))),Resal+(Salim-Resal)*(1-EXP((Tnet-t)/(Tau_j))))*Salcycl</f>
        <v>5.0910935842555918E-2</v>
      </c>
      <c r="P377" s="169">
        <f>(INDEX(Models!$BJ377:$BT377,,T377)*(1-R377)+INDEX(Models!$BJ377:$BT377,,T377+1)*R377-ERP_i)*Q377*Ramure*Pc/MaxiM</f>
        <v>2.9484522713642633E-4</v>
      </c>
      <c r="Q377" s="304">
        <f t="shared" si="126"/>
        <v>0.6</v>
      </c>
      <c r="R377" s="177">
        <f t="shared" si="127"/>
        <v>0.49911238274113412</v>
      </c>
      <c r="S377" s="799">
        <f t="shared" si="128"/>
        <v>-1</v>
      </c>
      <c r="T377" s="176">
        <f t="shared" si="129"/>
        <v>5</v>
      </c>
      <c r="U377" s="250">
        <f t="shared" si="130"/>
        <v>-0.50088761725886588</v>
      </c>
      <c r="V377" s="382">
        <f t="shared" si="131"/>
        <v>26.402551311564725</v>
      </c>
      <c r="W377" s="58"/>
      <c r="X377" s="157">
        <f t="shared" si="132"/>
        <v>44193</v>
      </c>
      <c r="Y377" s="383">
        <f t="shared" si="133"/>
        <v>7.08</v>
      </c>
      <c r="Z377" s="383">
        <f t="shared" si="134"/>
        <v>7.1752089394034888</v>
      </c>
      <c r="AA377" s="384">
        <f t="shared" si="135"/>
        <v>7.5601007433093717</v>
      </c>
      <c r="AB377" s="197">
        <f t="shared" si="136"/>
        <v>44193</v>
      </c>
      <c r="AC377" s="424">
        <f>IF(OR(t&lt;Tnet,NoTnet),'2019'!Resal_s+('2019'!Salim-'2019'!Resal_s)*(1-EXP(('2019'!Tnet_s-t)/'2019'!Tau_j)),Resal_s+(Salim-Resal_s)*(1-EXP((Tnet_s-t)/Tau_j)))*Salcycl</f>
        <v>5.0910935842555918E-2</v>
      </c>
      <c r="AD377" s="230">
        <f>(INDEX(Models!$BJ377:$BT377,,AH377)*(1-AF377)+INDEX(Models!$BJ377:$BT377,,AH377+1)*AF377-ERP_i)*AE377*Ramure*Pc/MaxiM</f>
        <v>2.9484522713642633E-4</v>
      </c>
      <c r="AE377" s="304">
        <f t="shared" si="137"/>
        <v>0.6</v>
      </c>
      <c r="AF377" s="177">
        <f t="shared" si="138"/>
        <v>0.49911238274113412</v>
      </c>
      <c r="AG377" s="176">
        <f t="shared" si="139"/>
        <v>-1</v>
      </c>
      <c r="AH377" s="176">
        <f t="shared" si="140"/>
        <v>5</v>
      </c>
      <c r="AI377" s="224">
        <f t="shared" si="141"/>
        <v>-0.50088761725886588</v>
      </c>
      <c r="AJ377" s="264" t="b">
        <f t="shared" si="142"/>
        <v>0</v>
      </c>
      <c r="AK377" s="264" t="b">
        <f t="shared" si="143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4"/>
        <v>44194</v>
      </c>
      <c r="B378" s="607">
        <v>7.36</v>
      </c>
      <c r="C378" s="388"/>
      <c r="D378" s="391">
        <f t="shared" si="123"/>
        <v>7.4591172169703981</v>
      </c>
      <c r="E378" s="383">
        <f t="shared" si="145"/>
        <v>7.8595895716066169</v>
      </c>
      <c r="F378" s="383">
        <f t="shared" si="124"/>
        <v>7.8595895716066169</v>
      </c>
      <c r="G378" s="110">
        <f t="shared" si="146"/>
        <v>0.27752938363754065</v>
      </c>
      <c r="H378" s="412" t="b">
        <f>Wh_hp&gt;='2019'!Maxi_hp</f>
        <v>0</v>
      </c>
      <c r="I378" s="388">
        <f>IF(H378,Wh_hp,'2019'!Maxi_hp)</f>
        <v>29.01951581106924</v>
      </c>
      <c r="J378" s="85">
        <f>IF(H378,An,'2019'!An_max)</f>
        <v>2018</v>
      </c>
      <c r="K378" s="197">
        <f t="shared" si="125"/>
        <v>44194</v>
      </c>
      <c r="L378" s="147">
        <f>IF(t&lt;Tvie,1-EXP((T0-t)*PertePVj)+'2019'!Pspv,1-EXP((T0-t)*PertePVj)+Pspv)</f>
        <v>1.328806266040361E-2</v>
      </c>
      <c r="M378" s="832"/>
      <c r="N378" s="832"/>
      <c r="O378" s="48">
        <f>IF(t&lt;Tnet,'2019'!Resal+('2019'!Salim-'2019'!Resal)*(1-EXP(('2019'!Tnet-t)/('2019'!Tau_j))),Resal+(Salim-Resal)*(1-EXP((Tnet-t)/(Tau_j))))*Salcycl</f>
        <v>5.0953341900060095E-2</v>
      </c>
      <c r="P378" s="169">
        <f>(INDEX(Models!$BJ378:$BT378,,T378)*(1-R378)+INDEX(Models!$BJ378:$BT378,,T378+1)*R378-ERP_i)*Q378*Ramure*Pc/MaxiM</f>
        <v>2.8484358289157763E-4</v>
      </c>
      <c r="Q378" s="304">
        <f t="shared" si="126"/>
        <v>0.6</v>
      </c>
      <c r="R378" s="177">
        <f t="shared" si="127"/>
        <v>0.49911238274113412</v>
      </c>
      <c r="S378" s="799">
        <f t="shared" si="128"/>
        <v>-1</v>
      </c>
      <c r="T378" s="176">
        <f t="shared" si="129"/>
        <v>5</v>
      </c>
      <c r="U378" s="250">
        <f t="shared" si="130"/>
        <v>-0.50088761725886588</v>
      </c>
      <c r="V378" s="382">
        <f t="shared" si="131"/>
        <v>26.512160459519116</v>
      </c>
      <c r="W378" s="58"/>
      <c r="X378" s="157">
        <f t="shared" si="132"/>
        <v>44194</v>
      </c>
      <c r="Y378" s="383">
        <f t="shared" si="133"/>
        <v>7.36</v>
      </c>
      <c r="Z378" s="383">
        <f t="shared" si="134"/>
        <v>7.4591172169703981</v>
      </c>
      <c r="AA378" s="384">
        <f t="shared" si="135"/>
        <v>7.8595895716066169</v>
      </c>
      <c r="AB378" s="197">
        <f t="shared" si="136"/>
        <v>44194</v>
      </c>
      <c r="AC378" s="424">
        <f>IF(OR(t&lt;Tnet,NoTnet),'2019'!Resal_s+('2019'!Salim-'2019'!Resal_s)*(1-EXP(('2019'!Tnet_s-t)/'2019'!Tau_j)),Resal_s+(Salim-Resal_s)*(1-EXP((Tnet_s-t)/Tau_j)))*Salcycl</f>
        <v>5.0953341900060095E-2</v>
      </c>
      <c r="AD378" s="230">
        <f>(INDEX(Models!$BJ378:$BT378,,AH378)*(1-AF378)+INDEX(Models!$BJ378:$BT378,,AH378+1)*AF378-ERP_i)*AE378*Ramure*Pc/MaxiM</f>
        <v>2.8484358289157763E-4</v>
      </c>
      <c r="AE378" s="304">
        <f t="shared" si="137"/>
        <v>0.6</v>
      </c>
      <c r="AF378" s="177">
        <f t="shared" si="138"/>
        <v>0.49911238274113412</v>
      </c>
      <c r="AG378" s="176">
        <f t="shared" si="139"/>
        <v>-1</v>
      </c>
      <c r="AH378" s="176">
        <f t="shared" si="140"/>
        <v>5</v>
      </c>
      <c r="AI378" s="224">
        <f t="shared" si="141"/>
        <v>-0.50088761725886588</v>
      </c>
      <c r="AJ378" s="264" t="b">
        <f t="shared" si="142"/>
        <v>0</v>
      </c>
      <c r="AK378" s="264" t="b">
        <f t="shared" si="143"/>
        <v>0</v>
      </c>
      <c r="AL378" s="264"/>
      <c r="AM378" s="264"/>
      <c r="AN378" s="75"/>
    </row>
    <row r="379" spans="1:40" s="18" customFormat="1" ht="12.75" x14ac:dyDescent="0.2">
      <c r="A379" s="56">
        <f t="shared" si="144"/>
        <v>44195</v>
      </c>
      <c r="B379" s="607">
        <v>12.593</v>
      </c>
      <c r="C379" s="388"/>
      <c r="D379" s="391">
        <f t="shared" si="123"/>
        <v>12.762834693732113</v>
      </c>
      <c r="E379" s="383">
        <f t="shared" si="145"/>
        <v>13.448660751190449</v>
      </c>
      <c r="F379" s="383">
        <f t="shared" si="124"/>
        <v>13.449571381378121</v>
      </c>
      <c r="G379" s="110">
        <f t="shared" si="146"/>
        <v>0.47275745092346516</v>
      </c>
      <c r="H379" s="412" t="b">
        <f>Wh_hp&gt;='2019'!Maxi_hp</f>
        <v>0</v>
      </c>
      <c r="I379" s="388">
        <f>IF(H379,Wh_hp,'2019'!Maxi_hp)</f>
        <v>21.902150317320494</v>
      </c>
      <c r="J379" s="85">
        <f>IF(H379,An,'2019'!An_max)</f>
        <v>2018</v>
      </c>
      <c r="K379" s="197">
        <f t="shared" si="125"/>
        <v>44195</v>
      </c>
      <c r="L379" s="147">
        <f>IF(t&lt;Tvie,1-EXP((T0-t)*PertePVj)+'2019'!Pspv,1-EXP((T0-t)*PertePVj)+Pspv)</f>
        <v>1.3306972769577596E-2</v>
      </c>
      <c r="M379" s="832"/>
      <c r="N379" s="832"/>
      <c r="O379" s="48">
        <f>IF(t&lt;Tnet,'2019'!Resal+('2019'!Salim-'2019'!Resal)*(1-EXP(('2019'!Tnet-t)/('2019'!Tau_j))),Resal+(Salim-Resal)*(1-EXP((Tnet-t)/(Tau_j))))*Salcycl</f>
        <v>5.0995862721693569E-2</v>
      </c>
      <c r="P379" s="169">
        <f>(INDEX(Models!$BJ379:$BT379,,T379)*(1-R379)+INDEX(Models!$BJ379:$BT379,,T379+1)*R379-ERP_i)*Q379*Ramure*Pc/MaxiM</f>
        <v>2.7418864024674741E-4</v>
      </c>
      <c r="Q379" s="305">
        <f t="shared" si="126"/>
        <v>0.6</v>
      </c>
      <c r="R379" s="177">
        <f t="shared" si="127"/>
        <v>0.49911238274113412</v>
      </c>
      <c r="S379" s="799">
        <f t="shared" si="128"/>
        <v>-1</v>
      </c>
      <c r="T379" s="176">
        <f t="shared" si="129"/>
        <v>5</v>
      </c>
      <c r="U379" s="306">
        <f t="shared" si="130"/>
        <v>-0.50088761725886588</v>
      </c>
      <c r="V379" s="382">
        <f t="shared" si="131"/>
        <v>26.631837480509297</v>
      </c>
      <c r="W379" s="58"/>
      <c r="X379" s="157">
        <f t="shared" si="132"/>
        <v>44195</v>
      </c>
      <c r="Y379" s="383">
        <f t="shared" si="133"/>
        <v>12.593</v>
      </c>
      <c r="Z379" s="383">
        <f t="shared" si="134"/>
        <v>12.762834693732113</v>
      </c>
      <c r="AA379" s="384">
        <f t="shared" si="135"/>
        <v>13.448660751190449</v>
      </c>
      <c r="AB379" s="197">
        <f t="shared" si="136"/>
        <v>44195</v>
      </c>
      <c r="AC379" s="424">
        <f>IF(OR(t&lt;Tnet,NoTnet),'2019'!Resal_s+('2019'!Salim-'2019'!Resal_s)*(1-EXP(('2019'!Tnet_s-t)/'2019'!Tau_j)),Resal_s+(Salim-Resal_s)*(1-EXP((Tnet_s-t)/Tau_j)))*Salcycl</f>
        <v>5.0995862721693569E-2</v>
      </c>
      <c r="AD379" s="230">
        <f>(INDEX(Models!$BJ379:$BT379,,AH379)*(1-AF379)+INDEX(Models!$BJ379:$BT379,,AH379+1)*AF379-ERP_i)*AE379*Ramure*Pc/MaxiM</f>
        <v>2.7418864024674741E-4</v>
      </c>
      <c r="AE379" s="305">
        <f t="shared" si="137"/>
        <v>0.6</v>
      </c>
      <c r="AF379" s="177">
        <f t="shared" si="138"/>
        <v>0.49911238274113412</v>
      </c>
      <c r="AG379" s="176">
        <f t="shared" si="139"/>
        <v>-1</v>
      </c>
      <c r="AH379" s="176">
        <f t="shared" si="140"/>
        <v>5</v>
      </c>
      <c r="AI379" s="221">
        <f t="shared" si="141"/>
        <v>-0.50088761725886588</v>
      </c>
      <c r="AJ379" s="264" t="b">
        <f t="shared" si="142"/>
        <v>0</v>
      </c>
      <c r="AK379" s="264" t="b">
        <f t="shared" si="143"/>
        <v>0</v>
      </c>
      <c r="AL379" s="264"/>
      <c r="AM379" s="264"/>
      <c r="AN379" s="264"/>
    </row>
    <row r="380" spans="1:40" s="18" customFormat="1" ht="12" thickBot="1" x14ac:dyDescent="0.25">
      <c r="A380" s="56">
        <f t="shared" si="144"/>
        <v>44196</v>
      </c>
      <c r="B380" s="608">
        <v>15.384</v>
      </c>
      <c r="C380" s="388"/>
      <c r="D380" s="391">
        <f t="shared" ref="D380" si="147">Wh/(1-Ppv)</f>
        <v>15.591774150551615</v>
      </c>
      <c r="E380" s="383">
        <f t="shared" ref="E380" si="148">Wh_pvt/(1-Psa)</f>
        <v>16.430354503695071</v>
      </c>
      <c r="F380" s="383">
        <f t="shared" ref="F380" si="149">Wh_sa/(1-Pvg*MEDIAN((-Sdif+Wh/Env_an)/Csdif,0,1))</f>
        <v>16.432050764210434</v>
      </c>
      <c r="G380" s="110">
        <f t="shared" ref="G380" si="150">+Wh_hp/MaxiM</f>
        <v>0.57476642707609482</v>
      </c>
      <c r="H380" s="412" t="b">
        <f>Wh_hp&gt;='2019'!Maxi_hp</f>
        <v>1</v>
      </c>
      <c r="I380" s="380">
        <f>IF(H380,Wh_hp,'2019'!Maxi_hp)</f>
        <v>16.432050764210434</v>
      </c>
      <c r="J380" s="128">
        <f>IF(H380,An,'2019'!An_max)</f>
        <v>2020</v>
      </c>
      <c r="K380" s="233">
        <f t="shared" ref="K380" si="151">t</f>
        <v>44196</v>
      </c>
      <c r="L380" s="147">
        <f>IF(t&lt;Tvie,1-EXP((T0-t)*PertePVj)+'2020'!Pspv,1-EXP((T0-t)*PertePVj)+Pspv)</f>
        <v>1.332588251634359E-2</v>
      </c>
      <c r="M380" s="832"/>
      <c r="N380" s="832"/>
      <c r="O380" s="323">
        <f>IF(t&lt;Tnet,'2020'!Resal+('2020'!Salim-'2020'!Resal)*(1-EXP(('2020'!Tnet-t)/('2020'!Tau_j))),Resal+(Salim-Resal)*(1-EXP((Tnet-t)/(Tau_j))))*Salcycl</f>
        <v>5.1038482033656893E-2</v>
      </c>
      <c r="P380" s="230">
        <f>(INDEX(Models!$BJ380:$BT380,,T380)*(1-R380)+INDEX(Models!$BJ380:$BT380,,T380+1)*R380-ERP_i)*Q380*Ramure*Pc/MaxiM</f>
        <v>2.6289969843472513E-4</v>
      </c>
      <c r="Q380" s="327">
        <f t="shared" ref="Q380" si="152">IF(OR(t&lt;Ttai,Notai),Dd+PousD*Croivg,Dens+PousD*(Croivg-Croi_tai))</f>
        <v>0.6</v>
      </c>
      <c r="R380" s="313">
        <f>(Hp_vg-S380)/(INDEX(Echel_vg,T380+1)-S380)</f>
        <v>0.49911238274113412</v>
      </c>
      <c r="S380" s="800">
        <f>INDEX(Echel_vg,T380)</f>
        <v>-1</v>
      </c>
      <c r="T380" s="232">
        <f t="shared" ref="T380" si="153">MIN(MATCH(Hp_vg,Echel_vg),10)</f>
        <v>5</v>
      </c>
      <c r="U380" s="300">
        <f t="shared" ref="U380" si="154">IF(OR(t&lt;Ttai,Notai),Hdd+PousH*Croivg,Hdtf+PousH*(Croivg-Croi_tai))</f>
        <v>-0.50088761725886588</v>
      </c>
      <c r="V380" s="382">
        <f t="shared" ref="V380" si="155">MaxiM*(1-Ppv)*(1-Pvg)*(1-Psa)</f>
        <v>26.761381048660095</v>
      </c>
      <c r="W380" s="400"/>
      <c r="X380" s="325">
        <f t="shared" ref="X380" si="156">t</f>
        <v>44196</v>
      </c>
      <c r="Y380" s="396">
        <f t="shared" ref="Y380" si="157">Wh_pvt_s*(1-Ppv)</f>
        <v>15.384000000000002</v>
      </c>
      <c r="Z380" s="396">
        <f t="shared" ref="Z380" si="158">Wh_sa_s*(1-Psa_s)</f>
        <v>15.591774150551617</v>
      </c>
      <c r="AA380" s="397">
        <f t="shared" ref="AA380" si="159">Wh_hp*(1-Pvg_s*MEDIAN((-Sdif+Wh/Env_an)/Csdif,0,1))</f>
        <v>16.430354503695071</v>
      </c>
      <c r="AB380" s="198">
        <f t="shared" ref="AB380" si="160">t</f>
        <v>44196</v>
      </c>
      <c r="AC380" s="326">
        <f>IF(OR(t&lt;Tnet,NoTnet),'2020'!Resal_s+('2020'!Salim-'2020'!Resal_s)*(1-EXP(('2020'!Tnet_s-t)/'2020'!Tau_j)),Resal_s+(Salim-Resal_s)*(1-EXP((Tnet_s-t)/Tau_j)))*Salcycl</f>
        <v>5.1038482033656893E-2</v>
      </c>
      <c r="AD380" s="801">
        <f>(INDEX(Models!$BJ380:$BT380,,AH380)*(1-AF380)+INDEX(Models!$BJ380:$BT380,,AH380+1)*AF380-ERP_i)*AE380*Ramure*Pc/MaxiM</f>
        <v>2.6289969843472513E-4</v>
      </c>
      <c r="AE380" s="327">
        <f t="shared" ref="AE380" si="161">IF(OR(t&lt;Ttai,Notai),Dd_s+PousD*Croivg,Dens_s+PousD*(Croivg-Croi_tai))</f>
        <v>0.6</v>
      </c>
      <c r="AF380" s="313">
        <f>(Hp_vg_s-AG380)/(INDEX(Echel_vg,AH380+1)-AG380)</f>
        <v>0.49911238274113412</v>
      </c>
      <c r="AG380" s="800">
        <f>INDEX(Echel_vg,AH380)</f>
        <v>-1</v>
      </c>
      <c r="AH380" s="232">
        <f t="shared" ref="AH380" si="162">MIN(MATCH(Hp_vg_s,Echel_vg),10)</f>
        <v>5</v>
      </c>
      <c r="AI380" s="226">
        <f t="shared" ref="AI380" si="163">IF(OR(t&lt;Ttai,Notai),Hdd_s+PousH*Croivg,Hdtai_s+PousH*(Croivg-Croi_tai))</f>
        <v>-0.50088761725886588</v>
      </c>
      <c r="AJ380" s="264" t="b">
        <f t="shared" si="142"/>
        <v>0</v>
      </c>
      <c r="AK380" s="264" t="b">
        <f t="shared" si="143"/>
        <v>0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1.099</v>
      </c>
      <c r="C381" s="374"/>
      <c r="D381" s="372">
        <f>MIN(D15:D380)</f>
        <v>1.106523811111632</v>
      </c>
      <c r="E381" s="372">
        <f>MIN(E15:E380)</f>
        <v>1.1442002475416777</v>
      </c>
      <c r="F381" s="373">
        <f>MIN(F15:F380)</f>
        <v>1.1442002475416777</v>
      </c>
      <c r="G381" s="125">
        <f>+MIN(G15:G380)</f>
        <v>3.3866606904678416E-2</v>
      </c>
      <c r="H381" s="336"/>
      <c r="I381" s="373">
        <f>MIN(I15:I380)</f>
        <v>1.1442002475416777</v>
      </c>
      <c r="J381" s="57">
        <f>MIN(J15:J380)</f>
        <v>2018</v>
      </c>
      <c r="K381" s="200" t="s">
        <v>7</v>
      </c>
      <c r="L381" s="146">
        <f t="shared" ref="L381:T381" si="164">MIN(L15:L380)</f>
        <v>6.3996942621804553E-3</v>
      </c>
      <c r="M381" s="833"/>
      <c r="N381" s="833"/>
      <c r="O381" s="47">
        <f t="shared" si="164"/>
        <v>3.1646056773349203E-2</v>
      </c>
      <c r="P381" s="168">
        <f t="shared" si="164"/>
        <v>-1.9963849872836837E-20</v>
      </c>
      <c r="Q381" s="309">
        <f t="shared" si="164"/>
        <v>0.6</v>
      </c>
      <c r="R381" s="310">
        <f t="shared" si="164"/>
        <v>6.6141340840375484E-5</v>
      </c>
      <c r="S381" s="799">
        <f t="shared" si="164"/>
        <v>-2</v>
      </c>
      <c r="T381" s="176">
        <f t="shared" si="164"/>
        <v>4</v>
      </c>
      <c r="U381" s="251">
        <f>+MIN(U15:U380)</f>
        <v>-1.000886344222695</v>
      </c>
      <c r="V381" s="372">
        <f>MIN(V15:V380)</f>
        <v>25.898985813028339</v>
      </c>
      <c r="W381" s="793" t="s">
        <v>40</v>
      </c>
      <c r="X381" s="112" t="s">
        <v>7</v>
      </c>
      <c r="Y381" s="372">
        <f>MIN(Y15:Y380)</f>
        <v>1.099</v>
      </c>
      <c r="Z381" s="372">
        <f>MIN(Z15:Z380)</f>
        <v>1.106523811111632</v>
      </c>
      <c r="AA381" s="372">
        <f>MIN(AA15:AA380)</f>
        <v>1.1442002475416777</v>
      </c>
      <c r="AB381" s="200" t="s">
        <v>7</v>
      </c>
      <c r="AC381" s="47">
        <f t="shared" ref="AC381:AH381" si="165">MIN(AC15:AC380)</f>
        <v>3.1646056773349203E-2</v>
      </c>
      <c r="AD381" s="168">
        <f t="shared" si="165"/>
        <v>-1.9963849872836837E-20</v>
      </c>
      <c r="AE381" s="309">
        <f t="shared" si="165"/>
        <v>0.6</v>
      </c>
      <c r="AF381" s="310">
        <f t="shared" si="165"/>
        <v>6.6141340840375484E-5</v>
      </c>
      <c r="AG381" s="799">
        <f t="shared" si="165"/>
        <v>-2</v>
      </c>
      <c r="AH381" s="176">
        <f t="shared" si="165"/>
        <v>4</v>
      </c>
      <c r="AI381" s="225">
        <f>MIN(AI15:AI380)</f>
        <v>-1.000886344222695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31.426489071038244</v>
      </c>
      <c r="C382" s="374"/>
      <c r="D382" s="374">
        <f>AVERAGE(D15:D380)</f>
        <v>31.734514849636746</v>
      </c>
      <c r="E382" s="374">
        <f>AVERAGE(E15:E380)</f>
        <v>33.149101471625073</v>
      </c>
      <c r="F382" s="375">
        <f>AVERAGE(F15:F380)</f>
        <v>33.149375987822047</v>
      </c>
      <c r="G382" s="126">
        <f>AVERAGE(G15:G380)</f>
        <v>0.6580935010615987</v>
      </c>
      <c r="H382" s="336"/>
      <c r="I382" s="375">
        <f>AVERAGE(I15:I380)</f>
        <v>38.853601732588771</v>
      </c>
      <c r="J382" s="59">
        <f>AVERAGE(J15:J380)</f>
        <v>2019.2185792349726</v>
      </c>
      <c r="K382" s="200" t="s">
        <v>8</v>
      </c>
      <c r="L382" s="147">
        <f t="shared" ref="L382:V382" si="166">AVERAGE(L15:L380)</f>
        <v>9.8668148353671242E-3</v>
      </c>
      <c r="M382" s="832"/>
      <c r="N382" s="832"/>
      <c r="O382" s="48">
        <f t="shared" si="166"/>
        <v>4.2817895803817778E-2</v>
      </c>
      <c r="P382" s="169">
        <f t="shared" si="166"/>
        <v>3.686801523188E-5</v>
      </c>
      <c r="Q382" s="311">
        <f t="shared" si="166"/>
        <v>0.5999999999999962</v>
      </c>
      <c r="R382" s="177">
        <f t="shared" si="166"/>
        <v>0.33697570941569671</v>
      </c>
      <c r="S382" s="799">
        <f t="shared" si="166"/>
        <v>-1.0573770491803278</v>
      </c>
      <c r="T382" s="176">
        <f t="shared" si="166"/>
        <v>4.942622950819672</v>
      </c>
      <c r="U382" s="250">
        <f t="shared" si="166"/>
        <v>-0.72040133976463139</v>
      </c>
      <c r="V382" s="374">
        <f t="shared" si="166"/>
        <v>46.221124404011114</v>
      </c>
      <c r="X382" s="112" t="s">
        <v>8</v>
      </c>
      <c r="Y382" s="374">
        <f>AVERAGE(Y15:Y380)</f>
        <v>31.426489071038244</v>
      </c>
      <c r="Z382" s="374">
        <f>AVERAGE(Z15:Z380)</f>
        <v>31.734514849636746</v>
      </c>
      <c r="AA382" s="374">
        <f>AVERAGE(AA15:AA380)</f>
        <v>33.149101471625073</v>
      </c>
      <c r="AB382" s="200" t="s">
        <v>8</v>
      </c>
      <c r="AC382" s="48">
        <f t="shared" ref="AC382:AH382" si="167">AVERAGE(AC15:AC380)</f>
        <v>4.2817895803817778E-2</v>
      </c>
      <c r="AD382" s="169">
        <f t="shared" si="167"/>
        <v>3.686801523188E-5</v>
      </c>
      <c r="AE382" s="311">
        <f t="shared" si="167"/>
        <v>0.5999999999999962</v>
      </c>
      <c r="AF382" s="177">
        <f t="shared" si="167"/>
        <v>0.33697570941569671</v>
      </c>
      <c r="AG382" s="799">
        <f t="shared" si="167"/>
        <v>-1.0573770491803278</v>
      </c>
      <c r="AH382" s="176">
        <f t="shared" si="167"/>
        <v>4.942622950819672</v>
      </c>
      <c r="AI382" s="224">
        <f>AVERAGE(AI15:AI380)</f>
        <v>-0.72040133976463139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61.420999999999999</v>
      </c>
      <c r="C383" s="376"/>
      <c r="D383" s="376">
        <f>MAX(D15:D380)</f>
        <v>61.979126265595028</v>
      </c>
      <c r="E383" s="376">
        <f>MAX(E15:E380)</f>
        <v>64.598562640471044</v>
      </c>
      <c r="F383" s="377">
        <f>MAX(F15:F380)</f>
        <v>64.598562640471044</v>
      </c>
      <c r="G383" s="127">
        <f>+MAX(G15:G380)</f>
        <v>1.0465616160922917</v>
      </c>
      <c r="H383" s="336"/>
      <c r="I383" s="377">
        <f>MAX(I15:I380)</f>
        <v>65.55404847482302</v>
      </c>
      <c r="J383" s="60">
        <f>MAX(J15:J380)</f>
        <v>2020</v>
      </c>
      <c r="K383" s="200" t="s">
        <v>9</v>
      </c>
      <c r="L383" s="148">
        <f t="shared" ref="L383:T383" si="168">MAX(L15:L380)</f>
        <v>1.332588251634359E-2</v>
      </c>
      <c r="M383" s="834"/>
      <c r="N383" s="834"/>
      <c r="O383" s="49">
        <f t="shared" si="168"/>
        <v>5.1038482033656893E-2</v>
      </c>
      <c r="P383" s="170">
        <f t="shared" si="168"/>
        <v>3.3922170485811058E-4</v>
      </c>
      <c r="Q383" s="312">
        <f t="shared" si="168"/>
        <v>0.6</v>
      </c>
      <c r="R383" s="313">
        <f t="shared" si="168"/>
        <v>0.99999992246205838</v>
      </c>
      <c r="S383" s="800">
        <f t="shared" si="168"/>
        <v>-1</v>
      </c>
      <c r="T383" s="232">
        <f t="shared" si="168"/>
        <v>5</v>
      </c>
      <c r="U383" s="252">
        <f>+MAX(U15:U380)</f>
        <v>-0.50088761725886588</v>
      </c>
      <c r="V383" s="376">
        <f>MAX(V15:V380)</f>
        <v>60.031016640148614</v>
      </c>
      <c r="X383" s="112" t="s">
        <v>9</v>
      </c>
      <c r="Y383" s="376">
        <f>MAX(Y15:Y380)</f>
        <v>61.420999999999992</v>
      </c>
      <c r="Z383" s="376">
        <f>MAX(Z15:Z380)</f>
        <v>61.979126265595021</v>
      </c>
      <c r="AA383" s="376">
        <f>MAX(AA15:AA380)</f>
        <v>64.598562640471044</v>
      </c>
      <c r="AB383" s="200" t="s">
        <v>9</v>
      </c>
      <c r="AC383" s="49">
        <f t="shared" ref="AC383:AH383" si="169">MAX(AC15:AC380)</f>
        <v>5.1038482033656893E-2</v>
      </c>
      <c r="AD383" s="170">
        <f t="shared" si="169"/>
        <v>3.3922170485811058E-4</v>
      </c>
      <c r="AE383" s="312">
        <f t="shared" si="169"/>
        <v>0.6</v>
      </c>
      <c r="AF383" s="313">
        <f t="shared" si="169"/>
        <v>0.99999992246205838</v>
      </c>
      <c r="AG383" s="800">
        <f t="shared" si="169"/>
        <v>-1</v>
      </c>
      <c r="AH383" s="232">
        <f t="shared" si="169"/>
        <v>5</v>
      </c>
      <c r="AI383" s="226">
        <f>MAX(AI15:AI380)</f>
        <v>-0.50088761725886588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7" priority="3" stopIfTrue="1" operator="lessThan">
      <formula>0.01</formula>
    </cfRule>
    <cfRule type="cellIs" dxfId="1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7">
        <f>'2020'!An+1</f>
        <v>2021</v>
      </c>
      <c r="K1" s="1278"/>
      <c r="L1" s="113" t="str">
        <f>"Calcul pertes et enveloppes en "&amp;TEXT(An,0)</f>
        <v>Calcul pertes et enveloppes en 2021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2021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7">
        <f>Tmaj</f>
        <v>44947</v>
      </c>
      <c r="F3" s="1287"/>
      <c r="G3" s="470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/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0" t="str">
        <f>Station</f>
        <v>Esp. Berjean Escalquens</v>
      </c>
      <c r="F4" s="1221"/>
      <c r="G4" s="1221"/>
      <c r="H4" s="1221"/>
      <c r="I4" s="1222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0</v>
      </c>
      <c r="AK4" s="822">
        <f>AM12-AK12</f>
        <v>0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88">
        <f>T0</f>
        <v>43496</v>
      </c>
      <c r="F5" s="1288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0</v>
      </c>
      <c r="AA5" s="236">
        <f>Wh_Pvg_s-Wh_Pvg</f>
        <v>0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395.60499999999996</v>
      </c>
      <c r="AK5" s="514">
        <f>SUMIF(AK15:AK380,"VRAI",Wh)</f>
        <v>0</v>
      </c>
      <c r="AL5" s="514">
        <f>SUMIF(AJ15:AJ380,"VRAI",Wh_s)</f>
        <v>395.60499999999996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89">
        <f>Tservice</f>
        <v>43535</v>
      </c>
      <c r="F6" s="1289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10358.858999999993</v>
      </c>
      <c r="AK6" s="514">
        <f>SUMIF(AK15:AK380,"FAUX",Wh)</f>
        <v>10754.463999999993</v>
      </c>
      <c r="AL6" s="514">
        <f>SUMIF(AJ15:AJ380,"FAUX",Wh_s)</f>
        <v>10358.858999999993</v>
      </c>
      <c r="AM6" s="514">
        <f>SUMIF(AK15:AK380,"FAUX",Wh_s)</f>
        <v>10754.463999999993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AND(YEAR(Tnet)=An,Resal_2021="I")</f>
        <v>1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401.07198769542066</v>
      </c>
      <c r="AK7" s="514">
        <f>SUMIF(AK15:AK380,"VRAI",Wh_sa)</f>
        <v>0</v>
      </c>
      <c r="AL7" s="514">
        <f>SUMIF(AJ15:AJ380,"VRAI",Wh_pvt_s)</f>
        <v>401.07198769542066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AND(YEAR(Tnet)=An,Resal_2021&lt;&gt;"I")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5" t="s">
        <v>102</v>
      </c>
      <c r="Y8" s="1276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10535.527175062467</v>
      </c>
      <c r="AK8" s="514">
        <f>SUMIF(AK15:AK380,"FAUX",Wh_sa)</f>
        <v>11900.29284527313</v>
      </c>
      <c r="AL8" s="514">
        <f>SUMIF(AJ15:AJ380,"FAUX",Wh_pvt_s)</f>
        <v>10535.527175062467</v>
      </c>
      <c r="AM8" s="514">
        <f>SUMIF(AK15:AK380,"FAUX",Wh_sa_s)</f>
        <v>11900.29284527313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10936.599162757886</v>
      </c>
      <c r="E9" s="184">
        <f>SUM(E$15:E$380)</f>
        <v>11900.29284527313</v>
      </c>
      <c r="F9" s="184">
        <f>SUM(F$15:F$380)</f>
        <v>11900.555161014861</v>
      </c>
      <c r="H9" s="1279">
        <f>+SUM(Wh)</f>
        <v>10754.463999999993</v>
      </c>
      <c r="I9" s="1280"/>
      <c r="J9" s="1281"/>
      <c r="K9" s="191"/>
      <c r="L9" s="231"/>
      <c r="M9" s="231"/>
      <c r="N9" s="231"/>
      <c r="O9" s="222">
        <f>Tnet_2021</f>
        <v>44228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3">
        <f>+SUM(Wh_s)</f>
        <v>10754.463999999993</v>
      </c>
      <c r="Y9" s="1274"/>
      <c r="Z9" s="514">
        <f>SUM(Z$15:Z$380)</f>
        <v>10936.599162757886</v>
      </c>
      <c r="AA9" s="514">
        <f>SUM(AA$15:AA$380)</f>
        <v>11900.29284527313</v>
      </c>
      <c r="AB9" s="514">
        <f>F9</f>
        <v>11900.555161014861</v>
      </c>
      <c r="AC9" s="324">
        <f>IF(An_Tnet,Tnet,'2020'!Tnet_s)</f>
        <v>44228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422.95302688458344</v>
      </c>
      <c r="AK9" s="514">
        <f>SUMIF(AK15:AK380,"VRAI",Wh_hp)</f>
        <v>0</v>
      </c>
      <c r="AL9" s="514">
        <f>SUMIF(AJ15:AJ380,"VRAI",Wh_sa_s)</f>
        <v>422.95302688458344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IF(Inflex,'2020'!Resal+('2020'!Salim-'2020'!Resal)*(1-EXP(-(Tnet-'2020'!Tnet)/('2020'!Tau_j))),IF(An_Tnet,Resal_2021,'2020'!Resal))</f>
        <v>5.2420264641901221E-2</v>
      </c>
      <c r="P10" s="419" t="b">
        <f>NOT(Acti_tai)</f>
        <v>1</v>
      </c>
      <c r="Q10" s="256">
        <f>IF(Acti_tai,'2020'!PousD,Dens-Dd)</f>
        <v>0</v>
      </c>
      <c r="R10" s="273"/>
      <c r="S10" s="274"/>
      <c r="T10" s="275"/>
      <c r="U10" s="265">
        <f>IF(Acti_tai,'2020'!PousH,Hdtf-Hdd)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IF(OR(Inflex,GainD),'2020'!Resal_s+('2020'!Salim-'2020'!Resal_s)*(1-EXP(('2020'!Tnet_s-Tnet)/('2020'!Tau_j))),IF(Acti_net,'2020'!Resal+('2020'!Salim-'2020'!Resal)*(1-EXP(('2020'!Tnet-Tnet)/'2020'!Tau_j)),'2020'!Resal_s))</f>
        <v>5.2420264641901221E-2</v>
      </c>
      <c r="AD10" s="426"/>
      <c r="AE10" s="426"/>
      <c r="AF10" s="259"/>
      <c r="AG10" s="260"/>
      <c r="AH10" s="261"/>
      <c r="AI10" s="521"/>
      <c r="AJ10" s="514">
        <f>SUMIF(AJ15:AJ380,"FAUX",Wh_sa)</f>
        <v>11477.339818388551</v>
      </c>
      <c r="AK10" s="514">
        <f>SUMIF(AK15:AK380,"FAUX",Wh_hp)</f>
        <v>11900.555161014861</v>
      </c>
      <c r="AL10" s="514">
        <f>SUMIF(AJ15:AJ380,"FAUX",Wh_sa_s)</f>
        <v>11477.339818388551</v>
      </c>
      <c r="AM10" s="514">
        <f>SUMIF(AK15:AK380,"FAUX",Wh_hp)</f>
        <v>11900.555161014861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182.13516275789334</v>
      </c>
      <c r="E11" s="51">
        <f>(E$9-D$9)*Prod_an/D$9</f>
        <v>947.64458872461057</v>
      </c>
      <c r="F11" s="186">
        <f>(F$9-E$9)*Prod_an/E$9</f>
        <v>0.23705846887630638</v>
      </c>
      <c r="G11" s="185" t="s">
        <v>6</v>
      </c>
      <c r="K11" s="194"/>
      <c r="L11" s="211">
        <f>Tvie_2021</f>
        <v>43496</v>
      </c>
      <c r="M11" s="831"/>
      <c r="N11" s="831"/>
      <c r="O11" s="202">
        <f>IF(An_Tnet,Salim_2021,'2020'!Salim)</f>
        <v>0.15</v>
      </c>
      <c r="P11" s="255">
        <f>Ttai_2021</f>
        <v>43466</v>
      </c>
      <c r="Q11" s="271">
        <f>Dens_2021</f>
        <v>0.6</v>
      </c>
      <c r="R11" s="276"/>
      <c r="S11" s="229"/>
      <c r="T11" s="229"/>
      <c r="U11" s="265">
        <f>Htf_2021</f>
        <v>-8.8761725886588039E-4</v>
      </c>
      <c r="V11" s="426"/>
      <c r="W11" s="517"/>
      <c r="X11" s="524" t="s">
        <v>43</v>
      </c>
      <c r="Y11" s="50">
        <f>Z$9-Prod_an_s</f>
        <v>182.13516275789334</v>
      </c>
      <c r="Z11" s="51">
        <f>(AA$9-Z$9)*Prod_an_s/Z$9</f>
        <v>947.64458872461057</v>
      </c>
      <c r="AA11" s="186">
        <f>(AB$9-AA$9)*Prod_an_s/AA$9</f>
        <v>0.23705846887630638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21.582780084363332</v>
      </c>
      <c r="AK11" s="822">
        <f>IF($AK7=0,0,($AK9-$AK7)*$AK5/$AK7)</f>
        <v>0</v>
      </c>
      <c r="AL11" s="821">
        <f>IF($AL7=0,0,($AL9-$AL7)*$AL5/$AL7)</f>
        <v>21.582780084363332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4.5847553040853306E-2</v>
      </c>
      <c r="K12" s="191"/>
      <c r="L12" s="212">
        <f>Pspv_2021</f>
        <v>0</v>
      </c>
      <c r="M12" s="212"/>
      <c r="N12" s="212"/>
      <c r="O12" s="205">
        <f>IF(An_Tnet,Tau_2021*365,'2020'!Tau_j)</f>
        <v>438</v>
      </c>
      <c r="P12" s="455">
        <f>INDEX(Croivg,MIN(MAX(Ttai-$A$15,0)+1,366))</f>
        <v>2.3909964587625958E-6</v>
      </c>
      <c r="Q12" s="279">
        <f>'2020'!Df</f>
        <v>0.6</v>
      </c>
      <c r="R12" s="277"/>
      <c r="S12" s="278"/>
      <c r="T12" s="278"/>
      <c r="U12" s="266">
        <f>'2020'!Hdf</f>
        <v>-0.50088761725886588</v>
      </c>
      <c r="V12" s="516"/>
      <c r="W12" s="503"/>
      <c r="X12" s="504"/>
      <c r="Y12" s="503"/>
      <c r="Z12" s="426"/>
      <c r="AA12" s="426"/>
      <c r="AB12" s="530" t="s">
        <v>106</v>
      </c>
      <c r="AC12" s="317" t="b">
        <f>NOT(An_Tnet)</f>
        <v>0</v>
      </c>
      <c r="AD12" s="426"/>
      <c r="AE12" s="295">
        <f>'2020'!Df_s</f>
        <v>0.6</v>
      </c>
      <c r="AF12" s="203"/>
      <c r="AG12" s="203"/>
      <c r="AH12" s="203"/>
      <c r="AI12" s="296">
        <f>'2020'!Hdf_s</f>
        <v>-0.50088761725886588</v>
      </c>
      <c r="AJ12" s="821">
        <f>IF($AJ8=0,0,($AJ10-$AJ8)*$AJ6/$AJ8)</f>
        <v>926.01957306178599</v>
      </c>
      <c r="AK12" s="822">
        <f>IF($AK8=0,0,($AK10-$AK8)*$AK6/$AK8)</f>
        <v>0.23705846887630638</v>
      </c>
      <c r="AL12" s="821">
        <f>IF($AL8=0,0,($AL10-$AL8)*$AL6/$AL8)</f>
        <v>926.01957306178599</v>
      </c>
      <c r="AM12" s="822">
        <f>IF($AM8=0,0,($AM10-$AM8)*$AM6/$AM8)</f>
        <v>0.23705846887630638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200</v>
      </c>
      <c r="V13" s="263" t="s">
        <v>41</v>
      </c>
      <c r="W13" s="838" t="s">
        <v>46</v>
      </c>
      <c r="X13" s="531"/>
      <c r="Y13" s="263" t="s">
        <v>100</v>
      </c>
      <c r="Z13" s="263" t="s">
        <v>101</v>
      </c>
      <c r="AA13" s="263" t="s">
        <v>74</v>
      </c>
      <c r="AB13" s="502"/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947.60235314614931</v>
      </c>
      <c r="AK13" s="73">
        <f>+AK11+AK12</f>
        <v>0.23705846887630638</v>
      </c>
      <c r="AL13" s="73">
        <f>+AL11+AL12</f>
        <v>947.60235314614931</v>
      </c>
      <c r="AM13" s="73">
        <f>+AM11+AM12</f>
        <v>0.23705846887630638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387" t="s">
        <v>186</v>
      </c>
      <c r="C14" s="387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199</v>
      </c>
      <c r="V14" s="45" t="str">
        <f>"Enveloppe "&amp; TEXT(An,0)</f>
        <v>Enveloppe 2021</v>
      </c>
      <c r="W14" s="826"/>
      <c r="X14" s="257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129">
        <f>DATE(An,1,1)</f>
        <v>44197</v>
      </c>
      <c r="B15" s="606">
        <v>7.0250000000000004</v>
      </c>
      <c r="C15" s="388"/>
      <c r="D15" s="391">
        <f t="shared" ref="D15:D78" si="0">Wh/(1-Ppv)</f>
        <v>7.1200151201077366</v>
      </c>
      <c r="E15" s="383">
        <f>Wh_pvt/(1-Psa)</f>
        <v>7.5033083269580478</v>
      </c>
      <c r="F15" s="383">
        <f t="shared" ref="F15:F78" si="1">Wh_sa/(1-Pvg*MEDIAN((-Sdif+Wh/Env_an)/Csdif,0,1))</f>
        <v>7.5033083269580478</v>
      </c>
      <c r="G15" s="110">
        <f>+Wh_hp/MaxiM</f>
        <v>0.26245352938565053</v>
      </c>
      <c r="H15" s="412" t="b">
        <f>Wh_hp&gt;='2020'!Maxi_hp</f>
        <v>0</v>
      </c>
      <c r="I15" s="378">
        <f>IF(H15,Wh_hp,'2020'!Maxi_hp)</f>
        <v>16.33370510428815</v>
      </c>
      <c r="J15" s="84">
        <f>IF(H15,An,'2020'!An_max)</f>
        <v>2020</v>
      </c>
      <c r="K15" s="197">
        <f>t</f>
        <v>44197</v>
      </c>
      <c r="L15" s="146">
        <f>IF(t&lt;Tvie,1-EXP((T0-t)*PertePVj)+'2020'!Pspv,1-EXP((T0-t)*PertePVj)+Pspv)</f>
        <v>1.3344791900708586E-2</v>
      </c>
      <c r="M15" s="833"/>
      <c r="N15" s="833"/>
      <c r="O15" s="47">
        <f>IF(t&lt;Tnet,'2020'!Resal+('2020'!Salim-'2020'!Resal)*(1-EXP(('2020'!Tnet-t)/('2020'!Tau_j))),Resal+(Salim-Resal)*(1-EXP((Tnet-t)/(Tau_j))))*Salcycl</f>
        <v>5.1083227577521713E-2</v>
      </c>
      <c r="P15" s="301">
        <f>(INDEX(Models!$BJ15:$BT15,,T15)*(1-R15)+INDEX(Models!$BJ15:$BT15,,T15+1)*R15-ERP_i)*Q15*Ramure*Pc/MaxiM</f>
        <v>2.6290009771881681E-4</v>
      </c>
      <c r="Q15" s="302">
        <f t="shared" ref="Q15:Q78" si="2">IF(OR(t&lt;Ttai,Notai),Dd+PousD*Croivg,Dens+PousD*(Croivg-Croi_tai))</f>
        <v>0.6</v>
      </c>
      <c r="R15" s="303">
        <f t="shared" ref="R15:R78" si="3">(Hp_vg-S15)/(INDEX(Echel_vg,T15+1)-S15)</f>
        <v>0.49911357823936353</v>
      </c>
      <c r="S15" s="798">
        <f t="shared" ref="S15:S78" si="4">INDEX(Echel_vg,T15)</f>
        <v>-1</v>
      </c>
      <c r="T15" s="248">
        <f t="shared" ref="T15:T78" si="5">MIN(MATCH(Hp_vg,Echel_vg),10)</f>
        <v>5</v>
      </c>
      <c r="U15" s="249">
        <f>IF(OR(t&lt;Ttai,Notai),Hdd+PousH*Croivg,Hdtf+PousH*(Croivg-Croi_tai))</f>
        <v>-0.50088642176063647</v>
      </c>
      <c r="V15" s="381">
        <f t="shared" ref="V15:V78" si="6">MaxiM*(1-Ppv)*(1-Pvg)*(1-Psa)</f>
        <v>26.759606332036284</v>
      </c>
      <c r="W15" s="400"/>
      <c r="X15" s="156">
        <f t="shared" ref="X15:X78" si="7">t</f>
        <v>44197</v>
      </c>
      <c r="Y15" s="383">
        <f t="shared" ref="Y15:Y78" si="8">Wh_pvt_s*(1-Ppv)</f>
        <v>7.0250000000000004</v>
      </c>
      <c r="Z15" s="383">
        <f t="shared" ref="Z15:Z78" si="9">Wh_sa_s*(1-Psa_s)</f>
        <v>7.1200151201077366</v>
      </c>
      <c r="AA15" s="384">
        <f t="shared" ref="AA15:AA78" si="10">Wh_hp*(1-Pvg_s*MEDIAN((-Sdif+Wh/Env_an)/Csdif,0,1))</f>
        <v>7.5033083269580478</v>
      </c>
      <c r="AB15" s="197">
        <f t="shared" ref="AB15:AB78" si="11">t</f>
        <v>44197</v>
      </c>
      <c r="AC15" s="119">
        <f>IF(OR(t&lt;Tnet,NoTnet),'2020'!Resal_s+('2020'!Salim-'2020'!Resal_s)*(1-EXP(('2020'!Tnet_s-t)/'2020'!Tau_j)),Resal_s+(Salim-Resal_s)*(1-EXP((Tnet_s-t)/Tau_j)))*Salcycl</f>
        <v>5.1083227577521713E-2</v>
      </c>
      <c r="AD15" s="230">
        <f>(INDEX(Models!$BJ15:$BT15,,AH15)*(1-AF15)+INDEX(Models!$BJ15:$BT15,,AH15+1)*AF15-ERP_i)*AE15*Ramure*Pc/MaxiM</f>
        <v>2.6290009771881681E-4</v>
      </c>
      <c r="AE15" s="302">
        <f t="shared" ref="AE15:AE78" si="12">IF(OR(t&lt;Ttai,Notai),Dd_s+PousD*Croivg,Dens_s+PousD*(Croivg-Croi_tai))</f>
        <v>0.6</v>
      </c>
      <c r="AF15" s="303">
        <f>(Hp_vg_s-AG15)/(INDEX(Echel_vg,AH15+1)-AG15)</f>
        <v>0.49911357823936353</v>
      </c>
      <c r="AG15" s="798">
        <f>INDEX(Echel_vg,AH15)</f>
        <v>-1</v>
      </c>
      <c r="AH15" s="248">
        <f t="shared" ref="AH15:AH78" si="13">MIN(MATCH(Hp_vg_s,Echel_vg),10)</f>
        <v>5</v>
      </c>
      <c r="AI15" s="223">
        <f>IF(OR(t&lt;Ttai,Notai),Hdd_s+PousH*Croivg,Hdtai_s+PousH*(Croivg-Croi_tai))</f>
        <v>-0.50088642176063647</v>
      </c>
      <c r="AJ15" s="264" t="b">
        <f t="shared" ref="AJ15:AJ78" si="14">t&lt;Tnet</f>
        <v>1</v>
      </c>
      <c r="AK15" s="264" t="b">
        <f t="shared" ref="AK15:AK78" si="15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6">A15+1</f>
        <v>44198</v>
      </c>
      <c r="B16" s="607">
        <v>3.8200000000000003</v>
      </c>
      <c r="C16" s="388"/>
      <c r="D16" s="391">
        <f t="shared" si="0"/>
        <v>3.871740785913083</v>
      </c>
      <c r="E16" s="383">
        <f t="shared" ref="E16:E79" si="17">Wh_pvt/(1-Psa)</f>
        <v>4.0803524272313876</v>
      </c>
      <c r="F16" s="383">
        <f t="shared" si="1"/>
        <v>4.0803524272313876</v>
      </c>
      <c r="G16" s="110">
        <f t="shared" ref="G16:G79" si="18">+Wh_hp/MaxiM</f>
        <v>0.14197808785954305</v>
      </c>
      <c r="H16" s="412" t="b">
        <f>Wh_hp&gt;='2020'!Maxi_hp</f>
        <v>0</v>
      </c>
      <c r="I16" s="379">
        <f>IF(H16,Wh_hp,'2020'!Maxi_hp)</f>
        <v>27.700774451172606</v>
      </c>
      <c r="J16" s="85">
        <f>IF(H16,An,'2020'!An_max)</f>
        <v>2020</v>
      </c>
      <c r="K16" s="197">
        <f t="shared" ref="K16:K78" si="19">t</f>
        <v>44198</v>
      </c>
      <c r="L16" s="147">
        <f>IF(t&lt;Tvie,1-EXP((T0-t)*PertePVj)+'2020'!Pspv,1-EXP((T0-t)*PertePVj)+Pspv)</f>
        <v>1.3363700922679578E-2</v>
      </c>
      <c r="M16" s="832"/>
      <c r="N16" s="832"/>
      <c r="O16" s="48">
        <f>IF(t&lt;Tnet,'2020'!Resal+('2020'!Salim-'2020'!Resal)*(1-EXP(('2020'!Tnet-t)/('2020'!Tau_j))),Resal+(Salim-Resal)*(1-EXP((Tnet-t)/(Tau_j))))*Salcycl</f>
        <v>5.112588803017995E-2</v>
      </c>
      <c r="P16" s="169">
        <f>(INDEX(Models!$BJ16:$BT16,,T16)*(1-R16)+INDEX(Models!$BJ16:$BT16,,T16+1)*R16-ERP_i)*Q16*Ramure*Pc/MaxiM</f>
        <v>2.5174832559860541E-4</v>
      </c>
      <c r="Q16" s="304">
        <f t="shared" si="2"/>
        <v>0.6</v>
      </c>
      <c r="R16" s="177">
        <f t="shared" si="3"/>
        <v>0.49914279285335772</v>
      </c>
      <c r="S16" s="799">
        <f t="shared" si="4"/>
        <v>-1</v>
      </c>
      <c r="T16" s="176">
        <f t="shared" si="5"/>
        <v>5</v>
      </c>
      <c r="U16" s="250">
        <f t="shared" ref="U16:U78" si="20">IF(OR(t&lt;Ttai,Notai),Hdd+PousH*Croivg,Hdtf+PousH*(Croivg-Croi_tai))</f>
        <v>-0.50085720714664228</v>
      </c>
      <c r="V16" s="382">
        <f t="shared" si="6"/>
        <v>26.898786840785846</v>
      </c>
      <c r="W16" s="400"/>
      <c r="X16" s="157">
        <f t="shared" si="7"/>
        <v>44198</v>
      </c>
      <c r="Y16" s="383">
        <f t="shared" si="8"/>
        <v>3.82</v>
      </c>
      <c r="Z16" s="383">
        <f t="shared" si="9"/>
        <v>3.8717407859130826</v>
      </c>
      <c r="AA16" s="384">
        <f t="shared" si="10"/>
        <v>4.0803524272313876</v>
      </c>
      <c r="AB16" s="197">
        <f t="shared" si="11"/>
        <v>44198</v>
      </c>
      <c r="AC16" s="119">
        <f>IF(OR(t&lt;Tnet,NoTnet),'2020'!Resal_s+('2020'!Salim-'2020'!Resal_s)*(1-EXP(('2020'!Tnet_s-t)/'2020'!Tau_j)),Resal_s+(Salim-Resal_s)*(1-EXP((Tnet_s-t)/Tau_j)))*Salcycl</f>
        <v>5.112588803017995E-2</v>
      </c>
      <c r="AD16" s="230">
        <f>(INDEX(Models!$BJ16:$BT16,,AH16)*(1-AF16)+INDEX(Models!$BJ16:$BT16,,AH16+1)*AF16-ERP_i)*AE16*Ramure*Pc/MaxiM</f>
        <v>2.5174832559860541E-4</v>
      </c>
      <c r="AE16" s="304">
        <f t="shared" si="12"/>
        <v>0.6</v>
      </c>
      <c r="AF16" s="177">
        <f t="shared" ref="AF16:AF78" si="21">(Hp_vg_s-AG16)/(INDEX(Echel_vg,AH16+1)-AG16)</f>
        <v>0.49914279285335772</v>
      </c>
      <c r="AG16" s="799">
        <f t="shared" ref="AG16:AG79" si="22">INDEX(Echel_vg,AH16)</f>
        <v>-1</v>
      </c>
      <c r="AH16" s="176">
        <f t="shared" si="13"/>
        <v>5</v>
      </c>
      <c r="AI16" s="224">
        <f t="shared" ref="AI16:AI78" si="23">IF(OR(t&lt;Ttai,Notai),Hdd_s+PousH*Croivg,Hdtai_s+PousH*(Croivg-Croi_tai))</f>
        <v>-0.50085720714664228</v>
      </c>
      <c r="AJ16" s="264" t="b">
        <f t="shared" si="14"/>
        <v>1</v>
      </c>
      <c r="AK16" s="264" t="b">
        <f t="shared" si="15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6"/>
        <v>44199</v>
      </c>
      <c r="B17" s="607">
        <v>25.818999999999999</v>
      </c>
      <c r="C17" s="388"/>
      <c r="D17" s="391">
        <f t="shared" si="0"/>
        <v>26.169212351981919</v>
      </c>
      <c r="E17" s="383">
        <f t="shared" si="17"/>
        <v>27.580466753530001</v>
      </c>
      <c r="F17" s="383">
        <f t="shared" si="1"/>
        <v>27.58667687662351</v>
      </c>
      <c r="G17" s="110">
        <f t="shared" si="18"/>
        <v>0.95456814398146539</v>
      </c>
      <c r="H17" s="412" t="b">
        <f>Wh_hp&gt;='2020'!Maxi_hp</f>
        <v>1</v>
      </c>
      <c r="I17" s="379">
        <f>IF(H17,Wh_hp,'2020'!Maxi_hp)</f>
        <v>27.58667687662351</v>
      </c>
      <c r="J17" s="85">
        <f>IF(H17,An,'2020'!An_max)</f>
        <v>2021</v>
      </c>
      <c r="K17" s="197">
        <f t="shared" si="19"/>
        <v>44199</v>
      </c>
      <c r="L17" s="147">
        <f>IF(t&lt;Tvie,1-EXP((T0-t)*PertePVj)+'2020'!Pspv,1-EXP((T0-t)*PertePVj)+Pspv)</f>
        <v>1.3382609582263449E-2</v>
      </c>
      <c r="M17" s="832"/>
      <c r="N17" s="832"/>
      <c r="O17" s="48">
        <f>IF(t&lt;Tnet,'2020'!Resal+('2020'!Salim-'2020'!Resal)*(1-EXP(('2020'!Tnet-t)/('2020'!Tau_j))),Resal+(Salim-Resal)*(1-EXP((Tnet-t)/(Tau_j))))*Salcycl</f>
        <v>5.1168619231850225E-2</v>
      </c>
      <c r="P17" s="169">
        <f>(INDEX(Models!$BJ17:$BT17,,T17)*(1-R17)+INDEX(Models!$BJ17:$BT17,,T17+1)*R17-ERP_i)*Q17*Ramure*Pc/MaxiM</f>
        <v>2.4073215334857961E-4</v>
      </c>
      <c r="Q17" s="304">
        <f t="shared" si="2"/>
        <v>0.6</v>
      </c>
      <c r="R17" s="177">
        <f t="shared" si="3"/>
        <v>0.49917322944884734</v>
      </c>
      <c r="S17" s="799">
        <f t="shared" si="4"/>
        <v>-1</v>
      </c>
      <c r="T17" s="176">
        <f t="shared" si="5"/>
        <v>5</v>
      </c>
      <c r="U17" s="250">
        <f t="shared" si="20"/>
        <v>-0.50082677055115266</v>
      </c>
      <c r="V17" s="382">
        <f t="shared" si="6"/>
        <v>27.047410710635575</v>
      </c>
      <c r="W17" s="400"/>
      <c r="X17" s="157">
        <f t="shared" si="7"/>
        <v>44199</v>
      </c>
      <c r="Y17" s="383">
        <f t="shared" si="8"/>
        <v>25.818999999999999</v>
      </c>
      <c r="Z17" s="383">
        <f t="shared" si="9"/>
        <v>26.169212351981919</v>
      </c>
      <c r="AA17" s="384">
        <f t="shared" si="10"/>
        <v>27.580466753530001</v>
      </c>
      <c r="AB17" s="197">
        <f t="shared" si="11"/>
        <v>44199</v>
      </c>
      <c r="AC17" s="119">
        <f>IF(OR(t&lt;Tnet,NoTnet),'2020'!Resal_s+('2020'!Salim-'2020'!Resal_s)*(1-EXP(('2020'!Tnet_s-t)/'2020'!Tau_j)),Resal_s+(Salim-Resal_s)*(1-EXP((Tnet_s-t)/Tau_j)))*Salcycl</f>
        <v>5.1168619231850225E-2</v>
      </c>
      <c r="AD17" s="230">
        <f>(INDEX(Models!$BJ17:$BT17,,AH17)*(1-AF17)+INDEX(Models!$BJ17:$BT17,,AH17+1)*AF17-ERP_i)*AE17*Ramure*Pc/MaxiM</f>
        <v>2.4073215334857961E-4</v>
      </c>
      <c r="AE17" s="304">
        <f t="shared" si="12"/>
        <v>0.6</v>
      </c>
      <c r="AF17" s="177">
        <f>(Hp_vg_s-AG17)/(INDEX(Echel_vg,AH17+1)-AG17)</f>
        <v>0.49917322944884734</v>
      </c>
      <c r="AG17" s="799">
        <f>INDEX(Echel_vg,AH17)</f>
        <v>-1</v>
      </c>
      <c r="AH17" s="176">
        <f t="shared" si="13"/>
        <v>5</v>
      </c>
      <c r="AI17" s="224">
        <f t="shared" si="23"/>
        <v>-0.50082677055115266</v>
      </c>
      <c r="AJ17" s="264" t="b">
        <f t="shared" si="14"/>
        <v>1</v>
      </c>
      <c r="AK17" s="264" t="b">
        <f t="shared" si="15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6"/>
        <v>44200</v>
      </c>
      <c r="B18" s="607">
        <v>22.263000000000002</v>
      </c>
      <c r="C18" s="388"/>
      <c r="D18" s="391">
        <f t="shared" si="0"/>
        <v>22.565410755700039</v>
      </c>
      <c r="E18" s="383">
        <f t="shared" si="17"/>
        <v>23.783391772018259</v>
      </c>
      <c r="F18" s="383">
        <f t="shared" si="1"/>
        <v>23.787440527034882</v>
      </c>
      <c r="G18" s="110">
        <f t="shared" si="18"/>
        <v>0.81828506950811608</v>
      </c>
      <c r="H18" s="412" t="b">
        <f>Wh_hp&gt;='2020'!Maxi_hp</f>
        <v>1</v>
      </c>
      <c r="I18" s="379">
        <f>IF(H18,Wh_hp,'2020'!Maxi_hp)</f>
        <v>23.787440527034882</v>
      </c>
      <c r="J18" s="85">
        <f>IF(H18,An,'2020'!An_max)</f>
        <v>2021</v>
      </c>
      <c r="K18" s="197">
        <f t="shared" si="19"/>
        <v>44200</v>
      </c>
      <c r="L18" s="147">
        <f>IF(t&lt;Tvie,1-EXP((T0-t)*PertePVj)+'2020'!Pspv,1-EXP((T0-t)*PertePVj)+Pspv)</f>
        <v>1.3401517879467306E-2</v>
      </c>
      <c r="M18" s="832"/>
      <c r="N18" s="832"/>
      <c r="O18" s="48">
        <f>IF(t&lt;Tnet,'2020'!Resal+('2020'!Salim-'2020'!Resal)*(1-EXP(('2020'!Tnet-t)/('2020'!Tau_j))),Resal+(Salim-Resal)*(1-EXP((Tnet-t)/(Tau_j))))*Salcycl</f>
        <v>5.1211409541308775E-2</v>
      </c>
      <c r="P18" s="169">
        <f>(INDEX(Models!$BJ18:$BT18,,T18)*(1-R18)+INDEX(Models!$BJ18:$BT18,,T18+1)*R18-ERP_i)*Q18*Ramure*Pc/MaxiM</f>
        <v>2.2985937145782618E-4</v>
      </c>
      <c r="Q18" s="304">
        <f t="shared" si="2"/>
        <v>0.6</v>
      </c>
      <c r="R18" s="177">
        <f t="shared" si="3"/>
        <v>0.4992049389801424</v>
      </c>
      <c r="S18" s="799">
        <f t="shared" si="4"/>
        <v>-1</v>
      </c>
      <c r="T18" s="176">
        <f t="shared" si="5"/>
        <v>5</v>
      </c>
      <c r="U18" s="250">
        <f t="shared" si="20"/>
        <v>-0.5007950610198576</v>
      </c>
      <c r="V18" s="382">
        <f t="shared" si="6"/>
        <v>27.205276658475373</v>
      </c>
      <c r="W18" s="400"/>
      <c r="X18" s="157">
        <f t="shared" si="7"/>
        <v>44200</v>
      </c>
      <c r="Y18" s="383">
        <f t="shared" si="8"/>
        <v>22.263000000000002</v>
      </c>
      <c r="Z18" s="383">
        <f>Wh_sa_s*(1-Psa_s)</f>
        <v>22.565410755700039</v>
      </c>
      <c r="AA18" s="384">
        <f t="shared" si="10"/>
        <v>23.783391772018259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5.1211409541308775E-2</v>
      </c>
      <c r="AD18" s="230">
        <f>(INDEX(Models!$BJ18:$BT18,,AH18)*(1-AF18)+INDEX(Models!$BJ18:$BT18,,AH18+1)*AF18-ERP_i)*AE18*Ramure*Pc/MaxiM</f>
        <v>2.2985937145782618E-4</v>
      </c>
      <c r="AE18" s="304">
        <f t="shared" si="12"/>
        <v>0.6</v>
      </c>
      <c r="AF18" s="177">
        <f t="shared" si="21"/>
        <v>0.4992049389801424</v>
      </c>
      <c r="AG18" s="799">
        <f t="shared" si="22"/>
        <v>-1</v>
      </c>
      <c r="AH18" s="176">
        <f t="shared" si="13"/>
        <v>5</v>
      </c>
      <c r="AI18" s="224">
        <f t="shared" si="23"/>
        <v>-0.5007950610198576</v>
      </c>
      <c r="AJ18" s="264" t="b">
        <f t="shared" si="14"/>
        <v>1</v>
      </c>
      <c r="AK18" s="264" t="b">
        <f t="shared" si="15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6"/>
        <v>44201</v>
      </c>
      <c r="B19" s="607">
        <v>3.1360000000000001</v>
      </c>
      <c r="C19" s="388"/>
      <c r="D19" s="391">
        <f t="shared" si="0"/>
        <v>3.1786589567175816</v>
      </c>
      <c r="E19" s="383">
        <f t="shared" si="17"/>
        <v>3.3503801759026346</v>
      </c>
      <c r="F19" s="383">
        <f t="shared" si="1"/>
        <v>3.3503801759026346</v>
      </c>
      <c r="G19" s="110">
        <f t="shared" si="18"/>
        <v>0.11454375924389984</v>
      </c>
      <c r="H19" s="412" t="b">
        <f>Wh_hp&gt;='2020'!Maxi_hp</f>
        <v>0</v>
      </c>
      <c r="I19" s="379">
        <f>IF(H19,Wh_hp,'2020'!Maxi_hp)</f>
        <v>13.772817027351078</v>
      </c>
      <c r="J19" s="85">
        <f>IF(H19,An,'2020'!An_max)</f>
        <v>2020</v>
      </c>
      <c r="K19" s="197">
        <f t="shared" si="19"/>
        <v>44201</v>
      </c>
      <c r="L19" s="147">
        <f>IF(t&lt;Tvie,1-EXP((T0-t)*PertePVj)+'2020'!Pspv,1-EXP((T0-t)*PertePVj)+Pspv)</f>
        <v>1.3420425814297809E-2</v>
      </c>
      <c r="M19" s="832"/>
      <c r="N19" s="832"/>
      <c r="O19" s="48">
        <f>IF(t&lt;Tnet,'2020'!Resal+('2020'!Salim-'2020'!Resal)*(1-EXP(('2020'!Tnet-t)/('2020'!Tau_j))),Resal+(Salim-Resal)*(1-EXP((Tnet-t)/(Tau_j))))*Salcycl</f>
        <v>5.1254248822311471E-2</v>
      </c>
      <c r="P19" s="169">
        <f>(INDEX(Models!$BJ19:$BT19,,T19)*(1-R19)+INDEX(Models!$BJ19:$BT19,,T19+1)*R19-ERP_i)*Q19*Ramure*Pc/MaxiM</f>
        <v>2.1913740352612861E-4</v>
      </c>
      <c r="Q19" s="304">
        <f t="shared" si="2"/>
        <v>0.6</v>
      </c>
      <c r="R19" s="177">
        <f t="shared" si="3"/>
        <v>0.49923797451270413</v>
      </c>
      <c r="S19" s="799">
        <f t="shared" si="4"/>
        <v>-1</v>
      </c>
      <c r="T19" s="176">
        <f t="shared" si="5"/>
        <v>5</v>
      </c>
      <c r="U19" s="250">
        <f t="shared" si="20"/>
        <v>-0.50076202548729587</v>
      </c>
      <c r="V19" s="382">
        <f t="shared" si="6"/>
        <v>27.372183397844232</v>
      </c>
      <c r="W19" s="400"/>
      <c r="X19" s="157">
        <f t="shared" si="7"/>
        <v>44201</v>
      </c>
      <c r="Y19" s="383">
        <f t="shared" si="8"/>
        <v>3.1360000000000001</v>
      </c>
      <c r="Z19" s="383">
        <f t="shared" si="9"/>
        <v>3.1786589567175816</v>
      </c>
      <c r="AA19" s="384">
        <f t="shared" si="10"/>
        <v>3.3503801759026346</v>
      </c>
      <c r="AB19" s="197">
        <f t="shared" si="11"/>
        <v>44201</v>
      </c>
      <c r="AC19" s="119">
        <f>IF(OR(t&lt;Tnet,NoTnet),'2020'!Resal_s+('2020'!Salim-'2020'!Resal_s)*(1-EXP(('2020'!Tnet_s-t)/'2020'!Tau_j)),Resal_s+(Salim-Resal_s)*(1-EXP((Tnet_s-t)/Tau_j)))*Salcycl</f>
        <v>5.1254248822311471E-2</v>
      </c>
      <c r="AD19" s="230">
        <f>(INDEX(Models!$BJ19:$BT19,,AH19)*(1-AF19)+INDEX(Models!$BJ19:$BT19,,AH19+1)*AF19-ERP_i)*AE19*Ramure*Pc/MaxiM</f>
        <v>2.1913740352612861E-4</v>
      </c>
      <c r="AE19" s="304">
        <f t="shared" si="12"/>
        <v>0.6</v>
      </c>
      <c r="AF19" s="177">
        <f t="shared" si="21"/>
        <v>0.49923797451270413</v>
      </c>
      <c r="AG19" s="799">
        <f t="shared" si="22"/>
        <v>-1</v>
      </c>
      <c r="AH19" s="176">
        <f t="shared" si="13"/>
        <v>5</v>
      </c>
      <c r="AI19" s="224">
        <f t="shared" si="23"/>
        <v>-0.50076202548729587</v>
      </c>
      <c r="AJ19" s="264" t="b">
        <f t="shared" si="14"/>
        <v>1</v>
      </c>
      <c r="AK19" s="264" t="b">
        <f t="shared" si="15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6"/>
        <v>44202</v>
      </c>
      <c r="B20" s="607">
        <v>7.1150000000000002</v>
      </c>
      <c r="C20" s="388"/>
      <c r="D20" s="391">
        <f t="shared" si="0"/>
        <v>7.2119234435172332</v>
      </c>
      <c r="E20" s="383">
        <f t="shared" si="17"/>
        <v>7.6018779529526572</v>
      </c>
      <c r="F20" s="383">
        <f t="shared" si="1"/>
        <v>7.6018779529526572</v>
      </c>
      <c r="G20" s="110">
        <f t="shared" si="18"/>
        <v>0.2582232527827889</v>
      </c>
      <c r="H20" s="412" t="b">
        <f>Wh_hp&gt;='2020'!Maxi_hp</f>
        <v>0</v>
      </c>
      <c r="I20" s="379">
        <f>IF(H20,Wh_hp,'2020'!Maxi_hp)</f>
        <v>29.950318368832068</v>
      </c>
      <c r="J20" s="85">
        <f>IF(H20,An,'2020'!An_max)</f>
        <v>2020</v>
      </c>
      <c r="K20" s="197">
        <f t="shared" si="19"/>
        <v>44202</v>
      </c>
      <c r="L20" s="147">
        <f>IF(t&lt;Tvie,1-EXP((T0-t)*PertePVj)+'2020'!Pspv,1-EXP((T0-t)*PertePVj)+Pspv)</f>
        <v>1.3439333386762065E-2</v>
      </c>
      <c r="M20" s="832"/>
      <c r="N20" s="832"/>
      <c r="O20" s="48">
        <f>IF(t&lt;Tnet,'2020'!Resal+('2020'!Salim-'2020'!Resal)*(1-EXP(('2020'!Tnet-t)/('2020'!Tau_j))),Resal+(Salim-Resal)*(1-EXP((Tnet-t)/(Tau_j))))*Salcycl</f>
        <v>5.1297128400221291E-2</v>
      </c>
      <c r="P20" s="169">
        <f>(INDEX(Models!$BJ20:$BT20,,T20)*(1-R20)+INDEX(Models!$BJ20:$BT20,,T20+1)*R20-ERP_i)*Q20*Ramure*Pc/MaxiM</f>
        <v>2.08573265427084E-4</v>
      </c>
      <c r="Q20" s="304">
        <f t="shared" si="2"/>
        <v>0.6</v>
      </c>
      <c r="R20" s="177">
        <f t="shared" si="3"/>
        <v>0.49927239130945478</v>
      </c>
      <c r="S20" s="799">
        <f t="shared" si="4"/>
        <v>-1</v>
      </c>
      <c r="T20" s="176">
        <f t="shared" si="5"/>
        <v>5</v>
      </c>
      <c r="U20" s="250">
        <f t="shared" si="20"/>
        <v>-0.50072760869054522</v>
      </c>
      <c r="V20" s="382">
        <f t="shared" si="6"/>
        <v>27.547929648303992</v>
      </c>
      <c r="W20" s="400"/>
      <c r="X20" s="157">
        <f t="shared" si="7"/>
        <v>44202</v>
      </c>
      <c r="Y20" s="383">
        <f t="shared" si="8"/>
        <v>7.1150000000000002</v>
      </c>
      <c r="Z20" s="383">
        <f t="shared" si="9"/>
        <v>7.2119234435172332</v>
      </c>
      <c r="AA20" s="384">
        <f t="shared" si="10"/>
        <v>7.6018779529526572</v>
      </c>
      <c r="AB20" s="197">
        <f t="shared" si="11"/>
        <v>44202</v>
      </c>
      <c r="AC20" s="119">
        <f>IF(OR(t&lt;Tnet,NoTnet),'2020'!Resal_s+('2020'!Salim-'2020'!Resal_s)*(1-EXP(('2020'!Tnet_s-t)/'2020'!Tau_j)),Resal_s+(Salim-Resal_s)*(1-EXP((Tnet_s-t)/Tau_j)))*Salcycl</f>
        <v>5.1297128400221291E-2</v>
      </c>
      <c r="AD20" s="230">
        <f>(INDEX(Models!$BJ20:$BT20,,AH20)*(1-AF20)+INDEX(Models!$BJ20:$BT20,,AH20+1)*AF20-ERP_i)*AE20*Ramure*Pc/MaxiM</f>
        <v>2.08573265427084E-4</v>
      </c>
      <c r="AE20" s="304">
        <f t="shared" si="12"/>
        <v>0.6</v>
      </c>
      <c r="AF20" s="177">
        <f t="shared" si="21"/>
        <v>0.49927239130945478</v>
      </c>
      <c r="AG20" s="799">
        <f t="shared" si="22"/>
        <v>-1</v>
      </c>
      <c r="AH20" s="176">
        <f t="shared" si="13"/>
        <v>5</v>
      </c>
      <c r="AI20" s="224">
        <f t="shared" si="23"/>
        <v>-0.50072760869054522</v>
      </c>
      <c r="AJ20" s="264" t="b">
        <f t="shared" si="14"/>
        <v>1</v>
      </c>
      <c r="AK20" s="264" t="b">
        <f t="shared" si="15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6"/>
        <v>44203</v>
      </c>
      <c r="B21" s="607">
        <v>15.042</v>
      </c>
      <c r="C21" s="388"/>
      <c r="D21" s="391">
        <f t="shared" si="0"/>
        <v>15.247200492658873</v>
      </c>
      <c r="E21" s="383">
        <f t="shared" si="17"/>
        <v>16.072355903842226</v>
      </c>
      <c r="F21" s="383">
        <f t="shared" si="1"/>
        <v>16.073458938356385</v>
      </c>
      <c r="G21" s="110">
        <f t="shared" si="18"/>
        <v>0.5423294687854624</v>
      </c>
      <c r="H21" s="412" t="b">
        <f>Wh_hp&gt;='2020'!Maxi_hp</f>
        <v>1</v>
      </c>
      <c r="I21" s="379">
        <f>IF(H21,Wh_hp,'2020'!Maxi_hp)</f>
        <v>16.073458938356385</v>
      </c>
      <c r="J21" s="85">
        <f>IF(H21,An,'2020'!An_max)</f>
        <v>2021</v>
      </c>
      <c r="K21" s="197">
        <f t="shared" si="19"/>
        <v>44203</v>
      </c>
      <c r="L21" s="147">
        <f>IF(t&lt;Tvie,1-EXP((T0-t)*PertePVj)+'2020'!Pspv,1-EXP((T0-t)*PertePVj)+Pspv)</f>
        <v>1.3458240596867066E-2</v>
      </c>
      <c r="M21" s="832"/>
      <c r="N21" s="832"/>
      <c r="O21" s="48">
        <f>IF(t&lt;Tnet,'2020'!Resal+('2020'!Salim-'2020'!Resal)*(1-EXP(('2020'!Tnet-t)/('2020'!Tau_j))),Resal+(Salim-Resal)*(1-EXP((Tnet-t)/(Tau_j))))*Salcycl</f>
        <v>5.1340041007061916E-2</v>
      </c>
      <c r="P21" s="169">
        <f>(INDEX(Models!$BJ21:$BT21,,T21)*(1-R21)+INDEX(Models!$BJ21:$BT21,,T21+1)*R21-ERP_i)*Q21*Ramure*Pc/MaxiM</f>
        <v>1.9817353000621792E-4</v>
      </c>
      <c r="Q21" s="304">
        <f t="shared" si="2"/>
        <v>0.6</v>
      </c>
      <c r="R21" s="177">
        <f t="shared" si="3"/>
        <v>0.49930824692051801</v>
      </c>
      <c r="S21" s="799">
        <f t="shared" si="4"/>
        <v>-1</v>
      </c>
      <c r="T21" s="176">
        <f t="shared" si="5"/>
        <v>5</v>
      </c>
      <c r="U21" s="250">
        <f t="shared" si="20"/>
        <v>-0.50069175307948199</v>
      </c>
      <c r="V21" s="382">
        <f t="shared" si="6"/>
        <v>27.732314131437068</v>
      </c>
      <c r="W21" s="400"/>
      <c r="X21" s="157">
        <f t="shared" si="7"/>
        <v>44203</v>
      </c>
      <c r="Y21" s="383">
        <f t="shared" si="8"/>
        <v>15.042</v>
      </c>
      <c r="Z21" s="383">
        <f t="shared" si="9"/>
        <v>15.247200492658873</v>
      </c>
      <c r="AA21" s="384">
        <f t="shared" si="10"/>
        <v>16.072355903842226</v>
      </c>
      <c r="AB21" s="197">
        <f t="shared" si="11"/>
        <v>44203</v>
      </c>
      <c r="AC21" s="119">
        <f>IF(OR(t&lt;Tnet,NoTnet),'2020'!Resal_s+('2020'!Salim-'2020'!Resal_s)*(1-EXP(('2020'!Tnet_s-t)/'2020'!Tau_j)),Resal_s+(Salim-Resal_s)*(1-EXP((Tnet_s-t)/Tau_j)))*Salcycl</f>
        <v>5.1340041007061916E-2</v>
      </c>
      <c r="AD21" s="230">
        <f>(INDEX(Models!$BJ21:$BT21,,AH21)*(1-AF21)+INDEX(Models!$BJ21:$BT21,,AH21+1)*AF21-ERP_i)*AE21*Ramure*Pc/MaxiM</f>
        <v>1.9817353000621792E-4</v>
      </c>
      <c r="AE21" s="304">
        <f t="shared" si="12"/>
        <v>0.6</v>
      </c>
      <c r="AF21" s="177">
        <f t="shared" si="21"/>
        <v>0.49930824692051801</v>
      </c>
      <c r="AG21" s="799">
        <f t="shared" si="22"/>
        <v>-1</v>
      </c>
      <c r="AH21" s="176">
        <f t="shared" si="13"/>
        <v>5</v>
      </c>
      <c r="AI21" s="224">
        <f t="shared" si="23"/>
        <v>-0.50069175307948199</v>
      </c>
      <c r="AJ21" s="264" t="b">
        <f t="shared" si="14"/>
        <v>1</v>
      </c>
      <c r="AK21" s="264" t="b">
        <f t="shared" si="15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6"/>
        <v>44204</v>
      </c>
      <c r="B22" s="607">
        <v>21.552</v>
      </c>
      <c r="C22" s="388"/>
      <c r="D22" s="391">
        <f t="shared" si="0"/>
        <v>21.846427524891155</v>
      </c>
      <c r="E22" s="383">
        <f t="shared" si="17"/>
        <v>23.029765522632559</v>
      </c>
      <c r="F22" s="383">
        <f t="shared" si="1"/>
        <v>23.032683038014351</v>
      </c>
      <c r="G22" s="110">
        <f t="shared" si="18"/>
        <v>0.7717305133773058</v>
      </c>
      <c r="H22" s="412" t="b">
        <f>Wh_hp&gt;='2020'!Maxi_hp</f>
        <v>1</v>
      </c>
      <c r="I22" s="379">
        <f>IF(H22,Wh_hp,'2020'!Maxi_hp)</f>
        <v>23.032683038014351</v>
      </c>
      <c r="J22" s="85">
        <f>IF(H22,An,'2020'!An_max)</f>
        <v>2021</v>
      </c>
      <c r="K22" s="197">
        <f t="shared" si="19"/>
        <v>44204</v>
      </c>
      <c r="L22" s="147">
        <f>IF(t&lt;Tvie,1-EXP((T0-t)*PertePVj)+'2020'!Pspv,1-EXP((T0-t)*PertePVj)+Pspv)</f>
        <v>1.3477147444619697E-2</v>
      </c>
      <c r="M22" s="832"/>
      <c r="N22" s="832"/>
      <c r="O22" s="48">
        <f>IF(t&lt;Tnet,'2020'!Resal+('2020'!Salim-'2020'!Resal)*(1-EXP(('2020'!Tnet-t)/('2020'!Tau_j))),Resal+(Salim-Resal)*(1-EXP((Tnet-t)/(Tau_j))))*Salcycl</f>
        <v>5.1382980715911929E-2</v>
      </c>
      <c r="P22" s="169">
        <f>(INDEX(Models!$BJ22:$BT22,,T22)*(1-R22)+INDEX(Models!$BJ22:$BT22,,T22+1)*R22-ERP_i)*Q22*Ramure*Pc/MaxiM</f>
        <v>1.879442972831248E-4</v>
      </c>
      <c r="Q22" s="304">
        <f t="shared" si="2"/>
        <v>0.6</v>
      </c>
      <c r="R22" s="177">
        <f t="shared" si="3"/>
        <v>0.49934560127651517</v>
      </c>
      <c r="S22" s="799">
        <f t="shared" si="4"/>
        <v>-1</v>
      </c>
      <c r="T22" s="176">
        <f t="shared" si="5"/>
        <v>5</v>
      </c>
      <c r="U22" s="250">
        <f t="shared" si="20"/>
        <v>-0.50065439872348483</v>
      </c>
      <c r="V22" s="382">
        <f t="shared" si="6"/>
        <v>27.925135579226858</v>
      </c>
      <c r="W22" s="400"/>
      <c r="X22" s="157">
        <f t="shared" si="7"/>
        <v>44204</v>
      </c>
      <c r="Y22" s="383">
        <f t="shared" si="8"/>
        <v>21.552</v>
      </c>
      <c r="Z22" s="383">
        <f t="shared" si="9"/>
        <v>21.846427524891155</v>
      </c>
      <c r="AA22" s="384">
        <f t="shared" si="10"/>
        <v>23.029765522632559</v>
      </c>
      <c r="AB22" s="197">
        <f t="shared" si="11"/>
        <v>44204</v>
      </c>
      <c r="AC22" s="119">
        <f>IF(OR(t&lt;Tnet,NoTnet),'2020'!Resal_s+('2020'!Salim-'2020'!Resal_s)*(1-EXP(('2020'!Tnet_s-t)/'2020'!Tau_j)),Resal_s+(Salim-Resal_s)*(1-EXP((Tnet_s-t)/Tau_j)))*Salcycl</f>
        <v>5.1382980715911929E-2</v>
      </c>
      <c r="AD22" s="230">
        <f>(INDEX(Models!$BJ22:$BT22,,AH22)*(1-AF22)+INDEX(Models!$BJ22:$BT22,,AH22+1)*AF22-ERP_i)*AE22*Ramure*Pc/MaxiM</f>
        <v>1.879442972831248E-4</v>
      </c>
      <c r="AE22" s="304">
        <f t="shared" si="12"/>
        <v>0.6</v>
      </c>
      <c r="AF22" s="177">
        <f t="shared" si="21"/>
        <v>0.49934560127651517</v>
      </c>
      <c r="AG22" s="799">
        <f t="shared" si="22"/>
        <v>-1</v>
      </c>
      <c r="AH22" s="176">
        <f t="shared" si="13"/>
        <v>5</v>
      </c>
      <c r="AI22" s="224">
        <f t="shared" si="23"/>
        <v>-0.50065439872348483</v>
      </c>
      <c r="AJ22" s="264" t="b">
        <f t="shared" si="14"/>
        <v>1</v>
      </c>
      <c r="AK22" s="264" t="b">
        <f t="shared" si="15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6"/>
        <v>44205</v>
      </c>
      <c r="B23" s="607">
        <v>5.7690000000000001</v>
      </c>
      <c r="C23" s="388"/>
      <c r="D23" s="391">
        <f t="shared" si="0"/>
        <v>5.8479238962829276</v>
      </c>
      <c r="E23" s="383">
        <f t="shared" si="17"/>
        <v>6.1649629275646154</v>
      </c>
      <c r="F23" s="383">
        <f t="shared" si="1"/>
        <v>6.1649629275646154</v>
      </c>
      <c r="G23" s="110">
        <f t="shared" si="18"/>
        <v>0.20505708960836608</v>
      </c>
      <c r="H23" s="412" t="b">
        <f>Wh_hp&gt;='2020'!Maxi_hp</f>
        <v>0</v>
      </c>
      <c r="I23" s="379">
        <f>IF(H23,Wh_hp,'2020'!Maxi_hp)</f>
        <v>29.267673438612903</v>
      </c>
      <c r="J23" s="85">
        <f>IF(H23,An,'2020'!An_max)</f>
        <v>2020</v>
      </c>
      <c r="K23" s="197">
        <f t="shared" si="19"/>
        <v>44205</v>
      </c>
      <c r="L23" s="147">
        <f>IF(t&lt;Tvie,1-EXP((T0-t)*PertePVj)+'2020'!Pspv,1-EXP((T0-t)*PertePVj)+Pspv)</f>
        <v>1.3496053930026952E-2</v>
      </c>
      <c r="M23" s="832"/>
      <c r="N23" s="832"/>
      <c r="O23" s="48">
        <f>IF(t&lt;Tnet,'2020'!Resal+('2020'!Salim-'2020'!Resal)*(1-EXP(('2020'!Tnet-t)/('2020'!Tau_j))),Resal+(Salim-Resal)*(1-EXP((Tnet-t)/(Tau_j))))*Salcycl</f>
        <v>5.1425942865633685E-2</v>
      </c>
      <c r="P23" s="169">
        <f>(INDEX(Models!$BJ23:$BT23,,T23)*(1-R23)+INDEX(Models!$BJ23:$BT23,,T23+1)*R23-ERP_i)*Q23*Ramure*Pc/MaxiM</f>
        <v>1.778757954140259E-4</v>
      </c>
      <c r="Q23" s="304">
        <f t="shared" si="2"/>
        <v>0.6</v>
      </c>
      <c r="R23" s="177">
        <f t="shared" si="3"/>
        <v>0.49938451678555029</v>
      </c>
      <c r="S23" s="799">
        <f t="shared" si="4"/>
        <v>-1</v>
      </c>
      <c r="T23" s="176">
        <f t="shared" si="5"/>
        <v>5</v>
      </c>
      <c r="U23" s="250">
        <f t="shared" si="20"/>
        <v>-0.50061548321444971</v>
      </c>
      <c r="V23" s="382">
        <f t="shared" si="6"/>
        <v>28.128624304345582</v>
      </c>
      <c r="W23" s="400"/>
      <c r="X23" s="157">
        <f t="shared" si="7"/>
        <v>44205</v>
      </c>
      <c r="Y23" s="383">
        <f t="shared" si="8"/>
        <v>5.7690000000000001</v>
      </c>
      <c r="Z23" s="383">
        <f t="shared" si="9"/>
        <v>5.8479238962829276</v>
      </c>
      <c r="AA23" s="384">
        <f t="shared" si="10"/>
        <v>6.1649629275646154</v>
      </c>
      <c r="AB23" s="197">
        <f t="shared" si="11"/>
        <v>44205</v>
      </c>
      <c r="AC23" s="119">
        <f>IF(OR(t&lt;Tnet,NoTnet),'2020'!Resal_s+('2020'!Salim-'2020'!Resal_s)*(1-EXP(('2020'!Tnet_s-t)/'2020'!Tau_j)),Resal_s+(Salim-Resal_s)*(1-EXP((Tnet_s-t)/Tau_j)))*Salcycl</f>
        <v>5.1425942865633685E-2</v>
      </c>
      <c r="AD23" s="230">
        <f>(INDEX(Models!$BJ23:$BT23,,AH23)*(1-AF23)+INDEX(Models!$BJ23:$BT23,,AH23+1)*AF23-ERP_i)*AE23*Ramure*Pc/MaxiM</f>
        <v>1.778757954140259E-4</v>
      </c>
      <c r="AE23" s="304">
        <f t="shared" si="12"/>
        <v>0.6</v>
      </c>
      <c r="AF23" s="177">
        <f t="shared" si="21"/>
        <v>0.49938451678555029</v>
      </c>
      <c r="AG23" s="799">
        <f t="shared" si="22"/>
        <v>-1</v>
      </c>
      <c r="AH23" s="176">
        <f t="shared" si="13"/>
        <v>5</v>
      </c>
      <c r="AI23" s="224">
        <f t="shared" si="23"/>
        <v>-0.50061548321444971</v>
      </c>
      <c r="AJ23" s="264" t="b">
        <f t="shared" si="14"/>
        <v>1</v>
      </c>
      <c r="AK23" s="264" t="b">
        <f t="shared" si="15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6"/>
        <v>44206</v>
      </c>
      <c r="B24" s="607">
        <v>5.1660000000000004</v>
      </c>
      <c r="C24" s="388"/>
      <c r="D24" s="391">
        <f t="shared" si="0"/>
        <v>5.2367748022595961</v>
      </c>
      <c r="E24" s="383">
        <f t="shared" si="17"/>
        <v>5.5209311899577846</v>
      </c>
      <c r="F24" s="383">
        <f t="shared" si="1"/>
        <v>5.5209311899577846</v>
      </c>
      <c r="G24" s="110">
        <f t="shared" si="18"/>
        <v>0.18222658886940196</v>
      </c>
      <c r="H24" s="412" t="b">
        <f>Wh_hp&gt;='2020'!Maxi_hp</f>
        <v>0</v>
      </c>
      <c r="I24" s="379">
        <f>IF(H24,Wh_hp,'2020'!Maxi_hp)</f>
        <v>9.5585505556592274</v>
      </c>
      <c r="J24" s="85">
        <f>IF(H24,An,'2020'!An_max)</f>
        <v>2020</v>
      </c>
      <c r="K24" s="197">
        <f t="shared" si="19"/>
        <v>44206</v>
      </c>
      <c r="L24" s="147">
        <f>IF(t&lt;Tvie,1-EXP((T0-t)*PertePVj)+'2020'!Pspv,1-EXP((T0-t)*PertePVj)+Pspv)</f>
        <v>1.3514960053095604E-2</v>
      </c>
      <c r="M24" s="832"/>
      <c r="N24" s="832"/>
      <c r="O24" s="48">
        <f>IF(t&lt;Tnet,'2020'!Resal+('2020'!Salim-'2020'!Resal)*(1-EXP(('2020'!Tnet-t)/('2020'!Tau_j))),Resal+(Salim-Resal)*(1-EXP((Tnet-t)/(Tau_j))))*Salcycl</f>
        <v>5.1468923977000543E-2</v>
      </c>
      <c r="P24" s="169">
        <f>(INDEX(Models!$BJ24:$BT24,,T24)*(1-R24)+INDEX(Models!$BJ24:$BT24,,T24+1)*R24-ERP_i)*Q24*Ramure*Pc/MaxiM</f>
        <v>1.6791766898252255E-4</v>
      </c>
      <c r="Q24" s="304">
        <f t="shared" si="2"/>
        <v>0.6</v>
      </c>
      <c r="R24" s="177">
        <f t="shared" si="3"/>
        <v>0.49942505843401985</v>
      </c>
      <c r="S24" s="799">
        <f t="shared" si="4"/>
        <v>-1</v>
      </c>
      <c r="T24" s="176">
        <f t="shared" si="5"/>
        <v>5</v>
      </c>
      <c r="U24" s="250">
        <f t="shared" si="20"/>
        <v>-0.50057494156598015</v>
      </c>
      <c r="V24" s="382">
        <f t="shared" si="6"/>
        <v>28.344560304664327</v>
      </c>
      <c r="W24" s="400"/>
      <c r="X24" s="157">
        <f t="shared" si="7"/>
        <v>44206</v>
      </c>
      <c r="Y24" s="383">
        <f t="shared" si="8"/>
        <v>5.1660000000000004</v>
      </c>
      <c r="Z24" s="383">
        <f t="shared" si="9"/>
        <v>5.2367748022595961</v>
      </c>
      <c r="AA24" s="384">
        <f t="shared" si="10"/>
        <v>5.5209311899577846</v>
      </c>
      <c r="AB24" s="197">
        <f t="shared" si="11"/>
        <v>44206</v>
      </c>
      <c r="AC24" s="119">
        <f>IF(OR(t&lt;Tnet,NoTnet),'2020'!Resal_s+('2020'!Salim-'2020'!Resal_s)*(1-EXP(('2020'!Tnet_s-t)/'2020'!Tau_j)),Resal_s+(Salim-Resal_s)*(1-EXP((Tnet_s-t)/Tau_j)))*Salcycl</f>
        <v>5.1468923977000543E-2</v>
      </c>
      <c r="AD24" s="230">
        <f>(INDEX(Models!$BJ24:$BT24,,AH24)*(1-AF24)+INDEX(Models!$BJ24:$BT24,,AH24+1)*AF24-ERP_i)*AE24*Ramure*Pc/MaxiM</f>
        <v>1.6791766898252255E-4</v>
      </c>
      <c r="AE24" s="304">
        <f t="shared" si="12"/>
        <v>0.6</v>
      </c>
      <c r="AF24" s="177">
        <f t="shared" si="21"/>
        <v>0.49942505843401985</v>
      </c>
      <c r="AG24" s="799">
        <f t="shared" si="22"/>
        <v>-1</v>
      </c>
      <c r="AH24" s="176">
        <f t="shared" si="13"/>
        <v>5</v>
      </c>
      <c r="AI24" s="224">
        <f t="shared" si="23"/>
        <v>-0.50057494156598015</v>
      </c>
      <c r="AJ24" s="264" t="b">
        <f t="shared" si="14"/>
        <v>1</v>
      </c>
      <c r="AK24" s="264" t="b">
        <f t="shared" si="15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6"/>
        <v>44207</v>
      </c>
      <c r="B25" s="607">
        <v>4.7450000000000001</v>
      </c>
      <c r="C25" s="388"/>
      <c r="D25" s="391">
        <f t="shared" si="0"/>
        <v>4.8100992376333487</v>
      </c>
      <c r="E25" s="383">
        <f t="shared" si="17"/>
        <v>5.0713333646307674</v>
      </c>
      <c r="F25" s="383">
        <f t="shared" si="1"/>
        <v>5.0713333646307674</v>
      </c>
      <c r="G25" s="110">
        <f t="shared" si="18"/>
        <v>0.16604504760435673</v>
      </c>
      <c r="H25" s="412" t="b">
        <f>Wh_hp&gt;='2020'!Maxi_hp</f>
        <v>0</v>
      </c>
      <c r="I25" s="379">
        <f>IF(H25,Wh_hp,'2020'!Maxi_hp)</f>
        <v>29.842314321550671</v>
      </c>
      <c r="J25" s="85">
        <f>IF(H25,An,'2020'!An_max)</f>
        <v>2020</v>
      </c>
      <c r="K25" s="197">
        <f t="shared" si="19"/>
        <v>44207</v>
      </c>
      <c r="L25" s="147">
        <f>IF(t&lt;Tvie,1-EXP((T0-t)*PertePVj)+'2020'!Pspv,1-EXP((T0-t)*PertePVj)+Pspv)</f>
        <v>1.3533865813832757E-2</v>
      </c>
      <c r="M25" s="832"/>
      <c r="N25" s="832"/>
      <c r="O25" s="48">
        <f>IF(t&lt;Tnet,'2020'!Resal+('2020'!Salim-'2020'!Resal)*(1-EXP(('2020'!Tnet-t)/('2020'!Tau_j))),Resal+(Salim-Resal)*(1-EXP((Tnet-t)/(Tau_j))))*Salcycl</f>
        <v>5.1511921661343774E-2</v>
      </c>
      <c r="P25" s="169">
        <f>(INDEX(Models!$BJ25:$BT25,,T25)*(1-R25)+INDEX(Models!$BJ25:$BT25,,T25+1)*R25-ERP_i)*Q25*Ramure*Pc/MaxiM</f>
        <v>1.5808823443654819E-4</v>
      </c>
      <c r="Q25" s="304">
        <f t="shared" si="2"/>
        <v>0.6</v>
      </c>
      <c r="R25" s="177">
        <f t="shared" si="3"/>
        <v>0.49946729389138589</v>
      </c>
      <c r="S25" s="799">
        <f t="shared" si="4"/>
        <v>-1</v>
      </c>
      <c r="T25" s="176">
        <f t="shared" si="5"/>
        <v>5</v>
      </c>
      <c r="U25" s="250">
        <f t="shared" si="20"/>
        <v>-0.50053270610861411</v>
      </c>
      <c r="V25" s="382">
        <f t="shared" si="6"/>
        <v>28.572064868998343</v>
      </c>
      <c r="W25" s="400"/>
      <c r="X25" s="157">
        <f t="shared" si="7"/>
        <v>44207</v>
      </c>
      <c r="Y25" s="383">
        <f t="shared" si="8"/>
        <v>4.7450000000000001</v>
      </c>
      <c r="Z25" s="383">
        <f t="shared" si="9"/>
        <v>4.8100992376333487</v>
      </c>
      <c r="AA25" s="384">
        <f t="shared" si="10"/>
        <v>5.0713333646307674</v>
      </c>
      <c r="AB25" s="197">
        <f t="shared" si="11"/>
        <v>44207</v>
      </c>
      <c r="AC25" s="119">
        <f>IF(OR(t&lt;Tnet,NoTnet),'2020'!Resal_s+('2020'!Salim-'2020'!Resal_s)*(1-EXP(('2020'!Tnet_s-t)/'2020'!Tau_j)),Resal_s+(Salim-Resal_s)*(1-EXP((Tnet_s-t)/Tau_j)))*Salcycl</f>
        <v>5.1511921661343774E-2</v>
      </c>
      <c r="AD25" s="230">
        <f>(INDEX(Models!$BJ25:$BT25,,AH25)*(1-AF25)+INDEX(Models!$BJ25:$BT25,,AH25+1)*AF25-ERP_i)*AE25*Ramure*Pc/MaxiM</f>
        <v>1.5808823443654819E-4</v>
      </c>
      <c r="AE25" s="304">
        <f t="shared" si="12"/>
        <v>0.6</v>
      </c>
      <c r="AF25" s="177">
        <f t="shared" si="21"/>
        <v>0.49946729389138589</v>
      </c>
      <c r="AG25" s="799">
        <f t="shared" si="22"/>
        <v>-1</v>
      </c>
      <c r="AH25" s="176">
        <f t="shared" si="13"/>
        <v>5</v>
      </c>
      <c r="AI25" s="224">
        <f t="shared" si="23"/>
        <v>-0.50053270610861411</v>
      </c>
      <c r="AJ25" s="264" t="b">
        <f t="shared" si="14"/>
        <v>1</v>
      </c>
      <c r="AK25" s="264" t="b">
        <f t="shared" si="15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6"/>
        <v>44208</v>
      </c>
      <c r="B26" s="607">
        <v>12.173</v>
      </c>
      <c r="C26" s="388"/>
      <c r="D26" s="391">
        <f t="shared" si="0"/>
        <v>12.340244510554715</v>
      </c>
      <c r="E26" s="383">
        <f t="shared" si="17"/>
        <v>13.011027164074045</v>
      </c>
      <c r="F26" s="383">
        <f t="shared" si="1"/>
        <v>13.011365133072109</v>
      </c>
      <c r="G26" s="110">
        <f t="shared" si="18"/>
        <v>0.42247136417373626</v>
      </c>
      <c r="H26" s="412" t="b">
        <f>Wh_hp&gt;='2020'!Maxi_hp</f>
        <v>0</v>
      </c>
      <c r="I26" s="379">
        <f>IF(H26,Wh_hp,'2020'!Maxi_hp)</f>
        <v>31.06915900574295</v>
      </c>
      <c r="J26" s="85">
        <f>IF(H26,An,'2020'!An_max)</f>
        <v>2020</v>
      </c>
      <c r="K26" s="197">
        <f t="shared" si="19"/>
        <v>44208</v>
      </c>
      <c r="L26" s="147">
        <f>IF(t&lt;Tvie,1-EXP((T0-t)*PertePVj)+'2020'!Pspv,1-EXP((T0-t)*PertePVj)+Pspv)</f>
        <v>1.3552771212245407E-2</v>
      </c>
      <c r="M26" s="832"/>
      <c r="N26" s="832"/>
      <c r="O26" s="48">
        <f>IF(t&lt;Tnet,'2020'!Resal+('2020'!Salim-'2020'!Resal)*(1-EXP(('2020'!Tnet-t)/('2020'!Tau_j))),Resal+(Salim-Resal)*(1-EXP((Tnet-t)/(Tau_j))))*Salcycl</f>
        <v>5.1554934522886037E-2</v>
      </c>
      <c r="P26" s="169">
        <f>(INDEX(Models!$BJ26:$BT26,,T26)*(1-R26)+INDEX(Models!$BJ26:$BT26,,T26+1)*R26-ERP_i)*Q26*Ramure*Pc/MaxiM</f>
        <v>1.4840006396806864E-4</v>
      </c>
      <c r="Q26" s="304">
        <f t="shared" si="2"/>
        <v>0.6</v>
      </c>
      <c r="R26" s="177">
        <f t="shared" si="3"/>
        <v>0.499511293619057</v>
      </c>
      <c r="S26" s="799">
        <f t="shared" si="4"/>
        <v>-1</v>
      </c>
      <c r="T26" s="176">
        <f t="shared" si="5"/>
        <v>5</v>
      </c>
      <c r="U26" s="250">
        <f t="shared" si="20"/>
        <v>-0.500488706380943</v>
      </c>
      <c r="V26" s="382">
        <f t="shared" si="6"/>
        <v>28.810259610511213</v>
      </c>
      <c r="W26" s="400"/>
      <c r="X26" s="157">
        <f t="shared" si="7"/>
        <v>44208</v>
      </c>
      <c r="Y26" s="383">
        <f t="shared" si="8"/>
        <v>12.173</v>
      </c>
      <c r="Z26" s="383">
        <f t="shared" si="9"/>
        <v>12.340244510554715</v>
      </c>
      <c r="AA26" s="384">
        <f t="shared" si="10"/>
        <v>13.011027164074045</v>
      </c>
      <c r="AB26" s="197">
        <f t="shared" si="11"/>
        <v>44208</v>
      </c>
      <c r="AC26" s="119">
        <f>IF(OR(t&lt;Tnet,NoTnet),'2020'!Resal_s+('2020'!Salim-'2020'!Resal_s)*(1-EXP(('2020'!Tnet_s-t)/'2020'!Tau_j)),Resal_s+(Salim-Resal_s)*(1-EXP((Tnet_s-t)/Tau_j)))*Salcycl</f>
        <v>5.1554934522886037E-2</v>
      </c>
      <c r="AD26" s="230">
        <f>(INDEX(Models!$BJ26:$BT26,,AH26)*(1-AF26)+INDEX(Models!$BJ26:$BT26,,AH26+1)*AF26-ERP_i)*AE26*Ramure*Pc/MaxiM</f>
        <v>1.4840006396806864E-4</v>
      </c>
      <c r="AE26" s="304">
        <f t="shared" si="12"/>
        <v>0.6</v>
      </c>
      <c r="AF26" s="177">
        <f t="shared" si="21"/>
        <v>0.499511293619057</v>
      </c>
      <c r="AG26" s="799">
        <f t="shared" si="22"/>
        <v>-1</v>
      </c>
      <c r="AH26" s="176">
        <f t="shared" si="13"/>
        <v>5</v>
      </c>
      <c r="AI26" s="224">
        <f t="shared" si="23"/>
        <v>-0.500488706380943</v>
      </c>
      <c r="AJ26" s="264" t="b">
        <f t="shared" si="14"/>
        <v>1</v>
      </c>
      <c r="AK26" s="264" t="b">
        <f t="shared" si="15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6"/>
        <v>44209</v>
      </c>
      <c r="B27" s="607">
        <v>8.91</v>
      </c>
      <c r="C27" s="388"/>
      <c r="D27" s="391">
        <f t="shared" si="0"/>
        <v>9.0325873512155521</v>
      </c>
      <c r="E27" s="383">
        <f t="shared" si="17"/>
        <v>9.5240066868651621</v>
      </c>
      <c r="F27" s="383">
        <f t="shared" si="1"/>
        <v>9.5240192043833485</v>
      </c>
      <c r="G27" s="110">
        <f t="shared" si="18"/>
        <v>0.3065831365638364</v>
      </c>
      <c r="H27" s="412" t="b">
        <f>Wh_hp&gt;='2020'!Maxi_hp</f>
        <v>0</v>
      </c>
      <c r="I27" s="379">
        <f>IF(H27,Wh_hp,'2020'!Maxi_hp)</f>
        <v>16.623085463395078</v>
      </c>
      <c r="J27" s="85">
        <f>IF(H27,An,'2020'!An_max)</f>
        <v>2020</v>
      </c>
      <c r="K27" s="197">
        <f t="shared" si="19"/>
        <v>44209</v>
      </c>
      <c r="L27" s="147">
        <f>IF(t&lt;Tvie,1-EXP((T0-t)*PertePVj)+'2020'!Pspv,1-EXP((T0-t)*PertePVj)+Pspv)</f>
        <v>1.3571676248340325E-2</v>
      </c>
      <c r="M27" s="832"/>
      <c r="N27" s="832"/>
      <c r="O27" s="48">
        <f>IF(t&lt;Tnet,'2020'!Resal+('2020'!Salim-'2020'!Resal)*(1-EXP(('2020'!Tnet-t)/('2020'!Tau_j))),Resal+(Salim-Resal)*(1-EXP((Tnet-t)/(Tau_j))))*Salcycl</f>
        <v>5.1597962055963356E-2</v>
      </c>
      <c r="P27" s="169">
        <f>(INDEX(Models!$BJ27:$BT27,,T27)*(1-R27)+INDEX(Models!$BJ27:$BT27,,T27+1)*R27-ERP_i)*Q27*Ramure*Pc/MaxiM</f>
        <v>1.3886398343213673E-4</v>
      </c>
      <c r="Q27" s="304">
        <f t="shared" si="2"/>
        <v>0.6</v>
      </c>
      <c r="R27" s="177">
        <f t="shared" si="3"/>
        <v>0.49955713098352605</v>
      </c>
      <c r="S27" s="799">
        <f t="shared" si="4"/>
        <v>-1</v>
      </c>
      <c r="T27" s="176">
        <f t="shared" si="5"/>
        <v>5</v>
      </c>
      <c r="U27" s="250">
        <f t="shared" si="20"/>
        <v>-0.50044286901647395</v>
      </c>
      <c r="V27" s="382">
        <f t="shared" si="6"/>
        <v>29.058266317750267</v>
      </c>
      <c r="W27" s="400"/>
      <c r="X27" s="157">
        <f t="shared" si="7"/>
        <v>44209</v>
      </c>
      <c r="Y27" s="383">
        <f t="shared" si="8"/>
        <v>8.91</v>
      </c>
      <c r="Z27" s="383">
        <f t="shared" si="9"/>
        <v>9.0325873512155521</v>
      </c>
      <c r="AA27" s="384">
        <f t="shared" si="10"/>
        <v>9.5240066868651621</v>
      </c>
      <c r="AB27" s="197">
        <f t="shared" si="11"/>
        <v>44209</v>
      </c>
      <c r="AC27" s="119">
        <f>IF(OR(t&lt;Tnet,NoTnet),'2020'!Resal_s+('2020'!Salim-'2020'!Resal_s)*(1-EXP(('2020'!Tnet_s-t)/'2020'!Tau_j)),Resal_s+(Salim-Resal_s)*(1-EXP((Tnet_s-t)/Tau_j)))*Salcycl</f>
        <v>5.1597962055963356E-2</v>
      </c>
      <c r="AD27" s="230">
        <f>(INDEX(Models!$BJ27:$BT27,,AH27)*(1-AF27)+INDEX(Models!$BJ27:$BT27,,AH27+1)*AF27-ERP_i)*AE27*Ramure*Pc/MaxiM</f>
        <v>1.3886398343213673E-4</v>
      </c>
      <c r="AE27" s="304">
        <f t="shared" si="12"/>
        <v>0.6</v>
      </c>
      <c r="AF27" s="177">
        <f t="shared" si="21"/>
        <v>0.49955713098352605</v>
      </c>
      <c r="AG27" s="799">
        <f t="shared" si="22"/>
        <v>-1</v>
      </c>
      <c r="AH27" s="176">
        <f t="shared" si="13"/>
        <v>5</v>
      </c>
      <c r="AI27" s="224">
        <f t="shared" si="23"/>
        <v>-0.50044286901647395</v>
      </c>
      <c r="AJ27" s="264" t="b">
        <f t="shared" si="14"/>
        <v>1</v>
      </c>
      <c r="AK27" s="264" t="b">
        <f t="shared" si="15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6"/>
        <v>44210</v>
      </c>
      <c r="B28" s="607">
        <v>11.766999999999999</v>
      </c>
      <c r="C28" s="388"/>
      <c r="D28" s="391">
        <f t="shared" si="0"/>
        <v>11.929123721263871</v>
      </c>
      <c r="E28" s="383">
        <f t="shared" si="17"/>
        <v>12.5787004481958</v>
      </c>
      <c r="F28" s="383">
        <f t="shared" si="1"/>
        <v>12.578936386803706</v>
      </c>
      <c r="G28" s="110">
        <f t="shared" si="18"/>
        <v>0.40135131874930413</v>
      </c>
      <c r="H28" s="412" t="b">
        <f>Wh_hp&gt;='2020'!Maxi_hp</f>
        <v>0</v>
      </c>
      <c r="I28" s="379">
        <f>IF(H28,Wh_hp,'2020'!Maxi_hp)</f>
        <v>30.53087439815166</v>
      </c>
      <c r="J28" s="85">
        <f>IF(H28,An,'2020'!An_max)</f>
        <v>2020</v>
      </c>
      <c r="K28" s="197">
        <f t="shared" si="19"/>
        <v>44210</v>
      </c>
      <c r="L28" s="147">
        <f>IF(t&lt;Tvie,1-EXP((T0-t)*PertePVj)+'2020'!Pspv,1-EXP((T0-t)*PertePVj)+Pspv)</f>
        <v>1.3590580922124507E-2</v>
      </c>
      <c r="M28" s="832"/>
      <c r="N28" s="832"/>
      <c r="O28" s="48">
        <f>IF(t&lt;Tnet,'2020'!Resal+('2020'!Salim-'2020'!Resal)*(1-EXP(('2020'!Tnet-t)/('2020'!Tau_j))),Resal+(Salim-Resal)*(1-EXP((Tnet-t)/(Tau_j))))*Salcycl</f>
        <v>5.1641004538358383E-2</v>
      </c>
      <c r="P28" s="169">
        <f>(INDEX(Models!$BJ28:$BT28,,T28)*(1-R28)+INDEX(Models!$BJ28:$BT28,,T28+1)*R28-ERP_i)*Q28*Ramure*Pc/MaxiM</f>
        <v>1.2948912806348147E-4</v>
      </c>
      <c r="Q28" s="304">
        <f t="shared" si="2"/>
        <v>0.6</v>
      </c>
      <c r="R28" s="177">
        <f t="shared" si="3"/>
        <v>0.49960488237391554</v>
      </c>
      <c r="S28" s="799">
        <f t="shared" si="4"/>
        <v>-1</v>
      </c>
      <c r="T28" s="176">
        <f t="shared" si="5"/>
        <v>5</v>
      </c>
      <c r="U28" s="250">
        <f t="shared" si="20"/>
        <v>-0.50039511762608446</v>
      </c>
      <c r="V28" s="382">
        <f t="shared" si="6"/>
        <v>29.315206993867641</v>
      </c>
      <c r="W28" s="400"/>
      <c r="X28" s="157">
        <f t="shared" si="7"/>
        <v>44210</v>
      </c>
      <c r="Y28" s="383">
        <f t="shared" si="8"/>
        <v>11.766999999999999</v>
      </c>
      <c r="Z28" s="383">
        <f t="shared" si="9"/>
        <v>11.929123721263871</v>
      </c>
      <c r="AA28" s="384">
        <f t="shared" si="10"/>
        <v>12.5787004481958</v>
      </c>
      <c r="AB28" s="197">
        <f t="shared" si="11"/>
        <v>44210</v>
      </c>
      <c r="AC28" s="119">
        <f>IF(OR(t&lt;Tnet,NoTnet),'2020'!Resal_s+('2020'!Salim-'2020'!Resal_s)*(1-EXP(('2020'!Tnet_s-t)/'2020'!Tau_j)),Resal_s+(Salim-Resal_s)*(1-EXP((Tnet_s-t)/Tau_j)))*Salcycl</f>
        <v>5.1641004538358383E-2</v>
      </c>
      <c r="AD28" s="230">
        <f>(INDEX(Models!$BJ28:$BT28,,AH28)*(1-AF28)+INDEX(Models!$BJ28:$BT28,,AH28+1)*AF28-ERP_i)*AE28*Ramure*Pc/MaxiM</f>
        <v>1.2948912806348147E-4</v>
      </c>
      <c r="AE28" s="304">
        <f t="shared" si="12"/>
        <v>0.6</v>
      </c>
      <c r="AF28" s="177">
        <f t="shared" si="21"/>
        <v>0.49960488237391554</v>
      </c>
      <c r="AG28" s="799">
        <f t="shared" si="22"/>
        <v>-1</v>
      </c>
      <c r="AH28" s="176">
        <f t="shared" si="13"/>
        <v>5</v>
      </c>
      <c r="AI28" s="224">
        <f t="shared" si="23"/>
        <v>-0.50039511762608446</v>
      </c>
      <c r="AJ28" s="264" t="b">
        <f t="shared" si="14"/>
        <v>1</v>
      </c>
      <c r="AK28" s="264" t="b">
        <f t="shared" si="15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6"/>
        <v>44211</v>
      </c>
      <c r="B29" s="607">
        <v>20.956</v>
      </c>
      <c r="C29" s="388"/>
      <c r="D29" s="391">
        <f t="shared" si="0"/>
        <v>21.245135355912229</v>
      </c>
      <c r="E29" s="383">
        <f t="shared" si="17"/>
        <v>22.403014148821903</v>
      </c>
      <c r="F29" s="383">
        <f t="shared" si="1"/>
        <v>22.404586605399839</v>
      </c>
      <c r="G29" s="110">
        <f t="shared" si="18"/>
        <v>0.70841128019782962</v>
      </c>
      <c r="H29" s="412" t="b">
        <f>Wh_hp&gt;='2020'!Maxi_hp</f>
        <v>0</v>
      </c>
      <c r="I29" s="379">
        <f>IF(H29,Wh_hp,'2020'!Maxi_hp)</f>
        <v>25.004542505106649</v>
      </c>
      <c r="J29" s="85">
        <f>IF(H29,An,'2020'!An_max)</f>
        <v>2020</v>
      </c>
      <c r="K29" s="197">
        <f t="shared" si="19"/>
        <v>44211</v>
      </c>
      <c r="L29" s="147">
        <f>IF(t&lt;Tvie,1-EXP((T0-t)*PertePVj)+'2020'!Pspv,1-EXP((T0-t)*PertePVj)+Pspv)</f>
        <v>1.3609485233605056E-2</v>
      </c>
      <c r="M29" s="832"/>
      <c r="N29" s="832"/>
      <c r="O29" s="48">
        <f>IF(t&lt;Tnet,'2020'!Resal+('2020'!Salim-'2020'!Resal)*(1-EXP(('2020'!Tnet-t)/('2020'!Tau_j))),Resal+(Salim-Resal)*(1-EXP((Tnet-t)/(Tau_j))))*Salcycl</f>
        <v>5.1684062921977997E-2</v>
      </c>
      <c r="P29" s="169">
        <f>(INDEX(Models!$BJ29:$BT29,,T29)*(1-R29)+INDEX(Models!$BJ29:$BT29,,T29+1)*R29-ERP_i)*Q29*Ramure*Pc/MaxiM</f>
        <v>1.202830122322232E-4</v>
      </c>
      <c r="Q29" s="304">
        <f t="shared" si="2"/>
        <v>0.6</v>
      </c>
      <c r="R29" s="177">
        <f t="shared" si="3"/>
        <v>0.49965462732408783</v>
      </c>
      <c r="S29" s="799">
        <f t="shared" si="4"/>
        <v>-1</v>
      </c>
      <c r="T29" s="176">
        <f t="shared" si="5"/>
        <v>5</v>
      </c>
      <c r="U29" s="250">
        <f t="shared" si="20"/>
        <v>-0.50034537267591217</v>
      </c>
      <c r="V29" s="382">
        <f t="shared" si="6"/>
        <v>29.580203829878236</v>
      </c>
      <c r="W29" s="400"/>
      <c r="X29" s="157">
        <f t="shared" si="7"/>
        <v>44211</v>
      </c>
      <c r="Y29" s="383">
        <f t="shared" si="8"/>
        <v>20.956</v>
      </c>
      <c r="Z29" s="383">
        <f t="shared" si="9"/>
        <v>21.245135355912229</v>
      </c>
      <c r="AA29" s="384">
        <f t="shared" si="10"/>
        <v>22.403014148821903</v>
      </c>
      <c r="AB29" s="197">
        <f t="shared" si="11"/>
        <v>44211</v>
      </c>
      <c r="AC29" s="119">
        <f>IF(OR(t&lt;Tnet,NoTnet),'2020'!Resal_s+('2020'!Salim-'2020'!Resal_s)*(1-EXP(('2020'!Tnet_s-t)/'2020'!Tau_j)),Resal_s+(Salim-Resal_s)*(1-EXP((Tnet_s-t)/Tau_j)))*Salcycl</f>
        <v>5.1684062921977997E-2</v>
      </c>
      <c r="AD29" s="230">
        <f>(INDEX(Models!$BJ29:$BT29,,AH29)*(1-AF29)+INDEX(Models!$BJ29:$BT29,,AH29+1)*AF29-ERP_i)*AE29*Ramure*Pc/MaxiM</f>
        <v>1.202830122322232E-4</v>
      </c>
      <c r="AE29" s="304">
        <f t="shared" si="12"/>
        <v>0.6</v>
      </c>
      <c r="AF29" s="177">
        <f t="shared" si="21"/>
        <v>0.49965462732408783</v>
      </c>
      <c r="AG29" s="799">
        <f t="shared" si="22"/>
        <v>-1</v>
      </c>
      <c r="AH29" s="176">
        <f t="shared" si="13"/>
        <v>5</v>
      </c>
      <c r="AI29" s="224">
        <f t="shared" si="23"/>
        <v>-0.50034537267591217</v>
      </c>
      <c r="AJ29" s="264" t="b">
        <f t="shared" si="14"/>
        <v>1</v>
      </c>
      <c r="AK29" s="264" t="b">
        <f t="shared" si="15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6"/>
        <v>44212</v>
      </c>
      <c r="B30" s="607">
        <v>21.112000000000002</v>
      </c>
      <c r="C30" s="388"/>
      <c r="D30" s="391">
        <f t="shared" si="0"/>
        <v>21.403697925276518</v>
      </c>
      <c r="E30" s="383">
        <f t="shared" si="17"/>
        <v>22.571243783601329</v>
      </c>
      <c r="F30" s="383">
        <f t="shared" si="1"/>
        <v>22.57270756355771</v>
      </c>
      <c r="G30" s="110">
        <f t="shared" si="18"/>
        <v>0.70718049259865512</v>
      </c>
      <c r="H30" s="412" t="b">
        <f>Wh_hp&gt;='2020'!Maxi_hp</f>
        <v>0</v>
      </c>
      <c r="I30" s="379">
        <f>IF(H30,Wh_hp,'2020'!Maxi_hp)</f>
        <v>25.737092409630119</v>
      </c>
      <c r="J30" s="85">
        <f>IF(H30,An,'2020'!An_max)</f>
        <v>2020</v>
      </c>
      <c r="K30" s="197">
        <f t="shared" si="19"/>
        <v>44212</v>
      </c>
      <c r="L30" s="147">
        <f>IF(t&lt;Tvie,1-EXP((T0-t)*PertePVj)+'2020'!Pspv,1-EXP((T0-t)*PertePVj)+Pspv)</f>
        <v>1.3628389182788747E-2</v>
      </c>
      <c r="M30" s="832"/>
      <c r="N30" s="832"/>
      <c r="O30" s="48">
        <f>IF(t&lt;Tnet,'2020'!Resal+('2020'!Salim-'2020'!Resal)*(1-EXP(('2020'!Tnet-t)/('2020'!Tau_j))),Resal+(Salim-Resal)*(1-EXP((Tnet-t)/(Tau_j))))*Salcycl</f>
        <v>5.1727138722105707E-2</v>
      </c>
      <c r="P30" s="169">
        <f>(INDEX(Models!$BJ30:$BT30,,T30)*(1-R30)+INDEX(Models!$BJ30:$BT30,,T30+1)*R30-ERP_i)*Q30*Ramure*Pc/MaxiM</f>
        <v>1.1147257845585645E-4</v>
      </c>
      <c r="Q30" s="304">
        <f t="shared" si="2"/>
        <v>0.6</v>
      </c>
      <c r="R30" s="177">
        <f t="shared" si="3"/>
        <v>0.4997064486394811</v>
      </c>
      <c r="S30" s="799">
        <f t="shared" si="4"/>
        <v>-1</v>
      </c>
      <c r="T30" s="176">
        <f t="shared" si="5"/>
        <v>5</v>
      </c>
      <c r="U30" s="250">
        <f t="shared" si="20"/>
        <v>-0.5002935513605189</v>
      </c>
      <c r="V30" s="382">
        <f t="shared" si="6"/>
        <v>29.852372633290241</v>
      </c>
      <c r="W30" s="400"/>
      <c r="X30" s="157">
        <f t="shared" si="7"/>
        <v>44212</v>
      </c>
      <c r="Y30" s="383">
        <f t="shared" si="8"/>
        <v>21.112000000000002</v>
      </c>
      <c r="Z30" s="383">
        <f t="shared" si="9"/>
        <v>21.403697925276518</v>
      </c>
      <c r="AA30" s="384">
        <f t="shared" si="10"/>
        <v>22.571243783601329</v>
      </c>
      <c r="AB30" s="197">
        <f t="shared" si="11"/>
        <v>44212</v>
      </c>
      <c r="AC30" s="119">
        <f>IF(OR(t&lt;Tnet,NoTnet),'2020'!Resal_s+('2020'!Salim-'2020'!Resal_s)*(1-EXP(('2020'!Tnet_s-t)/'2020'!Tau_j)),Resal_s+(Salim-Resal_s)*(1-EXP((Tnet_s-t)/Tau_j)))*Salcycl</f>
        <v>5.1727138722105707E-2</v>
      </c>
      <c r="AD30" s="230">
        <f>(INDEX(Models!$BJ30:$BT30,,AH30)*(1-AF30)+INDEX(Models!$BJ30:$BT30,,AH30+1)*AF30-ERP_i)*AE30*Ramure*Pc/MaxiM</f>
        <v>1.1147257845585645E-4</v>
      </c>
      <c r="AE30" s="304">
        <f t="shared" si="12"/>
        <v>0.6</v>
      </c>
      <c r="AF30" s="177">
        <f t="shared" si="21"/>
        <v>0.4997064486394811</v>
      </c>
      <c r="AG30" s="799">
        <f t="shared" si="22"/>
        <v>-1</v>
      </c>
      <c r="AH30" s="176">
        <f t="shared" si="13"/>
        <v>5</v>
      </c>
      <c r="AI30" s="224">
        <f t="shared" si="23"/>
        <v>-0.5002935513605189</v>
      </c>
      <c r="AJ30" s="264" t="b">
        <f t="shared" si="14"/>
        <v>1</v>
      </c>
      <c r="AK30" s="264" t="b">
        <f t="shared" si="15"/>
        <v>0</v>
      </c>
      <c r="AL30" s="264"/>
      <c r="AM30" s="264"/>
      <c r="AN30" s="75"/>
    </row>
    <row r="31" spans="1:40" s="6" customFormat="1" ht="11.25" x14ac:dyDescent="0.2">
      <c r="A31" s="56">
        <f t="shared" si="16"/>
        <v>44213</v>
      </c>
      <c r="B31" s="607">
        <v>6.8879999999999999</v>
      </c>
      <c r="C31" s="388"/>
      <c r="D31" s="391">
        <f t="shared" si="0"/>
        <v>6.9833031830383803</v>
      </c>
      <c r="E31" s="383">
        <f t="shared" si="17"/>
        <v>7.3645686232859573</v>
      </c>
      <c r="F31" s="383">
        <f t="shared" si="1"/>
        <v>7.3645686232859573</v>
      </c>
      <c r="G31" s="110">
        <f t="shared" si="18"/>
        <v>0.22857945750319977</v>
      </c>
      <c r="H31" s="412" t="b">
        <f>Wh_hp&gt;='2020'!Maxi_hp</f>
        <v>1</v>
      </c>
      <c r="I31" s="379">
        <f>IF(H31,Wh_hp,'2020'!Maxi_hp)</f>
        <v>7.3645686232859573</v>
      </c>
      <c r="J31" s="85">
        <f>IF(H31,An,'2020'!An_max)</f>
        <v>2021</v>
      </c>
      <c r="K31" s="197">
        <f t="shared" si="19"/>
        <v>44213</v>
      </c>
      <c r="L31" s="147">
        <f>IF(t&lt;Tvie,1-EXP((T0-t)*PertePVj)+'2020'!Pspv,1-EXP((T0-t)*PertePVj)+Pspv)</f>
        <v>1.3647292769682462E-2</v>
      </c>
      <c r="M31" s="832"/>
      <c r="N31" s="832"/>
      <c r="O31" s="48">
        <f>IF(t&lt;Tnet,'2020'!Resal+('2020'!Salim-'2020'!Resal)*(1-EXP(('2020'!Tnet-t)/('2020'!Tau_j))),Resal+(Salim-Resal)*(1-EXP((Tnet-t)/(Tau_j))))*Salcycl</f>
        <v>5.1770233906444647E-2</v>
      </c>
      <c r="P31" s="169">
        <f>(INDEX(Models!$BJ31:$BT31,,T31)*(1-R31)+INDEX(Models!$BJ31:$BT31,,T31+1)*R31-ERP_i)*Q31*Ramure*Pc/MaxiM</f>
        <v>1.0297559411043782E-4</v>
      </c>
      <c r="Q31" s="304">
        <f t="shared" si="2"/>
        <v>0.6</v>
      </c>
      <c r="R31" s="177">
        <f t="shared" si="3"/>
        <v>0.49976043252883529</v>
      </c>
      <c r="S31" s="799">
        <f t="shared" si="4"/>
        <v>-1</v>
      </c>
      <c r="T31" s="176">
        <f t="shared" si="5"/>
        <v>5</v>
      </c>
      <c r="U31" s="250">
        <f t="shared" si="20"/>
        <v>-0.50023956747116471</v>
      </c>
      <c r="V31" s="382">
        <f t="shared" si="6"/>
        <v>30.130838437270135</v>
      </c>
      <c r="W31" s="400"/>
      <c r="X31" s="157">
        <f t="shared" si="7"/>
        <v>44213</v>
      </c>
      <c r="Y31" s="383">
        <f t="shared" si="8"/>
        <v>6.8879999999999999</v>
      </c>
      <c r="Z31" s="383">
        <f t="shared" si="9"/>
        <v>6.9833031830383803</v>
      </c>
      <c r="AA31" s="384">
        <f t="shared" si="10"/>
        <v>7.3645686232859573</v>
      </c>
      <c r="AB31" s="197">
        <f t="shared" si="11"/>
        <v>44213</v>
      </c>
      <c r="AC31" s="119">
        <f>IF(OR(t&lt;Tnet,NoTnet),'2020'!Resal_s+('2020'!Salim-'2020'!Resal_s)*(1-EXP(('2020'!Tnet_s-t)/'2020'!Tau_j)),Resal_s+(Salim-Resal_s)*(1-EXP((Tnet_s-t)/Tau_j)))*Salcycl</f>
        <v>5.1770233906444647E-2</v>
      </c>
      <c r="AD31" s="230">
        <f>(INDEX(Models!$BJ31:$BT31,,AH31)*(1-AF31)+INDEX(Models!$BJ31:$BT31,,AH31+1)*AF31-ERP_i)*AE31*Ramure*Pc/MaxiM</f>
        <v>1.0297559411043782E-4</v>
      </c>
      <c r="AE31" s="304">
        <f t="shared" si="12"/>
        <v>0.6</v>
      </c>
      <c r="AF31" s="177">
        <f t="shared" si="21"/>
        <v>0.49976043252883529</v>
      </c>
      <c r="AG31" s="799">
        <f t="shared" si="22"/>
        <v>-1</v>
      </c>
      <c r="AH31" s="176">
        <f t="shared" si="13"/>
        <v>5</v>
      </c>
      <c r="AI31" s="224">
        <f t="shared" si="23"/>
        <v>-0.50023956747116471</v>
      </c>
      <c r="AJ31" s="264" t="b">
        <f t="shared" si="14"/>
        <v>1</v>
      </c>
      <c r="AK31" s="264" t="b">
        <f t="shared" si="15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6"/>
        <v>44214</v>
      </c>
      <c r="B32" s="607">
        <v>28.673000000000002</v>
      </c>
      <c r="C32" s="388"/>
      <c r="D32" s="391">
        <f t="shared" si="0"/>
        <v>29.07028014608542</v>
      </c>
      <c r="E32" s="383">
        <f t="shared" si="17"/>
        <v>30.658816141481125</v>
      </c>
      <c r="F32" s="383">
        <f t="shared" si="1"/>
        <v>30.661484813289494</v>
      </c>
      <c r="G32" s="110">
        <f t="shared" si="18"/>
        <v>0.94272687026289248</v>
      </c>
      <c r="H32" s="412" t="b">
        <f>Wh_hp&gt;='2020'!Maxi_hp</f>
        <v>1</v>
      </c>
      <c r="I32" s="379">
        <f>IF(H32,Wh_hp,'2020'!Maxi_hp)</f>
        <v>30.661484813289494</v>
      </c>
      <c r="J32" s="85">
        <f>IF(H32,An,'2020'!An_max)</f>
        <v>2021</v>
      </c>
      <c r="K32" s="197">
        <f t="shared" si="19"/>
        <v>44214</v>
      </c>
      <c r="L32" s="147">
        <f>IF(t&lt;Tvie,1-EXP((T0-t)*PertePVj)+'2020'!Pspv,1-EXP((T0-t)*PertePVj)+Pspv)</f>
        <v>1.3666195994293306E-2</v>
      </c>
      <c r="M32" s="832"/>
      <c r="N32" s="832"/>
      <c r="O32" s="48">
        <f>IF(t&lt;Tnet,'2020'!Resal+('2020'!Salim-'2020'!Resal)*(1-EXP(('2020'!Tnet-t)/('2020'!Tau_j))),Resal+(Salim-Resal)*(1-EXP((Tnet-t)/(Tau_j))))*Salcycl</f>
        <v>5.1813350785141057E-2</v>
      </c>
      <c r="P32" s="169">
        <f>(INDEX(Models!$BJ32:$BT32,,T32)*(1-R32)+INDEX(Models!$BJ32:$BT32,,T32+1)*R32-ERP_i)*Q32*Ramure*Pc/MaxiM</f>
        <v>9.4791332594302449E-5</v>
      </c>
      <c r="Q32" s="304">
        <f t="shared" si="2"/>
        <v>0.6</v>
      </c>
      <c r="R32" s="177">
        <f t="shared" si="3"/>
        <v>0.49981666874097697</v>
      </c>
      <c r="S32" s="799">
        <f t="shared" si="4"/>
        <v>-1</v>
      </c>
      <c r="T32" s="176">
        <f t="shared" si="5"/>
        <v>5</v>
      </c>
      <c r="U32" s="250">
        <f t="shared" si="20"/>
        <v>-0.50018333125902303</v>
      </c>
      <c r="V32" s="382">
        <f t="shared" si="6"/>
        <v>30.414724066997511</v>
      </c>
      <c r="W32" s="400"/>
      <c r="X32" s="157">
        <f t="shared" si="7"/>
        <v>44214</v>
      </c>
      <c r="Y32" s="383">
        <f t="shared" si="8"/>
        <v>28.673000000000002</v>
      </c>
      <c r="Z32" s="383">
        <f t="shared" si="9"/>
        <v>29.07028014608542</v>
      </c>
      <c r="AA32" s="384">
        <f t="shared" si="10"/>
        <v>30.658816141481125</v>
      </c>
      <c r="AB32" s="197">
        <f t="shared" si="11"/>
        <v>44214</v>
      </c>
      <c r="AC32" s="119">
        <f>IF(OR(t&lt;Tnet,NoTnet),'2020'!Resal_s+('2020'!Salim-'2020'!Resal_s)*(1-EXP(('2020'!Tnet_s-t)/'2020'!Tau_j)),Resal_s+(Salim-Resal_s)*(1-EXP((Tnet_s-t)/Tau_j)))*Salcycl</f>
        <v>5.1813350785141057E-2</v>
      </c>
      <c r="AD32" s="230">
        <f>(INDEX(Models!$BJ32:$BT32,,AH32)*(1-AF32)+INDEX(Models!$BJ32:$BT32,,AH32+1)*AF32-ERP_i)*AE32*Ramure*Pc/MaxiM</f>
        <v>9.4791332594302449E-5</v>
      </c>
      <c r="AE32" s="304">
        <f t="shared" si="12"/>
        <v>0.6</v>
      </c>
      <c r="AF32" s="177">
        <f t="shared" si="21"/>
        <v>0.49981666874097697</v>
      </c>
      <c r="AG32" s="799">
        <f t="shared" si="22"/>
        <v>-1</v>
      </c>
      <c r="AH32" s="176">
        <f t="shared" si="13"/>
        <v>5</v>
      </c>
      <c r="AI32" s="224">
        <f t="shared" si="23"/>
        <v>-0.50018333125902303</v>
      </c>
      <c r="AJ32" s="264" t="b">
        <f t="shared" si="14"/>
        <v>1</v>
      </c>
      <c r="AK32" s="264" t="b">
        <f t="shared" si="15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6"/>
        <v>44215</v>
      </c>
      <c r="B33" s="607">
        <v>31.305</v>
      </c>
      <c r="C33" s="388"/>
      <c r="D33" s="391">
        <f t="shared" si="0"/>
        <v>31.739356227620725</v>
      </c>
      <c r="E33" s="383">
        <f t="shared" si="17"/>
        <v>33.47526609270593</v>
      </c>
      <c r="F33" s="383">
        <f t="shared" si="1"/>
        <v>33.4781759439336</v>
      </c>
      <c r="G33" s="110">
        <f t="shared" si="18"/>
        <v>1.0196021385582428</v>
      </c>
      <c r="H33" s="412" t="b">
        <f>Wh_hp&gt;='2020'!Maxi_hp</f>
        <v>1</v>
      </c>
      <c r="I33" s="379">
        <f>IF(H33,Wh_hp,'2020'!Maxi_hp)</f>
        <v>33.4781759439336</v>
      </c>
      <c r="J33" s="85">
        <f>IF(H33,An,'2020'!An_max)</f>
        <v>2021</v>
      </c>
      <c r="K33" s="197">
        <f t="shared" si="19"/>
        <v>44215</v>
      </c>
      <c r="L33" s="147">
        <f>IF(t&lt;Tvie,1-EXP((T0-t)*PertePVj)+'2020'!Pspv,1-EXP((T0-t)*PertePVj)+Pspv)</f>
        <v>1.3685098856628164E-2</v>
      </c>
      <c r="M33" s="832"/>
      <c r="N33" s="832"/>
      <c r="O33" s="48">
        <f>IF(t&lt;Tnet,'2020'!Resal+('2020'!Salim-'2020'!Resal)*(1-EXP(('2020'!Tnet-t)/('2020'!Tau_j))),Resal+(Salim-Resal)*(1-EXP((Tnet-t)/(Tau_j))))*Salcycl</f>
        <v>5.1856491902941199E-2</v>
      </c>
      <c r="P33" s="169">
        <f>(INDEX(Models!$BJ33:$BT33,,T33)*(1-R33)+INDEX(Models!$BJ33:$BT33,,T33+1)*R33-ERP_i)*Q33*Ramure*Pc/MaxiM</f>
        <v>8.6917854561169991E-5</v>
      </c>
      <c r="Q33" s="304">
        <f t="shared" si="2"/>
        <v>0.6</v>
      </c>
      <c r="R33" s="177">
        <f t="shared" si="3"/>
        <v>0.4998752507068378</v>
      </c>
      <c r="S33" s="799">
        <f t="shared" si="4"/>
        <v>-1</v>
      </c>
      <c r="T33" s="176">
        <f t="shared" si="5"/>
        <v>5</v>
      </c>
      <c r="U33" s="250">
        <f t="shared" si="20"/>
        <v>-0.5001247492931622</v>
      </c>
      <c r="V33" s="382">
        <f t="shared" si="6"/>
        <v>30.703152549548872</v>
      </c>
      <c r="W33" s="400"/>
      <c r="X33" s="157">
        <f t="shared" si="7"/>
        <v>44215</v>
      </c>
      <c r="Y33" s="383">
        <f t="shared" si="8"/>
        <v>31.305</v>
      </c>
      <c r="Z33" s="383">
        <f t="shared" si="9"/>
        <v>31.739356227620725</v>
      </c>
      <c r="AA33" s="384">
        <f t="shared" si="10"/>
        <v>33.47526609270593</v>
      </c>
      <c r="AB33" s="197">
        <f t="shared" si="11"/>
        <v>44215</v>
      </c>
      <c r="AC33" s="119">
        <f>IF(OR(t&lt;Tnet,NoTnet),'2020'!Resal_s+('2020'!Salim-'2020'!Resal_s)*(1-EXP(('2020'!Tnet_s-t)/'2020'!Tau_j)),Resal_s+(Salim-Resal_s)*(1-EXP((Tnet_s-t)/Tau_j)))*Salcycl</f>
        <v>5.1856491902941199E-2</v>
      </c>
      <c r="AD33" s="230">
        <f>(INDEX(Models!$BJ33:$BT33,,AH33)*(1-AF33)+INDEX(Models!$BJ33:$BT33,,AH33+1)*AF33-ERP_i)*AE33*Ramure*Pc/MaxiM</f>
        <v>8.6917854561169991E-5</v>
      </c>
      <c r="AE33" s="304">
        <f t="shared" si="12"/>
        <v>0.6</v>
      </c>
      <c r="AF33" s="177">
        <f t="shared" si="21"/>
        <v>0.4998752507068378</v>
      </c>
      <c r="AG33" s="799">
        <f t="shared" si="22"/>
        <v>-1</v>
      </c>
      <c r="AH33" s="176">
        <f t="shared" si="13"/>
        <v>5</v>
      </c>
      <c r="AI33" s="224">
        <f t="shared" si="23"/>
        <v>-0.5001247492931622</v>
      </c>
      <c r="AJ33" s="264" t="b">
        <f t="shared" si="14"/>
        <v>1</v>
      </c>
      <c r="AK33" s="264" t="b">
        <f t="shared" si="15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6"/>
        <v>44216</v>
      </c>
      <c r="B34" s="607">
        <v>6.86</v>
      </c>
      <c r="C34" s="388"/>
      <c r="D34" s="391">
        <f t="shared" si="0"/>
        <v>6.9553156551747506</v>
      </c>
      <c r="E34" s="383">
        <f t="shared" si="17"/>
        <v>7.3360543829093769</v>
      </c>
      <c r="F34" s="383">
        <f t="shared" si="1"/>
        <v>7.3360543829093769</v>
      </c>
      <c r="G34" s="110">
        <f t="shared" si="18"/>
        <v>0.22130669303290024</v>
      </c>
      <c r="H34" s="412" t="b">
        <f>Wh_hp&gt;='2020'!Maxi_hp</f>
        <v>0</v>
      </c>
      <c r="I34" s="379">
        <f>IF(H34,Wh_hp,'2020'!Maxi_hp)</f>
        <v>12.8610654344488</v>
      </c>
      <c r="J34" s="85">
        <f>IF(H34,An,'2020'!An_max)</f>
        <v>2020</v>
      </c>
      <c r="K34" s="197">
        <f t="shared" si="19"/>
        <v>44216</v>
      </c>
      <c r="L34" s="147">
        <f>IF(t&lt;Tvie,1-EXP((T0-t)*PertePVj)+'2020'!Pspv,1-EXP((T0-t)*PertePVj)+Pspv)</f>
        <v>1.3704001356694029E-2</v>
      </c>
      <c r="M34" s="832"/>
      <c r="N34" s="832"/>
      <c r="O34" s="48">
        <f>IF(t&lt;Tnet,'2020'!Resal+('2020'!Salim-'2020'!Resal)*(1-EXP(('2020'!Tnet-t)/('2020'!Tau_j))),Resal+(Salim-Resal)*(1-EXP((Tnet-t)/(Tau_j))))*Salcycl</f>
        <v>5.1899659934586111E-2</v>
      </c>
      <c r="P34" s="169">
        <f>(INDEX(Models!$BJ34:$BT34,,T34)*(1-R34)+INDEX(Models!$BJ34:$BT34,,T34+1)*R34-ERP_i)*Q34*Ramure*Pc/MaxiM</f>
        <v>7.9352588234724123E-5</v>
      </c>
      <c r="Q34" s="304">
        <f t="shared" si="2"/>
        <v>0.6</v>
      </c>
      <c r="R34" s="177">
        <f t="shared" si="3"/>
        <v>0.49993627568688048</v>
      </c>
      <c r="S34" s="799">
        <f t="shared" si="4"/>
        <v>-1</v>
      </c>
      <c r="T34" s="176">
        <f t="shared" si="5"/>
        <v>5</v>
      </c>
      <c r="U34" s="250">
        <f t="shared" si="20"/>
        <v>-0.50006372431311952</v>
      </c>
      <c r="V34" s="382">
        <f t="shared" si="6"/>
        <v>30.995247126235618</v>
      </c>
      <c r="W34" s="400"/>
      <c r="X34" s="157">
        <f t="shared" si="7"/>
        <v>44216</v>
      </c>
      <c r="Y34" s="383">
        <f t="shared" si="8"/>
        <v>6.86</v>
      </c>
      <c r="Z34" s="383">
        <f t="shared" si="9"/>
        <v>6.9553156551747506</v>
      </c>
      <c r="AA34" s="384">
        <f t="shared" si="10"/>
        <v>7.3360543829093769</v>
      </c>
      <c r="AB34" s="197">
        <f t="shared" si="11"/>
        <v>44216</v>
      </c>
      <c r="AC34" s="119">
        <f>IF(OR(t&lt;Tnet,NoTnet),'2020'!Resal_s+('2020'!Salim-'2020'!Resal_s)*(1-EXP(('2020'!Tnet_s-t)/'2020'!Tau_j)),Resal_s+(Salim-Resal_s)*(1-EXP((Tnet_s-t)/Tau_j)))*Salcycl</f>
        <v>5.1899659934586111E-2</v>
      </c>
      <c r="AD34" s="230">
        <f>(INDEX(Models!$BJ34:$BT34,,AH34)*(1-AF34)+INDEX(Models!$BJ34:$BT34,,AH34+1)*AF34-ERP_i)*AE34*Ramure*Pc/MaxiM</f>
        <v>7.9352588234724123E-5</v>
      </c>
      <c r="AE34" s="304">
        <f t="shared" si="12"/>
        <v>0.6</v>
      </c>
      <c r="AF34" s="177">
        <f t="shared" si="21"/>
        <v>0.49993627568688048</v>
      </c>
      <c r="AG34" s="799">
        <f t="shared" si="22"/>
        <v>-1</v>
      </c>
      <c r="AH34" s="176">
        <f t="shared" si="13"/>
        <v>5</v>
      </c>
      <c r="AI34" s="224">
        <f t="shared" si="23"/>
        <v>-0.50006372431311952</v>
      </c>
      <c r="AJ34" s="264" t="b">
        <f t="shared" si="14"/>
        <v>1</v>
      </c>
      <c r="AK34" s="264" t="b">
        <f t="shared" si="15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6"/>
        <v>44217</v>
      </c>
      <c r="B35" s="607">
        <v>13.458</v>
      </c>
      <c r="C35" s="388"/>
      <c r="D35" s="391">
        <f t="shared" si="0"/>
        <v>13.645252482982018</v>
      </c>
      <c r="E35" s="383">
        <f t="shared" si="17"/>
        <v>14.392858692268216</v>
      </c>
      <c r="F35" s="383">
        <f t="shared" si="1"/>
        <v>14.393051547609028</v>
      </c>
      <c r="G35" s="110">
        <f t="shared" si="18"/>
        <v>0.43007841652311296</v>
      </c>
      <c r="H35" s="412" t="b">
        <f>Wh_hp&gt;='2020'!Maxi_hp</f>
        <v>1</v>
      </c>
      <c r="I35" s="379">
        <f>IF(H35,Wh_hp,'2020'!Maxi_hp)</f>
        <v>14.393051547609028</v>
      </c>
      <c r="J35" s="85">
        <f>IF(H35,An,'2020'!An_max)</f>
        <v>2021</v>
      </c>
      <c r="K35" s="197">
        <f t="shared" si="19"/>
        <v>44217</v>
      </c>
      <c r="L35" s="147">
        <f>IF(t&lt;Tvie,1-EXP((T0-t)*PertePVj)+'2020'!Pspv,1-EXP((T0-t)*PertePVj)+Pspv)</f>
        <v>1.3722903494497785E-2</v>
      </c>
      <c r="M35" s="832"/>
      <c r="N35" s="832"/>
      <c r="O35" s="48">
        <f>IF(t&lt;Tnet,'2020'!Resal+('2020'!Salim-'2020'!Resal)*(1-EXP(('2020'!Tnet-t)/('2020'!Tau_j))),Resal+(Salim-Resal)*(1-EXP((Tnet-t)/(Tau_j))))*Salcycl</f>
        <v>5.1942857584491443E-2</v>
      </c>
      <c r="P35" s="169">
        <f>(INDEX(Models!$BJ35:$BT35,,T35)*(1-R35)+INDEX(Models!$BJ35:$BT35,,T35+1)*R35-ERP_i)*Q35*Ramure*Pc/MaxiM</f>
        <v>7.2092039621482189E-5</v>
      </c>
      <c r="Q35" s="304">
        <f t="shared" si="2"/>
        <v>0.6</v>
      </c>
      <c r="R35" s="177">
        <f t="shared" si="3"/>
        <v>0.49999984492411664</v>
      </c>
      <c r="S35" s="799">
        <f t="shared" si="4"/>
        <v>-1</v>
      </c>
      <c r="T35" s="176">
        <f t="shared" si="5"/>
        <v>5</v>
      </c>
      <c r="U35" s="250">
        <f t="shared" si="20"/>
        <v>-0.50000015507588336</v>
      </c>
      <c r="V35" s="382">
        <f t="shared" si="6"/>
        <v>31.290131250806386</v>
      </c>
      <c r="W35" s="400"/>
      <c r="X35" s="157">
        <f t="shared" si="7"/>
        <v>44217</v>
      </c>
      <c r="Y35" s="383">
        <f t="shared" si="8"/>
        <v>13.458</v>
      </c>
      <c r="Z35" s="383">
        <f t="shared" si="9"/>
        <v>13.645252482982018</v>
      </c>
      <c r="AA35" s="384">
        <f t="shared" si="10"/>
        <v>14.392858692268216</v>
      </c>
      <c r="AB35" s="197">
        <f t="shared" si="11"/>
        <v>44217</v>
      </c>
      <c r="AC35" s="119">
        <f>IF(OR(t&lt;Tnet,NoTnet),'2020'!Resal_s+('2020'!Salim-'2020'!Resal_s)*(1-EXP(('2020'!Tnet_s-t)/'2020'!Tau_j)),Resal_s+(Salim-Resal_s)*(1-EXP((Tnet_s-t)/Tau_j)))*Salcycl</f>
        <v>5.1942857584491443E-2</v>
      </c>
      <c r="AD35" s="230">
        <f>(INDEX(Models!$BJ35:$BT35,,AH35)*(1-AF35)+INDEX(Models!$BJ35:$BT35,,AH35+1)*AF35-ERP_i)*AE35*Ramure*Pc/MaxiM</f>
        <v>7.2092039621482189E-5</v>
      </c>
      <c r="AE35" s="304">
        <f t="shared" si="12"/>
        <v>0.6</v>
      </c>
      <c r="AF35" s="177">
        <f t="shared" si="21"/>
        <v>0.49999984492411664</v>
      </c>
      <c r="AG35" s="799">
        <f t="shared" si="22"/>
        <v>-1</v>
      </c>
      <c r="AH35" s="176">
        <f t="shared" si="13"/>
        <v>5</v>
      </c>
      <c r="AI35" s="224">
        <f t="shared" si="23"/>
        <v>-0.50000015507588336</v>
      </c>
      <c r="AJ35" s="264" t="b">
        <f t="shared" si="14"/>
        <v>1</v>
      </c>
      <c r="AK35" s="264" t="b">
        <f t="shared" si="15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6"/>
        <v>44218</v>
      </c>
      <c r="B36" s="607">
        <v>5.6450000000000005</v>
      </c>
      <c r="C36" s="388"/>
      <c r="D36" s="391">
        <f t="shared" si="0"/>
        <v>5.723653329487064</v>
      </c>
      <c r="E36" s="383">
        <f t="shared" si="17"/>
        <v>6.0375203928633301</v>
      </c>
      <c r="F36" s="383">
        <f t="shared" si="1"/>
        <v>6.0375203928633301</v>
      </c>
      <c r="G36" s="110">
        <f t="shared" si="18"/>
        <v>0.17870152559692934</v>
      </c>
      <c r="H36" s="412" t="b">
        <f>Wh_hp&gt;='2020'!Maxi_hp</f>
        <v>1</v>
      </c>
      <c r="I36" s="379">
        <f>IF(H36,Wh_hp,'2020'!Maxi_hp)</f>
        <v>6.0375203928633301</v>
      </c>
      <c r="J36" s="85">
        <f>IF(H36,An,'2020'!An_max)</f>
        <v>2021</v>
      </c>
      <c r="K36" s="197">
        <f t="shared" si="19"/>
        <v>44218</v>
      </c>
      <c r="L36" s="147">
        <f>IF(t&lt;Tvie,1-EXP((T0-t)*PertePVj)+'2020'!Pspv,1-EXP((T0-t)*PertePVj)+Pspv)</f>
        <v>1.3741805270046314E-2</v>
      </c>
      <c r="M36" s="832"/>
      <c r="N36" s="832"/>
      <c r="O36" s="48">
        <f>IF(t&lt;Tnet,'2020'!Resal+('2020'!Salim-'2020'!Resal)*(1-EXP(('2020'!Tnet-t)/('2020'!Tau_j))),Resal+(Salim-Resal)*(1-EXP((Tnet-t)/(Tau_j))))*Salcycl</f>
        <v>5.1986087491691757E-2</v>
      </c>
      <c r="P36" s="169">
        <f>(INDEX(Models!$BJ36:$BT36,,T36)*(1-R36)+INDEX(Models!$BJ36:$BT36,,T36+1)*R36-ERP_i)*Q36*Ramure*Pc/MaxiM</f>
        <v>6.5131403404365668E-5</v>
      </c>
      <c r="Q36" s="304">
        <f t="shared" si="2"/>
        <v>0.6</v>
      </c>
      <c r="R36" s="177">
        <f t="shared" si="3"/>
        <v>0.50006606380289875</v>
      </c>
      <c r="S36" s="799">
        <f t="shared" si="4"/>
        <v>-1</v>
      </c>
      <c r="T36" s="176">
        <f t="shared" si="5"/>
        <v>5</v>
      </c>
      <c r="U36" s="250">
        <f t="shared" si="20"/>
        <v>-0.49993393619710125</v>
      </c>
      <c r="V36" s="382">
        <f t="shared" si="6"/>
        <v>31.586928619510207</v>
      </c>
      <c r="W36" s="400"/>
      <c r="X36" s="157">
        <f t="shared" si="7"/>
        <v>44218</v>
      </c>
      <c r="Y36" s="383">
        <f t="shared" si="8"/>
        <v>5.6450000000000005</v>
      </c>
      <c r="Z36" s="383">
        <f t="shared" si="9"/>
        <v>5.723653329487064</v>
      </c>
      <c r="AA36" s="384">
        <f t="shared" si="10"/>
        <v>6.0375203928633301</v>
      </c>
      <c r="AB36" s="197">
        <f t="shared" si="11"/>
        <v>44218</v>
      </c>
      <c r="AC36" s="119">
        <f>IF(OR(t&lt;Tnet,NoTnet),'2020'!Resal_s+('2020'!Salim-'2020'!Resal_s)*(1-EXP(('2020'!Tnet_s-t)/'2020'!Tau_j)),Resal_s+(Salim-Resal_s)*(1-EXP((Tnet_s-t)/Tau_j)))*Salcycl</f>
        <v>5.1986087491691757E-2</v>
      </c>
      <c r="AD36" s="230">
        <f>(INDEX(Models!$BJ36:$BT36,,AH36)*(1-AF36)+INDEX(Models!$BJ36:$BT36,,AH36+1)*AF36-ERP_i)*AE36*Ramure*Pc/MaxiM</f>
        <v>6.5131403404365668E-5</v>
      </c>
      <c r="AE36" s="304">
        <f t="shared" si="12"/>
        <v>0.6</v>
      </c>
      <c r="AF36" s="177">
        <f t="shared" si="21"/>
        <v>0.50006606380289875</v>
      </c>
      <c r="AG36" s="799">
        <f t="shared" si="22"/>
        <v>-1</v>
      </c>
      <c r="AH36" s="176">
        <f t="shared" si="13"/>
        <v>5</v>
      </c>
      <c r="AI36" s="224">
        <f t="shared" si="23"/>
        <v>-0.49993393619710125</v>
      </c>
      <c r="AJ36" s="264" t="b">
        <f t="shared" si="14"/>
        <v>1</v>
      </c>
      <c r="AK36" s="264" t="b">
        <f t="shared" si="15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6"/>
        <v>44219</v>
      </c>
      <c r="B37" s="607">
        <v>8.4250000000000007</v>
      </c>
      <c r="C37" s="388"/>
      <c r="D37" s="391">
        <f t="shared" si="0"/>
        <v>8.5425515461539945</v>
      </c>
      <c r="E37" s="383">
        <f t="shared" si="17"/>
        <v>9.0114093357711056</v>
      </c>
      <c r="F37" s="383">
        <f t="shared" si="1"/>
        <v>9.0114093357711056</v>
      </c>
      <c r="G37" s="110">
        <f t="shared" si="18"/>
        <v>0.26418474926226243</v>
      </c>
      <c r="H37" s="412" t="b">
        <f>Wh_hp&gt;='2020'!Maxi_hp</f>
        <v>0</v>
      </c>
      <c r="I37" s="379">
        <f>IF(H37,Wh_hp,'2020'!Maxi_hp)</f>
        <v>13.401493865398967</v>
      </c>
      <c r="J37" s="85">
        <f>IF(H37,An,'2020'!An_max)</f>
        <v>2020</v>
      </c>
      <c r="K37" s="197">
        <f t="shared" si="19"/>
        <v>44219</v>
      </c>
      <c r="L37" s="147">
        <f>IF(t&lt;Tvie,1-EXP((T0-t)*PertePVj)+'2020'!Pspv,1-EXP((T0-t)*PertePVj)+Pspv)</f>
        <v>1.3760706683346613E-2</v>
      </c>
      <c r="M37" s="832"/>
      <c r="N37" s="832"/>
      <c r="O37" s="48">
        <f>IF(t&lt;Tnet,'2020'!Resal+('2020'!Salim-'2020'!Resal)*(1-EXP(('2020'!Tnet-t)/('2020'!Tau_j))),Resal+(Salim-Resal)*(1-EXP((Tnet-t)/(Tau_j))))*Salcycl</f>
        <v>5.202935214095359E-2</v>
      </c>
      <c r="P37" s="169">
        <f>(INDEX(Models!$BJ37:$BT37,,T37)*(1-R37)+INDEX(Models!$BJ37:$BT37,,T37+1)*R37-ERP_i)*Q37*Ramure*Pc/MaxiM</f>
        <v>5.8457890908993476E-5</v>
      </c>
      <c r="Q37" s="304">
        <f t="shared" si="2"/>
        <v>0.6</v>
      </c>
      <c r="R37" s="177">
        <f t="shared" si="3"/>
        <v>0.50013504201367609</v>
      </c>
      <c r="S37" s="799">
        <f t="shared" si="4"/>
        <v>-1</v>
      </c>
      <c r="T37" s="176">
        <f t="shared" si="5"/>
        <v>5</v>
      </c>
      <c r="U37" s="250">
        <f t="shared" si="20"/>
        <v>-0.49986495798632391</v>
      </c>
      <c r="V37" s="382">
        <f t="shared" si="6"/>
        <v>31.888697268841529</v>
      </c>
      <c r="W37" s="400"/>
      <c r="X37" s="157">
        <f t="shared" si="7"/>
        <v>44219</v>
      </c>
      <c r="Y37" s="383">
        <f t="shared" si="8"/>
        <v>8.4250000000000007</v>
      </c>
      <c r="Z37" s="383">
        <f t="shared" si="9"/>
        <v>8.5425515461539945</v>
      </c>
      <c r="AA37" s="384">
        <f t="shared" si="10"/>
        <v>9.0114093357711056</v>
      </c>
      <c r="AB37" s="197">
        <f t="shared" si="11"/>
        <v>44219</v>
      </c>
      <c r="AC37" s="119">
        <f>IF(OR(t&lt;Tnet,NoTnet),'2020'!Resal_s+('2020'!Salim-'2020'!Resal_s)*(1-EXP(('2020'!Tnet_s-t)/'2020'!Tau_j)),Resal_s+(Salim-Resal_s)*(1-EXP((Tnet_s-t)/Tau_j)))*Salcycl</f>
        <v>5.202935214095359E-2</v>
      </c>
      <c r="AD37" s="230">
        <f>(INDEX(Models!$BJ37:$BT37,,AH37)*(1-AF37)+INDEX(Models!$BJ37:$BT37,,AH37+1)*AF37-ERP_i)*AE37*Ramure*Pc/MaxiM</f>
        <v>5.8457890908993476E-5</v>
      </c>
      <c r="AE37" s="304">
        <f t="shared" si="12"/>
        <v>0.6</v>
      </c>
      <c r="AF37" s="177">
        <f t="shared" si="21"/>
        <v>0.50013504201367609</v>
      </c>
      <c r="AG37" s="799">
        <f t="shared" si="22"/>
        <v>-1</v>
      </c>
      <c r="AH37" s="176">
        <f t="shared" si="13"/>
        <v>5</v>
      </c>
      <c r="AI37" s="224">
        <f t="shared" si="23"/>
        <v>-0.49986495798632391</v>
      </c>
      <c r="AJ37" s="264" t="b">
        <f t="shared" si="14"/>
        <v>1</v>
      </c>
      <c r="AK37" s="264" t="b">
        <f t="shared" si="15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6"/>
        <v>44220</v>
      </c>
      <c r="B38" s="607">
        <v>16.788</v>
      </c>
      <c r="C38" s="388"/>
      <c r="D38" s="391">
        <f t="shared" si="0"/>
        <v>17.022564258110478</v>
      </c>
      <c r="E38" s="383">
        <f t="shared" si="17"/>
        <v>17.957667669369631</v>
      </c>
      <c r="F38" s="383">
        <f t="shared" si="1"/>
        <v>17.957964800268428</v>
      </c>
      <c r="G38" s="110">
        <f t="shared" si="18"/>
        <v>0.5213715632286603</v>
      </c>
      <c r="H38" s="412" t="b">
        <f>Wh_hp&gt;='2020'!Maxi_hp</f>
        <v>1</v>
      </c>
      <c r="I38" s="379">
        <f>IF(H38,Wh_hp,'2020'!Maxi_hp)</f>
        <v>17.957964800268428</v>
      </c>
      <c r="J38" s="85">
        <f>IF(H38,An,'2020'!An_max)</f>
        <v>2021</v>
      </c>
      <c r="K38" s="197">
        <f t="shared" si="19"/>
        <v>44220</v>
      </c>
      <c r="L38" s="147">
        <f>IF(t&lt;Tvie,1-EXP((T0-t)*PertePVj)+'2020'!Pspv,1-EXP((T0-t)*PertePVj)+Pspv)</f>
        <v>1.3779607734405785E-2</v>
      </c>
      <c r="M38" s="832"/>
      <c r="N38" s="832"/>
      <c r="O38" s="48">
        <f>IF(t&lt;Tnet,'2020'!Resal+('2020'!Salim-'2020'!Resal)*(1-EXP(('2020'!Tnet-t)/('2020'!Tau_j))),Resal+(Salim-Resal)*(1-EXP((Tnet-t)/(Tau_j))))*Salcycl</f>
        <v>5.2072653780878046E-2</v>
      </c>
      <c r="P38" s="169">
        <f>(INDEX(Models!$BJ38:$BT38,,T38)*(1-R38)+INDEX(Models!$BJ38:$BT38,,T38+1)*R38-ERP_i)*Q38*Ramure*Pc/MaxiM</f>
        <v>5.2315492933204925E-5</v>
      </c>
      <c r="Q38" s="304">
        <f t="shared" si="2"/>
        <v>0.6</v>
      </c>
      <c r="R38" s="177">
        <f t="shared" si="3"/>
        <v>0.50020689372390548</v>
      </c>
      <c r="S38" s="799">
        <f t="shared" si="4"/>
        <v>-1</v>
      </c>
      <c r="T38" s="176">
        <f t="shared" si="5"/>
        <v>5</v>
      </c>
      <c r="U38" s="250">
        <f t="shared" si="20"/>
        <v>-0.49979310627609447</v>
      </c>
      <c r="V38" s="382">
        <f t="shared" si="6"/>
        <v>32.198533012378213</v>
      </c>
      <c r="W38" s="400"/>
      <c r="X38" s="157">
        <f t="shared" si="7"/>
        <v>44220</v>
      </c>
      <c r="Y38" s="383">
        <f t="shared" si="8"/>
        <v>16.788</v>
      </c>
      <c r="Z38" s="383">
        <f t="shared" si="9"/>
        <v>17.022564258110478</v>
      </c>
      <c r="AA38" s="384">
        <f t="shared" si="10"/>
        <v>17.957667669369631</v>
      </c>
      <c r="AB38" s="197">
        <f t="shared" si="11"/>
        <v>44220</v>
      </c>
      <c r="AC38" s="119">
        <f>IF(OR(t&lt;Tnet,NoTnet),'2020'!Resal_s+('2020'!Salim-'2020'!Resal_s)*(1-EXP(('2020'!Tnet_s-t)/'2020'!Tau_j)),Resal_s+(Salim-Resal_s)*(1-EXP((Tnet_s-t)/Tau_j)))*Salcycl</f>
        <v>5.2072653780878046E-2</v>
      </c>
      <c r="AD38" s="230">
        <f>(INDEX(Models!$BJ38:$BT38,,AH38)*(1-AF38)+INDEX(Models!$BJ38:$BT38,,AH38+1)*AF38-ERP_i)*AE38*Ramure*Pc/MaxiM</f>
        <v>5.2315492933204925E-5</v>
      </c>
      <c r="AE38" s="304">
        <f t="shared" si="12"/>
        <v>0.6</v>
      </c>
      <c r="AF38" s="177">
        <f t="shared" si="21"/>
        <v>0.50020689372390548</v>
      </c>
      <c r="AG38" s="799">
        <f t="shared" si="22"/>
        <v>-1</v>
      </c>
      <c r="AH38" s="176">
        <f t="shared" si="13"/>
        <v>5</v>
      </c>
      <c r="AI38" s="224">
        <f t="shared" si="23"/>
        <v>-0.49979310627609447</v>
      </c>
      <c r="AJ38" s="264" t="b">
        <f t="shared" si="14"/>
        <v>1</v>
      </c>
      <c r="AK38" s="264" t="b">
        <f t="shared" si="15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6"/>
        <v>44221</v>
      </c>
      <c r="B39" s="607">
        <v>7.742</v>
      </c>
      <c r="C39" s="388"/>
      <c r="D39" s="391">
        <f t="shared" si="0"/>
        <v>7.8503227445152719</v>
      </c>
      <c r="E39" s="383">
        <f t="shared" si="17"/>
        <v>8.2819445182321871</v>
      </c>
      <c r="F39" s="383">
        <f t="shared" si="1"/>
        <v>8.2819445182321871</v>
      </c>
      <c r="G39" s="110">
        <f t="shared" si="18"/>
        <v>0.23808976697274853</v>
      </c>
      <c r="H39" s="412" t="b">
        <f>Wh_hp&gt;='2020'!Maxi_hp</f>
        <v>0</v>
      </c>
      <c r="I39" s="379">
        <f>IF(H39,Wh_hp,'2020'!Maxi_hp)</f>
        <v>18.673156749989925</v>
      </c>
      <c r="J39" s="85">
        <f>IF(H39,An,'2020'!An_max)</f>
        <v>2020</v>
      </c>
      <c r="K39" s="197">
        <f t="shared" si="19"/>
        <v>44221</v>
      </c>
      <c r="L39" s="147">
        <f>IF(t&lt;Tvie,1-EXP((T0-t)*PertePVj)+'2020'!Pspv,1-EXP((T0-t)*PertePVj)+Pspv)</f>
        <v>1.3798508423230493E-2</v>
      </c>
      <c r="M39" s="832"/>
      <c r="N39" s="832"/>
      <c r="O39" s="48">
        <f>IF(t&lt;Tnet,'2020'!Resal+('2020'!Salim-'2020'!Resal)*(1-EXP(('2020'!Tnet-t)/('2020'!Tau_j))),Resal+(Salim-Resal)*(1-EXP((Tnet-t)/(Tau_j))))*Salcycl</f>
        <v>5.2115994349723867E-2</v>
      </c>
      <c r="P39" s="169">
        <f>(INDEX(Models!$BJ39:$BT39,,T39)*(1-R39)+INDEX(Models!$BJ39:$BT39,,T39+1)*R39-ERP_i)*Q39*Ramure*Pc/MaxiM</f>
        <v>4.673528422257277E-5</v>
      </c>
      <c r="Q39" s="304">
        <f t="shared" si="2"/>
        <v>0.6</v>
      </c>
      <c r="R39" s="177">
        <f t="shared" si="3"/>
        <v>0.5002817377553137</v>
      </c>
      <c r="S39" s="799">
        <f t="shared" si="4"/>
        <v>-1</v>
      </c>
      <c r="T39" s="176">
        <f t="shared" si="5"/>
        <v>5</v>
      </c>
      <c r="U39" s="250">
        <f t="shared" si="20"/>
        <v>-0.49971826224468624</v>
      </c>
      <c r="V39" s="382">
        <f t="shared" si="6"/>
        <v>32.515627504123884</v>
      </c>
      <c r="W39" s="400"/>
      <c r="X39" s="157">
        <f t="shared" si="7"/>
        <v>44221</v>
      </c>
      <c r="Y39" s="383">
        <f t="shared" si="8"/>
        <v>7.742</v>
      </c>
      <c r="Z39" s="383">
        <f t="shared" si="9"/>
        <v>7.8503227445152719</v>
      </c>
      <c r="AA39" s="384">
        <f t="shared" si="10"/>
        <v>8.2819445182321871</v>
      </c>
      <c r="AB39" s="197">
        <f t="shared" si="11"/>
        <v>44221</v>
      </c>
      <c r="AC39" s="119">
        <f>IF(OR(t&lt;Tnet,NoTnet),'2020'!Resal_s+('2020'!Salim-'2020'!Resal_s)*(1-EXP(('2020'!Tnet_s-t)/'2020'!Tau_j)),Resal_s+(Salim-Resal_s)*(1-EXP((Tnet_s-t)/Tau_j)))*Salcycl</f>
        <v>5.2115994349723867E-2</v>
      </c>
      <c r="AD39" s="230">
        <f>(INDEX(Models!$BJ39:$BT39,,AH39)*(1-AF39)+INDEX(Models!$BJ39:$BT39,,AH39+1)*AF39-ERP_i)*AE39*Ramure*Pc/MaxiM</f>
        <v>4.673528422257277E-5</v>
      </c>
      <c r="AE39" s="304">
        <f t="shared" si="12"/>
        <v>0.6</v>
      </c>
      <c r="AF39" s="177">
        <f t="shared" si="21"/>
        <v>0.5002817377553137</v>
      </c>
      <c r="AG39" s="799">
        <f t="shared" si="22"/>
        <v>-1</v>
      </c>
      <c r="AH39" s="176">
        <f t="shared" si="13"/>
        <v>5</v>
      </c>
      <c r="AI39" s="224">
        <f t="shared" si="23"/>
        <v>-0.49971826224468624</v>
      </c>
      <c r="AJ39" s="264" t="b">
        <f t="shared" si="14"/>
        <v>1</v>
      </c>
      <c r="AK39" s="264" t="b">
        <f t="shared" si="15"/>
        <v>0</v>
      </c>
      <c r="AL39" s="264"/>
      <c r="AM39" s="264"/>
      <c r="AN39" s="75"/>
    </row>
    <row r="40" spans="1:40" s="6" customFormat="1" ht="11.25" x14ac:dyDescent="0.2">
      <c r="A40" s="56">
        <f t="shared" si="16"/>
        <v>44222</v>
      </c>
      <c r="B40" s="607">
        <v>19.382999999999999</v>
      </c>
      <c r="C40" s="388"/>
      <c r="D40" s="391">
        <f t="shared" si="0"/>
        <v>19.654575300734518</v>
      </c>
      <c r="E40" s="383">
        <f t="shared" si="17"/>
        <v>20.736160479751298</v>
      </c>
      <c r="F40" s="383">
        <f t="shared" si="1"/>
        <v>20.736519062257653</v>
      </c>
      <c r="G40" s="110">
        <f t="shared" si="18"/>
        <v>0.59022577205215476</v>
      </c>
      <c r="H40" s="412" t="b">
        <f>Wh_hp&gt;='2020'!Maxi_hp</f>
        <v>1</v>
      </c>
      <c r="I40" s="379">
        <f>IF(H40,Wh_hp,'2020'!Maxi_hp)</f>
        <v>20.736519062257653</v>
      </c>
      <c r="J40" s="85">
        <f>IF(H40,An,'2020'!An_max)</f>
        <v>2021</v>
      </c>
      <c r="K40" s="197">
        <f t="shared" si="19"/>
        <v>44222</v>
      </c>
      <c r="L40" s="147">
        <f>IF(t&lt;Tvie,1-EXP((T0-t)*PertePVj)+'2020'!Pspv,1-EXP((T0-t)*PertePVj)+Pspv)</f>
        <v>1.3817408749827842E-2</v>
      </c>
      <c r="M40" s="832"/>
      <c r="N40" s="832"/>
      <c r="O40" s="48">
        <f>IF(t&lt;Tnet,'2020'!Resal+('2020'!Salim-'2020'!Resal)*(1-EXP(('2020'!Tnet-t)/('2020'!Tau_j))),Resal+(Salim-Resal)*(1-EXP((Tnet-t)/(Tau_j))))*Salcycl</f>
        <v>5.2159375409586622E-2</v>
      </c>
      <c r="P40" s="169">
        <f>(INDEX(Models!$BJ40:$BT40,,T40)*(1-R40)+INDEX(Models!$BJ40:$BT40,,T40+1)*R40-ERP_i)*Q40*Ramure*Pc/MaxiM</f>
        <v>4.1705539686864257E-5</v>
      </c>
      <c r="Q40" s="304">
        <f t="shared" si="2"/>
        <v>0.6</v>
      </c>
      <c r="R40" s="177">
        <f t="shared" si="3"/>
        <v>0.5003596977677065</v>
      </c>
      <c r="S40" s="799">
        <f t="shared" si="4"/>
        <v>-1</v>
      </c>
      <c r="T40" s="176">
        <f t="shared" si="5"/>
        <v>5</v>
      </c>
      <c r="U40" s="250">
        <f t="shared" si="20"/>
        <v>-0.49964030223229355</v>
      </c>
      <c r="V40" s="382">
        <f t="shared" si="6"/>
        <v>32.839173936734412</v>
      </c>
      <c r="W40" s="400"/>
      <c r="X40" s="157">
        <f t="shared" si="7"/>
        <v>44222</v>
      </c>
      <c r="Y40" s="383">
        <f t="shared" si="8"/>
        <v>19.382999999999999</v>
      </c>
      <c r="Z40" s="383">
        <f t="shared" si="9"/>
        <v>19.654575300734518</v>
      </c>
      <c r="AA40" s="384">
        <f t="shared" si="10"/>
        <v>20.736160479751298</v>
      </c>
      <c r="AB40" s="197">
        <f t="shared" si="11"/>
        <v>44222</v>
      </c>
      <c r="AC40" s="119">
        <f>IF(OR(t&lt;Tnet,NoTnet),'2020'!Resal_s+('2020'!Salim-'2020'!Resal_s)*(1-EXP(('2020'!Tnet_s-t)/'2020'!Tau_j)),Resal_s+(Salim-Resal_s)*(1-EXP((Tnet_s-t)/Tau_j)))*Salcycl</f>
        <v>5.2159375409586622E-2</v>
      </c>
      <c r="AD40" s="230">
        <f>(INDEX(Models!$BJ40:$BT40,,AH40)*(1-AF40)+INDEX(Models!$BJ40:$BT40,,AH40+1)*AF40-ERP_i)*AE40*Ramure*Pc/MaxiM</f>
        <v>4.1705539686864257E-5</v>
      </c>
      <c r="AE40" s="304">
        <f t="shared" si="12"/>
        <v>0.6</v>
      </c>
      <c r="AF40" s="177">
        <f t="shared" si="21"/>
        <v>0.5003596977677065</v>
      </c>
      <c r="AG40" s="799">
        <f t="shared" si="22"/>
        <v>-1</v>
      </c>
      <c r="AH40" s="176">
        <f t="shared" si="13"/>
        <v>5</v>
      </c>
      <c r="AI40" s="224">
        <f t="shared" si="23"/>
        <v>-0.49964030223229355</v>
      </c>
      <c r="AJ40" s="264" t="b">
        <f t="shared" si="14"/>
        <v>1</v>
      </c>
      <c r="AK40" s="264" t="b">
        <f t="shared" si="15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6"/>
        <v>44223</v>
      </c>
      <c r="B41" s="607">
        <v>5.4050000000000002</v>
      </c>
      <c r="C41" s="388"/>
      <c r="D41" s="391">
        <f t="shared" si="0"/>
        <v>5.480834518408165</v>
      </c>
      <c r="E41" s="383">
        <f t="shared" si="17"/>
        <v>5.7827080596567759</v>
      </c>
      <c r="F41" s="383">
        <f t="shared" si="1"/>
        <v>5.7827080596567759</v>
      </c>
      <c r="G41" s="110">
        <f t="shared" si="18"/>
        <v>0.16295041197242452</v>
      </c>
      <c r="H41" s="412" t="b">
        <f>Wh_hp&gt;='2020'!Maxi_hp</f>
        <v>0</v>
      </c>
      <c r="I41" s="379">
        <f>IF(H41,Wh_hp,'2020'!Maxi_hp)</f>
        <v>12.009147868280655</v>
      </c>
      <c r="J41" s="85">
        <f>IF(H41,An,'2020'!An_max)</f>
        <v>2020</v>
      </c>
      <c r="K41" s="197">
        <f t="shared" si="19"/>
        <v>44223</v>
      </c>
      <c r="L41" s="147">
        <f>IF(t&lt;Tvie,1-EXP((T0-t)*PertePVj)+'2020'!Pspv,1-EXP((T0-t)*PertePVj)+Pspv)</f>
        <v>1.3836308714204715E-2</v>
      </c>
      <c r="M41" s="832"/>
      <c r="N41" s="832"/>
      <c r="O41" s="48">
        <f>IF(t&lt;Tnet,'2020'!Resal+('2020'!Salim-'2020'!Resal)*(1-EXP(('2020'!Tnet-t)/('2020'!Tau_j))),Resal+(Salim-Resal)*(1-EXP((Tnet-t)/(Tau_j))))*Salcycl</f>
        <v>5.2202798089469434E-2</v>
      </c>
      <c r="P41" s="169">
        <f>(INDEX(Models!$BJ41:$BT41,,T41)*(1-R41)+INDEX(Models!$BJ41:$BT41,,T41+1)*R41-ERP_i)*Q41*Ramure*Pc/MaxiM</f>
        <v>3.7213825045063712E-5</v>
      </c>
      <c r="Q41" s="304">
        <f t="shared" si="2"/>
        <v>0.6</v>
      </c>
      <c r="R41" s="177">
        <f t="shared" si="3"/>
        <v>0.50044090244952821</v>
      </c>
      <c r="S41" s="799">
        <f t="shared" si="4"/>
        <v>-1</v>
      </c>
      <c r="T41" s="176">
        <f t="shared" si="5"/>
        <v>5</v>
      </c>
      <c r="U41" s="250">
        <f t="shared" si="20"/>
        <v>-0.49955909755047179</v>
      </c>
      <c r="V41" s="382">
        <f t="shared" si="6"/>
        <v>33.1683657246001</v>
      </c>
      <c r="W41" s="400"/>
      <c r="X41" s="157">
        <f t="shared" si="7"/>
        <v>44223</v>
      </c>
      <c r="Y41" s="383">
        <f t="shared" si="8"/>
        <v>5.4050000000000002</v>
      </c>
      <c r="Z41" s="383">
        <f t="shared" si="9"/>
        <v>5.480834518408165</v>
      </c>
      <c r="AA41" s="384">
        <f t="shared" si="10"/>
        <v>5.7827080596567759</v>
      </c>
      <c r="AB41" s="197">
        <f t="shared" si="11"/>
        <v>44223</v>
      </c>
      <c r="AC41" s="119">
        <f>IF(OR(t&lt;Tnet,NoTnet),'2020'!Resal_s+('2020'!Salim-'2020'!Resal_s)*(1-EXP(('2020'!Tnet_s-t)/'2020'!Tau_j)),Resal_s+(Salim-Resal_s)*(1-EXP((Tnet_s-t)/Tau_j)))*Salcycl</f>
        <v>5.2202798089469434E-2</v>
      </c>
      <c r="AD41" s="230">
        <f>(INDEX(Models!$BJ41:$BT41,,AH41)*(1-AF41)+INDEX(Models!$BJ41:$BT41,,AH41+1)*AF41-ERP_i)*AE41*Ramure*Pc/MaxiM</f>
        <v>3.7213825045063712E-5</v>
      </c>
      <c r="AE41" s="304">
        <f t="shared" si="12"/>
        <v>0.6</v>
      </c>
      <c r="AF41" s="177">
        <f t="shared" si="21"/>
        <v>0.50044090244952821</v>
      </c>
      <c r="AG41" s="799">
        <f t="shared" si="22"/>
        <v>-1</v>
      </c>
      <c r="AH41" s="176">
        <f t="shared" si="13"/>
        <v>5</v>
      </c>
      <c r="AI41" s="224">
        <f t="shared" si="23"/>
        <v>-0.49955909755047179</v>
      </c>
      <c r="AJ41" s="264" t="b">
        <f t="shared" si="14"/>
        <v>1</v>
      </c>
      <c r="AK41" s="264" t="b">
        <f t="shared" si="15"/>
        <v>0</v>
      </c>
      <c r="AL41" s="264"/>
      <c r="AM41" s="264"/>
      <c r="AN41" s="75"/>
    </row>
    <row r="42" spans="1:40" s="6" customFormat="1" ht="11.25" x14ac:dyDescent="0.2">
      <c r="A42" s="56">
        <f t="shared" si="16"/>
        <v>44224</v>
      </c>
      <c r="B42" s="607">
        <v>16.954000000000001</v>
      </c>
      <c r="C42" s="388"/>
      <c r="D42" s="391">
        <f t="shared" si="0"/>
        <v>17.192201533665926</v>
      </c>
      <c r="E42" s="383">
        <f t="shared" si="17"/>
        <v>18.139945919674481</v>
      </c>
      <c r="F42" s="383">
        <f t="shared" si="1"/>
        <v>18.140123451777548</v>
      </c>
      <c r="G42" s="110">
        <f t="shared" si="18"/>
        <v>0.50604147807173927</v>
      </c>
      <c r="H42" s="412" t="b">
        <f>Wh_hp&gt;='2020'!Maxi_hp</f>
        <v>1</v>
      </c>
      <c r="I42" s="379">
        <f>IF(H42,Wh_hp,'2020'!Maxi_hp)</f>
        <v>18.140123451777548</v>
      </c>
      <c r="J42" s="85">
        <f>IF(H42,An,'2020'!An_max)</f>
        <v>2021</v>
      </c>
      <c r="K42" s="197">
        <f t="shared" si="19"/>
        <v>44224</v>
      </c>
      <c r="L42" s="147">
        <f>IF(t&lt;Tvie,1-EXP((T0-t)*PertePVj)+'2020'!Pspv,1-EXP((T0-t)*PertePVj)+Pspv)</f>
        <v>1.3855208316368106E-2</v>
      </c>
      <c r="M42" s="832"/>
      <c r="N42" s="832"/>
      <c r="O42" s="48">
        <f>IF(t&lt;Tnet,'2020'!Resal+('2020'!Salim-'2020'!Resal)*(1-EXP(('2020'!Tnet-t)/('2020'!Tau_j))),Resal+(Salim-Resal)*(1-EXP((Tnet-t)/(Tau_j))))*Salcycl</f>
        <v>5.2246263037677473E-2</v>
      </c>
      <c r="P42" s="169">
        <f>(INDEX(Models!$BJ42:$BT42,,T42)*(1-R42)+INDEX(Models!$BJ42:$BT42,,T42+1)*R42-ERP_i)*Q42*Ramure*Pc/MaxiM</f>
        <v>3.3247195636739016E-5</v>
      </c>
      <c r="Q42" s="304">
        <f t="shared" si="2"/>
        <v>0.6</v>
      </c>
      <c r="R42" s="177">
        <f t="shared" si="3"/>
        <v>0.50052548571537414</v>
      </c>
      <c r="S42" s="799">
        <f t="shared" si="4"/>
        <v>-1</v>
      </c>
      <c r="T42" s="176">
        <f t="shared" si="5"/>
        <v>5</v>
      </c>
      <c r="U42" s="250">
        <f t="shared" si="20"/>
        <v>-0.49947451428462586</v>
      </c>
      <c r="V42" s="382">
        <f t="shared" si="6"/>
        <v>33.50239650633435</v>
      </c>
      <c r="W42" s="400"/>
      <c r="X42" s="157">
        <f t="shared" si="7"/>
        <v>44224</v>
      </c>
      <c r="Y42" s="383">
        <f t="shared" si="8"/>
        <v>16.954000000000001</v>
      </c>
      <c r="Z42" s="383">
        <f t="shared" si="9"/>
        <v>17.192201533665926</v>
      </c>
      <c r="AA42" s="384">
        <f t="shared" si="10"/>
        <v>18.139945919674481</v>
      </c>
      <c r="AB42" s="197">
        <f t="shared" si="11"/>
        <v>44224</v>
      </c>
      <c r="AC42" s="119">
        <f>IF(OR(t&lt;Tnet,NoTnet),'2020'!Resal_s+('2020'!Salim-'2020'!Resal_s)*(1-EXP(('2020'!Tnet_s-t)/'2020'!Tau_j)),Resal_s+(Salim-Resal_s)*(1-EXP((Tnet_s-t)/Tau_j)))*Salcycl</f>
        <v>5.2246263037677473E-2</v>
      </c>
      <c r="AD42" s="230">
        <f>(INDEX(Models!$BJ42:$BT42,,AH42)*(1-AF42)+INDEX(Models!$BJ42:$BT42,,AH42+1)*AF42-ERP_i)*AE42*Ramure*Pc/MaxiM</f>
        <v>3.3247195636739016E-5</v>
      </c>
      <c r="AE42" s="304">
        <f t="shared" si="12"/>
        <v>0.6</v>
      </c>
      <c r="AF42" s="177">
        <f t="shared" si="21"/>
        <v>0.50052548571537414</v>
      </c>
      <c r="AG42" s="799">
        <f t="shared" si="22"/>
        <v>-1</v>
      </c>
      <c r="AH42" s="176">
        <f t="shared" si="13"/>
        <v>5</v>
      </c>
      <c r="AI42" s="224">
        <f t="shared" si="23"/>
        <v>-0.49947451428462586</v>
      </c>
      <c r="AJ42" s="264" t="b">
        <f t="shared" si="14"/>
        <v>1</v>
      </c>
      <c r="AK42" s="264" t="b">
        <f t="shared" si="15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6"/>
        <v>44225</v>
      </c>
      <c r="B43" s="607">
        <v>15.275</v>
      </c>
      <c r="C43" s="388"/>
      <c r="D43" s="391">
        <f t="shared" si="0"/>
        <v>15.489908658769417</v>
      </c>
      <c r="E43" s="383">
        <f t="shared" si="17"/>
        <v>16.34456205568603</v>
      </c>
      <c r="F43" s="383">
        <f t="shared" si="1"/>
        <v>16.344667363261589</v>
      </c>
      <c r="G43" s="110">
        <f t="shared" si="18"/>
        <v>0.45137221155666191</v>
      </c>
      <c r="H43" s="412" t="b">
        <f>Wh_hp&gt;='2020'!Maxi_hp</f>
        <v>0</v>
      </c>
      <c r="I43" s="379">
        <f>IF(H43,Wh_hp,'2020'!Maxi_hp)</f>
        <v>22.560776300734982</v>
      </c>
      <c r="J43" s="85">
        <f>IF(H43,An,'2020'!An_max)</f>
        <v>2020</v>
      </c>
      <c r="K43" s="197">
        <f t="shared" si="19"/>
        <v>44225</v>
      </c>
      <c r="L43" s="147">
        <f>IF(t&lt;Tvie,1-EXP((T0-t)*PertePVj)+'2020'!Pspv,1-EXP((T0-t)*PertePVj)+Pspv)</f>
        <v>1.387410755632501E-2</v>
      </c>
      <c r="M43" s="832"/>
      <c r="N43" s="832"/>
      <c r="O43" s="48">
        <f>IF(t&lt;Tnet,'2020'!Resal+('2020'!Salim-'2020'!Resal)*(1-EXP(('2020'!Tnet-t)/('2020'!Tau_j))),Resal+(Salim-Resal)*(1-EXP((Tnet-t)/(Tau_j))))*Salcycl</f>
        <v>5.2289770383862295E-2</v>
      </c>
      <c r="P43" s="169">
        <f>(INDEX(Models!$BJ43:$BT43,,T43)*(1-R43)+INDEX(Models!$BJ43:$BT43,,T43+1)*R43-ERP_i)*Q43*Ramure*Pc/MaxiM</f>
        <v>2.9792378317129901E-5</v>
      </c>
      <c r="Q43" s="304">
        <f t="shared" si="2"/>
        <v>0.6</v>
      </c>
      <c r="R43" s="177">
        <f t="shared" si="3"/>
        <v>0.50061358691065938</v>
      </c>
      <c r="S43" s="799">
        <f t="shared" si="4"/>
        <v>-1</v>
      </c>
      <c r="T43" s="176">
        <f t="shared" si="5"/>
        <v>5</v>
      </c>
      <c r="U43" s="250">
        <f t="shared" si="20"/>
        <v>-0.49938641308934056</v>
      </c>
      <c r="V43" s="382">
        <f t="shared" si="6"/>
        <v>33.840460143141897</v>
      </c>
      <c r="W43" s="400"/>
      <c r="X43" s="157">
        <f t="shared" si="7"/>
        <v>44225</v>
      </c>
      <c r="Y43" s="383">
        <f t="shared" si="8"/>
        <v>15.275000000000002</v>
      </c>
      <c r="Z43" s="383">
        <f t="shared" si="9"/>
        <v>15.489908658769419</v>
      </c>
      <c r="AA43" s="384">
        <f t="shared" si="10"/>
        <v>16.34456205568603</v>
      </c>
      <c r="AB43" s="197">
        <f t="shared" si="11"/>
        <v>44225</v>
      </c>
      <c r="AC43" s="119">
        <f>IF(OR(t&lt;Tnet,NoTnet),'2020'!Resal_s+('2020'!Salim-'2020'!Resal_s)*(1-EXP(('2020'!Tnet_s-t)/'2020'!Tau_j)),Resal_s+(Salim-Resal_s)*(1-EXP((Tnet_s-t)/Tau_j)))*Salcycl</f>
        <v>5.2289770383862295E-2</v>
      </c>
      <c r="AD43" s="230">
        <f>(INDEX(Models!$BJ43:$BT43,,AH43)*(1-AF43)+INDEX(Models!$BJ43:$BT43,,AH43+1)*AF43-ERP_i)*AE43*Ramure*Pc/MaxiM</f>
        <v>2.9792378317129901E-5</v>
      </c>
      <c r="AE43" s="304">
        <f t="shared" si="12"/>
        <v>0.6</v>
      </c>
      <c r="AF43" s="177">
        <f t="shared" si="21"/>
        <v>0.50061358691065938</v>
      </c>
      <c r="AG43" s="799">
        <f t="shared" si="22"/>
        <v>-1</v>
      </c>
      <c r="AH43" s="176">
        <f t="shared" si="13"/>
        <v>5</v>
      </c>
      <c r="AI43" s="224">
        <f t="shared" si="23"/>
        <v>-0.49938641308934056</v>
      </c>
      <c r="AJ43" s="264" t="b">
        <f t="shared" si="14"/>
        <v>1</v>
      </c>
      <c r="AK43" s="264" t="b">
        <f t="shared" si="15"/>
        <v>0</v>
      </c>
      <c r="AL43" s="264"/>
      <c r="AM43" s="264"/>
      <c r="AN43" s="75"/>
    </row>
    <row r="44" spans="1:40" s="6" customFormat="1" ht="11.25" x14ac:dyDescent="0.2">
      <c r="A44" s="56">
        <f t="shared" si="16"/>
        <v>44226</v>
      </c>
      <c r="B44" s="607">
        <v>8.33</v>
      </c>
      <c r="C44" s="388"/>
      <c r="D44" s="391">
        <f t="shared" si="0"/>
        <v>8.4473592159380306</v>
      </c>
      <c r="E44" s="383">
        <f t="shared" si="17"/>
        <v>8.9138506097537906</v>
      </c>
      <c r="F44" s="383">
        <f t="shared" si="1"/>
        <v>8.9138506097537906</v>
      </c>
      <c r="G44" s="110">
        <f t="shared" si="18"/>
        <v>0.24369074959890305</v>
      </c>
      <c r="H44" s="412" t="b">
        <f>Wh_hp&gt;='2020'!Maxi_hp</f>
        <v>0</v>
      </c>
      <c r="I44" s="379">
        <f>IF(H44,Wh_hp,'2020'!Maxi_hp)</f>
        <v>12.305895524222464</v>
      </c>
      <c r="J44" s="85">
        <f>IF(H44,An,'2020'!An_max)</f>
        <v>2020</v>
      </c>
      <c r="K44" s="197">
        <f t="shared" si="19"/>
        <v>44226</v>
      </c>
      <c r="L44" s="147">
        <f>IF(t&lt;Tvie,1-EXP((T0-t)*PertePVj)+'2020'!Pspv,1-EXP((T0-t)*PertePVj)+Pspv)</f>
        <v>1.38930064340822E-2</v>
      </c>
      <c r="M44" s="832"/>
      <c r="N44" s="832"/>
      <c r="O44" s="48">
        <f>IF(t&lt;Tnet,'2020'!Resal+('2020'!Salim-'2020'!Resal)*(1-EXP(('2020'!Tnet-t)/('2020'!Tau_j))),Resal+(Salim-Resal)*(1-EXP((Tnet-t)/(Tau_j))))*Salcycl</f>
        <v>5.2333319710935244E-2</v>
      </c>
      <c r="P44" s="169">
        <f>(INDEX(Models!$BJ44:$BT44,,T44)*(1-R44)+INDEX(Models!$BJ44:$BT44,,T44+1)*R44-ERP_i)*Q44*Ramure*Pc/MaxiM</f>
        <v>2.6897445039156823E-5</v>
      </c>
      <c r="Q44" s="304">
        <f t="shared" si="2"/>
        <v>0.6</v>
      </c>
      <c r="R44" s="177">
        <f t="shared" si="3"/>
        <v>0.50070535102365288</v>
      </c>
      <c r="S44" s="799">
        <f t="shared" si="4"/>
        <v>-1</v>
      </c>
      <c r="T44" s="176">
        <f t="shared" si="5"/>
        <v>5</v>
      </c>
      <c r="U44" s="250">
        <f t="shared" si="20"/>
        <v>-0.49929464897634712</v>
      </c>
      <c r="V44" s="382">
        <f t="shared" si="6"/>
        <v>34.181748621944081</v>
      </c>
      <c r="W44" s="400"/>
      <c r="X44" s="157">
        <f t="shared" si="7"/>
        <v>44226</v>
      </c>
      <c r="Y44" s="383">
        <f t="shared" si="8"/>
        <v>8.33</v>
      </c>
      <c r="Z44" s="383">
        <f t="shared" si="9"/>
        <v>8.4473592159380306</v>
      </c>
      <c r="AA44" s="384">
        <f t="shared" si="10"/>
        <v>8.9138506097537906</v>
      </c>
      <c r="AB44" s="197">
        <f t="shared" si="11"/>
        <v>44226</v>
      </c>
      <c r="AC44" s="119">
        <f>IF(OR(t&lt;Tnet,NoTnet),'2020'!Resal_s+('2020'!Salim-'2020'!Resal_s)*(1-EXP(('2020'!Tnet_s-t)/'2020'!Tau_j)),Resal_s+(Salim-Resal_s)*(1-EXP((Tnet_s-t)/Tau_j)))*Salcycl</f>
        <v>5.2333319710935244E-2</v>
      </c>
      <c r="AD44" s="230">
        <f>(INDEX(Models!$BJ44:$BT44,,AH44)*(1-AF44)+INDEX(Models!$BJ44:$BT44,,AH44+1)*AF44-ERP_i)*AE44*Ramure*Pc/MaxiM</f>
        <v>2.6897445039156823E-5</v>
      </c>
      <c r="AE44" s="304">
        <f t="shared" si="12"/>
        <v>0.6</v>
      </c>
      <c r="AF44" s="177">
        <f t="shared" si="21"/>
        <v>0.50070535102365288</v>
      </c>
      <c r="AG44" s="799">
        <f t="shared" si="22"/>
        <v>-1</v>
      </c>
      <c r="AH44" s="176">
        <f t="shared" si="13"/>
        <v>5</v>
      </c>
      <c r="AI44" s="224">
        <f t="shared" si="23"/>
        <v>-0.49929464897634712</v>
      </c>
      <c r="AJ44" s="264" t="b">
        <f t="shared" si="14"/>
        <v>1</v>
      </c>
      <c r="AK44" s="264" t="b">
        <f t="shared" si="15"/>
        <v>0</v>
      </c>
      <c r="AL44" s="264"/>
      <c r="AM44" s="264"/>
      <c r="AN44" s="75"/>
    </row>
    <row r="45" spans="1:40" s="6" customFormat="1" ht="11.25" x14ac:dyDescent="0.2">
      <c r="A45" s="56">
        <f t="shared" si="16"/>
        <v>44227</v>
      </c>
      <c r="B45" s="607">
        <v>8.104000000000001</v>
      </c>
      <c r="C45" s="388"/>
      <c r="D45" s="391">
        <f t="shared" si="0"/>
        <v>8.2183326628501483</v>
      </c>
      <c r="E45" s="383">
        <f t="shared" si="17"/>
        <v>8.6725753623950865</v>
      </c>
      <c r="F45" s="383">
        <f t="shared" si="1"/>
        <v>8.6725753623950865</v>
      </c>
      <c r="G45" s="110">
        <f t="shared" si="18"/>
        <v>0.23471959382663135</v>
      </c>
      <c r="H45" s="412" t="b">
        <f>Wh_hp&gt;='2020'!Maxi_hp</f>
        <v>0</v>
      </c>
      <c r="I45" s="379">
        <f>IF(H45,Wh_hp,'2020'!Maxi_hp)</f>
        <v>23.230245238916424</v>
      </c>
      <c r="J45" s="85">
        <f>IF(H45,An,'2020'!An_max)</f>
        <v>2020</v>
      </c>
      <c r="K45" s="197">
        <f t="shared" si="19"/>
        <v>44227</v>
      </c>
      <c r="L45" s="147">
        <f>IF(t&lt;Tvie,1-EXP((T0-t)*PertePVj)+'2020'!Pspv,1-EXP((T0-t)*PertePVj)+Pspv)</f>
        <v>1.391190494964667E-2</v>
      </c>
      <c r="M45" s="832"/>
      <c r="N45" s="832"/>
      <c r="O45" s="48">
        <f>IF(t&lt;Tnet,'2020'!Resal+('2020'!Salim-'2020'!Resal)*(1-EXP(('2020'!Tnet-t)/('2020'!Tau_j))),Resal+(Salim-Resal)*(1-EXP((Tnet-t)/(Tau_j))))*Salcycl</f>
        <v>5.23769100369618E-2</v>
      </c>
      <c r="P45" s="169">
        <f>(INDEX(Models!$BJ45:$BT45,,T45)*(1-R45)+INDEX(Models!$BJ45:$BT45,,T45+1)*R45-ERP_i)*Q45*Ramure*Pc/MaxiM</f>
        <v>2.4356156943729682E-5</v>
      </c>
      <c r="Q45" s="304">
        <f t="shared" si="2"/>
        <v>0.6</v>
      </c>
      <c r="R45" s="177">
        <f t="shared" si="3"/>
        <v>0.50080092890508299</v>
      </c>
      <c r="S45" s="799">
        <f t="shared" si="4"/>
        <v>-1</v>
      </c>
      <c r="T45" s="176">
        <f t="shared" si="5"/>
        <v>5</v>
      </c>
      <c r="U45" s="250">
        <f t="shared" si="20"/>
        <v>-0.49919907109491707</v>
      </c>
      <c r="V45" s="382">
        <f t="shared" si="6"/>
        <v>34.52546285373073</v>
      </c>
      <c r="W45" s="400"/>
      <c r="X45" s="157">
        <f t="shared" si="7"/>
        <v>44227</v>
      </c>
      <c r="Y45" s="383">
        <f t="shared" si="8"/>
        <v>8.104000000000001</v>
      </c>
      <c r="Z45" s="383">
        <f t="shared" si="9"/>
        <v>8.2183326628501483</v>
      </c>
      <c r="AA45" s="384">
        <f t="shared" si="10"/>
        <v>8.6725753623950865</v>
      </c>
      <c r="AB45" s="197">
        <f t="shared" si="11"/>
        <v>44227</v>
      </c>
      <c r="AC45" s="119">
        <f>IF(OR(t&lt;Tnet,NoTnet),'2020'!Resal_s+('2020'!Salim-'2020'!Resal_s)*(1-EXP(('2020'!Tnet_s-t)/'2020'!Tau_j)),Resal_s+(Salim-Resal_s)*(1-EXP((Tnet_s-t)/Tau_j)))*Salcycl</f>
        <v>5.23769100369618E-2</v>
      </c>
      <c r="AD45" s="230">
        <f>(INDEX(Models!$BJ45:$BT45,,AH45)*(1-AF45)+INDEX(Models!$BJ45:$BT45,,AH45+1)*AF45-ERP_i)*AE45*Ramure*Pc/MaxiM</f>
        <v>2.4356156943729682E-5</v>
      </c>
      <c r="AE45" s="304">
        <f t="shared" si="12"/>
        <v>0.6</v>
      </c>
      <c r="AF45" s="177">
        <f t="shared" si="21"/>
        <v>0.50080092890508299</v>
      </c>
      <c r="AG45" s="799">
        <f t="shared" si="22"/>
        <v>-1</v>
      </c>
      <c r="AH45" s="176">
        <f t="shared" si="13"/>
        <v>5</v>
      </c>
      <c r="AI45" s="224">
        <f t="shared" si="23"/>
        <v>-0.49919907109491707</v>
      </c>
      <c r="AJ45" s="264" t="b">
        <f t="shared" si="14"/>
        <v>1</v>
      </c>
      <c r="AK45" s="264" t="b">
        <f t="shared" si="15"/>
        <v>0</v>
      </c>
      <c r="AL45" s="264"/>
      <c r="AM45" s="264"/>
      <c r="AN45" s="75"/>
    </row>
    <row r="46" spans="1:40" s="6" customFormat="1" ht="11.25" x14ac:dyDescent="0.2">
      <c r="A46" s="56">
        <f t="shared" si="16"/>
        <v>44228</v>
      </c>
      <c r="B46" s="607">
        <v>7.2389999999999999</v>
      </c>
      <c r="C46" s="388"/>
      <c r="D46" s="391">
        <f t="shared" si="0"/>
        <v>7.3412697838854992</v>
      </c>
      <c r="E46" s="383">
        <f t="shared" si="17"/>
        <v>7.7473922687080856</v>
      </c>
      <c r="F46" s="383">
        <f t="shared" si="1"/>
        <v>7.7473922687080856</v>
      </c>
      <c r="G46" s="110">
        <f t="shared" si="18"/>
        <v>0.20759030859943872</v>
      </c>
      <c r="H46" s="412" t="b">
        <f>Wh_hp&gt;='2020'!Maxi_hp</f>
        <v>0</v>
      </c>
      <c r="I46" s="379">
        <f>IF(H46,Wh_hp,'2020'!Maxi_hp)</f>
        <v>12.357930209259345</v>
      </c>
      <c r="J46" s="85">
        <f>IF(H46,An,'2020'!An_max)</f>
        <v>2020</v>
      </c>
      <c r="K46" s="197">
        <f t="shared" si="19"/>
        <v>44228</v>
      </c>
      <c r="L46" s="147">
        <f>IF(t&lt;Tvie,1-EXP((T0-t)*PertePVj)+'2020'!Pspv,1-EXP((T0-t)*PertePVj)+Pspv)</f>
        <v>1.3930803103025524E-2</v>
      </c>
      <c r="M46" s="832"/>
      <c r="N46" s="832"/>
      <c r="O46" s="48">
        <f>IF(t&lt;Tnet,'2020'!Resal+('2020'!Salim-'2020'!Resal)*(1-EXP(('2020'!Tnet-t)/('2020'!Tau_j))),Resal+(Salim-Resal)*(1-EXP((Tnet-t)/(Tau_j))))*Salcycl</f>
        <v>5.2420539807042595E-2</v>
      </c>
      <c r="P46" s="169">
        <f>(INDEX(Models!$BJ46:$BT46,,T46)*(1-R46)+INDEX(Models!$BJ46:$BT46,,T46+1)*R46-ERP_i)*Q46*Ramure*Pc/MaxiM</f>
        <v>2.2159040052929339E-5</v>
      </c>
      <c r="Q46" s="304">
        <f t="shared" si="2"/>
        <v>0.6</v>
      </c>
      <c r="R46" s="177">
        <f t="shared" si="3"/>
        <v>0.50090047749552347</v>
      </c>
      <c r="S46" s="799">
        <f t="shared" si="4"/>
        <v>-1</v>
      </c>
      <c r="T46" s="176">
        <f t="shared" si="5"/>
        <v>5</v>
      </c>
      <c r="U46" s="250">
        <f t="shared" si="20"/>
        <v>-0.49909952250447659</v>
      </c>
      <c r="V46" s="382">
        <f t="shared" si="6"/>
        <v>34.870797387160046</v>
      </c>
      <c r="W46" s="400"/>
      <c r="X46" s="157">
        <f t="shared" si="7"/>
        <v>44228</v>
      </c>
      <c r="Y46" s="383">
        <f t="shared" si="8"/>
        <v>7.2389999999999999</v>
      </c>
      <c r="Z46" s="383">
        <f t="shared" si="9"/>
        <v>7.3412697838854992</v>
      </c>
      <c r="AA46" s="384">
        <f t="shared" si="10"/>
        <v>7.7473922687080856</v>
      </c>
      <c r="AB46" s="197">
        <f t="shared" si="11"/>
        <v>44228</v>
      </c>
      <c r="AC46" s="119">
        <f>IF(OR(t&lt;Tnet,NoTnet),'2020'!Resal_s+('2020'!Salim-'2020'!Resal_s)*(1-EXP(('2020'!Tnet_s-t)/'2020'!Tau_j)),Resal_s+(Salim-Resal_s)*(1-EXP((Tnet_s-t)/Tau_j)))*Salcycl</f>
        <v>5.2420539807042595E-2</v>
      </c>
      <c r="AD46" s="230">
        <f>(INDEX(Models!$BJ46:$BT46,,AH46)*(1-AF46)+INDEX(Models!$BJ46:$BT46,,AH46+1)*AF46-ERP_i)*AE46*Ramure*Pc/MaxiM</f>
        <v>2.2159040052929339E-5</v>
      </c>
      <c r="AE46" s="304">
        <f t="shared" si="12"/>
        <v>0.6</v>
      </c>
      <c r="AF46" s="177">
        <f t="shared" si="21"/>
        <v>0.50090047749552347</v>
      </c>
      <c r="AG46" s="799">
        <f t="shared" si="22"/>
        <v>-1</v>
      </c>
      <c r="AH46" s="176">
        <f t="shared" si="13"/>
        <v>5</v>
      </c>
      <c r="AI46" s="224">
        <f t="shared" si="23"/>
        <v>-0.49909952250447659</v>
      </c>
      <c r="AJ46" s="264" t="b">
        <f t="shared" si="14"/>
        <v>0</v>
      </c>
      <c r="AK46" s="264" t="b">
        <f t="shared" si="15"/>
        <v>0</v>
      </c>
      <c r="AL46" s="264"/>
      <c r="AM46" s="264"/>
      <c r="AN46" s="75"/>
    </row>
    <row r="47" spans="1:40" s="6" customFormat="1" ht="11.25" x14ac:dyDescent="0.2">
      <c r="A47" s="56">
        <f t="shared" si="16"/>
        <v>44229</v>
      </c>
      <c r="B47" s="607">
        <v>29.708000000000002</v>
      </c>
      <c r="C47" s="388"/>
      <c r="D47" s="391">
        <f t="shared" si="0"/>
        <v>30.128280501452593</v>
      </c>
      <c r="E47" s="383">
        <f t="shared" si="17"/>
        <v>31.802467575424192</v>
      </c>
      <c r="F47" s="383">
        <f t="shared" si="1"/>
        <v>31.802968969314829</v>
      </c>
      <c r="G47" s="110">
        <f t="shared" si="18"/>
        <v>0.84372679268079265</v>
      </c>
      <c r="H47" s="412" t="b">
        <f>Wh_hp&gt;='2020'!Maxi_hp</f>
        <v>1</v>
      </c>
      <c r="I47" s="379">
        <f>IF(H47,Wh_hp,'2020'!Maxi_hp)</f>
        <v>31.802968969314829</v>
      </c>
      <c r="J47" s="85">
        <f>IF(H47,An,'2020'!An_max)</f>
        <v>2021</v>
      </c>
      <c r="K47" s="197">
        <f t="shared" si="19"/>
        <v>44229</v>
      </c>
      <c r="L47" s="147">
        <f>IF(t&lt;Tvie,1-EXP((T0-t)*PertePVj)+'2020'!Pspv,1-EXP((T0-t)*PertePVj)+Pspv)</f>
        <v>1.3949700894225536E-2</v>
      </c>
      <c r="M47" s="832"/>
      <c r="N47" s="832"/>
      <c r="O47" s="48">
        <f>IF(t&lt;Tnet,'2020'!Resal+('2020'!Salim-'2020'!Resal)*(1-EXP(('2020'!Tnet-t)/('2020'!Tau_j))),Resal+(Salim-Resal)*(1-EXP((Tnet-t)/(Tau_j))))*Salcycl</f>
        <v>5.2643307315730074E-2</v>
      </c>
      <c r="P47" s="169">
        <f>(INDEX(Models!$BJ47:$BT47,,T47)*(1-R47)+INDEX(Models!$BJ47:$BT47,,T47+1)*R47-ERP_i)*Q47*Ramure*Pc/MaxiM</f>
        <v>2.029670899172132E-5</v>
      </c>
      <c r="Q47" s="304">
        <f t="shared" si="2"/>
        <v>0.6</v>
      </c>
      <c r="R47" s="177">
        <f t="shared" si="3"/>
        <v>0.50100416006076831</v>
      </c>
      <c r="S47" s="799">
        <f t="shared" si="4"/>
        <v>-1</v>
      </c>
      <c r="T47" s="176">
        <f t="shared" si="5"/>
        <v>5</v>
      </c>
      <c r="U47" s="250">
        <f t="shared" si="20"/>
        <v>-0.49899583993923169</v>
      </c>
      <c r="V47" s="382">
        <f t="shared" si="6"/>
        <v>35.210290400091878</v>
      </c>
      <c r="W47" s="400"/>
      <c r="X47" s="157">
        <f t="shared" si="7"/>
        <v>44229</v>
      </c>
      <c r="Y47" s="383">
        <f t="shared" si="8"/>
        <v>29.708000000000002</v>
      </c>
      <c r="Z47" s="383">
        <f t="shared" si="9"/>
        <v>30.128280501452593</v>
      </c>
      <c r="AA47" s="384">
        <f t="shared" si="10"/>
        <v>31.802467575424192</v>
      </c>
      <c r="AB47" s="197">
        <f t="shared" si="11"/>
        <v>44229</v>
      </c>
      <c r="AC47" s="119">
        <f>IF(OR(t&lt;Tnet,NoTnet),'2020'!Resal_s+('2020'!Salim-'2020'!Resal_s)*(1-EXP(('2020'!Tnet_s-t)/'2020'!Tau_j)),Resal_s+(Salim-Resal_s)*(1-EXP((Tnet_s-t)/Tau_j)))*Salcycl</f>
        <v>5.2643307315730074E-2</v>
      </c>
      <c r="AD47" s="230">
        <f>(INDEX(Models!$BJ47:$BT47,,AH47)*(1-AF47)+INDEX(Models!$BJ47:$BT47,,AH47+1)*AF47-ERP_i)*AE47*Ramure*Pc/MaxiM</f>
        <v>2.029670899172132E-5</v>
      </c>
      <c r="AE47" s="304">
        <f t="shared" si="12"/>
        <v>0.6</v>
      </c>
      <c r="AF47" s="177">
        <f t="shared" si="21"/>
        <v>0.50100416006076831</v>
      </c>
      <c r="AG47" s="799">
        <f t="shared" si="22"/>
        <v>-1</v>
      </c>
      <c r="AH47" s="176">
        <f t="shared" si="13"/>
        <v>5</v>
      </c>
      <c r="AI47" s="224">
        <f t="shared" si="23"/>
        <v>-0.49899583993923169</v>
      </c>
      <c r="AJ47" s="264" t="b">
        <f t="shared" si="14"/>
        <v>0</v>
      </c>
      <c r="AK47" s="264" t="b">
        <f t="shared" si="15"/>
        <v>0</v>
      </c>
      <c r="AL47" s="264"/>
      <c r="AM47" s="264"/>
      <c r="AN47" s="75"/>
    </row>
    <row r="48" spans="1:40" s="6" customFormat="1" ht="11.25" x14ac:dyDescent="0.2">
      <c r="A48" s="56">
        <f t="shared" si="16"/>
        <v>44230</v>
      </c>
      <c r="B48" s="607">
        <v>22.745000000000001</v>
      </c>
      <c r="C48" s="388"/>
      <c r="D48" s="391">
        <f t="shared" si="0"/>
        <v>23.067216684298419</v>
      </c>
      <c r="E48" s="383">
        <f t="shared" si="17"/>
        <v>24.354746009777656</v>
      </c>
      <c r="F48" s="383">
        <f t="shared" si="1"/>
        <v>24.354967806855974</v>
      </c>
      <c r="G48" s="110">
        <f t="shared" si="18"/>
        <v>0.63980268602787416</v>
      </c>
      <c r="H48" s="412" t="b">
        <f>Wh_hp&gt;='2020'!Maxi_hp</f>
        <v>0</v>
      </c>
      <c r="I48" s="379">
        <f>IF(H48,Wh_hp,'2020'!Maxi_hp)</f>
        <v>29.439960485046544</v>
      </c>
      <c r="J48" s="85">
        <f>IF(H48,An,'2020'!An_max)</f>
        <v>2020</v>
      </c>
      <c r="K48" s="197">
        <f t="shared" si="19"/>
        <v>44230</v>
      </c>
      <c r="L48" s="147">
        <f>IF(t&lt;Tvie,1-EXP((T0-t)*PertePVj)+'2020'!Pspv,1-EXP((T0-t)*PertePVj)+Pspv)</f>
        <v>1.3968598323253589E-2</v>
      </c>
      <c r="M48" s="832"/>
      <c r="N48" s="832"/>
      <c r="O48" s="48">
        <f>IF(t&lt;Tnet,'2020'!Resal+('2020'!Salim-'2020'!Resal)*(1-EXP(('2020'!Tnet-t)/('2020'!Tau_j))),Resal+(Salim-Resal)*(1-EXP((Tnet-t)/(Tau_j))))*Salcycl</f>
        <v>5.2865643721447017E-2</v>
      </c>
      <c r="P48" s="169">
        <f>(INDEX(Models!$BJ48:$BT48,,T48)*(1-R48)+INDEX(Models!$BJ48:$BT48,,T48+1)*R48-ERP_i)*Q48*Ramure*Pc/MaxiM</f>
        <v>1.8759946696732584E-5</v>
      </c>
      <c r="Q48" s="304">
        <f t="shared" si="2"/>
        <v>0.6</v>
      </c>
      <c r="R48" s="177">
        <f t="shared" si="3"/>
        <v>0.50111214643540136</v>
      </c>
      <c r="S48" s="799">
        <f t="shared" si="4"/>
        <v>-1</v>
      </c>
      <c r="T48" s="176">
        <f t="shared" si="5"/>
        <v>5</v>
      </c>
      <c r="U48" s="250">
        <f t="shared" si="20"/>
        <v>-0.49888785356459869</v>
      </c>
      <c r="V48" s="382">
        <f t="shared" si="6"/>
        <v>35.549679510664504</v>
      </c>
      <c r="W48" s="400"/>
      <c r="X48" s="157">
        <f t="shared" si="7"/>
        <v>44230</v>
      </c>
      <c r="Y48" s="383">
        <f t="shared" si="8"/>
        <v>22.745000000000001</v>
      </c>
      <c r="Z48" s="383">
        <f t="shared" si="9"/>
        <v>23.067216684298419</v>
      </c>
      <c r="AA48" s="384">
        <f t="shared" si="10"/>
        <v>24.354746009777656</v>
      </c>
      <c r="AB48" s="197">
        <f t="shared" si="11"/>
        <v>44230</v>
      </c>
      <c r="AC48" s="119">
        <f>IF(OR(t&lt;Tnet,NoTnet),'2020'!Resal_s+('2020'!Salim-'2020'!Resal_s)*(1-EXP(('2020'!Tnet_s-t)/'2020'!Tau_j)),Resal_s+(Salim-Resal_s)*(1-EXP((Tnet_s-t)/Tau_j)))*Salcycl</f>
        <v>5.2865643721447017E-2</v>
      </c>
      <c r="AD48" s="230">
        <f>(INDEX(Models!$BJ48:$BT48,,AH48)*(1-AF48)+INDEX(Models!$BJ48:$BT48,,AH48+1)*AF48-ERP_i)*AE48*Ramure*Pc/MaxiM</f>
        <v>1.8759946696732584E-5</v>
      </c>
      <c r="AE48" s="304">
        <f t="shared" si="12"/>
        <v>0.6</v>
      </c>
      <c r="AF48" s="177">
        <f t="shared" si="21"/>
        <v>0.50111214643540136</v>
      </c>
      <c r="AG48" s="799">
        <f t="shared" si="22"/>
        <v>-1</v>
      </c>
      <c r="AH48" s="176">
        <f t="shared" si="13"/>
        <v>5</v>
      </c>
      <c r="AI48" s="224">
        <f t="shared" si="23"/>
        <v>-0.49888785356459869</v>
      </c>
      <c r="AJ48" s="264" t="b">
        <f t="shared" si="14"/>
        <v>0</v>
      </c>
      <c r="AK48" s="264" t="b">
        <f t="shared" si="15"/>
        <v>0</v>
      </c>
      <c r="AL48" s="264"/>
      <c r="AM48" s="264"/>
      <c r="AN48" s="75"/>
    </row>
    <row r="49" spans="1:40" s="6" customFormat="1" ht="11.25" x14ac:dyDescent="0.2">
      <c r="A49" s="56">
        <f t="shared" si="16"/>
        <v>44231</v>
      </c>
      <c r="B49" s="607">
        <v>16.22</v>
      </c>
      <c r="C49" s="388"/>
      <c r="D49" s="391">
        <f t="shared" si="0"/>
        <v>16.450095636887951</v>
      </c>
      <c r="E49" s="383">
        <f t="shared" si="17"/>
        <v>17.372351156370648</v>
      </c>
      <c r="F49" s="383">
        <f t="shared" si="1"/>
        <v>17.372417304025593</v>
      </c>
      <c r="G49" s="110">
        <f t="shared" si="18"/>
        <v>0.45195342654485465</v>
      </c>
      <c r="H49" s="412" t="b">
        <f>Wh_hp&gt;='2020'!Maxi_hp</f>
        <v>0</v>
      </c>
      <c r="I49" s="379">
        <f>IF(H49,Wh_hp,'2020'!Maxi_hp)</f>
        <v>20.989724213200883</v>
      </c>
      <c r="J49" s="85">
        <f>IF(H49,An,'2020'!An_max)</f>
        <v>2020</v>
      </c>
      <c r="K49" s="197">
        <f t="shared" si="19"/>
        <v>44231</v>
      </c>
      <c r="L49" s="147">
        <f>IF(t&lt;Tvie,1-EXP((T0-t)*PertePVj)+'2020'!Pspv,1-EXP((T0-t)*PertePVj)+Pspv)</f>
        <v>1.39874953901169E-2</v>
      </c>
      <c r="M49" s="832"/>
      <c r="N49" s="832"/>
      <c r="O49" s="48">
        <f>IF(t&lt;Tnet,'2020'!Resal+('2020'!Salim-'2020'!Resal)*(1-EXP(('2020'!Tnet-t)/('2020'!Tau_j))),Resal+(Salim-Resal)*(1-EXP((Tnet-t)/(Tau_j))))*Salcycl</f>
        <v>5.308754763136915E-2</v>
      </c>
      <c r="P49" s="169">
        <f>(INDEX(Models!$BJ49:$BT49,,T49)*(1-R49)+INDEX(Models!$BJ49:$BT49,,T49+1)*R49-ERP_i)*Q49*Ramure*Pc/MaxiM</f>
        <v>1.7539774412023727E-5</v>
      </c>
      <c r="Q49" s="304">
        <f t="shared" si="2"/>
        <v>0.6</v>
      </c>
      <c r="R49" s="177">
        <f t="shared" si="3"/>
        <v>0.50122461327476731</v>
      </c>
      <c r="S49" s="799">
        <f t="shared" si="4"/>
        <v>-1</v>
      </c>
      <c r="T49" s="176">
        <f t="shared" si="5"/>
        <v>5</v>
      </c>
      <c r="U49" s="250">
        <f t="shared" si="20"/>
        <v>-0.49877538672523275</v>
      </c>
      <c r="V49" s="382">
        <f t="shared" si="6"/>
        <v>35.88816083925164</v>
      </c>
      <c r="W49" s="400"/>
      <c r="X49" s="157">
        <f t="shared" si="7"/>
        <v>44231</v>
      </c>
      <c r="Y49" s="383">
        <f t="shared" si="8"/>
        <v>16.22</v>
      </c>
      <c r="Z49" s="383">
        <f t="shared" si="9"/>
        <v>16.450095636887951</v>
      </c>
      <c r="AA49" s="384">
        <f t="shared" si="10"/>
        <v>17.372351156370648</v>
      </c>
      <c r="AB49" s="197">
        <f t="shared" si="11"/>
        <v>44231</v>
      </c>
      <c r="AC49" s="119">
        <f>IF(OR(t&lt;Tnet,NoTnet),'2020'!Resal_s+('2020'!Salim-'2020'!Resal_s)*(1-EXP(('2020'!Tnet_s-t)/'2020'!Tau_j)),Resal_s+(Salim-Resal_s)*(1-EXP((Tnet_s-t)/Tau_j)))*Salcycl</f>
        <v>5.308754763136915E-2</v>
      </c>
      <c r="AD49" s="230">
        <f>(INDEX(Models!$BJ49:$BT49,,AH49)*(1-AF49)+INDEX(Models!$BJ49:$BT49,,AH49+1)*AF49-ERP_i)*AE49*Ramure*Pc/MaxiM</f>
        <v>1.7539774412023727E-5</v>
      </c>
      <c r="AE49" s="304">
        <f t="shared" si="12"/>
        <v>0.6</v>
      </c>
      <c r="AF49" s="177">
        <f t="shared" si="21"/>
        <v>0.50122461327476731</v>
      </c>
      <c r="AG49" s="799">
        <f t="shared" si="22"/>
        <v>-1</v>
      </c>
      <c r="AH49" s="176">
        <f t="shared" si="13"/>
        <v>5</v>
      </c>
      <c r="AI49" s="224">
        <f t="shared" si="23"/>
        <v>-0.49877538672523275</v>
      </c>
      <c r="AJ49" s="264" t="b">
        <f t="shared" si="14"/>
        <v>0</v>
      </c>
      <c r="AK49" s="264" t="b">
        <f t="shared" si="15"/>
        <v>0</v>
      </c>
      <c r="AL49" s="264"/>
      <c r="AM49" s="264"/>
      <c r="AN49" s="75"/>
    </row>
    <row r="50" spans="1:40" s="6" customFormat="1" ht="11.25" x14ac:dyDescent="0.2">
      <c r="A50" s="56">
        <f t="shared" si="16"/>
        <v>44232</v>
      </c>
      <c r="B50" s="607">
        <v>15.358000000000001</v>
      </c>
      <c r="C50" s="388"/>
      <c r="D50" s="391">
        <f t="shared" si="0"/>
        <v>15.576165886743725</v>
      </c>
      <c r="E50" s="383">
        <f t="shared" si="17"/>
        <v>16.453273737500481</v>
      </c>
      <c r="F50" s="383">
        <f t="shared" si="1"/>
        <v>16.453322185067684</v>
      </c>
      <c r="G50" s="110">
        <f t="shared" si="18"/>
        <v>0.42395635509588148</v>
      </c>
      <c r="H50" s="412" t="b">
        <f>Wh_hp&gt;='2020'!Maxi_hp</f>
        <v>0</v>
      </c>
      <c r="I50" s="379">
        <f>IF(H50,Wh_hp,'2020'!Maxi_hp)</f>
        <v>38.888374306898015</v>
      </c>
      <c r="J50" s="85">
        <f>IF(H50,An,'2020'!An_max)</f>
        <v>2020</v>
      </c>
      <c r="K50" s="197">
        <f t="shared" si="19"/>
        <v>44232</v>
      </c>
      <c r="L50" s="147">
        <f>IF(t&lt;Tvie,1-EXP((T0-t)*PertePVj)+'2020'!Pspv,1-EXP((T0-t)*PertePVj)+Pspv)</f>
        <v>1.4006392094822129E-2</v>
      </c>
      <c r="M50" s="832"/>
      <c r="N50" s="832"/>
      <c r="O50" s="48">
        <f>IF(t&lt;Tnet,'2020'!Resal+('2020'!Salim-'2020'!Resal)*(1-EXP(('2020'!Tnet-t)/('2020'!Tau_j))),Resal+(Salim-Resal)*(1-EXP((Tnet-t)/(Tau_j))))*Salcycl</f>
        <v>5.3309017083794263E-2</v>
      </c>
      <c r="P50" s="169">
        <f>(INDEX(Models!$BJ50:$BT50,,T50)*(1-R50)+INDEX(Models!$BJ50:$BT50,,T50+1)*R50-ERP_i)*Q50*Ramure*Pc/MaxiM</f>
        <v>1.6627512773544303E-5</v>
      </c>
      <c r="Q50" s="304">
        <f t="shared" si="2"/>
        <v>0.6</v>
      </c>
      <c r="R50" s="177">
        <f t="shared" si="3"/>
        <v>0.50134174431554812</v>
      </c>
      <c r="S50" s="799">
        <f t="shared" si="4"/>
        <v>-1</v>
      </c>
      <c r="T50" s="176">
        <f t="shared" si="5"/>
        <v>5</v>
      </c>
      <c r="U50" s="250">
        <f t="shared" si="20"/>
        <v>-0.49865825568445188</v>
      </c>
      <c r="V50" s="382">
        <f t="shared" si="6"/>
        <v>36.224931344423837</v>
      </c>
      <c r="W50" s="400"/>
      <c r="X50" s="157">
        <f t="shared" si="7"/>
        <v>44232</v>
      </c>
      <c r="Y50" s="383">
        <f t="shared" si="8"/>
        <v>15.358000000000001</v>
      </c>
      <c r="Z50" s="383">
        <f t="shared" si="9"/>
        <v>15.576165886743725</v>
      </c>
      <c r="AA50" s="384">
        <f t="shared" si="10"/>
        <v>16.453273737500481</v>
      </c>
      <c r="AB50" s="197">
        <f t="shared" si="11"/>
        <v>44232</v>
      </c>
      <c r="AC50" s="119">
        <f>IF(OR(t&lt;Tnet,NoTnet),'2020'!Resal_s+('2020'!Salim-'2020'!Resal_s)*(1-EXP(('2020'!Tnet_s-t)/'2020'!Tau_j)),Resal_s+(Salim-Resal_s)*(1-EXP((Tnet_s-t)/Tau_j)))*Salcycl</f>
        <v>5.3309017083794263E-2</v>
      </c>
      <c r="AD50" s="230">
        <f>(INDEX(Models!$BJ50:$BT50,,AH50)*(1-AF50)+INDEX(Models!$BJ50:$BT50,,AH50+1)*AF50-ERP_i)*AE50*Ramure*Pc/MaxiM</f>
        <v>1.6627512773544303E-5</v>
      </c>
      <c r="AE50" s="304">
        <f t="shared" si="12"/>
        <v>0.6</v>
      </c>
      <c r="AF50" s="177">
        <f t="shared" si="21"/>
        <v>0.50134174431554812</v>
      </c>
      <c r="AG50" s="799">
        <f t="shared" si="22"/>
        <v>-1</v>
      </c>
      <c r="AH50" s="176">
        <f t="shared" si="13"/>
        <v>5</v>
      </c>
      <c r="AI50" s="224">
        <f t="shared" si="23"/>
        <v>-0.49865825568445188</v>
      </c>
      <c r="AJ50" s="264" t="b">
        <f t="shared" si="14"/>
        <v>0</v>
      </c>
      <c r="AK50" s="264" t="b">
        <f t="shared" si="15"/>
        <v>0</v>
      </c>
      <c r="AL50" s="264"/>
      <c r="AM50" s="264"/>
      <c r="AN50" s="75"/>
    </row>
    <row r="51" spans="1:40" s="6" customFormat="1" ht="11.25" x14ac:dyDescent="0.2">
      <c r="A51" s="56">
        <f t="shared" si="16"/>
        <v>44233</v>
      </c>
      <c r="B51" s="607">
        <v>9.6760000000000002</v>
      </c>
      <c r="C51" s="388"/>
      <c r="D51" s="391">
        <f t="shared" si="0"/>
        <v>9.8136391192680534</v>
      </c>
      <c r="E51" s="383">
        <f t="shared" si="17"/>
        <v>10.368674795120977</v>
      </c>
      <c r="F51" s="383">
        <f t="shared" si="1"/>
        <v>10.368674795120977</v>
      </c>
      <c r="G51" s="110">
        <f t="shared" si="18"/>
        <v>0.26463845984844964</v>
      </c>
      <c r="H51" s="412" t="b">
        <f>Wh_hp&gt;='2020'!Maxi_hp</f>
        <v>0</v>
      </c>
      <c r="I51" s="379">
        <f>IF(H51,Wh_hp,'2020'!Maxi_hp)</f>
        <v>41.004542581463518</v>
      </c>
      <c r="J51" s="85">
        <f>IF(H51,An,'2020'!An_max)</f>
        <v>2020</v>
      </c>
      <c r="K51" s="197">
        <f t="shared" si="19"/>
        <v>44233</v>
      </c>
      <c r="L51" s="147">
        <f>IF(t&lt;Tvie,1-EXP((T0-t)*PertePVj)+'2020'!Pspv,1-EXP((T0-t)*PertePVj)+Pspv)</f>
        <v>1.4025288437376271E-2</v>
      </c>
      <c r="M51" s="832"/>
      <c r="N51" s="832"/>
      <c r="O51" s="48">
        <f>IF(t&lt;Tnet,'2020'!Resal+('2020'!Salim-'2020'!Resal)*(1-EXP(('2020'!Tnet-t)/('2020'!Tau_j))),Resal+(Salim-Resal)*(1-EXP((Tnet-t)/(Tau_j))))*Salcycl</f>
        <v>5.3530049579151515E-2</v>
      </c>
      <c r="P51" s="169">
        <f>(INDEX(Models!$BJ51:$BT51,,T51)*(1-R51)+INDEX(Models!$BJ51:$BT51,,T51+1)*R51-ERP_i)*Q51*Ramure*Pc/MaxiM</f>
        <v>1.6013382260658735E-5</v>
      </c>
      <c r="Q51" s="304">
        <f t="shared" si="2"/>
        <v>0.6</v>
      </c>
      <c r="R51" s="177">
        <f t="shared" si="3"/>
        <v>0.50146373064514227</v>
      </c>
      <c r="S51" s="799">
        <f t="shared" si="4"/>
        <v>-1</v>
      </c>
      <c r="T51" s="176">
        <f t="shared" si="5"/>
        <v>5</v>
      </c>
      <c r="U51" s="250">
        <f t="shared" si="20"/>
        <v>-0.49853626935485773</v>
      </c>
      <c r="V51" s="382">
        <f t="shared" si="6"/>
        <v>36.562505162909076</v>
      </c>
      <c r="W51" s="400"/>
      <c r="X51" s="157">
        <f t="shared" si="7"/>
        <v>44233</v>
      </c>
      <c r="Y51" s="383">
        <f t="shared" si="8"/>
        <v>9.6760000000000002</v>
      </c>
      <c r="Z51" s="383">
        <f t="shared" si="9"/>
        <v>9.8136391192680534</v>
      </c>
      <c r="AA51" s="384">
        <f t="shared" si="10"/>
        <v>10.368674795120977</v>
      </c>
      <c r="AB51" s="197">
        <f t="shared" si="11"/>
        <v>44233</v>
      </c>
      <c r="AC51" s="119">
        <f>IF(OR(t&lt;Tnet,NoTnet),'2020'!Resal_s+('2020'!Salim-'2020'!Resal_s)*(1-EXP(('2020'!Tnet_s-t)/'2020'!Tau_j)),Resal_s+(Salim-Resal_s)*(1-EXP((Tnet_s-t)/Tau_j)))*Salcycl</f>
        <v>5.3530049579151515E-2</v>
      </c>
      <c r="AD51" s="230">
        <f>(INDEX(Models!$BJ51:$BT51,,AH51)*(1-AF51)+INDEX(Models!$BJ51:$BT51,,AH51+1)*AF51-ERP_i)*AE51*Ramure*Pc/MaxiM</f>
        <v>1.6013382260658735E-5</v>
      </c>
      <c r="AE51" s="304">
        <f t="shared" si="12"/>
        <v>0.6</v>
      </c>
      <c r="AF51" s="177">
        <f t="shared" si="21"/>
        <v>0.50146373064514227</v>
      </c>
      <c r="AG51" s="799">
        <f t="shared" si="22"/>
        <v>-1</v>
      </c>
      <c r="AH51" s="176">
        <f t="shared" si="13"/>
        <v>5</v>
      </c>
      <c r="AI51" s="224">
        <f t="shared" si="23"/>
        <v>-0.49853626935485773</v>
      </c>
      <c r="AJ51" s="264" t="b">
        <f t="shared" si="14"/>
        <v>0</v>
      </c>
      <c r="AK51" s="264" t="b">
        <f t="shared" si="15"/>
        <v>0</v>
      </c>
      <c r="AL51" s="264"/>
      <c r="AM51" s="264"/>
      <c r="AN51" s="75"/>
    </row>
    <row r="52" spans="1:40" s="6" customFormat="1" ht="11.25" x14ac:dyDescent="0.2">
      <c r="A52" s="56">
        <f t="shared" si="16"/>
        <v>44234</v>
      </c>
      <c r="B52" s="607">
        <v>21.704000000000001</v>
      </c>
      <c r="C52" s="388"/>
      <c r="D52" s="391">
        <f t="shared" si="0"/>
        <v>22.013156834197122</v>
      </c>
      <c r="E52" s="383">
        <f t="shared" si="17"/>
        <v>23.263589719644706</v>
      </c>
      <c r="F52" s="383">
        <f t="shared" si="1"/>
        <v>23.263739731106831</v>
      </c>
      <c r="G52" s="110">
        <f t="shared" si="18"/>
        <v>0.58812261882856554</v>
      </c>
      <c r="H52" s="412" t="b">
        <f>Wh_hp&gt;='2020'!Maxi_hp</f>
        <v>0</v>
      </c>
      <c r="I52" s="379">
        <f>IF(H52,Wh_hp,'2020'!Maxi_hp)</f>
        <v>27.6544109096825</v>
      </c>
      <c r="J52" s="85">
        <f>IF(H52,An,'2020'!An_max)</f>
        <v>2020</v>
      </c>
      <c r="K52" s="197">
        <f t="shared" si="19"/>
        <v>44234</v>
      </c>
      <c r="L52" s="147">
        <f>IF(t&lt;Tvie,1-EXP((T0-t)*PertePVj)+'2020'!Pspv,1-EXP((T0-t)*PertePVj)+Pspv)</f>
        <v>1.4044184417786432E-2</v>
      </c>
      <c r="M52" s="832"/>
      <c r="N52" s="832"/>
      <c r="O52" s="48">
        <f>IF(t&lt;Tnet,'2020'!Resal+('2020'!Salim-'2020'!Resal)*(1-EXP(('2020'!Tnet-t)/('2020'!Tau_j))),Resal+(Salim-Resal)*(1-EXP((Tnet-t)/(Tau_j))))*Salcycl</f>
        <v>5.3750642120019301E-2</v>
      </c>
      <c r="P52" s="169">
        <f>(INDEX(Models!$BJ52:$BT52,,T52)*(1-R52)+INDEX(Models!$BJ52:$BT52,,T52+1)*R52-ERP_i)*Q52*Ramure*Pc/MaxiM</f>
        <v>1.5665974980997365E-5</v>
      </c>
      <c r="Q52" s="304">
        <f t="shared" si="2"/>
        <v>0.6</v>
      </c>
      <c r="R52" s="177">
        <f t="shared" si="3"/>
        <v>0.50159077098004379</v>
      </c>
      <c r="S52" s="799">
        <f t="shared" si="4"/>
        <v>-1</v>
      </c>
      <c r="T52" s="176">
        <f t="shared" si="5"/>
        <v>5</v>
      </c>
      <c r="U52" s="250">
        <f t="shared" si="20"/>
        <v>-0.49840922901995627</v>
      </c>
      <c r="V52" s="382">
        <f t="shared" si="6"/>
        <v>36.903528691718854</v>
      </c>
      <c r="W52" s="400"/>
      <c r="X52" s="157">
        <f t="shared" si="7"/>
        <v>44234</v>
      </c>
      <c r="Y52" s="383">
        <f t="shared" si="8"/>
        <v>21.704000000000001</v>
      </c>
      <c r="Z52" s="383">
        <f t="shared" si="9"/>
        <v>22.013156834197122</v>
      </c>
      <c r="AA52" s="384">
        <f t="shared" si="10"/>
        <v>23.263589719644706</v>
      </c>
      <c r="AB52" s="197">
        <f t="shared" si="11"/>
        <v>44234</v>
      </c>
      <c r="AC52" s="119">
        <f>IF(OR(t&lt;Tnet,NoTnet),'2020'!Resal_s+('2020'!Salim-'2020'!Resal_s)*(1-EXP(('2020'!Tnet_s-t)/'2020'!Tau_j)),Resal_s+(Salim-Resal_s)*(1-EXP((Tnet_s-t)/Tau_j)))*Salcycl</f>
        <v>5.3750642120019301E-2</v>
      </c>
      <c r="AD52" s="230">
        <f>(INDEX(Models!$BJ52:$BT52,,AH52)*(1-AF52)+INDEX(Models!$BJ52:$BT52,,AH52+1)*AF52-ERP_i)*AE52*Ramure*Pc/MaxiM</f>
        <v>1.5665974980997365E-5</v>
      </c>
      <c r="AE52" s="304">
        <f t="shared" si="12"/>
        <v>0.6</v>
      </c>
      <c r="AF52" s="177">
        <f t="shared" si="21"/>
        <v>0.50159077098004379</v>
      </c>
      <c r="AG52" s="799">
        <f t="shared" si="22"/>
        <v>-1</v>
      </c>
      <c r="AH52" s="176">
        <f t="shared" si="13"/>
        <v>5</v>
      </c>
      <c r="AI52" s="224">
        <f t="shared" si="23"/>
        <v>-0.49840922901995627</v>
      </c>
      <c r="AJ52" s="264" t="b">
        <f t="shared" si="14"/>
        <v>0</v>
      </c>
      <c r="AK52" s="264" t="b">
        <f t="shared" si="15"/>
        <v>0</v>
      </c>
      <c r="AL52" s="264"/>
      <c r="AM52" s="264"/>
      <c r="AN52" s="75"/>
    </row>
    <row r="53" spans="1:40" s="6" customFormat="1" ht="11.25" x14ac:dyDescent="0.2">
      <c r="A53" s="56">
        <f t="shared" si="16"/>
        <v>44235</v>
      </c>
      <c r="B53" s="607">
        <v>4.3410000000000002</v>
      </c>
      <c r="C53" s="388"/>
      <c r="D53" s="391">
        <f t="shared" si="0"/>
        <v>4.4029185966164723</v>
      </c>
      <c r="E53" s="383">
        <f t="shared" si="17"/>
        <v>4.6541042876246577</v>
      </c>
      <c r="F53" s="383">
        <f t="shared" si="1"/>
        <v>4.6541042876246577</v>
      </c>
      <c r="G53" s="110">
        <f t="shared" si="18"/>
        <v>0.11654324075656662</v>
      </c>
      <c r="H53" s="412" t="b">
        <f>Wh_hp&gt;='2020'!Maxi_hp</f>
        <v>0</v>
      </c>
      <c r="I53" s="379">
        <f>IF(H53,Wh_hp,'2020'!Maxi_hp)</f>
        <v>33.922664243392099</v>
      </c>
      <c r="J53" s="85">
        <f>IF(H53,An,'2020'!An_max)</f>
        <v>2020</v>
      </c>
      <c r="K53" s="197">
        <f t="shared" si="19"/>
        <v>44235</v>
      </c>
      <c r="L53" s="147">
        <f>IF(t&lt;Tvie,1-EXP((T0-t)*PertePVj)+'2020'!Pspv,1-EXP((T0-t)*PertePVj)+Pspv)</f>
        <v>1.4063080036059383E-2</v>
      </c>
      <c r="M53" s="832"/>
      <c r="N53" s="832"/>
      <c r="O53" s="48">
        <f>IF(t&lt;Tnet,'2020'!Resal+('2020'!Salim-'2020'!Resal)*(1-EXP(('2020'!Tnet-t)/('2020'!Tau_j))),Resal+(Salim-Resal)*(1-EXP((Tnet-t)/(Tau_j))))*Salcycl</f>
        <v>5.397079125968289E-2</v>
      </c>
      <c r="P53" s="169">
        <f>(INDEX(Models!$BJ53:$BT53,,T53)*(1-R53)+INDEX(Models!$BJ53:$BT53,,T53+1)*R53-ERP_i)*Q53*Ramure*Pc/MaxiM</f>
        <v>1.5358579189116973E-5</v>
      </c>
      <c r="Q53" s="304">
        <f t="shared" si="2"/>
        <v>0.6</v>
      </c>
      <c r="R53" s="177">
        <f t="shared" si="3"/>
        <v>0.50172307195341004</v>
      </c>
      <c r="S53" s="799">
        <f t="shared" si="4"/>
        <v>-1</v>
      </c>
      <c r="T53" s="176">
        <f t="shared" si="5"/>
        <v>5</v>
      </c>
      <c r="U53" s="250">
        <f t="shared" si="20"/>
        <v>-0.49827692804659002</v>
      </c>
      <c r="V53" s="382">
        <f t="shared" si="6"/>
        <v>37.247405342665921</v>
      </c>
      <c r="W53" s="400"/>
      <c r="X53" s="157">
        <f t="shared" si="7"/>
        <v>44235</v>
      </c>
      <c r="Y53" s="383">
        <f t="shared" si="8"/>
        <v>4.3410000000000002</v>
      </c>
      <c r="Z53" s="383">
        <f t="shared" si="9"/>
        <v>4.4029185966164723</v>
      </c>
      <c r="AA53" s="384">
        <f t="shared" si="10"/>
        <v>4.6541042876246577</v>
      </c>
      <c r="AB53" s="197">
        <f t="shared" si="11"/>
        <v>44235</v>
      </c>
      <c r="AC53" s="119">
        <f>IF(OR(t&lt;Tnet,NoTnet),'2020'!Resal_s+('2020'!Salim-'2020'!Resal_s)*(1-EXP(('2020'!Tnet_s-t)/'2020'!Tau_j)),Resal_s+(Salim-Resal_s)*(1-EXP((Tnet_s-t)/Tau_j)))*Salcycl</f>
        <v>5.397079125968289E-2</v>
      </c>
      <c r="AD53" s="230">
        <f>(INDEX(Models!$BJ53:$BT53,,AH53)*(1-AF53)+INDEX(Models!$BJ53:$BT53,,AH53+1)*AF53-ERP_i)*AE53*Ramure*Pc/MaxiM</f>
        <v>1.5358579189116973E-5</v>
      </c>
      <c r="AE53" s="304">
        <f t="shared" si="12"/>
        <v>0.6</v>
      </c>
      <c r="AF53" s="177">
        <f t="shared" si="21"/>
        <v>0.50172307195341004</v>
      </c>
      <c r="AG53" s="799">
        <f t="shared" si="22"/>
        <v>-1</v>
      </c>
      <c r="AH53" s="176">
        <f t="shared" si="13"/>
        <v>5</v>
      </c>
      <c r="AI53" s="224">
        <f t="shared" si="23"/>
        <v>-0.49827692804659002</v>
      </c>
      <c r="AJ53" s="264" t="b">
        <f t="shared" si="14"/>
        <v>0</v>
      </c>
      <c r="AK53" s="264" t="b">
        <f t="shared" si="15"/>
        <v>0</v>
      </c>
      <c r="AL53" s="264"/>
      <c r="AM53" s="264"/>
      <c r="AN53" s="75"/>
    </row>
    <row r="54" spans="1:40" s="6" customFormat="1" ht="11.25" x14ac:dyDescent="0.2">
      <c r="A54" s="56">
        <f t="shared" si="16"/>
        <v>44236</v>
      </c>
      <c r="B54" s="607">
        <v>13.33</v>
      </c>
      <c r="C54" s="388"/>
      <c r="D54" s="391">
        <f t="shared" si="0"/>
        <v>13.520393852167057</v>
      </c>
      <c r="E54" s="383">
        <f t="shared" si="17"/>
        <v>14.295049641994519</v>
      </c>
      <c r="F54" s="383">
        <f t="shared" si="1"/>
        <v>14.295066462560564</v>
      </c>
      <c r="G54" s="110">
        <f t="shared" si="18"/>
        <v>0.35457734834259391</v>
      </c>
      <c r="H54" s="412" t="b">
        <f>Wh_hp&gt;='2020'!Maxi_hp</f>
        <v>0</v>
      </c>
      <c r="I54" s="379">
        <f>IF(H54,Wh_hp,'2020'!Maxi_hp)</f>
        <v>33.568846727728676</v>
      </c>
      <c r="J54" s="85">
        <f>IF(H54,An,'2020'!An_max)</f>
        <v>2020</v>
      </c>
      <c r="K54" s="197">
        <f t="shared" si="19"/>
        <v>44236</v>
      </c>
      <c r="L54" s="147">
        <f>IF(t&lt;Tvie,1-EXP((T0-t)*PertePVj)+'2020'!Pspv,1-EXP((T0-t)*PertePVj)+Pspv)</f>
        <v>1.408197529220212E-2</v>
      </c>
      <c r="M54" s="832"/>
      <c r="N54" s="832"/>
      <c r="O54" s="48">
        <f>IF(t&lt;Tnet,'2020'!Resal+('2020'!Salim-'2020'!Resal)*(1-EXP(('2020'!Tnet-t)/('2020'!Tau_j))),Resal+(Salim-Resal)*(1-EXP((Tnet-t)/(Tau_j))))*Salcycl</f>
        <v>5.4190493158677584E-2</v>
      </c>
      <c r="P54" s="169">
        <f>(INDEX(Models!$BJ54:$BT54,,T54)*(1-R54)+INDEX(Models!$BJ54:$BT54,,T54+1)*R54-ERP_i)*Q54*Ramure*Pc/MaxiM</f>
        <v>1.5090400966279549E-5</v>
      </c>
      <c r="Q54" s="304">
        <f t="shared" si="2"/>
        <v>0.6</v>
      </c>
      <c r="R54" s="177">
        <f t="shared" si="3"/>
        <v>0.50186084841200107</v>
      </c>
      <c r="S54" s="799">
        <f t="shared" si="4"/>
        <v>-1</v>
      </c>
      <c r="T54" s="176">
        <f t="shared" si="5"/>
        <v>5</v>
      </c>
      <c r="U54" s="250">
        <f t="shared" si="20"/>
        <v>-0.49813915158799887</v>
      </c>
      <c r="V54" s="382">
        <f t="shared" si="6"/>
        <v>37.593530980043084</v>
      </c>
      <c r="W54" s="400"/>
      <c r="X54" s="157">
        <f t="shared" si="7"/>
        <v>44236</v>
      </c>
      <c r="Y54" s="383">
        <f t="shared" si="8"/>
        <v>13.33</v>
      </c>
      <c r="Z54" s="383">
        <f t="shared" si="9"/>
        <v>13.520393852167057</v>
      </c>
      <c r="AA54" s="384">
        <f t="shared" si="10"/>
        <v>14.295049641994519</v>
      </c>
      <c r="AB54" s="197">
        <f t="shared" si="11"/>
        <v>44236</v>
      </c>
      <c r="AC54" s="119">
        <f>IF(OR(t&lt;Tnet,NoTnet),'2020'!Resal_s+('2020'!Salim-'2020'!Resal_s)*(1-EXP(('2020'!Tnet_s-t)/'2020'!Tau_j)),Resal_s+(Salim-Resal_s)*(1-EXP((Tnet_s-t)/Tau_j)))*Salcycl</f>
        <v>5.4190493158677584E-2</v>
      </c>
      <c r="AD54" s="230">
        <f>(INDEX(Models!$BJ54:$BT54,,AH54)*(1-AF54)+INDEX(Models!$BJ54:$BT54,,AH54+1)*AF54-ERP_i)*AE54*Ramure*Pc/MaxiM</f>
        <v>1.5090400966279549E-5</v>
      </c>
      <c r="AE54" s="304">
        <f t="shared" si="12"/>
        <v>0.6</v>
      </c>
      <c r="AF54" s="177">
        <f t="shared" si="21"/>
        <v>0.50186084841200107</v>
      </c>
      <c r="AG54" s="799">
        <f t="shared" si="22"/>
        <v>-1</v>
      </c>
      <c r="AH54" s="176">
        <f t="shared" si="13"/>
        <v>5</v>
      </c>
      <c r="AI54" s="224">
        <f t="shared" si="23"/>
        <v>-0.49813915158799887</v>
      </c>
      <c r="AJ54" s="264" t="b">
        <f t="shared" si="14"/>
        <v>0</v>
      </c>
      <c r="AK54" s="264" t="b">
        <f t="shared" si="15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6"/>
        <v>44237</v>
      </c>
      <c r="B55" s="607">
        <v>13.707000000000001</v>
      </c>
      <c r="C55" s="388"/>
      <c r="D55" s="391">
        <f t="shared" si="0"/>
        <v>13.903045033206439</v>
      </c>
      <c r="E55" s="383">
        <f t="shared" si="17"/>
        <v>14.703033306258011</v>
      </c>
      <c r="F55" s="383">
        <f t="shared" si="1"/>
        <v>14.703052430531173</v>
      </c>
      <c r="G55" s="110">
        <f t="shared" si="18"/>
        <v>0.36126367242366553</v>
      </c>
      <c r="H55" s="412" t="b">
        <f>Wh_hp&gt;='2020'!Maxi_hp</f>
        <v>1</v>
      </c>
      <c r="I55" s="379">
        <f>IF(H55,Wh_hp,'2020'!Maxi_hp)</f>
        <v>14.703052430531173</v>
      </c>
      <c r="J55" s="85">
        <f>IF(H55,An,'2020'!An_max)</f>
        <v>2021</v>
      </c>
      <c r="K55" s="197">
        <f t="shared" si="19"/>
        <v>44237</v>
      </c>
      <c r="L55" s="147">
        <f>IF(t&lt;Tvie,1-EXP((T0-t)*PertePVj)+'2020'!Pspv,1-EXP((T0-t)*PertePVj)+Pspv)</f>
        <v>1.4100870186221637E-2</v>
      </c>
      <c r="M55" s="832"/>
      <c r="N55" s="832"/>
      <c r="O55" s="48">
        <f>IF(t&lt;Tnet,'2020'!Resal+('2020'!Salim-'2020'!Resal)*(1-EXP(('2020'!Tnet-t)/('2020'!Tau_j))),Resal+(Salim-Resal)*(1-EXP((Tnet-t)/(Tau_j))))*Salcycl</f>
        <v>5.4409743648684714E-2</v>
      </c>
      <c r="P55" s="169">
        <f>(INDEX(Models!$BJ55:$BT55,,T55)*(1-R55)+INDEX(Models!$BJ55:$BT55,,T55+1)*R55-ERP_i)*Q55*Ramure*Pc/MaxiM</f>
        <v>1.4860647058776868E-5</v>
      </c>
      <c r="Q55" s="304">
        <f t="shared" si="2"/>
        <v>0.6</v>
      </c>
      <c r="R55" s="177">
        <f t="shared" si="3"/>
        <v>0.50200432372266368</v>
      </c>
      <c r="S55" s="799">
        <f t="shared" si="4"/>
        <v>-1</v>
      </c>
      <c r="T55" s="176">
        <f t="shared" si="5"/>
        <v>5</v>
      </c>
      <c r="U55" s="250">
        <f t="shared" si="20"/>
        <v>-0.49799567627733637</v>
      </c>
      <c r="V55" s="382">
        <f t="shared" si="6"/>
        <v>37.94130210109109</v>
      </c>
      <c r="W55" s="400"/>
      <c r="X55" s="157">
        <f t="shared" si="7"/>
        <v>44237</v>
      </c>
      <c r="Y55" s="383">
        <f t="shared" si="8"/>
        <v>13.707000000000001</v>
      </c>
      <c r="Z55" s="383">
        <f t="shared" si="9"/>
        <v>13.903045033206439</v>
      </c>
      <c r="AA55" s="384">
        <f t="shared" si="10"/>
        <v>14.703033306258011</v>
      </c>
      <c r="AB55" s="197">
        <f t="shared" si="11"/>
        <v>44237</v>
      </c>
      <c r="AC55" s="119">
        <f>IF(OR(t&lt;Tnet,NoTnet),'2020'!Resal_s+('2020'!Salim-'2020'!Resal_s)*(1-EXP(('2020'!Tnet_s-t)/'2020'!Tau_j)),Resal_s+(Salim-Resal_s)*(1-EXP((Tnet_s-t)/Tau_j)))*Salcycl</f>
        <v>5.4409743648684714E-2</v>
      </c>
      <c r="AD55" s="230">
        <f>(INDEX(Models!$BJ55:$BT55,,AH55)*(1-AF55)+INDEX(Models!$BJ55:$BT55,,AH55+1)*AF55-ERP_i)*AE55*Ramure*Pc/MaxiM</f>
        <v>1.4860647058776868E-5</v>
      </c>
      <c r="AE55" s="304">
        <f t="shared" si="12"/>
        <v>0.6</v>
      </c>
      <c r="AF55" s="177">
        <f t="shared" si="21"/>
        <v>0.50200432372266368</v>
      </c>
      <c r="AG55" s="799">
        <f t="shared" si="22"/>
        <v>-1</v>
      </c>
      <c r="AH55" s="176">
        <f t="shared" si="13"/>
        <v>5</v>
      </c>
      <c r="AI55" s="224">
        <f t="shared" si="23"/>
        <v>-0.49799567627733637</v>
      </c>
      <c r="AJ55" s="264" t="b">
        <f t="shared" si="14"/>
        <v>0</v>
      </c>
      <c r="AK55" s="264" t="b">
        <f t="shared" si="15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6"/>
        <v>44238</v>
      </c>
      <c r="B56" s="607">
        <v>32.853000000000002</v>
      </c>
      <c r="C56" s="388"/>
      <c r="D56" s="391">
        <f t="shared" si="0"/>
        <v>33.323520265731801</v>
      </c>
      <c r="E56" s="383">
        <f t="shared" si="17"/>
        <v>35.249128639780132</v>
      </c>
      <c r="F56" s="383">
        <f t="shared" si="1"/>
        <v>35.249540811228528</v>
      </c>
      <c r="G56" s="110">
        <f t="shared" si="18"/>
        <v>0.8579995523691869</v>
      </c>
      <c r="H56" s="412" t="b">
        <f>Wh_hp&gt;='2020'!Maxi_hp</f>
        <v>1</v>
      </c>
      <c r="I56" s="379">
        <f>IF(H56,Wh_hp,'2020'!Maxi_hp)</f>
        <v>35.249540811228528</v>
      </c>
      <c r="J56" s="85">
        <f>IF(H56,An,'2020'!An_max)</f>
        <v>2021</v>
      </c>
      <c r="K56" s="197">
        <f t="shared" si="19"/>
        <v>44238</v>
      </c>
      <c r="L56" s="147">
        <f>IF(t&lt;Tvie,1-EXP((T0-t)*PertePVj)+'2020'!Pspv,1-EXP((T0-t)*PertePVj)+Pspv)</f>
        <v>1.4119764718124816E-2</v>
      </c>
      <c r="M56" s="832"/>
      <c r="N56" s="832"/>
      <c r="O56" s="48">
        <f>IF(t&lt;Tnet,'2020'!Resal+('2020'!Salim-'2020'!Resal)*(1-EXP(('2020'!Tnet-t)/('2020'!Tau_j))),Resal+(Salim-Resal)*(1-EXP((Tnet-t)/(Tau_j))))*Salcycl</f>
        <v>5.4628538303077463E-2</v>
      </c>
      <c r="P56" s="169">
        <f>(INDEX(Models!$BJ56:$BT56,,T56)*(1-R56)+INDEX(Models!$BJ56:$BT56,,T56+1)*R56-ERP_i)*Q56*Ramure*Pc/MaxiM</f>
        <v>1.4668531671773516E-5</v>
      </c>
      <c r="Q56" s="304">
        <f t="shared" si="2"/>
        <v>0.6</v>
      </c>
      <c r="R56" s="177">
        <f t="shared" si="3"/>
        <v>0.50215373008852482</v>
      </c>
      <c r="S56" s="799">
        <f t="shared" si="4"/>
        <v>-1</v>
      </c>
      <c r="T56" s="176">
        <f t="shared" si="5"/>
        <v>5</v>
      </c>
      <c r="U56" s="250">
        <f t="shared" si="20"/>
        <v>-0.49784626991147518</v>
      </c>
      <c r="V56" s="382">
        <f t="shared" si="6"/>
        <v>38.290115830088183</v>
      </c>
      <c r="W56" s="400"/>
      <c r="X56" s="157">
        <f t="shared" si="7"/>
        <v>44238</v>
      </c>
      <c r="Y56" s="383">
        <f t="shared" si="8"/>
        <v>32.853000000000002</v>
      </c>
      <c r="Z56" s="383">
        <f t="shared" si="9"/>
        <v>33.323520265731801</v>
      </c>
      <c r="AA56" s="384">
        <f t="shared" si="10"/>
        <v>35.249128639780132</v>
      </c>
      <c r="AB56" s="197">
        <f t="shared" si="11"/>
        <v>44238</v>
      </c>
      <c r="AC56" s="119">
        <f>IF(OR(t&lt;Tnet,NoTnet),'2020'!Resal_s+('2020'!Salim-'2020'!Resal_s)*(1-EXP(('2020'!Tnet_s-t)/'2020'!Tau_j)),Resal_s+(Salim-Resal_s)*(1-EXP((Tnet_s-t)/Tau_j)))*Salcycl</f>
        <v>5.4628538303077463E-2</v>
      </c>
      <c r="AD56" s="230">
        <f>(INDEX(Models!$BJ56:$BT56,,AH56)*(1-AF56)+INDEX(Models!$BJ56:$BT56,,AH56+1)*AF56-ERP_i)*AE56*Ramure*Pc/MaxiM</f>
        <v>1.4668531671773516E-5</v>
      </c>
      <c r="AE56" s="304">
        <f t="shared" si="12"/>
        <v>0.6</v>
      </c>
      <c r="AF56" s="177">
        <f t="shared" si="21"/>
        <v>0.50215373008852482</v>
      </c>
      <c r="AG56" s="799">
        <f t="shared" si="22"/>
        <v>-1</v>
      </c>
      <c r="AH56" s="176">
        <f t="shared" si="13"/>
        <v>5</v>
      </c>
      <c r="AI56" s="224">
        <f t="shared" si="23"/>
        <v>-0.49784626991147518</v>
      </c>
      <c r="AJ56" s="264" t="b">
        <f t="shared" si="14"/>
        <v>0</v>
      </c>
      <c r="AK56" s="264" t="b">
        <f t="shared" si="15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6"/>
        <v>44239</v>
      </c>
      <c r="B57" s="607">
        <v>4.9619999999999997</v>
      </c>
      <c r="C57" s="388"/>
      <c r="D57" s="391">
        <f t="shared" si="0"/>
        <v>5.0331621629495213</v>
      </c>
      <c r="E57" s="383">
        <f t="shared" si="17"/>
        <v>5.3252346276774283</v>
      </c>
      <c r="F57" s="383">
        <f t="shared" si="1"/>
        <v>5.3252346276774283</v>
      </c>
      <c r="G57" s="110">
        <f t="shared" si="18"/>
        <v>0.12841637936377759</v>
      </c>
      <c r="H57" s="412" t="b">
        <f>Wh_hp&gt;='2020'!Maxi_hp</f>
        <v>0</v>
      </c>
      <c r="I57" s="379">
        <f>IF(H57,Wh_hp,'2020'!Maxi_hp)</f>
        <v>21.200604620222929</v>
      </c>
      <c r="J57" s="85">
        <f>IF(H57,An,'2020'!An_max)</f>
        <v>2020</v>
      </c>
      <c r="K57" s="197">
        <f t="shared" si="19"/>
        <v>44239</v>
      </c>
      <c r="L57" s="147">
        <f>IF(t&lt;Tvie,1-EXP((T0-t)*PertePVj)+'2020'!Pspv,1-EXP((T0-t)*PertePVj)+Pspv)</f>
        <v>1.4138658887918543E-2</v>
      </c>
      <c r="M57" s="832"/>
      <c r="N57" s="832"/>
      <c r="O57" s="48">
        <f>IF(t&lt;Tnet,'2020'!Resal+('2020'!Salim-'2020'!Resal)*(1-EXP(('2020'!Tnet-t)/('2020'!Tau_j))),Resal+(Salim-Resal)*(1-EXP((Tnet-t)/(Tau_j))))*Salcycl</f>
        <v>5.4846872513351214E-2</v>
      </c>
      <c r="P57" s="169">
        <f>(INDEX(Models!$BJ57:$BT57,,T57)*(1-R57)+INDEX(Models!$BJ57:$BT57,,T57+1)*R57-ERP_i)*Q57*Ramure*Pc/MaxiM</f>
        <v>1.4513282619338663E-5</v>
      </c>
      <c r="Q57" s="304">
        <f t="shared" si="2"/>
        <v>0.6</v>
      </c>
      <c r="R57" s="177">
        <f t="shared" si="3"/>
        <v>0.50230930887504766</v>
      </c>
      <c r="S57" s="799">
        <f t="shared" si="4"/>
        <v>-1</v>
      </c>
      <c r="T57" s="176">
        <f t="shared" si="5"/>
        <v>5</v>
      </c>
      <c r="U57" s="250">
        <f t="shared" si="20"/>
        <v>-0.49769069112495234</v>
      </c>
      <c r="V57" s="382">
        <f t="shared" si="6"/>
        <v>38.639369912739127</v>
      </c>
      <c r="W57" s="400"/>
      <c r="X57" s="157">
        <f t="shared" si="7"/>
        <v>44239</v>
      </c>
      <c r="Y57" s="383">
        <f t="shared" si="8"/>
        <v>4.9619999999999997</v>
      </c>
      <c r="Z57" s="383">
        <f t="shared" si="9"/>
        <v>5.0331621629495213</v>
      </c>
      <c r="AA57" s="384">
        <f t="shared" si="10"/>
        <v>5.3252346276774283</v>
      </c>
      <c r="AB57" s="197">
        <f t="shared" si="11"/>
        <v>44239</v>
      </c>
      <c r="AC57" s="119">
        <f>IF(OR(t&lt;Tnet,NoTnet),'2020'!Resal_s+('2020'!Salim-'2020'!Resal_s)*(1-EXP(('2020'!Tnet_s-t)/'2020'!Tau_j)),Resal_s+(Salim-Resal_s)*(1-EXP((Tnet_s-t)/Tau_j)))*Salcycl</f>
        <v>5.4846872513351214E-2</v>
      </c>
      <c r="AD57" s="230">
        <f>(INDEX(Models!$BJ57:$BT57,,AH57)*(1-AF57)+INDEX(Models!$BJ57:$BT57,,AH57+1)*AF57-ERP_i)*AE57*Ramure*Pc/MaxiM</f>
        <v>1.4513282619338663E-5</v>
      </c>
      <c r="AE57" s="304">
        <f t="shared" si="12"/>
        <v>0.6</v>
      </c>
      <c r="AF57" s="177">
        <f t="shared" si="21"/>
        <v>0.50230930887504766</v>
      </c>
      <c r="AG57" s="799">
        <f t="shared" si="22"/>
        <v>-1</v>
      </c>
      <c r="AH57" s="176">
        <f t="shared" si="13"/>
        <v>5</v>
      </c>
      <c r="AI57" s="224">
        <f t="shared" si="23"/>
        <v>-0.49769069112495234</v>
      </c>
      <c r="AJ57" s="264" t="b">
        <f t="shared" si="14"/>
        <v>0</v>
      </c>
      <c r="AK57" s="264" t="b">
        <f t="shared" si="15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6"/>
        <v>44240</v>
      </c>
      <c r="B58" s="607">
        <v>7.5810000000000004</v>
      </c>
      <c r="C58" s="388"/>
      <c r="D58" s="391">
        <f t="shared" si="0"/>
        <v>7.6898697360099364</v>
      </c>
      <c r="E58" s="383">
        <f t="shared" si="17"/>
        <v>8.1379858222156169</v>
      </c>
      <c r="F58" s="383">
        <f t="shared" si="1"/>
        <v>8.1379858222156169</v>
      </c>
      <c r="G58" s="110">
        <f t="shared" si="18"/>
        <v>0.19443933797067944</v>
      </c>
      <c r="H58" s="412" t="b">
        <f>Wh_hp&gt;='2020'!Maxi_hp</f>
        <v>0</v>
      </c>
      <c r="I58" s="379">
        <f>IF(H58,Wh_hp,'2020'!Maxi_hp)</f>
        <v>18.083724200929222</v>
      </c>
      <c r="J58" s="85">
        <f>IF(H58,An,'2020'!An_max)</f>
        <v>2020</v>
      </c>
      <c r="K58" s="197">
        <f t="shared" si="19"/>
        <v>44240</v>
      </c>
      <c r="L58" s="147">
        <f>IF(t&lt;Tvie,1-EXP((T0-t)*PertePVj)+'2020'!Pspv,1-EXP((T0-t)*PertePVj)+Pspv)</f>
        <v>1.415755269560981E-2</v>
      </c>
      <c r="M58" s="832"/>
      <c r="N58" s="832"/>
      <c r="O58" s="48">
        <f>IF(t&lt;Tnet,'2020'!Resal+('2020'!Salim-'2020'!Resal)*(1-EXP(('2020'!Tnet-t)/('2020'!Tau_j))),Resal+(Salim-Resal)*(1-EXP((Tnet-t)/(Tau_j))))*Salcycl</f>
        <v>5.506474157062103E-2</v>
      </c>
      <c r="P58" s="169">
        <f>(INDEX(Models!$BJ58:$BT58,,T58)*(1-R58)+INDEX(Models!$BJ58:$BT58,,T58+1)*R58-ERP_i)*Q58*Ramure*Pc/MaxiM</f>
        <v>1.4382822268014107E-5</v>
      </c>
      <c r="Q58" s="304">
        <f t="shared" si="2"/>
        <v>0.6</v>
      </c>
      <c r="R58" s="177">
        <f t="shared" si="3"/>
        <v>0.50247131094608677</v>
      </c>
      <c r="S58" s="799">
        <f t="shared" si="4"/>
        <v>-1</v>
      </c>
      <c r="T58" s="176">
        <f t="shared" si="5"/>
        <v>5</v>
      </c>
      <c r="U58" s="250">
        <f t="shared" si="20"/>
        <v>-0.49752868905391318</v>
      </c>
      <c r="V58" s="382">
        <f t="shared" si="6"/>
        <v>38.988463152284282</v>
      </c>
      <c r="W58" s="400"/>
      <c r="X58" s="157">
        <f t="shared" si="7"/>
        <v>44240</v>
      </c>
      <c r="Y58" s="383">
        <f t="shared" si="8"/>
        <v>7.5810000000000004</v>
      </c>
      <c r="Z58" s="383">
        <f t="shared" si="9"/>
        <v>7.6898697360099364</v>
      </c>
      <c r="AA58" s="384">
        <f t="shared" si="10"/>
        <v>8.1379858222156169</v>
      </c>
      <c r="AB58" s="197">
        <f t="shared" si="11"/>
        <v>44240</v>
      </c>
      <c r="AC58" s="119">
        <f>IF(OR(t&lt;Tnet,NoTnet),'2020'!Resal_s+('2020'!Salim-'2020'!Resal_s)*(1-EXP(('2020'!Tnet_s-t)/'2020'!Tau_j)),Resal_s+(Salim-Resal_s)*(1-EXP((Tnet_s-t)/Tau_j)))*Salcycl</f>
        <v>5.506474157062103E-2</v>
      </c>
      <c r="AD58" s="230">
        <f>(INDEX(Models!$BJ58:$BT58,,AH58)*(1-AF58)+INDEX(Models!$BJ58:$BT58,,AH58+1)*AF58-ERP_i)*AE58*Ramure*Pc/MaxiM</f>
        <v>1.4382822268014107E-5</v>
      </c>
      <c r="AE58" s="304">
        <f t="shared" si="12"/>
        <v>0.6</v>
      </c>
      <c r="AF58" s="177">
        <f t="shared" si="21"/>
        <v>0.50247131094608677</v>
      </c>
      <c r="AG58" s="799">
        <f t="shared" si="22"/>
        <v>-1</v>
      </c>
      <c r="AH58" s="176">
        <f t="shared" si="13"/>
        <v>5</v>
      </c>
      <c r="AI58" s="224">
        <f t="shared" si="23"/>
        <v>-0.49752868905391318</v>
      </c>
      <c r="AJ58" s="264" t="b">
        <f t="shared" si="14"/>
        <v>0</v>
      </c>
      <c r="AK58" s="264" t="b">
        <f t="shared" si="15"/>
        <v>0</v>
      </c>
      <c r="AL58" s="264"/>
      <c r="AM58" s="264"/>
      <c r="AN58" s="75"/>
    </row>
    <row r="59" spans="1:40" s="6" customFormat="1" ht="11.25" x14ac:dyDescent="0.2">
      <c r="A59" s="56">
        <f t="shared" si="16"/>
        <v>44241</v>
      </c>
      <c r="B59" s="607">
        <v>37.898000000000003</v>
      </c>
      <c r="C59" s="388"/>
      <c r="D59" s="391">
        <f t="shared" si="0"/>
        <v>38.442984905013098</v>
      </c>
      <c r="E59" s="383">
        <f t="shared" si="17"/>
        <v>40.69255654337524</v>
      </c>
      <c r="F59" s="383">
        <f t="shared" si="1"/>
        <v>40.693105086860676</v>
      </c>
      <c r="G59" s="110">
        <f t="shared" si="18"/>
        <v>0.96342292930292406</v>
      </c>
      <c r="H59" s="412" t="b">
        <f>Wh_hp&gt;='2020'!Maxi_hp</f>
        <v>1</v>
      </c>
      <c r="I59" s="379">
        <f>IF(H59,Wh_hp,'2020'!Maxi_hp)</f>
        <v>40.693105086860676</v>
      </c>
      <c r="J59" s="85">
        <f>IF(H59,An,'2020'!An_max)</f>
        <v>2021</v>
      </c>
      <c r="K59" s="197">
        <f t="shared" si="19"/>
        <v>44241</v>
      </c>
      <c r="L59" s="147">
        <f>IF(t&lt;Tvie,1-EXP((T0-t)*PertePVj)+'2020'!Pspv,1-EXP((T0-t)*PertePVj)+Pspv)</f>
        <v>1.4176446141205612E-2</v>
      </c>
      <c r="M59" s="832"/>
      <c r="N59" s="832"/>
      <c r="O59" s="48">
        <f>IF(t&lt;Tnet,'2020'!Resal+('2020'!Salim-'2020'!Resal)*(1-EXP(('2020'!Tnet-t)/('2020'!Tau_j))),Resal+(Salim-Resal)*(1-EXP((Tnet-t)/(Tau_j))))*Salcycl</f>
        <v>5.5282140751325426E-2</v>
      </c>
      <c r="P59" s="169">
        <f>(INDEX(Models!$BJ59:$BT59,,T59)*(1-R59)+INDEX(Models!$BJ59:$BT59,,T59+1)*R59-ERP_i)*Q59*Ramure*Pc/MaxiM</f>
        <v>1.4223200279189825E-5</v>
      </c>
      <c r="Q59" s="304">
        <f t="shared" si="2"/>
        <v>0.6</v>
      </c>
      <c r="R59" s="177">
        <f t="shared" si="3"/>
        <v>0.50263999701006856</v>
      </c>
      <c r="S59" s="799">
        <f t="shared" si="4"/>
        <v>-1</v>
      </c>
      <c r="T59" s="176">
        <f t="shared" si="5"/>
        <v>5</v>
      </c>
      <c r="U59" s="250">
        <f t="shared" si="20"/>
        <v>-0.49736000298993144</v>
      </c>
      <c r="V59" s="382">
        <f t="shared" si="6"/>
        <v>39.336796625378518</v>
      </c>
      <c r="W59" s="400"/>
      <c r="X59" s="157">
        <f t="shared" si="7"/>
        <v>44241</v>
      </c>
      <c r="Y59" s="383">
        <f t="shared" si="8"/>
        <v>37.898000000000003</v>
      </c>
      <c r="Z59" s="383">
        <f t="shared" si="9"/>
        <v>38.442984905013098</v>
      </c>
      <c r="AA59" s="384">
        <f t="shared" si="10"/>
        <v>40.69255654337524</v>
      </c>
      <c r="AB59" s="197">
        <f t="shared" si="11"/>
        <v>44241</v>
      </c>
      <c r="AC59" s="119">
        <f>IF(OR(t&lt;Tnet,NoTnet),'2020'!Resal_s+('2020'!Salim-'2020'!Resal_s)*(1-EXP(('2020'!Tnet_s-t)/'2020'!Tau_j)),Resal_s+(Salim-Resal_s)*(1-EXP((Tnet_s-t)/Tau_j)))*Salcycl</f>
        <v>5.5282140751325426E-2</v>
      </c>
      <c r="AD59" s="230">
        <f>(INDEX(Models!$BJ59:$BT59,,AH59)*(1-AF59)+INDEX(Models!$BJ59:$BT59,,AH59+1)*AF59-ERP_i)*AE59*Ramure*Pc/MaxiM</f>
        <v>1.4223200279189825E-5</v>
      </c>
      <c r="AE59" s="304">
        <f t="shared" si="12"/>
        <v>0.6</v>
      </c>
      <c r="AF59" s="177">
        <f t="shared" si="21"/>
        <v>0.50263999701006856</v>
      </c>
      <c r="AG59" s="799">
        <f t="shared" si="22"/>
        <v>-1</v>
      </c>
      <c r="AH59" s="176">
        <f t="shared" si="13"/>
        <v>5</v>
      </c>
      <c r="AI59" s="224">
        <f t="shared" si="23"/>
        <v>-0.49736000298993144</v>
      </c>
      <c r="AJ59" s="264" t="b">
        <f t="shared" si="14"/>
        <v>0</v>
      </c>
      <c r="AK59" s="264" t="b">
        <f t="shared" si="15"/>
        <v>0</v>
      </c>
      <c r="AL59" s="264"/>
      <c r="AM59" s="264"/>
      <c r="AN59" s="75"/>
    </row>
    <row r="60" spans="1:40" s="6" customFormat="1" ht="11.25" x14ac:dyDescent="0.2">
      <c r="A60" s="56">
        <f t="shared" si="16"/>
        <v>44242</v>
      </c>
      <c r="B60" s="607">
        <v>36.313000000000002</v>
      </c>
      <c r="C60" s="388"/>
      <c r="D60" s="391">
        <f t="shared" si="0"/>
        <v>36.835898068732604</v>
      </c>
      <c r="E60" s="383">
        <f t="shared" si="17"/>
        <v>39.000382868415286</v>
      </c>
      <c r="F60" s="383">
        <f t="shared" si="1"/>
        <v>39.000863837038132</v>
      </c>
      <c r="G60" s="110">
        <f t="shared" si="18"/>
        <v>0.91505767317999598</v>
      </c>
      <c r="H60" s="412" t="b">
        <f>Wh_hp&gt;='2020'!Maxi_hp</f>
        <v>0</v>
      </c>
      <c r="I60" s="379">
        <f>IF(H60,Wh_hp,'2020'!Maxi_hp)</f>
        <v>42.120737329566786</v>
      </c>
      <c r="J60" s="85">
        <f>IF(H60,An,'2020'!An_max)</f>
        <v>2020</v>
      </c>
      <c r="K60" s="197">
        <f t="shared" si="19"/>
        <v>44242</v>
      </c>
      <c r="L60" s="147">
        <f>IF(t&lt;Tvie,1-EXP((T0-t)*PertePVj)+'2020'!Pspv,1-EXP((T0-t)*PertePVj)+Pspv)</f>
        <v>1.4195339224712833E-2</v>
      </c>
      <c r="M60" s="832"/>
      <c r="N60" s="832"/>
      <c r="O60" s="48">
        <f>IF(t&lt;Tnet,'2020'!Resal+('2020'!Salim-'2020'!Resal)*(1-EXP(('2020'!Tnet-t)/('2020'!Tau_j))),Resal+(Salim-Resal)*(1-EXP((Tnet-t)/(Tau_j))))*Salcycl</f>
        <v>5.5499065406242568E-2</v>
      </c>
      <c r="P60" s="169">
        <f>(INDEX(Models!$BJ60:$BT60,,T60)*(1-R60)+INDEX(Models!$BJ60:$BT60,,T60+1)*R60-ERP_i)*Q60*Ramure*Pc/MaxiM</f>
        <v>1.4035361963018871E-5</v>
      </c>
      <c r="Q60" s="304">
        <f t="shared" si="2"/>
        <v>0.6</v>
      </c>
      <c r="R60" s="177">
        <f t="shared" si="3"/>
        <v>0.50281563797639905</v>
      </c>
      <c r="S60" s="799">
        <f t="shared" si="4"/>
        <v>-1</v>
      </c>
      <c r="T60" s="176">
        <f t="shared" si="5"/>
        <v>5</v>
      </c>
      <c r="U60" s="250">
        <f t="shared" si="20"/>
        <v>-0.497184362023601</v>
      </c>
      <c r="V60" s="382">
        <f t="shared" si="6"/>
        <v>39.683769907248582</v>
      </c>
      <c r="W60" s="400"/>
      <c r="X60" s="157">
        <f t="shared" si="7"/>
        <v>44242</v>
      </c>
      <c r="Y60" s="383">
        <f t="shared" si="8"/>
        <v>36.313000000000002</v>
      </c>
      <c r="Z60" s="383">
        <f t="shared" si="9"/>
        <v>36.835898068732604</v>
      </c>
      <c r="AA60" s="384">
        <f t="shared" si="10"/>
        <v>39.000382868415286</v>
      </c>
      <c r="AB60" s="197">
        <f t="shared" si="11"/>
        <v>44242</v>
      </c>
      <c r="AC60" s="119">
        <f>IF(OR(t&lt;Tnet,NoTnet),'2020'!Resal_s+('2020'!Salim-'2020'!Resal_s)*(1-EXP(('2020'!Tnet_s-t)/'2020'!Tau_j)),Resal_s+(Salim-Resal_s)*(1-EXP((Tnet_s-t)/Tau_j)))*Salcycl</f>
        <v>5.5499065406242568E-2</v>
      </c>
      <c r="AD60" s="230">
        <f>(INDEX(Models!$BJ60:$BT60,,AH60)*(1-AF60)+INDEX(Models!$BJ60:$BT60,,AH60+1)*AF60-ERP_i)*AE60*Ramure*Pc/MaxiM</f>
        <v>1.4035361963018871E-5</v>
      </c>
      <c r="AE60" s="304">
        <f t="shared" si="12"/>
        <v>0.6</v>
      </c>
      <c r="AF60" s="177">
        <f t="shared" si="21"/>
        <v>0.50281563797639905</v>
      </c>
      <c r="AG60" s="799">
        <f t="shared" si="22"/>
        <v>-1</v>
      </c>
      <c r="AH60" s="176">
        <f t="shared" si="13"/>
        <v>5</v>
      </c>
      <c r="AI60" s="224">
        <f t="shared" si="23"/>
        <v>-0.497184362023601</v>
      </c>
      <c r="AJ60" s="264" t="b">
        <f t="shared" si="14"/>
        <v>0</v>
      </c>
      <c r="AK60" s="264" t="b">
        <f t="shared" si="15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6"/>
        <v>44243</v>
      </c>
      <c r="B61" s="607">
        <v>32.038000000000004</v>
      </c>
      <c r="C61" s="388"/>
      <c r="D61" s="391">
        <f t="shared" si="0"/>
        <v>32.499961998081417</v>
      </c>
      <c r="E61" s="383">
        <f t="shared" si="17"/>
        <v>34.417553585239254</v>
      </c>
      <c r="F61" s="383">
        <f t="shared" si="1"/>
        <v>34.417893598161328</v>
      </c>
      <c r="G61" s="110">
        <f t="shared" si="18"/>
        <v>0.80037091295015483</v>
      </c>
      <c r="H61" s="412" t="b">
        <f>Wh_hp&gt;='2020'!Maxi_hp</f>
        <v>1</v>
      </c>
      <c r="I61" s="379">
        <f>IF(H61,Wh_hp,'2020'!Maxi_hp)</f>
        <v>34.417893598161328</v>
      </c>
      <c r="J61" s="85">
        <f>IF(H61,An,'2020'!An_max)</f>
        <v>2021</v>
      </c>
      <c r="K61" s="197">
        <f t="shared" si="19"/>
        <v>44243</v>
      </c>
      <c r="L61" s="147">
        <f>IF(t&lt;Tvie,1-EXP((T0-t)*PertePVj)+'2020'!Pspv,1-EXP((T0-t)*PertePVj)+Pspv)</f>
        <v>1.4214231946138356E-2</v>
      </c>
      <c r="M61" s="832"/>
      <c r="N61" s="832"/>
      <c r="O61" s="48">
        <f>IF(t&lt;Tnet,'2020'!Resal+('2020'!Salim-'2020'!Resal)*(1-EXP(('2020'!Tnet-t)/('2020'!Tau_j))),Resal+(Salim-Resal)*(1-EXP((Tnet-t)/(Tau_j))))*Salcycl</f>
        <v>5.5715511051902165E-2</v>
      </c>
      <c r="P61" s="169">
        <f>(INDEX(Models!$BJ61:$BT61,,T61)*(1-R61)+INDEX(Models!$BJ61:$BT61,,T61+1)*R61-ERP_i)*Q61*Ramure*Pc/MaxiM</f>
        <v>1.3820201693255648E-5</v>
      </c>
      <c r="Q61" s="304">
        <f t="shared" si="2"/>
        <v>0.6</v>
      </c>
      <c r="R61" s="177">
        <f t="shared" si="3"/>
        <v>0.50299851532218709</v>
      </c>
      <c r="S61" s="799">
        <f t="shared" si="4"/>
        <v>-1</v>
      </c>
      <c r="T61" s="176">
        <f t="shared" si="5"/>
        <v>5</v>
      </c>
      <c r="U61" s="250">
        <f t="shared" si="20"/>
        <v>-0.49700148467781291</v>
      </c>
      <c r="V61" s="382">
        <f t="shared" si="6"/>
        <v>40.028783168909804</v>
      </c>
      <c r="W61" s="400"/>
      <c r="X61" s="157">
        <f t="shared" si="7"/>
        <v>44243</v>
      </c>
      <c r="Y61" s="383">
        <f t="shared" si="8"/>
        <v>32.038000000000004</v>
      </c>
      <c r="Z61" s="383">
        <f t="shared" si="9"/>
        <v>32.499961998081417</v>
      </c>
      <c r="AA61" s="384">
        <f t="shared" si="10"/>
        <v>34.417553585239254</v>
      </c>
      <c r="AB61" s="197">
        <f t="shared" si="11"/>
        <v>44243</v>
      </c>
      <c r="AC61" s="119">
        <f>IF(OR(t&lt;Tnet,NoTnet),'2020'!Resal_s+('2020'!Salim-'2020'!Resal_s)*(1-EXP(('2020'!Tnet_s-t)/'2020'!Tau_j)),Resal_s+(Salim-Resal_s)*(1-EXP((Tnet_s-t)/Tau_j)))*Salcycl</f>
        <v>5.5715511051902165E-2</v>
      </c>
      <c r="AD61" s="230">
        <f>(INDEX(Models!$BJ61:$BT61,,AH61)*(1-AF61)+INDEX(Models!$BJ61:$BT61,,AH61+1)*AF61-ERP_i)*AE61*Ramure*Pc/MaxiM</f>
        <v>1.3820201693255648E-5</v>
      </c>
      <c r="AE61" s="304">
        <f t="shared" si="12"/>
        <v>0.6</v>
      </c>
      <c r="AF61" s="177">
        <f t="shared" si="21"/>
        <v>0.50299851532218709</v>
      </c>
      <c r="AG61" s="799">
        <f t="shared" si="22"/>
        <v>-1</v>
      </c>
      <c r="AH61" s="176">
        <f t="shared" si="13"/>
        <v>5</v>
      </c>
      <c r="AI61" s="224">
        <f t="shared" si="23"/>
        <v>-0.49700148467781291</v>
      </c>
      <c r="AJ61" s="264" t="b">
        <f t="shared" si="14"/>
        <v>0</v>
      </c>
      <c r="AK61" s="264" t="b">
        <f t="shared" si="15"/>
        <v>0</v>
      </c>
      <c r="AL61" s="264"/>
      <c r="AM61" s="264"/>
      <c r="AN61" s="75"/>
    </row>
    <row r="62" spans="1:40" s="6" customFormat="1" ht="11.25" x14ac:dyDescent="0.2">
      <c r="A62" s="56">
        <f t="shared" si="16"/>
        <v>44244</v>
      </c>
      <c r="B62" s="607">
        <v>36.140999999999998</v>
      </c>
      <c r="C62" s="388"/>
      <c r="D62" s="391">
        <f t="shared" si="0"/>
        <v>36.662826567931972</v>
      </c>
      <c r="E62" s="383">
        <f t="shared" si="17"/>
        <v>38.834920916636527</v>
      </c>
      <c r="F62" s="383">
        <f t="shared" si="1"/>
        <v>38.835369308971607</v>
      </c>
      <c r="G62" s="110">
        <f t="shared" si="18"/>
        <v>0.89521473881942182</v>
      </c>
      <c r="H62" s="412" t="b">
        <f>Wh_hp&gt;='2020'!Maxi_hp</f>
        <v>1</v>
      </c>
      <c r="I62" s="379">
        <f>IF(H62,Wh_hp,'2020'!Maxi_hp)</f>
        <v>38.835369308971607</v>
      </c>
      <c r="J62" s="85">
        <f>IF(H62,An,'2020'!An_max)</f>
        <v>2021</v>
      </c>
      <c r="K62" s="197">
        <f t="shared" si="19"/>
        <v>44244</v>
      </c>
      <c r="L62" s="147">
        <f>IF(t&lt;Tvie,1-EXP((T0-t)*PertePVj)+'2020'!Pspv,1-EXP((T0-t)*PertePVj)+Pspv)</f>
        <v>1.4233124305489286E-2</v>
      </c>
      <c r="M62" s="832"/>
      <c r="N62" s="832"/>
      <c r="O62" s="48">
        <f>IF(t&lt;Tnet,'2020'!Resal+('2020'!Salim-'2020'!Resal)*(1-EXP(('2020'!Tnet-t)/('2020'!Tau_j))),Resal+(Salim-Resal)*(1-EXP((Tnet-t)/(Tau_j))))*Salcycl</f>
        <v>5.5931473463463395E-2</v>
      </c>
      <c r="P62" s="169">
        <f>(INDEX(Models!$BJ62:$BT62,,T62)*(1-R62)+INDEX(Models!$BJ62:$BT62,,T62+1)*R62-ERP_i)*Q62*Ramure*Pc/MaxiM</f>
        <v>1.357856189181938E-5</v>
      </c>
      <c r="Q62" s="304">
        <f t="shared" si="2"/>
        <v>0.6</v>
      </c>
      <c r="R62" s="177">
        <f t="shared" si="3"/>
        <v>0.50318892146934346</v>
      </c>
      <c r="S62" s="799">
        <f t="shared" si="4"/>
        <v>-1</v>
      </c>
      <c r="T62" s="176">
        <f t="shared" si="5"/>
        <v>5</v>
      </c>
      <c r="U62" s="250">
        <f t="shared" si="20"/>
        <v>-0.49681107853065659</v>
      </c>
      <c r="V62" s="382">
        <f t="shared" si="6"/>
        <v>40.371237170662702</v>
      </c>
      <c r="W62" s="400"/>
      <c r="X62" s="157">
        <f t="shared" si="7"/>
        <v>44244</v>
      </c>
      <c r="Y62" s="383">
        <f t="shared" si="8"/>
        <v>36.140999999999998</v>
      </c>
      <c r="Z62" s="383">
        <f t="shared" si="9"/>
        <v>36.662826567931972</v>
      </c>
      <c r="AA62" s="384">
        <f t="shared" si="10"/>
        <v>38.834920916636527</v>
      </c>
      <c r="AB62" s="197">
        <f t="shared" si="11"/>
        <v>44244</v>
      </c>
      <c r="AC62" s="119">
        <f>IF(OR(t&lt;Tnet,NoTnet),'2020'!Resal_s+('2020'!Salim-'2020'!Resal_s)*(1-EXP(('2020'!Tnet_s-t)/'2020'!Tau_j)),Resal_s+(Salim-Resal_s)*(1-EXP((Tnet_s-t)/Tau_j)))*Salcycl</f>
        <v>5.5931473463463395E-2</v>
      </c>
      <c r="AD62" s="230">
        <f>(INDEX(Models!$BJ62:$BT62,,AH62)*(1-AF62)+INDEX(Models!$BJ62:$BT62,,AH62+1)*AF62-ERP_i)*AE62*Ramure*Pc/MaxiM</f>
        <v>1.357856189181938E-5</v>
      </c>
      <c r="AE62" s="304">
        <f t="shared" si="12"/>
        <v>0.6</v>
      </c>
      <c r="AF62" s="177">
        <f t="shared" si="21"/>
        <v>0.50318892146934346</v>
      </c>
      <c r="AG62" s="799">
        <f t="shared" si="22"/>
        <v>-1</v>
      </c>
      <c r="AH62" s="176">
        <f t="shared" si="13"/>
        <v>5</v>
      </c>
      <c r="AI62" s="224">
        <f t="shared" si="23"/>
        <v>-0.49681107853065659</v>
      </c>
      <c r="AJ62" s="264" t="b">
        <f t="shared" si="14"/>
        <v>0</v>
      </c>
      <c r="AK62" s="264" t="b">
        <f t="shared" si="15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6"/>
        <v>44245</v>
      </c>
      <c r="B63" s="607">
        <v>14.779</v>
      </c>
      <c r="C63" s="388"/>
      <c r="D63" s="391">
        <f t="shared" si="0"/>
        <v>14.992675860790163</v>
      </c>
      <c r="E63" s="383">
        <f t="shared" si="17"/>
        <v>15.884544571024509</v>
      </c>
      <c r="F63" s="383">
        <f t="shared" si="1"/>
        <v>15.884563608891657</v>
      </c>
      <c r="G63" s="110">
        <f t="shared" si="18"/>
        <v>0.36302204381762854</v>
      </c>
      <c r="H63" s="412" t="b">
        <f>Wh_hp&gt;='2020'!Maxi_hp</f>
        <v>0</v>
      </c>
      <c r="I63" s="379">
        <f>IF(H63,Wh_hp,'2020'!Maxi_hp)</f>
        <v>32.800536409115679</v>
      </c>
      <c r="J63" s="85">
        <f>IF(H63,An,'2020'!An_max)</f>
        <v>2020</v>
      </c>
      <c r="K63" s="197">
        <f t="shared" si="19"/>
        <v>44245</v>
      </c>
      <c r="L63" s="147">
        <f>IF(t&lt;Tvie,1-EXP((T0-t)*PertePVj)+'2020'!Pspv,1-EXP((T0-t)*PertePVj)+Pspv)</f>
        <v>1.4252016302772397E-2</v>
      </c>
      <c r="M63" s="832"/>
      <c r="N63" s="832"/>
      <c r="O63" s="48">
        <f>IF(t&lt;Tnet,'2020'!Resal+('2020'!Salim-'2020'!Resal)*(1-EXP(('2020'!Tnet-t)/('2020'!Tau_j))),Resal+(Salim-Resal)*(1-EXP((Tnet-t)/(Tau_j))))*Salcycl</f>
        <v>5.6146948768127231E-2</v>
      </c>
      <c r="P63" s="169">
        <f>(INDEX(Models!$BJ63:$BT63,,T63)*(1-R63)+INDEX(Models!$BJ63:$BT63,,T63+1)*R63-ERP_i)*Q63*Ramure*Pc/MaxiM</f>
        <v>1.3311232203231651E-5</v>
      </c>
      <c r="Q63" s="304">
        <f t="shared" si="2"/>
        <v>0.6</v>
      </c>
      <c r="R63" s="177">
        <f t="shared" si="3"/>
        <v>0.50338716017209162</v>
      </c>
      <c r="S63" s="799">
        <f t="shared" si="4"/>
        <v>-1</v>
      </c>
      <c r="T63" s="176">
        <f t="shared" si="5"/>
        <v>5</v>
      </c>
      <c r="U63" s="250">
        <f t="shared" si="20"/>
        <v>-0.49661283982790833</v>
      </c>
      <c r="V63" s="382">
        <f t="shared" si="6"/>
        <v>40.710533251647846</v>
      </c>
      <c r="W63" s="400"/>
      <c r="X63" s="157">
        <f t="shared" si="7"/>
        <v>44245</v>
      </c>
      <c r="Y63" s="383">
        <f t="shared" si="8"/>
        <v>14.779</v>
      </c>
      <c r="Z63" s="383">
        <f t="shared" si="9"/>
        <v>14.992675860790163</v>
      </c>
      <c r="AA63" s="384">
        <f t="shared" si="10"/>
        <v>15.884544571024509</v>
      </c>
      <c r="AB63" s="197">
        <f t="shared" si="11"/>
        <v>44245</v>
      </c>
      <c r="AC63" s="119">
        <f>IF(OR(t&lt;Tnet,NoTnet),'2020'!Resal_s+('2020'!Salim-'2020'!Resal_s)*(1-EXP(('2020'!Tnet_s-t)/'2020'!Tau_j)),Resal_s+(Salim-Resal_s)*(1-EXP((Tnet_s-t)/Tau_j)))*Salcycl</f>
        <v>5.6146948768127231E-2</v>
      </c>
      <c r="AD63" s="230">
        <f>(INDEX(Models!$BJ63:$BT63,,AH63)*(1-AF63)+INDEX(Models!$BJ63:$BT63,,AH63+1)*AF63-ERP_i)*AE63*Ramure*Pc/MaxiM</f>
        <v>1.3311232203231651E-5</v>
      </c>
      <c r="AE63" s="304">
        <f t="shared" si="12"/>
        <v>0.6</v>
      </c>
      <c r="AF63" s="177">
        <f t="shared" si="21"/>
        <v>0.50338716017209162</v>
      </c>
      <c r="AG63" s="799">
        <f t="shared" si="22"/>
        <v>-1</v>
      </c>
      <c r="AH63" s="176">
        <f t="shared" si="13"/>
        <v>5</v>
      </c>
      <c r="AI63" s="224">
        <f t="shared" si="23"/>
        <v>-0.49661283982790833</v>
      </c>
      <c r="AJ63" s="264" t="b">
        <f t="shared" si="14"/>
        <v>0</v>
      </c>
      <c r="AK63" s="264" t="b">
        <f t="shared" si="15"/>
        <v>0</v>
      </c>
      <c r="AL63" s="264"/>
      <c r="AM63" s="264"/>
      <c r="AN63" s="75"/>
    </row>
    <row r="64" spans="1:40" s="6" customFormat="1" ht="11.25" x14ac:dyDescent="0.2">
      <c r="A64" s="56">
        <f t="shared" si="16"/>
        <v>44246</v>
      </c>
      <c r="B64" s="607">
        <v>38.374000000000002</v>
      </c>
      <c r="C64" s="388"/>
      <c r="D64" s="391">
        <f t="shared" si="0"/>
        <v>38.929560169241881</v>
      </c>
      <c r="E64" s="383">
        <f t="shared" si="17"/>
        <v>41.254758103610371</v>
      </c>
      <c r="F64" s="383">
        <f t="shared" si="1"/>
        <v>41.255245253729655</v>
      </c>
      <c r="G64" s="110">
        <f t="shared" si="18"/>
        <v>0.93489950266538724</v>
      </c>
      <c r="H64" s="412" t="b">
        <f>Wh_hp&gt;='2020'!Maxi_hp</f>
        <v>1</v>
      </c>
      <c r="I64" s="379">
        <f>IF(H64,Wh_hp,'2020'!Maxi_hp)</f>
        <v>41.255245253729655</v>
      </c>
      <c r="J64" s="85">
        <f>IF(H64,An,'2020'!An_max)</f>
        <v>2021</v>
      </c>
      <c r="K64" s="197">
        <f t="shared" si="19"/>
        <v>44246</v>
      </c>
      <c r="L64" s="147">
        <f>IF(t&lt;Tvie,1-EXP((T0-t)*PertePVj)+'2020'!Pspv,1-EXP((T0-t)*PertePVj)+Pspv)</f>
        <v>1.4270907937994681E-2</v>
      </c>
      <c r="M64" s="832"/>
      <c r="N64" s="832"/>
      <c r="O64" s="48">
        <f>IF(t&lt;Tnet,'2020'!Resal+('2020'!Salim-'2020'!Resal)*(1-EXP(('2020'!Tnet-t)/('2020'!Tau_j))),Resal+(Salim-Resal)*(1-EXP((Tnet-t)/(Tau_j))))*Salcycl</f>
        <v>5.6361933538158403E-2</v>
      </c>
      <c r="P64" s="169">
        <f>(INDEX(Models!$BJ64:$BT64,,T64)*(1-R64)+INDEX(Models!$BJ64:$BT64,,T64+1)*R64-ERP_i)*Q64*Ramure*Pc/MaxiM</f>
        <v>1.3018948793410315E-5</v>
      </c>
      <c r="Q64" s="304">
        <f t="shared" si="2"/>
        <v>0.6</v>
      </c>
      <c r="R64" s="177">
        <f t="shared" si="3"/>
        <v>0.50359354691490066</v>
      </c>
      <c r="S64" s="799">
        <f t="shared" si="4"/>
        <v>-1</v>
      </c>
      <c r="T64" s="176">
        <f t="shared" si="5"/>
        <v>5</v>
      </c>
      <c r="U64" s="250">
        <f t="shared" si="20"/>
        <v>-0.49640645308509934</v>
      </c>
      <c r="V64" s="382">
        <f t="shared" si="6"/>
        <v>41.046073325218913</v>
      </c>
      <c r="W64" s="400"/>
      <c r="X64" s="157">
        <f t="shared" si="7"/>
        <v>44246</v>
      </c>
      <c r="Y64" s="383">
        <f t="shared" si="8"/>
        <v>38.374000000000002</v>
      </c>
      <c r="Z64" s="383">
        <f t="shared" si="9"/>
        <v>38.929560169241881</v>
      </c>
      <c r="AA64" s="384">
        <f t="shared" si="10"/>
        <v>41.254758103610371</v>
      </c>
      <c r="AB64" s="197">
        <f t="shared" si="11"/>
        <v>44246</v>
      </c>
      <c r="AC64" s="119">
        <f>IF(OR(t&lt;Tnet,NoTnet),'2020'!Resal_s+('2020'!Salim-'2020'!Resal_s)*(1-EXP(('2020'!Tnet_s-t)/'2020'!Tau_j)),Resal_s+(Salim-Resal_s)*(1-EXP((Tnet_s-t)/Tau_j)))*Salcycl</f>
        <v>5.6361933538158403E-2</v>
      </c>
      <c r="AD64" s="230">
        <f>(INDEX(Models!$BJ64:$BT64,,AH64)*(1-AF64)+INDEX(Models!$BJ64:$BT64,,AH64+1)*AF64-ERP_i)*AE64*Ramure*Pc/MaxiM</f>
        <v>1.3018948793410315E-5</v>
      </c>
      <c r="AE64" s="304">
        <f t="shared" si="12"/>
        <v>0.6</v>
      </c>
      <c r="AF64" s="177">
        <f t="shared" si="21"/>
        <v>0.50359354691490066</v>
      </c>
      <c r="AG64" s="799">
        <f t="shared" si="22"/>
        <v>-1</v>
      </c>
      <c r="AH64" s="176">
        <f t="shared" si="13"/>
        <v>5</v>
      </c>
      <c r="AI64" s="224">
        <f t="shared" si="23"/>
        <v>-0.49640645308509934</v>
      </c>
      <c r="AJ64" s="264" t="b">
        <f t="shared" si="14"/>
        <v>0</v>
      </c>
      <c r="AK64" s="264" t="b">
        <f t="shared" si="15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6"/>
        <v>44247</v>
      </c>
      <c r="B65" s="607">
        <v>33.414000000000001</v>
      </c>
      <c r="C65" s="388"/>
      <c r="D65" s="391">
        <f t="shared" si="0"/>
        <v>33.898401348854556</v>
      </c>
      <c r="E65" s="383">
        <f t="shared" si="17"/>
        <v>35.931263795942989</v>
      </c>
      <c r="F65" s="383">
        <f t="shared" si="1"/>
        <v>35.93159470117844</v>
      </c>
      <c r="G65" s="110">
        <f t="shared" si="18"/>
        <v>0.80751711408845395</v>
      </c>
      <c r="H65" s="412" t="b">
        <f>Wh_hp&gt;='2020'!Maxi_hp</f>
        <v>0</v>
      </c>
      <c r="I65" s="379">
        <f>IF(H65,Wh_hp,'2020'!Maxi_hp)</f>
        <v>44.665553120035945</v>
      </c>
      <c r="J65" s="85">
        <f>IF(H65,An,'2020'!An_max)</f>
        <v>2020</v>
      </c>
      <c r="K65" s="197">
        <f t="shared" si="19"/>
        <v>44247</v>
      </c>
      <c r="L65" s="147">
        <f>IF(t&lt;Tvie,1-EXP((T0-t)*PertePVj)+'2020'!Pspv,1-EXP((T0-t)*PertePVj)+Pspv)</f>
        <v>1.4289799211163134E-2</v>
      </c>
      <c r="M65" s="832"/>
      <c r="N65" s="832"/>
      <c r="O65" s="48">
        <f>IF(t&lt;Tnet,'2020'!Resal+('2020'!Salim-'2020'!Resal)*(1-EXP(('2020'!Tnet-t)/('2020'!Tau_j))),Resal+(Salim-Resal)*(1-EXP((Tnet-t)/(Tau_j))))*Salcycl</f>
        <v>5.6576424882610478E-2</v>
      </c>
      <c r="P65" s="169">
        <f>(INDEX(Models!$BJ65:$BT65,,T65)*(1-R65)+INDEX(Models!$BJ65:$BT65,,T65+1)*R65-ERP_i)*Q65*Ramure*Pc/MaxiM</f>
        <v>1.2701999194919734E-5</v>
      </c>
      <c r="Q65" s="304">
        <f t="shared" si="2"/>
        <v>0.6</v>
      </c>
      <c r="R65" s="177">
        <f t="shared" si="3"/>
        <v>0.50380840932081095</v>
      </c>
      <c r="S65" s="799">
        <f t="shared" si="4"/>
        <v>-1</v>
      </c>
      <c r="T65" s="176">
        <f t="shared" si="5"/>
        <v>5</v>
      </c>
      <c r="U65" s="250">
        <f t="shared" si="20"/>
        <v>-0.49619159067918905</v>
      </c>
      <c r="V65" s="382">
        <f t="shared" si="6"/>
        <v>41.378545062744692</v>
      </c>
      <c r="W65" s="400"/>
      <c r="X65" s="157">
        <f t="shared" si="7"/>
        <v>44247</v>
      </c>
      <c r="Y65" s="383">
        <f t="shared" si="8"/>
        <v>33.414000000000001</v>
      </c>
      <c r="Z65" s="383">
        <f t="shared" si="9"/>
        <v>33.898401348854556</v>
      </c>
      <c r="AA65" s="384">
        <f t="shared" si="10"/>
        <v>35.931263795942989</v>
      </c>
      <c r="AB65" s="197">
        <f t="shared" si="11"/>
        <v>44247</v>
      </c>
      <c r="AC65" s="119">
        <f>IF(OR(t&lt;Tnet,NoTnet),'2020'!Resal_s+('2020'!Salim-'2020'!Resal_s)*(1-EXP(('2020'!Tnet_s-t)/'2020'!Tau_j)),Resal_s+(Salim-Resal_s)*(1-EXP((Tnet_s-t)/Tau_j)))*Salcycl</f>
        <v>5.6576424882610478E-2</v>
      </c>
      <c r="AD65" s="230">
        <f>(INDEX(Models!$BJ65:$BT65,,AH65)*(1-AF65)+INDEX(Models!$BJ65:$BT65,,AH65+1)*AF65-ERP_i)*AE65*Ramure*Pc/MaxiM</f>
        <v>1.2701999194919734E-5</v>
      </c>
      <c r="AE65" s="304">
        <f t="shared" si="12"/>
        <v>0.6</v>
      </c>
      <c r="AF65" s="177">
        <f t="shared" si="21"/>
        <v>0.50380840932081095</v>
      </c>
      <c r="AG65" s="799">
        <f t="shared" si="22"/>
        <v>-1</v>
      </c>
      <c r="AH65" s="176">
        <f t="shared" si="13"/>
        <v>5</v>
      </c>
      <c r="AI65" s="224">
        <f t="shared" si="23"/>
        <v>-0.49619159067918905</v>
      </c>
      <c r="AJ65" s="264" t="b">
        <f t="shared" si="14"/>
        <v>0</v>
      </c>
      <c r="AK65" s="264" t="b">
        <f t="shared" si="15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6"/>
        <v>44248</v>
      </c>
      <c r="B66" s="607">
        <v>13.559000000000001</v>
      </c>
      <c r="C66" s="388"/>
      <c r="D66" s="391">
        <f t="shared" si="0"/>
        <v>13.75582787848878</v>
      </c>
      <c r="E66" s="383">
        <f t="shared" si="17"/>
        <v>14.584062946348132</v>
      </c>
      <c r="F66" s="383">
        <f t="shared" si="1"/>
        <v>14.584069418027404</v>
      </c>
      <c r="G66" s="110">
        <f t="shared" si="18"/>
        <v>0.32508103883867884</v>
      </c>
      <c r="H66" s="412" t="b">
        <f>Wh_hp&gt;='2020'!Maxi_hp</f>
        <v>1</v>
      </c>
      <c r="I66" s="379">
        <f>IF(H66,Wh_hp,'2020'!Maxi_hp)</f>
        <v>14.584069418027404</v>
      </c>
      <c r="J66" s="85">
        <f>IF(H66,An,'2020'!An_max)</f>
        <v>2021</v>
      </c>
      <c r="K66" s="197">
        <f t="shared" si="19"/>
        <v>44248</v>
      </c>
      <c r="L66" s="147">
        <f>IF(t&lt;Tvie,1-EXP((T0-t)*PertePVj)+'2020'!Pspv,1-EXP((T0-t)*PertePVj)+Pspv)</f>
        <v>1.430869012228464E-2</v>
      </c>
      <c r="M66" s="832"/>
      <c r="N66" s="832"/>
      <c r="O66" s="48">
        <f>IF(t&lt;Tnet,'2020'!Resal+('2020'!Salim-'2020'!Resal)*(1-EXP(('2020'!Tnet-t)/('2020'!Tau_j))),Resal+(Salim-Resal)*(1-EXP((Tnet-t)/(Tau_j))))*Salcycl</f>
        <v>5.6790420536873949E-2</v>
      </c>
      <c r="P66" s="169">
        <f>(INDEX(Models!$BJ66:$BT66,,T66)*(1-R66)+INDEX(Models!$BJ66:$BT66,,T66+1)*R66-ERP_i)*Q66*Ramure*Pc/MaxiM</f>
        <v>1.2382934662835447E-5</v>
      </c>
      <c r="Q66" s="304">
        <f t="shared" si="2"/>
        <v>0.6</v>
      </c>
      <c r="R66" s="177">
        <f t="shared" si="3"/>
        <v>0.50403208757009754</v>
      </c>
      <c r="S66" s="799">
        <f t="shared" si="4"/>
        <v>-1</v>
      </c>
      <c r="T66" s="176">
        <f t="shared" si="5"/>
        <v>5</v>
      </c>
      <c r="U66" s="250">
        <f t="shared" si="20"/>
        <v>-0.49596791242990246</v>
      </c>
      <c r="V66" s="382">
        <f t="shared" si="6"/>
        <v>41.709101721095635</v>
      </c>
      <c r="W66" s="400"/>
      <c r="X66" s="157">
        <f t="shared" si="7"/>
        <v>44248</v>
      </c>
      <c r="Y66" s="383">
        <f t="shared" si="8"/>
        <v>13.559000000000001</v>
      </c>
      <c r="Z66" s="383">
        <f t="shared" si="9"/>
        <v>13.75582787848878</v>
      </c>
      <c r="AA66" s="384">
        <f t="shared" si="10"/>
        <v>14.584062946348132</v>
      </c>
      <c r="AB66" s="197">
        <f t="shared" si="11"/>
        <v>44248</v>
      </c>
      <c r="AC66" s="119">
        <f>IF(OR(t&lt;Tnet,NoTnet),'2020'!Resal_s+('2020'!Salim-'2020'!Resal_s)*(1-EXP(('2020'!Tnet_s-t)/'2020'!Tau_j)),Resal_s+(Salim-Resal_s)*(1-EXP((Tnet_s-t)/Tau_j)))*Salcycl</f>
        <v>5.6790420536873949E-2</v>
      </c>
      <c r="AD66" s="230">
        <f>(INDEX(Models!$BJ66:$BT66,,AH66)*(1-AF66)+INDEX(Models!$BJ66:$BT66,,AH66+1)*AF66-ERP_i)*AE66*Ramure*Pc/MaxiM</f>
        <v>1.2382934662835447E-5</v>
      </c>
      <c r="AE66" s="304">
        <f t="shared" si="12"/>
        <v>0.6</v>
      </c>
      <c r="AF66" s="177">
        <f t="shared" si="21"/>
        <v>0.50403208757009754</v>
      </c>
      <c r="AG66" s="799">
        <f t="shared" si="22"/>
        <v>-1</v>
      </c>
      <c r="AH66" s="176">
        <f t="shared" si="13"/>
        <v>5</v>
      </c>
      <c r="AI66" s="224">
        <f t="shared" si="23"/>
        <v>-0.49596791242990246</v>
      </c>
      <c r="AJ66" s="264" t="b">
        <f t="shared" si="14"/>
        <v>0</v>
      </c>
      <c r="AK66" s="264" t="b">
        <f t="shared" si="15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6"/>
        <v>44249</v>
      </c>
      <c r="B67" s="607">
        <v>9.7029999999999994</v>
      </c>
      <c r="C67" s="388"/>
      <c r="D67" s="391">
        <f t="shared" si="0"/>
        <v>9.8440412957978012</v>
      </c>
      <c r="E67" s="383">
        <f t="shared" si="17"/>
        <v>10.439111565371956</v>
      </c>
      <c r="F67" s="383">
        <f t="shared" si="1"/>
        <v>10.439111565371956</v>
      </c>
      <c r="G67" s="110">
        <f t="shared" si="18"/>
        <v>0.23081304220162674</v>
      </c>
      <c r="H67" s="412" t="b">
        <f>Wh_hp&gt;='2020'!Maxi_hp</f>
        <v>0</v>
      </c>
      <c r="I67" s="379">
        <f>IF(H67,Wh_hp,'2020'!Maxi_hp)</f>
        <v>42.383788099046349</v>
      </c>
      <c r="J67" s="85">
        <f>IF(H67,An,'2020'!An_max)</f>
        <v>2020</v>
      </c>
      <c r="K67" s="197">
        <f t="shared" si="19"/>
        <v>44249</v>
      </c>
      <c r="L67" s="147">
        <f>IF(t&lt;Tvie,1-EXP((T0-t)*PertePVj)+'2020'!Pspv,1-EXP((T0-t)*PertePVj)+Pspv)</f>
        <v>1.432758067136608E-2</v>
      </c>
      <c r="M67" s="832"/>
      <c r="N67" s="832"/>
      <c r="O67" s="48">
        <f>IF(t&lt;Tnet,'2020'!Resal+('2020'!Salim-'2020'!Resal)*(1-EXP(('2020'!Tnet-t)/('2020'!Tau_j))),Resal+(Salim-Resal)*(1-EXP((Tnet-t)/(Tau_j))))*Salcycl</f>
        <v>5.7003918949203446E-2</v>
      </c>
      <c r="P67" s="169">
        <f>(INDEX(Models!$BJ67:$BT67,,T67)*(1-R67)+INDEX(Models!$BJ67:$BT67,,T67+1)*R67-ERP_i)*Q67*Ramure*Pc/MaxiM</f>
        <v>1.2081132248443201E-5</v>
      </c>
      <c r="Q67" s="304">
        <f t="shared" si="2"/>
        <v>0.6</v>
      </c>
      <c r="R67" s="177">
        <f t="shared" si="3"/>
        <v>0.50426493482916679</v>
      </c>
      <c r="S67" s="799">
        <f t="shared" si="4"/>
        <v>-1</v>
      </c>
      <c r="T67" s="176">
        <f t="shared" si="5"/>
        <v>5</v>
      </c>
      <c r="U67" s="250">
        <f t="shared" si="20"/>
        <v>-0.49573506517083316</v>
      </c>
      <c r="V67" s="382">
        <f t="shared" si="6"/>
        <v>42.037844500562663</v>
      </c>
      <c r="W67" s="400"/>
      <c r="X67" s="157">
        <f t="shared" si="7"/>
        <v>44249</v>
      </c>
      <c r="Y67" s="383">
        <f t="shared" si="8"/>
        <v>9.7029999999999994</v>
      </c>
      <c r="Z67" s="383">
        <f t="shared" si="9"/>
        <v>9.8440412957978012</v>
      </c>
      <c r="AA67" s="384">
        <f t="shared" si="10"/>
        <v>10.439111565371956</v>
      </c>
      <c r="AB67" s="197">
        <f t="shared" si="11"/>
        <v>44249</v>
      </c>
      <c r="AC67" s="119">
        <f>IF(OR(t&lt;Tnet,NoTnet),'2020'!Resal_s+('2020'!Salim-'2020'!Resal_s)*(1-EXP(('2020'!Tnet_s-t)/'2020'!Tau_j)),Resal_s+(Salim-Resal_s)*(1-EXP((Tnet_s-t)/Tau_j)))*Salcycl</f>
        <v>5.7003918949203446E-2</v>
      </c>
      <c r="AD67" s="230">
        <f>(INDEX(Models!$BJ67:$BT67,,AH67)*(1-AF67)+INDEX(Models!$BJ67:$BT67,,AH67+1)*AF67-ERP_i)*AE67*Ramure*Pc/MaxiM</f>
        <v>1.2081132248443201E-5</v>
      </c>
      <c r="AE67" s="304">
        <f t="shared" si="12"/>
        <v>0.6</v>
      </c>
      <c r="AF67" s="177">
        <f t="shared" si="21"/>
        <v>0.50426493482916679</v>
      </c>
      <c r="AG67" s="799">
        <f t="shared" si="22"/>
        <v>-1</v>
      </c>
      <c r="AH67" s="176">
        <f t="shared" si="13"/>
        <v>5</v>
      </c>
      <c r="AI67" s="224">
        <f t="shared" si="23"/>
        <v>-0.49573506517083316</v>
      </c>
      <c r="AJ67" s="264" t="b">
        <f t="shared" si="14"/>
        <v>0</v>
      </c>
      <c r="AK67" s="264" t="b">
        <f t="shared" si="15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6"/>
        <v>44250</v>
      </c>
      <c r="B68" s="607">
        <v>30.138000000000002</v>
      </c>
      <c r="C68" s="388"/>
      <c r="D68" s="391">
        <f t="shared" si="0"/>
        <v>30.576667265877347</v>
      </c>
      <c r="E68" s="383">
        <f t="shared" si="17"/>
        <v>32.43234620336176</v>
      </c>
      <c r="F68" s="383">
        <f t="shared" si="1"/>
        <v>32.432571044211578</v>
      </c>
      <c r="G68" s="110">
        <f t="shared" si="18"/>
        <v>0.71138775274830035</v>
      </c>
      <c r="H68" s="412" t="b">
        <f>Wh_hp&gt;='2020'!Maxi_hp</f>
        <v>0</v>
      </c>
      <c r="I68" s="379">
        <f>IF(H68,Wh_hp,'2020'!Maxi_hp)</f>
        <v>44.04907717434498</v>
      </c>
      <c r="J68" s="85">
        <f>IF(H68,An,'2020'!An_max)</f>
        <v>2020</v>
      </c>
      <c r="K68" s="197">
        <f t="shared" si="19"/>
        <v>44250</v>
      </c>
      <c r="L68" s="147">
        <f>IF(t&lt;Tvie,1-EXP((T0-t)*PertePVj)+'2020'!Pspv,1-EXP((T0-t)*PertePVj)+Pspv)</f>
        <v>1.4346470858414451E-2</v>
      </c>
      <c r="M68" s="832"/>
      <c r="N68" s="832"/>
      <c r="O68" s="48">
        <f>IF(t&lt;Tnet,'2020'!Resal+('2020'!Salim-'2020'!Resal)*(1-EXP(('2020'!Tnet-t)/('2020'!Tau_j))),Resal+(Salim-Resal)*(1-EXP((Tnet-t)/(Tau_j))))*Salcycl</f>
        <v>5.7216919363424448E-2</v>
      </c>
      <c r="P68" s="169">
        <f>(INDEX(Models!$BJ68:$BT68,,T68)*(1-R68)+INDEX(Models!$BJ68:$BT68,,T68+1)*R68-ERP_i)*Q68*Ramure*Pc/MaxiM</f>
        <v>1.1796057182286463E-5</v>
      </c>
      <c r="Q68" s="304">
        <f t="shared" si="2"/>
        <v>0.6</v>
      </c>
      <c r="R68" s="177">
        <f t="shared" si="3"/>
        <v>0.50450731768954471</v>
      </c>
      <c r="S68" s="799">
        <f t="shared" si="4"/>
        <v>-1</v>
      </c>
      <c r="T68" s="176">
        <f t="shared" si="5"/>
        <v>5</v>
      </c>
      <c r="U68" s="250">
        <f t="shared" si="20"/>
        <v>-0.49549268231045529</v>
      </c>
      <c r="V68" s="382">
        <f t="shared" si="6"/>
        <v>42.364875282955076</v>
      </c>
      <c r="W68" s="400"/>
      <c r="X68" s="157">
        <f t="shared" si="7"/>
        <v>44250</v>
      </c>
      <c r="Y68" s="383">
        <f t="shared" si="8"/>
        <v>30.138000000000002</v>
      </c>
      <c r="Z68" s="383">
        <f t="shared" si="9"/>
        <v>30.576667265877347</v>
      </c>
      <c r="AA68" s="384">
        <f t="shared" si="10"/>
        <v>32.43234620336176</v>
      </c>
      <c r="AB68" s="197">
        <f t="shared" si="11"/>
        <v>44250</v>
      </c>
      <c r="AC68" s="119">
        <f>IF(OR(t&lt;Tnet,NoTnet),'2020'!Resal_s+('2020'!Salim-'2020'!Resal_s)*(1-EXP(('2020'!Tnet_s-t)/'2020'!Tau_j)),Resal_s+(Salim-Resal_s)*(1-EXP((Tnet_s-t)/Tau_j)))*Salcycl</f>
        <v>5.7216919363424448E-2</v>
      </c>
      <c r="AD68" s="230">
        <f>(INDEX(Models!$BJ68:$BT68,,AH68)*(1-AF68)+INDEX(Models!$BJ68:$BT68,,AH68+1)*AF68-ERP_i)*AE68*Ramure*Pc/MaxiM</f>
        <v>1.1796057182286463E-5</v>
      </c>
      <c r="AE68" s="304">
        <f t="shared" si="12"/>
        <v>0.6</v>
      </c>
      <c r="AF68" s="177">
        <f t="shared" si="21"/>
        <v>0.50450731768954471</v>
      </c>
      <c r="AG68" s="799">
        <f t="shared" si="22"/>
        <v>-1</v>
      </c>
      <c r="AH68" s="176">
        <f t="shared" si="13"/>
        <v>5</v>
      </c>
      <c r="AI68" s="224">
        <f t="shared" si="23"/>
        <v>-0.49549268231045529</v>
      </c>
      <c r="AJ68" s="264" t="b">
        <f t="shared" si="14"/>
        <v>0</v>
      </c>
      <c r="AK68" s="264" t="b">
        <f t="shared" si="15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6"/>
        <v>44251</v>
      </c>
      <c r="B69" s="607">
        <v>39.207000000000001</v>
      </c>
      <c r="C69" s="388"/>
      <c r="D69" s="391">
        <f t="shared" si="0"/>
        <v>39.778431516150896</v>
      </c>
      <c r="E69" s="383">
        <f t="shared" si="17"/>
        <v>42.202072120913513</v>
      </c>
      <c r="F69" s="383">
        <f t="shared" si="1"/>
        <v>42.202501894458955</v>
      </c>
      <c r="G69" s="110">
        <f t="shared" si="18"/>
        <v>0.91840420826313951</v>
      </c>
      <c r="H69" s="412" t="b">
        <f>Wh_hp&gt;='2020'!Maxi_hp</f>
        <v>1</v>
      </c>
      <c r="I69" s="379">
        <f>IF(H69,Wh_hp,'2020'!Maxi_hp)</f>
        <v>42.202501894458955</v>
      </c>
      <c r="J69" s="85">
        <f>IF(H69,An,'2020'!An_max)</f>
        <v>2021</v>
      </c>
      <c r="K69" s="197">
        <f t="shared" si="19"/>
        <v>44251</v>
      </c>
      <c r="L69" s="147">
        <f>IF(t&lt;Tvie,1-EXP((T0-t)*PertePVj)+'2020'!Pspv,1-EXP((T0-t)*PertePVj)+Pspv)</f>
        <v>1.4365360683436745E-2</v>
      </c>
      <c r="M69" s="832"/>
      <c r="N69" s="832"/>
      <c r="O69" s="48">
        <f>IF(t&lt;Tnet,'2020'!Resal+('2020'!Salim-'2020'!Resal)*(1-EXP(('2020'!Tnet-t)/('2020'!Tau_j))),Resal+(Salim-Resal)*(1-EXP((Tnet-t)/(Tau_j))))*Salcycl</f>
        <v>5.7429421897072327E-2</v>
      </c>
      <c r="P69" s="169">
        <f>(INDEX(Models!$BJ69:$BT69,,T69)*(1-R69)+INDEX(Models!$BJ69:$BT69,,T69+1)*R69-ERP_i)*Q69*Ramure*Pc/MaxiM</f>
        <v>1.1527263431331121E-5</v>
      </c>
      <c r="Q69" s="304">
        <f t="shared" si="2"/>
        <v>0.6</v>
      </c>
      <c r="R69" s="177">
        <f t="shared" si="3"/>
        <v>0.50475961661676294</v>
      </c>
      <c r="S69" s="799">
        <f t="shared" si="4"/>
        <v>-1</v>
      </c>
      <c r="T69" s="176">
        <f t="shared" si="5"/>
        <v>5</v>
      </c>
      <c r="U69" s="250">
        <f t="shared" si="20"/>
        <v>-0.495240383383237</v>
      </c>
      <c r="V69" s="382">
        <f t="shared" si="6"/>
        <v>42.690295804213655</v>
      </c>
      <c r="W69" s="400"/>
      <c r="X69" s="157">
        <f t="shared" si="7"/>
        <v>44251</v>
      </c>
      <c r="Y69" s="383">
        <f t="shared" si="8"/>
        <v>39.207000000000001</v>
      </c>
      <c r="Z69" s="383">
        <f t="shared" si="9"/>
        <v>39.778431516150896</v>
      </c>
      <c r="AA69" s="384">
        <f t="shared" si="10"/>
        <v>42.202072120913513</v>
      </c>
      <c r="AB69" s="197">
        <f t="shared" si="11"/>
        <v>44251</v>
      </c>
      <c r="AC69" s="119">
        <f>IF(OR(t&lt;Tnet,NoTnet),'2020'!Resal_s+('2020'!Salim-'2020'!Resal_s)*(1-EXP(('2020'!Tnet_s-t)/'2020'!Tau_j)),Resal_s+(Salim-Resal_s)*(1-EXP((Tnet_s-t)/Tau_j)))*Salcycl</f>
        <v>5.7429421897072327E-2</v>
      </c>
      <c r="AD69" s="230">
        <f>(INDEX(Models!$BJ69:$BT69,,AH69)*(1-AF69)+INDEX(Models!$BJ69:$BT69,,AH69+1)*AF69-ERP_i)*AE69*Ramure*Pc/MaxiM</f>
        <v>1.1527263431331121E-5</v>
      </c>
      <c r="AE69" s="304">
        <f t="shared" si="12"/>
        <v>0.6</v>
      </c>
      <c r="AF69" s="177">
        <f t="shared" si="21"/>
        <v>0.50475961661676294</v>
      </c>
      <c r="AG69" s="799">
        <f t="shared" si="22"/>
        <v>-1</v>
      </c>
      <c r="AH69" s="176">
        <f t="shared" si="13"/>
        <v>5</v>
      </c>
      <c r="AI69" s="224">
        <f t="shared" si="23"/>
        <v>-0.495240383383237</v>
      </c>
      <c r="AJ69" s="264" t="b">
        <f t="shared" si="14"/>
        <v>0</v>
      </c>
      <c r="AK69" s="264" t="b">
        <f t="shared" si="15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6"/>
        <v>44252</v>
      </c>
      <c r="B70" s="607">
        <v>36.189</v>
      </c>
      <c r="C70" s="388"/>
      <c r="D70" s="391">
        <f t="shared" si="0"/>
        <v>36.717148650857958</v>
      </c>
      <c r="E70" s="383">
        <f t="shared" si="17"/>
        <v>38.963033527569969</v>
      </c>
      <c r="F70" s="383">
        <f t="shared" si="1"/>
        <v>38.963373237809762</v>
      </c>
      <c r="G70" s="110">
        <f t="shared" si="18"/>
        <v>0.84132451779597484</v>
      </c>
      <c r="H70" s="412" t="b">
        <f>Wh_hp&gt;='2020'!Maxi_hp</f>
        <v>1</v>
      </c>
      <c r="I70" s="379">
        <f>IF(H70,Wh_hp,'2020'!Maxi_hp)</f>
        <v>38.963373237809762</v>
      </c>
      <c r="J70" s="85">
        <f>IF(H70,An,'2020'!An_max)</f>
        <v>2021</v>
      </c>
      <c r="K70" s="197">
        <f t="shared" si="19"/>
        <v>44252</v>
      </c>
      <c r="L70" s="147">
        <f>IF(t&lt;Tvie,1-EXP((T0-t)*PertePVj)+'2020'!Pspv,1-EXP((T0-t)*PertePVj)+Pspv)</f>
        <v>1.4384250146439848E-2</v>
      </c>
      <c r="M70" s="832"/>
      <c r="N70" s="832"/>
      <c r="O70" s="48">
        <f>IF(t&lt;Tnet,'2020'!Resal+('2020'!Salim-'2020'!Resal)*(1-EXP(('2020'!Tnet-t)/('2020'!Tau_j))),Resal+(Salim-Resal)*(1-EXP((Tnet-t)/(Tau_j))))*Salcycl</f>
        <v>5.7641427614275376E-2</v>
      </c>
      <c r="P70" s="169">
        <f>(INDEX(Models!$BJ70:$BT70,,T70)*(1-R70)+INDEX(Models!$BJ70:$BT70,,T70+1)*R70-ERP_i)*Q70*Ramure*Pc/MaxiM</f>
        <v>1.1274329065786866E-5</v>
      </c>
      <c r="Q70" s="304">
        <f t="shared" si="2"/>
        <v>0.6</v>
      </c>
      <c r="R70" s="177">
        <f t="shared" si="3"/>
        <v>0.50502222640889904</v>
      </c>
      <c r="S70" s="799">
        <f t="shared" si="4"/>
        <v>-1</v>
      </c>
      <c r="T70" s="176">
        <f t="shared" si="5"/>
        <v>5</v>
      </c>
      <c r="U70" s="250">
        <f t="shared" si="20"/>
        <v>-0.49497777359110096</v>
      </c>
      <c r="V70" s="382">
        <f t="shared" si="6"/>
        <v>43.014207655086011</v>
      </c>
      <c r="W70" s="400"/>
      <c r="X70" s="157">
        <f t="shared" si="7"/>
        <v>44252</v>
      </c>
      <c r="Y70" s="383">
        <f t="shared" si="8"/>
        <v>36.189</v>
      </c>
      <c r="Z70" s="383">
        <f t="shared" si="9"/>
        <v>36.717148650857958</v>
      </c>
      <c r="AA70" s="384">
        <f t="shared" si="10"/>
        <v>38.963033527569969</v>
      </c>
      <c r="AB70" s="197">
        <f t="shared" si="11"/>
        <v>44252</v>
      </c>
      <c r="AC70" s="119">
        <f>IF(OR(t&lt;Tnet,NoTnet),'2020'!Resal_s+('2020'!Salim-'2020'!Resal_s)*(1-EXP(('2020'!Tnet_s-t)/'2020'!Tau_j)),Resal_s+(Salim-Resal_s)*(1-EXP((Tnet_s-t)/Tau_j)))*Salcycl</f>
        <v>5.7641427614275376E-2</v>
      </c>
      <c r="AD70" s="230">
        <f>(INDEX(Models!$BJ70:$BT70,,AH70)*(1-AF70)+INDEX(Models!$BJ70:$BT70,,AH70+1)*AF70-ERP_i)*AE70*Ramure*Pc/MaxiM</f>
        <v>1.1274329065786866E-5</v>
      </c>
      <c r="AE70" s="304">
        <f t="shared" si="12"/>
        <v>0.6</v>
      </c>
      <c r="AF70" s="177">
        <f t="shared" si="21"/>
        <v>0.50502222640889904</v>
      </c>
      <c r="AG70" s="799">
        <f t="shared" si="22"/>
        <v>-1</v>
      </c>
      <c r="AH70" s="176">
        <f t="shared" si="13"/>
        <v>5</v>
      </c>
      <c r="AI70" s="224">
        <f t="shared" si="23"/>
        <v>-0.49497777359110096</v>
      </c>
      <c r="AJ70" s="264" t="b">
        <f t="shared" si="14"/>
        <v>0</v>
      </c>
      <c r="AK70" s="264" t="b">
        <f t="shared" si="15"/>
        <v>0</v>
      </c>
      <c r="AL70" s="264"/>
      <c r="AM70" s="264"/>
      <c r="AN70" s="75"/>
    </row>
    <row r="71" spans="1:40" s="6" customFormat="1" ht="11.25" x14ac:dyDescent="0.2">
      <c r="A71" s="56">
        <f t="shared" si="16"/>
        <v>44253</v>
      </c>
      <c r="B71" s="607">
        <v>8.0259999999999998</v>
      </c>
      <c r="C71" s="388"/>
      <c r="D71" s="391">
        <f t="shared" si="0"/>
        <v>8.143288924308882</v>
      </c>
      <c r="E71" s="383">
        <f t="shared" si="17"/>
        <v>8.6433310232328644</v>
      </c>
      <c r="F71" s="383">
        <f t="shared" si="1"/>
        <v>8.6433310232328644</v>
      </c>
      <c r="G71" s="110">
        <f t="shared" si="18"/>
        <v>0.18519889942910175</v>
      </c>
      <c r="H71" s="412" t="b">
        <f>Wh_hp&gt;='2020'!Maxi_hp</f>
        <v>0</v>
      </c>
      <c r="I71" s="379">
        <f>IF(H71,Wh_hp,'2020'!Maxi_hp)</f>
        <v>19.925927667668528</v>
      </c>
      <c r="J71" s="85">
        <f>IF(H71,An,'2020'!An_max)</f>
        <v>2020</v>
      </c>
      <c r="K71" s="197">
        <f t="shared" si="19"/>
        <v>44253</v>
      </c>
      <c r="L71" s="147">
        <f>IF(t&lt;Tvie,1-EXP((T0-t)*PertePVj)+'2020'!Pspv,1-EXP((T0-t)*PertePVj)+Pspv)</f>
        <v>1.4403139247430752E-2</v>
      </c>
      <c r="M71" s="832"/>
      <c r="N71" s="832"/>
      <c r="O71" s="48">
        <f>IF(t&lt;Tnet,'2020'!Resal+('2020'!Salim-'2020'!Resal)*(1-EXP(('2020'!Tnet-t)/('2020'!Tau_j))),Resal+(Salim-Resal)*(1-EXP((Tnet-t)/(Tau_j))))*Salcycl</f>
        <v>5.7852938592759362E-2</v>
      </c>
      <c r="P71" s="169">
        <f>(INDEX(Models!$BJ71:$BT71,,T71)*(1-R71)+INDEX(Models!$BJ71:$BT71,,T71+1)*R71-ERP_i)*Q71*Ramure*Pc/MaxiM</f>
        <v>1.1036854703006708E-5</v>
      </c>
      <c r="Q71" s="304">
        <f t="shared" si="2"/>
        <v>0.6</v>
      </c>
      <c r="R71" s="177">
        <f t="shared" si="3"/>
        <v>0.50529555666446435</v>
      </c>
      <c r="S71" s="799">
        <f t="shared" si="4"/>
        <v>-1</v>
      </c>
      <c r="T71" s="176">
        <f t="shared" si="5"/>
        <v>5</v>
      </c>
      <c r="U71" s="250">
        <f t="shared" si="20"/>
        <v>-0.49470444333553565</v>
      </c>
      <c r="V71" s="382">
        <f t="shared" si="6"/>
        <v>43.336712274991953</v>
      </c>
      <c r="W71" s="400"/>
      <c r="X71" s="157">
        <f t="shared" si="7"/>
        <v>44253</v>
      </c>
      <c r="Y71" s="383">
        <f t="shared" si="8"/>
        <v>8.0259999999999998</v>
      </c>
      <c r="Z71" s="383">
        <f t="shared" si="9"/>
        <v>8.143288924308882</v>
      </c>
      <c r="AA71" s="384">
        <f t="shared" si="10"/>
        <v>8.6433310232328644</v>
      </c>
      <c r="AB71" s="197">
        <f t="shared" si="11"/>
        <v>44253</v>
      </c>
      <c r="AC71" s="119">
        <f>IF(OR(t&lt;Tnet,NoTnet),'2020'!Resal_s+('2020'!Salim-'2020'!Resal_s)*(1-EXP(('2020'!Tnet_s-t)/'2020'!Tau_j)),Resal_s+(Salim-Resal_s)*(1-EXP((Tnet_s-t)/Tau_j)))*Salcycl</f>
        <v>5.7852938592759362E-2</v>
      </c>
      <c r="AD71" s="230">
        <f>(INDEX(Models!$BJ71:$BT71,,AH71)*(1-AF71)+INDEX(Models!$BJ71:$BT71,,AH71+1)*AF71-ERP_i)*AE71*Ramure*Pc/MaxiM</f>
        <v>1.1036854703006708E-5</v>
      </c>
      <c r="AE71" s="304">
        <f t="shared" si="12"/>
        <v>0.6</v>
      </c>
      <c r="AF71" s="177">
        <f t="shared" si="21"/>
        <v>0.50529555666446435</v>
      </c>
      <c r="AG71" s="799">
        <f t="shared" si="22"/>
        <v>-1</v>
      </c>
      <c r="AH71" s="176">
        <f t="shared" si="13"/>
        <v>5</v>
      </c>
      <c r="AI71" s="224">
        <f t="shared" si="23"/>
        <v>-0.49470444333553565</v>
      </c>
      <c r="AJ71" s="264" t="b">
        <f t="shared" si="14"/>
        <v>0</v>
      </c>
      <c r="AK71" s="264" t="b">
        <f t="shared" si="15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6"/>
        <v>44254</v>
      </c>
      <c r="B72" s="607">
        <v>41.774999999999999</v>
      </c>
      <c r="C72" s="388"/>
      <c r="D72" s="391">
        <f t="shared" si="0"/>
        <v>42.386296352232435</v>
      </c>
      <c r="E72" s="383">
        <f t="shared" si="17"/>
        <v>44.999123572693101</v>
      </c>
      <c r="F72" s="383">
        <f t="shared" si="1"/>
        <v>44.999579692306305</v>
      </c>
      <c r="G72" s="110">
        <f t="shared" si="18"/>
        <v>0.95687060492669618</v>
      </c>
      <c r="H72" s="412" t="b">
        <f>Wh_hp&gt;='2020'!Maxi_hp</f>
        <v>1</v>
      </c>
      <c r="I72" s="379">
        <f>IF(H72,Wh_hp,'2020'!Maxi_hp)</f>
        <v>44.999579692306305</v>
      </c>
      <c r="J72" s="85">
        <f>IF(H72,An,'2020'!An_max)</f>
        <v>2021</v>
      </c>
      <c r="K72" s="197">
        <f t="shared" si="19"/>
        <v>44254</v>
      </c>
      <c r="L72" s="147">
        <f>IF(t&lt;Tvie,1-EXP((T0-t)*PertePVj)+'2020'!Pspv,1-EXP((T0-t)*PertePVj)+Pspv)</f>
        <v>1.4422027986416341E-2</v>
      </c>
      <c r="M72" s="832"/>
      <c r="N72" s="832"/>
      <c r="O72" s="48">
        <f>IF(t&lt;Tnet,'2020'!Resal+('2020'!Salim-'2020'!Resal)*(1-EXP(('2020'!Tnet-t)/('2020'!Tau_j))),Resal+(Salim-Resal)*(1-EXP((Tnet-t)/(Tau_j))))*Salcycl</f>
        <v>5.8063957984421967E-2</v>
      </c>
      <c r="P72" s="169">
        <f>(INDEX(Models!$BJ72:$BT72,,T72)*(1-R72)+INDEX(Models!$BJ72:$BT72,,T72+1)*R72-ERP_i)*Q72*Ramure*Pc/MaxiM</f>
        <v>1.0801599770573632E-5</v>
      </c>
      <c r="Q72" s="304">
        <f t="shared" si="2"/>
        <v>0.6</v>
      </c>
      <c r="R72" s="177">
        <f t="shared" si="3"/>
        <v>0.5055800322592745</v>
      </c>
      <c r="S72" s="799">
        <f t="shared" si="4"/>
        <v>-1</v>
      </c>
      <c r="T72" s="176">
        <f t="shared" si="5"/>
        <v>5</v>
      </c>
      <c r="U72" s="250">
        <f t="shared" si="20"/>
        <v>-0.4944199677407255</v>
      </c>
      <c r="V72" s="382">
        <f t="shared" si="6"/>
        <v>43.65791151154022</v>
      </c>
      <c r="W72" s="400"/>
      <c r="X72" s="157">
        <f t="shared" si="7"/>
        <v>44254</v>
      </c>
      <c r="Y72" s="383">
        <f t="shared" si="8"/>
        <v>41.774999999999999</v>
      </c>
      <c r="Z72" s="383">
        <f t="shared" si="9"/>
        <v>42.386296352232435</v>
      </c>
      <c r="AA72" s="384">
        <f t="shared" si="10"/>
        <v>44.999123572693101</v>
      </c>
      <c r="AB72" s="197">
        <f t="shared" si="11"/>
        <v>44254</v>
      </c>
      <c r="AC72" s="119">
        <f>IF(OR(t&lt;Tnet,NoTnet),'2020'!Resal_s+('2020'!Salim-'2020'!Resal_s)*(1-EXP(('2020'!Tnet_s-t)/'2020'!Tau_j)),Resal_s+(Salim-Resal_s)*(1-EXP((Tnet_s-t)/Tau_j)))*Salcycl</f>
        <v>5.8063957984421967E-2</v>
      </c>
      <c r="AD72" s="230">
        <f>(INDEX(Models!$BJ72:$BT72,,AH72)*(1-AF72)+INDEX(Models!$BJ72:$BT72,,AH72+1)*AF72-ERP_i)*AE72*Ramure*Pc/MaxiM</f>
        <v>1.0801599770573632E-5</v>
      </c>
      <c r="AE72" s="304">
        <f t="shared" si="12"/>
        <v>0.6</v>
      </c>
      <c r="AF72" s="177">
        <f t="shared" si="21"/>
        <v>0.5055800322592745</v>
      </c>
      <c r="AG72" s="799">
        <f t="shared" si="22"/>
        <v>-1</v>
      </c>
      <c r="AH72" s="176">
        <f t="shared" si="13"/>
        <v>5</v>
      </c>
      <c r="AI72" s="224">
        <f t="shared" si="23"/>
        <v>-0.4944199677407255</v>
      </c>
      <c r="AJ72" s="264" t="b">
        <f t="shared" si="14"/>
        <v>0</v>
      </c>
      <c r="AK72" s="264" t="b">
        <f t="shared" si="15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6"/>
        <v>44255</v>
      </c>
      <c r="B73" s="607">
        <v>33.637999999999998</v>
      </c>
      <c r="C73" s="388"/>
      <c r="D73" s="391">
        <f t="shared" si="0"/>
        <v>34.130881200830451</v>
      </c>
      <c r="E73" s="383">
        <f t="shared" si="17"/>
        <v>36.242918813286927</v>
      </c>
      <c r="F73" s="383">
        <f t="shared" si="1"/>
        <v>36.243173437546879</v>
      </c>
      <c r="G73" s="110">
        <f t="shared" si="18"/>
        <v>0.76488135754322006</v>
      </c>
      <c r="H73" s="412" t="b">
        <f>Wh_hp&gt;='2020'!Maxi_hp</f>
        <v>1</v>
      </c>
      <c r="I73" s="379">
        <f>IF(H73,Wh_hp,'2020'!Maxi_hp)</f>
        <v>36.243173437546879</v>
      </c>
      <c r="J73" s="85">
        <f>IF(H73,An,'2020'!An_max)</f>
        <v>2021</v>
      </c>
      <c r="K73" s="197">
        <f t="shared" si="19"/>
        <v>44255</v>
      </c>
      <c r="L73" s="147">
        <f>IF(t&lt;Tvie,1-EXP((T0-t)*PertePVj)+'2020'!Pspv,1-EXP((T0-t)*PertePVj)+Pspv)</f>
        <v>1.44409163634035E-2</v>
      </c>
      <c r="M73" s="832"/>
      <c r="N73" s="832"/>
      <c r="O73" s="48">
        <f>IF(t&lt;Tnet,'2020'!Resal+('2020'!Salim-'2020'!Resal)*(1-EXP(('2020'!Tnet-t)/('2020'!Tau_j))),Resal+(Salim-Resal)*(1-EXP((Tnet-t)/(Tau_j))))*Salcycl</f>
        <v>5.8274490069000401E-2</v>
      </c>
      <c r="P73" s="169">
        <f>(INDEX(Models!$BJ73:$BT73,,T73)*(1-R73)+INDEX(Models!$BJ73:$BT73,,T73+1)*R73-ERP_i)*Q73*Ramure*Pc/MaxiM</f>
        <v>1.0578569237198039E-5</v>
      </c>
      <c r="Q73" s="304">
        <f t="shared" si="2"/>
        <v>0.6</v>
      </c>
      <c r="R73" s="177">
        <f t="shared" si="3"/>
        <v>0.50587609383186216</v>
      </c>
      <c r="S73" s="799">
        <f t="shared" si="4"/>
        <v>-1</v>
      </c>
      <c r="T73" s="176">
        <f t="shared" si="5"/>
        <v>5</v>
      </c>
      <c r="U73" s="250">
        <f t="shared" si="20"/>
        <v>-0.49412390616813784</v>
      </c>
      <c r="V73" s="382">
        <f t="shared" si="6"/>
        <v>43.977906046842634</v>
      </c>
      <c r="W73" s="400"/>
      <c r="X73" s="157">
        <f t="shared" si="7"/>
        <v>44255</v>
      </c>
      <c r="Y73" s="383">
        <f t="shared" si="8"/>
        <v>33.637999999999998</v>
      </c>
      <c r="Z73" s="383">
        <f t="shared" si="9"/>
        <v>34.130881200830451</v>
      </c>
      <c r="AA73" s="384">
        <f t="shared" si="10"/>
        <v>36.242918813286927</v>
      </c>
      <c r="AB73" s="197">
        <f t="shared" si="11"/>
        <v>44255</v>
      </c>
      <c r="AC73" s="119">
        <f>IF(OR(t&lt;Tnet,NoTnet),'2020'!Resal_s+('2020'!Salim-'2020'!Resal_s)*(1-EXP(('2020'!Tnet_s-t)/'2020'!Tau_j)),Resal_s+(Salim-Resal_s)*(1-EXP((Tnet_s-t)/Tau_j)))*Salcycl</f>
        <v>5.8274490069000401E-2</v>
      </c>
      <c r="AD73" s="230">
        <f>(INDEX(Models!$BJ73:$BT73,,AH73)*(1-AF73)+INDEX(Models!$BJ73:$BT73,,AH73+1)*AF73-ERP_i)*AE73*Ramure*Pc/MaxiM</f>
        <v>1.0578569237198039E-5</v>
      </c>
      <c r="AE73" s="304">
        <f t="shared" si="12"/>
        <v>0.6</v>
      </c>
      <c r="AF73" s="177">
        <f t="shared" si="21"/>
        <v>0.50587609383186216</v>
      </c>
      <c r="AG73" s="799">
        <f t="shared" si="22"/>
        <v>-1</v>
      </c>
      <c r="AH73" s="176">
        <f t="shared" si="13"/>
        <v>5</v>
      </c>
      <c r="AI73" s="224">
        <f t="shared" si="23"/>
        <v>-0.49412390616813784</v>
      </c>
      <c r="AJ73" s="264" t="b">
        <f t="shared" si="14"/>
        <v>0</v>
      </c>
      <c r="AK73" s="264" t="b">
        <f t="shared" si="15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6"/>
        <v>44256</v>
      </c>
      <c r="B74" s="607">
        <v>38.941000000000003</v>
      </c>
      <c r="C74" s="388"/>
      <c r="D74" s="391">
        <f t="shared" si="0"/>
        <v>39.512340717304888</v>
      </c>
      <c r="E74" s="383">
        <f t="shared" si="17"/>
        <v>41.966746600117595</v>
      </c>
      <c r="F74" s="383">
        <f t="shared" si="1"/>
        <v>41.967106542050821</v>
      </c>
      <c r="G74" s="110">
        <f t="shared" si="18"/>
        <v>0.87909133479746804</v>
      </c>
      <c r="H74" s="412" t="b">
        <f>Wh_hp&gt;='2020'!Maxi_hp</f>
        <v>1</v>
      </c>
      <c r="I74" s="379">
        <f>IF(H74,Wh_hp,'2020'!Maxi_hp)</f>
        <v>41.967106542050821</v>
      </c>
      <c r="J74" s="85">
        <f>IF(H74,An,'2020'!An_max)</f>
        <v>2021</v>
      </c>
      <c r="K74" s="197">
        <f t="shared" si="19"/>
        <v>44256</v>
      </c>
      <c r="L74" s="147">
        <f>IF(t&lt;Tvie,1-EXP((T0-t)*PertePVj)+'2020'!Pspv,1-EXP((T0-t)*PertePVj)+Pspv)</f>
        <v>1.4459804378399221E-2</v>
      </c>
      <c r="M74" s="832"/>
      <c r="N74" s="832"/>
      <c r="O74" s="48">
        <f>IF(t&lt;Tnet,'2020'!Resal+('2020'!Salim-'2020'!Resal)*(1-EXP(('2020'!Tnet-t)/('2020'!Tau_j))),Resal+(Salim-Resal)*(1-EXP((Tnet-t)/(Tau_j))))*Salcycl</f>
        <v>5.8484540300434727E-2</v>
      </c>
      <c r="P74" s="169">
        <f>(INDEX(Models!$BJ74:$BT74,,T74)*(1-R74)+INDEX(Models!$BJ74:$BT74,,T74+1)*R74-ERP_i)*Q74*Ramure*Pc/MaxiM</f>
        <v>1.0367480100326699E-5</v>
      </c>
      <c r="Q74" s="304">
        <f t="shared" si="2"/>
        <v>0.6</v>
      </c>
      <c r="R74" s="177">
        <f t="shared" si="3"/>
        <v>0.50618419827692085</v>
      </c>
      <c r="S74" s="799">
        <f t="shared" si="4"/>
        <v>-1</v>
      </c>
      <c r="T74" s="176">
        <f t="shared" si="5"/>
        <v>5</v>
      </c>
      <c r="U74" s="250">
        <f t="shared" si="20"/>
        <v>-0.4938158017230791</v>
      </c>
      <c r="V74" s="382">
        <f t="shared" si="6"/>
        <v>44.296796846558578</v>
      </c>
      <c r="W74" s="400"/>
      <c r="X74" s="157">
        <f t="shared" si="7"/>
        <v>44256</v>
      </c>
      <c r="Y74" s="383">
        <f t="shared" si="8"/>
        <v>38.941000000000003</v>
      </c>
      <c r="Z74" s="383">
        <f t="shared" si="9"/>
        <v>39.512340717304888</v>
      </c>
      <c r="AA74" s="384">
        <f t="shared" si="10"/>
        <v>41.966746600117595</v>
      </c>
      <c r="AB74" s="197">
        <f t="shared" si="11"/>
        <v>44256</v>
      </c>
      <c r="AC74" s="119">
        <f>IF(OR(t&lt;Tnet,NoTnet),'2020'!Resal_s+('2020'!Salim-'2020'!Resal_s)*(1-EXP(('2020'!Tnet_s-t)/'2020'!Tau_j)),Resal_s+(Salim-Resal_s)*(1-EXP((Tnet_s-t)/Tau_j)))*Salcycl</f>
        <v>5.8484540300434727E-2</v>
      </c>
      <c r="AD74" s="230">
        <f>(INDEX(Models!$BJ74:$BT74,,AH74)*(1-AF74)+INDEX(Models!$BJ74:$BT74,,AH74+1)*AF74-ERP_i)*AE74*Ramure*Pc/MaxiM</f>
        <v>1.0367480100326699E-5</v>
      </c>
      <c r="AE74" s="304">
        <f t="shared" si="12"/>
        <v>0.6</v>
      </c>
      <c r="AF74" s="177">
        <f t="shared" si="21"/>
        <v>0.50618419827692085</v>
      </c>
      <c r="AG74" s="799">
        <f t="shared" si="22"/>
        <v>-1</v>
      </c>
      <c r="AH74" s="176">
        <f t="shared" si="13"/>
        <v>5</v>
      </c>
      <c r="AI74" s="224">
        <f t="shared" si="23"/>
        <v>-0.4938158017230791</v>
      </c>
      <c r="AJ74" s="264" t="b">
        <f t="shared" si="14"/>
        <v>0</v>
      </c>
      <c r="AK74" s="264" t="b">
        <f t="shared" si="15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6"/>
        <v>44257</v>
      </c>
      <c r="B75" s="607">
        <v>17.138999999999999</v>
      </c>
      <c r="C75" s="388"/>
      <c r="D75" s="391">
        <f t="shared" si="0"/>
        <v>17.390795979163396</v>
      </c>
      <c r="E75" s="383">
        <f t="shared" si="17"/>
        <v>18.475180345386466</v>
      </c>
      <c r="F75" s="383">
        <f t="shared" si="1"/>
        <v>18.475202930107066</v>
      </c>
      <c r="G75" s="110">
        <f t="shared" si="18"/>
        <v>0.38415258994180046</v>
      </c>
      <c r="H75" s="412" t="b">
        <f>Wh_hp&gt;='2020'!Maxi_hp</f>
        <v>0</v>
      </c>
      <c r="I75" s="379">
        <f>IF(H75,Wh_hp,'2020'!Maxi_hp)</f>
        <v>33.645098322767872</v>
      </c>
      <c r="J75" s="85">
        <f>IF(H75,An,'2020'!An_max)</f>
        <v>2020</v>
      </c>
      <c r="K75" s="197">
        <f t="shared" si="19"/>
        <v>44257</v>
      </c>
      <c r="L75" s="147">
        <f>IF(t&lt;Tvie,1-EXP((T0-t)*PertePVj)+'2020'!Pspv,1-EXP((T0-t)*PertePVj)+Pspv)</f>
        <v>1.447869203141039E-2</v>
      </c>
      <c r="M75" s="832"/>
      <c r="N75" s="832"/>
      <c r="O75" s="48">
        <f>IF(t&lt;Tnet,'2020'!Resal+('2020'!Salim-'2020'!Resal)*(1-EXP(('2020'!Tnet-t)/('2020'!Tau_j))),Resal+(Salim-Resal)*(1-EXP((Tnet-t)/(Tau_j))))*Salcycl</f>
        <v>5.869411534561049E-2</v>
      </c>
      <c r="P75" s="169">
        <f>(INDEX(Models!$BJ75:$BT75,,T75)*(1-R75)+INDEX(Models!$BJ75:$BT75,,T75+1)*R75-ERP_i)*Q75*Ramure*Pc/MaxiM</f>
        <v>1.0168065223738508E-5</v>
      </c>
      <c r="Q75" s="304">
        <f t="shared" si="2"/>
        <v>0.6</v>
      </c>
      <c r="R75" s="177">
        <f t="shared" si="3"/>
        <v>0.50650481924618251</v>
      </c>
      <c r="S75" s="799">
        <f t="shared" si="4"/>
        <v>-1</v>
      </c>
      <c r="T75" s="176">
        <f t="shared" si="5"/>
        <v>5</v>
      </c>
      <c r="U75" s="250">
        <f t="shared" si="20"/>
        <v>-0.49349518075381754</v>
      </c>
      <c r="V75" s="382">
        <f t="shared" si="6"/>
        <v>44.614684709634922</v>
      </c>
      <c r="W75" s="400"/>
      <c r="X75" s="157">
        <f t="shared" si="7"/>
        <v>44257</v>
      </c>
      <c r="Y75" s="383">
        <f t="shared" si="8"/>
        <v>17.138999999999999</v>
      </c>
      <c r="Z75" s="383">
        <f t="shared" si="9"/>
        <v>17.390795979163396</v>
      </c>
      <c r="AA75" s="384">
        <f t="shared" si="10"/>
        <v>18.475180345386466</v>
      </c>
      <c r="AB75" s="197">
        <f t="shared" si="11"/>
        <v>44257</v>
      </c>
      <c r="AC75" s="119">
        <f>IF(OR(t&lt;Tnet,NoTnet),'2020'!Resal_s+('2020'!Salim-'2020'!Resal_s)*(1-EXP(('2020'!Tnet_s-t)/'2020'!Tau_j)),Resal_s+(Salim-Resal_s)*(1-EXP((Tnet_s-t)/Tau_j)))*Salcycl</f>
        <v>5.869411534561049E-2</v>
      </c>
      <c r="AD75" s="230">
        <f>(INDEX(Models!$BJ75:$BT75,,AH75)*(1-AF75)+INDEX(Models!$BJ75:$BT75,,AH75+1)*AF75-ERP_i)*AE75*Ramure*Pc/MaxiM</f>
        <v>1.0168065223738508E-5</v>
      </c>
      <c r="AE75" s="304">
        <f t="shared" si="12"/>
        <v>0.6</v>
      </c>
      <c r="AF75" s="177">
        <f t="shared" si="21"/>
        <v>0.50650481924618251</v>
      </c>
      <c r="AG75" s="799">
        <f t="shared" si="22"/>
        <v>-1</v>
      </c>
      <c r="AH75" s="176">
        <f t="shared" si="13"/>
        <v>5</v>
      </c>
      <c r="AI75" s="224">
        <f t="shared" si="23"/>
        <v>-0.49349518075381754</v>
      </c>
      <c r="AJ75" s="264" t="b">
        <f t="shared" si="14"/>
        <v>0</v>
      </c>
      <c r="AK75" s="264" t="b">
        <f t="shared" si="15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6"/>
        <v>44258</v>
      </c>
      <c r="B76" s="607">
        <v>15.177</v>
      </c>
      <c r="C76" s="388"/>
      <c r="D76" s="391">
        <f t="shared" si="0"/>
        <v>15.400266586423459</v>
      </c>
      <c r="E76" s="383">
        <f t="shared" si="17"/>
        <v>16.364168876873521</v>
      </c>
      <c r="F76" s="383">
        <f t="shared" si="1"/>
        <v>16.364177691152292</v>
      </c>
      <c r="G76" s="110">
        <f t="shared" si="18"/>
        <v>0.33777637503603813</v>
      </c>
      <c r="H76" s="412" t="b">
        <f>Wh_hp&gt;='2020'!Maxi_hp</f>
        <v>0</v>
      </c>
      <c r="I76" s="379">
        <f>IF(H76,Wh_hp,'2020'!Maxi_hp)</f>
        <v>23.821785829797371</v>
      </c>
      <c r="J76" s="85">
        <f>IF(H76,An,'2020'!An_max)</f>
        <v>2020</v>
      </c>
      <c r="K76" s="197">
        <f t="shared" si="19"/>
        <v>44258</v>
      </c>
      <c r="L76" s="147">
        <f>IF(t&lt;Tvie,1-EXP((T0-t)*PertePVj)+'2020'!Pspv,1-EXP((T0-t)*PertePVj)+Pspv)</f>
        <v>1.449757932244411E-2</v>
      </c>
      <c r="M76" s="832"/>
      <c r="N76" s="832"/>
      <c r="O76" s="48">
        <f>IF(t&lt;Tnet,'2020'!Resal+('2020'!Salim-'2020'!Resal)*(1-EXP(('2020'!Tnet-t)/('2020'!Tau_j))),Resal+(Salim-Resal)*(1-EXP((Tnet-t)/(Tau_j))))*Salcycl</f>
        <v>5.8903223115246817E-2</v>
      </c>
      <c r="P76" s="169">
        <f>(INDEX(Models!$BJ76:$BT76,,T76)*(1-R76)+INDEX(Models!$BJ76:$BT76,,T76+1)*R76-ERP_i)*Q76*Ramure*Pc/MaxiM</f>
        <v>9.9800723991929277E-6</v>
      </c>
      <c r="Q76" s="304">
        <f t="shared" si="2"/>
        <v>0.6</v>
      </c>
      <c r="R76" s="177">
        <f t="shared" si="3"/>
        <v>0.50683844765604036</v>
      </c>
      <c r="S76" s="799">
        <f t="shared" si="4"/>
        <v>-1</v>
      </c>
      <c r="T76" s="176">
        <f t="shared" si="5"/>
        <v>5</v>
      </c>
      <c r="U76" s="250">
        <f t="shared" si="20"/>
        <v>-0.49316155234395964</v>
      </c>
      <c r="V76" s="382">
        <f t="shared" si="6"/>
        <v>44.93167026726185</v>
      </c>
      <c r="W76" s="400"/>
      <c r="X76" s="157">
        <f t="shared" si="7"/>
        <v>44258</v>
      </c>
      <c r="Y76" s="383">
        <f t="shared" si="8"/>
        <v>15.177000000000001</v>
      </c>
      <c r="Z76" s="383">
        <f t="shared" si="9"/>
        <v>15.400266586423461</v>
      </c>
      <c r="AA76" s="384">
        <f t="shared" si="10"/>
        <v>16.364168876873521</v>
      </c>
      <c r="AB76" s="197">
        <f t="shared" si="11"/>
        <v>44258</v>
      </c>
      <c r="AC76" s="119">
        <f>IF(OR(t&lt;Tnet,NoTnet),'2020'!Resal_s+('2020'!Salim-'2020'!Resal_s)*(1-EXP(('2020'!Tnet_s-t)/'2020'!Tau_j)),Resal_s+(Salim-Resal_s)*(1-EXP((Tnet_s-t)/Tau_j)))*Salcycl</f>
        <v>5.8903223115246817E-2</v>
      </c>
      <c r="AD76" s="230">
        <f>(INDEX(Models!$BJ76:$BT76,,AH76)*(1-AF76)+INDEX(Models!$BJ76:$BT76,,AH76+1)*AF76-ERP_i)*AE76*Ramure*Pc/MaxiM</f>
        <v>9.9800723991929277E-6</v>
      </c>
      <c r="AE76" s="304">
        <f t="shared" si="12"/>
        <v>0.6</v>
      </c>
      <c r="AF76" s="177">
        <f t="shared" si="21"/>
        <v>0.50683844765604036</v>
      </c>
      <c r="AG76" s="799">
        <f t="shared" si="22"/>
        <v>-1</v>
      </c>
      <c r="AH76" s="176">
        <f t="shared" si="13"/>
        <v>5</v>
      </c>
      <c r="AI76" s="224">
        <f t="shared" si="23"/>
        <v>-0.49316155234395964</v>
      </c>
      <c r="AJ76" s="264" t="b">
        <f t="shared" si="14"/>
        <v>0</v>
      </c>
      <c r="AK76" s="264" t="b">
        <f t="shared" si="15"/>
        <v>0</v>
      </c>
      <c r="AL76" s="264"/>
      <c r="AM76" s="264"/>
      <c r="AN76" s="75"/>
    </row>
    <row r="77" spans="1:40" s="6" customFormat="1" ht="11.25" x14ac:dyDescent="0.2">
      <c r="A77" s="56">
        <f t="shared" si="16"/>
        <v>44259</v>
      </c>
      <c r="B77" s="607">
        <v>29.027000000000001</v>
      </c>
      <c r="C77" s="388"/>
      <c r="D77" s="391">
        <f t="shared" si="0"/>
        <v>29.454576363736624</v>
      </c>
      <c r="E77" s="383">
        <f t="shared" si="17"/>
        <v>31.30507816160565</v>
      </c>
      <c r="F77" s="383">
        <f t="shared" si="1"/>
        <v>31.305227886602569</v>
      </c>
      <c r="G77" s="110">
        <f t="shared" si="18"/>
        <v>0.64150786647181368</v>
      </c>
      <c r="H77" s="412" t="b">
        <f>Wh_hp&gt;='2020'!Maxi_hp</f>
        <v>1</v>
      </c>
      <c r="I77" s="379">
        <f>IF(H77,Wh_hp,'2020'!Maxi_hp)</f>
        <v>31.305227886602569</v>
      </c>
      <c r="J77" s="85">
        <f>IF(H77,An,'2020'!An_max)</f>
        <v>2021</v>
      </c>
      <c r="K77" s="197">
        <f t="shared" si="19"/>
        <v>44259</v>
      </c>
      <c r="L77" s="147">
        <f>IF(t&lt;Tvie,1-EXP((T0-t)*PertePVj)+'2020'!Pspv,1-EXP((T0-t)*PertePVj)+Pspv)</f>
        <v>1.4516466251507154E-2</v>
      </c>
      <c r="M77" s="832"/>
      <c r="N77" s="832"/>
      <c r="O77" s="48">
        <f>IF(t&lt;Tnet,'2020'!Resal+('2020'!Salim-'2020'!Resal)*(1-EXP(('2020'!Tnet-t)/('2020'!Tau_j))),Resal+(Salim-Resal)*(1-EXP((Tnet-t)/(Tau_j))))*Salcycl</f>
        <v>5.9111872786779679E-2</v>
      </c>
      <c r="P77" s="169">
        <f>(INDEX(Models!$BJ77:$BT77,,T77)*(1-R77)+INDEX(Models!$BJ77:$BT77,,T77+1)*R77-ERP_i)*Q77*Ramure*Pc/MaxiM</f>
        <v>9.8032634880475706E-6</v>
      </c>
      <c r="Q77" s="304">
        <f t="shared" si="2"/>
        <v>0.6</v>
      </c>
      <c r="R77" s="177">
        <f t="shared" si="3"/>
        <v>0.50718559220113857</v>
      </c>
      <c r="S77" s="799">
        <f t="shared" si="4"/>
        <v>-1</v>
      </c>
      <c r="T77" s="176">
        <f t="shared" si="5"/>
        <v>5</v>
      </c>
      <c r="U77" s="250">
        <f t="shared" si="20"/>
        <v>-0.49281440779886138</v>
      </c>
      <c r="V77" s="382">
        <f t="shared" si="6"/>
        <v>45.247853979445395</v>
      </c>
      <c r="W77" s="400"/>
      <c r="X77" s="157">
        <f t="shared" si="7"/>
        <v>44259</v>
      </c>
      <c r="Y77" s="383">
        <f t="shared" si="8"/>
        <v>29.027000000000001</v>
      </c>
      <c r="Z77" s="383">
        <f t="shared" si="9"/>
        <v>29.454576363736624</v>
      </c>
      <c r="AA77" s="384">
        <f t="shared" si="10"/>
        <v>31.30507816160565</v>
      </c>
      <c r="AB77" s="197">
        <f t="shared" si="11"/>
        <v>44259</v>
      </c>
      <c r="AC77" s="119">
        <f>IF(OR(t&lt;Tnet,NoTnet),'2020'!Resal_s+('2020'!Salim-'2020'!Resal_s)*(1-EXP(('2020'!Tnet_s-t)/'2020'!Tau_j)),Resal_s+(Salim-Resal_s)*(1-EXP((Tnet_s-t)/Tau_j)))*Salcycl</f>
        <v>5.9111872786779679E-2</v>
      </c>
      <c r="AD77" s="230">
        <f>(INDEX(Models!$BJ77:$BT77,,AH77)*(1-AF77)+INDEX(Models!$BJ77:$BT77,,AH77+1)*AF77-ERP_i)*AE77*Ramure*Pc/MaxiM</f>
        <v>9.8032634880475706E-6</v>
      </c>
      <c r="AE77" s="304">
        <f t="shared" si="12"/>
        <v>0.6</v>
      </c>
      <c r="AF77" s="177">
        <f t="shared" si="21"/>
        <v>0.50718559220113857</v>
      </c>
      <c r="AG77" s="799">
        <f t="shared" si="22"/>
        <v>-1</v>
      </c>
      <c r="AH77" s="176">
        <f t="shared" si="13"/>
        <v>5</v>
      </c>
      <c r="AI77" s="224">
        <f t="shared" si="23"/>
        <v>-0.49281440779886138</v>
      </c>
      <c r="AJ77" s="264" t="b">
        <f t="shared" si="14"/>
        <v>0</v>
      </c>
      <c r="AK77" s="264" t="b">
        <f t="shared" si="15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6"/>
        <v>44260</v>
      </c>
      <c r="B78" s="607">
        <v>35.651000000000003</v>
      </c>
      <c r="C78" s="388"/>
      <c r="D78" s="391">
        <f t="shared" si="0"/>
        <v>36.176843179477103</v>
      </c>
      <c r="E78" s="383">
        <f t="shared" si="17"/>
        <v>38.4581856283611</v>
      </c>
      <c r="F78" s="383">
        <f t="shared" si="1"/>
        <v>38.458441078302194</v>
      </c>
      <c r="G78" s="110">
        <f t="shared" si="18"/>
        <v>0.78244694624581757</v>
      </c>
      <c r="H78" s="412" t="b">
        <f>Wh_hp&gt;='2020'!Maxi_hp</f>
        <v>1</v>
      </c>
      <c r="I78" s="379">
        <f>IF(H78,Wh_hp,'2020'!Maxi_hp)</f>
        <v>38.458441078302194</v>
      </c>
      <c r="J78" s="85">
        <f>IF(H78,An,'2020'!An_max)</f>
        <v>2021</v>
      </c>
      <c r="K78" s="197">
        <f t="shared" si="19"/>
        <v>44260</v>
      </c>
      <c r="L78" s="147">
        <f>IF(t&lt;Tvie,1-EXP((T0-t)*PertePVj)+'2020'!Pspv,1-EXP((T0-t)*PertePVj)+Pspv)</f>
        <v>1.4535352818606517E-2</v>
      </c>
      <c r="M78" s="832"/>
      <c r="N78" s="832"/>
      <c r="O78" s="48">
        <f>IF(t&lt;Tnet,'2020'!Resal+('2020'!Salim-'2020'!Resal)*(1-EXP(('2020'!Tnet-t)/('2020'!Tau_j))),Resal+(Salim-Resal)*(1-EXP((Tnet-t)/(Tau_j))))*Salcycl</f>
        <v>5.9320074819172203E-2</v>
      </c>
      <c r="P78" s="169">
        <f>(INDEX(Models!$BJ78:$BT78,,T78)*(1-R78)+INDEX(Models!$BJ78:$BT78,,T78+1)*R78-ERP_i)*Q78*Ramure*Pc/MaxiM</f>
        <v>9.6374136397531811E-6</v>
      </c>
      <c r="Q78" s="304">
        <f t="shared" si="2"/>
        <v>0.6</v>
      </c>
      <c r="R78" s="177">
        <f t="shared" si="3"/>
        <v>0.5075467798730342</v>
      </c>
      <c r="S78" s="799">
        <f t="shared" si="4"/>
        <v>-1</v>
      </c>
      <c r="T78" s="176">
        <f t="shared" si="5"/>
        <v>5</v>
      </c>
      <c r="U78" s="250">
        <f t="shared" si="20"/>
        <v>-0.49245322012696574</v>
      </c>
      <c r="V78" s="382">
        <f t="shared" si="6"/>
        <v>45.563336133104478</v>
      </c>
      <c r="W78" s="400"/>
      <c r="X78" s="157">
        <f t="shared" si="7"/>
        <v>44260</v>
      </c>
      <c r="Y78" s="383">
        <f t="shared" si="8"/>
        <v>35.651000000000003</v>
      </c>
      <c r="Z78" s="383">
        <f t="shared" si="9"/>
        <v>36.176843179477103</v>
      </c>
      <c r="AA78" s="384">
        <f t="shared" si="10"/>
        <v>38.4581856283611</v>
      </c>
      <c r="AB78" s="197">
        <f t="shared" si="11"/>
        <v>44260</v>
      </c>
      <c r="AC78" s="119">
        <f>IF(OR(t&lt;Tnet,NoTnet),'2020'!Resal_s+('2020'!Salim-'2020'!Resal_s)*(1-EXP(('2020'!Tnet_s-t)/'2020'!Tau_j)),Resal_s+(Salim-Resal_s)*(1-EXP((Tnet_s-t)/Tau_j)))*Salcycl</f>
        <v>5.9320074819172203E-2</v>
      </c>
      <c r="AD78" s="230">
        <f>(INDEX(Models!$BJ78:$BT78,,AH78)*(1-AF78)+INDEX(Models!$BJ78:$BT78,,AH78+1)*AF78-ERP_i)*AE78*Ramure*Pc/MaxiM</f>
        <v>9.6374136397531811E-6</v>
      </c>
      <c r="AE78" s="304">
        <f t="shared" si="12"/>
        <v>0.6</v>
      </c>
      <c r="AF78" s="177">
        <f t="shared" si="21"/>
        <v>0.5075467798730342</v>
      </c>
      <c r="AG78" s="799">
        <f t="shared" si="22"/>
        <v>-1</v>
      </c>
      <c r="AH78" s="176">
        <f t="shared" si="13"/>
        <v>5</v>
      </c>
      <c r="AI78" s="224">
        <f t="shared" si="23"/>
        <v>-0.49245322012696574</v>
      </c>
      <c r="AJ78" s="264" t="b">
        <f t="shared" si="14"/>
        <v>0</v>
      </c>
      <c r="AK78" s="264" t="b">
        <f t="shared" si="15"/>
        <v>0</v>
      </c>
      <c r="AL78" s="264"/>
      <c r="AM78" s="264"/>
      <c r="AN78" s="75"/>
    </row>
    <row r="79" spans="1:40" s="6" customFormat="1" ht="11.25" x14ac:dyDescent="0.2">
      <c r="A79" s="56">
        <f t="shared" si="16"/>
        <v>44261</v>
      </c>
      <c r="B79" s="607">
        <v>10.886000000000001</v>
      </c>
      <c r="C79" s="388"/>
      <c r="D79" s="391">
        <f t="shared" ref="D79:D142" si="24">Wh/(1-Ppv)</f>
        <v>11.04677743929364</v>
      </c>
      <c r="E79" s="383">
        <f t="shared" si="17"/>
        <v>11.745990918610351</v>
      </c>
      <c r="F79" s="383">
        <f t="shared" ref="F79:F142" si="25">Wh_sa/(1-Pvg*MEDIAN((-Sdif+Wh/Env_an)/Csdif,0,1))</f>
        <v>11.745990918610351</v>
      </c>
      <c r="G79" s="110">
        <f t="shared" si="18"/>
        <v>0.2372738128222229</v>
      </c>
      <c r="H79" s="412" t="b">
        <f>Wh_hp&gt;='2020'!Maxi_hp</f>
        <v>0</v>
      </c>
      <c r="I79" s="379">
        <f>IF(H79,Wh_hp,'2020'!Maxi_hp)</f>
        <v>12.075710193439667</v>
      </c>
      <c r="J79" s="85">
        <f>IF(H79,An,'2020'!An_max)</f>
        <v>2020</v>
      </c>
      <c r="K79" s="197">
        <f t="shared" ref="K79:K142" si="26">t</f>
        <v>44261</v>
      </c>
      <c r="L79" s="147">
        <f>IF(t&lt;Tvie,1-EXP((T0-t)*PertePVj)+'2020'!Pspv,1-EXP((T0-t)*PertePVj)+Pspv)</f>
        <v>1.4554239023749194E-2</v>
      </c>
      <c r="M79" s="832"/>
      <c r="N79" s="832"/>
      <c r="O79" s="48">
        <f>IF(t&lt;Tnet,'2020'!Resal+('2020'!Salim-'2020'!Resal)*(1-EXP(('2020'!Tnet-t)/('2020'!Tau_j))),Resal+(Salim-Resal)*(1-EXP((Tnet-t)/(Tau_j))))*Salcycl</f>
        <v>5.9527840959665429E-2</v>
      </c>
      <c r="P79" s="169">
        <f>(INDEX(Models!$BJ79:$BT79,,T79)*(1-R79)+INDEX(Models!$BJ79:$BT79,,T79+1)*R79-ERP_i)*Q79*Ramure*Pc/MaxiM</f>
        <v>9.4821386891012292E-6</v>
      </c>
      <c r="Q79" s="304">
        <f t="shared" ref="Q79:Q142" si="27">IF(OR(t&lt;Ttai,Notai),Dd+PousD*Croivg,Dens+PousD*(Croivg-Croi_tai))</f>
        <v>0.6</v>
      </c>
      <c r="R79" s="177">
        <f t="shared" ref="R79:R142" si="28">(Hp_vg-S79)/(INDEX(Echel_vg,T79+1)-S79)</f>
        <v>0.50792255648293239</v>
      </c>
      <c r="S79" s="799">
        <f t="shared" ref="S79:S142" si="29">INDEX(Echel_vg,T79)</f>
        <v>-1</v>
      </c>
      <c r="T79" s="176">
        <f t="shared" ref="T79:T142" si="30">MIN(MATCH(Hp_vg,Echel_vg),10)</f>
        <v>5</v>
      </c>
      <c r="U79" s="250">
        <f t="shared" ref="U79:U142" si="31">IF(OR(t&lt;Ttai,Notai),Hdd+PousH*Croivg,Hdtf+PousH*(Croivg-Croi_tai))</f>
        <v>-0.49207744351706761</v>
      </c>
      <c r="V79" s="382">
        <f t="shared" ref="V79:V142" si="32">MaxiM*(1-Ppv)*(1-Pvg)*(1-Psa)</f>
        <v>45.879048547150347</v>
      </c>
      <c r="W79" s="400"/>
      <c r="X79" s="157">
        <f t="shared" ref="X79:X142" si="33">t</f>
        <v>44261</v>
      </c>
      <c r="Y79" s="383">
        <f t="shared" ref="Y79:Y142" si="34">Wh_pvt_s*(1-Ppv)</f>
        <v>10.886000000000001</v>
      </c>
      <c r="Z79" s="383">
        <f t="shared" ref="Z79:Z142" si="35">Wh_sa_s*(1-Psa_s)</f>
        <v>11.04677743929364</v>
      </c>
      <c r="AA79" s="384">
        <f t="shared" ref="AA79:AA142" si="36">Wh_hp*(1-Pvg_s*MEDIAN((-Sdif+Wh/Env_an)/Csdif,0,1))</f>
        <v>11.745990918610351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5.9527840959665429E-2</v>
      </c>
      <c r="AD79" s="230">
        <f>(INDEX(Models!$BJ79:$BT79,,AH79)*(1-AF79)+INDEX(Models!$BJ79:$BT79,,AH79+1)*AF79-ERP_i)*AE79*Ramure*Pc/MaxiM</f>
        <v>9.4821386891012292E-6</v>
      </c>
      <c r="AE79" s="304">
        <f t="shared" ref="AE79:AE142" si="38">IF(OR(t&lt;Ttai,Notai),Dd_s+PousD*Croivg,Dens_s+PousD*(Croivg-Croi_tai))</f>
        <v>0.6</v>
      </c>
      <c r="AF79" s="177">
        <f t="shared" ref="AF79:AF142" si="39">(Hp_vg_s-AG79)/(INDEX(Echel_vg,AH79+1)-AG79)</f>
        <v>0.50792255648293239</v>
      </c>
      <c r="AG79" s="799">
        <f t="shared" si="22"/>
        <v>-1</v>
      </c>
      <c r="AH79" s="176">
        <f t="shared" ref="AH79:AH142" si="40">MIN(MATCH(Hp_vg_s,Echel_vg),10)</f>
        <v>5</v>
      </c>
      <c r="AI79" s="224">
        <f t="shared" ref="AI79:AI142" si="41">IF(OR(t&lt;Ttai,Notai),Hdd_s+PousH*Croivg,Hdtai_s+PousH*(Croivg-Croi_tai))</f>
        <v>-0.49207744351706761</v>
      </c>
      <c r="AJ79" s="264" t="b">
        <f t="shared" ref="AJ79:AJ142" si="42">t&lt;Tnet</f>
        <v>0</v>
      </c>
      <c r="AK79" s="264" t="b">
        <f t="shared" ref="AK79:AK142" si="43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4">A79+1</f>
        <v>44262</v>
      </c>
      <c r="B80" s="607">
        <v>10.787000000000001</v>
      </c>
      <c r="C80" s="388"/>
      <c r="D80" s="391">
        <f t="shared" si="24"/>
        <v>10.946525076803368</v>
      </c>
      <c r="E80" s="383">
        <f t="shared" ref="E80:E143" si="45">Wh_pvt/(1-Psa)</f>
        <v>11.641959683438007</v>
      </c>
      <c r="F80" s="383">
        <f t="shared" si="25"/>
        <v>11.641959683438007</v>
      </c>
      <c r="G80" s="110">
        <f t="shared" ref="G80:G143" si="46">+Wh_hp/MaxiM</f>
        <v>0.23350529645998916</v>
      </c>
      <c r="H80" s="412" t="b">
        <f>Wh_hp&gt;='2020'!Maxi_hp</f>
        <v>0</v>
      </c>
      <c r="I80" s="379">
        <f>IF(H80,Wh_hp,'2020'!Maxi_hp)</f>
        <v>21.119064196921489</v>
      </c>
      <c r="J80" s="85">
        <f>IF(H80,An,'2020'!An_max)</f>
        <v>2020</v>
      </c>
      <c r="K80" s="197">
        <f t="shared" si="26"/>
        <v>44262</v>
      </c>
      <c r="L80" s="147">
        <f>IF(t&lt;Tvie,1-EXP((T0-t)*PertePVj)+'2020'!Pspv,1-EXP((T0-t)*PertePVj)+Pspv)</f>
        <v>1.4573124866941956E-2</v>
      </c>
      <c r="M80" s="832"/>
      <c r="N80" s="832"/>
      <c r="O80" s="48">
        <f>IF(t&lt;Tnet,'2020'!Resal+('2020'!Salim-'2020'!Resal)*(1-EXP(('2020'!Tnet-t)/('2020'!Tau_j))),Resal+(Salim-Resal)*(1-EXP((Tnet-t)/(Tau_j))))*Salcycl</f>
        <v>5.9735184242561142E-2</v>
      </c>
      <c r="P80" s="169">
        <f>(INDEX(Models!$BJ80:$BT80,,T80)*(1-R80)+INDEX(Models!$BJ80:$BT80,,T80+1)*R80-ERP_i)*Q80*Ramure*Pc/MaxiM</f>
        <v>9.3186922335773253E-6</v>
      </c>
      <c r="Q80" s="304">
        <f t="shared" si="27"/>
        <v>0.6</v>
      </c>
      <c r="R80" s="177">
        <f t="shared" si="28"/>
        <v>0.50831348718736802</v>
      </c>
      <c r="S80" s="799">
        <f t="shared" si="29"/>
        <v>-1</v>
      </c>
      <c r="T80" s="176">
        <f t="shared" si="30"/>
        <v>5</v>
      </c>
      <c r="U80" s="250">
        <f t="shared" si="31"/>
        <v>-0.49168651281263204</v>
      </c>
      <c r="V80" s="382">
        <f t="shared" si="32"/>
        <v>46.195523796674131</v>
      </c>
      <c r="W80" s="400"/>
      <c r="X80" s="157">
        <f t="shared" si="33"/>
        <v>44262</v>
      </c>
      <c r="Y80" s="383">
        <f t="shared" si="34"/>
        <v>10.787000000000001</v>
      </c>
      <c r="Z80" s="383">
        <f t="shared" si="35"/>
        <v>10.946525076803368</v>
      </c>
      <c r="AA80" s="384">
        <f t="shared" si="36"/>
        <v>11.641959683438007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5.9735184242561142E-2</v>
      </c>
      <c r="AD80" s="230">
        <f>(INDEX(Models!$BJ80:$BT80,,AH80)*(1-AF80)+INDEX(Models!$BJ80:$BT80,,AH80+1)*AF80-ERP_i)*AE80*Ramure*Pc/MaxiM</f>
        <v>9.3186922335773253E-6</v>
      </c>
      <c r="AE80" s="304">
        <f t="shared" si="38"/>
        <v>0.6</v>
      </c>
      <c r="AF80" s="177">
        <f t="shared" si="39"/>
        <v>0.50831348718736802</v>
      </c>
      <c r="AG80" s="799">
        <f t="shared" ref="AG80:AG143" si="47">INDEX(Echel_vg,AH80)</f>
        <v>-1</v>
      </c>
      <c r="AH80" s="176">
        <f t="shared" si="40"/>
        <v>5</v>
      </c>
      <c r="AI80" s="224">
        <f t="shared" si="41"/>
        <v>-0.49168651281263204</v>
      </c>
      <c r="AJ80" s="264" t="b">
        <f t="shared" si="42"/>
        <v>0</v>
      </c>
      <c r="AK80" s="264" t="b">
        <f t="shared" si="43"/>
        <v>0</v>
      </c>
      <c r="AL80" s="264"/>
      <c r="AM80" s="264"/>
      <c r="AN80" s="75"/>
    </row>
    <row r="81" spans="1:40" s="6" customFormat="1" ht="11.25" x14ac:dyDescent="0.2">
      <c r="A81" s="56">
        <f t="shared" si="44"/>
        <v>44263</v>
      </c>
      <c r="B81" s="607">
        <v>20.068000000000001</v>
      </c>
      <c r="C81" s="388"/>
      <c r="D81" s="391">
        <f t="shared" si="24"/>
        <v>20.365168753189213</v>
      </c>
      <c r="E81" s="383">
        <f t="shared" si="45"/>
        <v>21.66373918497084</v>
      </c>
      <c r="F81" s="383">
        <f t="shared" si="25"/>
        <v>21.663776317355993</v>
      </c>
      <c r="G81" s="110">
        <f t="shared" si="46"/>
        <v>0.43145290903919814</v>
      </c>
      <c r="H81" s="412" t="b">
        <f>Wh_hp&gt;='2020'!Maxi_hp</f>
        <v>0</v>
      </c>
      <c r="I81" s="379">
        <f>IF(H81,Wh_hp,'2020'!Maxi_hp)</f>
        <v>30.250632153178124</v>
      </c>
      <c r="J81" s="85">
        <f>IF(H81,An,'2020'!An_max)</f>
        <v>2020</v>
      </c>
      <c r="K81" s="197">
        <f t="shared" si="26"/>
        <v>44263</v>
      </c>
      <c r="L81" s="147">
        <f>IF(t&lt;Tvie,1-EXP((T0-t)*PertePVj)+'2020'!Pspv,1-EXP((T0-t)*PertePVj)+Pspv)</f>
        <v>1.4592010348191908E-2</v>
      </c>
      <c r="M81" s="832"/>
      <c r="N81" s="832"/>
      <c r="O81" s="48">
        <f>IF(t&lt;Tnet,'2020'!Resal+('2020'!Salim-'2020'!Resal)*(1-EXP(('2020'!Tnet-t)/('2020'!Tau_j))),Resal+(Salim-Resal)*(1-EXP((Tnet-t)/(Tau_j))))*Salcycl</f>
        <v>5.9942118980203817E-2</v>
      </c>
      <c r="P81" s="169">
        <f>(INDEX(Models!$BJ81:$BT81,,T81)*(1-R81)+INDEX(Models!$BJ81:$BT81,,T81+1)*R81-ERP_i)*Q81*Ramure*Pc/MaxiM</f>
        <v>9.1271661254433229E-6</v>
      </c>
      <c r="Q81" s="304">
        <f t="shared" si="27"/>
        <v>0.6</v>
      </c>
      <c r="R81" s="177">
        <f t="shared" si="28"/>
        <v>0.50872015701557805</v>
      </c>
      <c r="S81" s="799">
        <f t="shared" si="29"/>
        <v>-1</v>
      </c>
      <c r="T81" s="176">
        <f t="shared" si="30"/>
        <v>5</v>
      </c>
      <c r="U81" s="250">
        <f t="shared" si="31"/>
        <v>-0.49127984298442195</v>
      </c>
      <c r="V81" s="382">
        <f t="shared" si="32"/>
        <v>46.512263128876057</v>
      </c>
      <c r="W81" s="400"/>
      <c r="X81" s="157">
        <f t="shared" si="33"/>
        <v>44263</v>
      </c>
      <c r="Y81" s="383">
        <f t="shared" si="34"/>
        <v>20.068000000000001</v>
      </c>
      <c r="Z81" s="383">
        <f t="shared" si="35"/>
        <v>20.365168753189213</v>
      </c>
      <c r="AA81" s="384">
        <f t="shared" si="36"/>
        <v>21.66373918497084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5.9942118980203817E-2</v>
      </c>
      <c r="AD81" s="230">
        <f>(INDEX(Models!$BJ81:$BT81,,AH81)*(1-AF81)+INDEX(Models!$BJ81:$BT81,,AH81+1)*AF81-ERP_i)*AE81*Ramure*Pc/MaxiM</f>
        <v>9.1271661254433229E-6</v>
      </c>
      <c r="AE81" s="304">
        <f t="shared" si="38"/>
        <v>0.6</v>
      </c>
      <c r="AF81" s="177">
        <f t="shared" si="39"/>
        <v>0.50872015701557805</v>
      </c>
      <c r="AG81" s="799">
        <f t="shared" si="47"/>
        <v>-1</v>
      </c>
      <c r="AH81" s="176">
        <f t="shared" si="40"/>
        <v>5</v>
      </c>
      <c r="AI81" s="224">
        <f t="shared" si="41"/>
        <v>-0.49127984298442195</v>
      </c>
      <c r="AJ81" s="264" t="b">
        <f t="shared" si="42"/>
        <v>0</v>
      </c>
      <c r="AK81" s="264" t="b">
        <f t="shared" si="43"/>
        <v>0</v>
      </c>
      <c r="AL81" s="264"/>
      <c r="AM81" s="264"/>
      <c r="AN81" s="75"/>
    </row>
    <row r="82" spans="1:40" s="6" customFormat="1" ht="11.25" x14ac:dyDescent="0.2">
      <c r="A82" s="56">
        <f t="shared" si="44"/>
        <v>44264</v>
      </c>
      <c r="B82" s="607">
        <v>43.511000000000003</v>
      </c>
      <c r="C82" s="388"/>
      <c r="D82" s="391">
        <f t="shared" si="24"/>
        <v>44.156161053397547</v>
      </c>
      <c r="E82" s="383">
        <f t="shared" si="45"/>
        <v>46.982069620143264</v>
      </c>
      <c r="F82" s="383">
        <f t="shared" si="25"/>
        <v>46.982445789324288</v>
      </c>
      <c r="G82" s="110">
        <f t="shared" si="46"/>
        <v>0.92915024937234636</v>
      </c>
      <c r="H82" s="412" t="b">
        <f>Wh_hp&gt;='2020'!Maxi_hp</f>
        <v>1</v>
      </c>
      <c r="I82" s="379">
        <f>IF(H82,Wh_hp,'2020'!Maxi_hp)</f>
        <v>46.982445789324288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1.4610895467505824E-2</v>
      </c>
      <c r="M82" s="832"/>
      <c r="N82" s="832"/>
      <c r="O82" s="48">
        <f>IF(t&lt;Tnet,'2020'!Resal+('2020'!Salim-'2020'!Resal)*(1-EXP(('2020'!Tnet-t)/('2020'!Tau_j))),Resal+(Salim-Resal)*(1-EXP((Tnet-t)/(Tau_j))))*Salcycl</f>
        <v>6.0148660746399463E-2</v>
      </c>
      <c r="P82" s="169">
        <f>(INDEX(Models!$BJ82:$BT82,,T82)*(1-R82)+INDEX(Models!$BJ82:$BT82,,T82+1)*R82-ERP_i)*Q82*Ramure*Pc/MaxiM</f>
        <v>8.9082147682821245E-6</v>
      </c>
      <c r="Q82" s="304">
        <f t="shared" si="27"/>
        <v>0.6</v>
      </c>
      <c r="R82" s="177">
        <f t="shared" si="28"/>
        <v>0.50914317139716503</v>
      </c>
      <c r="S82" s="799">
        <f t="shared" si="29"/>
        <v>-1</v>
      </c>
      <c r="T82" s="176">
        <f t="shared" si="30"/>
        <v>5</v>
      </c>
      <c r="U82" s="250">
        <f t="shared" si="31"/>
        <v>-0.49085682860283503</v>
      </c>
      <c r="V82" s="382">
        <f t="shared" si="32"/>
        <v>46.82876725102664</v>
      </c>
      <c r="W82" s="400"/>
      <c r="X82" s="157">
        <f t="shared" si="33"/>
        <v>44264</v>
      </c>
      <c r="Y82" s="383">
        <f t="shared" si="34"/>
        <v>43.511000000000003</v>
      </c>
      <c r="Z82" s="383">
        <f t="shared" si="35"/>
        <v>44.156161053397547</v>
      </c>
      <c r="AA82" s="384">
        <f t="shared" si="36"/>
        <v>46.982069620143264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6.0148660746399463E-2</v>
      </c>
      <c r="AD82" s="230">
        <f>(INDEX(Models!$BJ82:$BT82,,AH82)*(1-AF82)+INDEX(Models!$BJ82:$BT82,,AH82+1)*AF82-ERP_i)*AE82*Ramure*Pc/MaxiM</f>
        <v>8.9082147682821245E-6</v>
      </c>
      <c r="AE82" s="304">
        <f t="shared" si="38"/>
        <v>0.6</v>
      </c>
      <c r="AF82" s="177">
        <f t="shared" si="39"/>
        <v>0.50914317139716503</v>
      </c>
      <c r="AG82" s="799">
        <f t="shared" si="47"/>
        <v>-1</v>
      </c>
      <c r="AH82" s="176">
        <f t="shared" si="40"/>
        <v>5</v>
      </c>
      <c r="AI82" s="224">
        <f t="shared" si="41"/>
        <v>-0.49085682860283503</v>
      </c>
      <c r="AJ82" s="264" t="b">
        <f t="shared" si="42"/>
        <v>0</v>
      </c>
      <c r="AK82" s="264" t="b">
        <f t="shared" si="43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4"/>
        <v>44265</v>
      </c>
      <c r="B83" s="607">
        <v>42.411000000000001</v>
      </c>
      <c r="C83" s="388"/>
      <c r="D83" s="391">
        <f t="shared" si="24"/>
        <v>43.040675625126418</v>
      </c>
      <c r="E83" s="383">
        <f t="shared" si="45"/>
        <v>45.805243119650406</v>
      </c>
      <c r="F83" s="383">
        <f t="shared" si="25"/>
        <v>45.805582995042379</v>
      </c>
      <c r="G83" s="110">
        <f t="shared" si="46"/>
        <v>0.89959409438769267</v>
      </c>
      <c r="H83" s="412" t="b">
        <f>Wh_hp&gt;='2020'!Maxi_hp</f>
        <v>1</v>
      </c>
      <c r="I83" s="379">
        <f>IF(H83,Wh_hp,'2020'!Maxi_hp)</f>
        <v>45.805582995042379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1.4629780224890809E-2</v>
      </c>
      <c r="M83" s="832"/>
      <c r="N83" s="832"/>
      <c r="O83" s="48">
        <f>IF(t&lt;Tnet,'2020'!Resal+('2020'!Salim-'2020'!Resal)*(1-EXP(('2020'!Tnet-t)/('2020'!Tau_j))),Resal+(Salim-Resal)*(1-EXP((Tnet-t)/(Tau_j))))*Salcycl</f>
        <v>6.0354826352575205E-2</v>
      </c>
      <c r="P83" s="169">
        <f>(INDEX(Models!$BJ83:$BT83,,T83)*(1-R83)+INDEX(Models!$BJ83:$BT83,,T83+1)*R83-ERP_i)*Q83*Ramure*Pc/MaxiM</f>
        <v>8.6624589615117461E-6</v>
      </c>
      <c r="Q83" s="304">
        <f t="shared" si="27"/>
        <v>0.6</v>
      </c>
      <c r="R83" s="177">
        <f t="shared" si="28"/>
        <v>0.50958315668850174</v>
      </c>
      <c r="S83" s="799">
        <f t="shared" si="29"/>
        <v>-1</v>
      </c>
      <c r="T83" s="176">
        <f t="shared" si="30"/>
        <v>5</v>
      </c>
      <c r="U83" s="250">
        <f t="shared" si="31"/>
        <v>-0.49041684331149826</v>
      </c>
      <c r="V83" s="382">
        <f t="shared" si="32"/>
        <v>47.144537262292509</v>
      </c>
      <c r="W83" s="400"/>
      <c r="X83" s="157">
        <f t="shared" si="33"/>
        <v>44265</v>
      </c>
      <c r="Y83" s="383">
        <f t="shared" si="34"/>
        <v>42.411000000000001</v>
      </c>
      <c r="Z83" s="383">
        <f t="shared" si="35"/>
        <v>43.040675625126418</v>
      </c>
      <c r="AA83" s="384">
        <f t="shared" si="36"/>
        <v>45.805243119650406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6.0354826352575205E-2</v>
      </c>
      <c r="AD83" s="230">
        <f>(INDEX(Models!$BJ83:$BT83,,AH83)*(1-AF83)+INDEX(Models!$BJ83:$BT83,,AH83+1)*AF83-ERP_i)*AE83*Ramure*Pc/MaxiM</f>
        <v>8.6624589615117461E-6</v>
      </c>
      <c r="AE83" s="304">
        <f t="shared" si="38"/>
        <v>0.6</v>
      </c>
      <c r="AF83" s="177">
        <f t="shared" si="39"/>
        <v>0.50958315668850174</v>
      </c>
      <c r="AG83" s="799">
        <f t="shared" si="47"/>
        <v>-1</v>
      </c>
      <c r="AH83" s="176">
        <f t="shared" si="40"/>
        <v>5</v>
      </c>
      <c r="AI83" s="224">
        <f t="shared" si="41"/>
        <v>-0.49041684331149826</v>
      </c>
      <c r="AJ83" s="264" t="b">
        <f t="shared" si="42"/>
        <v>0</v>
      </c>
      <c r="AK83" s="264" t="b">
        <f t="shared" si="43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4"/>
        <v>44266</v>
      </c>
      <c r="B84" s="607">
        <v>32.484000000000002</v>
      </c>
      <c r="C84" s="388"/>
      <c r="D84" s="391">
        <f t="shared" si="24"/>
        <v>32.966921374784796</v>
      </c>
      <c r="E84" s="383">
        <f t="shared" si="45"/>
        <v>35.092122558939529</v>
      </c>
      <c r="F84" s="383">
        <f t="shared" si="25"/>
        <v>35.092284275887017</v>
      </c>
      <c r="G84" s="110">
        <f t="shared" si="46"/>
        <v>0.68446081971356931</v>
      </c>
      <c r="H84" s="412" t="b">
        <f>Wh_hp&gt;='2020'!Maxi_hp</f>
        <v>1</v>
      </c>
      <c r="I84" s="379">
        <f>IF(H84,Wh_hp,'2020'!Maxi_hp)</f>
        <v>35.092284275887017</v>
      </c>
      <c r="J84" s="85">
        <f>IF(H84,An,'2020'!An_max)</f>
        <v>2021</v>
      </c>
      <c r="K84" s="197">
        <f t="shared" si="26"/>
        <v>44266</v>
      </c>
      <c r="L84" s="147">
        <f>IF(t&lt;Tvie,1-EXP((T0-t)*PertePVj)+'2020'!Pspv,1-EXP((T0-t)*PertePVj)+Pspv)</f>
        <v>1.4648664620353746E-2</v>
      </c>
      <c r="M84" s="832"/>
      <c r="N84" s="832"/>
      <c r="O84" s="48">
        <f>IF(t&lt;Tnet,'2020'!Resal+('2020'!Salim-'2020'!Resal)*(1-EXP(('2020'!Tnet-t)/('2020'!Tau_j))),Resal+(Salim-Resal)*(1-EXP((Tnet-t)/(Tau_j))))*Salcycl</f>
        <v>6.0560633817043116E-2</v>
      </c>
      <c r="P84" s="169">
        <f>(INDEX(Models!$BJ84:$BT84,,T84)*(1-R84)+INDEX(Models!$BJ84:$BT84,,T84+1)*R84-ERP_i)*Q84*Ramure*Pc/MaxiM</f>
        <v>8.3904822786432121E-6</v>
      </c>
      <c r="Q84" s="304">
        <f t="shared" si="27"/>
        <v>0.6</v>
      </c>
      <c r="R84" s="177">
        <f t="shared" si="28"/>
        <v>0.51004076069616655</v>
      </c>
      <c r="S84" s="799">
        <f t="shared" si="29"/>
        <v>-1</v>
      </c>
      <c r="T84" s="176">
        <f t="shared" si="30"/>
        <v>5</v>
      </c>
      <c r="U84" s="250">
        <f t="shared" si="31"/>
        <v>-0.48995923930383339</v>
      </c>
      <c r="V84" s="382">
        <f t="shared" si="32"/>
        <v>47.45907465339657</v>
      </c>
      <c r="W84" s="400"/>
      <c r="X84" s="157">
        <f t="shared" si="33"/>
        <v>44266</v>
      </c>
      <c r="Y84" s="383">
        <f t="shared" si="34"/>
        <v>32.484000000000002</v>
      </c>
      <c r="Z84" s="383">
        <f t="shared" si="35"/>
        <v>32.966921374784796</v>
      </c>
      <c r="AA84" s="384">
        <f t="shared" si="36"/>
        <v>35.092122558939529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6.0560633817043116E-2</v>
      </c>
      <c r="AD84" s="230">
        <f>(INDEX(Models!$BJ84:$BT84,,AH84)*(1-AF84)+INDEX(Models!$BJ84:$BT84,,AH84+1)*AF84-ERP_i)*AE84*Ramure*Pc/MaxiM</f>
        <v>8.3904822786432121E-6</v>
      </c>
      <c r="AE84" s="304">
        <f t="shared" si="38"/>
        <v>0.6</v>
      </c>
      <c r="AF84" s="177">
        <f t="shared" si="39"/>
        <v>0.51004076069616655</v>
      </c>
      <c r="AG84" s="799">
        <f t="shared" si="47"/>
        <v>-1</v>
      </c>
      <c r="AH84" s="176">
        <f t="shared" si="40"/>
        <v>5</v>
      </c>
      <c r="AI84" s="224">
        <f t="shared" si="41"/>
        <v>-0.48995923930383339</v>
      </c>
      <c r="AJ84" s="264" t="b">
        <f t="shared" si="42"/>
        <v>0</v>
      </c>
      <c r="AK84" s="264" t="b">
        <f t="shared" si="43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4"/>
        <v>44267</v>
      </c>
      <c r="B85" s="607">
        <v>29.705000000000002</v>
      </c>
      <c r="C85" s="388"/>
      <c r="D85" s="391">
        <f t="shared" si="24"/>
        <v>30.147185307272608</v>
      </c>
      <c r="E85" s="383">
        <f t="shared" si="45"/>
        <v>32.097633381832821</v>
      </c>
      <c r="F85" s="383">
        <f t="shared" si="25"/>
        <v>32.097752801391771</v>
      </c>
      <c r="G85" s="110">
        <f t="shared" si="46"/>
        <v>0.62180657970268649</v>
      </c>
      <c r="H85" s="412" t="b">
        <f>Wh_hp&gt;='2020'!Maxi_hp</f>
        <v>0</v>
      </c>
      <c r="I85" s="379">
        <f>IF(H85,Wh_hp,'2020'!Maxi_hp)</f>
        <v>45.555962265985798</v>
      </c>
      <c r="J85" s="85">
        <f>IF(H85,An,'2020'!An_max)</f>
        <v>2018</v>
      </c>
      <c r="K85" s="197">
        <f t="shared" si="26"/>
        <v>44267</v>
      </c>
      <c r="L85" s="147">
        <f>IF(t&lt;Tvie,1-EXP((T0-t)*PertePVj)+'2020'!Pspv,1-EXP((T0-t)*PertePVj)+Pspv)</f>
        <v>1.4667548653901519E-2</v>
      </c>
      <c r="M85" s="832"/>
      <c r="N85" s="832"/>
      <c r="O85" s="48">
        <f>IF(t&lt;Tnet,'2020'!Resal+('2020'!Salim-'2020'!Resal)*(1-EXP(('2020'!Tnet-t)/('2020'!Tau_j))),Resal+(Salim-Resal)*(1-EXP((Tnet-t)/(Tau_j))))*Salcycl</f>
        <v>6.0766102327786085E-2</v>
      </c>
      <c r="P85" s="169">
        <f>(INDEX(Models!$BJ85:$BT85,,T85)*(1-R85)+INDEX(Models!$BJ85:$BT85,,T85+1)*R85-ERP_i)*Q85*Ramure*Pc/MaxiM</f>
        <v>8.0928275525979255E-6</v>
      </c>
      <c r="Q85" s="304">
        <f t="shared" si="27"/>
        <v>0.6</v>
      </c>
      <c r="R85" s="177">
        <f t="shared" si="28"/>
        <v>0.51051665319552186</v>
      </c>
      <c r="S85" s="799">
        <f t="shared" si="29"/>
        <v>-1</v>
      </c>
      <c r="T85" s="176">
        <f t="shared" si="30"/>
        <v>5</v>
      </c>
      <c r="U85" s="250">
        <f t="shared" si="31"/>
        <v>-0.48948334680447819</v>
      </c>
      <c r="V85" s="382">
        <f t="shared" si="32"/>
        <v>47.771881303683571</v>
      </c>
      <c r="W85" s="400"/>
      <c r="X85" s="157">
        <f t="shared" si="33"/>
        <v>44267</v>
      </c>
      <c r="Y85" s="383">
        <f t="shared" si="34"/>
        <v>29.704999999999998</v>
      </c>
      <c r="Z85" s="383">
        <f t="shared" si="35"/>
        <v>30.147185307272604</v>
      </c>
      <c r="AA85" s="384">
        <f t="shared" si="36"/>
        <v>32.097633381832821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6.0766102327786085E-2</v>
      </c>
      <c r="AD85" s="230">
        <f>(INDEX(Models!$BJ85:$BT85,,AH85)*(1-AF85)+INDEX(Models!$BJ85:$BT85,,AH85+1)*AF85-ERP_i)*AE85*Ramure*Pc/MaxiM</f>
        <v>8.0928275525979255E-6</v>
      </c>
      <c r="AE85" s="304">
        <f t="shared" si="38"/>
        <v>0.6</v>
      </c>
      <c r="AF85" s="177">
        <f t="shared" si="39"/>
        <v>0.51051665319552186</v>
      </c>
      <c r="AG85" s="799">
        <f t="shared" si="47"/>
        <v>-1</v>
      </c>
      <c r="AH85" s="176">
        <f t="shared" si="40"/>
        <v>5</v>
      </c>
      <c r="AI85" s="224">
        <f t="shared" si="41"/>
        <v>-0.48948334680447819</v>
      </c>
      <c r="AJ85" s="264" t="b">
        <f t="shared" si="42"/>
        <v>0</v>
      </c>
      <c r="AK85" s="264" t="b">
        <f t="shared" si="43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4"/>
        <v>44268</v>
      </c>
      <c r="B86" s="607">
        <v>39.462000000000003</v>
      </c>
      <c r="C86" s="388"/>
      <c r="D86" s="391">
        <f t="shared" si="24"/>
        <v>40.050194470718978</v>
      </c>
      <c r="E86" s="383">
        <f t="shared" si="45"/>
        <v>42.650658528311908</v>
      </c>
      <c r="F86" s="383">
        <f t="shared" si="25"/>
        <v>42.650905420994242</v>
      </c>
      <c r="G86" s="110">
        <f t="shared" si="46"/>
        <v>0.82071346266236123</v>
      </c>
      <c r="H86" s="412" t="b">
        <f>Wh_hp&gt;='2020'!Maxi_hp</f>
        <v>1</v>
      </c>
      <c r="I86" s="379">
        <f>IF(H86,Wh_hp,'2020'!Maxi_hp)</f>
        <v>42.650905420994242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1.4686432325541121E-2</v>
      </c>
      <c r="M86" s="832"/>
      <c r="N86" s="832"/>
      <c r="O86" s="48">
        <f>IF(t&lt;Tnet,'2020'!Resal+('2020'!Salim-'2020'!Resal)*(1-EXP(('2020'!Tnet-t)/('2020'!Tau_j))),Resal+(Salim-Resal)*(1-EXP((Tnet-t)/(Tau_j))))*Salcycl</f>
        <v>6.0971252199229588E-2</v>
      </c>
      <c r="P86" s="169">
        <f>(INDEX(Models!$BJ86:$BT86,,T86)*(1-R86)+INDEX(Models!$BJ86:$BT86,,T86+1)*R86-ERP_i)*Q86*Ramure*Pc/MaxiM</f>
        <v>7.7817600012196965E-6</v>
      </c>
      <c r="Q86" s="304">
        <f t="shared" si="27"/>
        <v>0.6</v>
      </c>
      <c r="R86" s="177">
        <f t="shared" si="28"/>
        <v>0.51101152644236758</v>
      </c>
      <c r="S86" s="799">
        <f t="shared" si="29"/>
        <v>-1</v>
      </c>
      <c r="T86" s="176">
        <f t="shared" si="30"/>
        <v>5</v>
      </c>
      <c r="U86" s="250">
        <f t="shared" si="31"/>
        <v>-0.48898847355763236</v>
      </c>
      <c r="V86" s="382">
        <f t="shared" si="32"/>
        <v>48.082458914259909</v>
      </c>
      <c r="W86" s="400"/>
      <c r="X86" s="157">
        <f t="shared" si="33"/>
        <v>44268</v>
      </c>
      <c r="Y86" s="383">
        <f t="shared" si="34"/>
        <v>39.462000000000003</v>
      </c>
      <c r="Z86" s="383">
        <f t="shared" si="35"/>
        <v>40.050194470718978</v>
      </c>
      <c r="AA86" s="384">
        <f t="shared" si="36"/>
        <v>42.650658528311908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6.0971252199229588E-2</v>
      </c>
      <c r="AD86" s="230">
        <f>(INDEX(Models!$BJ86:$BT86,,AH86)*(1-AF86)+INDEX(Models!$BJ86:$BT86,,AH86+1)*AF86-ERP_i)*AE86*Ramure*Pc/MaxiM</f>
        <v>7.7817600012196965E-6</v>
      </c>
      <c r="AE86" s="304">
        <f t="shared" si="38"/>
        <v>0.6</v>
      </c>
      <c r="AF86" s="177">
        <f t="shared" si="39"/>
        <v>0.51101152644236758</v>
      </c>
      <c r="AG86" s="799">
        <f t="shared" si="47"/>
        <v>-1</v>
      </c>
      <c r="AH86" s="176">
        <f t="shared" si="40"/>
        <v>5</v>
      </c>
      <c r="AI86" s="224">
        <f t="shared" si="41"/>
        <v>-0.48898847355763236</v>
      </c>
      <c r="AJ86" s="264" t="b">
        <f t="shared" si="42"/>
        <v>0</v>
      </c>
      <c r="AK86" s="264" t="b">
        <f t="shared" si="43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4"/>
        <v>44269</v>
      </c>
      <c r="B87" s="607">
        <v>25.206</v>
      </c>
      <c r="C87" s="388"/>
      <c r="D87" s="391">
        <f t="shared" si="24"/>
        <v>25.582194240956291</v>
      </c>
      <c r="E87" s="383">
        <f t="shared" si="45"/>
        <v>27.2491937757367</v>
      </c>
      <c r="F87" s="383">
        <f t="shared" si="25"/>
        <v>27.249258001025684</v>
      </c>
      <c r="G87" s="110">
        <f t="shared" si="46"/>
        <v>0.52088675115073213</v>
      </c>
      <c r="H87" s="412" t="b">
        <f>Wh_hp&gt;='2020'!Maxi_hp</f>
        <v>0</v>
      </c>
      <c r="I87" s="379">
        <f>IF(H87,Wh_hp,'2020'!Maxi_hp)</f>
        <v>42.248499261755185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1.4705315635279437E-2</v>
      </c>
      <c r="M87" s="832"/>
      <c r="N87" s="832"/>
      <c r="O87" s="48">
        <f>IF(t&lt;Tnet,'2020'!Resal+('2020'!Salim-'2020'!Resal)*(1-EXP(('2020'!Tnet-t)/('2020'!Tau_j))),Resal+(Salim-Resal)*(1-EXP((Tnet-t)/(Tau_j))))*Salcycl</f>
        <v>6.1176104823502768E-2</v>
      </c>
      <c r="P87" s="169">
        <f>(INDEX(Models!$BJ87:$BT87,,T87)*(1-R87)+INDEX(Models!$BJ87:$BT87,,T87+1)*R87-ERP_i)*Q87*Ramure*Pc/MaxiM</f>
        <v>7.4692074716396768E-6</v>
      </c>
      <c r="Q87" s="304">
        <f t="shared" si="27"/>
        <v>0.6</v>
      </c>
      <c r="R87" s="177">
        <f t="shared" si="28"/>
        <v>0.5115260956754053</v>
      </c>
      <c r="S87" s="799">
        <f t="shared" si="29"/>
        <v>-1</v>
      </c>
      <c r="T87" s="176">
        <f t="shared" si="30"/>
        <v>5</v>
      </c>
      <c r="U87" s="250">
        <f t="shared" si="31"/>
        <v>-0.48847390432459475</v>
      </c>
      <c r="V87" s="382">
        <f t="shared" si="32"/>
        <v>48.390309572261607</v>
      </c>
      <c r="W87" s="400"/>
      <c r="X87" s="157">
        <f t="shared" si="33"/>
        <v>44269</v>
      </c>
      <c r="Y87" s="383">
        <f t="shared" si="34"/>
        <v>25.206</v>
      </c>
      <c r="Z87" s="383">
        <f t="shared" si="35"/>
        <v>25.582194240956291</v>
      </c>
      <c r="AA87" s="384">
        <f t="shared" si="36"/>
        <v>27.2491937757367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6.1176104823502768E-2</v>
      </c>
      <c r="AD87" s="230">
        <f>(INDEX(Models!$BJ87:$BT87,,AH87)*(1-AF87)+INDEX(Models!$BJ87:$BT87,,AH87+1)*AF87-ERP_i)*AE87*Ramure*Pc/MaxiM</f>
        <v>7.4692074716396768E-6</v>
      </c>
      <c r="AE87" s="304">
        <f t="shared" si="38"/>
        <v>0.6</v>
      </c>
      <c r="AF87" s="177">
        <f t="shared" si="39"/>
        <v>0.5115260956754053</v>
      </c>
      <c r="AG87" s="799">
        <f t="shared" si="47"/>
        <v>-1</v>
      </c>
      <c r="AH87" s="176">
        <f t="shared" si="40"/>
        <v>5</v>
      </c>
      <c r="AI87" s="224">
        <f t="shared" si="41"/>
        <v>-0.48847390432459475</v>
      </c>
      <c r="AJ87" s="264" t="b">
        <f t="shared" si="42"/>
        <v>0</v>
      </c>
      <c r="AK87" s="264" t="b">
        <f t="shared" si="43"/>
        <v>0</v>
      </c>
      <c r="AL87" s="264"/>
      <c r="AM87" s="264"/>
      <c r="AN87" s="75"/>
    </row>
    <row r="88" spans="1:40" s="6" customFormat="1" ht="11.25" x14ac:dyDescent="0.2">
      <c r="A88" s="56">
        <f t="shared" si="44"/>
        <v>44270</v>
      </c>
      <c r="B88" s="607">
        <v>16.786999999999999</v>
      </c>
      <c r="C88" s="388"/>
      <c r="D88" s="391">
        <f t="shared" si="24"/>
        <v>17.037868966089945</v>
      </c>
      <c r="E88" s="383">
        <f t="shared" si="45"/>
        <v>18.152054459723733</v>
      </c>
      <c r="F88" s="383">
        <f t="shared" si="25"/>
        <v>18.152062760658783</v>
      </c>
      <c r="G88" s="110">
        <f t="shared" si="46"/>
        <v>0.34473579457173892</v>
      </c>
      <c r="H88" s="412" t="b">
        <f>Wh_hp&gt;='2020'!Maxi_hp</f>
        <v>0</v>
      </c>
      <c r="I88" s="379">
        <f>IF(H88,Wh_hp,'2020'!Maxi_hp)</f>
        <v>34.209482776257786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1.472419858312346E-2</v>
      </c>
      <c r="M88" s="832"/>
      <c r="N88" s="832"/>
      <c r="O88" s="48">
        <f>IF(t&lt;Tnet,'2020'!Resal+('2020'!Salim-'2020'!Resal)*(1-EXP(('2020'!Tnet-t)/('2020'!Tau_j))),Resal+(Salim-Resal)*(1-EXP((Tnet-t)/(Tau_j))))*Salcycl</f>
        <v>6.1380682616723851E-2</v>
      </c>
      <c r="P88" s="169">
        <f>(INDEX(Models!$BJ88:$BT88,,T88)*(1-R88)+INDEX(Models!$BJ88:$BT88,,T88+1)*R88-ERP_i)*Q88*Ramure*Pc/MaxiM</f>
        <v>7.1551954352948193E-6</v>
      </c>
      <c r="Q88" s="304">
        <f t="shared" si="27"/>
        <v>0.6</v>
      </c>
      <c r="R88" s="177">
        <f t="shared" si="28"/>
        <v>0.51206109960703683</v>
      </c>
      <c r="S88" s="799">
        <f t="shared" si="29"/>
        <v>-1</v>
      </c>
      <c r="T88" s="176">
        <f t="shared" si="30"/>
        <v>5</v>
      </c>
      <c r="U88" s="250">
        <f t="shared" si="31"/>
        <v>-0.48793890039296317</v>
      </c>
      <c r="V88" s="382">
        <f t="shared" si="32"/>
        <v>48.69493631558931</v>
      </c>
      <c r="W88" s="400"/>
      <c r="X88" s="157">
        <f t="shared" si="33"/>
        <v>44270</v>
      </c>
      <c r="Y88" s="383">
        <f t="shared" si="34"/>
        <v>16.786999999999999</v>
      </c>
      <c r="Z88" s="383">
        <f t="shared" si="35"/>
        <v>17.037868966089945</v>
      </c>
      <c r="AA88" s="384">
        <f t="shared" si="36"/>
        <v>18.152054459723733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6.1380682616723851E-2</v>
      </c>
      <c r="AD88" s="230">
        <f>(INDEX(Models!$BJ88:$BT88,,AH88)*(1-AF88)+INDEX(Models!$BJ88:$BT88,,AH88+1)*AF88-ERP_i)*AE88*Ramure*Pc/MaxiM</f>
        <v>7.1551954352948193E-6</v>
      </c>
      <c r="AE88" s="304">
        <f t="shared" si="38"/>
        <v>0.6</v>
      </c>
      <c r="AF88" s="177">
        <f t="shared" si="39"/>
        <v>0.51206109960703683</v>
      </c>
      <c r="AG88" s="799">
        <f t="shared" si="47"/>
        <v>-1</v>
      </c>
      <c r="AH88" s="176">
        <f t="shared" si="40"/>
        <v>5</v>
      </c>
      <c r="AI88" s="224">
        <f t="shared" si="41"/>
        <v>-0.48793890039296317</v>
      </c>
      <c r="AJ88" s="264" t="b">
        <f t="shared" si="42"/>
        <v>0</v>
      </c>
      <c r="AK88" s="264" t="b">
        <f t="shared" si="43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4"/>
        <v>44271</v>
      </c>
      <c r="B89" s="607">
        <v>30.846</v>
      </c>
      <c r="C89" s="388"/>
      <c r="D89" s="391">
        <f t="shared" si="24"/>
        <v>31.307570046400745</v>
      </c>
      <c r="E89" s="383">
        <f t="shared" si="45"/>
        <v>33.362180213823144</v>
      </c>
      <c r="F89" s="383">
        <f t="shared" si="25"/>
        <v>33.362287646355512</v>
      </c>
      <c r="G89" s="110">
        <f t="shared" si="46"/>
        <v>0.62956134101302086</v>
      </c>
      <c r="H89" s="412" t="b">
        <f>Wh_hp&gt;='2020'!Maxi_hp</f>
        <v>0</v>
      </c>
      <c r="I89" s="379">
        <f>IF(H89,Wh_hp,'2020'!Maxi_hp)</f>
        <v>54.475764848808986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1.4743081169080074E-2</v>
      </c>
      <c r="M89" s="832"/>
      <c r="N89" s="832"/>
      <c r="O89" s="48">
        <f>IF(t&lt;Tnet,'2020'!Resal+('2020'!Salim-'2020'!Resal)*(1-EXP(('2020'!Tnet-t)/('2020'!Tau_j))),Resal+(Salim-Resal)*(1-EXP((Tnet-t)/(Tau_j))))*Salcycl</f>
        <v>6.1585008960868146E-2</v>
      </c>
      <c r="P89" s="169">
        <f>(INDEX(Models!$BJ89:$BT89,,T89)*(1-R89)+INDEX(Models!$BJ89:$BT89,,T89+1)*R89-ERP_i)*Q89*Ramure*Pc/MaxiM</f>
        <v>6.8397269760810343E-6</v>
      </c>
      <c r="Q89" s="304">
        <f t="shared" si="27"/>
        <v>0.6</v>
      </c>
      <c r="R89" s="177">
        <f t="shared" si="28"/>
        <v>0.51261730089980873</v>
      </c>
      <c r="S89" s="799">
        <f t="shared" si="29"/>
        <v>-1</v>
      </c>
      <c r="T89" s="176">
        <f t="shared" si="30"/>
        <v>5</v>
      </c>
      <c r="U89" s="250">
        <f t="shared" si="31"/>
        <v>-0.48738269910019122</v>
      </c>
      <c r="V89" s="382">
        <f t="shared" si="32"/>
        <v>48.995842567817959</v>
      </c>
      <c r="W89" s="400"/>
      <c r="X89" s="157">
        <f t="shared" si="33"/>
        <v>44271</v>
      </c>
      <c r="Y89" s="383">
        <f t="shared" si="34"/>
        <v>30.846000000000004</v>
      </c>
      <c r="Z89" s="383">
        <f t="shared" si="35"/>
        <v>31.307570046400748</v>
      </c>
      <c r="AA89" s="384">
        <f t="shared" si="36"/>
        <v>33.362180213823144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6.1585008960868146E-2</v>
      </c>
      <c r="AD89" s="230">
        <f>(INDEX(Models!$BJ89:$BT89,,AH89)*(1-AF89)+INDEX(Models!$BJ89:$BT89,,AH89+1)*AF89-ERP_i)*AE89*Ramure*Pc/MaxiM</f>
        <v>6.8397269760810343E-6</v>
      </c>
      <c r="AE89" s="304">
        <f t="shared" si="38"/>
        <v>0.6</v>
      </c>
      <c r="AF89" s="177">
        <f t="shared" si="39"/>
        <v>0.51261730089980873</v>
      </c>
      <c r="AG89" s="799">
        <f t="shared" si="47"/>
        <v>-1</v>
      </c>
      <c r="AH89" s="176">
        <f t="shared" si="40"/>
        <v>5</v>
      </c>
      <c r="AI89" s="224">
        <f t="shared" si="41"/>
        <v>-0.48738269910019122</v>
      </c>
      <c r="AJ89" s="264" t="b">
        <f t="shared" si="42"/>
        <v>0</v>
      </c>
      <c r="AK89" s="264" t="b">
        <f t="shared" si="43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4"/>
        <v>44272</v>
      </c>
      <c r="B90" s="607">
        <v>25.897000000000002</v>
      </c>
      <c r="C90" s="388"/>
      <c r="D90" s="391">
        <f t="shared" si="24"/>
        <v>26.285018480599042</v>
      </c>
      <c r="E90" s="383">
        <f t="shared" si="45"/>
        <v>28.016108860705394</v>
      </c>
      <c r="F90" s="383">
        <f t="shared" si="25"/>
        <v>28.016167697203379</v>
      </c>
      <c r="G90" s="110">
        <f t="shared" si="46"/>
        <v>0.52537137655031663</v>
      </c>
      <c r="H90" s="412" t="b">
        <f>Wh_hp&gt;='2020'!Maxi_hp</f>
        <v>1</v>
      </c>
      <c r="I90" s="379">
        <f>IF(H90,Wh_hp,'2020'!Maxi_hp)</f>
        <v>28.016167697203379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1.4761963393156274E-2</v>
      </c>
      <c r="M90" s="832"/>
      <c r="N90" s="832"/>
      <c r="O90" s="48">
        <f>IF(t&lt;Tnet,'2020'!Resal+('2020'!Salim-'2020'!Resal)*(1-EXP(('2020'!Tnet-t)/('2020'!Tau_j))),Resal+(Salim-Resal)*(1-EXP((Tnet-t)/(Tau_j))))*Salcycl</f>
        <v>6.1789108141792261E-2</v>
      </c>
      <c r="P90" s="169">
        <f>(INDEX(Models!$BJ90:$BT90,,T90)*(1-R90)+INDEX(Models!$BJ90:$BT90,,T90+1)*R90-ERP_i)*Q90*Ramure*Pc/MaxiM</f>
        <v>6.5227824184797315E-6</v>
      </c>
      <c r="Q90" s="304">
        <f t="shared" si="27"/>
        <v>0.6</v>
      </c>
      <c r="R90" s="177">
        <f t="shared" si="28"/>
        <v>0.51319548662557302</v>
      </c>
      <c r="S90" s="799">
        <f t="shared" si="29"/>
        <v>-1</v>
      </c>
      <c r="T90" s="176">
        <f t="shared" si="30"/>
        <v>5</v>
      </c>
      <c r="U90" s="250">
        <f t="shared" si="31"/>
        <v>-0.48680451337442698</v>
      </c>
      <c r="V90" s="382">
        <f t="shared" si="32"/>
        <v>49.292532142424776</v>
      </c>
      <c r="W90" s="400"/>
      <c r="X90" s="157">
        <f t="shared" si="33"/>
        <v>44272</v>
      </c>
      <c r="Y90" s="383">
        <f t="shared" si="34"/>
        <v>25.897000000000002</v>
      </c>
      <c r="Z90" s="383">
        <f t="shared" si="35"/>
        <v>26.285018480599042</v>
      </c>
      <c r="AA90" s="384">
        <f t="shared" si="36"/>
        <v>28.016108860705394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6.1789108141792261E-2</v>
      </c>
      <c r="AD90" s="230">
        <f>(INDEX(Models!$BJ90:$BT90,,AH90)*(1-AF90)+INDEX(Models!$BJ90:$BT90,,AH90+1)*AF90-ERP_i)*AE90*Ramure*Pc/MaxiM</f>
        <v>6.5227824184797315E-6</v>
      </c>
      <c r="AE90" s="304">
        <f t="shared" si="38"/>
        <v>0.6</v>
      </c>
      <c r="AF90" s="177">
        <f t="shared" si="39"/>
        <v>0.51319548662557302</v>
      </c>
      <c r="AG90" s="799">
        <f t="shared" si="47"/>
        <v>-1</v>
      </c>
      <c r="AH90" s="176">
        <f t="shared" si="40"/>
        <v>5</v>
      </c>
      <c r="AI90" s="224">
        <f t="shared" si="41"/>
        <v>-0.48680451337442698</v>
      </c>
      <c r="AJ90" s="264" t="b">
        <f t="shared" si="42"/>
        <v>0</v>
      </c>
      <c r="AK90" s="264" t="b">
        <f t="shared" si="43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4"/>
        <v>44273</v>
      </c>
      <c r="B91" s="607">
        <v>23.721</v>
      </c>
      <c r="C91" s="388"/>
      <c r="D91" s="391">
        <f t="shared" si="24"/>
        <v>24.076876587065794</v>
      </c>
      <c r="E91" s="383">
        <f t="shared" si="45"/>
        <v>25.668120517966315</v>
      </c>
      <c r="F91" s="383">
        <f t="shared" si="25"/>
        <v>25.668161103795995</v>
      </c>
      <c r="G91" s="110">
        <f t="shared" si="46"/>
        <v>0.47839316548100685</v>
      </c>
      <c r="H91" s="412" t="b">
        <f>Wh_hp&gt;='2020'!Maxi_hp</f>
        <v>0</v>
      </c>
      <c r="I91" s="379">
        <f>IF(H91,Wh_hp,'2020'!Maxi_hp)</f>
        <v>36.161356704838056</v>
      </c>
      <c r="J91" s="85">
        <f>IF(H91,An,'2020'!An_max)</f>
        <v>2018</v>
      </c>
      <c r="K91" s="197">
        <f t="shared" si="26"/>
        <v>44273</v>
      </c>
      <c r="L91" s="147">
        <f>IF(t&lt;Tvie,1-EXP((T0-t)*PertePVj)+'2020'!Pspv,1-EXP((T0-t)*PertePVj)+Pspv)</f>
        <v>1.4780845255358943E-2</v>
      </c>
      <c r="M91" s="832"/>
      <c r="N91" s="832"/>
      <c r="O91" s="48">
        <f>IF(t&lt;Tnet,'2020'!Resal+('2020'!Salim-'2020'!Resal)*(1-EXP(('2020'!Tnet-t)/('2020'!Tau_j))),Resal+(Salim-Resal)*(1-EXP((Tnet-t)/(Tau_j))))*Salcycl</f>
        <v>6.199300528399556E-2</v>
      </c>
      <c r="P91" s="169">
        <f>(INDEX(Models!$BJ91:$BT91,,T91)*(1-R91)+INDEX(Models!$BJ91:$BT91,,T91+1)*R91-ERP_i)*Q91*Ramure*Pc/MaxiM</f>
        <v>6.2043189513780578E-6</v>
      </c>
      <c r="Q91" s="304">
        <f t="shared" si="27"/>
        <v>0.6</v>
      </c>
      <c r="R91" s="177">
        <f t="shared" si="28"/>
        <v>0.51379646870419848</v>
      </c>
      <c r="S91" s="799">
        <f t="shared" si="29"/>
        <v>-1</v>
      </c>
      <c r="T91" s="176">
        <f t="shared" si="30"/>
        <v>5</v>
      </c>
      <c r="U91" s="250">
        <f t="shared" si="31"/>
        <v>-0.48620353129580157</v>
      </c>
      <c r="V91" s="382">
        <f t="shared" si="32"/>
        <v>49.584509240125499</v>
      </c>
      <c r="W91" s="400"/>
      <c r="X91" s="157">
        <f t="shared" si="33"/>
        <v>44273</v>
      </c>
      <c r="Y91" s="383">
        <f t="shared" si="34"/>
        <v>23.721</v>
      </c>
      <c r="Z91" s="383">
        <f t="shared" si="35"/>
        <v>24.076876587065794</v>
      </c>
      <c r="AA91" s="384">
        <f t="shared" si="36"/>
        <v>25.668120517966315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6.199300528399556E-2</v>
      </c>
      <c r="AD91" s="230">
        <f>(INDEX(Models!$BJ91:$BT91,,AH91)*(1-AF91)+INDEX(Models!$BJ91:$BT91,,AH91+1)*AF91-ERP_i)*AE91*Ramure*Pc/MaxiM</f>
        <v>6.2043189513780578E-6</v>
      </c>
      <c r="AE91" s="304">
        <f t="shared" si="38"/>
        <v>0.6</v>
      </c>
      <c r="AF91" s="177">
        <f t="shared" si="39"/>
        <v>0.51379646870419848</v>
      </c>
      <c r="AG91" s="799">
        <f t="shared" si="47"/>
        <v>-1</v>
      </c>
      <c r="AH91" s="176">
        <f t="shared" si="40"/>
        <v>5</v>
      </c>
      <c r="AI91" s="224">
        <f t="shared" si="41"/>
        <v>-0.48620353129580157</v>
      </c>
      <c r="AJ91" s="264" t="b">
        <f t="shared" si="42"/>
        <v>0</v>
      </c>
      <c r="AK91" s="264" t="b">
        <f t="shared" si="43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4"/>
        <v>44274</v>
      </c>
      <c r="B92" s="607">
        <v>9.2970000000000006</v>
      </c>
      <c r="C92" s="388"/>
      <c r="D92" s="391">
        <f t="shared" si="24"/>
        <v>9.4366599893284615</v>
      </c>
      <c r="E92" s="383">
        <f t="shared" si="45"/>
        <v>10.062515512366529</v>
      </c>
      <c r="F92" s="383">
        <f t="shared" si="25"/>
        <v>10.062515512366529</v>
      </c>
      <c r="G92" s="110">
        <f t="shared" si="46"/>
        <v>0.18641882827103176</v>
      </c>
      <c r="H92" s="412" t="b">
        <f>Wh_hp&gt;='2020'!Maxi_hp</f>
        <v>0</v>
      </c>
      <c r="I92" s="379">
        <f>IF(H92,Wh_hp,'2020'!Maxi_hp)</f>
        <v>48.151919129153704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1.4799726755694964E-2</v>
      </c>
      <c r="M92" s="832"/>
      <c r="N92" s="832"/>
      <c r="O92" s="48">
        <f>IF(t&lt;Tnet,'2020'!Resal+('2020'!Salim-'2020'!Resal)*(1-EXP(('2020'!Tnet-t)/('2020'!Tau_j))),Resal+(Salim-Resal)*(1-EXP((Tnet-t)/(Tau_j))))*Salcycl</f>
        <v>6.2196726282698456E-2</v>
      </c>
      <c r="P92" s="169">
        <f>(INDEX(Models!$BJ92:$BT92,,T92)*(1-R92)+INDEX(Models!$BJ92:$BT92,,T92+1)*R92-ERP_i)*Q92*Ramure*Pc/MaxiM</f>
        <v>5.8842702416456268E-6</v>
      </c>
      <c r="Q92" s="304">
        <f t="shared" si="27"/>
        <v>0.6</v>
      </c>
      <c r="R92" s="177">
        <f t="shared" si="28"/>
        <v>0.51442108431840505</v>
      </c>
      <c r="S92" s="799">
        <f t="shared" si="29"/>
        <v>-1</v>
      </c>
      <c r="T92" s="176">
        <f t="shared" si="30"/>
        <v>5</v>
      </c>
      <c r="U92" s="250">
        <f t="shared" si="31"/>
        <v>-0.48557891568159495</v>
      </c>
      <c r="V92" s="382">
        <f t="shared" si="32"/>
        <v>49.871278454893314</v>
      </c>
      <c r="W92" s="400"/>
      <c r="X92" s="157">
        <f t="shared" si="33"/>
        <v>44274</v>
      </c>
      <c r="Y92" s="383">
        <f t="shared" si="34"/>
        <v>9.2970000000000006</v>
      </c>
      <c r="Z92" s="383">
        <f t="shared" si="35"/>
        <v>9.4366599893284615</v>
      </c>
      <c r="AA92" s="384">
        <f t="shared" si="36"/>
        <v>10.062515512366529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6.2196726282698456E-2</v>
      </c>
      <c r="AD92" s="230">
        <f>(INDEX(Models!$BJ92:$BT92,,AH92)*(1-AF92)+INDEX(Models!$BJ92:$BT92,,AH92+1)*AF92-ERP_i)*AE92*Ramure*Pc/MaxiM</f>
        <v>5.8842702416456268E-6</v>
      </c>
      <c r="AE92" s="304">
        <f t="shared" si="38"/>
        <v>0.6</v>
      </c>
      <c r="AF92" s="177">
        <f t="shared" si="39"/>
        <v>0.51442108431840505</v>
      </c>
      <c r="AG92" s="799">
        <f t="shared" si="47"/>
        <v>-1</v>
      </c>
      <c r="AH92" s="176">
        <f t="shared" si="40"/>
        <v>5</v>
      </c>
      <c r="AI92" s="224">
        <f t="shared" si="41"/>
        <v>-0.48557891568159495</v>
      </c>
      <c r="AJ92" s="264" t="b">
        <f t="shared" si="42"/>
        <v>0</v>
      </c>
      <c r="AK92" s="264" t="b">
        <f t="shared" si="43"/>
        <v>0</v>
      </c>
      <c r="AL92" s="264"/>
      <c r="AM92" s="264"/>
      <c r="AN92" s="75"/>
    </row>
    <row r="93" spans="1:40" s="6" customFormat="1" ht="11.25" x14ac:dyDescent="0.2">
      <c r="A93" s="56">
        <f t="shared" si="44"/>
        <v>44275</v>
      </c>
      <c r="B93" s="607">
        <v>41.561999999999998</v>
      </c>
      <c r="C93" s="388"/>
      <c r="D93" s="391">
        <f t="shared" si="24"/>
        <v>42.187154906733554</v>
      </c>
      <c r="E93" s="383">
        <f t="shared" si="45"/>
        <v>44.9948467397831</v>
      </c>
      <c r="F93" s="383">
        <f t="shared" si="25"/>
        <v>44.995035756682277</v>
      </c>
      <c r="G93" s="110">
        <f t="shared" si="46"/>
        <v>0.82866839083996424</v>
      </c>
      <c r="H93" s="412" t="b">
        <f>Wh_hp&gt;='2020'!Maxi_hp</f>
        <v>0</v>
      </c>
      <c r="I93" s="379">
        <f>IF(H93,Wh_hp,'2020'!Maxi_hp)</f>
        <v>53.213779784597463</v>
      </c>
      <c r="J93" s="85">
        <f>IF(H93,An,'2020'!An_max)</f>
        <v>2018</v>
      </c>
      <c r="K93" s="197">
        <f t="shared" si="26"/>
        <v>44275</v>
      </c>
      <c r="L93" s="147">
        <f>IF(t&lt;Tvie,1-EXP((T0-t)*PertePVj)+'2020'!Pspv,1-EXP((T0-t)*PertePVj)+Pspv)</f>
        <v>1.4818607894171443E-2</v>
      </c>
      <c r="M93" s="832"/>
      <c r="N93" s="832"/>
      <c r="O93" s="48">
        <f>IF(t&lt;Tnet,'2020'!Resal+('2020'!Salim-'2020'!Resal)*(1-EXP(('2020'!Tnet-t)/('2020'!Tau_j))),Resal+(Salim-Resal)*(1-EXP((Tnet-t)/(Tau_j))))*Salcycl</f>
        <v>6.2400297733808376E-2</v>
      </c>
      <c r="P93" s="169">
        <f>(INDEX(Models!$BJ93:$BT93,,T93)*(1-R93)+INDEX(Models!$BJ93:$BT93,,T93+1)*R93-ERP_i)*Q93*Ramure*Pc/MaxiM</f>
        <v>5.5622409949911981E-6</v>
      </c>
      <c r="Q93" s="304">
        <f t="shared" si="27"/>
        <v>0.6</v>
      </c>
      <c r="R93" s="177">
        <f t="shared" si="28"/>
        <v>0.51507019630102646</v>
      </c>
      <c r="S93" s="799">
        <f t="shared" si="29"/>
        <v>-1</v>
      </c>
      <c r="T93" s="176">
        <f t="shared" si="30"/>
        <v>5</v>
      </c>
      <c r="U93" s="250">
        <f t="shared" si="31"/>
        <v>-0.48492980369897348</v>
      </c>
      <c r="V93" s="382">
        <f t="shared" si="32"/>
        <v>50.155096871792594</v>
      </c>
      <c r="W93" s="400"/>
      <c r="X93" s="157">
        <f t="shared" si="33"/>
        <v>44275</v>
      </c>
      <c r="Y93" s="383">
        <f t="shared" si="34"/>
        <v>41.561999999999998</v>
      </c>
      <c r="Z93" s="383">
        <f t="shared" si="35"/>
        <v>42.187154906733554</v>
      </c>
      <c r="AA93" s="384">
        <f t="shared" si="36"/>
        <v>44.9948467397831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6.2400297733808376E-2</v>
      </c>
      <c r="AD93" s="230">
        <f>(INDEX(Models!$BJ93:$BT93,,AH93)*(1-AF93)+INDEX(Models!$BJ93:$BT93,,AH93+1)*AF93-ERP_i)*AE93*Ramure*Pc/MaxiM</f>
        <v>5.5622409949911981E-6</v>
      </c>
      <c r="AE93" s="304">
        <f t="shared" si="38"/>
        <v>0.6</v>
      </c>
      <c r="AF93" s="177">
        <f t="shared" si="39"/>
        <v>0.51507019630102646</v>
      </c>
      <c r="AG93" s="799">
        <f t="shared" si="47"/>
        <v>-1</v>
      </c>
      <c r="AH93" s="176">
        <f t="shared" si="40"/>
        <v>5</v>
      </c>
      <c r="AI93" s="224">
        <f t="shared" si="41"/>
        <v>-0.48492980369897348</v>
      </c>
      <c r="AJ93" s="264" t="b">
        <f t="shared" si="42"/>
        <v>0</v>
      </c>
      <c r="AK93" s="264" t="b">
        <f t="shared" si="43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4"/>
        <v>44276</v>
      </c>
      <c r="B94" s="607">
        <v>43.371000000000002</v>
      </c>
      <c r="C94" s="388"/>
      <c r="D94" s="391">
        <f t="shared" si="24"/>
        <v>44.024208697794244</v>
      </c>
      <c r="E94" s="383">
        <f t="shared" si="45"/>
        <v>46.964353175549299</v>
      </c>
      <c r="F94" s="383">
        <f t="shared" si="25"/>
        <v>46.964550158477408</v>
      </c>
      <c r="G94" s="110">
        <f t="shared" si="46"/>
        <v>0.85988500970733894</v>
      </c>
      <c r="H94" s="412" t="b">
        <f>Wh_hp&gt;='2020'!Maxi_hp</f>
        <v>0</v>
      </c>
      <c r="I94" s="379">
        <f>IF(H94,Wh_hp,'2020'!Maxi_hp)</f>
        <v>53.458089214511951</v>
      </c>
      <c r="J94" s="85">
        <f>IF(H94,An,'2020'!An_max)</f>
        <v>2020</v>
      </c>
      <c r="K94" s="197">
        <f t="shared" si="26"/>
        <v>44276</v>
      </c>
      <c r="L94" s="147">
        <f>IF(t&lt;Tvie,1-EXP((T0-t)*PertePVj)+'2020'!Pspv,1-EXP((T0-t)*PertePVj)+Pspv)</f>
        <v>1.4837488670795151E-2</v>
      </c>
      <c r="M94" s="832"/>
      <c r="N94" s="832"/>
      <c r="O94" s="48">
        <f>IF(t&lt;Tnet,'2020'!Resal+('2020'!Salim-'2020'!Resal)*(1-EXP(('2020'!Tnet-t)/('2020'!Tau_j))),Resal+(Salim-Resal)*(1-EXP((Tnet-t)/(Tau_j))))*Salcycl</f>
        <v>6.2603746862327905E-2</v>
      </c>
      <c r="P94" s="169">
        <f>(INDEX(Models!$BJ94:$BT94,,T94)*(1-R94)+INDEX(Models!$BJ94:$BT94,,T94+1)*R94-ERP_i)*Q94*Ramure*Pc/MaxiM</f>
        <v>5.2439304371902115E-6</v>
      </c>
      <c r="Q94" s="304">
        <f t="shared" si="27"/>
        <v>0.6</v>
      </c>
      <c r="R94" s="177">
        <f t="shared" si="28"/>
        <v>0.51574469349072671</v>
      </c>
      <c r="S94" s="799">
        <f t="shared" si="29"/>
        <v>-1</v>
      </c>
      <c r="T94" s="176">
        <f t="shared" si="30"/>
        <v>5</v>
      </c>
      <c r="U94" s="250">
        <f t="shared" si="31"/>
        <v>-0.48425530650927329</v>
      </c>
      <c r="V94" s="382">
        <f t="shared" si="32"/>
        <v>50.438086472284347</v>
      </c>
      <c r="W94" s="400"/>
      <c r="X94" s="157">
        <f t="shared" si="33"/>
        <v>44276</v>
      </c>
      <c r="Y94" s="383">
        <f t="shared" si="34"/>
        <v>43.371000000000002</v>
      </c>
      <c r="Z94" s="383">
        <f t="shared" si="35"/>
        <v>44.024208697794244</v>
      </c>
      <c r="AA94" s="384">
        <f t="shared" si="36"/>
        <v>46.964353175549299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6.2603746862327905E-2</v>
      </c>
      <c r="AD94" s="230">
        <f>(INDEX(Models!$BJ94:$BT94,,AH94)*(1-AF94)+INDEX(Models!$BJ94:$BT94,,AH94+1)*AF94-ERP_i)*AE94*Ramure*Pc/MaxiM</f>
        <v>5.2439304371902115E-6</v>
      </c>
      <c r="AE94" s="304">
        <f t="shared" si="38"/>
        <v>0.6</v>
      </c>
      <c r="AF94" s="177">
        <f t="shared" si="39"/>
        <v>0.51574469349072671</v>
      </c>
      <c r="AG94" s="799">
        <f t="shared" si="47"/>
        <v>-1</v>
      </c>
      <c r="AH94" s="176">
        <f t="shared" si="40"/>
        <v>5</v>
      </c>
      <c r="AI94" s="224">
        <f t="shared" si="41"/>
        <v>-0.48425530650927329</v>
      </c>
      <c r="AJ94" s="264" t="b">
        <f t="shared" si="42"/>
        <v>0</v>
      </c>
      <c r="AK94" s="264" t="b">
        <f t="shared" si="43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4"/>
        <v>44277</v>
      </c>
      <c r="B95" s="607">
        <v>37.721000000000004</v>
      </c>
      <c r="C95" s="388"/>
      <c r="D95" s="391">
        <f t="shared" si="24"/>
        <v>38.289848115839447</v>
      </c>
      <c r="E95" s="383">
        <f t="shared" si="45"/>
        <v>40.855888019499154</v>
      </c>
      <c r="F95" s="383">
        <f t="shared" si="25"/>
        <v>40.856016119384542</v>
      </c>
      <c r="G95" s="110">
        <f t="shared" si="46"/>
        <v>0.74371582645406831</v>
      </c>
      <c r="H95" s="412" t="b">
        <f>Wh_hp&gt;='2020'!Maxi_hp</f>
        <v>0</v>
      </c>
      <c r="I95" s="379">
        <f>IF(H95,Wh_hp,'2020'!Maxi_hp)</f>
        <v>53.132913238257949</v>
      </c>
      <c r="J95" s="85">
        <f>IF(H95,An,'2020'!An_max)</f>
        <v>2020</v>
      </c>
      <c r="K95" s="197">
        <f t="shared" si="26"/>
        <v>44277</v>
      </c>
      <c r="L95" s="147">
        <f>IF(t&lt;Tvie,1-EXP((T0-t)*PertePVj)+'2020'!Pspv,1-EXP((T0-t)*PertePVj)+Pspv)</f>
        <v>1.4856369085573085E-2</v>
      </c>
      <c r="M95" s="832"/>
      <c r="N95" s="832"/>
      <c r="O95" s="48">
        <f>IF(t&lt;Tnet,'2020'!Resal+('2020'!Salim-'2020'!Resal)*(1-EXP(('2020'!Tnet-t)/('2020'!Tau_j))),Resal+(Salim-Resal)*(1-EXP((Tnet-t)/(Tau_j))))*Salcycl</f>
        <v>6.2807101449735322E-2</v>
      </c>
      <c r="P95" s="169">
        <f>(INDEX(Models!$BJ95:$BT95,,T95)*(1-R95)+INDEX(Models!$BJ95:$BT95,,T95+1)*R95-ERP_i)*Q95*Ramure*Pc/MaxiM</f>
        <v>4.9463463998300498E-6</v>
      </c>
      <c r="Q95" s="304">
        <f t="shared" si="27"/>
        <v>0.6</v>
      </c>
      <c r="R95" s="177">
        <f t="shared" si="28"/>
        <v>0.51644549105190141</v>
      </c>
      <c r="S95" s="799">
        <f t="shared" si="29"/>
        <v>-1</v>
      </c>
      <c r="T95" s="176">
        <f t="shared" si="30"/>
        <v>5</v>
      </c>
      <c r="U95" s="250">
        <f t="shared" si="31"/>
        <v>-0.48355450894809859</v>
      </c>
      <c r="V95" s="382">
        <f t="shared" si="32"/>
        <v>50.71954952049677</v>
      </c>
      <c r="W95" s="400"/>
      <c r="X95" s="157">
        <f t="shared" si="33"/>
        <v>44277</v>
      </c>
      <c r="Y95" s="383">
        <f t="shared" si="34"/>
        <v>37.721000000000004</v>
      </c>
      <c r="Z95" s="383">
        <f t="shared" si="35"/>
        <v>38.289848115839447</v>
      </c>
      <c r="AA95" s="384">
        <f t="shared" si="36"/>
        <v>40.855888019499154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6.2807101449735322E-2</v>
      </c>
      <c r="AD95" s="230">
        <f>(INDEX(Models!$BJ95:$BT95,,AH95)*(1-AF95)+INDEX(Models!$BJ95:$BT95,,AH95+1)*AF95-ERP_i)*AE95*Ramure*Pc/MaxiM</f>
        <v>4.9463463998300498E-6</v>
      </c>
      <c r="AE95" s="304">
        <f t="shared" si="38"/>
        <v>0.6</v>
      </c>
      <c r="AF95" s="177">
        <f t="shared" si="39"/>
        <v>0.51644549105190141</v>
      </c>
      <c r="AG95" s="799">
        <f t="shared" si="47"/>
        <v>-1</v>
      </c>
      <c r="AH95" s="176">
        <f t="shared" si="40"/>
        <v>5</v>
      </c>
      <c r="AI95" s="224">
        <f t="shared" si="41"/>
        <v>-0.48355450894809859</v>
      </c>
      <c r="AJ95" s="264" t="b">
        <f t="shared" si="42"/>
        <v>0</v>
      </c>
      <c r="AK95" s="264" t="b">
        <f t="shared" si="43"/>
        <v>0</v>
      </c>
      <c r="AL95" s="264"/>
      <c r="AM95" s="264"/>
      <c r="AN95" s="75"/>
    </row>
    <row r="96" spans="1:40" s="6" customFormat="1" ht="11.25" x14ac:dyDescent="0.2">
      <c r="A96" s="56">
        <f t="shared" si="44"/>
        <v>44278</v>
      </c>
      <c r="B96" s="607">
        <v>49.591999999999999</v>
      </c>
      <c r="C96" s="388"/>
      <c r="D96" s="391">
        <f t="shared" si="24"/>
        <v>50.340832424149312</v>
      </c>
      <c r="E96" s="383">
        <f t="shared" si="45"/>
        <v>53.726137274136924</v>
      </c>
      <c r="F96" s="383">
        <f t="shared" si="25"/>
        <v>53.726378247452473</v>
      </c>
      <c r="G96" s="110">
        <f t="shared" si="46"/>
        <v>0.97241505395538885</v>
      </c>
      <c r="H96" s="412" t="b">
        <f>Wh_hp&gt;='2020'!Maxi_hp</f>
        <v>1</v>
      </c>
      <c r="I96" s="379">
        <f>IF(H96,Wh_hp,'2020'!Maxi_hp)</f>
        <v>53.726378247452473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1.4875249138512237E-2</v>
      </c>
      <c r="M96" s="832"/>
      <c r="N96" s="832"/>
      <c r="O96" s="48">
        <f>IF(t&lt;Tnet,'2020'!Resal+('2020'!Salim-'2020'!Resal)*(1-EXP(('2020'!Tnet-t)/('2020'!Tau_j))),Resal+(Salim-Resal)*(1-EXP((Tnet-t)/(Tau_j))))*Salcycl</f>
        <v>6.301038976083724E-2</v>
      </c>
      <c r="P96" s="169">
        <f>(INDEX(Models!$BJ96:$BT96,,T96)*(1-R96)+INDEX(Models!$BJ96:$BT96,,T96+1)*R96-ERP_i)*Q96*Ramure*Pc/MaxiM</f>
        <v>4.6691936313593059E-6</v>
      </c>
      <c r="Q96" s="304">
        <f t="shared" si="27"/>
        <v>0.6</v>
      </c>
      <c r="R96" s="177">
        <f t="shared" si="28"/>
        <v>0.51717353075419603</v>
      </c>
      <c r="S96" s="799">
        <f t="shared" si="29"/>
        <v>-1</v>
      </c>
      <c r="T96" s="176">
        <f t="shared" si="30"/>
        <v>5</v>
      </c>
      <c r="U96" s="250">
        <f t="shared" si="31"/>
        <v>-0.48282646924580391</v>
      </c>
      <c r="V96" s="382">
        <f t="shared" si="32"/>
        <v>50.998789738403232</v>
      </c>
      <c r="W96" s="400"/>
      <c r="X96" s="157">
        <f t="shared" si="33"/>
        <v>44278</v>
      </c>
      <c r="Y96" s="383">
        <f t="shared" si="34"/>
        <v>49.591999999999999</v>
      </c>
      <c r="Z96" s="383">
        <f t="shared" si="35"/>
        <v>50.340832424149312</v>
      </c>
      <c r="AA96" s="384">
        <f t="shared" si="36"/>
        <v>53.726137274136924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6.301038976083724E-2</v>
      </c>
      <c r="AD96" s="230">
        <f>(INDEX(Models!$BJ96:$BT96,,AH96)*(1-AF96)+INDEX(Models!$BJ96:$BT96,,AH96+1)*AF96-ERP_i)*AE96*Ramure*Pc/MaxiM</f>
        <v>4.6691936313593059E-6</v>
      </c>
      <c r="AE96" s="304">
        <f t="shared" si="38"/>
        <v>0.6</v>
      </c>
      <c r="AF96" s="177">
        <f t="shared" si="39"/>
        <v>0.51717353075419603</v>
      </c>
      <c r="AG96" s="799">
        <f t="shared" si="47"/>
        <v>-1</v>
      </c>
      <c r="AH96" s="176">
        <f t="shared" si="40"/>
        <v>5</v>
      </c>
      <c r="AI96" s="224">
        <f t="shared" si="41"/>
        <v>-0.48282646924580391</v>
      </c>
      <c r="AJ96" s="264" t="b">
        <f t="shared" si="42"/>
        <v>0</v>
      </c>
      <c r="AK96" s="264" t="b">
        <f t="shared" si="43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4"/>
        <v>44279</v>
      </c>
      <c r="B97" s="607">
        <v>48.804000000000002</v>
      </c>
      <c r="C97" s="388"/>
      <c r="D97" s="391">
        <f t="shared" si="24"/>
        <v>49.541883190704304</v>
      </c>
      <c r="E97" s="383">
        <f t="shared" si="45"/>
        <v>52.884932286577751</v>
      </c>
      <c r="F97" s="383">
        <f t="shared" si="25"/>
        <v>52.885149560560713</v>
      </c>
      <c r="G97" s="110">
        <f t="shared" si="46"/>
        <v>0.95180651582329401</v>
      </c>
      <c r="H97" s="412" t="b">
        <f>Wh_hp&gt;='2020'!Maxi_hp</f>
        <v>0</v>
      </c>
      <c r="I97" s="379">
        <f>IF(H97,Wh_hp,'2020'!Maxi_hp)</f>
        <v>52.931336323355495</v>
      </c>
      <c r="J97" s="85">
        <f>IF(H97,An,'2020'!An_max)</f>
        <v>2018</v>
      </c>
      <c r="K97" s="197">
        <f t="shared" si="26"/>
        <v>44279</v>
      </c>
      <c r="L97" s="147">
        <f>IF(t&lt;Tvie,1-EXP((T0-t)*PertePVj)+'2020'!Pspv,1-EXP((T0-t)*PertePVj)+Pspv)</f>
        <v>1.489412882961938E-2</v>
      </c>
      <c r="M97" s="832"/>
      <c r="N97" s="832"/>
      <c r="O97" s="48">
        <f>IF(t&lt;Tnet,'2020'!Resal+('2020'!Salim-'2020'!Resal)*(1-EXP(('2020'!Tnet-t)/('2020'!Tau_j))),Resal+(Salim-Resal)*(1-EXP((Tnet-t)/(Tau_j))))*Salcycl</f>
        <v>6.3213640470556429E-2</v>
      </c>
      <c r="P97" s="169">
        <f>(INDEX(Models!$BJ97:$BT97,,T97)*(1-R97)+INDEX(Models!$BJ97:$BT97,,T97+1)*R97-ERP_i)*Q97*Ramure*Pc/MaxiM</f>
        <v>4.4121791558545399E-6</v>
      </c>
      <c r="Q97" s="304">
        <f t="shared" si="27"/>
        <v>0.6</v>
      </c>
      <c r="R97" s="177">
        <f t="shared" si="28"/>
        <v>0.51792978120675581</v>
      </c>
      <c r="S97" s="799">
        <f t="shared" si="29"/>
        <v>-1</v>
      </c>
      <c r="T97" s="176">
        <f t="shared" si="30"/>
        <v>5</v>
      </c>
      <c r="U97" s="250">
        <f t="shared" si="31"/>
        <v>-0.48207021879324413</v>
      </c>
      <c r="V97" s="382">
        <f t="shared" si="32"/>
        <v>51.275111447069911</v>
      </c>
      <c r="W97" s="400"/>
      <c r="X97" s="157">
        <f t="shared" si="33"/>
        <v>44279</v>
      </c>
      <c r="Y97" s="383">
        <f t="shared" si="34"/>
        <v>48.804000000000002</v>
      </c>
      <c r="Z97" s="383">
        <f t="shared" si="35"/>
        <v>49.541883190704304</v>
      </c>
      <c r="AA97" s="384">
        <f t="shared" si="36"/>
        <v>52.884932286577751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6.3213640470556429E-2</v>
      </c>
      <c r="AD97" s="230">
        <f>(INDEX(Models!$BJ97:$BT97,,AH97)*(1-AF97)+INDEX(Models!$BJ97:$BT97,,AH97+1)*AF97-ERP_i)*AE97*Ramure*Pc/MaxiM</f>
        <v>4.4121791558545399E-6</v>
      </c>
      <c r="AE97" s="304">
        <f t="shared" si="38"/>
        <v>0.6</v>
      </c>
      <c r="AF97" s="177">
        <f t="shared" si="39"/>
        <v>0.51792978120675581</v>
      </c>
      <c r="AG97" s="799">
        <f t="shared" si="47"/>
        <v>-1</v>
      </c>
      <c r="AH97" s="176">
        <f t="shared" si="40"/>
        <v>5</v>
      </c>
      <c r="AI97" s="224">
        <f t="shared" si="41"/>
        <v>-0.48207021879324413</v>
      </c>
      <c r="AJ97" s="264" t="b">
        <f t="shared" si="42"/>
        <v>0</v>
      </c>
      <c r="AK97" s="264" t="b">
        <f t="shared" si="43"/>
        <v>0</v>
      </c>
      <c r="AL97" s="264"/>
      <c r="AM97" s="264"/>
      <c r="AN97" s="75"/>
    </row>
    <row r="98" spans="1:40" s="6" customFormat="1" ht="11.25" x14ac:dyDescent="0.2">
      <c r="A98" s="56">
        <f t="shared" si="44"/>
        <v>44280</v>
      </c>
      <c r="B98" s="607">
        <v>31.522000000000002</v>
      </c>
      <c r="C98" s="388"/>
      <c r="D98" s="391">
        <f t="shared" si="24"/>
        <v>31.999204396239481</v>
      </c>
      <c r="E98" s="383">
        <f t="shared" si="45"/>
        <v>34.165899215401076</v>
      </c>
      <c r="F98" s="383">
        <f t="shared" si="25"/>
        <v>34.165962693742493</v>
      </c>
      <c r="G98" s="110">
        <f t="shared" si="46"/>
        <v>0.61150844447227326</v>
      </c>
      <c r="H98" s="412" t="b">
        <f>Wh_hp&gt;='2020'!Maxi_hp</f>
        <v>0</v>
      </c>
      <c r="I98" s="379">
        <f>IF(H98,Wh_hp,'2020'!Maxi_hp)</f>
        <v>46.534768311108202</v>
      </c>
      <c r="J98" s="85">
        <f>IF(H98,An,'2020'!An_max)</f>
        <v>2020</v>
      </c>
      <c r="K98" s="197">
        <f t="shared" si="26"/>
        <v>44280</v>
      </c>
      <c r="L98" s="147">
        <f>IF(t&lt;Tvie,1-EXP((T0-t)*PertePVj)+'2020'!Pspv,1-EXP((T0-t)*PertePVj)+Pspv)</f>
        <v>1.4913008158901619E-2</v>
      </c>
      <c r="M98" s="832"/>
      <c r="N98" s="832"/>
      <c r="O98" s="48">
        <f>IF(t&lt;Tnet,'2020'!Resal+('2020'!Salim-'2020'!Resal)*(1-EXP(('2020'!Tnet-t)/('2020'!Tau_j))),Resal+(Salim-Resal)*(1-EXP((Tnet-t)/(Tau_j))))*Salcycl</f>
        <v>6.3416882591075016E-2</v>
      </c>
      <c r="P98" s="169">
        <f>(INDEX(Models!$BJ98:$BT98,,T98)*(1-R98)+INDEX(Models!$BJ98:$BT98,,T98+1)*R98-ERP_i)*Q98*Ramure*Pc/MaxiM</f>
        <v>4.1750160458867236E-6</v>
      </c>
      <c r="Q98" s="304">
        <f t="shared" si="27"/>
        <v>0.6</v>
      </c>
      <c r="R98" s="177">
        <f t="shared" si="28"/>
        <v>0.51871523804200315</v>
      </c>
      <c r="S98" s="799">
        <f t="shared" si="29"/>
        <v>-1</v>
      </c>
      <c r="T98" s="176">
        <f t="shared" si="30"/>
        <v>5</v>
      </c>
      <c r="U98" s="250">
        <f t="shared" si="31"/>
        <v>-0.48128476195799685</v>
      </c>
      <c r="V98" s="382">
        <f t="shared" si="32"/>
        <v>51.547819569730564</v>
      </c>
      <c r="W98" s="400"/>
      <c r="X98" s="157">
        <f t="shared" si="33"/>
        <v>44280</v>
      </c>
      <c r="Y98" s="383">
        <f t="shared" si="34"/>
        <v>31.522000000000006</v>
      </c>
      <c r="Z98" s="383">
        <f t="shared" si="35"/>
        <v>31.999204396239485</v>
      </c>
      <c r="AA98" s="384">
        <f t="shared" si="36"/>
        <v>34.165899215401076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6.3416882591075016E-2</v>
      </c>
      <c r="AD98" s="230">
        <f>(INDEX(Models!$BJ98:$BT98,,AH98)*(1-AF98)+INDEX(Models!$BJ98:$BT98,,AH98+1)*AF98-ERP_i)*AE98*Ramure*Pc/MaxiM</f>
        <v>4.1750160458867236E-6</v>
      </c>
      <c r="AE98" s="304">
        <f t="shared" si="38"/>
        <v>0.6</v>
      </c>
      <c r="AF98" s="177">
        <f t="shared" si="39"/>
        <v>0.51871523804200315</v>
      </c>
      <c r="AG98" s="799">
        <f t="shared" si="47"/>
        <v>-1</v>
      </c>
      <c r="AH98" s="176">
        <f t="shared" si="40"/>
        <v>5</v>
      </c>
      <c r="AI98" s="224">
        <f t="shared" si="41"/>
        <v>-0.48128476195799685</v>
      </c>
      <c r="AJ98" s="264" t="b">
        <f t="shared" si="42"/>
        <v>0</v>
      </c>
      <c r="AK98" s="264" t="b">
        <f t="shared" si="43"/>
        <v>0</v>
      </c>
      <c r="AL98" s="264"/>
      <c r="AM98" s="264"/>
      <c r="AN98" s="75"/>
    </row>
    <row r="99" spans="1:40" s="6" customFormat="1" ht="11.25" x14ac:dyDescent="0.2">
      <c r="A99" s="56">
        <f t="shared" si="44"/>
        <v>44281</v>
      </c>
      <c r="B99" s="607">
        <v>40.813000000000002</v>
      </c>
      <c r="C99" s="388"/>
      <c r="D99" s="391">
        <f t="shared" si="24"/>
        <v>41.431652762508556</v>
      </c>
      <c r="E99" s="383">
        <f t="shared" si="45"/>
        <v>44.246629782733002</v>
      </c>
      <c r="F99" s="383">
        <f t="shared" si="25"/>
        <v>44.246751766971713</v>
      </c>
      <c r="G99" s="110">
        <f t="shared" si="46"/>
        <v>0.78764817831999689</v>
      </c>
      <c r="H99" s="412" t="b">
        <f>Wh_hp&gt;='2020'!Maxi_hp</f>
        <v>0</v>
      </c>
      <c r="I99" s="379">
        <f>IF(H99,Wh_hp,'2020'!Maxi_hp)</f>
        <v>56.562989488883829</v>
      </c>
      <c r="J99" s="85">
        <f>IF(H99,An,'2020'!An_max)</f>
        <v>2020</v>
      </c>
      <c r="K99" s="197">
        <f t="shared" si="26"/>
        <v>44281</v>
      </c>
      <c r="L99" s="147">
        <f>IF(t&lt;Tvie,1-EXP((T0-t)*PertePVj)+'2020'!Pspv,1-EXP((T0-t)*PertePVj)+Pspv)</f>
        <v>1.4931887126365728E-2</v>
      </c>
      <c r="M99" s="832"/>
      <c r="N99" s="832"/>
      <c r="O99" s="48">
        <f>IF(t&lt;Tnet,'2020'!Resal+('2020'!Salim-'2020'!Resal)*(1-EXP(('2020'!Tnet-t)/('2020'!Tau_j))),Resal+(Salim-Resal)*(1-EXP((Tnet-t)/(Tau_j))))*Salcycl</f>
        <v>6.3620145399706257E-2</v>
      </c>
      <c r="P99" s="169">
        <f>(INDEX(Models!$BJ99:$BT99,,T99)*(1-R99)+INDEX(Models!$BJ99:$BT99,,T99+1)*R99-ERP_i)*Q99*Ramure*Pc/MaxiM</f>
        <v>3.9574270501017796E-6</v>
      </c>
      <c r="Q99" s="304">
        <f t="shared" si="27"/>
        <v>0.6</v>
      </c>
      <c r="R99" s="177">
        <f t="shared" si="28"/>
        <v>0.51953092404340673</v>
      </c>
      <c r="S99" s="799">
        <f t="shared" si="29"/>
        <v>-1</v>
      </c>
      <c r="T99" s="176">
        <f t="shared" si="30"/>
        <v>5</v>
      </c>
      <c r="U99" s="250">
        <f t="shared" si="31"/>
        <v>-0.48046907595659327</v>
      </c>
      <c r="V99" s="382">
        <f t="shared" si="32"/>
        <v>51.816219635200554</v>
      </c>
      <c r="W99" s="400"/>
      <c r="X99" s="157">
        <f t="shared" si="33"/>
        <v>44281</v>
      </c>
      <c r="Y99" s="383">
        <f t="shared" si="34"/>
        <v>40.813000000000002</v>
      </c>
      <c r="Z99" s="383">
        <f t="shared" si="35"/>
        <v>41.431652762508556</v>
      </c>
      <c r="AA99" s="384">
        <f t="shared" si="36"/>
        <v>44.246629782733002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6.3620145399706257E-2</v>
      </c>
      <c r="AD99" s="230">
        <f>(INDEX(Models!$BJ99:$BT99,,AH99)*(1-AF99)+INDEX(Models!$BJ99:$BT99,,AH99+1)*AF99-ERP_i)*AE99*Ramure*Pc/MaxiM</f>
        <v>3.9574270501017796E-6</v>
      </c>
      <c r="AE99" s="304">
        <f t="shared" si="38"/>
        <v>0.6</v>
      </c>
      <c r="AF99" s="177">
        <f t="shared" si="39"/>
        <v>0.51953092404340673</v>
      </c>
      <c r="AG99" s="799">
        <f t="shared" si="47"/>
        <v>-1</v>
      </c>
      <c r="AH99" s="176">
        <f t="shared" si="40"/>
        <v>5</v>
      </c>
      <c r="AI99" s="224">
        <f t="shared" si="41"/>
        <v>-0.48046907595659327</v>
      </c>
      <c r="AJ99" s="264" t="b">
        <f t="shared" si="42"/>
        <v>0</v>
      </c>
      <c r="AK99" s="264" t="b">
        <f t="shared" si="43"/>
        <v>0</v>
      </c>
      <c r="AL99" s="264"/>
      <c r="AM99" s="264"/>
      <c r="AN99" s="75"/>
    </row>
    <row r="100" spans="1:40" s="6" customFormat="1" ht="11.25" x14ac:dyDescent="0.2">
      <c r="A100" s="56">
        <f t="shared" si="44"/>
        <v>44282</v>
      </c>
      <c r="B100" s="607">
        <v>44.994999999999997</v>
      </c>
      <c r="C100" s="388"/>
      <c r="D100" s="391">
        <f t="shared" si="24"/>
        <v>45.677919879240449</v>
      </c>
      <c r="E100" s="383">
        <f t="shared" si="45"/>
        <v>48.791993654960592</v>
      </c>
      <c r="F100" s="383">
        <f t="shared" si="25"/>
        <v>48.792141295454677</v>
      </c>
      <c r="G100" s="110">
        <f t="shared" si="46"/>
        <v>0.8639650005593128</v>
      </c>
      <c r="H100" s="412" t="b">
        <f>Wh_hp&gt;='2020'!Maxi_hp</f>
        <v>0</v>
      </c>
      <c r="I100" s="379">
        <f>IF(H100,Wh_hp,'2020'!Maxi_hp)</f>
        <v>55.827090198915265</v>
      </c>
      <c r="J100" s="85">
        <f>IF(H100,An,'2020'!An_max)</f>
        <v>2018</v>
      </c>
      <c r="K100" s="197">
        <f t="shared" si="26"/>
        <v>44282</v>
      </c>
      <c r="L100" s="147">
        <f>IF(t&lt;Tvie,1-EXP((T0-t)*PertePVj)+'2020'!Pspv,1-EXP((T0-t)*PertePVj)+Pspv)</f>
        <v>1.4950765732018811E-2</v>
      </c>
      <c r="M100" s="832"/>
      <c r="N100" s="832"/>
      <c r="O100" s="48">
        <f>IF(t&lt;Tnet,'2020'!Resal+('2020'!Salim-'2020'!Resal)*(1-EXP(('2020'!Tnet-t)/('2020'!Tau_j))),Resal+(Salim-Resal)*(1-EXP((Tnet-t)/(Tau_j))))*Salcycl</f>
        <v>6.3823458367816582E-2</v>
      </c>
      <c r="P100" s="169">
        <f>(INDEX(Models!$BJ100:$BT100,,T100)*(1-R100)+INDEX(Models!$BJ100:$BT100,,T100+1)*R100-ERP_i)*Q100*Ramure*Pc/MaxiM</f>
        <v>3.7557875124696409E-6</v>
      </c>
      <c r="Q100" s="304">
        <f t="shared" si="27"/>
        <v>0.6</v>
      </c>
      <c r="R100" s="177">
        <f t="shared" si="28"/>
        <v>0.52037788921137129</v>
      </c>
      <c r="S100" s="799">
        <f t="shared" si="29"/>
        <v>-1</v>
      </c>
      <c r="T100" s="176">
        <f t="shared" si="30"/>
        <v>5</v>
      </c>
      <c r="U100" s="250">
        <f t="shared" si="31"/>
        <v>-0.47962211078862865</v>
      </c>
      <c r="V100" s="382">
        <f t="shared" si="32"/>
        <v>52.079617958840245</v>
      </c>
      <c r="W100" s="400"/>
      <c r="X100" s="157">
        <f t="shared" si="33"/>
        <v>44282</v>
      </c>
      <c r="Y100" s="383">
        <f t="shared" si="34"/>
        <v>44.994999999999997</v>
      </c>
      <c r="Z100" s="383">
        <f t="shared" si="35"/>
        <v>45.677919879240449</v>
      </c>
      <c r="AA100" s="384">
        <f t="shared" si="36"/>
        <v>48.791993654960592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6.3823458367816582E-2</v>
      </c>
      <c r="AD100" s="230">
        <f>(INDEX(Models!$BJ100:$BT100,,AH100)*(1-AF100)+INDEX(Models!$BJ100:$BT100,,AH100+1)*AF100-ERP_i)*AE100*Ramure*Pc/MaxiM</f>
        <v>3.7557875124696409E-6</v>
      </c>
      <c r="AE100" s="304">
        <f t="shared" si="38"/>
        <v>0.6</v>
      </c>
      <c r="AF100" s="177">
        <f t="shared" si="39"/>
        <v>0.52037788921137129</v>
      </c>
      <c r="AG100" s="799">
        <f t="shared" si="47"/>
        <v>-1</v>
      </c>
      <c r="AH100" s="176">
        <f t="shared" si="40"/>
        <v>5</v>
      </c>
      <c r="AI100" s="224">
        <f t="shared" si="41"/>
        <v>-0.47962211078862865</v>
      </c>
      <c r="AJ100" s="264" t="b">
        <f t="shared" si="42"/>
        <v>0</v>
      </c>
      <c r="AK100" s="264" t="b">
        <f t="shared" si="43"/>
        <v>0</v>
      </c>
      <c r="AL100" s="264"/>
      <c r="AM100" s="264"/>
      <c r="AN100" s="75"/>
    </row>
    <row r="101" spans="1:40" s="6" customFormat="1" ht="11.25" x14ac:dyDescent="0.2">
      <c r="A101" s="56">
        <f t="shared" si="44"/>
        <v>44283</v>
      </c>
      <c r="B101" s="607">
        <v>49.541000000000004</v>
      </c>
      <c r="C101" s="388"/>
      <c r="D101" s="391">
        <f t="shared" si="24"/>
        <v>50.293881500222824</v>
      </c>
      <c r="E101" s="383">
        <f t="shared" si="45"/>
        <v>53.734320860433286</v>
      </c>
      <c r="F101" s="383">
        <f t="shared" si="25"/>
        <v>53.734497495140552</v>
      </c>
      <c r="G101" s="110">
        <f t="shared" si="46"/>
        <v>0.94657091280161709</v>
      </c>
      <c r="H101" s="412" t="b">
        <f>Wh_hp&gt;='2020'!Maxi_hp</f>
        <v>0</v>
      </c>
      <c r="I101" s="379">
        <f>IF(H101,Wh_hp,'2020'!Maxi_hp)</f>
        <v>54.360653644959861</v>
      </c>
      <c r="J101" s="85">
        <f>IF(H101,An,'2020'!An_max)</f>
        <v>2018</v>
      </c>
      <c r="K101" s="197">
        <f t="shared" si="26"/>
        <v>44283</v>
      </c>
      <c r="L101" s="147">
        <f>IF(t&lt;Tvie,1-EXP((T0-t)*PertePVj)+'2020'!Pspv,1-EXP((T0-t)*PertePVj)+Pspv)</f>
        <v>1.4969643975867752E-2</v>
      </c>
      <c r="M101" s="832"/>
      <c r="N101" s="832"/>
      <c r="O101" s="48">
        <f>IF(t&lt;Tnet,'2020'!Resal+('2020'!Salim-'2020'!Resal)*(1-EXP(('2020'!Tnet-t)/('2020'!Tau_j))),Resal+(Salim-Resal)*(1-EXP((Tnet-t)/(Tau_j))))*Salcycl</f>
        <v>6.4026851091064887E-2</v>
      </c>
      <c r="P101" s="169">
        <f>(INDEX(Models!$BJ101:$BT101,,T101)*(1-R101)+INDEX(Models!$BJ101:$BT101,,T101+1)*R101-ERP_i)*Q101*Ramure*Pc/MaxiM</f>
        <v>3.5588079755336265E-6</v>
      </c>
      <c r="Q101" s="304">
        <f t="shared" si="27"/>
        <v>0.6</v>
      </c>
      <c r="R101" s="177">
        <f t="shared" si="28"/>
        <v>0.52125721076103559</v>
      </c>
      <c r="S101" s="799">
        <f t="shared" si="29"/>
        <v>-1</v>
      </c>
      <c r="T101" s="176">
        <f t="shared" si="30"/>
        <v>5</v>
      </c>
      <c r="U101" s="250">
        <f t="shared" si="31"/>
        <v>-0.47874278923896446</v>
      </c>
      <c r="V101" s="382">
        <f t="shared" si="32"/>
        <v>52.337321877308739</v>
      </c>
      <c r="W101" s="400"/>
      <c r="X101" s="157">
        <f t="shared" si="33"/>
        <v>44283</v>
      </c>
      <c r="Y101" s="383">
        <f t="shared" si="34"/>
        <v>49.541000000000004</v>
      </c>
      <c r="Z101" s="383">
        <f t="shared" si="35"/>
        <v>50.293881500222824</v>
      </c>
      <c r="AA101" s="384">
        <f t="shared" si="36"/>
        <v>53.734320860433286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6.4026851091064887E-2</v>
      </c>
      <c r="AD101" s="230">
        <f>(INDEX(Models!$BJ101:$BT101,,AH101)*(1-AF101)+INDEX(Models!$BJ101:$BT101,,AH101+1)*AF101-ERP_i)*AE101*Ramure*Pc/MaxiM</f>
        <v>3.5588079755336265E-6</v>
      </c>
      <c r="AE101" s="304">
        <f t="shared" si="38"/>
        <v>0.6</v>
      </c>
      <c r="AF101" s="177">
        <f t="shared" si="39"/>
        <v>0.52125721076103559</v>
      </c>
      <c r="AG101" s="799">
        <f t="shared" si="47"/>
        <v>-1</v>
      </c>
      <c r="AH101" s="176">
        <f t="shared" si="40"/>
        <v>5</v>
      </c>
      <c r="AI101" s="224">
        <f t="shared" si="41"/>
        <v>-0.47874278923896446</v>
      </c>
      <c r="AJ101" s="264" t="b">
        <f t="shared" si="42"/>
        <v>0</v>
      </c>
      <c r="AK101" s="264" t="b">
        <f t="shared" si="43"/>
        <v>0</v>
      </c>
      <c r="AL101" s="264"/>
      <c r="AM101" s="264"/>
      <c r="AN101" s="75"/>
    </row>
    <row r="102" spans="1:40" s="6" customFormat="1" ht="11.25" x14ac:dyDescent="0.2">
      <c r="A102" s="56">
        <f t="shared" si="44"/>
        <v>44284</v>
      </c>
      <c r="B102" s="607">
        <v>52.172000000000004</v>
      </c>
      <c r="C102" s="388"/>
      <c r="D102" s="391">
        <f t="shared" si="24"/>
        <v>52.965880253909674</v>
      </c>
      <c r="E102" s="383">
        <f t="shared" si="45"/>
        <v>56.60140872941583</v>
      </c>
      <c r="F102" s="383">
        <f t="shared" si="25"/>
        <v>56.601597113397979</v>
      </c>
      <c r="G102" s="110">
        <f t="shared" si="46"/>
        <v>0.9920773617247971</v>
      </c>
      <c r="H102" s="412" t="b">
        <f>Wh_hp&gt;='2020'!Maxi_hp</f>
        <v>1</v>
      </c>
      <c r="I102" s="379">
        <f>IF(H102,Wh_hp,'2020'!Maxi_hp)</f>
        <v>56.601597113397979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1.4988521857919435E-2</v>
      </c>
      <c r="M102" s="832"/>
      <c r="N102" s="832"/>
      <c r="O102" s="48">
        <f>IF(t&lt;Tnet,'2020'!Resal+('2020'!Salim-'2020'!Resal)*(1-EXP(('2020'!Tnet-t)/('2020'!Tau_j))),Resal+(Salim-Resal)*(1-EXP((Tnet-t)/(Tau_j))))*Salcycl</f>
        <v>6.4230353221169351E-2</v>
      </c>
      <c r="P102" s="169">
        <f>(INDEX(Models!$BJ102:$BT102,,T102)*(1-R102)+INDEX(Models!$BJ102:$BT102,,T102+1)*R102-ERP_i)*Q102*Ramure*Pc/MaxiM</f>
        <v>3.3663452905858804E-6</v>
      </c>
      <c r="Q102" s="304">
        <f t="shared" si="27"/>
        <v>0.6</v>
      </c>
      <c r="R102" s="177">
        <f t="shared" si="28"/>
        <v>0.522169993045422</v>
      </c>
      <c r="S102" s="799">
        <f t="shared" si="29"/>
        <v>-1</v>
      </c>
      <c r="T102" s="176">
        <f t="shared" si="30"/>
        <v>5</v>
      </c>
      <c r="U102" s="250">
        <f t="shared" si="31"/>
        <v>-0.47783000695457806</v>
      </c>
      <c r="V102" s="382">
        <f t="shared" si="32"/>
        <v>52.588638774621252</v>
      </c>
      <c r="W102" s="400"/>
      <c r="X102" s="157">
        <f t="shared" si="33"/>
        <v>44284</v>
      </c>
      <c r="Y102" s="383">
        <f t="shared" si="34"/>
        <v>52.172000000000004</v>
      </c>
      <c r="Z102" s="383">
        <f t="shared" si="35"/>
        <v>52.965880253909674</v>
      </c>
      <c r="AA102" s="384">
        <f t="shared" si="36"/>
        <v>56.60140872941583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6.4230353221169351E-2</v>
      </c>
      <c r="AD102" s="230">
        <f>(INDEX(Models!$BJ102:$BT102,,AH102)*(1-AF102)+INDEX(Models!$BJ102:$BT102,,AH102+1)*AF102-ERP_i)*AE102*Ramure*Pc/MaxiM</f>
        <v>3.3663452905858804E-6</v>
      </c>
      <c r="AE102" s="304">
        <f t="shared" si="38"/>
        <v>0.6</v>
      </c>
      <c r="AF102" s="177">
        <f t="shared" si="39"/>
        <v>0.522169993045422</v>
      </c>
      <c r="AG102" s="799">
        <f t="shared" si="47"/>
        <v>-1</v>
      </c>
      <c r="AH102" s="176">
        <f t="shared" si="40"/>
        <v>5</v>
      </c>
      <c r="AI102" s="224">
        <f t="shared" si="41"/>
        <v>-0.47783000695457806</v>
      </c>
      <c r="AJ102" s="264" t="b">
        <f t="shared" si="42"/>
        <v>0</v>
      </c>
      <c r="AK102" s="264" t="b">
        <f t="shared" si="43"/>
        <v>0</v>
      </c>
      <c r="AL102" s="264"/>
      <c r="AM102" s="264"/>
      <c r="AN102" s="75"/>
    </row>
    <row r="103" spans="1:40" s="6" customFormat="1" ht="11.25" x14ac:dyDescent="0.2">
      <c r="A103" s="56">
        <f t="shared" si="44"/>
        <v>44285</v>
      </c>
      <c r="B103" s="607">
        <v>49.152999999999999</v>
      </c>
      <c r="C103" s="388"/>
      <c r="D103" s="391">
        <f t="shared" si="24"/>
        <v>49.901897708642721</v>
      </c>
      <c r="E103" s="383">
        <f t="shared" si="45"/>
        <v>53.338724803927626</v>
      </c>
      <c r="F103" s="383">
        <f t="shared" si="25"/>
        <v>53.338877460175794</v>
      </c>
      <c r="G103" s="110">
        <f t="shared" si="46"/>
        <v>0.93034844134275119</v>
      </c>
      <c r="H103" s="412" t="b">
        <f>Wh_hp&gt;='2020'!Maxi_hp</f>
        <v>0</v>
      </c>
      <c r="I103" s="379">
        <f>IF(H103,Wh_hp,'2020'!Maxi_hp)</f>
        <v>56.745534114329011</v>
      </c>
      <c r="J103" s="85">
        <f>IF(H103,An,'2020'!An_max)</f>
        <v>2018</v>
      </c>
      <c r="K103" s="197">
        <f t="shared" si="26"/>
        <v>44285</v>
      </c>
      <c r="L103" s="147">
        <f>IF(t&lt;Tvie,1-EXP((T0-t)*PertePVj)+'2020'!Pspv,1-EXP((T0-t)*PertePVj)+Pspv)</f>
        <v>1.5007399378180741E-2</v>
      </c>
      <c r="M103" s="832"/>
      <c r="N103" s="832"/>
      <c r="O103" s="48">
        <f>IF(t&lt;Tnet,'2020'!Resal+('2020'!Salim-'2020'!Resal)*(1-EXP(('2020'!Tnet-t)/('2020'!Tau_j))),Resal+(Salim-Resal)*(1-EXP((Tnet-t)/(Tau_j))))*Salcycl</f>
        <v>6.4433994399353031E-2</v>
      </c>
      <c r="P103" s="169">
        <f>(INDEX(Models!$BJ103:$BT103,,T103)*(1-R103)+INDEX(Models!$BJ103:$BT103,,T103+1)*R103-ERP_i)*Q103*Ramure*Pc/MaxiM</f>
        <v>3.1782486193982103E-6</v>
      </c>
      <c r="Q103" s="304">
        <f t="shared" si="27"/>
        <v>0.6</v>
      </c>
      <c r="R103" s="177">
        <f t="shared" si="28"/>
        <v>0.52311736739704029</v>
      </c>
      <c r="S103" s="799">
        <f t="shared" si="29"/>
        <v>-1</v>
      </c>
      <c r="T103" s="176">
        <f t="shared" si="30"/>
        <v>5</v>
      </c>
      <c r="U103" s="250">
        <f t="shared" si="31"/>
        <v>-0.47688263260295971</v>
      </c>
      <c r="V103" s="382">
        <f t="shared" si="32"/>
        <v>52.832876663711822</v>
      </c>
      <c r="W103" s="400"/>
      <c r="X103" s="157">
        <f t="shared" si="33"/>
        <v>44285</v>
      </c>
      <c r="Y103" s="383">
        <f t="shared" si="34"/>
        <v>49.152999999999999</v>
      </c>
      <c r="Z103" s="383">
        <f t="shared" si="35"/>
        <v>49.901897708642721</v>
      </c>
      <c r="AA103" s="384">
        <f t="shared" si="36"/>
        <v>53.338724803927626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6.4433994399353031E-2</v>
      </c>
      <c r="AD103" s="230">
        <f>(INDEX(Models!$BJ103:$BT103,,AH103)*(1-AF103)+INDEX(Models!$BJ103:$BT103,,AH103+1)*AF103-ERP_i)*AE103*Ramure*Pc/MaxiM</f>
        <v>3.1782486193982103E-6</v>
      </c>
      <c r="AE103" s="304">
        <f t="shared" si="38"/>
        <v>0.6</v>
      </c>
      <c r="AF103" s="177">
        <f t="shared" si="39"/>
        <v>0.52311736739704029</v>
      </c>
      <c r="AG103" s="799">
        <f t="shared" si="47"/>
        <v>-1</v>
      </c>
      <c r="AH103" s="176">
        <f t="shared" si="40"/>
        <v>5</v>
      </c>
      <c r="AI103" s="224">
        <f t="shared" si="41"/>
        <v>-0.47688263260295971</v>
      </c>
      <c r="AJ103" s="264" t="b">
        <f t="shared" si="42"/>
        <v>0</v>
      </c>
      <c r="AK103" s="264" t="b">
        <f t="shared" si="43"/>
        <v>0</v>
      </c>
      <c r="AL103" s="264"/>
      <c r="AM103" s="264"/>
      <c r="AN103" s="75"/>
    </row>
    <row r="104" spans="1:40" s="6" customFormat="1" ht="11.25" x14ac:dyDescent="0.2">
      <c r="A104" s="56">
        <f t="shared" si="44"/>
        <v>44286</v>
      </c>
      <c r="B104" s="607">
        <v>47.625</v>
      </c>
      <c r="C104" s="388"/>
      <c r="D104" s="391">
        <f t="shared" si="24"/>
        <v>48.351543666101165</v>
      </c>
      <c r="E104" s="383">
        <f t="shared" si="45"/>
        <v>51.692856395923364</v>
      </c>
      <c r="F104" s="383">
        <f t="shared" si="25"/>
        <v>51.692988498313227</v>
      </c>
      <c r="G104" s="110">
        <f t="shared" si="46"/>
        <v>0.8974103566838092</v>
      </c>
      <c r="H104" s="412" t="b">
        <f>Wh_hp&gt;='2020'!Maxi_hp</f>
        <v>1</v>
      </c>
      <c r="I104" s="379">
        <f>IF(H104,Wh_hp,'2020'!Maxi_hp)</f>
        <v>51.692988498313227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1.5026276536658778E-2</v>
      </c>
      <c r="M104" s="832"/>
      <c r="N104" s="832"/>
      <c r="O104" s="48">
        <f>IF(t&lt;Tnet,'2020'!Resal+('2020'!Salim-'2020'!Resal)*(1-EXP(('2020'!Tnet-t)/('2020'!Tau_j))),Resal+(Salim-Resal)*(1-EXP((Tnet-t)/(Tau_j))))*Salcycl</f>
        <v>6.4637804191561343E-2</v>
      </c>
      <c r="P104" s="169">
        <f>(INDEX(Models!$BJ104:$BT104,,T104)*(1-R104)+INDEX(Models!$BJ104:$BT104,,T104+1)*R104-ERP_i)*Q104*Ramure*Pc/MaxiM</f>
        <v>2.9943601917388624E-6</v>
      </c>
      <c r="Q104" s="304">
        <f t="shared" si="27"/>
        <v>0.6</v>
      </c>
      <c r="R104" s="177">
        <f t="shared" si="28"/>
        <v>0.52410049188070462</v>
      </c>
      <c r="S104" s="799">
        <f t="shared" si="29"/>
        <v>-1</v>
      </c>
      <c r="T104" s="176">
        <f t="shared" si="30"/>
        <v>5</v>
      </c>
      <c r="U104" s="250">
        <f t="shared" si="31"/>
        <v>-0.47589950811929543</v>
      </c>
      <c r="V104" s="382">
        <f t="shared" si="32"/>
        <v>53.06934419177022</v>
      </c>
      <c r="W104" s="400"/>
      <c r="X104" s="157">
        <f t="shared" si="33"/>
        <v>44286</v>
      </c>
      <c r="Y104" s="383">
        <f t="shared" si="34"/>
        <v>47.625</v>
      </c>
      <c r="Z104" s="383">
        <f t="shared" si="35"/>
        <v>48.351543666101165</v>
      </c>
      <c r="AA104" s="384">
        <f t="shared" si="36"/>
        <v>51.692856395923364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6.4637804191561343E-2</v>
      </c>
      <c r="AD104" s="230">
        <f>(INDEX(Models!$BJ104:$BT104,,AH104)*(1-AF104)+INDEX(Models!$BJ104:$BT104,,AH104+1)*AF104-ERP_i)*AE104*Ramure*Pc/MaxiM</f>
        <v>2.9943601917388624E-6</v>
      </c>
      <c r="AE104" s="304">
        <f t="shared" si="38"/>
        <v>0.6</v>
      </c>
      <c r="AF104" s="177">
        <f t="shared" si="39"/>
        <v>0.52410049188070462</v>
      </c>
      <c r="AG104" s="799">
        <f t="shared" si="47"/>
        <v>-1</v>
      </c>
      <c r="AH104" s="176">
        <f t="shared" si="40"/>
        <v>5</v>
      </c>
      <c r="AI104" s="224">
        <f t="shared" si="41"/>
        <v>-0.47589950811929543</v>
      </c>
      <c r="AJ104" s="264" t="b">
        <f t="shared" si="42"/>
        <v>0</v>
      </c>
      <c r="AK104" s="264" t="b">
        <f t="shared" si="43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4"/>
        <v>44287</v>
      </c>
      <c r="B105" s="607">
        <v>48.225000000000001</v>
      </c>
      <c r="C105" s="388"/>
      <c r="D105" s="391">
        <f t="shared" si="24"/>
        <v>48.961635310701574</v>
      </c>
      <c r="E105" s="383">
        <f t="shared" si="45"/>
        <v>52.356527419974725</v>
      </c>
      <c r="F105" s="383">
        <f t="shared" si="25"/>
        <v>52.356654743992351</v>
      </c>
      <c r="G105" s="110">
        <f t="shared" si="46"/>
        <v>0.90482886966532772</v>
      </c>
      <c r="H105" s="412" t="b">
        <f>Wh_hp&gt;='2020'!Maxi_hp</f>
        <v>1</v>
      </c>
      <c r="I105" s="379">
        <f>IF(H105,Wh_hp,'2020'!Maxi_hp)</f>
        <v>52.356654743992351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1.5045153333360317E-2</v>
      </c>
      <c r="M105" s="832"/>
      <c r="N105" s="832"/>
      <c r="O105" s="48">
        <f>IF(t&lt;Tnet,'2020'!Resal+('2020'!Salim-'2020'!Resal)*(1-EXP(('2020'!Tnet-t)/('2020'!Tau_j))),Resal+(Salim-Resal)*(1-EXP((Tnet-t)/(Tau_j))))*Salcycl</f>
        <v>6.4841812025484946E-2</v>
      </c>
      <c r="P105" s="169">
        <f>(INDEX(Models!$BJ105:$BT105,,T105)*(1-R105)+INDEX(Models!$BJ105:$BT105,,T105+1)*R105-ERP_i)*Q105*Ramure*Pc/MaxiM</f>
        <v>2.8145160046368306E-6</v>
      </c>
      <c r="Q105" s="304">
        <f t="shared" si="27"/>
        <v>0.6</v>
      </c>
      <c r="R105" s="177">
        <f t="shared" si="28"/>
        <v>0.52512055094998977</v>
      </c>
      <c r="S105" s="799">
        <f t="shared" si="29"/>
        <v>-1</v>
      </c>
      <c r="T105" s="176">
        <f t="shared" si="30"/>
        <v>5</v>
      </c>
      <c r="U105" s="250">
        <f t="shared" si="31"/>
        <v>-0.47487944905001023</v>
      </c>
      <c r="V105" s="382">
        <f t="shared" si="32"/>
        <v>53.297350651701208</v>
      </c>
      <c r="W105" s="400"/>
      <c r="X105" s="157">
        <f t="shared" si="33"/>
        <v>44287</v>
      </c>
      <c r="Y105" s="383">
        <f t="shared" si="34"/>
        <v>48.225000000000001</v>
      </c>
      <c r="Z105" s="383">
        <f t="shared" si="35"/>
        <v>48.961635310701574</v>
      </c>
      <c r="AA105" s="384">
        <f t="shared" si="36"/>
        <v>52.356527419974725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6.4841812025484946E-2</v>
      </c>
      <c r="AD105" s="230">
        <f>(INDEX(Models!$BJ105:$BT105,,AH105)*(1-AF105)+INDEX(Models!$BJ105:$BT105,,AH105+1)*AF105-ERP_i)*AE105*Ramure*Pc/MaxiM</f>
        <v>2.8145160046368306E-6</v>
      </c>
      <c r="AE105" s="304">
        <f t="shared" si="38"/>
        <v>0.6</v>
      </c>
      <c r="AF105" s="177">
        <f t="shared" si="39"/>
        <v>0.52512055094998977</v>
      </c>
      <c r="AG105" s="799">
        <f t="shared" si="47"/>
        <v>-1</v>
      </c>
      <c r="AH105" s="176">
        <f t="shared" si="40"/>
        <v>5</v>
      </c>
      <c r="AI105" s="224">
        <f t="shared" si="41"/>
        <v>-0.47487944905001023</v>
      </c>
      <c r="AJ105" s="264" t="b">
        <f t="shared" si="42"/>
        <v>0</v>
      </c>
      <c r="AK105" s="264" t="b">
        <f t="shared" si="43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4"/>
        <v>44288</v>
      </c>
      <c r="B106" s="607">
        <v>43.575000000000003</v>
      </c>
      <c r="C106" s="388"/>
      <c r="D106" s="391">
        <f t="shared" si="24"/>
        <v>44.24145458892005</v>
      </c>
      <c r="E106" s="383">
        <f t="shared" si="45"/>
        <v>47.31939412960751</v>
      </c>
      <c r="F106" s="383">
        <f t="shared" si="25"/>
        <v>47.319485851291006</v>
      </c>
      <c r="G106" s="110">
        <f t="shared" si="46"/>
        <v>0.81423876539285345</v>
      </c>
      <c r="H106" s="412" t="b">
        <f>Wh_hp&gt;='2020'!Maxi_hp</f>
        <v>1</v>
      </c>
      <c r="I106" s="379">
        <f>IF(H106,Wh_hp,'2020'!Maxi_hp)</f>
        <v>47.319485851291006</v>
      </c>
      <c r="J106" s="85">
        <f>IF(H106,An,'2020'!An_max)</f>
        <v>2021</v>
      </c>
      <c r="K106" s="197">
        <f t="shared" si="26"/>
        <v>44288</v>
      </c>
      <c r="L106" s="147">
        <f>IF(t&lt;Tvie,1-EXP((T0-t)*PertePVj)+'2020'!Pspv,1-EXP((T0-t)*PertePVj)+Pspv)</f>
        <v>1.5064029768292353E-2</v>
      </c>
      <c r="M106" s="832"/>
      <c r="N106" s="832"/>
      <c r="O106" s="48">
        <f>IF(t&lt;Tnet,'2020'!Resal+('2020'!Salim-'2020'!Resal)*(1-EXP(('2020'!Tnet-t)/('2020'!Tau_j))),Resal+(Salim-Resal)*(1-EXP((Tnet-t)/(Tau_j))))*Salcycl</f>
        <v>6.5046047129365278E-2</v>
      </c>
      <c r="P106" s="169">
        <f>(INDEX(Models!$BJ106:$BT106,,T106)*(1-R106)+INDEX(Models!$BJ106:$BT106,,T106+1)*R106-ERP_i)*Q106*Ramure*Pc/MaxiM</f>
        <v>2.6385464635150518E-6</v>
      </c>
      <c r="Q106" s="304">
        <f t="shared" si="27"/>
        <v>0.6</v>
      </c>
      <c r="R106" s="177">
        <f t="shared" si="28"/>
        <v>0.52617875499942912</v>
      </c>
      <c r="S106" s="799">
        <f t="shared" si="29"/>
        <v>-1</v>
      </c>
      <c r="T106" s="176">
        <f t="shared" si="30"/>
        <v>5</v>
      </c>
      <c r="U106" s="250">
        <f t="shared" si="31"/>
        <v>-0.47382124500057088</v>
      </c>
      <c r="V106" s="382">
        <f t="shared" si="32"/>
        <v>53.51620598390123</v>
      </c>
      <c r="W106" s="400"/>
      <c r="X106" s="157">
        <f t="shared" si="33"/>
        <v>44288</v>
      </c>
      <c r="Y106" s="383">
        <f t="shared" si="34"/>
        <v>43.575000000000003</v>
      </c>
      <c r="Z106" s="383">
        <f t="shared" si="35"/>
        <v>44.24145458892005</v>
      </c>
      <c r="AA106" s="384">
        <f t="shared" si="36"/>
        <v>47.31939412960751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6.5046047129365278E-2</v>
      </c>
      <c r="AD106" s="230">
        <f>(INDEX(Models!$BJ106:$BT106,,AH106)*(1-AF106)+INDEX(Models!$BJ106:$BT106,,AH106+1)*AF106-ERP_i)*AE106*Ramure*Pc/MaxiM</f>
        <v>2.6385464635150518E-6</v>
      </c>
      <c r="AE106" s="304">
        <f t="shared" si="38"/>
        <v>0.6</v>
      </c>
      <c r="AF106" s="177">
        <f t="shared" si="39"/>
        <v>0.52617875499942912</v>
      </c>
      <c r="AG106" s="799">
        <f t="shared" si="47"/>
        <v>-1</v>
      </c>
      <c r="AH106" s="176">
        <f t="shared" si="40"/>
        <v>5</v>
      </c>
      <c r="AI106" s="224">
        <f t="shared" si="41"/>
        <v>-0.47382124500057088</v>
      </c>
      <c r="AJ106" s="264" t="b">
        <f t="shared" si="42"/>
        <v>0</v>
      </c>
      <c r="AK106" s="264" t="b">
        <f t="shared" si="43"/>
        <v>0</v>
      </c>
      <c r="AL106" s="264"/>
      <c r="AM106" s="264"/>
      <c r="AN106" s="75"/>
    </row>
    <row r="107" spans="1:40" s="6" customFormat="1" ht="11.25" x14ac:dyDescent="0.2">
      <c r="A107" s="56">
        <f t="shared" si="44"/>
        <v>44289</v>
      </c>
      <c r="B107" s="607">
        <v>50.52</v>
      </c>
      <c r="C107" s="388"/>
      <c r="D107" s="391">
        <f t="shared" si="24"/>
        <v>51.293657404902348</v>
      </c>
      <c r="E107" s="383">
        <f t="shared" si="45"/>
        <v>54.874230492823379</v>
      </c>
      <c r="F107" s="383">
        <f t="shared" si="25"/>
        <v>54.874354285186392</v>
      </c>
      <c r="G107" s="110">
        <f t="shared" si="46"/>
        <v>0.94031367688028578</v>
      </c>
      <c r="H107" s="412" t="b">
        <f>Wh_hp&gt;='2020'!Maxi_hp</f>
        <v>1</v>
      </c>
      <c r="I107" s="379">
        <f>IF(H107,Wh_hp,'2020'!Maxi_hp)</f>
        <v>54.874354285186392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1.508290584146188E-2</v>
      </c>
      <c r="M107" s="832"/>
      <c r="N107" s="832"/>
      <c r="O107" s="48">
        <f>IF(t&lt;Tnet,'2020'!Resal+('2020'!Salim-'2020'!Resal)*(1-EXP(('2020'!Tnet-t)/('2020'!Tau_j))),Resal+(Salim-Resal)*(1-EXP((Tnet-t)/(Tau_j))))*Salcycl</f>
        <v>6.5250538472504185E-2</v>
      </c>
      <c r="P107" s="169">
        <f>(INDEX(Models!$BJ107:$BT107,,T107)*(1-R107)+INDEX(Models!$BJ107:$BT107,,T107+1)*R107-ERP_i)*Q107*Ramure*Pc/MaxiM</f>
        <v>2.4662071797855283E-6</v>
      </c>
      <c r="Q107" s="304">
        <f t="shared" si="27"/>
        <v>0.6</v>
      </c>
      <c r="R107" s="177">
        <f t="shared" si="28"/>
        <v>0.52727633980424271</v>
      </c>
      <c r="S107" s="799">
        <f t="shared" si="29"/>
        <v>-1</v>
      </c>
      <c r="T107" s="176">
        <f t="shared" si="30"/>
        <v>5</v>
      </c>
      <c r="U107" s="250">
        <f t="shared" si="31"/>
        <v>-0.47272366019575729</v>
      </c>
      <c r="V107" s="382">
        <f t="shared" si="32"/>
        <v>53.726740999953172</v>
      </c>
      <c r="W107" s="400"/>
      <c r="X107" s="157">
        <f t="shared" si="33"/>
        <v>44289</v>
      </c>
      <c r="Y107" s="383">
        <f t="shared" si="34"/>
        <v>50.52</v>
      </c>
      <c r="Z107" s="383">
        <f t="shared" si="35"/>
        <v>51.293657404902348</v>
      </c>
      <c r="AA107" s="384">
        <f t="shared" si="36"/>
        <v>54.874230492823379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6.5250538472504185E-2</v>
      </c>
      <c r="AD107" s="230">
        <f>(INDEX(Models!$BJ107:$BT107,,AH107)*(1-AF107)+INDEX(Models!$BJ107:$BT107,,AH107+1)*AF107-ERP_i)*AE107*Ramure*Pc/MaxiM</f>
        <v>2.4662071797855283E-6</v>
      </c>
      <c r="AE107" s="304">
        <f t="shared" si="38"/>
        <v>0.6</v>
      </c>
      <c r="AF107" s="177">
        <f t="shared" si="39"/>
        <v>0.52727633980424271</v>
      </c>
      <c r="AG107" s="799">
        <f t="shared" si="47"/>
        <v>-1</v>
      </c>
      <c r="AH107" s="176">
        <f t="shared" si="40"/>
        <v>5</v>
      </c>
      <c r="AI107" s="224">
        <f t="shared" si="41"/>
        <v>-0.47272366019575729</v>
      </c>
      <c r="AJ107" s="264" t="b">
        <f t="shared" si="42"/>
        <v>0</v>
      </c>
      <c r="AK107" s="264" t="b">
        <f t="shared" si="43"/>
        <v>0</v>
      </c>
      <c r="AL107" s="264"/>
      <c r="AM107" s="264"/>
      <c r="AN107" s="75"/>
    </row>
    <row r="108" spans="1:40" s="6" customFormat="1" ht="11.25" x14ac:dyDescent="0.2">
      <c r="A108" s="56">
        <f t="shared" si="44"/>
        <v>44290</v>
      </c>
      <c r="B108" s="607">
        <v>50.895000000000003</v>
      </c>
      <c r="C108" s="388"/>
      <c r="D108" s="391">
        <f t="shared" si="24"/>
        <v>51.67539045836174</v>
      </c>
      <c r="E108" s="383">
        <f t="shared" si="45"/>
        <v>55.29472402079908</v>
      </c>
      <c r="F108" s="383">
        <f t="shared" si="25"/>
        <v>55.294840998962776</v>
      </c>
      <c r="G108" s="110">
        <f t="shared" si="46"/>
        <v>0.94371767234436921</v>
      </c>
      <c r="H108" s="412" t="b">
        <f>Wh_hp&gt;='2020'!Maxi_hp</f>
        <v>0</v>
      </c>
      <c r="I108" s="379">
        <f>IF(H108,Wh_hp,'2020'!Maxi_hp)</f>
        <v>58.531654511187028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1.510178155287567E-2</v>
      </c>
      <c r="M108" s="832"/>
      <c r="N108" s="832"/>
      <c r="O108" s="48">
        <f>IF(t&lt;Tnet,'2020'!Resal+('2020'!Salim-'2020'!Resal)*(1-EXP(('2020'!Tnet-t)/('2020'!Tau_j))),Resal+(Salim-Resal)*(1-EXP((Tnet-t)/(Tau_j))))*Salcycl</f>
        <v>6.5455314707347653E-2</v>
      </c>
      <c r="P108" s="169">
        <f>(INDEX(Models!$BJ108:$BT108,,T108)*(1-R108)+INDEX(Models!$BJ108:$BT108,,T108+1)*R108-ERP_i)*Q108*Ramure*Pc/MaxiM</f>
        <v>2.3005023225250533E-6</v>
      </c>
      <c r="Q108" s="304">
        <f t="shared" si="27"/>
        <v>0.6</v>
      </c>
      <c r="R108" s="177">
        <f t="shared" si="28"/>
        <v>0.52841456583909541</v>
      </c>
      <c r="S108" s="799">
        <f t="shared" si="29"/>
        <v>-1</v>
      </c>
      <c r="T108" s="176">
        <f t="shared" si="30"/>
        <v>5</v>
      </c>
      <c r="U108" s="250">
        <f t="shared" si="31"/>
        <v>-0.47158543416090459</v>
      </c>
      <c r="V108" s="382">
        <f t="shared" si="32"/>
        <v>53.930314200462625</v>
      </c>
      <c r="W108" s="400"/>
      <c r="X108" s="157">
        <f t="shared" si="33"/>
        <v>44290</v>
      </c>
      <c r="Y108" s="383">
        <f t="shared" si="34"/>
        <v>50.895000000000003</v>
      </c>
      <c r="Z108" s="383">
        <f t="shared" si="35"/>
        <v>51.67539045836174</v>
      </c>
      <c r="AA108" s="384">
        <f t="shared" si="36"/>
        <v>55.29472402079908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6.5455314707347653E-2</v>
      </c>
      <c r="AD108" s="230">
        <f>(INDEX(Models!$BJ108:$BT108,,AH108)*(1-AF108)+INDEX(Models!$BJ108:$BT108,,AH108+1)*AF108-ERP_i)*AE108*Ramure*Pc/MaxiM</f>
        <v>2.3005023225250533E-6</v>
      </c>
      <c r="AE108" s="304">
        <f t="shared" si="38"/>
        <v>0.6</v>
      </c>
      <c r="AF108" s="177">
        <f t="shared" si="39"/>
        <v>0.52841456583909541</v>
      </c>
      <c r="AG108" s="799">
        <f t="shared" si="47"/>
        <v>-1</v>
      </c>
      <c r="AH108" s="176">
        <f t="shared" si="40"/>
        <v>5</v>
      </c>
      <c r="AI108" s="224">
        <f t="shared" si="41"/>
        <v>-0.47158543416090459</v>
      </c>
      <c r="AJ108" s="264" t="b">
        <f t="shared" si="42"/>
        <v>0</v>
      </c>
      <c r="AK108" s="264" t="b">
        <f t="shared" si="43"/>
        <v>0</v>
      </c>
      <c r="AL108" s="264"/>
      <c r="AM108" s="264"/>
      <c r="AN108" s="75"/>
    </row>
    <row r="109" spans="1:40" s="6" customFormat="1" ht="11.25" x14ac:dyDescent="0.2">
      <c r="A109" s="56">
        <f t="shared" si="44"/>
        <v>44291</v>
      </c>
      <c r="B109" s="607">
        <v>47.613</v>
      </c>
      <c r="C109" s="388"/>
      <c r="D109" s="391">
        <f t="shared" si="24"/>
        <v>48.34399293039943</v>
      </c>
      <c r="E109" s="383">
        <f t="shared" si="45"/>
        <v>51.741350942644218</v>
      </c>
      <c r="F109" s="383">
        <f t="shared" si="25"/>
        <v>51.741442436054385</v>
      </c>
      <c r="G109" s="110">
        <f t="shared" si="46"/>
        <v>0.87965262876897732</v>
      </c>
      <c r="H109" s="412" t="b">
        <f>Wh_hp&gt;='2020'!Maxi_hp</f>
        <v>0</v>
      </c>
      <c r="I109" s="379">
        <f>IF(H109,Wh_hp,'2020'!Maxi_hp)</f>
        <v>60.630362862646294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1.512065690254083E-2</v>
      </c>
      <c r="M109" s="832"/>
      <c r="N109" s="832"/>
      <c r="O109" s="48">
        <f>IF(t&lt;Tnet,'2020'!Resal+('2020'!Salim-'2020'!Resal)*(1-EXP(('2020'!Tnet-t)/('2020'!Tau_j))),Resal+(Salim-Resal)*(1-EXP((Tnet-t)/(Tau_j))))*Salcycl</f>
        <v>6.5660404112965517E-2</v>
      </c>
      <c r="P109" s="169">
        <f>(INDEX(Models!$BJ109:$BT109,,T109)*(1-R109)+INDEX(Models!$BJ109:$BT109,,T109+1)*R109-ERP_i)*Q109*Ramure*Pc/MaxiM</f>
        <v>2.135409997302512E-6</v>
      </c>
      <c r="Q109" s="304">
        <f t="shared" si="27"/>
        <v>0.6</v>
      </c>
      <c r="R109" s="177">
        <f t="shared" si="28"/>
        <v>0.52959471746711406</v>
      </c>
      <c r="S109" s="799">
        <f t="shared" si="29"/>
        <v>-1</v>
      </c>
      <c r="T109" s="176">
        <f t="shared" si="30"/>
        <v>5</v>
      </c>
      <c r="U109" s="250">
        <f t="shared" si="31"/>
        <v>-0.47040528253288588</v>
      </c>
      <c r="V109" s="382">
        <f t="shared" si="32"/>
        <v>54.127028059346898</v>
      </c>
      <c r="W109" s="400"/>
      <c r="X109" s="157">
        <f t="shared" si="33"/>
        <v>44291</v>
      </c>
      <c r="Y109" s="383">
        <f t="shared" si="34"/>
        <v>47.613</v>
      </c>
      <c r="Z109" s="383">
        <f t="shared" si="35"/>
        <v>48.34399293039943</v>
      </c>
      <c r="AA109" s="384">
        <f t="shared" si="36"/>
        <v>51.741350942644218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6.5660404112965517E-2</v>
      </c>
      <c r="AD109" s="230">
        <f>(INDEX(Models!$BJ109:$BT109,,AH109)*(1-AF109)+INDEX(Models!$BJ109:$BT109,,AH109+1)*AF109-ERP_i)*AE109*Ramure*Pc/MaxiM</f>
        <v>2.135409997302512E-6</v>
      </c>
      <c r="AE109" s="304">
        <f t="shared" si="38"/>
        <v>0.6</v>
      </c>
      <c r="AF109" s="177">
        <f t="shared" si="39"/>
        <v>0.52959471746711406</v>
      </c>
      <c r="AG109" s="799">
        <f t="shared" si="47"/>
        <v>-1</v>
      </c>
      <c r="AH109" s="176">
        <f t="shared" si="40"/>
        <v>5</v>
      </c>
      <c r="AI109" s="224">
        <f t="shared" si="41"/>
        <v>-0.47040528253288588</v>
      </c>
      <c r="AJ109" s="264" t="b">
        <f t="shared" si="42"/>
        <v>0</v>
      </c>
      <c r="AK109" s="264" t="b">
        <f t="shared" si="43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4"/>
        <v>44292</v>
      </c>
      <c r="B110" s="607">
        <v>28.323</v>
      </c>
      <c r="C110" s="388"/>
      <c r="D110" s="391">
        <f t="shared" si="24"/>
        <v>28.758388540426143</v>
      </c>
      <c r="E110" s="383">
        <f t="shared" si="45"/>
        <v>30.786143579552572</v>
      </c>
      <c r="F110" s="383">
        <f t="shared" si="25"/>
        <v>30.786162772570133</v>
      </c>
      <c r="G110" s="110">
        <f t="shared" si="46"/>
        <v>0.52143840491604443</v>
      </c>
      <c r="H110" s="412" t="b">
        <f>Wh_hp&gt;='2020'!Maxi_hp</f>
        <v>0</v>
      </c>
      <c r="I110" s="379">
        <f>IF(H110,Wh_hp,'2020'!Maxi_hp)</f>
        <v>61.789879611435509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1.5139531890464242E-2</v>
      </c>
      <c r="M110" s="832"/>
      <c r="N110" s="832"/>
      <c r="O110" s="48">
        <f>IF(t&lt;Tnet,'2020'!Resal+('2020'!Salim-'2020'!Resal)*(1-EXP(('2020'!Tnet-t)/('2020'!Tau_j))),Resal+(Salim-Resal)*(1-EXP((Tnet-t)/(Tau_j))))*Salcycl</f>
        <v>6.5865834539705626E-2</v>
      </c>
      <c r="P110" s="169">
        <f>(INDEX(Models!$BJ110:$BT110,,T110)*(1-R110)+INDEX(Models!$BJ110:$BT110,,T110+1)*R110-ERP_i)*Q110*Ramure*Pc/MaxiM</f>
        <v>1.9707494642104791E-6</v>
      </c>
      <c r="Q110" s="304">
        <f t="shared" si="27"/>
        <v>0.6</v>
      </c>
      <c r="R110" s="177">
        <f t="shared" si="28"/>
        <v>0.53081810199015433</v>
      </c>
      <c r="S110" s="799">
        <f t="shared" si="29"/>
        <v>-1</v>
      </c>
      <c r="T110" s="176">
        <f t="shared" si="30"/>
        <v>5</v>
      </c>
      <c r="U110" s="250">
        <f t="shared" si="31"/>
        <v>-0.46918189800984567</v>
      </c>
      <c r="V110" s="382">
        <f t="shared" si="32"/>
        <v>54.316984657866413</v>
      </c>
      <c r="W110" s="400"/>
      <c r="X110" s="157">
        <f t="shared" si="33"/>
        <v>44292</v>
      </c>
      <c r="Y110" s="383">
        <f t="shared" si="34"/>
        <v>28.323</v>
      </c>
      <c r="Z110" s="383">
        <f t="shared" si="35"/>
        <v>28.758388540426143</v>
      </c>
      <c r="AA110" s="384">
        <f t="shared" si="36"/>
        <v>30.786143579552572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6.5865834539705626E-2</v>
      </c>
      <c r="AD110" s="230">
        <f>(INDEX(Models!$BJ110:$BT110,,AH110)*(1-AF110)+INDEX(Models!$BJ110:$BT110,,AH110+1)*AF110-ERP_i)*AE110*Ramure*Pc/MaxiM</f>
        <v>1.9707494642104791E-6</v>
      </c>
      <c r="AE110" s="304">
        <f t="shared" si="38"/>
        <v>0.6</v>
      </c>
      <c r="AF110" s="177">
        <f t="shared" si="39"/>
        <v>0.53081810199015433</v>
      </c>
      <c r="AG110" s="799">
        <f t="shared" si="47"/>
        <v>-1</v>
      </c>
      <c r="AH110" s="176">
        <f t="shared" si="40"/>
        <v>5</v>
      </c>
      <c r="AI110" s="224">
        <f t="shared" si="41"/>
        <v>-0.46918189800984567</v>
      </c>
      <c r="AJ110" s="264" t="b">
        <f t="shared" si="42"/>
        <v>0</v>
      </c>
      <c r="AK110" s="264" t="b">
        <f t="shared" si="43"/>
        <v>0</v>
      </c>
      <c r="AL110" s="264"/>
      <c r="AM110" s="264"/>
      <c r="AN110" s="75"/>
    </row>
    <row r="111" spans="1:40" s="6" customFormat="1" ht="11.25" x14ac:dyDescent="0.2">
      <c r="A111" s="56">
        <f t="shared" si="44"/>
        <v>44293</v>
      </c>
      <c r="B111" s="607">
        <v>53.017000000000003</v>
      </c>
      <c r="C111" s="388"/>
      <c r="D111" s="391">
        <f t="shared" si="24"/>
        <v>53.833022844294071</v>
      </c>
      <c r="E111" s="383">
        <f t="shared" si="45"/>
        <v>57.64149025440534</v>
      </c>
      <c r="F111" s="383">
        <f t="shared" si="25"/>
        <v>57.641590326418545</v>
      </c>
      <c r="G111" s="110">
        <f t="shared" si="46"/>
        <v>0.97278381763327393</v>
      </c>
      <c r="H111" s="412" t="b">
        <f>Wh_hp&gt;='2020'!Maxi_hp</f>
        <v>1</v>
      </c>
      <c r="I111" s="379">
        <f>IF(H111,Wh_hp,'2020'!Maxi_hp)</f>
        <v>57.641590326418545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1.5158406516652789E-2</v>
      </c>
      <c r="M111" s="832"/>
      <c r="N111" s="832"/>
      <c r="O111" s="48">
        <f>IF(t&lt;Tnet,'2020'!Resal+('2020'!Salim-'2020'!Resal)*(1-EXP(('2020'!Tnet-t)/('2020'!Tau_j))),Resal+(Salim-Resal)*(1-EXP((Tnet-t)/(Tau_j))))*Salcycl</f>
        <v>6.6071633354763973E-2</v>
      </c>
      <c r="P111" s="169">
        <f>(INDEX(Models!$BJ111:$BT111,,T111)*(1-R111)+INDEX(Models!$BJ111:$BT111,,T111+1)*R111-ERP_i)*Q111*Ramure*Pc/MaxiM</f>
        <v>1.8063385119029681E-6</v>
      </c>
      <c r="Q111" s="304">
        <f t="shared" si="27"/>
        <v>0.6</v>
      </c>
      <c r="R111" s="177">
        <f t="shared" si="28"/>
        <v>0.53208604855110331</v>
      </c>
      <c r="S111" s="799">
        <f t="shared" si="29"/>
        <v>-1</v>
      </c>
      <c r="T111" s="176">
        <f t="shared" si="30"/>
        <v>5</v>
      </c>
      <c r="U111" s="250">
        <f t="shared" si="31"/>
        <v>-0.46791395144889669</v>
      </c>
      <c r="V111" s="382">
        <f t="shared" si="32"/>
        <v>54.500285999368174</v>
      </c>
      <c r="W111" s="400"/>
      <c r="X111" s="157">
        <f t="shared" si="33"/>
        <v>44293</v>
      </c>
      <c r="Y111" s="383">
        <f t="shared" si="34"/>
        <v>53.017000000000003</v>
      </c>
      <c r="Z111" s="383">
        <f t="shared" si="35"/>
        <v>53.833022844294071</v>
      </c>
      <c r="AA111" s="384">
        <f t="shared" si="36"/>
        <v>57.64149025440534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6.6071633354763973E-2</v>
      </c>
      <c r="AD111" s="230">
        <f>(INDEX(Models!$BJ111:$BT111,,AH111)*(1-AF111)+INDEX(Models!$BJ111:$BT111,,AH111+1)*AF111-ERP_i)*AE111*Ramure*Pc/MaxiM</f>
        <v>1.8063385119029681E-6</v>
      </c>
      <c r="AE111" s="304">
        <f t="shared" si="38"/>
        <v>0.6</v>
      </c>
      <c r="AF111" s="177">
        <f t="shared" si="39"/>
        <v>0.53208604855110331</v>
      </c>
      <c r="AG111" s="799">
        <f t="shared" si="47"/>
        <v>-1</v>
      </c>
      <c r="AH111" s="176">
        <f t="shared" si="40"/>
        <v>5</v>
      </c>
      <c r="AI111" s="224">
        <f t="shared" si="41"/>
        <v>-0.46791395144889669</v>
      </c>
      <c r="AJ111" s="264" t="b">
        <f t="shared" si="42"/>
        <v>0</v>
      </c>
      <c r="AK111" s="264" t="b">
        <f t="shared" si="43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4"/>
        <v>44294</v>
      </c>
      <c r="B112" s="607">
        <v>54.268000000000001</v>
      </c>
      <c r="C112" s="388"/>
      <c r="D112" s="391">
        <f t="shared" si="24"/>
        <v>55.104333948594046</v>
      </c>
      <c r="E112" s="383">
        <f t="shared" si="45"/>
        <v>59.015771034404402</v>
      </c>
      <c r="F112" s="383">
        <f t="shared" si="25"/>
        <v>59.015866902452174</v>
      </c>
      <c r="G112" s="110">
        <f t="shared" si="46"/>
        <v>0.99251907170405318</v>
      </c>
      <c r="H112" s="412" t="b">
        <f>Wh_hp&gt;='2020'!Maxi_hp</f>
        <v>1</v>
      </c>
      <c r="I112" s="379">
        <f>IF(H112,Wh_hp,'2020'!Maxi_hp)</f>
        <v>59.015866902452174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1.5177280781113356E-2</v>
      </c>
      <c r="M112" s="832"/>
      <c r="N112" s="832"/>
      <c r="O112" s="48">
        <f>IF(t&lt;Tnet,'2020'!Resal+('2020'!Salim-'2020'!Resal)*(1-EXP(('2020'!Tnet-t)/('2020'!Tau_j))),Resal+(Salim-Resal)*(1-EXP((Tnet-t)/(Tau_j))))*Salcycl</f>
        <v>6.6277827388379104E-2</v>
      </c>
      <c r="P112" s="169">
        <f>(INDEX(Models!$BJ112:$BT112,,T112)*(1-R112)+INDEX(Models!$BJ112:$BT112,,T112+1)*R112-ERP_i)*Q112*Ramure*Pc/MaxiM</f>
        <v>1.6419933106071475E-6</v>
      </c>
      <c r="Q112" s="304">
        <f t="shared" si="27"/>
        <v>0.6</v>
      </c>
      <c r="R112" s="177">
        <f t="shared" si="28"/>
        <v>0.53339990687884686</v>
      </c>
      <c r="S112" s="799">
        <f t="shared" si="29"/>
        <v>-1</v>
      </c>
      <c r="T112" s="176">
        <f t="shared" si="30"/>
        <v>5</v>
      </c>
      <c r="U112" s="250">
        <f t="shared" si="31"/>
        <v>-0.46660009312115308</v>
      </c>
      <c r="V112" s="382">
        <f t="shared" si="32"/>
        <v>54.677034018631574</v>
      </c>
      <c r="W112" s="400"/>
      <c r="X112" s="157">
        <f t="shared" si="33"/>
        <v>44294</v>
      </c>
      <c r="Y112" s="383">
        <f t="shared" si="34"/>
        <v>54.268000000000001</v>
      </c>
      <c r="Z112" s="383">
        <f t="shared" si="35"/>
        <v>55.104333948594046</v>
      </c>
      <c r="AA112" s="384">
        <f t="shared" si="36"/>
        <v>59.015771034404402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6.6277827388379104E-2</v>
      </c>
      <c r="AD112" s="230">
        <f>(INDEX(Models!$BJ112:$BT112,,AH112)*(1-AF112)+INDEX(Models!$BJ112:$BT112,,AH112+1)*AF112-ERP_i)*AE112*Ramure*Pc/MaxiM</f>
        <v>1.6419933106071475E-6</v>
      </c>
      <c r="AE112" s="304">
        <f t="shared" si="38"/>
        <v>0.6</v>
      </c>
      <c r="AF112" s="177">
        <f t="shared" si="39"/>
        <v>0.53339990687884686</v>
      </c>
      <c r="AG112" s="799">
        <f t="shared" si="47"/>
        <v>-1</v>
      </c>
      <c r="AH112" s="176">
        <f t="shared" si="40"/>
        <v>5</v>
      </c>
      <c r="AI112" s="224">
        <f t="shared" si="41"/>
        <v>-0.46660009312115308</v>
      </c>
      <c r="AJ112" s="264" t="b">
        <f t="shared" si="42"/>
        <v>0</v>
      </c>
      <c r="AK112" s="264" t="b">
        <f t="shared" si="43"/>
        <v>0</v>
      </c>
      <c r="AL112" s="264"/>
      <c r="AM112" s="264"/>
      <c r="AN112" s="75"/>
    </row>
    <row r="113" spans="1:40" s="6" customFormat="1" ht="11.25" x14ac:dyDescent="0.2">
      <c r="A113" s="56">
        <f t="shared" si="44"/>
        <v>44295</v>
      </c>
      <c r="B113" s="607">
        <v>33.76</v>
      </c>
      <c r="C113" s="388"/>
      <c r="D113" s="391">
        <f t="shared" si="24"/>
        <v>34.280938443291909</v>
      </c>
      <c r="E113" s="383">
        <f t="shared" si="45"/>
        <v>36.722407229146548</v>
      </c>
      <c r="F113" s="383">
        <f t="shared" si="25"/>
        <v>36.722431686271378</v>
      </c>
      <c r="G113" s="110">
        <f t="shared" si="46"/>
        <v>0.61552626617394135</v>
      </c>
      <c r="H113" s="412" t="b">
        <f>Wh_hp&gt;='2020'!Maxi_hp</f>
        <v>0</v>
      </c>
      <c r="I113" s="379">
        <f>IF(H113,Wh_hp,'2020'!Maxi_hp)</f>
        <v>41.335283844945479</v>
      </c>
      <c r="J113" s="85">
        <f>IF(H113,An,'2020'!An_max)</f>
        <v>2020</v>
      </c>
      <c r="K113" s="197">
        <f t="shared" si="26"/>
        <v>44295</v>
      </c>
      <c r="L113" s="147">
        <f>IF(t&lt;Tvie,1-EXP((T0-t)*PertePVj)+'2020'!Pspv,1-EXP((T0-t)*PertePVj)+Pspv)</f>
        <v>1.5196154683853047E-2</v>
      </c>
      <c r="M113" s="832"/>
      <c r="N113" s="832"/>
      <c r="O113" s="48">
        <f>IF(t&lt;Tnet,'2020'!Resal+('2020'!Salim-'2020'!Resal)*(1-EXP(('2020'!Tnet-t)/('2020'!Tau_j))),Resal+(Salim-Resal)*(1-EXP((Tnet-t)/(Tau_j))))*Salcycl</f>
        <v>6.6484442880336156E-2</v>
      </c>
      <c r="P113" s="169">
        <f>(INDEX(Models!$BJ113:$BT113,,T113)*(1-R113)+INDEX(Models!$BJ113:$BT113,,T113+1)*R113-ERP_i)*Q113*Ramure*Pc/MaxiM</f>
        <v>1.4775282826254658E-6</v>
      </c>
      <c r="Q113" s="304">
        <f t="shared" si="27"/>
        <v>0.6</v>
      </c>
      <c r="R113" s="177">
        <f t="shared" si="28"/>
        <v>0.53476104586641293</v>
      </c>
      <c r="S113" s="799">
        <f t="shared" si="29"/>
        <v>-1</v>
      </c>
      <c r="T113" s="176">
        <f t="shared" si="30"/>
        <v>5</v>
      </c>
      <c r="U113" s="250">
        <f t="shared" si="31"/>
        <v>-0.46523895413358707</v>
      </c>
      <c r="V113" s="382">
        <f t="shared" si="32"/>
        <v>54.84733058204413</v>
      </c>
      <c r="W113" s="400"/>
      <c r="X113" s="157">
        <f t="shared" si="33"/>
        <v>44295</v>
      </c>
      <c r="Y113" s="383">
        <f t="shared" si="34"/>
        <v>33.76</v>
      </c>
      <c r="Z113" s="383">
        <f t="shared" si="35"/>
        <v>34.280938443291909</v>
      </c>
      <c r="AA113" s="384">
        <f t="shared" si="36"/>
        <v>36.722407229146548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6.6484442880336156E-2</v>
      </c>
      <c r="AD113" s="230">
        <f>(INDEX(Models!$BJ113:$BT113,,AH113)*(1-AF113)+INDEX(Models!$BJ113:$BT113,,AH113+1)*AF113-ERP_i)*AE113*Ramure*Pc/MaxiM</f>
        <v>1.4775282826254658E-6</v>
      </c>
      <c r="AE113" s="304">
        <f t="shared" si="38"/>
        <v>0.6</v>
      </c>
      <c r="AF113" s="177">
        <f t="shared" si="39"/>
        <v>0.53476104586641293</v>
      </c>
      <c r="AG113" s="799">
        <f t="shared" si="47"/>
        <v>-1</v>
      </c>
      <c r="AH113" s="176">
        <f t="shared" si="40"/>
        <v>5</v>
      </c>
      <c r="AI113" s="224">
        <f t="shared" si="41"/>
        <v>-0.46523895413358707</v>
      </c>
      <c r="AJ113" s="264" t="b">
        <f t="shared" si="42"/>
        <v>0</v>
      </c>
      <c r="AK113" s="264" t="b">
        <f t="shared" si="43"/>
        <v>0</v>
      </c>
      <c r="AL113" s="264"/>
      <c r="AM113" s="264"/>
      <c r="AN113" s="75"/>
    </row>
    <row r="114" spans="1:40" s="6" customFormat="1" ht="11.25" x14ac:dyDescent="0.2">
      <c r="A114" s="56">
        <f t="shared" si="44"/>
        <v>44296</v>
      </c>
      <c r="B114" s="607">
        <v>34.375</v>
      </c>
      <c r="C114" s="388"/>
      <c r="D114" s="391">
        <f t="shared" si="24"/>
        <v>34.906097254954496</v>
      </c>
      <c r="E114" s="383">
        <f t="shared" si="45"/>
        <v>37.40038525086365</v>
      </c>
      <c r="F114" s="383">
        <f t="shared" si="25"/>
        <v>37.400408148682487</v>
      </c>
      <c r="G114" s="110">
        <f t="shared" si="46"/>
        <v>0.6248714351789898</v>
      </c>
      <c r="H114" s="412" t="b">
        <f>Wh_hp&gt;='2020'!Maxi_hp</f>
        <v>0</v>
      </c>
      <c r="I114" s="379">
        <f>IF(H114,Wh_hp,'2020'!Maxi_hp)</f>
        <v>59.63609644920016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1.5215028224878746E-2</v>
      </c>
      <c r="M114" s="832"/>
      <c r="N114" s="832"/>
      <c r="O114" s="48">
        <f>IF(t&lt;Tnet,'2020'!Resal+('2020'!Salim-'2020'!Resal)*(1-EXP(('2020'!Tnet-t)/('2020'!Tau_j))),Resal+(Salim-Resal)*(1-EXP((Tnet-t)/(Tau_j))))*Salcycl</f>
        <v>6.6691505426446238E-2</v>
      </c>
      <c r="P114" s="169">
        <f>(INDEX(Models!$BJ114:$BT114,,T114)*(1-R114)+INDEX(Models!$BJ114:$BT114,,T114+1)*R114-ERP_i)*Q114*Ramure*Pc/MaxiM</f>
        <v>1.3191788989098391E-6</v>
      </c>
      <c r="Q114" s="304">
        <f t="shared" si="27"/>
        <v>0.6</v>
      </c>
      <c r="R114" s="177">
        <f t="shared" si="28"/>
        <v>0.53617085197275549</v>
      </c>
      <c r="S114" s="799">
        <f t="shared" si="29"/>
        <v>-1</v>
      </c>
      <c r="T114" s="176">
        <f t="shared" si="30"/>
        <v>5</v>
      </c>
      <c r="U114" s="250">
        <f t="shared" si="31"/>
        <v>-0.46382914802724451</v>
      </c>
      <c r="V114" s="382">
        <f t="shared" si="32"/>
        <v>55.011277142031176</v>
      </c>
      <c r="W114" s="400"/>
      <c r="X114" s="157">
        <f t="shared" si="33"/>
        <v>44296</v>
      </c>
      <c r="Y114" s="383">
        <f t="shared" si="34"/>
        <v>34.375</v>
      </c>
      <c r="Z114" s="383">
        <f t="shared" si="35"/>
        <v>34.906097254954496</v>
      </c>
      <c r="AA114" s="384">
        <f t="shared" si="36"/>
        <v>37.40038525086365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6.6691505426446238E-2</v>
      </c>
      <c r="AD114" s="230">
        <f>(INDEX(Models!$BJ114:$BT114,,AH114)*(1-AF114)+INDEX(Models!$BJ114:$BT114,,AH114+1)*AF114-ERP_i)*AE114*Ramure*Pc/MaxiM</f>
        <v>1.3191788989098391E-6</v>
      </c>
      <c r="AE114" s="304">
        <f t="shared" si="38"/>
        <v>0.6</v>
      </c>
      <c r="AF114" s="177">
        <f t="shared" si="39"/>
        <v>0.53617085197275549</v>
      </c>
      <c r="AG114" s="799">
        <f t="shared" si="47"/>
        <v>-1</v>
      </c>
      <c r="AH114" s="176">
        <f t="shared" si="40"/>
        <v>5</v>
      </c>
      <c r="AI114" s="224">
        <f t="shared" si="41"/>
        <v>-0.46382914802724451</v>
      </c>
      <c r="AJ114" s="264" t="b">
        <f t="shared" si="42"/>
        <v>0</v>
      </c>
      <c r="AK114" s="264" t="b">
        <f t="shared" si="43"/>
        <v>0</v>
      </c>
      <c r="AL114" s="264"/>
      <c r="AM114" s="264"/>
      <c r="AN114" s="75"/>
    </row>
    <row r="115" spans="1:40" s="6" customFormat="1" ht="11.25" x14ac:dyDescent="0.2">
      <c r="A115" s="56">
        <f t="shared" si="44"/>
        <v>44297</v>
      </c>
      <c r="B115" s="607">
        <v>8.1419999999999995</v>
      </c>
      <c r="C115" s="388"/>
      <c r="D115" s="391">
        <f t="shared" si="24"/>
        <v>8.2679531836136881</v>
      </c>
      <c r="E115" s="383">
        <f t="shared" si="45"/>
        <v>8.860727335385123</v>
      </c>
      <c r="F115" s="383">
        <f t="shared" si="25"/>
        <v>8.860727335385123</v>
      </c>
      <c r="G115" s="110">
        <f t="shared" si="46"/>
        <v>0.14758277518522583</v>
      </c>
      <c r="H115" s="412" t="b">
        <f>Wh_hp&gt;='2020'!Maxi_hp</f>
        <v>0</v>
      </c>
      <c r="I115" s="379">
        <f>IF(H115,Wh_hp,'2020'!Maxi_hp)</f>
        <v>61.040326499043537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1.5233901404197225E-2</v>
      </c>
      <c r="M115" s="832"/>
      <c r="N115" s="832"/>
      <c r="O115" s="48">
        <f>IF(t&lt;Tnet,'2020'!Resal+('2020'!Salim-'2020'!Resal)*(1-EXP(('2020'!Tnet-t)/('2020'!Tau_j))),Resal+(Salim-Resal)*(1-EXP((Tnet-t)/(Tau_j))))*Salcycl</f>
        <v>6.6899039924657677E-2</v>
      </c>
      <c r="P115" s="169">
        <f>(INDEX(Models!$BJ115:$BT115,,T115)*(1-R115)+INDEX(Models!$BJ115:$BT115,,T115+1)*R115-ERP_i)*Q115*Ramure*Pc/MaxiM</f>
        <v>1.1701856864588418E-6</v>
      </c>
      <c r="Q115" s="304">
        <f t="shared" si="27"/>
        <v>0.6</v>
      </c>
      <c r="R115" s="177">
        <f t="shared" si="28"/>
        <v>0.53763072743865259</v>
      </c>
      <c r="S115" s="799">
        <f t="shared" si="29"/>
        <v>-1</v>
      </c>
      <c r="T115" s="176">
        <f t="shared" si="30"/>
        <v>5</v>
      </c>
      <c r="U115" s="250">
        <f t="shared" si="31"/>
        <v>-0.46236927256134741</v>
      </c>
      <c r="V115" s="382">
        <f t="shared" si="32"/>
        <v>55.168975255611088</v>
      </c>
      <c r="W115" s="400"/>
      <c r="X115" s="157">
        <f t="shared" si="33"/>
        <v>44297</v>
      </c>
      <c r="Y115" s="383">
        <f t="shared" si="34"/>
        <v>8.1419999999999995</v>
      </c>
      <c r="Z115" s="383">
        <f t="shared" si="35"/>
        <v>8.2679531836136881</v>
      </c>
      <c r="AA115" s="384">
        <f t="shared" si="36"/>
        <v>8.860727335385123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6.6899039924657677E-2</v>
      </c>
      <c r="AD115" s="230">
        <f>(INDEX(Models!$BJ115:$BT115,,AH115)*(1-AF115)+INDEX(Models!$BJ115:$BT115,,AH115+1)*AF115-ERP_i)*AE115*Ramure*Pc/MaxiM</f>
        <v>1.1701856864588418E-6</v>
      </c>
      <c r="AE115" s="304">
        <f t="shared" si="38"/>
        <v>0.6</v>
      </c>
      <c r="AF115" s="177">
        <f t="shared" si="39"/>
        <v>0.53763072743865259</v>
      </c>
      <c r="AG115" s="799">
        <f t="shared" si="47"/>
        <v>-1</v>
      </c>
      <c r="AH115" s="176">
        <f t="shared" si="40"/>
        <v>5</v>
      </c>
      <c r="AI115" s="224">
        <f t="shared" si="41"/>
        <v>-0.46236927256134741</v>
      </c>
      <c r="AJ115" s="264" t="b">
        <f t="shared" si="42"/>
        <v>0</v>
      </c>
      <c r="AK115" s="264" t="b">
        <f t="shared" si="43"/>
        <v>0</v>
      </c>
      <c r="AL115" s="264"/>
      <c r="AM115" s="264"/>
      <c r="AN115" s="75"/>
    </row>
    <row r="116" spans="1:40" s="6" customFormat="1" ht="11.25" x14ac:dyDescent="0.2">
      <c r="A116" s="56">
        <f t="shared" si="44"/>
        <v>44298</v>
      </c>
      <c r="B116" s="607">
        <v>43.372</v>
      </c>
      <c r="C116" s="388"/>
      <c r="D116" s="391">
        <f t="shared" si="24"/>
        <v>44.043789984506745</v>
      </c>
      <c r="E116" s="383">
        <f t="shared" si="45"/>
        <v>47.212052522553051</v>
      </c>
      <c r="F116" s="383">
        <f t="shared" si="25"/>
        <v>47.212086161611694</v>
      </c>
      <c r="G116" s="110">
        <f t="shared" si="46"/>
        <v>0.78401253322407494</v>
      </c>
      <c r="H116" s="412" t="b">
        <f>Wh_hp&gt;='2020'!Maxi_hp</f>
        <v>0</v>
      </c>
      <c r="I116" s="379">
        <f>IF(H116,Wh_hp,'2020'!Maxi_hp)</f>
        <v>60.002961591028409</v>
      </c>
      <c r="J116" s="85">
        <f>IF(H116,An,'2020'!An_max)</f>
        <v>2020</v>
      </c>
      <c r="K116" s="197">
        <f t="shared" si="26"/>
        <v>44298</v>
      </c>
      <c r="L116" s="147">
        <f>IF(t&lt;Tvie,1-EXP((T0-t)*PertePVj)+'2020'!Pspv,1-EXP((T0-t)*PertePVj)+Pspv)</f>
        <v>1.525277422181559E-2</v>
      </c>
      <c r="M116" s="832"/>
      <c r="N116" s="832"/>
      <c r="O116" s="48">
        <f>IF(t&lt;Tnet,'2020'!Resal+('2020'!Salim-'2020'!Resal)*(1-EXP(('2020'!Tnet-t)/('2020'!Tau_j))),Resal+(Salim-Resal)*(1-EXP((Tnet-t)/(Tau_j))))*Salcycl</f>
        <v>6.7107070520453199E-2</v>
      </c>
      <c r="P116" s="169">
        <f>(INDEX(Models!$BJ116:$BT116,,T116)*(1-R116)+INDEX(Models!$BJ116:$BT116,,T116+1)*R116-ERP_i)*Q116*Ramure*Pc/MaxiM</f>
        <v>1.0304616930010622E-6</v>
      </c>
      <c r="Q116" s="304">
        <f t="shared" si="27"/>
        <v>0.6</v>
      </c>
      <c r="R116" s="177">
        <f t="shared" si="28"/>
        <v>0.53914208830728083</v>
      </c>
      <c r="S116" s="799">
        <f t="shared" si="29"/>
        <v>-1</v>
      </c>
      <c r="T116" s="176">
        <f t="shared" si="30"/>
        <v>5</v>
      </c>
      <c r="U116" s="250">
        <f t="shared" si="31"/>
        <v>-0.46085791169271911</v>
      </c>
      <c r="V116" s="382">
        <f t="shared" si="32"/>
        <v>55.320526613788914</v>
      </c>
      <c r="W116" s="400"/>
      <c r="X116" s="157">
        <f t="shared" si="33"/>
        <v>44298</v>
      </c>
      <c r="Y116" s="383">
        <f t="shared" si="34"/>
        <v>43.372</v>
      </c>
      <c r="Z116" s="383">
        <f t="shared" si="35"/>
        <v>44.043789984506745</v>
      </c>
      <c r="AA116" s="384">
        <f t="shared" si="36"/>
        <v>47.212052522553051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6.7107070520453199E-2</v>
      </c>
      <c r="AD116" s="230">
        <f>(INDEX(Models!$BJ116:$BT116,,AH116)*(1-AF116)+INDEX(Models!$BJ116:$BT116,,AH116+1)*AF116-ERP_i)*AE116*Ramure*Pc/MaxiM</f>
        <v>1.0304616930010622E-6</v>
      </c>
      <c r="AE116" s="304">
        <f t="shared" si="38"/>
        <v>0.6</v>
      </c>
      <c r="AF116" s="177">
        <f t="shared" si="39"/>
        <v>0.53914208830728083</v>
      </c>
      <c r="AG116" s="799">
        <f t="shared" si="47"/>
        <v>-1</v>
      </c>
      <c r="AH116" s="176">
        <f t="shared" si="40"/>
        <v>5</v>
      </c>
      <c r="AI116" s="224">
        <f t="shared" si="41"/>
        <v>-0.46085791169271911</v>
      </c>
      <c r="AJ116" s="264" t="b">
        <f t="shared" si="42"/>
        <v>0</v>
      </c>
      <c r="AK116" s="264" t="b">
        <f t="shared" si="43"/>
        <v>0</v>
      </c>
      <c r="AL116" s="264"/>
      <c r="AM116" s="264"/>
      <c r="AN116" s="75"/>
    </row>
    <row r="117" spans="1:40" s="6" customFormat="1" ht="11.25" x14ac:dyDescent="0.2">
      <c r="A117" s="56">
        <f t="shared" si="44"/>
        <v>44299</v>
      </c>
      <c r="B117" s="607">
        <v>50.246000000000002</v>
      </c>
      <c r="C117" s="388"/>
      <c r="D117" s="391">
        <f t="shared" si="24"/>
        <v>51.02523942819451</v>
      </c>
      <c r="E117" s="383">
        <f t="shared" si="45"/>
        <v>54.707938239888897</v>
      </c>
      <c r="F117" s="383">
        <f t="shared" si="25"/>
        <v>54.707980854524934</v>
      </c>
      <c r="G117" s="110">
        <f t="shared" si="46"/>
        <v>0.90588764569240487</v>
      </c>
      <c r="H117" s="412" t="b">
        <f>Wh_hp&gt;='2020'!Maxi_hp</f>
        <v>0</v>
      </c>
      <c r="I117" s="379">
        <f>IF(H117,Wh_hp,'2020'!Maxi_hp)</f>
        <v>59.530054657867453</v>
      </c>
      <c r="J117" s="85">
        <f>IF(H117,An,'2020'!An_max)</f>
        <v>2018</v>
      </c>
      <c r="K117" s="197">
        <f t="shared" si="26"/>
        <v>44299</v>
      </c>
      <c r="L117" s="147">
        <f>IF(t&lt;Tvie,1-EXP((T0-t)*PertePVj)+'2020'!Pspv,1-EXP((T0-t)*PertePVj)+Pspv)</f>
        <v>1.5271646677740613E-2</v>
      </c>
      <c r="M117" s="832"/>
      <c r="N117" s="832"/>
      <c r="O117" s="48">
        <f>IF(t&lt;Tnet,'2020'!Resal+('2020'!Salim-'2020'!Resal)*(1-EXP(('2020'!Tnet-t)/('2020'!Tau_j))),Resal+(Salim-Resal)*(1-EXP((Tnet-t)/(Tau_j))))*Salcycl</f>
        <v>6.7315620551191696E-2</v>
      </c>
      <c r="P117" s="169">
        <f>(INDEX(Models!$BJ117:$BT117,,T117)*(1-R117)+INDEX(Models!$BJ117:$BT117,,T117+1)*R117-ERP_i)*Q117*Ramure*Pc/MaxiM</f>
        <v>8.9994084146354892E-7</v>
      </c>
      <c r="Q117" s="304">
        <f t="shared" si="27"/>
        <v>0.6</v>
      </c>
      <c r="R117" s="177">
        <f t="shared" si="28"/>
        <v>0.54070636224020241</v>
      </c>
      <c r="S117" s="799">
        <f t="shared" si="29"/>
        <v>-1</v>
      </c>
      <c r="T117" s="176">
        <f t="shared" si="30"/>
        <v>5</v>
      </c>
      <c r="U117" s="250">
        <f t="shared" si="31"/>
        <v>-0.45929363775979754</v>
      </c>
      <c r="V117" s="382">
        <f t="shared" si="32"/>
        <v>55.466032856812745</v>
      </c>
      <c r="W117" s="400"/>
      <c r="X117" s="157">
        <f t="shared" si="33"/>
        <v>44299</v>
      </c>
      <c r="Y117" s="383">
        <f t="shared" si="34"/>
        <v>50.246000000000002</v>
      </c>
      <c r="Z117" s="383">
        <f t="shared" si="35"/>
        <v>51.02523942819451</v>
      </c>
      <c r="AA117" s="384">
        <f t="shared" si="36"/>
        <v>54.707938239888897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6.7315620551191696E-2</v>
      </c>
      <c r="AD117" s="230">
        <f>(INDEX(Models!$BJ117:$BT117,,AH117)*(1-AF117)+INDEX(Models!$BJ117:$BT117,,AH117+1)*AF117-ERP_i)*AE117*Ramure*Pc/MaxiM</f>
        <v>8.9994084146354892E-7</v>
      </c>
      <c r="AE117" s="304">
        <f t="shared" si="38"/>
        <v>0.6</v>
      </c>
      <c r="AF117" s="177">
        <f t="shared" si="39"/>
        <v>0.54070636224020241</v>
      </c>
      <c r="AG117" s="799">
        <f t="shared" si="47"/>
        <v>-1</v>
      </c>
      <c r="AH117" s="176">
        <f t="shared" si="40"/>
        <v>5</v>
      </c>
      <c r="AI117" s="224">
        <f t="shared" si="41"/>
        <v>-0.45929363775979754</v>
      </c>
      <c r="AJ117" s="264" t="b">
        <f t="shared" si="42"/>
        <v>0</v>
      </c>
      <c r="AK117" s="264" t="b">
        <f t="shared" si="43"/>
        <v>0</v>
      </c>
      <c r="AL117" s="264"/>
      <c r="AM117" s="264"/>
      <c r="AN117" s="75"/>
    </row>
    <row r="118" spans="1:40" s="6" customFormat="1" ht="11.25" x14ac:dyDescent="0.2">
      <c r="A118" s="56">
        <f t="shared" si="44"/>
        <v>44300</v>
      </c>
      <c r="B118" s="607">
        <v>53.753</v>
      </c>
      <c r="C118" s="388"/>
      <c r="D118" s="391">
        <f t="shared" si="24"/>
        <v>54.587673851748853</v>
      </c>
      <c r="E118" s="383">
        <f t="shared" si="45"/>
        <v>58.540611834829889</v>
      </c>
      <c r="F118" s="383">
        <f t="shared" si="25"/>
        <v>58.540655243985405</v>
      </c>
      <c r="G118" s="110">
        <f t="shared" si="46"/>
        <v>0.9666832526390613</v>
      </c>
      <c r="H118" s="412" t="b">
        <f>Wh_hp&gt;='2020'!Maxi_hp</f>
        <v>1</v>
      </c>
      <c r="I118" s="379">
        <f>IF(H118,Wh_hp,'2020'!Maxi_hp)</f>
        <v>58.540655243985405</v>
      </c>
      <c r="J118" s="85">
        <f>IF(H118,An,'2020'!An_max)</f>
        <v>2021</v>
      </c>
      <c r="K118" s="197">
        <f t="shared" si="26"/>
        <v>44300</v>
      </c>
      <c r="L118" s="147">
        <f>IF(t&lt;Tvie,1-EXP((T0-t)*PertePVj)+'2020'!Pspv,1-EXP((T0-t)*PertePVj)+Pspv)</f>
        <v>1.52905187719794E-2</v>
      </c>
      <c r="M118" s="832"/>
      <c r="N118" s="832"/>
      <c r="O118" s="48">
        <f>IF(t&lt;Tnet,'2020'!Resal+('2020'!Salim-'2020'!Resal)*(1-EXP(('2020'!Tnet-t)/('2020'!Tau_j))),Resal+(Salim-Resal)*(1-EXP((Tnet-t)/(Tau_j))))*Salcycl</f>
        <v>6.7524712489068245E-2</v>
      </c>
      <c r="P118" s="169">
        <f>(INDEX(Models!$BJ118:$BT118,,T118)*(1-R118)+INDEX(Models!$BJ118:$BT118,,T118+1)*R118-ERP_i)*Q118*Ramure*Pc/MaxiM</f>
        <v>7.7857818145835864E-7</v>
      </c>
      <c r="Q118" s="304">
        <f t="shared" si="27"/>
        <v>0.6</v>
      </c>
      <c r="R118" s="177">
        <f t="shared" si="28"/>
        <v>0.54232498611976609</v>
      </c>
      <c r="S118" s="799">
        <f t="shared" si="29"/>
        <v>-1</v>
      </c>
      <c r="T118" s="176">
        <f t="shared" si="30"/>
        <v>5</v>
      </c>
      <c r="U118" s="250">
        <f t="shared" si="31"/>
        <v>-0.45767501388023396</v>
      </c>
      <c r="V118" s="382">
        <f t="shared" si="32"/>
        <v>55.605595588156817</v>
      </c>
      <c r="W118" s="400"/>
      <c r="X118" s="157">
        <f t="shared" si="33"/>
        <v>44300</v>
      </c>
      <c r="Y118" s="383">
        <f t="shared" si="34"/>
        <v>53.753</v>
      </c>
      <c r="Z118" s="383">
        <f t="shared" si="35"/>
        <v>54.587673851748853</v>
      </c>
      <c r="AA118" s="384">
        <f t="shared" si="36"/>
        <v>58.540611834829889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6.7524712489068245E-2</v>
      </c>
      <c r="AD118" s="230">
        <f>(INDEX(Models!$BJ118:$BT118,,AH118)*(1-AF118)+INDEX(Models!$BJ118:$BT118,,AH118+1)*AF118-ERP_i)*AE118*Ramure*Pc/MaxiM</f>
        <v>7.7857818145835864E-7</v>
      </c>
      <c r="AE118" s="304">
        <f t="shared" si="38"/>
        <v>0.6</v>
      </c>
      <c r="AF118" s="177">
        <f t="shared" si="39"/>
        <v>0.54232498611976609</v>
      </c>
      <c r="AG118" s="799">
        <f t="shared" si="47"/>
        <v>-1</v>
      </c>
      <c r="AH118" s="176">
        <f t="shared" si="40"/>
        <v>5</v>
      </c>
      <c r="AI118" s="224">
        <f t="shared" si="41"/>
        <v>-0.45767501388023396</v>
      </c>
      <c r="AJ118" s="264" t="b">
        <f t="shared" si="42"/>
        <v>0</v>
      </c>
      <c r="AK118" s="264" t="b">
        <f t="shared" si="43"/>
        <v>0</v>
      </c>
      <c r="AL118" s="264"/>
      <c r="AM118" s="264"/>
      <c r="AN118" s="75"/>
    </row>
    <row r="119" spans="1:40" s="6" customFormat="1" ht="11.25" x14ac:dyDescent="0.2">
      <c r="A119" s="56">
        <f t="shared" si="44"/>
        <v>44301</v>
      </c>
      <c r="B119" s="607">
        <v>54.514000000000003</v>
      </c>
      <c r="C119" s="388"/>
      <c r="D119" s="391">
        <f t="shared" si="24"/>
        <v>55.361551612574083</v>
      </c>
      <c r="E119" s="383">
        <f t="shared" si="45"/>
        <v>59.383881273003674</v>
      </c>
      <c r="F119" s="383">
        <f t="shared" si="25"/>
        <v>59.383919600806216</v>
      </c>
      <c r="G119" s="110">
        <f t="shared" si="46"/>
        <v>0.97801699786733487</v>
      </c>
      <c r="H119" s="412" t="b">
        <f>Wh_hp&gt;='2020'!Maxi_hp</f>
        <v>1</v>
      </c>
      <c r="I119" s="379">
        <f>IF(H119,Wh_hp,'2020'!Maxi_hp)</f>
        <v>59.383919600806216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1.5309390504538833E-2</v>
      </c>
      <c r="M119" s="832"/>
      <c r="N119" s="832"/>
      <c r="O119" s="48">
        <f>IF(t&lt;Tnet,'2020'!Resal+('2020'!Salim-'2020'!Resal)*(1-EXP(('2020'!Tnet-t)/('2020'!Tau_j))),Resal+(Salim-Resal)*(1-EXP((Tnet-t)/(Tau_j))))*Salcycl</f>
        <v>6.7734367882386501E-2</v>
      </c>
      <c r="P119" s="169">
        <f>(INDEX(Models!$BJ119:$BT119,,T119)*(1-R119)+INDEX(Models!$BJ119:$BT119,,T119+1)*R119-ERP_i)*Q119*Ramure*Pc/MaxiM</f>
        <v>6.6635015949272799E-7</v>
      </c>
      <c r="Q119" s="304">
        <f t="shared" si="27"/>
        <v>0.6</v>
      </c>
      <c r="R119" s="177">
        <f t="shared" si="28"/>
        <v>0.54399940342929753</v>
      </c>
      <c r="S119" s="799">
        <f t="shared" si="29"/>
        <v>-1</v>
      </c>
      <c r="T119" s="176">
        <f t="shared" si="30"/>
        <v>5</v>
      </c>
      <c r="U119" s="250">
        <f t="shared" si="31"/>
        <v>-0.45600059657070247</v>
      </c>
      <c r="V119" s="382">
        <f t="shared" si="32"/>
        <v>55.739316369858479</v>
      </c>
      <c r="W119" s="400"/>
      <c r="X119" s="157">
        <f t="shared" si="33"/>
        <v>44301</v>
      </c>
      <c r="Y119" s="383">
        <f t="shared" si="34"/>
        <v>54.514000000000003</v>
      </c>
      <c r="Z119" s="383">
        <f t="shared" si="35"/>
        <v>55.361551612574083</v>
      </c>
      <c r="AA119" s="384">
        <f t="shared" si="36"/>
        <v>59.383881273003674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6.7734367882386501E-2</v>
      </c>
      <c r="AD119" s="230">
        <f>(INDEX(Models!$BJ119:$BT119,,AH119)*(1-AF119)+INDEX(Models!$BJ119:$BT119,,AH119+1)*AF119-ERP_i)*AE119*Ramure*Pc/MaxiM</f>
        <v>6.6635015949272799E-7</v>
      </c>
      <c r="AE119" s="304">
        <f t="shared" si="38"/>
        <v>0.6</v>
      </c>
      <c r="AF119" s="177">
        <f t="shared" si="39"/>
        <v>0.54399940342929753</v>
      </c>
      <c r="AG119" s="799">
        <f t="shared" si="47"/>
        <v>-1</v>
      </c>
      <c r="AH119" s="176">
        <f t="shared" si="40"/>
        <v>5</v>
      </c>
      <c r="AI119" s="224">
        <f t="shared" si="41"/>
        <v>-0.45600059657070247</v>
      </c>
      <c r="AJ119" s="264" t="b">
        <f t="shared" si="42"/>
        <v>0</v>
      </c>
      <c r="AK119" s="264" t="b">
        <f t="shared" si="43"/>
        <v>0</v>
      </c>
      <c r="AL119" s="264"/>
      <c r="AM119" s="264"/>
      <c r="AN119" s="75"/>
    </row>
    <row r="120" spans="1:40" s="6" customFormat="1" ht="11.25" x14ac:dyDescent="0.2">
      <c r="A120" s="56">
        <f t="shared" si="44"/>
        <v>44302</v>
      </c>
      <c r="B120" s="607">
        <v>51.326999999999998</v>
      </c>
      <c r="C120" s="388"/>
      <c r="D120" s="391">
        <f t="shared" si="24"/>
        <v>52.126000993750921</v>
      </c>
      <c r="E120" s="383">
        <f t="shared" si="45"/>
        <v>55.925861704918688</v>
      </c>
      <c r="F120" s="383">
        <f t="shared" si="25"/>
        <v>55.925889548269524</v>
      </c>
      <c r="G120" s="110">
        <f t="shared" si="46"/>
        <v>0.91873062849819631</v>
      </c>
      <c r="H120" s="412" t="b">
        <f>Wh_hp&gt;='2020'!Maxi_hp</f>
        <v>0</v>
      </c>
      <c r="I120" s="379">
        <f>IF(H120,Wh_hp,'2020'!Maxi_hp)</f>
        <v>56.502985475141656</v>
      </c>
      <c r="J120" s="85">
        <f>IF(H120,An,'2020'!An_max)</f>
        <v>2020</v>
      </c>
      <c r="K120" s="197">
        <f t="shared" si="26"/>
        <v>44302</v>
      </c>
      <c r="L120" s="147">
        <f>IF(t&lt;Tvie,1-EXP((T0-t)*PertePVj)+'2020'!Pspv,1-EXP((T0-t)*PertePVj)+Pspv)</f>
        <v>1.5328261875425797E-2</v>
      </c>
      <c r="M120" s="832"/>
      <c r="N120" s="832"/>
      <c r="O120" s="48">
        <f>IF(t&lt;Tnet,'2020'!Resal+('2020'!Salim-'2020'!Resal)*(1-EXP(('2020'!Tnet-t)/('2020'!Tau_j))),Resal+(Salim-Resal)*(1-EXP((Tnet-t)/(Tau_j))))*Salcycl</f>
        <v>6.7944607294867509E-2</v>
      </c>
      <c r="P120" s="169">
        <f>(INDEX(Models!$BJ120:$BT120,,T120)*(1-R120)+INDEX(Models!$BJ120:$BT120,,T120+1)*R120-ERP_i)*Q120*Ramure*Pc/MaxiM</f>
        <v>5.6325490428954346E-7</v>
      </c>
      <c r="Q120" s="304">
        <f t="shared" si="27"/>
        <v>0.6</v>
      </c>
      <c r="R120" s="177">
        <f t="shared" si="28"/>
        <v>0.54573106140293992</v>
      </c>
      <c r="S120" s="799">
        <f t="shared" si="29"/>
        <v>-1</v>
      </c>
      <c r="T120" s="176">
        <f t="shared" si="30"/>
        <v>5</v>
      </c>
      <c r="U120" s="250">
        <f t="shared" si="31"/>
        <v>-0.45426893859706008</v>
      </c>
      <c r="V120" s="382">
        <f t="shared" si="32"/>
        <v>55.867296736864056</v>
      </c>
      <c r="W120" s="400"/>
      <c r="X120" s="157">
        <f t="shared" si="33"/>
        <v>44302</v>
      </c>
      <c r="Y120" s="383">
        <f t="shared" si="34"/>
        <v>51.326999999999998</v>
      </c>
      <c r="Z120" s="383">
        <f t="shared" si="35"/>
        <v>52.126000993750921</v>
      </c>
      <c r="AA120" s="384">
        <f t="shared" si="36"/>
        <v>55.925861704918688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6.7944607294867509E-2</v>
      </c>
      <c r="AD120" s="230">
        <f>(INDEX(Models!$BJ120:$BT120,,AH120)*(1-AF120)+INDEX(Models!$BJ120:$BT120,,AH120+1)*AF120-ERP_i)*AE120*Ramure*Pc/MaxiM</f>
        <v>5.6325490428954346E-7</v>
      </c>
      <c r="AE120" s="304">
        <f t="shared" si="38"/>
        <v>0.6</v>
      </c>
      <c r="AF120" s="177">
        <f t="shared" si="39"/>
        <v>0.54573106140293992</v>
      </c>
      <c r="AG120" s="799">
        <f t="shared" si="47"/>
        <v>-1</v>
      </c>
      <c r="AH120" s="176">
        <f t="shared" si="40"/>
        <v>5</v>
      </c>
      <c r="AI120" s="224">
        <f t="shared" si="41"/>
        <v>-0.45426893859706008</v>
      </c>
      <c r="AJ120" s="264" t="b">
        <f t="shared" si="42"/>
        <v>0</v>
      </c>
      <c r="AK120" s="264" t="b">
        <f t="shared" si="43"/>
        <v>0</v>
      </c>
      <c r="AL120" s="264"/>
      <c r="AM120" s="264"/>
      <c r="AN120" s="75"/>
    </row>
    <row r="121" spans="1:40" s="6" customFormat="1" ht="11.25" x14ac:dyDescent="0.2">
      <c r="A121" s="56">
        <f t="shared" si="44"/>
        <v>44303</v>
      </c>
      <c r="B121" s="607">
        <v>51.725999999999999</v>
      </c>
      <c r="C121" s="388"/>
      <c r="D121" s="391">
        <f t="shared" si="24"/>
        <v>52.532218944872334</v>
      </c>
      <c r="E121" s="383">
        <f t="shared" si="45"/>
        <v>56.374444598680739</v>
      </c>
      <c r="F121" s="383">
        <f t="shared" si="25"/>
        <v>56.374468179112675</v>
      </c>
      <c r="G121" s="110">
        <f t="shared" si="46"/>
        <v>0.92387120535988887</v>
      </c>
      <c r="H121" s="412" t="b">
        <f>Wh_hp&gt;='2020'!Maxi_hp</f>
        <v>1</v>
      </c>
      <c r="I121" s="379">
        <f>IF(H121,Wh_hp,'2020'!Maxi_hp)</f>
        <v>56.374468179112675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1.5347132884647174E-2</v>
      </c>
      <c r="M121" s="832"/>
      <c r="N121" s="832"/>
      <c r="O121" s="48">
        <f>IF(t&lt;Tnet,'2020'!Resal+('2020'!Salim-'2020'!Resal)*(1-EXP(('2020'!Tnet-t)/('2020'!Tau_j))),Resal+(Salim-Resal)*(1-EXP((Tnet-t)/(Tau_j))))*Salcycl</f>
        <v>6.8155450242756238E-2</v>
      </c>
      <c r="P121" s="169">
        <f>(INDEX(Models!$BJ121:$BT121,,T121)*(1-R121)+INDEX(Models!$BJ121:$BT121,,T121+1)*R121-ERP_i)*Q121*Ramure*Pc/MaxiM</f>
        <v>4.6932356826429524E-7</v>
      </c>
      <c r="Q121" s="304">
        <f t="shared" si="27"/>
        <v>0.6</v>
      </c>
      <c r="R121" s="177">
        <f t="shared" si="28"/>
        <v>0.54752140793761672</v>
      </c>
      <c r="S121" s="799">
        <f t="shared" si="29"/>
        <v>-1</v>
      </c>
      <c r="T121" s="176">
        <f t="shared" si="30"/>
        <v>5</v>
      </c>
      <c r="U121" s="250">
        <f t="shared" si="31"/>
        <v>-0.45247859206238328</v>
      </c>
      <c r="V121" s="382">
        <f t="shared" si="32"/>
        <v>55.988320731004116</v>
      </c>
      <c r="W121" s="400"/>
      <c r="X121" s="157">
        <f t="shared" si="33"/>
        <v>44303</v>
      </c>
      <c r="Y121" s="383">
        <f t="shared" si="34"/>
        <v>51.725999999999999</v>
      </c>
      <c r="Z121" s="383">
        <f t="shared" si="35"/>
        <v>52.532218944872334</v>
      </c>
      <c r="AA121" s="384">
        <f t="shared" si="36"/>
        <v>56.374444598680739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6.8155450242756238E-2</v>
      </c>
      <c r="AD121" s="230">
        <f>(INDEX(Models!$BJ121:$BT121,,AH121)*(1-AF121)+INDEX(Models!$BJ121:$BT121,,AH121+1)*AF121-ERP_i)*AE121*Ramure*Pc/MaxiM</f>
        <v>4.6932356826429524E-7</v>
      </c>
      <c r="AE121" s="304">
        <f t="shared" si="38"/>
        <v>0.6</v>
      </c>
      <c r="AF121" s="177">
        <f t="shared" si="39"/>
        <v>0.54752140793761672</v>
      </c>
      <c r="AG121" s="799">
        <f t="shared" si="47"/>
        <v>-1</v>
      </c>
      <c r="AH121" s="176">
        <f t="shared" si="40"/>
        <v>5</v>
      </c>
      <c r="AI121" s="224">
        <f t="shared" si="41"/>
        <v>-0.45247859206238328</v>
      </c>
      <c r="AJ121" s="264" t="b">
        <f t="shared" si="42"/>
        <v>0</v>
      </c>
      <c r="AK121" s="264" t="b">
        <f t="shared" si="43"/>
        <v>0</v>
      </c>
      <c r="AL121" s="264"/>
      <c r="AM121" s="264"/>
      <c r="AN121" s="75"/>
    </row>
    <row r="122" spans="1:40" s="18" customFormat="1" ht="11.25" x14ac:dyDescent="0.2">
      <c r="A122" s="56">
        <f t="shared" si="44"/>
        <v>44304</v>
      </c>
      <c r="B122" s="607">
        <v>41.066000000000003</v>
      </c>
      <c r="C122" s="388"/>
      <c r="D122" s="391">
        <f t="shared" si="24"/>
        <v>41.706867879148419</v>
      </c>
      <c r="E122" s="383">
        <f t="shared" si="45"/>
        <v>44.767482559882673</v>
      </c>
      <c r="F122" s="383">
        <f t="shared" si="25"/>
        <v>44.767493272933869</v>
      </c>
      <c r="G122" s="110">
        <f t="shared" si="46"/>
        <v>0.73199540257108142</v>
      </c>
      <c r="H122" s="412" t="b">
        <f>Wh_hp&gt;='2020'!Maxi_hp</f>
        <v>1</v>
      </c>
      <c r="I122" s="379">
        <f>IF(H122,Wh_hp,'2020'!Maxi_hp)</f>
        <v>44.767493272933869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1.5366003532210071E-2</v>
      </c>
      <c r="M122" s="832"/>
      <c r="N122" s="832"/>
      <c r="O122" s="48">
        <f>IF(t&lt;Tnet,'2020'!Resal+('2020'!Salim-'2020'!Resal)*(1-EXP(('2020'!Tnet-t)/('2020'!Tau_j))),Resal+(Salim-Resal)*(1-EXP((Tnet-t)/(Tau_j))))*Salcycl</f>
        <v>6.8366915129530928E-2</v>
      </c>
      <c r="P122" s="169">
        <f>(INDEX(Models!$BJ122:$BT122,,T122)*(1-R122)+INDEX(Models!$BJ122:$BT122,,T122+1)*R122-ERP_i)*Q122*Ramure*Pc/MaxiM</f>
        <v>3.8776553794746712E-7</v>
      </c>
      <c r="Q122" s="304">
        <f t="shared" si="27"/>
        <v>0.6</v>
      </c>
      <c r="R122" s="177">
        <f t="shared" si="28"/>
        <v>0.54937188826033956</v>
      </c>
      <c r="S122" s="799">
        <f t="shared" si="29"/>
        <v>-1</v>
      </c>
      <c r="T122" s="176">
        <f t="shared" si="30"/>
        <v>5</v>
      </c>
      <c r="U122" s="250">
        <f t="shared" si="31"/>
        <v>-0.45062811173966039</v>
      </c>
      <c r="V122" s="382">
        <f t="shared" si="32"/>
        <v>56.101436920294503</v>
      </c>
      <c r="W122" s="400"/>
      <c r="X122" s="157">
        <f t="shared" si="33"/>
        <v>44304</v>
      </c>
      <c r="Y122" s="383">
        <f t="shared" si="34"/>
        <v>41.066000000000003</v>
      </c>
      <c r="Z122" s="383">
        <f t="shared" si="35"/>
        <v>41.706867879148419</v>
      </c>
      <c r="AA122" s="384">
        <f t="shared" si="36"/>
        <v>44.767482559882673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6.8366915129530928E-2</v>
      </c>
      <c r="AD122" s="230">
        <f>(INDEX(Models!$BJ122:$BT122,,AH122)*(1-AF122)+INDEX(Models!$BJ122:$BT122,,AH122+1)*AF122-ERP_i)*AE122*Ramure*Pc/MaxiM</f>
        <v>3.8776553794746712E-7</v>
      </c>
      <c r="AE122" s="304">
        <f t="shared" si="38"/>
        <v>0.6</v>
      </c>
      <c r="AF122" s="177">
        <f t="shared" si="39"/>
        <v>0.54937188826033956</v>
      </c>
      <c r="AG122" s="799">
        <f t="shared" si="47"/>
        <v>-1</v>
      </c>
      <c r="AH122" s="176">
        <f t="shared" si="40"/>
        <v>5</v>
      </c>
      <c r="AI122" s="224">
        <f t="shared" si="41"/>
        <v>-0.45062811173966039</v>
      </c>
      <c r="AJ122" s="264" t="b">
        <f t="shared" si="42"/>
        <v>0</v>
      </c>
      <c r="AK122" s="264" t="b">
        <f t="shared" si="43"/>
        <v>0</v>
      </c>
      <c r="AL122" s="264"/>
      <c r="AM122" s="264"/>
      <c r="AN122" s="264"/>
    </row>
    <row r="123" spans="1:40" s="18" customFormat="1" ht="11.25" x14ac:dyDescent="0.2">
      <c r="A123" s="56">
        <f t="shared" si="44"/>
        <v>44305</v>
      </c>
      <c r="B123" s="607">
        <v>53.762</v>
      </c>
      <c r="C123" s="388"/>
      <c r="D123" s="391">
        <f t="shared" si="24"/>
        <v>54.602045581482415</v>
      </c>
      <c r="E123" s="383">
        <f t="shared" si="45"/>
        <v>58.622305816322793</v>
      </c>
      <c r="F123" s="383">
        <f t="shared" si="25"/>
        <v>58.622323149510997</v>
      </c>
      <c r="G123" s="110">
        <f t="shared" si="46"/>
        <v>0.95649761480194906</v>
      </c>
      <c r="H123" s="412" t="b">
        <f>Wh_hp&gt;='2020'!Maxi_hp</f>
        <v>1</v>
      </c>
      <c r="I123" s="379">
        <f>IF(H123,Wh_hp,'2020'!Maxi_hp)</f>
        <v>58.622323149510997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1.5384873818121259E-2</v>
      </c>
      <c r="M123" s="832"/>
      <c r="N123" s="832"/>
      <c r="O123" s="48">
        <f>IF(t&lt;Tnet,'2020'!Resal+('2020'!Salim-'2020'!Resal)*(1-EXP(('2020'!Tnet-t)/('2020'!Tau_j))),Resal+(Salim-Resal)*(1-EXP((Tnet-t)/(Tau_j))))*Salcycl</f>
        <v>6.8579019178071604E-2</v>
      </c>
      <c r="P123" s="169">
        <f>(INDEX(Models!$BJ123:$BT123,,T123)*(1-R123)+INDEX(Models!$BJ123:$BT123,,T123+1)*R123-ERP_i)*Q123*Ramure*Pc/MaxiM</f>
        <v>3.1526829817300728E-7</v>
      </c>
      <c r="Q123" s="304">
        <f t="shared" si="27"/>
        <v>0.6</v>
      </c>
      <c r="R123" s="177">
        <f t="shared" si="28"/>
        <v>0.55128394134497649</v>
      </c>
      <c r="S123" s="799">
        <f t="shared" si="29"/>
        <v>-1</v>
      </c>
      <c r="T123" s="176">
        <f t="shared" si="30"/>
        <v>5</v>
      </c>
      <c r="U123" s="250">
        <f t="shared" si="31"/>
        <v>-0.44871605865502351</v>
      </c>
      <c r="V123" s="382">
        <f t="shared" si="32"/>
        <v>56.207143765629525</v>
      </c>
      <c r="W123" s="400"/>
      <c r="X123" s="157">
        <f t="shared" si="33"/>
        <v>44305</v>
      </c>
      <c r="Y123" s="383">
        <f t="shared" si="34"/>
        <v>53.762</v>
      </c>
      <c r="Z123" s="383">
        <f t="shared" si="35"/>
        <v>54.602045581482415</v>
      </c>
      <c r="AA123" s="384">
        <f t="shared" si="36"/>
        <v>58.622305816322793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6.8579019178071604E-2</v>
      </c>
      <c r="AD123" s="230">
        <f>(INDEX(Models!$BJ123:$BT123,,AH123)*(1-AF123)+INDEX(Models!$BJ123:$BT123,,AH123+1)*AF123-ERP_i)*AE123*Ramure*Pc/MaxiM</f>
        <v>3.1526829817300728E-7</v>
      </c>
      <c r="AE123" s="304">
        <f t="shared" si="38"/>
        <v>0.6</v>
      </c>
      <c r="AF123" s="177">
        <f t="shared" si="39"/>
        <v>0.55128394134497649</v>
      </c>
      <c r="AG123" s="799">
        <f t="shared" si="47"/>
        <v>-1</v>
      </c>
      <c r="AH123" s="176">
        <f t="shared" si="40"/>
        <v>5</v>
      </c>
      <c r="AI123" s="224">
        <f t="shared" si="41"/>
        <v>-0.44871605865502351</v>
      </c>
      <c r="AJ123" s="264" t="b">
        <f t="shared" si="42"/>
        <v>0</v>
      </c>
      <c r="AK123" s="264" t="b">
        <f t="shared" si="43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4"/>
        <v>44306</v>
      </c>
      <c r="B124" s="607">
        <v>39.486000000000004</v>
      </c>
      <c r="C124" s="388"/>
      <c r="D124" s="391">
        <f t="shared" si="24"/>
        <v>40.103747855068818</v>
      </c>
      <c r="E124" s="383">
        <f t="shared" si="45"/>
        <v>43.066359298727676</v>
      </c>
      <c r="F124" s="383">
        <f t="shared" si="25"/>
        <v>43.066365517887775</v>
      </c>
      <c r="G124" s="110">
        <f t="shared" si="46"/>
        <v>0.7012758574389597</v>
      </c>
      <c r="H124" s="412" t="b">
        <f>Wh_hp&gt;='2020'!Maxi_hp</f>
        <v>0</v>
      </c>
      <c r="I124" s="379">
        <f>IF(H124,Wh_hp,'2020'!Maxi_hp)</f>
        <v>57.174498343837172</v>
      </c>
      <c r="J124" s="85">
        <f>IF(H124,An,'2020'!An_max)</f>
        <v>2018</v>
      </c>
      <c r="K124" s="197">
        <f t="shared" si="26"/>
        <v>44306</v>
      </c>
      <c r="L124" s="147">
        <f>IF(t&lt;Tvie,1-EXP((T0-t)*PertePVj)+'2020'!Pspv,1-EXP((T0-t)*PertePVj)+Pspv)</f>
        <v>1.5403743742387732E-2</v>
      </c>
      <c r="M124" s="832"/>
      <c r="N124" s="832"/>
      <c r="O124" s="48">
        <f>IF(t&lt;Tnet,'2020'!Resal+('2020'!Salim-'2020'!Resal)*(1-EXP(('2020'!Tnet-t)/('2020'!Tau_j))),Resal+(Salim-Resal)*(1-EXP((Tnet-t)/(Tau_j))))*Salcycl</f>
        <v>6.8791778360201061E-2</v>
      </c>
      <c r="P124" s="169">
        <f>(INDEX(Models!$BJ124:$BT124,,T124)*(1-R124)+INDEX(Models!$BJ124:$BT124,,T124+1)*R124-ERP_i)*Q124*Ramure*Pc/MaxiM</f>
        <v>2.5191175987263633E-7</v>
      </c>
      <c r="Q124" s="304">
        <f t="shared" si="27"/>
        <v>0.6</v>
      </c>
      <c r="R124" s="177">
        <f t="shared" si="28"/>
        <v>0.5532589960736457</v>
      </c>
      <c r="S124" s="799">
        <f t="shared" si="29"/>
        <v>-1</v>
      </c>
      <c r="T124" s="176">
        <f t="shared" si="30"/>
        <v>5</v>
      </c>
      <c r="U124" s="250">
        <f t="shared" si="31"/>
        <v>-0.4467410039263543</v>
      </c>
      <c r="V124" s="382">
        <f t="shared" si="32"/>
        <v>56.30593914830807</v>
      </c>
      <c r="W124" s="400"/>
      <c r="X124" s="157">
        <f t="shared" si="33"/>
        <v>44306</v>
      </c>
      <c r="Y124" s="383">
        <f t="shared" si="34"/>
        <v>39.486000000000004</v>
      </c>
      <c r="Z124" s="383">
        <f t="shared" si="35"/>
        <v>40.103747855068818</v>
      </c>
      <c r="AA124" s="384">
        <f t="shared" si="36"/>
        <v>43.066359298727676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6.8791778360201061E-2</v>
      </c>
      <c r="AD124" s="230">
        <f>(INDEX(Models!$BJ124:$BT124,,AH124)*(1-AF124)+INDEX(Models!$BJ124:$BT124,,AH124+1)*AF124-ERP_i)*AE124*Ramure*Pc/MaxiM</f>
        <v>2.5191175987263633E-7</v>
      </c>
      <c r="AE124" s="304">
        <f t="shared" si="38"/>
        <v>0.6</v>
      </c>
      <c r="AF124" s="177">
        <f t="shared" si="39"/>
        <v>0.5532589960736457</v>
      </c>
      <c r="AG124" s="799">
        <f t="shared" si="47"/>
        <v>-1</v>
      </c>
      <c r="AH124" s="176">
        <f t="shared" si="40"/>
        <v>5</v>
      </c>
      <c r="AI124" s="224">
        <f t="shared" si="41"/>
        <v>-0.4467410039263543</v>
      </c>
      <c r="AJ124" s="264" t="b">
        <f t="shared" si="42"/>
        <v>0</v>
      </c>
      <c r="AK124" s="264" t="b">
        <f t="shared" si="43"/>
        <v>0</v>
      </c>
      <c r="AL124" s="264"/>
      <c r="AM124" s="264"/>
      <c r="AN124" s="75"/>
    </row>
    <row r="125" spans="1:40" s="6" customFormat="1" ht="11.25" x14ac:dyDescent="0.2">
      <c r="A125" s="56">
        <f t="shared" si="44"/>
        <v>44307</v>
      </c>
      <c r="B125" s="607">
        <v>48.564999999999998</v>
      </c>
      <c r="C125" s="388"/>
      <c r="D125" s="391">
        <f t="shared" si="24"/>
        <v>49.325731685776724</v>
      </c>
      <c r="E125" s="383">
        <f t="shared" si="45"/>
        <v>52.981748205030236</v>
      </c>
      <c r="F125" s="383">
        <f t="shared" si="25"/>
        <v>52.981756605548966</v>
      </c>
      <c r="G125" s="110">
        <f t="shared" si="46"/>
        <v>0.86110716795556053</v>
      </c>
      <c r="H125" s="412" t="b">
        <f>Wh_hp&gt;='2020'!Maxi_hp</f>
        <v>1</v>
      </c>
      <c r="I125" s="379">
        <f>IF(H125,Wh_hp,'2020'!Maxi_hp)</f>
        <v>52.981756605548966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1.5422613305016375E-2</v>
      </c>
      <c r="M125" s="832"/>
      <c r="N125" s="832"/>
      <c r="O125" s="48">
        <f>IF(t&lt;Tnet,'2020'!Resal+('2020'!Salim-'2020'!Resal)*(1-EXP(('2020'!Tnet-t)/('2020'!Tau_j))),Resal+(Salim-Resal)*(1-EXP((Tnet-t)/(Tau_j))))*Salcycl</f>
        <v>6.9005207323574222E-2</v>
      </c>
      <c r="P125" s="169">
        <f>(INDEX(Models!$BJ125:$BT125,,T125)*(1-R125)+INDEX(Models!$BJ125:$BT125,,T125+1)*R125-ERP_i)*Q125*Ramure*Pc/MaxiM</f>
        <v>1.9780257841375063E-7</v>
      </c>
      <c r="Q125" s="304">
        <f t="shared" si="27"/>
        <v>0.6</v>
      </c>
      <c r="R125" s="177">
        <f t="shared" si="28"/>
        <v>0.55529846713911879</v>
      </c>
      <c r="S125" s="799">
        <f t="shared" si="29"/>
        <v>-1</v>
      </c>
      <c r="T125" s="176">
        <f t="shared" si="30"/>
        <v>5</v>
      </c>
      <c r="U125" s="250">
        <f t="shared" si="31"/>
        <v>-0.44470153286088127</v>
      </c>
      <c r="V125" s="382">
        <f t="shared" si="32"/>
        <v>56.398320558915586</v>
      </c>
      <c r="W125" s="400"/>
      <c r="X125" s="157">
        <f t="shared" si="33"/>
        <v>44307</v>
      </c>
      <c r="Y125" s="383">
        <f t="shared" si="34"/>
        <v>48.564999999999998</v>
      </c>
      <c r="Z125" s="383">
        <f t="shared" si="35"/>
        <v>49.325731685776724</v>
      </c>
      <c r="AA125" s="384">
        <f t="shared" si="36"/>
        <v>52.981748205030236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6.9005207323574222E-2</v>
      </c>
      <c r="AD125" s="230">
        <f>(INDEX(Models!$BJ125:$BT125,,AH125)*(1-AF125)+INDEX(Models!$BJ125:$BT125,,AH125+1)*AF125-ERP_i)*AE125*Ramure*Pc/MaxiM</f>
        <v>1.9780257841375063E-7</v>
      </c>
      <c r="AE125" s="304">
        <f t="shared" si="38"/>
        <v>0.6</v>
      </c>
      <c r="AF125" s="177">
        <f t="shared" si="39"/>
        <v>0.55529846713911879</v>
      </c>
      <c r="AG125" s="799">
        <f t="shared" si="47"/>
        <v>-1</v>
      </c>
      <c r="AH125" s="176">
        <f t="shared" si="40"/>
        <v>5</v>
      </c>
      <c r="AI125" s="224">
        <f t="shared" si="41"/>
        <v>-0.44470153286088127</v>
      </c>
      <c r="AJ125" s="264" t="b">
        <f t="shared" si="42"/>
        <v>0</v>
      </c>
      <c r="AK125" s="264" t="b">
        <f t="shared" si="43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4"/>
        <v>44308</v>
      </c>
      <c r="B126" s="607">
        <v>55.698999999999998</v>
      </c>
      <c r="C126" s="388"/>
      <c r="D126" s="391">
        <f t="shared" si="24"/>
        <v>56.572564261362189</v>
      </c>
      <c r="E126" s="383">
        <f t="shared" si="45"/>
        <v>60.779693256832935</v>
      </c>
      <c r="F126" s="383">
        <f t="shared" si="25"/>
        <v>60.779702375651659</v>
      </c>
      <c r="G126" s="110">
        <f t="shared" si="46"/>
        <v>0.9860885498108426</v>
      </c>
      <c r="H126" s="412" t="b">
        <f>Wh_hp&gt;='2020'!Maxi_hp</f>
        <v>1</v>
      </c>
      <c r="I126" s="379">
        <f>IF(H126,Wh_hp,'2020'!Maxi_hp)</f>
        <v>60.779702375651659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1.5441482506014181E-2</v>
      </c>
      <c r="M126" s="832"/>
      <c r="N126" s="832"/>
      <c r="O126" s="48">
        <f>IF(t&lt;Tnet,'2020'!Resal+('2020'!Salim-'2020'!Resal)*(1-EXP(('2020'!Tnet-t)/('2020'!Tau_j))),Resal+(Salim-Resal)*(1-EXP((Tnet-t)/(Tau_j))))*Salcycl</f>
        <v>6.9219319315958802E-2</v>
      </c>
      <c r="P126" s="169">
        <f>(INDEX(Models!$BJ126:$BT126,,T126)*(1-R126)+INDEX(Models!$BJ126:$BT126,,T126+1)*R126-ERP_i)*Q126*Ramure*Pc/MaxiM</f>
        <v>1.5307274833378519E-7</v>
      </c>
      <c r="Q126" s="304">
        <f t="shared" si="27"/>
        <v>0.6</v>
      </c>
      <c r="R126" s="177">
        <f t="shared" si="28"/>
        <v>0.55740375068600123</v>
      </c>
      <c r="S126" s="799">
        <f t="shared" si="29"/>
        <v>-1</v>
      </c>
      <c r="T126" s="176">
        <f t="shared" si="30"/>
        <v>5</v>
      </c>
      <c r="U126" s="250">
        <f t="shared" si="31"/>
        <v>-0.44259624931399877</v>
      </c>
      <c r="V126" s="382">
        <f t="shared" si="32"/>
        <v>56.484785104991921</v>
      </c>
      <c r="W126" s="400"/>
      <c r="X126" s="157">
        <f t="shared" si="33"/>
        <v>44308</v>
      </c>
      <c r="Y126" s="383">
        <f t="shared" si="34"/>
        <v>55.698999999999998</v>
      </c>
      <c r="Z126" s="383">
        <f t="shared" si="35"/>
        <v>56.572564261362189</v>
      </c>
      <c r="AA126" s="384">
        <f t="shared" si="36"/>
        <v>60.779693256832935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6.9219319315958802E-2</v>
      </c>
      <c r="AD126" s="230">
        <f>(INDEX(Models!$BJ126:$BT126,,AH126)*(1-AF126)+INDEX(Models!$BJ126:$BT126,,AH126+1)*AF126-ERP_i)*AE126*Ramure*Pc/MaxiM</f>
        <v>1.5307274833378519E-7</v>
      </c>
      <c r="AE126" s="304">
        <f t="shared" si="38"/>
        <v>0.6</v>
      </c>
      <c r="AF126" s="177">
        <f t="shared" si="39"/>
        <v>0.55740375068600123</v>
      </c>
      <c r="AG126" s="799">
        <f t="shared" si="47"/>
        <v>-1</v>
      </c>
      <c r="AH126" s="176">
        <f t="shared" si="40"/>
        <v>5</v>
      </c>
      <c r="AI126" s="224">
        <f t="shared" si="41"/>
        <v>-0.44259624931399877</v>
      </c>
      <c r="AJ126" s="264" t="b">
        <f t="shared" si="42"/>
        <v>0</v>
      </c>
      <c r="AK126" s="264" t="b">
        <f t="shared" si="43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4"/>
        <v>44309</v>
      </c>
      <c r="B127" s="607">
        <v>56.331000000000003</v>
      </c>
      <c r="C127" s="388"/>
      <c r="D127" s="391">
        <f t="shared" si="24"/>
        <v>57.215572858825084</v>
      </c>
      <c r="E127" s="383">
        <f t="shared" si="45"/>
        <v>61.484709964127987</v>
      </c>
      <c r="F127" s="383">
        <f t="shared" si="25"/>
        <v>61.484717168911814</v>
      </c>
      <c r="G127" s="110">
        <f t="shared" si="46"/>
        <v>0.99584856171197589</v>
      </c>
      <c r="H127" s="412" t="b">
        <f>Wh_hp&gt;='2020'!Maxi_hp</f>
        <v>1</v>
      </c>
      <c r="I127" s="379">
        <f>IF(H127,Wh_hp,'2020'!Maxi_hp)</f>
        <v>61.484717168911814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1.5460351345388035E-2</v>
      </c>
      <c r="M127" s="832"/>
      <c r="N127" s="832"/>
      <c r="O127" s="48">
        <f>IF(t&lt;Tnet,'2020'!Resal+('2020'!Salim-'2020'!Resal)*(1-EXP(('2020'!Tnet-t)/('2020'!Tau_j))),Resal+(Salim-Resal)*(1-EXP((Tnet-t)/(Tau_j))))*Salcycl</f>
        <v>6.9434126107021474E-2</v>
      </c>
      <c r="P127" s="169">
        <f>(INDEX(Models!$BJ127:$BT127,,T127)*(1-R127)+INDEX(Models!$BJ127:$BT127,,T127+1)*R127-ERP_i)*Q127*Ramure*Pc/MaxiM</f>
        <v>1.1787917315928821E-7</v>
      </c>
      <c r="Q127" s="304">
        <f t="shared" si="27"/>
        <v>0.6</v>
      </c>
      <c r="R127" s="177">
        <f t="shared" si="28"/>
        <v>0.55957621969003457</v>
      </c>
      <c r="S127" s="799">
        <f t="shared" si="29"/>
        <v>-1</v>
      </c>
      <c r="T127" s="176">
        <f t="shared" si="30"/>
        <v>5</v>
      </c>
      <c r="U127" s="250">
        <f t="shared" si="31"/>
        <v>-0.44042378030996543</v>
      </c>
      <c r="V127" s="382">
        <f t="shared" si="32"/>
        <v>56.565829511045152</v>
      </c>
      <c r="W127" s="400"/>
      <c r="X127" s="157">
        <f t="shared" si="33"/>
        <v>44309</v>
      </c>
      <c r="Y127" s="383">
        <f t="shared" si="34"/>
        <v>56.331000000000003</v>
      </c>
      <c r="Z127" s="383">
        <f t="shared" si="35"/>
        <v>57.215572858825084</v>
      </c>
      <c r="AA127" s="384">
        <f t="shared" si="36"/>
        <v>61.484709964127987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6.9434126107021474E-2</v>
      </c>
      <c r="AD127" s="230">
        <f>(INDEX(Models!$BJ127:$BT127,,AH127)*(1-AF127)+INDEX(Models!$BJ127:$BT127,,AH127+1)*AF127-ERP_i)*AE127*Ramure*Pc/MaxiM</f>
        <v>1.1787917315928821E-7</v>
      </c>
      <c r="AE127" s="304">
        <f t="shared" si="38"/>
        <v>0.6</v>
      </c>
      <c r="AF127" s="177">
        <f t="shared" si="39"/>
        <v>0.55957621969003457</v>
      </c>
      <c r="AG127" s="799">
        <f t="shared" si="47"/>
        <v>-1</v>
      </c>
      <c r="AH127" s="176">
        <f t="shared" si="40"/>
        <v>5</v>
      </c>
      <c r="AI127" s="224">
        <f t="shared" si="41"/>
        <v>-0.44042378030996543</v>
      </c>
      <c r="AJ127" s="264" t="b">
        <f t="shared" si="42"/>
        <v>0</v>
      </c>
      <c r="AK127" s="264" t="b">
        <f t="shared" si="43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4"/>
        <v>44310</v>
      </c>
      <c r="B128" s="607">
        <v>55.817</v>
      </c>
      <c r="C128" s="388"/>
      <c r="D128" s="391">
        <f t="shared" si="24"/>
        <v>56.694587990284241</v>
      </c>
      <c r="E128" s="383">
        <f t="shared" si="45"/>
        <v>60.938964824808792</v>
      </c>
      <c r="F128" s="383">
        <f t="shared" si="25"/>
        <v>60.938970338666145</v>
      </c>
      <c r="G128" s="110">
        <f t="shared" si="46"/>
        <v>0.98543570224751686</v>
      </c>
      <c r="H128" s="412" t="b">
        <f>Wh_hp&gt;='2020'!Maxi_hp</f>
        <v>1</v>
      </c>
      <c r="I128" s="379">
        <f>IF(H128,Wh_hp,'2020'!Maxi_hp)</f>
        <v>60.938970338666145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1.547921982314493E-2</v>
      </c>
      <c r="M128" s="832"/>
      <c r="N128" s="832"/>
      <c r="O128" s="48">
        <f>IF(t&lt;Tnet,'2020'!Resal+('2020'!Salim-'2020'!Resal)*(1-EXP(('2020'!Tnet-t)/('2020'!Tau_j))),Resal+(Salim-Resal)*(1-EXP((Tnet-t)/(Tau_j))))*Salcycl</f>
        <v>6.9649637907807482E-2</v>
      </c>
      <c r="P128" s="169">
        <f>(INDEX(Models!$BJ128:$BT128,,T128)*(1-R128)+INDEX(Models!$BJ128:$BT128,,T128+1)*R128-ERP_i)*Q128*Ramure*Pc/MaxiM</f>
        <v>9.2404204231006528E-8</v>
      </c>
      <c r="Q128" s="304">
        <f t="shared" si="27"/>
        <v>0.6</v>
      </c>
      <c r="R128" s="177">
        <f t="shared" si="28"/>
        <v>0.56181721907661608</v>
      </c>
      <c r="S128" s="799">
        <f t="shared" si="29"/>
        <v>-1</v>
      </c>
      <c r="T128" s="176">
        <f t="shared" si="30"/>
        <v>5</v>
      </c>
      <c r="U128" s="250">
        <f t="shared" si="31"/>
        <v>-0.43818278092338392</v>
      </c>
      <c r="V128" s="382">
        <f t="shared" si="32"/>
        <v>56.641950119509481</v>
      </c>
      <c r="W128" s="400"/>
      <c r="X128" s="157">
        <f t="shared" si="33"/>
        <v>44310</v>
      </c>
      <c r="Y128" s="383">
        <f t="shared" si="34"/>
        <v>55.817</v>
      </c>
      <c r="Z128" s="383">
        <f t="shared" si="35"/>
        <v>56.694587990284241</v>
      </c>
      <c r="AA128" s="384">
        <f t="shared" si="36"/>
        <v>60.938964824808792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6.9649637907807482E-2</v>
      </c>
      <c r="AD128" s="230">
        <f>(INDEX(Models!$BJ128:$BT128,,AH128)*(1-AF128)+INDEX(Models!$BJ128:$BT128,,AH128+1)*AF128-ERP_i)*AE128*Ramure*Pc/MaxiM</f>
        <v>9.2404204231006528E-8</v>
      </c>
      <c r="AE128" s="304">
        <f t="shared" si="38"/>
        <v>0.6</v>
      </c>
      <c r="AF128" s="177">
        <f t="shared" si="39"/>
        <v>0.56181721907661608</v>
      </c>
      <c r="AG128" s="799">
        <f t="shared" si="47"/>
        <v>-1</v>
      </c>
      <c r="AH128" s="176">
        <f t="shared" si="40"/>
        <v>5</v>
      </c>
      <c r="AI128" s="224">
        <f t="shared" si="41"/>
        <v>-0.43818278092338392</v>
      </c>
      <c r="AJ128" s="264" t="b">
        <f t="shared" si="42"/>
        <v>0</v>
      </c>
      <c r="AK128" s="264" t="b">
        <f t="shared" si="43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4"/>
        <v>44311</v>
      </c>
      <c r="B129" s="607">
        <v>24.481000000000002</v>
      </c>
      <c r="C129" s="388"/>
      <c r="D129" s="391">
        <f t="shared" si="24"/>
        <v>24.866381365128731</v>
      </c>
      <c r="E129" s="383">
        <f t="shared" si="45"/>
        <v>26.734188525792085</v>
      </c>
      <c r="F129" s="383">
        <f t="shared" si="25"/>
        <v>26.734188877124591</v>
      </c>
      <c r="G129" s="110">
        <f t="shared" si="46"/>
        <v>0.43165977691073509</v>
      </c>
      <c r="H129" s="412" t="b">
        <f>Wh_hp&gt;='2020'!Maxi_hp</f>
        <v>0</v>
      </c>
      <c r="I129" s="379">
        <f>IF(H129,Wh_hp,'2020'!Maxi_hp)</f>
        <v>53.779346350507211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1.5498087939291749E-2</v>
      </c>
      <c r="M129" s="832"/>
      <c r="N129" s="832"/>
      <c r="O129" s="48">
        <f>IF(t&lt;Tnet,'2020'!Resal+('2020'!Salim-'2020'!Resal)*(1-EXP(('2020'!Tnet-t)/('2020'!Tau_j))),Resal+(Salim-Resal)*(1-EXP((Tnet-t)/(Tau_j))))*Salcycl</f>
        <v>6.9865863288177427E-2</v>
      </c>
      <c r="P129" s="169">
        <f>(INDEX(Models!$BJ129:$BT129,,T129)*(1-R129)+INDEX(Models!$BJ129:$BT129,,T129+1)*R129-ERP_i)*Q129*Ramure*Pc/MaxiM</f>
        <v>6.9870872253252782E-8</v>
      </c>
      <c r="Q129" s="304">
        <f t="shared" si="27"/>
        <v>0.6</v>
      </c>
      <c r="R129" s="177">
        <f t="shared" si="28"/>
        <v>0.56412806058158194</v>
      </c>
      <c r="S129" s="799">
        <f t="shared" si="29"/>
        <v>-1</v>
      </c>
      <c r="T129" s="176">
        <f t="shared" si="30"/>
        <v>5</v>
      </c>
      <c r="U129" s="250">
        <f t="shared" si="31"/>
        <v>-0.43587193941841806</v>
      </c>
      <c r="V129" s="382">
        <f t="shared" si="32"/>
        <v>56.713643291984297</v>
      </c>
      <c r="W129" s="400"/>
      <c r="X129" s="157">
        <f t="shared" si="33"/>
        <v>44311</v>
      </c>
      <c r="Y129" s="383">
        <f t="shared" si="34"/>
        <v>24.481000000000002</v>
      </c>
      <c r="Z129" s="383">
        <f t="shared" si="35"/>
        <v>24.866381365128731</v>
      </c>
      <c r="AA129" s="384">
        <f t="shared" si="36"/>
        <v>26.734188525792085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6.9865863288177427E-2</v>
      </c>
      <c r="AD129" s="230">
        <f>(INDEX(Models!$BJ129:$BT129,,AH129)*(1-AF129)+INDEX(Models!$BJ129:$BT129,,AH129+1)*AF129-ERP_i)*AE129*Ramure*Pc/MaxiM</f>
        <v>6.9870872253252782E-8</v>
      </c>
      <c r="AE129" s="304">
        <f t="shared" si="38"/>
        <v>0.6</v>
      </c>
      <c r="AF129" s="177">
        <f t="shared" si="39"/>
        <v>0.56412806058158194</v>
      </c>
      <c r="AG129" s="799">
        <f t="shared" si="47"/>
        <v>-1</v>
      </c>
      <c r="AH129" s="176">
        <f t="shared" si="40"/>
        <v>5</v>
      </c>
      <c r="AI129" s="224">
        <f t="shared" si="41"/>
        <v>-0.43587193941841806</v>
      </c>
      <c r="AJ129" s="264" t="b">
        <f t="shared" si="42"/>
        <v>0</v>
      </c>
      <c r="AK129" s="264" t="b">
        <f t="shared" si="43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4"/>
        <v>44312</v>
      </c>
      <c r="B130" s="607">
        <v>7.1230000000000002</v>
      </c>
      <c r="C130" s="388"/>
      <c r="D130" s="391">
        <f t="shared" si="24"/>
        <v>7.2352693539989668</v>
      </c>
      <c r="E130" s="383">
        <f t="shared" si="45"/>
        <v>7.7805523166406276</v>
      </c>
      <c r="F130" s="383">
        <f t="shared" si="25"/>
        <v>7.7805523166406276</v>
      </c>
      <c r="G130" s="110">
        <f t="shared" si="46"/>
        <v>0.1254459921795682</v>
      </c>
      <c r="H130" s="412" t="b">
        <f>Wh_hp&gt;='2020'!Maxi_hp</f>
        <v>0</v>
      </c>
      <c r="I130" s="379">
        <f>IF(H130,Wh_hp,'2020'!Maxi_hp)</f>
        <v>50.898744630161893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1.5516955693835377E-2</v>
      </c>
      <c r="M130" s="832"/>
      <c r="N130" s="832"/>
      <c r="O130" s="48">
        <f>IF(t&lt;Tnet,'2020'!Resal+('2020'!Salim-'2020'!Resal)*(1-EXP(('2020'!Tnet-t)/('2020'!Tau_j))),Resal+(Salim-Resal)*(1-EXP((Tnet-t)/(Tau_j))))*Salcycl</f>
        <v>7.0082809092542026E-2</v>
      </c>
      <c r="P130" s="169">
        <f>(INDEX(Models!$BJ130:$BT130,,T130)*(1-R130)+INDEX(Models!$BJ130:$BT130,,T130+1)*R130-ERP_i)*Q130*Ramure*Pc/MaxiM</f>
        <v>5.0332620213393073E-8</v>
      </c>
      <c r="Q130" s="304">
        <f t="shared" si="27"/>
        <v>0.6</v>
      </c>
      <c r="R130" s="177">
        <f t="shared" si="28"/>
        <v>0.56651001735944084</v>
      </c>
      <c r="S130" s="799">
        <f t="shared" si="29"/>
        <v>-1</v>
      </c>
      <c r="T130" s="176">
        <f t="shared" si="30"/>
        <v>5</v>
      </c>
      <c r="U130" s="250">
        <f t="shared" si="31"/>
        <v>-0.4334899826405591</v>
      </c>
      <c r="V130" s="382">
        <f t="shared" si="32"/>
        <v>56.781404632557816</v>
      </c>
      <c r="W130" s="400"/>
      <c r="X130" s="157">
        <f t="shared" si="33"/>
        <v>44312</v>
      </c>
      <c r="Y130" s="383">
        <f t="shared" si="34"/>
        <v>7.1230000000000002</v>
      </c>
      <c r="Z130" s="383">
        <f t="shared" si="35"/>
        <v>7.2352693539989668</v>
      </c>
      <c r="AA130" s="384">
        <f t="shared" si="36"/>
        <v>7.7805523166406276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7.0082809092542026E-2</v>
      </c>
      <c r="AD130" s="230">
        <f>(INDEX(Models!$BJ130:$BT130,,AH130)*(1-AF130)+INDEX(Models!$BJ130:$BT130,,AH130+1)*AF130-ERP_i)*AE130*Ramure*Pc/MaxiM</f>
        <v>5.0332620213393073E-8</v>
      </c>
      <c r="AE130" s="304">
        <f t="shared" si="38"/>
        <v>0.6</v>
      </c>
      <c r="AF130" s="177">
        <f t="shared" si="39"/>
        <v>0.56651001735944084</v>
      </c>
      <c r="AG130" s="799">
        <f t="shared" si="47"/>
        <v>-1</v>
      </c>
      <c r="AH130" s="176">
        <f t="shared" si="40"/>
        <v>5</v>
      </c>
      <c r="AI130" s="224">
        <f t="shared" si="41"/>
        <v>-0.4334899826405591</v>
      </c>
      <c r="AJ130" s="264" t="b">
        <f t="shared" si="42"/>
        <v>0</v>
      </c>
      <c r="AK130" s="264" t="b">
        <f t="shared" si="43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4"/>
        <v>44313</v>
      </c>
      <c r="B131" s="607">
        <v>19.788</v>
      </c>
      <c r="C131" s="388"/>
      <c r="D131" s="391">
        <f t="shared" si="24"/>
        <v>20.10027430560773</v>
      </c>
      <c r="E131" s="383">
        <f t="shared" si="45"/>
        <v>21.620183597887653</v>
      </c>
      <c r="F131" s="383">
        <f t="shared" si="25"/>
        <v>21.620183648177299</v>
      </c>
      <c r="G131" s="110">
        <f t="shared" si="46"/>
        <v>0.34810001727436413</v>
      </c>
      <c r="H131" s="412" t="b">
        <f>Wh_hp&gt;='2020'!Maxi_hp</f>
        <v>0</v>
      </c>
      <c r="I131" s="379">
        <f>IF(H131,Wh_hp,'2020'!Maxi_hp)</f>
        <v>28.441678855068353</v>
      </c>
      <c r="J131" s="85">
        <f>IF(H131,An,'2020'!An_max)</f>
        <v>2018</v>
      </c>
      <c r="K131" s="197">
        <f t="shared" si="26"/>
        <v>44313</v>
      </c>
      <c r="L131" s="147">
        <f>IF(t&lt;Tvie,1-EXP((T0-t)*PertePVj)+'2020'!Pspv,1-EXP((T0-t)*PertePVj)+Pspv)</f>
        <v>1.5535823086782918E-2</v>
      </c>
      <c r="M131" s="832"/>
      <c r="N131" s="832"/>
      <c r="O131" s="48">
        <f>IF(t&lt;Tnet,'2020'!Resal+('2020'!Salim-'2020'!Resal)*(1-EXP(('2020'!Tnet-t)/('2020'!Tau_j))),Resal+(Salim-Resal)*(1-EXP((Tnet-t)/(Tau_j))))*Salcycl</f>
        <v>7.0300480354312092E-2</v>
      </c>
      <c r="P131" s="169">
        <f>(INDEX(Models!$BJ131:$BT131,,T131)*(1-R131)+INDEX(Models!$BJ131:$BT131,,T131+1)*R131-ERP_i)*Q131*Ramure*Pc/MaxiM</f>
        <v>3.3851032986753686E-8</v>
      </c>
      <c r="Q131" s="304">
        <f t="shared" si="27"/>
        <v>0.6</v>
      </c>
      <c r="R131" s="177">
        <f t="shared" si="28"/>
        <v>0.56896431834657579</v>
      </c>
      <c r="S131" s="799">
        <f t="shared" si="29"/>
        <v>-1</v>
      </c>
      <c r="T131" s="176">
        <f t="shared" si="30"/>
        <v>5</v>
      </c>
      <c r="U131" s="250">
        <f t="shared" si="31"/>
        <v>-0.43103568165342415</v>
      </c>
      <c r="V131" s="382">
        <f t="shared" si="32"/>
        <v>56.845729371473205</v>
      </c>
      <c r="W131" s="400"/>
      <c r="X131" s="157">
        <f t="shared" si="33"/>
        <v>44313</v>
      </c>
      <c r="Y131" s="383">
        <f t="shared" si="34"/>
        <v>19.788</v>
      </c>
      <c r="Z131" s="383">
        <f t="shared" si="35"/>
        <v>20.10027430560773</v>
      </c>
      <c r="AA131" s="384">
        <f t="shared" si="36"/>
        <v>21.620183597887653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7.0300480354312092E-2</v>
      </c>
      <c r="AD131" s="230">
        <f>(INDEX(Models!$BJ131:$BT131,,AH131)*(1-AF131)+INDEX(Models!$BJ131:$BT131,,AH131+1)*AF131-ERP_i)*AE131*Ramure*Pc/MaxiM</f>
        <v>3.3851032986753686E-8</v>
      </c>
      <c r="AE131" s="304">
        <f t="shared" si="38"/>
        <v>0.6</v>
      </c>
      <c r="AF131" s="177">
        <f t="shared" si="39"/>
        <v>0.56896431834657579</v>
      </c>
      <c r="AG131" s="799">
        <f t="shared" si="47"/>
        <v>-1</v>
      </c>
      <c r="AH131" s="176">
        <f t="shared" si="40"/>
        <v>5</v>
      </c>
      <c r="AI131" s="224">
        <f t="shared" si="41"/>
        <v>-0.43103568165342415</v>
      </c>
      <c r="AJ131" s="264" t="b">
        <f t="shared" si="42"/>
        <v>0</v>
      </c>
      <c r="AK131" s="264" t="b">
        <f t="shared" si="43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4"/>
        <v>44314</v>
      </c>
      <c r="B132" s="607">
        <v>15.76</v>
      </c>
      <c r="C132" s="388"/>
      <c r="D132" s="391">
        <f t="shared" si="24"/>
        <v>16.009015271647058</v>
      </c>
      <c r="E132" s="383">
        <f t="shared" si="45"/>
        <v>17.223604579785736</v>
      </c>
      <c r="F132" s="383">
        <f t="shared" si="25"/>
        <v>17.223604579785736</v>
      </c>
      <c r="G132" s="110">
        <f t="shared" si="46"/>
        <v>0.27694253003379105</v>
      </c>
      <c r="H132" s="412" t="b">
        <f>Wh_hp&gt;='2020'!Maxi_hp</f>
        <v>0</v>
      </c>
      <c r="I132" s="379">
        <f>IF(H132,Wh_hp,'2020'!Maxi_hp)</f>
        <v>48.436349706395312</v>
      </c>
      <c r="J132" s="85">
        <f>IF(H132,An,'2020'!An_max)</f>
        <v>2018</v>
      </c>
      <c r="K132" s="197">
        <f t="shared" si="26"/>
        <v>44314</v>
      </c>
      <c r="L132" s="147">
        <f>IF(t&lt;Tvie,1-EXP((T0-t)*PertePVj)+'2020'!Pspv,1-EXP((T0-t)*PertePVj)+Pspv)</f>
        <v>1.5554690118141035E-2</v>
      </c>
      <c r="M132" s="832"/>
      <c r="N132" s="832"/>
      <c r="O132" s="48">
        <f>IF(t&lt;Tnet,'2020'!Resal+('2020'!Salim-'2020'!Resal)*(1-EXP(('2020'!Tnet-t)/('2020'!Tau_j))),Resal+(Salim-Resal)*(1-EXP((Tnet-t)/(Tau_j))))*Salcycl</f>
        <v>7.0518880209556462E-2</v>
      </c>
      <c r="P132" s="169">
        <f>(INDEX(Models!$BJ132:$BT132,,T132)*(1-R132)+INDEX(Models!$BJ132:$BT132,,T132+1)*R132-ERP_i)*Q132*Ramure*Pc/MaxiM</f>
        <v>2.0495704806275199E-8</v>
      </c>
      <c r="Q132" s="304">
        <f t="shared" si="27"/>
        <v>0.6</v>
      </c>
      <c r="R132" s="177">
        <f t="shared" si="28"/>
        <v>0.57149214238945323</v>
      </c>
      <c r="S132" s="799">
        <f t="shared" si="29"/>
        <v>-1</v>
      </c>
      <c r="T132" s="176">
        <f t="shared" si="30"/>
        <v>5</v>
      </c>
      <c r="U132" s="250">
        <f t="shared" si="31"/>
        <v>-0.42850785761054683</v>
      </c>
      <c r="V132" s="382">
        <f t="shared" si="32"/>
        <v>56.90711237116502</v>
      </c>
      <c r="W132" s="400"/>
      <c r="X132" s="157">
        <f t="shared" si="33"/>
        <v>44314</v>
      </c>
      <c r="Y132" s="383">
        <f t="shared" si="34"/>
        <v>15.760000000000002</v>
      </c>
      <c r="Z132" s="383">
        <f t="shared" si="35"/>
        <v>16.009015271647058</v>
      </c>
      <c r="AA132" s="384">
        <f t="shared" si="36"/>
        <v>17.223604579785736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7.0518880209556462E-2</v>
      </c>
      <c r="AD132" s="230">
        <f>(INDEX(Models!$BJ132:$BT132,,AH132)*(1-AF132)+INDEX(Models!$BJ132:$BT132,,AH132+1)*AF132-ERP_i)*AE132*Ramure*Pc/MaxiM</f>
        <v>2.0495704806275199E-8</v>
      </c>
      <c r="AE132" s="304">
        <f t="shared" si="38"/>
        <v>0.6</v>
      </c>
      <c r="AF132" s="177">
        <f t="shared" si="39"/>
        <v>0.57149214238945323</v>
      </c>
      <c r="AG132" s="799">
        <f t="shared" si="47"/>
        <v>-1</v>
      </c>
      <c r="AH132" s="176">
        <f t="shared" si="40"/>
        <v>5</v>
      </c>
      <c r="AI132" s="224">
        <f t="shared" si="41"/>
        <v>-0.42850785761054683</v>
      </c>
      <c r="AJ132" s="264" t="b">
        <f t="shared" si="42"/>
        <v>0</v>
      </c>
      <c r="AK132" s="264" t="b">
        <f t="shared" si="43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4"/>
        <v>44315</v>
      </c>
      <c r="B133" s="607">
        <v>23.731000000000002</v>
      </c>
      <c r="C133" s="388"/>
      <c r="D133" s="391">
        <f t="shared" si="24"/>
        <v>24.106422743550212</v>
      </c>
      <c r="E133" s="383">
        <f t="shared" si="45"/>
        <v>25.941470756414535</v>
      </c>
      <c r="F133" s="383">
        <f t="shared" si="25"/>
        <v>25.94147080110535</v>
      </c>
      <c r="G133" s="110">
        <f t="shared" si="46"/>
        <v>0.41658146519910566</v>
      </c>
      <c r="H133" s="412" t="b">
        <f>Wh_hp&gt;='2020'!Maxi_hp</f>
        <v>0</v>
      </c>
      <c r="I133" s="379">
        <f>IF(H133,Wh_hp,'2020'!Maxi_hp)</f>
        <v>49.060314253198726</v>
      </c>
      <c r="J133" s="85">
        <f>IF(H133,An,'2020'!An_max)</f>
        <v>2018</v>
      </c>
      <c r="K133" s="197">
        <f t="shared" si="26"/>
        <v>44315</v>
      </c>
      <c r="L133" s="147">
        <f>IF(t&lt;Tvie,1-EXP((T0-t)*PertePVj)+'2020'!Pspv,1-EXP((T0-t)*PertePVj)+Pspv)</f>
        <v>1.5573556787916831E-2</v>
      </c>
      <c r="M133" s="832"/>
      <c r="N133" s="832"/>
      <c r="O133" s="48">
        <f>IF(t&lt;Tnet,'2020'!Resal+('2020'!Salim-'2020'!Resal)*(1-EXP(('2020'!Tnet-t)/('2020'!Tau_j))),Resal+(Salim-Resal)*(1-EXP((Tnet-t)/(Tau_j))))*Salcycl</f>
        <v>7.0738009810433475E-2</v>
      </c>
      <c r="P133" s="169">
        <f>(INDEX(Models!$BJ133:$BT133,,T133)*(1-R133)+INDEX(Models!$BJ133:$BT133,,T133+1)*R133-ERP_i)*Q133*Ramure*Pc/MaxiM</f>
        <v>1.0344087434677495E-8</v>
      </c>
      <c r="Q133" s="304">
        <f t="shared" si="27"/>
        <v>0.6</v>
      </c>
      <c r="R133" s="177">
        <f t="shared" si="28"/>
        <v>0.57409461215058522</v>
      </c>
      <c r="S133" s="799">
        <f t="shared" si="29"/>
        <v>-1</v>
      </c>
      <c r="T133" s="176">
        <f t="shared" si="30"/>
        <v>5</v>
      </c>
      <c r="U133" s="250">
        <f t="shared" si="31"/>
        <v>-0.42590538784941478</v>
      </c>
      <c r="V133" s="382">
        <f t="shared" si="32"/>
        <v>56.966048127141022</v>
      </c>
      <c r="W133" s="400"/>
      <c r="X133" s="157">
        <f t="shared" si="33"/>
        <v>44315</v>
      </c>
      <c r="Y133" s="383">
        <f t="shared" si="34"/>
        <v>23.731000000000002</v>
      </c>
      <c r="Z133" s="383">
        <f t="shared" si="35"/>
        <v>24.106422743550212</v>
      </c>
      <c r="AA133" s="384">
        <f t="shared" si="36"/>
        <v>25.941470756414535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7.0738009810433475E-2</v>
      </c>
      <c r="AD133" s="230">
        <f>(INDEX(Models!$BJ133:$BT133,,AH133)*(1-AF133)+INDEX(Models!$BJ133:$BT133,,AH133+1)*AF133-ERP_i)*AE133*Ramure*Pc/MaxiM</f>
        <v>1.0344087434677495E-8</v>
      </c>
      <c r="AE133" s="304">
        <f t="shared" si="38"/>
        <v>0.6</v>
      </c>
      <c r="AF133" s="177">
        <f t="shared" si="39"/>
        <v>0.57409461215058522</v>
      </c>
      <c r="AG133" s="799">
        <f t="shared" si="47"/>
        <v>-1</v>
      </c>
      <c r="AH133" s="176">
        <f t="shared" si="40"/>
        <v>5</v>
      </c>
      <c r="AI133" s="224">
        <f t="shared" si="41"/>
        <v>-0.42590538784941478</v>
      </c>
      <c r="AJ133" s="264" t="b">
        <f t="shared" si="42"/>
        <v>0</v>
      </c>
      <c r="AK133" s="264" t="b">
        <f t="shared" si="43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4"/>
        <v>44316</v>
      </c>
      <c r="B134" s="607">
        <v>14.282</v>
      </c>
      <c r="C134" s="388"/>
      <c r="D134" s="391">
        <f t="shared" si="24"/>
        <v>14.508218277757619</v>
      </c>
      <c r="E134" s="383">
        <f t="shared" si="45"/>
        <v>15.616318982496287</v>
      </c>
      <c r="F134" s="383">
        <f t="shared" si="25"/>
        <v>15.616318982496287</v>
      </c>
      <c r="G134" s="110">
        <f t="shared" si="46"/>
        <v>0.25046020452510404</v>
      </c>
      <c r="H134" s="412" t="b">
        <f>Wh_hp&gt;='2020'!Maxi_hp</f>
        <v>0</v>
      </c>
      <c r="I134" s="379">
        <f>IF(H134,Wh_hp,'2020'!Maxi_hp)</f>
        <v>62.303261019981171</v>
      </c>
      <c r="J134" s="85">
        <f>IF(H134,An,'2020'!An_max)</f>
        <v>2018</v>
      </c>
      <c r="K134" s="197">
        <f t="shared" si="26"/>
        <v>44316</v>
      </c>
      <c r="L134" s="147">
        <f>IF(t&lt;Tvie,1-EXP((T0-t)*PertePVj)+'2020'!Pspv,1-EXP((T0-t)*PertePVj)+Pspv)</f>
        <v>1.5592423096117303E-2</v>
      </c>
      <c r="M134" s="832"/>
      <c r="N134" s="832"/>
      <c r="O134" s="48">
        <f>IF(t&lt;Tnet,'2020'!Resal+('2020'!Salim-'2020'!Resal)*(1-EXP(('2020'!Tnet-t)/('2020'!Tau_j))),Resal+(Salim-Resal)*(1-EXP((Tnet-t)/(Tau_j))))*Salcycl</f>
        <v>7.0957868239032218E-2</v>
      </c>
      <c r="P134" s="169">
        <f>(INDEX(Models!$BJ134:$BT134,,T134)*(1-R134)+INDEX(Models!$BJ134:$BT134,,T134+1)*R134-ERP_i)*Q134*Ramure*Pc/MaxiM</f>
        <v>3.4813148201427617E-9</v>
      </c>
      <c r="Q134" s="304">
        <f t="shared" si="27"/>
        <v>0.6</v>
      </c>
      <c r="R134" s="177">
        <f t="shared" si="28"/>
        <v>0.57677278780786434</v>
      </c>
      <c r="S134" s="799">
        <f t="shared" si="29"/>
        <v>-1</v>
      </c>
      <c r="T134" s="176">
        <f t="shared" si="30"/>
        <v>5</v>
      </c>
      <c r="U134" s="250">
        <f t="shared" si="31"/>
        <v>-0.42322721219213566</v>
      </c>
      <c r="V134" s="382">
        <f t="shared" si="32"/>
        <v>57.023030773930202</v>
      </c>
      <c r="W134" s="400"/>
      <c r="X134" s="157">
        <f t="shared" si="33"/>
        <v>44316</v>
      </c>
      <c r="Y134" s="383">
        <f t="shared" si="34"/>
        <v>14.282</v>
      </c>
      <c r="Z134" s="383">
        <f t="shared" si="35"/>
        <v>14.508218277757619</v>
      </c>
      <c r="AA134" s="384">
        <f t="shared" si="36"/>
        <v>15.616318982496287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7.0957868239032218E-2</v>
      </c>
      <c r="AD134" s="230">
        <f>(INDEX(Models!$BJ134:$BT134,,AH134)*(1-AF134)+INDEX(Models!$BJ134:$BT134,,AH134+1)*AF134-ERP_i)*AE134*Ramure*Pc/MaxiM</f>
        <v>3.4813148201427617E-9</v>
      </c>
      <c r="AE134" s="304">
        <f t="shared" si="38"/>
        <v>0.6</v>
      </c>
      <c r="AF134" s="177">
        <f t="shared" si="39"/>
        <v>0.57677278780786434</v>
      </c>
      <c r="AG134" s="799">
        <f t="shared" si="47"/>
        <v>-1</v>
      </c>
      <c r="AH134" s="176">
        <f t="shared" si="40"/>
        <v>5</v>
      </c>
      <c r="AI134" s="224">
        <f t="shared" si="41"/>
        <v>-0.42322721219213566</v>
      </c>
      <c r="AJ134" s="264" t="b">
        <f t="shared" si="42"/>
        <v>0</v>
      </c>
      <c r="AK134" s="264" t="b">
        <f t="shared" si="43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4"/>
        <v>44317</v>
      </c>
      <c r="B135" s="607">
        <v>17.148</v>
      </c>
      <c r="C135" s="388"/>
      <c r="D135" s="391">
        <f t="shared" si="24"/>
        <v>17.419947840853172</v>
      </c>
      <c r="E135" s="383">
        <f t="shared" si="45"/>
        <v>18.754892030965038</v>
      </c>
      <c r="F135" s="383">
        <f t="shared" si="25"/>
        <v>18.754892030965038</v>
      </c>
      <c r="G135" s="110">
        <f t="shared" si="46"/>
        <v>0.30043679695085124</v>
      </c>
      <c r="H135" s="412" t="b">
        <f>Wh_hp&gt;='2020'!Maxi_hp</f>
        <v>0</v>
      </c>
      <c r="I135" s="379">
        <f>IF(H135,Wh_hp,'2020'!Maxi_hp)</f>
        <v>58.712576893324226</v>
      </c>
      <c r="J135" s="85">
        <f>IF(H135,An,'2020'!An_max)</f>
        <v>2018</v>
      </c>
      <c r="K135" s="197">
        <f t="shared" si="26"/>
        <v>44317</v>
      </c>
      <c r="L135" s="147">
        <f>IF(t&lt;Tvie,1-EXP((T0-t)*PertePVj)+'2020'!Pspv,1-EXP((T0-t)*PertePVj)+Pspv)</f>
        <v>1.5611289042749221E-2</v>
      </c>
      <c r="M135" s="832"/>
      <c r="N135" s="832"/>
      <c r="O135" s="48">
        <f>IF(t&lt;Tnet,'2020'!Resal+('2020'!Salim-'2020'!Resal)*(1-EXP(('2020'!Tnet-t)/('2020'!Tau_j))),Resal+(Salim-Resal)*(1-EXP((Tnet-t)/(Tau_j))))*Salcycl</f>
        <v>7.1178452422323735E-2</v>
      </c>
      <c r="P135" s="169">
        <f>(INDEX(Models!$BJ135:$BT135,,T135)*(1-R135)+INDEX(Models!$BJ135:$BT135,,T135+1)*R135-ERP_i)*Q135*Ramure*Pc/MaxiM</f>
        <v>0</v>
      </c>
      <c r="Q135" s="304">
        <f t="shared" si="27"/>
        <v>0.6</v>
      </c>
      <c r="R135" s="177">
        <f t="shared" si="28"/>
        <v>0.57952766056592431</v>
      </c>
      <c r="S135" s="799">
        <f t="shared" si="29"/>
        <v>-1</v>
      </c>
      <c r="T135" s="176">
        <f t="shared" si="30"/>
        <v>5</v>
      </c>
      <c r="U135" s="250">
        <f t="shared" si="31"/>
        <v>-0.42047233943407564</v>
      </c>
      <c r="V135" s="382">
        <f t="shared" si="32"/>
        <v>57.076896618643083</v>
      </c>
      <c r="W135" s="400"/>
      <c r="X135" s="157">
        <f t="shared" si="33"/>
        <v>44317</v>
      </c>
      <c r="Y135" s="383">
        <f t="shared" si="34"/>
        <v>17.148</v>
      </c>
      <c r="Z135" s="383">
        <f t="shared" si="35"/>
        <v>17.419947840853172</v>
      </c>
      <c r="AA135" s="384">
        <f t="shared" si="36"/>
        <v>18.754892030965038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7.1178452422323735E-2</v>
      </c>
      <c r="AD135" s="230">
        <f>(INDEX(Models!$BJ135:$BT135,,AH135)*(1-AF135)+INDEX(Models!$BJ135:$BT135,,AH135+1)*AF135-ERP_i)*AE135*Ramure*Pc/MaxiM</f>
        <v>0</v>
      </c>
      <c r="AE135" s="304">
        <f t="shared" si="38"/>
        <v>0.6</v>
      </c>
      <c r="AF135" s="177">
        <f t="shared" si="39"/>
        <v>0.57952766056592431</v>
      </c>
      <c r="AG135" s="799">
        <f t="shared" si="47"/>
        <v>-1</v>
      </c>
      <c r="AH135" s="176">
        <f t="shared" si="40"/>
        <v>5</v>
      </c>
      <c r="AI135" s="224">
        <f t="shared" si="41"/>
        <v>-0.42047233943407564</v>
      </c>
      <c r="AJ135" s="264" t="b">
        <f t="shared" si="42"/>
        <v>0</v>
      </c>
      <c r="AK135" s="264" t="b">
        <f t="shared" si="43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4"/>
        <v>44318</v>
      </c>
      <c r="B136" s="607">
        <v>44.413000000000004</v>
      </c>
      <c r="C136" s="388"/>
      <c r="D136" s="391">
        <f t="shared" si="24"/>
        <v>45.118204513068854</v>
      </c>
      <c r="E136" s="383">
        <f t="shared" si="45"/>
        <v>48.58732792238655</v>
      </c>
      <c r="F136" s="383">
        <f t="shared" si="25"/>
        <v>48.58732792238655</v>
      </c>
      <c r="G136" s="110">
        <f t="shared" si="46"/>
        <v>0.77745295137942516</v>
      </c>
      <c r="H136" s="412" t="b">
        <f>Wh_hp&gt;='2020'!Maxi_hp</f>
        <v>1</v>
      </c>
      <c r="I136" s="379">
        <f>IF(H136,Wh_hp,'2020'!Maxi_hp)</f>
        <v>48.58732792238655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1.563015462781947E-2</v>
      </c>
      <c r="M136" s="832"/>
      <c r="N136" s="832"/>
      <c r="O136" s="48">
        <f>IF(t&lt;Tnet,'2020'!Resal+('2020'!Salim-'2020'!Resal)*(1-EXP(('2020'!Tnet-t)/('2020'!Tau_j))),Resal+(Salim-Resal)*(1-EXP((Tnet-t)/(Tau_j))))*Salcycl</f>
        <v>7.1399757048983645E-2</v>
      </c>
      <c r="P136" s="169">
        <f>(INDEX(Models!$BJ136:$BT136,,T136)*(1-R136)+INDEX(Models!$BJ136:$BT136,,T136+1)*R136-ERP_i)*Q136*Ramure*Pc/MaxiM</f>
        <v>0</v>
      </c>
      <c r="Q136" s="304">
        <f t="shared" si="27"/>
        <v>0.6</v>
      </c>
      <c r="R136" s="177">
        <f t="shared" si="28"/>
        <v>0.58236014600135944</v>
      </c>
      <c r="S136" s="799">
        <f t="shared" si="29"/>
        <v>-1</v>
      </c>
      <c r="T136" s="176">
        <f t="shared" si="30"/>
        <v>5</v>
      </c>
      <c r="U136" s="250">
        <f t="shared" si="31"/>
        <v>-0.41763985399864056</v>
      </c>
      <c r="V136" s="382">
        <f t="shared" si="32"/>
        <v>57.126286447557462</v>
      </c>
      <c r="W136" s="400"/>
      <c r="X136" s="157">
        <f t="shared" si="33"/>
        <v>44318</v>
      </c>
      <c r="Y136" s="383">
        <f t="shared" si="34"/>
        <v>44.413000000000004</v>
      </c>
      <c r="Z136" s="383">
        <f t="shared" si="35"/>
        <v>45.118204513068854</v>
      </c>
      <c r="AA136" s="384">
        <f t="shared" si="36"/>
        <v>48.58732792238655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7.1399757048983645E-2</v>
      </c>
      <c r="AD136" s="230">
        <f>(INDEX(Models!$BJ136:$BT136,,AH136)*(1-AF136)+INDEX(Models!$BJ136:$BT136,,AH136+1)*AF136-ERP_i)*AE136*Ramure*Pc/MaxiM</f>
        <v>0</v>
      </c>
      <c r="AE136" s="304">
        <f t="shared" si="38"/>
        <v>0.6</v>
      </c>
      <c r="AF136" s="177">
        <f t="shared" si="39"/>
        <v>0.58236014600135944</v>
      </c>
      <c r="AG136" s="799">
        <f t="shared" si="47"/>
        <v>-1</v>
      </c>
      <c r="AH136" s="176">
        <f t="shared" si="40"/>
        <v>5</v>
      </c>
      <c r="AI136" s="224">
        <f t="shared" si="41"/>
        <v>-0.41763985399864056</v>
      </c>
      <c r="AJ136" s="264" t="b">
        <f t="shared" si="42"/>
        <v>0</v>
      </c>
      <c r="AK136" s="264" t="b">
        <f t="shared" si="43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4"/>
        <v>44319</v>
      </c>
      <c r="B137" s="607">
        <v>55.44</v>
      </c>
      <c r="C137" s="388"/>
      <c r="D137" s="391">
        <f t="shared" si="24"/>
        <v>56.321374304546325</v>
      </c>
      <c r="E137" s="383">
        <f t="shared" si="45"/>
        <v>60.66641025918041</v>
      </c>
      <c r="F137" s="383">
        <f t="shared" si="25"/>
        <v>60.66641025918041</v>
      </c>
      <c r="G137" s="110">
        <f t="shared" si="46"/>
        <v>0.96971560998411144</v>
      </c>
      <c r="H137" s="412" t="b">
        <f>Wh_hp&gt;='2020'!Maxi_hp</f>
        <v>1</v>
      </c>
      <c r="I137" s="379">
        <f>IF(H137,Wh_hp,'2020'!Maxi_hp)</f>
        <v>60.66641025918041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1.5649019851335266E-2</v>
      </c>
      <c r="M137" s="832"/>
      <c r="N137" s="832"/>
      <c r="O137" s="48">
        <f>IF(t&lt;Tnet,'2020'!Resal+('2020'!Salim-'2020'!Resal)*(1-EXP(('2020'!Tnet-t)/('2020'!Tau_j))),Resal+(Salim-Resal)*(1-EXP((Tnet-t)/(Tau_j))))*Salcycl</f>
        <v>7.162177448889967E-2</v>
      </c>
      <c r="P137" s="169">
        <f>(INDEX(Models!$BJ137:$BT137,,T137)*(1-R137)+INDEX(Models!$BJ137:$BT137,,T137+1)*R137-ERP_i)*Q137*Ramure*Pc/MaxiM</f>
        <v>0</v>
      </c>
      <c r="Q137" s="304">
        <f t="shared" si="27"/>
        <v>0.6</v>
      </c>
      <c r="R137" s="177">
        <f t="shared" si="28"/>
        <v>0.58527107726692318</v>
      </c>
      <c r="S137" s="799">
        <f t="shared" si="29"/>
        <v>-1</v>
      </c>
      <c r="T137" s="176">
        <f t="shared" si="30"/>
        <v>5</v>
      </c>
      <c r="U137" s="250">
        <f t="shared" si="31"/>
        <v>-0.41472892273307677</v>
      </c>
      <c r="V137" s="382">
        <f t="shared" si="32"/>
        <v>57.171401005814857</v>
      </c>
      <c r="W137" s="400"/>
      <c r="X137" s="157">
        <f t="shared" si="33"/>
        <v>44319</v>
      </c>
      <c r="Y137" s="383">
        <f t="shared" si="34"/>
        <v>55.44</v>
      </c>
      <c r="Z137" s="383">
        <f t="shared" si="35"/>
        <v>56.321374304546325</v>
      </c>
      <c r="AA137" s="384">
        <f t="shared" si="36"/>
        <v>60.66641025918041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7.162177448889967E-2</v>
      </c>
      <c r="AD137" s="230">
        <f>(INDEX(Models!$BJ137:$BT137,,AH137)*(1-AF137)+INDEX(Models!$BJ137:$BT137,,AH137+1)*AF137-ERP_i)*AE137*Ramure*Pc/MaxiM</f>
        <v>0</v>
      </c>
      <c r="AE137" s="304">
        <f t="shared" si="38"/>
        <v>0.6</v>
      </c>
      <c r="AF137" s="177">
        <f t="shared" si="39"/>
        <v>0.58527107726692318</v>
      </c>
      <c r="AG137" s="799">
        <f t="shared" si="47"/>
        <v>-1</v>
      </c>
      <c r="AH137" s="176">
        <f t="shared" si="40"/>
        <v>5</v>
      </c>
      <c r="AI137" s="224">
        <f t="shared" si="41"/>
        <v>-0.41472892273307677</v>
      </c>
      <c r="AJ137" s="264" t="b">
        <f t="shared" si="42"/>
        <v>0</v>
      </c>
      <c r="AK137" s="264" t="b">
        <f t="shared" si="43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4"/>
        <v>44320</v>
      </c>
      <c r="B138" s="607">
        <v>49.118000000000002</v>
      </c>
      <c r="C138" s="388"/>
      <c r="D138" s="391">
        <f t="shared" si="24"/>
        <v>49.899824700623412</v>
      </c>
      <c r="E138" s="383">
        <f t="shared" si="45"/>
        <v>53.762353847555971</v>
      </c>
      <c r="F138" s="383">
        <f t="shared" si="25"/>
        <v>53.762353847555971</v>
      </c>
      <c r="G138" s="110">
        <f t="shared" si="46"/>
        <v>0.85851956866796075</v>
      </c>
      <c r="H138" s="412" t="b">
        <f>Wh_hp&gt;='2020'!Maxi_hp</f>
        <v>1</v>
      </c>
      <c r="I138" s="379">
        <f>IF(H138,Wh_hp,'2020'!Maxi_hp)</f>
        <v>53.762353847555971</v>
      </c>
      <c r="J138" s="85">
        <f>IF(H138,An,'2020'!An_max)</f>
        <v>2021</v>
      </c>
      <c r="K138" s="197">
        <f t="shared" si="26"/>
        <v>44320</v>
      </c>
      <c r="L138" s="147">
        <f>IF(t&lt;Tvie,1-EXP((T0-t)*PertePVj)+'2020'!Pspv,1-EXP((T0-t)*PertePVj)+Pspv)</f>
        <v>1.5667884713303271E-2</v>
      </c>
      <c r="M138" s="832"/>
      <c r="N138" s="832"/>
      <c r="O138" s="48">
        <f>IF(t&lt;Tnet,'2020'!Resal+('2020'!Salim-'2020'!Resal)*(1-EXP(('2020'!Tnet-t)/('2020'!Tau_j))),Resal+(Salim-Resal)*(1-EXP((Tnet-t)/(Tau_j))))*Salcycl</f>
        <v>7.1844494716225074E-2</v>
      </c>
      <c r="P138" s="169">
        <f>(INDEX(Models!$BJ138:$BT138,,T138)*(1-R138)+INDEX(Models!$BJ138:$BT138,,T138+1)*R138-ERP_i)*Q138*Ramure*Pc/MaxiM</f>
        <v>0</v>
      </c>
      <c r="Q138" s="304">
        <f t="shared" si="27"/>
        <v>0.6</v>
      </c>
      <c r="R138" s="177">
        <f t="shared" si="28"/>
        <v>0.58826119818321365</v>
      </c>
      <c r="S138" s="799">
        <f t="shared" si="29"/>
        <v>-1</v>
      </c>
      <c r="T138" s="176">
        <f t="shared" si="30"/>
        <v>5</v>
      </c>
      <c r="U138" s="250">
        <f t="shared" si="31"/>
        <v>-0.41173880181678635</v>
      </c>
      <c r="V138" s="382">
        <f t="shared" si="32"/>
        <v>57.212440802262925</v>
      </c>
      <c r="W138" s="400"/>
      <c r="X138" s="157">
        <f t="shared" si="33"/>
        <v>44320</v>
      </c>
      <c r="Y138" s="383">
        <f t="shared" si="34"/>
        <v>49.118000000000002</v>
      </c>
      <c r="Z138" s="383">
        <f t="shared" si="35"/>
        <v>49.899824700623412</v>
      </c>
      <c r="AA138" s="384">
        <f t="shared" si="36"/>
        <v>53.762353847555971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7.1844494716225074E-2</v>
      </c>
      <c r="AD138" s="230">
        <f>(INDEX(Models!$BJ138:$BT138,,AH138)*(1-AF138)+INDEX(Models!$BJ138:$BT138,,AH138+1)*AF138-ERP_i)*AE138*Ramure*Pc/MaxiM</f>
        <v>0</v>
      </c>
      <c r="AE138" s="304">
        <f t="shared" si="38"/>
        <v>0.6</v>
      </c>
      <c r="AF138" s="177">
        <f t="shared" si="39"/>
        <v>0.58826119818321365</v>
      </c>
      <c r="AG138" s="799">
        <f t="shared" si="47"/>
        <v>-1</v>
      </c>
      <c r="AH138" s="176">
        <f t="shared" si="40"/>
        <v>5</v>
      </c>
      <c r="AI138" s="224">
        <f t="shared" si="41"/>
        <v>-0.41173880181678635</v>
      </c>
      <c r="AJ138" s="264" t="b">
        <f t="shared" si="42"/>
        <v>0</v>
      </c>
      <c r="AK138" s="264" t="b">
        <f t="shared" si="43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4"/>
        <v>44321</v>
      </c>
      <c r="B139" s="607">
        <v>31.247</v>
      </c>
      <c r="C139" s="388"/>
      <c r="D139" s="391">
        <f t="shared" si="24"/>
        <v>31.744975468977881</v>
      </c>
      <c r="E139" s="383">
        <f t="shared" si="45"/>
        <v>34.210451010514383</v>
      </c>
      <c r="F139" s="383">
        <f t="shared" si="25"/>
        <v>34.210451010514383</v>
      </c>
      <c r="G139" s="110">
        <f t="shared" si="46"/>
        <v>0.54580287987054987</v>
      </c>
      <c r="H139" s="412" t="b">
        <f>Wh_hp&gt;='2020'!Maxi_hp</f>
        <v>0</v>
      </c>
      <c r="I139" s="379">
        <f>IF(H139,Wh_hp,'2020'!Maxi_hp)</f>
        <v>62.195002367063097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1.5686749213730478E-2</v>
      </c>
      <c r="M139" s="832"/>
      <c r="N139" s="832"/>
      <c r="O139" s="48">
        <f>IF(t&lt;Tnet,'2020'!Resal+('2020'!Salim-'2020'!Resal)*(1-EXP(('2020'!Tnet-t)/('2020'!Tau_j))),Resal+(Salim-Resal)*(1-EXP((Tnet-t)/(Tau_j))))*Salcycl</f>
        <v>7.2067905236874924E-2</v>
      </c>
      <c r="P139" s="169">
        <f>(INDEX(Models!$BJ139:$BT139,,T139)*(1-R139)+INDEX(Models!$BJ139:$BT139,,T139+1)*R139-ERP_i)*Q139*Ramure*Pc/MaxiM</f>
        <v>1.1917496236971569E-20</v>
      </c>
      <c r="Q139" s="304">
        <f t="shared" si="27"/>
        <v>0.6</v>
      </c>
      <c r="R139" s="177">
        <f t="shared" si="28"/>
        <v>0.59133115624979005</v>
      </c>
      <c r="S139" s="799">
        <f t="shared" si="29"/>
        <v>-1</v>
      </c>
      <c r="T139" s="176">
        <f t="shared" si="30"/>
        <v>5</v>
      </c>
      <c r="U139" s="250">
        <f t="shared" si="31"/>
        <v>-0.40866884375020995</v>
      </c>
      <c r="V139" s="382">
        <f t="shared" si="32"/>
        <v>57.249606318330471</v>
      </c>
      <c r="W139" s="400"/>
      <c r="X139" s="157">
        <f t="shared" si="33"/>
        <v>44321</v>
      </c>
      <c r="Y139" s="383">
        <f t="shared" si="34"/>
        <v>31.247</v>
      </c>
      <c r="Z139" s="383">
        <f t="shared" si="35"/>
        <v>31.744975468977881</v>
      </c>
      <c r="AA139" s="384">
        <f t="shared" si="36"/>
        <v>34.210451010514383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7.2067905236874924E-2</v>
      </c>
      <c r="AD139" s="230">
        <f>(INDEX(Models!$BJ139:$BT139,,AH139)*(1-AF139)+INDEX(Models!$BJ139:$BT139,,AH139+1)*AF139-ERP_i)*AE139*Ramure*Pc/MaxiM</f>
        <v>1.1917496236971569E-20</v>
      </c>
      <c r="AE139" s="304">
        <f t="shared" si="38"/>
        <v>0.6</v>
      </c>
      <c r="AF139" s="177">
        <f t="shared" si="39"/>
        <v>0.59133115624979005</v>
      </c>
      <c r="AG139" s="799">
        <f t="shared" si="47"/>
        <v>-1</v>
      </c>
      <c r="AH139" s="176">
        <f t="shared" si="40"/>
        <v>5</v>
      </c>
      <c r="AI139" s="224">
        <f t="shared" si="41"/>
        <v>-0.40866884375020995</v>
      </c>
      <c r="AJ139" s="264" t="b">
        <f t="shared" si="42"/>
        <v>0</v>
      </c>
      <c r="AK139" s="264" t="b">
        <f t="shared" si="43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4"/>
        <v>44322</v>
      </c>
      <c r="B140" s="607">
        <v>35.335999999999999</v>
      </c>
      <c r="C140" s="388"/>
      <c r="D140" s="391">
        <f t="shared" si="24"/>
        <v>35.899828831045781</v>
      </c>
      <c r="E140" s="383">
        <f t="shared" si="45"/>
        <v>38.697336320908718</v>
      </c>
      <c r="F140" s="383">
        <f t="shared" si="25"/>
        <v>38.697336320908718</v>
      </c>
      <c r="G140" s="110">
        <f t="shared" si="46"/>
        <v>0.61686607793901171</v>
      </c>
      <c r="H140" s="412" t="b">
        <f>Wh_hp&gt;='2020'!Maxi_hp</f>
        <v>0</v>
      </c>
      <c r="I140" s="379">
        <f>IF(H140,Wh_hp,'2020'!Maxi_hp)</f>
        <v>64.219243698545085</v>
      </c>
      <c r="J140" s="85">
        <f>IF(H140,An,'2020'!An_max)</f>
        <v>2018</v>
      </c>
      <c r="K140" s="197">
        <f t="shared" si="26"/>
        <v>44322</v>
      </c>
      <c r="L140" s="147">
        <f>IF(t&lt;Tvie,1-EXP((T0-t)*PertePVj)+'2020'!Pspv,1-EXP((T0-t)*PertePVj)+Pspv)</f>
        <v>1.5705613352623771E-2</v>
      </c>
      <c r="M140" s="832"/>
      <c r="N140" s="832"/>
      <c r="O140" s="48">
        <f>IF(t&lt;Tnet,'2020'!Resal+('2020'!Salim-'2020'!Resal)*(1-EXP(('2020'!Tnet-t)/('2020'!Tau_j))),Resal+(Salim-Resal)*(1-EXP((Tnet-t)/(Tau_j))))*Salcycl</f>
        <v>7.2291991021392457E-2</v>
      </c>
      <c r="P140" s="169">
        <f>(INDEX(Models!$BJ140:$BT140,,T140)*(1-R140)+INDEX(Models!$BJ140:$BT140,,T140+1)*R140-ERP_i)*Q140*Ramure*Pc/MaxiM</f>
        <v>0</v>
      </c>
      <c r="Q140" s="304">
        <f t="shared" si="27"/>
        <v>0.6</v>
      </c>
      <c r="R140" s="177">
        <f t="shared" si="28"/>
        <v>0.59448149561113139</v>
      </c>
      <c r="S140" s="799">
        <f t="shared" si="29"/>
        <v>-1</v>
      </c>
      <c r="T140" s="176">
        <f t="shared" si="30"/>
        <v>5</v>
      </c>
      <c r="U140" s="250">
        <f t="shared" si="31"/>
        <v>-0.40551850438886861</v>
      </c>
      <c r="V140" s="382">
        <f t="shared" si="32"/>
        <v>57.283098007366192</v>
      </c>
      <c r="W140" s="400"/>
      <c r="X140" s="157">
        <f t="shared" si="33"/>
        <v>44322</v>
      </c>
      <c r="Y140" s="383">
        <f t="shared" si="34"/>
        <v>35.335999999999999</v>
      </c>
      <c r="Z140" s="383">
        <f t="shared" si="35"/>
        <v>35.899828831045781</v>
      </c>
      <c r="AA140" s="384">
        <f t="shared" si="36"/>
        <v>38.697336320908718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7.2291991021392457E-2</v>
      </c>
      <c r="AD140" s="230">
        <f>(INDEX(Models!$BJ140:$BT140,,AH140)*(1-AF140)+INDEX(Models!$BJ140:$BT140,,AH140+1)*AF140-ERP_i)*AE140*Ramure*Pc/MaxiM</f>
        <v>0</v>
      </c>
      <c r="AE140" s="304">
        <f t="shared" si="38"/>
        <v>0.6</v>
      </c>
      <c r="AF140" s="177">
        <f t="shared" si="39"/>
        <v>0.59448149561113139</v>
      </c>
      <c r="AG140" s="799">
        <f t="shared" si="47"/>
        <v>-1</v>
      </c>
      <c r="AH140" s="176">
        <f t="shared" si="40"/>
        <v>5</v>
      </c>
      <c r="AI140" s="224">
        <f t="shared" si="41"/>
        <v>-0.40551850438886861</v>
      </c>
      <c r="AJ140" s="264" t="b">
        <f t="shared" si="42"/>
        <v>0</v>
      </c>
      <c r="AK140" s="264" t="b">
        <f t="shared" si="43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4"/>
        <v>44323</v>
      </c>
      <c r="B141" s="607">
        <v>22.269000000000002</v>
      </c>
      <c r="C141" s="388"/>
      <c r="D141" s="391">
        <f t="shared" si="24"/>
        <v>22.624762561469286</v>
      </c>
      <c r="E141" s="383">
        <f t="shared" si="45"/>
        <v>24.39371512316136</v>
      </c>
      <c r="F141" s="383">
        <f t="shared" si="25"/>
        <v>24.39371512316136</v>
      </c>
      <c r="G141" s="110">
        <f t="shared" si="46"/>
        <v>0.38854980221002572</v>
      </c>
      <c r="H141" s="412" t="b">
        <f>Wh_hp&gt;='2020'!Maxi_hp</f>
        <v>0</v>
      </c>
      <c r="I141" s="379">
        <f>IF(H141,Wh_hp,'2020'!Maxi_hp)</f>
        <v>60.265273662889911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1.5724477129990255E-2</v>
      </c>
      <c r="M141" s="832"/>
      <c r="N141" s="832"/>
      <c r="O141" s="48">
        <f>IF(t&lt;Tnet,'2020'!Resal+('2020'!Salim-'2020'!Resal)*(1-EXP(('2020'!Tnet-t)/('2020'!Tau_j))),Resal+(Salim-Resal)*(1-EXP((Tnet-t)/(Tau_j))))*Salcycl</f>
        <v>7.2516734444130981E-2</v>
      </c>
      <c r="P141" s="169">
        <f>(INDEX(Models!$BJ141:$BT141,,T141)*(1-R141)+INDEX(Models!$BJ141:$BT141,,T141+1)*R141-ERP_i)*Q141*Ramure*Pc/MaxiM</f>
        <v>1.2118296531897426E-20</v>
      </c>
      <c r="Q141" s="304">
        <f t="shared" si="27"/>
        <v>0.6</v>
      </c>
      <c r="R141" s="177">
        <f t="shared" si="28"/>
        <v>0.59771265001628371</v>
      </c>
      <c r="S141" s="799">
        <f t="shared" si="29"/>
        <v>-1</v>
      </c>
      <c r="T141" s="176">
        <f t="shared" si="30"/>
        <v>5</v>
      </c>
      <c r="U141" s="250">
        <f t="shared" si="31"/>
        <v>-0.40228734998371629</v>
      </c>
      <c r="V141" s="382">
        <f t="shared" si="32"/>
        <v>57.313116293809806</v>
      </c>
      <c r="W141" s="400"/>
      <c r="X141" s="157">
        <f t="shared" si="33"/>
        <v>44323</v>
      </c>
      <c r="Y141" s="383">
        <f t="shared" si="34"/>
        <v>22.269000000000002</v>
      </c>
      <c r="Z141" s="383">
        <f t="shared" si="35"/>
        <v>22.624762561469286</v>
      </c>
      <c r="AA141" s="384">
        <f t="shared" si="36"/>
        <v>24.39371512316136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7.2516734444130981E-2</v>
      </c>
      <c r="AD141" s="230">
        <f>(INDEX(Models!$BJ141:$BT141,,AH141)*(1-AF141)+INDEX(Models!$BJ141:$BT141,,AH141+1)*AF141-ERP_i)*AE141*Ramure*Pc/MaxiM</f>
        <v>1.2118296531897426E-20</v>
      </c>
      <c r="AE141" s="304">
        <f t="shared" si="38"/>
        <v>0.6</v>
      </c>
      <c r="AF141" s="177">
        <f t="shared" si="39"/>
        <v>0.59771265001628371</v>
      </c>
      <c r="AG141" s="799">
        <f t="shared" si="47"/>
        <v>-1</v>
      </c>
      <c r="AH141" s="176">
        <f t="shared" si="40"/>
        <v>5</v>
      </c>
      <c r="AI141" s="224">
        <f t="shared" si="41"/>
        <v>-0.40228734998371629</v>
      </c>
      <c r="AJ141" s="264" t="b">
        <f t="shared" si="42"/>
        <v>0</v>
      </c>
      <c r="AK141" s="264" t="b">
        <f t="shared" si="43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4"/>
        <v>44324</v>
      </c>
      <c r="B142" s="607">
        <v>55.493000000000002</v>
      </c>
      <c r="C142" s="388"/>
      <c r="D142" s="391">
        <f t="shared" si="24"/>
        <v>56.380619289662327</v>
      </c>
      <c r="E142" s="383">
        <f t="shared" si="45"/>
        <v>60.80360190588106</v>
      </c>
      <c r="F142" s="383">
        <f t="shared" si="25"/>
        <v>60.80360190588106</v>
      </c>
      <c r="G142" s="110">
        <f t="shared" si="46"/>
        <v>0.9677909654513025</v>
      </c>
      <c r="H142" s="412" t="b">
        <f>Wh_hp&gt;='2020'!Maxi_hp</f>
        <v>1</v>
      </c>
      <c r="I142" s="379">
        <f>IF(H142,Wh_hp,'2020'!Maxi_hp)</f>
        <v>60.80360190588106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1.5743340545836704E-2</v>
      </c>
      <c r="M142" s="832"/>
      <c r="N142" s="832"/>
      <c r="O142" s="48">
        <f>IF(t&lt;Tnet,'2020'!Resal+('2020'!Salim-'2020'!Resal)*(1-EXP(('2020'!Tnet-t)/('2020'!Tau_j))),Resal+(Salim-Resal)*(1-EXP((Tnet-t)/(Tau_j))))*Salcycl</f>
        <v>7.2742115229705334E-2</v>
      </c>
      <c r="P142" s="169">
        <f>(INDEX(Models!$BJ142:$BT142,,T142)*(1-R142)+INDEX(Models!$BJ142:$BT142,,T142+1)*R142-ERP_i)*Q142*Ramure*Pc/MaxiM</f>
        <v>1.2222808551248918E-20</v>
      </c>
      <c r="Q142" s="304">
        <f t="shared" si="27"/>
        <v>0.6</v>
      </c>
      <c r="R142" s="177">
        <f t="shared" si="28"/>
        <v>0.60102493581441663</v>
      </c>
      <c r="S142" s="799">
        <f t="shared" si="29"/>
        <v>-1</v>
      </c>
      <c r="T142" s="176">
        <f t="shared" si="30"/>
        <v>5</v>
      </c>
      <c r="U142" s="250">
        <f t="shared" si="31"/>
        <v>-0.39897506418558332</v>
      </c>
      <c r="V142" s="382">
        <f t="shared" si="32"/>
        <v>57.339861582735878</v>
      </c>
      <c r="W142" s="400"/>
      <c r="X142" s="157">
        <f t="shared" si="33"/>
        <v>44324</v>
      </c>
      <c r="Y142" s="383">
        <f t="shared" si="34"/>
        <v>55.493000000000002</v>
      </c>
      <c r="Z142" s="383">
        <f t="shared" si="35"/>
        <v>56.380619289662327</v>
      </c>
      <c r="AA142" s="384">
        <f t="shared" si="36"/>
        <v>60.80360190588106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7.2742115229705334E-2</v>
      </c>
      <c r="AD142" s="230">
        <f>(INDEX(Models!$BJ142:$BT142,,AH142)*(1-AF142)+INDEX(Models!$BJ142:$BT142,,AH142+1)*AF142-ERP_i)*AE142*Ramure*Pc/MaxiM</f>
        <v>1.2222808551248918E-20</v>
      </c>
      <c r="AE142" s="304">
        <f t="shared" si="38"/>
        <v>0.6</v>
      </c>
      <c r="AF142" s="177">
        <f t="shared" si="39"/>
        <v>0.60102493581441663</v>
      </c>
      <c r="AG142" s="799">
        <f t="shared" si="47"/>
        <v>-1</v>
      </c>
      <c r="AH142" s="176">
        <f t="shared" si="40"/>
        <v>5</v>
      </c>
      <c r="AI142" s="224">
        <f t="shared" si="41"/>
        <v>-0.39897506418558332</v>
      </c>
      <c r="AJ142" s="264" t="b">
        <f t="shared" si="42"/>
        <v>0</v>
      </c>
      <c r="AK142" s="264" t="b">
        <f t="shared" si="43"/>
        <v>0</v>
      </c>
      <c r="AL142" s="264"/>
      <c r="AM142" s="264"/>
      <c r="AN142" s="75"/>
    </row>
    <row r="143" spans="1:40" s="6" customFormat="1" ht="11.25" x14ac:dyDescent="0.2">
      <c r="A143" s="56">
        <f t="shared" si="44"/>
        <v>44325</v>
      </c>
      <c r="B143" s="607">
        <v>19.582000000000001</v>
      </c>
      <c r="C143" s="388"/>
      <c r="D143" s="391">
        <f t="shared" ref="D143:D206" si="48">Wh/(1-Ppv)</f>
        <v>19.895598473892733</v>
      </c>
      <c r="E143" s="383">
        <f t="shared" si="45"/>
        <v>21.461611727986924</v>
      </c>
      <c r="F143" s="383">
        <f t="shared" ref="F143:F206" si="49">Wh_sa/(1-Pvg*MEDIAN((-Sdif+Wh/Env_an)/Csdif,0,1))</f>
        <v>21.461611727986924</v>
      </c>
      <c r="G143" s="110">
        <f t="shared" si="46"/>
        <v>0.34136669322310093</v>
      </c>
      <c r="H143" s="412" t="b">
        <f>Wh_hp&gt;='2020'!Maxi_hp</f>
        <v>0</v>
      </c>
      <c r="I143" s="379">
        <f>IF(H143,Wh_hp,'2020'!Maxi_hp)</f>
        <v>54.756058038684294</v>
      </c>
      <c r="J143" s="85">
        <f>IF(H143,An,'2020'!An_max)</f>
        <v>2020</v>
      </c>
      <c r="K143" s="197">
        <f t="shared" ref="K143:K206" si="50">t</f>
        <v>44325</v>
      </c>
      <c r="L143" s="147">
        <f>IF(t&lt;Tvie,1-EXP((T0-t)*PertePVj)+'2020'!Pspv,1-EXP((T0-t)*PertePVj)+Pspv)</f>
        <v>1.576220360017011E-2</v>
      </c>
      <c r="M143" s="832"/>
      <c r="N143" s="832"/>
      <c r="O143" s="48">
        <f>IF(t&lt;Tnet,'2020'!Resal+('2020'!Salim-'2020'!Resal)*(1-EXP(('2020'!Tnet-t)/('2020'!Tau_j))),Resal+(Salim-Resal)*(1-EXP((Tnet-t)/(Tau_j))))*Salcycl</f>
        <v>7.2968110407665127E-2</v>
      </c>
      <c r="P143" s="169">
        <f>(INDEX(Models!$BJ143:$BT143,,T143)*(1-R143)+INDEX(Models!$BJ143:$BT143,,T143+1)*R143-ERP_i)*Q143*Ramure*Pc/MaxiM</f>
        <v>-1.2329921231475895E-20</v>
      </c>
      <c r="Q143" s="304">
        <f t="shared" ref="Q143:Q206" si="51">IF(OR(t&lt;Ttai,Notai),Dd+PousD*Croivg,Dens+PousD*(Croivg-Croi_tai))</f>
        <v>0.6</v>
      </c>
      <c r="R143" s="177">
        <f t="shared" ref="R143:R206" si="52">(Hp_vg-S143)/(INDEX(Echel_vg,T143+1)-S143)</f>
        <v>0.60441854503176207</v>
      </c>
      <c r="S143" s="799">
        <f t="shared" ref="S143:S206" si="53">INDEX(Echel_vg,T143)</f>
        <v>-1</v>
      </c>
      <c r="T143" s="176">
        <f t="shared" ref="T143:T206" si="54">MIN(MATCH(Hp_vg,Echel_vg),10)</f>
        <v>5</v>
      </c>
      <c r="U143" s="250">
        <f t="shared" ref="U143:U206" si="55">IF(OR(t&lt;Ttai,Notai),Hdd+PousH*Croivg,Hdtf+PousH*(Croivg-Croi_tai))</f>
        <v>-0.39558145496823793</v>
      </c>
      <c r="V143" s="382">
        <f t="shared" ref="V143:V206" si="56">MaxiM*(1-Ppv)*(1-Pvg)*(1-Psa)</f>
        <v>57.363534254357219</v>
      </c>
      <c r="W143" s="400"/>
      <c r="X143" s="157">
        <f t="shared" ref="X143:X206" si="57">t</f>
        <v>44325</v>
      </c>
      <c r="Y143" s="383">
        <f t="shared" ref="Y143:Y206" si="58">Wh_pvt_s*(1-Ppv)</f>
        <v>19.582000000000001</v>
      </c>
      <c r="Z143" s="383">
        <f t="shared" ref="Z143:Z206" si="59">Wh_sa_s*(1-Psa_s)</f>
        <v>19.895598473892733</v>
      </c>
      <c r="AA143" s="384">
        <f t="shared" ref="AA143:AA206" si="60">Wh_hp*(1-Pvg_s*MEDIAN((-Sdif+Wh/Env_an)/Csdif,0,1))</f>
        <v>21.461611727986924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7.2968110407665127E-2</v>
      </c>
      <c r="AD143" s="230">
        <f>(INDEX(Models!$BJ143:$BT143,,AH143)*(1-AF143)+INDEX(Models!$BJ143:$BT143,,AH143+1)*AF143-ERP_i)*AE143*Ramure*Pc/MaxiM</f>
        <v>-1.2329921231475895E-20</v>
      </c>
      <c r="AE143" s="304">
        <f t="shared" ref="AE143:AE206" si="62">IF(OR(t&lt;Ttai,Notai),Dd_s+PousD*Croivg,Dens_s+PousD*(Croivg-Croi_tai))</f>
        <v>0.6</v>
      </c>
      <c r="AF143" s="177">
        <f t="shared" ref="AF143:AF206" si="63">(Hp_vg_s-AG143)/(INDEX(Echel_vg,AH143+1)-AG143)</f>
        <v>0.60441854503176207</v>
      </c>
      <c r="AG143" s="799">
        <f t="shared" si="47"/>
        <v>-1</v>
      </c>
      <c r="AH143" s="176">
        <f t="shared" ref="AH143:AH206" si="64">MIN(MATCH(Hp_vg_s,Echel_vg),10)</f>
        <v>5</v>
      </c>
      <c r="AI143" s="224">
        <f t="shared" ref="AI143:AI206" si="65">IF(OR(t&lt;Ttai,Notai),Hdd_s+PousH*Croivg,Hdtai_s+PousH*(Croivg-Croi_tai))</f>
        <v>-0.39558145496823793</v>
      </c>
      <c r="AJ143" s="264" t="b">
        <f t="shared" ref="AJ143:AJ206" si="66">t&lt;Tnet</f>
        <v>0</v>
      </c>
      <c r="AK143" s="264" t="b">
        <f t="shared" ref="AK143:AK206" si="67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68">A143+1</f>
        <v>44326</v>
      </c>
      <c r="B144" s="607">
        <v>39.253</v>
      </c>
      <c r="C144" s="388"/>
      <c r="D144" s="391">
        <f t="shared" si="48"/>
        <v>39.882386586646824</v>
      </c>
      <c r="E144" s="383">
        <f t="shared" ref="E144:E169" si="69">Wh_pvt/(1-Psa)</f>
        <v>43.032108621244603</v>
      </c>
      <c r="F144" s="383">
        <f t="shared" si="49"/>
        <v>43.032108621244603</v>
      </c>
      <c r="G144" s="110">
        <f t="shared" ref="G144:G169" si="70">+Wh_hp/MaxiM</f>
        <v>0.68403685828961558</v>
      </c>
      <c r="H144" s="412" t="b">
        <f>Wh_hp&gt;='2020'!Maxi_hp</f>
        <v>0</v>
      </c>
      <c r="I144" s="379">
        <f>IF(H144,Wh_hp,'2020'!Maxi_hp)</f>
        <v>50.920890037278376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1.578106629299747E-2</v>
      </c>
      <c r="M144" s="832"/>
      <c r="N144" s="832"/>
      <c r="O144" s="48">
        <f>IF(t&lt;Tnet,'2020'!Resal+('2020'!Salim-'2020'!Resal)*(1-EXP(('2020'!Tnet-t)/('2020'!Tau_j))),Resal+(Salim-Resal)*(1-EXP((Tnet-t)/(Tau_j))))*Salcycl</f>
        <v>7.3194694276328964E-2</v>
      </c>
      <c r="P144" s="169">
        <f>(INDEX(Models!$BJ144:$BT144,,T144)*(1-R144)+INDEX(Models!$BJ144:$BT144,,T144+1)*R144-ERP_i)*Q144*Ramure*Pc/MaxiM</f>
        <v>-1.2439520968745455E-20</v>
      </c>
      <c r="Q144" s="304">
        <f t="shared" si="51"/>
        <v>0.6</v>
      </c>
      <c r="R144" s="177">
        <f t="shared" si="52"/>
        <v>0.60789353857848027</v>
      </c>
      <c r="S144" s="799">
        <f t="shared" si="53"/>
        <v>-1</v>
      </c>
      <c r="T144" s="176">
        <f t="shared" si="54"/>
        <v>5</v>
      </c>
      <c r="U144" s="250">
        <f t="shared" si="55"/>
        <v>-0.39210646142151973</v>
      </c>
      <c r="V144" s="382">
        <f t="shared" si="56"/>
        <v>57.384334666043095</v>
      </c>
      <c r="W144" s="400"/>
      <c r="X144" s="157">
        <f t="shared" si="57"/>
        <v>44326</v>
      </c>
      <c r="Y144" s="383">
        <f t="shared" si="58"/>
        <v>39.253</v>
      </c>
      <c r="Z144" s="383">
        <f t="shared" si="59"/>
        <v>39.882386586646824</v>
      </c>
      <c r="AA144" s="384">
        <f t="shared" si="60"/>
        <v>43.032108621244603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7.3194694276328964E-2</v>
      </c>
      <c r="AD144" s="230">
        <f>(INDEX(Models!$BJ144:$BT144,,AH144)*(1-AF144)+INDEX(Models!$BJ144:$BT144,,AH144+1)*AF144-ERP_i)*AE144*Ramure*Pc/MaxiM</f>
        <v>-1.2439520968745455E-20</v>
      </c>
      <c r="AE144" s="304">
        <f t="shared" si="62"/>
        <v>0.6</v>
      </c>
      <c r="AF144" s="177">
        <f t="shared" si="63"/>
        <v>0.60789353857848027</v>
      </c>
      <c r="AG144" s="799">
        <f t="shared" ref="AG144:AG207" si="71">INDEX(Echel_vg,AH144)</f>
        <v>-1</v>
      </c>
      <c r="AH144" s="176">
        <f t="shared" si="64"/>
        <v>5</v>
      </c>
      <c r="AI144" s="224">
        <f t="shared" si="65"/>
        <v>-0.39210646142151973</v>
      </c>
      <c r="AJ144" s="264" t="b">
        <f t="shared" si="66"/>
        <v>0</v>
      </c>
      <c r="AK144" s="264" t="b">
        <f t="shared" si="67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8"/>
        <v>44327</v>
      </c>
      <c r="B145" s="607">
        <v>29.855</v>
      </c>
      <c r="C145" s="388"/>
      <c r="D145" s="391">
        <f t="shared" si="48"/>
        <v>30.334279450183242</v>
      </c>
      <c r="E145" s="383">
        <f t="shared" si="69"/>
        <v>32.737960710232457</v>
      </c>
      <c r="F145" s="383">
        <f t="shared" si="49"/>
        <v>32.737960710232457</v>
      </c>
      <c r="G145" s="110">
        <f t="shared" si="70"/>
        <v>0.52009963263161807</v>
      </c>
      <c r="H145" s="412" t="b">
        <f>Wh_hp&gt;='2020'!Maxi_hp</f>
        <v>0</v>
      </c>
      <c r="I145" s="379">
        <f>IF(H145,Wh_hp,'2020'!Maxi_hp)</f>
        <v>37.579648692808874</v>
      </c>
      <c r="J145" s="85">
        <f>IF(H145,An,'2020'!An_max)</f>
        <v>2018</v>
      </c>
      <c r="K145" s="197">
        <f t="shared" si="50"/>
        <v>44327</v>
      </c>
      <c r="L145" s="147">
        <f>IF(t&lt;Tvie,1-EXP((T0-t)*PertePVj)+'2020'!Pspv,1-EXP((T0-t)*PertePVj)+Pspv)</f>
        <v>1.5799928624325554E-2</v>
      </c>
      <c r="M145" s="832"/>
      <c r="N145" s="832"/>
      <c r="O145" s="48">
        <f>IF(t&lt;Tnet,'2020'!Resal+('2020'!Salim-'2020'!Resal)*(1-EXP(('2020'!Tnet-t)/('2020'!Tau_j))),Resal+(Salim-Resal)*(1-EXP((Tnet-t)/(Tau_j))))*Salcycl</f>
        <v>7.3421838376693152E-2</v>
      </c>
      <c r="P145" s="169">
        <f>(INDEX(Models!$BJ145:$BT145,,T145)*(1-R145)+INDEX(Models!$BJ145:$BT145,,T145+1)*R145-ERP_i)*Q145*Ramure*Pc/MaxiM</f>
        <v>1.2551487480609722E-20</v>
      </c>
      <c r="Q145" s="304">
        <f t="shared" si="51"/>
        <v>0.6</v>
      </c>
      <c r="R145" s="177">
        <f t="shared" si="52"/>
        <v>0.61144983963684463</v>
      </c>
      <c r="S145" s="799">
        <f t="shared" si="53"/>
        <v>-1</v>
      </c>
      <c r="T145" s="176">
        <f t="shared" si="54"/>
        <v>5</v>
      </c>
      <c r="U145" s="250">
        <f t="shared" si="55"/>
        <v>-0.38855016036315543</v>
      </c>
      <c r="V145" s="382">
        <f t="shared" si="56"/>
        <v>57.402463156796784</v>
      </c>
      <c r="W145" s="400"/>
      <c r="X145" s="157">
        <f t="shared" si="57"/>
        <v>44327</v>
      </c>
      <c r="Y145" s="383">
        <f t="shared" si="58"/>
        <v>29.854999999999997</v>
      </c>
      <c r="Z145" s="383">
        <f t="shared" si="59"/>
        <v>30.334279450183239</v>
      </c>
      <c r="AA145" s="384">
        <f t="shared" si="60"/>
        <v>32.737960710232457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7.3421838376693152E-2</v>
      </c>
      <c r="AD145" s="230">
        <f>(INDEX(Models!$BJ145:$BT145,,AH145)*(1-AF145)+INDEX(Models!$BJ145:$BT145,,AH145+1)*AF145-ERP_i)*AE145*Ramure*Pc/MaxiM</f>
        <v>1.2551487480609722E-20</v>
      </c>
      <c r="AE145" s="304">
        <f t="shared" si="62"/>
        <v>0.6</v>
      </c>
      <c r="AF145" s="177">
        <f t="shared" si="63"/>
        <v>0.61144983963684463</v>
      </c>
      <c r="AG145" s="799">
        <f t="shared" si="71"/>
        <v>-1</v>
      </c>
      <c r="AH145" s="176">
        <f t="shared" si="64"/>
        <v>5</v>
      </c>
      <c r="AI145" s="224">
        <f t="shared" si="65"/>
        <v>-0.38855016036315543</v>
      </c>
      <c r="AJ145" s="264" t="b">
        <f t="shared" si="66"/>
        <v>0</v>
      </c>
      <c r="AK145" s="264" t="b">
        <f t="shared" si="67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8"/>
        <v>44328</v>
      </c>
      <c r="B146" s="607">
        <v>39.954999999999998</v>
      </c>
      <c r="C146" s="388"/>
      <c r="D146" s="391">
        <f t="shared" si="48"/>
        <v>40.597198583095569</v>
      </c>
      <c r="E146" s="383">
        <f t="shared" si="69"/>
        <v>43.824879552703415</v>
      </c>
      <c r="F146" s="383">
        <f t="shared" si="49"/>
        <v>43.824879552703415</v>
      </c>
      <c r="G146" s="110">
        <f t="shared" si="70"/>
        <v>0.6958604700281914</v>
      </c>
      <c r="H146" s="412" t="b">
        <f>Wh_hp&gt;='2020'!Maxi_hp</f>
        <v>0</v>
      </c>
      <c r="I146" s="379">
        <f>IF(H146,Wh_hp,'2020'!Maxi_hp)</f>
        <v>54.191031708919418</v>
      </c>
      <c r="J146" s="85">
        <f>IF(H146,An,'2020'!An_max)</f>
        <v>2018</v>
      </c>
      <c r="K146" s="197">
        <f t="shared" si="50"/>
        <v>44328</v>
      </c>
      <c r="L146" s="147">
        <f>IF(t&lt;Tvie,1-EXP((T0-t)*PertePVj)+'2020'!Pspv,1-EXP((T0-t)*PertePVj)+Pspv)</f>
        <v>1.5818790594161358E-2</v>
      </c>
      <c r="M146" s="832"/>
      <c r="N146" s="832"/>
      <c r="O146" s="48">
        <f>IF(t&lt;Tnet,'2020'!Resal+('2020'!Salim-'2020'!Resal)*(1-EXP(('2020'!Tnet-t)/('2020'!Tau_j))),Resal+(Salim-Resal)*(1-EXP((Tnet-t)/(Tau_j))))*Salcycl</f>
        <v>7.3649511477293705E-2</v>
      </c>
      <c r="P146" s="169">
        <f>(INDEX(Models!$BJ146:$BT146,,T146)*(1-R146)+INDEX(Models!$BJ146:$BT146,,T146+1)*R146-ERP_i)*Q146*Ramure*Pc/MaxiM</f>
        <v>0</v>
      </c>
      <c r="Q146" s="304">
        <f t="shared" si="51"/>
        <v>0.6</v>
      </c>
      <c r="R146" s="177">
        <f t="shared" si="52"/>
        <v>0.61508722728467324</v>
      </c>
      <c r="S146" s="799">
        <f t="shared" si="53"/>
        <v>-1</v>
      </c>
      <c r="T146" s="176">
        <f t="shared" si="54"/>
        <v>5</v>
      </c>
      <c r="U146" s="250">
        <f t="shared" si="55"/>
        <v>-0.3849127727153267</v>
      </c>
      <c r="V146" s="382">
        <f t="shared" si="56"/>
        <v>57.418120041193461</v>
      </c>
      <c r="W146" s="400"/>
      <c r="X146" s="157">
        <f t="shared" si="57"/>
        <v>44328</v>
      </c>
      <c r="Y146" s="383">
        <f t="shared" si="58"/>
        <v>39.954999999999998</v>
      </c>
      <c r="Z146" s="383">
        <f t="shared" si="59"/>
        <v>40.597198583095569</v>
      </c>
      <c r="AA146" s="384">
        <f t="shared" si="60"/>
        <v>43.824879552703415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7.3649511477293705E-2</v>
      </c>
      <c r="AD146" s="230">
        <f>(INDEX(Models!$BJ146:$BT146,,AH146)*(1-AF146)+INDEX(Models!$BJ146:$BT146,,AH146+1)*AF146-ERP_i)*AE146*Ramure*Pc/MaxiM</f>
        <v>0</v>
      </c>
      <c r="AE146" s="304">
        <f t="shared" si="62"/>
        <v>0.6</v>
      </c>
      <c r="AF146" s="177">
        <f t="shared" si="63"/>
        <v>0.61508722728467324</v>
      </c>
      <c r="AG146" s="799">
        <f t="shared" si="71"/>
        <v>-1</v>
      </c>
      <c r="AH146" s="176">
        <f t="shared" si="64"/>
        <v>5</v>
      </c>
      <c r="AI146" s="224">
        <f t="shared" si="65"/>
        <v>-0.3849127727153267</v>
      </c>
      <c r="AJ146" s="264" t="b">
        <f t="shared" si="66"/>
        <v>0</v>
      </c>
      <c r="AK146" s="264" t="b">
        <f t="shared" si="67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8"/>
        <v>44329</v>
      </c>
      <c r="B147" s="607">
        <v>48.468000000000004</v>
      </c>
      <c r="C147" s="388"/>
      <c r="D147" s="391">
        <f t="shared" si="48"/>
        <v>49.247972256273819</v>
      </c>
      <c r="E147" s="383">
        <f t="shared" si="69"/>
        <v>53.176530972121697</v>
      </c>
      <c r="F147" s="383">
        <f t="shared" si="49"/>
        <v>53.176530972121697</v>
      </c>
      <c r="G147" s="110">
        <f t="shared" si="70"/>
        <v>0.84392703071414388</v>
      </c>
      <c r="H147" s="412" t="b">
        <f>Wh_hp&gt;='2020'!Maxi_hp</f>
        <v>0</v>
      </c>
      <c r="I147" s="379">
        <f>IF(H147,Wh_hp,'2020'!Maxi_hp)</f>
        <v>65.060121509053133</v>
      </c>
      <c r="J147" s="85">
        <f>IF(H147,An,'2020'!An_max)</f>
        <v>2018</v>
      </c>
      <c r="K147" s="197">
        <f t="shared" si="50"/>
        <v>44329</v>
      </c>
      <c r="L147" s="147">
        <f>IF(t&lt;Tvie,1-EXP((T0-t)*PertePVj)+'2020'!Pspv,1-EXP((T0-t)*PertePVj)+Pspv)</f>
        <v>1.5837652202511765E-2</v>
      </c>
      <c r="M147" s="832"/>
      <c r="N147" s="832"/>
      <c r="O147" s="48">
        <f>IF(t&lt;Tnet,'2020'!Resal+('2020'!Salim-'2020'!Resal)*(1-EXP(('2020'!Tnet-t)/('2020'!Tau_j))),Resal+(Salim-Resal)*(1-EXP((Tnet-t)/(Tau_j))))*Salcycl</f>
        <v>7.3877679570851715E-2</v>
      </c>
      <c r="P147" s="169">
        <f>(INDEX(Models!$BJ147:$BT147,,T147)*(1-R147)+INDEX(Models!$BJ147:$BT147,,T147+1)*R147-ERP_i)*Q147*Ramure*Pc/MaxiM</f>
        <v>-1.2782005825439509E-20</v>
      </c>
      <c r="Q147" s="304">
        <f t="shared" si="51"/>
        <v>0.6</v>
      </c>
      <c r="R147" s="177">
        <f t="shared" si="52"/>
        <v>0.61880533041012542</v>
      </c>
      <c r="S147" s="799">
        <f t="shared" si="53"/>
        <v>-1</v>
      </c>
      <c r="T147" s="176">
        <f t="shared" si="54"/>
        <v>5</v>
      </c>
      <c r="U147" s="250">
        <f t="shared" si="55"/>
        <v>-0.38119466958987458</v>
      </c>
      <c r="V147" s="382">
        <f t="shared" si="56"/>
        <v>57.431505611315288</v>
      </c>
      <c r="W147" s="400"/>
      <c r="X147" s="157">
        <f t="shared" si="57"/>
        <v>44329</v>
      </c>
      <c r="Y147" s="383">
        <f t="shared" si="58"/>
        <v>48.468000000000004</v>
      </c>
      <c r="Z147" s="383">
        <f t="shared" si="59"/>
        <v>49.247972256273819</v>
      </c>
      <c r="AA147" s="384">
        <f t="shared" si="60"/>
        <v>53.176530972121697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7.3877679570851715E-2</v>
      </c>
      <c r="AD147" s="230">
        <f>(INDEX(Models!$BJ147:$BT147,,AH147)*(1-AF147)+INDEX(Models!$BJ147:$BT147,,AH147+1)*AF147-ERP_i)*AE147*Ramure*Pc/MaxiM</f>
        <v>-1.2782005825439509E-20</v>
      </c>
      <c r="AE147" s="304">
        <f t="shared" si="62"/>
        <v>0.6</v>
      </c>
      <c r="AF147" s="177">
        <f t="shared" si="63"/>
        <v>0.61880533041012542</v>
      </c>
      <c r="AG147" s="799">
        <f t="shared" si="71"/>
        <v>-1</v>
      </c>
      <c r="AH147" s="176">
        <f t="shared" si="64"/>
        <v>5</v>
      </c>
      <c r="AI147" s="224">
        <f t="shared" si="65"/>
        <v>-0.38119466958987458</v>
      </c>
      <c r="AJ147" s="264" t="b">
        <f t="shared" si="66"/>
        <v>0</v>
      </c>
      <c r="AK147" s="264" t="b">
        <f t="shared" si="67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8"/>
        <v>44330</v>
      </c>
      <c r="B148" s="607">
        <v>42.785000000000004</v>
      </c>
      <c r="C148" s="388"/>
      <c r="D148" s="391">
        <f t="shared" si="48"/>
        <v>43.474351641506793</v>
      </c>
      <c r="E148" s="383">
        <f t="shared" si="69"/>
        <v>46.953934255907598</v>
      </c>
      <c r="F148" s="383">
        <f t="shared" si="49"/>
        <v>46.953934255907598</v>
      </c>
      <c r="G148" s="110">
        <f t="shared" si="70"/>
        <v>0.74482763729673507</v>
      </c>
      <c r="H148" s="412" t="b">
        <f>Wh_hp&gt;='2020'!Maxi_hp</f>
        <v>0</v>
      </c>
      <c r="I148" s="379">
        <f>IF(H148,Wh_hp,'2020'!Maxi_hp)</f>
        <v>63.419199758926844</v>
      </c>
      <c r="J148" s="85">
        <f>IF(H148,An,'2020'!An_max)</f>
        <v>2018</v>
      </c>
      <c r="K148" s="197">
        <f t="shared" si="50"/>
        <v>44330</v>
      </c>
      <c r="L148" s="147">
        <f>IF(t&lt;Tvie,1-EXP((T0-t)*PertePVj)+'2020'!Pspv,1-EXP((T0-t)*PertePVj)+Pspv)</f>
        <v>1.5856513449383769E-2</v>
      </c>
      <c r="M148" s="832"/>
      <c r="N148" s="832"/>
      <c r="O148" s="48">
        <f>IF(t&lt;Tnet,'2020'!Resal+('2020'!Salim-'2020'!Resal)*(1-EXP(('2020'!Tnet-t)/('2020'!Tau_j))),Resal+(Salim-Resal)*(1-EXP((Tnet-t)/(Tau_j))))*Salcycl</f>
        <v>7.4106305883473736E-2</v>
      </c>
      <c r="P148" s="169">
        <f>(INDEX(Models!$BJ148:$BT148,,T148)*(1-R148)+INDEX(Models!$BJ148:$BT148,,T148+1)*R148-ERP_i)*Q148*Ramure*Pc/MaxiM</f>
        <v>-1.2900283095774275E-20</v>
      </c>
      <c r="Q148" s="304">
        <f t="shared" si="51"/>
        <v>0.6</v>
      </c>
      <c r="R148" s="177">
        <f t="shared" si="52"/>
        <v>0.62260362197572783</v>
      </c>
      <c r="S148" s="799">
        <f t="shared" si="53"/>
        <v>-1</v>
      </c>
      <c r="T148" s="176">
        <f t="shared" si="54"/>
        <v>5</v>
      </c>
      <c r="U148" s="250">
        <f t="shared" si="55"/>
        <v>-0.37739637802427223</v>
      </c>
      <c r="V148" s="382">
        <f t="shared" si="56"/>
        <v>57.442820133907979</v>
      </c>
      <c r="W148" s="400"/>
      <c r="X148" s="157">
        <f t="shared" si="57"/>
        <v>44330</v>
      </c>
      <c r="Y148" s="383">
        <f t="shared" si="58"/>
        <v>42.785000000000004</v>
      </c>
      <c r="Z148" s="383">
        <f t="shared" si="59"/>
        <v>43.474351641506793</v>
      </c>
      <c r="AA148" s="384">
        <f t="shared" si="60"/>
        <v>46.953934255907598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7.4106305883473736E-2</v>
      </c>
      <c r="AD148" s="230">
        <f>(INDEX(Models!$BJ148:$BT148,,AH148)*(1-AF148)+INDEX(Models!$BJ148:$BT148,,AH148+1)*AF148-ERP_i)*AE148*Ramure*Pc/MaxiM</f>
        <v>-1.2900283095774275E-20</v>
      </c>
      <c r="AE148" s="304">
        <f t="shared" si="62"/>
        <v>0.6</v>
      </c>
      <c r="AF148" s="177">
        <f t="shared" si="63"/>
        <v>0.62260362197572783</v>
      </c>
      <c r="AG148" s="799">
        <f t="shared" si="71"/>
        <v>-1</v>
      </c>
      <c r="AH148" s="176">
        <f t="shared" si="64"/>
        <v>5</v>
      </c>
      <c r="AI148" s="224">
        <f t="shared" si="65"/>
        <v>-0.37739637802427223</v>
      </c>
      <c r="AJ148" s="264" t="b">
        <f t="shared" si="66"/>
        <v>0</v>
      </c>
      <c r="AK148" s="264" t="b">
        <f t="shared" si="67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8"/>
        <v>44331</v>
      </c>
      <c r="B149" s="607">
        <v>19.658999999999999</v>
      </c>
      <c r="C149" s="388"/>
      <c r="D149" s="391">
        <f t="shared" si="48"/>
        <v>19.976128517982737</v>
      </c>
      <c r="E149" s="383">
        <f t="shared" si="69"/>
        <v>21.580308308567929</v>
      </c>
      <c r="F149" s="383">
        <f t="shared" si="49"/>
        <v>21.580308308567929</v>
      </c>
      <c r="G149" s="110">
        <f t="shared" si="70"/>
        <v>0.34218391514342672</v>
      </c>
      <c r="H149" s="412" t="b">
        <f>Wh_hp&gt;='2020'!Maxi_hp</f>
        <v>0</v>
      </c>
      <c r="I149" s="379">
        <f>IF(H149,Wh_hp,'2020'!Maxi_hp)</f>
        <v>63.720230232595142</v>
      </c>
      <c r="J149" s="85">
        <f>IF(H149,An,'2020'!An_max)</f>
        <v>2018</v>
      </c>
      <c r="K149" s="197">
        <f t="shared" si="50"/>
        <v>44331</v>
      </c>
      <c r="L149" s="147">
        <f>IF(t&lt;Tvie,1-EXP((T0-t)*PertePVj)+'2020'!Pspv,1-EXP((T0-t)*PertePVj)+Pspv)</f>
        <v>1.5875374334784365E-2</v>
      </c>
      <c r="M149" s="832"/>
      <c r="N149" s="832"/>
      <c r="O149" s="48">
        <f>IF(t&lt;Tnet,'2020'!Resal+('2020'!Salim-'2020'!Resal)*(1-EXP(('2020'!Tnet-t)/('2020'!Tau_j))),Resal+(Salim-Resal)*(1-EXP((Tnet-t)/(Tau_j))))*Salcycl</f>
        <v>7.433535089710902E-2</v>
      </c>
      <c r="P149" s="169">
        <f>(INDEX(Models!$BJ149:$BT149,,T149)*(1-R149)+INDEX(Models!$BJ149:$BT149,,T149+1)*R149-ERP_i)*Q149*Ramure*Pc/MaxiM</f>
        <v>0</v>
      </c>
      <c r="Q149" s="304">
        <f t="shared" si="51"/>
        <v>0.6</v>
      </c>
      <c r="R149" s="177">
        <f t="shared" si="52"/>
        <v>0.62648141369076737</v>
      </c>
      <c r="S149" s="799">
        <f t="shared" si="53"/>
        <v>-1</v>
      </c>
      <c r="T149" s="176">
        <f t="shared" si="54"/>
        <v>5</v>
      </c>
      <c r="U149" s="250">
        <f t="shared" si="55"/>
        <v>-0.37351858630923263</v>
      </c>
      <c r="V149" s="382">
        <f t="shared" si="56"/>
        <v>57.451560783504128</v>
      </c>
      <c r="W149" s="400"/>
      <c r="X149" s="157">
        <f t="shared" si="57"/>
        <v>44331</v>
      </c>
      <c r="Y149" s="383">
        <f t="shared" si="58"/>
        <v>19.658999999999999</v>
      </c>
      <c r="Z149" s="383">
        <f t="shared" si="59"/>
        <v>19.976128517982737</v>
      </c>
      <c r="AA149" s="384">
        <f t="shared" si="60"/>
        <v>21.580308308567929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7.433535089710902E-2</v>
      </c>
      <c r="AD149" s="230">
        <f>(INDEX(Models!$BJ149:$BT149,,AH149)*(1-AF149)+INDEX(Models!$BJ149:$BT149,,AH149+1)*AF149-ERP_i)*AE149*Ramure*Pc/MaxiM</f>
        <v>0</v>
      </c>
      <c r="AE149" s="304">
        <f t="shared" si="62"/>
        <v>0.6</v>
      </c>
      <c r="AF149" s="177">
        <f t="shared" si="63"/>
        <v>0.62648141369076737</v>
      </c>
      <c r="AG149" s="799">
        <f t="shared" si="71"/>
        <v>-1</v>
      </c>
      <c r="AH149" s="176">
        <f t="shared" si="64"/>
        <v>5</v>
      </c>
      <c r="AI149" s="224">
        <f t="shared" si="65"/>
        <v>-0.37351858630923263</v>
      </c>
      <c r="AJ149" s="264" t="b">
        <f t="shared" si="66"/>
        <v>0</v>
      </c>
      <c r="AK149" s="264" t="b">
        <f t="shared" si="67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8"/>
        <v>44332</v>
      </c>
      <c r="B150" s="607">
        <v>11.948</v>
      </c>
      <c r="C150" s="388"/>
      <c r="D150" s="391">
        <f t="shared" si="48"/>
        <v>12.140971451665795</v>
      </c>
      <c r="E150" s="383">
        <f t="shared" si="69"/>
        <v>13.119201743558754</v>
      </c>
      <c r="F150" s="383">
        <f t="shared" si="49"/>
        <v>13.119201743558754</v>
      </c>
      <c r="G150" s="110">
        <f t="shared" si="70"/>
        <v>0.20794623307857621</v>
      </c>
      <c r="H150" s="412" t="b">
        <f>Wh_hp&gt;='2020'!Maxi_hp</f>
        <v>0</v>
      </c>
      <c r="I150" s="379">
        <f>IF(H150,Wh_hp,'2020'!Maxi_hp)</f>
        <v>57.127425816284799</v>
      </c>
      <c r="J150" s="85">
        <f>IF(H150,An,'2020'!An_max)</f>
        <v>2018</v>
      </c>
      <c r="K150" s="197">
        <f t="shared" si="50"/>
        <v>44332</v>
      </c>
      <c r="L150" s="147">
        <f>IF(t&lt;Tvie,1-EXP((T0-t)*PertePVj)+'2020'!Pspv,1-EXP((T0-t)*PertePVj)+Pspv)</f>
        <v>1.5894234858720324E-2</v>
      </c>
      <c r="M150" s="832"/>
      <c r="N150" s="832"/>
      <c r="O150" s="48">
        <f>IF(t&lt;Tnet,'2020'!Resal+('2020'!Salim-'2020'!Resal)*(1-EXP(('2020'!Tnet-t)/('2020'!Tau_j))),Resal+(Salim-Resal)*(1-EXP((Tnet-t)/(Tau_j))))*Salcycl</f>
        <v>7.4564772385884631E-2</v>
      </c>
      <c r="P150" s="169">
        <f>(INDEX(Models!$BJ150:$BT150,,T150)*(1-R150)+INDEX(Models!$BJ150:$BT150,,T150+1)*R150-ERP_i)*Q150*Ramure*Pc/MaxiM</f>
        <v>0</v>
      </c>
      <c r="Q150" s="304">
        <f t="shared" si="51"/>
        <v>0.6</v>
      </c>
      <c r="R150" s="177">
        <f t="shared" si="52"/>
        <v>0.63043785115189355</v>
      </c>
      <c r="S150" s="799">
        <f t="shared" si="53"/>
        <v>-1</v>
      </c>
      <c r="T150" s="176">
        <f t="shared" si="54"/>
        <v>5</v>
      </c>
      <c r="U150" s="250">
        <f t="shared" si="55"/>
        <v>-0.36956214884810645</v>
      </c>
      <c r="V150" s="382">
        <f t="shared" si="56"/>
        <v>57.457160070243901</v>
      </c>
      <c r="W150" s="400"/>
      <c r="X150" s="157">
        <f t="shared" si="57"/>
        <v>44332</v>
      </c>
      <c r="Y150" s="383">
        <f t="shared" si="58"/>
        <v>11.948</v>
      </c>
      <c r="Z150" s="383">
        <f t="shared" si="59"/>
        <v>12.140971451665795</v>
      </c>
      <c r="AA150" s="384">
        <f t="shared" si="60"/>
        <v>13.119201743558754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7.4564772385884631E-2</v>
      </c>
      <c r="AD150" s="230">
        <f>(INDEX(Models!$BJ150:$BT150,,AH150)*(1-AF150)+INDEX(Models!$BJ150:$BT150,,AH150+1)*AF150-ERP_i)*AE150*Ramure*Pc/MaxiM</f>
        <v>0</v>
      </c>
      <c r="AE150" s="304">
        <f t="shared" si="62"/>
        <v>0.6</v>
      </c>
      <c r="AF150" s="177">
        <f t="shared" si="63"/>
        <v>0.63043785115189355</v>
      </c>
      <c r="AG150" s="799">
        <f t="shared" si="71"/>
        <v>-1</v>
      </c>
      <c r="AH150" s="176">
        <f t="shared" si="64"/>
        <v>5</v>
      </c>
      <c r="AI150" s="224">
        <f t="shared" si="65"/>
        <v>-0.36956214884810645</v>
      </c>
      <c r="AJ150" s="264" t="b">
        <f t="shared" si="66"/>
        <v>0</v>
      </c>
      <c r="AK150" s="264" t="b">
        <f t="shared" si="67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8"/>
        <v>44333</v>
      </c>
      <c r="B151" s="607">
        <v>49.807000000000002</v>
      </c>
      <c r="C151" s="388"/>
      <c r="D151" s="391">
        <f t="shared" si="48"/>
        <v>50.61239992932628</v>
      </c>
      <c r="E151" s="383">
        <f t="shared" si="69"/>
        <v>54.703956388568471</v>
      </c>
      <c r="F151" s="383">
        <f t="shared" si="49"/>
        <v>54.703956388568471</v>
      </c>
      <c r="G151" s="110">
        <f t="shared" si="70"/>
        <v>0.8668158994916797</v>
      </c>
      <c r="H151" s="412" t="b">
        <f>Wh_hp&gt;='2020'!Maxi_hp</f>
        <v>1</v>
      </c>
      <c r="I151" s="379">
        <f>IF(H151,Wh_hp,'2020'!Maxi_hp)</f>
        <v>54.703956388568471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1.5913095021198642E-2</v>
      </c>
      <c r="M151" s="832"/>
      <c r="N151" s="832"/>
      <c r="O151" s="48">
        <f>IF(t&lt;Tnet,'2020'!Resal+('2020'!Salim-'2020'!Resal)*(1-EXP(('2020'!Tnet-t)/('2020'!Tau_j))),Resal+(Salim-Resal)*(1-EXP((Tnet-t)/(Tau_j))))*Salcycl</f>
        <v>7.4794525466849157E-2</v>
      </c>
      <c r="P151" s="169">
        <f>(INDEX(Models!$BJ151:$BT151,,T151)*(1-R151)+INDEX(Models!$BJ151:$BT151,,T151+1)*R151-ERP_i)*Q151*Ramure*Pc/MaxiM</f>
        <v>1.326692502046981E-20</v>
      </c>
      <c r="Q151" s="304">
        <f t="shared" si="51"/>
        <v>0.6</v>
      </c>
      <c r="R151" s="177">
        <f t="shared" si="52"/>
        <v>0.63447190951186738</v>
      </c>
      <c r="S151" s="799">
        <f t="shared" si="53"/>
        <v>-1</v>
      </c>
      <c r="T151" s="176">
        <f t="shared" si="54"/>
        <v>5</v>
      </c>
      <c r="U151" s="250">
        <f t="shared" si="55"/>
        <v>-0.36552809048813267</v>
      </c>
      <c r="V151" s="382">
        <f t="shared" si="56"/>
        <v>57.459721296307492</v>
      </c>
      <c r="W151" s="400"/>
      <c r="X151" s="157">
        <f t="shared" si="57"/>
        <v>44333</v>
      </c>
      <c r="Y151" s="383">
        <f t="shared" si="58"/>
        <v>49.807000000000002</v>
      </c>
      <c r="Z151" s="383">
        <f t="shared" si="59"/>
        <v>50.61239992932628</v>
      </c>
      <c r="AA151" s="384">
        <f t="shared" si="60"/>
        <v>54.703956388568471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7.4794525466849157E-2</v>
      </c>
      <c r="AD151" s="230">
        <f>(INDEX(Models!$BJ151:$BT151,,AH151)*(1-AF151)+INDEX(Models!$BJ151:$BT151,,AH151+1)*AF151-ERP_i)*AE151*Ramure*Pc/MaxiM</f>
        <v>1.326692502046981E-20</v>
      </c>
      <c r="AE151" s="304">
        <f t="shared" si="62"/>
        <v>0.6</v>
      </c>
      <c r="AF151" s="177">
        <f t="shared" si="63"/>
        <v>0.63447190951186738</v>
      </c>
      <c r="AG151" s="799">
        <f t="shared" si="71"/>
        <v>-1</v>
      </c>
      <c r="AH151" s="176">
        <f t="shared" si="64"/>
        <v>5</v>
      </c>
      <c r="AI151" s="224">
        <f t="shared" si="65"/>
        <v>-0.36552809048813267</v>
      </c>
      <c r="AJ151" s="264" t="b">
        <f t="shared" si="66"/>
        <v>0</v>
      </c>
      <c r="AK151" s="264" t="b">
        <f t="shared" si="67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8"/>
        <v>44334</v>
      </c>
      <c r="B152" s="607">
        <v>33.552</v>
      </c>
      <c r="C152" s="388"/>
      <c r="D152" s="391">
        <f t="shared" si="48"/>
        <v>34.095203237636646</v>
      </c>
      <c r="E152" s="383">
        <f t="shared" si="69"/>
        <v>36.860657982325236</v>
      </c>
      <c r="F152" s="383">
        <f t="shared" si="49"/>
        <v>36.860657982325236</v>
      </c>
      <c r="G152" s="110">
        <f t="shared" si="70"/>
        <v>0.58392587573134658</v>
      </c>
      <c r="H152" s="412" t="b">
        <f>Wh_hp&gt;='2020'!Maxi_hp</f>
        <v>0</v>
      </c>
      <c r="I152" s="379">
        <f>IF(H152,Wh_hp,'2020'!Maxi_hp)</f>
        <v>64.598562640471044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1.5931954822226202E-2</v>
      </c>
      <c r="M152" s="832"/>
      <c r="N152" s="832"/>
      <c r="O152" s="48">
        <f>IF(t&lt;Tnet,'2020'!Resal+('2020'!Salim-'2020'!Resal)*(1-EXP(('2020'!Tnet-t)/('2020'!Tau_j))),Resal+(Salim-Resal)*(1-EXP((Tnet-t)/(Tau_j))))*Salcycl</f>
        <v>7.5024562665556127E-2</v>
      </c>
      <c r="P152" s="169">
        <f>(INDEX(Models!$BJ152:$BT152,,T152)*(1-R152)+INDEX(Models!$BJ152:$BT152,,T152+1)*R152-ERP_i)*Q152*Ramure*Pc/MaxiM</f>
        <v>1.3392794902799644E-20</v>
      </c>
      <c r="Q152" s="304">
        <f t="shared" si="51"/>
        <v>0.6</v>
      </c>
      <c r="R152" s="177">
        <f t="shared" si="52"/>
        <v>0.63858238973582448</v>
      </c>
      <c r="S152" s="799">
        <f t="shared" si="53"/>
        <v>-1</v>
      </c>
      <c r="T152" s="176">
        <f t="shared" si="54"/>
        <v>5</v>
      </c>
      <c r="U152" s="250">
        <f t="shared" si="55"/>
        <v>-0.36141761026417557</v>
      </c>
      <c r="V152" s="382">
        <f t="shared" si="56"/>
        <v>57.459347828998496</v>
      </c>
      <c r="W152" s="400"/>
      <c r="X152" s="157">
        <f t="shared" si="57"/>
        <v>44334</v>
      </c>
      <c r="Y152" s="383">
        <f t="shared" si="58"/>
        <v>33.552</v>
      </c>
      <c r="Z152" s="383">
        <f t="shared" si="59"/>
        <v>34.095203237636646</v>
      </c>
      <c r="AA152" s="384">
        <f t="shared" si="60"/>
        <v>36.860657982325236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7.5024562665556127E-2</v>
      </c>
      <c r="AD152" s="230">
        <f>(INDEX(Models!$BJ152:$BT152,,AH152)*(1-AF152)+INDEX(Models!$BJ152:$BT152,,AH152+1)*AF152-ERP_i)*AE152*Ramure*Pc/MaxiM</f>
        <v>1.3392794902799644E-20</v>
      </c>
      <c r="AE152" s="304">
        <f t="shared" si="62"/>
        <v>0.6</v>
      </c>
      <c r="AF152" s="177">
        <f t="shared" si="63"/>
        <v>0.63858238973582448</v>
      </c>
      <c r="AG152" s="799">
        <f t="shared" si="71"/>
        <v>-1</v>
      </c>
      <c r="AH152" s="176">
        <f t="shared" si="64"/>
        <v>5</v>
      </c>
      <c r="AI152" s="224">
        <f t="shared" si="65"/>
        <v>-0.36141761026417557</v>
      </c>
      <c r="AJ152" s="264" t="b">
        <f t="shared" si="66"/>
        <v>0</v>
      </c>
      <c r="AK152" s="264" t="b">
        <f t="shared" si="67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8"/>
        <v>44335</v>
      </c>
      <c r="B153" s="607">
        <v>40.249000000000002</v>
      </c>
      <c r="C153" s="388"/>
      <c r="D153" s="391">
        <f t="shared" si="48"/>
        <v>40.901410806825673</v>
      </c>
      <c r="E153" s="383">
        <f t="shared" si="69"/>
        <v>44.229926590051029</v>
      </c>
      <c r="F153" s="383">
        <f t="shared" si="49"/>
        <v>44.229926590051029</v>
      </c>
      <c r="G153" s="110">
        <f t="shared" si="70"/>
        <v>0.7005169130908413</v>
      </c>
      <c r="H153" s="412" t="b">
        <f>Wh_hp&gt;='2020'!Maxi_hp</f>
        <v>0</v>
      </c>
      <c r="I153" s="379">
        <f>IF(H153,Wh_hp,'2020'!Maxi_hp)</f>
        <v>63.301181056084516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1.5950814261810109E-2</v>
      </c>
      <c r="M153" s="832"/>
      <c r="N153" s="832"/>
      <c r="O153" s="48">
        <f>IF(t&lt;Tnet,'2020'!Resal+('2020'!Salim-'2020'!Resal)*(1-EXP(('2020'!Tnet-t)/('2020'!Tau_j))),Resal+(Salim-Resal)*(1-EXP((Tnet-t)/(Tau_j))))*Salcycl</f>
        <v>7.5254833996809281E-2</v>
      </c>
      <c r="P153" s="169">
        <f>(INDEX(Models!$BJ153:$BT153,,T153)*(1-R153)+INDEX(Models!$BJ153:$BT153,,T153+1)*R153-ERP_i)*Q153*Ramure*Pc/MaxiM</f>
        <v>0</v>
      </c>
      <c r="Q153" s="304">
        <f t="shared" si="51"/>
        <v>0.6</v>
      </c>
      <c r="R153" s="177">
        <f t="shared" si="52"/>
        <v>0.64276791550312096</v>
      </c>
      <c r="S153" s="799">
        <f t="shared" si="53"/>
        <v>-1</v>
      </c>
      <c r="T153" s="176">
        <f t="shared" si="54"/>
        <v>5</v>
      </c>
      <c r="U153" s="250">
        <f t="shared" si="55"/>
        <v>-0.3572320844968791</v>
      </c>
      <c r="V153" s="382">
        <f t="shared" si="56"/>
        <v>57.456143096406031</v>
      </c>
      <c r="W153" s="400"/>
      <c r="X153" s="157">
        <f t="shared" si="57"/>
        <v>44335</v>
      </c>
      <c r="Y153" s="383">
        <f t="shared" si="58"/>
        <v>40.249000000000002</v>
      </c>
      <c r="Z153" s="383">
        <f t="shared" si="59"/>
        <v>40.901410806825673</v>
      </c>
      <c r="AA153" s="384">
        <f t="shared" si="60"/>
        <v>44.229926590051029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7.5254833996809281E-2</v>
      </c>
      <c r="AD153" s="230">
        <f>(INDEX(Models!$BJ153:$BT153,,AH153)*(1-AF153)+INDEX(Models!$BJ153:$BT153,,AH153+1)*AF153-ERP_i)*AE153*Ramure*Pc/MaxiM</f>
        <v>0</v>
      </c>
      <c r="AE153" s="304">
        <f t="shared" si="62"/>
        <v>0.6</v>
      </c>
      <c r="AF153" s="177">
        <f t="shared" si="63"/>
        <v>0.64276791550312096</v>
      </c>
      <c r="AG153" s="799">
        <f t="shared" si="71"/>
        <v>-1</v>
      </c>
      <c r="AH153" s="176">
        <f t="shared" si="64"/>
        <v>5</v>
      </c>
      <c r="AI153" s="224">
        <f t="shared" si="65"/>
        <v>-0.3572320844968791</v>
      </c>
      <c r="AJ153" s="264" t="b">
        <f t="shared" si="66"/>
        <v>0</v>
      </c>
      <c r="AK153" s="264" t="b">
        <f t="shared" si="67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8"/>
        <v>44336</v>
      </c>
      <c r="B154" s="607">
        <v>56.041000000000004</v>
      </c>
      <c r="C154" s="388"/>
      <c r="D154" s="391">
        <f t="shared" si="48"/>
        <v>56.950480571276863</v>
      </c>
      <c r="E154" s="383">
        <f t="shared" si="69"/>
        <v>61.600404811535661</v>
      </c>
      <c r="F154" s="383">
        <f t="shared" si="49"/>
        <v>61.600404811535661</v>
      </c>
      <c r="G154" s="110">
        <f t="shared" si="70"/>
        <v>0.97547075003602024</v>
      </c>
      <c r="H154" s="412" t="b">
        <f>Wh_hp&gt;='2020'!Maxi_hp</f>
        <v>0</v>
      </c>
      <c r="I154" s="379">
        <f>IF(H154,Wh_hp,'2020'!Maxi_hp)</f>
        <v>62.450618114879568</v>
      </c>
      <c r="J154" s="85">
        <f>IF(H154,An,'2020'!An_max)</f>
        <v>2020</v>
      </c>
      <c r="K154" s="197">
        <f t="shared" si="50"/>
        <v>44336</v>
      </c>
      <c r="L154" s="147">
        <f>IF(t&lt;Tvie,1-EXP((T0-t)*PertePVj)+'2020'!Pspv,1-EXP((T0-t)*PertePVj)+Pspv)</f>
        <v>1.5969673339957025E-2</v>
      </c>
      <c r="M154" s="832"/>
      <c r="N154" s="832"/>
      <c r="O154" s="48">
        <f>IF(t&lt;Tnet,'2020'!Resal+('2020'!Salim-'2020'!Resal)*(1-EXP(('2020'!Tnet-t)/('2020'!Tau_j))),Resal+(Salim-Resal)*(1-EXP((Tnet-t)/(Tau_j))))*Salcycl</f>
        <v>7.5485287060776382E-2</v>
      </c>
      <c r="P154" s="169">
        <f>(INDEX(Models!$BJ154:$BT154,,T154)*(1-R154)+INDEX(Models!$BJ154:$BT154,,T154+1)*R154-ERP_i)*Q154*Ramure*Pc/MaxiM</f>
        <v>1.3649188508928938E-20</v>
      </c>
      <c r="Q154" s="304">
        <f t="shared" si="51"/>
        <v>0.6</v>
      </c>
      <c r="R154" s="177">
        <f t="shared" si="52"/>
        <v>0.64702693081078155</v>
      </c>
      <c r="S154" s="799">
        <f t="shared" si="53"/>
        <v>-1</v>
      </c>
      <c r="T154" s="176">
        <f t="shared" si="54"/>
        <v>5</v>
      </c>
      <c r="U154" s="250">
        <f t="shared" si="55"/>
        <v>-0.35297306918921845</v>
      </c>
      <c r="V154" s="382">
        <f t="shared" si="56"/>
        <v>57.450210575694477</v>
      </c>
      <c r="W154" s="400"/>
      <c r="X154" s="157">
        <f t="shared" si="57"/>
        <v>44336</v>
      </c>
      <c r="Y154" s="383">
        <f t="shared" si="58"/>
        <v>56.041000000000004</v>
      </c>
      <c r="Z154" s="383">
        <f t="shared" si="59"/>
        <v>56.950480571276863</v>
      </c>
      <c r="AA154" s="384">
        <f t="shared" si="60"/>
        <v>61.600404811535661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7.5485287060776382E-2</v>
      </c>
      <c r="AD154" s="230">
        <f>(INDEX(Models!$BJ154:$BT154,,AH154)*(1-AF154)+INDEX(Models!$BJ154:$BT154,,AH154+1)*AF154-ERP_i)*AE154*Ramure*Pc/MaxiM</f>
        <v>1.3649188508928938E-20</v>
      </c>
      <c r="AE154" s="304">
        <f t="shared" si="62"/>
        <v>0.6</v>
      </c>
      <c r="AF154" s="177">
        <f t="shared" si="63"/>
        <v>0.64702693081078155</v>
      </c>
      <c r="AG154" s="799">
        <f t="shared" si="71"/>
        <v>-1</v>
      </c>
      <c r="AH154" s="176">
        <f t="shared" si="64"/>
        <v>5</v>
      </c>
      <c r="AI154" s="224">
        <f t="shared" si="65"/>
        <v>-0.35297306918921845</v>
      </c>
      <c r="AJ154" s="264" t="b">
        <f t="shared" si="66"/>
        <v>0</v>
      </c>
      <c r="AK154" s="264" t="b">
        <f t="shared" si="67"/>
        <v>0</v>
      </c>
      <c r="AL154" s="264"/>
      <c r="AM154" s="264"/>
      <c r="AN154" s="75"/>
    </row>
    <row r="155" spans="1:40" s="6" customFormat="1" ht="11.25" x14ac:dyDescent="0.2">
      <c r="A155" s="56">
        <f t="shared" si="68"/>
        <v>44337</v>
      </c>
      <c r="B155" s="607">
        <v>39.463999999999999</v>
      </c>
      <c r="C155" s="388"/>
      <c r="D155" s="391">
        <f t="shared" si="48"/>
        <v>40.105223654032578</v>
      </c>
      <c r="E155" s="383">
        <f t="shared" si="69"/>
        <v>43.39057896684551</v>
      </c>
      <c r="F155" s="383">
        <f t="shared" si="49"/>
        <v>43.39057896684551</v>
      </c>
      <c r="G155" s="110">
        <f t="shared" si="70"/>
        <v>0.68702757313185003</v>
      </c>
      <c r="H155" s="412" t="b">
        <f>Wh_hp&gt;='2020'!Maxi_hp</f>
        <v>0</v>
      </c>
      <c r="I155" s="379">
        <f>IF(H155,Wh_hp,'2020'!Maxi_hp)</f>
        <v>60.873954388671315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1.5988532056674054E-2</v>
      </c>
      <c r="M155" s="832"/>
      <c r="N155" s="832"/>
      <c r="O155" s="48">
        <f>IF(t&lt;Tnet,'2020'!Resal+('2020'!Salim-'2020'!Resal)*(1-EXP(('2020'!Tnet-t)/('2020'!Tau_j))),Resal+(Salim-Resal)*(1-EXP((Tnet-t)/(Tau_j))))*Salcycl</f>
        <v>7.5715867154555708E-2</v>
      </c>
      <c r="P155" s="169">
        <f>(INDEX(Models!$BJ155:$BT155,,T155)*(1-R155)+INDEX(Models!$BJ155:$BT155,,T155+1)*R155-ERP_i)*Q155*Ramure*Pc/MaxiM</f>
        <v>1.3779418004803794E-20</v>
      </c>
      <c r="Q155" s="304">
        <f t="shared" si="51"/>
        <v>0.6</v>
      </c>
      <c r="R155" s="177">
        <f t="shared" si="52"/>
        <v>0.65135769833172441</v>
      </c>
      <c r="S155" s="799">
        <f t="shared" si="53"/>
        <v>-1</v>
      </c>
      <c r="T155" s="176">
        <f t="shared" si="54"/>
        <v>5</v>
      </c>
      <c r="U155" s="250">
        <f t="shared" si="55"/>
        <v>-0.34864230166827559</v>
      </c>
      <c r="V155" s="382">
        <f t="shared" si="56"/>
        <v>57.441653789965592</v>
      </c>
      <c r="W155" s="400"/>
      <c r="X155" s="157">
        <f t="shared" si="57"/>
        <v>44337</v>
      </c>
      <c r="Y155" s="383">
        <f t="shared" si="58"/>
        <v>39.463999999999999</v>
      </c>
      <c r="Z155" s="383">
        <f t="shared" si="59"/>
        <v>40.105223654032578</v>
      </c>
      <c r="AA155" s="384">
        <f t="shared" si="60"/>
        <v>43.39057896684551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7.5715867154555708E-2</v>
      </c>
      <c r="AD155" s="230">
        <f>(INDEX(Models!$BJ155:$BT155,,AH155)*(1-AF155)+INDEX(Models!$BJ155:$BT155,,AH155+1)*AF155-ERP_i)*AE155*Ramure*Pc/MaxiM</f>
        <v>1.3779418004803794E-20</v>
      </c>
      <c r="AE155" s="304">
        <f t="shared" si="62"/>
        <v>0.6</v>
      </c>
      <c r="AF155" s="177">
        <f t="shared" si="63"/>
        <v>0.65135769833172441</v>
      </c>
      <c r="AG155" s="799">
        <f t="shared" si="71"/>
        <v>-1</v>
      </c>
      <c r="AH155" s="176">
        <f t="shared" si="64"/>
        <v>5</v>
      </c>
      <c r="AI155" s="224">
        <f t="shared" si="65"/>
        <v>-0.34864230166827559</v>
      </c>
      <c r="AJ155" s="264" t="b">
        <f t="shared" si="66"/>
        <v>0</v>
      </c>
      <c r="AK155" s="264" t="b">
        <f t="shared" si="67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8"/>
        <v>44338</v>
      </c>
      <c r="B156" s="607">
        <v>29.234000000000002</v>
      </c>
      <c r="C156" s="388"/>
      <c r="D156" s="391">
        <f t="shared" si="48"/>
        <v>29.709572729656372</v>
      </c>
      <c r="E156" s="383">
        <f t="shared" si="69"/>
        <v>32.151356267859683</v>
      </c>
      <c r="F156" s="383">
        <f t="shared" si="49"/>
        <v>32.151356267859683</v>
      </c>
      <c r="G156" s="110">
        <f t="shared" si="70"/>
        <v>0.50903198063341881</v>
      </c>
      <c r="H156" s="412" t="b">
        <f>Wh_hp&gt;='2020'!Maxi_hp</f>
        <v>0</v>
      </c>
      <c r="I156" s="379">
        <f>IF(H156,Wh_hp,'2020'!Maxi_hp)</f>
        <v>60.177941095555454</v>
      </c>
      <c r="J156" s="85">
        <f>IF(H156,An,'2020'!An_max)</f>
        <v>2018</v>
      </c>
      <c r="K156" s="197">
        <f t="shared" si="50"/>
        <v>44338</v>
      </c>
      <c r="L156" s="147">
        <f>IF(t&lt;Tvie,1-EXP((T0-t)*PertePVj)+'2020'!Pspv,1-EXP((T0-t)*PertePVj)+Pspv)</f>
        <v>1.6007390411968081E-2</v>
      </c>
      <c r="M156" s="832"/>
      <c r="N156" s="832"/>
      <c r="O156" s="48">
        <f>IF(t&lt;Tnet,'2020'!Resal+('2020'!Salim-'2020'!Resal)*(1-EXP(('2020'!Tnet-t)/('2020'!Tau_j))),Resal+(Salim-Resal)*(1-EXP((Tnet-t)/(Tau_j))))*Salcycl</f>
        <v>7.5946517399151203E-2</v>
      </c>
      <c r="P156" s="169">
        <f>(INDEX(Models!$BJ156:$BT156,,T156)*(1-R156)+INDEX(Models!$BJ156:$BT156,,T156+1)*R156-ERP_i)*Q156*Ramure*Pc/MaxiM</f>
        <v>0</v>
      </c>
      <c r="Q156" s="304">
        <f t="shared" si="51"/>
        <v>0.6</v>
      </c>
      <c r="R156" s="177">
        <f t="shared" si="52"/>
        <v>0.65575829857728007</v>
      </c>
      <c r="S156" s="799">
        <f t="shared" si="53"/>
        <v>-1</v>
      </c>
      <c r="T156" s="176">
        <f t="shared" si="54"/>
        <v>5</v>
      </c>
      <c r="U156" s="250">
        <f t="shared" si="55"/>
        <v>-0.34424170142271998</v>
      </c>
      <c r="V156" s="382">
        <f t="shared" si="56"/>
        <v>57.430576294287825</v>
      </c>
      <c r="W156" s="400"/>
      <c r="X156" s="157">
        <f t="shared" si="57"/>
        <v>44338</v>
      </c>
      <c r="Y156" s="383">
        <f t="shared" si="58"/>
        <v>29.233999999999998</v>
      </c>
      <c r="Z156" s="383">
        <f t="shared" si="59"/>
        <v>29.709572729656369</v>
      </c>
      <c r="AA156" s="384">
        <f t="shared" si="60"/>
        <v>32.151356267859683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7.5946517399151203E-2</v>
      </c>
      <c r="AD156" s="230">
        <f>(INDEX(Models!$BJ156:$BT156,,AH156)*(1-AF156)+INDEX(Models!$BJ156:$BT156,,AH156+1)*AF156-ERP_i)*AE156*Ramure*Pc/MaxiM</f>
        <v>0</v>
      </c>
      <c r="AE156" s="304">
        <f t="shared" si="62"/>
        <v>0.6</v>
      </c>
      <c r="AF156" s="177">
        <f t="shared" si="63"/>
        <v>0.65575829857728007</v>
      </c>
      <c r="AG156" s="799">
        <f t="shared" si="71"/>
        <v>-1</v>
      </c>
      <c r="AH156" s="176">
        <f t="shared" si="64"/>
        <v>5</v>
      </c>
      <c r="AI156" s="224">
        <f t="shared" si="65"/>
        <v>-0.34424170142271998</v>
      </c>
      <c r="AJ156" s="264" t="b">
        <f t="shared" si="66"/>
        <v>0</v>
      </c>
      <c r="AK156" s="264" t="b">
        <f t="shared" si="67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8"/>
        <v>44339</v>
      </c>
      <c r="B157" s="607">
        <v>36.542999999999999</v>
      </c>
      <c r="C157" s="388"/>
      <c r="D157" s="391">
        <f t="shared" si="48"/>
        <v>37.138185790826242</v>
      </c>
      <c r="E157" s="383">
        <f t="shared" si="69"/>
        <v>40.200550302350351</v>
      </c>
      <c r="F157" s="383">
        <f t="shared" si="49"/>
        <v>40.200550302350351</v>
      </c>
      <c r="G157" s="110">
        <f t="shared" si="70"/>
        <v>0.63644823000340578</v>
      </c>
      <c r="H157" s="412" t="b">
        <f>Wh_hp&gt;='2020'!Maxi_hp</f>
        <v>0</v>
      </c>
      <c r="I157" s="379">
        <f>IF(H157,Wh_hp,'2020'!Maxi_hp)</f>
        <v>58.544637750972903</v>
      </c>
      <c r="J157" s="85">
        <f>IF(H157,An,'2020'!An_max)</f>
        <v>2020</v>
      </c>
      <c r="K157" s="197">
        <f t="shared" si="50"/>
        <v>44339</v>
      </c>
      <c r="L157" s="147">
        <f>IF(t&lt;Tvie,1-EXP((T0-t)*PertePVj)+'2020'!Pspv,1-EXP((T0-t)*PertePVj)+Pspv)</f>
        <v>1.60262484058461E-2</v>
      </c>
      <c r="M157" s="832"/>
      <c r="N157" s="832"/>
      <c r="O157" s="48">
        <f>IF(t&lt;Tnet,'2020'!Resal+('2020'!Salim-'2020'!Resal)*(1-EXP(('2020'!Tnet-t)/('2020'!Tau_j))),Resal+(Salim-Resal)*(1-EXP((Tnet-t)/(Tau_j))))*Salcycl</f>
        <v>7.6177178881679741E-2</v>
      </c>
      <c r="P157" s="169">
        <f>(INDEX(Models!$BJ157:$BT157,,T157)*(1-R157)+INDEX(Models!$BJ157:$BT157,,T157+1)*R157-ERP_i)*Q157*Ramure*Pc/MaxiM</f>
        <v>0</v>
      </c>
      <c r="Q157" s="304">
        <f t="shared" si="51"/>
        <v>0.6</v>
      </c>
      <c r="R157" s="177">
        <f t="shared" si="52"/>
        <v>0.66022662990905234</v>
      </c>
      <c r="S157" s="799">
        <f t="shared" si="53"/>
        <v>-1</v>
      </c>
      <c r="T157" s="176">
        <f t="shared" si="54"/>
        <v>5</v>
      </c>
      <c r="U157" s="250">
        <f t="shared" si="55"/>
        <v>-0.33977337009094766</v>
      </c>
      <c r="V157" s="382">
        <f t="shared" si="56"/>
        <v>57.417081668691964</v>
      </c>
      <c r="W157" s="400"/>
      <c r="X157" s="157">
        <f t="shared" si="57"/>
        <v>44339</v>
      </c>
      <c r="Y157" s="383">
        <f t="shared" si="58"/>
        <v>36.542999999999999</v>
      </c>
      <c r="Z157" s="383">
        <f t="shared" si="59"/>
        <v>37.138185790826242</v>
      </c>
      <c r="AA157" s="384">
        <f t="shared" si="60"/>
        <v>40.200550302350351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7.6177178881679741E-2</v>
      </c>
      <c r="AD157" s="230">
        <f>(INDEX(Models!$BJ157:$BT157,,AH157)*(1-AF157)+INDEX(Models!$BJ157:$BT157,,AH157+1)*AF157-ERP_i)*AE157*Ramure*Pc/MaxiM</f>
        <v>0</v>
      </c>
      <c r="AE157" s="304">
        <f t="shared" si="62"/>
        <v>0.6</v>
      </c>
      <c r="AF157" s="177">
        <f t="shared" si="63"/>
        <v>0.66022662990905234</v>
      </c>
      <c r="AG157" s="799">
        <f t="shared" si="71"/>
        <v>-1</v>
      </c>
      <c r="AH157" s="176">
        <f t="shared" si="64"/>
        <v>5</v>
      </c>
      <c r="AI157" s="224">
        <f t="shared" si="65"/>
        <v>-0.33977337009094766</v>
      </c>
      <c r="AJ157" s="264" t="b">
        <f t="shared" si="66"/>
        <v>0</v>
      </c>
      <c r="AK157" s="264" t="b">
        <f t="shared" si="67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8"/>
        <v>44340</v>
      </c>
      <c r="B158" s="607">
        <v>24.303000000000001</v>
      </c>
      <c r="C158" s="388"/>
      <c r="D158" s="391">
        <f t="shared" si="48"/>
        <v>24.699302934659066</v>
      </c>
      <c r="E158" s="383">
        <f t="shared" si="69"/>
        <v>26.742649720256367</v>
      </c>
      <c r="F158" s="383">
        <f t="shared" si="49"/>
        <v>26.742649720256367</v>
      </c>
      <c r="G158" s="110">
        <f t="shared" si="70"/>
        <v>0.42338781906044903</v>
      </c>
      <c r="H158" s="412" t="b">
        <f>Wh_hp&gt;='2020'!Maxi_hp</f>
        <v>1</v>
      </c>
      <c r="I158" s="379">
        <f>IF(H158,Wh_hp,'2020'!Maxi_hp)</f>
        <v>26.742649720256367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1.6045106038314882E-2</v>
      </c>
      <c r="M158" s="832"/>
      <c r="N158" s="832"/>
      <c r="O158" s="48">
        <f>IF(t&lt;Tnet,'2020'!Resal+('2020'!Salim-'2020'!Resal)*(1-EXP(('2020'!Tnet-t)/('2020'!Tau_j))),Resal+(Salim-Resal)*(1-EXP((Tnet-t)/(Tau_j))))*Salcycl</f>
        <v>7.6407790812499557E-2</v>
      </c>
      <c r="P158" s="169">
        <f>(INDEX(Models!$BJ158:$BT158,,T158)*(1-R158)+INDEX(Models!$BJ158:$BT158,,T158+1)*R158-ERP_i)*Q158*Ramure*Pc/MaxiM</f>
        <v>0</v>
      </c>
      <c r="Q158" s="304">
        <f t="shared" si="51"/>
        <v>0.6</v>
      </c>
      <c r="R158" s="177">
        <f t="shared" si="52"/>
        <v>0.66476040943988191</v>
      </c>
      <c r="S158" s="799">
        <f t="shared" si="53"/>
        <v>-1</v>
      </c>
      <c r="T158" s="176">
        <f t="shared" si="54"/>
        <v>5</v>
      </c>
      <c r="U158" s="250">
        <f t="shared" si="55"/>
        <v>-0.33523959056011809</v>
      </c>
      <c r="V158" s="382">
        <f t="shared" si="56"/>
        <v>57.401273503643594</v>
      </c>
      <c r="W158" s="400"/>
      <c r="X158" s="157">
        <f t="shared" si="57"/>
        <v>44340</v>
      </c>
      <c r="Y158" s="383">
        <f t="shared" si="58"/>
        <v>24.303000000000001</v>
      </c>
      <c r="Z158" s="383">
        <f t="shared" si="59"/>
        <v>24.699302934659066</v>
      </c>
      <c r="AA158" s="384">
        <f t="shared" si="60"/>
        <v>26.742649720256367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7.6407790812499557E-2</v>
      </c>
      <c r="AD158" s="230">
        <f>(INDEX(Models!$BJ158:$BT158,,AH158)*(1-AF158)+INDEX(Models!$BJ158:$BT158,,AH158+1)*AF158-ERP_i)*AE158*Ramure*Pc/MaxiM</f>
        <v>0</v>
      </c>
      <c r="AE158" s="304">
        <f t="shared" si="62"/>
        <v>0.6</v>
      </c>
      <c r="AF158" s="177">
        <f t="shared" si="63"/>
        <v>0.66476040943988191</v>
      </c>
      <c r="AG158" s="799">
        <f t="shared" si="71"/>
        <v>-1</v>
      </c>
      <c r="AH158" s="176">
        <f t="shared" si="64"/>
        <v>5</v>
      </c>
      <c r="AI158" s="224">
        <f t="shared" si="65"/>
        <v>-0.33523959056011809</v>
      </c>
      <c r="AJ158" s="264" t="b">
        <f t="shared" si="66"/>
        <v>0</v>
      </c>
      <c r="AK158" s="264" t="b">
        <f t="shared" si="67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8"/>
        <v>44341</v>
      </c>
      <c r="B159" s="607">
        <v>47.291000000000004</v>
      </c>
      <c r="C159" s="388"/>
      <c r="D159" s="391">
        <f t="shared" si="48"/>
        <v>48.063083611673669</v>
      </c>
      <c r="E159" s="383">
        <f t="shared" si="69"/>
        <v>52.052281492097272</v>
      </c>
      <c r="F159" s="383">
        <f t="shared" si="49"/>
        <v>52.052281492097272</v>
      </c>
      <c r="G159" s="110">
        <f t="shared" si="70"/>
        <v>0.82412542961105306</v>
      </c>
      <c r="H159" s="412" t="b">
        <f>Wh_hp&gt;='2020'!Maxi_hp</f>
        <v>0</v>
      </c>
      <c r="I159" s="379">
        <f>IF(H159,Wh_hp,'2020'!Maxi_hp)</f>
        <v>59.02247557748224</v>
      </c>
      <c r="J159" s="85">
        <f>IF(H159,An,'2020'!An_max)</f>
        <v>2020</v>
      </c>
      <c r="K159" s="197">
        <f t="shared" si="50"/>
        <v>44341</v>
      </c>
      <c r="L159" s="147">
        <f>IF(t&lt;Tvie,1-EXP((T0-t)*PertePVj)+'2020'!Pspv,1-EXP((T0-t)*PertePVj)+Pspv)</f>
        <v>1.6063963309381535E-2</v>
      </c>
      <c r="M159" s="832"/>
      <c r="N159" s="832"/>
      <c r="O159" s="48">
        <f>IF(t&lt;Tnet,'2020'!Resal+('2020'!Salim-'2020'!Resal)*(1-EXP(('2020'!Tnet-t)/('2020'!Tau_j))),Resal+(Salim-Resal)*(1-EXP((Tnet-t)/(Tau_j))))*Salcycl</f>
        <v>7.6638290696811356E-2</v>
      </c>
      <c r="P159" s="169">
        <f>(INDEX(Models!$BJ159:$BT159,,T159)*(1-R159)+INDEX(Models!$BJ159:$BT159,,T159+1)*R159-ERP_i)*Q159*Ramure*Pc/MaxiM</f>
        <v>0</v>
      </c>
      <c r="Q159" s="304">
        <f t="shared" si="51"/>
        <v>0.6</v>
      </c>
      <c r="R159" s="177">
        <f t="shared" si="52"/>
        <v>0.66935717485759894</v>
      </c>
      <c r="S159" s="799">
        <f t="shared" si="53"/>
        <v>-1</v>
      </c>
      <c r="T159" s="176">
        <f t="shared" si="54"/>
        <v>5</v>
      </c>
      <c r="U159" s="250">
        <f t="shared" si="55"/>
        <v>-0.33064282514240106</v>
      </c>
      <c r="V159" s="382">
        <f t="shared" si="56"/>
        <v>57.383255389072325</v>
      </c>
      <c r="W159" s="400"/>
      <c r="X159" s="157">
        <f t="shared" si="57"/>
        <v>44341</v>
      </c>
      <c r="Y159" s="383">
        <f t="shared" si="58"/>
        <v>47.291000000000004</v>
      </c>
      <c r="Z159" s="383">
        <f t="shared" si="59"/>
        <v>48.063083611673669</v>
      </c>
      <c r="AA159" s="384">
        <f t="shared" si="60"/>
        <v>52.052281492097272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7.6638290696811356E-2</v>
      </c>
      <c r="AD159" s="230">
        <f>(INDEX(Models!$BJ159:$BT159,,AH159)*(1-AF159)+INDEX(Models!$BJ159:$BT159,,AH159+1)*AF159-ERP_i)*AE159*Ramure*Pc/MaxiM</f>
        <v>0</v>
      </c>
      <c r="AE159" s="304">
        <f t="shared" si="62"/>
        <v>0.6</v>
      </c>
      <c r="AF159" s="177">
        <f t="shared" si="63"/>
        <v>0.66935717485759894</v>
      </c>
      <c r="AG159" s="799">
        <f t="shared" si="71"/>
        <v>-1</v>
      </c>
      <c r="AH159" s="176">
        <f t="shared" si="64"/>
        <v>5</v>
      </c>
      <c r="AI159" s="224">
        <f t="shared" si="65"/>
        <v>-0.33064282514240106</v>
      </c>
      <c r="AJ159" s="264" t="b">
        <f t="shared" si="66"/>
        <v>0</v>
      </c>
      <c r="AK159" s="264" t="b">
        <f t="shared" si="67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8"/>
        <v>44342</v>
      </c>
      <c r="B160" s="607">
        <v>50.911999999999999</v>
      </c>
      <c r="C160" s="388"/>
      <c r="D160" s="391">
        <f t="shared" si="48"/>
        <v>51.744192546098965</v>
      </c>
      <c r="E160" s="383">
        <f t="shared" si="69"/>
        <v>56.052901417929583</v>
      </c>
      <c r="F160" s="383">
        <f t="shared" si="49"/>
        <v>56.052901417929583</v>
      </c>
      <c r="G160" s="110">
        <f t="shared" si="70"/>
        <v>0.88753872387922417</v>
      </c>
      <c r="H160" s="412" t="b">
        <f>Wh_hp&gt;='2020'!Maxi_hp</f>
        <v>0</v>
      </c>
      <c r="I160" s="379">
        <f>IF(H160,Wh_hp,'2020'!Maxi_hp)</f>
        <v>61.793070992258549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1.6082820219052829E-2</v>
      </c>
      <c r="M160" s="832"/>
      <c r="N160" s="832"/>
      <c r="O160" s="48">
        <f>IF(t&lt;Tnet,'2020'!Resal+('2020'!Salim-'2020'!Resal)*(1-EXP(('2020'!Tnet-t)/('2020'!Tau_j))),Resal+(Salim-Resal)*(1-EXP((Tnet-t)/(Tau_j))))*Salcycl</f>
        <v>7.686861452014683E-2</v>
      </c>
      <c r="P160" s="169">
        <f>(INDEX(Models!$BJ160:$BT160,,T160)*(1-R160)+INDEX(Models!$BJ160:$BT160,,T160+1)*R160-ERP_i)*Q160*Ramure*Pc/MaxiM</f>
        <v>0</v>
      </c>
      <c r="Q160" s="304">
        <f t="shared" si="51"/>
        <v>0.6</v>
      </c>
      <c r="R160" s="177">
        <f t="shared" si="52"/>
        <v>0.67401428719843126</v>
      </c>
      <c r="S160" s="799">
        <f t="shared" si="53"/>
        <v>-1</v>
      </c>
      <c r="T160" s="176">
        <f t="shared" si="54"/>
        <v>5</v>
      </c>
      <c r="U160" s="250">
        <f t="shared" si="55"/>
        <v>-0.32598571280156874</v>
      </c>
      <c r="V160" s="382">
        <f t="shared" si="56"/>
        <v>57.36313090371489</v>
      </c>
      <c r="W160" s="400"/>
      <c r="X160" s="157">
        <f t="shared" si="57"/>
        <v>44342</v>
      </c>
      <c r="Y160" s="383">
        <f t="shared" si="58"/>
        <v>50.911999999999999</v>
      </c>
      <c r="Z160" s="383">
        <f t="shared" si="59"/>
        <v>51.744192546098965</v>
      </c>
      <c r="AA160" s="384">
        <f t="shared" si="60"/>
        <v>56.052901417929583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7.686861452014683E-2</v>
      </c>
      <c r="AD160" s="230">
        <f>(INDEX(Models!$BJ160:$BT160,,AH160)*(1-AF160)+INDEX(Models!$BJ160:$BT160,,AH160+1)*AF160-ERP_i)*AE160*Ramure*Pc/MaxiM</f>
        <v>0</v>
      </c>
      <c r="AE160" s="304">
        <f t="shared" si="62"/>
        <v>0.6</v>
      </c>
      <c r="AF160" s="177">
        <f t="shared" si="63"/>
        <v>0.67401428719843126</v>
      </c>
      <c r="AG160" s="799">
        <f t="shared" si="71"/>
        <v>-1</v>
      </c>
      <c r="AH160" s="176">
        <f t="shared" si="64"/>
        <v>5</v>
      </c>
      <c r="AI160" s="224">
        <f t="shared" si="65"/>
        <v>-0.32598571280156874</v>
      </c>
      <c r="AJ160" s="264" t="b">
        <f t="shared" si="66"/>
        <v>0</v>
      </c>
      <c r="AK160" s="264" t="b">
        <f t="shared" si="67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8"/>
        <v>44343</v>
      </c>
      <c r="B161" s="607">
        <v>55.873000000000005</v>
      </c>
      <c r="C161" s="388"/>
      <c r="D161" s="391">
        <f t="shared" si="48"/>
        <v>56.787371906911581</v>
      </c>
      <c r="E161" s="383">
        <f t="shared" si="69"/>
        <v>61.53135954956155</v>
      </c>
      <c r="F161" s="383">
        <f t="shared" si="49"/>
        <v>61.53135954956155</v>
      </c>
      <c r="G161" s="110">
        <f t="shared" si="70"/>
        <v>0.97439871112124676</v>
      </c>
      <c r="H161" s="412" t="b">
        <f>Wh_hp&gt;='2020'!Maxi_hp</f>
        <v>0</v>
      </c>
      <c r="I161" s="379">
        <f>IF(H161,Wh_hp,'2020'!Maxi_hp)</f>
        <v>61.558653979625923</v>
      </c>
      <c r="J161" s="85">
        <f>IF(H161,An,'2020'!An_max)</f>
        <v>2020</v>
      </c>
      <c r="K161" s="197">
        <f t="shared" si="50"/>
        <v>44343</v>
      </c>
      <c r="L161" s="147">
        <f>IF(t&lt;Tvie,1-EXP((T0-t)*PertePVj)+'2020'!Pspv,1-EXP((T0-t)*PertePVj)+Pspv)</f>
        <v>1.610167676733576E-2</v>
      </c>
      <c r="M161" s="832"/>
      <c r="N161" s="832"/>
      <c r="O161" s="48">
        <f>IF(t&lt;Tnet,'2020'!Resal+('2020'!Salim-'2020'!Resal)*(1-EXP(('2020'!Tnet-t)/('2020'!Tau_j))),Resal+(Salim-Resal)*(1-EXP((Tnet-t)/(Tau_j))))*Salcycl</f>
        <v>7.7098696947023163E-2</v>
      </c>
      <c r="P161" s="169">
        <f>(INDEX(Models!$BJ161:$BT161,,T161)*(1-R161)+INDEX(Models!$BJ161:$BT161,,T161+1)*R161-ERP_i)*Q161*Ramure*Pc/MaxiM</f>
        <v>-1.4579306235209561E-20</v>
      </c>
      <c r="Q161" s="304">
        <f t="shared" si="51"/>
        <v>0.6</v>
      </c>
      <c r="R161" s="177">
        <f t="shared" si="52"/>
        <v>0.6787289345894072</v>
      </c>
      <c r="S161" s="799">
        <f t="shared" si="53"/>
        <v>-1</v>
      </c>
      <c r="T161" s="176">
        <f t="shared" si="54"/>
        <v>5</v>
      </c>
      <c r="U161" s="250">
        <f t="shared" si="55"/>
        <v>-0.32127106541059286</v>
      </c>
      <c r="V161" s="382">
        <f t="shared" si="56"/>
        <v>57.341003597702418</v>
      </c>
      <c r="W161" s="400"/>
      <c r="X161" s="157">
        <f t="shared" si="57"/>
        <v>44343</v>
      </c>
      <c r="Y161" s="383">
        <f t="shared" si="58"/>
        <v>55.873000000000005</v>
      </c>
      <c r="Z161" s="383">
        <f t="shared" si="59"/>
        <v>56.787371906911581</v>
      </c>
      <c r="AA161" s="384">
        <f t="shared" si="60"/>
        <v>61.53135954956155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7.7098696947023163E-2</v>
      </c>
      <c r="AD161" s="230">
        <f>(INDEX(Models!$BJ161:$BT161,,AH161)*(1-AF161)+INDEX(Models!$BJ161:$BT161,,AH161+1)*AF161-ERP_i)*AE161*Ramure*Pc/MaxiM</f>
        <v>-1.4579306235209561E-20</v>
      </c>
      <c r="AE161" s="304">
        <f t="shared" si="62"/>
        <v>0.6</v>
      </c>
      <c r="AF161" s="177">
        <f t="shared" si="63"/>
        <v>0.6787289345894072</v>
      </c>
      <c r="AG161" s="799">
        <f t="shared" si="71"/>
        <v>-1</v>
      </c>
      <c r="AH161" s="176">
        <f t="shared" si="64"/>
        <v>5</v>
      </c>
      <c r="AI161" s="224">
        <f t="shared" si="65"/>
        <v>-0.32127106541059286</v>
      </c>
      <c r="AJ161" s="264" t="b">
        <f t="shared" si="66"/>
        <v>0</v>
      </c>
      <c r="AK161" s="264" t="b">
        <f t="shared" si="67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8"/>
        <v>44344</v>
      </c>
      <c r="B162" s="607">
        <v>50.036000000000001</v>
      </c>
      <c r="C162" s="388"/>
      <c r="D162" s="391">
        <f t="shared" si="48"/>
        <v>50.855822970104427</v>
      </c>
      <c r="E162" s="383">
        <f t="shared" si="69"/>
        <v>55.118014809170752</v>
      </c>
      <c r="F162" s="383">
        <f t="shared" si="49"/>
        <v>55.118014809170752</v>
      </c>
      <c r="G162" s="110">
        <f t="shared" si="70"/>
        <v>0.87296997568326895</v>
      </c>
      <c r="H162" s="412" t="b">
        <f>Wh_hp&gt;='2020'!Maxi_hp</f>
        <v>0</v>
      </c>
      <c r="I162" s="379">
        <f>IF(H162,Wh_hp,'2020'!Maxi_hp)</f>
        <v>60.976736931549574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1.612053295423721E-2</v>
      </c>
      <c r="M162" s="832"/>
      <c r="N162" s="832"/>
      <c r="O162" s="48">
        <f>IF(t&lt;Tnet,'2020'!Resal+('2020'!Salim-'2020'!Resal)*(1-EXP(('2020'!Tnet-t)/('2020'!Tau_j))),Resal+(Salim-Resal)*(1-EXP((Tnet-t)/(Tau_j))))*Salcycl</f>
        <v>7.7328471531909512E-2</v>
      </c>
      <c r="P162" s="169">
        <f>(INDEX(Models!$BJ162:$BT162,,T162)*(1-R162)+INDEX(Models!$BJ162:$BT162,,T162+1)*R162-ERP_i)*Q162*Ramure*Pc/MaxiM</f>
        <v>-1.4714150153140091E-20</v>
      </c>
      <c r="Q162" s="304">
        <f t="shared" si="51"/>
        <v>0.6</v>
      </c>
      <c r="R162" s="177">
        <f t="shared" si="52"/>
        <v>0.68349813697094952</v>
      </c>
      <c r="S162" s="799">
        <f t="shared" si="53"/>
        <v>-1</v>
      </c>
      <c r="T162" s="176">
        <f t="shared" si="54"/>
        <v>5</v>
      </c>
      <c r="U162" s="250">
        <f t="shared" si="55"/>
        <v>-0.31650186302905048</v>
      </c>
      <c r="V162" s="382">
        <f t="shared" si="56"/>
        <v>57.316976979462666</v>
      </c>
      <c r="W162" s="400"/>
      <c r="X162" s="157">
        <f t="shared" si="57"/>
        <v>44344</v>
      </c>
      <c r="Y162" s="383">
        <f t="shared" si="58"/>
        <v>50.036000000000001</v>
      </c>
      <c r="Z162" s="383">
        <f t="shared" si="59"/>
        <v>50.855822970104427</v>
      </c>
      <c r="AA162" s="384">
        <f t="shared" si="60"/>
        <v>55.118014809170752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7.7328471531909512E-2</v>
      </c>
      <c r="AD162" s="230">
        <f>(INDEX(Models!$BJ162:$BT162,,AH162)*(1-AF162)+INDEX(Models!$BJ162:$BT162,,AH162+1)*AF162-ERP_i)*AE162*Ramure*Pc/MaxiM</f>
        <v>-1.4714150153140091E-20</v>
      </c>
      <c r="AE162" s="304">
        <f t="shared" si="62"/>
        <v>0.6</v>
      </c>
      <c r="AF162" s="177">
        <f t="shared" si="63"/>
        <v>0.68349813697094952</v>
      </c>
      <c r="AG162" s="799">
        <f t="shared" si="71"/>
        <v>-1</v>
      </c>
      <c r="AH162" s="176">
        <f t="shared" si="64"/>
        <v>5</v>
      </c>
      <c r="AI162" s="224">
        <f t="shared" si="65"/>
        <v>-0.31650186302905048</v>
      </c>
      <c r="AJ162" s="264" t="b">
        <f t="shared" si="66"/>
        <v>0</v>
      </c>
      <c r="AK162" s="264" t="b">
        <f t="shared" si="67"/>
        <v>0</v>
      </c>
      <c r="AL162" s="264"/>
      <c r="AM162" s="264"/>
      <c r="AN162" s="75"/>
    </row>
    <row r="163" spans="1:40" s="6" customFormat="1" ht="11.25" x14ac:dyDescent="0.2">
      <c r="A163" s="56">
        <f t="shared" si="68"/>
        <v>44345</v>
      </c>
      <c r="B163" s="607">
        <v>31.716000000000001</v>
      </c>
      <c r="C163" s="388"/>
      <c r="D163" s="391">
        <f t="shared" si="48"/>
        <v>32.236273754941919</v>
      </c>
      <c r="E163" s="383">
        <f t="shared" si="69"/>
        <v>34.946662494529541</v>
      </c>
      <c r="F163" s="383">
        <f t="shared" si="49"/>
        <v>34.946662494529541</v>
      </c>
      <c r="G163" s="110">
        <f t="shared" si="70"/>
        <v>0.55359771969580984</v>
      </c>
      <c r="H163" s="412" t="b">
        <f>Wh_hp&gt;='2020'!Maxi_hp</f>
        <v>0</v>
      </c>
      <c r="I163" s="379">
        <f>IF(H163,Wh_hp,'2020'!Maxi_hp)</f>
        <v>60.949608703744261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1.6139388779764174E-2</v>
      </c>
      <c r="M163" s="832"/>
      <c r="N163" s="832"/>
      <c r="O163" s="48">
        <f>IF(t&lt;Tnet,'2020'!Resal+('2020'!Salim-'2020'!Resal)*(1-EXP(('2020'!Tnet-t)/('2020'!Tau_j))),Resal+(Salim-Resal)*(1-EXP((Tnet-t)/(Tau_j))))*Salcycl</f>
        <v>7.7557870941521154E-2</v>
      </c>
      <c r="P163" s="169">
        <f>(INDEX(Models!$BJ163:$BT163,,T163)*(1-R163)+INDEX(Models!$BJ163:$BT163,,T163+1)*R163-ERP_i)*Q163*Ramure*Pc/MaxiM</f>
        <v>0</v>
      </c>
      <c r="Q163" s="304">
        <f t="shared" si="51"/>
        <v>0.6</v>
      </c>
      <c r="R163" s="177">
        <f t="shared" si="52"/>
        <v>0.6883187518021715</v>
      </c>
      <c r="S163" s="799">
        <f t="shared" si="53"/>
        <v>-1</v>
      </c>
      <c r="T163" s="176">
        <f t="shared" si="54"/>
        <v>5</v>
      </c>
      <c r="U163" s="250">
        <f t="shared" si="55"/>
        <v>-0.3116812481978285</v>
      </c>
      <c r="V163" s="382">
        <f t="shared" si="56"/>
        <v>57.29069841080139</v>
      </c>
      <c r="W163" s="400"/>
      <c r="X163" s="157">
        <f t="shared" si="57"/>
        <v>44345</v>
      </c>
      <c r="Y163" s="383">
        <f t="shared" si="58"/>
        <v>31.716000000000005</v>
      </c>
      <c r="Z163" s="383">
        <f t="shared" si="59"/>
        <v>32.236273754941919</v>
      </c>
      <c r="AA163" s="384">
        <f t="shared" si="60"/>
        <v>34.946662494529541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7.7557870941521154E-2</v>
      </c>
      <c r="AD163" s="230">
        <f>(INDEX(Models!$BJ163:$BT163,,AH163)*(1-AF163)+INDEX(Models!$BJ163:$BT163,,AH163+1)*AF163-ERP_i)*AE163*Ramure*Pc/MaxiM</f>
        <v>0</v>
      </c>
      <c r="AE163" s="304">
        <f t="shared" si="62"/>
        <v>0.6</v>
      </c>
      <c r="AF163" s="177">
        <f t="shared" si="63"/>
        <v>0.6883187518021715</v>
      </c>
      <c r="AG163" s="799">
        <f t="shared" si="71"/>
        <v>-1</v>
      </c>
      <c r="AH163" s="176">
        <f t="shared" si="64"/>
        <v>5</v>
      </c>
      <c r="AI163" s="224">
        <f t="shared" si="65"/>
        <v>-0.3116812481978285</v>
      </c>
      <c r="AJ163" s="264" t="b">
        <f t="shared" si="66"/>
        <v>0</v>
      </c>
      <c r="AK163" s="264" t="b">
        <f t="shared" si="67"/>
        <v>0</v>
      </c>
      <c r="AL163" s="264"/>
      <c r="AM163" s="264"/>
      <c r="AN163" s="75"/>
    </row>
    <row r="164" spans="1:40" s="6" customFormat="1" ht="11.25" x14ac:dyDescent="0.2">
      <c r="A164" s="56">
        <f t="shared" si="68"/>
        <v>44346</v>
      </c>
      <c r="B164" s="607">
        <v>50.578000000000003</v>
      </c>
      <c r="C164" s="388"/>
      <c r="D164" s="391">
        <f t="shared" si="48"/>
        <v>51.408673909282406</v>
      </c>
      <c r="E164" s="383">
        <f t="shared" si="69"/>
        <v>55.744892205877562</v>
      </c>
      <c r="F164" s="383">
        <f t="shared" si="49"/>
        <v>55.744892205877562</v>
      </c>
      <c r="G164" s="110">
        <f t="shared" si="70"/>
        <v>0.88327621837885162</v>
      </c>
      <c r="H164" s="412" t="b">
        <f>Wh_hp&gt;='2020'!Maxi_hp</f>
        <v>0</v>
      </c>
      <c r="I164" s="379">
        <f>IF(H164,Wh_hp,'2020'!Maxi_hp)</f>
        <v>59.216456207612119</v>
      </c>
      <c r="J164" s="85">
        <f>IF(H164,An,'2020'!An_max)</f>
        <v>2020</v>
      </c>
      <c r="K164" s="197">
        <f t="shared" si="50"/>
        <v>44346</v>
      </c>
      <c r="L164" s="147">
        <f>IF(t&lt;Tvie,1-EXP((T0-t)*PertePVj)+'2020'!Pspv,1-EXP((T0-t)*PertePVj)+Pspv)</f>
        <v>1.6158244243923536E-2</v>
      </c>
      <c r="M164" s="832"/>
      <c r="N164" s="832"/>
      <c r="O164" s="48">
        <f>IF(t&lt;Tnet,'2020'!Resal+('2020'!Salim-'2020'!Resal)*(1-EXP(('2020'!Tnet-t)/('2020'!Tau_j))),Resal+(Salim-Resal)*(1-EXP((Tnet-t)/(Tau_j))))*Salcycl</f>
        <v>7.7786827187333915E-2</v>
      </c>
      <c r="P164" s="169">
        <f>(INDEX(Models!$BJ164:$BT164,,T164)*(1-R164)+INDEX(Models!$BJ164:$BT164,,T164+1)*R164-ERP_i)*Q164*Ramure*Pc/MaxiM</f>
        <v>0</v>
      </c>
      <c r="Q164" s="304">
        <f t="shared" si="51"/>
        <v>0.6</v>
      </c>
      <c r="R164" s="177">
        <f t="shared" si="52"/>
        <v>0.69318748074225911</v>
      </c>
      <c r="S164" s="799">
        <f t="shared" si="53"/>
        <v>-1</v>
      </c>
      <c r="T164" s="176">
        <f t="shared" si="54"/>
        <v>5</v>
      </c>
      <c r="U164" s="250">
        <f t="shared" si="55"/>
        <v>-0.30681251925774095</v>
      </c>
      <c r="V164" s="382">
        <f t="shared" si="56"/>
        <v>57.261815667164576</v>
      </c>
      <c r="W164" s="400"/>
      <c r="X164" s="157">
        <f t="shared" si="57"/>
        <v>44346</v>
      </c>
      <c r="Y164" s="383">
        <f t="shared" si="58"/>
        <v>50.578000000000003</v>
      </c>
      <c r="Z164" s="383">
        <f t="shared" si="59"/>
        <v>51.408673909282406</v>
      </c>
      <c r="AA164" s="384">
        <f t="shared" si="60"/>
        <v>55.744892205877562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7.7786827187333915E-2</v>
      </c>
      <c r="AD164" s="230">
        <f>(INDEX(Models!$BJ164:$BT164,,AH164)*(1-AF164)+INDEX(Models!$BJ164:$BT164,,AH164+1)*AF164-ERP_i)*AE164*Ramure*Pc/MaxiM</f>
        <v>0</v>
      </c>
      <c r="AE164" s="304">
        <f t="shared" si="62"/>
        <v>0.6</v>
      </c>
      <c r="AF164" s="177">
        <f t="shared" si="63"/>
        <v>0.69318748074225911</v>
      </c>
      <c r="AG164" s="799">
        <f t="shared" si="71"/>
        <v>-1</v>
      </c>
      <c r="AH164" s="176">
        <f t="shared" si="64"/>
        <v>5</v>
      </c>
      <c r="AI164" s="224">
        <f t="shared" si="65"/>
        <v>-0.30681251925774095</v>
      </c>
      <c r="AJ164" s="264" t="b">
        <f t="shared" si="66"/>
        <v>0</v>
      </c>
      <c r="AK164" s="264" t="b">
        <f t="shared" si="67"/>
        <v>0</v>
      </c>
      <c r="AL164" s="264"/>
      <c r="AM164" s="264"/>
      <c r="AN164" s="75"/>
    </row>
    <row r="165" spans="1:40" s="6" customFormat="1" ht="11.25" x14ac:dyDescent="0.2">
      <c r="A165" s="56">
        <f t="shared" si="68"/>
        <v>44347</v>
      </c>
      <c r="B165" s="607">
        <v>54.56</v>
      </c>
      <c r="C165" s="388"/>
      <c r="D165" s="391">
        <f t="shared" si="48"/>
        <v>55.457135591955712</v>
      </c>
      <c r="E165" s="383">
        <f t="shared" si="69"/>
        <v>60.149733395542178</v>
      </c>
      <c r="F165" s="383">
        <f t="shared" si="49"/>
        <v>60.149733395542178</v>
      </c>
      <c r="G165" s="110">
        <f t="shared" si="70"/>
        <v>0.95333893799065794</v>
      </c>
      <c r="H165" s="412" t="b">
        <f>Wh_hp&gt;='2020'!Maxi_hp</f>
        <v>0</v>
      </c>
      <c r="I165" s="379">
        <f>IF(H165,Wh_hp,'2020'!Maxi_hp)</f>
        <v>62.494074168087401</v>
      </c>
      <c r="J165" s="85">
        <f>IF(H165,An,'2020'!An_max)</f>
        <v>2020</v>
      </c>
      <c r="K165" s="197">
        <f t="shared" si="50"/>
        <v>44347</v>
      </c>
      <c r="L165" s="147">
        <f>IF(t&lt;Tvie,1-EXP((T0-t)*PertePVj)+'2020'!Pspv,1-EXP((T0-t)*PertePVj)+Pspv)</f>
        <v>1.6177099346722179E-2</v>
      </c>
      <c r="M165" s="832"/>
      <c r="N165" s="832"/>
      <c r="O165" s="48">
        <f>IF(t&lt;Tnet,'2020'!Resal+('2020'!Salim-'2020'!Resal)*(1-EXP(('2020'!Tnet-t)/('2020'!Tau_j))),Resal+(Salim-Resal)*(1-EXP((Tnet-t)/(Tau_j))))*Salcycl</f>
        <v>7.8015271867094393E-2</v>
      </c>
      <c r="P165" s="169">
        <f>(INDEX(Models!$BJ165:$BT165,,T165)*(1-R165)+INDEX(Models!$BJ165:$BT165,,T165+1)*R165-ERP_i)*Q165*Ramure*Pc/MaxiM</f>
        <v>1.5118919028189246E-20</v>
      </c>
      <c r="Q165" s="304">
        <f t="shared" si="51"/>
        <v>0.6</v>
      </c>
      <c r="R165" s="177">
        <f t="shared" si="52"/>
        <v>0.69810087729188575</v>
      </c>
      <c r="S165" s="799">
        <f t="shared" si="53"/>
        <v>-1</v>
      </c>
      <c r="T165" s="176">
        <f t="shared" si="54"/>
        <v>5</v>
      </c>
      <c r="U165" s="250">
        <f t="shared" si="55"/>
        <v>-0.30189912270811425</v>
      </c>
      <c r="V165" s="382">
        <f t="shared" si="56"/>
        <v>57.230432772415149</v>
      </c>
      <c r="W165" s="400"/>
      <c r="X165" s="157">
        <f t="shared" si="57"/>
        <v>44347</v>
      </c>
      <c r="Y165" s="383">
        <f t="shared" si="58"/>
        <v>54.56</v>
      </c>
      <c r="Z165" s="383">
        <f t="shared" si="59"/>
        <v>55.457135591955712</v>
      </c>
      <c r="AA165" s="384">
        <f t="shared" si="60"/>
        <v>60.149733395542178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7.8015271867094393E-2</v>
      </c>
      <c r="AD165" s="230">
        <f>(INDEX(Models!$BJ165:$BT165,,AH165)*(1-AF165)+INDEX(Models!$BJ165:$BT165,,AH165+1)*AF165-ERP_i)*AE165*Ramure*Pc/MaxiM</f>
        <v>1.5118919028189246E-20</v>
      </c>
      <c r="AE165" s="304">
        <f t="shared" si="62"/>
        <v>0.6</v>
      </c>
      <c r="AF165" s="177">
        <f t="shared" si="63"/>
        <v>0.69810087729188575</v>
      </c>
      <c r="AG165" s="799">
        <f t="shared" si="71"/>
        <v>-1</v>
      </c>
      <c r="AH165" s="176">
        <f t="shared" si="64"/>
        <v>5</v>
      </c>
      <c r="AI165" s="224">
        <f t="shared" si="65"/>
        <v>-0.30189912270811425</v>
      </c>
      <c r="AJ165" s="264" t="b">
        <f t="shared" si="66"/>
        <v>0</v>
      </c>
      <c r="AK165" s="264" t="b">
        <f t="shared" si="67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8"/>
        <v>44348</v>
      </c>
      <c r="B166" s="607">
        <v>35.72</v>
      </c>
      <c r="C166" s="388"/>
      <c r="D166" s="391">
        <f t="shared" si="48"/>
        <v>36.308043404002397</v>
      </c>
      <c r="E166" s="383">
        <f t="shared" si="69"/>
        <v>39.390043989202752</v>
      </c>
      <c r="F166" s="383">
        <f t="shared" si="49"/>
        <v>39.390043989202752</v>
      </c>
      <c r="G166" s="110">
        <f t="shared" si="70"/>
        <v>0.62451206016369154</v>
      </c>
      <c r="H166" s="412" t="b">
        <f>Wh_hp&gt;='2020'!Maxi_hp</f>
        <v>0</v>
      </c>
      <c r="I166" s="379">
        <f>IF(H166,Wh_hp,'2020'!Maxi_hp)</f>
        <v>63.527407036379969</v>
      </c>
      <c r="J166" s="85">
        <f>IF(H166,An,'2020'!An_max)</f>
        <v>2018</v>
      </c>
      <c r="K166" s="197">
        <f t="shared" si="50"/>
        <v>44348</v>
      </c>
      <c r="L166" s="147">
        <f>IF(t&lt;Tvie,1-EXP((T0-t)*PertePVj)+'2020'!Pspv,1-EXP((T0-t)*PertePVj)+Pspv)</f>
        <v>1.6195954088167097E-2</v>
      </c>
      <c r="M166" s="832"/>
      <c r="N166" s="832"/>
      <c r="O166" s="48">
        <f>IF(t&lt;Tnet,'2020'!Resal+('2020'!Salim-'2020'!Resal)*(1-EXP(('2020'!Tnet-t)/('2020'!Tau_j))),Resal+(Salim-Resal)*(1-EXP((Tnet-t)/(Tau_j))))*Salcycl</f>
        <v>7.8243136413992373E-2</v>
      </c>
      <c r="P166" s="169">
        <f>(INDEX(Models!$BJ166:$BT166,,T166)*(1-R166)+INDEX(Models!$BJ166:$BT166,,T166+1)*R166-ERP_i)*Q166*Ramure*Pc/MaxiM</f>
        <v>0</v>
      </c>
      <c r="Q166" s="304">
        <f t="shared" si="51"/>
        <v>0.6</v>
      </c>
      <c r="R166" s="177">
        <f t="shared" si="52"/>
        <v>0.70305535536896802</v>
      </c>
      <c r="S166" s="799">
        <f t="shared" si="53"/>
        <v>-1</v>
      </c>
      <c r="T166" s="176">
        <f t="shared" si="54"/>
        <v>5</v>
      </c>
      <c r="U166" s="250">
        <f t="shared" si="55"/>
        <v>-0.29694464463103193</v>
      </c>
      <c r="V166" s="382">
        <f t="shared" si="56"/>
        <v>57.196653641304209</v>
      </c>
      <c r="W166" s="400"/>
      <c r="X166" s="157">
        <f t="shared" si="57"/>
        <v>44348</v>
      </c>
      <c r="Y166" s="383">
        <f t="shared" si="58"/>
        <v>35.72</v>
      </c>
      <c r="Z166" s="383">
        <f t="shared" si="59"/>
        <v>36.308043404002397</v>
      </c>
      <c r="AA166" s="384">
        <f t="shared" si="60"/>
        <v>39.390043989202752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7.8243136413992373E-2</v>
      </c>
      <c r="AD166" s="230">
        <f>(INDEX(Models!$BJ166:$BT166,,AH166)*(1-AF166)+INDEX(Models!$BJ166:$BT166,,AH166+1)*AF166-ERP_i)*AE166*Ramure*Pc/MaxiM</f>
        <v>0</v>
      </c>
      <c r="AE166" s="304">
        <f t="shared" si="62"/>
        <v>0.6</v>
      </c>
      <c r="AF166" s="177">
        <f t="shared" si="63"/>
        <v>0.70305535536896802</v>
      </c>
      <c r="AG166" s="799">
        <f t="shared" si="71"/>
        <v>-1</v>
      </c>
      <c r="AH166" s="176">
        <f t="shared" si="64"/>
        <v>5</v>
      </c>
      <c r="AI166" s="224">
        <f t="shared" si="65"/>
        <v>-0.29694464463103193</v>
      </c>
      <c r="AJ166" s="264" t="b">
        <f t="shared" si="66"/>
        <v>0</v>
      </c>
      <c r="AK166" s="264" t="b">
        <f t="shared" si="67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8"/>
        <v>44349</v>
      </c>
      <c r="B167" s="607">
        <v>40.816000000000003</v>
      </c>
      <c r="C167" s="388"/>
      <c r="D167" s="391">
        <f t="shared" si="48"/>
        <v>41.488731840383032</v>
      </c>
      <c r="E167" s="383">
        <f t="shared" si="69"/>
        <v>45.02159203046439</v>
      </c>
      <c r="F167" s="383">
        <f t="shared" si="49"/>
        <v>45.02159203046439</v>
      </c>
      <c r="G167" s="110">
        <f t="shared" si="70"/>
        <v>0.71405850896143874</v>
      </c>
      <c r="H167" s="412" t="b">
        <f>Wh_hp&gt;='2020'!Maxi_hp</f>
        <v>0</v>
      </c>
      <c r="I167" s="379">
        <f>IF(H167,Wh_hp,'2020'!Maxi_hp)</f>
        <v>63.013679668505368</v>
      </c>
      <c r="J167" s="85">
        <f>IF(H167,An,'2020'!An_max)</f>
        <v>2018</v>
      </c>
      <c r="K167" s="197">
        <f t="shared" si="50"/>
        <v>44349</v>
      </c>
      <c r="L167" s="147">
        <f>IF(t&lt;Tvie,1-EXP((T0-t)*PertePVj)+'2020'!Pspv,1-EXP((T0-t)*PertePVj)+Pspv)</f>
        <v>1.6214808468265285E-2</v>
      </c>
      <c r="M167" s="832"/>
      <c r="N167" s="832"/>
      <c r="O167" s="48">
        <f>IF(t&lt;Tnet,'2020'!Resal+('2020'!Salim-'2020'!Resal)*(1-EXP(('2020'!Tnet-t)/('2020'!Tau_j))),Resal+(Salim-Resal)*(1-EXP((Tnet-t)/(Tau_j))))*Salcycl</f>
        <v>7.847035235206265E-2</v>
      </c>
      <c r="P167" s="169">
        <f>(INDEX(Models!$BJ167:$BT167,,T167)*(1-R167)+INDEX(Models!$BJ167:$BT167,,T167+1)*R167-ERP_i)*Q167*Ramure*Pc/MaxiM</f>
        <v>0</v>
      </c>
      <c r="Q167" s="304">
        <f t="shared" si="51"/>
        <v>0.6</v>
      </c>
      <c r="R167" s="177">
        <f t="shared" si="52"/>
        <v>0.70804719878338063</v>
      </c>
      <c r="S167" s="799">
        <f t="shared" si="53"/>
        <v>-1</v>
      </c>
      <c r="T167" s="176">
        <f t="shared" si="54"/>
        <v>5</v>
      </c>
      <c r="U167" s="250">
        <f t="shared" si="55"/>
        <v>-0.29195280121661937</v>
      </c>
      <c r="V167" s="382">
        <f t="shared" si="56"/>
        <v>57.160582064017092</v>
      </c>
      <c r="W167" s="400"/>
      <c r="X167" s="157">
        <f t="shared" si="57"/>
        <v>44349</v>
      </c>
      <c r="Y167" s="383">
        <f t="shared" si="58"/>
        <v>40.816000000000003</v>
      </c>
      <c r="Z167" s="383">
        <f t="shared" si="59"/>
        <v>41.488731840383032</v>
      </c>
      <c r="AA167" s="384">
        <f t="shared" si="60"/>
        <v>45.02159203046439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7.847035235206265E-2</v>
      </c>
      <c r="AD167" s="230">
        <f>(INDEX(Models!$BJ167:$BT167,,AH167)*(1-AF167)+INDEX(Models!$BJ167:$BT167,,AH167+1)*AF167-ERP_i)*AE167*Ramure*Pc/MaxiM</f>
        <v>0</v>
      </c>
      <c r="AE167" s="304">
        <f t="shared" si="62"/>
        <v>0.6</v>
      </c>
      <c r="AF167" s="177">
        <f t="shared" si="63"/>
        <v>0.70804719878338063</v>
      </c>
      <c r="AG167" s="799">
        <f t="shared" si="71"/>
        <v>-1</v>
      </c>
      <c r="AH167" s="176">
        <f t="shared" si="64"/>
        <v>5</v>
      </c>
      <c r="AI167" s="224">
        <f t="shared" si="65"/>
        <v>-0.29195280121661937</v>
      </c>
      <c r="AJ167" s="264" t="b">
        <f t="shared" si="66"/>
        <v>0</v>
      </c>
      <c r="AK167" s="264" t="b">
        <f t="shared" si="67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8"/>
        <v>44350</v>
      </c>
      <c r="B168" s="607">
        <v>52.942999999999998</v>
      </c>
      <c r="C168" s="388"/>
      <c r="D168" s="391">
        <f t="shared" si="48"/>
        <v>53.816641189251555</v>
      </c>
      <c r="E168" s="383">
        <f t="shared" si="69"/>
        <v>58.413608246276311</v>
      </c>
      <c r="F168" s="383">
        <f t="shared" si="49"/>
        <v>58.413608246276311</v>
      </c>
      <c r="G168" s="110">
        <f t="shared" si="70"/>
        <v>0.92683557728785881</v>
      </c>
      <c r="H168" s="412" t="b">
        <f>Wh_hp&gt;='2020'!Maxi_hp</f>
        <v>1</v>
      </c>
      <c r="I168" s="379">
        <f>IF(H168,Wh_hp,'2020'!Maxi_hp)</f>
        <v>58.413608246276311</v>
      </c>
      <c r="J168" s="85">
        <f>IF(H168,An,'2020'!An_max)</f>
        <v>2021</v>
      </c>
      <c r="K168" s="197">
        <f t="shared" si="50"/>
        <v>44350</v>
      </c>
      <c r="L168" s="147">
        <f>IF(t&lt;Tvie,1-EXP((T0-t)*PertePVj)+'2020'!Pspv,1-EXP((T0-t)*PertePVj)+Pspv)</f>
        <v>1.6233662487023515E-2</v>
      </c>
      <c r="M168" s="832"/>
      <c r="N168" s="832"/>
      <c r="O168" s="48">
        <f>IF(t&lt;Tnet,'2020'!Resal+('2020'!Salim-'2020'!Resal)*(1-EXP(('2020'!Tnet-t)/('2020'!Tau_j))),Resal+(Salim-Resal)*(1-EXP((Tnet-t)/(Tau_j))))*Salcycl</f>
        <v>7.8696851556294717E-2</v>
      </c>
      <c r="P168" s="169">
        <f>(INDEX(Models!$BJ168:$BT168,,T168)*(1-R168)+INDEX(Models!$BJ168:$BT168,,T168+1)*R168-ERP_i)*Q168*Ramure*Pc/MaxiM</f>
        <v>0</v>
      </c>
      <c r="Q168" s="304">
        <f t="shared" si="51"/>
        <v>0.6</v>
      </c>
      <c r="R168" s="177">
        <f t="shared" si="52"/>
        <v>0.71307257156565251</v>
      </c>
      <c r="S168" s="799">
        <f t="shared" si="53"/>
        <v>-1</v>
      </c>
      <c r="T168" s="176">
        <f t="shared" si="54"/>
        <v>5</v>
      </c>
      <c r="U168" s="250">
        <f t="shared" si="55"/>
        <v>-0.28692742843434749</v>
      </c>
      <c r="V168" s="382">
        <f t="shared" si="56"/>
        <v>57.1223216904597</v>
      </c>
      <c r="W168" s="400"/>
      <c r="X168" s="157">
        <f t="shared" si="57"/>
        <v>44350</v>
      </c>
      <c r="Y168" s="383">
        <f t="shared" si="58"/>
        <v>52.942999999999998</v>
      </c>
      <c r="Z168" s="383">
        <f t="shared" si="59"/>
        <v>53.816641189251555</v>
      </c>
      <c r="AA168" s="384">
        <f t="shared" si="60"/>
        <v>58.413608246276311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7.8696851556294717E-2</v>
      </c>
      <c r="AD168" s="230">
        <f>(INDEX(Models!$BJ168:$BT168,,AH168)*(1-AF168)+INDEX(Models!$BJ168:$BT168,,AH168+1)*AF168-ERP_i)*AE168*Ramure*Pc/MaxiM</f>
        <v>0</v>
      </c>
      <c r="AE168" s="304">
        <f t="shared" si="62"/>
        <v>0.6</v>
      </c>
      <c r="AF168" s="177">
        <f t="shared" si="63"/>
        <v>0.71307257156565251</v>
      </c>
      <c r="AG168" s="799">
        <f t="shared" si="71"/>
        <v>-1</v>
      </c>
      <c r="AH168" s="176">
        <f t="shared" si="64"/>
        <v>5</v>
      </c>
      <c r="AI168" s="224">
        <f t="shared" si="65"/>
        <v>-0.28692742843434749</v>
      </c>
      <c r="AJ168" s="264" t="b">
        <f t="shared" si="66"/>
        <v>0</v>
      </c>
      <c r="AK168" s="264" t="b">
        <f t="shared" si="67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8"/>
        <v>44351</v>
      </c>
      <c r="B169" s="607">
        <v>7.3120000000000003</v>
      </c>
      <c r="C169" s="388"/>
      <c r="D169" s="391">
        <f t="shared" si="48"/>
        <v>7.4328017301172169</v>
      </c>
      <c r="E169" s="383">
        <f t="shared" si="69"/>
        <v>8.0696817226335149</v>
      </c>
      <c r="F169" s="383">
        <f t="shared" si="49"/>
        <v>8.0696817226335149</v>
      </c>
      <c r="G169" s="110">
        <f t="shared" si="70"/>
        <v>0.12809647652633818</v>
      </c>
      <c r="H169" s="412" t="b">
        <f>Wh_hp&gt;='2020'!Maxi_hp</f>
        <v>0</v>
      </c>
      <c r="I169" s="379">
        <f>IF(H169,Wh_hp,'2020'!Maxi_hp)</f>
        <v>59.234814387524935</v>
      </c>
      <c r="J169" s="85">
        <f>IF(H169,An,'2020'!An_max)</f>
        <v>2018</v>
      </c>
      <c r="K169" s="197">
        <f t="shared" si="50"/>
        <v>44351</v>
      </c>
      <c r="L169" s="147">
        <f>IF(t&lt;Tvie,1-EXP((T0-t)*PertePVj)+'2020'!Pspv,1-EXP((T0-t)*PertePVj)+Pspv)</f>
        <v>1.6252516144448781E-2</v>
      </c>
      <c r="M169" s="832"/>
      <c r="N169" s="832"/>
      <c r="O169" s="48">
        <f>IF(t&lt;Tnet,'2020'!Resal+('2020'!Salim-'2020'!Resal)*(1-EXP(('2020'!Tnet-t)/('2020'!Tau_j))),Resal+(Salim-Resal)*(1-EXP((Tnet-t)/(Tau_j))))*Salcycl</f>
        <v>7.8922566515851833E-2</v>
      </c>
      <c r="P169" s="169">
        <f>(INDEX(Models!$BJ169:$BT169,,T169)*(1-R169)+INDEX(Models!$BJ169:$BT169,,T169+1)*R169-ERP_i)*Q169*Ramure*Pc/MaxiM</f>
        <v>1.5653625717230827E-20</v>
      </c>
      <c r="Q169" s="304">
        <f t="shared" si="51"/>
        <v>0.6</v>
      </c>
      <c r="R169" s="177">
        <f t="shared" si="52"/>
        <v>0.7181275290953123</v>
      </c>
      <c r="S169" s="799">
        <f t="shared" si="53"/>
        <v>-1</v>
      </c>
      <c r="T169" s="176">
        <f t="shared" si="54"/>
        <v>5</v>
      </c>
      <c r="U169" s="250">
        <f t="shared" si="55"/>
        <v>-0.2818724709046877</v>
      </c>
      <c r="V169" s="382">
        <f t="shared" si="56"/>
        <v>57.08197600967241</v>
      </c>
      <c r="W169" s="400"/>
      <c r="X169" s="157">
        <f t="shared" si="57"/>
        <v>44351</v>
      </c>
      <c r="Y169" s="383">
        <f t="shared" si="58"/>
        <v>7.3120000000000012</v>
      </c>
      <c r="Z169" s="383">
        <f t="shared" si="59"/>
        <v>7.4328017301172178</v>
      </c>
      <c r="AA169" s="384">
        <f t="shared" si="60"/>
        <v>8.0696817226335149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7.8922566515851833E-2</v>
      </c>
      <c r="AD169" s="230">
        <f>(INDEX(Models!$BJ169:$BT169,,AH169)*(1-AF169)+INDEX(Models!$BJ169:$BT169,,AH169+1)*AF169-ERP_i)*AE169*Ramure*Pc/MaxiM</f>
        <v>1.5653625717230827E-20</v>
      </c>
      <c r="AE169" s="304">
        <f t="shared" si="62"/>
        <v>0.6</v>
      </c>
      <c r="AF169" s="177">
        <f t="shared" si="63"/>
        <v>0.7181275290953123</v>
      </c>
      <c r="AG169" s="799">
        <f t="shared" si="71"/>
        <v>-1</v>
      </c>
      <c r="AH169" s="176">
        <f t="shared" si="64"/>
        <v>5</v>
      </c>
      <c r="AI169" s="224">
        <f t="shared" si="65"/>
        <v>-0.2818724709046877</v>
      </c>
      <c r="AJ169" s="264" t="b">
        <f t="shared" si="66"/>
        <v>0</v>
      </c>
      <c r="AK169" s="264" t="b">
        <f t="shared" si="67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68"/>
        <v>44352</v>
      </c>
      <c r="B170" s="607">
        <v>38.616</v>
      </c>
      <c r="C170" s="388"/>
      <c r="D170" s="391">
        <f t="shared" si="48"/>
        <v>39.254728184579584</v>
      </c>
      <c r="E170" s="383">
        <f t="shared" ref="E170:E232" si="72">Wh_pvt/(1-Psa)</f>
        <v>42.628678562631272</v>
      </c>
      <c r="F170" s="383">
        <f t="shared" si="49"/>
        <v>42.628678562631272</v>
      </c>
      <c r="G170" s="110">
        <f t="shared" ref="G170:G232" si="73">+Wh_hp/MaxiM</f>
        <v>0.6770027713485044</v>
      </c>
      <c r="H170" s="412" t="b">
        <f>Wh_hp&gt;='2020'!Maxi_hp</f>
        <v>1</v>
      </c>
      <c r="I170" s="379">
        <f>IF(H170,Wh_hp,'2020'!Maxi_hp)</f>
        <v>42.628678562631272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1.6271369440547967E-2</v>
      </c>
      <c r="M170" s="832"/>
      <c r="N170" s="832"/>
      <c r="O170" s="48">
        <f>IF(t&lt;Tnet,'2020'!Resal+('2020'!Salim-'2020'!Resal)*(1-EXP(('2020'!Tnet-t)/('2020'!Tau_j))),Resal+(Salim-Resal)*(1-EXP((Tnet-t)/(Tau_j))))*Salcycl</f>
        <v>7.9147430598736121E-2</v>
      </c>
      <c r="P170" s="169">
        <f>(INDEX(Models!$BJ170:$BT170,,T170)*(1-R170)+INDEX(Models!$BJ170:$BT170,,T170+1)*R170-ERP_i)*Q170*Ramure*Pc/MaxiM</f>
        <v>1.5785288094062871E-20</v>
      </c>
      <c r="Q170" s="304">
        <f t="shared" si="51"/>
        <v>0.6</v>
      </c>
      <c r="R170" s="177">
        <f t="shared" si="52"/>
        <v>0.72320802996558431</v>
      </c>
      <c r="S170" s="799">
        <f t="shared" si="53"/>
        <v>-1</v>
      </c>
      <c r="T170" s="176">
        <f t="shared" si="54"/>
        <v>5</v>
      </c>
      <c r="U170" s="250">
        <f t="shared" si="55"/>
        <v>-0.27679197003441569</v>
      </c>
      <c r="V170" s="382">
        <f t="shared" si="56"/>
        <v>57.039648335680788</v>
      </c>
      <c r="W170" s="400"/>
      <c r="X170" s="157">
        <f t="shared" si="57"/>
        <v>44352</v>
      </c>
      <c r="Y170" s="383">
        <f t="shared" si="58"/>
        <v>38.616</v>
      </c>
      <c r="Z170" s="383">
        <f t="shared" si="59"/>
        <v>39.254728184579584</v>
      </c>
      <c r="AA170" s="384">
        <f t="shared" si="60"/>
        <v>42.628678562631272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7.9147430598736121E-2</v>
      </c>
      <c r="AD170" s="230">
        <f>(INDEX(Models!$BJ170:$BT170,,AH170)*(1-AF170)+INDEX(Models!$BJ170:$BT170,,AH170+1)*AF170-ERP_i)*AE170*Ramure*Pc/MaxiM</f>
        <v>1.5785288094062871E-20</v>
      </c>
      <c r="AE170" s="304">
        <f t="shared" si="62"/>
        <v>0.6</v>
      </c>
      <c r="AF170" s="177">
        <f t="shared" si="63"/>
        <v>0.72320802996558431</v>
      </c>
      <c r="AG170" s="799">
        <f t="shared" si="71"/>
        <v>-1</v>
      </c>
      <c r="AH170" s="176">
        <f t="shared" si="64"/>
        <v>5</v>
      </c>
      <c r="AI170" s="224">
        <f t="shared" si="65"/>
        <v>-0.27679197003441569</v>
      </c>
      <c r="AJ170" s="264" t="b">
        <f t="shared" si="66"/>
        <v>0</v>
      </c>
      <c r="AK170" s="264" t="b">
        <f t="shared" si="67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68"/>
        <v>44353</v>
      </c>
      <c r="B171" s="607">
        <v>44.477000000000004</v>
      </c>
      <c r="C171" s="388"/>
      <c r="D171" s="391">
        <f t="shared" si="48"/>
        <v>45.213538598139166</v>
      </c>
      <c r="E171" s="383">
        <f t="shared" si="72"/>
        <v>49.11159346256737</v>
      </c>
      <c r="F171" s="383">
        <f t="shared" si="49"/>
        <v>49.11159346256737</v>
      </c>
      <c r="G171" s="110">
        <f t="shared" si="73"/>
        <v>0.78036064998493715</v>
      </c>
      <c r="H171" s="412" t="b">
        <f>Wh_hp&gt;='2020'!Maxi_hp</f>
        <v>0</v>
      </c>
      <c r="I171" s="379">
        <f>IF(H171,Wh_hp,'2020'!Maxi_hp)</f>
        <v>54.411394736000254</v>
      </c>
      <c r="J171" s="85">
        <f>IF(H171,An,'2020'!An_max)</f>
        <v>2018</v>
      </c>
      <c r="K171" s="197">
        <f t="shared" si="50"/>
        <v>44353</v>
      </c>
      <c r="L171" s="147">
        <f>IF(t&lt;Tvie,1-EXP((T0-t)*PertePVj)+'2020'!Pspv,1-EXP((T0-t)*PertePVj)+Pspv)</f>
        <v>1.6290222375328067E-2</v>
      </c>
      <c r="M171" s="832"/>
      <c r="N171" s="832"/>
      <c r="O171" s="48">
        <f>IF(t&lt;Tnet,'2020'!Resal+('2020'!Salim-'2020'!Resal)*(1-EXP(('2020'!Tnet-t)/('2020'!Tau_j))),Resal+(Salim-Resal)*(1-EXP((Tnet-t)/(Tau_j))))*Salcycl</f>
        <v>7.9371378316186778E-2</v>
      </c>
      <c r="P171" s="169">
        <f>(INDEX(Models!$BJ171:$BT171,,T171)*(1-R171)+INDEX(Models!$BJ171:$BT171,,T171+1)*R171-ERP_i)*Q171*Ramure*Pc/MaxiM</f>
        <v>0</v>
      </c>
      <c r="Q171" s="304">
        <f t="shared" si="51"/>
        <v>0.6</v>
      </c>
      <c r="R171" s="177">
        <f t="shared" si="52"/>
        <v>0.72830994851272424</v>
      </c>
      <c r="S171" s="799">
        <f t="shared" si="53"/>
        <v>-1</v>
      </c>
      <c r="T171" s="176">
        <f t="shared" si="54"/>
        <v>5</v>
      </c>
      <c r="U171" s="250">
        <f t="shared" si="55"/>
        <v>-0.27169005148727576</v>
      </c>
      <c r="V171" s="382">
        <f t="shared" si="56"/>
        <v>56.995441788176421</v>
      </c>
      <c r="W171" s="400"/>
      <c r="X171" s="157">
        <f t="shared" si="57"/>
        <v>44353</v>
      </c>
      <c r="Y171" s="383">
        <f t="shared" si="58"/>
        <v>44.477000000000004</v>
      </c>
      <c r="Z171" s="383">
        <f t="shared" si="59"/>
        <v>45.213538598139166</v>
      </c>
      <c r="AA171" s="384">
        <f t="shared" si="60"/>
        <v>49.11159346256737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7.9371378316186778E-2</v>
      </c>
      <c r="AD171" s="230">
        <f>(INDEX(Models!$BJ171:$BT171,,AH171)*(1-AF171)+INDEX(Models!$BJ171:$BT171,,AH171+1)*AF171-ERP_i)*AE171*Ramure*Pc/MaxiM</f>
        <v>0</v>
      </c>
      <c r="AE171" s="304">
        <f t="shared" si="62"/>
        <v>0.6</v>
      </c>
      <c r="AF171" s="177">
        <f t="shared" si="63"/>
        <v>0.72830994851272424</v>
      </c>
      <c r="AG171" s="799">
        <f t="shared" si="71"/>
        <v>-1</v>
      </c>
      <c r="AH171" s="176">
        <f t="shared" si="64"/>
        <v>5</v>
      </c>
      <c r="AI171" s="224">
        <f t="shared" si="65"/>
        <v>-0.27169005148727576</v>
      </c>
      <c r="AJ171" s="264" t="b">
        <f t="shared" si="66"/>
        <v>0</v>
      </c>
      <c r="AK171" s="264" t="b">
        <f t="shared" si="67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68"/>
        <v>44354</v>
      </c>
      <c r="B172" s="607">
        <v>49.155999999999999</v>
      </c>
      <c r="C172" s="388"/>
      <c r="D172" s="391">
        <f t="shared" si="48"/>
        <v>49.970980465679588</v>
      </c>
      <c r="E172" s="383">
        <f t="shared" si="72"/>
        <v>54.292344061536546</v>
      </c>
      <c r="F172" s="383">
        <f t="shared" si="49"/>
        <v>54.292344061536546</v>
      </c>
      <c r="G172" s="110">
        <f t="shared" si="73"/>
        <v>0.86315130333472545</v>
      </c>
      <c r="H172" s="412" t="b">
        <f>Wh_hp&gt;='2020'!Maxi_hp</f>
        <v>1</v>
      </c>
      <c r="I172" s="379">
        <f>IF(H172,Wh_hp,'2020'!Maxi_hp)</f>
        <v>54.292344061536546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1.6309074948795965E-2</v>
      </c>
      <c r="M172" s="832"/>
      <c r="N172" s="832"/>
      <c r="O172" s="48">
        <f>IF(t&lt;Tnet,'2020'!Resal+('2020'!Salim-'2020'!Resal)*(1-EXP(('2020'!Tnet-t)/('2020'!Tau_j))),Resal+(Salim-Resal)*(1-EXP((Tnet-t)/(Tau_j))))*Salcycl</f>
        <v>7.9594345585060788E-2</v>
      </c>
      <c r="P172" s="169">
        <f>(INDEX(Models!$BJ172:$BT172,,T172)*(1-R172)+INDEX(Models!$BJ172:$BT172,,T172+1)*R172-ERP_i)*Q172*Ramure*Pc/MaxiM</f>
        <v>1.6045048105090494E-20</v>
      </c>
      <c r="Q172" s="304">
        <f t="shared" si="51"/>
        <v>0.6</v>
      </c>
      <c r="R172" s="177">
        <f t="shared" si="52"/>
        <v>0.73342908793055028</v>
      </c>
      <c r="S172" s="799">
        <f t="shared" si="53"/>
        <v>-1</v>
      </c>
      <c r="T172" s="176">
        <f t="shared" si="54"/>
        <v>5</v>
      </c>
      <c r="U172" s="250">
        <f t="shared" si="55"/>
        <v>-0.26657091206944977</v>
      </c>
      <c r="V172" s="382">
        <f t="shared" si="56"/>
        <v>56.949459277984282</v>
      </c>
      <c r="W172" s="400"/>
      <c r="X172" s="157">
        <f t="shared" si="57"/>
        <v>44354</v>
      </c>
      <c r="Y172" s="383">
        <f t="shared" si="58"/>
        <v>49.155999999999999</v>
      </c>
      <c r="Z172" s="383">
        <f t="shared" si="59"/>
        <v>49.970980465679588</v>
      </c>
      <c r="AA172" s="384">
        <f t="shared" si="60"/>
        <v>54.292344061536546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7.9594345585060788E-2</v>
      </c>
      <c r="AD172" s="230">
        <f>(INDEX(Models!$BJ172:$BT172,,AH172)*(1-AF172)+INDEX(Models!$BJ172:$BT172,,AH172+1)*AF172-ERP_i)*AE172*Ramure*Pc/MaxiM</f>
        <v>1.6045048105090494E-20</v>
      </c>
      <c r="AE172" s="304">
        <f t="shared" si="62"/>
        <v>0.6</v>
      </c>
      <c r="AF172" s="177">
        <f t="shared" si="63"/>
        <v>0.73342908793055028</v>
      </c>
      <c r="AG172" s="799">
        <f t="shared" si="71"/>
        <v>-1</v>
      </c>
      <c r="AH172" s="176">
        <f t="shared" si="64"/>
        <v>5</v>
      </c>
      <c r="AI172" s="224">
        <f t="shared" si="65"/>
        <v>-0.26657091206944977</v>
      </c>
      <c r="AJ172" s="264" t="b">
        <f t="shared" si="66"/>
        <v>0</v>
      </c>
      <c r="AK172" s="264" t="b">
        <f t="shared" si="67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68"/>
        <v>44355</v>
      </c>
      <c r="B173" s="607">
        <v>55.26</v>
      </c>
      <c r="C173" s="388"/>
      <c r="D173" s="391">
        <f t="shared" si="48"/>
        <v>56.177258179659852</v>
      </c>
      <c r="E173" s="383">
        <f t="shared" si="72"/>
        <v>61.050045058752715</v>
      </c>
      <c r="F173" s="383">
        <f t="shared" si="49"/>
        <v>61.050045058752715</v>
      </c>
      <c r="G173" s="110">
        <f t="shared" si="73"/>
        <v>0.97114672312673989</v>
      </c>
      <c r="H173" s="412" t="b">
        <f>Wh_hp&gt;='2020'!Maxi_hp</f>
        <v>0</v>
      </c>
      <c r="I173" s="379">
        <f>IF(H173,Wh_hp,'2020'!Maxi_hp)</f>
        <v>63.783632046651569</v>
      </c>
      <c r="J173" s="85">
        <f>IF(H173,An,'2020'!An_max)</f>
        <v>2018</v>
      </c>
      <c r="K173" s="197">
        <f t="shared" si="50"/>
        <v>44355</v>
      </c>
      <c r="L173" s="147">
        <f>IF(t&lt;Tvie,1-EXP((T0-t)*PertePVj)+'2020'!Pspv,1-EXP((T0-t)*PertePVj)+Pspv)</f>
        <v>1.6327927160958655E-2</v>
      </c>
      <c r="M173" s="832"/>
      <c r="N173" s="832"/>
      <c r="O173" s="48">
        <f>IF(t&lt;Tnet,'2020'!Resal+('2020'!Salim-'2020'!Resal)*(1-EXP(('2020'!Tnet-t)/('2020'!Tau_j))),Resal+(Salim-Resal)*(1-EXP((Tnet-t)/(Tau_j))))*Salcycl</f>
        <v>7.9816269986425784E-2</v>
      </c>
      <c r="P173" s="169">
        <f>(INDEX(Models!$BJ173:$BT173,,T173)*(1-R173)+INDEX(Models!$BJ173:$BT173,,T173+1)*R173-ERP_i)*Q173*Ramure*Pc/MaxiM</f>
        <v>0</v>
      </c>
      <c r="Q173" s="304">
        <f t="shared" si="51"/>
        <v>0.6</v>
      </c>
      <c r="R173" s="177">
        <f t="shared" si="52"/>
        <v>0.73856119388381669</v>
      </c>
      <c r="S173" s="799">
        <f t="shared" si="53"/>
        <v>-1</v>
      </c>
      <c r="T173" s="176">
        <f t="shared" si="54"/>
        <v>5</v>
      </c>
      <c r="U173" s="250">
        <f t="shared" si="55"/>
        <v>-0.26143880611618331</v>
      </c>
      <c r="V173" s="382">
        <f t="shared" si="56"/>
        <v>56.901803490705149</v>
      </c>
      <c r="W173" s="400"/>
      <c r="X173" s="157">
        <f t="shared" si="57"/>
        <v>44355</v>
      </c>
      <c r="Y173" s="383">
        <f t="shared" si="58"/>
        <v>55.26</v>
      </c>
      <c r="Z173" s="383">
        <f t="shared" si="59"/>
        <v>56.177258179659852</v>
      </c>
      <c r="AA173" s="384">
        <f t="shared" si="60"/>
        <v>61.050045058752715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7.9816269986425784E-2</v>
      </c>
      <c r="AD173" s="230">
        <f>(INDEX(Models!$BJ173:$BT173,,AH173)*(1-AF173)+INDEX(Models!$BJ173:$BT173,,AH173+1)*AF173-ERP_i)*AE173*Ramure*Pc/MaxiM</f>
        <v>0</v>
      </c>
      <c r="AE173" s="304">
        <f t="shared" si="62"/>
        <v>0.6</v>
      </c>
      <c r="AF173" s="177">
        <f t="shared" si="63"/>
        <v>0.73856119388381669</v>
      </c>
      <c r="AG173" s="799">
        <f t="shared" si="71"/>
        <v>-1</v>
      </c>
      <c r="AH173" s="176">
        <f t="shared" si="64"/>
        <v>5</v>
      </c>
      <c r="AI173" s="224">
        <f t="shared" si="65"/>
        <v>-0.26143880611618331</v>
      </c>
      <c r="AJ173" s="264" t="b">
        <f t="shared" si="66"/>
        <v>0</v>
      </c>
      <c r="AK173" s="264" t="b">
        <f t="shared" si="67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68"/>
        <v>44356</v>
      </c>
      <c r="B174" s="607">
        <v>54.325000000000003</v>
      </c>
      <c r="C174" s="388"/>
      <c r="D174" s="391">
        <f t="shared" si="48"/>
        <v>55.227796586102933</v>
      </c>
      <c r="E174" s="383">
        <f t="shared" si="72"/>
        <v>60.032633975701692</v>
      </c>
      <c r="F174" s="383">
        <f t="shared" si="49"/>
        <v>60.032633975701692</v>
      </c>
      <c r="G174" s="110">
        <f t="shared" si="73"/>
        <v>0.95554156012391755</v>
      </c>
      <c r="H174" s="412" t="b">
        <f>Wh_hp&gt;='2020'!Maxi_hp</f>
        <v>1</v>
      </c>
      <c r="I174" s="379">
        <f>IF(H174,Wh_hp,'2020'!Maxi_hp)</f>
        <v>60.032633975701692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1.6346779011822909E-2</v>
      </c>
      <c r="M174" s="832"/>
      <c r="N174" s="832"/>
      <c r="O174" s="48">
        <f>IF(t&lt;Tnet,'2020'!Resal+('2020'!Salim-'2020'!Resal)*(1-EXP(('2020'!Tnet-t)/('2020'!Tau_j))),Resal+(Salim-Resal)*(1-EXP((Tnet-t)/(Tau_j))))*Salcycl</f>
        <v>8.0037091018587012E-2</v>
      </c>
      <c r="P174" s="169">
        <f>(INDEX(Models!$BJ174:$BT174,,T174)*(1-R174)+INDEX(Models!$BJ174:$BT174,,T174+1)*R174-ERP_i)*Q174*Ramure*Pc/MaxiM</f>
        <v>0</v>
      </c>
      <c r="Q174" s="304">
        <f t="shared" si="51"/>
        <v>0.6</v>
      </c>
      <c r="R174" s="177">
        <f t="shared" si="52"/>
        <v>0.74370196852812254</v>
      </c>
      <c r="S174" s="799">
        <f t="shared" si="53"/>
        <v>-1</v>
      </c>
      <c r="T174" s="176">
        <f t="shared" si="54"/>
        <v>5</v>
      </c>
      <c r="U174" s="250">
        <f t="shared" si="55"/>
        <v>-0.25629803147187741</v>
      </c>
      <c r="V174" s="382">
        <f t="shared" si="56"/>
        <v>56.852576870602022</v>
      </c>
      <c r="W174" s="400"/>
      <c r="X174" s="157">
        <f t="shared" si="57"/>
        <v>44356</v>
      </c>
      <c r="Y174" s="383">
        <f t="shared" si="58"/>
        <v>54.325000000000003</v>
      </c>
      <c r="Z174" s="383">
        <f t="shared" si="59"/>
        <v>55.227796586102933</v>
      </c>
      <c r="AA174" s="384">
        <f t="shared" si="60"/>
        <v>60.032633975701692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8.0037091018587012E-2</v>
      </c>
      <c r="AD174" s="230">
        <f>(INDEX(Models!$BJ174:$BT174,,AH174)*(1-AF174)+INDEX(Models!$BJ174:$BT174,,AH174+1)*AF174-ERP_i)*AE174*Ramure*Pc/MaxiM</f>
        <v>0</v>
      </c>
      <c r="AE174" s="304">
        <f t="shared" si="62"/>
        <v>0.6</v>
      </c>
      <c r="AF174" s="177">
        <f t="shared" si="63"/>
        <v>0.74370196852812254</v>
      </c>
      <c r="AG174" s="799">
        <f t="shared" si="71"/>
        <v>-1</v>
      </c>
      <c r="AH174" s="176">
        <f t="shared" si="64"/>
        <v>5</v>
      </c>
      <c r="AI174" s="224">
        <f t="shared" si="65"/>
        <v>-0.25629803147187741</v>
      </c>
      <c r="AJ174" s="264" t="b">
        <f t="shared" si="66"/>
        <v>0</v>
      </c>
      <c r="AK174" s="264" t="b">
        <f t="shared" si="67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68"/>
        <v>44357</v>
      </c>
      <c r="B175" s="607">
        <v>54.414999999999999</v>
      </c>
      <c r="C175" s="388"/>
      <c r="D175" s="391">
        <f t="shared" si="48"/>
        <v>55.320352447360492</v>
      </c>
      <c r="E175" s="383">
        <f t="shared" si="72"/>
        <v>60.147603657844762</v>
      </c>
      <c r="F175" s="383">
        <f t="shared" si="49"/>
        <v>60.147603657844762</v>
      </c>
      <c r="G175" s="110">
        <f t="shared" si="73"/>
        <v>0.95797882857997707</v>
      </c>
      <c r="H175" s="412" t="b">
        <f>Wh_hp&gt;='2020'!Maxi_hp</f>
        <v>1</v>
      </c>
      <c r="I175" s="379">
        <f>IF(H175,Wh_hp,'2020'!Maxi_hp)</f>
        <v>60.147603657844762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1.6365630501395834E-2</v>
      </c>
      <c r="M175" s="832"/>
      <c r="N175" s="832"/>
      <c r="O175" s="48">
        <f>IF(t&lt;Tnet,'2020'!Resal+('2020'!Salim-'2020'!Resal)*(1-EXP(('2020'!Tnet-t)/('2020'!Tau_j))),Resal+(Salim-Resal)*(1-EXP((Tnet-t)/(Tau_j))))*Salcycl</f>
        <v>8.0256750342782318E-2</v>
      </c>
      <c r="P175" s="169">
        <f>(INDEX(Models!$BJ175:$BT175,,T175)*(1-R175)+INDEX(Models!$BJ175:$BT175,,T175+1)*R175-ERP_i)*Q175*Ramure*Pc/MaxiM</f>
        <v>0</v>
      </c>
      <c r="Q175" s="304">
        <f t="shared" si="51"/>
        <v>0.6</v>
      </c>
      <c r="R175" s="177">
        <f t="shared" si="52"/>
        <v>0.74884708483913409</v>
      </c>
      <c r="S175" s="799">
        <f t="shared" si="53"/>
        <v>-1</v>
      </c>
      <c r="T175" s="176">
        <f t="shared" si="54"/>
        <v>5</v>
      </c>
      <c r="U175" s="250">
        <f t="shared" si="55"/>
        <v>-0.25115291516086591</v>
      </c>
      <c r="V175" s="382">
        <f t="shared" si="56"/>
        <v>56.801881603855463</v>
      </c>
      <c r="W175" s="400"/>
      <c r="X175" s="157">
        <f t="shared" si="57"/>
        <v>44357</v>
      </c>
      <c r="Y175" s="383">
        <f t="shared" si="58"/>
        <v>54.414999999999999</v>
      </c>
      <c r="Z175" s="383">
        <f t="shared" si="59"/>
        <v>55.320352447360492</v>
      </c>
      <c r="AA175" s="384">
        <f t="shared" si="60"/>
        <v>60.147603657844762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8.0256750342782318E-2</v>
      </c>
      <c r="AD175" s="230">
        <f>(INDEX(Models!$BJ175:$BT175,,AH175)*(1-AF175)+INDEX(Models!$BJ175:$BT175,,AH175+1)*AF175-ERP_i)*AE175*Ramure*Pc/MaxiM</f>
        <v>0</v>
      </c>
      <c r="AE175" s="304">
        <f t="shared" si="62"/>
        <v>0.6</v>
      </c>
      <c r="AF175" s="177">
        <f t="shared" si="63"/>
        <v>0.74884708483913409</v>
      </c>
      <c r="AG175" s="799">
        <f t="shared" si="71"/>
        <v>-1</v>
      </c>
      <c r="AH175" s="176">
        <f t="shared" si="64"/>
        <v>5</v>
      </c>
      <c r="AI175" s="224">
        <f t="shared" si="65"/>
        <v>-0.25115291516086591</v>
      </c>
      <c r="AJ175" s="264" t="b">
        <f t="shared" si="66"/>
        <v>0</v>
      </c>
      <c r="AK175" s="264" t="b">
        <f t="shared" si="67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68"/>
        <v>44358</v>
      </c>
      <c r="B176" s="607">
        <v>47.051000000000002</v>
      </c>
      <c r="C176" s="388"/>
      <c r="D176" s="391">
        <f t="shared" si="48"/>
        <v>47.834747542368518</v>
      </c>
      <c r="E176" s="383">
        <f t="shared" si="72"/>
        <v>52.021160415933785</v>
      </c>
      <c r="F176" s="383">
        <f t="shared" si="49"/>
        <v>52.021160415933785</v>
      </c>
      <c r="G176" s="110">
        <f t="shared" si="73"/>
        <v>0.82909514644166538</v>
      </c>
      <c r="H176" s="412" t="b">
        <f>Wh_hp&gt;='2020'!Maxi_hp</f>
        <v>1</v>
      </c>
      <c r="I176" s="379">
        <f>IF(H176,Wh_hp,'2020'!Maxi_hp)</f>
        <v>52.021160415933785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1.63844816296842E-2</v>
      </c>
      <c r="M176" s="832"/>
      <c r="N176" s="832"/>
      <c r="O176" s="48">
        <f>IF(t&lt;Tnet,'2020'!Resal+('2020'!Salim-'2020'!Resal)*(1-EXP(('2020'!Tnet-t)/('2020'!Tau_j))),Resal+(Salim-Resal)*(1-EXP((Tnet-t)/(Tau_j))))*Salcycl</f>
        <v>8.0475192019803354E-2</v>
      </c>
      <c r="P176" s="169">
        <f>(INDEX(Models!$BJ176:$BT176,,T176)*(1-R176)+INDEX(Models!$BJ176:$BT176,,T176+1)*R176-ERP_i)*Q176*Ramure*Pc/MaxiM</f>
        <v>1.6545981072515534E-20</v>
      </c>
      <c r="Q176" s="304">
        <f t="shared" si="51"/>
        <v>0.6</v>
      </c>
      <c r="R176" s="177">
        <f t="shared" si="52"/>
        <v>0.75399220115014565</v>
      </c>
      <c r="S176" s="799">
        <f t="shared" si="53"/>
        <v>-1</v>
      </c>
      <c r="T176" s="176">
        <f t="shared" si="54"/>
        <v>5</v>
      </c>
      <c r="U176" s="250">
        <f t="shared" si="55"/>
        <v>-0.24600779884985435</v>
      </c>
      <c r="V176" s="382">
        <f t="shared" si="56"/>
        <v>56.749819609890189</v>
      </c>
      <c r="W176" s="400"/>
      <c r="X176" s="157">
        <f t="shared" si="57"/>
        <v>44358</v>
      </c>
      <c r="Y176" s="383">
        <f t="shared" si="58"/>
        <v>47.051000000000002</v>
      </c>
      <c r="Z176" s="383">
        <f t="shared" si="59"/>
        <v>47.834747542368518</v>
      </c>
      <c r="AA176" s="384">
        <f t="shared" si="60"/>
        <v>52.021160415933785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8.0475192019803354E-2</v>
      </c>
      <c r="AD176" s="230">
        <f>(INDEX(Models!$BJ176:$BT176,,AH176)*(1-AF176)+INDEX(Models!$BJ176:$BT176,,AH176+1)*AF176-ERP_i)*AE176*Ramure*Pc/MaxiM</f>
        <v>1.6545981072515534E-20</v>
      </c>
      <c r="AE176" s="304">
        <f t="shared" si="62"/>
        <v>0.6</v>
      </c>
      <c r="AF176" s="177">
        <f t="shared" si="63"/>
        <v>0.75399220115014565</v>
      </c>
      <c r="AG176" s="799">
        <f t="shared" si="71"/>
        <v>-1</v>
      </c>
      <c r="AH176" s="176">
        <f t="shared" si="64"/>
        <v>5</v>
      </c>
      <c r="AI176" s="224">
        <f t="shared" si="65"/>
        <v>-0.24600779884985435</v>
      </c>
      <c r="AJ176" s="264" t="b">
        <f t="shared" si="66"/>
        <v>0</v>
      </c>
      <c r="AK176" s="264" t="b">
        <f t="shared" si="67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68"/>
        <v>44359</v>
      </c>
      <c r="B177" s="607">
        <v>39.51</v>
      </c>
      <c r="C177" s="388"/>
      <c r="D177" s="391">
        <f t="shared" si="48"/>
        <v>40.168903882393799</v>
      </c>
      <c r="E177" s="383">
        <f t="shared" si="72"/>
        <v>43.694735313997569</v>
      </c>
      <c r="F177" s="383">
        <f t="shared" si="49"/>
        <v>43.694735313997569</v>
      </c>
      <c r="G177" s="110">
        <f t="shared" si="73"/>
        <v>0.69687149747829491</v>
      </c>
      <c r="H177" s="412" t="b">
        <f>Wh_hp&gt;='2020'!Maxi_hp</f>
        <v>0</v>
      </c>
      <c r="I177" s="379">
        <f>IF(H177,Wh_hp,'2020'!Maxi_hp)</f>
        <v>58.629383345992608</v>
      </c>
      <c r="J177" s="85">
        <f>IF(H177,An,'2020'!An_max)</f>
        <v>2018</v>
      </c>
      <c r="K177" s="197">
        <f t="shared" si="50"/>
        <v>44359</v>
      </c>
      <c r="L177" s="147">
        <f>IF(t&lt;Tvie,1-EXP((T0-t)*PertePVj)+'2020'!Pspv,1-EXP((T0-t)*PertePVj)+Pspv)</f>
        <v>1.6403332396695003E-2</v>
      </c>
      <c r="M177" s="832"/>
      <c r="N177" s="832"/>
      <c r="O177" s="48">
        <f>IF(t&lt;Tnet,'2020'!Resal+('2020'!Salim-'2020'!Resal)*(1-EXP(('2020'!Tnet-t)/('2020'!Tau_j))),Resal+(Salim-Resal)*(1-EXP((Tnet-t)/(Tau_j))))*Salcycl</f>
        <v>8.0692362735843667E-2</v>
      </c>
      <c r="P177" s="169">
        <f>(INDEX(Models!$BJ177:$BT177,,T177)*(1-R177)+INDEX(Models!$BJ177:$BT177,,T177+1)*R177-ERP_i)*Q177*Ramure*Pc/MaxiM</f>
        <v>0</v>
      </c>
      <c r="Q177" s="304">
        <f t="shared" si="51"/>
        <v>0.6</v>
      </c>
      <c r="R177" s="177">
        <f t="shared" si="52"/>
        <v>0.7591329757944516</v>
      </c>
      <c r="S177" s="799">
        <f t="shared" si="53"/>
        <v>-1</v>
      </c>
      <c r="T177" s="176">
        <f t="shared" si="54"/>
        <v>5</v>
      </c>
      <c r="U177" s="250">
        <f t="shared" si="55"/>
        <v>-0.24086702420554845</v>
      </c>
      <c r="V177" s="382">
        <f t="shared" si="56"/>
        <v>56.696249083182799</v>
      </c>
      <c r="W177" s="400"/>
      <c r="X177" s="157">
        <f t="shared" si="57"/>
        <v>44359</v>
      </c>
      <c r="Y177" s="383">
        <f t="shared" si="58"/>
        <v>39.51</v>
      </c>
      <c r="Z177" s="383">
        <f t="shared" si="59"/>
        <v>40.168903882393799</v>
      </c>
      <c r="AA177" s="384">
        <f t="shared" si="60"/>
        <v>43.694735313997569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8.0692362735843667E-2</v>
      </c>
      <c r="AD177" s="230">
        <f>(INDEX(Models!$BJ177:$BT177,,AH177)*(1-AF177)+INDEX(Models!$BJ177:$BT177,,AH177+1)*AF177-ERP_i)*AE177*Ramure*Pc/MaxiM</f>
        <v>0</v>
      </c>
      <c r="AE177" s="304">
        <f t="shared" si="62"/>
        <v>0.6</v>
      </c>
      <c r="AF177" s="177">
        <f t="shared" si="63"/>
        <v>0.7591329757944516</v>
      </c>
      <c r="AG177" s="799">
        <f t="shared" si="71"/>
        <v>-1</v>
      </c>
      <c r="AH177" s="176">
        <f t="shared" si="64"/>
        <v>5</v>
      </c>
      <c r="AI177" s="224">
        <f t="shared" si="65"/>
        <v>-0.24086702420554845</v>
      </c>
      <c r="AJ177" s="264" t="b">
        <f t="shared" si="66"/>
        <v>0</v>
      </c>
      <c r="AK177" s="264" t="b">
        <f t="shared" si="67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68"/>
        <v>44360</v>
      </c>
      <c r="B178" s="607">
        <v>53.188000000000002</v>
      </c>
      <c r="C178" s="388"/>
      <c r="D178" s="391">
        <f t="shared" si="48"/>
        <v>54.076046724543481</v>
      </c>
      <c r="E178" s="383">
        <f t="shared" si="72"/>
        <v>58.836394179033697</v>
      </c>
      <c r="F178" s="383">
        <f t="shared" si="49"/>
        <v>58.836394179033697</v>
      </c>
      <c r="G178" s="110">
        <f t="shared" si="73"/>
        <v>0.93903770219413685</v>
      </c>
      <c r="H178" s="412" t="b">
        <f>Wh_hp&gt;='2020'!Maxi_hp</f>
        <v>0</v>
      </c>
      <c r="I178" s="379">
        <f>IF(H178,Wh_hp,'2020'!Maxi_hp)</f>
        <v>65.55404847482302</v>
      </c>
      <c r="J178" s="85">
        <f>IF(H178,An,'2020'!An_max)</f>
        <v>2018</v>
      </c>
      <c r="K178" s="197">
        <f t="shared" si="50"/>
        <v>44360</v>
      </c>
      <c r="L178" s="147">
        <f>IF(t&lt;Tvie,1-EXP((T0-t)*PertePVj)+'2020'!Pspv,1-EXP((T0-t)*PertePVj)+Pspv)</f>
        <v>1.6422182802435126E-2</v>
      </c>
      <c r="M178" s="832"/>
      <c r="N178" s="832"/>
      <c r="O178" s="48">
        <f>IF(t&lt;Tnet,'2020'!Resal+('2020'!Salim-'2020'!Resal)*(1-EXP(('2020'!Tnet-t)/('2020'!Tau_j))),Resal+(Salim-Resal)*(1-EXP((Tnet-t)/(Tau_j))))*Salcycl</f>
        <v>8.0908212015932124E-2</v>
      </c>
      <c r="P178" s="169">
        <f>(INDEX(Models!$BJ178:$BT178,,T178)*(1-R178)+INDEX(Models!$BJ178:$BT178,,T178+1)*R178-ERP_i)*Q178*Ramure*Pc/MaxiM</f>
        <v>0</v>
      </c>
      <c r="Q178" s="304">
        <f t="shared" si="51"/>
        <v>0.6</v>
      </c>
      <c r="R178" s="177">
        <f t="shared" si="52"/>
        <v>0.76426508174771812</v>
      </c>
      <c r="S178" s="799">
        <f t="shared" si="53"/>
        <v>-1</v>
      </c>
      <c r="T178" s="176">
        <f t="shared" si="54"/>
        <v>5</v>
      </c>
      <c r="U178" s="250">
        <f t="shared" si="55"/>
        <v>-0.23573491825228193</v>
      </c>
      <c r="V178" s="382">
        <f t="shared" si="56"/>
        <v>56.640963270933625</v>
      </c>
      <c r="W178" s="400"/>
      <c r="X178" s="157">
        <f t="shared" si="57"/>
        <v>44360</v>
      </c>
      <c r="Y178" s="383">
        <f t="shared" si="58"/>
        <v>53.188000000000002</v>
      </c>
      <c r="Z178" s="383">
        <f t="shared" si="59"/>
        <v>54.076046724543481</v>
      </c>
      <c r="AA178" s="384">
        <f t="shared" si="60"/>
        <v>58.836394179033697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8.0908212015932124E-2</v>
      </c>
      <c r="AD178" s="230">
        <f>(INDEX(Models!$BJ178:$BT178,,AH178)*(1-AF178)+INDEX(Models!$BJ178:$BT178,,AH178+1)*AF178-ERP_i)*AE178*Ramure*Pc/MaxiM</f>
        <v>0</v>
      </c>
      <c r="AE178" s="304">
        <f t="shared" si="62"/>
        <v>0.6</v>
      </c>
      <c r="AF178" s="177">
        <f t="shared" si="63"/>
        <v>0.76426508174771812</v>
      </c>
      <c r="AG178" s="799">
        <f t="shared" si="71"/>
        <v>-1</v>
      </c>
      <c r="AH178" s="176">
        <f t="shared" si="64"/>
        <v>5</v>
      </c>
      <c r="AI178" s="224">
        <f t="shared" si="65"/>
        <v>-0.23573491825228193</v>
      </c>
      <c r="AJ178" s="264" t="b">
        <f t="shared" si="66"/>
        <v>0</v>
      </c>
      <c r="AK178" s="264" t="b">
        <f t="shared" si="67"/>
        <v>0</v>
      </c>
      <c r="AL178" s="264"/>
      <c r="AM178" s="264"/>
      <c r="AN178" s="75"/>
    </row>
    <row r="179" spans="1:40" s="6" customFormat="1" ht="11.25" x14ac:dyDescent="0.2">
      <c r="A179" s="56">
        <f t="shared" si="68"/>
        <v>44361</v>
      </c>
      <c r="B179" s="607">
        <v>52.356999999999999</v>
      </c>
      <c r="C179" s="388"/>
      <c r="D179" s="391">
        <f t="shared" si="48"/>
        <v>53.232192220815534</v>
      </c>
      <c r="E179" s="383">
        <f t="shared" si="72"/>
        <v>57.93177367847553</v>
      </c>
      <c r="F179" s="383">
        <f t="shared" si="49"/>
        <v>57.93177367847553</v>
      </c>
      <c r="G179" s="110">
        <f t="shared" si="73"/>
        <v>0.92529745486948967</v>
      </c>
      <c r="H179" s="412" t="b">
        <f>Wh_hp&gt;='2020'!Maxi_hp</f>
        <v>1</v>
      </c>
      <c r="I179" s="379">
        <f>IF(H179,Wh_hp,'2020'!Maxi_hp)</f>
        <v>57.93177367847553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1.6441032846911563E-2</v>
      </c>
      <c r="M179" s="832"/>
      <c r="N179" s="832"/>
      <c r="O179" s="48">
        <f>IF(t&lt;Tnet,'2020'!Resal+('2020'!Salim-'2020'!Resal)*(1-EXP(('2020'!Tnet-t)/('2020'!Tau_j))),Resal+(Salim-Resal)*(1-EXP((Tnet-t)/(Tau_j))))*Salcycl</f>
        <v>8.1122692423382894E-2</v>
      </c>
      <c r="P179" s="169">
        <f>(INDEX(Models!$BJ179:$BT179,,T179)*(1-R179)+INDEX(Models!$BJ179:$BT179,,T179+1)*R179-ERP_i)*Q179*Ramure*Pc/MaxiM</f>
        <v>0</v>
      </c>
      <c r="Q179" s="304">
        <f t="shared" si="51"/>
        <v>0.6</v>
      </c>
      <c r="R179" s="177">
        <f t="shared" si="52"/>
        <v>0.76938422116554395</v>
      </c>
      <c r="S179" s="799">
        <f t="shared" si="53"/>
        <v>-1</v>
      </c>
      <c r="T179" s="176">
        <f t="shared" si="54"/>
        <v>5</v>
      </c>
      <c r="U179" s="250">
        <f t="shared" si="55"/>
        <v>-0.230615778834456</v>
      </c>
      <c r="V179" s="382">
        <f t="shared" si="56"/>
        <v>56.583966295881346</v>
      </c>
      <c r="W179" s="400"/>
      <c r="X179" s="157">
        <f t="shared" si="57"/>
        <v>44361</v>
      </c>
      <c r="Y179" s="383">
        <f t="shared" si="58"/>
        <v>52.356999999999999</v>
      </c>
      <c r="Z179" s="383">
        <f t="shared" si="59"/>
        <v>53.232192220815534</v>
      </c>
      <c r="AA179" s="384">
        <f t="shared" si="60"/>
        <v>57.93177367847553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8.1122692423382894E-2</v>
      </c>
      <c r="AD179" s="230">
        <f>(INDEX(Models!$BJ179:$BT179,,AH179)*(1-AF179)+INDEX(Models!$BJ179:$BT179,,AH179+1)*AF179-ERP_i)*AE179*Ramure*Pc/MaxiM</f>
        <v>0</v>
      </c>
      <c r="AE179" s="304">
        <f t="shared" si="62"/>
        <v>0.6</v>
      </c>
      <c r="AF179" s="177">
        <f t="shared" si="63"/>
        <v>0.76938422116554395</v>
      </c>
      <c r="AG179" s="799">
        <f t="shared" si="71"/>
        <v>-1</v>
      </c>
      <c r="AH179" s="176">
        <f t="shared" si="64"/>
        <v>5</v>
      </c>
      <c r="AI179" s="224">
        <f t="shared" si="65"/>
        <v>-0.230615778834456</v>
      </c>
      <c r="AJ179" s="264" t="b">
        <f t="shared" si="66"/>
        <v>0</v>
      </c>
      <c r="AK179" s="264" t="b">
        <f t="shared" si="67"/>
        <v>0</v>
      </c>
      <c r="AL179" s="264"/>
      <c r="AM179" s="264"/>
      <c r="AN179" s="75"/>
    </row>
    <row r="180" spans="1:40" s="6" customFormat="1" ht="11.25" x14ac:dyDescent="0.2">
      <c r="A180" s="56">
        <f t="shared" si="68"/>
        <v>44362</v>
      </c>
      <c r="B180" s="607">
        <v>49.526000000000003</v>
      </c>
      <c r="C180" s="388"/>
      <c r="D180" s="391">
        <f t="shared" si="48"/>
        <v>50.354834663383471</v>
      </c>
      <c r="E180" s="383">
        <f t="shared" si="72"/>
        <v>54.813099777715649</v>
      </c>
      <c r="F180" s="383">
        <f t="shared" si="49"/>
        <v>54.813099777715649</v>
      </c>
      <c r="G180" s="110">
        <f t="shared" si="73"/>
        <v>0.87617461991097556</v>
      </c>
      <c r="H180" s="412" t="b">
        <f>Wh_hp&gt;='2020'!Maxi_hp</f>
        <v>1</v>
      </c>
      <c r="I180" s="379">
        <f>IF(H180,Wh_hp,'2020'!Maxi_hp)</f>
        <v>54.813099777715649</v>
      </c>
      <c r="J180" s="85">
        <f>IF(H180,An,'2020'!An_max)</f>
        <v>2021</v>
      </c>
      <c r="K180" s="197">
        <f t="shared" si="50"/>
        <v>44362</v>
      </c>
      <c r="L180" s="147">
        <f>IF(t&lt;Tvie,1-EXP((T0-t)*PertePVj)+'2020'!Pspv,1-EXP((T0-t)*PertePVj)+Pspv)</f>
        <v>1.6459882530131198E-2</v>
      </c>
      <c r="M180" s="832"/>
      <c r="N180" s="832"/>
      <c r="O180" s="48">
        <f>IF(t&lt;Tnet,'2020'!Resal+('2020'!Salim-'2020'!Resal)*(1-EXP(('2020'!Tnet-t)/('2020'!Tau_j))),Resal+(Salim-Resal)*(1-EXP((Tnet-t)/(Tau_j))))*Salcycl</f>
        <v>8.133575974378103E-2</v>
      </c>
      <c r="P180" s="169">
        <f>(INDEX(Models!$BJ180:$BT180,,T180)*(1-R180)+INDEX(Models!$BJ180:$BT180,,T180+1)*R180-ERP_i)*Q180*Ramure*Pc/MaxiM</f>
        <v>0</v>
      </c>
      <c r="Q180" s="304">
        <f t="shared" si="51"/>
        <v>0.6</v>
      </c>
      <c r="R180" s="177">
        <f t="shared" si="52"/>
        <v>0.7744861397126841</v>
      </c>
      <c r="S180" s="799">
        <f t="shared" si="53"/>
        <v>-1</v>
      </c>
      <c r="T180" s="176">
        <f t="shared" si="54"/>
        <v>5</v>
      </c>
      <c r="U180" s="250">
        <f t="shared" si="55"/>
        <v>-0.22551386028731596</v>
      </c>
      <c r="V180" s="382">
        <f t="shared" si="56"/>
        <v>56.525262059099731</v>
      </c>
      <c r="W180" s="400"/>
      <c r="X180" s="157">
        <f t="shared" si="57"/>
        <v>44362</v>
      </c>
      <c r="Y180" s="383">
        <f t="shared" si="58"/>
        <v>49.526000000000003</v>
      </c>
      <c r="Z180" s="383">
        <f t="shared" si="59"/>
        <v>50.354834663383471</v>
      </c>
      <c r="AA180" s="384">
        <f t="shared" si="60"/>
        <v>54.813099777715649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8.133575974378103E-2</v>
      </c>
      <c r="AD180" s="230">
        <f>(INDEX(Models!$BJ180:$BT180,,AH180)*(1-AF180)+INDEX(Models!$BJ180:$BT180,,AH180+1)*AF180-ERP_i)*AE180*Ramure*Pc/MaxiM</f>
        <v>0</v>
      </c>
      <c r="AE180" s="304">
        <f t="shared" si="62"/>
        <v>0.6</v>
      </c>
      <c r="AF180" s="177">
        <f t="shared" si="63"/>
        <v>0.7744861397126841</v>
      </c>
      <c r="AG180" s="799">
        <f t="shared" si="71"/>
        <v>-1</v>
      </c>
      <c r="AH180" s="176">
        <f t="shared" si="64"/>
        <v>5</v>
      </c>
      <c r="AI180" s="224">
        <f t="shared" si="65"/>
        <v>-0.22551386028731596</v>
      </c>
      <c r="AJ180" s="264" t="b">
        <f t="shared" si="66"/>
        <v>0</v>
      </c>
      <c r="AK180" s="264" t="b">
        <f t="shared" si="67"/>
        <v>0</v>
      </c>
      <c r="AL180" s="264"/>
      <c r="AM180" s="264"/>
      <c r="AN180" s="75"/>
    </row>
    <row r="181" spans="1:40" s="6" customFormat="1" ht="11.25" x14ac:dyDescent="0.2">
      <c r="A181" s="56">
        <f t="shared" si="68"/>
        <v>44363</v>
      </c>
      <c r="B181" s="607">
        <v>48.137999999999998</v>
      </c>
      <c r="C181" s="388"/>
      <c r="D181" s="391">
        <f t="shared" si="48"/>
        <v>48.944544016470779</v>
      </c>
      <c r="E181" s="383">
        <f t="shared" si="72"/>
        <v>53.290221602880337</v>
      </c>
      <c r="F181" s="383">
        <f t="shared" si="49"/>
        <v>53.290221602880337</v>
      </c>
      <c r="G181" s="110">
        <f t="shared" si="73"/>
        <v>0.8525303157026749</v>
      </c>
      <c r="H181" s="412" t="b">
        <f>Wh_hp&gt;='2020'!Maxi_hp</f>
        <v>0</v>
      </c>
      <c r="I181" s="379">
        <f>IF(H181,Wh_hp,'2020'!Maxi_hp)</f>
        <v>62.896396798110899</v>
      </c>
      <c r="J181" s="85">
        <f>IF(H181,An,'2020'!An_max)</f>
        <v>2018</v>
      </c>
      <c r="K181" s="197">
        <f t="shared" si="50"/>
        <v>44363</v>
      </c>
      <c r="L181" s="147">
        <f>IF(t&lt;Tvie,1-EXP((T0-t)*PertePVj)+'2020'!Pspv,1-EXP((T0-t)*PertePVj)+Pspv)</f>
        <v>1.6478731852101025E-2</v>
      </c>
      <c r="M181" s="832"/>
      <c r="N181" s="832"/>
      <c r="O181" s="48">
        <f>IF(t&lt;Tnet,'2020'!Resal+('2020'!Salim-'2020'!Resal)*(1-EXP(('2020'!Tnet-t)/('2020'!Tau_j))),Resal+(Salim-Resal)*(1-EXP((Tnet-t)/(Tau_j))))*Salcycl</f>
        <v>8.1547373152125818E-2</v>
      </c>
      <c r="P181" s="169">
        <f>(INDEX(Models!$BJ181:$BT181,,T181)*(1-R181)+INDEX(Models!$BJ181:$BT181,,T181+1)*R181-ERP_i)*Q181*Ramure*Pc/MaxiM</f>
        <v>0</v>
      </c>
      <c r="Q181" s="304">
        <f t="shared" si="51"/>
        <v>0.6</v>
      </c>
      <c r="R181" s="177">
        <f t="shared" si="52"/>
        <v>0.77956664058295599</v>
      </c>
      <c r="S181" s="799">
        <f t="shared" si="53"/>
        <v>-1</v>
      </c>
      <c r="T181" s="176">
        <f t="shared" si="54"/>
        <v>5</v>
      </c>
      <c r="U181" s="250">
        <f t="shared" si="55"/>
        <v>-0.22043335941704406</v>
      </c>
      <c r="V181" s="382">
        <f t="shared" si="56"/>
        <v>56.464854226706954</v>
      </c>
      <c r="W181" s="400"/>
      <c r="X181" s="157">
        <f t="shared" si="57"/>
        <v>44363</v>
      </c>
      <c r="Y181" s="383">
        <f t="shared" si="58"/>
        <v>48.137999999999998</v>
      </c>
      <c r="Z181" s="383">
        <f t="shared" si="59"/>
        <v>48.944544016470779</v>
      </c>
      <c r="AA181" s="384">
        <f t="shared" si="60"/>
        <v>53.290221602880337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8.1547373152125818E-2</v>
      </c>
      <c r="AD181" s="230">
        <f>(INDEX(Models!$BJ181:$BT181,,AH181)*(1-AF181)+INDEX(Models!$BJ181:$BT181,,AH181+1)*AF181-ERP_i)*AE181*Ramure*Pc/MaxiM</f>
        <v>0</v>
      </c>
      <c r="AE181" s="304">
        <f t="shared" si="62"/>
        <v>0.6</v>
      </c>
      <c r="AF181" s="177">
        <f t="shared" si="63"/>
        <v>0.77956664058295599</v>
      </c>
      <c r="AG181" s="799">
        <f t="shared" si="71"/>
        <v>-1</v>
      </c>
      <c r="AH181" s="176">
        <f t="shared" si="64"/>
        <v>5</v>
      </c>
      <c r="AI181" s="224">
        <f t="shared" si="65"/>
        <v>-0.22043335941704406</v>
      </c>
      <c r="AJ181" s="264" t="b">
        <f t="shared" si="66"/>
        <v>0</v>
      </c>
      <c r="AK181" s="264" t="b">
        <f t="shared" si="67"/>
        <v>0</v>
      </c>
      <c r="AL181" s="264"/>
      <c r="AM181" s="264"/>
      <c r="AN181" s="75"/>
    </row>
    <row r="182" spans="1:40" s="6" customFormat="1" ht="11.25" x14ac:dyDescent="0.2">
      <c r="A182" s="56">
        <f t="shared" si="68"/>
        <v>44364</v>
      </c>
      <c r="B182" s="607">
        <v>14.939</v>
      </c>
      <c r="C182" s="388"/>
      <c r="D182" s="391">
        <f t="shared" si="48"/>
        <v>15.18959151350794</v>
      </c>
      <c r="E182" s="383">
        <f t="shared" si="72"/>
        <v>16.542026138829176</v>
      </c>
      <c r="F182" s="383">
        <f t="shared" si="49"/>
        <v>16.542026138829176</v>
      </c>
      <c r="G182" s="110">
        <f t="shared" si="73"/>
        <v>0.26486298984411355</v>
      </c>
      <c r="H182" s="412" t="b">
        <f>Wh_hp&gt;='2020'!Maxi_hp</f>
        <v>0</v>
      </c>
      <c r="I182" s="379">
        <f>IF(H182,Wh_hp,'2020'!Maxi_hp)</f>
        <v>61.724084548861946</v>
      </c>
      <c r="J182" s="85">
        <f>IF(H182,An,'2020'!An_max)</f>
        <v>2018</v>
      </c>
      <c r="K182" s="197">
        <f t="shared" si="50"/>
        <v>44364</v>
      </c>
      <c r="L182" s="147">
        <f>IF(t&lt;Tvie,1-EXP((T0-t)*PertePVj)+'2020'!Pspv,1-EXP((T0-t)*PertePVj)+Pspv)</f>
        <v>1.6497580812827817E-2</v>
      </c>
      <c r="M182" s="832"/>
      <c r="N182" s="832"/>
      <c r="O182" s="48">
        <f>IF(t&lt;Tnet,'2020'!Resal+('2020'!Salim-'2020'!Resal)*(1-EXP(('2020'!Tnet-t)/('2020'!Tau_j))),Resal+(Salim-Resal)*(1-EXP((Tnet-t)/(Tau_j))))*Salcycl</f>
        <v>8.1757495361868646E-2</v>
      </c>
      <c r="P182" s="169">
        <f>(INDEX(Models!$BJ182:$BT182,,T182)*(1-R182)+INDEX(Models!$BJ182:$BT182,,T182+1)*R182-ERP_i)*Q182*Ramure*Pc/MaxiM</f>
        <v>0</v>
      </c>
      <c r="Q182" s="304">
        <f t="shared" si="51"/>
        <v>0.6</v>
      </c>
      <c r="R182" s="177">
        <f t="shared" si="52"/>
        <v>0.78462159811261567</v>
      </c>
      <c r="S182" s="799">
        <f t="shared" si="53"/>
        <v>-1</v>
      </c>
      <c r="T182" s="176">
        <f t="shared" si="54"/>
        <v>5</v>
      </c>
      <c r="U182" s="250">
        <f t="shared" si="55"/>
        <v>-0.21537840188738427</v>
      </c>
      <c r="V182" s="382">
        <f t="shared" si="56"/>
        <v>56.402746222839305</v>
      </c>
      <c r="W182" s="400"/>
      <c r="X182" s="157">
        <f t="shared" si="57"/>
        <v>44364</v>
      </c>
      <c r="Y182" s="383">
        <f t="shared" si="58"/>
        <v>14.939</v>
      </c>
      <c r="Z182" s="383">
        <f t="shared" si="59"/>
        <v>15.18959151350794</v>
      </c>
      <c r="AA182" s="384">
        <f t="shared" si="60"/>
        <v>16.542026138829176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8.1757495361868646E-2</v>
      </c>
      <c r="AD182" s="230">
        <f>(INDEX(Models!$BJ182:$BT182,,AH182)*(1-AF182)+INDEX(Models!$BJ182:$BT182,,AH182+1)*AF182-ERP_i)*AE182*Ramure*Pc/MaxiM</f>
        <v>0</v>
      </c>
      <c r="AE182" s="304">
        <f t="shared" si="62"/>
        <v>0.6</v>
      </c>
      <c r="AF182" s="177">
        <f t="shared" si="63"/>
        <v>0.78462159811261567</v>
      </c>
      <c r="AG182" s="799">
        <f t="shared" si="71"/>
        <v>-1</v>
      </c>
      <c r="AH182" s="176">
        <f t="shared" si="64"/>
        <v>5</v>
      </c>
      <c r="AI182" s="224">
        <f t="shared" si="65"/>
        <v>-0.21537840188738427</v>
      </c>
      <c r="AJ182" s="264" t="b">
        <f t="shared" si="66"/>
        <v>0</v>
      </c>
      <c r="AK182" s="264" t="b">
        <f t="shared" si="67"/>
        <v>0</v>
      </c>
      <c r="AL182" s="264"/>
      <c r="AM182" s="264"/>
      <c r="AN182" s="75"/>
    </row>
    <row r="183" spans="1:40" s="6" customFormat="1" ht="11.25" x14ac:dyDescent="0.2">
      <c r="A183" s="56">
        <f t="shared" si="68"/>
        <v>44365</v>
      </c>
      <c r="B183" s="607">
        <v>41.5</v>
      </c>
      <c r="C183" s="388"/>
      <c r="D183" s="391">
        <f t="shared" si="48"/>
        <v>42.196942827628163</v>
      </c>
      <c r="E183" s="383">
        <f t="shared" si="72"/>
        <v>45.964470913985132</v>
      </c>
      <c r="F183" s="383">
        <f t="shared" si="49"/>
        <v>45.964470913985132</v>
      </c>
      <c r="G183" s="110">
        <f t="shared" si="73"/>
        <v>0.73661306197455467</v>
      </c>
      <c r="H183" s="412" t="b">
        <f>Wh_hp&gt;='2020'!Maxi_hp</f>
        <v>0</v>
      </c>
      <c r="I183" s="379">
        <f>IF(H183,Wh_hp,'2020'!Maxi_hp)</f>
        <v>57.369036816167828</v>
      </c>
      <c r="J183" s="85">
        <f>IF(H183,An,'2020'!An_max)</f>
        <v>2018</v>
      </c>
      <c r="K183" s="197">
        <f t="shared" si="50"/>
        <v>44365</v>
      </c>
      <c r="L183" s="147">
        <f>IF(t&lt;Tvie,1-EXP((T0-t)*PertePVj)+'2020'!Pspv,1-EXP((T0-t)*PertePVj)+Pspv)</f>
        <v>1.6516429412318567E-2</v>
      </c>
      <c r="M183" s="832"/>
      <c r="N183" s="832"/>
      <c r="O183" s="48">
        <f>IF(t&lt;Tnet,'2020'!Resal+('2020'!Salim-'2020'!Resal)*(1-EXP(('2020'!Tnet-t)/('2020'!Tau_j))),Resal+(Salim-Resal)*(1-EXP((Tnet-t)/(Tau_j))))*Salcycl</f>
        <v>8.1966092754711978E-2</v>
      </c>
      <c r="P183" s="169">
        <f>(INDEX(Models!$BJ183:$BT183,,T183)*(1-R183)+INDEX(Models!$BJ183:$BT183,,T183+1)*R183-ERP_i)*Q183*Ramure*Pc/MaxiM</f>
        <v>0</v>
      </c>
      <c r="Q183" s="304">
        <f t="shared" si="51"/>
        <v>0.6</v>
      </c>
      <c r="R183" s="177">
        <f t="shared" si="52"/>
        <v>0.78964697089488767</v>
      </c>
      <c r="S183" s="799">
        <f t="shared" si="53"/>
        <v>-1</v>
      </c>
      <c r="T183" s="176">
        <f t="shared" si="54"/>
        <v>5</v>
      </c>
      <c r="U183" s="250">
        <f t="shared" si="55"/>
        <v>-0.21035302910511233</v>
      </c>
      <c r="V183" s="382">
        <f t="shared" si="56"/>
        <v>56.338941219363775</v>
      </c>
      <c r="W183" s="400"/>
      <c r="X183" s="157">
        <f t="shared" si="57"/>
        <v>44365</v>
      </c>
      <c r="Y183" s="383">
        <f t="shared" si="58"/>
        <v>41.5</v>
      </c>
      <c r="Z183" s="383">
        <f t="shared" si="59"/>
        <v>42.196942827628163</v>
      </c>
      <c r="AA183" s="384">
        <f t="shared" si="60"/>
        <v>45.964470913985132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8.1966092754711978E-2</v>
      </c>
      <c r="AD183" s="230">
        <f>(INDEX(Models!$BJ183:$BT183,,AH183)*(1-AF183)+INDEX(Models!$BJ183:$BT183,,AH183+1)*AF183-ERP_i)*AE183*Ramure*Pc/MaxiM</f>
        <v>0</v>
      </c>
      <c r="AE183" s="304">
        <f t="shared" si="62"/>
        <v>0.6</v>
      </c>
      <c r="AF183" s="177">
        <f t="shared" si="63"/>
        <v>0.78964697089488767</v>
      </c>
      <c r="AG183" s="799">
        <f t="shared" si="71"/>
        <v>-1</v>
      </c>
      <c r="AH183" s="176">
        <f t="shared" si="64"/>
        <v>5</v>
      </c>
      <c r="AI183" s="224">
        <f t="shared" si="65"/>
        <v>-0.21035302910511233</v>
      </c>
      <c r="AJ183" s="264" t="b">
        <f t="shared" si="66"/>
        <v>0</v>
      </c>
      <c r="AK183" s="264" t="b">
        <f t="shared" si="67"/>
        <v>0</v>
      </c>
      <c r="AL183" s="264"/>
      <c r="AM183" s="264"/>
      <c r="AN183" s="75"/>
    </row>
    <row r="184" spans="1:40" s="6" customFormat="1" ht="11.25" x14ac:dyDescent="0.2">
      <c r="A184" s="56">
        <f t="shared" si="68"/>
        <v>44366</v>
      </c>
      <c r="B184" s="607">
        <v>30.448</v>
      </c>
      <c r="C184" s="388"/>
      <c r="D184" s="391">
        <f t="shared" si="48"/>
        <v>30.959931056054685</v>
      </c>
      <c r="E184" s="383">
        <f t="shared" si="72"/>
        <v>33.731776932231277</v>
      </c>
      <c r="F184" s="383">
        <f t="shared" si="49"/>
        <v>33.731776932231277</v>
      </c>
      <c r="G184" s="110">
        <f t="shared" si="73"/>
        <v>0.54107228643183103</v>
      </c>
      <c r="H184" s="412" t="b">
        <f>Wh_hp&gt;='2020'!Maxi_hp</f>
        <v>0</v>
      </c>
      <c r="I184" s="379">
        <f>IF(H184,Wh_hp,'2020'!Maxi_hp)</f>
        <v>52.635233247813638</v>
      </c>
      <c r="J184" s="85">
        <f>IF(H184,An,'2020'!An_max)</f>
        <v>2018</v>
      </c>
      <c r="K184" s="197">
        <f t="shared" si="50"/>
        <v>44366</v>
      </c>
      <c r="L184" s="147">
        <f>IF(t&lt;Tvie,1-EXP((T0-t)*PertePVj)+'2020'!Pspv,1-EXP((T0-t)*PertePVj)+Pspv)</f>
        <v>1.653527765058016E-2</v>
      </c>
      <c r="M184" s="832"/>
      <c r="N184" s="832"/>
      <c r="O184" s="48">
        <f>IF(t&lt;Tnet,'2020'!Resal+('2020'!Salim-'2020'!Resal)*(1-EXP(('2020'!Tnet-t)/('2020'!Tau_j))),Resal+(Salim-Resal)*(1-EXP((Tnet-t)/(Tau_j))))*Salcycl</f>
        <v>8.2173135490174645E-2</v>
      </c>
      <c r="P184" s="169">
        <f>(INDEX(Models!$BJ184:$BT184,,T184)*(1-R184)+INDEX(Models!$BJ184:$BT184,,T184+1)*R184-ERP_i)*Q184*Ramure*Pc/MaxiM</f>
        <v>0</v>
      </c>
      <c r="Q184" s="304">
        <f t="shared" si="51"/>
        <v>0.6</v>
      </c>
      <c r="R184" s="177">
        <f t="shared" si="52"/>
        <v>0.79463881430930017</v>
      </c>
      <c r="S184" s="799">
        <f t="shared" si="53"/>
        <v>-1</v>
      </c>
      <c r="T184" s="176">
        <f t="shared" si="54"/>
        <v>5</v>
      </c>
      <c r="U184" s="250">
        <f t="shared" si="55"/>
        <v>-0.20536118569069983</v>
      </c>
      <c r="V184" s="382">
        <f t="shared" si="56"/>
        <v>56.273442132460993</v>
      </c>
      <c r="W184" s="400"/>
      <c r="X184" s="157">
        <f t="shared" si="57"/>
        <v>44366</v>
      </c>
      <c r="Y184" s="383">
        <f t="shared" si="58"/>
        <v>30.448000000000004</v>
      </c>
      <c r="Z184" s="383">
        <f t="shared" si="59"/>
        <v>30.959931056054689</v>
      </c>
      <c r="AA184" s="384">
        <f t="shared" si="60"/>
        <v>33.731776932231277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8.2173135490174645E-2</v>
      </c>
      <c r="AD184" s="230">
        <f>(INDEX(Models!$BJ184:$BT184,,AH184)*(1-AF184)+INDEX(Models!$BJ184:$BT184,,AH184+1)*AF184-ERP_i)*AE184*Ramure*Pc/MaxiM</f>
        <v>0</v>
      </c>
      <c r="AE184" s="304">
        <f t="shared" si="62"/>
        <v>0.6</v>
      </c>
      <c r="AF184" s="177">
        <f t="shared" si="63"/>
        <v>0.79463881430930017</v>
      </c>
      <c r="AG184" s="799">
        <f t="shared" si="71"/>
        <v>-1</v>
      </c>
      <c r="AH184" s="176">
        <f t="shared" si="64"/>
        <v>5</v>
      </c>
      <c r="AI184" s="224">
        <f t="shared" si="65"/>
        <v>-0.20536118569069983</v>
      </c>
      <c r="AJ184" s="264" t="b">
        <f t="shared" si="66"/>
        <v>0</v>
      </c>
      <c r="AK184" s="264" t="b">
        <f t="shared" si="67"/>
        <v>0</v>
      </c>
      <c r="AL184" s="264"/>
      <c r="AM184" s="264"/>
      <c r="AN184" s="75"/>
    </row>
    <row r="185" spans="1:40" s="6" customFormat="1" ht="11.25" x14ac:dyDescent="0.2">
      <c r="A185" s="56">
        <f t="shared" si="68"/>
        <v>44367</v>
      </c>
      <c r="B185" s="607">
        <v>31.631</v>
      </c>
      <c r="C185" s="388"/>
      <c r="D185" s="391">
        <f t="shared" si="48"/>
        <v>32.16343758315125</v>
      </c>
      <c r="E185" s="383">
        <f t="shared" si="72"/>
        <v>35.050879914986304</v>
      </c>
      <c r="F185" s="383">
        <f t="shared" si="49"/>
        <v>35.050879914986304</v>
      </c>
      <c r="G185" s="110">
        <f t="shared" si="73"/>
        <v>0.56276658006432312</v>
      </c>
      <c r="H185" s="412" t="b">
        <f>Wh_hp&gt;='2020'!Maxi_hp</f>
        <v>0</v>
      </c>
      <c r="I185" s="379">
        <f>IF(H185,Wh_hp,'2020'!Maxi_hp)</f>
        <v>58.11759070939933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1.6554125527619701E-2</v>
      </c>
      <c r="M185" s="832"/>
      <c r="N185" s="832"/>
      <c r="O185" s="48">
        <f>IF(t&lt;Tnet,'2020'!Resal+('2020'!Salim-'2020'!Resal)*(1-EXP(('2020'!Tnet-t)/('2020'!Tau_j))),Resal+(Salim-Resal)*(1-EXP((Tnet-t)/(Tau_j))))*Salcycl</f>
        <v>8.2378597594079325E-2</v>
      </c>
      <c r="P185" s="169">
        <f>(INDEX(Models!$BJ185:$BT185,,T185)*(1-R185)+INDEX(Models!$BJ185:$BT185,,T185+1)*R185-ERP_i)*Q185*Ramure*Pc/MaxiM</f>
        <v>1.7553004544543876E-20</v>
      </c>
      <c r="Q185" s="304">
        <f t="shared" si="51"/>
        <v>0.6</v>
      </c>
      <c r="R185" s="177">
        <f t="shared" si="52"/>
        <v>0.79959329238638244</v>
      </c>
      <c r="S185" s="799">
        <f t="shared" si="53"/>
        <v>-1</v>
      </c>
      <c r="T185" s="176">
        <f t="shared" si="54"/>
        <v>5</v>
      </c>
      <c r="U185" s="250">
        <f t="shared" si="55"/>
        <v>-0.20040670761361751</v>
      </c>
      <c r="V185" s="382">
        <f t="shared" si="56"/>
        <v>56.206251615695876</v>
      </c>
      <c r="W185" s="400"/>
      <c r="X185" s="157">
        <f t="shared" si="57"/>
        <v>44367</v>
      </c>
      <c r="Y185" s="383">
        <f t="shared" si="58"/>
        <v>31.631000000000004</v>
      </c>
      <c r="Z185" s="383">
        <f t="shared" si="59"/>
        <v>32.16343758315125</v>
      </c>
      <c r="AA185" s="384">
        <f t="shared" si="60"/>
        <v>35.050879914986304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8.2378597594079325E-2</v>
      </c>
      <c r="AD185" s="230">
        <f>(INDEX(Models!$BJ185:$BT185,,AH185)*(1-AF185)+INDEX(Models!$BJ185:$BT185,,AH185+1)*AF185-ERP_i)*AE185*Ramure*Pc/MaxiM</f>
        <v>1.7553004544543876E-20</v>
      </c>
      <c r="AE185" s="304">
        <f t="shared" si="62"/>
        <v>0.6</v>
      </c>
      <c r="AF185" s="177">
        <f t="shared" si="63"/>
        <v>0.79959329238638244</v>
      </c>
      <c r="AG185" s="799">
        <f t="shared" si="71"/>
        <v>-1</v>
      </c>
      <c r="AH185" s="176">
        <f t="shared" si="64"/>
        <v>5</v>
      </c>
      <c r="AI185" s="224">
        <f t="shared" si="65"/>
        <v>-0.20040670761361751</v>
      </c>
      <c r="AJ185" s="264" t="b">
        <f t="shared" si="66"/>
        <v>0</v>
      </c>
      <c r="AK185" s="264" t="b">
        <f t="shared" si="67"/>
        <v>0</v>
      </c>
      <c r="AL185" s="264"/>
      <c r="AM185" s="264"/>
      <c r="AN185" s="75"/>
    </row>
    <row r="186" spans="1:40" s="6" customFormat="1" ht="11.25" x14ac:dyDescent="0.2">
      <c r="A186" s="56">
        <f t="shared" si="68"/>
        <v>44368</v>
      </c>
      <c r="B186" s="607">
        <v>32.953000000000003</v>
      </c>
      <c r="C186" s="388"/>
      <c r="D186" s="391">
        <f t="shared" si="48"/>
        <v>33.508332694476309</v>
      </c>
      <c r="E186" s="383">
        <f t="shared" si="72"/>
        <v>36.524626056120177</v>
      </c>
      <c r="F186" s="383">
        <f t="shared" si="49"/>
        <v>36.524626056120177</v>
      </c>
      <c r="G186" s="110">
        <f t="shared" si="73"/>
        <v>0.58700645919328842</v>
      </c>
      <c r="H186" s="412" t="b">
        <f>Wh_hp&gt;='2020'!Maxi_hp</f>
        <v>0</v>
      </c>
      <c r="I186" s="379">
        <f>IF(H186,Wh_hp,'2020'!Maxi_hp)</f>
        <v>54.852267304881771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1.657297304344385E-2</v>
      </c>
      <c r="M186" s="832"/>
      <c r="N186" s="832"/>
      <c r="O186" s="48">
        <f>IF(t&lt;Tnet,'2020'!Resal+('2020'!Salim-'2020'!Resal)*(1-EXP(('2020'!Tnet-t)/('2020'!Tau_j))),Resal+(Salim-Resal)*(1-EXP((Tnet-t)/(Tau_j))))*Salcycl</f>
        <v>8.2582457025277306E-2</v>
      </c>
      <c r="P186" s="169">
        <f>(INDEX(Models!$BJ186:$BT186,,T186)*(1-R186)+INDEX(Models!$BJ186:$BT186,,T186+1)*R186-ERP_i)*Q186*Ramure*Pc/MaxiM</f>
        <v>1.7653110497562951E-20</v>
      </c>
      <c r="Q186" s="304">
        <f t="shared" si="51"/>
        <v>0.6</v>
      </c>
      <c r="R186" s="177">
        <f t="shared" si="52"/>
        <v>0.80450668893600918</v>
      </c>
      <c r="S186" s="799">
        <f t="shared" si="53"/>
        <v>-1</v>
      </c>
      <c r="T186" s="176">
        <f t="shared" si="54"/>
        <v>5</v>
      </c>
      <c r="U186" s="250">
        <f t="shared" si="55"/>
        <v>-0.19549331106399082</v>
      </c>
      <c r="V186" s="382">
        <f t="shared" si="56"/>
        <v>56.137372057688552</v>
      </c>
      <c r="W186" s="400"/>
      <c r="X186" s="157">
        <f t="shared" si="57"/>
        <v>44368</v>
      </c>
      <c r="Y186" s="383">
        <f t="shared" si="58"/>
        <v>32.953000000000003</v>
      </c>
      <c r="Z186" s="383">
        <f t="shared" si="59"/>
        <v>33.508332694476309</v>
      </c>
      <c r="AA186" s="384">
        <f t="shared" si="60"/>
        <v>36.524626056120177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8.2582457025277306E-2</v>
      </c>
      <c r="AD186" s="230">
        <f>(INDEX(Models!$BJ186:$BT186,,AH186)*(1-AF186)+INDEX(Models!$BJ186:$BT186,,AH186+1)*AF186-ERP_i)*AE186*Ramure*Pc/MaxiM</f>
        <v>1.7653110497562951E-20</v>
      </c>
      <c r="AE186" s="304">
        <f t="shared" si="62"/>
        <v>0.6</v>
      </c>
      <c r="AF186" s="177">
        <f t="shared" si="63"/>
        <v>0.80450668893600918</v>
      </c>
      <c r="AG186" s="799">
        <f t="shared" si="71"/>
        <v>-1</v>
      </c>
      <c r="AH186" s="176">
        <f t="shared" si="64"/>
        <v>5</v>
      </c>
      <c r="AI186" s="224">
        <f t="shared" si="65"/>
        <v>-0.19549331106399082</v>
      </c>
      <c r="AJ186" s="264" t="b">
        <f t="shared" si="66"/>
        <v>0</v>
      </c>
      <c r="AK186" s="264" t="b">
        <f t="shared" si="67"/>
        <v>0</v>
      </c>
      <c r="AL186" s="264"/>
      <c r="AM186" s="264"/>
      <c r="AN186" s="75"/>
    </row>
    <row r="187" spans="1:40" s="6" customFormat="1" ht="11.25" x14ac:dyDescent="0.2">
      <c r="A187" s="56">
        <f t="shared" si="68"/>
        <v>44369</v>
      </c>
      <c r="B187" s="607">
        <v>39.905999999999999</v>
      </c>
      <c r="C187" s="388"/>
      <c r="D187" s="391">
        <f t="shared" si="48"/>
        <v>40.579284186996617</v>
      </c>
      <c r="E187" s="383">
        <f t="shared" si="72"/>
        <v>44.241830677754315</v>
      </c>
      <c r="F187" s="383">
        <f t="shared" si="49"/>
        <v>44.241830677754315</v>
      </c>
      <c r="G187" s="110">
        <f t="shared" si="73"/>
        <v>0.71175804629636141</v>
      </c>
      <c r="H187" s="412" t="b">
        <f>Wh_hp&gt;='2020'!Maxi_hp</f>
        <v>0</v>
      </c>
      <c r="I187" s="379">
        <f>IF(H187,Wh_hp,'2020'!Maxi_hp)</f>
        <v>62.350039866865146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1.6591820198059715E-2</v>
      </c>
      <c r="M187" s="832"/>
      <c r="N187" s="832"/>
      <c r="O187" s="48">
        <f>IF(t&lt;Tnet,'2020'!Resal+('2020'!Salim-'2020'!Resal)*(1-EXP(('2020'!Tnet-t)/('2020'!Tau_j))),Resal+(Salim-Resal)*(1-EXP((Tnet-t)/(Tau_j))))*Salcycl</f>
        <v>8.2784695720091492E-2</v>
      </c>
      <c r="P187" s="169">
        <f>(INDEX(Models!$BJ187:$BT187,,T187)*(1-R187)+INDEX(Models!$BJ187:$BT187,,T187+1)*R187-ERP_i)*Q187*Ramure*Pc/MaxiM</f>
        <v>0</v>
      </c>
      <c r="Q187" s="304">
        <f t="shared" si="51"/>
        <v>0.6</v>
      </c>
      <c r="R187" s="177">
        <f t="shared" si="52"/>
        <v>0.80937541787609679</v>
      </c>
      <c r="S187" s="799">
        <f t="shared" si="53"/>
        <v>-1</v>
      </c>
      <c r="T187" s="176">
        <f t="shared" si="54"/>
        <v>5</v>
      </c>
      <c r="U187" s="250">
        <f t="shared" si="55"/>
        <v>-0.19062458212390321</v>
      </c>
      <c r="V187" s="382">
        <f t="shared" si="56"/>
        <v>56.066805577613323</v>
      </c>
      <c r="W187" s="400"/>
      <c r="X187" s="157">
        <f t="shared" si="57"/>
        <v>44369</v>
      </c>
      <c r="Y187" s="383">
        <f t="shared" si="58"/>
        <v>39.905999999999999</v>
      </c>
      <c r="Z187" s="383">
        <f t="shared" si="59"/>
        <v>40.579284186996617</v>
      </c>
      <c r="AA187" s="384">
        <f t="shared" si="60"/>
        <v>44.241830677754315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8.2784695720091492E-2</v>
      </c>
      <c r="AD187" s="230">
        <f>(INDEX(Models!$BJ187:$BT187,,AH187)*(1-AF187)+INDEX(Models!$BJ187:$BT187,,AH187+1)*AF187-ERP_i)*AE187*Ramure*Pc/MaxiM</f>
        <v>0</v>
      </c>
      <c r="AE187" s="304">
        <f t="shared" si="62"/>
        <v>0.6</v>
      </c>
      <c r="AF187" s="177">
        <f t="shared" si="63"/>
        <v>0.80937541787609679</v>
      </c>
      <c r="AG187" s="799">
        <f t="shared" si="71"/>
        <v>-1</v>
      </c>
      <c r="AH187" s="176">
        <f t="shared" si="64"/>
        <v>5</v>
      </c>
      <c r="AI187" s="224">
        <f t="shared" si="65"/>
        <v>-0.19062458212390321</v>
      </c>
      <c r="AJ187" s="264" t="b">
        <f t="shared" si="66"/>
        <v>0</v>
      </c>
      <c r="AK187" s="264" t="b">
        <f t="shared" si="67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68"/>
        <v>44370</v>
      </c>
      <c r="B188" s="607">
        <v>19.568999999999999</v>
      </c>
      <c r="C188" s="388"/>
      <c r="D188" s="391">
        <f t="shared" si="48"/>
        <v>19.899544710467527</v>
      </c>
      <c r="E188" s="383">
        <f t="shared" si="72"/>
        <v>21.700355187429434</v>
      </c>
      <c r="F188" s="383">
        <f t="shared" si="49"/>
        <v>21.700355187429434</v>
      </c>
      <c r="G188" s="110">
        <f t="shared" si="73"/>
        <v>0.34948041536154262</v>
      </c>
      <c r="H188" s="412" t="b">
        <f>Wh_hp&gt;='2020'!Maxi_hp</f>
        <v>0</v>
      </c>
      <c r="I188" s="379">
        <f>IF(H188,Wh_hp,'2020'!Maxi_hp)</f>
        <v>54.242625495320887</v>
      </c>
      <c r="J188" s="85">
        <f>IF(H188,An,'2020'!An_max)</f>
        <v>2018</v>
      </c>
      <c r="K188" s="197">
        <f t="shared" si="50"/>
        <v>44370</v>
      </c>
      <c r="L188" s="147">
        <f>IF(t&lt;Tvie,1-EXP((T0-t)*PertePVj)+'2020'!Pspv,1-EXP((T0-t)*PertePVj)+Pspv)</f>
        <v>1.6610666991474177E-2</v>
      </c>
      <c r="M188" s="832"/>
      <c r="N188" s="832"/>
      <c r="O188" s="48">
        <f>IF(t&lt;Tnet,'2020'!Resal+('2020'!Salim-'2020'!Resal)*(1-EXP(('2020'!Tnet-t)/('2020'!Tau_j))),Resal+(Salim-Resal)*(1-EXP((Tnet-t)/(Tau_j))))*Salcycl</f>
        <v>8.2985299614131536E-2</v>
      </c>
      <c r="P188" s="169">
        <f>(INDEX(Models!$BJ188:$BT188,,T188)*(1-R188)+INDEX(Models!$BJ188:$BT188,,T188+1)*R188-ERP_i)*Q188*Ramure*Pc/MaxiM</f>
        <v>0</v>
      </c>
      <c r="Q188" s="304">
        <f t="shared" si="51"/>
        <v>0.6</v>
      </c>
      <c r="R188" s="177">
        <f t="shared" si="52"/>
        <v>0.81419603270731877</v>
      </c>
      <c r="S188" s="799">
        <f t="shared" si="53"/>
        <v>-1</v>
      </c>
      <c r="T188" s="176">
        <f t="shared" si="54"/>
        <v>5</v>
      </c>
      <c r="U188" s="250">
        <f t="shared" si="55"/>
        <v>-0.18580396729268128</v>
      </c>
      <c r="V188" s="382">
        <f t="shared" si="56"/>
        <v>55.994554028887663</v>
      </c>
      <c r="W188" s="400"/>
      <c r="X188" s="157">
        <f t="shared" si="57"/>
        <v>44370</v>
      </c>
      <c r="Y188" s="383">
        <f t="shared" si="58"/>
        <v>19.568999999999999</v>
      </c>
      <c r="Z188" s="383">
        <f t="shared" si="59"/>
        <v>19.899544710467527</v>
      </c>
      <c r="AA188" s="384">
        <f t="shared" si="60"/>
        <v>21.700355187429434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8.2985299614131536E-2</v>
      </c>
      <c r="AD188" s="230">
        <f>(INDEX(Models!$BJ188:$BT188,,AH188)*(1-AF188)+INDEX(Models!$BJ188:$BT188,,AH188+1)*AF188-ERP_i)*AE188*Ramure*Pc/MaxiM</f>
        <v>0</v>
      </c>
      <c r="AE188" s="304">
        <f t="shared" si="62"/>
        <v>0.6</v>
      </c>
      <c r="AF188" s="177">
        <f t="shared" si="63"/>
        <v>0.81419603270731877</v>
      </c>
      <c r="AG188" s="799">
        <f t="shared" si="71"/>
        <v>-1</v>
      </c>
      <c r="AH188" s="176">
        <f t="shared" si="64"/>
        <v>5</v>
      </c>
      <c r="AI188" s="224">
        <f t="shared" si="65"/>
        <v>-0.18580396729268128</v>
      </c>
      <c r="AJ188" s="264" t="b">
        <f t="shared" si="66"/>
        <v>0</v>
      </c>
      <c r="AK188" s="264" t="b">
        <f t="shared" si="67"/>
        <v>0</v>
      </c>
      <c r="AL188" s="264"/>
      <c r="AM188" s="264"/>
      <c r="AN188" s="75"/>
    </row>
    <row r="189" spans="1:40" s="6" customFormat="1" ht="11.25" x14ac:dyDescent="0.2">
      <c r="A189" s="56">
        <f t="shared" si="68"/>
        <v>44371</v>
      </c>
      <c r="B189" s="607">
        <v>32.954000000000001</v>
      </c>
      <c r="C189" s="388"/>
      <c r="D189" s="391">
        <f t="shared" si="48"/>
        <v>33.51127621770749</v>
      </c>
      <c r="E189" s="383">
        <f t="shared" si="72"/>
        <v>36.551811564715258</v>
      </c>
      <c r="F189" s="383">
        <f t="shared" si="49"/>
        <v>36.551811564715258</v>
      </c>
      <c r="G189" s="110">
        <f t="shared" si="73"/>
        <v>0.58929962849692163</v>
      </c>
      <c r="H189" s="412" t="b">
        <f>Wh_hp&gt;='2020'!Maxi_hp</f>
        <v>0</v>
      </c>
      <c r="I189" s="379">
        <f>IF(H189,Wh_hp,'2020'!Maxi_hp)</f>
        <v>61.322953896057307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1.662951342369412E-2</v>
      </c>
      <c r="M189" s="832"/>
      <c r="N189" s="832"/>
      <c r="O189" s="48">
        <f>IF(t&lt;Tnet,'2020'!Resal+('2020'!Salim-'2020'!Resal)*(1-EXP(('2020'!Tnet-t)/('2020'!Tau_j))),Resal+(Salim-Resal)*(1-EXP((Tnet-t)/(Tau_j))))*Salcycl</f>
        <v>8.3184258641311903E-2</v>
      </c>
      <c r="P189" s="169">
        <f>(INDEX(Models!$BJ189:$BT189,,T189)*(1-R189)+INDEX(Models!$BJ189:$BT189,,T189+1)*R189-ERP_i)*Q189*Ramure*Pc/MaxiM</f>
        <v>0</v>
      </c>
      <c r="Q189" s="304">
        <f t="shared" si="51"/>
        <v>0.6</v>
      </c>
      <c r="R189" s="177">
        <f t="shared" si="52"/>
        <v>0.8189652350888611</v>
      </c>
      <c r="S189" s="799">
        <f t="shared" si="53"/>
        <v>-1</v>
      </c>
      <c r="T189" s="176">
        <f t="shared" si="54"/>
        <v>5</v>
      </c>
      <c r="U189" s="250">
        <f t="shared" si="55"/>
        <v>-0.1810347649111389</v>
      </c>
      <c r="V189" s="382">
        <f t="shared" si="56"/>
        <v>55.920618996575776</v>
      </c>
      <c r="W189" s="400"/>
      <c r="X189" s="157">
        <f t="shared" si="57"/>
        <v>44371</v>
      </c>
      <c r="Y189" s="383">
        <f t="shared" si="58"/>
        <v>32.954000000000001</v>
      </c>
      <c r="Z189" s="383">
        <f t="shared" si="59"/>
        <v>33.51127621770749</v>
      </c>
      <c r="AA189" s="384">
        <f t="shared" si="60"/>
        <v>36.551811564715258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8.3184258641311903E-2</v>
      </c>
      <c r="AD189" s="230">
        <f>(INDEX(Models!$BJ189:$BT189,,AH189)*(1-AF189)+INDEX(Models!$BJ189:$BT189,,AH189+1)*AF189-ERP_i)*AE189*Ramure*Pc/MaxiM</f>
        <v>0</v>
      </c>
      <c r="AE189" s="304">
        <f t="shared" si="62"/>
        <v>0.6</v>
      </c>
      <c r="AF189" s="177">
        <f t="shared" si="63"/>
        <v>0.8189652350888611</v>
      </c>
      <c r="AG189" s="799">
        <f t="shared" si="71"/>
        <v>-1</v>
      </c>
      <c r="AH189" s="176">
        <f t="shared" si="64"/>
        <v>5</v>
      </c>
      <c r="AI189" s="224">
        <f t="shared" si="65"/>
        <v>-0.1810347649111389</v>
      </c>
      <c r="AJ189" s="264" t="b">
        <f t="shared" si="66"/>
        <v>0</v>
      </c>
      <c r="AK189" s="264" t="b">
        <f t="shared" si="67"/>
        <v>0</v>
      </c>
      <c r="AL189" s="264"/>
      <c r="AM189" s="264"/>
      <c r="AN189" s="75"/>
    </row>
    <row r="190" spans="1:40" s="6" customFormat="1" ht="11.25" x14ac:dyDescent="0.2">
      <c r="A190" s="56">
        <f t="shared" si="68"/>
        <v>44372</v>
      </c>
      <c r="B190" s="607">
        <v>51.587000000000003</v>
      </c>
      <c r="C190" s="388"/>
      <c r="D190" s="391">
        <f t="shared" si="48"/>
        <v>52.460379253034212</v>
      </c>
      <c r="E190" s="383">
        <f t="shared" si="72"/>
        <v>57.232516113323115</v>
      </c>
      <c r="F190" s="383">
        <f t="shared" si="49"/>
        <v>57.232516113323115</v>
      </c>
      <c r="G190" s="110">
        <f t="shared" si="73"/>
        <v>0.92375321577557201</v>
      </c>
      <c r="H190" s="412" t="b">
        <f>Wh_hp&gt;='2020'!Maxi_hp</f>
        <v>0</v>
      </c>
      <c r="I190" s="379">
        <f>IF(H190,Wh_hp,'2020'!Maxi_hp)</f>
        <v>60.963352971258608</v>
      </c>
      <c r="J190" s="85">
        <f>IF(H190,An,'2020'!An_max)</f>
        <v>2020</v>
      </c>
      <c r="K190" s="197">
        <f t="shared" si="50"/>
        <v>44372</v>
      </c>
      <c r="L190" s="147">
        <f>IF(t&lt;Tvie,1-EXP((T0-t)*PertePVj)+'2020'!Pspv,1-EXP((T0-t)*PertePVj)+Pspv)</f>
        <v>1.6648359494726539E-2</v>
      </c>
      <c r="M190" s="832"/>
      <c r="N190" s="832"/>
      <c r="O190" s="48">
        <f>IF(t&lt;Tnet,'2020'!Resal+('2020'!Salim-'2020'!Resal)*(1-EXP(('2020'!Tnet-t)/('2020'!Tau_j))),Resal+(Salim-Resal)*(1-EXP((Tnet-t)/(Tau_j))))*Salcycl</f>
        <v>8.3381566710082136E-2</v>
      </c>
      <c r="P190" s="169">
        <f>(INDEX(Models!$BJ190:$BT190,,T190)*(1-R190)+INDEX(Models!$BJ190:$BT190,,T190+1)*R190-ERP_i)*Q190*Ramure*Pc/MaxiM</f>
        <v>0</v>
      </c>
      <c r="Q190" s="304">
        <f t="shared" si="51"/>
        <v>0.6</v>
      </c>
      <c r="R190" s="177">
        <f t="shared" si="52"/>
        <v>0.82367988247983703</v>
      </c>
      <c r="S190" s="799">
        <f t="shared" si="53"/>
        <v>-1</v>
      </c>
      <c r="T190" s="176">
        <f t="shared" si="54"/>
        <v>5</v>
      </c>
      <c r="U190" s="250">
        <f t="shared" si="55"/>
        <v>-0.17632011752016302</v>
      </c>
      <c r="V190" s="382">
        <f t="shared" si="56"/>
        <v>55.845001802443726</v>
      </c>
      <c r="W190" s="400"/>
      <c r="X190" s="157">
        <f t="shared" si="57"/>
        <v>44372</v>
      </c>
      <c r="Y190" s="383">
        <f t="shared" si="58"/>
        <v>51.587000000000003</v>
      </c>
      <c r="Z190" s="383">
        <f t="shared" si="59"/>
        <v>52.460379253034212</v>
      </c>
      <c r="AA190" s="384">
        <f t="shared" si="60"/>
        <v>57.232516113323115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8.3381566710082136E-2</v>
      </c>
      <c r="AD190" s="230">
        <f>(INDEX(Models!$BJ190:$BT190,,AH190)*(1-AF190)+INDEX(Models!$BJ190:$BT190,,AH190+1)*AF190-ERP_i)*AE190*Ramure*Pc/MaxiM</f>
        <v>0</v>
      </c>
      <c r="AE190" s="304">
        <f t="shared" si="62"/>
        <v>0.6</v>
      </c>
      <c r="AF190" s="177">
        <f t="shared" si="63"/>
        <v>0.82367988247983703</v>
      </c>
      <c r="AG190" s="799">
        <f t="shared" si="71"/>
        <v>-1</v>
      </c>
      <c r="AH190" s="176">
        <f t="shared" si="64"/>
        <v>5</v>
      </c>
      <c r="AI190" s="224">
        <f t="shared" si="65"/>
        <v>-0.17632011752016302</v>
      </c>
      <c r="AJ190" s="264" t="b">
        <f t="shared" si="66"/>
        <v>0</v>
      </c>
      <c r="AK190" s="264" t="b">
        <f t="shared" si="67"/>
        <v>0</v>
      </c>
      <c r="AL190" s="264"/>
      <c r="AM190" s="264"/>
      <c r="AN190" s="75"/>
    </row>
    <row r="191" spans="1:40" s="6" customFormat="1" ht="11.25" x14ac:dyDescent="0.2">
      <c r="A191" s="56">
        <f t="shared" si="68"/>
        <v>44373</v>
      </c>
      <c r="B191" s="607">
        <v>54.323999999999998</v>
      </c>
      <c r="C191" s="388"/>
      <c r="D191" s="391">
        <f t="shared" si="48"/>
        <v>55.244776018379284</v>
      </c>
      <c r="E191" s="383">
        <f t="shared" si="72"/>
        <v>60.283067295939524</v>
      </c>
      <c r="F191" s="383">
        <f t="shared" si="49"/>
        <v>60.283067295939524</v>
      </c>
      <c r="G191" s="110">
        <f t="shared" si="73"/>
        <v>0.97411953919907557</v>
      </c>
      <c r="H191" s="412" t="b">
        <f>Wh_hp&gt;='2020'!Maxi_hp</f>
        <v>0</v>
      </c>
      <c r="I191" s="379">
        <f>IF(H191,Wh_hp,'2020'!Maxi_hp)</f>
        <v>60.568355603676984</v>
      </c>
      <c r="J191" s="85">
        <f>IF(H191,An,'2020'!An_max)</f>
        <v>2018</v>
      </c>
      <c r="K191" s="197">
        <f t="shared" si="50"/>
        <v>44373</v>
      </c>
      <c r="L191" s="147">
        <f>IF(t&lt;Tvie,1-EXP((T0-t)*PertePVj)+'2020'!Pspv,1-EXP((T0-t)*PertePVj)+Pspv)</f>
        <v>1.6667205204578206E-2</v>
      </c>
      <c r="M191" s="832"/>
      <c r="N191" s="832"/>
      <c r="O191" s="48">
        <f>IF(t&lt;Tnet,'2020'!Resal+('2020'!Salim-'2020'!Resal)*(1-EXP(('2020'!Tnet-t)/('2020'!Tau_j))),Resal+(Salim-Resal)*(1-EXP((Tnet-t)/(Tau_j))))*Salcycl</f>
        <v>8.3577221657060649E-2</v>
      </c>
      <c r="P191" s="169">
        <f>(INDEX(Models!$BJ191:$BT191,,T191)*(1-R191)+INDEX(Models!$BJ191:$BT191,,T191+1)*R191-ERP_i)*Q191*Ramure*Pc/MaxiM</f>
        <v>0</v>
      </c>
      <c r="Q191" s="304">
        <f t="shared" si="51"/>
        <v>0.6</v>
      </c>
      <c r="R191" s="177">
        <f t="shared" si="52"/>
        <v>0.82833699482066925</v>
      </c>
      <c r="S191" s="799">
        <f t="shared" si="53"/>
        <v>-1</v>
      </c>
      <c r="T191" s="176">
        <f t="shared" si="54"/>
        <v>5</v>
      </c>
      <c r="U191" s="250">
        <f t="shared" si="55"/>
        <v>-0.17166300517933075</v>
      </c>
      <c r="V191" s="382">
        <f t="shared" si="56"/>
        <v>55.767282981168186</v>
      </c>
      <c r="W191" s="400"/>
      <c r="X191" s="157">
        <f t="shared" si="57"/>
        <v>44373</v>
      </c>
      <c r="Y191" s="383">
        <f t="shared" si="58"/>
        <v>54.323999999999998</v>
      </c>
      <c r="Z191" s="383">
        <f t="shared" si="59"/>
        <v>55.244776018379284</v>
      </c>
      <c r="AA191" s="384">
        <f t="shared" si="60"/>
        <v>60.283067295939524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8.3577221657060649E-2</v>
      </c>
      <c r="AD191" s="230">
        <f>(INDEX(Models!$BJ191:$BT191,,AH191)*(1-AF191)+INDEX(Models!$BJ191:$BT191,,AH191+1)*AF191-ERP_i)*AE191*Ramure*Pc/MaxiM</f>
        <v>0</v>
      </c>
      <c r="AE191" s="304">
        <f t="shared" si="62"/>
        <v>0.6</v>
      </c>
      <c r="AF191" s="177">
        <f t="shared" si="63"/>
        <v>0.82833699482066925</v>
      </c>
      <c r="AG191" s="799">
        <f t="shared" si="71"/>
        <v>-1</v>
      </c>
      <c r="AH191" s="176">
        <f t="shared" si="64"/>
        <v>5</v>
      </c>
      <c r="AI191" s="224">
        <f t="shared" si="65"/>
        <v>-0.17166300517933075</v>
      </c>
      <c r="AJ191" s="264" t="b">
        <f t="shared" si="66"/>
        <v>0</v>
      </c>
      <c r="AK191" s="264" t="b">
        <f t="shared" si="67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68"/>
        <v>44374</v>
      </c>
      <c r="B192" s="607">
        <v>8.354000000000001</v>
      </c>
      <c r="C192" s="388"/>
      <c r="D192" s="391">
        <f t="shared" si="48"/>
        <v>8.4957606924017846</v>
      </c>
      <c r="E192" s="383">
        <f t="shared" si="72"/>
        <v>9.2725320639011652</v>
      </c>
      <c r="F192" s="383">
        <f t="shared" si="49"/>
        <v>9.2725320639011652</v>
      </c>
      <c r="G192" s="110">
        <f t="shared" si="73"/>
        <v>0.15001659475974599</v>
      </c>
      <c r="H192" s="412" t="b">
        <f>Wh_hp&gt;='2020'!Maxi_hp</f>
        <v>0</v>
      </c>
      <c r="I192" s="379">
        <f>IF(H192,Wh_hp,'2020'!Maxi_hp)</f>
        <v>60.063496146867578</v>
      </c>
      <c r="J192" s="85">
        <f>IF(H192,An,'2020'!An_max)</f>
        <v>2018</v>
      </c>
      <c r="K192" s="197">
        <f t="shared" si="50"/>
        <v>44374</v>
      </c>
      <c r="L192" s="147">
        <f>IF(t&lt;Tvie,1-EXP((T0-t)*PertePVj)+'2020'!Pspv,1-EXP((T0-t)*PertePVj)+Pspv)</f>
        <v>1.6686050553256226E-2</v>
      </c>
      <c r="M192" s="832"/>
      <c r="N192" s="832"/>
      <c r="O192" s="48">
        <f>IF(t&lt;Tnet,'2020'!Resal+('2020'!Salim-'2020'!Resal)*(1-EXP(('2020'!Tnet-t)/('2020'!Tau_j))),Resal+(Salim-Resal)*(1-EXP((Tnet-t)/(Tau_j))))*Salcycl</f>
        <v>8.377122517844128E-2</v>
      </c>
      <c r="P192" s="169">
        <f>(INDEX(Models!$BJ192:$BT192,,T192)*(1-R192)+INDEX(Models!$BJ192:$BT192,,T192+1)*R192-ERP_i)*Q192*Ramure*Pc/MaxiM</f>
        <v>0</v>
      </c>
      <c r="Q192" s="304">
        <f t="shared" si="51"/>
        <v>0.6</v>
      </c>
      <c r="R192" s="177">
        <f t="shared" si="52"/>
        <v>0.83293376023838639</v>
      </c>
      <c r="S192" s="799">
        <f t="shared" si="53"/>
        <v>-1</v>
      </c>
      <c r="T192" s="176">
        <f t="shared" si="54"/>
        <v>5</v>
      </c>
      <c r="U192" s="250">
        <f t="shared" si="55"/>
        <v>-0.16706623976161361</v>
      </c>
      <c r="V192" s="382">
        <f t="shared" si="56"/>
        <v>55.687172565002342</v>
      </c>
      <c r="W192" s="400"/>
      <c r="X192" s="157">
        <f t="shared" si="57"/>
        <v>44374</v>
      </c>
      <c r="Y192" s="383">
        <f t="shared" si="58"/>
        <v>8.354000000000001</v>
      </c>
      <c r="Z192" s="383">
        <f t="shared" si="59"/>
        <v>8.4957606924017846</v>
      </c>
      <c r="AA192" s="384">
        <f t="shared" si="60"/>
        <v>9.2725320639011652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8.377122517844128E-2</v>
      </c>
      <c r="AD192" s="230">
        <f>(INDEX(Models!$BJ192:$BT192,,AH192)*(1-AF192)+INDEX(Models!$BJ192:$BT192,,AH192+1)*AF192-ERP_i)*AE192*Ramure*Pc/MaxiM</f>
        <v>0</v>
      </c>
      <c r="AE192" s="304">
        <f t="shared" si="62"/>
        <v>0.6</v>
      </c>
      <c r="AF192" s="177">
        <f t="shared" si="63"/>
        <v>0.83293376023838639</v>
      </c>
      <c r="AG192" s="799">
        <f t="shared" si="71"/>
        <v>-1</v>
      </c>
      <c r="AH192" s="176">
        <f t="shared" si="64"/>
        <v>5</v>
      </c>
      <c r="AI192" s="224">
        <f t="shared" si="65"/>
        <v>-0.16706623976161361</v>
      </c>
      <c r="AJ192" s="264" t="b">
        <f t="shared" si="66"/>
        <v>0</v>
      </c>
      <c r="AK192" s="264" t="b">
        <f t="shared" si="67"/>
        <v>0</v>
      </c>
      <c r="AL192" s="264"/>
      <c r="AM192" s="264"/>
      <c r="AN192" s="75"/>
    </row>
    <row r="193" spans="1:40" s="6" customFormat="1" ht="11.25" x14ac:dyDescent="0.2">
      <c r="A193" s="56">
        <f t="shared" si="68"/>
        <v>44375</v>
      </c>
      <c r="B193" s="607">
        <v>31.356999999999999</v>
      </c>
      <c r="C193" s="388"/>
      <c r="D193" s="391">
        <f t="shared" si="48"/>
        <v>31.889714346991401</v>
      </c>
      <c r="E193" s="383">
        <f t="shared" si="72"/>
        <v>34.812714588758944</v>
      </c>
      <c r="F193" s="383">
        <f t="shared" si="49"/>
        <v>34.812714588758944</v>
      </c>
      <c r="G193" s="110">
        <f t="shared" si="73"/>
        <v>0.56392547060480991</v>
      </c>
      <c r="H193" s="412" t="b">
        <f>Wh_hp&gt;='2020'!Maxi_hp</f>
        <v>0</v>
      </c>
      <c r="I193" s="379">
        <f>IF(H193,Wh_hp,'2020'!Maxi_hp)</f>
        <v>55.239897258152212</v>
      </c>
      <c r="J193" s="85">
        <f>IF(H193,An,'2020'!An_max)</f>
        <v>2018</v>
      </c>
      <c r="K193" s="197">
        <f t="shared" si="50"/>
        <v>44375</v>
      </c>
      <c r="L193" s="147">
        <f>IF(t&lt;Tvie,1-EXP((T0-t)*PertePVj)+'2020'!Pspv,1-EXP((T0-t)*PertePVj)+Pspv)</f>
        <v>1.6704895540767373E-2</v>
      </c>
      <c r="M193" s="832"/>
      <c r="N193" s="832"/>
      <c r="O193" s="48">
        <f>IF(t&lt;Tnet,'2020'!Resal+('2020'!Salim-'2020'!Resal)*(1-EXP(('2020'!Tnet-t)/('2020'!Tau_j))),Resal+(Salim-Resal)*(1-EXP((Tnet-t)/(Tau_j))))*Salcycl</f>
        <v>8.3963582739720613E-2</v>
      </c>
      <c r="P193" s="169">
        <f>(INDEX(Models!$BJ193:$BT193,,T193)*(1-R193)+INDEX(Models!$BJ193:$BT193,,T193+1)*R193-ERP_i)*Q193*Ramure*Pc/MaxiM</f>
        <v>0</v>
      </c>
      <c r="Q193" s="304">
        <f t="shared" si="51"/>
        <v>0.6</v>
      </c>
      <c r="R193" s="177">
        <f t="shared" si="52"/>
        <v>0.83746753976921595</v>
      </c>
      <c r="S193" s="799">
        <f t="shared" si="53"/>
        <v>-1</v>
      </c>
      <c r="T193" s="176">
        <f t="shared" si="54"/>
        <v>5</v>
      </c>
      <c r="U193" s="250">
        <f t="shared" si="55"/>
        <v>-0.1625324602307841</v>
      </c>
      <c r="V193" s="382">
        <f t="shared" si="56"/>
        <v>55.604865597522355</v>
      </c>
      <c r="W193" s="400"/>
      <c r="X193" s="157">
        <f t="shared" si="57"/>
        <v>44375</v>
      </c>
      <c r="Y193" s="383">
        <f t="shared" si="58"/>
        <v>31.357000000000003</v>
      </c>
      <c r="Z193" s="383">
        <f t="shared" si="59"/>
        <v>31.889714346991404</v>
      </c>
      <c r="AA193" s="384">
        <f t="shared" si="60"/>
        <v>34.812714588758944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8.3963582739720613E-2</v>
      </c>
      <c r="AD193" s="230">
        <f>(INDEX(Models!$BJ193:$BT193,,AH193)*(1-AF193)+INDEX(Models!$BJ193:$BT193,,AH193+1)*AF193-ERP_i)*AE193*Ramure*Pc/MaxiM</f>
        <v>0</v>
      </c>
      <c r="AE193" s="304">
        <f t="shared" si="62"/>
        <v>0.6</v>
      </c>
      <c r="AF193" s="177">
        <f t="shared" si="63"/>
        <v>0.83746753976921595</v>
      </c>
      <c r="AG193" s="799">
        <f t="shared" si="71"/>
        <v>-1</v>
      </c>
      <c r="AH193" s="176">
        <f t="shared" si="64"/>
        <v>5</v>
      </c>
      <c r="AI193" s="224">
        <f t="shared" si="65"/>
        <v>-0.1625324602307841</v>
      </c>
      <c r="AJ193" s="264" t="b">
        <f t="shared" si="66"/>
        <v>0</v>
      </c>
      <c r="AK193" s="264" t="b">
        <f t="shared" si="67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68"/>
        <v>44376</v>
      </c>
      <c r="B194" s="607">
        <v>38.661000000000001</v>
      </c>
      <c r="C194" s="388"/>
      <c r="D194" s="391">
        <f t="shared" si="48"/>
        <v>39.318553268611275</v>
      </c>
      <c r="E194" s="383">
        <f t="shared" si="72"/>
        <v>42.931416741210562</v>
      </c>
      <c r="F194" s="383">
        <f t="shared" si="49"/>
        <v>42.931416741210562</v>
      </c>
      <c r="G194" s="110">
        <f t="shared" si="73"/>
        <v>0.69633667777123531</v>
      </c>
      <c r="H194" s="412" t="b">
        <f>Wh_hp&gt;='2020'!Maxi_hp</f>
        <v>0</v>
      </c>
      <c r="I194" s="379">
        <f>IF(H194,Wh_hp,'2020'!Maxi_hp)</f>
        <v>57.264742855697342</v>
      </c>
      <c r="J194" s="85">
        <f>IF(H194,An,'2020'!An_max)</f>
        <v>2018</v>
      </c>
      <c r="K194" s="197">
        <f t="shared" si="50"/>
        <v>44376</v>
      </c>
      <c r="L194" s="147">
        <f>IF(t&lt;Tvie,1-EXP((T0-t)*PertePVj)+'2020'!Pspv,1-EXP((T0-t)*PertePVj)+Pspv)</f>
        <v>1.672374016711875E-2</v>
      </c>
      <c r="M194" s="832"/>
      <c r="N194" s="832"/>
      <c r="O194" s="48">
        <f>IF(t&lt;Tnet,'2020'!Resal+('2020'!Salim-'2020'!Resal)*(1-EXP(('2020'!Tnet-t)/('2020'!Tau_j))),Resal+(Salim-Resal)*(1-EXP((Tnet-t)/(Tau_j))))*Salcycl</f>
        <v>8.4154303464465952E-2</v>
      </c>
      <c r="P194" s="169">
        <f>(INDEX(Models!$BJ194:$BT194,,T194)*(1-R194)+INDEX(Models!$BJ194:$BT194,,T194+1)*R194-ERP_i)*Q194*Ramure*Pc/MaxiM</f>
        <v>0</v>
      </c>
      <c r="Q194" s="304">
        <f t="shared" si="51"/>
        <v>0.6</v>
      </c>
      <c r="R194" s="177">
        <f t="shared" si="52"/>
        <v>0.84193587110098822</v>
      </c>
      <c r="S194" s="799">
        <f t="shared" si="53"/>
        <v>-1</v>
      </c>
      <c r="T194" s="176">
        <f t="shared" si="54"/>
        <v>5</v>
      </c>
      <c r="U194" s="250">
        <f t="shared" si="55"/>
        <v>-0.15806412889901178</v>
      </c>
      <c r="V194" s="382">
        <f t="shared" si="56"/>
        <v>55.52055669929991</v>
      </c>
      <c r="W194" s="400"/>
      <c r="X194" s="157">
        <f t="shared" si="57"/>
        <v>44376</v>
      </c>
      <c r="Y194" s="383">
        <f t="shared" si="58"/>
        <v>38.661000000000001</v>
      </c>
      <c r="Z194" s="383">
        <f t="shared" si="59"/>
        <v>39.318553268611275</v>
      </c>
      <c r="AA194" s="384">
        <f t="shared" si="60"/>
        <v>42.931416741210562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8.4154303464465952E-2</v>
      </c>
      <c r="AD194" s="230">
        <f>(INDEX(Models!$BJ194:$BT194,,AH194)*(1-AF194)+INDEX(Models!$BJ194:$BT194,,AH194+1)*AF194-ERP_i)*AE194*Ramure*Pc/MaxiM</f>
        <v>0</v>
      </c>
      <c r="AE194" s="304">
        <f t="shared" si="62"/>
        <v>0.6</v>
      </c>
      <c r="AF194" s="177">
        <f t="shared" si="63"/>
        <v>0.84193587110098822</v>
      </c>
      <c r="AG194" s="799">
        <f t="shared" si="71"/>
        <v>-1</v>
      </c>
      <c r="AH194" s="176">
        <f t="shared" si="64"/>
        <v>5</v>
      </c>
      <c r="AI194" s="224">
        <f t="shared" si="65"/>
        <v>-0.15806412889901178</v>
      </c>
      <c r="AJ194" s="264" t="b">
        <f t="shared" si="66"/>
        <v>0</v>
      </c>
      <c r="AK194" s="264" t="b">
        <f t="shared" si="67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68"/>
        <v>44377</v>
      </c>
      <c r="B195" s="607">
        <v>43.611000000000004</v>
      </c>
      <c r="C195" s="388"/>
      <c r="D195" s="391">
        <f t="shared" si="48"/>
        <v>44.353593788887139</v>
      </c>
      <c r="E195" s="383">
        <f t="shared" si="72"/>
        <v>48.439113297532074</v>
      </c>
      <c r="F195" s="383">
        <f t="shared" si="49"/>
        <v>48.439113297532074</v>
      </c>
      <c r="G195" s="110">
        <f t="shared" si="73"/>
        <v>0.78671309636778797</v>
      </c>
      <c r="H195" s="412" t="b">
        <f>Wh_hp&gt;='2020'!Maxi_hp</f>
        <v>0</v>
      </c>
      <c r="I195" s="379">
        <f>IF(H195,Wh_hp,'2020'!Maxi_hp)</f>
        <v>48.567329624942467</v>
      </c>
      <c r="J195" s="85">
        <f>IF(H195,An,'2020'!An_max)</f>
        <v>2018</v>
      </c>
      <c r="K195" s="197">
        <f t="shared" si="50"/>
        <v>44377</v>
      </c>
      <c r="L195" s="147">
        <f>IF(t&lt;Tvie,1-EXP((T0-t)*PertePVj)+'2020'!Pspv,1-EXP((T0-t)*PertePVj)+Pspv)</f>
        <v>1.674258443231702E-2</v>
      </c>
      <c r="M195" s="832"/>
      <c r="N195" s="832"/>
      <c r="O195" s="48">
        <f>IF(t&lt;Tnet,'2020'!Resal+('2020'!Salim-'2020'!Resal)*(1-EXP(('2020'!Tnet-t)/('2020'!Tau_j))),Resal+(Salim-Resal)*(1-EXP((Tnet-t)/(Tau_j))))*Salcycl</f>
        <v>8.4343400003011354E-2</v>
      </c>
      <c r="P195" s="169">
        <f>(INDEX(Models!$BJ195:$BT195,,T195)*(1-R195)+INDEX(Models!$BJ195:$BT195,,T195+1)*R195-ERP_i)*Q195*Ramure*Pc/MaxiM</f>
        <v>0</v>
      </c>
      <c r="Q195" s="304">
        <f t="shared" si="51"/>
        <v>0.6</v>
      </c>
      <c r="R195" s="177">
        <f t="shared" si="52"/>
        <v>0.84633647134654377</v>
      </c>
      <c r="S195" s="799">
        <f t="shared" si="53"/>
        <v>-1</v>
      </c>
      <c r="T195" s="176">
        <f t="shared" si="54"/>
        <v>5</v>
      </c>
      <c r="U195" s="250">
        <f t="shared" si="55"/>
        <v>-0.15366352865345617</v>
      </c>
      <c r="V195" s="382">
        <f t="shared" si="56"/>
        <v>55.43444007904489</v>
      </c>
      <c r="W195" s="400"/>
      <c r="X195" s="157">
        <f t="shared" si="57"/>
        <v>44377</v>
      </c>
      <c r="Y195" s="383">
        <f t="shared" si="58"/>
        <v>43.611000000000004</v>
      </c>
      <c r="Z195" s="383">
        <f t="shared" si="59"/>
        <v>44.353593788887139</v>
      </c>
      <c r="AA195" s="384">
        <f t="shared" si="60"/>
        <v>48.439113297532074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8.4343400003011354E-2</v>
      </c>
      <c r="AD195" s="230">
        <f>(INDEX(Models!$BJ195:$BT195,,AH195)*(1-AF195)+INDEX(Models!$BJ195:$BT195,,AH195+1)*AF195-ERP_i)*AE195*Ramure*Pc/MaxiM</f>
        <v>0</v>
      </c>
      <c r="AE195" s="304">
        <f t="shared" si="62"/>
        <v>0.6</v>
      </c>
      <c r="AF195" s="177">
        <f t="shared" si="63"/>
        <v>0.84633647134654377</v>
      </c>
      <c r="AG195" s="799">
        <f t="shared" si="71"/>
        <v>-1</v>
      </c>
      <c r="AH195" s="176">
        <f t="shared" si="64"/>
        <v>5</v>
      </c>
      <c r="AI195" s="224">
        <f t="shared" si="65"/>
        <v>-0.15366352865345617</v>
      </c>
      <c r="AJ195" s="264" t="b">
        <f t="shared" si="66"/>
        <v>0</v>
      </c>
      <c r="AK195" s="264" t="b">
        <f t="shared" si="67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68"/>
        <v>44378</v>
      </c>
      <c r="B196" s="607">
        <v>50.057000000000002</v>
      </c>
      <c r="C196" s="388"/>
      <c r="D196" s="391">
        <f t="shared" si="48"/>
        <v>50.910329845282632</v>
      </c>
      <c r="E196" s="383">
        <f t="shared" si="72"/>
        <v>55.61119342990272</v>
      </c>
      <c r="F196" s="383">
        <f t="shared" si="49"/>
        <v>55.61119342990272</v>
      </c>
      <c r="G196" s="110">
        <f t="shared" si="73"/>
        <v>0.90442594343008131</v>
      </c>
      <c r="H196" s="412" t="b">
        <f>Wh_hp&gt;='2020'!Maxi_hp</f>
        <v>0</v>
      </c>
      <c r="I196" s="379">
        <f>IF(H196,Wh_hp,'2020'!Maxi_hp)</f>
        <v>60.829668831248355</v>
      </c>
      <c r="J196" s="85">
        <f>IF(H196,An,'2020'!An_max)</f>
        <v>2020</v>
      </c>
      <c r="K196" s="197">
        <f t="shared" si="50"/>
        <v>44378</v>
      </c>
      <c r="L196" s="147">
        <f>IF(t&lt;Tvie,1-EXP((T0-t)*PertePVj)+'2020'!Pspv,1-EXP((T0-t)*PertePVj)+Pspv)</f>
        <v>1.6761428336369288E-2</v>
      </c>
      <c r="M196" s="832"/>
      <c r="N196" s="832"/>
      <c r="O196" s="48">
        <f>IF(t&lt;Tnet,'2020'!Resal+('2020'!Salim-'2020'!Resal)*(1-EXP(('2020'!Tnet-t)/('2020'!Tau_j))),Resal+(Salim-Resal)*(1-EXP((Tnet-t)/(Tau_j))))*Salcycl</f>
        <v>8.4530888382128924E-2</v>
      </c>
      <c r="P196" s="169">
        <f>(INDEX(Models!$BJ196:$BT196,,T196)*(1-R196)+INDEX(Models!$BJ196:$BT196,,T196+1)*R196-ERP_i)*Q196*Ramure*Pc/MaxiM</f>
        <v>0</v>
      </c>
      <c r="Q196" s="304">
        <f t="shared" si="51"/>
        <v>0.6</v>
      </c>
      <c r="R196" s="177">
        <f t="shared" si="52"/>
        <v>0.85066723886748674</v>
      </c>
      <c r="S196" s="799">
        <f t="shared" si="53"/>
        <v>-1</v>
      </c>
      <c r="T196" s="176">
        <f t="shared" si="54"/>
        <v>5</v>
      </c>
      <c r="U196" s="250">
        <f t="shared" si="55"/>
        <v>-0.14933276113251331</v>
      </c>
      <c r="V196" s="382">
        <f t="shared" si="56"/>
        <v>55.346709549436731</v>
      </c>
      <c r="W196" s="400"/>
      <c r="X196" s="157">
        <f t="shared" si="57"/>
        <v>44378</v>
      </c>
      <c r="Y196" s="383">
        <f t="shared" si="58"/>
        <v>50.057000000000002</v>
      </c>
      <c r="Z196" s="383">
        <f t="shared" si="59"/>
        <v>50.910329845282632</v>
      </c>
      <c r="AA196" s="384">
        <f t="shared" si="60"/>
        <v>55.61119342990272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8.4530888382128924E-2</v>
      </c>
      <c r="AD196" s="230">
        <f>(INDEX(Models!$BJ196:$BT196,,AH196)*(1-AF196)+INDEX(Models!$BJ196:$BT196,,AH196+1)*AF196-ERP_i)*AE196*Ramure*Pc/MaxiM</f>
        <v>0</v>
      </c>
      <c r="AE196" s="304">
        <f t="shared" si="62"/>
        <v>0.6</v>
      </c>
      <c r="AF196" s="177">
        <f t="shared" si="63"/>
        <v>0.85066723886748674</v>
      </c>
      <c r="AG196" s="799">
        <f t="shared" si="71"/>
        <v>-1</v>
      </c>
      <c r="AH196" s="176">
        <f t="shared" si="64"/>
        <v>5</v>
      </c>
      <c r="AI196" s="224">
        <f t="shared" si="65"/>
        <v>-0.14933276113251331</v>
      </c>
      <c r="AJ196" s="264" t="b">
        <f t="shared" si="66"/>
        <v>0</v>
      </c>
      <c r="AK196" s="264" t="b">
        <f t="shared" si="67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68"/>
        <v>44379</v>
      </c>
      <c r="B197" s="607">
        <v>50.38</v>
      </c>
      <c r="C197" s="388"/>
      <c r="D197" s="391">
        <f t="shared" si="48"/>
        <v>51.239818078400532</v>
      </c>
      <c r="E197" s="383">
        <f t="shared" si="72"/>
        <v>55.982473400012779</v>
      </c>
      <c r="F197" s="383">
        <f t="shared" si="49"/>
        <v>55.982473400012779</v>
      </c>
      <c r="G197" s="110">
        <f t="shared" si="73"/>
        <v>0.91173047324487921</v>
      </c>
      <c r="H197" s="412" t="b">
        <f>Wh_hp&gt;='2020'!Maxi_hp</f>
        <v>1</v>
      </c>
      <c r="I197" s="379">
        <f>IF(H197,Wh_hp,'2020'!Maxi_hp)</f>
        <v>55.982473400012779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1.6780271879282438E-2</v>
      </c>
      <c r="M197" s="832"/>
      <c r="N197" s="832"/>
      <c r="O197" s="48">
        <f>IF(t&lt;Tnet,'2020'!Resal+('2020'!Salim-'2020'!Resal)*(1-EXP(('2020'!Tnet-t)/('2020'!Tau_j))),Resal+(Salim-Resal)*(1-EXP((Tnet-t)/(Tau_j))))*Salcycl</f>
        <v>8.4716787836872642E-2</v>
      </c>
      <c r="P197" s="169">
        <f>(INDEX(Models!$BJ197:$BT197,,T197)*(1-R197)+INDEX(Models!$BJ197:$BT197,,T197+1)*R197-ERP_i)*Q197*Ramure*Pc/MaxiM</f>
        <v>0</v>
      </c>
      <c r="Q197" s="304">
        <f t="shared" si="51"/>
        <v>0.6</v>
      </c>
      <c r="R197" s="177">
        <f t="shared" si="52"/>
        <v>0.85492625417514734</v>
      </c>
      <c r="S197" s="799">
        <f t="shared" si="53"/>
        <v>-1</v>
      </c>
      <c r="T197" s="176">
        <f t="shared" si="54"/>
        <v>5</v>
      </c>
      <c r="U197" s="250">
        <f t="shared" si="55"/>
        <v>-0.14507374582485266</v>
      </c>
      <c r="V197" s="382">
        <f t="shared" si="56"/>
        <v>55.257558542159828</v>
      </c>
      <c r="W197" s="400"/>
      <c r="X197" s="157">
        <f t="shared" si="57"/>
        <v>44379</v>
      </c>
      <c r="Y197" s="383">
        <f t="shared" si="58"/>
        <v>50.38</v>
      </c>
      <c r="Z197" s="383">
        <f t="shared" si="59"/>
        <v>51.239818078400532</v>
      </c>
      <c r="AA197" s="384">
        <f t="shared" si="60"/>
        <v>55.982473400012779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8.4716787836872642E-2</v>
      </c>
      <c r="AD197" s="230">
        <f>(INDEX(Models!$BJ197:$BT197,,AH197)*(1-AF197)+INDEX(Models!$BJ197:$BT197,,AH197+1)*AF197-ERP_i)*AE197*Ramure*Pc/MaxiM</f>
        <v>0</v>
      </c>
      <c r="AE197" s="304">
        <f t="shared" si="62"/>
        <v>0.6</v>
      </c>
      <c r="AF197" s="177">
        <f t="shared" si="63"/>
        <v>0.85492625417514734</v>
      </c>
      <c r="AG197" s="799">
        <f t="shared" si="71"/>
        <v>-1</v>
      </c>
      <c r="AH197" s="176">
        <f t="shared" si="64"/>
        <v>5</v>
      </c>
      <c r="AI197" s="224">
        <f t="shared" si="65"/>
        <v>-0.14507374582485266</v>
      </c>
      <c r="AJ197" s="264" t="b">
        <f t="shared" si="66"/>
        <v>0</v>
      </c>
      <c r="AK197" s="264" t="b">
        <f t="shared" si="67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68"/>
        <v>44380</v>
      </c>
      <c r="B198" s="607">
        <v>28.747</v>
      </c>
      <c r="C198" s="388"/>
      <c r="D198" s="391">
        <f t="shared" si="48"/>
        <v>29.238175473962663</v>
      </c>
      <c r="E198" s="383">
        <f t="shared" si="72"/>
        <v>31.950837371762166</v>
      </c>
      <c r="F198" s="383">
        <f t="shared" si="49"/>
        <v>31.950837371762166</v>
      </c>
      <c r="G198" s="110">
        <f t="shared" si="73"/>
        <v>0.52108880561308946</v>
      </c>
      <c r="H198" s="412" t="b">
        <f>Wh_hp&gt;='2020'!Maxi_hp</f>
        <v>0</v>
      </c>
      <c r="I198" s="379">
        <f>IF(H198,Wh_hp,'2020'!Maxi_hp)</f>
        <v>49.576613014309146</v>
      </c>
      <c r="J198" s="85">
        <f>IF(H198,An,'2020'!An_max)</f>
        <v>2018</v>
      </c>
      <c r="K198" s="197">
        <f t="shared" si="50"/>
        <v>44380</v>
      </c>
      <c r="L198" s="147">
        <f>IF(t&lt;Tvie,1-EXP((T0-t)*PertePVj)+'2020'!Pspv,1-EXP((T0-t)*PertePVj)+Pspv)</f>
        <v>1.6799115061063463E-2</v>
      </c>
      <c r="M198" s="832"/>
      <c r="N198" s="832"/>
      <c r="O198" s="48">
        <f>IF(t&lt;Tnet,'2020'!Resal+('2020'!Salim-'2020'!Resal)*(1-EXP(('2020'!Tnet-t)/('2020'!Tau_j))),Resal+(Salim-Resal)*(1-EXP((Tnet-t)/(Tau_j))))*Salcycl</f>
        <v>8.4901120625931595E-2</v>
      </c>
      <c r="P198" s="169">
        <f>(INDEX(Models!$BJ198:$BT198,,T198)*(1-R198)+INDEX(Models!$BJ198:$BT198,,T198+1)*R198-ERP_i)*Q198*Ramure*Pc/MaxiM</f>
        <v>0</v>
      </c>
      <c r="Q198" s="304">
        <f t="shared" si="51"/>
        <v>0.6</v>
      </c>
      <c r="R198" s="177">
        <f t="shared" si="52"/>
        <v>0.85911177994244381</v>
      </c>
      <c r="S198" s="799">
        <f t="shared" si="53"/>
        <v>-1</v>
      </c>
      <c r="T198" s="176">
        <f t="shared" si="54"/>
        <v>5</v>
      </c>
      <c r="U198" s="250">
        <f t="shared" si="55"/>
        <v>-0.14088822005755619</v>
      </c>
      <c r="V198" s="382">
        <f t="shared" si="56"/>
        <v>55.167180124273806</v>
      </c>
      <c r="W198" s="400"/>
      <c r="X198" s="157">
        <f t="shared" si="57"/>
        <v>44380</v>
      </c>
      <c r="Y198" s="383">
        <f t="shared" si="58"/>
        <v>28.747</v>
      </c>
      <c r="Z198" s="383">
        <f t="shared" si="59"/>
        <v>29.238175473962663</v>
      </c>
      <c r="AA198" s="384">
        <f t="shared" si="60"/>
        <v>31.950837371762166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8.4901120625931595E-2</v>
      </c>
      <c r="AD198" s="230">
        <f>(INDEX(Models!$BJ198:$BT198,,AH198)*(1-AF198)+INDEX(Models!$BJ198:$BT198,,AH198+1)*AF198-ERP_i)*AE198*Ramure*Pc/MaxiM</f>
        <v>0</v>
      </c>
      <c r="AE198" s="304">
        <f t="shared" si="62"/>
        <v>0.6</v>
      </c>
      <c r="AF198" s="177">
        <f t="shared" si="63"/>
        <v>0.85911177994244381</v>
      </c>
      <c r="AG198" s="799">
        <f t="shared" si="71"/>
        <v>-1</v>
      </c>
      <c r="AH198" s="176">
        <f t="shared" si="64"/>
        <v>5</v>
      </c>
      <c r="AI198" s="224">
        <f t="shared" si="65"/>
        <v>-0.14088822005755619</v>
      </c>
      <c r="AJ198" s="264" t="b">
        <f t="shared" si="66"/>
        <v>0</v>
      </c>
      <c r="AK198" s="264" t="b">
        <f t="shared" si="67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68"/>
        <v>44381</v>
      </c>
      <c r="B199" s="607">
        <v>33.405000000000001</v>
      </c>
      <c r="C199" s="388"/>
      <c r="D199" s="391">
        <f t="shared" si="48"/>
        <v>33.976413897906852</v>
      </c>
      <c r="E199" s="383">
        <f t="shared" si="72"/>
        <v>37.136098421811155</v>
      </c>
      <c r="F199" s="383">
        <f t="shared" si="49"/>
        <v>37.136098421811155</v>
      </c>
      <c r="G199" s="110">
        <f t="shared" si="73"/>
        <v>0.60652809413328623</v>
      </c>
      <c r="H199" s="412" t="b">
        <f>Wh_hp&gt;='2020'!Maxi_hp</f>
        <v>0</v>
      </c>
      <c r="I199" s="379">
        <f>IF(H199,Wh_hp,'2020'!Maxi_hp)</f>
        <v>58.038793817867159</v>
      </c>
      <c r="J199" s="85">
        <f>IF(H199,An,'2020'!An_max)</f>
        <v>2018</v>
      </c>
      <c r="K199" s="197">
        <f t="shared" si="50"/>
        <v>44381</v>
      </c>
      <c r="L199" s="147">
        <f>IF(t&lt;Tvie,1-EXP((T0-t)*PertePVj)+'2020'!Pspv,1-EXP((T0-t)*PertePVj)+Pspv)</f>
        <v>1.6817957881719137E-2</v>
      </c>
      <c r="M199" s="832"/>
      <c r="N199" s="832"/>
      <c r="O199" s="48">
        <f>IF(t&lt;Tnet,'2020'!Resal+('2020'!Salim-'2020'!Resal)*(1-EXP(('2020'!Tnet-t)/('2020'!Tau_j))),Resal+(Salim-Resal)*(1-EXP((Tnet-t)/(Tau_j))))*Salcycl</f>
        <v>8.5083911831958334E-2</v>
      </c>
      <c r="P199" s="169">
        <f>(INDEX(Models!$BJ199:$BT199,,T199)*(1-R199)+INDEX(Models!$BJ199:$BT199,,T199+1)*R199-ERP_i)*Q199*Ramure*Pc/MaxiM</f>
        <v>0</v>
      </c>
      <c r="Q199" s="304">
        <f t="shared" si="51"/>
        <v>0.6</v>
      </c>
      <c r="R199" s="177">
        <f t="shared" si="52"/>
        <v>0.86322226016640091</v>
      </c>
      <c r="S199" s="799">
        <f t="shared" si="53"/>
        <v>-1</v>
      </c>
      <c r="T199" s="176">
        <f t="shared" si="54"/>
        <v>5</v>
      </c>
      <c r="U199" s="250">
        <f t="shared" si="55"/>
        <v>-0.13677773983359909</v>
      </c>
      <c r="V199" s="382">
        <f t="shared" si="56"/>
        <v>55.075767014114845</v>
      </c>
      <c r="W199" s="400"/>
      <c r="X199" s="157">
        <f t="shared" si="57"/>
        <v>44381</v>
      </c>
      <c r="Y199" s="383">
        <f t="shared" si="58"/>
        <v>33.405000000000001</v>
      </c>
      <c r="Z199" s="383">
        <f t="shared" si="59"/>
        <v>33.976413897906852</v>
      </c>
      <c r="AA199" s="384">
        <f t="shared" si="60"/>
        <v>37.136098421811155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8.5083911831958334E-2</v>
      </c>
      <c r="AD199" s="230">
        <f>(INDEX(Models!$BJ199:$BT199,,AH199)*(1-AF199)+INDEX(Models!$BJ199:$BT199,,AH199+1)*AF199-ERP_i)*AE199*Ramure*Pc/MaxiM</f>
        <v>0</v>
      </c>
      <c r="AE199" s="304">
        <f t="shared" si="62"/>
        <v>0.6</v>
      </c>
      <c r="AF199" s="177">
        <f t="shared" si="63"/>
        <v>0.86322226016640091</v>
      </c>
      <c r="AG199" s="799">
        <f t="shared" si="71"/>
        <v>-1</v>
      </c>
      <c r="AH199" s="176">
        <f t="shared" si="64"/>
        <v>5</v>
      </c>
      <c r="AI199" s="224">
        <f t="shared" si="65"/>
        <v>-0.13677773983359909</v>
      </c>
      <c r="AJ199" s="264" t="b">
        <f t="shared" si="66"/>
        <v>0</v>
      </c>
      <c r="AK199" s="264" t="b">
        <f t="shared" si="67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68"/>
        <v>44382</v>
      </c>
      <c r="B200" s="607">
        <v>53.911999999999999</v>
      </c>
      <c r="C200" s="388"/>
      <c r="D200" s="391">
        <f t="shared" si="48"/>
        <v>54.835250158582909</v>
      </c>
      <c r="E200" s="383">
        <f t="shared" si="72"/>
        <v>59.946609124381581</v>
      </c>
      <c r="F200" s="383">
        <f t="shared" si="49"/>
        <v>59.946609124381581</v>
      </c>
      <c r="G200" s="110">
        <f t="shared" si="73"/>
        <v>0.98051212866432991</v>
      </c>
      <c r="H200" s="412" t="b">
        <f>Wh_hp&gt;='2020'!Maxi_hp</f>
        <v>0</v>
      </c>
      <c r="I200" s="379">
        <f>IF(H200,Wh_hp,'2020'!Maxi_hp)</f>
        <v>60.126964358247427</v>
      </c>
      <c r="J200" s="85">
        <f>IF(H200,An,'2020'!An_max)</f>
        <v>2020</v>
      </c>
      <c r="K200" s="197">
        <f t="shared" si="50"/>
        <v>44382</v>
      </c>
      <c r="L200" s="147">
        <f>IF(t&lt;Tvie,1-EXP((T0-t)*PertePVj)+'2020'!Pspv,1-EXP((T0-t)*PertePVj)+Pspv)</f>
        <v>1.6836800341256453E-2</v>
      </c>
      <c r="M200" s="832"/>
      <c r="N200" s="832"/>
      <c r="O200" s="48">
        <f>IF(t&lt;Tnet,'2020'!Resal+('2020'!Salim-'2020'!Resal)*(1-EXP(('2020'!Tnet-t)/('2020'!Tau_j))),Resal+(Salim-Resal)*(1-EXP((Tnet-t)/(Tau_j))))*Salcycl</f>
        <v>8.526518914845127E-2</v>
      </c>
      <c r="P200" s="169">
        <f>(INDEX(Models!$BJ200:$BT200,,T200)*(1-R200)+INDEX(Models!$BJ200:$BT200,,T200+1)*R200-ERP_i)*Q200*Ramure*Pc/MaxiM</f>
        <v>0</v>
      </c>
      <c r="Q200" s="304">
        <f t="shared" si="51"/>
        <v>0.6</v>
      </c>
      <c r="R200" s="177">
        <f t="shared" si="52"/>
        <v>0.86725631852637475</v>
      </c>
      <c r="S200" s="799">
        <f t="shared" si="53"/>
        <v>-1</v>
      </c>
      <c r="T200" s="176">
        <f t="shared" si="54"/>
        <v>5</v>
      </c>
      <c r="U200" s="250">
        <f t="shared" si="55"/>
        <v>-0.13274368147362525</v>
      </c>
      <c r="V200" s="382">
        <f t="shared" si="56"/>
        <v>54.983511599637055</v>
      </c>
      <c r="W200" s="400"/>
      <c r="X200" s="157">
        <f t="shared" si="57"/>
        <v>44382</v>
      </c>
      <c r="Y200" s="383">
        <f t="shared" si="58"/>
        <v>53.911999999999999</v>
      </c>
      <c r="Z200" s="383">
        <f t="shared" si="59"/>
        <v>54.835250158582909</v>
      </c>
      <c r="AA200" s="384">
        <f t="shared" si="60"/>
        <v>59.946609124381581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8.526518914845127E-2</v>
      </c>
      <c r="AD200" s="230">
        <f>(INDEX(Models!$BJ200:$BT200,,AH200)*(1-AF200)+INDEX(Models!$BJ200:$BT200,,AH200+1)*AF200-ERP_i)*AE200*Ramure*Pc/MaxiM</f>
        <v>0</v>
      </c>
      <c r="AE200" s="304">
        <f t="shared" si="62"/>
        <v>0.6</v>
      </c>
      <c r="AF200" s="177">
        <f t="shared" si="63"/>
        <v>0.86725631852637475</v>
      </c>
      <c r="AG200" s="799">
        <f t="shared" si="71"/>
        <v>-1</v>
      </c>
      <c r="AH200" s="176">
        <f t="shared" si="64"/>
        <v>5</v>
      </c>
      <c r="AI200" s="224">
        <f t="shared" si="65"/>
        <v>-0.13274368147362525</v>
      </c>
      <c r="AJ200" s="264" t="b">
        <f t="shared" si="66"/>
        <v>0</v>
      </c>
      <c r="AK200" s="264" t="b">
        <f t="shared" si="67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68"/>
        <v>44383</v>
      </c>
      <c r="B201" s="607">
        <v>19.177</v>
      </c>
      <c r="C201" s="388"/>
      <c r="D201" s="391">
        <f t="shared" si="48"/>
        <v>19.505782495246084</v>
      </c>
      <c r="E201" s="383">
        <f t="shared" si="72"/>
        <v>21.328167387752806</v>
      </c>
      <c r="F201" s="383">
        <f t="shared" si="49"/>
        <v>21.328167387752806</v>
      </c>
      <c r="G201" s="110">
        <f t="shared" si="73"/>
        <v>0.3493676133763679</v>
      </c>
      <c r="H201" s="412" t="b">
        <f>Wh_hp&gt;='2020'!Maxi_hp</f>
        <v>0</v>
      </c>
      <c r="I201" s="379">
        <f>IF(H201,Wh_hp,'2020'!Maxi_hp)</f>
        <v>59.81714469792518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1.6855642439682406E-2</v>
      </c>
      <c r="M201" s="832"/>
      <c r="N201" s="832"/>
      <c r="O201" s="48">
        <f>IF(t&lt;Tnet,'2020'!Resal+('2020'!Salim-'2020'!Resal)*(1-EXP(('2020'!Tnet-t)/('2020'!Tau_j))),Resal+(Salim-Resal)*(1-EXP((Tnet-t)/(Tau_j))))*Salcycl</f>
        <v>8.5444982654870841E-2</v>
      </c>
      <c r="P201" s="169">
        <f>(INDEX(Models!$BJ201:$BT201,,T201)*(1-R201)+INDEX(Models!$BJ201:$BT201,,T201+1)*R201-ERP_i)*Q201*Ramure*Pc/MaxiM</f>
        <v>-1.8867016050882214E-20</v>
      </c>
      <c r="Q201" s="304">
        <f t="shared" si="51"/>
        <v>0.6</v>
      </c>
      <c r="R201" s="177">
        <f t="shared" si="52"/>
        <v>0.87121275598750092</v>
      </c>
      <c r="S201" s="799">
        <f t="shared" si="53"/>
        <v>-1</v>
      </c>
      <c r="T201" s="176">
        <f t="shared" si="54"/>
        <v>5</v>
      </c>
      <c r="U201" s="250">
        <f t="shared" si="55"/>
        <v>-0.12878724401249914</v>
      </c>
      <c r="V201" s="382">
        <f t="shared" si="56"/>
        <v>54.890605957058021</v>
      </c>
      <c r="W201" s="400"/>
      <c r="X201" s="157">
        <f t="shared" si="57"/>
        <v>44383</v>
      </c>
      <c r="Y201" s="383">
        <f t="shared" si="58"/>
        <v>19.177</v>
      </c>
      <c r="Z201" s="383">
        <f t="shared" si="59"/>
        <v>19.505782495246084</v>
      </c>
      <c r="AA201" s="384">
        <f t="shared" si="60"/>
        <v>21.328167387752806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8.5444982654870841E-2</v>
      </c>
      <c r="AD201" s="230">
        <f>(INDEX(Models!$BJ201:$BT201,,AH201)*(1-AF201)+INDEX(Models!$BJ201:$BT201,,AH201+1)*AF201-ERP_i)*AE201*Ramure*Pc/MaxiM</f>
        <v>-1.8867016050882214E-20</v>
      </c>
      <c r="AE201" s="304">
        <f t="shared" si="62"/>
        <v>0.6</v>
      </c>
      <c r="AF201" s="177">
        <f t="shared" si="63"/>
        <v>0.87121275598750092</v>
      </c>
      <c r="AG201" s="799">
        <f t="shared" si="71"/>
        <v>-1</v>
      </c>
      <c r="AH201" s="176">
        <f t="shared" si="64"/>
        <v>5</v>
      </c>
      <c r="AI201" s="224">
        <f t="shared" si="65"/>
        <v>-0.12878724401249914</v>
      </c>
      <c r="AJ201" s="264" t="b">
        <f t="shared" si="66"/>
        <v>0</v>
      </c>
      <c r="AK201" s="264" t="b">
        <f t="shared" si="67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68"/>
        <v>44384</v>
      </c>
      <c r="B202" s="607">
        <v>41.372999999999998</v>
      </c>
      <c r="C202" s="388"/>
      <c r="D202" s="391">
        <f t="shared" si="48"/>
        <v>42.083131130378341</v>
      </c>
      <c r="E202" s="383">
        <f t="shared" si="72"/>
        <v>46.023845819480307</v>
      </c>
      <c r="F202" s="383">
        <f t="shared" si="49"/>
        <v>46.023845819480307</v>
      </c>
      <c r="G202" s="110">
        <f t="shared" si="73"/>
        <v>0.75501975261368448</v>
      </c>
      <c r="H202" s="412" t="b">
        <f>Wh_hp&gt;='2020'!Maxi_hp</f>
        <v>0</v>
      </c>
      <c r="I202" s="379">
        <f>IF(H202,Wh_hp,'2020'!Maxi_hp)</f>
        <v>51.039588400524707</v>
      </c>
      <c r="J202" s="85">
        <f>IF(H202,An,'2020'!An_max)</f>
        <v>2018</v>
      </c>
      <c r="K202" s="197">
        <f t="shared" si="50"/>
        <v>44384</v>
      </c>
      <c r="L202" s="147">
        <f>IF(t&lt;Tvie,1-EXP((T0-t)*PertePVj)+'2020'!Pspv,1-EXP((T0-t)*PertePVj)+Pspv)</f>
        <v>1.6874484177003768E-2</v>
      </c>
      <c r="M202" s="832"/>
      <c r="N202" s="832"/>
      <c r="O202" s="48">
        <f>IF(t&lt;Tnet,'2020'!Resal+('2020'!Salim-'2020'!Resal)*(1-EXP(('2020'!Tnet-t)/('2020'!Tau_j))),Resal+(Salim-Resal)*(1-EXP((Tnet-t)/(Tau_j))))*Salcycl</f>
        <v>8.5623324581754021E-2</v>
      </c>
      <c r="P202" s="169">
        <f>(INDEX(Models!$BJ202:$BT202,,T202)*(1-R202)+INDEX(Models!$BJ202:$BT202,,T202+1)*R202-ERP_i)*Q202*Ramure*Pc/MaxiM</f>
        <v>0</v>
      </c>
      <c r="Q202" s="304">
        <f t="shared" si="51"/>
        <v>0.6</v>
      </c>
      <c r="R202" s="177">
        <f t="shared" si="52"/>
        <v>0.87509054770254047</v>
      </c>
      <c r="S202" s="799">
        <f t="shared" si="53"/>
        <v>-1</v>
      </c>
      <c r="T202" s="176">
        <f t="shared" si="54"/>
        <v>5</v>
      </c>
      <c r="U202" s="250">
        <f t="shared" si="55"/>
        <v>-0.12490945229745953</v>
      </c>
      <c r="V202" s="382">
        <f t="shared" si="56"/>
        <v>54.797241869205799</v>
      </c>
      <c r="W202" s="400"/>
      <c r="X202" s="157">
        <f t="shared" si="57"/>
        <v>44384</v>
      </c>
      <c r="Y202" s="383">
        <f t="shared" si="58"/>
        <v>41.372999999999998</v>
      </c>
      <c r="Z202" s="383">
        <f t="shared" si="59"/>
        <v>42.083131130378341</v>
      </c>
      <c r="AA202" s="384">
        <f t="shared" si="60"/>
        <v>46.023845819480307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8.5623324581754021E-2</v>
      </c>
      <c r="AD202" s="230">
        <f>(INDEX(Models!$BJ202:$BT202,,AH202)*(1-AF202)+INDEX(Models!$BJ202:$BT202,,AH202+1)*AF202-ERP_i)*AE202*Ramure*Pc/MaxiM</f>
        <v>0</v>
      </c>
      <c r="AE202" s="304">
        <f t="shared" si="62"/>
        <v>0.6</v>
      </c>
      <c r="AF202" s="177">
        <f t="shared" si="63"/>
        <v>0.87509054770254047</v>
      </c>
      <c r="AG202" s="799">
        <f t="shared" si="71"/>
        <v>-1</v>
      </c>
      <c r="AH202" s="176">
        <f t="shared" si="64"/>
        <v>5</v>
      </c>
      <c r="AI202" s="224">
        <f t="shared" si="65"/>
        <v>-0.12490945229745953</v>
      </c>
      <c r="AJ202" s="264" t="b">
        <f t="shared" si="66"/>
        <v>0</v>
      </c>
      <c r="AK202" s="264" t="b">
        <f t="shared" si="67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68"/>
        <v>44385</v>
      </c>
      <c r="B203" s="607">
        <v>44.631999999999998</v>
      </c>
      <c r="C203" s="388"/>
      <c r="D203" s="391">
        <f t="shared" si="48"/>
        <v>45.398939057265522</v>
      </c>
      <c r="E203" s="383">
        <f t="shared" si="72"/>
        <v>49.659758724464432</v>
      </c>
      <c r="F203" s="383">
        <f t="shared" si="49"/>
        <v>49.659758724464432</v>
      </c>
      <c r="G203" s="110">
        <f t="shared" si="73"/>
        <v>0.81588764089906607</v>
      </c>
      <c r="H203" s="412" t="b">
        <f>Wh_hp&gt;='2020'!Maxi_hp</f>
        <v>0</v>
      </c>
      <c r="I203" s="379">
        <f>IF(H203,Wh_hp,'2020'!Maxi_hp)</f>
        <v>63.269155638139843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1.6893325553227534E-2</v>
      </c>
      <c r="M203" s="832"/>
      <c r="N203" s="832"/>
      <c r="O203" s="48">
        <f>IF(t&lt;Tnet,'2020'!Resal+('2020'!Salim-'2020'!Resal)*(1-EXP(('2020'!Tnet-t)/('2020'!Tau_j))),Resal+(Salim-Resal)*(1-EXP((Tnet-t)/(Tau_j))))*Salcycl</f>
        <v>8.5800249067659179E-2</v>
      </c>
      <c r="P203" s="169">
        <f>(INDEX(Models!$BJ203:$BT203,,T203)*(1-R203)+INDEX(Models!$BJ203:$BT203,,T203+1)*R203-ERP_i)*Q203*Ramure*Pc/MaxiM</f>
        <v>0</v>
      </c>
      <c r="Q203" s="304">
        <f t="shared" si="51"/>
        <v>0.6</v>
      </c>
      <c r="R203" s="177">
        <f t="shared" si="52"/>
        <v>0.87888883926814287</v>
      </c>
      <c r="S203" s="799">
        <f t="shared" si="53"/>
        <v>-1</v>
      </c>
      <c r="T203" s="176">
        <f t="shared" si="54"/>
        <v>5</v>
      </c>
      <c r="U203" s="250">
        <f t="shared" si="55"/>
        <v>-0.12111116073185713</v>
      </c>
      <c r="V203" s="382">
        <f t="shared" si="56"/>
        <v>54.703610843789519</v>
      </c>
      <c r="W203" s="400"/>
      <c r="X203" s="157">
        <f t="shared" si="57"/>
        <v>44385</v>
      </c>
      <c r="Y203" s="383">
        <f t="shared" si="58"/>
        <v>44.631999999999998</v>
      </c>
      <c r="Z203" s="383">
        <f t="shared" si="59"/>
        <v>45.398939057265522</v>
      </c>
      <c r="AA203" s="384">
        <f t="shared" si="60"/>
        <v>49.659758724464432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8.5800249067659179E-2</v>
      </c>
      <c r="AD203" s="230">
        <f>(INDEX(Models!$BJ203:$BT203,,AH203)*(1-AF203)+INDEX(Models!$BJ203:$BT203,,AH203+1)*AF203-ERP_i)*AE203*Ramure*Pc/MaxiM</f>
        <v>0</v>
      </c>
      <c r="AE203" s="304">
        <f t="shared" si="62"/>
        <v>0.6</v>
      </c>
      <c r="AF203" s="177">
        <f t="shared" si="63"/>
        <v>0.87888883926814287</v>
      </c>
      <c r="AG203" s="799">
        <f t="shared" si="71"/>
        <v>-1</v>
      </c>
      <c r="AH203" s="176">
        <f t="shared" si="64"/>
        <v>5</v>
      </c>
      <c r="AI203" s="224">
        <f t="shared" si="65"/>
        <v>-0.12111116073185713</v>
      </c>
      <c r="AJ203" s="264" t="b">
        <f t="shared" si="66"/>
        <v>0</v>
      </c>
      <c r="AK203" s="264" t="b">
        <f t="shared" si="67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68"/>
        <v>44386</v>
      </c>
      <c r="B204" s="607">
        <v>53.215000000000003</v>
      </c>
      <c r="C204" s="388"/>
      <c r="D204" s="391">
        <f t="shared" si="48"/>
        <v>54.130463413674619</v>
      </c>
      <c r="E204" s="383">
        <f t="shared" si="72"/>
        <v>59.222133215463245</v>
      </c>
      <c r="F204" s="383">
        <f t="shared" si="49"/>
        <v>59.222133215463245</v>
      </c>
      <c r="G204" s="110">
        <f t="shared" si="73"/>
        <v>0.97445693860982996</v>
      </c>
      <c r="H204" s="412" t="b">
        <f>Wh_hp&gt;='2020'!Maxi_hp</f>
        <v>0</v>
      </c>
      <c r="I204" s="379">
        <f>IF(H204,Wh_hp,'2020'!Maxi_hp)</f>
        <v>60.406312274105431</v>
      </c>
      <c r="J204" s="85">
        <f>IF(H204,An,'2020'!An_max)</f>
        <v>2020</v>
      </c>
      <c r="K204" s="197">
        <f t="shared" si="50"/>
        <v>44386</v>
      </c>
      <c r="L204" s="147">
        <f>IF(t&lt;Tvie,1-EXP((T0-t)*PertePVj)+'2020'!Pspv,1-EXP((T0-t)*PertePVj)+Pspv)</f>
        <v>1.6912166568360587E-2</v>
      </c>
      <c r="M204" s="832"/>
      <c r="N204" s="832"/>
      <c r="O204" s="48">
        <f>IF(t&lt;Tnet,'2020'!Resal+('2020'!Salim-'2020'!Resal)*(1-EXP(('2020'!Tnet-t)/('2020'!Tau_j))),Resal+(Salim-Resal)*(1-EXP((Tnet-t)/(Tau_j))))*Salcycl</f>
        <v>8.5975791909825364E-2</v>
      </c>
      <c r="P204" s="169">
        <f>(INDEX(Models!$BJ204:$BT204,,T204)*(1-R204)+INDEX(Models!$BJ204:$BT204,,T204+1)*R204-ERP_i)*Q204*Ramure*Pc/MaxiM</f>
        <v>0</v>
      </c>
      <c r="Q204" s="304">
        <f t="shared" si="51"/>
        <v>0.6</v>
      </c>
      <c r="R204" s="177">
        <f t="shared" si="52"/>
        <v>0.88260694239359494</v>
      </c>
      <c r="S204" s="799">
        <f t="shared" si="53"/>
        <v>-1</v>
      </c>
      <c r="T204" s="176">
        <f t="shared" si="54"/>
        <v>5</v>
      </c>
      <c r="U204" s="250">
        <f t="shared" si="55"/>
        <v>-0.11739305760640506</v>
      </c>
      <c r="V204" s="382">
        <f t="shared" si="56"/>
        <v>54.609904133800981</v>
      </c>
      <c r="W204" s="400"/>
      <c r="X204" s="157">
        <f t="shared" si="57"/>
        <v>44386</v>
      </c>
      <c r="Y204" s="383">
        <f t="shared" si="58"/>
        <v>53.215000000000003</v>
      </c>
      <c r="Z204" s="383">
        <f t="shared" si="59"/>
        <v>54.130463413674619</v>
      </c>
      <c r="AA204" s="384">
        <f t="shared" si="60"/>
        <v>59.222133215463245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8.5975791909825364E-2</v>
      </c>
      <c r="AD204" s="230">
        <f>(INDEX(Models!$BJ204:$BT204,,AH204)*(1-AF204)+INDEX(Models!$BJ204:$BT204,,AH204+1)*AF204-ERP_i)*AE204*Ramure*Pc/MaxiM</f>
        <v>0</v>
      </c>
      <c r="AE204" s="304">
        <f t="shared" si="62"/>
        <v>0.6</v>
      </c>
      <c r="AF204" s="177">
        <f t="shared" si="63"/>
        <v>0.88260694239359494</v>
      </c>
      <c r="AG204" s="799">
        <f t="shared" si="71"/>
        <v>-1</v>
      </c>
      <c r="AH204" s="176">
        <f t="shared" si="64"/>
        <v>5</v>
      </c>
      <c r="AI204" s="224">
        <f t="shared" si="65"/>
        <v>-0.11739305760640506</v>
      </c>
      <c r="AJ204" s="264" t="b">
        <f t="shared" si="66"/>
        <v>0</v>
      </c>
      <c r="AK204" s="264" t="b">
        <f t="shared" si="67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68"/>
        <v>44387</v>
      </c>
      <c r="B205" s="607">
        <v>49.505000000000003</v>
      </c>
      <c r="C205" s="388"/>
      <c r="D205" s="391">
        <f t="shared" si="48"/>
        <v>50.357604973509766</v>
      </c>
      <c r="E205" s="383">
        <f t="shared" si="72"/>
        <v>55.10489078029098</v>
      </c>
      <c r="F205" s="383">
        <f t="shared" si="49"/>
        <v>55.10489078029098</v>
      </c>
      <c r="G205" s="110">
        <f t="shared" si="73"/>
        <v>0.90808487892348033</v>
      </c>
      <c r="H205" s="412" t="b">
        <f>Wh_hp&gt;='2020'!Maxi_hp</f>
        <v>0</v>
      </c>
      <c r="I205" s="379">
        <f>IF(H205,Wh_hp,'2020'!Maxi_hp)</f>
        <v>57.09180423598459</v>
      </c>
      <c r="J205" s="85">
        <f>IF(H205,An,'2020'!An_max)</f>
        <v>2018</v>
      </c>
      <c r="K205" s="197">
        <f t="shared" si="50"/>
        <v>44387</v>
      </c>
      <c r="L205" s="147">
        <f>IF(t&lt;Tvie,1-EXP((T0-t)*PertePVj)+'2020'!Pspv,1-EXP((T0-t)*PertePVj)+Pspv)</f>
        <v>1.6931007222409922E-2</v>
      </c>
      <c r="M205" s="832"/>
      <c r="N205" s="832"/>
      <c r="O205" s="48">
        <f>IF(t&lt;Tnet,'2020'!Resal+('2020'!Salim-'2020'!Resal)*(1-EXP(('2020'!Tnet-t)/('2020'!Tau_j))),Resal+(Salim-Resal)*(1-EXP((Tnet-t)/(Tau_j))))*Salcycl</f>
        <v>8.6149990310463442E-2</v>
      </c>
      <c r="P205" s="169">
        <f>(INDEX(Models!$BJ205:$BT205,,T205)*(1-R205)+INDEX(Models!$BJ205:$BT205,,T205+1)*R205-ERP_i)*Q205*Ramure*Pc/MaxiM</f>
        <v>0</v>
      </c>
      <c r="Q205" s="304">
        <f t="shared" si="51"/>
        <v>0.6</v>
      </c>
      <c r="R205" s="177">
        <f t="shared" si="52"/>
        <v>0.88624433004142367</v>
      </c>
      <c r="S205" s="799">
        <f t="shared" si="53"/>
        <v>-1</v>
      </c>
      <c r="T205" s="176">
        <f t="shared" si="54"/>
        <v>5</v>
      </c>
      <c r="U205" s="250">
        <f t="shared" si="55"/>
        <v>-0.11375566995857633</v>
      </c>
      <c r="V205" s="382">
        <f t="shared" si="56"/>
        <v>54.51582902546221</v>
      </c>
      <c r="W205" s="400"/>
      <c r="X205" s="157">
        <f t="shared" si="57"/>
        <v>44387</v>
      </c>
      <c r="Y205" s="383">
        <f t="shared" si="58"/>
        <v>49.505000000000003</v>
      </c>
      <c r="Z205" s="383">
        <f t="shared" si="59"/>
        <v>50.357604973509766</v>
      </c>
      <c r="AA205" s="384">
        <f t="shared" si="60"/>
        <v>55.10489078029098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8.6149990310463442E-2</v>
      </c>
      <c r="AD205" s="230">
        <f>(INDEX(Models!$BJ205:$BT205,,AH205)*(1-AF205)+INDEX(Models!$BJ205:$BT205,,AH205+1)*AF205-ERP_i)*AE205*Ramure*Pc/MaxiM</f>
        <v>0</v>
      </c>
      <c r="AE205" s="304">
        <f t="shared" si="62"/>
        <v>0.6</v>
      </c>
      <c r="AF205" s="177">
        <f t="shared" si="63"/>
        <v>0.88624433004142367</v>
      </c>
      <c r="AG205" s="799">
        <f t="shared" si="71"/>
        <v>-1</v>
      </c>
      <c r="AH205" s="176">
        <f t="shared" si="64"/>
        <v>5</v>
      </c>
      <c r="AI205" s="224">
        <f t="shared" si="65"/>
        <v>-0.11375566995857633</v>
      </c>
      <c r="AJ205" s="264" t="b">
        <f t="shared" si="66"/>
        <v>0</v>
      </c>
      <c r="AK205" s="264" t="b">
        <f t="shared" si="67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68"/>
        <v>44388</v>
      </c>
      <c r="B206" s="607">
        <v>50.252000000000002</v>
      </c>
      <c r="C206" s="388"/>
      <c r="D206" s="391">
        <f t="shared" si="48"/>
        <v>51.118449931562701</v>
      </c>
      <c r="E206" s="383">
        <f t="shared" si="72"/>
        <v>55.948046590223079</v>
      </c>
      <c r="F206" s="383">
        <f t="shared" si="49"/>
        <v>55.948046590223079</v>
      </c>
      <c r="G206" s="110">
        <f t="shared" si="73"/>
        <v>0.92339415337374364</v>
      </c>
      <c r="H206" s="412" t="b">
        <f>Wh_hp&gt;='2020'!Maxi_hp</f>
        <v>0</v>
      </c>
      <c r="I206" s="379">
        <f>IF(H206,Wh_hp,'2020'!Maxi_hp)</f>
        <v>60.058702365360794</v>
      </c>
      <c r="J206" s="85">
        <f>IF(H206,An,'2020'!An_max)</f>
        <v>2018</v>
      </c>
      <c r="K206" s="197">
        <f t="shared" si="50"/>
        <v>44388</v>
      </c>
      <c r="L206" s="147">
        <f>IF(t&lt;Tvie,1-EXP((T0-t)*PertePVj)+'2020'!Pspv,1-EXP((T0-t)*PertePVj)+Pspv)</f>
        <v>1.6949847515382421E-2</v>
      </c>
      <c r="M206" s="832"/>
      <c r="N206" s="832"/>
      <c r="O206" s="48">
        <f>IF(t&lt;Tnet,'2020'!Resal+('2020'!Salim-'2020'!Resal)*(1-EXP(('2020'!Tnet-t)/('2020'!Tau_j))),Resal+(Salim-Resal)*(1-EXP((Tnet-t)/(Tau_j))))*Salcycl</f>
        <v>8.6322882620612426E-2</v>
      </c>
      <c r="P206" s="169">
        <f>(INDEX(Models!$BJ206:$BT206,,T206)*(1-R206)+INDEX(Models!$BJ206:$BT206,,T206+1)*R206-ERP_i)*Q206*Ramure*Pc/MaxiM</f>
        <v>0</v>
      </c>
      <c r="Q206" s="304">
        <f t="shared" si="51"/>
        <v>0.6</v>
      </c>
      <c r="R206" s="177">
        <f t="shared" si="52"/>
        <v>0.88980063109978791</v>
      </c>
      <c r="S206" s="799">
        <f t="shared" si="53"/>
        <v>-1</v>
      </c>
      <c r="T206" s="176">
        <f t="shared" si="54"/>
        <v>5</v>
      </c>
      <c r="U206" s="250">
        <f t="shared" si="55"/>
        <v>-0.11019936890021204</v>
      </c>
      <c r="V206" s="382">
        <f t="shared" si="56"/>
        <v>54.420964023215461</v>
      </c>
      <c r="W206" s="400"/>
      <c r="X206" s="157">
        <f t="shared" si="57"/>
        <v>44388</v>
      </c>
      <c r="Y206" s="383">
        <f t="shared" si="58"/>
        <v>50.252000000000002</v>
      </c>
      <c r="Z206" s="383">
        <f t="shared" si="59"/>
        <v>51.118449931562701</v>
      </c>
      <c r="AA206" s="384">
        <f t="shared" si="60"/>
        <v>55.948046590223079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8.6322882620612426E-2</v>
      </c>
      <c r="AD206" s="230">
        <f>(INDEX(Models!$BJ206:$BT206,,AH206)*(1-AF206)+INDEX(Models!$BJ206:$BT206,,AH206+1)*AF206-ERP_i)*AE206*Ramure*Pc/MaxiM</f>
        <v>0</v>
      </c>
      <c r="AE206" s="304">
        <f t="shared" si="62"/>
        <v>0.6</v>
      </c>
      <c r="AF206" s="177">
        <f t="shared" si="63"/>
        <v>0.88980063109978791</v>
      </c>
      <c r="AG206" s="799">
        <f t="shared" si="71"/>
        <v>-1</v>
      </c>
      <c r="AH206" s="176">
        <f t="shared" si="64"/>
        <v>5</v>
      </c>
      <c r="AI206" s="224">
        <f t="shared" si="65"/>
        <v>-0.11019936890021204</v>
      </c>
      <c r="AJ206" s="264" t="b">
        <f t="shared" si="66"/>
        <v>0</v>
      </c>
      <c r="AK206" s="264" t="b">
        <f t="shared" si="67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68"/>
        <v>44389</v>
      </c>
      <c r="B207" s="607">
        <v>12.31</v>
      </c>
      <c r="C207" s="388"/>
      <c r="D207" s="391">
        <f t="shared" ref="D207:D270" si="74">Wh/(1-Ppv)</f>
        <v>12.522490222649829</v>
      </c>
      <c r="E207" s="383">
        <f t="shared" si="72"/>
        <v>13.708171799140484</v>
      </c>
      <c r="F207" s="383">
        <f t="shared" ref="F207:F270" si="75">Wh_sa/(1-Pvg*MEDIAN((-Sdif+Wh/Env_an)/Csdif,0,1))</f>
        <v>13.708171799140484</v>
      </c>
      <c r="G207" s="110">
        <f t="shared" si="73"/>
        <v>0.22659789113719903</v>
      </c>
      <c r="H207" s="412" t="b">
        <f>Wh_hp&gt;='2020'!Maxi_hp</f>
        <v>0</v>
      </c>
      <c r="I207" s="379">
        <f>IF(H207,Wh_hp,'2020'!Maxi_hp)</f>
        <v>60.040514635762435</v>
      </c>
      <c r="J207" s="85">
        <f>IF(H207,An,'2020'!An_max)</f>
        <v>2018</v>
      </c>
      <c r="K207" s="197">
        <f t="shared" ref="K207:K270" si="76">t</f>
        <v>44389</v>
      </c>
      <c r="L207" s="147">
        <f>IF(t&lt;Tvie,1-EXP((T0-t)*PertePVj)+'2020'!Pspv,1-EXP((T0-t)*PertePVj)+Pspv)</f>
        <v>1.696868744728508E-2</v>
      </c>
      <c r="M207" s="832"/>
      <c r="N207" s="832"/>
      <c r="O207" s="48">
        <f>IF(t&lt;Tnet,'2020'!Resal+('2020'!Salim-'2020'!Resal)*(1-EXP(('2020'!Tnet-t)/('2020'!Tau_j))),Resal+(Salim-Resal)*(1-EXP((Tnet-t)/(Tau_j))))*Salcycl</f>
        <v>8.6494508083492155E-2</v>
      </c>
      <c r="P207" s="169">
        <f>(INDEX(Models!$BJ207:$BT207,,T207)*(1-R207)+INDEX(Models!$BJ207:$BT207,,T207+1)*R207-ERP_i)*Q207*Ramure*Pc/MaxiM</f>
        <v>0</v>
      </c>
      <c r="Q207" s="304">
        <f t="shared" ref="Q207:Q270" si="77">IF(OR(t&lt;Ttai,Notai),Dd+PousD*Croivg,Dens+PousD*(Croivg-Croi_tai))</f>
        <v>0.6</v>
      </c>
      <c r="R207" s="177">
        <f t="shared" ref="R207:R270" si="78">(Hp_vg-S207)/(INDEX(Echel_vg,T207+1)-S207)</f>
        <v>0.89327562464650612</v>
      </c>
      <c r="S207" s="799">
        <f t="shared" ref="S207:S270" si="79">INDEX(Echel_vg,T207)</f>
        <v>-1</v>
      </c>
      <c r="T207" s="176">
        <f t="shared" ref="T207:T270" si="80">MIN(MATCH(Hp_vg,Echel_vg),10)</f>
        <v>5</v>
      </c>
      <c r="U207" s="250">
        <f t="shared" ref="U207:U270" si="81">IF(OR(t&lt;Ttai,Notai),Hdd+PousH*Croivg,Hdtf+PousH*(Croivg-Croi_tai))</f>
        <v>-0.10672437535349383</v>
      </c>
      <c r="V207" s="382">
        <f t="shared" ref="V207:V270" si="82">MaxiM*(1-Ppv)*(1-Pvg)*(1-Psa)</f>
        <v>54.325306993023247</v>
      </c>
      <c r="W207" s="400"/>
      <c r="X207" s="157">
        <f t="shared" ref="X207:X270" si="83">t</f>
        <v>44389</v>
      </c>
      <c r="Y207" s="383">
        <f t="shared" ref="Y207:Y270" si="84">Wh_pvt_s*(1-Ppv)</f>
        <v>12.31</v>
      </c>
      <c r="Z207" s="383">
        <f t="shared" ref="Z207:Z270" si="85">Wh_sa_s*(1-Psa_s)</f>
        <v>12.522490222649829</v>
      </c>
      <c r="AA207" s="384">
        <f t="shared" ref="AA207:AA270" si="86">Wh_hp*(1-Pvg_s*MEDIAN((-Sdif+Wh/Env_an)/Csdif,0,1))</f>
        <v>13.708171799140484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8.6494508083492155E-2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88">IF(OR(t&lt;Ttai,Notai),Dd_s+PousD*Croivg,Dens_s+PousD*(Croivg-Croi_tai))</f>
        <v>0.6</v>
      </c>
      <c r="AF207" s="177">
        <f t="shared" ref="AF207:AF270" si="89">(Hp_vg_s-AG207)/(INDEX(Echel_vg,AH207+1)-AG207)</f>
        <v>0.89327562464650612</v>
      </c>
      <c r="AG207" s="799">
        <f t="shared" si="71"/>
        <v>-1</v>
      </c>
      <c r="AH207" s="176">
        <f t="shared" ref="AH207:AH270" si="90">MIN(MATCH(Hp_vg_s,Echel_vg),10)</f>
        <v>5</v>
      </c>
      <c r="AI207" s="224">
        <f t="shared" ref="AI207:AI270" si="91">IF(OR(t&lt;Ttai,Notai),Hdd_s+PousH*Croivg,Hdtai_s+PousH*(Croivg-Croi_tai))</f>
        <v>-0.10672437535349383</v>
      </c>
      <c r="AJ207" s="264" t="b">
        <f t="shared" ref="AJ207:AJ270" si="92">t&lt;Tnet</f>
        <v>0</v>
      </c>
      <c r="AK207" s="264" t="b">
        <f t="shared" ref="AK207:AK270" si="93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4">A207+1</f>
        <v>44390</v>
      </c>
      <c r="B208" s="607">
        <v>22.184999999999999</v>
      </c>
      <c r="C208" s="388"/>
      <c r="D208" s="391">
        <f t="shared" si="74"/>
        <v>22.568380981681646</v>
      </c>
      <c r="E208" s="383">
        <f t="shared" si="72"/>
        <v>24.709858565880488</v>
      </c>
      <c r="F208" s="383">
        <f t="shared" si="75"/>
        <v>24.709858565880488</v>
      </c>
      <c r="G208" s="110">
        <f t="shared" si="73"/>
        <v>0.40909954091436879</v>
      </c>
      <c r="H208" s="412" t="b">
        <f>Wh_hp&gt;='2020'!Maxi_hp</f>
        <v>0</v>
      </c>
      <c r="I208" s="379">
        <f>IF(H208,Wh_hp,'2020'!Maxi_hp)</f>
        <v>53.39660717667973</v>
      </c>
      <c r="J208" s="85">
        <f>IF(H208,An,'2020'!An_max)</f>
        <v>2018</v>
      </c>
      <c r="K208" s="197">
        <f t="shared" si="76"/>
        <v>44390</v>
      </c>
      <c r="L208" s="147">
        <f>IF(t&lt;Tvie,1-EXP((T0-t)*PertePVj)+'2020'!Pspv,1-EXP((T0-t)*PertePVj)+Pspv)</f>
        <v>1.6987527018124671E-2</v>
      </c>
      <c r="M208" s="832"/>
      <c r="N208" s="832"/>
      <c r="O208" s="48">
        <f>IF(t&lt;Tnet,'2020'!Resal+('2020'!Salim-'2020'!Resal)*(1-EXP(('2020'!Tnet-t)/('2020'!Tau_j))),Resal+(Salim-Resal)*(1-EXP((Tnet-t)/(Tau_j))))*Salcycl</f>
        <v>8.6664906579263234E-2</v>
      </c>
      <c r="P208" s="169">
        <f>(INDEX(Models!$BJ208:$BT208,,T208)*(1-R208)+INDEX(Models!$BJ208:$BT208,,T208+1)*R208-ERP_i)*Q208*Ramure*Pc/MaxiM</f>
        <v>0</v>
      </c>
      <c r="Q208" s="304">
        <f t="shared" si="77"/>
        <v>0.6</v>
      </c>
      <c r="R208" s="177">
        <f t="shared" si="78"/>
        <v>0.89666923386385156</v>
      </c>
      <c r="S208" s="799">
        <f t="shared" si="79"/>
        <v>-1</v>
      </c>
      <c r="T208" s="176">
        <f t="shared" si="80"/>
        <v>5</v>
      </c>
      <c r="U208" s="250">
        <f t="shared" si="81"/>
        <v>-0.10333076613614839</v>
      </c>
      <c r="V208" s="382">
        <f t="shared" si="82"/>
        <v>54.228855770443602</v>
      </c>
      <c r="W208" s="400"/>
      <c r="X208" s="157">
        <f t="shared" si="83"/>
        <v>44390</v>
      </c>
      <c r="Y208" s="383">
        <f t="shared" si="84"/>
        <v>22.184999999999999</v>
      </c>
      <c r="Z208" s="383">
        <f t="shared" si="85"/>
        <v>22.568380981681646</v>
      </c>
      <c r="AA208" s="384">
        <f t="shared" si="86"/>
        <v>24.709858565880488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8.6664906579263234E-2</v>
      </c>
      <c r="AD208" s="230">
        <f>(INDEX(Models!$BJ208:$BT208,,AH208)*(1-AF208)+INDEX(Models!$BJ208:$BT208,,AH208+1)*AF208-ERP_i)*AE208*Ramure*Pc/MaxiM</f>
        <v>0</v>
      </c>
      <c r="AE208" s="304">
        <f t="shared" si="88"/>
        <v>0.6</v>
      </c>
      <c r="AF208" s="177">
        <f t="shared" si="89"/>
        <v>0.89666923386385156</v>
      </c>
      <c r="AG208" s="799">
        <f t="shared" ref="AG208:AG271" si="95">INDEX(Echel_vg,AH208)</f>
        <v>-1</v>
      </c>
      <c r="AH208" s="176">
        <f t="shared" si="90"/>
        <v>5</v>
      </c>
      <c r="AI208" s="224">
        <f t="shared" si="91"/>
        <v>-0.10333076613614839</v>
      </c>
      <c r="AJ208" s="264" t="b">
        <f t="shared" si="92"/>
        <v>0</v>
      </c>
      <c r="AK208" s="264" t="b">
        <f t="shared" si="93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4"/>
        <v>44391</v>
      </c>
      <c r="B209" s="607">
        <v>24.876000000000001</v>
      </c>
      <c r="C209" s="388"/>
      <c r="D209" s="391">
        <f t="shared" si="74"/>
        <v>25.306369385671452</v>
      </c>
      <c r="E209" s="383">
        <f t="shared" si="72"/>
        <v>27.712784604462673</v>
      </c>
      <c r="F209" s="383">
        <f t="shared" si="75"/>
        <v>27.712784604462673</v>
      </c>
      <c r="G209" s="110">
        <f t="shared" si="73"/>
        <v>0.45954666484841317</v>
      </c>
      <c r="H209" s="412" t="b">
        <f>Wh_hp&gt;='2020'!Maxi_hp</f>
        <v>0</v>
      </c>
      <c r="I209" s="379">
        <f>IF(H209,Wh_hp,'2020'!Maxi_hp)</f>
        <v>60.412493272450547</v>
      </c>
      <c r="J209" s="85">
        <f>IF(H209,An,'2020'!An_max)</f>
        <v>2018</v>
      </c>
      <c r="K209" s="197">
        <f t="shared" si="76"/>
        <v>44391</v>
      </c>
      <c r="L209" s="147">
        <f>IF(t&lt;Tvie,1-EXP((T0-t)*PertePVj)+'2020'!Pspv,1-EXP((T0-t)*PertePVj)+Pspv)</f>
        <v>1.7006366227908187E-2</v>
      </c>
      <c r="M209" s="832"/>
      <c r="N209" s="832"/>
      <c r="O209" s="48">
        <f>IF(t&lt;Tnet,'2020'!Resal+('2020'!Salim-'2020'!Resal)*(1-EXP(('2020'!Tnet-t)/('2020'!Tau_j))),Resal+(Salim-Resal)*(1-EXP((Tnet-t)/(Tau_j))))*Salcycl</f>
        <v>8.6834118373066982E-2</v>
      </c>
      <c r="P209" s="169">
        <f>(INDEX(Models!$BJ209:$BT209,,T209)*(1-R209)+INDEX(Models!$BJ209:$BT209,,T209+1)*R209-ERP_i)*Q209*Ramure*Pc/MaxiM</f>
        <v>0</v>
      </c>
      <c r="Q209" s="304">
        <f t="shared" si="77"/>
        <v>0.6</v>
      </c>
      <c r="R209" s="177">
        <f t="shared" si="78"/>
        <v>0.89998151966198447</v>
      </c>
      <c r="S209" s="799">
        <f t="shared" si="79"/>
        <v>-1</v>
      </c>
      <c r="T209" s="176">
        <f t="shared" si="80"/>
        <v>5</v>
      </c>
      <c r="U209" s="250">
        <f t="shared" si="81"/>
        <v>-0.10001848033801547</v>
      </c>
      <c r="V209" s="382">
        <f t="shared" si="82"/>
        <v>54.131608175647706</v>
      </c>
      <c r="W209" s="400"/>
      <c r="X209" s="157">
        <f t="shared" si="83"/>
        <v>44391</v>
      </c>
      <c r="Y209" s="383">
        <f t="shared" si="84"/>
        <v>24.876000000000001</v>
      </c>
      <c r="Z209" s="383">
        <f t="shared" si="85"/>
        <v>25.306369385671452</v>
      </c>
      <c r="AA209" s="384">
        <f t="shared" si="86"/>
        <v>27.712784604462673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8.6834118373066982E-2</v>
      </c>
      <c r="AD209" s="230">
        <f>(INDEX(Models!$BJ209:$BT209,,AH209)*(1-AF209)+INDEX(Models!$BJ209:$BT209,,AH209+1)*AF209-ERP_i)*AE209*Ramure*Pc/MaxiM</f>
        <v>0</v>
      </c>
      <c r="AE209" s="304">
        <f t="shared" si="88"/>
        <v>0.6</v>
      </c>
      <c r="AF209" s="177">
        <f t="shared" si="89"/>
        <v>0.89998151966198447</v>
      </c>
      <c r="AG209" s="799">
        <f t="shared" si="95"/>
        <v>-1</v>
      </c>
      <c r="AH209" s="176">
        <f t="shared" si="90"/>
        <v>5</v>
      </c>
      <c r="AI209" s="224">
        <f t="shared" si="91"/>
        <v>-0.10001848033801547</v>
      </c>
      <c r="AJ209" s="264" t="b">
        <f t="shared" si="92"/>
        <v>0</v>
      </c>
      <c r="AK209" s="264" t="b">
        <f t="shared" si="93"/>
        <v>0</v>
      </c>
      <c r="AL209" s="264"/>
      <c r="AM209" s="264"/>
      <c r="AN209" s="75"/>
    </row>
    <row r="210" spans="1:40" s="6" customFormat="1" ht="11.25" x14ac:dyDescent="0.2">
      <c r="A210" s="56">
        <f t="shared" si="94"/>
        <v>44392</v>
      </c>
      <c r="B210" s="607">
        <v>30.371000000000002</v>
      </c>
      <c r="C210" s="388"/>
      <c r="D210" s="391">
        <f t="shared" si="74"/>
        <v>30.897028242080232</v>
      </c>
      <c r="E210" s="383">
        <f t="shared" si="72"/>
        <v>33.841294794092583</v>
      </c>
      <c r="F210" s="383">
        <f t="shared" si="75"/>
        <v>33.841294794092583</v>
      </c>
      <c r="G210" s="110">
        <f t="shared" si="73"/>
        <v>0.56207658461961019</v>
      </c>
      <c r="H210" s="412" t="b">
        <f>Wh_hp&gt;='2020'!Maxi_hp</f>
        <v>0</v>
      </c>
      <c r="I210" s="379">
        <f>IF(H210,Wh_hp,'2020'!Maxi_hp)</f>
        <v>62.029169256698459</v>
      </c>
      <c r="J210" s="85">
        <f>IF(H210,An,'2020'!An_max)</f>
        <v>2018</v>
      </c>
      <c r="K210" s="197">
        <f t="shared" si="76"/>
        <v>44392</v>
      </c>
      <c r="L210" s="147">
        <f>IF(t&lt;Tvie,1-EXP((T0-t)*PertePVj)+'2020'!Pspv,1-EXP((T0-t)*PertePVj)+Pspv)</f>
        <v>1.7025205076642513E-2</v>
      </c>
      <c r="M210" s="832"/>
      <c r="N210" s="832"/>
      <c r="O210" s="48">
        <f>IF(t&lt;Tnet,'2020'!Resal+('2020'!Salim-'2020'!Resal)*(1-EXP(('2020'!Tnet-t)/('2020'!Tau_j))),Resal+(Salim-Resal)*(1-EXP((Tnet-t)/(Tau_j))))*Salcycl</f>
        <v>8.7002183868162886E-2</v>
      </c>
      <c r="P210" s="169">
        <f>(INDEX(Models!$BJ210:$BT210,,T210)*(1-R210)+INDEX(Models!$BJ210:$BT210,,T210+1)*R210-ERP_i)*Q210*Ramure*Pc/MaxiM</f>
        <v>0</v>
      </c>
      <c r="Q210" s="304">
        <f t="shared" si="77"/>
        <v>0.6</v>
      </c>
      <c r="R210" s="177">
        <f t="shared" si="78"/>
        <v>0.9032126740671369</v>
      </c>
      <c r="S210" s="799">
        <f t="shared" si="79"/>
        <v>-1</v>
      </c>
      <c r="T210" s="176">
        <f t="shared" si="80"/>
        <v>5</v>
      </c>
      <c r="U210" s="250">
        <f t="shared" si="81"/>
        <v>-9.67873259328631E-2</v>
      </c>
      <c r="V210" s="382">
        <f t="shared" si="82"/>
        <v>54.033562028836016</v>
      </c>
      <c r="W210" s="400"/>
      <c r="X210" s="157">
        <f t="shared" si="83"/>
        <v>44392</v>
      </c>
      <c r="Y210" s="383">
        <f t="shared" si="84"/>
        <v>30.371000000000006</v>
      </c>
      <c r="Z210" s="383">
        <f t="shared" si="85"/>
        <v>30.897028242080236</v>
      </c>
      <c r="AA210" s="384">
        <f t="shared" si="86"/>
        <v>33.841294794092583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8.7002183868162886E-2</v>
      </c>
      <c r="AD210" s="230">
        <f>(INDEX(Models!$BJ210:$BT210,,AH210)*(1-AF210)+INDEX(Models!$BJ210:$BT210,,AH210+1)*AF210-ERP_i)*AE210*Ramure*Pc/MaxiM</f>
        <v>0</v>
      </c>
      <c r="AE210" s="304">
        <f t="shared" si="88"/>
        <v>0.6</v>
      </c>
      <c r="AF210" s="177">
        <f t="shared" si="89"/>
        <v>0.9032126740671369</v>
      </c>
      <c r="AG210" s="799">
        <f t="shared" si="95"/>
        <v>-1</v>
      </c>
      <c r="AH210" s="176">
        <f t="shared" si="90"/>
        <v>5</v>
      </c>
      <c r="AI210" s="224">
        <f t="shared" si="91"/>
        <v>-9.67873259328631E-2</v>
      </c>
      <c r="AJ210" s="264" t="b">
        <f t="shared" si="92"/>
        <v>0</v>
      </c>
      <c r="AK210" s="264" t="b">
        <f t="shared" si="93"/>
        <v>0</v>
      </c>
      <c r="AL210" s="264"/>
      <c r="AM210" s="264"/>
      <c r="AN210" s="75"/>
    </row>
    <row r="211" spans="1:40" s="6" customFormat="1" ht="11.25" x14ac:dyDescent="0.2">
      <c r="A211" s="56">
        <f t="shared" si="94"/>
        <v>44393</v>
      </c>
      <c r="B211" s="607">
        <v>38.996000000000002</v>
      </c>
      <c r="C211" s="388"/>
      <c r="D211" s="391">
        <f t="shared" si="74"/>
        <v>39.672174266489932</v>
      </c>
      <c r="E211" s="383">
        <f t="shared" si="72"/>
        <v>43.460597303616922</v>
      </c>
      <c r="F211" s="383">
        <f t="shared" si="75"/>
        <v>43.460597303616922</v>
      </c>
      <c r="G211" s="110">
        <f t="shared" si="73"/>
        <v>0.72302226646156298</v>
      </c>
      <c r="H211" s="412" t="b">
        <f>Wh_hp&gt;='2020'!Maxi_hp</f>
        <v>0</v>
      </c>
      <c r="I211" s="379">
        <f>IF(H211,Wh_hp,'2020'!Maxi_hp)</f>
        <v>60.446549664611396</v>
      </c>
      <c r="J211" s="85">
        <f>IF(H211,An,'2020'!An_max)</f>
        <v>2018</v>
      </c>
      <c r="K211" s="197">
        <f t="shared" si="76"/>
        <v>44393</v>
      </c>
      <c r="L211" s="147">
        <f>IF(t&lt;Tvie,1-EXP((T0-t)*PertePVj)+'2020'!Pspv,1-EXP((T0-t)*PertePVj)+Pspv)</f>
        <v>1.7044043564334643E-2</v>
      </c>
      <c r="M211" s="832"/>
      <c r="N211" s="832"/>
      <c r="O211" s="48">
        <f>IF(t&lt;Tnet,'2020'!Resal+('2020'!Salim-'2020'!Resal)*(1-EXP(('2020'!Tnet-t)/('2020'!Tau_j))),Resal+(Salim-Resal)*(1-EXP((Tnet-t)/(Tau_j))))*Salcycl</f>
        <v>8.7169143365908253E-2</v>
      </c>
      <c r="P211" s="169">
        <f>(INDEX(Models!$BJ211:$BT211,,T211)*(1-R211)+INDEX(Models!$BJ211:$BT211,,T211+1)*R211-ERP_i)*Q211*Ramure*Pc/MaxiM</f>
        <v>0</v>
      </c>
      <c r="Q211" s="304">
        <f t="shared" si="77"/>
        <v>0.6</v>
      </c>
      <c r="R211" s="177">
        <f t="shared" si="78"/>
        <v>0.90636301342847836</v>
      </c>
      <c r="S211" s="799">
        <f t="shared" si="79"/>
        <v>-1</v>
      </c>
      <c r="T211" s="176">
        <f t="shared" si="80"/>
        <v>5</v>
      </c>
      <c r="U211" s="250">
        <f t="shared" si="81"/>
        <v>-9.3636986571521696E-2</v>
      </c>
      <c r="V211" s="382">
        <f t="shared" si="82"/>
        <v>53.934715165612523</v>
      </c>
      <c r="W211" s="400"/>
      <c r="X211" s="157">
        <f t="shared" si="83"/>
        <v>44393</v>
      </c>
      <c r="Y211" s="383">
        <f t="shared" si="84"/>
        <v>38.996000000000002</v>
      </c>
      <c r="Z211" s="383">
        <f t="shared" si="85"/>
        <v>39.672174266489932</v>
      </c>
      <c r="AA211" s="384">
        <f t="shared" si="86"/>
        <v>43.460597303616922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8.7169143365908253E-2</v>
      </c>
      <c r="AD211" s="230">
        <f>(INDEX(Models!$BJ211:$BT211,,AH211)*(1-AF211)+INDEX(Models!$BJ211:$BT211,,AH211+1)*AF211-ERP_i)*AE211*Ramure*Pc/MaxiM</f>
        <v>0</v>
      </c>
      <c r="AE211" s="304">
        <f t="shared" si="88"/>
        <v>0.6</v>
      </c>
      <c r="AF211" s="177">
        <f t="shared" si="89"/>
        <v>0.90636301342847836</v>
      </c>
      <c r="AG211" s="799">
        <f t="shared" si="95"/>
        <v>-1</v>
      </c>
      <c r="AH211" s="176">
        <f t="shared" si="90"/>
        <v>5</v>
      </c>
      <c r="AI211" s="224">
        <f t="shared" si="91"/>
        <v>-9.3636986571521696E-2</v>
      </c>
      <c r="AJ211" s="264" t="b">
        <f t="shared" si="92"/>
        <v>0</v>
      </c>
      <c r="AK211" s="264" t="b">
        <f t="shared" si="93"/>
        <v>0</v>
      </c>
      <c r="AL211" s="264"/>
      <c r="AM211" s="264"/>
      <c r="AN211" s="75"/>
    </row>
    <row r="212" spans="1:40" s="6" customFormat="1" ht="11.25" x14ac:dyDescent="0.2">
      <c r="A212" s="56">
        <f t="shared" si="94"/>
        <v>44394</v>
      </c>
      <c r="B212" s="607">
        <v>54.334000000000003</v>
      </c>
      <c r="C212" s="388"/>
      <c r="D212" s="391">
        <f t="shared" si="74"/>
        <v>55.277188121121377</v>
      </c>
      <c r="E212" s="383">
        <f t="shared" si="72"/>
        <v>60.566791048252</v>
      </c>
      <c r="F212" s="383">
        <f t="shared" si="75"/>
        <v>60.566791048252</v>
      </c>
      <c r="G212" s="110">
        <f t="shared" si="73"/>
        <v>1.0092678358697573</v>
      </c>
      <c r="H212" s="412" t="b">
        <f>Wh_hp&gt;='2020'!Maxi_hp</f>
        <v>1</v>
      </c>
      <c r="I212" s="379">
        <f>IF(H212,Wh_hp,'2020'!Maxi_hp)</f>
        <v>60.566791048252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1.706288169099146E-2</v>
      </c>
      <c r="M212" s="832"/>
      <c r="N212" s="832"/>
      <c r="O212" s="48">
        <f>IF(t&lt;Tnet,'2020'!Resal+('2020'!Salim-'2020'!Resal)*(1-EXP(('2020'!Tnet-t)/('2020'!Tau_j))),Resal+(Salim-Resal)*(1-EXP((Tnet-t)/(Tau_j))))*Salcycl</f>
        <v>8.733503683423692E-2</v>
      </c>
      <c r="P212" s="169">
        <f>(INDEX(Models!$BJ212:$BT212,,T212)*(1-R212)+INDEX(Models!$BJ212:$BT212,,T212+1)*R212-ERP_i)*Q212*Ramure*Pc/MaxiM</f>
        <v>0</v>
      </c>
      <c r="Q212" s="304">
        <f t="shared" si="77"/>
        <v>0.6</v>
      </c>
      <c r="R212" s="177">
        <f t="shared" si="78"/>
        <v>0.90943297149505464</v>
      </c>
      <c r="S212" s="799">
        <f t="shared" si="79"/>
        <v>-1</v>
      </c>
      <c r="T212" s="176">
        <f t="shared" si="80"/>
        <v>5</v>
      </c>
      <c r="U212" s="250">
        <f t="shared" si="81"/>
        <v>-9.0567028504945357E-2</v>
      </c>
      <c r="V212" s="382">
        <f t="shared" si="82"/>
        <v>53.835065449377531</v>
      </c>
      <c r="W212" s="400"/>
      <c r="X212" s="157">
        <f t="shared" si="83"/>
        <v>44394</v>
      </c>
      <c r="Y212" s="383">
        <f t="shared" si="84"/>
        <v>54.334000000000003</v>
      </c>
      <c r="Z212" s="383">
        <f t="shared" si="85"/>
        <v>55.277188121121377</v>
      </c>
      <c r="AA212" s="384">
        <f t="shared" si="86"/>
        <v>60.566791048252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8.733503683423692E-2</v>
      </c>
      <c r="AD212" s="230">
        <f>(INDEX(Models!$BJ212:$BT212,,AH212)*(1-AF212)+INDEX(Models!$BJ212:$BT212,,AH212+1)*AF212-ERP_i)*AE212*Ramure*Pc/MaxiM</f>
        <v>0</v>
      </c>
      <c r="AE212" s="304">
        <f t="shared" si="88"/>
        <v>0.6</v>
      </c>
      <c r="AF212" s="177">
        <f t="shared" si="89"/>
        <v>0.90943297149505464</v>
      </c>
      <c r="AG212" s="799">
        <f t="shared" si="95"/>
        <v>-1</v>
      </c>
      <c r="AH212" s="176">
        <f t="shared" si="90"/>
        <v>5</v>
      </c>
      <c r="AI212" s="224">
        <f t="shared" si="91"/>
        <v>-9.0567028504945357E-2</v>
      </c>
      <c r="AJ212" s="264" t="b">
        <f t="shared" si="92"/>
        <v>0</v>
      </c>
      <c r="AK212" s="264" t="b">
        <f t="shared" si="93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4"/>
        <v>44395</v>
      </c>
      <c r="B213" s="607">
        <v>49.262</v>
      </c>
      <c r="C213" s="388"/>
      <c r="D213" s="391">
        <f t="shared" si="74"/>
        <v>50.118103381663445</v>
      </c>
      <c r="E213" s="383">
        <f t="shared" si="72"/>
        <v>54.923943114223768</v>
      </c>
      <c r="F213" s="383">
        <f t="shared" si="75"/>
        <v>54.923943114223768</v>
      </c>
      <c r="G213" s="110">
        <f t="shared" si="73"/>
        <v>0.91676480538982152</v>
      </c>
      <c r="H213" s="412" t="b">
        <f>Wh_hp&gt;='2020'!Maxi_hp</f>
        <v>1</v>
      </c>
      <c r="I213" s="379">
        <f>IF(H213,Wh_hp,'2020'!Maxi_hp)</f>
        <v>54.923943114223768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1.7081719456619848E-2</v>
      </c>
      <c r="M213" s="832"/>
      <c r="N213" s="832"/>
      <c r="O213" s="48">
        <f>IF(t&lt;Tnet,'2020'!Resal+('2020'!Salim-'2020'!Resal)*(1-EXP(('2020'!Tnet-t)/('2020'!Tau_j))),Resal+(Salim-Resal)*(1-EXP((Tnet-t)/(Tau_j))))*Salcycl</f>
        <v>8.749990368618929E-2</v>
      </c>
      <c r="P213" s="169">
        <f>(INDEX(Models!$BJ213:$BT213,,T213)*(1-R213)+INDEX(Models!$BJ213:$BT213,,T213+1)*R213-ERP_i)*Q213*Ramure*Pc/MaxiM</f>
        <v>0</v>
      </c>
      <c r="Q213" s="304">
        <f t="shared" si="77"/>
        <v>0.6</v>
      </c>
      <c r="R213" s="177">
        <f t="shared" si="78"/>
        <v>0.912423092411345</v>
      </c>
      <c r="S213" s="799">
        <f t="shared" si="79"/>
        <v>-1</v>
      </c>
      <c r="T213" s="176">
        <f t="shared" si="80"/>
        <v>5</v>
      </c>
      <c r="U213" s="250">
        <f t="shared" si="81"/>
        <v>-8.757690758865494E-2</v>
      </c>
      <c r="V213" s="382">
        <f t="shared" si="82"/>
        <v>53.73461078608171</v>
      </c>
      <c r="W213" s="400"/>
      <c r="X213" s="157">
        <f t="shared" si="83"/>
        <v>44395</v>
      </c>
      <c r="Y213" s="383">
        <f t="shared" si="84"/>
        <v>49.262</v>
      </c>
      <c r="Z213" s="383">
        <f t="shared" si="85"/>
        <v>50.118103381663445</v>
      </c>
      <c r="AA213" s="384">
        <f t="shared" si="86"/>
        <v>54.923943114223768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8.749990368618929E-2</v>
      </c>
      <c r="AD213" s="230">
        <f>(INDEX(Models!$BJ213:$BT213,,AH213)*(1-AF213)+INDEX(Models!$BJ213:$BT213,,AH213+1)*AF213-ERP_i)*AE213*Ramure*Pc/MaxiM</f>
        <v>0</v>
      </c>
      <c r="AE213" s="304">
        <f t="shared" si="88"/>
        <v>0.6</v>
      </c>
      <c r="AF213" s="177">
        <f t="shared" si="89"/>
        <v>0.912423092411345</v>
      </c>
      <c r="AG213" s="799">
        <f t="shared" si="95"/>
        <v>-1</v>
      </c>
      <c r="AH213" s="176">
        <f t="shared" si="90"/>
        <v>5</v>
      </c>
      <c r="AI213" s="224">
        <f t="shared" si="91"/>
        <v>-8.757690758865494E-2</v>
      </c>
      <c r="AJ213" s="264" t="b">
        <f t="shared" si="92"/>
        <v>0</v>
      </c>
      <c r="AK213" s="264" t="b">
        <f t="shared" si="93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4"/>
        <v>44396</v>
      </c>
      <c r="B214" s="607">
        <v>52.941000000000003</v>
      </c>
      <c r="C214" s="388"/>
      <c r="D214" s="391">
        <f t="shared" si="74"/>
        <v>53.862071414893848</v>
      </c>
      <c r="E214" s="383">
        <f t="shared" si="72"/>
        <v>59.037524090204499</v>
      </c>
      <c r="F214" s="383">
        <f t="shared" si="75"/>
        <v>59.037524090204499</v>
      </c>
      <c r="G214" s="110">
        <f t="shared" si="73"/>
        <v>0.9870910702566178</v>
      </c>
      <c r="H214" s="412" t="b">
        <f>Wh_hp&gt;='2020'!Maxi_hp</f>
        <v>0</v>
      </c>
      <c r="I214" s="379">
        <f>IF(H214,Wh_hp,'2020'!Maxi_hp)</f>
        <v>60.093272883435894</v>
      </c>
      <c r="J214" s="85">
        <f>IF(H214,An,'2020'!An_max)</f>
        <v>2020</v>
      </c>
      <c r="K214" s="197">
        <f t="shared" si="76"/>
        <v>44396</v>
      </c>
      <c r="L214" s="147">
        <f>IF(t&lt;Tvie,1-EXP((T0-t)*PertePVj)+'2020'!Pspv,1-EXP((T0-t)*PertePVj)+Pspv)</f>
        <v>1.710055686122669E-2</v>
      </c>
      <c r="M214" s="832"/>
      <c r="N214" s="832"/>
      <c r="O214" s="48">
        <f>IF(t&lt;Tnet,'2020'!Resal+('2020'!Salim-'2020'!Resal)*(1-EXP(('2020'!Tnet-t)/('2020'!Tau_j))),Resal+(Salim-Resal)*(1-EXP((Tnet-t)/(Tau_j))))*Salcycl</f>
        <v>8.7663782569929294E-2</v>
      </c>
      <c r="P214" s="169">
        <f>(INDEX(Models!$BJ214:$BT214,,T214)*(1-R214)+INDEX(Models!$BJ214:$BT214,,T214+1)*R214-ERP_i)*Q214*Ramure*Pc/MaxiM</f>
        <v>0</v>
      </c>
      <c r="Q214" s="304">
        <f t="shared" si="77"/>
        <v>0.6</v>
      </c>
      <c r="R214" s="177">
        <f t="shared" si="78"/>
        <v>0.91533402367690875</v>
      </c>
      <c r="S214" s="799">
        <f t="shared" si="79"/>
        <v>-1</v>
      </c>
      <c r="T214" s="176">
        <f t="shared" si="80"/>
        <v>5</v>
      </c>
      <c r="U214" s="250">
        <f t="shared" si="81"/>
        <v>-8.4665976323091197E-2</v>
      </c>
      <c r="V214" s="382">
        <f t="shared" si="82"/>
        <v>53.633349135897589</v>
      </c>
      <c r="W214" s="400"/>
      <c r="X214" s="157">
        <f t="shared" si="83"/>
        <v>44396</v>
      </c>
      <c r="Y214" s="383">
        <f t="shared" si="84"/>
        <v>52.941000000000003</v>
      </c>
      <c r="Z214" s="383">
        <f t="shared" si="85"/>
        <v>53.862071414893848</v>
      </c>
      <c r="AA214" s="384">
        <f t="shared" si="86"/>
        <v>59.037524090204499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8.7663782569929294E-2</v>
      </c>
      <c r="AD214" s="230">
        <f>(INDEX(Models!$BJ214:$BT214,,AH214)*(1-AF214)+INDEX(Models!$BJ214:$BT214,,AH214+1)*AF214-ERP_i)*AE214*Ramure*Pc/MaxiM</f>
        <v>0</v>
      </c>
      <c r="AE214" s="304">
        <f t="shared" si="88"/>
        <v>0.6</v>
      </c>
      <c r="AF214" s="177">
        <f t="shared" si="89"/>
        <v>0.91533402367690875</v>
      </c>
      <c r="AG214" s="799">
        <f t="shared" si="95"/>
        <v>-1</v>
      </c>
      <c r="AH214" s="176">
        <f t="shared" si="90"/>
        <v>5</v>
      </c>
      <c r="AI214" s="224">
        <f t="shared" si="91"/>
        <v>-8.4665976323091197E-2</v>
      </c>
      <c r="AJ214" s="264" t="b">
        <f t="shared" si="92"/>
        <v>0</v>
      </c>
      <c r="AK214" s="264" t="b">
        <f t="shared" si="93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4"/>
        <v>44397</v>
      </c>
      <c r="B215" s="607">
        <v>47.032000000000004</v>
      </c>
      <c r="C215" s="388"/>
      <c r="D215" s="391">
        <f t="shared" si="74"/>
        <v>47.851183254953234</v>
      </c>
      <c r="E215" s="383">
        <f t="shared" si="72"/>
        <v>52.458435081355013</v>
      </c>
      <c r="F215" s="383">
        <f t="shared" si="75"/>
        <v>52.458435081355013</v>
      </c>
      <c r="G215" s="110">
        <f t="shared" si="73"/>
        <v>0.87858914070048455</v>
      </c>
      <c r="H215" s="412" t="b">
        <f>Wh_hp&gt;='2020'!Maxi_hp</f>
        <v>0</v>
      </c>
      <c r="I215" s="379">
        <f>IF(H215,Wh_hp,'2020'!Maxi_hp)</f>
        <v>59.221861562396249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1.7119393904819091E-2</v>
      </c>
      <c r="M215" s="832"/>
      <c r="N215" s="832"/>
      <c r="O215" s="48">
        <f>IF(t&lt;Tnet,'2020'!Resal+('2020'!Salim-'2020'!Resal)*(1-EXP(('2020'!Tnet-t)/('2020'!Tau_j))),Resal+(Salim-Resal)*(1-EXP((Tnet-t)/(Tau_j))))*Salcycl</f>
        <v>8.782671117155201E-2</v>
      </c>
      <c r="P215" s="169">
        <f>(INDEX(Models!$BJ215:$BT215,,T215)*(1-R215)+INDEX(Models!$BJ215:$BT215,,T215+1)*R215-ERP_i)*Q215*Ramure*Pc/MaxiM</f>
        <v>0</v>
      </c>
      <c r="Q215" s="304">
        <f t="shared" si="77"/>
        <v>0.6</v>
      </c>
      <c r="R215" s="177">
        <f t="shared" si="78"/>
        <v>0.91816650911234388</v>
      </c>
      <c r="S215" s="799">
        <f t="shared" si="79"/>
        <v>-1</v>
      </c>
      <c r="T215" s="176">
        <f t="shared" si="80"/>
        <v>5</v>
      </c>
      <c r="U215" s="250">
        <f t="shared" si="81"/>
        <v>-8.1833490887656068E-2</v>
      </c>
      <c r="V215" s="382">
        <f t="shared" si="82"/>
        <v>53.531278525138809</v>
      </c>
      <c r="W215" s="400"/>
      <c r="X215" s="157">
        <f t="shared" si="83"/>
        <v>44397</v>
      </c>
      <c r="Y215" s="383">
        <f t="shared" si="84"/>
        <v>47.032000000000004</v>
      </c>
      <c r="Z215" s="383">
        <f t="shared" si="85"/>
        <v>47.851183254953234</v>
      </c>
      <c r="AA215" s="384">
        <f t="shared" si="86"/>
        <v>52.458435081355013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8.782671117155201E-2</v>
      </c>
      <c r="AD215" s="230">
        <f>(INDEX(Models!$BJ215:$BT215,,AH215)*(1-AF215)+INDEX(Models!$BJ215:$BT215,,AH215+1)*AF215-ERP_i)*AE215*Ramure*Pc/MaxiM</f>
        <v>0</v>
      </c>
      <c r="AE215" s="304">
        <f t="shared" si="88"/>
        <v>0.6</v>
      </c>
      <c r="AF215" s="177">
        <f t="shared" si="89"/>
        <v>0.91816650911234388</v>
      </c>
      <c r="AG215" s="799">
        <f t="shared" si="95"/>
        <v>-1</v>
      </c>
      <c r="AH215" s="176">
        <f t="shared" si="90"/>
        <v>5</v>
      </c>
      <c r="AI215" s="224">
        <f t="shared" si="91"/>
        <v>-8.1833490887656068E-2</v>
      </c>
      <c r="AJ215" s="264" t="b">
        <f t="shared" si="92"/>
        <v>0</v>
      </c>
      <c r="AK215" s="264" t="b">
        <f t="shared" si="93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4"/>
        <v>44398</v>
      </c>
      <c r="B216" s="607">
        <v>36.988</v>
      </c>
      <c r="C216" s="388"/>
      <c r="D216" s="391">
        <f t="shared" si="74"/>
        <v>37.632962387076816</v>
      </c>
      <c r="E216" s="383">
        <f t="shared" si="72"/>
        <v>41.263703049783615</v>
      </c>
      <c r="F216" s="383">
        <f t="shared" si="75"/>
        <v>41.263703049783615</v>
      </c>
      <c r="G216" s="110">
        <f t="shared" si="73"/>
        <v>0.69229102944750154</v>
      </c>
      <c r="H216" s="412" t="b">
        <f>Wh_hp&gt;='2020'!Maxi_hp</f>
        <v>0</v>
      </c>
      <c r="I216" s="379">
        <f>IF(H216,Wh_hp,'2020'!Maxi_hp)</f>
        <v>53.718544661992269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1.7138230587403824E-2</v>
      </c>
      <c r="M216" s="832"/>
      <c r="N216" s="832"/>
      <c r="O216" s="48">
        <f>IF(t&lt;Tnet,'2020'!Resal+('2020'!Salim-'2020'!Resal)*(1-EXP(('2020'!Tnet-t)/('2020'!Tau_j))),Resal+(Salim-Resal)*(1-EXP((Tnet-t)/(Tau_j))))*Salcycl</f>
        <v>8.7988726031844447E-2</v>
      </c>
      <c r="P216" s="169">
        <f>(INDEX(Models!$BJ216:$BT216,,T216)*(1-R216)+INDEX(Models!$BJ216:$BT216,,T216+1)*R216-ERP_i)*Q216*Ramure*Pc/MaxiM</f>
        <v>0</v>
      </c>
      <c r="Q216" s="304">
        <f t="shared" si="77"/>
        <v>0.6</v>
      </c>
      <c r="R216" s="177">
        <f t="shared" si="78"/>
        <v>0.92092138187040384</v>
      </c>
      <c r="S216" s="799">
        <f t="shared" si="79"/>
        <v>-1</v>
      </c>
      <c r="T216" s="176">
        <f t="shared" si="80"/>
        <v>5</v>
      </c>
      <c r="U216" s="250">
        <f t="shared" si="81"/>
        <v>-7.9078618129596101E-2</v>
      </c>
      <c r="V216" s="382">
        <f t="shared" si="82"/>
        <v>53.428397056537207</v>
      </c>
      <c r="W216" s="400"/>
      <c r="X216" s="157">
        <f t="shared" si="83"/>
        <v>44398</v>
      </c>
      <c r="Y216" s="383">
        <f t="shared" si="84"/>
        <v>36.988</v>
      </c>
      <c r="Z216" s="383">
        <f t="shared" si="85"/>
        <v>37.632962387076816</v>
      </c>
      <c r="AA216" s="384">
        <f t="shared" si="86"/>
        <v>41.263703049783615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8.7988726031844447E-2</v>
      </c>
      <c r="AD216" s="230">
        <f>(INDEX(Models!$BJ216:$BT216,,AH216)*(1-AF216)+INDEX(Models!$BJ216:$BT216,,AH216+1)*AF216-ERP_i)*AE216*Ramure*Pc/MaxiM</f>
        <v>0</v>
      </c>
      <c r="AE216" s="304">
        <f t="shared" si="88"/>
        <v>0.6</v>
      </c>
      <c r="AF216" s="177">
        <f t="shared" si="89"/>
        <v>0.92092138187040384</v>
      </c>
      <c r="AG216" s="799">
        <f t="shared" si="95"/>
        <v>-1</v>
      </c>
      <c r="AH216" s="176">
        <f t="shared" si="90"/>
        <v>5</v>
      </c>
      <c r="AI216" s="224">
        <f t="shared" si="91"/>
        <v>-7.9078618129596101E-2</v>
      </c>
      <c r="AJ216" s="264" t="b">
        <f t="shared" si="92"/>
        <v>0</v>
      </c>
      <c r="AK216" s="264" t="b">
        <f t="shared" si="93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4"/>
        <v>44399</v>
      </c>
      <c r="B217" s="607">
        <v>49.904000000000003</v>
      </c>
      <c r="C217" s="388"/>
      <c r="D217" s="391">
        <f t="shared" si="74"/>
        <v>50.775152692051606</v>
      </c>
      <c r="E217" s="383">
        <f t="shared" si="72"/>
        <v>55.683659624670192</v>
      </c>
      <c r="F217" s="383">
        <f t="shared" si="75"/>
        <v>55.683659624670192</v>
      </c>
      <c r="G217" s="110">
        <f t="shared" si="73"/>
        <v>0.93585143971693652</v>
      </c>
      <c r="H217" s="412" t="b">
        <f>Wh_hp&gt;='2020'!Maxi_hp</f>
        <v>1</v>
      </c>
      <c r="I217" s="379">
        <f>IF(H217,Wh_hp,'2020'!Maxi_hp)</f>
        <v>55.683659624670192</v>
      </c>
      <c r="J217" s="85">
        <f>IF(H217,An,'2020'!An_max)</f>
        <v>2021</v>
      </c>
      <c r="K217" s="197">
        <f t="shared" si="76"/>
        <v>44399</v>
      </c>
      <c r="L217" s="147">
        <f>IF(t&lt;Tvie,1-EXP((T0-t)*PertePVj)+'2020'!Pspv,1-EXP((T0-t)*PertePVj)+Pspv)</f>
        <v>1.7157066908987773E-2</v>
      </c>
      <c r="M217" s="832"/>
      <c r="N217" s="832"/>
      <c r="O217" s="48">
        <f>IF(t&lt;Tnet,'2020'!Resal+('2020'!Salim-'2020'!Resal)*(1-EXP(('2020'!Tnet-t)/('2020'!Tau_j))),Resal+(Salim-Resal)*(1-EXP((Tnet-t)/(Tau_j))))*Salcycl</f>
        <v>8.8149862378009272E-2</v>
      </c>
      <c r="P217" s="169">
        <f>(INDEX(Models!$BJ217:$BT217,,T217)*(1-R217)+INDEX(Models!$BJ217:$BT217,,T217+1)*R217-ERP_i)*Q217*Ramure*Pc/MaxiM</f>
        <v>0</v>
      </c>
      <c r="Q217" s="304">
        <f t="shared" si="77"/>
        <v>0.6</v>
      </c>
      <c r="R217" s="177">
        <f t="shared" si="78"/>
        <v>0.92359955752768297</v>
      </c>
      <c r="S217" s="799">
        <f t="shared" si="79"/>
        <v>-1</v>
      </c>
      <c r="T217" s="176">
        <f t="shared" si="80"/>
        <v>5</v>
      </c>
      <c r="U217" s="250">
        <f t="shared" si="81"/>
        <v>-7.6400442472316976E-2</v>
      </c>
      <c r="V217" s="382">
        <f t="shared" si="82"/>
        <v>53.324702919829114</v>
      </c>
      <c r="W217" s="400"/>
      <c r="X217" s="157">
        <f t="shared" si="83"/>
        <v>44399</v>
      </c>
      <c r="Y217" s="383">
        <f t="shared" si="84"/>
        <v>49.904000000000003</v>
      </c>
      <c r="Z217" s="383">
        <f t="shared" si="85"/>
        <v>50.775152692051606</v>
      </c>
      <c r="AA217" s="384">
        <f t="shared" si="86"/>
        <v>55.683659624670192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8.8149862378009272E-2</v>
      </c>
      <c r="AD217" s="230">
        <f>(INDEX(Models!$BJ217:$BT217,,AH217)*(1-AF217)+INDEX(Models!$BJ217:$BT217,,AH217+1)*AF217-ERP_i)*AE217*Ramure*Pc/MaxiM</f>
        <v>0</v>
      </c>
      <c r="AE217" s="304">
        <f t="shared" si="88"/>
        <v>0.6</v>
      </c>
      <c r="AF217" s="177">
        <f t="shared" si="89"/>
        <v>0.92359955752768297</v>
      </c>
      <c r="AG217" s="799">
        <f t="shared" si="95"/>
        <v>-1</v>
      </c>
      <c r="AH217" s="176">
        <f t="shared" si="90"/>
        <v>5</v>
      </c>
      <c r="AI217" s="224">
        <f t="shared" si="91"/>
        <v>-7.6400442472316976E-2</v>
      </c>
      <c r="AJ217" s="264" t="b">
        <f t="shared" si="92"/>
        <v>0</v>
      </c>
      <c r="AK217" s="264" t="b">
        <f t="shared" si="93"/>
        <v>0</v>
      </c>
      <c r="AL217" s="264"/>
      <c r="AM217" s="264"/>
      <c r="AN217" s="75"/>
    </row>
    <row r="218" spans="1:40" s="6" customFormat="1" ht="11.25" x14ac:dyDescent="0.2">
      <c r="A218" s="56">
        <f t="shared" si="94"/>
        <v>44400</v>
      </c>
      <c r="B218" s="607">
        <v>43.081000000000003</v>
      </c>
      <c r="C218" s="388"/>
      <c r="D218" s="391">
        <f t="shared" si="74"/>
        <v>43.833886578264369</v>
      </c>
      <c r="E218" s="383">
        <f t="shared" si="72"/>
        <v>48.079823164861374</v>
      </c>
      <c r="F218" s="383">
        <f t="shared" si="75"/>
        <v>48.079823164861374</v>
      </c>
      <c r="G218" s="110">
        <f t="shared" si="73"/>
        <v>0.80948595709869164</v>
      </c>
      <c r="H218" s="412" t="b">
        <f>Wh_hp&gt;='2020'!Maxi_hp</f>
        <v>0</v>
      </c>
      <c r="I218" s="379">
        <f>IF(H218,Wh_hp,'2020'!Maxi_hp)</f>
        <v>57.020157721480658</v>
      </c>
      <c r="J218" s="85">
        <f>IF(H218,An,'2020'!An_max)</f>
        <v>2018</v>
      </c>
      <c r="K218" s="197">
        <f t="shared" si="76"/>
        <v>44400</v>
      </c>
      <c r="L218" s="147">
        <f>IF(t&lt;Tvie,1-EXP((T0-t)*PertePVj)+'2020'!Pspv,1-EXP((T0-t)*PertePVj)+Pspv)</f>
        <v>1.717590286957793E-2</v>
      </c>
      <c r="M218" s="832"/>
      <c r="N218" s="832"/>
      <c r="O218" s="48">
        <f>IF(t&lt;Tnet,'2020'!Resal+('2020'!Salim-'2020'!Resal)*(1-EXP(('2020'!Tnet-t)/('2020'!Tau_j))),Resal+(Salim-Resal)*(1-EXP((Tnet-t)/(Tau_j))))*Salcycl</f>
        <v>8.8310153971200525E-2</v>
      </c>
      <c r="P218" s="169">
        <f>(INDEX(Models!$BJ218:$BT218,,T218)*(1-R218)+INDEX(Models!$BJ218:$BT218,,T218+1)*R218-ERP_i)*Q218*Ramure*Pc/MaxiM</f>
        <v>0</v>
      </c>
      <c r="Q218" s="304">
        <f t="shared" si="77"/>
        <v>0.6</v>
      </c>
      <c r="R218" s="177">
        <f t="shared" si="78"/>
        <v>0.92620202728881518</v>
      </c>
      <c r="S218" s="799">
        <f t="shared" si="79"/>
        <v>-1</v>
      </c>
      <c r="T218" s="176">
        <f t="shared" si="80"/>
        <v>5</v>
      </c>
      <c r="U218" s="250">
        <f t="shared" si="81"/>
        <v>-7.3797972711184878E-2</v>
      </c>
      <c r="V218" s="382">
        <f t="shared" si="82"/>
        <v>53.220194398934602</v>
      </c>
      <c r="W218" s="400"/>
      <c r="X218" s="157">
        <f t="shared" si="83"/>
        <v>44400</v>
      </c>
      <c r="Y218" s="383">
        <f t="shared" si="84"/>
        <v>43.081000000000003</v>
      </c>
      <c r="Z218" s="383">
        <f t="shared" si="85"/>
        <v>43.833886578264369</v>
      </c>
      <c r="AA218" s="384">
        <f t="shared" si="86"/>
        <v>48.079823164861374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8.8310153971200525E-2</v>
      </c>
      <c r="AD218" s="230">
        <f>(INDEX(Models!$BJ218:$BT218,,AH218)*(1-AF218)+INDEX(Models!$BJ218:$BT218,,AH218+1)*AF218-ERP_i)*AE218*Ramure*Pc/MaxiM</f>
        <v>0</v>
      </c>
      <c r="AE218" s="304">
        <f t="shared" si="88"/>
        <v>0.6</v>
      </c>
      <c r="AF218" s="177">
        <f t="shared" si="89"/>
        <v>0.92620202728881518</v>
      </c>
      <c r="AG218" s="799">
        <f t="shared" si="95"/>
        <v>-1</v>
      </c>
      <c r="AH218" s="176">
        <f t="shared" si="90"/>
        <v>5</v>
      </c>
      <c r="AI218" s="224">
        <f t="shared" si="91"/>
        <v>-7.3797972711184878E-2</v>
      </c>
      <c r="AJ218" s="264" t="b">
        <f t="shared" si="92"/>
        <v>0</v>
      </c>
      <c r="AK218" s="264" t="b">
        <f t="shared" si="93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4"/>
        <v>44401</v>
      </c>
      <c r="B219" s="607">
        <v>26.118000000000002</v>
      </c>
      <c r="C219" s="388"/>
      <c r="D219" s="391">
        <f t="shared" si="74"/>
        <v>26.574949303098531</v>
      </c>
      <c r="E219" s="383">
        <f t="shared" si="72"/>
        <v>29.154211712883107</v>
      </c>
      <c r="F219" s="383">
        <f t="shared" si="75"/>
        <v>29.154211712883107</v>
      </c>
      <c r="G219" s="110">
        <f t="shared" si="73"/>
        <v>0.49172477076178583</v>
      </c>
      <c r="H219" s="412" t="b">
        <f>Wh_hp&gt;='2020'!Maxi_hp</f>
        <v>0</v>
      </c>
      <c r="I219" s="379">
        <f>IF(H219,Wh_hp,'2020'!Maxi_hp)</f>
        <v>57.130225133334037</v>
      </c>
      <c r="J219" s="85">
        <f>IF(H219,An,'2020'!An_max)</f>
        <v>2018</v>
      </c>
      <c r="K219" s="197">
        <f t="shared" si="76"/>
        <v>44401</v>
      </c>
      <c r="L219" s="147">
        <f>IF(t&lt;Tvie,1-EXP((T0-t)*PertePVj)+'2020'!Pspv,1-EXP((T0-t)*PertePVj)+Pspv)</f>
        <v>1.7194738469181292E-2</v>
      </c>
      <c r="M219" s="832"/>
      <c r="N219" s="832"/>
      <c r="O219" s="48">
        <f>IF(t&lt;Tnet,'2020'!Resal+('2020'!Salim-'2020'!Resal)*(1-EXP(('2020'!Tnet-t)/('2020'!Tau_j))),Resal+(Salim-Resal)*(1-EXP((Tnet-t)/(Tau_j))))*Salcycl</f>
        <v>8.8469632970553283E-2</v>
      </c>
      <c r="P219" s="169">
        <f>(INDEX(Models!$BJ219:$BT219,,T219)*(1-R219)+INDEX(Models!$BJ219:$BT219,,T219+1)*R219-ERP_i)*Q219*Ramure*Pc/MaxiM</f>
        <v>0</v>
      </c>
      <c r="Q219" s="304">
        <f t="shared" si="77"/>
        <v>0.6</v>
      </c>
      <c r="R219" s="177">
        <f t="shared" si="78"/>
        <v>0.92872985133169239</v>
      </c>
      <c r="S219" s="799">
        <f t="shared" si="79"/>
        <v>-1</v>
      </c>
      <c r="T219" s="176">
        <f t="shared" si="80"/>
        <v>5</v>
      </c>
      <c r="U219" s="250">
        <f t="shared" si="81"/>
        <v>-7.1270148668307609E-2</v>
      </c>
      <c r="V219" s="382">
        <f t="shared" si="82"/>
        <v>53.115078907938049</v>
      </c>
      <c r="W219" s="400"/>
      <c r="X219" s="157">
        <f t="shared" si="83"/>
        <v>44401</v>
      </c>
      <c r="Y219" s="383">
        <f t="shared" si="84"/>
        <v>26.118000000000002</v>
      </c>
      <c r="Z219" s="383">
        <f t="shared" si="85"/>
        <v>26.574949303098531</v>
      </c>
      <c r="AA219" s="384">
        <f t="shared" si="86"/>
        <v>29.154211712883107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8.8469632970553283E-2</v>
      </c>
      <c r="AD219" s="230">
        <f>(INDEX(Models!$BJ219:$BT219,,AH219)*(1-AF219)+INDEX(Models!$BJ219:$BT219,,AH219+1)*AF219-ERP_i)*AE219*Ramure*Pc/MaxiM</f>
        <v>0</v>
      </c>
      <c r="AE219" s="304">
        <f t="shared" si="88"/>
        <v>0.6</v>
      </c>
      <c r="AF219" s="177">
        <f t="shared" si="89"/>
        <v>0.92872985133169239</v>
      </c>
      <c r="AG219" s="799">
        <f t="shared" si="95"/>
        <v>-1</v>
      </c>
      <c r="AH219" s="176">
        <f t="shared" si="90"/>
        <v>5</v>
      </c>
      <c r="AI219" s="224">
        <f t="shared" si="91"/>
        <v>-7.1270148668307609E-2</v>
      </c>
      <c r="AJ219" s="264" t="b">
        <f t="shared" si="92"/>
        <v>0</v>
      </c>
      <c r="AK219" s="264" t="b">
        <f t="shared" si="93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4"/>
        <v>44402</v>
      </c>
      <c r="B220" s="607">
        <v>35.173999999999999</v>
      </c>
      <c r="C220" s="388"/>
      <c r="D220" s="391">
        <f t="shared" si="74"/>
        <v>35.790075095667127</v>
      </c>
      <c r="E220" s="383">
        <f t="shared" si="72"/>
        <v>39.270559165363686</v>
      </c>
      <c r="F220" s="383">
        <f t="shared" si="75"/>
        <v>39.270559165363686</v>
      </c>
      <c r="G220" s="110">
        <f t="shared" si="73"/>
        <v>0.66354144688773309</v>
      </c>
      <c r="H220" s="412" t="b">
        <f>Wh_hp&gt;='2020'!Maxi_hp</f>
        <v>0</v>
      </c>
      <c r="I220" s="379">
        <f>IF(H220,Wh_hp,'2020'!Maxi_hp)</f>
        <v>58.039813998105629</v>
      </c>
      <c r="J220" s="85">
        <f>IF(H220,An,'2020'!An_max)</f>
        <v>2018</v>
      </c>
      <c r="K220" s="197">
        <f t="shared" si="76"/>
        <v>44402</v>
      </c>
      <c r="L220" s="147">
        <f>IF(t&lt;Tvie,1-EXP((T0-t)*PertePVj)+'2020'!Pspv,1-EXP((T0-t)*PertePVj)+Pspv)</f>
        <v>1.721357370780463E-2</v>
      </c>
      <c r="M220" s="832"/>
      <c r="N220" s="832"/>
      <c r="O220" s="48">
        <f>IF(t&lt;Tnet,'2020'!Resal+('2020'!Salim-'2020'!Resal)*(1-EXP(('2020'!Tnet-t)/('2020'!Tau_j))),Resal+(Salim-Resal)*(1-EXP((Tnet-t)/(Tau_j))))*Salcycl</f>
        <v>8.8628329814216561E-2</v>
      </c>
      <c r="P220" s="169">
        <f>(INDEX(Models!$BJ220:$BT220,,T220)*(1-R220)+INDEX(Models!$BJ220:$BT220,,T220+1)*R220-ERP_i)*Q220*Ramure*Pc/MaxiM</f>
        <v>0</v>
      </c>
      <c r="Q220" s="304">
        <f t="shared" si="77"/>
        <v>0.6</v>
      </c>
      <c r="R220" s="177">
        <f t="shared" si="78"/>
        <v>0.93118415231882734</v>
      </c>
      <c r="S220" s="799">
        <f t="shared" si="79"/>
        <v>-1</v>
      </c>
      <c r="T220" s="176">
        <f t="shared" si="80"/>
        <v>5</v>
      </c>
      <c r="U220" s="250">
        <f t="shared" si="81"/>
        <v>-6.8815847681172604E-2</v>
      </c>
      <c r="V220" s="382">
        <f t="shared" si="82"/>
        <v>53.009499504484175</v>
      </c>
      <c r="W220" s="400"/>
      <c r="X220" s="157">
        <f t="shared" si="83"/>
        <v>44402</v>
      </c>
      <c r="Y220" s="383">
        <f t="shared" si="84"/>
        <v>35.173999999999999</v>
      </c>
      <c r="Z220" s="383">
        <f t="shared" si="85"/>
        <v>35.790075095667127</v>
      </c>
      <c r="AA220" s="384">
        <f t="shared" si="86"/>
        <v>39.270559165363686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8.8628329814216561E-2</v>
      </c>
      <c r="AD220" s="230">
        <f>(INDEX(Models!$BJ220:$BT220,,AH220)*(1-AF220)+INDEX(Models!$BJ220:$BT220,,AH220+1)*AF220-ERP_i)*AE220*Ramure*Pc/MaxiM</f>
        <v>0</v>
      </c>
      <c r="AE220" s="304">
        <f t="shared" si="88"/>
        <v>0.6</v>
      </c>
      <c r="AF220" s="177">
        <f t="shared" si="89"/>
        <v>0.93118415231882734</v>
      </c>
      <c r="AG220" s="799">
        <f t="shared" si="95"/>
        <v>-1</v>
      </c>
      <c r="AH220" s="176">
        <f t="shared" si="90"/>
        <v>5</v>
      </c>
      <c r="AI220" s="224">
        <f t="shared" si="91"/>
        <v>-6.8815847681172604E-2</v>
      </c>
      <c r="AJ220" s="264" t="b">
        <f t="shared" si="92"/>
        <v>0</v>
      </c>
      <c r="AK220" s="264" t="b">
        <f t="shared" si="93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4"/>
        <v>44403</v>
      </c>
      <c r="B221" s="607">
        <v>30.557000000000002</v>
      </c>
      <c r="C221" s="388"/>
      <c r="D221" s="391">
        <f t="shared" si="74"/>
        <v>31.092803900887521</v>
      </c>
      <c r="E221" s="383">
        <f t="shared" si="72"/>
        <v>34.122405077535142</v>
      </c>
      <c r="F221" s="383">
        <f t="shared" si="75"/>
        <v>34.122405077535142</v>
      </c>
      <c r="G221" s="110">
        <f t="shared" si="73"/>
        <v>0.57760038425595761</v>
      </c>
      <c r="H221" s="412" t="b">
        <f>Wh_hp&gt;='2020'!Maxi_hp</f>
        <v>0</v>
      </c>
      <c r="I221" s="379">
        <f>IF(H221,Wh_hp,'2020'!Maxi_hp)</f>
        <v>57.828675084046168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1.7232408585454828E-2</v>
      </c>
      <c r="M221" s="832"/>
      <c r="N221" s="832"/>
      <c r="O221" s="48">
        <f>IF(t&lt;Tnet,'2020'!Resal+('2020'!Salim-'2020'!Resal)*(1-EXP(('2020'!Tnet-t)/('2020'!Tau_j))),Resal+(Salim-Resal)*(1-EXP((Tnet-t)/(Tau_j))))*Salcycl</f>
        <v>8.8786273117723233E-2</v>
      </c>
      <c r="P221" s="169">
        <f>(INDEX(Models!$BJ221:$BT221,,T221)*(1-R221)+INDEX(Models!$BJ221:$BT221,,T221+1)*R221-ERP_i)*Q221*Ramure*Pc/MaxiM</f>
        <v>0</v>
      </c>
      <c r="Q221" s="304">
        <f t="shared" si="77"/>
        <v>0.6</v>
      </c>
      <c r="R221" s="177">
        <f t="shared" si="78"/>
        <v>0.93356610909668625</v>
      </c>
      <c r="S221" s="799">
        <f t="shared" si="79"/>
        <v>-1</v>
      </c>
      <c r="T221" s="176">
        <f t="shared" si="80"/>
        <v>5</v>
      </c>
      <c r="U221" s="250">
        <f t="shared" si="81"/>
        <v>-6.6433890903313697E-2</v>
      </c>
      <c r="V221" s="382">
        <f t="shared" si="82"/>
        <v>52.903358157149327</v>
      </c>
      <c r="W221" s="400"/>
      <c r="X221" s="157">
        <f t="shared" si="83"/>
        <v>44403</v>
      </c>
      <c r="Y221" s="383">
        <f t="shared" si="84"/>
        <v>30.557000000000002</v>
      </c>
      <c r="Z221" s="383">
        <f t="shared" si="85"/>
        <v>31.092803900887521</v>
      </c>
      <c r="AA221" s="384">
        <f t="shared" si="86"/>
        <v>34.122405077535142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8.8786273117723233E-2</v>
      </c>
      <c r="AD221" s="230">
        <f>(INDEX(Models!$BJ221:$BT221,,AH221)*(1-AF221)+INDEX(Models!$BJ221:$BT221,,AH221+1)*AF221-ERP_i)*AE221*Ramure*Pc/MaxiM</f>
        <v>0</v>
      </c>
      <c r="AE221" s="304">
        <f t="shared" si="88"/>
        <v>0.6</v>
      </c>
      <c r="AF221" s="177">
        <f t="shared" si="89"/>
        <v>0.93356610909668625</v>
      </c>
      <c r="AG221" s="799">
        <f t="shared" si="95"/>
        <v>-1</v>
      </c>
      <c r="AH221" s="176">
        <f t="shared" si="90"/>
        <v>5</v>
      </c>
      <c r="AI221" s="224">
        <f t="shared" si="91"/>
        <v>-6.6433890903313697E-2</v>
      </c>
      <c r="AJ221" s="264" t="b">
        <f t="shared" si="92"/>
        <v>0</v>
      </c>
      <c r="AK221" s="264" t="b">
        <f t="shared" si="93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4"/>
        <v>44404</v>
      </c>
      <c r="B222" s="607">
        <v>46.884999999999998</v>
      </c>
      <c r="C222" s="388"/>
      <c r="D222" s="391">
        <f t="shared" si="74"/>
        <v>47.70802269747653</v>
      </c>
      <c r="E222" s="383">
        <f t="shared" si="72"/>
        <v>52.365602081037757</v>
      </c>
      <c r="F222" s="383">
        <f t="shared" si="75"/>
        <v>52.365602081037757</v>
      </c>
      <c r="G222" s="110">
        <f t="shared" si="73"/>
        <v>0.88803139142469922</v>
      </c>
      <c r="H222" s="412" t="b">
        <f>Wh_hp&gt;='2020'!Maxi_hp</f>
        <v>1</v>
      </c>
      <c r="I222" s="379">
        <f>IF(H222,Wh_hp,'2020'!Maxi_hp)</f>
        <v>52.365602081037757</v>
      </c>
      <c r="J222" s="85">
        <f>IF(H222,An,'2020'!An_max)</f>
        <v>2021</v>
      </c>
      <c r="K222" s="197">
        <f t="shared" si="76"/>
        <v>44404</v>
      </c>
      <c r="L222" s="147">
        <f>IF(t&lt;Tvie,1-EXP((T0-t)*PertePVj)+'2020'!Pspv,1-EXP((T0-t)*PertePVj)+Pspv)</f>
        <v>1.7251243102138991E-2</v>
      </c>
      <c r="M222" s="832"/>
      <c r="N222" s="832"/>
      <c r="O222" s="48">
        <f>IF(t&lt;Tnet,'2020'!Resal+('2020'!Salim-'2020'!Resal)*(1-EXP(('2020'!Tnet-t)/('2020'!Tau_j))),Resal+(Salim-Resal)*(1-EXP((Tnet-t)/(Tau_j))))*Salcycl</f>
        <v>8.8943489589854166E-2</v>
      </c>
      <c r="P222" s="169">
        <f>(INDEX(Models!$BJ222:$BT222,,T222)*(1-R222)+INDEX(Models!$BJ222:$BT222,,T222+1)*R222-ERP_i)*Q222*Ramure*Pc/MaxiM</f>
        <v>0</v>
      </c>
      <c r="Q222" s="304">
        <f t="shared" si="77"/>
        <v>0.6</v>
      </c>
      <c r="R222" s="177">
        <f t="shared" si="78"/>
        <v>0.93587695060165221</v>
      </c>
      <c r="S222" s="799">
        <f t="shared" si="79"/>
        <v>-1</v>
      </c>
      <c r="T222" s="176">
        <f t="shared" si="80"/>
        <v>5</v>
      </c>
      <c r="U222" s="250">
        <f t="shared" si="81"/>
        <v>-6.4123049398347842E-2</v>
      </c>
      <c r="V222" s="382">
        <f t="shared" si="82"/>
        <v>52.796557027990623</v>
      </c>
      <c r="W222" s="400"/>
      <c r="X222" s="157">
        <f t="shared" si="83"/>
        <v>44404</v>
      </c>
      <c r="Y222" s="383">
        <f t="shared" si="84"/>
        <v>46.884999999999998</v>
      </c>
      <c r="Z222" s="383">
        <f t="shared" si="85"/>
        <v>47.70802269747653</v>
      </c>
      <c r="AA222" s="384">
        <f t="shared" si="86"/>
        <v>52.365602081037757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8.8943489589854166E-2</v>
      </c>
      <c r="AD222" s="230">
        <f>(INDEX(Models!$BJ222:$BT222,,AH222)*(1-AF222)+INDEX(Models!$BJ222:$BT222,,AH222+1)*AF222-ERP_i)*AE222*Ramure*Pc/MaxiM</f>
        <v>0</v>
      </c>
      <c r="AE222" s="304">
        <f t="shared" si="88"/>
        <v>0.6</v>
      </c>
      <c r="AF222" s="177">
        <f t="shared" si="89"/>
        <v>0.93587695060165221</v>
      </c>
      <c r="AG222" s="799">
        <f t="shared" si="95"/>
        <v>-1</v>
      </c>
      <c r="AH222" s="176">
        <f t="shared" si="90"/>
        <v>5</v>
      </c>
      <c r="AI222" s="224">
        <f t="shared" si="91"/>
        <v>-6.4123049398347842E-2</v>
      </c>
      <c r="AJ222" s="264" t="b">
        <f t="shared" si="92"/>
        <v>0</v>
      </c>
      <c r="AK222" s="264" t="b">
        <f t="shared" si="93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4"/>
        <v>44405</v>
      </c>
      <c r="B223" s="607">
        <v>23.362000000000002</v>
      </c>
      <c r="C223" s="388"/>
      <c r="D223" s="391">
        <f t="shared" si="74"/>
        <v>23.772553841458723</v>
      </c>
      <c r="E223" s="383">
        <f t="shared" si="72"/>
        <v>26.097874569066079</v>
      </c>
      <c r="F223" s="383">
        <f t="shared" si="75"/>
        <v>26.097874569066079</v>
      </c>
      <c r="G223" s="110">
        <f t="shared" si="73"/>
        <v>0.44339426969639395</v>
      </c>
      <c r="H223" s="412" t="b">
        <f>Wh_hp&gt;='2020'!Maxi_hp</f>
        <v>0</v>
      </c>
      <c r="I223" s="379">
        <f>IF(H223,Wh_hp,'2020'!Maxi_hp)</f>
        <v>56.607198272356136</v>
      </c>
      <c r="J223" s="85">
        <f>IF(H223,An,'2020'!An_max)</f>
        <v>2020</v>
      </c>
      <c r="K223" s="197">
        <f t="shared" si="76"/>
        <v>44405</v>
      </c>
      <c r="L223" s="147">
        <f>IF(t&lt;Tvie,1-EXP((T0-t)*PertePVj)+'2020'!Pspv,1-EXP((T0-t)*PertePVj)+Pspv)</f>
        <v>1.7270077257863892E-2</v>
      </c>
      <c r="M223" s="832"/>
      <c r="N223" s="832"/>
      <c r="O223" s="48">
        <f>IF(t&lt;Tnet,'2020'!Resal+('2020'!Salim-'2020'!Resal)*(1-EXP(('2020'!Tnet-t)/('2020'!Tau_j))),Resal+(Salim-Resal)*(1-EXP((Tnet-t)/(Tau_j))))*Salcycl</f>
        <v>8.9100003965976934E-2</v>
      </c>
      <c r="P223" s="169">
        <f>(INDEX(Models!$BJ223:$BT223,,T223)*(1-R223)+INDEX(Models!$BJ223:$BT223,,T223+1)*R223-ERP_i)*Q223*Ramure*Pc/MaxiM</f>
        <v>0</v>
      </c>
      <c r="Q223" s="304">
        <f t="shared" si="77"/>
        <v>0.6</v>
      </c>
      <c r="R223" s="177">
        <f t="shared" si="78"/>
        <v>0.93811794998823372</v>
      </c>
      <c r="S223" s="799">
        <f t="shared" si="79"/>
        <v>-1</v>
      </c>
      <c r="T223" s="176">
        <f t="shared" si="80"/>
        <v>5</v>
      </c>
      <c r="U223" s="250">
        <f t="shared" si="81"/>
        <v>-6.1882050011766332E-2</v>
      </c>
      <c r="V223" s="382">
        <f t="shared" si="82"/>
        <v>52.688998475322428</v>
      </c>
      <c r="W223" s="400"/>
      <c r="X223" s="157">
        <f t="shared" si="83"/>
        <v>44405</v>
      </c>
      <c r="Y223" s="383">
        <f t="shared" si="84"/>
        <v>23.362000000000002</v>
      </c>
      <c r="Z223" s="383">
        <f t="shared" si="85"/>
        <v>23.772553841458723</v>
      </c>
      <c r="AA223" s="384">
        <f t="shared" si="86"/>
        <v>26.097874569066079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8.9100003965976934E-2</v>
      </c>
      <c r="AD223" s="230">
        <f>(INDEX(Models!$BJ223:$BT223,,AH223)*(1-AF223)+INDEX(Models!$BJ223:$BT223,,AH223+1)*AF223-ERP_i)*AE223*Ramure*Pc/MaxiM</f>
        <v>0</v>
      </c>
      <c r="AE223" s="304">
        <f t="shared" si="88"/>
        <v>0.6</v>
      </c>
      <c r="AF223" s="177">
        <f t="shared" si="89"/>
        <v>0.93811794998823372</v>
      </c>
      <c r="AG223" s="799">
        <f t="shared" si="95"/>
        <v>-1</v>
      </c>
      <c r="AH223" s="176">
        <f t="shared" si="90"/>
        <v>5</v>
      </c>
      <c r="AI223" s="224">
        <f t="shared" si="91"/>
        <v>-6.1882050011766332E-2</v>
      </c>
      <c r="AJ223" s="264" t="b">
        <f t="shared" si="92"/>
        <v>0</v>
      </c>
      <c r="AK223" s="264" t="b">
        <f t="shared" si="93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4"/>
        <v>44406</v>
      </c>
      <c r="B224" s="607">
        <v>50.230000000000004</v>
      </c>
      <c r="C224" s="388"/>
      <c r="D224" s="391">
        <f t="shared" si="74"/>
        <v>51.113700216616209</v>
      </c>
      <c r="E224" s="383">
        <f t="shared" si="72"/>
        <v>56.1230062218279</v>
      </c>
      <c r="F224" s="383">
        <f t="shared" si="75"/>
        <v>56.1230062218279</v>
      </c>
      <c r="G224" s="110">
        <f t="shared" si="73"/>
        <v>0.95529557055264069</v>
      </c>
      <c r="H224" s="412" t="b">
        <f>Wh_hp&gt;='2020'!Maxi_hp</f>
        <v>0</v>
      </c>
      <c r="I224" s="379">
        <f>IF(H224,Wh_hp,'2020'!Maxi_hp)</f>
        <v>59.144534762584179</v>
      </c>
      <c r="J224" s="85">
        <f>IF(H224,An,'2020'!An_max)</f>
        <v>2018</v>
      </c>
      <c r="K224" s="197">
        <f t="shared" si="76"/>
        <v>44406</v>
      </c>
      <c r="L224" s="147">
        <f>IF(t&lt;Tvie,1-EXP((T0-t)*PertePVj)+'2020'!Pspv,1-EXP((T0-t)*PertePVj)+Pspv)</f>
        <v>1.7288911052636524E-2</v>
      </c>
      <c r="M224" s="832"/>
      <c r="N224" s="832"/>
      <c r="O224" s="48">
        <f>IF(t&lt;Tnet,'2020'!Resal+('2020'!Salim-'2020'!Resal)*(1-EXP(('2020'!Tnet-t)/('2020'!Tau_j))),Resal+(Salim-Resal)*(1-EXP((Tnet-t)/(Tau_j))))*Salcycl</f>
        <v>8.925583895866622E-2</v>
      </c>
      <c r="P224" s="169">
        <f>(INDEX(Models!$BJ224:$BT224,,T224)*(1-R224)+INDEX(Models!$BJ224:$BT224,,T224+1)*R224-ERP_i)*Q224*Ramure*Pc/MaxiM</f>
        <v>0</v>
      </c>
      <c r="Q224" s="304">
        <f t="shared" si="77"/>
        <v>0.6</v>
      </c>
      <c r="R224" s="177">
        <f t="shared" si="78"/>
        <v>0.94029041899226706</v>
      </c>
      <c r="S224" s="799">
        <f t="shared" si="79"/>
        <v>-1</v>
      </c>
      <c r="T224" s="176">
        <f t="shared" si="80"/>
        <v>5</v>
      </c>
      <c r="U224" s="250">
        <f t="shared" si="81"/>
        <v>-5.9709581007732937E-2</v>
      </c>
      <c r="V224" s="382">
        <f t="shared" si="82"/>
        <v>52.580585054887074</v>
      </c>
      <c r="W224" s="400"/>
      <c r="X224" s="157">
        <f t="shared" si="83"/>
        <v>44406</v>
      </c>
      <c r="Y224" s="383">
        <f t="shared" si="84"/>
        <v>50.230000000000004</v>
      </c>
      <c r="Z224" s="383">
        <f t="shared" si="85"/>
        <v>51.113700216616209</v>
      </c>
      <c r="AA224" s="384">
        <f t="shared" si="86"/>
        <v>56.1230062218279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8.925583895866622E-2</v>
      </c>
      <c r="AD224" s="230">
        <f>(INDEX(Models!$BJ224:$BT224,,AH224)*(1-AF224)+INDEX(Models!$BJ224:$BT224,,AH224+1)*AF224-ERP_i)*AE224*Ramure*Pc/MaxiM</f>
        <v>0</v>
      </c>
      <c r="AE224" s="304">
        <f t="shared" si="88"/>
        <v>0.6</v>
      </c>
      <c r="AF224" s="177">
        <f t="shared" si="89"/>
        <v>0.94029041899226706</v>
      </c>
      <c r="AG224" s="799">
        <f t="shared" si="95"/>
        <v>-1</v>
      </c>
      <c r="AH224" s="176">
        <f t="shared" si="90"/>
        <v>5</v>
      </c>
      <c r="AI224" s="224">
        <f t="shared" si="91"/>
        <v>-5.9709581007732937E-2</v>
      </c>
      <c r="AJ224" s="264" t="b">
        <f t="shared" si="92"/>
        <v>0</v>
      </c>
      <c r="AK224" s="264" t="b">
        <f t="shared" si="93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4"/>
        <v>44407</v>
      </c>
      <c r="B225" s="607">
        <v>16.898</v>
      </c>
      <c r="C225" s="388"/>
      <c r="D225" s="391">
        <f t="shared" si="74"/>
        <v>17.195617351405122</v>
      </c>
      <c r="E225" s="383">
        <f t="shared" si="72"/>
        <v>18.884060359744659</v>
      </c>
      <c r="F225" s="383">
        <f t="shared" si="75"/>
        <v>18.884060359744659</v>
      </c>
      <c r="G225" s="110">
        <f t="shared" si="73"/>
        <v>0.32204321063238306</v>
      </c>
      <c r="H225" s="412" t="b">
        <f>Wh_hp&gt;='2020'!Maxi_hp</f>
        <v>0</v>
      </c>
      <c r="I225" s="379">
        <f>IF(H225,Wh_hp,'2020'!Maxi_hp)</f>
        <v>50.355373485052532</v>
      </c>
      <c r="J225" s="85">
        <f>IF(H225,An,'2020'!An_max)</f>
        <v>2020</v>
      </c>
      <c r="K225" s="197">
        <f t="shared" si="76"/>
        <v>44407</v>
      </c>
      <c r="L225" s="147">
        <f>IF(t&lt;Tvie,1-EXP((T0-t)*PertePVj)+'2020'!Pspv,1-EXP((T0-t)*PertePVj)+Pspv)</f>
        <v>1.7307744486463772E-2</v>
      </c>
      <c r="M225" s="832"/>
      <c r="N225" s="832"/>
      <c r="O225" s="48">
        <f>IF(t&lt;Tnet,'2020'!Resal+('2020'!Salim-'2020'!Resal)*(1-EXP(('2020'!Tnet-t)/('2020'!Tau_j))),Resal+(Salim-Resal)*(1-EXP((Tnet-t)/(Tau_j))))*Salcycl</f>
        <v>8.941101522524296E-2</v>
      </c>
      <c r="P225" s="169">
        <f>(INDEX(Models!$BJ225:$BT225,,T225)*(1-R225)+INDEX(Models!$BJ225:$BT225,,T225+1)*R225-ERP_i)*Q225*Ramure*Pc/MaxiM</f>
        <v>0</v>
      </c>
      <c r="Q225" s="304">
        <f t="shared" si="77"/>
        <v>0.6</v>
      </c>
      <c r="R225" s="177">
        <f t="shared" si="78"/>
        <v>0.9423957025391495</v>
      </c>
      <c r="S225" s="799">
        <f t="shared" si="79"/>
        <v>-1</v>
      </c>
      <c r="T225" s="176">
        <f t="shared" si="80"/>
        <v>5</v>
      </c>
      <c r="U225" s="250">
        <f t="shared" si="81"/>
        <v>-5.7604297460850495E-2</v>
      </c>
      <c r="V225" s="382">
        <f t="shared" si="82"/>
        <v>52.471219519946068</v>
      </c>
      <c r="W225" s="400"/>
      <c r="X225" s="157">
        <f t="shared" si="83"/>
        <v>44407</v>
      </c>
      <c r="Y225" s="383">
        <f t="shared" si="84"/>
        <v>16.898</v>
      </c>
      <c r="Z225" s="383">
        <f t="shared" si="85"/>
        <v>17.195617351405122</v>
      </c>
      <c r="AA225" s="384">
        <f t="shared" si="86"/>
        <v>18.884060359744659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8.941101522524296E-2</v>
      </c>
      <c r="AD225" s="230">
        <f>(INDEX(Models!$BJ225:$BT225,,AH225)*(1-AF225)+INDEX(Models!$BJ225:$BT225,,AH225+1)*AF225-ERP_i)*AE225*Ramure*Pc/MaxiM</f>
        <v>0</v>
      </c>
      <c r="AE225" s="304">
        <f t="shared" si="88"/>
        <v>0.6</v>
      </c>
      <c r="AF225" s="177">
        <f t="shared" si="89"/>
        <v>0.9423957025391495</v>
      </c>
      <c r="AG225" s="799">
        <f t="shared" si="95"/>
        <v>-1</v>
      </c>
      <c r="AH225" s="176">
        <f t="shared" si="90"/>
        <v>5</v>
      </c>
      <c r="AI225" s="224">
        <f t="shared" si="91"/>
        <v>-5.7604297460850495E-2</v>
      </c>
      <c r="AJ225" s="264" t="b">
        <f t="shared" si="92"/>
        <v>0</v>
      </c>
      <c r="AK225" s="264" t="b">
        <f t="shared" si="93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4"/>
        <v>44408</v>
      </c>
      <c r="B226" s="607">
        <v>11.963000000000001</v>
      </c>
      <c r="C226" s="388"/>
      <c r="D226" s="391">
        <f t="shared" si="74"/>
        <v>12.173932587174003</v>
      </c>
      <c r="E226" s="383">
        <f t="shared" si="72"/>
        <v>13.37156409805058</v>
      </c>
      <c r="F226" s="383">
        <f t="shared" si="75"/>
        <v>13.37156409805058</v>
      </c>
      <c r="G226" s="110">
        <f t="shared" si="73"/>
        <v>0.22847242399927792</v>
      </c>
      <c r="H226" s="412" t="b">
        <f>Wh_hp&gt;='2020'!Maxi_hp</f>
        <v>0</v>
      </c>
      <c r="I226" s="379">
        <f>IF(H226,Wh_hp,'2020'!Maxi_hp)</f>
        <v>57.930822779575145</v>
      </c>
      <c r="J226" s="85">
        <f>IF(H226,An,'2020'!An_max)</f>
        <v>2018</v>
      </c>
      <c r="K226" s="197">
        <f t="shared" si="76"/>
        <v>44408</v>
      </c>
      <c r="L226" s="147">
        <f>IF(t&lt;Tvie,1-EXP((T0-t)*PertePVj)+'2020'!Pspv,1-EXP((T0-t)*PertePVj)+Pspv)</f>
        <v>1.7326577559352629E-2</v>
      </c>
      <c r="M226" s="832"/>
      <c r="N226" s="832"/>
      <c r="O226" s="48">
        <f>IF(t&lt;Tnet,'2020'!Resal+('2020'!Salim-'2020'!Resal)*(1-EXP(('2020'!Tnet-t)/('2020'!Tau_j))),Resal+(Salim-Resal)*(1-EXP((Tnet-t)/(Tau_j))))*Salcycl</f>
        <v>8.9565551351706116E-2</v>
      </c>
      <c r="P226" s="169">
        <f>(INDEX(Models!$BJ226:$BT226,,T226)*(1-R226)+INDEX(Models!$BJ226:$BT226,,T226+1)*R226-ERP_i)*Q226*Ramure*Pc/MaxiM</f>
        <v>0</v>
      </c>
      <c r="Q226" s="304">
        <f t="shared" si="77"/>
        <v>0.6</v>
      </c>
      <c r="R226" s="177">
        <f t="shared" si="78"/>
        <v>0.94443517360462259</v>
      </c>
      <c r="S226" s="799">
        <f t="shared" si="79"/>
        <v>-1</v>
      </c>
      <c r="T226" s="176">
        <f t="shared" si="80"/>
        <v>5</v>
      </c>
      <c r="U226" s="250">
        <f t="shared" si="81"/>
        <v>-5.5564826395377409E-2</v>
      </c>
      <c r="V226" s="382">
        <f t="shared" si="82"/>
        <v>52.360804820969598</v>
      </c>
      <c r="W226" s="400"/>
      <c r="X226" s="157">
        <f t="shared" si="83"/>
        <v>44408</v>
      </c>
      <c r="Y226" s="383">
        <f t="shared" si="84"/>
        <v>11.963000000000001</v>
      </c>
      <c r="Z226" s="383">
        <f t="shared" si="85"/>
        <v>12.173932587174003</v>
      </c>
      <c r="AA226" s="384">
        <f t="shared" si="86"/>
        <v>13.37156409805058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8.9565551351706116E-2</v>
      </c>
      <c r="AD226" s="230">
        <f>(INDEX(Models!$BJ226:$BT226,,AH226)*(1-AF226)+INDEX(Models!$BJ226:$BT226,,AH226+1)*AF226-ERP_i)*AE226*Ramure*Pc/MaxiM</f>
        <v>0</v>
      </c>
      <c r="AE226" s="304">
        <f t="shared" si="88"/>
        <v>0.6</v>
      </c>
      <c r="AF226" s="177">
        <f t="shared" si="89"/>
        <v>0.94443517360462259</v>
      </c>
      <c r="AG226" s="799">
        <f t="shared" si="95"/>
        <v>-1</v>
      </c>
      <c r="AH226" s="176">
        <f t="shared" si="90"/>
        <v>5</v>
      </c>
      <c r="AI226" s="224">
        <f t="shared" si="91"/>
        <v>-5.5564826395377409E-2</v>
      </c>
      <c r="AJ226" s="264" t="b">
        <f t="shared" si="92"/>
        <v>0</v>
      </c>
      <c r="AK226" s="264" t="b">
        <f t="shared" si="93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4"/>
        <v>44409</v>
      </c>
      <c r="B227" s="607">
        <v>42.866</v>
      </c>
      <c r="C227" s="388"/>
      <c r="D227" s="391">
        <f t="shared" si="74"/>
        <v>43.622652810114339</v>
      </c>
      <c r="E227" s="383">
        <f t="shared" si="72"/>
        <v>47.922207580894423</v>
      </c>
      <c r="F227" s="383">
        <f t="shared" si="75"/>
        <v>47.922207580894423</v>
      </c>
      <c r="G227" s="110">
        <f t="shared" si="73"/>
        <v>0.82041378273444387</v>
      </c>
      <c r="H227" s="412" t="b">
        <f>Wh_hp&gt;='2020'!Maxi_hp</f>
        <v>0</v>
      </c>
      <c r="I227" s="379">
        <f>IF(H227,Wh_hp,'2020'!Maxi_hp)</f>
        <v>54.783610869659157</v>
      </c>
      <c r="J227" s="85">
        <f>IF(H227,An,'2020'!An_max)</f>
        <v>2020</v>
      </c>
      <c r="K227" s="197">
        <f t="shared" si="76"/>
        <v>44409</v>
      </c>
      <c r="L227" s="147">
        <f>IF(t&lt;Tvie,1-EXP((T0-t)*PertePVj)+'2020'!Pspv,1-EXP((T0-t)*PertePVj)+Pspv)</f>
        <v>1.7345410271309869E-2</v>
      </c>
      <c r="M227" s="832"/>
      <c r="N227" s="832"/>
      <c r="O227" s="48">
        <f>IF(t&lt;Tnet,'2020'!Resal+('2020'!Salim-'2020'!Resal)*(1-EXP(('2020'!Tnet-t)/('2020'!Tau_j))),Resal+(Salim-Resal)*(1-EXP((Tnet-t)/(Tau_j))))*Salcycl</f>
        <v>8.9719463852375253E-2</v>
      </c>
      <c r="P227" s="169">
        <f>(INDEX(Models!$BJ227:$BT227,,T227)*(1-R227)+INDEX(Models!$BJ227:$BT227,,T227+1)*R227-ERP_i)*Q227*Ramure*Pc/MaxiM</f>
        <v>0</v>
      </c>
      <c r="Q227" s="304">
        <f t="shared" si="77"/>
        <v>0.6</v>
      </c>
      <c r="R227" s="177">
        <f t="shared" si="78"/>
        <v>0.9464102283332918</v>
      </c>
      <c r="S227" s="799">
        <f t="shared" si="79"/>
        <v>-1</v>
      </c>
      <c r="T227" s="176">
        <f t="shared" si="80"/>
        <v>5</v>
      </c>
      <c r="U227" s="250">
        <f t="shared" si="81"/>
        <v>-5.3589771666708197E-2</v>
      </c>
      <c r="V227" s="382">
        <f t="shared" si="82"/>
        <v>52.249244103539283</v>
      </c>
      <c r="W227" s="400"/>
      <c r="X227" s="157">
        <f t="shared" si="83"/>
        <v>44409</v>
      </c>
      <c r="Y227" s="383">
        <f t="shared" si="84"/>
        <v>42.866</v>
      </c>
      <c r="Z227" s="383">
        <f t="shared" si="85"/>
        <v>43.622652810114339</v>
      </c>
      <c r="AA227" s="384">
        <f t="shared" si="86"/>
        <v>47.922207580894423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8.9719463852375253E-2</v>
      </c>
      <c r="AD227" s="230">
        <f>(INDEX(Models!$BJ227:$BT227,,AH227)*(1-AF227)+INDEX(Models!$BJ227:$BT227,,AH227+1)*AF227-ERP_i)*AE227*Ramure*Pc/MaxiM</f>
        <v>0</v>
      </c>
      <c r="AE227" s="304">
        <f t="shared" si="88"/>
        <v>0.6</v>
      </c>
      <c r="AF227" s="177">
        <f t="shared" si="89"/>
        <v>0.9464102283332918</v>
      </c>
      <c r="AG227" s="799">
        <f t="shared" si="95"/>
        <v>-1</v>
      </c>
      <c r="AH227" s="176">
        <f t="shared" si="90"/>
        <v>5</v>
      </c>
      <c r="AI227" s="224">
        <f t="shared" si="91"/>
        <v>-5.3589771666708197E-2</v>
      </c>
      <c r="AJ227" s="264" t="b">
        <f t="shared" si="92"/>
        <v>0</v>
      </c>
      <c r="AK227" s="264" t="b">
        <f t="shared" si="93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4"/>
        <v>44410</v>
      </c>
      <c r="B228" s="607">
        <v>48.413000000000004</v>
      </c>
      <c r="C228" s="388"/>
      <c r="D228" s="391">
        <f t="shared" si="74"/>
        <v>49.268510367665542</v>
      </c>
      <c r="E228" s="383">
        <f t="shared" si="72"/>
        <v>54.133651418437054</v>
      </c>
      <c r="F228" s="383">
        <f t="shared" si="75"/>
        <v>54.133651418437054</v>
      </c>
      <c r="G228" s="110">
        <f t="shared" si="73"/>
        <v>0.92858275986628824</v>
      </c>
      <c r="H228" s="412" t="b">
        <f>Wh_hp&gt;='2020'!Maxi_hp</f>
        <v>0</v>
      </c>
      <c r="I228" s="379">
        <f>IF(H228,Wh_hp,'2020'!Maxi_hp)</f>
        <v>56.06769133508174</v>
      </c>
      <c r="J228" s="85">
        <f>IF(H228,An,'2020'!An_max)</f>
        <v>2018</v>
      </c>
      <c r="K228" s="197">
        <f t="shared" si="76"/>
        <v>44410</v>
      </c>
      <c r="L228" s="147">
        <f>IF(t&lt;Tvie,1-EXP((T0-t)*PertePVj)+'2020'!Pspv,1-EXP((T0-t)*PertePVj)+Pspv)</f>
        <v>1.7364242622342485E-2</v>
      </c>
      <c r="M228" s="832"/>
      <c r="N228" s="832"/>
      <c r="O228" s="48">
        <f>IF(t&lt;Tnet,'2020'!Resal+('2020'!Salim-'2020'!Resal)*(1-EXP(('2020'!Tnet-t)/('2020'!Tau_j))),Resal+(Salim-Resal)*(1-EXP((Tnet-t)/(Tau_j))))*Salcycl</f>
        <v>8.987276718441585E-2</v>
      </c>
      <c r="P228" s="169">
        <f>(INDEX(Models!$BJ228:$BT228,,T228)*(1-R228)+INDEX(Models!$BJ228:$BT228,,T228+1)*R228-ERP_i)*Q228*Ramure*Pc/MaxiM</f>
        <v>0</v>
      </c>
      <c r="Q228" s="304">
        <f t="shared" si="77"/>
        <v>0.6</v>
      </c>
      <c r="R228" s="177">
        <f t="shared" si="78"/>
        <v>0.94832228141792863</v>
      </c>
      <c r="S228" s="799">
        <f t="shared" si="79"/>
        <v>-1</v>
      </c>
      <c r="T228" s="176">
        <f t="shared" si="80"/>
        <v>5</v>
      </c>
      <c r="U228" s="250">
        <f t="shared" si="81"/>
        <v>-5.1677718582071375E-2</v>
      </c>
      <c r="V228" s="382">
        <f t="shared" si="82"/>
        <v>52.136440705588001</v>
      </c>
      <c r="W228" s="400"/>
      <c r="X228" s="157">
        <f t="shared" si="83"/>
        <v>44410</v>
      </c>
      <c r="Y228" s="383">
        <f t="shared" si="84"/>
        <v>48.413000000000004</v>
      </c>
      <c r="Z228" s="383">
        <f t="shared" si="85"/>
        <v>49.268510367665542</v>
      </c>
      <c r="AA228" s="384">
        <f t="shared" si="86"/>
        <v>54.133651418437054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8.987276718441585E-2</v>
      </c>
      <c r="AD228" s="230">
        <f>(INDEX(Models!$BJ228:$BT228,,AH228)*(1-AF228)+INDEX(Models!$BJ228:$BT228,,AH228+1)*AF228-ERP_i)*AE228*Ramure*Pc/MaxiM</f>
        <v>0</v>
      </c>
      <c r="AE228" s="304">
        <f t="shared" si="88"/>
        <v>0.6</v>
      </c>
      <c r="AF228" s="177">
        <f t="shared" si="89"/>
        <v>0.94832228141792863</v>
      </c>
      <c r="AG228" s="799">
        <f t="shared" si="95"/>
        <v>-1</v>
      </c>
      <c r="AH228" s="176">
        <f t="shared" si="90"/>
        <v>5</v>
      </c>
      <c r="AI228" s="224">
        <f t="shared" si="91"/>
        <v>-5.1677718582071375E-2</v>
      </c>
      <c r="AJ228" s="264" t="b">
        <f t="shared" si="92"/>
        <v>0</v>
      </c>
      <c r="AK228" s="264" t="b">
        <f t="shared" si="93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4"/>
        <v>44411</v>
      </c>
      <c r="B229" s="607">
        <v>35.457999999999998</v>
      </c>
      <c r="C229" s="388"/>
      <c r="D229" s="391">
        <f t="shared" si="74"/>
        <v>36.085272992845525</v>
      </c>
      <c r="E229" s="383">
        <f t="shared" si="72"/>
        <v>39.655256221946168</v>
      </c>
      <c r="F229" s="383">
        <f t="shared" si="75"/>
        <v>39.655256221946168</v>
      </c>
      <c r="G229" s="110">
        <f t="shared" si="73"/>
        <v>0.6815923413015087</v>
      </c>
      <c r="H229" s="412" t="b">
        <f>Wh_hp&gt;='2020'!Maxi_hp</f>
        <v>0</v>
      </c>
      <c r="I229" s="379">
        <f>IF(H229,Wh_hp,'2020'!Maxi_hp)</f>
        <v>57.188879305352565</v>
      </c>
      <c r="J229" s="85">
        <f>IF(H229,An,'2020'!An_max)</f>
        <v>2018</v>
      </c>
      <c r="K229" s="197">
        <f t="shared" si="76"/>
        <v>44411</v>
      </c>
      <c r="L229" s="147">
        <f>IF(t&lt;Tvie,1-EXP((T0-t)*PertePVj)+'2020'!Pspv,1-EXP((T0-t)*PertePVj)+Pspv)</f>
        <v>1.7383074612457361E-2</v>
      </c>
      <c r="M229" s="832"/>
      <c r="N229" s="832"/>
      <c r="O229" s="48">
        <f>IF(t&lt;Tnet,'2020'!Resal+('2020'!Salim-'2020'!Resal)*(1-EXP(('2020'!Tnet-t)/('2020'!Tau_j))),Resal+(Salim-Resal)*(1-EXP((Tnet-t)/(Tau_j))))*Salcycl</f>
        <v>9.0025473776284157E-2</v>
      </c>
      <c r="P229" s="169">
        <f>(INDEX(Models!$BJ229:$BT229,,T229)*(1-R229)+INDEX(Models!$BJ229:$BT229,,T229+1)*R229-ERP_i)*Q229*Ramure*Pc/MaxiM</f>
        <v>0</v>
      </c>
      <c r="Q229" s="304">
        <f t="shared" si="77"/>
        <v>0.6</v>
      </c>
      <c r="R229" s="177">
        <f t="shared" si="78"/>
        <v>0.95017276174065157</v>
      </c>
      <c r="S229" s="799">
        <f t="shared" si="79"/>
        <v>-1</v>
      </c>
      <c r="T229" s="176">
        <f t="shared" si="80"/>
        <v>5</v>
      </c>
      <c r="U229" s="250">
        <f t="shared" si="81"/>
        <v>-4.9827238259348428E-2</v>
      </c>
      <c r="V229" s="382">
        <f t="shared" si="82"/>
        <v>52.02229815595129</v>
      </c>
      <c r="W229" s="400"/>
      <c r="X229" s="157">
        <f t="shared" si="83"/>
        <v>44411</v>
      </c>
      <c r="Y229" s="383">
        <f t="shared" si="84"/>
        <v>35.457999999999998</v>
      </c>
      <c r="Z229" s="383">
        <f t="shared" si="85"/>
        <v>36.085272992845525</v>
      </c>
      <c r="AA229" s="384">
        <f t="shared" si="86"/>
        <v>39.655256221946168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9.0025473776284157E-2</v>
      </c>
      <c r="AD229" s="230">
        <f>(INDEX(Models!$BJ229:$BT229,,AH229)*(1-AF229)+INDEX(Models!$BJ229:$BT229,,AH229+1)*AF229-ERP_i)*AE229*Ramure*Pc/MaxiM</f>
        <v>0</v>
      </c>
      <c r="AE229" s="304">
        <f t="shared" si="88"/>
        <v>0.6</v>
      </c>
      <c r="AF229" s="177">
        <f t="shared" si="89"/>
        <v>0.95017276174065157</v>
      </c>
      <c r="AG229" s="799">
        <f t="shared" si="95"/>
        <v>-1</v>
      </c>
      <c r="AH229" s="176">
        <f t="shared" si="90"/>
        <v>5</v>
      </c>
      <c r="AI229" s="224">
        <f t="shared" si="91"/>
        <v>-4.9827238259348428E-2</v>
      </c>
      <c r="AJ229" s="264" t="b">
        <f t="shared" si="92"/>
        <v>0</v>
      </c>
      <c r="AK229" s="264" t="b">
        <f t="shared" si="93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4"/>
        <v>44412</v>
      </c>
      <c r="B230" s="607">
        <v>28.411000000000001</v>
      </c>
      <c r="C230" s="388"/>
      <c r="D230" s="391">
        <f t="shared" si="74"/>
        <v>28.91416152796592</v>
      </c>
      <c r="E230" s="383">
        <f t="shared" si="72"/>
        <v>31.780006009391386</v>
      </c>
      <c r="F230" s="383">
        <f t="shared" si="75"/>
        <v>31.780006009391386</v>
      </c>
      <c r="G230" s="110">
        <f t="shared" si="73"/>
        <v>0.54734723958831655</v>
      </c>
      <c r="H230" s="412" t="b">
        <f>Wh_hp&gt;='2020'!Maxi_hp</f>
        <v>0</v>
      </c>
      <c r="I230" s="379">
        <f>IF(H230,Wh_hp,'2020'!Maxi_hp)</f>
        <v>55.300943232417936</v>
      </c>
      <c r="J230" s="85">
        <f>IF(H230,An,'2020'!An_max)</f>
        <v>2018</v>
      </c>
      <c r="K230" s="197">
        <f t="shared" si="76"/>
        <v>44412</v>
      </c>
      <c r="L230" s="147">
        <f>IF(t&lt;Tvie,1-EXP((T0-t)*PertePVj)+'2020'!Pspv,1-EXP((T0-t)*PertePVj)+Pspv)</f>
        <v>1.7401906241661491E-2</v>
      </c>
      <c r="M230" s="832"/>
      <c r="N230" s="832"/>
      <c r="O230" s="48">
        <f>IF(t&lt;Tnet,'2020'!Resal+('2020'!Salim-'2020'!Resal)*(1-EXP(('2020'!Tnet-t)/('2020'!Tau_j))),Resal+(Salim-Resal)*(1-EXP((Tnet-t)/(Tau_j))))*Salcycl</f>
        <v>9.017759406900594E-2</v>
      </c>
      <c r="P230" s="169">
        <f>(INDEX(Models!$BJ230:$BT230,,T230)*(1-R230)+INDEX(Models!$BJ230:$BT230,,T230+1)*R230-ERP_i)*Q230*Ramure*Pc/MaxiM</f>
        <v>0</v>
      </c>
      <c r="Q230" s="304">
        <f t="shared" si="77"/>
        <v>0.6</v>
      </c>
      <c r="R230" s="177">
        <f t="shared" si="78"/>
        <v>0.95196310827532837</v>
      </c>
      <c r="S230" s="799">
        <f t="shared" si="79"/>
        <v>-1</v>
      </c>
      <c r="T230" s="176">
        <f t="shared" si="80"/>
        <v>5</v>
      </c>
      <c r="U230" s="250">
        <f t="shared" si="81"/>
        <v>-4.8036891724671626E-2</v>
      </c>
      <c r="V230" s="382">
        <f t="shared" si="82"/>
        <v>51.906720167930573</v>
      </c>
      <c r="W230" s="400"/>
      <c r="X230" s="157">
        <f t="shared" si="83"/>
        <v>44412</v>
      </c>
      <c r="Y230" s="383">
        <f t="shared" si="84"/>
        <v>28.411000000000001</v>
      </c>
      <c r="Z230" s="383">
        <f t="shared" si="85"/>
        <v>28.91416152796592</v>
      </c>
      <c r="AA230" s="384">
        <f t="shared" si="86"/>
        <v>31.780006009391386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9.017759406900594E-2</v>
      </c>
      <c r="AD230" s="230">
        <f>(INDEX(Models!$BJ230:$BT230,,AH230)*(1-AF230)+INDEX(Models!$BJ230:$BT230,,AH230+1)*AF230-ERP_i)*AE230*Ramure*Pc/MaxiM</f>
        <v>0</v>
      </c>
      <c r="AE230" s="304">
        <f t="shared" si="88"/>
        <v>0.6</v>
      </c>
      <c r="AF230" s="177">
        <f t="shared" si="89"/>
        <v>0.95196310827532837</v>
      </c>
      <c r="AG230" s="799">
        <f t="shared" si="95"/>
        <v>-1</v>
      </c>
      <c r="AH230" s="176">
        <f t="shared" si="90"/>
        <v>5</v>
      </c>
      <c r="AI230" s="224">
        <f t="shared" si="91"/>
        <v>-4.8036891724671626E-2</v>
      </c>
      <c r="AJ230" s="264" t="b">
        <f t="shared" si="92"/>
        <v>0</v>
      </c>
      <c r="AK230" s="264" t="b">
        <f t="shared" si="93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4"/>
        <v>44413</v>
      </c>
      <c r="B231" s="607">
        <v>43.582999999999998</v>
      </c>
      <c r="C231" s="388"/>
      <c r="D231" s="391">
        <f t="shared" si="74"/>
        <v>44.355709166457046</v>
      </c>
      <c r="E231" s="383">
        <f t="shared" si="72"/>
        <v>48.760173541411987</v>
      </c>
      <c r="F231" s="383">
        <f t="shared" si="75"/>
        <v>48.760173541411987</v>
      </c>
      <c r="G231" s="110">
        <f t="shared" si="73"/>
        <v>0.84153944130229408</v>
      </c>
      <c r="H231" s="412" t="b">
        <f>Wh_hp&gt;='2020'!Maxi_hp</f>
        <v>0</v>
      </c>
      <c r="I231" s="379">
        <f>IF(H231,Wh_hp,'2020'!Maxi_hp)</f>
        <v>54.752335956396053</v>
      </c>
      <c r="J231" s="85">
        <f>IF(H231,An,'2020'!An_max)</f>
        <v>2020</v>
      </c>
      <c r="K231" s="197">
        <f t="shared" si="76"/>
        <v>44413</v>
      </c>
      <c r="L231" s="147">
        <f>IF(t&lt;Tvie,1-EXP((T0-t)*PertePVj)+'2020'!Pspv,1-EXP((T0-t)*PertePVj)+Pspv)</f>
        <v>1.7420737509961648E-2</v>
      </c>
      <c r="M231" s="832"/>
      <c r="N231" s="832"/>
      <c r="O231" s="48">
        <f>IF(t&lt;Tnet,'2020'!Resal+('2020'!Salim-'2020'!Resal)*(1-EXP(('2020'!Tnet-t)/('2020'!Tau_j))),Resal+(Salim-Resal)*(1-EXP((Tnet-t)/(Tau_j))))*Salcycl</f>
        <v>9.0329136569094207E-2</v>
      </c>
      <c r="P231" s="169">
        <f>(INDEX(Models!$BJ231:$BT231,,T231)*(1-R231)+INDEX(Models!$BJ231:$BT231,,T231+1)*R231-ERP_i)*Q231*Ramure*Pc/MaxiM</f>
        <v>0</v>
      </c>
      <c r="Q231" s="304">
        <f t="shared" si="77"/>
        <v>0.6</v>
      </c>
      <c r="R231" s="177">
        <f t="shared" si="78"/>
        <v>0.95369476624897076</v>
      </c>
      <c r="S231" s="799">
        <f t="shared" si="79"/>
        <v>-1</v>
      </c>
      <c r="T231" s="176">
        <f t="shared" si="80"/>
        <v>5</v>
      </c>
      <c r="U231" s="250">
        <f t="shared" si="81"/>
        <v>-4.6305233751029296E-2</v>
      </c>
      <c r="V231" s="382">
        <f t="shared" si="82"/>
        <v>51.789610636139287</v>
      </c>
      <c r="W231" s="400"/>
      <c r="X231" s="157">
        <f t="shared" si="83"/>
        <v>44413</v>
      </c>
      <c r="Y231" s="383">
        <f t="shared" si="84"/>
        <v>43.582999999999998</v>
      </c>
      <c r="Z231" s="383">
        <f t="shared" si="85"/>
        <v>44.355709166457046</v>
      </c>
      <c r="AA231" s="384">
        <f t="shared" si="86"/>
        <v>48.760173541411987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9.0329136569094207E-2</v>
      </c>
      <c r="AD231" s="230">
        <f>(INDEX(Models!$BJ231:$BT231,,AH231)*(1-AF231)+INDEX(Models!$BJ231:$BT231,,AH231+1)*AF231-ERP_i)*AE231*Ramure*Pc/MaxiM</f>
        <v>0</v>
      </c>
      <c r="AE231" s="304">
        <f t="shared" si="88"/>
        <v>0.6</v>
      </c>
      <c r="AF231" s="177">
        <f t="shared" si="89"/>
        <v>0.95369476624897076</v>
      </c>
      <c r="AG231" s="799">
        <f t="shared" si="95"/>
        <v>-1</v>
      </c>
      <c r="AH231" s="176">
        <f t="shared" si="90"/>
        <v>5</v>
      </c>
      <c r="AI231" s="224">
        <f t="shared" si="91"/>
        <v>-4.6305233751029296E-2</v>
      </c>
      <c r="AJ231" s="264" t="b">
        <f t="shared" si="92"/>
        <v>0</v>
      </c>
      <c r="AK231" s="264" t="b">
        <f t="shared" si="93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4"/>
        <v>44414</v>
      </c>
      <c r="B232" s="607">
        <v>18.574999999999999</v>
      </c>
      <c r="C232" s="388"/>
      <c r="D232" s="391">
        <f t="shared" si="74"/>
        <v>18.904689628179689</v>
      </c>
      <c r="E232" s="383">
        <f t="shared" si="72"/>
        <v>20.785350372905093</v>
      </c>
      <c r="F232" s="383">
        <f t="shared" si="75"/>
        <v>20.785350372905093</v>
      </c>
      <c r="G232" s="110">
        <f t="shared" si="73"/>
        <v>0.35948685776991185</v>
      </c>
      <c r="H232" s="412" t="b">
        <f>Wh_hp&gt;='2020'!Maxi_hp</f>
        <v>0</v>
      </c>
      <c r="I232" s="379">
        <f>IF(H232,Wh_hp,'2020'!Maxi_hp)</f>
        <v>57.804553829679008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1.7439568417364937E-2</v>
      </c>
      <c r="M232" s="832"/>
      <c r="N232" s="832"/>
      <c r="O232" s="48">
        <f>IF(t&lt;Tnet,'2020'!Resal+('2020'!Salim-'2020'!Resal)*(1-EXP(('2020'!Tnet-t)/('2020'!Tau_j))),Resal+(Salim-Resal)*(1-EXP((Tnet-t)/(Tau_j))))*Salcycl</f>
        <v>9.0480107911818167E-2</v>
      </c>
      <c r="P232" s="169">
        <f>(INDEX(Models!$BJ232:$BT232,,T232)*(1-R232)+INDEX(Models!$BJ232:$BT232,,T232+1)*R232-ERP_i)*Q232*Ramure*Pc/MaxiM</f>
        <v>0</v>
      </c>
      <c r="Q232" s="304">
        <f t="shared" si="77"/>
        <v>0.6</v>
      </c>
      <c r="R232" s="177">
        <f t="shared" si="78"/>
        <v>0.95536918355850231</v>
      </c>
      <c r="S232" s="799">
        <f t="shared" si="79"/>
        <v>-1</v>
      </c>
      <c r="T232" s="176">
        <f t="shared" si="80"/>
        <v>5</v>
      </c>
      <c r="U232" s="250">
        <f t="shared" si="81"/>
        <v>-4.4630816441497745E-2</v>
      </c>
      <c r="V232" s="382">
        <f t="shared" si="82"/>
        <v>51.670873631460694</v>
      </c>
      <c r="W232" s="400"/>
      <c r="X232" s="157">
        <f t="shared" si="83"/>
        <v>44414</v>
      </c>
      <c r="Y232" s="383">
        <f t="shared" si="84"/>
        <v>18.574999999999999</v>
      </c>
      <c r="Z232" s="383">
        <f t="shared" si="85"/>
        <v>18.904689628179689</v>
      </c>
      <c r="AA232" s="384">
        <f t="shared" si="86"/>
        <v>20.785350372905093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9.0480107911818167E-2</v>
      </c>
      <c r="AD232" s="230">
        <f>(INDEX(Models!$BJ232:$BT232,,AH232)*(1-AF232)+INDEX(Models!$BJ232:$BT232,,AH232+1)*AF232-ERP_i)*AE232*Ramure*Pc/MaxiM</f>
        <v>0</v>
      </c>
      <c r="AE232" s="304">
        <f t="shared" si="88"/>
        <v>0.6</v>
      </c>
      <c r="AF232" s="177">
        <f t="shared" si="89"/>
        <v>0.95536918355850231</v>
      </c>
      <c r="AG232" s="799">
        <f t="shared" si="95"/>
        <v>-1</v>
      </c>
      <c r="AH232" s="176">
        <f t="shared" si="90"/>
        <v>5</v>
      </c>
      <c r="AI232" s="224">
        <f t="shared" si="91"/>
        <v>-4.4630816441497745E-2</v>
      </c>
      <c r="AJ232" s="264" t="b">
        <f t="shared" si="92"/>
        <v>0</v>
      </c>
      <c r="AK232" s="264" t="b">
        <f t="shared" si="93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4"/>
        <v>44415</v>
      </c>
      <c r="B233" s="607">
        <v>23.359000000000002</v>
      </c>
      <c r="C233" s="388"/>
      <c r="D233" s="391">
        <f t="shared" si="74"/>
        <v>23.774056971600167</v>
      </c>
      <c r="E233" s="383">
        <f t="shared" ref="E233:E296" si="96">Wh_pvt/(1-Psa)</f>
        <v>26.143451380022466</v>
      </c>
      <c r="F233" s="383">
        <f t="shared" si="75"/>
        <v>26.143451380022466</v>
      </c>
      <c r="G233" s="110">
        <f t="shared" ref="G233:G296" si="97">+Wh_hp/MaxiM</f>
        <v>0.45312896499850391</v>
      </c>
      <c r="H233" s="412" t="b">
        <f>Wh_hp&gt;='2020'!Maxi_hp</f>
        <v>0</v>
      </c>
      <c r="I233" s="379">
        <f>IF(H233,Wh_hp,'2020'!Maxi_hp)</f>
        <v>56.355120981931385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1.745839896387813E-2</v>
      </c>
      <c r="M233" s="832"/>
      <c r="N233" s="832"/>
      <c r="O233" s="48">
        <f>IF(t&lt;Tnet,'2020'!Resal+('2020'!Salim-'2020'!Resal)*(1-EXP(('2020'!Tnet-t)/('2020'!Tau_j))),Resal+(Salim-Resal)*(1-EXP((Tnet-t)/(Tau_j))))*Salcycl</f>
        <v>9.0630512933455851E-2</v>
      </c>
      <c r="P233" s="169">
        <f>(INDEX(Models!$BJ233:$BT233,,T233)*(1-R233)+INDEX(Models!$BJ233:$BT233,,T233+1)*R233-ERP_i)*Q233*Ramure*Pc/MaxiM</f>
        <v>2.0260065904759956E-20</v>
      </c>
      <c r="Q233" s="304">
        <f t="shared" si="77"/>
        <v>0.6</v>
      </c>
      <c r="R233" s="177">
        <f t="shared" si="78"/>
        <v>0.95698780743806577</v>
      </c>
      <c r="S233" s="799">
        <f t="shared" si="79"/>
        <v>-1</v>
      </c>
      <c r="T233" s="176">
        <f t="shared" si="80"/>
        <v>5</v>
      </c>
      <c r="U233" s="250">
        <f t="shared" si="81"/>
        <v>-4.3012192561934171E-2</v>
      </c>
      <c r="V233" s="382">
        <f t="shared" si="82"/>
        <v>51.550445467720493</v>
      </c>
      <c r="W233" s="400"/>
      <c r="X233" s="157">
        <f t="shared" si="83"/>
        <v>44415</v>
      </c>
      <c r="Y233" s="383">
        <f t="shared" si="84"/>
        <v>23.359000000000002</v>
      </c>
      <c r="Z233" s="383">
        <f t="shared" si="85"/>
        <v>23.774056971600167</v>
      </c>
      <c r="AA233" s="384">
        <f t="shared" si="86"/>
        <v>26.143451380022466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9.0630512933455851E-2</v>
      </c>
      <c r="AD233" s="230">
        <f>(INDEX(Models!$BJ233:$BT233,,AH233)*(1-AF233)+INDEX(Models!$BJ233:$BT233,,AH233+1)*AF233-ERP_i)*AE233*Ramure*Pc/MaxiM</f>
        <v>2.0260065904759956E-20</v>
      </c>
      <c r="AE233" s="304">
        <f t="shared" si="88"/>
        <v>0.6</v>
      </c>
      <c r="AF233" s="177">
        <f t="shared" si="89"/>
        <v>0.95698780743806577</v>
      </c>
      <c r="AG233" s="799">
        <f t="shared" si="95"/>
        <v>-1</v>
      </c>
      <c r="AH233" s="176">
        <f t="shared" si="90"/>
        <v>5</v>
      </c>
      <c r="AI233" s="224">
        <f t="shared" si="91"/>
        <v>-4.3012192561934171E-2</v>
      </c>
      <c r="AJ233" s="264" t="b">
        <f t="shared" si="92"/>
        <v>0</v>
      </c>
      <c r="AK233" s="264" t="b">
        <f t="shared" si="93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4"/>
        <v>44416</v>
      </c>
      <c r="B234" s="607">
        <v>39.758000000000003</v>
      </c>
      <c r="C234" s="388"/>
      <c r="D234" s="391">
        <f t="shared" si="74"/>
        <v>40.465219921147138</v>
      </c>
      <c r="E234" s="383">
        <f t="shared" si="96"/>
        <v>44.505439508040887</v>
      </c>
      <c r="F234" s="383">
        <f t="shared" si="75"/>
        <v>44.505439508040887</v>
      </c>
      <c r="G234" s="110">
        <f t="shared" si="97"/>
        <v>0.77307493639842662</v>
      </c>
      <c r="H234" s="412" t="b">
        <f>Wh_hp&gt;='2020'!Maxi_hp</f>
        <v>0</v>
      </c>
      <c r="I234" s="379">
        <f>IF(H234,Wh_hp,'2020'!Maxi_hp)</f>
        <v>55.786028052877967</v>
      </c>
      <c r="J234" s="85">
        <f>IF(H234,An,'2020'!An_max)</f>
        <v>2020</v>
      </c>
      <c r="K234" s="197">
        <f t="shared" si="76"/>
        <v>44416</v>
      </c>
      <c r="L234" s="147">
        <f>IF(t&lt;Tvie,1-EXP((T0-t)*PertePVj)+'2020'!Pspv,1-EXP((T0-t)*PertePVj)+Pspv)</f>
        <v>1.7477229149508333E-2</v>
      </c>
      <c r="M234" s="832"/>
      <c r="N234" s="832"/>
      <c r="O234" s="48">
        <f>IF(t&lt;Tnet,'2020'!Resal+('2020'!Salim-'2020'!Resal)*(1-EXP(('2020'!Tnet-t)/('2020'!Tau_j))),Resal+(Salim-Resal)*(1-EXP((Tnet-t)/(Tau_j))))*Salcycl</f>
        <v>9.0780354751103964E-2</v>
      </c>
      <c r="P234" s="169">
        <f>(INDEX(Models!$BJ234:$BT234,,T234)*(1-R234)+INDEX(Models!$BJ234:$BT234,,T234+1)*R234-ERP_i)*Q234*Ramure*Pc/MaxiM</f>
        <v>2.0298310050297815E-20</v>
      </c>
      <c r="Q234" s="304">
        <f t="shared" si="77"/>
        <v>0.6</v>
      </c>
      <c r="R234" s="177">
        <f t="shared" si="78"/>
        <v>0.95855208137098735</v>
      </c>
      <c r="S234" s="799">
        <f t="shared" si="79"/>
        <v>-1</v>
      </c>
      <c r="T234" s="176">
        <f t="shared" si="80"/>
        <v>5</v>
      </c>
      <c r="U234" s="250">
        <f t="shared" si="81"/>
        <v>-4.1447918629012648E-2</v>
      </c>
      <c r="V234" s="382">
        <f t="shared" si="82"/>
        <v>51.428390868837539</v>
      </c>
      <c r="W234" s="400"/>
      <c r="X234" s="157">
        <f t="shared" si="83"/>
        <v>44416</v>
      </c>
      <c r="Y234" s="383">
        <f t="shared" si="84"/>
        <v>39.758000000000003</v>
      </c>
      <c r="Z234" s="383">
        <f t="shared" si="85"/>
        <v>40.465219921147138</v>
      </c>
      <c r="AA234" s="384">
        <f t="shared" si="86"/>
        <v>44.505439508040887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9.0780354751103964E-2</v>
      </c>
      <c r="AD234" s="230">
        <f>(INDEX(Models!$BJ234:$BT234,,AH234)*(1-AF234)+INDEX(Models!$BJ234:$BT234,,AH234+1)*AF234-ERP_i)*AE234*Ramure*Pc/MaxiM</f>
        <v>2.0298310050297815E-20</v>
      </c>
      <c r="AE234" s="304">
        <f t="shared" si="88"/>
        <v>0.6</v>
      </c>
      <c r="AF234" s="177">
        <f t="shared" si="89"/>
        <v>0.95855208137098735</v>
      </c>
      <c r="AG234" s="799">
        <f t="shared" si="95"/>
        <v>-1</v>
      </c>
      <c r="AH234" s="176">
        <f t="shared" si="90"/>
        <v>5</v>
      </c>
      <c r="AI234" s="224">
        <f t="shared" si="91"/>
        <v>-4.1447918629012648E-2</v>
      </c>
      <c r="AJ234" s="264" t="b">
        <f t="shared" si="92"/>
        <v>0</v>
      </c>
      <c r="AK234" s="264" t="b">
        <f t="shared" si="93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4"/>
        <v>44417</v>
      </c>
      <c r="B235" s="607">
        <v>50.241</v>
      </c>
      <c r="C235" s="388"/>
      <c r="D235" s="391">
        <f t="shared" si="74"/>
        <v>51.135672746053523</v>
      </c>
      <c r="E235" s="383">
        <f t="shared" si="96"/>
        <v>56.250511188466319</v>
      </c>
      <c r="F235" s="383">
        <f t="shared" si="75"/>
        <v>56.250511188466319</v>
      </c>
      <c r="G235" s="110">
        <f t="shared" si="97"/>
        <v>0.97926497087356268</v>
      </c>
      <c r="H235" s="412" t="b">
        <f>Wh_hp&gt;='2020'!Maxi_hp</f>
        <v>1</v>
      </c>
      <c r="I235" s="379">
        <f>IF(H235,Wh_hp,'2020'!Maxi_hp)</f>
        <v>56.250511188466319</v>
      </c>
      <c r="J235" s="85">
        <f>IF(H235,An,'2020'!An_max)</f>
        <v>2021</v>
      </c>
      <c r="K235" s="197">
        <f t="shared" si="76"/>
        <v>44417</v>
      </c>
      <c r="L235" s="147">
        <f>IF(t&lt;Tvie,1-EXP((T0-t)*PertePVj)+'2020'!Pspv,1-EXP((T0-t)*PertePVj)+Pspv)</f>
        <v>1.7496058974262207E-2</v>
      </c>
      <c r="M235" s="832"/>
      <c r="N235" s="832"/>
      <c r="O235" s="48">
        <f>IF(t&lt;Tnet,'2020'!Resal+('2020'!Salim-'2020'!Resal)*(1-EXP(('2020'!Tnet-t)/('2020'!Tau_j))),Resal+(Salim-Resal)*(1-EXP((Tnet-t)/(Tau_j))))*Salcycl</f>
        <v>9.0929634848572707E-2</v>
      </c>
      <c r="P235" s="169">
        <f>(INDEX(Models!$BJ235:$BT235,,T235)*(1-R235)+INDEX(Models!$BJ235:$BT235,,T235+1)*R235-ERP_i)*Q235*Ramure*Pc/MaxiM</f>
        <v>0</v>
      </c>
      <c r="Q235" s="304">
        <f t="shared" si="77"/>
        <v>0.6</v>
      </c>
      <c r="R235" s="177">
        <f t="shared" si="78"/>
        <v>0.96006344223961571</v>
      </c>
      <c r="S235" s="799">
        <f t="shared" si="79"/>
        <v>-1</v>
      </c>
      <c r="T235" s="176">
        <f t="shared" si="80"/>
        <v>5</v>
      </c>
      <c r="U235" s="250">
        <f t="shared" si="81"/>
        <v>-3.993655776038435E-2</v>
      </c>
      <c r="V235" s="382">
        <f t="shared" si="82"/>
        <v>51.304806660430252</v>
      </c>
      <c r="W235" s="400"/>
      <c r="X235" s="157">
        <f t="shared" si="83"/>
        <v>44417</v>
      </c>
      <c r="Y235" s="383">
        <f t="shared" si="84"/>
        <v>50.241</v>
      </c>
      <c r="Z235" s="383">
        <f t="shared" si="85"/>
        <v>51.135672746053523</v>
      </c>
      <c r="AA235" s="384">
        <f t="shared" si="86"/>
        <v>56.250511188466319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9.0929634848572707E-2</v>
      </c>
      <c r="AD235" s="230">
        <f>(INDEX(Models!$BJ235:$BT235,,AH235)*(1-AF235)+INDEX(Models!$BJ235:$BT235,,AH235+1)*AF235-ERP_i)*AE235*Ramure*Pc/MaxiM</f>
        <v>0</v>
      </c>
      <c r="AE235" s="304">
        <f t="shared" si="88"/>
        <v>0.6</v>
      </c>
      <c r="AF235" s="177">
        <f t="shared" si="89"/>
        <v>0.96006344223961571</v>
      </c>
      <c r="AG235" s="799">
        <f t="shared" si="95"/>
        <v>-1</v>
      </c>
      <c r="AH235" s="176">
        <f t="shared" si="90"/>
        <v>5</v>
      </c>
      <c r="AI235" s="224">
        <f t="shared" si="91"/>
        <v>-3.993655776038435E-2</v>
      </c>
      <c r="AJ235" s="264" t="b">
        <f t="shared" si="92"/>
        <v>0</v>
      </c>
      <c r="AK235" s="264" t="b">
        <f t="shared" si="93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4"/>
        <v>44418</v>
      </c>
      <c r="B236" s="607">
        <v>48.509</v>
      </c>
      <c r="C236" s="388"/>
      <c r="D236" s="391">
        <f t="shared" si="74"/>
        <v>49.373776181590586</v>
      </c>
      <c r="E236" s="383">
        <f t="shared" si="96"/>
        <v>54.321267794225101</v>
      </c>
      <c r="F236" s="383">
        <f t="shared" si="75"/>
        <v>54.321267794225101</v>
      </c>
      <c r="G236" s="110">
        <f t="shared" si="97"/>
        <v>0.94781554016329783</v>
      </c>
      <c r="H236" s="412" t="b">
        <f>Wh_hp&gt;='2020'!Maxi_hp</f>
        <v>1</v>
      </c>
      <c r="I236" s="379">
        <f>IF(H236,Wh_hp,'2020'!Maxi_hp)</f>
        <v>54.321267794225101</v>
      </c>
      <c r="J236" s="85">
        <f>IF(H236,An,'2020'!An_max)</f>
        <v>2021</v>
      </c>
      <c r="K236" s="197">
        <f t="shared" si="76"/>
        <v>44418</v>
      </c>
      <c r="L236" s="147">
        <f>IF(t&lt;Tvie,1-EXP((T0-t)*PertePVj)+'2020'!Pspv,1-EXP((T0-t)*PertePVj)+Pspv)</f>
        <v>1.7514888438146747E-2</v>
      </c>
      <c r="M236" s="832"/>
      <c r="N236" s="832"/>
      <c r="O236" s="48">
        <f>IF(t&lt;Tnet,'2020'!Resal+('2020'!Salim-'2020'!Resal)*(1-EXP(('2020'!Tnet-t)/('2020'!Tau_j))),Resal+(Salim-Resal)*(1-EXP((Tnet-t)/(Tau_j))))*Salcycl</f>
        <v>9.1078353166869255E-2</v>
      </c>
      <c r="P236" s="169">
        <f>(INDEX(Models!$BJ236:$BT236,,T236)*(1-R236)+INDEX(Models!$BJ236:$BT236,,T236+1)*R236-ERP_i)*Q236*Ramure*Pc/MaxiM</f>
        <v>-2.0375725760659744E-20</v>
      </c>
      <c r="Q236" s="304">
        <f t="shared" si="77"/>
        <v>0.6</v>
      </c>
      <c r="R236" s="177">
        <f t="shared" si="78"/>
        <v>0.9615233177055128</v>
      </c>
      <c r="S236" s="799">
        <f t="shared" si="79"/>
        <v>-1</v>
      </c>
      <c r="T236" s="176">
        <f t="shared" si="80"/>
        <v>5</v>
      </c>
      <c r="U236" s="250">
        <f t="shared" si="81"/>
        <v>-3.8476682294487197E-2</v>
      </c>
      <c r="V236" s="382">
        <f t="shared" si="82"/>
        <v>51.17978967895214</v>
      </c>
      <c r="W236" s="400"/>
      <c r="X236" s="157">
        <f t="shared" si="83"/>
        <v>44418</v>
      </c>
      <c r="Y236" s="383">
        <f t="shared" si="84"/>
        <v>48.509</v>
      </c>
      <c r="Z236" s="383">
        <f t="shared" si="85"/>
        <v>49.373776181590586</v>
      </c>
      <c r="AA236" s="384">
        <f t="shared" si="86"/>
        <v>54.321267794225101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9.1078353166869255E-2</v>
      </c>
      <c r="AD236" s="230">
        <f>(INDEX(Models!$BJ236:$BT236,,AH236)*(1-AF236)+INDEX(Models!$BJ236:$BT236,,AH236+1)*AF236-ERP_i)*AE236*Ramure*Pc/MaxiM</f>
        <v>-2.0375725760659744E-20</v>
      </c>
      <c r="AE236" s="304">
        <f t="shared" si="88"/>
        <v>0.6</v>
      </c>
      <c r="AF236" s="177">
        <f t="shared" si="89"/>
        <v>0.9615233177055128</v>
      </c>
      <c r="AG236" s="799">
        <f t="shared" si="95"/>
        <v>-1</v>
      </c>
      <c r="AH236" s="176">
        <f t="shared" si="90"/>
        <v>5</v>
      </c>
      <c r="AI236" s="224">
        <f t="shared" si="91"/>
        <v>-3.8476682294487197E-2</v>
      </c>
      <c r="AJ236" s="264" t="b">
        <f t="shared" si="92"/>
        <v>0</v>
      </c>
      <c r="AK236" s="264" t="b">
        <f t="shared" si="93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4"/>
        <v>44419</v>
      </c>
      <c r="B237" s="607">
        <v>46.939</v>
      </c>
      <c r="C237" s="388"/>
      <c r="D237" s="391">
        <f t="shared" si="74"/>
        <v>47.776703219295385</v>
      </c>
      <c r="E237" s="383">
        <f t="shared" si="96"/>
        <v>52.572729783905686</v>
      </c>
      <c r="F237" s="383">
        <f t="shared" si="75"/>
        <v>52.572729783905686</v>
      </c>
      <c r="G237" s="110">
        <f t="shared" si="97"/>
        <v>0.91940921069114201</v>
      </c>
      <c r="H237" s="412" t="b">
        <f>Wh_hp&gt;='2020'!Maxi_hp</f>
        <v>1</v>
      </c>
      <c r="I237" s="379">
        <f>IF(H237,Wh_hp,'2020'!Maxi_hp)</f>
        <v>52.572729783905686</v>
      </c>
      <c r="J237" s="85">
        <f>IF(H237,An,'2020'!An_max)</f>
        <v>2021</v>
      </c>
      <c r="K237" s="197">
        <f t="shared" si="76"/>
        <v>44419</v>
      </c>
      <c r="L237" s="147">
        <f>IF(t&lt;Tvie,1-EXP((T0-t)*PertePVj)+'2020'!Pspv,1-EXP((T0-t)*PertePVj)+Pspv)</f>
        <v>1.7533717541168947E-2</v>
      </c>
      <c r="M237" s="832"/>
      <c r="N237" s="832"/>
      <c r="O237" s="48">
        <f>IF(t&lt;Tnet,'2020'!Resal+('2020'!Salim-'2020'!Resal)*(1-EXP(('2020'!Tnet-t)/('2020'!Tau_j))),Resal+(Salim-Resal)*(1-EXP((Tnet-t)/(Tau_j))))*Salcycl</f>
        <v>9.1226508197764011E-2</v>
      </c>
      <c r="P237" s="169">
        <f>(INDEX(Models!$BJ237:$BT237,,T237)*(1-R237)+INDEX(Models!$BJ237:$BT237,,T237+1)*R237-ERP_i)*Q237*Ramure*Pc/MaxiM</f>
        <v>0</v>
      </c>
      <c r="Q237" s="304">
        <f t="shared" si="77"/>
        <v>0.6</v>
      </c>
      <c r="R237" s="177">
        <f t="shared" si="78"/>
        <v>0.96293312381185525</v>
      </c>
      <c r="S237" s="799">
        <f t="shared" si="79"/>
        <v>-1</v>
      </c>
      <c r="T237" s="176">
        <f t="shared" si="80"/>
        <v>5</v>
      </c>
      <c r="U237" s="250">
        <f t="shared" si="81"/>
        <v>-3.7066876188144693E-2</v>
      </c>
      <c r="V237" s="382">
        <f t="shared" si="82"/>
        <v>51.053436765893203</v>
      </c>
      <c r="W237" s="400"/>
      <c r="X237" s="157">
        <f t="shared" si="83"/>
        <v>44419</v>
      </c>
      <c r="Y237" s="383">
        <f t="shared" si="84"/>
        <v>46.939</v>
      </c>
      <c r="Z237" s="383">
        <f t="shared" si="85"/>
        <v>47.776703219295385</v>
      </c>
      <c r="AA237" s="384">
        <f t="shared" si="86"/>
        <v>52.572729783905686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9.1226508197764011E-2</v>
      </c>
      <c r="AD237" s="230">
        <f>(INDEX(Models!$BJ237:$BT237,,AH237)*(1-AF237)+INDEX(Models!$BJ237:$BT237,,AH237+1)*AF237-ERP_i)*AE237*Ramure*Pc/MaxiM</f>
        <v>0</v>
      </c>
      <c r="AE237" s="304">
        <f t="shared" si="88"/>
        <v>0.6</v>
      </c>
      <c r="AF237" s="177">
        <f t="shared" si="89"/>
        <v>0.96293312381185525</v>
      </c>
      <c r="AG237" s="799">
        <f t="shared" si="95"/>
        <v>-1</v>
      </c>
      <c r="AH237" s="176">
        <f t="shared" si="90"/>
        <v>5</v>
      </c>
      <c r="AI237" s="224">
        <f t="shared" si="91"/>
        <v>-3.7066876188144693E-2</v>
      </c>
      <c r="AJ237" s="264" t="b">
        <f t="shared" si="92"/>
        <v>0</v>
      </c>
      <c r="AK237" s="264" t="b">
        <f t="shared" si="93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4"/>
        <v>44420</v>
      </c>
      <c r="B238" s="607">
        <v>44.997999999999998</v>
      </c>
      <c r="C238" s="388"/>
      <c r="D238" s="391">
        <f t="shared" si="74"/>
        <v>45.801940683717547</v>
      </c>
      <c r="E238" s="383">
        <f t="shared" si="96"/>
        <v>50.407918744637698</v>
      </c>
      <c r="F238" s="383">
        <f t="shared" si="75"/>
        <v>50.407918744637698</v>
      </c>
      <c r="G238" s="110">
        <f t="shared" si="97"/>
        <v>0.88359849914203525</v>
      </c>
      <c r="H238" s="412" t="b">
        <f>Wh_hp&gt;='2020'!Maxi_hp</f>
        <v>1</v>
      </c>
      <c r="I238" s="379">
        <f>IF(H238,Wh_hp,'2020'!Maxi_hp)</f>
        <v>50.407918744637698</v>
      </c>
      <c r="J238" s="85">
        <f>IF(H238,An,'2020'!An_max)</f>
        <v>2021</v>
      </c>
      <c r="K238" s="197">
        <f t="shared" si="76"/>
        <v>44420</v>
      </c>
      <c r="L238" s="147">
        <f>IF(t&lt;Tvie,1-EXP((T0-t)*PertePVj)+'2020'!Pspv,1-EXP((T0-t)*PertePVj)+Pspv)</f>
        <v>1.755254628333569E-2</v>
      </c>
      <c r="M238" s="832"/>
      <c r="N238" s="832"/>
      <c r="O238" s="48">
        <f>IF(t&lt;Tnet,'2020'!Resal+('2020'!Salim-'2020'!Resal)*(1-EXP(('2020'!Tnet-t)/('2020'!Tau_j))),Resal+(Salim-Resal)*(1-EXP((Tnet-t)/(Tau_j))))*Salcycl</f>
        <v>9.1374097078946087E-2</v>
      </c>
      <c r="P238" s="169">
        <f>(INDEX(Models!$BJ238:$BT238,,T238)*(1-R238)+INDEX(Models!$BJ238:$BT238,,T238+1)*R238-ERP_i)*Q238*Ramure*Pc/MaxiM</f>
        <v>0</v>
      </c>
      <c r="Q238" s="304">
        <f t="shared" si="77"/>
        <v>0.6</v>
      </c>
      <c r="R238" s="177">
        <f t="shared" si="78"/>
        <v>0.96429426279942132</v>
      </c>
      <c r="S238" s="799">
        <f t="shared" si="79"/>
        <v>-1</v>
      </c>
      <c r="T238" s="176">
        <f t="shared" si="80"/>
        <v>5</v>
      </c>
      <c r="U238" s="250">
        <f t="shared" si="81"/>
        <v>-3.5705737200578624E-2</v>
      </c>
      <c r="V238" s="382">
        <f t="shared" si="82"/>
        <v>50.92584476285618</v>
      </c>
      <c r="W238" s="400"/>
      <c r="X238" s="157">
        <f t="shared" si="83"/>
        <v>44420</v>
      </c>
      <c r="Y238" s="383">
        <f t="shared" si="84"/>
        <v>44.997999999999998</v>
      </c>
      <c r="Z238" s="383">
        <f t="shared" si="85"/>
        <v>45.801940683717547</v>
      </c>
      <c r="AA238" s="384">
        <f t="shared" si="86"/>
        <v>50.407918744637698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9.1374097078946087E-2</v>
      </c>
      <c r="AD238" s="230">
        <f>(INDEX(Models!$BJ238:$BT238,,AH238)*(1-AF238)+INDEX(Models!$BJ238:$BT238,,AH238+1)*AF238-ERP_i)*AE238*Ramure*Pc/MaxiM</f>
        <v>0</v>
      </c>
      <c r="AE238" s="304">
        <f t="shared" si="88"/>
        <v>0.6</v>
      </c>
      <c r="AF238" s="177">
        <f t="shared" si="89"/>
        <v>0.96429426279942132</v>
      </c>
      <c r="AG238" s="799">
        <f t="shared" si="95"/>
        <v>-1</v>
      </c>
      <c r="AH238" s="176">
        <f t="shared" si="90"/>
        <v>5</v>
      </c>
      <c r="AI238" s="224">
        <f t="shared" si="91"/>
        <v>-3.5705737200578624E-2</v>
      </c>
      <c r="AJ238" s="264" t="b">
        <f t="shared" si="92"/>
        <v>0</v>
      </c>
      <c r="AK238" s="264" t="b">
        <f t="shared" si="93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4"/>
        <v>44421</v>
      </c>
      <c r="B239" s="607">
        <v>25.57</v>
      </c>
      <c r="C239" s="388"/>
      <c r="D239" s="391">
        <f t="shared" si="74"/>
        <v>26.027336073673375</v>
      </c>
      <c r="E239" s="383">
        <f t="shared" si="96"/>
        <v>28.649357209244791</v>
      </c>
      <c r="F239" s="383">
        <f t="shared" si="75"/>
        <v>28.649357209244791</v>
      </c>
      <c r="G239" s="110">
        <f t="shared" si="97"/>
        <v>0.50337508857444302</v>
      </c>
      <c r="H239" s="412" t="b">
        <f>Wh_hp&gt;='2020'!Maxi_hp</f>
        <v>0</v>
      </c>
      <c r="I239" s="379">
        <f>IF(H239,Wh_hp,'2020'!Maxi_hp)</f>
        <v>50.157042918193603</v>
      </c>
      <c r="J239" s="85">
        <f>IF(H239,An,'2020'!An_max)</f>
        <v>2018</v>
      </c>
      <c r="K239" s="197">
        <f t="shared" si="76"/>
        <v>44421</v>
      </c>
      <c r="L239" s="147">
        <f>IF(t&lt;Tvie,1-EXP((T0-t)*PertePVj)+'2020'!Pspv,1-EXP((T0-t)*PertePVj)+Pspv)</f>
        <v>1.757137466465386E-2</v>
      </c>
      <c r="M239" s="832"/>
      <c r="N239" s="832"/>
      <c r="O239" s="48">
        <f>IF(t&lt;Tnet,'2020'!Resal+('2020'!Salim-'2020'!Resal)*(1-EXP(('2020'!Tnet-t)/('2020'!Tau_j))),Resal+(Salim-Resal)*(1-EXP((Tnet-t)/(Tau_j))))*Salcycl</f>
        <v>9.1521115689301394E-2</v>
      </c>
      <c r="P239" s="169">
        <f>(INDEX(Models!$BJ239:$BT239,,T239)*(1-R239)+INDEX(Models!$BJ239:$BT239,,T239+1)*R239-ERP_i)*Q239*Ramure*Pc/MaxiM</f>
        <v>0</v>
      </c>
      <c r="Q239" s="304">
        <f t="shared" si="77"/>
        <v>0.6</v>
      </c>
      <c r="R239" s="177">
        <f t="shared" si="78"/>
        <v>0.96560812112716499</v>
      </c>
      <c r="S239" s="799">
        <f t="shared" si="79"/>
        <v>-1</v>
      </c>
      <c r="T239" s="176">
        <f t="shared" si="80"/>
        <v>5</v>
      </c>
      <c r="U239" s="250">
        <f t="shared" si="81"/>
        <v>-3.4391878872835013E-2</v>
      </c>
      <c r="V239" s="382">
        <f t="shared" si="82"/>
        <v>50.797110505436763</v>
      </c>
      <c r="W239" s="400"/>
      <c r="X239" s="157">
        <f t="shared" si="83"/>
        <v>44421</v>
      </c>
      <c r="Y239" s="383">
        <f t="shared" si="84"/>
        <v>25.57</v>
      </c>
      <c r="Z239" s="383">
        <f t="shared" si="85"/>
        <v>26.027336073673375</v>
      </c>
      <c r="AA239" s="384">
        <f t="shared" si="86"/>
        <v>28.649357209244791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9.1521115689301394E-2</v>
      </c>
      <c r="AD239" s="230">
        <f>(INDEX(Models!$BJ239:$BT239,,AH239)*(1-AF239)+INDEX(Models!$BJ239:$BT239,,AH239+1)*AF239-ERP_i)*AE239*Ramure*Pc/MaxiM</f>
        <v>0</v>
      </c>
      <c r="AE239" s="304">
        <f t="shared" si="88"/>
        <v>0.6</v>
      </c>
      <c r="AF239" s="177">
        <f t="shared" si="89"/>
        <v>0.96560812112716499</v>
      </c>
      <c r="AG239" s="799">
        <f t="shared" si="95"/>
        <v>-1</v>
      </c>
      <c r="AH239" s="176">
        <f t="shared" si="90"/>
        <v>5</v>
      </c>
      <c r="AI239" s="224">
        <f t="shared" si="91"/>
        <v>-3.4391878872835013E-2</v>
      </c>
      <c r="AJ239" s="264" t="b">
        <f t="shared" si="92"/>
        <v>0</v>
      </c>
      <c r="AK239" s="264" t="b">
        <f t="shared" si="93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4"/>
        <v>44422</v>
      </c>
      <c r="B240" s="607">
        <v>46.094000000000001</v>
      </c>
      <c r="C240" s="388"/>
      <c r="D240" s="391">
        <f t="shared" si="74"/>
        <v>46.919320354891106</v>
      </c>
      <c r="E240" s="383">
        <f t="shared" si="96"/>
        <v>51.654348368264934</v>
      </c>
      <c r="F240" s="383">
        <f t="shared" si="75"/>
        <v>51.654348746640629</v>
      </c>
      <c r="G240" s="110">
        <f t="shared" si="97"/>
        <v>0.90973808160449698</v>
      </c>
      <c r="H240" s="412" t="b">
        <f>Wh_hp&gt;='2020'!Maxi_hp</f>
        <v>0</v>
      </c>
      <c r="I240" s="379">
        <f>IF(H240,Wh_hp,'2020'!Maxi_hp)</f>
        <v>57.247327740538942</v>
      </c>
      <c r="J240" s="85">
        <f>IF(H240,An,'2020'!An_max)</f>
        <v>2018</v>
      </c>
      <c r="K240" s="197">
        <f t="shared" si="76"/>
        <v>44422</v>
      </c>
      <c r="L240" s="147">
        <f>IF(t&lt;Tvie,1-EXP((T0-t)*PertePVj)+'2020'!Pspv,1-EXP((T0-t)*PertePVj)+Pspv)</f>
        <v>1.7590202685130452E-2</v>
      </c>
      <c r="M240" s="832"/>
      <c r="N240" s="832"/>
      <c r="O240" s="48">
        <f>IF(t&lt;Tnet,'2020'!Resal+('2020'!Salim-'2020'!Resal)*(1-EXP(('2020'!Tnet-t)/('2020'!Tau_j))),Resal+(Salim-Resal)*(1-EXP((Tnet-t)/(Tau_j))))*Salcycl</f>
        <v>9.1667558742893868E-2</v>
      </c>
      <c r="P240" s="169">
        <f>(INDEX(Models!$BJ240:$BT240,,T240)*(1-R240)+INDEX(Models!$BJ240:$BT240,,T240+1)*R240-ERP_i)*Q240*Ramure*Pc/MaxiM</f>
        <v>8.4095171155347998E-9</v>
      </c>
      <c r="Q240" s="304">
        <f t="shared" si="77"/>
        <v>0.6</v>
      </c>
      <c r="R240" s="177">
        <f t="shared" si="78"/>
        <v>0.96687606768811385</v>
      </c>
      <c r="S240" s="799">
        <f t="shared" si="79"/>
        <v>-1</v>
      </c>
      <c r="T240" s="176">
        <f t="shared" si="80"/>
        <v>5</v>
      </c>
      <c r="U240" s="250">
        <f t="shared" si="81"/>
        <v>-3.3123932311886095E-2</v>
      </c>
      <c r="V240" s="382">
        <f t="shared" si="82"/>
        <v>50.667330391096158</v>
      </c>
      <c r="W240" s="400"/>
      <c r="X240" s="157">
        <f t="shared" si="83"/>
        <v>44422</v>
      </c>
      <c r="Y240" s="383">
        <f t="shared" si="84"/>
        <v>46.094000000000001</v>
      </c>
      <c r="Z240" s="383">
        <f t="shared" si="85"/>
        <v>46.919320354891106</v>
      </c>
      <c r="AA240" s="384">
        <f t="shared" si="86"/>
        <v>51.654348368264934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9.1667558742893868E-2</v>
      </c>
      <c r="AD240" s="230">
        <f>(INDEX(Models!$BJ240:$BT240,,AH240)*(1-AF240)+INDEX(Models!$BJ240:$BT240,,AH240+1)*AF240-ERP_i)*AE240*Ramure*Pc/MaxiM</f>
        <v>8.4095171155347998E-9</v>
      </c>
      <c r="AE240" s="304">
        <f t="shared" si="88"/>
        <v>0.6</v>
      </c>
      <c r="AF240" s="177">
        <f t="shared" si="89"/>
        <v>0.96687606768811385</v>
      </c>
      <c r="AG240" s="799">
        <f t="shared" si="95"/>
        <v>-1</v>
      </c>
      <c r="AH240" s="176">
        <f t="shared" si="90"/>
        <v>5</v>
      </c>
      <c r="AI240" s="224">
        <f t="shared" si="91"/>
        <v>-3.3123932311886095E-2</v>
      </c>
      <c r="AJ240" s="264" t="b">
        <f t="shared" si="92"/>
        <v>0</v>
      </c>
      <c r="AK240" s="264" t="b">
        <f t="shared" si="93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4"/>
        <v>44423</v>
      </c>
      <c r="B241" s="607">
        <v>21.423000000000002</v>
      </c>
      <c r="C241" s="388"/>
      <c r="D241" s="391">
        <f t="shared" si="74"/>
        <v>21.807000126964169</v>
      </c>
      <c r="E241" s="383">
        <f t="shared" si="96"/>
        <v>24.011585949761354</v>
      </c>
      <c r="F241" s="383">
        <f t="shared" si="75"/>
        <v>24.011586057297297</v>
      </c>
      <c r="G241" s="110">
        <f t="shared" si="97"/>
        <v>0.42391057241602642</v>
      </c>
      <c r="H241" s="412" t="b">
        <f>Wh_hp&gt;='2020'!Maxi_hp</f>
        <v>0</v>
      </c>
      <c r="I241" s="379">
        <f>IF(H241,Wh_hp,'2020'!Maxi_hp)</f>
        <v>50.015473109752712</v>
      </c>
      <c r="J241" s="85">
        <f>IF(H241,An,'2020'!An_max)</f>
        <v>2020</v>
      </c>
      <c r="K241" s="197">
        <f t="shared" si="76"/>
        <v>44423</v>
      </c>
      <c r="L241" s="147">
        <f>IF(t&lt;Tvie,1-EXP((T0-t)*PertePVj)+'2020'!Pspv,1-EXP((T0-t)*PertePVj)+Pspv)</f>
        <v>1.7609030344772347E-2</v>
      </c>
      <c r="M241" s="832"/>
      <c r="N241" s="832"/>
      <c r="O241" s="48">
        <f>IF(t&lt;Tnet,'2020'!Resal+('2020'!Salim-'2020'!Resal)*(1-EXP(('2020'!Tnet-t)/('2020'!Tau_j))),Resal+(Salim-Resal)*(1-EXP((Tnet-t)/(Tau_j))))*Salcycl</f>
        <v>9.1813419880292971E-2</v>
      </c>
      <c r="P241" s="169">
        <f>(INDEX(Models!$BJ241:$BT241,,T241)*(1-R241)+INDEX(Models!$BJ241:$BT241,,T241+1)*R241-ERP_i)*Q241*Ramure*Pc/MaxiM</f>
        <v>2.5300112660422838E-8</v>
      </c>
      <c r="Q241" s="304">
        <f t="shared" si="77"/>
        <v>0.6</v>
      </c>
      <c r="R241" s="177">
        <f t="shared" si="78"/>
        <v>0.96809945221115412</v>
      </c>
      <c r="S241" s="799">
        <f t="shared" si="79"/>
        <v>-1</v>
      </c>
      <c r="T241" s="176">
        <f t="shared" si="80"/>
        <v>5</v>
      </c>
      <c r="U241" s="250">
        <f t="shared" si="81"/>
        <v>-3.1900547788845879E-2</v>
      </c>
      <c r="V241" s="382">
        <f t="shared" si="82"/>
        <v>50.536601226623993</v>
      </c>
      <c r="W241" s="400"/>
      <c r="X241" s="157">
        <f t="shared" si="83"/>
        <v>44423</v>
      </c>
      <c r="Y241" s="383">
        <f t="shared" si="84"/>
        <v>21.423000000000002</v>
      </c>
      <c r="Z241" s="383">
        <f t="shared" si="85"/>
        <v>21.807000126964169</v>
      </c>
      <c r="AA241" s="384">
        <f t="shared" si="86"/>
        <v>24.011585949761354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9.1813419880292971E-2</v>
      </c>
      <c r="AD241" s="230">
        <f>(INDEX(Models!$BJ241:$BT241,,AH241)*(1-AF241)+INDEX(Models!$BJ241:$BT241,,AH241+1)*AF241-ERP_i)*AE241*Ramure*Pc/MaxiM</f>
        <v>2.5300112660422838E-8</v>
      </c>
      <c r="AE241" s="304">
        <f t="shared" si="88"/>
        <v>0.6</v>
      </c>
      <c r="AF241" s="177">
        <f t="shared" si="89"/>
        <v>0.96809945221115412</v>
      </c>
      <c r="AG241" s="799">
        <f t="shared" si="95"/>
        <v>-1</v>
      </c>
      <c r="AH241" s="176">
        <f t="shared" si="90"/>
        <v>5</v>
      </c>
      <c r="AI241" s="224">
        <f t="shared" si="91"/>
        <v>-3.1900547788845879E-2</v>
      </c>
      <c r="AJ241" s="264" t="b">
        <f t="shared" si="92"/>
        <v>0</v>
      </c>
      <c r="AK241" s="264" t="b">
        <f t="shared" si="93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4"/>
        <v>44424</v>
      </c>
      <c r="B242" s="607">
        <v>29.513999999999999</v>
      </c>
      <c r="C242" s="388"/>
      <c r="D242" s="391">
        <f t="shared" si="74"/>
        <v>30.043604381130798</v>
      </c>
      <c r="E242" s="383">
        <f t="shared" si="96"/>
        <v>33.086164812511846</v>
      </c>
      <c r="F242" s="383">
        <f t="shared" si="75"/>
        <v>33.086165497339138</v>
      </c>
      <c r="G242" s="110">
        <f t="shared" si="97"/>
        <v>0.58553690152424376</v>
      </c>
      <c r="H242" s="412" t="b">
        <f>Wh_hp&gt;='2020'!Maxi_hp</f>
        <v>0</v>
      </c>
      <c r="I242" s="379">
        <f>IF(H242,Wh_hp,'2020'!Maxi_hp)</f>
        <v>56.868065915870055</v>
      </c>
      <c r="J242" s="85">
        <f>IF(H242,An,'2020'!An_max)</f>
        <v>2018</v>
      </c>
      <c r="K242" s="197">
        <f t="shared" si="76"/>
        <v>44424</v>
      </c>
      <c r="L242" s="147">
        <f>IF(t&lt;Tvie,1-EXP((T0-t)*PertePVj)+'2020'!Pspv,1-EXP((T0-t)*PertePVj)+Pspv)</f>
        <v>1.762785764358632E-2</v>
      </c>
      <c r="M242" s="832"/>
      <c r="N242" s="832"/>
      <c r="O242" s="48">
        <f>IF(t&lt;Tnet,'2020'!Resal+('2020'!Salim-'2020'!Resal)*(1-EXP(('2020'!Tnet-t)/('2020'!Tau_j))),Resal+(Salim-Resal)*(1-EXP((Tnet-t)/(Tau_j))))*Salcycl</f>
        <v>9.1958691755971517E-2</v>
      </c>
      <c r="P242" s="169">
        <f>(INDEX(Models!$BJ242:$BT242,,T242)*(1-R242)+INDEX(Models!$BJ242:$BT242,,T242+1)*R242-ERP_i)*Q242*Ramure*Pc/MaxiM</f>
        <v>5.0742328665114117E-8</v>
      </c>
      <c r="Q242" s="304">
        <f t="shared" si="77"/>
        <v>0.6</v>
      </c>
      <c r="R242" s="177">
        <f t="shared" si="78"/>
        <v>0.96927960383917289</v>
      </c>
      <c r="S242" s="799">
        <f t="shared" si="79"/>
        <v>-1</v>
      </c>
      <c r="T242" s="176">
        <f t="shared" si="80"/>
        <v>5</v>
      </c>
      <c r="U242" s="250">
        <f t="shared" si="81"/>
        <v>-3.0720396160827113E-2</v>
      </c>
      <c r="V242" s="382">
        <f t="shared" si="82"/>
        <v>50.405019797131317</v>
      </c>
      <c r="W242" s="400"/>
      <c r="X242" s="157">
        <f t="shared" si="83"/>
        <v>44424</v>
      </c>
      <c r="Y242" s="383">
        <f t="shared" si="84"/>
        <v>29.513999999999999</v>
      </c>
      <c r="Z242" s="383">
        <f t="shared" si="85"/>
        <v>30.043604381130798</v>
      </c>
      <c r="AA242" s="384">
        <f t="shared" si="86"/>
        <v>33.086164812511846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9.1958691755971517E-2</v>
      </c>
      <c r="AD242" s="230">
        <f>(INDEX(Models!$BJ242:$BT242,,AH242)*(1-AF242)+INDEX(Models!$BJ242:$BT242,,AH242+1)*AF242-ERP_i)*AE242*Ramure*Pc/MaxiM</f>
        <v>5.0742328665114117E-8</v>
      </c>
      <c r="AE242" s="304">
        <f t="shared" si="88"/>
        <v>0.6</v>
      </c>
      <c r="AF242" s="177">
        <f t="shared" si="89"/>
        <v>0.96927960383917289</v>
      </c>
      <c r="AG242" s="799">
        <f t="shared" si="95"/>
        <v>-1</v>
      </c>
      <c r="AH242" s="176">
        <f t="shared" si="90"/>
        <v>5</v>
      </c>
      <c r="AI242" s="224">
        <f t="shared" si="91"/>
        <v>-3.0720396160827113E-2</v>
      </c>
      <c r="AJ242" s="264" t="b">
        <f t="shared" si="92"/>
        <v>0</v>
      </c>
      <c r="AK242" s="264" t="b">
        <f t="shared" si="93"/>
        <v>0</v>
      </c>
      <c r="AL242" s="264"/>
      <c r="AM242" s="264"/>
      <c r="AN242" s="75"/>
    </row>
    <row r="243" spans="1:40" s="6" customFormat="1" ht="11.25" x14ac:dyDescent="0.2">
      <c r="A243" s="56">
        <f t="shared" si="94"/>
        <v>44425</v>
      </c>
      <c r="B243" s="607">
        <v>42.375</v>
      </c>
      <c r="C243" s="388"/>
      <c r="D243" s="391">
        <f t="shared" si="74"/>
        <v>43.136211111529583</v>
      </c>
      <c r="E243" s="383">
        <f t="shared" si="96"/>
        <v>47.512249194283442</v>
      </c>
      <c r="F243" s="383">
        <f t="shared" si="75"/>
        <v>47.512252319311592</v>
      </c>
      <c r="G243" s="110">
        <f t="shared" si="97"/>
        <v>0.84290307940213227</v>
      </c>
      <c r="H243" s="412" t="b">
        <f>Wh_hp&gt;='2020'!Maxi_hp</f>
        <v>0</v>
      </c>
      <c r="I243" s="379">
        <f>IF(H243,Wh_hp,'2020'!Maxi_hp)</f>
        <v>54.878692753943</v>
      </c>
      <c r="J243" s="85">
        <f>IF(H243,An,'2020'!An_max)</f>
        <v>2018</v>
      </c>
      <c r="K243" s="197">
        <f t="shared" si="76"/>
        <v>44425</v>
      </c>
      <c r="L243" s="147">
        <f>IF(t&lt;Tvie,1-EXP((T0-t)*PertePVj)+'2020'!Pspv,1-EXP((T0-t)*PertePVj)+Pspv)</f>
        <v>1.7646684581579475E-2</v>
      </c>
      <c r="M243" s="832"/>
      <c r="N243" s="832"/>
      <c r="O243" s="48">
        <f>IF(t&lt;Tnet,'2020'!Resal+('2020'!Salim-'2020'!Resal)*(1-EXP(('2020'!Tnet-t)/('2020'!Tau_j))),Resal+(Salim-Resal)*(1-EXP((Tnet-t)/(Tau_j))))*Salcycl</f>
        <v>9.2103366120591307E-2</v>
      </c>
      <c r="P243" s="169">
        <f>(INDEX(Models!$BJ243:$BT243,,T243)*(1-R243)+INDEX(Models!$BJ243:$BT243,,T243+1)*R243-ERP_i)*Q243*Ramure*Pc/MaxiM</f>
        <v>8.4805503616041248E-8</v>
      </c>
      <c r="Q243" s="304">
        <f t="shared" si="77"/>
        <v>0.6</v>
      </c>
      <c r="R243" s="177">
        <f t="shared" si="78"/>
        <v>0.97041782987402558</v>
      </c>
      <c r="S243" s="799">
        <f t="shared" si="79"/>
        <v>-1</v>
      </c>
      <c r="T243" s="176">
        <f t="shared" si="80"/>
        <v>5</v>
      </c>
      <c r="U243" s="250">
        <f t="shared" si="81"/>
        <v>-2.9582170125974472E-2</v>
      </c>
      <c r="V243" s="382">
        <f t="shared" si="82"/>
        <v>50.272682861187647</v>
      </c>
      <c r="W243" s="400"/>
      <c r="X243" s="157">
        <f t="shared" si="83"/>
        <v>44425</v>
      </c>
      <c r="Y243" s="383">
        <f t="shared" si="84"/>
        <v>42.375</v>
      </c>
      <c r="Z243" s="383">
        <f t="shared" si="85"/>
        <v>43.136211111529583</v>
      </c>
      <c r="AA243" s="384">
        <f t="shared" si="86"/>
        <v>47.512249194283442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9.2103366120591307E-2</v>
      </c>
      <c r="AD243" s="230">
        <f>(INDEX(Models!$BJ243:$BT243,,AH243)*(1-AF243)+INDEX(Models!$BJ243:$BT243,,AH243+1)*AF243-ERP_i)*AE243*Ramure*Pc/MaxiM</f>
        <v>8.4805503616041248E-8</v>
      </c>
      <c r="AE243" s="304">
        <f t="shared" si="88"/>
        <v>0.6</v>
      </c>
      <c r="AF243" s="177">
        <f t="shared" si="89"/>
        <v>0.97041782987402558</v>
      </c>
      <c r="AG243" s="799">
        <f t="shared" si="95"/>
        <v>-1</v>
      </c>
      <c r="AH243" s="176">
        <f t="shared" si="90"/>
        <v>5</v>
      </c>
      <c r="AI243" s="224">
        <f t="shared" si="91"/>
        <v>-2.9582170125974472E-2</v>
      </c>
      <c r="AJ243" s="264" t="b">
        <f t="shared" si="92"/>
        <v>0</v>
      </c>
      <c r="AK243" s="264" t="b">
        <f t="shared" si="93"/>
        <v>0</v>
      </c>
      <c r="AL243" s="264"/>
      <c r="AM243" s="264"/>
      <c r="AN243" s="75"/>
    </row>
    <row r="244" spans="1:40" s="6" customFormat="1" ht="11.25" x14ac:dyDescent="0.2">
      <c r="A244" s="56">
        <f t="shared" si="94"/>
        <v>44426</v>
      </c>
      <c r="B244" s="607">
        <v>45.616</v>
      </c>
      <c r="C244" s="388"/>
      <c r="D244" s="391">
        <f t="shared" si="74"/>
        <v>46.436321353033719</v>
      </c>
      <c r="E244" s="383">
        <f t="shared" si="96"/>
        <v>51.155263104781064</v>
      </c>
      <c r="F244" s="383">
        <f t="shared" si="75"/>
        <v>51.155268788996608</v>
      </c>
      <c r="G244" s="110">
        <f t="shared" si="97"/>
        <v>0.90977829830238244</v>
      </c>
      <c r="H244" s="412" t="b">
        <f>Wh_hp&gt;='2020'!Maxi_hp</f>
        <v>1</v>
      </c>
      <c r="I244" s="379">
        <f>IF(H244,Wh_hp,'2020'!Maxi_hp)</f>
        <v>51.155268788996608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1.7665511158758695E-2</v>
      </c>
      <c r="M244" s="832"/>
      <c r="N244" s="832"/>
      <c r="O244" s="48">
        <f>IF(t&lt;Tnet,'2020'!Resal+('2020'!Salim-'2020'!Resal)*(1-EXP(('2020'!Tnet-t)/('2020'!Tau_j))),Resal+(Salim-Resal)*(1-EXP((Tnet-t)/(Tau_j))))*Salcycl</f>
        <v>9.2247433897105713E-2</v>
      </c>
      <c r="P244" s="169">
        <f>(INDEX(Models!$BJ244:$BT244,,T244)*(1-R244)+INDEX(Models!$BJ244:$BT244,,T244+1)*R244-ERP_i)*Q244*Ramure*Pc/MaxiM</f>
        <v>1.2755756857574767E-7</v>
      </c>
      <c r="Q244" s="304">
        <f t="shared" si="77"/>
        <v>0.6</v>
      </c>
      <c r="R244" s="177">
        <f t="shared" si="78"/>
        <v>0.97151541467883917</v>
      </c>
      <c r="S244" s="799">
        <f t="shared" si="79"/>
        <v>-1</v>
      </c>
      <c r="T244" s="176">
        <f t="shared" si="80"/>
        <v>5</v>
      </c>
      <c r="U244" s="250">
        <f t="shared" si="81"/>
        <v>-2.8484585321160882E-2</v>
      </c>
      <c r="V244" s="382">
        <f t="shared" si="82"/>
        <v>50.139687147034579</v>
      </c>
      <c r="W244" s="400"/>
      <c r="X244" s="157">
        <f t="shared" si="83"/>
        <v>44426</v>
      </c>
      <c r="Y244" s="383">
        <f t="shared" si="84"/>
        <v>45.616</v>
      </c>
      <c r="Z244" s="383">
        <f t="shared" si="85"/>
        <v>46.436321353033719</v>
      </c>
      <c r="AA244" s="384">
        <f t="shared" si="86"/>
        <v>51.155263104781064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9.2247433897105713E-2</v>
      </c>
      <c r="AD244" s="230">
        <f>(INDEX(Models!$BJ244:$BT244,,AH244)*(1-AF244)+INDEX(Models!$BJ244:$BT244,,AH244+1)*AF244-ERP_i)*AE244*Ramure*Pc/MaxiM</f>
        <v>1.2755756857574767E-7</v>
      </c>
      <c r="AE244" s="304">
        <f t="shared" si="88"/>
        <v>0.6</v>
      </c>
      <c r="AF244" s="177">
        <f t="shared" si="89"/>
        <v>0.97151541467883917</v>
      </c>
      <c r="AG244" s="799">
        <f t="shared" si="95"/>
        <v>-1</v>
      </c>
      <c r="AH244" s="176">
        <f t="shared" si="90"/>
        <v>5</v>
      </c>
      <c r="AI244" s="224">
        <f t="shared" si="91"/>
        <v>-2.8484585321160882E-2</v>
      </c>
      <c r="AJ244" s="264" t="b">
        <f t="shared" si="92"/>
        <v>0</v>
      </c>
      <c r="AK244" s="264" t="b">
        <f t="shared" si="93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4"/>
        <v>44427</v>
      </c>
      <c r="B245" s="607">
        <v>40.633000000000003</v>
      </c>
      <c r="C245" s="388"/>
      <c r="D245" s="391">
        <f t="shared" si="74"/>
        <v>41.364503841284169</v>
      </c>
      <c r="E245" s="383">
        <f t="shared" si="96"/>
        <v>45.575240672484476</v>
      </c>
      <c r="F245" s="383">
        <f t="shared" si="75"/>
        <v>45.575246648150426</v>
      </c>
      <c r="G245" s="110">
        <f t="shared" si="97"/>
        <v>0.81256035173975627</v>
      </c>
      <c r="H245" s="412" t="b">
        <f>Wh_hp&gt;='2020'!Maxi_hp</f>
        <v>1</v>
      </c>
      <c r="I245" s="379">
        <f>IF(H245,Wh_hp,'2020'!Maxi_hp)</f>
        <v>45.575246648150426</v>
      </c>
      <c r="J245" s="85">
        <f>IF(H245,An,'2020'!An_max)</f>
        <v>2021</v>
      </c>
      <c r="K245" s="197">
        <f t="shared" si="76"/>
        <v>44427</v>
      </c>
      <c r="L245" s="147">
        <f>IF(t&lt;Tvie,1-EXP((T0-t)*PertePVj)+'2020'!Pspv,1-EXP((T0-t)*PertePVj)+Pspv)</f>
        <v>1.7684337375130865E-2</v>
      </c>
      <c r="M245" s="832"/>
      <c r="N245" s="832"/>
      <c r="O245" s="48">
        <f>IF(t&lt;Tnet,'2020'!Resal+('2020'!Salim-'2020'!Resal)*(1-EXP(('2020'!Tnet-t)/('2020'!Tau_j))),Resal+(Salim-Resal)*(1-EXP((Tnet-t)/(Tau_j))))*Salcycl</f>
        <v>9.2390885249729271E-2</v>
      </c>
      <c r="P245" s="169">
        <f>(INDEX(Models!$BJ245:$BT245,,T245)*(1-R245)+INDEX(Models!$BJ245:$BT245,,T245+1)*R245-ERP_i)*Q245*Ramure*Pc/MaxiM</f>
        <v>1.7906482475338445E-7</v>
      </c>
      <c r="Q245" s="304">
        <f t="shared" si="77"/>
        <v>0.6</v>
      </c>
      <c r="R245" s="177">
        <f t="shared" si="78"/>
        <v>0.97257361872827852</v>
      </c>
      <c r="S245" s="799">
        <f t="shared" si="79"/>
        <v>-1</v>
      </c>
      <c r="T245" s="176">
        <f t="shared" si="80"/>
        <v>5</v>
      </c>
      <c r="U245" s="250">
        <f t="shared" si="81"/>
        <v>-2.7426381271721534E-2</v>
      </c>
      <c r="V245" s="382">
        <f t="shared" si="82"/>
        <v>50.006129347458568</v>
      </c>
      <c r="W245" s="400"/>
      <c r="X245" s="157">
        <f t="shared" si="83"/>
        <v>44427</v>
      </c>
      <c r="Y245" s="383">
        <f t="shared" si="84"/>
        <v>40.633000000000003</v>
      </c>
      <c r="Z245" s="383">
        <f t="shared" si="85"/>
        <v>41.364503841284169</v>
      </c>
      <c r="AA245" s="384">
        <f t="shared" si="86"/>
        <v>45.575240672484476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9.2390885249729271E-2</v>
      </c>
      <c r="AD245" s="230">
        <f>(INDEX(Models!$BJ245:$BT245,,AH245)*(1-AF245)+INDEX(Models!$BJ245:$BT245,,AH245+1)*AF245-ERP_i)*AE245*Ramure*Pc/MaxiM</f>
        <v>1.7906482475338445E-7</v>
      </c>
      <c r="AE245" s="304">
        <f t="shared" si="88"/>
        <v>0.6</v>
      </c>
      <c r="AF245" s="177">
        <f t="shared" si="89"/>
        <v>0.97257361872827852</v>
      </c>
      <c r="AG245" s="799">
        <f t="shared" si="95"/>
        <v>-1</v>
      </c>
      <c r="AH245" s="176">
        <f t="shared" si="90"/>
        <v>5</v>
      </c>
      <c r="AI245" s="224">
        <f t="shared" si="91"/>
        <v>-2.7426381271721534E-2</v>
      </c>
      <c r="AJ245" s="264" t="b">
        <f t="shared" si="92"/>
        <v>0</v>
      </c>
      <c r="AK245" s="264" t="b">
        <f t="shared" si="93"/>
        <v>0</v>
      </c>
      <c r="AL245" s="264"/>
      <c r="AM245" s="264"/>
      <c r="AN245" s="75"/>
    </row>
    <row r="246" spans="1:40" s="6" customFormat="1" ht="11.25" x14ac:dyDescent="0.2">
      <c r="A246" s="56">
        <f t="shared" si="94"/>
        <v>44428</v>
      </c>
      <c r="B246" s="607">
        <v>48.445</v>
      </c>
      <c r="C246" s="388"/>
      <c r="D246" s="391">
        <f t="shared" si="74"/>
        <v>49.318086128966968</v>
      </c>
      <c r="E246" s="383">
        <f t="shared" si="96"/>
        <v>54.34701724255963</v>
      </c>
      <c r="F246" s="383">
        <f t="shared" si="75"/>
        <v>54.347029720942224</v>
      </c>
      <c r="G246" s="110">
        <f t="shared" si="97"/>
        <v>0.97138467364157433</v>
      </c>
      <c r="H246" s="412" t="b">
        <f>Wh_hp&gt;='2020'!Maxi_hp</f>
        <v>1</v>
      </c>
      <c r="I246" s="379">
        <f>IF(H246,Wh_hp,'2020'!Maxi_hp)</f>
        <v>54.347029720942224</v>
      </c>
      <c r="J246" s="85">
        <f>IF(H246,An,'2020'!An_max)</f>
        <v>2021</v>
      </c>
      <c r="K246" s="197">
        <f t="shared" si="76"/>
        <v>44428</v>
      </c>
      <c r="L246" s="147">
        <f>IF(t&lt;Tvie,1-EXP((T0-t)*PertePVj)+'2020'!Pspv,1-EXP((T0-t)*PertePVj)+Pspv)</f>
        <v>1.7703163230702867E-2</v>
      </c>
      <c r="M246" s="832"/>
      <c r="N246" s="832"/>
      <c r="O246" s="48">
        <f>IF(t&lt;Tnet,'2020'!Resal+('2020'!Salim-'2020'!Resal)*(1-EXP(('2020'!Tnet-t)/('2020'!Tau_j))),Resal+(Salim-Resal)*(1-EXP((Tnet-t)/(Tau_j))))*Salcycl</f>
        <v>9.2533709644960299E-2</v>
      </c>
      <c r="P246" s="169">
        <f>(INDEX(Models!$BJ246:$BT246,,T246)*(1-R246)+INDEX(Models!$BJ246:$BT246,,T246+1)*R246-ERP_i)*Q246*Ramure*Pc/MaxiM</f>
        <v>2.3939170341661481E-7</v>
      </c>
      <c r="Q246" s="304">
        <f t="shared" si="77"/>
        <v>0.6</v>
      </c>
      <c r="R246" s="177">
        <f t="shared" si="78"/>
        <v>0.97359367779756378</v>
      </c>
      <c r="S246" s="799">
        <f t="shared" si="79"/>
        <v>-1</v>
      </c>
      <c r="T246" s="176">
        <f t="shared" si="80"/>
        <v>5</v>
      </c>
      <c r="U246" s="250">
        <f t="shared" si="81"/>
        <v>-2.6406322202436272E-2</v>
      </c>
      <c r="V246" s="382">
        <f t="shared" si="82"/>
        <v>49.872106118680385</v>
      </c>
      <c r="W246" s="400"/>
      <c r="X246" s="157">
        <f t="shared" si="83"/>
        <v>44428</v>
      </c>
      <c r="Y246" s="383">
        <f t="shared" si="84"/>
        <v>48.445</v>
      </c>
      <c r="Z246" s="383">
        <f t="shared" si="85"/>
        <v>49.318086128966968</v>
      </c>
      <c r="AA246" s="384">
        <f t="shared" si="86"/>
        <v>54.34701724255963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9.2533709644960299E-2</v>
      </c>
      <c r="AD246" s="230">
        <f>(INDEX(Models!$BJ246:$BT246,,AH246)*(1-AF246)+INDEX(Models!$BJ246:$BT246,,AH246+1)*AF246-ERP_i)*AE246*Ramure*Pc/MaxiM</f>
        <v>2.3939170341661481E-7</v>
      </c>
      <c r="AE246" s="304">
        <f t="shared" si="88"/>
        <v>0.6</v>
      </c>
      <c r="AF246" s="177">
        <f t="shared" si="89"/>
        <v>0.97359367779756378</v>
      </c>
      <c r="AG246" s="799">
        <f t="shared" si="95"/>
        <v>-1</v>
      </c>
      <c r="AH246" s="176">
        <f t="shared" si="90"/>
        <v>5</v>
      </c>
      <c r="AI246" s="224">
        <f t="shared" si="91"/>
        <v>-2.6406322202436272E-2</v>
      </c>
      <c r="AJ246" s="264" t="b">
        <f t="shared" si="92"/>
        <v>0</v>
      </c>
      <c r="AK246" s="264" t="b">
        <f t="shared" si="93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4"/>
        <v>44429</v>
      </c>
      <c r="B247" s="607">
        <v>46.95</v>
      </c>
      <c r="C247" s="388"/>
      <c r="D247" s="391">
        <f t="shared" si="74"/>
        <v>47.79705893963947</v>
      </c>
      <c r="E247" s="383">
        <f t="shared" si="96"/>
        <v>52.679145989690952</v>
      </c>
      <c r="F247" s="383">
        <f t="shared" si="75"/>
        <v>52.679160944401126</v>
      </c>
      <c r="G247" s="110">
        <f t="shared" si="97"/>
        <v>0.94394044899637464</v>
      </c>
      <c r="H247" s="412" t="b">
        <f>Wh_hp&gt;='2020'!Maxi_hp</f>
        <v>0</v>
      </c>
      <c r="I247" s="379">
        <f>IF(H247,Wh_hp,'2020'!Maxi_hp)</f>
        <v>55.472998221971906</v>
      </c>
      <c r="J247" s="85">
        <f>IF(H247,An,'2020'!An_max)</f>
        <v>2020</v>
      </c>
      <c r="K247" s="197">
        <f t="shared" si="76"/>
        <v>44429</v>
      </c>
      <c r="L247" s="147">
        <f>IF(t&lt;Tvie,1-EXP((T0-t)*PertePVj)+'2020'!Pspv,1-EXP((T0-t)*PertePVj)+Pspv)</f>
        <v>1.7721988725481586E-2</v>
      </c>
      <c r="M247" s="832"/>
      <c r="N247" s="832"/>
      <c r="O247" s="48">
        <f>IF(t&lt;Tnet,'2020'!Resal+('2020'!Salim-'2020'!Resal)*(1-EXP(('2020'!Tnet-t)/('2020'!Tau_j))),Resal+(Salim-Resal)*(1-EXP((Tnet-t)/(Tau_j))))*Salcycl</f>
        <v>9.2675895903986075E-2</v>
      </c>
      <c r="P247" s="169">
        <f>(INDEX(Models!$BJ247:$BT247,,T247)*(1-R247)+INDEX(Models!$BJ247:$BT247,,T247+1)*R247-ERP_i)*Q247*Ramure*Pc/MaxiM</f>
        <v>3.0859683666917578E-7</v>
      </c>
      <c r="Q247" s="304">
        <f t="shared" si="77"/>
        <v>0.6</v>
      </c>
      <c r="R247" s="177">
        <f t="shared" si="78"/>
        <v>0.97457680228122801</v>
      </c>
      <c r="S247" s="799">
        <f t="shared" si="79"/>
        <v>-1</v>
      </c>
      <c r="T247" s="176">
        <f t="shared" si="80"/>
        <v>5</v>
      </c>
      <c r="U247" s="250">
        <f t="shared" si="81"/>
        <v>-2.542319771877205E-2</v>
      </c>
      <c r="V247" s="382">
        <f t="shared" si="82"/>
        <v>49.738305938257518</v>
      </c>
      <c r="W247" s="400"/>
      <c r="X247" s="157">
        <f t="shared" si="83"/>
        <v>44429</v>
      </c>
      <c r="Y247" s="383">
        <f t="shared" si="84"/>
        <v>46.95</v>
      </c>
      <c r="Z247" s="383">
        <f t="shared" si="85"/>
        <v>47.79705893963947</v>
      </c>
      <c r="AA247" s="384">
        <f t="shared" si="86"/>
        <v>52.679145989690952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9.2675895903986075E-2</v>
      </c>
      <c r="AD247" s="230">
        <f>(INDEX(Models!$BJ247:$BT247,,AH247)*(1-AF247)+INDEX(Models!$BJ247:$BT247,,AH247+1)*AF247-ERP_i)*AE247*Ramure*Pc/MaxiM</f>
        <v>3.0859683666917578E-7</v>
      </c>
      <c r="AE247" s="304">
        <f t="shared" si="88"/>
        <v>0.6</v>
      </c>
      <c r="AF247" s="177">
        <f t="shared" si="89"/>
        <v>0.97457680228122801</v>
      </c>
      <c r="AG247" s="799">
        <f t="shared" si="95"/>
        <v>-1</v>
      </c>
      <c r="AH247" s="176">
        <f t="shared" si="90"/>
        <v>5</v>
      </c>
      <c r="AI247" s="224">
        <f t="shared" si="91"/>
        <v>-2.542319771877205E-2</v>
      </c>
      <c r="AJ247" s="264" t="b">
        <f t="shared" si="92"/>
        <v>0</v>
      </c>
      <c r="AK247" s="264" t="b">
        <f t="shared" si="93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4"/>
        <v>44430</v>
      </c>
      <c r="B248" s="607">
        <v>19.029</v>
      </c>
      <c r="C248" s="388"/>
      <c r="D248" s="391">
        <f t="shared" si="74"/>
        <v>19.372687238251629</v>
      </c>
      <c r="E248" s="383">
        <f t="shared" si="96"/>
        <v>21.35478339956806</v>
      </c>
      <c r="F248" s="383">
        <f t="shared" si="75"/>
        <v>21.354784432086756</v>
      </c>
      <c r="G248" s="110">
        <f t="shared" si="97"/>
        <v>0.38360964353178129</v>
      </c>
      <c r="H248" s="412" t="b">
        <f>Wh_hp&gt;='2020'!Maxi_hp</f>
        <v>0</v>
      </c>
      <c r="I248" s="379">
        <f>IF(H248,Wh_hp,'2020'!Maxi_hp)</f>
        <v>56.932210607769058</v>
      </c>
      <c r="J248" s="85">
        <f>IF(H248,An,'2020'!An_max)</f>
        <v>2018</v>
      </c>
      <c r="K248" s="197">
        <f t="shared" si="76"/>
        <v>44430</v>
      </c>
      <c r="L248" s="147">
        <f>IF(t&lt;Tvie,1-EXP((T0-t)*PertePVj)+'2020'!Pspv,1-EXP((T0-t)*PertePVj)+Pspv)</f>
        <v>1.7740813859474014E-2</v>
      </c>
      <c r="M248" s="832"/>
      <c r="N248" s="832"/>
      <c r="O248" s="48">
        <f>IF(t&lt;Tnet,'2020'!Resal+('2020'!Salim-'2020'!Resal)*(1-EXP(('2020'!Tnet-t)/('2020'!Tau_j))),Resal+(Salim-Resal)*(1-EXP((Tnet-t)/(Tau_j))))*Salcycl</f>
        <v>9.2817432245953971E-2</v>
      </c>
      <c r="P248" s="169">
        <f>(INDEX(Models!$BJ248:$BT248,,T248)*(1-R248)+INDEX(Models!$BJ248:$BT248,,T248+1)*R248-ERP_i)*Q248*Ramure*Pc/MaxiM</f>
        <v>4.0480297037970306E-7</v>
      </c>
      <c r="Q248" s="304">
        <f t="shared" si="77"/>
        <v>0.6</v>
      </c>
      <c r="R248" s="177">
        <f t="shared" si="78"/>
        <v>0.97552417663284641</v>
      </c>
      <c r="S248" s="799">
        <f t="shared" si="79"/>
        <v>-1</v>
      </c>
      <c r="T248" s="176">
        <f t="shared" si="80"/>
        <v>5</v>
      </c>
      <c r="U248" s="250">
        <f t="shared" si="81"/>
        <v>-2.4475823367153648E-2</v>
      </c>
      <c r="V248" s="382">
        <f t="shared" si="82"/>
        <v>49.605096060346661</v>
      </c>
      <c r="W248" s="400"/>
      <c r="X248" s="157">
        <f t="shared" si="83"/>
        <v>44430</v>
      </c>
      <c r="Y248" s="383">
        <f t="shared" si="84"/>
        <v>19.029</v>
      </c>
      <c r="Z248" s="383">
        <f t="shared" si="85"/>
        <v>19.372687238251629</v>
      </c>
      <c r="AA248" s="384">
        <f t="shared" si="86"/>
        <v>21.35478339956806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9.2817432245953971E-2</v>
      </c>
      <c r="AD248" s="230">
        <f>(INDEX(Models!$BJ248:$BT248,,AH248)*(1-AF248)+INDEX(Models!$BJ248:$BT248,,AH248+1)*AF248-ERP_i)*AE248*Ramure*Pc/MaxiM</f>
        <v>4.0480297037970306E-7</v>
      </c>
      <c r="AE248" s="304">
        <f t="shared" si="88"/>
        <v>0.6</v>
      </c>
      <c r="AF248" s="177">
        <f t="shared" si="89"/>
        <v>0.97552417663284641</v>
      </c>
      <c r="AG248" s="799">
        <f t="shared" si="95"/>
        <v>-1</v>
      </c>
      <c r="AH248" s="176">
        <f t="shared" si="90"/>
        <v>5</v>
      </c>
      <c r="AI248" s="224">
        <f t="shared" si="91"/>
        <v>-2.4475823367153648E-2</v>
      </c>
      <c r="AJ248" s="264" t="b">
        <f t="shared" si="92"/>
        <v>0</v>
      </c>
      <c r="AK248" s="264" t="b">
        <f t="shared" si="93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4"/>
        <v>44431</v>
      </c>
      <c r="B249" s="607">
        <v>45.055999999999997</v>
      </c>
      <c r="C249" s="388"/>
      <c r="D249" s="391">
        <f t="shared" si="74"/>
        <v>45.870646098558275</v>
      </c>
      <c r="E249" s="383">
        <f t="shared" si="96"/>
        <v>50.571706260318585</v>
      </c>
      <c r="F249" s="383">
        <f t="shared" si="75"/>
        <v>50.571729566123992</v>
      </c>
      <c r="G249" s="110">
        <f t="shared" si="97"/>
        <v>0.9107356163062591</v>
      </c>
      <c r="H249" s="412" t="b">
        <f>Wh_hp&gt;='2020'!Maxi_hp</f>
        <v>0</v>
      </c>
      <c r="I249" s="379">
        <f>IF(H249,Wh_hp,'2020'!Maxi_hp)</f>
        <v>54.337170768740876</v>
      </c>
      <c r="J249" s="85">
        <f>IF(H249,An,'2020'!An_max)</f>
        <v>2018</v>
      </c>
      <c r="K249" s="197">
        <f t="shared" si="76"/>
        <v>44431</v>
      </c>
      <c r="L249" s="147">
        <f>IF(t&lt;Tvie,1-EXP((T0-t)*PertePVj)+'2020'!Pspv,1-EXP((T0-t)*PertePVj)+Pspv)</f>
        <v>1.7759638632687147E-2</v>
      </c>
      <c r="M249" s="832"/>
      <c r="N249" s="832"/>
      <c r="O249" s="48">
        <f>IF(t&lt;Tnet,'2020'!Resal+('2020'!Salim-'2020'!Resal)*(1-EXP(('2020'!Tnet-t)/('2020'!Tau_j))),Resal+(Salim-Resal)*(1-EXP((Tnet-t)/(Tau_j))))*Salcycl</f>
        <v>9.2958306321751019E-2</v>
      </c>
      <c r="P249" s="169">
        <f>(INDEX(Models!$BJ249:$BT249,,T249)*(1-R249)+INDEX(Models!$BJ249:$BT249,,T249+1)*R249-ERP_i)*Q249*Ramure*Pc/MaxiM</f>
        <v>5.2820323647648151E-7</v>
      </c>
      <c r="Q249" s="304">
        <f t="shared" si="77"/>
        <v>0.6</v>
      </c>
      <c r="R249" s="177">
        <f t="shared" si="78"/>
        <v>0.97643695891723259</v>
      </c>
      <c r="S249" s="799">
        <f t="shared" si="79"/>
        <v>-1</v>
      </c>
      <c r="T249" s="176">
        <f t="shared" si="80"/>
        <v>5</v>
      </c>
      <c r="U249" s="250">
        <f t="shared" si="81"/>
        <v>-2.3563041082767355E-2</v>
      </c>
      <c r="V249" s="382">
        <f t="shared" si="82"/>
        <v>49.472092842828879</v>
      </c>
      <c r="W249" s="400"/>
      <c r="X249" s="157">
        <f t="shared" si="83"/>
        <v>44431</v>
      </c>
      <c r="Y249" s="383">
        <f t="shared" si="84"/>
        <v>45.055999999999997</v>
      </c>
      <c r="Z249" s="383">
        <f t="shared" si="85"/>
        <v>45.870646098558275</v>
      </c>
      <c r="AA249" s="384">
        <f t="shared" si="86"/>
        <v>50.571706260318585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9.2958306321751019E-2</v>
      </c>
      <c r="AD249" s="230">
        <f>(INDEX(Models!$BJ249:$BT249,,AH249)*(1-AF249)+INDEX(Models!$BJ249:$BT249,,AH249+1)*AF249-ERP_i)*AE249*Ramure*Pc/MaxiM</f>
        <v>5.2820323647648151E-7</v>
      </c>
      <c r="AE249" s="304">
        <f t="shared" si="88"/>
        <v>0.6</v>
      </c>
      <c r="AF249" s="177">
        <f t="shared" si="89"/>
        <v>0.97643695891723259</v>
      </c>
      <c r="AG249" s="799">
        <f t="shared" si="95"/>
        <v>-1</v>
      </c>
      <c r="AH249" s="176">
        <f t="shared" si="90"/>
        <v>5</v>
      </c>
      <c r="AI249" s="224">
        <f t="shared" si="91"/>
        <v>-2.3563041082767355E-2</v>
      </c>
      <c r="AJ249" s="264" t="b">
        <f t="shared" si="92"/>
        <v>0</v>
      </c>
      <c r="AK249" s="264" t="b">
        <f t="shared" si="93"/>
        <v>0</v>
      </c>
      <c r="AL249" s="264"/>
      <c r="AM249" s="264"/>
      <c r="AN249" s="75"/>
    </row>
    <row r="250" spans="1:40" s="6" customFormat="1" ht="11.25" x14ac:dyDescent="0.2">
      <c r="A250" s="56">
        <f t="shared" si="94"/>
        <v>44432</v>
      </c>
      <c r="B250" s="607">
        <v>44.114000000000004</v>
      </c>
      <c r="C250" s="388"/>
      <c r="D250" s="391">
        <f t="shared" si="74"/>
        <v>44.912474773017323</v>
      </c>
      <c r="E250" s="383">
        <f t="shared" si="96"/>
        <v>49.522991231598681</v>
      </c>
      <c r="F250" s="383">
        <f t="shared" si="75"/>
        <v>49.523019770098358</v>
      </c>
      <c r="G250" s="110">
        <f t="shared" si="97"/>
        <v>0.89410148794731781</v>
      </c>
      <c r="H250" s="412" t="b">
        <f>Wh_hp&gt;='2020'!Maxi_hp</f>
        <v>0</v>
      </c>
      <c r="I250" s="379">
        <f>IF(H250,Wh_hp,'2020'!Maxi_hp)</f>
        <v>54.747664261265655</v>
      </c>
      <c r="J250" s="85">
        <f>IF(H250,An,'2020'!An_max)</f>
        <v>2018</v>
      </c>
      <c r="K250" s="197">
        <f t="shared" si="76"/>
        <v>44432</v>
      </c>
      <c r="L250" s="147">
        <f>IF(t&lt;Tvie,1-EXP((T0-t)*PertePVj)+'2020'!Pspv,1-EXP((T0-t)*PertePVj)+Pspv)</f>
        <v>1.7778463045127646E-2</v>
      </c>
      <c r="M250" s="832"/>
      <c r="N250" s="832"/>
      <c r="O250" s="48">
        <f>IF(t&lt;Tnet,'2020'!Resal+('2020'!Salim-'2020'!Resal)*(1-EXP(('2020'!Tnet-t)/('2020'!Tau_j))),Resal+(Salim-Resal)*(1-EXP((Tnet-t)/(Tau_j))))*Salcycl</f>
        <v>9.3098505238099663E-2</v>
      </c>
      <c r="P250" s="169">
        <f>(INDEX(Models!$BJ250:$BT250,,T250)*(1-R250)+INDEX(Models!$BJ250:$BT250,,T250+1)*R250-ERP_i)*Q250*Ramure*Pc/MaxiM</f>
        <v>6.7898683170267721E-7</v>
      </c>
      <c r="Q250" s="304">
        <f t="shared" si="77"/>
        <v>0.6</v>
      </c>
      <c r="R250" s="177">
        <f t="shared" si="78"/>
        <v>0.97731628046689689</v>
      </c>
      <c r="S250" s="799">
        <f t="shared" si="79"/>
        <v>-1</v>
      </c>
      <c r="T250" s="176">
        <f t="shared" si="80"/>
        <v>5</v>
      </c>
      <c r="U250" s="250">
        <f t="shared" si="81"/>
        <v>-2.2683719533103108E-2</v>
      </c>
      <c r="V250" s="382">
        <f t="shared" si="82"/>
        <v>49.338912934713449</v>
      </c>
      <c r="W250" s="400"/>
      <c r="X250" s="157">
        <f t="shared" si="83"/>
        <v>44432</v>
      </c>
      <c r="Y250" s="383">
        <f t="shared" si="84"/>
        <v>44.114000000000004</v>
      </c>
      <c r="Z250" s="383">
        <f t="shared" si="85"/>
        <v>44.912474773017323</v>
      </c>
      <c r="AA250" s="384">
        <f t="shared" si="86"/>
        <v>49.522991231598681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9.3098505238099663E-2</v>
      </c>
      <c r="AD250" s="230">
        <f>(INDEX(Models!$BJ250:$BT250,,AH250)*(1-AF250)+INDEX(Models!$BJ250:$BT250,,AH250+1)*AF250-ERP_i)*AE250*Ramure*Pc/MaxiM</f>
        <v>6.7898683170267721E-7</v>
      </c>
      <c r="AE250" s="304">
        <f t="shared" si="88"/>
        <v>0.6</v>
      </c>
      <c r="AF250" s="177">
        <f t="shared" si="89"/>
        <v>0.97731628046689689</v>
      </c>
      <c r="AG250" s="799">
        <f t="shared" si="95"/>
        <v>-1</v>
      </c>
      <c r="AH250" s="176">
        <f t="shared" si="90"/>
        <v>5</v>
      </c>
      <c r="AI250" s="224">
        <f t="shared" si="91"/>
        <v>-2.2683719533103108E-2</v>
      </c>
      <c r="AJ250" s="264" t="b">
        <f t="shared" si="92"/>
        <v>0</v>
      </c>
      <c r="AK250" s="264" t="b">
        <f t="shared" si="93"/>
        <v>0</v>
      </c>
      <c r="AL250" s="264"/>
      <c r="AM250" s="264"/>
      <c r="AN250" s="75"/>
    </row>
    <row r="251" spans="1:40" s="6" customFormat="1" ht="11.25" x14ac:dyDescent="0.2">
      <c r="A251" s="56">
        <f t="shared" si="94"/>
        <v>44433</v>
      </c>
      <c r="B251" s="607">
        <v>47.029000000000003</v>
      </c>
      <c r="C251" s="388"/>
      <c r="D251" s="391">
        <f t="shared" si="74"/>
        <v>47.88115465593814</v>
      </c>
      <c r="E251" s="383">
        <f t="shared" si="96"/>
        <v>52.804545711231384</v>
      </c>
      <c r="F251" s="383">
        <f t="shared" si="75"/>
        <v>52.804588122486173</v>
      </c>
      <c r="G251" s="110">
        <f t="shared" si="97"/>
        <v>0.95577343445496254</v>
      </c>
      <c r="H251" s="412" t="b">
        <f>Wh_hp&gt;='2020'!Maxi_hp</f>
        <v>1</v>
      </c>
      <c r="I251" s="379">
        <f>IF(H251,Wh_hp,'2020'!Maxi_hp)</f>
        <v>52.804588122486173</v>
      </c>
      <c r="J251" s="85">
        <f>IF(H251,An,'2020'!An_max)</f>
        <v>2021</v>
      </c>
      <c r="K251" s="197">
        <f t="shared" si="76"/>
        <v>44433</v>
      </c>
      <c r="L251" s="147">
        <f>IF(t&lt;Tvie,1-EXP((T0-t)*PertePVj)+'2020'!Pspv,1-EXP((T0-t)*PertePVj)+Pspv)</f>
        <v>1.7797287096802616E-2</v>
      </c>
      <c r="M251" s="832"/>
      <c r="N251" s="832"/>
      <c r="O251" s="48">
        <f>IF(t&lt;Tnet,'2020'!Resal+('2020'!Salim-'2020'!Resal)*(1-EXP(('2020'!Tnet-t)/('2020'!Tau_j))),Resal+(Salim-Resal)*(1-EXP((Tnet-t)/(Tau_j))))*Salcycl</f>
        <v>9.3238015571944416E-2</v>
      </c>
      <c r="P251" s="169">
        <f>(INDEX(Models!$BJ251:$BT251,,T251)*(1-R251)+INDEX(Models!$BJ251:$BT251,,T251+1)*R251-ERP_i)*Q251*Ramure*Pc/MaxiM</f>
        <v>8.5734110972289759E-7</v>
      </c>
      <c r="Q251" s="304">
        <f t="shared" si="77"/>
        <v>0.6</v>
      </c>
      <c r="R251" s="177">
        <f t="shared" si="78"/>
        <v>0.97816324563486146</v>
      </c>
      <c r="S251" s="799">
        <f t="shared" si="79"/>
        <v>-1</v>
      </c>
      <c r="T251" s="176">
        <f t="shared" si="80"/>
        <v>5</v>
      </c>
      <c r="U251" s="250">
        <f t="shared" si="81"/>
        <v>-2.1836754365138489E-2</v>
      </c>
      <c r="V251" s="382">
        <f t="shared" si="82"/>
        <v>49.205173273492434</v>
      </c>
      <c r="W251" s="400"/>
      <c r="X251" s="157">
        <f t="shared" si="83"/>
        <v>44433</v>
      </c>
      <c r="Y251" s="383">
        <f t="shared" si="84"/>
        <v>47.029000000000003</v>
      </c>
      <c r="Z251" s="383">
        <f t="shared" si="85"/>
        <v>47.88115465593814</v>
      </c>
      <c r="AA251" s="384">
        <f t="shared" si="86"/>
        <v>52.804545711231384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9.3238015571944416E-2</v>
      </c>
      <c r="AD251" s="230">
        <f>(INDEX(Models!$BJ251:$BT251,,AH251)*(1-AF251)+INDEX(Models!$BJ251:$BT251,,AH251+1)*AF251-ERP_i)*AE251*Ramure*Pc/MaxiM</f>
        <v>8.5734110972289759E-7</v>
      </c>
      <c r="AE251" s="304">
        <f t="shared" si="88"/>
        <v>0.6</v>
      </c>
      <c r="AF251" s="177">
        <f t="shared" si="89"/>
        <v>0.97816324563486146</v>
      </c>
      <c r="AG251" s="799">
        <f t="shared" si="95"/>
        <v>-1</v>
      </c>
      <c r="AH251" s="176">
        <f t="shared" si="90"/>
        <v>5</v>
      </c>
      <c r="AI251" s="224">
        <f t="shared" si="91"/>
        <v>-2.1836754365138489E-2</v>
      </c>
      <c r="AJ251" s="264" t="b">
        <f t="shared" si="92"/>
        <v>0</v>
      </c>
      <c r="AK251" s="264" t="b">
        <f t="shared" si="93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4"/>
        <v>44434</v>
      </c>
      <c r="B252" s="607">
        <v>47.500999999999998</v>
      </c>
      <c r="C252" s="388"/>
      <c r="D252" s="391">
        <f t="shared" si="74"/>
        <v>48.362634046152159</v>
      </c>
      <c r="E252" s="383">
        <f t="shared" si="96"/>
        <v>53.343699227061123</v>
      </c>
      <c r="F252" s="383">
        <f t="shared" si="75"/>
        <v>53.343753363588213</v>
      </c>
      <c r="G252" s="110">
        <f t="shared" si="97"/>
        <v>0.96801553528933393</v>
      </c>
      <c r="H252" s="412" t="b">
        <f>Wh_hp&gt;='2020'!Maxi_hp</f>
        <v>0</v>
      </c>
      <c r="I252" s="379">
        <f>IF(H252,Wh_hp,'2020'!Maxi_hp)</f>
        <v>54.205725811203237</v>
      </c>
      <c r="J252" s="85">
        <f>IF(H252,An,'2020'!An_max)</f>
        <v>2020</v>
      </c>
      <c r="K252" s="197">
        <f t="shared" si="76"/>
        <v>44434</v>
      </c>
      <c r="L252" s="147">
        <f>IF(t&lt;Tvie,1-EXP((T0-t)*PertePVj)+'2020'!Pspv,1-EXP((T0-t)*PertePVj)+Pspv)</f>
        <v>1.7816110787719053E-2</v>
      </c>
      <c r="M252" s="832"/>
      <c r="N252" s="832"/>
      <c r="O252" s="48">
        <f>IF(t&lt;Tnet,'2020'!Resal+('2020'!Salim-'2020'!Resal)*(1-EXP(('2020'!Tnet-t)/('2020'!Tau_j))),Resal+(Salim-Resal)*(1-EXP((Tnet-t)/(Tau_j))))*Salcycl</f>
        <v>9.3376823375272727E-2</v>
      </c>
      <c r="P252" s="169">
        <f>(INDEX(Models!$BJ252:$BT252,,T252)*(1-R252)+INDEX(Models!$BJ252:$BT252,,T252+1)*R252-ERP_i)*Q252*Ramure*Pc/MaxiM</f>
        <v>1.0634529214602401E-6</v>
      </c>
      <c r="Q252" s="304">
        <f t="shared" si="77"/>
        <v>0.6</v>
      </c>
      <c r="R252" s="177">
        <f t="shared" si="78"/>
        <v>0.97897893163626515</v>
      </c>
      <c r="S252" s="799">
        <f t="shared" si="79"/>
        <v>-1</v>
      </c>
      <c r="T252" s="176">
        <f t="shared" si="80"/>
        <v>5</v>
      </c>
      <c r="U252" s="250">
        <f t="shared" si="81"/>
        <v>-2.1021068363734852E-2</v>
      </c>
      <c r="V252" s="382">
        <f t="shared" si="82"/>
        <v>49.070491082215653</v>
      </c>
      <c r="W252" s="400"/>
      <c r="X252" s="157">
        <f t="shared" si="83"/>
        <v>44434</v>
      </c>
      <c r="Y252" s="383">
        <f t="shared" si="84"/>
        <v>47.500999999999998</v>
      </c>
      <c r="Z252" s="383">
        <f t="shared" si="85"/>
        <v>48.362634046152159</v>
      </c>
      <c r="AA252" s="384">
        <f t="shared" si="86"/>
        <v>53.343699227061123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9.3376823375272727E-2</v>
      </c>
      <c r="AD252" s="230">
        <f>(INDEX(Models!$BJ252:$BT252,,AH252)*(1-AF252)+INDEX(Models!$BJ252:$BT252,,AH252+1)*AF252-ERP_i)*AE252*Ramure*Pc/MaxiM</f>
        <v>1.0634529214602401E-6</v>
      </c>
      <c r="AE252" s="304">
        <f t="shared" si="88"/>
        <v>0.6</v>
      </c>
      <c r="AF252" s="177">
        <f t="shared" si="89"/>
        <v>0.97897893163626515</v>
      </c>
      <c r="AG252" s="799">
        <f t="shared" si="95"/>
        <v>-1</v>
      </c>
      <c r="AH252" s="176">
        <f t="shared" si="90"/>
        <v>5</v>
      </c>
      <c r="AI252" s="224">
        <f t="shared" si="91"/>
        <v>-2.1021068363734852E-2</v>
      </c>
      <c r="AJ252" s="264" t="b">
        <f t="shared" si="92"/>
        <v>0</v>
      </c>
      <c r="AK252" s="264" t="b">
        <f t="shared" si="93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4"/>
        <v>44435</v>
      </c>
      <c r="B253" s="607">
        <v>42.367000000000004</v>
      </c>
      <c r="C253" s="388"/>
      <c r="D253" s="391">
        <f t="shared" si="74"/>
        <v>43.136333669075</v>
      </c>
      <c r="E253" s="383">
        <f t="shared" si="96"/>
        <v>47.586368869611036</v>
      </c>
      <c r="F253" s="383">
        <f t="shared" si="75"/>
        <v>47.586418775460963</v>
      </c>
      <c r="G253" s="110">
        <f t="shared" si="97"/>
        <v>0.8657900546831736</v>
      </c>
      <c r="H253" s="412" t="b">
        <f>Wh_hp&gt;='2020'!Maxi_hp</f>
        <v>1</v>
      </c>
      <c r="I253" s="379">
        <f>IF(H253,Wh_hp,'2020'!Maxi_hp)</f>
        <v>47.586418775460963</v>
      </c>
      <c r="J253" s="85">
        <f>IF(H253,An,'2020'!An_max)</f>
        <v>2021</v>
      </c>
      <c r="K253" s="197">
        <f t="shared" si="76"/>
        <v>44435</v>
      </c>
      <c r="L253" s="147">
        <f>IF(t&lt;Tvie,1-EXP((T0-t)*PertePVj)+'2020'!Pspv,1-EXP((T0-t)*PertePVj)+Pspv)</f>
        <v>1.7834934117883616E-2</v>
      </c>
      <c r="M253" s="832"/>
      <c r="N253" s="832"/>
      <c r="O253" s="48">
        <f>IF(t&lt;Tnet,'2020'!Resal+('2020'!Salim-'2020'!Resal)*(1-EXP(('2020'!Tnet-t)/('2020'!Tau_j))),Resal+(Salim-Resal)*(1-EXP((Tnet-t)/(Tau_j))))*Salcycl</f>
        <v>9.3514914170680807E-2</v>
      </c>
      <c r="P253" s="169">
        <f>(INDEX(Models!$BJ253:$BT253,,T253)*(1-R253)+INDEX(Models!$BJ253:$BT253,,T253+1)*R253-ERP_i)*Q253*Ramure*Pc/MaxiM</f>
        <v>1.2975108539174292E-6</v>
      </c>
      <c r="Q253" s="304">
        <f t="shared" si="77"/>
        <v>0.6</v>
      </c>
      <c r="R253" s="177">
        <f t="shared" si="78"/>
        <v>0.97976438847151237</v>
      </c>
      <c r="S253" s="799">
        <f t="shared" si="79"/>
        <v>-1</v>
      </c>
      <c r="T253" s="176">
        <f t="shared" si="80"/>
        <v>5</v>
      </c>
      <c r="U253" s="250">
        <f t="shared" si="81"/>
        <v>-2.0235611528487629E-2</v>
      </c>
      <c r="V253" s="382">
        <f t="shared" si="82"/>
        <v>48.934483863850161</v>
      </c>
      <c r="W253" s="400"/>
      <c r="X253" s="157">
        <f t="shared" si="83"/>
        <v>44435</v>
      </c>
      <c r="Y253" s="383">
        <f t="shared" si="84"/>
        <v>42.367000000000004</v>
      </c>
      <c r="Z253" s="383">
        <f t="shared" si="85"/>
        <v>43.136333669075</v>
      </c>
      <c r="AA253" s="384">
        <f t="shared" si="86"/>
        <v>47.586368869611036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9.3514914170680807E-2</v>
      </c>
      <c r="AD253" s="230">
        <f>(INDEX(Models!$BJ253:$BT253,,AH253)*(1-AF253)+INDEX(Models!$BJ253:$BT253,,AH253+1)*AF253-ERP_i)*AE253*Ramure*Pc/MaxiM</f>
        <v>1.2975108539174292E-6</v>
      </c>
      <c r="AE253" s="304">
        <f t="shared" si="88"/>
        <v>0.6</v>
      </c>
      <c r="AF253" s="177">
        <f t="shared" si="89"/>
        <v>0.97976438847151237</v>
      </c>
      <c r="AG253" s="799">
        <f t="shared" si="95"/>
        <v>-1</v>
      </c>
      <c r="AH253" s="176">
        <f t="shared" si="90"/>
        <v>5</v>
      </c>
      <c r="AI253" s="224">
        <f t="shared" si="91"/>
        <v>-2.0235611528487629E-2</v>
      </c>
      <c r="AJ253" s="264" t="b">
        <f t="shared" si="92"/>
        <v>0</v>
      </c>
      <c r="AK253" s="264" t="b">
        <f t="shared" si="93"/>
        <v>0</v>
      </c>
      <c r="AL253" s="264"/>
      <c r="AM253" s="264"/>
      <c r="AN253" s="75"/>
    </row>
    <row r="254" spans="1:40" s="6" customFormat="1" ht="11.25" x14ac:dyDescent="0.2">
      <c r="A254" s="56">
        <f t="shared" si="94"/>
        <v>44436</v>
      </c>
      <c r="B254" s="607">
        <v>49.63</v>
      </c>
      <c r="C254" s="388"/>
      <c r="D254" s="391">
        <f t="shared" si="74"/>
        <v>50.532189435266858</v>
      </c>
      <c r="E254" s="383">
        <f t="shared" si="96"/>
        <v>55.753645015561432</v>
      </c>
      <c r="F254" s="383">
        <f t="shared" si="75"/>
        <v>55.753732502644198</v>
      </c>
      <c r="G254" s="110">
        <f t="shared" si="97"/>
        <v>1.0170755375452023</v>
      </c>
      <c r="H254" s="412" t="b">
        <f>Wh_hp&gt;='2020'!Maxi_hp</f>
        <v>1</v>
      </c>
      <c r="I254" s="379">
        <f>IF(H254,Wh_hp,'2020'!Maxi_hp)</f>
        <v>55.753732502644198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1.7853757087303412E-2</v>
      </c>
      <c r="M254" s="832"/>
      <c r="N254" s="832"/>
      <c r="O254" s="48">
        <f>IF(t&lt;Tnet,'2020'!Resal+('2020'!Salim-'2020'!Resal)*(1-EXP(('2020'!Tnet-t)/('2020'!Tau_j))),Resal+(Salim-Resal)*(1-EXP((Tnet-t)/(Tau_j))))*Salcycl</f>
        <v>9.3652272938158809E-2</v>
      </c>
      <c r="P254" s="169">
        <f>(INDEX(Models!$BJ254:$BT254,,T254)*(1-R254)+INDEX(Models!$BJ254:$BT254,,T254+1)*R254-ERP_i)*Q254*Ramure*Pc/MaxiM</f>
        <v>1.569169970028404E-6</v>
      </c>
      <c r="Q254" s="304">
        <f t="shared" si="77"/>
        <v>0.6</v>
      </c>
      <c r="R254" s="177">
        <f t="shared" si="78"/>
        <v>0.98052063892407215</v>
      </c>
      <c r="S254" s="799">
        <f t="shared" si="79"/>
        <v>-1</v>
      </c>
      <c r="T254" s="176">
        <f t="shared" si="80"/>
        <v>5</v>
      </c>
      <c r="U254" s="250">
        <f t="shared" si="81"/>
        <v>-1.9479361075927792E-2</v>
      </c>
      <c r="V254" s="382">
        <f t="shared" si="82"/>
        <v>48.796768939882476</v>
      </c>
      <c r="W254" s="400"/>
      <c r="X254" s="157">
        <f t="shared" si="83"/>
        <v>44436</v>
      </c>
      <c r="Y254" s="383">
        <f t="shared" si="84"/>
        <v>49.63</v>
      </c>
      <c r="Z254" s="383">
        <f t="shared" si="85"/>
        <v>50.532189435266858</v>
      </c>
      <c r="AA254" s="384">
        <f t="shared" si="86"/>
        <v>55.753645015561432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9.3652272938158809E-2</v>
      </c>
      <c r="AD254" s="230">
        <f>(INDEX(Models!$BJ254:$BT254,,AH254)*(1-AF254)+INDEX(Models!$BJ254:$BT254,,AH254+1)*AF254-ERP_i)*AE254*Ramure*Pc/MaxiM</f>
        <v>1.569169970028404E-6</v>
      </c>
      <c r="AE254" s="304">
        <f t="shared" si="88"/>
        <v>0.6</v>
      </c>
      <c r="AF254" s="177">
        <f t="shared" si="89"/>
        <v>0.98052063892407215</v>
      </c>
      <c r="AG254" s="799">
        <f t="shared" si="95"/>
        <v>-1</v>
      </c>
      <c r="AH254" s="176">
        <f t="shared" si="90"/>
        <v>5</v>
      </c>
      <c r="AI254" s="224">
        <f t="shared" si="91"/>
        <v>-1.9479361075927792E-2</v>
      </c>
      <c r="AJ254" s="264" t="b">
        <f t="shared" si="92"/>
        <v>0</v>
      </c>
      <c r="AK254" s="264" t="b">
        <f t="shared" si="93"/>
        <v>0</v>
      </c>
      <c r="AL254" s="264"/>
      <c r="AM254" s="264"/>
      <c r="AN254" s="75"/>
    </row>
    <row r="255" spans="1:40" s="6" customFormat="1" ht="11.25" x14ac:dyDescent="0.2">
      <c r="A255" s="56">
        <f t="shared" si="94"/>
        <v>44437</v>
      </c>
      <c r="B255" s="607">
        <v>49.002000000000002</v>
      </c>
      <c r="C255" s="388"/>
      <c r="D255" s="391">
        <f t="shared" si="74"/>
        <v>49.893729659672438</v>
      </c>
      <c r="E255" s="383">
        <f t="shared" si="96"/>
        <v>55.057512299190314</v>
      </c>
      <c r="F255" s="383">
        <f t="shared" si="75"/>
        <v>55.057615254458725</v>
      </c>
      <c r="G255" s="110">
        <f t="shared" si="97"/>
        <v>1.0070911781793244</v>
      </c>
      <c r="H255" s="412" t="b">
        <f>Wh_hp&gt;='2020'!Maxi_hp</f>
        <v>1</v>
      </c>
      <c r="I255" s="379">
        <f>IF(H255,Wh_hp,'2020'!Maxi_hp)</f>
        <v>55.057615254458725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1.7872579695985213E-2</v>
      </c>
      <c r="M255" s="832"/>
      <c r="N255" s="832"/>
      <c r="O255" s="48">
        <f>IF(t&lt;Tnet,'2020'!Resal+('2020'!Salim-'2020'!Resal)*(1-EXP(('2020'!Tnet-t)/('2020'!Tau_j))),Resal+(Salim-Resal)*(1-EXP((Tnet-t)/(Tau_j))))*Salcycl</f>
        <v>9.3788884093730013E-2</v>
      </c>
      <c r="P255" s="169">
        <f>(INDEX(Models!$BJ255:$BT255,,T255)*(1-R255)+INDEX(Models!$BJ255:$BT255,,T255+1)*R255-ERP_i)*Q255*Ramure*Pc/MaxiM</f>
        <v>1.8699550995172264E-6</v>
      </c>
      <c r="Q255" s="304">
        <f t="shared" si="77"/>
        <v>0.6</v>
      </c>
      <c r="R255" s="177">
        <f t="shared" si="78"/>
        <v>0.98124867862636678</v>
      </c>
      <c r="S255" s="799">
        <f t="shared" si="79"/>
        <v>-1</v>
      </c>
      <c r="T255" s="176">
        <f t="shared" si="80"/>
        <v>5</v>
      </c>
      <c r="U255" s="250">
        <f t="shared" si="81"/>
        <v>-1.8751321373633167E-2</v>
      </c>
      <c r="V255" s="382">
        <f t="shared" si="82"/>
        <v>48.656964792987807</v>
      </c>
      <c r="W255" s="400"/>
      <c r="X255" s="157">
        <f t="shared" si="83"/>
        <v>44437</v>
      </c>
      <c r="Y255" s="383">
        <f t="shared" si="84"/>
        <v>49.002000000000002</v>
      </c>
      <c r="Z255" s="383">
        <f t="shared" si="85"/>
        <v>49.893729659672438</v>
      </c>
      <c r="AA255" s="384">
        <f t="shared" si="86"/>
        <v>55.057512299190314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9.3788884093730013E-2</v>
      </c>
      <c r="AD255" s="230">
        <f>(INDEX(Models!$BJ255:$BT255,,AH255)*(1-AF255)+INDEX(Models!$BJ255:$BT255,,AH255+1)*AF255-ERP_i)*AE255*Ramure*Pc/MaxiM</f>
        <v>1.8699550995172264E-6</v>
      </c>
      <c r="AE255" s="304">
        <f t="shared" si="88"/>
        <v>0.6</v>
      </c>
      <c r="AF255" s="177">
        <f t="shared" si="89"/>
        <v>0.98124867862636678</v>
      </c>
      <c r="AG255" s="799">
        <f t="shared" si="95"/>
        <v>-1</v>
      </c>
      <c r="AH255" s="176">
        <f t="shared" si="90"/>
        <v>5</v>
      </c>
      <c r="AI255" s="224">
        <f t="shared" si="91"/>
        <v>-1.8751321373633167E-2</v>
      </c>
      <c r="AJ255" s="264" t="b">
        <f t="shared" si="92"/>
        <v>0</v>
      </c>
      <c r="AK255" s="264" t="b">
        <f t="shared" si="93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4"/>
        <v>44438</v>
      </c>
      <c r="B256" s="607">
        <v>47.813000000000002</v>
      </c>
      <c r="C256" s="388"/>
      <c r="D256" s="391">
        <f t="shared" si="74"/>
        <v>48.684025467894934</v>
      </c>
      <c r="E256" s="383">
        <f t="shared" si="96"/>
        <v>53.730663619569789</v>
      </c>
      <c r="F256" s="383">
        <f t="shared" si="75"/>
        <v>53.730779388968067</v>
      </c>
      <c r="G256" s="110">
        <f t="shared" si="97"/>
        <v>0.98553650588028607</v>
      </c>
      <c r="H256" s="412" t="b">
        <f>Wh_hp&gt;='2020'!Maxi_hp</f>
        <v>1</v>
      </c>
      <c r="I256" s="379">
        <f>IF(H256,Wh_hp,'2020'!Maxi_hp)</f>
        <v>53.730779388968067</v>
      </c>
      <c r="J256" s="85">
        <f>IF(H256,An,'2020'!An_max)</f>
        <v>2021</v>
      </c>
      <c r="K256" s="197">
        <f t="shared" si="76"/>
        <v>44438</v>
      </c>
      <c r="L256" s="147">
        <f>IF(t&lt;Tvie,1-EXP((T0-t)*PertePVj)+'2020'!Pspv,1-EXP((T0-t)*PertePVj)+Pspv)</f>
        <v>1.7891401943936125E-2</v>
      </c>
      <c r="M256" s="832"/>
      <c r="N256" s="832"/>
      <c r="O256" s="48">
        <f>IF(t&lt;Tnet,'2020'!Resal+('2020'!Salim-'2020'!Resal)*(1-EXP(('2020'!Tnet-t)/('2020'!Tau_j))),Resal+(Salim-Resal)*(1-EXP((Tnet-t)/(Tau_j))))*Salcycl</f>
        <v>9.3924731460728966E-2</v>
      </c>
      <c r="P256" s="169">
        <f>(INDEX(Models!$BJ256:$BT256,,T256)*(1-R256)+INDEX(Models!$BJ256:$BT256,,T256+1)*R256-ERP_i)*Q256*Ramure*Pc/MaxiM</f>
        <v>2.2000779115244357E-6</v>
      </c>
      <c r="Q256" s="304">
        <f t="shared" si="77"/>
        <v>0.6</v>
      </c>
      <c r="R256" s="177">
        <f t="shared" si="78"/>
        <v>0.98194947618754158</v>
      </c>
      <c r="S256" s="799">
        <f t="shared" si="79"/>
        <v>-1</v>
      </c>
      <c r="T256" s="176">
        <f t="shared" si="80"/>
        <v>5</v>
      </c>
      <c r="U256" s="250">
        <f t="shared" si="81"/>
        <v>-1.8050523812458474E-2</v>
      </c>
      <c r="V256" s="382">
        <f t="shared" si="82"/>
        <v>48.514689756517221</v>
      </c>
      <c r="W256" s="400"/>
      <c r="X256" s="157">
        <f t="shared" si="83"/>
        <v>44438</v>
      </c>
      <c r="Y256" s="383">
        <f t="shared" si="84"/>
        <v>47.813000000000002</v>
      </c>
      <c r="Z256" s="383">
        <f t="shared" si="85"/>
        <v>48.684025467894934</v>
      </c>
      <c r="AA256" s="384">
        <f t="shared" si="86"/>
        <v>53.730663619569789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9.3924731460728966E-2</v>
      </c>
      <c r="AD256" s="230">
        <f>(INDEX(Models!$BJ256:$BT256,,AH256)*(1-AF256)+INDEX(Models!$BJ256:$BT256,,AH256+1)*AF256-ERP_i)*AE256*Ramure*Pc/MaxiM</f>
        <v>2.2000779115244357E-6</v>
      </c>
      <c r="AE256" s="304">
        <f t="shared" si="88"/>
        <v>0.6</v>
      </c>
      <c r="AF256" s="177">
        <f t="shared" si="89"/>
        <v>0.98194947618754158</v>
      </c>
      <c r="AG256" s="799">
        <f t="shared" si="95"/>
        <v>-1</v>
      </c>
      <c r="AH256" s="176">
        <f t="shared" si="90"/>
        <v>5</v>
      </c>
      <c r="AI256" s="224">
        <f t="shared" si="91"/>
        <v>-1.8050523812458474E-2</v>
      </c>
      <c r="AJ256" s="264" t="b">
        <f t="shared" si="92"/>
        <v>0</v>
      </c>
      <c r="AK256" s="264" t="b">
        <f t="shared" si="93"/>
        <v>0</v>
      </c>
      <c r="AL256" s="264"/>
      <c r="AM256" s="264"/>
      <c r="AN256" s="75"/>
    </row>
    <row r="257" spans="1:40" s="6" customFormat="1" ht="11.25" x14ac:dyDescent="0.2">
      <c r="A257" s="56">
        <f t="shared" si="94"/>
        <v>44439</v>
      </c>
      <c r="B257" s="607">
        <v>47.347000000000001</v>
      </c>
      <c r="C257" s="388"/>
      <c r="D257" s="391">
        <f t="shared" si="74"/>
        <v>48.210460131966876</v>
      </c>
      <c r="E257" s="383">
        <f t="shared" si="96"/>
        <v>53.215940785078359</v>
      </c>
      <c r="F257" s="383">
        <f t="shared" si="75"/>
        <v>53.216072891494655</v>
      </c>
      <c r="G257" s="110">
        <f t="shared" si="97"/>
        <v>0.978859306527606</v>
      </c>
      <c r="H257" s="412" t="b">
        <f>Wh_hp&gt;='2020'!Maxi_hp</f>
        <v>1</v>
      </c>
      <c r="I257" s="379">
        <f>IF(H257,Wh_hp,'2020'!Maxi_hp)</f>
        <v>53.216072891494655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1.7910223831162808E-2</v>
      </c>
      <c r="M257" s="832"/>
      <c r="N257" s="832"/>
      <c r="O257" s="48">
        <f>IF(t&lt;Tnet,'2020'!Resal+('2020'!Salim-'2020'!Resal)*(1-EXP(('2020'!Tnet-t)/('2020'!Tau_j))),Resal+(Salim-Resal)*(1-EXP((Tnet-t)/(Tau_j))))*Salcycl</f>
        <v>9.4059798234648759E-2</v>
      </c>
      <c r="P257" s="169">
        <f>(INDEX(Models!$BJ257:$BT257,,T257)*(1-R257)+INDEX(Models!$BJ257:$BT257,,T257+1)*R257-ERP_i)*Q257*Ramure*Pc/MaxiM</f>
        <v>2.559760331176062E-6</v>
      </c>
      <c r="Q257" s="304">
        <f t="shared" si="77"/>
        <v>0.6</v>
      </c>
      <c r="R257" s="177">
        <f t="shared" si="78"/>
        <v>0.98262397337724172</v>
      </c>
      <c r="S257" s="799">
        <f t="shared" si="79"/>
        <v>-1</v>
      </c>
      <c r="T257" s="176">
        <f t="shared" si="80"/>
        <v>5</v>
      </c>
      <c r="U257" s="250">
        <f t="shared" si="81"/>
        <v>-1.7376026622758278E-2</v>
      </c>
      <c r="V257" s="382">
        <f t="shared" si="82"/>
        <v>48.369562432515004</v>
      </c>
      <c r="W257" s="400"/>
      <c r="X257" s="157">
        <f t="shared" si="83"/>
        <v>44439</v>
      </c>
      <c r="Y257" s="383">
        <f t="shared" si="84"/>
        <v>47.347000000000001</v>
      </c>
      <c r="Z257" s="383">
        <f t="shared" si="85"/>
        <v>48.210460131966876</v>
      </c>
      <c r="AA257" s="384">
        <f t="shared" si="86"/>
        <v>53.215940785078359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9.4059798234648759E-2</v>
      </c>
      <c r="AD257" s="230">
        <f>(INDEX(Models!$BJ257:$BT257,,AH257)*(1-AF257)+INDEX(Models!$BJ257:$BT257,,AH257+1)*AF257-ERP_i)*AE257*Ramure*Pc/MaxiM</f>
        <v>2.559760331176062E-6</v>
      </c>
      <c r="AE257" s="304">
        <f t="shared" si="88"/>
        <v>0.6</v>
      </c>
      <c r="AF257" s="177">
        <f t="shared" si="89"/>
        <v>0.98262397337724172</v>
      </c>
      <c r="AG257" s="799">
        <f t="shared" si="95"/>
        <v>-1</v>
      </c>
      <c r="AH257" s="176">
        <f t="shared" si="90"/>
        <v>5</v>
      </c>
      <c r="AI257" s="224">
        <f t="shared" si="91"/>
        <v>-1.7376026622758278E-2</v>
      </c>
      <c r="AJ257" s="264" t="b">
        <f t="shared" si="92"/>
        <v>0</v>
      </c>
      <c r="AK257" s="264" t="b">
        <f t="shared" si="93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4"/>
        <v>44440</v>
      </c>
      <c r="B258" s="607">
        <v>37.991999999999997</v>
      </c>
      <c r="C258" s="388"/>
      <c r="D258" s="391">
        <f t="shared" si="74"/>
        <v>38.685595801819403</v>
      </c>
      <c r="E258" s="383">
        <f t="shared" si="96"/>
        <v>42.708481353443212</v>
      </c>
      <c r="F258" s="383">
        <f t="shared" si="75"/>
        <v>42.708569140405984</v>
      </c>
      <c r="G258" s="110">
        <f t="shared" si="97"/>
        <v>0.78786850408549181</v>
      </c>
      <c r="H258" s="412" t="b">
        <f>Wh_hp&gt;='2020'!Maxi_hp</f>
        <v>0</v>
      </c>
      <c r="I258" s="379">
        <f>IF(H258,Wh_hp,'2020'!Maxi_hp)</f>
        <v>44.616826041056136</v>
      </c>
      <c r="J258" s="85">
        <f>IF(H258,An,'2020'!An_max)</f>
        <v>2020</v>
      </c>
      <c r="K258" s="197">
        <f t="shared" si="76"/>
        <v>44440</v>
      </c>
      <c r="L258" s="147">
        <f>IF(t&lt;Tvie,1-EXP((T0-t)*PertePVj)+'2020'!Pspv,1-EXP((T0-t)*PertePVj)+Pspv)</f>
        <v>1.792904535767248E-2</v>
      </c>
      <c r="M258" s="832"/>
      <c r="N258" s="832"/>
      <c r="O258" s="48">
        <f>IF(t&lt;Tnet,'2020'!Resal+('2020'!Salim-'2020'!Resal)*(1-EXP(('2020'!Tnet-t)/('2020'!Tau_j))),Resal+(Salim-Resal)*(1-EXP((Tnet-t)/(Tau_j))))*Salcycl</f>
        <v>9.4194066942618643E-2</v>
      </c>
      <c r="P258" s="169">
        <f>(INDEX(Models!$BJ258:$BT258,,T258)*(1-R258)+INDEX(Models!$BJ258:$BT258,,T258+1)*R258-ERP_i)*Q258*Ramure*Pc/MaxiM</f>
        <v>2.9492367271328292E-6</v>
      </c>
      <c r="Q258" s="304">
        <f t="shared" si="77"/>
        <v>0.6</v>
      </c>
      <c r="R258" s="177">
        <f t="shared" si="78"/>
        <v>0.98327308535986324</v>
      </c>
      <c r="S258" s="799">
        <f t="shared" si="79"/>
        <v>-1</v>
      </c>
      <c r="T258" s="176">
        <f t="shared" si="80"/>
        <v>5</v>
      </c>
      <c r="U258" s="250">
        <f t="shared" si="81"/>
        <v>-1.6726914640136814E-2</v>
      </c>
      <c r="V258" s="382">
        <f t="shared" si="82"/>
        <v>48.221201694992736</v>
      </c>
      <c r="W258" s="400"/>
      <c r="X258" s="157">
        <f t="shared" si="83"/>
        <v>44440</v>
      </c>
      <c r="Y258" s="383">
        <f t="shared" si="84"/>
        <v>37.991999999999997</v>
      </c>
      <c r="Z258" s="383">
        <f t="shared" si="85"/>
        <v>38.685595801819403</v>
      </c>
      <c r="AA258" s="384">
        <f t="shared" si="86"/>
        <v>42.708481353443212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9.4194066942618643E-2</v>
      </c>
      <c r="AD258" s="230">
        <f>(INDEX(Models!$BJ258:$BT258,,AH258)*(1-AF258)+INDEX(Models!$BJ258:$BT258,,AH258+1)*AF258-ERP_i)*AE258*Ramure*Pc/MaxiM</f>
        <v>2.9492367271328292E-6</v>
      </c>
      <c r="AE258" s="304">
        <f t="shared" si="88"/>
        <v>0.6</v>
      </c>
      <c r="AF258" s="177">
        <f t="shared" si="89"/>
        <v>0.98327308535986324</v>
      </c>
      <c r="AG258" s="799">
        <f t="shared" si="95"/>
        <v>-1</v>
      </c>
      <c r="AH258" s="176">
        <f t="shared" si="90"/>
        <v>5</v>
      </c>
      <c r="AI258" s="224">
        <f t="shared" si="91"/>
        <v>-1.6726914640136814E-2</v>
      </c>
      <c r="AJ258" s="264" t="b">
        <f t="shared" si="92"/>
        <v>0</v>
      </c>
      <c r="AK258" s="264" t="b">
        <f t="shared" si="93"/>
        <v>0</v>
      </c>
      <c r="AL258" s="264"/>
      <c r="AM258" s="264"/>
      <c r="AN258" s="75"/>
    </row>
    <row r="259" spans="1:40" s="6" customFormat="1" ht="11.25" x14ac:dyDescent="0.2">
      <c r="A259" s="56">
        <f t="shared" si="94"/>
        <v>44441</v>
      </c>
      <c r="B259" s="607">
        <v>16.882999999999999</v>
      </c>
      <c r="C259" s="388"/>
      <c r="D259" s="391">
        <f t="shared" si="74"/>
        <v>17.191551674790507</v>
      </c>
      <c r="E259" s="383">
        <f t="shared" si="96"/>
        <v>18.982084631053894</v>
      </c>
      <c r="F259" s="383">
        <f t="shared" si="75"/>
        <v>18.982089310316091</v>
      </c>
      <c r="G259" s="110">
        <f t="shared" si="97"/>
        <v>0.35122152887375063</v>
      </c>
      <c r="H259" s="412" t="b">
        <f>Wh_hp&gt;='2020'!Maxi_hp</f>
        <v>0</v>
      </c>
      <c r="I259" s="379">
        <f>IF(H259,Wh_hp,'2020'!Maxi_hp)</f>
        <v>52.82794412076764</v>
      </c>
      <c r="J259" s="85">
        <f>IF(H259,An,'2020'!An_max)</f>
        <v>2018</v>
      </c>
      <c r="K259" s="197">
        <f t="shared" si="76"/>
        <v>44441</v>
      </c>
      <c r="L259" s="147">
        <f>IF(t&lt;Tvie,1-EXP((T0-t)*PertePVj)+'2020'!Pspv,1-EXP((T0-t)*PertePVj)+Pspv)</f>
        <v>1.79478665234718E-2</v>
      </c>
      <c r="M259" s="832"/>
      <c r="N259" s="832"/>
      <c r="O259" s="48">
        <f>IF(t&lt;Tnet,'2020'!Resal+('2020'!Salim-'2020'!Resal)*(1-EXP(('2020'!Tnet-t)/('2020'!Tau_j))),Resal+(Salim-Resal)*(1-EXP((Tnet-t)/(Tau_j))))*Salcycl</f>
        <v>9.4327519398694007E-2</v>
      </c>
      <c r="P259" s="169">
        <f>(INDEX(Models!$BJ259:$BT259,,T259)*(1-R259)+INDEX(Models!$BJ259:$BT259,,T259+1)*R259-ERP_i)*Q259*Ramure*Pc/MaxiM</f>
        <v>3.3687561362926473E-6</v>
      </c>
      <c r="Q259" s="304">
        <f t="shared" si="77"/>
        <v>0.6</v>
      </c>
      <c r="R259" s="177">
        <f t="shared" si="78"/>
        <v>0.98389770097406981</v>
      </c>
      <c r="S259" s="799">
        <f t="shared" si="79"/>
        <v>-1</v>
      </c>
      <c r="T259" s="176">
        <f t="shared" si="80"/>
        <v>5</v>
      </c>
      <c r="U259" s="250">
        <f t="shared" si="81"/>
        <v>-1.6102299025930189E-2</v>
      </c>
      <c r="V259" s="382">
        <f t="shared" si="82"/>
        <v>48.069226682180279</v>
      </c>
      <c r="W259" s="400"/>
      <c r="X259" s="157">
        <f t="shared" si="83"/>
        <v>44441</v>
      </c>
      <c r="Y259" s="383">
        <f t="shared" si="84"/>
        <v>16.882999999999999</v>
      </c>
      <c r="Z259" s="383">
        <f t="shared" si="85"/>
        <v>17.191551674790507</v>
      </c>
      <c r="AA259" s="384">
        <f t="shared" si="86"/>
        <v>18.982084631053894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9.4327519398694007E-2</v>
      </c>
      <c r="AD259" s="230">
        <f>(INDEX(Models!$BJ259:$BT259,,AH259)*(1-AF259)+INDEX(Models!$BJ259:$BT259,,AH259+1)*AF259-ERP_i)*AE259*Ramure*Pc/MaxiM</f>
        <v>3.3687561362926473E-6</v>
      </c>
      <c r="AE259" s="304">
        <f t="shared" si="88"/>
        <v>0.6</v>
      </c>
      <c r="AF259" s="177">
        <f t="shared" si="89"/>
        <v>0.98389770097406981</v>
      </c>
      <c r="AG259" s="799">
        <f t="shared" si="95"/>
        <v>-1</v>
      </c>
      <c r="AH259" s="176">
        <f t="shared" si="90"/>
        <v>5</v>
      </c>
      <c r="AI259" s="224">
        <f t="shared" si="91"/>
        <v>-1.6102299025930189E-2</v>
      </c>
      <c r="AJ259" s="264" t="b">
        <f t="shared" si="92"/>
        <v>0</v>
      </c>
      <c r="AK259" s="264" t="b">
        <f t="shared" si="93"/>
        <v>0</v>
      </c>
      <c r="AL259" s="264"/>
      <c r="AM259" s="264"/>
      <c r="AN259" s="75"/>
    </row>
    <row r="260" spans="1:40" s="6" customFormat="1" ht="11.25" x14ac:dyDescent="0.2">
      <c r="A260" s="56">
        <f t="shared" si="94"/>
        <v>44442</v>
      </c>
      <c r="B260" s="607">
        <v>32.966999999999999</v>
      </c>
      <c r="C260" s="388"/>
      <c r="D260" s="391">
        <f t="shared" si="74"/>
        <v>33.570144285960758</v>
      </c>
      <c r="E260" s="383">
        <f t="shared" si="96"/>
        <v>37.071967391917177</v>
      </c>
      <c r="F260" s="383">
        <f t="shared" si="75"/>
        <v>37.072045869430966</v>
      </c>
      <c r="G260" s="110">
        <f t="shared" si="97"/>
        <v>0.68805474937688005</v>
      </c>
      <c r="H260" s="412" t="b">
        <f>Wh_hp&gt;='2020'!Maxi_hp</f>
        <v>0</v>
      </c>
      <c r="I260" s="379">
        <f>IF(H260,Wh_hp,'2020'!Maxi_hp)</f>
        <v>55.63834028982383</v>
      </c>
      <c r="J260" s="85">
        <f>IF(H260,An,'2020'!An_max)</f>
        <v>2020</v>
      </c>
      <c r="K260" s="197">
        <f t="shared" si="76"/>
        <v>44442</v>
      </c>
      <c r="L260" s="147">
        <f>IF(t&lt;Tvie,1-EXP((T0-t)*PertePVj)+'2020'!Pspv,1-EXP((T0-t)*PertePVj)+Pspv)</f>
        <v>1.7966687328567765E-2</v>
      </c>
      <c r="M260" s="832"/>
      <c r="N260" s="832"/>
      <c r="O260" s="48">
        <f>IF(t&lt;Tnet,'2020'!Resal+('2020'!Salim-'2020'!Resal)*(1-EXP(('2020'!Tnet-t)/('2020'!Tau_j))),Resal+(Salim-Resal)*(1-EXP((Tnet-t)/(Tau_j))))*Salcycl</f>
        <v>9.4460136656246779E-2</v>
      </c>
      <c r="P260" s="169">
        <f>(INDEX(Models!$BJ260:$BT260,,T260)*(1-R260)+INDEX(Models!$BJ260:$BT260,,T260+1)*R260-ERP_i)*Q260*Ramure*Pc/MaxiM</f>
        <v>3.8185845286773256E-6</v>
      </c>
      <c r="Q260" s="304">
        <f t="shared" si="77"/>
        <v>0.6</v>
      </c>
      <c r="R260" s="177">
        <f t="shared" si="78"/>
        <v>0.98449868305269528</v>
      </c>
      <c r="S260" s="799">
        <f t="shared" si="79"/>
        <v>-1</v>
      </c>
      <c r="T260" s="176">
        <f t="shared" si="80"/>
        <v>5</v>
      </c>
      <c r="U260" s="250">
        <f t="shared" si="81"/>
        <v>-1.5501316947304722E-2</v>
      </c>
      <c r="V260" s="382">
        <f t="shared" si="82"/>
        <v>47.913256801201072</v>
      </c>
      <c r="W260" s="400"/>
      <c r="X260" s="157">
        <f t="shared" si="83"/>
        <v>44442</v>
      </c>
      <c r="Y260" s="383">
        <f t="shared" si="84"/>
        <v>32.966999999999999</v>
      </c>
      <c r="Z260" s="383">
        <f t="shared" si="85"/>
        <v>33.570144285960758</v>
      </c>
      <c r="AA260" s="384">
        <f t="shared" si="86"/>
        <v>37.071967391917177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9.4460136656246779E-2</v>
      </c>
      <c r="AD260" s="230">
        <f>(INDEX(Models!$BJ260:$BT260,,AH260)*(1-AF260)+INDEX(Models!$BJ260:$BT260,,AH260+1)*AF260-ERP_i)*AE260*Ramure*Pc/MaxiM</f>
        <v>3.8185845286773256E-6</v>
      </c>
      <c r="AE260" s="304">
        <f t="shared" si="88"/>
        <v>0.6</v>
      </c>
      <c r="AF260" s="177">
        <f t="shared" si="89"/>
        <v>0.98449868305269528</v>
      </c>
      <c r="AG260" s="799">
        <f t="shared" si="95"/>
        <v>-1</v>
      </c>
      <c r="AH260" s="176">
        <f t="shared" si="90"/>
        <v>5</v>
      </c>
      <c r="AI260" s="224">
        <f t="shared" si="91"/>
        <v>-1.5501316947304722E-2</v>
      </c>
      <c r="AJ260" s="264" t="b">
        <f t="shared" si="92"/>
        <v>0</v>
      </c>
      <c r="AK260" s="264" t="b">
        <f t="shared" si="93"/>
        <v>0</v>
      </c>
      <c r="AL260" s="264"/>
      <c r="AM260" s="264"/>
      <c r="AN260" s="75"/>
    </row>
    <row r="261" spans="1:40" s="6" customFormat="1" ht="11.25" x14ac:dyDescent="0.2">
      <c r="A261" s="56">
        <f t="shared" si="94"/>
        <v>44443</v>
      </c>
      <c r="B261" s="607">
        <v>38.268999999999998</v>
      </c>
      <c r="C261" s="388"/>
      <c r="D261" s="391">
        <f t="shared" si="74"/>
        <v>38.969893319204253</v>
      </c>
      <c r="E261" s="383">
        <f t="shared" si="96"/>
        <v>43.041246565378884</v>
      </c>
      <c r="F261" s="383">
        <f t="shared" si="75"/>
        <v>43.041379091037612</v>
      </c>
      <c r="G261" s="110">
        <f t="shared" si="97"/>
        <v>0.80136866818282571</v>
      </c>
      <c r="H261" s="412" t="b">
        <f>Wh_hp&gt;='2020'!Maxi_hp</f>
        <v>0</v>
      </c>
      <c r="I261" s="379">
        <f>IF(H261,Wh_hp,'2020'!Maxi_hp)</f>
        <v>54.520522140500951</v>
      </c>
      <c r="J261" s="85">
        <f>IF(H261,An,'2020'!An_max)</f>
        <v>2018</v>
      </c>
      <c r="K261" s="197">
        <f t="shared" si="76"/>
        <v>44443</v>
      </c>
      <c r="L261" s="147">
        <f>IF(t&lt;Tvie,1-EXP((T0-t)*PertePVj)+'2020'!Pspv,1-EXP((T0-t)*PertePVj)+Pspv)</f>
        <v>1.7985507772967257E-2</v>
      </c>
      <c r="M261" s="832"/>
      <c r="N261" s="832"/>
      <c r="O261" s="48">
        <f>IF(t&lt;Tnet,'2020'!Resal+('2020'!Salim-'2020'!Resal)*(1-EXP(('2020'!Tnet-t)/('2020'!Tau_j))),Resal+(Salim-Resal)*(1-EXP((Tnet-t)/(Tau_j))))*Salcycl</f>
        <v>9.4591898958835241E-2</v>
      </c>
      <c r="P261" s="169">
        <f>(INDEX(Models!$BJ261:$BT261,,T261)*(1-R261)+INDEX(Models!$BJ261:$BT261,,T261+1)*R261-ERP_i)*Q261*Ramure*Pc/MaxiM</f>
        <v>4.2988648962915396E-6</v>
      </c>
      <c r="Q261" s="304">
        <f t="shared" si="77"/>
        <v>0.6</v>
      </c>
      <c r="R261" s="177">
        <f t="shared" si="78"/>
        <v>0.98507686877845946</v>
      </c>
      <c r="S261" s="799">
        <f t="shared" si="79"/>
        <v>-1</v>
      </c>
      <c r="T261" s="176">
        <f t="shared" si="80"/>
        <v>5</v>
      </c>
      <c r="U261" s="250">
        <f t="shared" si="81"/>
        <v>-1.4923131221540487E-2</v>
      </c>
      <c r="V261" s="382">
        <f t="shared" si="82"/>
        <v>47.754491580932921</v>
      </c>
      <c r="W261" s="400"/>
      <c r="X261" s="157">
        <f t="shared" si="83"/>
        <v>44443</v>
      </c>
      <c r="Y261" s="383">
        <f t="shared" si="84"/>
        <v>38.268999999999998</v>
      </c>
      <c r="Z261" s="383">
        <f t="shared" si="85"/>
        <v>38.969893319204253</v>
      </c>
      <c r="AA261" s="384">
        <f t="shared" si="86"/>
        <v>43.041246565378884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9.4591898958835241E-2</v>
      </c>
      <c r="AD261" s="230">
        <f>(INDEX(Models!$BJ261:$BT261,,AH261)*(1-AF261)+INDEX(Models!$BJ261:$BT261,,AH261+1)*AF261-ERP_i)*AE261*Ramure*Pc/MaxiM</f>
        <v>4.2988648962915396E-6</v>
      </c>
      <c r="AE261" s="304">
        <f t="shared" si="88"/>
        <v>0.6</v>
      </c>
      <c r="AF261" s="177">
        <f t="shared" si="89"/>
        <v>0.98507686877845946</v>
      </c>
      <c r="AG261" s="799">
        <f t="shared" si="95"/>
        <v>-1</v>
      </c>
      <c r="AH261" s="176">
        <f t="shared" si="90"/>
        <v>5</v>
      </c>
      <c r="AI261" s="224">
        <f t="shared" si="91"/>
        <v>-1.4923131221540487E-2</v>
      </c>
      <c r="AJ261" s="264" t="b">
        <f t="shared" si="92"/>
        <v>0</v>
      </c>
      <c r="AK261" s="264" t="b">
        <f t="shared" si="93"/>
        <v>0</v>
      </c>
      <c r="AL261" s="264"/>
      <c r="AM261" s="264"/>
      <c r="AN261" s="75"/>
    </row>
    <row r="262" spans="1:40" s="6" customFormat="1" ht="11.25" x14ac:dyDescent="0.2">
      <c r="A262" s="56">
        <f t="shared" si="94"/>
        <v>44444</v>
      </c>
      <c r="B262" s="607">
        <v>42.944000000000003</v>
      </c>
      <c r="C262" s="388"/>
      <c r="D262" s="391">
        <f t="shared" si="74"/>
        <v>43.731353628340948</v>
      </c>
      <c r="E262" s="383">
        <f t="shared" si="96"/>
        <v>48.307140550004327</v>
      </c>
      <c r="F262" s="383">
        <f t="shared" si="75"/>
        <v>48.307340060374436</v>
      </c>
      <c r="G262" s="110">
        <f t="shared" si="97"/>
        <v>0.90229432544961796</v>
      </c>
      <c r="H262" s="412" t="b">
        <f>Wh_hp&gt;='2020'!Maxi_hp</f>
        <v>0</v>
      </c>
      <c r="I262" s="379">
        <f>IF(H262,Wh_hp,'2020'!Maxi_hp)</f>
        <v>54.53002186266891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1.8004327856677271E-2</v>
      </c>
      <c r="M262" s="832"/>
      <c r="N262" s="832"/>
      <c r="O262" s="48">
        <f>IF(t&lt;Tnet,'2020'!Resal+('2020'!Salim-'2020'!Resal)*(1-EXP(('2020'!Tnet-t)/('2020'!Tau_j))),Resal+(Salim-Resal)*(1-EXP((Tnet-t)/(Tau_j))))*Salcycl</f>
        <v>9.4722785691006325E-2</v>
      </c>
      <c r="P262" s="169">
        <f>(INDEX(Models!$BJ262:$BT262,,T262)*(1-R262)+INDEX(Models!$BJ262:$BT262,,T262+1)*R262-ERP_i)*Q262*Ramure*Pc/MaxiM</f>
        <v>4.7999993910836536E-6</v>
      </c>
      <c r="Q262" s="304">
        <f t="shared" si="77"/>
        <v>0.6</v>
      </c>
      <c r="R262" s="177">
        <f t="shared" si="78"/>
        <v>0.98563307007123147</v>
      </c>
      <c r="S262" s="799">
        <f t="shared" si="79"/>
        <v>-1</v>
      </c>
      <c r="T262" s="176">
        <f t="shared" si="80"/>
        <v>5</v>
      </c>
      <c r="U262" s="250">
        <f t="shared" si="81"/>
        <v>-1.436692992876859E-2</v>
      </c>
      <c r="V262" s="382">
        <f t="shared" si="82"/>
        <v>47.594194064078344</v>
      </c>
      <c r="W262" s="400"/>
      <c r="X262" s="157">
        <f t="shared" si="83"/>
        <v>44444</v>
      </c>
      <c r="Y262" s="383">
        <f t="shared" si="84"/>
        <v>42.944000000000003</v>
      </c>
      <c r="Z262" s="383">
        <f t="shared" si="85"/>
        <v>43.731353628340948</v>
      </c>
      <c r="AA262" s="384">
        <f t="shared" si="86"/>
        <v>48.307140550004327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9.4722785691006325E-2</v>
      </c>
      <c r="AD262" s="230">
        <f>(INDEX(Models!$BJ262:$BT262,,AH262)*(1-AF262)+INDEX(Models!$BJ262:$BT262,,AH262+1)*AF262-ERP_i)*AE262*Ramure*Pc/MaxiM</f>
        <v>4.7999993910836536E-6</v>
      </c>
      <c r="AE262" s="304">
        <f t="shared" si="88"/>
        <v>0.6</v>
      </c>
      <c r="AF262" s="177">
        <f t="shared" si="89"/>
        <v>0.98563307007123147</v>
      </c>
      <c r="AG262" s="799">
        <f t="shared" si="95"/>
        <v>-1</v>
      </c>
      <c r="AH262" s="176">
        <f t="shared" si="90"/>
        <v>5</v>
      </c>
      <c r="AI262" s="224">
        <f t="shared" si="91"/>
        <v>-1.436692992876859E-2</v>
      </c>
      <c r="AJ262" s="264" t="b">
        <f t="shared" si="92"/>
        <v>0</v>
      </c>
      <c r="AK262" s="264" t="b">
        <f t="shared" si="93"/>
        <v>0</v>
      </c>
      <c r="AL262" s="264"/>
      <c r="AM262" s="264"/>
      <c r="AN262" s="75"/>
    </row>
    <row r="263" spans="1:40" s="6" customFormat="1" ht="11.25" x14ac:dyDescent="0.2">
      <c r="A263" s="56">
        <f t="shared" si="94"/>
        <v>44445</v>
      </c>
      <c r="B263" s="607">
        <v>46.054000000000002</v>
      </c>
      <c r="C263" s="388"/>
      <c r="D263" s="391">
        <f t="shared" si="74"/>
        <v>46.899272509825373</v>
      </c>
      <c r="E263" s="383">
        <f t="shared" si="96"/>
        <v>51.813971508283629</v>
      </c>
      <c r="F263" s="383">
        <f t="shared" si="75"/>
        <v>51.814234894075312</v>
      </c>
      <c r="G263" s="110">
        <f t="shared" si="97"/>
        <v>0.97094604277302121</v>
      </c>
      <c r="H263" s="412" t="b">
        <f>Wh_hp&gt;='2020'!Maxi_hp</f>
        <v>0</v>
      </c>
      <c r="I263" s="379">
        <f>IF(H263,Wh_hp,'2020'!Maxi_hp)</f>
        <v>55.510997901314788</v>
      </c>
      <c r="J263" s="85">
        <f>IF(H263,An,'2020'!An_max)</f>
        <v>2018</v>
      </c>
      <c r="K263" s="197">
        <f t="shared" si="76"/>
        <v>44445</v>
      </c>
      <c r="L263" s="147">
        <f>IF(t&lt;Tvie,1-EXP((T0-t)*PertePVj)+'2020'!Pspv,1-EXP((T0-t)*PertePVj)+Pspv)</f>
        <v>1.802314757970469E-2</v>
      </c>
      <c r="M263" s="832"/>
      <c r="N263" s="832"/>
      <c r="O263" s="48">
        <f>IF(t&lt;Tnet,'2020'!Resal+('2020'!Salim-'2020'!Resal)*(1-EXP(('2020'!Tnet-t)/('2020'!Tau_j))),Resal+(Salim-Resal)*(1-EXP((Tnet-t)/(Tau_j))))*Salcycl</f>
        <v>9.4852775330540512E-2</v>
      </c>
      <c r="P263" s="169">
        <f>(INDEX(Models!$BJ263:$BT263,,T263)*(1-R263)+INDEX(Models!$BJ263:$BT263,,T263+1)*R263-ERP_i)*Q263*Ramure*Pc/MaxiM</f>
        <v>5.3033899291962534E-6</v>
      </c>
      <c r="Q263" s="304">
        <f t="shared" si="77"/>
        <v>0.6</v>
      </c>
      <c r="R263" s="177">
        <f t="shared" si="78"/>
        <v>0.9861680740028631</v>
      </c>
      <c r="S263" s="799">
        <f t="shared" si="79"/>
        <v>-1</v>
      </c>
      <c r="T263" s="176">
        <f t="shared" si="80"/>
        <v>5</v>
      </c>
      <c r="U263" s="250">
        <f t="shared" si="81"/>
        <v>-1.3831925997136951E-2</v>
      </c>
      <c r="V263" s="382">
        <f t="shared" si="82"/>
        <v>47.432079470714832</v>
      </c>
      <c r="W263" s="400"/>
      <c r="X263" s="157">
        <f t="shared" si="83"/>
        <v>44445</v>
      </c>
      <c r="Y263" s="383">
        <f t="shared" si="84"/>
        <v>46.054000000000002</v>
      </c>
      <c r="Z263" s="383">
        <f t="shared" si="85"/>
        <v>46.899272509825373</v>
      </c>
      <c r="AA263" s="384">
        <f t="shared" si="86"/>
        <v>51.813971508283629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9.4852775330540512E-2</v>
      </c>
      <c r="AD263" s="230">
        <f>(INDEX(Models!$BJ263:$BT263,,AH263)*(1-AF263)+INDEX(Models!$BJ263:$BT263,,AH263+1)*AF263-ERP_i)*AE263*Ramure*Pc/MaxiM</f>
        <v>5.3033899291962534E-6</v>
      </c>
      <c r="AE263" s="304">
        <f t="shared" si="88"/>
        <v>0.6</v>
      </c>
      <c r="AF263" s="177">
        <f t="shared" si="89"/>
        <v>0.9861680740028631</v>
      </c>
      <c r="AG263" s="799">
        <f t="shared" si="95"/>
        <v>-1</v>
      </c>
      <c r="AH263" s="176">
        <f t="shared" si="90"/>
        <v>5</v>
      </c>
      <c r="AI263" s="224">
        <f t="shared" si="91"/>
        <v>-1.3831925997136951E-2</v>
      </c>
      <c r="AJ263" s="264" t="b">
        <f t="shared" si="92"/>
        <v>0</v>
      </c>
      <c r="AK263" s="264" t="b">
        <f t="shared" si="93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94"/>
        <v>44446</v>
      </c>
      <c r="B264" s="607">
        <v>37.561</v>
      </c>
      <c r="C264" s="388"/>
      <c r="D264" s="391">
        <f t="shared" si="74"/>
        <v>38.251125542534865</v>
      </c>
      <c r="E264" s="383">
        <f t="shared" si="96"/>
        <v>42.265589202016514</v>
      </c>
      <c r="F264" s="383">
        <f t="shared" si="75"/>
        <v>42.265762696541515</v>
      </c>
      <c r="G264" s="110">
        <f t="shared" si="97"/>
        <v>0.79464003926552673</v>
      </c>
      <c r="H264" s="412" t="b">
        <f>Wh_hp&gt;='2020'!Maxi_hp</f>
        <v>0</v>
      </c>
      <c r="I264" s="379">
        <f>IF(H264,Wh_hp,'2020'!Maxi_hp)</f>
        <v>52.173352901498127</v>
      </c>
      <c r="J264" s="85">
        <f>IF(H264,An,'2020'!An_max)</f>
        <v>2018</v>
      </c>
      <c r="K264" s="197">
        <f t="shared" si="76"/>
        <v>44446</v>
      </c>
      <c r="L264" s="147">
        <f>IF(t&lt;Tvie,1-EXP((T0-t)*PertePVj)+'2020'!Pspv,1-EXP((T0-t)*PertePVj)+Pspv)</f>
        <v>1.8041966942056398E-2</v>
      </c>
      <c r="M264" s="832"/>
      <c r="N264" s="832"/>
      <c r="O264" s="48">
        <f>IF(t&lt;Tnet,'2020'!Resal+('2020'!Salim-'2020'!Resal)*(1-EXP(('2020'!Tnet-t)/('2020'!Tau_j))),Resal+(Salim-Resal)*(1-EXP((Tnet-t)/(Tau_j))))*Salcycl</f>
        <v>9.4981845403686427E-2</v>
      </c>
      <c r="P264" s="169">
        <f>(INDEX(Models!$BJ264:$BT264,,T264)*(1-R264)+INDEX(Models!$BJ264:$BT264,,T264+1)*R264-ERP_i)*Q264*Ramure*Pc/MaxiM</f>
        <v>5.8090437447140666E-6</v>
      </c>
      <c r="Q264" s="304">
        <f t="shared" si="77"/>
        <v>0.6</v>
      </c>
      <c r="R264" s="177">
        <f t="shared" si="78"/>
        <v>0.9866826432359006</v>
      </c>
      <c r="S264" s="799">
        <f t="shared" si="79"/>
        <v>-1</v>
      </c>
      <c r="T264" s="176">
        <f t="shared" si="80"/>
        <v>5</v>
      </c>
      <c r="U264" s="250">
        <f t="shared" si="81"/>
        <v>-1.3317356764099342E-2</v>
      </c>
      <c r="V264" s="382">
        <f t="shared" si="82"/>
        <v>47.267862343246769</v>
      </c>
      <c r="W264" s="400"/>
      <c r="X264" s="157">
        <f t="shared" si="83"/>
        <v>44446</v>
      </c>
      <c r="Y264" s="383">
        <f t="shared" si="84"/>
        <v>37.561</v>
      </c>
      <c r="Z264" s="383">
        <f t="shared" si="85"/>
        <v>38.251125542534865</v>
      </c>
      <c r="AA264" s="384">
        <f t="shared" si="86"/>
        <v>42.265589202016514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9.4981845403686427E-2</v>
      </c>
      <c r="AD264" s="230">
        <f>(INDEX(Models!$BJ264:$BT264,,AH264)*(1-AF264)+INDEX(Models!$BJ264:$BT264,,AH264+1)*AF264-ERP_i)*AE264*Ramure*Pc/MaxiM</f>
        <v>5.8090437447140666E-6</v>
      </c>
      <c r="AE264" s="304">
        <f t="shared" si="88"/>
        <v>0.6</v>
      </c>
      <c r="AF264" s="177">
        <f t="shared" si="89"/>
        <v>0.9866826432359006</v>
      </c>
      <c r="AG264" s="799">
        <f t="shared" si="95"/>
        <v>-1</v>
      </c>
      <c r="AH264" s="176">
        <f t="shared" si="90"/>
        <v>5</v>
      </c>
      <c r="AI264" s="224">
        <f t="shared" si="91"/>
        <v>-1.3317356764099342E-2</v>
      </c>
      <c r="AJ264" s="264" t="b">
        <f t="shared" si="92"/>
        <v>0</v>
      </c>
      <c r="AK264" s="264" t="b">
        <f t="shared" si="93"/>
        <v>0</v>
      </c>
      <c r="AL264" s="264"/>
      <c r="AM264" s="264"/>
      <c r="AN264" s="75"/>
    </row>
    <row r="265" spans="1:40" s="6" customFormat="1" ht="11.25" customHeight="1" x14ac:dyDescent="0.2">
      <c r="A265" s="56">
        <f t="shared" si="94"/>
        <v>44447</v>
      </c>
      <c r="B265" s="607">
        <v>28.79</v>
      </c>
      <c r="C265" s="388"/>
      <c r="D265" s="391">
        <f t="shared" si="74"/>
        <v>29.319533824372211</v>
      </c>
      <c r="E265" s="383">
        <f t="shared" si="96"/>
        <v>32.401212226409015</v>
      </c>
      <c r="F265" s="383">
        <f t="shared" si="75"/>
        <v>32.401303231151111</v>
      </c>
      <c r="G265" s="110">
        <f t="shared" si="97"/>
        <v>0.61123419129871326</v>
      </c>
      <c r="H265" s="412" t="b">
        <f>Wh_hp&gt;='2020'!Maxi_hp</f>
        <v>0</v>
      </c>
      <c r="I265" s="379">
        <f>IF(H265,Wh_hp,'2020'!Maxi_hp)</f>
        <v>51.203240442877672</v>
      </c>
      <c r="J265" s="85">
        <f>IF(H265,An,'2020'!An_max)</f>
        <v>2020</v>
      </c>
      <c r="K265" s="197">
        <f t="shared" si="76"/>
        <v>44447</v>
      </c>
      <c r="L265" s="147">
        <f>IF(t&lt;Tvie,1-EXP((T0-t)*PertePVj)+'2020'!Pspv,1-EXP((T0-t)*PertePVj)+Pspv)</f>
        <v>1.8060785943739388E-2</v>
      </c>
      <c r="M265" s="832"/>
      <c r="N265" s="832"/>
      <c r="O265" s="48">
        <f>IF(t&lt;Tnet,'2020'!Resal+('2020'!Salim-'2020'!Resal)*(1-EXP(('2020'!Tnet-t)/('2020'!Tau_j))),Resal+(Salim-Resal)*(1-EXP((Tnet-t)/(Tau_j))))*Salcycl</f>
        <v>9.510997244495209E-2</v>
      </c>
      <c r="P265" s="169">
        <f>(INDEX(Models!$BJ265:$BT265,,T265)*(1-R265)+INDEX(Models!$BJ265:$BT265,,T265+1)*R265-ERP_i)*Q265*Ramure*Pc/MaxiM</f>
        <v>6.3169769342320059E-6</v>
      </c>
      <c r="Q265" s="304">
        <f t="shared" si="77"/>
        <v>0.6</v>
      </c>
      <c r="R265" s="177">
        <f t="shared" si="78"/>
        <v>0.98717751648274654</v>
      </c>
      <c r="S265" s="799">
        <f t="shared" si="79"/>
        <v>-1</v>
      </c>
      <c r="T265" s="176">
        <f t="shared" si="80"/>
        <v>5</v>
      </c>
      <c r="U265" s="250">
        <f t="shared" si="81"/>
        <v>-1.2822483517253513E-2</v>
      </c>
      <c r="V265" s="382">
        <f t="shared" si="82"/>
        <v>47.101257432184916</v>
      </c>
      <c r="W265" s="400"/>
      <c r="X265" s="157">
        <f t="shared" si="83"/>
        <v>44447</v>
      </c>
      <c r="Y265" s="383">
        <f t="shared" si="84"/>
        <v>28.789999999999996</v>
      </c>
      <c r="Z265" s="383">
        <f t="shared" si="85"/>
        <v>29.319533824372208</v>
      </c>
      <c r="AA265" s="384">
        <f t="shared" si="86"/>
        <v>32.401212226409015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9.510997244495209E-2</v>
      </c>
      <c r="AD265" s="230">
        <f>(INDEX(Models!$BJ265:$BT265,,AH265)*(1-AF265)+INDEX(Models!$BJ265:$BT265,,AH265+1)*AF265-ERP_i)*AE265*Ramure*Pc/MaxiM</f>
        <v>6.3169769342320059E-6</v>
      </c>
      <c r="AE265" s="304">
        <f t="shared" si="88"/>
        <v>0.6</v>
      </c>
      <c r="AF265" s="177">
        <f t="shared" si="89"/>
        <v>0.98717751648274654</v>
      </c>
      <c r="AG265" s="799">
        <f t="shared" si="95"/>
        <v>-1</v>
      </c>
      <c r="AH265" s="176">
        <f t="shared" si="90"/>
        <v>5</v>
      </c>
      <c r="AI265" s="224">
        <f t="shared" si="91"/>
        <v>-1.2822483517253513E-2</v>
      </c>
      <c r="AJ265" s="264" t="b">
        <f t="shared" si="92"/>
        <v>0</v>
      </c>
      <c r="AK265" s="264" t="b">
        <f t="shared" si="93"/>
        <v>0</v>
      </c>
      <c r="AL265" s="264"/>
      <c r="AM265" s="264"/>
      <c r="AN265" s="75"/>
    </row>
    <row r="266" spans="1:40" s="6" customFormat="1" ht="11.25" x14ac:dyDescent="0.2">
      <c r="A266" s="56">
        <f t="shared" si="94"/>
        <v>44448</v>
      </c>
      <c r="B266" s="607">
        <v>16.945</v>
      </c>
      <c r="C266" s="388"/>
      <c r="D266" s="391">
        <f t="shared" si="74"/>
        <v>17.256999731464191</v>
      </c>
      <c r="E266" s="383">
        <f t="shared" si="96"/>
        <v>19.073505711950606</v>
      </c>
      <c r="F266" s="383">
        <f t="shared" si="75"/>
        <v>19.07351706973424</v>
      </c>
      <c r="G266" s="110">
        <f t="shared" si="97"/>
        <v>0.36105219752207157</v>
      </c>
      <c r="H266" s="412" t="b">
        <f>Wh_hp&gt;='2020'!Maxi_hp</f>
        <v>0</v>
      </c>
      <c r="I266" s="379">
        <f>IF(H266,Wh_hp,'2020'!Maxi_hp)</f>
        <v>51.228956112547721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1.8079604584760434E-2</v>
      </c>
      <c r="M266" s="832"/>
      <c r="N266" s="832"/>
      <c r="O266" s="48">
        <f>IF(t&lt;Tnet,'2020'!Resal+('2020'!Salim-'2020'!Resal)*(1-EXP(('2020'!Tnet-t)/('2020'!Tau_j))),Resal+(Salim-Resal)*(1-EXP((Tnet-t)/(Tau_j))))*Salcycl</f>
        <v>9.5237131963017904E-2</v>
      </c>
      <c r="P266" s="169">
        <f>(INDEX(Models!$BJ266:$BT266,,T266)*(1-R266)+INDEX(Models!$BJ266:$BT266,,T266+1)*R266-ERP_i)*Q266*Ramure*Pc/MaxiM</f>
        <v>6.8272144243780573E-6</v>
      </c>
      <c r="Q266" s="304">
        <f t="shared" si="77"/>
        <v>0.6</v>
      </c>
      <c r="R266" s="177">
        <f t="shared" si="78"/>
        <v>0.98765340898210163</v>
      </c>
      <c r="S266" s="799">
        <f t="shared" si="79"/>
        <v>-1</v>
      </c>
      <c r="T266" s="176">
        <f t="shared" si="80"/>
        <v>5</v>
      </c>
      <c r="U266" s="250">
        <f t="shared" si="81"/>
        <v>-1.2346591017898312E-2</v>
      </c>
      <c r="V266" s="382">
        <f t="shared" si="82"/>
        <v>46.931979695428616</v>
      </c>
      <c r="W266" s="400"/>
      <c r="X266" s="157">
        <f t="shared" si="83"/>
        <v>44448</v>
      </c>
      <c r="Y266" s="383">
        <f t="shared" si="84"/>
        <v>16.945</v>
      </c>
      <c r="Z266" s="383">
        <f t="shared" si="85"/>
        <v>17.256999731464191</v>
      </c>
      <c r="AA266" s="384">
        <f t="shared" si="86"/>
        <v>19.073505711950606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9.5237131963017904E-2</v>
      </c>
      <c r="AD266" s="230">
        <f>(INDEX(Models!$BJ266:$BT266,,AH266)*(1-AF266)+INDEX(Models!$BJ266:$BT266,,AH266+1)*AF266-ERP_i)*AE266*Ramure*Pc/MaxiM</f>
        <v>6.8272144243780573E-6</v>
      </c>
      <c r="AE266" s="304">
        <f t="shared" si="88"/>
        <v>0.6</v>
      </c>
      <c r="AF266" s="177">
        <f t="shared" si="89"/>
        <v>0.98765340898210163</v>
      </c>
      <c r="AG266" s="799">
        <f t="shared" si="95"/>
        <v>-1</v>
      </c>
      <c r="AH266" s="176">
        <f t="shared" si="90"/>
        <v>5</v>
      </c>
      <c r="AI266" s="224">
        <f t="shared" si="91"/>
        <v>-1.2346591017898312E-2</v>
      </c>
      <c r="AJ266" s="264" t="b">
        <f t="shared" si="92"/>
        <v>0</v>
      </c>
      <c r="AK266" s="264" t="b">
        <f t="shared" si="93"/>
        <v>0</v>
      </c>
      <c r="AL266" s="264"/>
      <c r="AM266" s="264"/>
      <c r="AN266" s="75"/>
    </row>
    <row r="267" spans="1:40" s="6" customFormat="1" ht="11.25" x14ac:dyDescent="0.2">
      <c r="A267" s="56">
        <f t="shared" si="94"/>
        <v>44449</v>
      </c>
      <c r="B267" s="607">
        <v>33.811999999999998</v>
      </c>
      <c r="C267" s="388"/>
      <c r="D267" s="391">
        <f t="shared" si="74"/>
        <v>34.435223231498689</v>
      </c>
      <c r="E267" s="383">
        <f t="shared" si="96"/>
        <v>38.065251134670085</v>
      </c>
      <c r="F267" s="383">
        <f t="shared" si="75"/>
        <v>38.065420007537256</v>
      </c>
      <c r="G267" s="110">
        <f t="shared" si="97"/>
        <v>0.72309851862117436</v>
      </c>
      <c r="H267" s="412" t="b">
        <f>Wh_hp&gt;='2020'!Maxi_hp</f>
        <v>1</v>
      </c>
      <c r="I267" s="379">
        <f>IF(H267,Wh_hp,'2020'!Maxi_hp)</f>
        <v>38.065420007537256</v>
      </c>
      <c r="J267" s="85">
        <f>IF(H267,An,'2020'!An_max)</f>
        <v>2021</v>
      </c>
      <c r="K267" s="197">
        <f t="shared" si="76"/>
        <v>44449</v>
      </c>
      <c r="L267" s="147">
        <f>IF(t&lt;Tvie,1-EXP((T0-t)*PertePVj)+'2020'!Pspv,1-EXP((T0-t)*PertePVj)+Pspv)</f>
        <v>1.8098422865126529E-2</v>
      </c>
      <c r="M267" s="832"/>
      <c r="N267" s="832"/>
      <c r="O267" s="48">
        <f>IF(t&lt;Tnet,'2020'!Resal+('2020'!Salim-'2020'!Resal)*(1-EXP(('2020'!Tnet-t)/('2020'!Tau_j))),Resal+(Salim-Resal)*(1-EXP((Tnet-t)/(Tau_j))))*Salcycl</f>
        <v>9.536329841431522E-2</v>
      </c>
      <c r="P267" s="169">
        <f>(INDEX(Models!$BJ267:$BT267,,T267)*(1-R267)+INDEX(Models!$BJ267:$BT267,,T267+1)*R267-ERP_i)*Q267*Ramure*Pc/MaxiM</f>
        <v>7.339789944994185E-6</v>
      </c>
      <c r="Q267" s="304">
        <f t="shared" si="77"/>
        <v>0.6</v>
      </c>
      <c r="R267" s="177">
        <f t="shared" si="78"/>
        <v>0.98811101298976656</v>
      </c>
      <c r="S267" s="799">
        <f t="shared" si="79"/>
        <v>-1</v>
      </c>
      <c r="T267" s="176">
        <f t="shared" si="80"/>
        <v>5</v>
      </c>
      <c r="U267" s="250">
        <f t="shared" si="81"/>
        <v>-1.1888987010233443E-2</v>
      </c>
      <c r="V267" s="382">
        <f t="shared" si="82"/>
        <v>46.759744293374922</v>
      </c>
      <c r="W267" s="400"/>
      <c r="X267" s="157">
        <f t="shared" si="83"/>
        <v>44449</v>
      </c>
      <c r="Y267" s="383">
        <f t="shared" si="84"/>
        <v>33.811999999999998</v>
      </c>
      <c r="Z267" s="383">
        <f t="shared" si="85"/>
        <v>34.435223231498689</v>
      </c>
      <c r="AA267" s="384">
        <f t="shared" si="86"/>
        <v>38.065251134670085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9.536329841431522E-2</v>
      </c>
      <c r="AD267" s="230">
        <f>(INDEX(Models!$BJ267:$BT267,,AH267)*(1-AF267)+INDEX(Models!$BJ267:$BT267,,AH267+1)*AF267-ERP_i)*AE267*Ramure*Pc/MaxiM</f>
        <v>7.339789944994185E-6</v>
      </c>
      <c r="AE267" s="304">
        <f t="shared" si="88"/>
        <v>0.6</v>
      </c>
      <c r="AF267" s="177">
        <f t="shared" si="89"/>
        <v>0.98811101298976656</v>
      </c>
      <c r="AG267" s="799">
        <f t="shared" si="95"/>
        <v>-1</v>
      </c>
      <c r="AH267" s="176">
        <f t="shared" si="90"/>
        <v>5</v>
      </c>
      <c r="AI267" s="224">
        <f t="shared" si="91"/>
        <v>-1.1888987010233443E-2</v>
      </c>
      <c r="AJ267" s="264" t="b">
        <f t="shared" si="92"/>
        <v>0</v>
      </c>
      <c r="AK267" s="264" t="b">
        <f t="shared" si="93"/>
        <v>0</v>
      </c>
      <c r="AL267" s="264"/>
      <c r="AM267" s="264"/>
      <c r="AN267" s="75"/>
    </row>
    <row r="268" spans="1:40" s="6" customFormat="1" ht="11.25" x14ac:dyDescent="0.2">
      <c r="A268" s="56">
        <f t="shared" si="94"/>
        <v>44450</v>
      </c>
      <c r="B268" s="607">
        <v>38.157000000000004</v>
      </c>
      <c r="C268" s="388"/>
      <c r="D268" s="391">
        <f t="shared" si="74"/>
        <v>38.861055092259583</v>
      </c>
      <c r="E268" s="383">
        <f t="shared" si="96"/>
        <v>42.963580603722718</v>
      </c>
      <c r="F268" s="383">
        <f t="shared" si="75"/>
        <v>42.963831421045207</v>
      </c>
      <c r="G268" s="110">
        <f t="shared" si="97"/>
        <v>0.81909463941375737</v>
      </c>
      <c r="H268" s="412" t="b">
        <f>Wh_hp&gt;='2020'!Maxi_hp</f>
        <v>0</v>
      </c>
      <c r="I268" s="379">
        <f>IF(H268,Wh_hp,'2020'!Maxi_hp)</f>
        <v>46.091513574370204</v>
      </c>
      <c r="J268" s="85">
        <f>IF(H268,An,'2020'!An_max)</f>
        <v>2020</v>
      </c>
      <c r="K268" s="197">
        <f t="shared" si="76"/>
        <v>44450</v>
      </c>
      <c r="L268" s="147">
        <f>IF(t&lt;Tvie,1-EXP((T0-t)*PertePVj)+'2020'!Pspv,1-EXP((T0-t)*PertePVj)+Pspv)</f>
        <v>1.8117240784844557E-2</v>
      </c>
      <c r="M268" s="832"/>
      <c r="N268" s="832"/>
      <c r="O268" s="48">
        <f>IF(t&lt;Tnet,'2020'!Resal+('2020'!Salim-'2020'!Resal)*(1-EXP(('2020'!Tnet-t)/('2020'!Tau_j))),Resal+(Salim-Resal)*(1-EXP((Tnet-t)/(Tau_j))))*Salcycl</f>
        <v>9.5488445185773513E-2</v>
      </c>
      <c r="P268" s="169">
        <f>(INDEX(Models!$BJ268:$BT268,,T268)*(1-R268)+INDEX(Models!$BJ268:$BT268,,T268+1)*R268-ERP_i)*Q268*Ramure*Pc/MaxiM</f>
        <v>7.8723541868023594E-6</v>
      </c>
      <c r="Q268" s="304">
        <f t="shared" si="77"/>
        <v>0.6</v>
      </c>
      <c r="R268" s="177">
        <f t="shared" si="78"/>
        <v>0.98855099828110327</v>
      </c>
      <c r="S268" s="799">
        <f t="shared" si="79"/>
        <v>-1</v>
      </c>
      <c r="T268" s="176">
        <f t="shared" si="80"/>
        <v>5</v>
      </c>
      <c r="U268" s="250">
        <f t="shared" si="81"/>
        <v>-1.1449001718896734E-2</v>
      </c>
      <c r="V268" s="382">
        <f t="shared" si="82"/>
        <v>46.584265765793091</v>
      </c>
      <c r="W268" s="400"/>
      <c r="X268" s="157">
        <f t="shared" si="83"/>
        <v>44450</v>
      </c>
      <c r="Y268" s="383">
        <f t="shared" si="84"/>
        <v>38.157000000000004</v>
      </c>
      <c r="Z268" s="383">
        <f t="shared" si="85"/>
        <v>38.861055092259583</v>
      </c>
      <c r="AA268" s="384">
        <f t="shared" si="86"/>
        <v>42.963580603722718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9.5488445185773513E-2</v>
      </c>
      <c r="AD268" s="230">
        <f>(INDEX(Models!$BJ268:$BT268,,AH268)*(1-AF268)+INDEX(Models!$BJ268:$BT268,,AH268+1)*AF268-ERP_i)*AE268*Ramure*Pc/MaxiM</f>
        <v>7.8723541868023594E-6</v>
      </c>
      <c r="AE268" s="304">
        <f t="shared" si="88"/>
        <v>0.6</v>
      </c>
      <c r="AF268" s="177">
        <f t="shared" si="89"/>
        <v>0.98855099828110327</v>
      </c>
      <c r="AG268" s="799">
        <f t="shared" si="95"/>
        <v>-1</v>
      </c>
      <c r="AH268" s="176">
        <f t="shared" si="90"/>
        <v>5</v>
      </c>
      <c r="AI268" s="224">
        <f t="shared" si="91"/>
        <v>-1.1449001718896734E-2</v>
      </c>
      <c r="AJ268" s="264" t="b">
        <f t="shared" si="92"/>
        <v>0</v>
      </c>
      <c r="AK268" s="264" t="b">
        <f t="shared" si="93"/>
        <v>0</v>
      </c>
      <c r="AL268" s="264"/>
      <c r="AM268" s="264"/>
      <c r="AN268" s="75"/>
    </row>
    <row r="269" spans="1:40" s="6" customFormat="1" ht="11.25" x14ac:dyDescent="0.2">
      <c r="A269" s="56">
        <f t="shared" si="94"/>
        <v>44451</v>
      </c>
      <c r="B269" s="607">
        <v>43.76</v>
      </c>
      <c r="C269" s="388"/>
      <c r="D269" s="391">
        <f t="shared" si="74"/>
        <v>44.568293165131827</v>
      </c>
      <c r="E269" s="383">
        <f t="shared" si="96"/>
        <v>49.280087752695763</v>
      </c>
      <c r="F269" s="383">
        <f t="shared" si="75"/>
        <v>49.280468690268044</v>
      </c>
      <c r="G269" s="110">
        <f t="shared" si="97"/>
        <v>0.94299589943642492</v>
      </c>
      <c r="H269" s="412" t="b">
        <f>Wh_hp&gt;='2020'!Maxi_hp</f>
        <v>0</v>
      </c>
      <c r="I269" s="379">
        <f>IF(H269,Wh_hp,'2020'!Maxi_hp)</f>
        <v>51.806611892360216</v>
      </c>
      <c r="J269" s="85">
        <f>IF(H269,An,'2020'!An_max)</f>
        <v>2018</v>
      </c>
      <c r="K269" s="197">
        <f t="shared" si="76"/>
        <v>44451</v>
      </c>
      <c r="L269" s="147">
        <f>IF(t&lt;Tvie,1-EXP((T0-t)*PertePVj)+'2020'!Pspv,1-EXP((T0-t)*PertePVj)+Pspv)</f>
        <v>1.8136058343921513E-2</v>
      </c>
      <c r="M269" s="832"/>
      <c r="N269" s="832"/>
      <c r="O269" s="48">
        <f>IF(t&lt;Tnet,'2020'!Resal+('2020'!Salim-'2020'!Resal)*(1-EXP(('2020'!Tnet-t)/('2020'!Tau_j))),Resal+(Salim-Resal)*(1-EXP((Tnet-t)/(Tau_j))))*Salcycl</f>
        <v>9.5612544588177764E-2</v>
      </c>
      <c r="P269" s="169">
        <f>(INDEX(Models!$BJ269:$BT269,,T269)*(1-R269)+INDEX(Models!$BJ269:$BT269,,T269+1)*R269-ERP_i)*Q269*Ramure*Pc/MaxiM</f>
        <v>8.415276310092443E-6</v>
      </c>
      <c r="Q269" s="304">
        <f t="shared" si="77"/>
        <v>0.6</v>
      </c>
      <c r="R269" s="177">
        <f t="shared" si="78"/>
        <v>0.98897401266269025</v>
      </c>
      <c r="S269" s="799">
        <f t="shared" si="79"/>
        <v>-1</v>
      </c>
      <c r="T269" s="176">
        <f t="shared" si="80"/>
        <v>5</v>
      </c>
      <c r="U269" s="250">
        <f t="shared" si="81"/>
        <v>-1.1025987337309751E-2</v>
      </c>
      <c r="V269" s="382">
        <f t="shared" si="82"/>
        <v>46.405260126612951</v>
      </c>
      <c r="W269" s="400"/>
      <c r="X269" s="157">
        <f t="shared" si="83"/>
        <v>44451</v>
      </c>
      <c r="Y269" s="383">
        <f t="shared" si="84"/>
        <v>43.76</v>
      </c>
      <c r="Z269" s="383">
        <f t="shared" si="85"/>
        <v>44.568293165131827</v>
      </c>
      <c r="AA269" s="384">
        <f t="shared" si="86"/>
        <v>49.280087752695763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9.5612544588177764E-2</v>
      </c>
      <c r="AD269" s="230">
        <f>(INDEX(Models!$BJ269:$BT269,,AH269)*(1-AF269)+INDEX(Models!$BJ269:$BT269,,AH269+1)*AF269-ERP_i)*AE269*Ramure*Pc/MaxiM</f>
        <v>8.415276310092443E-6</v>
      </c>
      <c r="AE269" s="304">
        <f t="shared" si="88"/>
        <v>0.6</v>
      </c>
      <c r="AF269" s="177">
        <f t="shared" si="89"/>
        <v>0.98897401266269025</v>
      </c>
      <c r="AG269" s="799">
        <f t="shared" si="95"/>
        <v>-1</v>
      </c>
      <c r="AH269" s="176">
        <f t="shared" si="90"/>
        <v>5</v>
      </c>
      <c r="AI269" s="224">
        <f t="shared" si="91"/>
        <v>-1.1025987337309751E-2</v>
      </c>
      <c r="AJ269" s="264" t="b">
        <f t="shared" si="92"/>
        <v>0</v>
      </c>
      <c r="AK269" s="264" t="b">
        <f t="shared" si="93"/>
        <v>0</v>
      </c>
      <c r="AL269" s="264"/>
      <c r="AM269" s="264"/>
      <c r="AN269" s="75"/>
    </row>
    <row r="270" spans="1:40" s="6" customFormat="1" ht="11.25" x14ac:dyDescent="0.2">
      <c r="A270" s="56">
        <f t="shared" si="94"/>
        <v>44452</v>
      </c>
      <c r="B270" s="607">
        <v>34.225000000000001</v>
      </c>
      <c r="C270" s="388"/>
      <c r="D270" s="391">
        <f t="shared" si="74"/>
        <v>34.857839742195232</v>
      </c>
      <c r="E270" s="383">
        <f t="shared" si="96"/>
        <v>38.54828134703871</v>
      </c>
      <c r="F270" s="383">
        <f t="shared" si="75"/>
        <v>38.54849888025084</v>
      </c>
      <c r="G270" s="110">
        <f t="shared" si="97"/>
        <v>0.74043871054437749</v>
      </c>
      <c r="H270" s="412" t="b">
        <f>Wh_hp&gt;='2020'!Maxi_hp</f>
        <v>0</v>
      </c>
      <c r="I270" s="379">
        <f>IF(H270,Wh_hp,'2020'!Maxi_hp)</f>
        <v>49.476808548086147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1.8154875542364168E-2</v>
      </c>
      <c r="M270" s="832"/>
      <c r="N270" s="832"/>
      <c r="O270" s="48">
        <f>IF(t&lt;Tnet,'2020'!Resal+('2020'!Salim-'2020'!Resal)*(1-EXP(('2020'!Tnet-t)/('2020'!Tau_j))),Resal+(Salim-Resal)*(1-EXP((Tnet-t)/(Tau_j))))*Salcycl</f>
        <v>9.5735567861496368E-2</v>
      </c>
      <c r="P270" s="169">
        <f>(INDEX(Models!$BJ270:$BT270,,T270)*(1-R270)+INDEX(Models!$BJ270:$BT270,,T270+1)*R270-ERP_i)*Q270*Ramure*Pc/MaxiM</f>
        <v>8.9686738585920879E-6</v>
      </c>
      <c r="Q270" s="304">
        <f t="shared" si="77"/>
        <v>0.6</v>
      </c>
      <c r="R270" s="177">
        <f t="shared" si="78"/>
        <v>0.98938068249090039</v>
      </c>
      <c r="S270" s="799">
        <f t="shared" si="79"/>
        <v>-1</v>
      </c>
      <c r="T270" s="176">
        <f t="shared" si="80"/>
        <v>5</v>
      </c>
      <c r="U270" s="250">
        <f t="shared" si="81"/>
        <v>-1.0619317509099668E-2</v>
      </c>
      <c r="V270" s="382">
        <f t="shared" si="82"/>
        <v>46.222443119685174</v>
      </c>
      <c r="W270" s="400"/>
      <c r="X270" s="157">
        <f t="shared" si="83"/>
        <v>44452</v>
      </c>
      <c r="Y270" s="383">
        <f t="shared" si="84"/>
        <v>34.225000000000001</v>
      </c>
      <c r="Z270" s="383">
        <f t="shared" si="85"/>
        <v>34.857839742195232</v>
      </c>
      <c r="AA270" s="384">
        <f t="shared" si="86"/>
        <v>38.54828134703871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9.5735567861496368E-2</v>
      </c>
      <c r="AD270" s="230">
        <f>(INDEX(Models!$BJ270:$BT270,,AH270)*(1-AF270)+INDEX(Models!$BJ270:$BT270,,AH270+1)*AF270-ERP_i)*AE270*Ramure*Pc/MaxiM</f>
        <v>8.9686738585920879E-6</v>
      </c>
      <c r="AE270" s="304">
        <f t="shared" si="88"/>
        <v>0.6</v>
      </c>
      <c r="AF270" s="177">
        <f t="shared" si="89"/>
        <v>0.98938068249090039</v>
      </c>
      <c r="AG270" s="799">
        <f t="shared" si="95"/>
        <v>-1</v>
      </c>
      <c r="AH270" s="176">
        <f t="shared" si="90"/>
        <v>5</v>
      </c>
      <c r="AI270" s="224">
        <f t="shared" si="91"/>
        <v>-1.0619317509099668E-2</v>
      </c>
      <c r="AJ270" s="264" t="b">
        <f t="shared" si="92"/>
        <v>0</v>
      </c>
      <c r="AK270" s="264" t="b">
        <f t="shared" si="93"/>
        <v>0</v>
      </c>
      <c r="AL270" s="264"/>
      <c r="AM270" s="264"/>
      <c r="AN270" s="75"/>
    </row>
    <row r="271" spans="1:40" s="6" customFormat="1" ht="11.25" x14ac:dyDescent="0.2">
      <c r="A271" s="56">
        <f t="shared" si="94"/>
        <v>44453</v>
      </c>
      <c r="B271" s="607">
        <v>20.939</v>
      </c>
      <c r="C271" s="388"/>
      <c r="D271" s="391">
        <f t="shared" ref="D271:D334" si="98">Wh/(1-Ppv)</f>
        <v>21.326582754500738</v>
      </c>
      <c r="E271" s="383">
        <f t="shared" si="96"/>
        <v>23.587634034733515</v>
      </c>
      <c r="F271" s="383">
        <f t="shared" ref="F271:F334" si="99">Wh_sa/(1-Pvg*MEDIAN((-Sdif+Wh/Env_an)/Csdif,0,1))</f>
        <v>23.587683773765388</v>
      </c>
      <c r="G271" s="110">
        <f t="shared" si="97"/>
        <v>0.45484095094099236</v>
      </c>
      <c r="H271" s="412" t="b">
        <f>Wh_hp&gt;='2020'!Maxi_hp</f>
        <v>0</v>
      </c>
      <c r="I271" s="379">
        <f>IF(H271,Wh_hp,'2020'!Maxi_hp)</f>
        <v>49.421570563132221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1.8173692380179518E-2</v>
      </c>
      <c r="M271" s="832"/>
      <c r="N271" s="832"/>
      <c r="O271" s="48">
        <f>IF(t&lt;Tnet,'2020'!Resal+('2020'!Salim-'2020'!Resal)*(1-EXP(('2020'!Tnet-t)/('2020'!Tau_j))),Resal+(Salim-Resal)*(1-EXP((Tnet-t)/(Tau_j))))*Salcycl</f>
        <v>9.585748519344113E-2</v>
      </c>
      <c r="P271" s="169">
        <f>(INDEX(Models!$BJ271:$BT271,,T271)*(1-R271)+INDEX(Models!$BJ271:$BT271,,T271+1)*R271-ERP_i)*Q271*Ramure*Pc/MaxiM</f>
        <v>9.5326746376587676E-6</v>
      </c>
      <c r="Q271" s="304">
        <f t="shared" ref="Q271:Q334" si="101">IF(OR(t&lt;Ttai,Notai),Dd+PousD*Croivg,Dens+PousD*(Croivg-Croi_tai))</f>
        <v>0.6</v>
      </c>
      <c r="R271" s="177">
        <f t="shared" ref="R271:R334" si="102">(Hp_vg-S271)/(INDEX(Echel_vg,T271+1)-S271)</f>
        <v>0.98977161319533591</v>
      </c>
      <c r="S271" s="799">
        <f t="shared" ref="S271:S334" si="103">INDEX(Echel_vg,T271)</f>
        <v>-1</v>
      </c>
      <c r="T271" s="176">
        <f t="shared" ref="T271:T334" si="104">MIN(MATCH(Hp_vg,Echel_vg),10)</f>
        <v>5</v>
      </c>
      <c r="U271" s="250">
        <f t="shared" ref="U271:U334" si="105">IF(OR(t&lt;Ttai,Notai),Hdd+PousH*Croivg,Hdtf+PousH*(Croivg-Croi_tai))</f>
        <v>-1.0228386804664091E-2</v>
      </c>
      <c r="V271" s="382">
        <f t="shared" ref="V271:V334" si="106">MaxiM*(1-Ppv)*(1-Pvg)*(1-Psa)</f>
        <v>46.035530673891316</v>
      </c>
      <c r="W271" s="400"/>
      <c r="X271" s="157">
        <f t="shared" ref="X271:X334" si="107">t</f>
        <v>44453</v>
      </c>
      <c r="Y271" s="383">
        <f t="shared" ref="Y271:Y334" si="108">Wh_pvt_s*(1-Ppv)</f>
        <v>20.939</v>
      </c>
      <c r="Z271" s="383">
        <f t="shared" ref="Z271:Z334" si="109">Wh_sa_s*(1-Psa_s)</f>
        <v>21.326582754500738</v>
      </c>
      <c r="AA271" s="384">
        <f t="shared" ref="AA271:AA334" si="110">Wh_hp*(1-Pvg_s*MEDIAN((-Sdif+Wh/Env_an)/Csdif,0,1))</f>
        <v>23.587634034733515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9.585748519344113E-2</v>
      </c>
      <c r="AD271" s="230">
        <f>(INDEX(Models!$BJ271:$BT271,,AH271)*(1-AF271)+INDEX(Models!$BJ271:$BT271,,AH271+1)*AF271-ERP_i)*AE271*Ramure*Pc/MaxiM</f>
        <v>9.5326746376587676E-6</v>
      </c>
      <c r="AE271" s="304">
        <f t="shared" ref="AE271:AE334" si="112">IF(OR(t&lt;Ttai,Notai),Dd_s+PousD*Croivg,Dens_s+PousD*(Croivg-Croi_tai))</f>
        <v>0.6</v>
      </c>
      <c r="AF271" s="177">
        <f t="shared" ref="AF271:AF334" si="113">(Hp_vg_s-AG271)/(INDEX(Echel_vg,AH271+1)-AG271)</f>
        <v>0.98977161319533591</v>
      </c>
      <c r="AG271" s="799">
        <f t="shared" si="95"/>
        <v>-1</v>
      </c>
      <c r="AH271" s="176">
        <f t="shared" ref="AH271:AH334" si="114">MIN(MATCH(Hp_vg_s,Echel_vg),10)</f>
        <v>5</v>
      </c>
      <c r="AI271" s="224">
        <f t="shared" ref="AI271:AI334" si="115">IF(OR(t&lt;Ttai,Notai),Hdd_s+PousH*Croivg,Hdtai_s+PousH*(Croivg-Croi_tai))</f>
        <v>-1.0228386804664091E-2</v>
      </c>
      <c r="AJ271" s="264" t="b">
        <f t="shared" ref="AJ271:AJ334" si="116">t&lt;Tnet</f>
        <v>0</v>
      </c>
      <c r="AK271" s="264" t="b">
        <f t="shared" ref="AK271:AK334" si="117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18">A271+1</f>
        <v>44454</v>
      </c>
      <c r="B272" s="607">
        <v>29.221</v>
      </c>
      <c r="C272" s="388"/>
      <c r="D272" s="391">
        <f t="shared" si="98"/>
        <v>29.762453702601778</v>
      </c>
      <c r="E272" s="383">
        <f t="shared" si="96"/>
        <v>32.92227672753085</v>
      </c>
      <c r="F272" s="383">
        <f t="shared" si="99"/>
        <v>32.922437117017331</v>
      </c>
      <c r="G272" s="110">
        <f t="shared" si="97"/>
        <v>0.63739409169145433</v>
      </c>
      <c r="H272" s="412" t="b">
        <f>Wh_hp&gt;='2020'!Maxi_hp</f>
        <v>0</v>
      </c>
      <c r="I272" s="379">
        <f>IF(H272,Wh_hp,'2020'!Maxi_hp)</f>
        <v>51.00676090295368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1.8192508857374445E-2</v>
      </c>
      <c r="M272" s="832"/>
      <c r="N272" s="832"/>
      <c r="O272" s="48">
        <f>IF(t&lt;Tnet,'2020'!Resal+('2020'!Salim-'2020'!Resal)*(1-EXP(('2020'!Tnet-t)/('2020'!Tau_j))),Resal+(Salim-Resal)*(1-EXP((Tnet-t)/(Tau_j))))*Salcycl</f>
        <v>9.5978265752401842E-2</v>
      </c>
      <c r="P272" s="169">
        <f>(INDEX(Models!$BJ272:$BT272,,T272)*(1-R272)+INDEX(Models!$BJ272:$BT272,,T272+1)*R272-ERP_i)*Q272*Ramure*Pc/MaxiM</f>
        <v>1.0107417177314618E-5</v>
      </c>
      <c r="Q272" s="304">
        <f t="shared" si="101"/>
        <v>0.6</v>
      </c>
      <c r="R272" s="177">
        <f t="shared" si="102"/>
        <v>0.99014738980523398</v>
      </c>
      <c r="S272" s="799">
        <f t="shared" si="103"/>
        <v>-1</v>
      </c>
      <c r="T272" s="176">
        <f t="shared" si="104"/>
        <v>5</v>
      </c>
      <c r="U272" s="250">
        <f t="shared" si="105"/>
        <v>-9.8526101947660205E-3</v>
      </c>
      <c r="V272" s="382">
        <f t="shared" si="106"/>
        <v>45.844238891403386</v>
      </c>
      <c r="W272" s="400"/>
      <c r="X272" s="157">
        <f t="shared" si="107"/>
        <v>44454</v>
      </c>
      <c r="Y272" s="383">
        <f t="shared" si="108"/>
        <v>29.221</v>
      </c>
      <c r="Z272" s="383">
        <f t="shared" si="109"/>
        <v>29.762453702601778</v>
      </c>
      <c r="AA272" s="384">
        <f t="shared" si="110"/>
        <v>32.92227672753085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9.5978265752401842E-2</v>
      </c>
      <c r="AD272" s="230">
        <f>(INDEX(Models!$BJ272:$BT272,,AH272)*(1-AF272)+INDEX(Models!$BJ272:$BT272,,AH272+1)*AF272-ERP_i)*AE272*Ramure*Pc/MaxiM</f>
        <v>1.0107417177314618E-5</v>
      </c>
      <c r="AE272" s="304">
        <f t="shared" si="112"/>
        <v>0.6</v>
      </c>
      <c r="AF272" s="177">
        <f t="shared" si="113"/>
        <v>0.99014738980523398</v>
      </c>
      <c r="AG272" s="799">
        <f t="shared" ref="AG272:AG335" si="119">INDEX(Echel_vg,AH272)</f>
        <v>-1</v>
      </c>
      <c r="AH272" s="176">
        <f t="shared" si="114"/>
        <v>5</v>
      </c>
      <c r="AI272" s="224">
        <f t="shared" si="115"/>
        <v>-9.8526101947660205E-3</v>
      </c>
      <c r="AJ272" s="264" t="b">
        <f t="shared" si="116"/>
        <v>0</v>
      </c>
      <c r="AK272" s="264" t="b">
        <f t="shared" si="117"/>
        <v>0</v>
      </c>
      <c r="AL272" s="264"/>
      <c r="AM272" s="264"/>
      <c r="AN272" s="75"/>
    </row>
    <row r="273" spans="1:40" s="6" customFormat="1" ht="11.25" x14ac:dyDescent="0.2">
      <c r="A273" s="56">
        <f t="shared" si="118"/>
        <v>44455</v>
      </c>
      <c r="B273" s="607">
        <v>19.336000000000002</v>
      </c>
      <c r="C273" s="388"/>
      <c r="D273" s="391">
        <f t="shared" si="98"/>
        <v>19.694665962089115</v>
      </c>
      <c r="E273" s="383">
        <f t="shared" si="96"/>
        <v>21.788493993967869</v>
      </c>
      <c r="F273" s="383">
        <f t="shared" si="99"/>
        <v>21.788535128154638</v>
      </c>
      <c r="G273" s="110">
        <f t="shared" si="97"/>
        <v>0.423582838844627</v>
      </c>
      <c r="H273" s="412" t="b">
        <f>Wh_hp&gt;='2020'!Maxi_hp</f>
        <v>0</v>
      </c>
      <c r="I273" s="379">
        <f>IF(H273,Wh_hp,'2020'!Maxi_hp)</f>
        <v>45.030086079266795</v>
      </c>
      <c r="J273" s="85">
        <f>IF(H273,An,'2020'!An_max)</f>
        <v>2018</v>
      </c>
      <c r="K273" s="197">
        <f t="shared" si="100"/>
        <v>44455</v>
      </c>
      <c r="L273" s="147">
        <f>IF(t&lt;Tvie,1-EXP((T0-t)*PertePVj)+'2020'!Pspv,1-EXP((T0-t)*PertePVj)+Pspv)</f>
        <v>1.8211324973955945E-2</v>
      </c>
      <c r="M273" s="832"/>
      <c r="N273" s="832"/>
      <c r="O273" s="48">
        <f>IF(t&lt;Tnet,'2020'!Resal+('2020'!Salim-'2020'!Resal)*(1-EXP(('2020'!Tnet-t)/('2020'!Tau_j))),Resal+(Salim-Resal)*(1-EXP((Tnet-t)/(Tau_j))))*Salcycl</f>
        <v>9.6097877735764045E-2</v>
      </c>
      <c r="P273" s="169">
        <f>(INDEX(Models!$BJ273:$BT273,,T273)*(1-R273)+INDEX(Models!$BJ273:$BT273,,T273+1)*R273-ERP_i)*Q273*Ramure*Pc/MaxiM</f>
        <v>1.0693051253306623E-5</v>
      </c>
      <c r="Q273" s="304">
        <f t="shared" si="101"/>
        <v>0.6</v>
      </c>
      <c r="R273" s="177">
        <f t="shared" si="102"/>
        <v>0.99050857747712961</v>
      </c>
      <c r="S273" s="799">
        <f t="shared" si="103"/>
        <v>-1</v>
      </c>
      <c r="T273" s="176">
        <f t="shared" si="104"/>
        <v>5</v>
      </c>
      <c r="U273" s="250">
        <f t="shared" si="105"/>
        <v>-9.4914225228703852E-3</v>
      </c>
      <c r="V273" s="382">
        <f t="shared" si="106"/>
        <v>45.648284042077314</v>
      </c>
      <c r="W273" s="400"/>
      <c r="X273" s="157">
        <f t="shared" si="107"/>
        <v>44455</v>
      </c>
      <c r="Y273" s="383">
        <f t="shared" si="108"/>
        <v>19.336000000000002</v>
      </c>
      <c r="Z273" s="383">
        <f t="shared" si="109"/>
        <v>19.694665962089115</v>
      </c>
      <c r="AA273" s="384">
        <f t="shared" si="110"/>
        <v>21.788493993967869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9.6097877735764045E-2</v>
      </c>
      <c r="AD273" s="230">
        <f>(INDEX(Models!$BJ273:$BT273,,AH273)*(1-AF273)+INDEX(Models!$BJ273:$BT273,,AH273+1)*AF273-ERP_i)*AE273*Ramure*Pc/MaxiM</f>
        <v>1.0693051253306623E-5</v>
      </c>
      <c r="AE273" s="304">
        <f t="shared" si="112"/>
        <v>0.6</v>
      </c>
      <c r="AF273" s="177">
        <f t="shared" si="113"/>
        <v>0.99050857747712961</v>
      </c>
      <c r="AG273" s="799">
        <f t="shared" si="119"/>
        <v>-1</v>
      </c>
      <c r="AH273" s="176">
        <f t="shared" si="114"/>
        <v>5</v>
      </c>
      <c r="AI273" s="224">
        <f t="shared" si="115"/>
        <v>-9.4914225228703852E-3</v>
      </c>
      <c r="AJ273" s="264" t="b">
        <f t="shared" si="116"/>
        <v>0</v>
      </c>
      <c r="AK273" s="264" t="b">
        <f t="shared" si="117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18"/>
        <v>44456</v>
      </c>
      <c r="B274" s="607">
        <v>40.76</v>
      </c>
      <c r="C274" s="388"/>
      <c r="D274" s="391">
        <f t="shared" si="98"/>
        <v>41.516858167049897</v>
      </c>
      <c r="E274" s="383">
        <f t="shared" si="96"/>
        <v>45.936718747823456</v>
      </c>
      <c r="F274" s="383">
        <f t="shared" si="99"/>
        <v>45.937160952606703</v>
      </c>
      <c r="G274" s="110">
        <f t="shared" si="97"/>
        <v>0.89685983897577937</v>
      </c>
      <c r="H274" s="412" t="b">
        <f>Wh_hp&gt;='2020'!Maxi_hp</f>
        <v>1</v>
      </c>
      <c r="I274" s="379">
        <f>IF(H274,Wh_hp,'2020'!Maxi_hp)</f>
        <v>45.937160952606703</v>
      </c>
      <c r="J274" s="85">
        <f>IF(H274,An,'2020'!An_max)</f>
        <v>2021</v>
      </c>
      <c r="K274" s="197">
        <f t="shared" si="100"/>
        <v>44456</v>
      </c>
      <c r="L274" s="147">
        <f>IF(t&lt;Tvie,1-EXP((T0-t)*PertePVj)+'2020'!Pspv,1-EXP((T0-t)*PertePVj)+Pspv)</f>
        <v>1.8230140729930788E-2</v>
      </c>
      <c r="M274" s="832"/>
      <c r="N274" s="832"/>
      <c r="O274" s="48">
        <f>IF(t&lt;Tnet,'2020'!Resal+('2020'!Salim-'2020'!Resal)*(1-EXP(('2020'!Tnet-t)/('2020'!Tau_j))),Resal+(Salim-Resal)*(1-EXP((Tnet-t)/(Tau_j))))*Salcycl</f>
        <v>9.6216288434466862E-2</v>
      </c>
      <c r="P274" s="169">
        <f>(INDEX(Models!$BJ274:$BT274,,T274)*(1-R274)+INDEX(Models!$BJ274:$BT274,,T274+1)*R274-ERP_i)*Q274*Ramure*Pc/MaxiM</f>
        <v>1.1289738482115784E-5</v>
      </c>
      <c r="Q274" s="304">
        <f t="shared" si="101"/>
        <v>0.6</v>
      </c>
      <c r="R274" s="177">
        <f t="shared" si="102"/>
        <v>0.99085572202222794</v>
      </c>
      <c r="S274" s="799">
        <f t="shared" si="103"/>
        <v>-1</v>
      </c>
      <c r="T274" s="176">
        <f t="shared" si="104"/>
        <v>5</v>
      </c>
      <c r="U274" s="250">
        <f t="shared" si="105"/>
        <v>-9.144277977772064E-3</v>
      </c>
      <c r="V274" s="382">
        <f t="shared" si="106"/>
        <v>45.447382552045156</v>
      </c>
      <c r="W274" s="400"/>
      <c r="X274" s="157">
        <f t="shared" si="107"/>
        <v>44456</v>
      </c>
      <c r="Y274" s="383">
        <f t="shared" si="108"/>
        <v>40.76</v>
      </c>
      <c r="Z274" s="383">
        <f t="shared" si="109"/>
        <v>41.516858167049897</v>
      </c>
      <c r="AA274" s="384">
        <f t="shared" si="110"/>
        <v>45.936718747823456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9.6216288434466862E-2</v>
      </c>
      <c r="AD274" s="230">
        <f>(INDEX(Models!$BJ274:$BT274,,AH274)*(1-AF274)+INDEX(Models!$BJ274:$BT274,,AH274+1)*AF274-ERP_i)*AE274*Ramure*Pc/MaxiM</f>
        <v>1.1289738482115784E-5</v>
      </c>
      <c r="AE274" s="304">
        <f t="shared" si="112"/>
        <v>0.6</v>
      </c>
      <c r="AF274" s="177">
        <f t="shared" si="113"/>
        <v>0.99085572202222794</v>
      </c>
      <c r="AG274" s="799">
        <f t="shared" si="119"/>
        <v>-1</v>
      </c>
      <c r="AH274" s="176">
        <f t="shared" si="114"/>
        <v>5</v>
      </c>
      <c r="AI274" s="224">
        <f t="shared" si="115"/>
        <v>-9.144277977772064E-3</v>
      </c>
      <c r="AJ274" s="264" t="b">
        <f t="shared" si="116"/>
        <v>0</v>
      </c>
      <c r="AK274" s="264" t="b">
        <f t="shared" si="117"/>
        <v>0</v>
      </c>
      <c r="AL274" s="264"/>
      <c r="AM274" s="264"/>
      <c r="AN274" s="75"/>
    </row>
    <row r="275" spans="1:40" s="6" customFormat="1" ht="11.25" x14ac:dyDescent="0.2">
      <c r="A275" s="56">
        <f t="shared" si="118"/>
        <v>44457</v>
      </c>
      <c r="B275" s="607">
        <v>9.6180000000000003</v>
      </c>
      <c r="C275" s="388"/>
      <c r="D275" s="391">
        <f t="shared" si="98"/>
        <v>9.7967810271333882</v>
      </c>
      <c r="E275" s="383">
        <f t="shared" si="96"/>
        <v>10.841146197476165</v>
      </c>
      <c r="F275" s="383">
        <f t="shared" si="99"/>
        <v>10.841146197476165</v>
      </c>
      <c r="G275" s="110">
        <f t="shared" si="97"/>
        <v>0.21258866709058427</v>
      </c>
      <c r="H275" s="412" t="b">
        <f>Wh_hp&gt;='2020'!Maxi_hp</f>
        <v>0</v>
      </c>
      <c r="I275" s="379">
        <f>IF(H275,Wh_hp,'2020'!Maxi_hp)</f>
        <v>45.153644787836392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1.8248956125305971E-2</v>
      </c>
      <c r="M275" s="832"/>
      <c r="N275" s="832"/>
      <c r="O275" s="48">
        <f>IF(t&lt;Tnet,'2020'!Resal+('2020'!Salim-'2020'!Resal)*(1-EXP(('2020'!Tnet-t)/('2020'!Tau_j))),Resal+(Salim-Resal)*(1-EXP((Tnet-t)/(Tau_j))))*Salcycl</f>
        <v>9.6333464314493536E-2</v>
      </c>
      <c r="P275" s="169">
        <f>(INDEX(Models!$BJ275:$BT275,,T275)*(1-R275)+INDEX(Models!$BJ275:$BT275,,T275+1)*R275-ERP_i)*Q275*Ramure*Pc/MaxiM</f>
        <v>1.1897519004797376E-5</v>
      </c>
      <c r="Q275" s="304">
        <f t="shared" si="101"/>
        <v>0.6</v>
      </c>
      <c r="R275" s="177">
        <f t="shared" si="102"/>
        <v>0.99118935043208578</v>
      </c>
      <c r="S275" s="799">
        <f t="shared" si="103"/>
        <v>-1</v>
      </c>
      <c r="T275" s="176">
        <f t="shared" si="104"/>
        <v>5</v>
      </c>
      <c r="U275" s="250">
        <f t="shared" si="105"/>
        <v>-8.8106495679142194E-3</v>
      </c>
      <c r="V275" s="382">
        <f t="shared" si="106"/>
        <v>45.241760538269993</v>
      </c>
      <c r="W275" s="400"/>
      <c r="X275" s="157">
        <f t="shared" si="107"/>
        <v>44457</v>
      </c>
      <c r="Y275" s="383">
        <f t="shared" si="108"/>
        <v>9.6180000000000003</v>
      </c>
      <c r="Z275" s="383">
        <f t="shared" si="109"/>
        <v>9.7967810271333882</v>
      </c>
      <c r="AA275" s="384">
        <f t="shared" si="110"/>
        <v>10.841146197476165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9.6333464314493536E-2</v>
      </c>
      <c r="AD275" s="230">
        <f>(INDEX(Models!$BJ275:$BT275,,AH275)*(1-AF275)+INDEX(Models!$BJ275:$BT275,,AH275+1)*AF275-ERP_i)*AE275*Ramure*Pc/MaxiM</f>
        <v>1.1897519004797376E-5</v>
      </c>
      <c r="AE275" s="304">
        <f t="shared" si="112"/>
        <v>0.6</v>
      </c>
      <c r="AF275" s="177">
        <f t="shared" si="113"/>
        <v>0.99118935043208578</v>
      </c>
      <c r="AG275" s="799">
        <f t="shared" si="119"/>
        <v>-1</v>
      </c>
      <c r="AH275" s="176">
        <f t="shared" si="114"/>
        <v>5</v>
      </c>
      <c r="AI275" s="224">
        <f t="shared" si="115"/>
        <v>-8.8106495679142194E-3</v>
      </c>
      <c r="AJ275" s="264" t="b">
        <f t="shared" si="116"/>
        <v>0</v>
      </c>
      <c r="AK275" s="264" t="b">
        <f t="shared" si="117"/>
        <v>0</v>
      </c>
      <c r="AL275" s="264"/>
      <c r="AM275" s="264"/>
      <c r="AN275" s="75"/>
    </row>
    <row r="276" spans="1:40" s="6" customFormat="1" ht="11.25" x14ac:dyDescent="0.2">
      <c r="A276" s="56">
        <f t="shared" si="118"/>
        <v>44458</v>
      </c>
      <c r="B276" s="607">
        <v>33.335999999999999</v>
      </c>
      <c r="C276" s="388"/>
      <c r="D276" s="391">
        <f t="shared" si="98"/>
        <v>33.956306027960721</v>
      </c>
      <c r="E276" s="383">
        <f t="shared" si="96"/>
        <v>37.580966624851854</v>
      </c>
      <c r="F276" s="383">
        <f t="shared" si="99"/>
        <v>37.581263245072087</v>
      </c>
      <c r="G276" s="110">
        <f t="shared" si="97"/>
        <v>0.74027182596853025</v>
      </c>
      <c r="H276" s="412" t="b">
        <f>Wh_hp&gt;='2020'!Maxi_hp</f>
        <v>0</v>
      </c>
      <c r="I276" s="379">
        <f>IF(H276,Wh_hp,'2020'!Maxi_hp)</f>
        <v>41.378548942317927</v>
      </c>
      <c r="J276" s="85">
        <f>IF(H276,An,'2020'!An_max)</f>
        <v>2018</v>
      </c>
      <c r="K276" s="197">
        <f t="shared" si="100"/>
        <v>44458</v>
      </c>
      <c r="L276" s="147">
        <f>IF(t&lt;Tvie,1-EXP((T0-t)*PertePVj)+'2020'!Pspv,1-EXP((T0-t)*PertePVj)+Pspv)</f>
        <v>1.8267771160088486E-2</v>
      </c>
      <c r="M276" s="832"/>
      <c r="N276" s="832"/>
      <c r="O276" s="48">
        <f>IF(t&lt;Tnet,'2020'!Resal+('2020'!Salim-'2020'!Resal)*(1-EXP(('2020'!Tnet-t)/('2020'!Tau_j))),Resal+(Salim-Resal)*(1-EXP((Tnet-t)/(Tau_j))))*Salcycl</f>
        <v>9.6449371115808008E-2</v>
      </c>
      <c r="P276" s="169">
        <f>(INDEX(Models!$BJ276:$BT276,,T276)*(1-R276)+INDEX(Models!$BJ276:$BT276,,T276+1)*R276-ERP_i)*Q276*Ramure*Pc/MaxiM</f>
        <v>1.2548826765554619E-5</v>
      </c>
      <c r="Q276" s="304">
        <f t="shared" si="101"/>
        <v>0.6</v>
      </c>
      <c r="R276" s="177">
        <f t="shared" si="102"/>
        <v>0.99150997140134733</v>
      </c>
      <c r="S276" s="799">
        <f t="shared" si="103"/>
        <v>-1</v>
      </c>
      <c r="T276" s="176">
        <f t="shared" si="104"/>
        <v>5</v>
      </c>
      <c r="U276" s="250">
        <f t="shared" si="105"/>
        <v>-8.4900285986526103E-3</v>
      </c>
      <c r="V276" s="382">
        <f t="shared" si="106"/>
        <v>45.031897223442556</v>
      </c>
      <c r="W276" s="400"/>
      <c r="X276" s="157">
        <f t="shared" si="107"/>
        <v>44458</v>
      </c>
      <c r="Y276" s="383">
        <f t="shared" si="108"/>
        <v>33.335999999999999</v>
      </c>
      <c r="Z276" s="383">
        <f t="shared" si="109"/>
        <v>33.956306027960721</v>
      </c>
      <c r="AA276" s="384">
        <f t="shared" si="110"/>
        <v>37.580966624851854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9.6449371115808008E-2</v>
      </c>
      <c r="AD276" s="230">
        <f>(INDEX(Models!$BJ276:$BT276,,AH276)*(1-AF276)+INDEX(Models!$BJ276:$BT276,,AH276+1)*AF276-ERP_i)*AE276*Ramure*Pc/MaxiM</f>
        <v>1.2548826765554619E-5</v>
      </c>
      <c r="AE276" s="304">
        <f t="shared" si="112"/>
        <v>0.6</v>
      </c>
      <c r="AF276" s="177">
        <f t="shared" si="113"/>
        <v>0.99150997140134733</v>
      </c>
      <c r="AG276" s="799">
        <f t="shared" si="119"/>
        <v>-1</v>
      </c>
      <c r="AH276" s="176">
        <f t="shared" si="114"/>
        <v>5</v>
      </c>
      <c r="AI276" s="224">
        <f t="shared" si="115"/>
        <v>-8.4900285986526103E-3</v>
      </c>
      <c r="AJ276" s="264" t="b">
        <f t="shared" si="116"/>
        <v>0</v>
      </c>
      <c r="AK276" s="264" t="b">
        <f t="shared" si="117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18"/>
        <v>44459</v>
      </c>
      <c r="B277" s="607">
        <v>27.872</v>
      </c>
      <c r="C277" s="388"/>
      <c r="D277" s="391">
        <f t="shared" si="98"/>
        <v>28.39117770809553</v>
      </c>
      <c r="E277" s="383">
        <f t="shared" si="96"/>
        <v>31.425775472809526</v>
      </c>
      <c r="F277" s="383">
        <f t="shared" si="99"/>
        <v>31.425967008846218</v>
      </c>
      <c r="G277" s="110">
        <f t="shared" si="97"/>
        <v>0.62189005675374409</v>
      </c>
      <c r="H277" s="412" t="b">
        <f>Wh_hp&gt;='2020'!Maxi_hp</f>
        <v>0</v>
      </c>
      <c r="I277" s="379">
        <f>IF(H277,Wh_hp,'2020'!Maxi_hp)</f>
        <v>48.33049849945759</v>
      </c>
      <c r="J277" s="85">
        <f>IF(H277,An,'2020'!An_max)</f>
        <v>2018</v>
      </c>
      <c r="K277" s="197">
        <f t="shared" si="100"/>
        <v>44459</v>
      </c>
      <c r="L277" s="147">
        <f>IF(t&lt;Tvie,1-EXP((T0-t)*PertePVj)+'2020'!Pspv,1-EXP((T0-t)*PertePVj)+Pspv)</f>
        <v>1.8286585834285107E-2</v>
      </c>
      <c r="M277" s="832"/>
      <c r="N277" s="832"/>
      <c r="O277" s="48">
        <f>IF(t&lt;Tnet,'2020'!Resal+('2020'!Salim-'2020'!Resal)*(1-EXP(('2020'!Tnet-t)/('2020'!Tau_j))),Resal+(Salim-Resal)*(1-EXP((Tnet-t)/(Tau_j))))*Salcycl</f>
        <v>9.656397396906298E-2</v>
      </c>
      <c r="P277" s="169">
        <f>(INDEX(Models!$BJ277:$BT277,,T277)*(1-R277)+INDEX(Models!$BJ277:$BT277,,T277+1)*R277-ERP_i)*Q277*Ramure*Pc/MaxiM</f>
        <v>1.3253980216601718E-5</v>
      </c>
      <c r="Q277" s="304">
        <f t="shared" si="101"/>
        <v>0.6</v>
      </c>
      <c r="R277" s="177">
        <f t="shared" si="102"/>
        <v>0.99181807584640613</v>
      </c>
      <c r="S277" s="799">
        <f t="shared" si="103"/>
        <v>-1</v>
      </c>
      <c r="T277" s="176">
        <f t="shared" si="104"/>
        <v>5</v>
      </c>
      <c r="U277" s="250">
        <f t="shared" si="105"/>
        <v>-8.1819241535938669E-3</v>
      </c>
      <c r="V277" s="382">
        <f t="shared" si="106"/>
        <v>44.817890487809144</v>
      </c>
      <c r="W277" s="400"/>
      <c r="X277" s="157">
        <f t="shared" si="107"/>
        <v>44459</v>
      </c>
      <c r="Y277" s="383">
        <f t="shared" si="108"/>
        <v>27.872</v>
      </c>
      <c r="Z277" s="383">
        <f t="shared" si="109"/>
        <v>28.39117770809553</v>
      </c>
      <c r="AA277" s="384">
        <f t="shared" si="110"/>
        <v>31.425775472809526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9.656397396906298E-2</v>
      </c>
      <c r="AD277" s="230">
        <f>(INDEX(Models!$BJ277:$BT277,,AH277)*(1-AF277)+INDEX(Models!$BJ277:$BT277,,AH277+1)*AF277-ERP_i)*AE277*Ramure*Pc/MaxiM</f>
        <v>1.3253980216601718E-5</v>
      </c>
      <c r="AE277" s="304">
        <f t="shared" si="112"/>
        <v>0.6</v>
      </c>
      <c r="AF277" s="177">
        <f t="shared" si="113"/>
        <v>0.99181807584640613</v>
      </c>
      <c r="AG277" s="799">
        <f t="shared" si="119"/>
        <v>-1</v>
      </c>
      <c r="AH277" s="176">
        <f t="shared" si="114"/>
        <v>5</v>
      </c>
      <c r="AI277" s="224">
        <f t="shared" si="115"/>
        <v>-8.1819241535938669E-3</v>
      </c>
      <c r="AJ277" s="264" t="b">
        <f t="shared" si="116"/>
        <v>0</v>
      </c>
      <c r="AK277" s="264" t="b">
        <f t="shared" si="117"/>
        <v>0</v>
      </c>
      <c r="AL277" s="264"/>
      <c r="AM277" s="264"/>
      <c r="AN277" s="75"/>
    </row>
    <row r="278" spans="1:40" s="6" customFormat="1" ht="11.25" x14ac:dyDescent="0.2">
      <c r="A278" s="56">
        <f t="shared" si="118"/>
        <v>44460</v>
      </c>
      <c r="B278" s="607">
        <v>10.878</v>
      </c>
      <c r="C278" s="388"/>
      <c r="D278" s="391">
        <f t="shared" si="98"/>
        <v>11.080839195447226</v>
      </c>
      <c r="E278" s="383">
        <f t="shared" si="96"/>
        <v>12.266755201818297</v>
      </c>
      <c r="F278" s="383">
        <f t="shared" si="99"/>
        <v>12.266755201818297</v>
      </c>
      <c r="G278" s="110">
        <f t="shared" si="97"/>
        <v>0.24389881025031809</v>
      </c>
      <c r="H278" s="412" t="b">
        <f>Wh_hp&gt;='2020'!Maxi_hp</f>
        <v>0</v>
      </c>
      <c r="I278" s="379">
        <f>IF(H278,Wh_hp,'2020'!Maxi_hp)</f>
        <v>33.749737318549698</v>
      </c>
      <c r="J278" s="85">
        <f>IF(H278,An,'2020'!An_max)</f>
        <v>2018</v>
      </c>
      <c r="K278" s="197">
        <f t="shared" si="100"/>
        <v>44460</v>
      </c>
      <c r="L278" s="147">
        <f>IF(t&lt;Tvie,1-EXP((T0-t)*PertePVj)+'2020'!Pspv,1-EXP((T0-t)*PertePVj)+Pspv)</f>
        <v>1.8305400147902717E-2</v>
      </c>
      <c r="M278" s="832"/>
      <c r="N278" s="832"/>
      <c r="O278" s="48">
        <f>IF(t&lt;Tnet,'2020'!Resal+('2020'!Salim-'2020'!Resal)*(1-EXP(('2020'!Tnet-t)/('2020'!Tau_j))),Resal+(Salim-Resal)*(1-EXP((Tnet-t)/(Tau_j))))*Salcycl</f>
        <v>9.6677237530205545E-2</v>
      </c>
      <c r="P278" s="169">
        <f>(INDEX(Models!$BJ278:$BT278,,T278)*(1-R278)+INDEX(Models!$BJ278:$BT278,,T278+1)*R278-ERP_i)*Q278*Ramure*Pc/MaxiM</f>
        <v>1.4013319495633179E-5</v>
      </c>
      <c r="Q278" s="304">
        <f t="shared" si="101"/>
        <v>0.6</v>
      </c>
      <c r="R278" s="177">
        <f t="shared" si="102"/>
        <v>0.99211413741899379</v>
      </c>
      <c r="S278" s="799">
        <f t="shared" si="103"/>
        <v>-1</v>
      </c>
      <c r="T278" s="176">
        <f t="shared" si="104"/>
        <v>5</v>
      </c>
      <c r="U278" s="250">
        <f t="shared" si="105"/>
        <v>-7.8858625810062088E-3</v>
      </c>
      <c r="V278" s="382">
        <f t="shared" si="106"/>
        <v>44.599838563978146</v>
      </c>
      <c r="W278" s="400"/>
      <c r="X278" s="157">
        <f t="shared" si="107"/>
        <v>44460</v>
      </c>
      <c r="Y278" s="383">
        <f t="shared" si="108"/>
        <v>10.878</v>
      </c>
      <c r="Z278" s="383">
        <f t="shared" si="109"/>
        <v>11.080839195447226</v>
      </c>
      <c r="AA278" s="384">
        <f t="shared" si="110"/>
        <v>12.266755201818297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9.6677237530205545E-2</v>
      </c>
      <c r="AD278" s="230">
        <f>(INDEX(Models!$BJ278:$BT278,,AH278)*(1-AF278)+INDEX(Models!$BJ278:$BT278,,AH278+1)*AF278-ERP_i)*AE278*Ramure*Pc/MaxiM</f>
        <v>1.4013319495633179E-5</v>
      </c>
      <c r="AE278" s="304">
        <f t="shared" si="112"/>
        <v>0.6</v>
      </c>
      <c r="AF278" s="177">
        <f t="shared" si="113"/>
        <v>0.99211413741899379</v>
      </c>
      <c r="AG278" s="799">
        <f t="shared" si="119"/>
        <v>-1</v>
      </c>
      <c r="AH278" s="176">
        <f t="shared" si="114"/>
        <v>5</v>
      </c>
      <c r="AI278" s="224">
        <f t="shared" si="115"/>
        <v>-7.8858625810062088E-3</v>
      </c>
      <c r="AJ278" s="264" t="b">
        <f t="shared" si="116"/>
        <v>0</v>
      </c>
      <c r="AK278" s="264" t="b">
        <f t="shared" si="117"/>
        <v>0</v>
      </c>
      <c r="AL278" s="264"/>
      <c r="AM278" s="264"/>
      <c r="AN278" s="75"/>
    </row>
    <row r="279" spans="1:40" s="6" customFormat="1" ht="11.25" x14ac:dyDescent="0.2">
      <c r="A279" s="56">
        <f t="shared" si="118"/>
        <v>44461</v>
      </c>
      <c r="B279" s="607">
        <v>41.82</v>
      </c>
      <c r="C279" s="388"/>
      <c r="D279" s="391">
        <f t="shared" si="98"/>
        <v>42.600622935503949</v>
      </c>
      <c r="E279" s="383">
        <f t="shared" si="96"/>
        <v>47.16575516092864</v>
      </c>
      <c r="F279" s="383">
        <f t="shared" si="99"/>
        <v>47.16639692145835</v>
      </c>
      <c r="G279" s="110">
        <f t="shared" si="97"/>
        <v>0.94236108247666484</v>
      </c>
      <c r="H279" s="412" t="b">
        <f>Wh_hp&gt;='2020'!Maxi_hp</f>
        <v>1</v>
      </c>
      <c r="I279" s="379">
        <f>IF(H279,Wh_hp,'2020'!Maxi_hp)</f>
        <v>47.16639692145835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1.8324214100948422E-2</v>
      </c>
      <c r="M279" s="832"/>
      <c r="N279" s="832"/>
      <c r="O279" s="48">
        <f>IF(t&lt;Tnet,'2020'!Resal+('2020'!Salim-'2020'!Resal)*(1-EXP(('2020'!Tnet-t)/('2020'!Tau_j))),Resal+(Salim-Resal)*(1-EXP((Tnet-t)/(Tau_j))))*Salcycl</f>
        <v>9.6789126132901859E-2</v>
      </c>
      <c r="P279" s="169">
        <f>(INDEX(Models!$BJ279:$BT279,,T279)*(1-R279)+INDEX(Models!$BJ279:$BT279,,T279+1)*R279-ERP_i)*Q279*Ramure*Pc/MaxiM</f>
        <v>1.4827172581359177E-5</v>
      </c>
      <c r="Q279" s="304">
        <f t="shared" si="101"/>
        <v>0.6</v>
      </c>
      <c r="R279" s="177">
        <f t="shared" si="102"/>
        <v>0.99239861301380394</v>
      </c>
      <c r="S279" s="799">
        <f t="shared" si="103"/>
        <v>-1</v>
      </c>
      <c r="T279" s="176">
        <f t="shared" si="104"/>
        <v>5</v>
      </c>
      <c r="U279" s="250">
        <f t="shared" si="105"/>
        <v>-7.601386986196057E-3</v>
      </c>
      <c r="V279" s="382">
        <f t="shared" si="106"/>
        <v>44.377839578057213</v>
      </c>
      <c r="W279" s="400"/>
      <c r="X279" s="157">
        <f t="shared" si="107"/>
        <v>44461</v>
      </c>
      <c r="Y279" s="383">
        <f t="shared" si="108"/>
        <v>41.82</v>
      </c>
      <c r="Z279" s="383">
        <f t="shared" si="109"/>
        <v>42.600622935503949</v>
      </c>
      <c r="AA279" s="384">
        <f t="shared" si="110"/>
        <v>47.16575516092864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9.6789126132901859E-2</v>
      </c>
      <c r="AD279" s="230">
        <f>(INDEX(Models!$BJ279:$BT279,,AH279)*(1-AF279)+INDEX(Models!$BJ279:$BT279,,AH279+1)*AF279-ERP_i)*AE279*Ramure*Pc/MaxiM</f>
        <v>1.4827172581359177E-5</v>
      </c>
      <c r="AE279" s="304">
        <f t="shared" si="112"/>
        <v>0.6</v>
      </c>
      <c r="AF279" s="177">
        <f t="shared" si="113"/>
        <v>0.99239861301380394</v>
      </c>
      <c r="AG279" s="799">
        <f t="shared" si="119"/>
        <v>-1</v>
      </c>
      <c r="AH279" s="176">
        <f t="shared" si="114"/>
        <v>5</v>
      </c>
      <c r="AI279" s="224">
        <f t="shared" si="115"/>
        <v>-7.601386986196057E-3</v>
      </c>
      <c r="AJ279" s="264" t="b">
        <f t="shared" si="116"/>
        <v>0</v>
      </c>
      <c r="AK279" s="264" t="b">
        <f t="shared" si="117"/>
        <v>0</v>
      </c>
      <c r="AL279" s="264"/>
      <c r="AM279" s="264"/>
      <c r="AN279" s="75"/>
    </row>
    <row r="280" spans="1:40" s="6" customFormat="1" ht="11.25" x14ac:dyDescent="0.2">
      <c r="A280" s="56">
        <f t="shared" si="118"/>
        <v>44462</v>
      </c>
      <c r="B280" s="607">
        <v>38.399000000000001</v>
      </c>
      <c r="C280" s="388"/>
      <c r="D280" s="391">
        <f t="shared" si="98"/>
        <v>39.116515323855928</v>
      </c>
      <c r="E280" s="383">
        <f t="shared" si="96"/>
        <v>43.313584508779286</v>
      </c>
      <c r="F280" s="383">
        <f t="shared" si="99"/>
        <v>43.314137814675796</v>
      </c>
      <c r="G280" s="110">
        <f t="shared" si="97"/>
        <v>0.86969775256170156</v>
      </c>
      <c r="H280" s="412" t="b">
        <f>Wh_hp&gt;='2020'!Maxi_hp</f>
        <v>1</v>
      </c>
      <c r="I280" s="379">
        <f>IF(H280,Wh_hp,'2020'!Maxi_hp)</f>
        <v>43.314137814675796</v>
      </c>
      <c r="J280" s="85">
        <f>IF(H280,An,'2020'!An_max)</f>
        <v>2021</v>
      </c>
      <c r="K280" s="197">
        <f t="shared" si="100"/>
        <v>44462</v>
      </c>
      <c r="L280" s="147">
        <f>IF(t&lt;Tvie,1-EXP((T0-t)*PertePVj)+'2020'!Pspv,1-EXP((T0-t)*PertePVj)+Pspv)</f>
        <v>1.8343027693428882E-2</v>
      </c>
      <c r="M280" s="832"/>
      <c r="N280" s="832"/>
      <c r="O280" s="48">
        <f>IF(t&lt;Tnet,'2020'!Resal+('2020'!Salim-'2020'!Resal)*(1-EXP(('2020'!Tnet-t)/('2020'!Tau_j))),Resal+(Salim-Resal)*(1-EXP((Tnet-t)/(Tau_j))))*Salcycl</f>
        <v>9.6899603958491232E-2</v>
      </c>
      <c r="P280" s="169">
        <f>(INDEX(Models!$BJ280:$BT280,,T280)*(1-R280)+INDEX(Models!$BJ280:$BT280,,T280+1)*R280-ERP_i)*Q280*Ramure*Pc/MaxiM</f>
        <v>1.5695936072030291E-5</v>
      </c>
      <c r="Q280" s="304">
        <f t="shared" si="101"/>
        <v>0.6</v>
      </c>
      <c r="R280" s="177">
        <f t="shared" si="102"/>
        <v>0.99267194326936914</v>
      </c>
      <c r="S280" s="799">
        <f t="shared" si="103"/>
        <v>-1</v>
      </c>
      <c r="T280" s="176">
        <f t="shared" si="104"/>
        <v>5</v>
      </c>
      <c r="U280" s="250">
        <f t="shared" si="105"/>
        <v>-7.3280567306308053E-3</v>
      </c>
      <c r="V280" s="382">
        <f t="shared" si="106"/>
        <v>44.151991534852037</v>
      </c>
      <c r="W280" s="400"/>
      <c r="X280" s="157">
        <f t="shared" si="107"/>
        <v>44462</v>
      </c>
      <c r="Y280" s="383">
        <f t="shared" si="108"/>
        <v>38.399000000000001</v>
      </c>
      <c r="Z280" s="383">
        <f t="shared" si="109"/>
        <v>39.116515323855928</v>
      </c>
      <c r="AA280" s="384">
        <f t="shared" si="110"/>
        <v>43.313584508779286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9.6899603958491232E-2</v>
      </c>
      <c r="AD280" s="230">
        <f>(INDEX(Models!$BJ280:$BT280,,AH280)*(1-AF280)+INDEX(Models!$BJ280:$BT280,,AH280+1)*AF280-ERP_i)*AE280*Ramure*Pc/MaxiM</f>
        <v>1.5695936072030291E-5</v>
      </c>
      <c r="AE280" s="304">
        <f t="shared" si="112"/>
        <v>0.6</v>
      </c>
      <c r="AF280" s="177">
        <f t="shared" si="113"/>
        <v>0.99267194326936914</v>
      </c>
      <c r="AG280" s="799">
        <f t="shared" si="119"/>
        <v>-1</v>
      </c>
      <c r="AH280" s="176">
        <f t="shared" si="114"/>
        <v>5</v>
      </c>
      <c r="AI280" s="224">
        <f t="shared" si="115"/>
        <v>-7.3280567306308053E-3</v>
      </c>
      <c r="AJ280" s="264" t="b">
        <f t="shared" si="116"/>
        <v>0</v>
      </c>
      <c r="AK280" s="264" t="b">
        <f t="shared" si="117"/>
        <v>0</v>
      </c>
      <c r="AL280" s="264"/>
      <c r="AM280" s="264"/>
      <c r="AN280" s="75"/>
    </row>
    <row r="281" spans="1:40" s="6" customFormat="1" ht="11.25" x14ac:dyDescent="0.2">
      <c r="A281" s="56">
        <f t="shared" si="118"/>
        <v>44463</v>
      </c>
      <c r="B281" s="607">
        <v>38.456000000000003</v>
      </c>
      <c r="C281" s="388"/>
      <c r="D281" s="391">
        <f t="shared" si="98"/>
        <v>39.175331199686596</v>
      </c>
      <c r="E281" s="383">
        <f t="shared" si="96"/>
        <v>43.383948870164218</v>
      </c>
      <c r="F281" s="383">
        <f t="shared" si="99"/>
        <v>43.384541721518524</v>
      </c>
      <c r="G281" s="110">
        <f t="shared" si="97"/>
        <v>0.87554170748677995</v>
      </c>
      <c r="H281" s="412" t="b">
        <f>Wh_hp&gt;='2020'!Maxi_hp</f>
        <v>1</v>
      </c>
      <c r="I281" s="379">
        <f>IF(H281,Wh_hp,'2020'!Maxi_hp)</f>
        <v>43.384541721518524</v>
      </c>
      <c r="J281" s="85">
        <f>IF(H281,An,'2020'!An_max)</f>
        <v>2021</v>
      </c>
      <c r="K281" s="197">
        <f t="shared" si="100"/>
        <v>44463</v>
      </c>
      <c r="L281" s="147">
        <f>IF(t&lt;Tvie,1-EXP((T0-t)*PertePVj)+'2020'!Pspv,1-EXP((T0-t)*PertePVj)+Pspv)</f>
        <v>1.8361840925351203E-2</v>
      </c>
      <c r="M281" s="832"/>
      <c r="N281" s="832"/>
      <c r="O281" s="48">
        <f>IF(t&lt;Tnet,'2020'!Resal+('2020'!Salim-'2020'!Resal)*(1-EXP(('2020'!Tnet-t)/('2020'!Tau_j))),Resal+(Salim-Resal)*(1-EXP((Tnet-t)/(Tau_j))))*Salcycl</f>
        <v>9.7008635222967252E-2</v>
      </c>
      <c r="P281" s="169">
        <f>(INDEX(Models!$BJ281:$BT281,,T281)*(1-R281)+INDEX(Models!$BJ281:$BT281,,T281+1)*R281-ERP_i)*Q281*Ramure*Pc/MaxiM</f>
        <v>1.6619964387904344E-5</v>
      </c>
      <c r="Q281" s="304">
        <f t="shared" si="101"/>
        <v>0.6</v>
      </c>
      <c r="R281" s="177">
        <f t="shared" si="102"/>
        <v>0.99293455306150524</v>
      </c>
      <c r="S281" s="799">
        <f t="shared" si="103"/>
        <v>-1</v>
      </c>
      <c r="T281" s="176">
        <f t="shared" si="104"/>
        <v>5</v>
      </c>
      <c r="U281" s="250">
        <f t="shared" si="105"/>
        <v>-7.0654469384947571E-3</v>
      </c>
      <c r="V281" s="382">
        <f t="shared" si="106"/>
        <v>43.92239231427839</v>
      </c>
      <c r="W281" s="400"/>
      <c r="X281" s="157">
        <f t="shared" si="107"/>
        <v>44463</v>
      </c>
      <c r="Y281" s="383">
        <f t="shared" si="108"/>
        <v>38.456000000000003</v>
      </c>
      <c r="Z281" s="383">
        <f t="shared" si="109"/>
        <v>39.175331199686596</v>
      </c>
      <c r="AA281" s="384">
        <f t="shared" si="110"/>
        <v>43.383948870164218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9.7008635222967252E-2</v>
      </c>
      <c r="AD281" s="230">
        <f>(INDEX(Models!$BJ281:$BT281,,AH281)*(1-AF281)+INDEX(Models!$BJ281:$BT281,,AH281+1)*AF281-ERP_i)*AE281*Ramure*Pc/MaxiM</f>
        <v>1.6619964387904344E-5</v>
      </c>
      <c r="AE281" s="304">
        <f t="shared" si="112"/>
        <v>0.6</v>
      </c>
      <c r="AF281" s="177">
        <f t="shared" si="113"/>
        <v>0.99293455306150524</v>
      </c>
      <c r="AG281" s="799">
        <f t="shared" si="119"/>
        <v>-1</v>
      </c>
      <c r="AH281" s="176">
        <f t="shared" si="114"/>
        <v>5</v>
      </c>
      <c r="AI281" s="224">
        <f t="shared" si="115"/>
        <v>-7.0654469384947571E-3</v>
      </c>
      <c r="AJ281" s="264" t="b">
        <f t="shared" si="116"/>
        <v>0</v>
      </c>
      <c r="AK281" s="264" t="b">
        <f t="shared" si="117"/>
        <v>0</v>
      </c>
      <c r="AL281" s="264"/>
      <c r="AM281" s="264"/>
      <c r="AN281" s="75"/>
    </row>
    <row r="282" spans="1:40" s="6" customFormat="1" ht="11.25" x14ac:dyDescent="0.2">
      <c r="A282" s="56">
        <f t="shared" si="118"/>
        <v>44464</v>
      </c>
      <c r="B282" s="607">
        <v>32.270000000000003</v>
      </c>
      <c r="C282" s="388"/>
      <c r="D282" s="391">
        <f t="shared" si="98"/>
        <v>32.874250211973106</v>
      </c>
      <c r="E282" s="383">
        <f t="shared" si="96"/>
        <v>36.410277428008314</v>
      </c>
      <c r="F282" s="383">
        <f t="shared" si="99"/>
        <v>36.410677793662899</v>
      </c>
      <c r="G282" s="110">
        <f t="shared" si="97"/>
        <v>0.73862262208797413</v>
      </c>
      <c r="H282" s="412" t="b">
        <f>Wh_hp&gt;='2020'!Maxi_hp</f>
        <v>1</v>
      </c>
      <c r="I282" s="379">
        <f>IF(H282,Wh_hp,'2020'!Maxi_hp)</f>
        <v>36.410677793662899</v>
      </c>
      <c r="J282" s="85">
        <f>IF(H282,An,'2020'!An_max)</f>
        <v>2021</v>
      </c>
      <c r="K282" s="197">
        <f t="shared" si="100"/>
        <v>44464</v>
      </c>
      <c r="L282" s="147">
        <f>IF(t&lt;Tvie,1-EXP((T0-t)*PertePVj)+'2020'!Pspv,1-EXP((T0-t)*PertePVj)+Pspv)</f>
        <v>1.8380653796722268E-2</v>
      </c>
      <c r="M282" s="832"/>
      <c r="N282" s="832"/>
      <c r="O282" s="48">
        <f>IF(t&lt;Tnet,'2020'!Resal+('2020'!Salim-'2020'!Resal)*(1-EXP(('2020'!Tnet-t)/('2020'!Tau_j))),Resal+(Salim-Resal)*(1-EXP((Tnet-t)/(Tau_j))))*Salcycl</f>
        <v>9.7116184380269144E-2</v>
      </c>
      <c r="P282" s="169">
        <f>(INDEX(Models!$BJ282:$BT282,,T282)*(1-R282)+INDEX(Models!$BJ282:$BT282,,T282+1)*R282-ERP_i)*Q282*Ramure*Pc/MaxiM</f>
        <v>1.754810693146847E-5</v>
      </c>
      <c r="Q282" s="304">
        <f t="shared" si="101"/>
        <v>0.6</v>
      </c>
      <c r="R282" s="177">
        <f t="shared" si="102"/>
        <v>0.99318685198872347</v>
      </c>
      <c r="S282" s="799">
        <f t="shared" si="103"/>
        <v>-1</v>
      </c>
      <c r="T282" s="176">
        <f t="shared" si="104"/>
        <v>5</v>
      </c>
      <c r="U282" s="250">
        <f t="shared" si="105"/>
        <v>-6.8131480112764709E-3</v>
      </c>
      <c r="V282" s="382">
        <f t="shared" si="106"/>
        <v>43.689141911879759</v>
      </c>
      <c r="W282" s="400"/>
      <c r="X282" s="157">
        <f t="shared" si="107"/>
        <v>44464</v>
      </c>
      <c r="Y282" s="383">
        <f t="shared" si="108"/>
        <v>32.270000000000003</v>
      </c>
      <c r="Z282" s="383">
        <f t="shared" si="109"/>
        <v>32.874250211973106</v>
      </c>
      <c r="AA282" s="384">
        <f t="shared" si="110"/>
        <v>36.410277428008314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9.7116184380269144E-2</v>
      </c>
      <c r="AD282" s="230">
        <f>(INDEX(Models!$BJ282:$BT282,,AH282)*(1-AF282)+INDEX(Models!$BJ282:$BT282,,AH282+1)*AF282-ERP_i)*AE282*Ramure*Pc/MaxiM</f>
        <v>1.754810693146847E-5</v>
      </c>
      <c r="AE282" s="304">
        <f t="shared" si="112"/>
        <v>0.6</v>
      </c>
      <c r="AF282" s="177">
        <f t="shared" si="113"/>
        <v>0.99318685198872347</v>
      </c>
      <c r="AG282" s="799">
        <f t="shared" si="119"/>
        <v>-1</v>
      </c>
      <c r="AH282" s="176">
        <f t="shared" si="114"/>
        <v>5</v>
      </c>
      <c r="AI282" s="224">
        <f t="shared" si="115"/>
        <v>-6.8131480112764709E-3</v>
      </c>
      <c r="AJ282" s="264" t="b">
        <f t="shared" si="116"/>
        <v>0</v>
      </c>
      <c r="AK282" s="264" t="b">
        <f t="shared" si="117"/>
        <v>0</v>
      </c>
      <c r="AL282" s="264"/>
      <c r="AM282" s="264"/>
      <c r="AN282" s="75"/>
    </row>
    <row r="283" spans="1:40" s="6" customFormat="1" ht="11.25" x14ac:dyDescent="0.2">
      <c r="A283" s="56">
        <f t="shared" si="118"/>
        <v>44465</v>
      </c>
      <c r="B283" s="607">
        <v>36.840000000000003</v>
      </c>
      <c r="C283" s="388"/>
      <c r="D283" s="391">
        <f t="shared" si="98"/>
        <v>37.53054194196524</v>
      </c>
      <c r="E283" s="383">
        <f t="shared" si="96"/>
        <v>41.572292341810133</v>
      </c>
      <c r="F283" s="383">
        <f t="shared" si="99"/>
        <v>41.572893006475333</v>
      </c>
      <c r="G283" s="110">
        <f t="shared" si="97"/>
        <v>0.8478220791509844</v>
      </c>
      <c r="H283" s="412" t="b">
        <f>Wh_hp&gt;='2020'!Maxi_hp</f>
        <v>1</v>
      </c>
      <c r="I283" s="379">
        <f>IF(H283,Wh_hp,'2020'!Maxi_hp)</f>
        <v>41.572893006475333</v>
      </c>
      <c r="J283" s="85">
        <f>IF(H283,An,'2020'!An_max)</f>
        <v>2021</v>
      </c>
      <c r="K283" s="197">
        <f t="shared" si="100"/>
        <v>44465</v>
      </c>
      <c r="L283" s="147">
        <f>IF(t&lt;Tvie,1-EXP((T0-t)*PertePVj)+'2020'!Pspv,1-EXP((T0-t)*PertePVj)+Pspv)</f>
        <v>1.8399466307548851E-2</v>
      </c>
      <c r="M283" s="832"/>
      <c r="N283" s="832"/>
      <c r="O283" s="48">
        <f>IF(t&lt;Tnet,'2020'!Resal+('2020'!Salim-'2020'!Resal)*(1-EXP(('2020'!Tnet-t)/('2020'!Tau_j))),Resal+(Salim-Resal)*(1-EXP((Tnet-t)/(Tau_j))))*Salcycl</f>
        <v>9.7222216340955084E-2</v>
      </c>
      <c r="P283" s="169">
        <f>(INDEX(Models!$BJ283:$BT283,,T283)*(1-R283)+INDEX(Models!$BJ283:$BT283,,T283+1)*R283-ERP_i)*Q283*Ramure*Pc/MaxiM</f>
        <v>1.8461953288116101E-5</v>
      </c>
      <c r="Q283" s="304">
        <f t="shared" si="101"/>
        <v>0.6</v>
      </c>
      <c r="R283" s="177">
        <f t="shared" si="102"/>
        <v>0.99342923484910139</v>
      </c>
      <c r="S283" s="799">
        <f t="shared" si="103"/>
        <v>-1</v>
      </c>
      <c r="T283" s="176">
        <f t="shared" si="104"/>
        <v>5</v>
      </c>
      <c r="U283" s="250">
        <f t="shared" si="105"/>
        <v>-6.5707651508985498E-3</v>
      </c>
      <c r="V283" s="382">
        <f t="shared" si="106"/>
        <v>43.452338700594467</v>
      </c>
      <c r="W283" s="400"/>
      <c r="X283" s="157">
        <f t="shared" si="107"/>
        <v>44465</v>
      </c>
      <c r="Y283" s="383">
        <f t="shared" si="108"/>
        <v>36.840000000000003</v>
      </c>
      <c r="Z283" s="383">
        <f t="shared" si="109"/>
        <v>37.53054194196524</v>
      </c>
      <c r="AA283" s="384">
        <f t="shared" si="110"/>
        <v>41.572292341810133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9.7222216340955084E-2</v>
      </c>
      <c r="AD283" s="230">
        <f>(INDEX(Models!$BJ283:$BT283,,AH283)*(1-AF283)+INDEX(Models!$BJ283:$BT283,,AH283+1)*AF283-ERP_i)*AE283*Ramure*Pc/MaxiM</f>
        <v>1.8461953288116101E-5</v>
      </c>
      <c r="AE283" s="304">
        <f t="shared" si="112"/>
        <v>0.6</v>
      </c>
      <c r="AF283" s="177">
        <f t="shared" si="113"/>
        <v>0.99342923484910139</v>
      </c>
      <c r="AG283" s="799">
        <f t="shared" si="119"/>
        <v>-1</v>
      </c>
      <c r="AH283" s="176">
        <f t="shared" si="114"/>
        <v>5</v>
      </c>
      <c r="AI283" s="224">
        <f t="shared" si="115"/>
        <v>-6.5707651508985498E-3</v>
      </c>
      <c r="AJ283" s="264" t="b">
        <f t="shared" si="116"/>
        <v>0</v>
      </c>
      <c r="AK283" s="264" t="b">
        <f t="shared" si="117"/>
        <v>0</v>
      </c>
      <c r="AL283" s="264"/>
      <c r="AM283" s="264"/>
      <c r="AN283" s="75"/>
    </row>
    <row r="284" spans="1:40" s="6" customFormat="1" ht="11.25" x14ac:dyDescent="0.2">
      <c r="A284" s="56">
        <f t="shared" si="118"/>
        <v>44466</v>
      </c>
      <c r="B284" s="607">
        <v>21.246000000000002</v>
      </c>
      <c r="C284" s="388"/>
      <c r="D284" s="391">
        <f t="shared" si="98"/>
        <v>21.644657325750149</v>
      </c>
      <c r="E284" s="383">
        <f t="shared" si="96"/>
        <v>23.978395336102491</v>
      </c>
      <c r="F284" s="383">
        <f t="shared" si="99"/>
        <v>23.978522453977252</v>
      </c>
      <c r="G284" s="110">
        <f t="shared" si="97"/>
        <v>0.4916611566321426</v>
      </c>
      <c r="H284" s="412" t="b">
        <f>Wh_hp&gt;='2020'!Maxi_hp</f>
        <v>0</v>
      </c>
      <c r="I284" s="379">
        <f>IF(H284,Wh_hp,'2020'!Maxi_hp)</f>
        <v>41.366659117573256</v>
      </c>
      <c r="J284" s="85">
        <f>IF(H284,An,'2020'!An_max)</f>
        <v>2018</v>
      </c>
      <c r="K284" s="197">
        <f t="shared" si="100"/>
        <v>44466</v>
      </c>
      <c r="L284" s="147">
        <f>IF(t&lt;Tvie,1-EXP((T0-t)*PertePVj)+'2020'!Pspv,1-EXP((T0-t)*PertePVj)+Pspv)</f>
        <v>1.8418278457837944E-2</v>
      </c>
      <c r="M284" s="832"/>
      <c r="N284" s="832"/>
      <c r="O284" s="48">
        <f>IF(t&lt;Tnet,'2020'!Resal+('2020'!Salim-'2020'!Resal)*(1-EXP(('2020'!Tnet-t)/('2020'!Tau_j))),Resal+(Salim-Resal)*(1-EXP((Tnet-t)/(Tau_j))))*Salcycl</f>
        <v>9.7326696705121243E-2</v>
      </c>
      <c r="P284" s="169">
        <f>(INDEX(Models!$BJ284:$BT284,,T284)*(1-R284)+INDEX(Models!$BJ284:$BT284,,T284+1)*R284-ERP_i)*Q284*Ramure*Pc/MaxiM</f>
        <v>1.936120914572523E-5</v>
      </c>
      <c r="Q284" s="304">
        <f t="shared" si="101"/>
        <v>0.6</v>
      </c>
      <c r="R284" s="177">
        <f t="shared" si="102"/>
        <v>0.99366208210817075</v>
      </c>
      <c r="S284" s="799">
        <f t="shared" si="103"/>
        <v>-1</v>
      </c>
      <c r="T284" s="176">
        <f t="shared" si="104"/>
        <v>5</v>
      </c>
      <c r="U284" s="250">
        <f t="shared" si="105"/>
        <v>-6.3379178918293033E-3</v>
      </c>
      <c r="V284" s="382">
        <f t="shared" si="106"/>
        <v>43.212080099212386</v>
      </c>
      <c r="W284" s="400"/>
      <c r="X284" s="157">
        <f t="shared" si="107"/>
        <v>44466</v>
      </c>
      <c r="Y284" s="383">
        <f t="shared" si="108"/>
        <v>21.246000000000002</v>
      </c>
      <c r="Z284" s="383">
        <f t="shared" si="109"/>
        <v>21.644657325750149</v>
      </c>
      <c r="AA284" s="384">
        <f t="shared" si="110"/>
        <v>23.978395336102491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9.7326696705121243E-2</v>
      </c>
      <c r="AD284" s="230">
        <f>(INDEX(Models!$BJ284:$BT284,,AH284)*(1-AF284)+INDEX(Models!$BJ284:$BT284,,AH284+1)*AF284-ERP_i)*AE284*Ramure*Pc/MaxiM</f>
        <v>1.936120914572523E-5</v>
      </c>
      <c r="AE284" s="304">
        <f t="shared" si="112"/>
        <v>0.6</v>
      </c>
      <c r="AF284" s="177">
        <f t="shared" si="113"/>
        <v>0.99366208210817075</v>
      </c>
      <c r="AG284" s="799">
        <f t="shared" si="119"/>
        <v>-1</v>
      </c>
      <c r="AH284" s="176">
        <f t="shared" si="114"/>
        <v>5</v>
      </c>
      <c r="AI284" s="224">
        <f t="shared" si="115"/>
        <v>-6.3379178918293033E-3</v>
      </c>
      <c r="AJ284" s="264" t="b">
        <f t="shared" si="116"/>
        <v>0</v>
      </c>
      <c r="AK284" s="264" t="b">
        <f t="shared" si="117"/>
        <v>0</v>
      </c>
      <c r="AL284" s="264"/>
      <c r="AM284" s="264"/>
      <c r="AN284" s="75"/>
    </row>
    <row r="285" spans="1:40" s="6" customFormat="1" ht="11.25" x14ac:dyDescent="0.2">
      <c r="A285" s="56">
        <f t="shared" si="118"/>
        <v>44467</v>
      </c>
      <c r="B285" s="607">
        <v>26.73</v>
      </c>
      <c r="C285" s="388"/>
      <c r="D285" s="391">
        <f t="shared" si="98"/>
        <v>27.232080322536401</v>
      </c>
      <c r="E285" s="383">
        <f t="shared" si="96"/>
        <v>30.171696392227219</v>
      </c>
      <c r="F285" s="383">
        <f t="shared" si="99"/>
        <v>30.171977455989513</v>
      </c>
      <c r="G285" s="110">
        <f t="shared" si="97"/>
        <v>0.62207735039203194</v>
      </c>
      <c r="H285" s="412" t="b">
        <f>Wh_hp&gt;='2020'!Maxi_hp</f>
        <v>0</v>
      </c>
      <c r="I285" s="379">
        <f>IF(H285,Wh_hp,'2020'!Maxi_hp)</f>
        <v>36.836006686533622</v>
      </c>
      <c r="J285" s="85">
        <f>IF(H285,An,'2020'!An_max)</f>
        <v>2018</v>
      </c>
      <c r="K285" s="197">
        <f t="shared" si="100"/>
        <v>44467</v>
      </c>
      <c r="L285" s="147">
        <f>IF(t&lt;Tvie,1-EXP((T0-t)*PertePVj)+'2020'!Pspv,1-EXP((T0-t)*PertePVj)+Pspv)</f>
        <v>1.8437090247596544E-2</v>
      </c>
      <c r="M285" s="832"/>
      <c r="N285" s="832"/>
      <c r="O285" s="48">
        <f>IF(t&lt;Tnet,'2020'!Resal+('2020'!Salim-'2020'!Resal)*(1-EXP(('2020'!Tnet-t)/('2020'!Tau_j))),Resal+(Salim-Resal)*(1-EXP((Tnet-t)/(Tau_j))))*Salcycl</f>
        <v>9.7429592008227844E-2</v>
      </c>
      <c r="P285" s="169">
        <f>(INDEX(Models!$BJ285:$BT285,,T285)*(1-R285)+INDEX(Models!$BJ285:$BT285,,T285+1)*R285-ERP_i)*Q285*Ramure*Pc/MaxiM</f>
        <v>2.0245558765817009E-5</v>
      </c>
      <c r="Q285" s="304">
        <f t="shared" si="101"/>
        <v>0.6</v>
      </c>
      <c r="R285" s="177">
        <f t="shared" si="102"/>
        <v>0.99388576035745735</v>
      </c>
      <c r="S285" s="799">
        <f t="shared" si="103"/>
        <v>-1</v>
      </c>
      <c r="T285" s="176">
        <f t="shared" si="104"/>
        <v>5</v>
      </c>
      <c r="U285" s="250">
        <f t="shared" si="105"/>
        <v>-6.1142396425426515E-3</v>
      </c>
      <c r="V285" s="382">
        <f t="shared" si="106"/>
        <v>42.968463354347463</v>
      </c>
      <c r="W285" s="400"/>
      <c r="X285" s="157">
        <f t="shared" si="107"/>
        <v>44467</v>
      </c>
      <c r="Y285" s="383">
        <f t="shared" si="108"/>
        <v>26.73</v>
      </c>
      <c r="Z285" s="383">
        <f t="shared" si="109"/>
        <v>27.232080322536401</v>
      </c>
      <c r="AA285" s="384">
        <f t="shared" si="110"/>
        <v>30.171696392227219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9.7429592008227844E-2</v>
      </c>
      <c r="AD285" s="230">
        <f>(INDEX(Models!$BJ285:$BT285,,AH285)*(1-AF285)+INDEX(Models!$BJ285:$BT285,,AH285+1)*AF285-ERP_i)*AE285*Ramure*Pc/MaxiM</f>
        <v>2.0245558765817009E-5</v>
      </c>
      <c r="AE285" s="304">
        <f t="shared" si="112"/>
        <v>0.6</v>
      </c>
      <c r="AF285" s="177">
        <f t="shared" si="113"/>
        <v>0.99388576035745735</v>
      </c>
      <c r="AG285" s="799">
        <f t="shared" si="119"/>
        <v>-1</v>
      </c>
      <c r="AH285" s="176">
        <f t="shared" si="114"/>
        <v>5</v>
      </c>
      <c r="AI285" s="224">
        <f t="shared" si="115"/>
        <v>-6.1142396425426515E-3</v>
      </c>
      <c r="AJ285" s="264" t="b">
        <f t="shared" si="116"/>
        <v>0</v>
      </c>
      <c r="AK285" s="264" t="b">
        <f t="shared" si="117"/>
        <v>0</v>
      </c>
      <c r="AL285" s="264"/>
      <c r="AM285" s="264"/>
      <c r="AN285" s="75"/>
    </row>
    <row r="286" spans="1:40" s="6" customFormat="1" ht="11.25" x14ac:dyDescent="0.2">
      <c r="A286" s="56">
        <f t="shared" si="118"/>
        <v>44468</v>
      </c>
      <c r="B286" s="607">
        <v>31.17</v>
      </c>
      <c r="C286" s="388"/>
      <c r="D286" s="391">
        <f t="shared" si="98"/>
        <v>31.756087223436634</v>
      </c>
      <c r="E286" s="383">
        <f t="shared" si="96"/>
        <v>35.188003851913606</v>
      </c>
      <c r="F286" s="383">
        <f t="shared" si="99"/>
        <v>35.188459845310071</v>
      </c>
      <c r="G286" s="110">
        <f t="shared" si="97"/>
        <v>0.72960180160516219</v>
      </c>
      <c r="H286" s="412" t="b">
        <f>Wh_hp&gt;='2020'!Maxi_hp</f>
        <v>0</v>
      </c>
      <c r="I286" s="379">
        <f>IF(H286,Wh_hp,'2020'!Maxi_hp)</f>
        <v>46.051965901147405</v>
      </c>
      <c r="J286" s="85">
        <f>IF(H286,An,'2020'!An_max)</f>
        <v>2018</v>
      </c>
      <c r="K286" s="197">
        <f t="shared" si="100"/>
        <v>44468</v>
      </c>
      <c r="L286" s="147">
        <f>IF(t&lt;Tvie,1-EXP((T0-t)*PertePVj)+'2020'!Pspv,1-EXP((T0-t)*PertePVj)+Pspv)</f>
        <v>1.8455901676831532E-2</v>
      </c>
      <c r="M286" s="832"/>
      <c r="N286" s="832"/>
      <c r="O286" s="48">
        <f>IF(t&lt;Tnet,'2020'!Resal+('2020'!Salim-'2020'!Resal)*(1-EXP(('2020'!Tnet-t)/('2020'!Tau_j))),Resal+(Salim-Resal)*(1-EXP((Tnet-t)/(Tau_j))))*Salcycl</f>
        <v>9.7530869978301946E-2</v>
      </c>
      <c r="P286" s="169">
        <f>(INDEX(Models!$BJ286:$BT286,,T286)*(1-R286)+INDEX(Models!$BJ286:$BT286,,T286+1)*R286-ERP_i)*Q286*Ramure*Pc/MaxiM</f>
        <v>2.1114666436673087E-5</v>
      </c>
      <c r="Q286" s="304">
        <f t="shared" si="101"/>
        <v>0.6</v>
      </c>
      <c r="R286" s="177">
        <f t="shared" si="102"/>
        <v>0.99410062276336753</v>
      </c>
      <c r="S286" s="799">
        <f t="shared" si="103"/>
        <v>-1</v>
      </c>
      <c r="T286" s="176">
        <f t="shared" si="104"/>
        <v>5</v>
      </c>
      <c r="U286" s="250">
        <f t="shared" si="105"/>
        <v>-5.8993772366324193E-3</v>
      </c>
      <c r="V286" s="382">
        <f t="shared" si="106"/>
        <v>42.721585533006035</v>
      </c>
      <c r="W286" s="400"/>
      <c r="X286" s="157">
        <f t="shared" si="107"/>
        <v>44468</v>
      </c>
      <c r="Y286" s="383">
        <f t="shared" si="108"/>
        <v>31.17</v>
      </c>
      <c r="Z286" s="383">
        <f t="shared" si="109"/>
        <v>31.756087223436634</v>
      </c>
      <c r="AA286" s="384">
        <f t="shared" si="110"/>
        <v>35.188003851913606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9.7530869978301946E-2</v>
      </c>
      <c r="AD286" s="230">
        <f>(INDEX(Models!$BJ286:$BT286,,AH286)*(1-AF286)+INDEX(Models!$BJ286:$BT286,,AH286+1)*AF286-ERP_i)*AE286*Ramure*Pc/MaxiM</f>
        <v>2.1114666436673087E-5</v>
      </c>
      <c r="AE286" s="304">
        <f t="shared" si="112"/>
        <v>0.6</v>
      </c>
      <c r="AF286" s="177">
        <f t="shared" si="113"/>
        <v>0.99410062276336753</v>
      </c>
      <c r="AG286" s="799">
        <f t="shared" si="119"/>
        <v>-1</v>
      </c>
      <c r="AH286" s="176">
        <f t="shared" si="114"/>
        <v>5</v>
      </c>
      <c r="AI286" s="224">
        <f t="shared" si="115"/>
        <v>-5.8993772366324193E-3</v>
      </c>
      <c r="AJ286" s="264" t="b">
        <f t="shared" si="116"/>
        <v>0</v>
      </c>
      <c r="AK286" s="264" t="b">
        <f t="shared" si="117"/>
        <v>0</v>
      </c>
      <c r="AL286" s="264"/>
      <c r="AM286" s="264"/>
      <c r="AN286" s="75"/>
    </row>
    <row r="287" spans="1:40" s="6" customFormat="1" ht="11.25" customHeight="1" x14ac:dyDescent="0.2">
      <c r="A287" s="56">
        <f t="shared" si="118"/>
        <v>44469</v>
      </c>
      <c r="B287" s="607">
        <v>16.554000000000002</v>
      </c>
      <c r="C287" s="388"/>
      <c r="D287" s="391">
        <f t="shared" si="98"/>
        <v>16.865586872759344</v>
      </c>
      <c r="E287" s="383">
        <f t="shared" si="96"/>
        <v>18.69033347101567</v>
      </c>
      <c r="F287" s="383">
        <f t="shared" si="99"/>
        <v>18.690386124884963</v>
      </c>
      <c r="G287" s="110">
        <f t="shared" si="97"/>
        <v>0.38975939192085263</v>
      </c>
      <c r="H287" s="412" t="b">
        <f>Wh_hp&gt;='2020'!Maxi_hp</f>
        <v>0</v>
      </c>
      <c r="I287" s="379">
        <f>IF(H287,Wh_hp,'2020'!Maxi_hp)</f>
        <v>37.058781916389229</v>
      </c>
      <c r="J287" s="85">
        <f>IF(H287,An,'2020'!An_max)</f>
        <v>2020</v>
      </c>
      <c r="K287" s="197">
        <f t="shared" si="100"/>
        <v>44469</v>
      </c>
      <c r="L287" s="147">
        <f>IF(t&lt;Tvie,1-EXP((T0-t)*PertePVj)+'2020'!Pspv,1-EXP((T0-t)*PertePVj)+Pspv)</f>
        <v>1.8474712745549682E-2</v>
      </c>
      <c r="M287" s="832"/>
      <c r="N287" s="832"/>
      <c r="O287" s="48">
        <f>IF(t&lt;Tnet,'2020'!Resal+('2020'!Salim-'2020'!Resal)*(1-EXP(('2020'!Tnet-t)/('2020'!Tau_j))),Resal+(Salim-Resal)*(1-EXP((Tnet-t)/(Tau_j))))*Salcycl</f>
        <v>9.7630499802803389E-2</v>
      </c>
      <c r="P287" s="169">
        <f>(INDEX(Models!$BJ287:$BT287,,T287)*(1-R287)+INDEX(Models!$BJ287:$BT287,,T287+1)*R287-ERP_i)*Q287*Ramure*Pc/MaxiM</f>
        <v>2.1968178107686511E-5</v>
      </c>
      <c r="Q287" s="304">
        <f t="shared" si="101"/>
        <v>0.6</v>
      </c>
      <c r="R287" s="177">
        <f t="shared" si="102"/>
        <v>0.99430700950617656</v>
      </c>
      <c r="S287" s="799">
        <f t="shared" si="103"/>
        <v>-1</v>
      </c>
      <c r="T287" s="176">
        <f t="shared" si="104"/>
        <v>5</v>
      </c>
      <c r="U287" s="250">
        <f t="shared" si="105"/>
        <v>-5.6929904938234355E-3</v>
      </c>
      <c r="V287" s="382">
        <f t="shared" si="106"/>
        <v>42.471543512077254</v>
      </c>
      <c r="W287" s="400"/>
      <c r="X287" s="157">
        <f t="shared" si="107"/>
        <v>44469</v>
      </c>
      <c r="Y287" s="383">
        <f t="shared" si="108"/>
        <v>16.554000000000002</v>
      </c>
      <c r="Z287" s="383">
        <f t="shared" si="109"/>
        <v>16.865586872759344</v>
      </c>
      <c r="AA287" s="384">
        <f t="shared" si="110"/>
        <v>18.69033347101567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9.7630499802803389E-2</v>
      </c>
      <c r="AD287" s="230">
        <f>(INDEX(Models!$BJ287:$BT287,,AH287)*(1-AF287)+INDEX(Models!$BJ287:$BT287,,AH287+1)*AF287-ERP_i)*AE287*Ramure*Pc/MaxiM</f>
        <v>2.1968178107686511E-5</v>
      </c>
      <c r="AE287" s="304">
        <f t="shared" si="112"/>
        <v>0.6</v>
      </c>
      <c r="AF287" s="177">
        <f t="shared" si="113"/>
        <v>0.99430700950617656</v>
      </c>
      <c r="AG287" s="799">
        <f t="shared" si="119"/>
        <v>-1</v>
      </c>
      <c r="AH287" s="176">
        <f t="shared" si="114"/>
        <v>5</v>
      </c>
      <c r="AI287" s="224">
        <f t="shared" si="115"/>
        <v>-5.6929904938234355E-3</v>
      </c>
      <c r="AJ287" s="264" t="b">
        <f t="shared" si="116"/>
        <v>0</v>
      </c>
      <c r="AK287" s="264" t="b">
        <f t="shared" si="117"/>
        <v>0</v>
      </c>
      <c r="AL287" s="264"/>
      <c r="AM287" s="264"/>
      <c r="AN287" s="75"/>
    </row>
    <row r="288" spans="1:40" s="6" customFormat="1" ht="11.25" x14ac:dyDescent="0.2">
      <c r="A288" s="56">
        <f t="shared" si="118"/>
        <v>44470</v>
      </c>
      <c r="B288" s="607">
        <v>31.27</v>
      </c>
      <c r="C288" s="388"/>
      <c r="D288" s="391">
        <f t="shared" si="98"/>
        <v>31.859188652563891</v>
      </c>
      <c r="E288" s="383">
        <f t="shared" si="96"/>
        <v>35.309978173891629</v>
      </c>
      <c r="F288" s="383">
        <f t="shared" si="99"/>
        <v>35.310485123359349</v>
      </c>
      <c r="G288" s="110">
        <f t="shared" si="97"/>
        <v>0.74066545964686903</v>
      </c>
      <c r="H288" s="412" t="b">
        <f>Wh_hp&gt;='2020'!Maxi_hp</f>
        <v>0</v>
      </c>
      <c r="I288" s="379">
        <f>IF(H288,Wh_hp,'2020'!Maxi_hp)</f>
        <v>45.618686630492995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1.8493523453757987E-2</v>
      </c>
      <c r="M288" s="832"/>
      <c r="N288" s="832"/>
      <c r="O288" s="48">
        <f>IF(t&lt;Tnet,'2020'!Resal+('2020'!Salim-'2020'!Resal)*(1-EXP(('2020'!Tnet-t)/('2020'!Tau_j))),Resal+(Salim-Resal)*(1-EXP((Tnet-t)/(Tau_j))))*Salcycl</f>
        <v>9.772845240327184E-2</v>
      </c>
      <c r="P288" s="169">
        <f>(INDEX(Models!$BJ288:$BT288,,T288)*(1-R288)+INDEX(Models!$BJ288:$BT288,,T288+1)*R288-ERP_i)*Q288*Ramure*Pc/MaxiM</f>
        <v>2.2805723202122455E-5</v>
      </c>
      <c r="Q288" s="304">
        <f t="shared" si="101"/>
        <v>0.6</v>
      </c>
      <c r="R288" s="177">
        <f t="shared" si="102"/>
        <v>0.99450524820892483</v>
      </c>
      <c r="S288" s="799">
        <f t="shared" si="103"/>
        <v>-1</v>
      </c>
      <c r="T288" s="176">
        <f t="shared" si="104"/>
        <v>5</v>
      </c>
      <c r="U288" s="250">
        <f t="shared" si="105"/>
        <v>-5.4947517910751698E-3</v>
      </c>
      <c r="V288" s="382">
        <f t="shared" si="106"/>
        <v>42.218433969819863</v>
      </c>
      <c r="W288" s="400"/>
      <c r="X288" s="157">
        <f t="shared" si="107"/>
        <v>44470</v>
      </c>
      <c r="Y288" s="383">
        <f t="shared" si="108"/>
        <v>31.27</v>
      </c>
      <c r="Z288" s="383">
        <f t="shared" si="109"/>
        <v>31.859188652563891</v>
      </c>
      <c r="AA288" s="384">
        <f t="shared" si="110"/>
        <v>35.309978173891629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9.772845240327184E-2</v>
      </c>
      <c r="AD288" s="230">
        <f>(INDEX(Models!$BJ288:$BT288,,AH288)*(1-AF288)+INDEX(Models!$BJ288:$BT288,,AH288+1)*AF288-ERP_i)*AE288*Ramure*Pc/MaxiM</f>
        <v>2.2805723202122455E-5</v>
      </c>
      <c r="AE288" s="304">
        <f t="shared" si="112"/>
        <v>0.6</v>
      </c>
      <c r="AF288" s="177">
        <f t="shared" si="113"/>
        <v>0.99450524820892483</v>
      </c>
      <c r="AG288" s="799">
        <f t="shared" si="119"/>
        <v>-1</v>
      </c>
      <c r="AH288" s="176">
        <f t="shared" si="114"/>
        <v>5</v>
      </c>
      <c r="AI288" s="224">
        <f t="shared" si="115"/>
        <v>-5.4947517910751698E-3</v>
      </c>
      <c r="AJ288" s="264" t="b">
        <f t="shared" si="116"/>
        <v>0</v>
      </c>
      <c r="AK288" s="264" t="b">
        <f t="shared" si="117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18"/>
        <v>44471</v>
      </c>
      <c r="B289" s="607">
        <v>38.438000000000002</v>
      </c>
      <c r="C289" s="388"/>
      <c r="D289" s="391">
        <f t="shared" si="98"/>
        <v>39.162998500915151</v>
      </c>
      <c r="E289" s="383">
        <f t="shared" si="96"/>
        <v>43.409521998645005</v>
      </c>
      <c r="F289" s="383">
        <f t="shared" si="99"/>
        <v>43.410424626358278</v>
      </c>
      <c r="G289" s="110">
        <f t="shared" si="97"/>
        <v>0.91602316939011541</v>
      </c>
      <c r="H289" s="412" t="b">
        <f>Wh_hp&gt;='2020'!Maxi_hp</f>
        <v>1</v>
      </c>
      <c r="I289" s="379">
        <f>IF(H289,Wh_hp,'2020'!Maxi_hp)</f>
        <v>43.410424626358278</v>
      </c>
      <c r="J289" s="85">
        <f>IF(H289,An,'2020'!An_max)</f>
        <v>2021</v>
      </c>
      <c r="K289" s="197">
        <f t="shared" si="100"/>
        <v>44471</v>
      </c>
      <c r="L289" s="147">
        <f>IF(t&lt;Tvie,1-EXP((T0-t)*PertePVj)+'2020'!Pspv,1-EXP((T0-t)*PertePVj)+Pspv)</f>
        <v>1.8512333801463332E-2</v>
      </c>
      <c r="M289" s="832"/>
      <c r="N289" s="832"/>
      <c r="O289" s="48">
        <f>IF(t&lt;Tnet,'2020'!Resal+('2020'!Salim-'2020'!Resal)*(1-EXP(('2020'!Tnet-t)/('2020'!Tau_j))),Resal+(Salim-Resal)*(1-EXP((Tnet-t)/(Tau_j))))*Salcycl</f>
        <v>9.7824700715718721E-2</v>
      </c>
      <c r="P289" s="169">
        <f>(INDEX(Models!$BJ289:$BT289,,T289)*(1-R289)+INDEX(Models!$BJ289:$BT289,,T289+1)*R289-ERP_i)*Q289*Ramure*Pc/MaxiM</f>
        <v>2.3627283492083625E-5</v>
      </c>
      <c r="Q289" s="304">
        <f t="shared" si="101"/>
        <v>0.6</v>
      </c>
      <c r="R289" s="177">
        <f t="shared" si="102"/>
        <v>0.9946956543560812</v>
      </c>
      <c r="S289" s="799">
        <f t="shared" si="103"/>
        <v>-1</v>
      </c>
      <c r="T289" s="176">
        <f t="shared" si="104"/>
        <v>5</v>
      </c>
      <c r="U289" s="250">
        <f t="shared" si="105"/>
        <v>-5.3043456439187953E-3</v>
      </c>
      <c r="V289" s="382">
        <f t="shared" si="106"/>
        <v>41.961701770592157</v>
      </c>
      <c r="W289" s="400"/>
      <c r="X289" s="157">
        <f t="shared" si="107"/>
        <v>44471</v>
      </c>
      <c r="Y289" s="383">
        <f t="shared" si="108"/>
        <v>38.438000000000002</v>
      </c>
      <c r="Z289" s="383">
        <f t="shared" si="109"/>
        <v>39.162998500915151</v>
      </c>
      <c r="AA289" s="384">
        <f t="shared" si="110"/>
        <v>43.409521998645005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9.7824700715718721E-2</v>
      </c>
      <c r="AD289" s="230">
        <f>(INDEX(Models!$BJ289:$BT289,,AH289)*(1-AF289)+INDEX(Models!$BJ289:$BT289,,AH289+1)*AF289-ERP_i)*AE289*Ramure*Pc/MaxiM</f>
        <v>2.3627283492083625E-5</v>
      </c>
      <c r="AE289" s="304">
        <f t="shared" si="112"/>
        <v>0.6</v>
      </c>
      <c r="AF289" s="177">
        <f t="shared" si="113"/>
        <v>0.9946956543560812</v>
      </c>
      <c r="AG289" s="799">
        <f t="shared" si="119"/>
        <v>-1</v>
      </c>
      <c r="AH289" s="176">
        <f t="shared" si="114"/>
        <v>5</v>
      </c>
      <c r="AI289" s="224">
        <f t="shared" si="115"/>
        <v>-5.3043456439187953E-3</v>
      </c>
      <c r="AJ289" s="264" t="b">
        <f t="shared" si="116"/>
        <v>0</v>
      </c>
      <c r="AK289" s="264" t="b">
        <f t="shared" si="117"/>
        <v>0</v>
      </c>
      <c r="AL289" s="264"/>
      <c r="AM289" s="264"/>
      <c r="AN289" s="75"/>
    </row>
    <row r="290" spans="1:40" s="6" customFormat="1" ht="11.25" x14ac:dyDescent="0.2">
      <c r="A290" s="56">
        <f t="shared" si="118"/>
        <v>44472</v>
      </c>
      <c r="B290" s="607">
        <v>6.2140000000000004</v>
      </c>
      <c r="C290" s="388"/>
      <c r="D290" s="391">
        <f t="shared" si="98"/>
        <v>6.3313267259312997</v>
      </c>
      <c r="E290" s="383">
        <f t="shared" si="96"/>
        <v>7.0185806705170659</v>
      </c>
      <c r="F290" s="383">
        <f t="shared" si="99"/>
        <v>7.0185806705170659</v>
      </c>
      <c r="G290" s="110">
        <f t="shared" si="97"/>
        <v>0.14901008883579167</v>
      </c>
      <c r="H290" s="412" t="b">
        <f>Wh_hp&gt;='2020'!Maxi_hp</f>
        <v>0</v>
      </c>
      <c r="I290" s="379">
        <f>IF(H290,Wh_hp,'2020'!Maxi_hp)</f>
        <v>33.567789319657322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1.853114378867271E-2</v>
      </c>
      <c r="M290" s="832"/>
      <c r="N290" s="832"/>
      <c r="O290" s="48">
        <f>IF(t&lt;Tnet,'2020'!Resal+('2020'!Salim-'2020'!Resal)*(1-EXP(('2020'!Tnet-t)/('2020'!Tau_j))),Resal+(Salim-Resal)*(1-EXP((Tnet-t)/(Tau_j))))*Salcycl</f>
        <v>9.7919219974590091E-2</v>
      </c>
      <c r="P290" s="169">
        <f>(INDEX(Models!$BJ290:$BT290,,T290)*(1-R290)+INDEX(Models!$BJ290:$BT290,,T290+1)*R290-ERP_i)*Q290*Ramure*Pc/MaxiM</f>
        <v>2.4402232043313812E-5</v>
      </c>
      <c r="Q290" s="304">
        <f t="shared" si="101"/>
        <v>0.6</v>
      </c>
      <c r="R290" s="177">
        <f t="shared" si="102"/>
        <v>0.99487853170186935</v>
      </c>
      <c r="S290" s="799">
        <f t="shared" si="103"/>
        <v>-1</v>
      </c>
      <c r="T290" s="176">
        <f t="shared" si="104"/>
        <v>5</v>
      </c>
      <c r="U290" s="250">
        <f t="shared" si="105"/>
        <v>-5.1214682981307047E-3</v>
      </c>
      <c r="V290" s="382">
        <f t="shared" si="106"/>
        <v>41.700856721035251</v>
      </c>
      <c r="W290" s="400"/>
      <c r="X290" s="157">
        <f t="shared" si="107"/>
        <v>44472</v>
      </c>
      <c r="Y290" s="383">
        <f t="shared" si="108"/>
        <v>6.2140000000000004</v>
      </c>
      <c r="Z290" s="383">
        <f t="shared" si="109"/>
        <v>6.3313267259312997</v>
      </c>
      <c r="AA290" s="384">
        <f t="shared" si="110"/>
        <v>7.0185806705170659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9.7919219974590091E-2</v>
      </c>
      <c r="AD290" s="230">
        <f>(INDEX(Models!$BJ290:$BT290,,AH290)*(1-AF290)+INDEX(Models!$BJ290:$BT290,,AH290+1)*AF290-ERP_i)*AE290*Ramure*Pc/MaxiM</f>
        <v>2.4402232043313812E-5</v>
      </c>
      <c r="AE290" s="304">
        <f t="shared" si="112"/>
        <v>0.6</v>
      </c>
      <c r="AF290" s="177">
        <f t="shared" si="113"/>
        <v>0.99487853170186935</v>
      </c>
      <c r="AG290" s="799">
        <f t="shared" si="119"/>
        <v>-1</v>
      </c>
      <c r="AH290" s="176">
        <f t="shared" si="114"/>
        <v>5</v>
      </c>
      <c r="AI290" s="224">
        <f t="shared" si="115"/>
        <v>-5.1214682981307047E-3</v>
      </c>
      <c r="AJ290" s="264" t="b">
        <f t="shared" si="116"/>
        <v>0</v>
      </c>
      <c r="AK290" s="264" t="b">
        <f t="shared" si="117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18"/>
        <v>44473</v>
      </c>
      <c r="B291" s="607">
        <v>29.041</v>
      </c>
      <c r="C291" s="388"/>
      <c r="D291" s="391">
        <f t="shared" si="98"/>
        <v>29.589891101499365</v>
      </c>
      <c r="E291" s="383">
        <f t="shared" si="96"/>
        <v>32.8051933149573</v>
      </c>
      <c r="F291" s="383">
        <f t="shared" si="99"/>
        <v>32.805664787235173</v>
      </c>
      <c r="G291" s="110">
        <f t="shared" si="97"/>
        <v>0.70085491031543734</v>
      </c>
      <c r="H291" s="412" t="b">
        <f>Wh_hp&gt;='2020'!Maxi_hp</f>
        <v>1</v>
      </c>
      <c r="I291" s="379">
        <f>IF(H291,Wh_hp,'2020'!Maxi_hp)</f>
        <v>32.805664787235173</v>
      </c>
      <c r="J291" s="85">
        <f>IF(H291,An,'2020'!An_max)</f>
        <v>2021</v>
      </c>
      <c r="K291" s="197">
        <f t="shared" si="100"/>
        <v>44473</v>
      </c>
      <c r="L291" s="147">
        <f>IF(t&lt;Tvie,1-EXP((T0-t)*PertePVj)+'2020'!Pspv,1-EXP((T0-t)*PertePVj)+Pspv)</f>
        <v>1.8549953415393006E-2</v>
      </c>
      <c r="M291" s="832"/>
      <c r="N291" s="832"/>
      <c r="O291" s="48">
        <f>IF(t&lt;Tnet,'2020'!Resal+('2020'!Salim-'2020'!Resal)*(1-EXP(('2020'!Tnet-t)/('2020'!Tau_j))),Resal+(Salim-Resal)*(1-EXP((Tnet-t)/(Tau_j))))*Salcycl</f>
        <v>9.8011987998008282E-2</v>
      </c>
      <c r="P291" s="169">
        <f>(INDEX(Models!$BJ291:$BT291,,T291)*(1-R291)+INDEX(Models!$BJ291:$BT291,,T291+1)*R291-ERP_i)*Q291*Ramure*Pc/MaxiM</f>
        <v>2.509631791948767E-5</v>
      </c>
      <c r="Q291" s="304">
        <f t="shared" si="101"/>
        <v>0.6</v>
      </c>
      <c r="R291" s="177">
        <f t="shared" si="102"/>
        <v>0.99505417266819973</v>
      </c>
      <c r="S291" s="799">
        <f t="shared" si="103"/>
        <v>-1</v>
      </c>
      <c r="T291" s="176">
        <f t="shared" si="104"/>
        <v>5</v>
      </c>
      <c r="U291" s="250">
        <f t="shared" si="105"/>
        <v>-4.9458273318002677E-3</v>
      </c>
      <c r="V291" s="382">
        <f t="shared" si="106"/>
        <v>41.436091998031735</v>
      </c>
      <c r="W291" s="400"/>
      <c r="X291" s="157">
        <f t="shared" si="107"/>
        <v>44473</v>
      </c>
      <c r="Y291" s="383">
        <f t="shared" si="108"/>
        <v>29.041</v>
      </c>
      <c r="Z291" s="383">
        <f t="shared" si="109"/>
        <v>29.589891101499365</v>
      </c>
      <c r="AA291" s="384">
        <f t="shared" si="110"/>
        <v>32.8051933149573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9.8011987998008282E-2</v>
      </c>
      <c r="AD291" s="230">
        <f>(INDEX(Models!$BJ291:$BT291,,AH291)*(1-AF291)+INDEX(Models!$BJ291:$BT291,,AH291+1)*AF291-ERP_i)*AE291*Ramure*Pc/MaxiM</f>
        <v>2.509631791948767E-5</v>
      </c>
      <c r="AE291" s="304">
        <f t="shared" si="112"/>
        <v>0.6</v>
      </c>
      <c r="AF291" s="177">
        <f t="shared" si="113"/>
        <v>0.99505417266819973</v>
      </c>
      <c r="AG291" s="799">
        <f t="shared" si="119"/>
        <v>-1</v>
      </c>
      <c r="AH291" s="176">
        <f t="shared" si="114"/>
        <v>5</v>
      </c>
      <c r="AI291" s="224">
        <f t="shared" si="115"/>
        <v>-4.9458273318002677E-3</v>
      </c>
      <c r="AJ291" s="264" t="b">
        <f t="shared" si="116"/>
        <v>0</v>
      </c>
      <c r="AK291" s="264" t="b">
        <f t="shared" si="117"/>
        <v>0</v>
      </c>
      <c r="AL291" s="264"/>
      <c r="AM291" s="264"/>
      <c r="AN291" s="75"/>
    </row>
    <row r="292" spans="1:40" s="6" customFormat="1" ht="11.25" x14ac:dyDescent="0.2">
      <c r="A292" s="56">
        <f t="shared" si="118"/>
        <v>44474</v>
      </c>
      <c r="B292" s="607">
        <v>12.068</v>
      </c>
      <c r="C292" s="388"/>
      <c r="D292" s="391">
        <f t="shared" si="98"/>
        <v>12.296327588853003</v>
      </c>
      <c r="E292" s="383">
        <f t="shared" si="96"/>
        <v>13.633848866089034</v>
      </c>
      <c r="F292" s="383">
        <f t="shared" si="99"/>
        <v>13.633848866089034</v>
      </c>
      <c r="G292" s="110">
        <f t="shared" si="97"/>
        <v>0.29313562169431945</v>
      </c>
      <c r="H292" s="412" t="b">
        <f>Wh_hp&gt;='2020'!Maxi_hp</f>
        <v>0</v>
      </c>
      <c r="I292" s="379">
        <f>IF(H292,Wh_hp,'2020'!Maxi_hp)</f>
        <v>40.66295843102975</v>
      </c>
      <c r="J292" s="85">
        <f>IF(H292,An,'2020'!An_max)</f>
        <v>2018</v>
      </c>
      <c r="K292" s="197">
        <f t="shared" si="100"/>
        <v>44474</v>
      </c>
      <c r="L292" s="147">
        <f>IF(t&lt;Tvie,1-EXP((T0-t)*PertePVj)+'2020'!Pspv,1-EXP((T0-t)*PertePVj)+Pspv)</f>
        <v>1.8568762681631101E-2</v>
      </c>
      <c r="M292" s="832"/>
      <c r="N292" s="832"/>
      <c r="O292" s="48">
        <f>IF(t&lt;Tnet,'2020'!Resal+('2020'!Salim-'2020'!Resal)*(1-EXP(('2020'!Tnet-t)/('2020'!Tau_j))),Resal+(Salim-Resal)*(1-EXP((Tnet-t)/(Tau_j))))*Salcycl</f>
        <v>9.8102985471901272E-2</v>
      </c>
      <c r="P292" s="169">
        <f>(INDEX(Models!$BJ292:$BT292,,T292)*(1-R292)+INDEX(Models!$BJ292:$BT292,,T292+1)*R292-ERP_i)*Q292*Ramure*Pc/MaxiM</f>
        <v>2.5708737199855921E-5</v>
      </c>
      <c r="Q292" s="304">
        <f t="shared" si="101"/>
        <v>0.6</v>
      </c>
      <c r="R292" s="177">
        <f t="shared" si="102"/>
        <v>0.99522285873218141</v>
      </c>
      <c r="S292" s="799">
        <f t="shared" si="103"/>
        <v>-1</v>
      </c>
      <c r="T292" s="176">
        <f t="shared" si="104"/>
        <v>5</v>
      </c>
      <c r="U292" s="250">
        <f t="shared" si="105"/>
        <v>-4.7771412678185854E-3</v>
      </c>
      <c r="V292" s="382">
        <f t="shared" si="106"/>
        <v>41.167599069701616</v>
      </c>
      <c r="W292" s="400"/>
      <c r="X292" s="157">
        <f t="shared" si="107"/>
        <v>44474</v>
      </c>
      <c r="Y292" s="383">
        <f t="shared" si="108"/>
        <v>12.068</v>
      </c>
      <c r="Z292" s="383">
        <f t="shared" si="109"/>
        <v>12.296327588853003</v>
      </c>
      <c r="AA292" s="384">
        <f t="shared" si="110"/>
        <v>13.633848866089034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9.8102985471901272E-2</v>
      </c>
      <c r="AD292" s="230">
        <f>(INDEX(Models!$BJ292:$BT292,,AH292)*(1-AF292)+INDEX(Models!$BJ292:$BT292,,AH292+1)*AF292-ERP_i)*AE292*Ramure*Pc/MaxiM</f>
        <v>2.5708737199855921E-5</v>
      </c>
      <c r="AE292" s="304">
        <f t="shared" si="112"/>
        <v>0.6</v>
      </c>
      <c r="AF292" s="177">
        <f t="shared" si="113"/>
        <v>0.99522285873218141</v>
      </c>
      <c r="AG292" s="799">
        <f t="shared" si="119"/>
        <v>-1</v>
      </c>
      <c r="AH292" s="176">
        <f t="shared" si="114"/>
        <v>5</v>
      </c>
      <c r="AI292" s="224">
        <f t="shared" si="115"/>
        <v>-4.7771412678185854E-3</v>
      </c>
      <c r="AJ292" s="264" t="b">
        <f t="shared" si="116"/>
        <v>0</v>
      </c>
      <c r="AK292" s="264" t="b">
        <f t="shared" si="117"/>
        <v>0</v>
      </c>
      <c r="AL292" s="264"/>
      <c r="AM292" s="264"/>
      <c r="AN292" s="75"/>
    </row>
    <row r="293" spans="1:40" s="6" customFormat="1" ht="11.25" x14ac:dyDescent="0.2">
      <c r="A293" s="56">
        <f t="shared" si="118"/>
        <v>44475</v>
      </c>
      <c r="B293" s="607">
        <v>27.192</v>
      </c>
      <c r="C293" s="388"/>
      <c r="D293" s="391">
        <f t="shared" si="98"/>
        <v>27.707005956692367</v>
      </c>
      <c r="E293" s="383">
        <f t="shared" si="96"/>
        <v>30.723848075920859</v>
      </c>
      <c r="F293" s="383">
        <f t="shared" si="99"/>
        <v>30.724268333108448</v>
      </c>
      <c r="G293" s="110">
        <f t="shared" si="97"/>
        <v>0.66490475760836021</v>
      </c>
      <c r="H293" s="412" t="b">
        <f>Wh_hp&gt;='2020'!Maxi_hp</f>
        <v>0</v>
      </c>
      <c r="I293" s="379">
        <f>IF(H293,Wh_hp,'2020'!Maxi_hp)</f>
        <v>32.037742700397558</v>
      </c>
      <c r="J293" s="85">
        <f>IF(H293,An,'2020'!An_max)</f>
        <v>2020</v>
      </c>
      <c r="K293" s="197">
        <f t="shared" si="100"/>
        <v>44475</v>
      </c>
      <c r="L293" s="147">
        <f>IF(t&lt;Tvie,1-EXP((T0-t)*PertePVj)+'2020'!Pspv,1-EXP((T0-t)*PertePVj)+Pspv)</f>
        <v>1.8587571587393881E-2</v>
      </c>
      <c r="M293" s="832"/>
      <c r="N293" s="832"/>
      <c r="O293" s="48">
        <f>IF(t&lt;Tnet,'2020'!Resal+('2020'!Salim-'2020'!Resal)*(1-EXP(('2020'!Tnet-t)/('2020'!Tau_j))),Resal+(Salim-Resal)*(1-EXP((Tnet-t)/(Tau_j))))*Salcycl</f>
        <v>9.8192196230552059E-2</v>
      </c>
      <c r="P293" s="169">
        <f>(INDEX(Models!$BJ293:$BT293,,T293)*(1-R293)+INDEX(Models!$BJ293:$BT293,,T293+1)*R293-ERP_i)*Q293*Ramure*Pc/MaxiM</f>
        <v>2.6238691602638882E-5</v>
      </c>
      <c r="Q293" s="304">
        <f t="shared" si="101"/>
        <v>0.6</v>
      </c>
      <c r="R293" s="177">
        <f t="shared" si="102"/>
        <v>0.99538486080322053</v>
      </c>
      <c r="S293" s="799">
        <f t="shared" si="103"/>
        <v>-1</v>
      </c>
      <c r="T293" s="176">
        <f t="shared" si="104"/>
        <v>5</v>
      </c>
      <c r="U293" s="250">
        <f t="shared" si="105"/>
        <v>-4.6151391967794164E-3</v>
      </c>
      <c r="V293" s="382">
        <f t="shared" si="106"/>
        <v>40.895569092077338</v>
      </c>
      <c r="W293" s="400"/>
      <c r="X293" s="157">
        <f t="shared" si="107"/>
        <v>44475</v>
      </c>
      <c r="Y293" s="383">
        <f t="shared" si="108"/>
        <v>27.192</v>
      </c>
      <c r="Z293" s="383">
        <f t="shared" si="109"/>
        <v>27.707005956692367</v>
      </c>
      <c r="AA293" s="384">
        <f t="shared" si="110"/>
        <v>30.723848075920859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9.8192196230552059E-2</v>
      </c>
      <c r="AD293" s="230">
        <f>(INDEX(Models!$BJ293:$BT293,,AH293)*(1-AF293)+INDEX(Models!$BJ293:$BT293,,AH293+1)*AF293-ERP_i)*AE293*Ramure*Pc/MaxiM</f>
        <v>2.6238691602638882E-5</v>
      </c>
      <c r="AE293" s="304">
        <f t="shared" si="112"/>
        <v>0.6</v>
      </c>
      <c r="AF293" s="177">
        <f t="shared" si="113"/>
        <v>0.99538486080322053</v>
      </c>
      <c r="AG293" s="799">
        <f t="shared" si="119"/>
        <v>-1</v>
      </c>
      <c r="AH293" s="176">
        <f t="shared" si="114"/>
        <v>5</v>
      </c>
      <c r="AI293" s="224">
        <f t="shared" si="115"/>
        <v>-4.6151391967794164E-3</v>
      </c>
      <c r="AJ293" s="264" t="b">
        <f t="shared" si="116"/>
        <v>0</v>
      </c>
      <c r="AK293" s="264" t="b">
        <f t="shared" si="117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18"/>
        <v>44476</v>
      </c>
      <c r="B294" s="607">
        <v>40.667999999999999</v>
      </c>
      <c r="C294" s="388"/>
      <c r="D294" s="391">
        <f t="shared" si="98"/>
        <v>41.439030351041481</v>
      </c>
      <c r="E294" s="383">
        <f t="shared" si="96"/>
        <v>45.955520909956789</v>
      </c>
      <c r="F294" s="383">
        <f t="shared" si="99"/>
        <v>45.95674728395548</v>
      </c>
      <c r="G294" s="110">
        <f t="shared" si="97"/>
        <v>1.0011769291136683</v>
      </c>
      <c r="H294" s="412" t="b">
        <f>Wh_hp&gt;='2020'!Maxi_hp</f>
        <v>1</v>
      </c>
      <c r="I294" s="379">
        <f>IF(H294,Wh_hp,'2020'!Maxi_hp)</f>
        <v>45.95674728395548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1.8606380132688227E-2</v>
      </c>
      <c r="M294" s="832"/>
      <c r="N294" s="832"/>
      <c r="O294" s="48">
        <f>IF(t&lt;Tnet,'2020'!Resal+('2020'!Salim-'2020'!Resal)*(1-EXP(('2020'!Tnet-t)/('2020'!Tau_j))),Resal+(Salim-Resal)*(1-EXP((Tnet-t)/(Tau_j))))*Salcycl</f>
        <v>9.8279607531045421E-2</v>
      </c>
      <c r="P294" s="169">
        <f>(INDEX(Models!$BJ294:$BT294,,T294)*(1-R294)+INDEX(Models!$BJ294:$BT294,,T294+1)*R294-ERP_i)*Q294*Ramure*Pc/MaxiM</f>
        <v>2.668539596835331E-5</v>
      </c>
      <c r="Q294" s="304">
        <f t="shared" si="101"/>
        <v>0.6</v>
      </c>
      <c r="R294" s="177">
        <f t="shared" si="102"/>
        <v>0.99554043958974336</v>
      </c>
      <c r="S294" s="799">
        <f t="shared" si="103"/>
        <v>-1</v>
      </c>
      <c r="T294" s="176">
        <f t="shared" si="104"/>
        <v>5</v>
      </c>
      <c r="U294" s="250">
        <f t="shared" si="105"/>
        <v>-4.45956041025658E-3</v>
      </c>
      <c r="V294" s="382">
        <f t="shared" si="106"/>
        <v>40.620192912358618</v>
      </c>
      <c r="W294" s="400"/>
      <c r="X294" s="157">
        <f t="shared" si="107"/>
        <v>44476</v>
      </c>
      <c r="Y294" s="383">
        <f t="shared" si="108"/>
        <v>40.667999999999999</v>
      </c>
      <c r="Z294" s="383">
        <f t="shared" si="109"/>
        <v>41.439030351041481</v>
      </c>
      <c r="AA294" s="384">
        <f t="shared" si="110"/>
        <v>45.955520909956789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9.8279607531045421E-2</v>
      </c>
      <c r="AD294" s="230">
        <f>(INDEX(Models!$BJ294:$BT294,,AH294)*(1-AF294)+INDEX(Models!$BJ294:$BT294,,AH294+1)*AF294-ERP_i)*AE294*Ramure*Pc/MaxiM</f>
        <v>2.668539596835331E-5</v>
      </c>
      <c r="AE294" s="304">
        <f t="shared" si="112"/>
        <v>0.6</v>
      </c>
      <c r="AF294" s="177">
        <f t="shared" si="113"/>
        <v>0.99554043958974336</v>
      </c>
      <c r="AG294" s="799">
        <f t="shared" si="119"/>
        <v>-1</v>
      </c>
      <c r="AH294" s="176">
        <f t="shared" si="114"/>
        <v>5</v>
      </c>
      <c r="AI294" s="224">
        <f t="shared" si="115"/>
        <v>-4.45956041025658E-3</v>
      </c>
      <c r="AJ294" s="264" t="b">
        <f t="shared" si="116"/>
        <v>0</v>
      </c>
      <c r="AK294" s="264" t="b">
        <f t="shared" si="117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18"/>
        <v>44477</v>
      </c>
      <c r="B295" s="607">
        <v>39.008000000000003</v>
      </c>
      <c r="C295" s="388"/>
      <c r="D295" s="391">
        <f t="shared" si="98"/>
        <v>39.74831994426706</v>
      </c>
      <c r="E295" s="383">
        <f t="shared" si="96"/>
        <v>44.084722993367073</v>
      </c>
      <c r="F295" s="383">
        <f t="shared" si="99"/>
        <v>44.08585911576052</v>
      </c>
      <c r="G295" s="110">
        <f t="shared" si="97"/>
        <v>0.96693961385353955</v>
      </c>
      <c r="H295" s="412" t="b">
        <f>Wh_hp&gt;='2020'!Maxi_hp</f>
        <v>1</v>
      </c>
      <c r="I295" s="379">
        <f>IF(H295,Wh_hp,'2020'!Maxi_hp)</f>
        <v>44.08585911576052</v>
      </c>
      <c r="J295" s="85">
        <f>IF(H295,An,'2020'!An_max)</f>
        <v>2021</v>
      </c>
      <c r="K295" s="197">
        <f t="shared" si="100"/>
        <v>44477</v>
      </c>
      <c r="L295" s="147">
        <f>IF(t&lt;Tvie,1-EXP((T0-t)*PertePVj)+'2020'!Pspv,1-EXP((T0-t)*PertePVj)+Pspv)</f>
        <v>1.8625188317521135E-2</v>
      </c>
      <c r="M295" s="832"/>
      <c r="N295" s="832"/>
      <c r="O295" s="48">
        <f>IF(t&lt;Tnet,'2020'!Resal+('2020'!Salim-'2020'!Resal)*(1-EXP(('2020'!Tnet-t)/('2020'!Tau_j))),Resal+(Salim-Resal)*(1-EXP((Tnet-t)/(Tau_j))))*Salcycl</f>
        <v>9.8365210319059135E-2</v>
      </c>
      <c r="P295" s="169">
        <f>(INDEX(Models!$BJ295:$BT295,,T295)*(1-R295)+INDEX(Models!$BJ295:$BT295,,T295+1)*R295-ERP_i)*Q295*Ramure*Pc/MaxiM</f>
        <v>2.7048085684065487E-5</v>
      </c>
      <c r="Q295" s="304">
        <f t="shared" si="101"/>
        <v>0.6</v>
      </c>
      <c r="R295" s="177">
        <f t="shared" si="102"/>
        <v>0.99568984595560461</v>
      </c>
      <c r="S295" s="799">
        <f t="shared" si="103"/>
        <v>-1</v>
      </c>
      <c r="T295" s="176">
        <f t="shared" si="104"/>
        <v>5</v>
      </c>
      <c r="U295" s="250">
        <f t="shared" si="105"/>
        <v>-4.3101540443953867E-3</v>
      </c>
      <c r="V295" s="382">
        <f t="shared" si="106"/>
        <v>40.341661062020684</v>
      </c>
      <c r="W295" s="400"/>
      <c r="X295" s="157">
        <f t="shared" si="107"/>
        <v>44477</v>
      </c>
      <c r="Y295" s="383">
        <f t="shared" si="108"/>
        <v>39.008000000000003</v>
      </c>
      <c r="Z295" s="383">
        <f t="shared" si="109"/>
        <v>39.74831994426706</v>
      </c>
      <c r="AA295" s="384">
        <f t="shared" si="110"/>
        <v>44.084722993367073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9.8365210319059135E-2</v>
      </c>
      <c r="AD295" s="230">
        <f>(INDEX(Models!$BJ295:$BT295,,AH295)*(1-AF295)+INDEX(Models!$BJ295:$BT295,,AH295+1)*AF295-ERP_i)*AE295*Ramure*Pc/MaxiM</f>
        <v>2.7048085684065487E-5</v>
      </c>
      <c r="AE295" s="304">
        <f t="shared" si="112"/>
        <v>0.6</v>
      </c>
      <c r="AF295" s="177">
        <f t="shared" si="113"/>
        <v>0.99568984595560461</v>
      </c>
      <c r="AG295" s="799">
        <f t="shared" si="119"/>
        <v>-1</v>
      </c>
      <c r="AH295" s="176">
        <f t="shared" si="114"/>
        <v>5</v>
      </c>
      <c r="AI295" s="224">
        <f t="shared" si="115"/>
        <v>-4.3101540443953867E-3</v>
      </c>
      <c r="AJ295" s="264" t="b">
        <f t="shared" si="116"/>
        <v>0</v>
      </c>
      <c r="AK295" s="264" t="b">
        <f t="shared" si="117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18"/>
        <v>44478</v>
      </c>
      <c r="B296" s="607">
        <v>15.156000000000001</v>
      </c>
      <c r="C296" s="388"/>
      <c r="D296" s="391">
        <f t="shared" si="98"/>
        <v>15.443936696179305</v>
      </c>
      <c r="E296" s="383">
        <f t="shared" si="96"/>
        <v>17.130408249040183</v>
      </c>
      <c r="F296" s="383">
        <f t="shared" si="99"/>
        <v>17.130460741406306</v>
      </c>
      <c r="G296" s="110">
        <f t="shared" si="97"/>
        <v>0.37832177570873921</v>
      </c>
      <c r="H296" s="412" t="b">
        <f>Wh_hp&gt;='2020'!Maxi_hp</f>
        <v>0</v>
      </c>
      <c r="I296" s="379">
        <f>IF(H296,Wh_hp,'2020'!Maxi_hp)</f>
        <v>36.162944892699876</v>
      </c>
      <c r="J296" s="85">
        <f>IF(H296,An,'2020'!An_max)</f>
        <v>2020</v>
      </c>
      <c r="K296" s="197">
        <f t="shared" si="100"/>
        <v>44478</v>
      </c>
      <c r="L296" s="147">
        <f>IF(t&lt;Tvie,1-EXP((T0-t)*PertePVj)+'2020'!Pspv,1-EXP((T0-t)*PertePVj)+Pspv)</f>
        <v>1.8643996141899377E-2</v>
      </c>
      <c r="M296" s="832"/>
      <c r="N296" s="832"/>
      <c r="O296" s="48">
        <f>IF(t&lt;Tnet,'2020'!Resal+('2020'!Salim-'2020'!Resal)*(1-EXP(('2020'!Tnet-t)/('2020'!Tau_j))),Resal+(Salim-Resal)*(1-EXP((Tnet-t)/(Tau_j))))*Salcycl</f>
        <v>9.8448999483440325E-2</v>
      </c>
      <c r="P296" s="169">
        <f>(INDEX(Models!$BJ296:$BT296,,T296)*(1-R296)+INDEX(Models!$BJ296:$BT296,,T296+1)*R296-ERP_i)*Q296*Ramure*Pc/MaxiM</f>
        <v>2.7383666982912631E-5</v>
      </c>
      <c r="Q296" s="304">
        <f t="shared" si="101"/>
        <v>0.6</v>
      </c>
      <c r="R296" s="177">
        <f t="shared" si="102"/>
        <v>0.99583332126626711</v>
      </c>
      <c r="S296" s="799">
        <f t="shared" si="103"/>
        <v>-1</v>
      </c>
      <c r="T296" s="176">
        <f t="shared" si="104"/>
        <v>5</v>
      </c>
      <c r="U296" s="250">
        <f t="shared" si="105"/>
        <v>-4.1666787337328315E-3</v>
      </c>
      <c r="V296" s="382">
        <f t="shared" si="106"/>
        <v>40.060161447767051</v>
      </c>
      <c r="W296" s="400"/>
      <c r="X296" s="157">
        <f t="shared" si="107"/>
        <v>44478</v>
      </c>
      <c r="Y296" s="383">
        <f t="shared" si="108"/>
        <v>15.156000000000001</v>
      </c>
      <c r="Z296" s="383">
        <f t="shared" si="109"/>
        <v>15.443936696179305</v>
      </c>
      <c r="AA296" s="384">
        <f t="shared" si="110"/>
        <v>17.130408249040183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9.8448999483440325E-2</v>
      </c>
      <c r="AD296" s="230">
        <f>(INDEX(Models!$BJ296:$BT296,,AH296)*(1-AF296)+INDEX(Models!$BJ296:$BT296,,AH296+1)*AF296-ERP_i)*AE296*Ramure*Pc/MaxiM</f>
        <v>2.7383666982912631E-5</v>
      </c>
      <c r="AE296" s="304">
        <f t="shared" si="112"/>
        <v>0.6</v>
      </c>
      <c r="AF296" s="177">
        <f t="shared" si="113"/>
        <v>0.99583332126626711</v>
      </c>
      <c r="AG296" s="799">
        <f t="shared" si="119"/>
        <v>-1</v>
      </c>
      <c r="AH296" s="176">
        <f t="shared" si="114"/>
        <v>5</v>
      </c>
      <c r="AI296" s="224">
        <f t="shared" si="115"/>
        <v>-4.1666787337328315E-3</v>
      </c>
      <c r="AJ296" s="264" t="b">
        <f t="shared" si="116"/>
        <v>0</v>
      </c>
      <c r="AK296" s="264" t="b">
        <f t="shared" si="117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18"/>
        <v>44479</v>
      </c>
      <c r="B297" s="607">
        <v>27.778000000000002</v>
      </c>
      <c r="C297" s="388"/>
      <c r="D297" s="391">
        <f t="shared" si="98"/>
        <v>28.306274440699504</v>
      </c>
      <c r="E297" s="383">
        <f t="shared" ref="E297:E360" si="120">Wh_pvt/(1-Psa)</f>
        <v>31.400163097501849</v>
      </c>
      <c r="F297" s="383">
        <f t="shared" si="99"/>
        <v>31.400658893116749</v>
      </c>
      <c r="G297" s="110">
        <f t="shared" ref="G297:G360" si="121">+Wh_hp/MaxiM</f>
        <v>0.69835454490859461</v>
      </c>
      <c r="H297" s="412" t="b">
        <f>Wh_hp&gt;='2020'!Maxi_hp</f>
        <v>0</v>
      </c>
      <c r="I297" s="379">
        <f>IF(H297,Wh_hp,'2020'!Maxi_hp)</f>
        <v>32.079659827056922</v>
      </c>
      <c r="J297" s="85">
        <f>IF(H297,An,'2020'!An_max)</f>
        <v>2018</v>
      </c>
      <c r="K297" s="197">
        <f t="shared" si="100"/>
        <v>44479</v>
      </c>
      <c r="L297" s="147">
        <f>IF(t&lt;Tvie,1-EXP((T0-t)*PertePVj)+'2020'!Pspv,1-EXP((T0-t)*PertePVj)+Pspv)</f>
        <v>1.8662803605830058E-2</v>
      </c>
      <c r="M297" s="832"/>
      <c r="N297" s="832"/>
      <c r="O297" s="48">
        <f>IF(t&lt;Tnet,'2020'!Resal+('2020'!Salim-'2020'!Resal)*(1-EXP(('2020'!Tnet-t)/('2020'!Tau_j))),Resal+(Salim-Resal)*(1-EXP((Tnet-t)/(Tau_j))))*Salcycl</f>
        <v>9.8530974097025881E-2</v>
      </c>
      <c r="P297" s="169">
        <f>(INDEX(Models!$BJ297:$BT297,,T297)*(1-R297)+INDEX(Models!$BJ297:$BT297,,T297+1)*R297-ERP_i)*Q297*Ramure*Pc/MaxiM</f>
        <v>2.7744894709713853E-5</v>
      </c>
      <c r="Q297" s="304">
        <f t="shared" si="101"/>
        <v>0.6</v>
      </c>
      <c r="R297" s="177">
        <f t="shared" si="102"/>
        <v>0.99597109772485826</v>
      </c>
      <c r="S297" s="799">
        <f t="shared" si="103"/>
        <v>-1</v>
      </c>
      <c r="T297" s="176">
        <f t="shared" si="104"/>
        <v>5</v>
      </c>
      <c r="U297" s="250">
        <f t="shared" si="105"/>
        <v>-4.0289022751417436E-3</v>
      </c>
      <c r="V297" s="382">
        <f t="shared" si="106"/>
        <v>39.775881886665644</v>
      </c>
      <c r="W297" s="400"/>
      <c r="X297" s="157">
        <f t="shared" si="107"/>
        <v>44479</v>
      </c>
      <c r="Y297" s="383">
        <f t="shared" si="108"/>
        <v>27.778000000000002</v>
      </c>
      <c r="Z297" s="383">
        <f t="shared" si="109"/>
        <v>28.306274440699504</v>
      </c>
      <c r="AA297" s="384">
        <f t="shared" si="110"/>
        <v>31.400163097501849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9.8530974097025881E-2</v>
      </c>
      <c r="AD297" s="230">
        <f>(INDEX(Models!$BJ297:$BT297,,AH297)*(1-AF297)+INDEX(Models!$BJ297:$BT297,,AH297+1)*AF297-ERP_i)*AE297*Ramure*Pc/MaxiM</f>
        <v>2.7744894709713853E-5</v>
      </c>
      <c r="AE297" s="304">
        <f t="shared" si="112"/>
        <v>0.6</v>
      </c>
      <c r="AF297" s="177">
        <f t="shared" si="113"/>
        <v>0.99597109772485826</v>
      </c>
      <c r="AG297" s="799">
        <f t="shared" si="119"/>
        <v>-1</v>
      </c>
      <c r="AH297" s="176">
        <f t="shared" si="114"/>
        <v>5</v>
      </c>
      <c r="AI297" s="224">
        <f t="shared" si="115"/>
        <v>-4.0289022751417436E-3</v>
      </c>
      <c r="AJ297" s="264" t="b">
        <f t="shared" si="116"/>
        <v>0</v>
      </c>
      <c r="AK297" s="264" t="b">
        <f t="shared" si="117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18"/>
        <v>44480</v>
      </c>
      <c r="B298" s="607">
        <v>39.677999999999997</v>
      </c>
      <c r="C298" s="388"/>
      <c r="D298" s="391">
        <f t="shared" si="98"/>
        <v>40.433360296733241</v>
      </c>
      <c r="E298" s="383">
        <f t="shared" si="120"/>
        <v>44.856733852829734</v>
      </c>
      <c r="F298" s="383">
        <f t="shared" si="99"/>
        <v>44.857995782913029</v>
      </c>
      <c r="G298" s="110">
        <f t="shared" si="121"/>
        <v>1.0047858368650906</v>
      </c>
      <c r="H298" s="412" t="b">
        <f>Wh_hp&gt;='2020'!Maxi_hp</f>
        <v>1</v>
      </c>
      <c r="I298" s="379">
        <f>IF(H298,Wh_hp,'2020'!Maxi_hp)</f>
        <v>44.857995782913029</v>
      </c>
      <c r="J298" s="85">
        <f>IF(H298,An,'2020'!An_max)</f>
        <v>2021</v>
      </c>
      <c r="K298" s="197">
        <f t="shared" si="100"/>
        <v>44480</v>
      </c>
      <c r="L298" s="147">
        <f>IF(t&lt;Tvie,1-EXP((T0-t)*PertePVj)+'2020'!Pspv,1-EXP((T0-t)*PertePVj)+Pspv)</f>
        <v>1.8681610709319951E-2</v>
      </c>
      <c r="M298" s="832"/>
      <c r="N298" s="832"/>
      <c r="O298" s="48">
        <f>IF(t&lt;Tnet,'2020'!Resal+('2020'!Salim-'2020'!Resal)*(1-EXP(('2020'!Tnet-t)/('2020'!Tau_j))),Resal+(Salim-Resal)*(1-EXP((Tnet-t)/(Tau_j))))*Salcycl</f>
        <v>9.8611137641209407E-2</v>
      </c>
      <c r="P298" s="169">
        <f>(INDEX(Models!$BJ298:$BT298,,T298)*(1-R298)+INDEX(Models!$BJ298:$BT298,,T298+1)*R298-ERP_i)*Q298*Ramure*Pc/MaxiM</f>
        <v>2.8131664406083128E-5</v>
      </c>
      <c r="Q298" s="304">
        <f t="shared" si="101"/>
        <v>0.6</v>
      </c>
      <c r="R298" s="177">
        <f t="shared" si="102"/>
        <v>0.99610339869822462</v>
      </c>
      <c r="S298" s="799">
        <f t="shared" si="103"/>
        <v>-1</v>
      </c>
      <c r="T298" s="176">
        <f t="shared" si="104"/>
        <v>5</v>
      </c>
      <c r="U298" s="250">
        <f t="shared" si="105"/>
        <v>-3.8966013017754375E-3</v>
      </c>
      <c r="V298" s="382">
        <f t="shared" si="106"/>
        <v>39.489012030458625</v>
      </c>
      <c r="W298" s="400"/>
      <c r="X298" s="157">
        <f t="shared" si="107"/>
        <v>44480</v>
      </c>
      <c r="Y298" s="383">
        <f t="shared" si="108"/>
        <v>39.677999999999997</v>
      </c>
      <c r="Z298" s="383">
        <f t="shared" si="109"/>
        <v>40.433360296733241</v>
      </c>
      <c r="AA298" s="384">
        <f t="shared" si="110"/>
        <v>44.856733852829734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9.8611137641209407E-2</v>
      </c>
      <c r="AD298" s="230">
        <f>(INDEX(Models!$BJ298:$BT298,,AH298)*(1-AF298)+INDEX(Models!$BJ298:$BT298,,AH298+1)*AF298-ERP_i)*AE298*Ramure*Pc/MaxiM</f>
        <v>2.8131664406083128E-5</v>
      </c>
      <c r="AE298" s="304">
        <f t="shared" si="112"/>
        <v>0.6</v>
      </c>
      <c r="AF298" s="177">
        <f t="shared" si="113"/>
        <v>0.99610339869822462</v>
      </c>
      <c r="AG298" s="799">
        <f t="shared" si="119"/>
        <v>-1</v>
      </c>
      <c r="AH298" s="176">
        <f t="shared" si="114"/>
        <v>5</v>
      </c>
      <c r="AI298" s="224">
        <f t="shared" si="115"/>
        <v>-3.8966013017754375E-3</v>
      </c>
      <c r="AJ298" s="264" t="b">
        <f t="shared" si="116"/>
        <v>0</v>
      </c>
      <c r="AK298" s="264" t="b">
        <f t="shared" si="117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18"/>
        <v>44481</v>
      </c>
      <c r="B299" s="607">
        <v>38.085000000000001</v>
      </c>
      <c r="C299" s="388"/>
      <c r="D299" s="391">
        <f t="shared" si="98"/>
        <v>38.810777745492089</v>
      </c>
      <c r="E299" s="383">
        <f t="shared" si="120"/>
        <v>43.060385592415301</v>
      </c>
      <c r="F299" s="383">
        <f t="shared" si="99"/>
        <v>43.06156480177809</v>
      </c>
      <c r="G299" s="110">
        <f t="shared" si="121"/>
        <v>0.97156140960563198</v>
      </c>
      <c r="H299" s="412" t="b">
        <f>Wh_hp&gt;='2020'!Maxi_hp</f>
        <v>1</v>
      </c>
      <c r="I299" s="379">
        <f>IF(H299,Wh_hp,'2020'!Maxi_hp)</f>
        <v>43.06156480177809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1.870041745237605E-2</v>
      </c>
      <c r="M299" s="832"/>
      <c r="N299" s="832"/>
      <c r="O299" s="48">
        <f>IF(t&lt;Tnet,'2020'!Resal+('2020'!Salim-'2020'!Resal)*(1-EXP(('2020'!Tnet-t)/('2020'!Tau_j))),Resal+(Salim-Resal)*(1-EXP((Tnet-t)/(Tau_j))))*Salcycl</f>
        <v>9.8689498211826196E-2</v>
      </c>
      <c r="P299" s="169">
        <f>(INDEX(Models!$BJ299:$BT299,,T299)*(1-R299)+INDEX(Models!$BJ299:$BT299,,T299+1)*R299-ERP_i)*Q299*Ramure*Pc/MaxiM</f>
        <v>2.8543859217706283E-5</v>
      </c>
      <c r="Q299" s="304">
        <f t="shared" si="101"/>
        <v>0.6</v>
      </c>
      <c r="R299" s="177">
        <f t="shared" si="102"/>
        <v>0.99623043903312603</v>
      </c>
      <c r="S299" s="799">
        <f t="shared" si="103"/>
        <v>-1</v>
      </c>
      <c r="T299" s="176">
        <f t="shared" si="104"/>
        <v>5</v>
      </c>
      <c r="U299" s="250">
        <f t="shared" si="105"/>
        <v>-3.7695609668739749E-3</v>
      </c>
      <c r="V299" s="382">
        <f t="shared" si="106"/>
        <v>39.199741219814229</v>
      </c>
      <c r="W299" s="400"/>
      <c r="X299" s="157">
        <f t="shared" si="107"/>
        <v>44481</v>
      </c>
      <c r="Y299" s="383">
        <f t="shared" si="108"/>
        <v>38.085000000000001</v>
      </c>
      <c r="Z299" s="383">
        <f t="shared" si="109"/>
        <v>38.810777745492089</v>
      </c>
      <c r="AA299" s="384">
        <f t="shared" si="110"/>
        <v>43.060385592415301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9.8689498211826196E-2</v>
      </c>
      <c r="AD299" s="230">
        <f>(INDEX(Models!$BJ299:$BT299,,AH299)*(1-AF299)+INDEX(Models!$BJ299:$BT299,,AH299+1)*AF299-ERP_i)*AE299*Ramure*Pc/MaxiM</f>
        <v>2.8543859217706283E-5</v>
      </c>
      <c r="AE299" s="304">
        <f t="shared" si="112"/>
        <v>0.6</v>
      </c>
      <c r="AF299" s="177">
        <f t="shared" si="113"/>
        <v>0.99623043903312603</v>
      </c>
      <c r="AG299" s="799">
        <f t="shared" si="119"/>
        <v>-1</v>
      </c>
      <c r="AH299" s="176">
        <f t="shared" si="114"/>
        <v>5</v>
      </c>
      <c r="AI299" s="224">
        <f t="shared" si="115"/>
        <v>-3.7695609668739749E-3</v>
      </c>
      <c r="AJ299" s="264" t="b">
        <f t="shared" si="116"/>
        <v>0</v>
      </c>
      <c r="AK299" s="264" t="b">
        <f t="shared" si="117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18"/>
        <v>44482</v>
      </c>
      <c r="B300" s="607">
        <v>37.307000000000002</v>
      </c>
      <c r="C300" s="388"/>
      <c r="D300" s="391">
        <f t="shared" si="98"/>
        <v>38.018680184281031</v>
      </c>
      <c r="E300" s="383">
        <f t="shared" si="120"/>
        <v>42.185140687734581</v>
      </c>
      <c r="F300" s="383">
        <f t="shared" si="99"/>
        <v>42.186291422825811</v>
      </c>
      <c r="G300" s="110">
        <f t="shared" si="121"/>
        <v>0.95884364614400297</v>
      </c>
      <c r="H300" s="412" t="b">
        <f>Wh_hp&gt;='2020'!Maxi_hp</f>
        <v>1</v>
      </c>
      <c r="I300" s="379">
        <f>IF(H300,Wh_hp,'2020'!Maxi_hp)</f>
        <v>42.186291422825811</v>
      </c>
      <c r="J300" s="85">
        <f>IF(H300,An,'2020'!An_max)</f>
        <v>2021</v>
      </c>
      <c r="K300" s="197">
        <f t="shared" si="100"/>
        <v>44482</v>
      </c>
      <c r="L300" s="147">
        <f>IF(t&lt;Tvie,1-EXP((T0-t)*PertePVj)+'2020'!Pspv,1-EXP((T0-t)*PertePVj)+Pspv)</f>
        <v>1.8719223835005128E-2</v>
      </c>
      <c r="M300" s="832"/>
      <c r="N300" s="832"/>
      <c r="O300" s="48">
        <f>IF(t&lt;Tnet,'2020'!Resal+('2020'!Salim-'2020'!Resal)*(1-EXP(('2020'!Tnet-t)/('2020'!Tau_j))),Resal+(Salim-Resal)*(1-EXP((Tnet-t)/(Tau_j))))*Salcycl</f>
        <v>9.8766068704020202E-2</v>
      </c>
      <c r="P300" s="169">
        <f>(INDEX(Models!$BJ300:$BT300,,T300)*(1-R300)+INDEX(Models!$BJ300:$BT300,,T300+1)*R300-ERP_i)*Q300*Ramure*Pc/MaxiM</f>
        <v>2.8981349853393413E-5</v>
      </c>
      <c r="Q300" s="304">
        <f t="shared" si="101"/>
        <v>0.6</v>
      </c>
      <c r="R300" s="177">
        <f t="shared" si="102"/>
        <v>0.99635242536272017</v>
      </c>
      <c r="S300" s="799">
        <f t="shared" si="103"/>
        <v>-1</v>
      </c>
      <c r="T300" s="176">
        <f t="shared" si="104"/>
        <v>5</v>
      </c>
      <c r="U300" s="250">
        <f t="shared" si="105"/>
        <v>-3.6475746372798268E-3</v>
      </c>
      <c r="V300" s="382">
        <f t="shared" si="106"/>
        <v>38.908258485590409</v>
      </c>
      <c r="W300" s="400"/>
      <c r="X300" s="157">
        <f t="shared" si="107"/>
        <v>44482</v>
      </c>
      <c r="Y300" s="383">
        <f t="shared" si="108"/>
        <v>37.307000000000002</v>
      </c>
      <c r="Z300" s="383">
        <f t="shared" si="109"/>
        <v>38.018680184281031</v>
      </c>
      <c r="AA300" s="384">
        <f t="shared" si="110"/>
        <v>42.185140687734581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9.8766068704020202E-2</v>
      </c>
      <c r="AD300" s="230">
        <f>(INDEX(Models!$BJ300:$BT300,,AH300)*(1-AF300)+INDEX(Models!$BJ300:$BT300,,AH300+1)*AF300-ERP_i)*AE300*Ramure*Pc/MaxiM</f>
        <v>2.8981349853393413E-5</v>
      </c>
      <c r="AE300" s="304">
        <f t="shared" si="112"/>
        <v>0.6</v>
      </c>
      <c r="AF300" s="177">
        <f t="shared" si="113"/>
        <v>0.99635242536272017</v>
      </c>
      <c r="AG300" s="799">
        <f t="shared" si="119"/>
        <v>-1</v>
      </c>
      <c r="AH300" s="176">
        <f t="shared" si="114"/>
        <v>5</v>
      </c>
      <c r="AI300" s="224">
        <f t="shared" si="115"/>
        <v>-3.6475746372798268E-3</v>
      </c>
      <c r="AJ300" s="264" t="b">
        <f t="shared" si="116"/>
        <v>0</v>
      </c>
      <c r="AK300" s="264" t="b">
        <f t="shared" si="117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18"/>
        <v>44483</v>
      </c>
      <c r="B301" s="607">
        <v>40.277000000000001</v>
      </c>
      <c r="C301" s="388"/>
      <c r="D301" s="391">
        <f t="shared" si="98"/>
        <v>41.046123487430378</v>
      </c>
      <c r="E301" s="383">
        <f t="shared" si="120"/>
        <v>45.548141258465684</v>
      </c>
      <c r="F301" s="383">
        <f t="shared" si="99"/>
        <v>45.549482417186574</v>
      </c>
      <c r="G301" s="110">
        <f t="shared" si="121"/>
        <v>1.0430469531709821</v>
      </c>
      <c r="H301" s="412" t="b">
        <f>Wh_hp&gt;='2020'!Maxi_hp</f>
        <v>1</v>
      </c>
      <c r="I301" s="379">
        <f>IF(H301,Wh_hp,'2020'!Maxi_hp)</f>
        <v>45.549482417186574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1.8738029857214289E-2</v>
      </c>
      <c r="M301" s="832"/>
      <c r="N301" s="832"/>
      <c r="O301" s="48">
        <f>IF(t&lt;Tnet,'2020'!Resal+('2020'!Salim-'2020'!Resal)*(1-EXP(('2020'!Tnet-t)/('2020'!Tau_j))),Resal+(Salim-Resal)*(1-EXP((Tnet-t)/(Tau_j))))*Salcycl</f>
        <v>9.8840866973875577E-2</v>
      </c>
      <c r="P301" s="169">
        <f>(INDEX(Models!$BJ301:$BT301,,T301)*(1-R301)+INDEX(Models!$BJ301:$BT301,,T301+1)*R301-ERP_i)*Q301*Ramure*Pc/MaxiM</f>
        <v>2.9443994744143877E-5</v>
      </c>
      <c r="Q301" s="304">
        <f t="shared" si="101"/>
        <v>0.6</v>
      </c>
      <c r="R301" s="177">
        <f t="shared" si="102"/>
        <v>0.99646955640350099</v>
      </c>
      <c r="S301" s="799">
        <f t="shared" si="103"/>
        <v>-1</v>
      </c>
      <c r="T301" s="176">
        <f t="shared" si="104"/>
        <v>5</v>
      </c>
      <c r="U301" s="250">
        <f t="shared" si="105"/>
        <v>-3.5304435964990111E-3</v>
      </c>
      <c r="V301" s="382">
        <f t="shared" si="106"/>
        <v>38.614752555053563</v>
      </c>
      <c r="W301" s="400"/>
      <c r="X301" s="157">
        <f t="shared" si="107"/>
        <v>44483</v>
      </c>
      <c r="Y301" s="383">
        <f t="shared" si="108"/>
        <v>40.277000000000001</v>
      </c>
      <c r="Z301" s="383">
        <f t="shared" si="109"/>
        <v>41.046123487430378</v>
      </c>
      <c r="AA301" s="384">
        <f t="shared" si="110"/>
        <v>45.548141258465684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9.8840866973875577E-2</v>
      </c>
      <c r="AD301" s="230">
        <f>(INDEX(Models!$BJ301:$BT301,,AH301)*(1-AF301)+INDEX(Models!$BJ301:$BT301,,AH301+1)*AF301-ERP_i)*AE301*Ramure*Pc/MaxiM</f>
        <v>2.9443994744143877E-5</v>
      </c>
      <c r="AE301" s="304">
        <f t="shared" si="112"/>
        <v>0.6</v>
      </c>
      <c r="AF301" s="177">
        <f t="shared" si="113"/>
        <v>0.99646955640350099</v>
      </c>
      <c r="AG301" s="799">
        <f t="shared" si="119"/>
        <v>-1</v>
      </c>
      <c r="AH301" s="176">
        <f t="shared" si="114"/>
        <v>5</v>
      </c>
      <c r="AI301" s="224">
        <f t="shared" si="115"/>
        <v>-3.5304435964990111E-3</v>
      </c>
      <c r="AJ301" s="264" t="b">
        <f t="shared" si="116"/>
        <v>0</v>
      </c>
      <c r="AK301" s="264" t="b">
        <f t="shared" si="117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18"/>
        <v>44484</v>
      </c>
      <c r="B302" s="607">
        <v>32.404000000000003</v>
      </c>
      <c r="C302" s="388"/>
      <c r="D302" s="391">
        <f t="shared" si="98"/>
        <v>33.023414758908913</v>
      </c>
      <c r="E302" s="383">
        <f t="shared" si="120"/>
        <v>36.648457172248385</v>
      </c>
      <c r="F302" s="383">
        <f t="shared" si="99"/>
        <v>36.64931223035699</v>
      </c>
      <c r="G302" s="110">
        <f t="shared" si="121"/>
        <v>0.84562326325652848</v>
      </c>
      <c r="H302" s="412" t="b">
        <f>Wh_hp&gt;='2020'!Maxi_hp</f>
        <v>1</v>
      </c>
      <c r="I302" s="379">
        <f>IF(H302,Wh_hp,'2020'!Maxi_hp)</f>
        <v>36.64931223035699</v>
      </c>
      <c r="J302" s="85">
        <f>IF(H302,An,'2020'!An_max)</f>
        <v>2021</v>
      </c>
      <c r="K302" s="197">
        <f t="shared" si="100"/>
        <v>44484</v>
      </c>
      <c r="L302" s="147">
        <f>IF(t&lt;Tvie,1-EXP((T0-t)*PertePVj)+'2020'!Pspv,1-EXP((T0-t)*PertePVj)+Pspv)</f>
        <v>1.8756835519010195E-2</v>
      </c>
      <c r="M302" s="832"/>
      <c r="N302" s="832"/>
      <c r="O302" s="48">
        <f>IF(t&lt;Tnet,'2020'!Resal+('2020'!Salim-'2020'!Resal)*(1-EXP(('2020'!Tnet-t)/('2020'!Tau_j))),Resal+(Salim-Resal)*(1-EXP((Tnet-t)/(Tau_j))))*Salcycl</f>
        <v>9.8913915974735644E-2</v>
      </c>
      <c r="P302" s="169">
        <f>(INDEX(Models!$BJ302:$BT302,,T302)*(1-R302)+INDEX(Models!$BJ302:$BT302,,T302+1)*R302-ERP_i)*Q302*Ramure*Pc/MaxiM</f>
        <v>2.9931640413614746E-5</v>
      </c>
      <c r="Q302" s="304">
        <f t="shared" si="101"/>
        <v>0.6</v>
      </c>
      <c r="R302" s="177">
        <f t="shared" si="102"/>
        <v>0.99658202324286704</v>
      </c>
      <c r="S302" s="799">
        <f t="shared" si="103"/>
        <v>-1</v>
      </c>
      <c r="T302" s="176">
        <f t="shared" si="104"/>
        <v>5</v>
      </c>
      <c r="U302" s="250">
        <f t="shared" si="105"/>
        <v>-3.4179767571330122E-3</v>
      </c>
      <c r="V302" s="382">
        <f t="shared" si="106"/>
        <v>38.319411858283793</v>
      </c>
      <c r="W302" s="400"/>
      <c r="X302" s="157">
        <f t="shared" si="107"/>
        <v>44484</v>
      </c>
      <c r="Y302" s="383">
        <f t="shared" si="108"/>
        <v>32.404000000000003</v>
      </c>
      <c r="Z302" s="383">
        <f t="shared" si="109"/>
        <v>33.023414758908913</v>
      </c>
      <c r="AA302" s="384">
        <f t="shared" si="110"/>
        <v>36.648457172248385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9.8913915974735644E-2</v>
      </c>
      <c r="AD302" s="230">
        <f>(INDEX(Models!$BJ302:$BT302,,AH302)*(1-AF302)+INDEX(Models!$BJ302:$BT302,,AH302+1)*AF302-ERP_i)*AE302*Ramure*Pc/MaxiM</f>
        <v>2.9931640413614746E-5</v>
      </c>
      <c r="AE302" s="304">
        <f t="shared" si="112"/>
        <v>0.6</v>
      </c>
      <c r="AF302" s="177">
        <f t="shared" si="113"/>
        <v>0.99658202324286704</v>
      </c>
      <c r="AG302" s="799">
        <f t="shared" si="119"/>
        <v>-1</v>
      </c>
      <c r="AH302" s="176">
        <f t="shared" si="114"/>
        <v>5</v>
      </c>
      <c r="AI302" s="224">
        <f t="shared" si="115"/>
        <v>-3.4179767571330122E-3</v>
      </c>
      <c r="AJ302" s="264" t="b">
        <f t="shared" si="116"/>
        <v>0</v>
      </c>
      <c r="AK302" s="264" t="b">
        <f t="shared" si="117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18"/>
        <v>44485</v>
      </c>
      <c r="B303" s="607">
        <v>36.965000000000003</v>
      </c>
      <c r="C303" s="388"/>
      <c r="D303" s="391">
        <f t="shared" si="98"/>
        <v>37.672321986488775</v>
      </c>
      <c r="E303" s="383">
        <f t="shared" si="120"/>
        <v>41.81099336057764</v>
      </c>
      <c r="F303" s="383">
        <f t="shared" si="99"/>
        <v>41.812215939762069</v>
      </c>
      <c r="G303" s="110">
        <f t="shared" si="121"/>
        <v>0.97225847274566091</v>
      </c>
      <c r="H303" s="412" t="b">
        <f>Wh_hp&gt;='2020'!Maxi_hp</f>
        <v>1</v>
      </c>
      <c r="I303" s="379">
        <f>IF(H303,Wh_hp,'2020'!Maxi_hp)</f>
        <v>41.812215939762069</v>
      </c>
      <c r="J303" s="85">
        <f>IF(H303,An,'2020'!An_max)</f>
        <v>2021</v>
      </c>
      <c r="K303" s="197">
        <f t="shared" si="100"/>
        <v>44485</v>
      </c>
      <c r="L303" s="147">
        <f>IF(t&lt;Tvie,1-EXP((T0-t)*PertePVj)+'2020'!Pspv,1-EXP((T0-t)*PertePVj)+Pspv)</f>
        <v>1.8775640820399953E-2</v>
      </c>
      <c r="M303" s="832"/>
      <c r="N303" s="832"/>
      <c r="O303" s="48">
        <f>IF(t&lt;Tnet,'2020'!Resal+('2020'!Salim-'2020'!Resal)*(1-EXP(('2020'!Tnet-t)/('2020'!Tau_j))),Resal+(Salim-Resal)*(1-EXP((Tnet-t)/(Tau_j))))*Salcycl</f>
        <v>9.8985243866296022E-2</v>
      </c>
      <c r="P303" s="169">
        <f>(INDEX(Models!$BJ303:$BT303,,T303)*(1-R303)+INDEX(Models!$BJ303:$BT303,,T303+1)*R303-ERP_i)*Q303*Ramure*Pc/MaxiM</f>
        <v>3.0446320181497793E-5</v>
      </c>
      <c r="Q303" s="304">
        <f t="shared" si="101"/>
        <v>0.6</v>
      </c>
      <c r="R303" s="177">
        <f t="shared" si="102"/>
        <v>0.99669000961749998</v>
      </c>
      <c r="S303" s="799">
        <f t="shared" si="103"/>
        <v>-1</v>
      </c>
      <c r="T303" s="176">
        <f t="shared" si="104"/>
        <v>5</v>
      </c>
      <c r="U303" s="250">
        <f t="shared" si="105"/>
        <v>-3.3099903825000165E-3</v>
      </c>
      <c r="V303" s="382">
        <f t="shared" si="106"/>
        <v>38.019679369655641</v>
      </c>
      <c r="W303" s="400"/>
      <c r="X303" s="157">
        <f t="shared" si="107"/>
        <v>44485</v>
      </c>
      <c r="Y303" s="383">
        <f t="shared" si="108"/>
        <v>36.965000000000003</v>
      </c>
      <c r="Z303" s="383">
        <f t="shared" si="109"/>
        <v>37.672321986488775</v>
      </c>
      <c r="AA303" s="384">
        <f t="shared" si="110"/>
        <v>41.81099336057764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9.8985243866296022E-2</v>
      </c>
      <c r="AD303" s="230">
        <f>(INDEX(Models!$BJ303:$BT303,,AH303)*(1-AF303)+INDEX(Models!$BJ303:$BT303,,AH303+1)*AF303-ERP_i)*AE303*Ramure*Pc/MaxiM</f>
        <v>3.0446320181497793E-5</v>
      </c>
      <c r="AE303" s="304">
        <f t="shared" si="112"/>
        <v>0.6</v>
      </c>
      <c r="AF303" s="177">
        <f t="shared" si="113"/>
        <v>0.99669000961749998</v>
      </c>
      <c r="AG303" s="799">
        <f t="shared" si="119"/>
        <v>-1</v>
      </c>
      <c r="AH303" s="176">
        <f t="shared" si="114"/>
        <v>5</v>
      </c>
      <c r="AI303" s="224">
        <f t="shared" si="115"/>
        <v>-3.3099903825000165E-3</v>
      </c>
      <c r="AJ303" s="264" t="b">
        <f t="shared" si="116"/>
        <v>0</v>
      </c>
      <c r="AK303" s="264" t="b">
        <f t="shared" si="117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18"/>
        <v>44486</v>
      </c>
      <c r="B304" s="607">
        <v>34.791000000000004</v>
      </c>
      <c r="C304" s="388"/>
      <c r="D304" s="391">
        <f t="shared" si="98"/>
        <v>35.457402222918446</v>
      </c>
      <c r="E304" s="383">
        <f t="shared" si="120"/>
        <v>39.35578493845474</v>
      </c>
      <c r="F304" s="383">
        <f t="shared" si="99"/>
        <v>39.356868501239063</v>
      </c>
      <c r="G304" s="110">
        <f t="shared" si="121"/>
        <v>0.92250295192865372</v>
      </c>
      <c r="H304" s="412" t="b">
        <f>Wh_hp&gt;='2020'!Maxi_hp</f>
        <v>1</v>
      </c>
      <c r="I304" s="379">
        <f>IF(H304,Wh_hp,'2020'!Maxi_hp)</f>
        <v>39.356868501239063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1.8794445761390333E-2</v>
      </c>
      <c r="M304" s="832"/>
      <c r="N304" s="832"/>
      <c r="O304" s="48">
        <f>IF(t&lt;Tnet,'2020'!Resal+('2020'!Salim-'2020'!Resal)*(1-EXP(('2020'!Tnet-t)/('2020'!Tau_j))),Resal+(Salim-Resal)*(1-EXP((Tnet-t)/(Tau_j))))*Salcycl</f>
        <v>9.9054884094743709E-2</v>
      </c>
      <c r="P304" s="169">
        <f>(INDEX(Models!$BJ304:$BT304,,T304)*(1-R304)+INDEX(Models!$BJ304:$BT304,,T304+1)*R304-ERP_i)*Q304*Ramure*Pc/MaxiM</f>
        <v>3.0959074102200294E-5</v>
      </c>
      <c r="Q304" s="304">
        <f t="shared" si="101"/>
        <v>0.6</v>
      </c>
      <c r="R304" s="177">
        <f t="shared" si="102"/>
        <v>0.99679369218274483</v>
      </c>
      <c r="S304" s="799">
        <f t="shared" si="103"/>
        <v>-1</v>
      </c>
      <c r="T304" s="176">
        <f t="shared" si="104"/>
        <v>5</v>
      </c>
      <c r="U304" s="250">
        <f t="shared" si="105"/>
        <v>-3.2063078172551718E-3</v>
      </c>
      <c r="V304" s="382">
        <f t="shared" si="106"/>
        <v>37.713571196001716</v>
      </c>
      <c r="W304" s="400"/>
      <c r="X304" s="157">
        <f t="shared" si="107"/>
        <v>44486</v>
      </c>
      <c r="Y304" s="383">
        <f t="shared" si="108"/>
        <v>34.791000000000004</v>
      </c>
      <c r="Z304" s="383">
        <f t="shared" si="109"/>
        <v>35.457402222918446</v>
      </c>
      <c r="AA304" s="384">
        <f t="shared" si="110"/>
        <v>39.35578493845474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9.9054884094743709E-2</v>
      </c>
      <c r="AD304" s="230">
        <f>(INDEX(Models!$BJ304:$BT304,,AH304)*(1-AF304)+INDEX(Models!$BJ304:$BT304,,AH304+1)*AF304-ERP_i)*AE304*Ramure*Pc/MaxiM</f>
        <v>3.0959074102200294E-5</v>
      </c>
      <c r="AE304" s="304">
        <f t="shared" si="112"/>
        <v>0.6</v>
      </c>
      <c r="AF304" s="177">
        <f t="shared" si="113"/>
        <v>0.99679369218274483</v>
      </c>
      <c r="AG304" s="799">
        <f t="shared" si="119"/>
        <v>-1</v>
      </c>
      <c r="AH304" s="176">
        <f t="shared" si="114"/>
        <v>5</v>
      </c>
      <c r="AI304" s="224">
        <f t="shared" si="115"/>
        <v>-3.2063078172551718E-3</v>
      </c>
      <c r="AJ304" s="264" t="b">
        <f t="shared" si="116"/>
        <v>0</v>
      </c>
      <c r="AK304" s="264" t="b">
        <f t="shared" si="117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18"/>
        <v>44487</v>
      </c>
      <c r="B305" s="607">
        <v>32.996000000000002</v>
      </c>
      <c r="C305" s="388"/>
      <c r="D305" s="391">
        <f t="shared" si="98"/>
        <v>33.628664483596637</v>
      </c>
      <c r="E305" s="383">
        <f t="shared" si="120"/>
        <v>37.328802748889373</v>
      </c>
      <c r="F305" s="383">
        <f t="shared" si="99"/>
        <v>37.329780763352936</v>
      </c>
      <c r="G305" s="110">
        <f t="shared" si="121"/>
        <v>0.88219102683961992</v>
      </c>
      <c r="H305" s="412" t="b">
        <f>Wh_hp&gt;='2020'!Maxi_hp</f>
        <v>0</v>
      </c>
      <c r="I305" s="379">
        <f>IF(H305,Wh_hp,'2020'!Maxi_hp)</f>
        <v>39.431928527147996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1.881325034198833E-2</v>
      </c>
      <c r="M305" s="832"/>
      <c r="N305" s="832"/>
      <c r="O305" s="48">
        <f>IF(t&lt;Tnet,'2020'!Resal+('2020'!Salim-'2020'!Resal)*(1-EXP(('2020'!Tnet-t)/('2020'!Tau_j))),Resal+(Salim-Resal)*(1-EXP((Tnet-t)/(Tau_j))))*Salcycl</f>
        <v>9.9122875442417518E-2</v>
      </c>
      <c r="P305" s="169">
        <f>(INDEX(Models!$BJ305:$BT305,,T305)*(1-R305)+INDEX(Models!$BJ305:$BT305,,T305+1)*R305-ERP_i)*Q305*Ramure*Pc/MaxiM</f>
        <v>3.1500604054392863E-5</v>
      </c>
      <c r="Q305" s="304">
        <f t="shared" si="101"/>
        <v>0.6</v>
      </c>
      <c r="R305" s="177">
        <f t="shared" si="102"/>
        <v>0.99689324077318531</v>
      </c>
      <c r="S305" s="799">
        <f t="shared" si="103"/>
        <v>-1</v>
      </c>
      <c r="T305" s="176">
        <f t="shared" si="104"/>
        <v>5</v>
      </c>
      <c r="U305" s="250">
        <f t="shared" si="105"/>
        <v>-3.1067592268146926E-3</v>
      </c>
      <c r="V305" s="382">
        <f t="shared" si="106"/>
        <v>37.402131817291945</v>
      </c>
      <c r="W305" s="400"/>
      <c r="X305" s="157">
        <f t="shared" si="107"/>
        <v>44487</v>
      </c>
      <c r="Y305" s="383">
        <f t="shared" si="108"/>
        <v>32.996000000000002</v>
      </c>
      <c r="Z305" s="383">
        <f t="shared" si="109"/>
        <v>33.628664483596637</v>
      </c>
      <c r="AA305" s="384">
        <f t="shared" si="110"/>
        <v>37.328802748889373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9.9122875442417518E-2</v>
      </c>
      <c r="AD305" s="230">
        <f>(INDEX(Models!$BJ305:$BT305,,AH305)*(1-AF305)+INDEX(Models!$BJ305:$BT305,,AH305+1)*AF305-ERP_i)*AE305*Ramure*Pc/MaxiM</f>
        <v>3.1500604054392863E-5</v>
      </c>
      <c r="AE305" s="304">
        <f t="shared" si="112"/>
        <v>0.6</v>
      </c>
      <c r="AF305" s="177">
        <f t="shared" si="113"/>
        <v>0.99689324077318531</v>
      </c>
      <c r="AG305" s="799">
        <f t="shared" si="119"/>
        <v>-1</v>
      </c>
      <c r="AH305" s="176">
        <f t="shared" si="114"/>
        <v>5</v>
      </c>
      <c r="AI305" s="224">
        <f t="shared" si="115"/>
        <v>-3.1067592268146926E-3</v>
      </c>
      <c r="AJ305" s="264" t="b">
        <f t="shared" si="116"/>
        <v>0</v>
      </c>
      <c r="AK305" s="264" t="b">
        <f t="shared" si="117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18"/>
        <v>44488</v>
      </c>
      <c r="B306" s="607">
        <v>34.817999999999998</v>
      </c>
      <c r="C306" s="388"/>
      <c r="D306" s="391">
        <f t="shared" si="98"/>
        <v>35.486279552746844</v>
      </c>
      <c r="E306" s="383">
        <f t="shared" si="120"/>
        <v>39.393712860632782</v>
      </c>
      <c r="F306" s="383">
        <f t="shared" si="99"/>
        <v>39.394865869818346</v>
      </c>
      <c r="G306" s="110">
        <f t="shared" si="121"/>
        <v>0.93883193101130291</v>
      </c>
      <c r="H306" s="412" t="b">
        <f>Wh_hp&gt;='2020'!Maxi_hp</f>
        <v>0</v>
      </c>
      <c r="I306" s="379">
        <f>IF(H306,Wh_hp,'2020'!Maxi_hp)</f>
        <v>40.405295591154072</v>
      </c>
      <c r="J306" s="85">
        <f>IF(H306,An,'2020'!An_max)</f>
        <v>2020</v>
      </c>
      <c r="K306" s="197">
        <f t="shared" si="100"/>
        <v>44488</v>
      </c>
      <c r="L306" s="147">
        <f>IF(t&lt;Tvie,1-EXP((T0-t)*PertePVj)+'2020'!Pspv,1-EXP((T0-t)*PertePVj)+Pspv)</f>
        <v>1.8832054562200939E-2</v>
      </c>
      <c r="M306" s="832"/>
      <c r="N306" s="832"/>
      <c r="O306" s="48">
        <f>IF(t&lt;Tnet,'2020'!Resal+('2020'!Salim-'2020'!Resal)*(1-EXP(('2020'!Tnet-t)/('2020'!Tau_j))),Resal+(Salim-Resal)*(1-EXP((Tnet-t)/(Tau_j))))*Salcycl</f>
        <v>9.9189262045689064E-2</v>
      </c>
      <c r="P306" s="169">
        <f>(INDEX(Models!$BJ306:$BT306,,T306)*(1-R306)+INDEX(Models!$BJ306:$BT306,,T306+1)*R306-ERP_i)*Q306*Ramure*Pc/MaxiM</f>
        <v>3.2070281861570755E-5</v>
      </c>
      <c r="Q306" s="304">
        <f t="shared" si="101"/>
        <v>0.6</v>
      </c>
      <c r="R306" s="177">
        <f t="shared" si="102"/>
        <v>0.99698881865461542</v>
      </c>
      <c r="S306" s="799">
        <f t="shared" si="103"/>
        <v>-1</v>
      </c>
      <c r="T306" s="176">
        <f t="shared" si="104"/>
        <v>5</v>
      </c>
      <c r="U306" s="250">
        <f t="shared" si="105"/>
        <v>-3.0111813453845837E-3</v>
      </c>
      <c r="V306" s="382">
        <f t="shared" si="106"/>
        <v>37.086406285745831</v>
      </c>
      <c r="W306" s="400"/>
      <c r="X306" s="157">
        <f t="shared" si="107"/>
        <v>44488</v>
      </c>
      <c r="Y306" s="383">
        <f t="shared" si="108"/>
        <v>34.817999999999998</v>
      </c>
      <c r="Z306" s="383">
        <f t="shared" si="109"/>
        <v>35.486279552746844</v>
      </c>
      <c r="AA306" s="384">
        <f t="shared" si="110"/>
        <v>39.393712860632782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9.9189262045689064E-2</v>
      </c>
      <c r="AD306" s="230">
        <f>(INDEX(Models!$BJ306:$BT306,,AH306)*(1-AF306)+INDEX(Models!$BJ306:$BT306,,AH306+1)*AF306-ERP_i)*AE306*Ramure*Pc/MaxiM</f>
        <v>3.2070281861570755E-5</v>
      </c>
      <c r="AE306" s="304">
        <f t="shared" si="112"/>
        <v>0.6</v>
      </c>
      <c r="AF306" s="177">
        <f t="shared" si="113"/>
        <v>0.99698881865461542</v>
      </c>
      <c r="AG306" s="799">
        <f t="shared" si="119"/>
        <v>-1</v>
      </c>
      <c r="AH306" s="176">
        <f t="shared" si="114"/>
        <v>5</v>
      </c>
      <c r="AI306" s="224">
        <f t="shared" si="115"/>
        <v>-3.0111813453845837E-3</v>
      </c>
      <c r="AJ306" s="264" t="b">
        <f t="shared" si="116"/>
        <v>0</v>
      </c>
      <c r="AK306" s="264" t="b">
        <f t="shared" si="117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18"/>
        <v>44489</v>
      </c>
      <c r="B307" s="607">
        <v>26.623000000000001</v>
      </c>
      <c r="C307" s="388"/>
      <c r="D307" s="391">
        <f t="shared" si="98"/>
        <v>27.134508783427862</v>
      </c>
      <c r="E307" s="383">
        <f t="shared" si="120"/>
        <v>30.124487476439004</v>
      </c>
      <c r="F307" s="383">
        <f t="shared" si="99"/>
        <v>30.125083694203667</v>
      </c>
      <c r="G307" s="110">
        <f t="shared" si="121"/>
        <v>0.72408244573821068</v>
      </c>
      <c r="H307" s="412" t="b">
        <f>Wh_hp&gt;='2020'!Maxi_hp</f>
        <v>0</v>
      </c>
      <c r="I307" s="379">
        <f>IF(H307,Wh_hp,'2020'!Maxi_hp)</f>
        <v>35.276334723455363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1.8850858422034822E-2</v>
      </c>
      <c r="M307" s="832"/>
      <c r="N307" s="832"/>
      <c r="O307" s="48">
        <f>IF(t&lt;Tnet,'2020'!Resal+('2020'!Salim-'2020'!Resal)*(1-EXP(('2020'!Tnet-t)/('2020'!Tau_j))),Resal+(Salim-Resal)*(1-EXP((Tnet-t)/(Tau_j))))*Salcycl</f>
        <v>9.9254093380000769E-2</v>
      </c>
      <c r="P307" s="169">
        <f>(INDEX(Models!$BJ307:$BT307,,T307)*(1-R307)+INDEX(Models!$BJ307:$BT307,,T307+1)*R307-ERP_i)*Q307*Ramure*Pc/MaxiM</f>
        <v>3.2667420731468596E-5</v>
      </c>
      <c r="Q307" s="304">
        <f t="shared" si="101"/>
        <v>0.6</v>
      </c>
      <c r="R307" s="177">
        <f t="shared" si="102"/>
        <v>0.9970805827676088</v>
      </c>
      <c r="S307" s="799">
        <f t="shared" si="103"/>
        <v>-1</v>
      </c>
      <c r="T307" s="176">
        <f t="shared" si="104"/>
        <v>5</v>
      </c>
      <c r="U307" s="250">
        <f t="shared" si="105"/>
        <v>-2.9194172323911971E-3</v>
      </c>
      <c r="V307" s="382">
        <f t="shared" si="106"/>
        <v>36.767439055831957</v>
      </c>
      <c r="W307" s="400"/>
      <c r="X307" s="157">
        <f t="shared" si="107"/>
        <v>44489</v>
      </c>
      <c r="Y307" s="383">
        <f t="shared" si="108"/>
        <v>26.623000000000001</v>
      </c>
      <c r="Z307" s="383">
        <f t="shared" si="109"/>
        <v>27.134508783427862</v>
      </c>
      <c r="AA307" s="384">
        <f t="shared" si="110"/>
        <v>30.124487476439004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9.9254093380000769E-2</v>
      </c>
      <c r="AD307" s="230">
        <f>(INDEX(Models!$BJ307:$BT307,,AH307)*(1-AF307)+INDEX(Models!$BJ307:$BT307,,AH307+1)*AF307-ERP_i)*AE307*Ramure*Pc/MaxiM</f>
        <v>3.2667420731468596E-5</v>
      </c>
      <c r="AE307" s="304">
        <f t="shared" si="112"/>
        <v>0.6</v>
      </c>
      <c r="AF307" s="177">
        <f t="shared" si="113"/>
        <v>0.9970805827676088</v>
      </c>
      <c r="AG307" s="799">
        <f t="shared" si="119"/>
        <v>-1</v>
      </c>
      <c r="AH307" s="176">
        <f t="shared" si="114"/>
        <v>5</v>
      </c>
      <c r="AI307" s="224">
        <f t="shared" si="115"/>
        <v>-2.9194172323911971E-3</v>
      </c>
      <c r="AJ307" s="264" t="b">
        <f t="shared" si="116"/>
        <v>0</v>
      </c>
      <c r="AK307" s="264" t="b">
        <f t="shared" si="117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18"/>
        <v>44490</v>
      </c>
      <c r="B308" s="607">
        <v>13.627000000000001</v>
      </c>
      <c r="C308" s="388"/>
      <c r="D308" s="391">
        <f t="shared" si="98"/>
        <v>13.889082287158535</v>
      </c>
      <c r="E308" s="383">
        <f t="shared" si="120"/>
        <v>15.420618384890529</v>
      </c>
      <c r="F308" s="383">
        <f t="shared" si="99"/>
        <v>15.420672577219628</v>
      </c>
      <c r="G308" s="110">
        <f t="shared" si="121"/>
        <v>0.37388168188839926</v>
      </c>
      <c r="H308" s="412" t="b">
        <f>Wh_hp&gt;='2020'!Maxi_hp</f>
        <v>0</v>
      </c>
      <c r="I308" s="379">
        <f>IF(H308,Wh_hp,'2020'!Maxi_hp)</f>
        <v>23.212774519208907</v>
      </c>
      <c r="J308" s="85">
        <f>IF(H308,An,'2020'!An_max)</f>
        <v>2018</v>
      </c>
      <c r="K308" s="197">
        <f t="shared" si="100"/>
        <v>44490</v>
      </c>
      <c r="L308" s="147">
        <f>IF(t&lt;Tvie,1-EXP((T0-t)*PertePVj)+'2020'!Pspv,1-EXP((T0-t)*PertePVj)+Pspv)</f>
        <v>1.8869661921497083E-2</v>
      </c>
      <c r="M308" s="832"/>
      <c r="N308" s="832"/>
      <c r="O308" s="48">
        <f>IF(t&lt;Tnet,'2020'!Resal+('2020'!Salim-'2020'!Resal)*(1-EXP(('2020'!Tnet-t)/('2020'!Tau_j))),Resal+(Salim-Resal)*(1-EXP((Tnet-t)/(Tau_j))))*Salcycl</f>
        <v>9.9317424211251365E-2</v>
      </c>
      <c r="P308" s="169">
        <f>(INDEX(Models!$BJ308:$BT308,,T308)*(1-R308)+INDEX(Models!$BJ308:$BT308,,T308+1)*R308-ERP_i)*Q308*Ramure*Pc/MaxiM</f>
        <v>3.3291267247994375E-5</v>
      </c>
      <c r="Q308" s="304">
        <f t="shared" si="101"/>
        <v>0.6</v>
      </c>
      <c r="R308" s="177">
        <f t="shared" si="102"/>
        <v>0.99716868396289415</v>
      </c>
      <c r="S308" s="799">
        <f t="shared" si="103"/>
        <v>-1</v>
      </c>
      <c r="T308" s="176">
        <f t="shared" si="104"/>
        <v>5</v>
      </c>
      <c r="U308" s="250">
        <f t="shared" si="105"/>
        <v>-2.8313160371059021E-3</v>
      </c>
      <c r="V308" s="382">
        <f t="shared" si="106"/>
        <v>36.4462740151872</v>
      </c>
      <c r="W308" s="400"/>
      <c r="X308" s="157">
        <f t="shared" si="107"/>
        <v>44490</v>
      </c>
      <c r="Y308" s="383">
        <f t="shared" si="108"/>
        <v>13.627000000000001</v>
      </c>
      <c r="Z308" s="383">
        <f t="shared" si="109"/>
        <v>13.889082287158535</v>
      </c>
      <c r="AA308" s="384">
        <f t="shared" si="110"/>
        <v>15.420618384890529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9.9317424211251365E-2</v>
      </c>
      <c r="AD308" s="230">
        <f>(INDEX(Models!$BJ308:$BT308,,AH308)*(1-AF308)+INDEX(Models!$BJ308:$BT308,,AH308+1)*AF308-ERP_i)*AE308*Ramure*Pc/MaxiM</f>
        <v>3.3291267247994375E-5</v>
      </c>
      <c r="AE308" s="304">
        <f t="shared" si="112"/>
        <v>0.6</v>
      </c>
      <c r="AF308" s="177">
        <f t="shared" si="113"/>
        <v>0.99716868396289415</v>
      </c>
      <c r="AG308" s="799">
        <f t="shared" si="119"/>
        <v>-1</v>
      </c>
      <c r="AH308" s="176">
        <f t="shared" si="114"/>
        <v>5</v>
      </c>
      <c r="AI308" s="224">
        <f t="shared" si="115"/>
        <v>-2.8313160371059021E-3</v>
      </c>
      <c r="AJ308" s="264" t="b">
        <f t="shared" si="116"/>
        <v>0</v>
      </c>
      <c r="AK308" s="264" t="b">
        <f t="shared" si="117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18"/>
        <v>44491</v>
      </c>
      <c r="B309" s="607">
        <v>12.213000000000001</v>
      </c>
      <c r="C309" s="388"/>
      <c r="D309" s="391">
        <f t="shared" si="98"/>
        <v>12.448125992886517</v>
      </c>
      <c r="E309" s="383">
        <f t="shared" si="120"/>
        <v>13.821718947255926</v>
      </c>
      <c r="F309" s="383">
        <f t="shared" si="99"/>
        <v>13.821744471547316</v>
      </c>
      <c r="G309" s="110">
        <f t="shared" si="121"/>
        <v>0.33807505832948892</v>
      </c>
      <c r="H309" s="412" t="b">
        <f>Wh_hp&gt;='2020'!Maxi_hp</f>
        <v>0</v>
      </c>
      <c r="I309" s="379">
        <f>IF(H309,Wh_hp,'2020'!Maxi_hp)</f>
        <v>26.192451622477165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1.8888465060594606E-2</v>
      </c>
      <c r="M309" s="832"/>
      <c r="N309" s="832"/>
      <c r="O309" s="48">
        <f>IF(t&lt;Tnet,'2020'!Resal+('2020'!Salim-'2020'!Resal)*(1-EXP(('2020'!Tnet-t)/('2020'!Tau_j))),Resal+(Salim-Resal)*(1-EXP((Tnet-t)/(Tau_j))))*Salcycl</f>
        <v>9.9379314512983472E-2</v>
      </c>
      <c r="P309" s="169">
        <f>(INDEX(Models!$BJ309:$BT309,,T309)*(1-R309)+INDEX(Models!$BJ309:$BT309,,T309+1)*R309-ERP_i)*Q309*Ramure*Pc/MaxiM</f>
        <v>3.3940993379263813E-5</v>
      </c>
      <c r="Q309" s="304">
        <f t="shared" si="101"/>
        <v>0.6</v>
      </c>
      <c r="R309" s="177">
        <f t="shared" si="102"/>
        <v>0.99725326722873997</v>
      </c>
      <c r="S309" s="799">
        <f t="shared" si="103"/>
        <v>-1</v>
      </c>
      <c r="T309" s="176">
        <f t="shared" si="104"/>
        <v>5</v>
      </c>
      <c r="U309" s="250">
        <f t="shared" si="105"/>
        <v>-2.7467327712599743E-3</v>
      </c>
      <c r="V309" s="382">
        <f t="shared" si="106"/>
        <v>36.123954519834108</v>
      </c>
      <c r="W309" s="400"/>
      <c r="X309" s="157">
        <f t="shared" si="107"/>
        <v>44491</v>
      </c>
      <c r="Y309" s="383">
        <f t="shared" si="108"/>
        <v>12.213000000000001</v>
      </c>
      <c r="Z309" s="383">
        <f t="shared" si="109"/>
        <v>12.448125992886517</v>
      </c>
      <c r="AA309" s="384">
        <f t="shared" si="110"/>
        <v>13.821718947255926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9.9379314512983472E-2</v>
      </c>
      <c r="AD309" s="230">
        <f>(INDEX(Models!$BJ309:$BT309,,AH309)*(1-AF309)+INDEX(Models!$BJ309:$BT309,,AH309+1)*AF309-ERP_i)*AE309*Ramure*Pc/MaxiM</f>
        <v>3.3940993379263813E-5</v>
      </c>
      <c r="AE309" s="304">
        <f t="shared" si="112"/>
        <v>0.6</v>
      </c>
      <c r="AF309" s="177">
        <f t="shared" si="113"/>
        <v>0.99725326722873997</v>
      </c>
      <c r="AG309" s="799">
        <f t="shared" si="119"/>
        <v>-1</v>
      </c>
      <c r="AH309" s="176">
        <f t="shared" si="114"/>
        <v>5</v>
      </c>
      <c r="AI309" s="224">
        <f t="shared" si="115"/>
        <v>-2.7467327712599743E-3</v>
      </c>
      <c r="AJ309" s="264" t="b">
        <f t="shared" si="116"/>
        <v>0</v>
      </c>
      <c r="AK309" s="264" t="b">
        <f t="shared" si="117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18"/>
        <v>44492</v>
      </c>
      <c r="B310" s="607">
        <v>33.335999999999999</v>
      </c>
      <c r="C310" s="388"/>
      <c r="D310" s="391">
        <f t="shared" si="98"/>
        <v>33.97843945554866</v>
      </c>
      <c r="E310" s="383">
        <f t="shared" si="120"/>
        <v>37.73033780851096</v>
      </c>
      <c r="F310" s="383">
        <f t="shared" si="99"/>
        <v>37.731513799556055</v>
      </c>
      <c r="G310" s="110">
        <f t="shared" si="121"/>
        <v>0.93113035018026036</v>
      </c>
      <c r="H310" s="412" t="b">
        <f>Wh_hp&gt;='2020'!Maxi_hp</f>
        <v>1</v>
      </c>
      <c r="I310" s="379">
        <f>IF(H310,Wh_hp,'2020'!Maxi_hp)</f>
        <v>37.731513799556055</v>
      </c>
      <c r="J310" s="85">
        <f>IF(H310,An,'2020'!An_max)</f>
        <v>2021</v>
      </c>
      <c r="K310" s="197">
        <f t="shared" si="100"/>
        <v>44492</v>
      </c>
      <c r="L310" s="147">
        <f>IF(t&lt;Tvie,1-EXP((T0-t)*PertePVj)+'2020'!Pspv,1-EXP((T0-t)*PertePVj)+Pspv)</f>
        <v>1.8907267839334163E-2</v>
      </c>
      <c r="M310" s="832"/>
      <c r="N310" s="832"/>
      <c r="O310" s="48">
        <f>IF(t&lt;Tnet,'2020'!Resal+('2020'!Salim-'2020'!Resal)*(1-EXP(('2020'!Tnet-t)/('2020'!Tau_j))),Resal+(Salim-Resal)*(1-EXP((Tnet-t)/(Tau_j))))*Salcycl</f>
        <v>9.9439829349101838E-2</v>
      </c>
      <c r="P310" s="169">
        <f>(INDEX(Models!$BJ310:$BT310,,T310)*(1-R310)+INDEX(Models!$BJ310:$BT310,,T310+1)*R310-ERP_i)*Q310*Ramure*Pc/MaxiM</f>
        <v>3.4568185255481289E-5</v>
      </c>
      <c r="Q310" s="304">
        <f t="shared" si="101"/>
        <v>0.6</v>
      </c>
      <c r="R310" s="177">
        <f t="shared" si="102"/>
        <v>0.99733447191056179</v>
      </c>
      <c r="S310" s="799">
        <f t="shared" si="103"/>
        <v>-1</v>
      </c>
      <c r="T310" s="176">
        <f t="shared" si="104"/>
        <v>5</v>
      </c>
      <c r="U310" s="250">
        <f t="shared" si="105"/>
        <v>-2.6655280894382072E-3</v>
      </c>
      <c r="V310" s="382">
        <f t="shared" si="106"/>
        <v>35.801525124325018</v>
      </c>
      <c r="W310" s="400"/>
      <c r="X310" s="157">
        <f t="shared" si="107"/>
        <v>44492</v>
      </c>
      <c r="Y310" s="383">
        <f t="shared" si="108"/>
        <v>33.335999999999999</v>
      </c>
      <c r="Z310" s="383">
        <f t="shared" si="109"/>
        <v>33.97843945554866</v>
      </c>
      <c r="AA310" s="384">
        <f t="shared" si="110"/>
        <v>37.73033780851096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9.9439829349101838E-2</v>
      </c>
      <c r="AD310" s="230">
        <f>(INDEX(Models!$BJ310:$BT310,,AH310)*(1-AF310)+INDEX(Models!$BJ310:$BT310,,AH310+1)*AF310-ERP_i)*AE310*Ramure*Pc/MaxiM</f>
        <v>3.4568185255481289E-5</v>
      </c>
      <c r="AE310" s="304">
        <f t="shared" si="112"/>
        <v>0.6</v>
      </c>
      <c r="AF310" s="177">
        <f t="shared" si="113"/>
        <v>0.99733447191056179</v>
      </c>
      <c r="AG310" s="799">
        <f t="shared" si="119"/>
        <v>-1</v>
      </c>
      <c r="AH310" s="176">
        <f t="shared" si="114"/>
        <v>5</v>
      </c>
      <c r="AI310" s="224">
        <f t="shared" si="115"/>
        <v>-2.6655280894382072E-3</v>
      </c>
      <c r="AJ310" s="264" t="b">
        <f t="shared" si="116"/>
        <v>0</v>
      </c>
      <c r="AK310" s="264" t="b">
        <f t="shared" si="117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18"/>
        <v>44493</v>
      </c>
      <c r="B311" s="607">
        <v>37.088000000000001</v>
      </c>
      <c r="C311" s="388"/>
      <c r="D311" s="391">
        <f t="shared" si="98"/>
        <v>37.803471150989424</v>
      </c>
      <c r="E311" s="383">
        <f t="shared" si="120"/>
        <v>41.980489501470288</v>
      </c>
      <c r="F311" s="383">
        <f t="shared" si="99"/>
        <v>41.981963629803325</v>
      </c>
      <c r="G311" s="110">
        <f t="shared" si="121"/>
        <v>1.0453204168073562</v>
      </c>
      <c r="H311" s="412" t="b">
        <f>Wh_hp&gt;='2020'!Maxi_hp</f>
        <v>1</v>
      </c>
      <c r="I311" s="379">
        <f>IF(H311,Wh_hp,'2020'!Maxi_hp)</f>
        <v>41.981963629803325</v>
      </c>
      <c r="J311" s="85">
        <f>IF(H311,An,'2020'!An_max)</f>
        <v>2021</v>
      </c>
      <c r="K311" s="197">
        <f t="shared" si="100"/>
        <v>44493</v>
      </c>
      <c r="L311" s="147">
        <f>IF(t&lt;Tvie,1-EXP((T0-t)*PertePVj)+'2020'!Pspv,1-EXP((T0-t)*PertePVj)+Pspv)</f>
        <v>1.892607025772286E-2</v>
      </c>
      <c r="M311" s="832"/>
      <c r="N311" s="832"/>
      <c r="O311" s="48">
        <f>IF(t&lt;Tnet,'2020'!Resal+('2020'!Salim-'2020'!Resal)*(1-EXP(('2020'!Tnet-t)/('2020'!Tau_j))),Resal+(Salim-Resal)*(1-EXP((Tnet-t)/(Tau_j))))*Salcycl</f>
        <v>9.9499038722132352E-2</v>
      </c>
      <c r="P311" s="169">
        <f>(INDEX(Models!$BJ311:$BT311,,T311)*(1-R311)+INDEX(Models!$BJ311:$BT311,,T311+1)*R311-ERP_i)*Q311*Ramure*Pc/MaxiM</f>
        <v>3.5113372638754036E-5</v>
      </c>
      <c r="Q311" s="304">
        <f t="shared" si="101"/>
        <v>0.6</v>
      </c>
      <c r="R311" s="177">
        <f t="shared" si="102"/>
        <v>0.99741243192295448</v>
      </c>
      <c r="S311" s="799">
        <f t="shared" si="103"/>
        <v>-1</v>
      </c>
      <c r="T311" s="176">
        <f t="shared" si="104"/>
        <v>5</v>
      </c>
      <c r="U311" s="250">
        <f t="shared" si="105"/>
        <v>-2.5875680770455212E-3</v>
      </c>
      <c r="V311" s="382">
        <f t="shared" si="106"/>
        <v>35.480030241134195</v>
      </c>
      <c r="W311" s="400"/>
      <c r="X311" s="157">
        <f t="shared" si="107"/>
        <v>44493</v>
      </c>
      <c r="Y311" s="383">
        <f t="shared" si="108"/>
        <v>37.088000000000001</v>
      </c>
      <c r="Z311" s="383">
        <f t="shared" si="109"/>
        <v>37.803471150989424</v>
      </c>
      <c r="AA311" s="384">
        <f t="shared" si="110"/>
        <v>41.980489501470288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9.9499038722132352E-2</v>
      </c>
      <c r="AD311" s="230">
        <f>(INDEX(Models!$BJ311:$BT311,,AH311)*(1-AF311)+INDEX(Models!$BJ311:$BT311,,AH311+1)*AF311-ERP_i)*AE311*Ramure*Pc/MaxiM</f>
        <v>3.5113372638754036E-5</v>
      </c>
      <c r="AE311" s="304">
        <f t="shared" si="112"/>
        <v>0.6</v>
      </c>
      <c r="AF311" s="177">
        <f t="shared" si="113"/>
        <v>0.99741243192295448</v>
      </c>
      <c r="AG311" s="799">
        <f t="shared" si="119"/>
        <v>-1</v>
      </c>
      <c r="AH311" s="176">
        <f t="shared" si="114"/>
        <v>5</v>
      </c>
      <c r="AI311" s="224">
        <f t="shared" si="115"/>
        <v>-2.5875680770455212E-3</v>
      </c>
      <c r="AJ311" s="264" t="b">
        <f t="shared" si="116"/>
        <v>0</v>
      </c>
      <c r="AK311" s="264" t="b">
        <f t="shared" si="117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18"/>
        <v>44494</v>
      </c>
      <c r="B312" s="607">
        <v>34.186999999999998</v>
      </c>
      <c r="C312" s="388"/>
      <c r="D312" s="391">
        <f t="shared" si="98"/>
        <v>34.847175286365356</v>
      </c>
      <c r="E312" s="383">
        <f t="shared" si="120"/>
        <v>38.700035381756713</v>
      </c>
      <c r="F312" s="383">
        <f t="shared" si="99"/>
        <v>38.701357747255933</v>
      </c>
      <c r="G312" s="110">
        <f t="shared" si="121"/>
        <v>0.97231098834486052</v>
      </c>
      <c r="H312" s="412" t="b">
        <f>Wh_hp&gt;='2020'!Maxi_hp</f>
        <v>1</v>
      </c>
      <c r="I312" s="379">
        <f>IF(H312,Wh_hp,'2020'!Maxi_hp)</f>
        <v>38.701357747255933</v>
      </c>
      <c r="J312" s="85">
        <f>IF(H312,An,'2020'!An_max)</f>
        <v>2021</v>
      </c>
      <c r="K312" s="197">
        <f t="shared" si="100"/>
        <v>44494</v>
      </c>
      <c r="L312" s="147">
        <f>IF(t&lt;Tvie,1-EXP((T0-t)*PertePVj)+'2020'!Pspv,1-EXP((T0-t)*PertePVj)+Pspv)</f>
        <v>1.8944872315767358E-2</v>
      </c>
      <c r="M312" s="832"/>
      <c r="N312" s="832"/>
      <c r="O312" s="48">
        <f>IF(t&lt;Tnet,'2020'!Resal+('2020'!Salim-'2020'!Resal)*(1-EXP(('2020'!Tnet-t)/('2020'!Tau_j))),Resal+(Salim-Resal)*(1-EXP((Tnet-t)/(Tau_j))))*Salcycl</f>
        <v>9.9557017387317578E-2</v>
      </c>
      <c r="P312" s="169">
        <f>(INDEX(Models!$BJ312:$BT312,,T312)*(1-R312)+INDEX(Models!$BJ312:$BT312,,T312+1)*R312-ERP_i)*Q312*Ramure*Pc/MaxiM</f>
        <v>3.5575601774648203E-5</v>
      </c>
      <c r="Q312" s="304">
        <f t="shared" si="101"/>
        <v>0.6</v>
      </c>
      <c r="R312" s="177">
        <f t="shared" si="102"/>
        <v>0.99748727595436271</v>
      </c>
      <c r="S312" s="799">
        <f t="shared" si="103"/>
        <v>-1</v>
      </c>
      <c r="T312" s="176">
        <f t="shared" si="104"/>
        <v>5</v>
      </c>
      <c r="U312" s="250">
        <f t="shared" si="105"/>
        <v>-2.5127240456372935E-3</v>
      </c>
      <c r="V312" s="382">
        <f t="shared" si="106"/>
        <v>35.160511710698046</v>
      </c>
      <c r="W312" s="400"/>
      <c r="X312" s="157">
        <f t="shared" si="107"/>
        <v>44494</v>
      </c>
      <c r="Y312" s="383">
        <f t="shared" si="108"/>
        <v>34.186999999999998</v>
      </c>
      <c r="Z312" s="383">
        <f t="shared" si="109"/>
        <v>34.847175286365356</v>
      </c>
      <c r="AA312" s="384">
        <f t="shared" si="110"/>
        <v>38.700035381756713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9.9557017387317578E-2</v>
      </c>
      <c r="AD312" s="230">
        <f>(INDEX(Models!$BJ312:$BT312,,AH312)*(1-AF312)+INDEX(Models!$BJ312:$BT312,,AH312+1)*AF312-ERP_i)*AE312*Ramure*Pc/MaxiM</f>
        <v>3.5575601774648203E-5</v>
      </c>
      <c r="AE312" s="304">
        <f t="shared" si="112"/>
        <v>0.6</v>
      </c>
      <c r="AF312" s="177">
        <f t="shared" si="113"/>
        <v>0.99748727595436271</v>
      </c>
      <c r="AG312" s="799">
        <f t="shared" si="119"/>
        <v>-1</v>
      </c>
      <c r="AH312" s="176">
        <f t="shared" si="114"/>
        <v>5</v>
      </c>
      <c r="AI312" s="224">
        <f t="shared" si="115"/>
        <v>-2.5127240456372935E-3</v>
      </c>
      <c r="AJ312" s="264" t="b">
        <f t="shared" si="116"/>
        <v>0</v>
      </c>
      <c r="AK312" s="264" t="b">
        <f t="shared" si="117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18"/>
        <v>44495</v>
      </c>
      <c r="B313" s="607">
        <v>24.366</v>
      </c>
      <c r="C313" s="388"/>
      <c r="D313" s="391">
        <f t="shared" si="98"/>
        <v>24.837000786385428</v>
      </c>
      <c r="E313" s="383">
        <f t="shared" si="120"/>
        <v>27.584831950537289</v>
      </c>
      <c r="F313" s="383">
        <f t="shared" si="99"/>
        <v>27.585397682195737</v>
      </c>
      <c r="G313" s="110">
        <f t="shared" si="121"/>
        <v>0.69927723514582207</v>
      </c>
      <c r="H313" s="412" t="b">
        <f>Wh_hp&gt;='2020'!Maxi_hp</f>
        <v>0</v>
      </c>
      <c r="I313" s="379">
        <f>IF(H313,Wh_hp,'2020'!Maxi_hp)</f>
        <v>38.488384875395617</v>
      </c>
      <c r="J313" s="85">
        <f>IF(H313,An,'2020'!An_max)</f>
        <v>2018</v>
      </c>
      <c r="K313" s="197">
        <f t="shared" si="100"/>
        <v>44495</v>
      </c>
      <c r="L313" s="147">
        <f>IF(t&lt;Tvie,1-EXP((T0-t)*PertePVj)+'2020'!Pspv,1-EXP((T0-t)*PertePVj)+Pspv)</f>
        <v>1.8963674013474763E-2</v>
      </c>
      <c r="M313" s="832"/>
      <c r="N313" s="832"/>
      <c r="O313" s="48">
        <f>IF(t&lt;Tnet,'2020'!Resal+('2020'!Salim-'2020'!Resal)*(1-EXP(('2020'!Tnet-t)/('2020'!Tau_j))),Resal+(Salim-Resal)*(1-EXP((Tnet-t)/(Tau_j))))*Salcycl</f>
        <v>9.9613844633131415E-2</v>
      </c>
      <c r="P313" s="169">
        <f>(INDEX(Models!$BJ313:$BT313,,T313)*(1-R313)+INDEX(Models!$BJ313:$BT313,,T313+1)*R313-ERP_i)*Q313*Ramure*Pc/MaxiM</f>
        <v>3.5953649124457934E-5</v>
      </c>
      <c r="Q313" s="304">
        <f t="shared" si="101"/>
        <v>0.6</v>
      </c>
      <c r="R313" s="177">
        <f t="shared" si="102"/>
        <v>0.9975591276645922</v>
      </c>
      <c r="S313" s="799">
        <f t="shared" si="103"/>
        <v>-1</v>
      </c>
      <c r="T313" s="176">
        <f t="shared" si="104"/>
        <v>5</v>
      </c>
      <c r="U313" s="250">
        <f t="shared" si="105"/>
        <v>-2.4408723354077955E-3</v>
      </c>
      <c r="V313" s="382">
        <f t="shared" si="106"/>
        <v>34.844010970315921</v>
      </c>
      <c r="W313" s="400"/>
      <c r="X313" s="157">
        <f t="shared" si="107"/>
        <v>44495</v>
      </c>
      <c r="Y313" s="383">
        <f t="shared" si="108"/>
        <v>24.366</v>
      </c>
      <c r="Z313" s="383">
        <f t="shared" si="109"/>
        <v>24.837000786385428</v>
      </c>
      <c r="AA313" s="384">
        <f t="shared" si="110"/>
        <v>27.584831950537289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9.9613844633131415E-2</v>
      </c>
      <c r="AD313" s="230">
        <f>(INDEX(Models!$BJ313:$BT313,,AH313)*(1-AF313)+INDEX(Models!$BJ313:$BT313,,AH313+1)*AF313-ERP_i)*AE313*Ramure*Pc/MaxiM</f>
        <v>3.5953649124457934E-5</v>
      </c>
      <c r="AE313" s="304">
        <f t="shared" si="112"/>
        <v>0.6</v>
      </c>
      <c r="AF313" s="177">
        <f t="shared" si="113"/>
        <v>0.9975591276645922</v>
      </c>
      <c r="AG313" s="799">
        <f t="shared" si="119"/>
        <v>-1</v>
      </c>
      <c r="AH313" s="176">
        <f t="shared" si="114"/>
        <v>5</v>
      </c>
      <c r="AI313" s="224">
        <f t="shared" si="115"/>
        <v>-2.4408723354077955E-3</v>
      </c>
      <c r="AJ313" s="264" t="b">
        <f t="shared" si="116"/>
        <v>0</v>
      </c>
      <c r="AK313" s="264" t="b">
        <f t="shared" si="117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18"/>
        <v>44496</v>
      </c>
      <c r="B314" s="607">
        <v>26.481999999999999</v>
      </c>
      <c r="C314" s="388"/>
      <c r="D314" s="391">
        <f t="shared" si="98"/>
        <v>26.994420929912586</v>
      </c>
      <c r="E314" s="383">
        <f t="shared" si="120"/>
        <v>29.982794150587111</v>
      </c>
      <c r="F314" s="383">
        <f t="shared" si="99"/>
        <v>29.983519029323368</v>
      </c>
      <c r="G314" s="110">
        <f t="shared" si="121"/>
        <v>0.76688320422058665</v>
      </c>
      <c r="H314" s="412" t="b">
        <f>Wh_hp&gt;='2020'!Maxi_hp</f>
        <v>1</v>
      </c>
      <c r="I314" s="379">
        <f>IF(H314,Wh_hp,'2020'!Maxi_hp)</f>
        <v>29.983519029323368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1.8982475350851957E-2</v>
      </c>
      <c r="M314" s="832"/>
      <c r="N314" s="832"/>
      <c r="O314" s="48">
        <f>IF(t&lt;Tnet,'2020'!Resal+('2020'!Salim-'2020'!Resal)*(1-EXP(('2020'!Tnet-t)/('2020'!Tau_j))),Resal+(Salim-Resal)*(1-EXP((Tnet-t)/(Tau_j))))*Salcycl</f>
        <v>9.9669604029083064E-2</v>
      </c>
      <c r="P314" s="169">
        <f>(INDEX(Models!$BJ314:$BT314,,T314)*(1-R314)+INDEX(Models!$BJ314:$BT314,,T314+1)*R314-ERP_i)*Q314*Ramure*Pc/MaxiM</f>
        <v>3.6246321319301358E-5</v>
      </c>
      <c r="Q314" s="304">
        <f t="shared" si="101"/>
        <v>0.6</v>
      </c>
      <c r="R314" s="177">
        <f t="shared" si="102"/>
        <v>0.99762810587536954</v>
      </c>
      <c r="S314" s="799">
        <f t="shared" si="103"/>
        <v>-1</v>
      </c>
      <c r="T314" s="176">
        <f t="shared" si="104"/>
        <v>5</v>
      </c>
      <c r="U314" s="250">
        <f t="shared" si="105"/>
        <v>-2.3718941246305136E-3</v>
      </c>
      <c r="V314" s="382">
        <f t="shared" si="106"/>
        <v>34.531569080909406</v>
      </c>
      <c r="W314" s="400"/>
      <c r="X314" s="157">
        <f t="shared" si="107"/>
        <v>44496</v>
      </c>
      <c r="Y314" s="383">
        <f t="shared" si="108"/>
        <v>26.481999999999999</v>
      </c>
      <c r="Z314" s="383">
        <f t="shared" si="109"/>
        <v>26.994420929912586</v>
      </c>
      <c r="AA314" s="384">
        <f t="shared" si="110"/>
        <v>29.982794150587111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9.9669604029083064E-2</v>
      </c>
      <c r="AD314" s="230">
        <f>(INDEX(Models!$BJ314:$BT314,,AH314)*(1-AF314)+INDEX(Models!$BJ314:$BT314,,AH314+1)*AF314-ERP_i)*AE314*Ramure*Pc/MaxiM</f>
        <v>3.6246321319301358E-5</v>
      </c>
      <c r="AE314" s="304">
        <f t="shared" si="112"/>
        <v>0.6</v>
      </c>
      <c r="AF314" s="177">
        <f t="shared" si="113"/>
        <v>0.99762810587536954</v>
      </c>
      <c r="AG314" s="799">
        <f t="shared" si="119"/>
        <v>-1</v>
      </c>
      <c r="AH314" s="176">
        <f t="shared" si="114"/>
        <v>5</v>
      </c>
      <c r="AI314" s="224">
        <f t="shared" si="115"/>
        <v>-2.3718941246305136E-3</v>
      </c>
      <c r="AJ314" s="264" t="b">
        <f t="shared" si="116"/>
        <v>0</v>
      </c>
      <c r="AK314" s="264" t="b">
        <f t="shared" si="117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18"/>
        <v>44497</v>
      </c>
      <c r="B315" s="607">
        <v>34.67</v>
      </c>
      <c r="C315" s="388"/>
      <c r="D315" s="391">
        <f t="shared" si="98"/>
        <v>35.341534258293997</v>
      </c>
      <c r="E315" s="383">
        <f t="shared" si="120"/>
        <v>39.256349496208713</v>
      </c>
      <c r="F315" s="383">
        <f t="shared" si="99"/>
        <v>39.257780539476109</v>
      </c>
      <c r="G315" s="110">
        <f t="shared" si="121"/>
        <v>1.01302507885215</v>
      </c>
      <c r="H315" s="412" t="b">
        <f>Wh_hp&gt;='2020'!Maxi_hp</f>
        <v>1</v>
      </c>
      <c r="I315" s="379">
        <f>IF(H315,Wh_hp,'2020'!Maxi_hp)</f>
        <v>39.257780539476109</v>
      </c>
      <c r="J315" s="85">
        <f>IF(H315,An,'2020'!An_max)</f>
        <v>2021</v>
      </c>
      <c r="K315" s="197">
        <f t="shared" si="100"/>
        <v>44497</v>
      </c>
      <c r="L315" s="147">
        <f>IF(t&lt;Tvie,1-EXP((T0-t)*PertePVj)+'2020'!Pspv,1-EXP((T0-t)*PertePVj)+Pspv)</f>
        <v>1.9001276327905825E-2</v>
      </c>
      <c r="M315" s="832"/>
      <c r="N315" s="832"/>
      <c r="O315" s="48">
        <f>IF(t&lt;Tnet,'2020'!Resal+('2020'!Salim-'2020'!Resal)*(1-EXP(('2020'!Tnet-t)/('2020'!Tau_j))),Resal+(Salim-Resal)*(1-EXP((Tnet-t)/(Tau_j))))*Salcycl</f>
        <v>9.9724383141962719E-2</v>
      </c>
      <c r="P315" s="169">
        <f>(INDEX(Models!$BJ315:$BT315,,T315)*(1-R315)+INDEX(Models!$BJ315:$BT315,,T315+1)*R315-ERP_i)*Q315*Ramure*Pc/MaxiM</f>
        <v>3.6452475094831412E-5</v>
      </c>
      <c r="Q315" s="304">
        <f t="shared" si="101"/>
        <v>0.6</v>
      </c>
      <c r="R315" s="177">
        <f t="shared" si="102"/>
        <v>0.99769432475415165</v>
      </c>
      <c r="S315" s="799">
        <f t="shared" si="103"/>
        <v>-1</v>
      </c>
      <c r="T315" s="176">
        <f t="shared" si="104"/>
        <v>5</v>
      </c>
      <c r="U315" s="250">
        <f t="shared" si="105"/>
        <v>-2.3056752458484042E-3</v>
      </c>
      <c r="V315" s="382">
        <f t="shared" si="106"/>
        <v>34.224226747954042</v>
      </c>
      <c r="W315" s="400"/>
      <c r="X315" s="157">
        <f t="shared" si="107"/>
        <v>44497</v>
      </c>
      <c r="Y315" s="383">
        <f t="shared" si="108"/>
        <v>34.67</v>
      </c>
      <c r="Z315" s="383">
        <f t="shared" si="109"/>
        <v>35.341534258293997</v>
      </c>
      <c r="AA315" s="384">
        <f t="shared" si="110"/>
        <v>39.256349496208713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9.9724383141962719E-2</v>
      </c>
      <c r="AD315" s="230">
        <f>(INDEX(Models!$BJ315:$BT315,,AH315)*(1-AF315)+INDEX(Models!$BJ315:$BT315,,AH315+1)*AF315-ERP_i)*AE315*Ramure*Pc/MaxiM</f>
        <v>3.6452475094831412E-5</v>
      </c>
      <c r="AE315" s="304">
        <f t="shared" si="112"/>
        <v>0.6</v>
      </c>
      <c r="AF315" s="177">
        <f t="shared" si="113"/>
        <v>0.99769432475415165</v>
      </c>
      <c r="AG315" s="799">
        <f t="shared" si="119"/>
        <v>-1</v>
      </c>
      <c r="AH315" s="176">
        <f t="shared" si="114"/>
        <v>5</v>
      </c>
      <c r="AI315" s="224">
        <f t="shared" si="115"/>
        <v>-2.3056752458484042E-3</v>
      </c>
      <c r="AJ315" s="264" t="b">
        <f t="shared" si="116"/>
        <v>0</v>
      </c>
      <c r="AK315" s="264" t="b">
        <f t="shared" si="117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18"/>
        <v>44498</v>
      </c>
      <c r="B316" s="607">
        <v>17.834</v>
      </c>
      <c r="C316" s="388"/>
      <c r="D316" s="391">
        <f t="shared" si="98"/>
        <v>18.179780830227681</v>
      </c>
      <c r="E316" s="383">
        <f t="shared" si="120"/>
        <v>20.194781229391587</v>
      </c>
      <c r="F316" s="383">
        <f t="shared" si="99"/>
        <v>20.195019380640186</v>
      </c>
      <c r="G316" s="110">
        <f t="shared" si="121"/>
        <v>0.52570660889544507</v>
      </c>
      <c r="H316" s="412" t="b">
        <f>Wh_hp&gt;='2020'!Maxi_hp</f>
        <v>0</v>
      </c>
      <c r="I316" s="379">
        <f>IF(H316,Wh_hp,'2020'!Maxi_hp)</f>
        <v>29.53882803142611</v>
      </c>
      <c r="J316" s="85">
        <f>IF(H316,An,'2020'!An_max)</f>
        <v>2018</v>
      </c>
      <c r="K316" s="197">
        <f t="shared" si="100"/>
        <v>44498</v>
      </c>
      <c r="L316" s="147">
        <f>IF(t&lt;Tvie,1-EXP((T0-t)*PertePVj)+'2020'!Pspv,1-EXP((T0-t)*PertePVj)+Pspv)</f>
        <v>1.9020076944643249E-2</v>
      </c>
      <c r="M316" s="832"/>
      <c r="N316" s="832"/>
      <c r="O316" s="48">
        <f>IF(t&lt;Tnet,'2020'!Resal+('2020'!Salim-'2020'!Resal)*(1-EXP(('2020'!Tnet-t)/('2020'!Tau_j))),Resal+(Salim-Resal)*(1-EXP((Tnet-t)/(Tau_j))))*Salcycl</f>
        <v>9.9778273221958105E-2</v>
      </c>
      <c r="P316" s="169">
        <f>(INDEX(Models!$BJ316:$BT316,,T316)*(1-R316)+INDEX(Models!$BJ316:$BT316,,T316+1)*R316-ERP_i)*Q316*Ramure*Pc/MaxiM</f>
        <v>3.6571038080972633E-5</v>
      </c>
      <c r="Q316" s="304">
        <f t="shared" si="101"/>
        <v>0.6</v>
      </c>
      <c r="R316" s="177">
        <f t="shared" si="102"/>
        <v>0.99775789399138781</v>
      </c>
      <c r="S316" s="799">
        <f t="shared" si="103"/>
        <v>-1</v>
      </c>
      <c r="T316" s="176">
        <f t="shared" si="104"/>
        <v>5</v>
      </c>
      <c r="U316" s="250">
        <f t="shared" si="105"/>
        <v>-2.2421060086122435E-3</v>
      </c>
      <c r="V316" s="382">
        <f t="shared" si="106"/>
        <v>33.923024352156709</v>
      </c>
      <c r="W316" s="400"/>
      <c r="X316" s="157">
        <f t="shared" si="107"/>
        <v>44498</v>
      </c>
      <c r="Y316" s="383">
        <f t="shared" si="108"/>
        <v>17.834</v>
      </c>
      <c r="Z316" s="383">
        <f t="shared" si="109"/>
        <v>18.179780830227681</v>
      </c>
      <c r="AA316" s="384">
        <f t="shared" si="110"/>
        <v>20.194781229391587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9.9778273221958105E-2</v>
      </c>
      <c r="AD316" s="230">
        <f>(INDEX(Models!$BJ316:$BT316,,AH316)*(1-AF316)+INDEX(Models!$BJ316:$BT316,,AH316+1)*AF316-ERP_i)*AE316*Ramure*Pc/MaxiM</f>
        <v>3.6571038080972633E-5</v>
      </c>
      <c r="AE316" s="304">
        <f t="shared" si="112"/>
        <v>0.6</v>
      </c>
      <c r="AF316" s="177">
        <f t="shared" si="113"/>
        <v>0.99775789399138781</v>
      </c>
      <c r="AG316" s="799">
        <f t="shared" si="119"/>
        <v>-1</v>
      </c>
      <c r="AH316" s="176">
        <f t="shared" si="114"/>
        <v>5</v>
      </c>
      <c r="AI316" s="224">
        <f t="shared" si="115"/>
        <v>-2.2421060086122435E-3</v>
      </c>
      <c r="AJ316" s="264" t="b">
        <f t="shared" si="116"/>
        <v>0</v>
      </c>
      <c r="AK316" s="264" t="b">
        <f t="shared" si="117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18"/>
        <v>44499</v>
      </c>
      <c r="B317" s="607">
        <v>9.92</v>
      </c>
      <c r="C317" s="388"/>
      <c r="D317" s="391">
        <f t="shared" si="98"/>
        <v>10.112531240479484</v>
      </c>
      <c r="E317" s="383">
        <f t="shared" si="120"/>
        <v>11.23404092372836</v>
      </c>
      <c r="F317" s="383">
        <f t="shared" si="99"/>
        <v>11.23404092372836</v>
      </c>
      <c r="G317" s="110">
        <f t="shared" si="121"/>
        <v>0.2949992359007666</v>
      </c>
      <c r="H317" s="412" t="b">
        <f>Wh_hp&gt;='2020'!Maxi_hp</f>
        <v>0</v>
      </c>
      <c r="I317" s="379">
        <f>IF(H317,Wh_hp,'2020'!Maxi_hp)</f>
        <v>30.400555520503801</v>
      </c>
      <c r="J317" s="85">
        <f>IF(H317,An,'2020'!An_max)</f>
        <v>2020</v>
      </c>
      <c r="K317" s="197">
        <f t="shared" si="100"/>
        <v>44499</v>
      </c>
      <c r="L317" s="147">
        <f>IF(t&lt;Tvie,1-EXP((T0-t)*PertePVj)+'2020'!Pspv,1-EXP((T0-t)*PertePVj)+Pspv)</f>
        <v>1.9038877201071114E-2</v>
      </c>
      <c r="M317" s="832"/>
      <c r="N317" s="832"/>
      <c r="O317" s="48">
        <f>IF(t&lt;Tnet,'2020'!Resal+('2020'!Salim-'2020'!Resal)*(1-EXP(('2020'!Tnet-t)/('2020'!Tau_j))),Resal+(Salim-Resal)*(1-EXP((Tnet-t)/(Tau_j))))*Salcycl</f>
        <v>9.9831368860339553E-2</v>
      </c>
      <c r="P317" s="169">
        <f>(INDEX(Models!$BJ317:$BT317,,T317)*(1-R317)+INDEX(Models!$BJ317:$BT317,,T317+1)*R317-ERP_i)*Q317*Ramure*Pc/MaxiM</f>
        <v>3.6604325301653809E-5</v>
      </c>
      <c r="Q317" s="304">
        <f t="shared" si="101"/>
        <v>0.6</v>
      </c>
      <c r="R317" s="177">
        <f t="shared" si="102"/>
        <v>0.99781891897143038</v>
      </c>
      <c r="S317" s="799">
        <f t="shared" si="103"/>
        <v>-1</v>
      </c>
      <c r="T317" s="176">
        <f t="shared" si="104"/>
        <v>5</v>
      </c>
      <c r="U317" s="250">
        <f t="shared" si="105"/>
        <v>-2.1810810285695648E-3</v>
      </c>
      <c r="V317" s="382">
        <f t="shared" si="106"/>
        <v>33.625974842964773</v>
      </c>
      <c r="W317" s="400"/>
      <c r="X317" s="157">
        <f t="shared" si="107"/>
        <v>44499</v>
      </c>
      <c r="Y317" s="383">
        <f t="shared" si="108"/>
        <v>9.92</v>
      </c>
      <c r="Z317" s="383">
        <f t="shared" si="109"/>
        <v>10.112531240479484</v>
      </c>
      <c r="AA317" s="384">
        <f t="shared" si="110"/>
        <v>11.23404092372836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9.9831368860339553E-2</v>
      </c>
      <c r="AD317" s="230">
        <f>(INDEX(Models!$BJ317:$BT317,,AH317)*(1-AF317)+INDEX(Models!$BJ317:$BT317,,AH317+1)*AF317-ERP_i)*AE317*Ramure*Pc/MaxiM</f>
        <v>3.6604325301653809E-5</v>
      </c>
      <c r="AE317" s="304">
        <f t="shared" si="112"/>
        <v>0.6</v>
      </c>
      <c r="AF317" s="177">
        <f t="shared" si="113"/>
        <v>0.99781891897143038</v>
      </c>
      <c r="AG317" s="799">
        <f t="shared" si="119"/>
        <v>-1</v>
      </c>
      <c r="AH317" s="176">
        <f t="shared" si="114"/>
        <v>5</v>
      </c>
      <c r="AI317" s="224">
        <f t="shared" si="115"/>
        <v>-2.1810810285695648E-3</v>
      </c>
      <c r="AJ317" s="264" t="b">
        <f t="shared" si="116"/>
        <v>0</v>
      </c>
      <c r="AK317" s="264" t="b">
        <f t="shared" si="117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18"/>
        <v>44500</v>
      </c>
      <c r="B318" s="607">
        <v>17.963000000000001</v>
      </c>
      <c r="C318" s="388"/>
      <c r="D318" s="391">
        <f t="shared" si="98"/>
        <v>18.311983875712393</v>
      </c>
      <c r="E318" s="383">
        <f t="shared" si="120"/>
        <v>20.344021379669147</v>
      </c>
      <c r="F318" s="383">
        <f t="shared" si="99"/>
        <v>20.344276248035605</v>
      </c>
      <c r="G318" s="110">
        <f t="shared" si="121"/>
        <v>0.53892251536573477</v>
      </c>
      <c r="H318" s="412" t="b">
        <f>Wh_hp&gt;='2020'!Maxi_hp</f>
        <v>0</v>
      </c>
      <c r="I318" s="379">
        <f>IF(H318,Wh_hp,'2020'!Maxi_hp)</f>
        <v>35.917509171902125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1.9057677097196302E-2</v>
      </c>
      <c r="M318" s="832"/>
      <c r="N318" s="832"/>
      <c r="O318" s="48">
        <f>IF(t&lt;Tnet,'2020'!Resal+('2020'!Salim-'2020'!Resal)*(1-EXP(('2020'!Tnet-t)/('2020'!Tau_j))),Resal+(Salim-Resal)*(1-EXP((Tnet-t)/(Tau_j))))*Salcycl</f>
        <v>9.9883767620667016E-2</v>
      </c>
      <c r="P318" s="169">
        <f>(INDEX(Models!$BJ318:$BT318,,T318)*(1-R318)+INDEX(Models!$BJ318:$BT318,,T318+1)*R318-ERP_i)*Q318*Ramure*Pc/MaxiM</f>
        <v>3.6702104808761044E-5</v>
      </c>
      <c r="Q318" s="304">
        <f t="shared" si="101"/>
        <v>0.6</v>
      </c>
      <c r="R318" s="177">
        <f t="shared" si="102"/>
        <v>0.99787750093729133</v>
      </c>
      <c r="S318" s="799">
        <f t="shared" si="103"/>
        <v>-1</v>
      </c>
      <c r="T318" s="176">
        <f t="shared" si="104"/>
        <v>5</v>
      </c>
      <c r="U318" s="250">
        <f t="shared" si="105"/>
        <v>-2.1224990627086715E-3</v>
      </c>
      <c r="V318" s="382">
        <f t="shared" si="106"/>
        <v>33.330516426376924</v>
      </c>
      <c r="W318" s="400"/>
      <c r="X318" s="157">
        <f t="shared" si="107"/>
        <v>44500</v>
      </c>
      <c r="Y318" s="383">
        <f t="shared" si="108"/>
        <v>17.963000000000001</v>
      </c>
      <c r="Z318" s="383">
        <f t="shared" si="109"/>
        <v>18.311983875712393</v>
      </c>
      <c r="AA318" s="384">
        <f t="shared" si="110"/>
        <v>20.344021379669147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9.9883767620667016E-2</v>
      </c>
      <c r="AD318" s="230">
        <f>(INDEX(Models!$BJ318:$BT318,,AH318)*(1-AF318)+INDEX(Models!$BJ318:$BT318,,AH318+1)*AF318-ERP_i)*AE318*Ramure*Pc/MaxiM</f>
        <v>3.6702104808761044E-5</v>
      </c>
      <c r="AE318" s="304">
        <f t="shared" si="112"/>
        <v>0.6</v>
      </c>
      <c r="AF318" s="177">
        <f t="shared" si="113"/>
        <v>0.99787750093729133</v>
      </c>
      <c r="AG318" s="799">
        <f t="shared" si="119"/>
        <v>-1</v>
      </c>
      <c r="AH318" s="176">
        <f t="shared" si="114"/>
        <v>5</v>
      </c>
      <c r="AI318" s="224">
        <f t="shared" si="115"/>
        <v>-2.1224990627086715E-3</v>
      </c>
      <c r="AJ318" s="264" t="b">
        <f t="shared" si="116"/>
        <v>0</v>
      </c>
      <c r="AK318" s="264" t="b">
        <f t="shared" si="117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18"/>
        <v>44501</v>
      </c>
      <c r="B319" s="607">
        <v>15.758000000000001</v>
      </c>
      <c r="C319" s="388"/>
      <c r="D319" s="391">
        <f t="shared" si="98"/>
        <v>16.064453165432717</v>
      </c>
      <c r="E319" s="383">
        <f t="shared" si="120"/>
        <v>17.848114672312288</v>
      </c>
      <c r="F319" s="383">
        <f t="shared" si="99"/>
        <v>17.848281167481908</v>
      </c>
      <c r="G319" s="110">
        <f t="shared" si="121"/>
        <v>0.47696960912188646</v>
      </c>
      <c r="H319" s="412" t="b">
        <f>Wh_hp&gt;='2020'!Maxi_hp</f>
        <v>0</v>
      </c>
      <c r="I319" s="379">
        <f>IF(H319,Wh_hp,'2020'!Maxi_hp)</f>
        <v>33.217100495865481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1.9076476633025918E-2</v>
      </c>
      <c r="M319" s="832"/>
      <c r="N319" s="832"/>
      <c r="O319" s="48">
        <f>IF(t&lt;Tnet,'2020'!Resal+('2020'!Salim-'2020'!Resal)*(1-EXP(('2020'!Tnet-t)/('2020'!Tau_j))),Resal+(Salim-Resal)*(1-EXP((Tnet-t)/(Tau_j))))*Salcycl</f>
        <v>9.9935569645714997E-2</v>
      </c>
      <c r="P319" s="169">
        <f>(INDEX(Models!$BJ319:$BT319,,T319)*(1-R319)+INDEX(Models!$BJ319:$BT319,,T319+1)*R319-ERP_i)*Q319*Ramure*Pc/MaxiM</f>
        <v>3.689540824426083E-5</v>
      </c>
      <c r="Q319" s="304">
        <f t="shared" si="101"/>
        <v>0.6</v>
      </c>
      <c r="R319" s="177">
        <f t="shared" si="102"/>
        <v>0.99793373714943301</v>
      </c>
      <c r="S319" s="799">
        <f t="shared" si="103"/>
        <v>-1</v>
      </c>
      <c r="T319" s="176">
        <f t="shared" si="104"/>
        <v>5</v>
      </c>
      <c r="U319" s="250">
        <f t="shared" si="105"/>
        <v>-2.0662628505669911E-3</v>
      </c>
      <c r="V319" s="382">
        <f t="shared" si="106"/>
        <v>33.036833569735627</v>
      </c>
      <c r="W319" s="400"/>
      <c r="X319" s="157">
        <f t="shared" si="107"/>
        <v>44501</v>
      </c>
      <c r="Y319" s="383">
        <f t="shared" si="108"/>
        <v>15.758000000000001</v>
      </c>
      <c r="Z319" s="383">
        <f t="shared" si="109"/>
        <v>16.064453165432717</v>
      </c>
      <c r="AA319" s="384">
        <f t="shared" si="110"/>
        <v>17.848114672312288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9.9935569645714997E-2</v>
      </c>
      <c r="AD319" s="230">
        <f>(INDEX(Models!$BJ319:$BT319,,AH319)*(1-AF319)+INDEX(Models!$BJ319:$BT319,,AH319+1)*AF319-ERP_i)*AE319*Ramure*Pc/MaxiM</f>
        <v>3.689540824426083E-5</v>
      </c>
      <c r="AE319" s="304">
        <f t="shared" si="112"/>
        <v>0.6</v>
      </c>
      <c r="AF319" s="177">
        <f t="shared" si="113"/>
        <v>0.99793373714943301</v>
      </c>
      <c r="AG319" s="799">
        <f t="shared" si="119"/>
        <v>-1</v>
      </c>
      <c r="AH319" s="176">
        <f t="shared" si="114"/>
        <v>5</v>
      </c>
      <c r="AI319" s="224">
        <f t="shared" si="115"/>
        <v>-2.0662628505669911E-3</v>
      </c>
      <c r="AJ319" s="264" t="b">
        <f t="shared" si="116"/>
        <v>0</v>
      </c>
      <c r="AK319" s="264" t="b">
        <f t="shared" si="117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18"/>
        <v>44502</v>
      </c>
      <c r="B320" s="607">
        <v>24.437000000000001</v>
      </c>
      <c r="C320" s="388"/>
      <c r="D320" s="391">
        <f t="shared" si="98"/>
        <v>24.912715167259073</v>
      </c>
      <c r="E320" s="383">
        <f t="shared" si="120"/>
        <v>27.680391026890177</v>
      </c>
      <c r="F320" s="383">
        <f t="shared" si="99"/>
        <v>27.681047247478585</v>
      </c>
      <c r="G320" s="110">
        <f t="shared" si="121"/>
        <v>0.74626926883996758</v>
      </c>
      <c r="H320" s="412" t="b">
        <f>Wh_hp&gt;='2020'!Maxi_hp</f>
        <v>0</v>
      </c>
      <c r="I320" s="379">
        <f>IF(H320,Wh_hp,'2020'!Maxi_hp)</f>
        <v>30.474985377795999</v>
      </c>
      <c r="J320" s="85">
        <f>IF(H320,An,'2020'!An_max)</f>
        <v>2020</v>
      </c>
      <c r="K320" s="197">
        <f t="shared" si="100"/>
        <v>44502</v>
      </c>
      <c r="L320" s="147">
        <f>IF(t&lt;Tvie,1-EXP((T0-t)*PertePVj)+'2020'!Pspv,1-EXP((T0-t)*PertePVj)+Pspv)</f>
        <v>1.9095275808566625E-2</v>
      </c>
      <c r="M320" s="832"/>
      <c r="N320" s="832"/>
      <c r="O320" s="48">
        <f>IF(t&lt;Tnet,'2020'!Resal+('2020'!Salim-'2020'!Resal)*(1-EXP(('2020'!Tnet-t)/('2020'!Tau_j))),Resal+(Salim-Resal)*(1-EXP((Tnet-t)/(Tau_j))))*Salcycl</f>
        <v>9.9986877242537547E-2</v>
      </c>
      <c r="P320" s="169">
        <f>(INDEX(Models!$BJ320:$BT320,,T320)*(1-R320)+INDEX(Models!$BJ320:$BT320,,T320+1)*R320-ERP_i)*Q320*Ramure*Pc/MaxiM</f>
        <v>3.7184213984679458E-5</v>
      </c>
      <c r="Q320" s="304">
        <f t="shared" si="101"/>
        <v>0.6</v>
      </c>
      <c r="R320" s="177">
        <f t="shared" si="102"/>
        <v>0.99798772103878708</v>
      </c>
      <c r="S320" s="799">
        <f t="shared" si="103"/>
        <v>-1</v>
      </c>
      <c r="T320" s="176">
        <f t="shared" si="104"/>
        <v>5</v>
      </c>
      <c r="U320" s="250">
        <f t="shared" si="105"/>
        <v>-2.0122789612128655E-3</v>
      </c>
      <c r="V320" s="382">
        <f t="shared" si="106"/>
        <v>32.745111794756177</v>
      </c>
      <c r="W320" s="400"/>
      <c r="X320" s="157">
        <f t="shared" si="107"/>
        <v>44502</v>
      </c>
      <c r="Y320" s="383">
        <f t="shared" si="108"/>
        <v>24.437000000000001</v>
      </c>
      <c r="Z320" s="383">
        <f t="shared" si="109"/>
        <v>24.912715167259073</v>
      </c>
      <c r="AA320" s="384">
        <f t="shared" si="110"/>
        <v>27.680391026890177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9.9986877242537547E-2</v>
      </c>
      <c r="AD320" s="230">
        <f>(INDEX(Models!$BJ320:$BT320,,AH320)*(1-AF320)+INDEX(Models!$BJ320:$BT320,,AH320+1)*AF320-ERP_i)*AE320*Ramure*Pc/MaxiM</f>
        <v>3.7184213984679458E-5</v>
      </c>
      <c r="AE320" s="304">
        <f t="shared" si="112"/>
        <v>0.6</v>
      </c>
      <c r="AF320" s="177">
        <f t="shared" si="113"/>
        <v>0.99798772103878708</v>
      </c>
      <c r="AG320" s="799">
        <f t="shared" si="119"/>
        <v>-1</v>
      </c>
      <c r="AH320" s="176">
        <f t="shared" si="114"/>
        <v>5</v>
      </c>
      <c r="AI320" s="224">
        <f t="shared" si="115"/>
        <v>-2.0122789612128655E-3</v>
      </c>
      <c r="AJ320" s="264" t="b">
        <f t="shared" si="116"/>
        <v>0</v>
      </c>
      <c r="AK320" s="264" t="b">
        <f t="shared" si="117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18"/>
        <v>44503</v>
      </c>
      <c r="B321" s="607">
        <v>17.400000000000002</v>
      </c>
      <c r="C321" s="388"/>
      <c r="D321" s="391">
        <f t="shared" si="98"/>
        <v>17.739065827993215</v>
      </c>
      <c r="E321" s="383">
        <f t="shared" si="120"/>
        <v>19.710900878463853</v>
      </c>
      <c r="F321" s="383">
        <f t="shared" si="99"/>
        <v>19.711150663671148</v>
      </c>
      <c r="G321" s="110">
        <f t="shared" si="121"/>
        <v>0.53610473290136118</v>
      </c>
      <c r="H321" s="412" t="b">
        <f>Wh_hp&gt;='2020'!Maxi_hp</f>
        <v>0</v>
      </c>
      <c r="I321" s="379">
        <f>IF(H321,Wh_hp,'2020'!Maxi_hp)</f>
        <v>31.680473871325951</v>
      </c>
      <c r="J321" s="85">
        <f>IF(H321,An,'2020'!An_max)</f>
        <v>2020</v>
      </c>
      <c r="K321" s="197">
        <f t="shared" si="100"/>
        <v>44503</v>
      </c>
      <c r="L321" s="147">
        <f>IF(t&lt;Tvie,1-EXP((T0-t)*PertePVj)+'2020'!Pspv,1-EXP((T0-t)*PertePVj)+Pspv)</f>
        <v>1.9114074623825417E-2</v>
      </c>
      <c r="M321" s="832"/>
      <c r="N321" s="832"/>
      <c r="O321" s="48">
        <f>IF(t&lt;Tnet,'2020'!Resal+('2020'!Salim-'2020'!Resal)*(1-EXP(('2020'!Tnet-t)/('2020'!Tau_j))),Resal+(Salim-Resal)*(1-EXP((Tnet-t)/(Tau_j))))*Salcycl</f>
        <v>0.1000377944483028</v>
      </c>
      <c r="P321" s="169">
        <f>(INDEX(Models!$BJ321:$BT321,,T321)*(1-R321)+INDEX(Models!$BJ321:$BT321,,T321+1)*R321-ERP_i)*Q321*Ramure*Pc/MaxiM</f>
        <v>3.7568472194580986E-5</v>
      </c>
      <c r="Q321" s="304">
        <f t="shared" si="101"/>
        <v>0.6</v>
      </c>
      <c r="R321" s="177">
        <f t="shared" si="102"/>
        <v>0.99803954235418035</v>
      </c>
      <c r="S321" s="799">
        <f t="shared" si="103"/>
        <v>-1</v>
      </c>
      <c r="T321" s="176">
        <f t="shared" si="104"/>
        <v>5</v>
      </c>
      <c r="U321" s="250">
        <f t="shared" si="105"/>
        <v>-1.9604576458196465E-3</v>
      </c>
      <c r="V321" s="382">
        <f t="shared" si="106"/>
        <v>32.455536638502423</v>
      </c>
      <c r="W321" s="400"/>
      <c r="X321" s="157">
        <f t="shared" si="107"/>
        <v>44503</v>
      </c>
      <c r="Y321" s="383">
        <f t="shared" si="108"/>
        <v>17.400000000000002</v>
      </c>
      <c r="Z321" s="383">
        <f t="shared" si="109"/>
        <v>17.739065827993215</v>
      </c>
      <c r="AA321" s="384">
        <f t="shared" si="110"/>
        <v>19.710900878463853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0.1000377944483028</v>
      </c>
      <c r="AD321" s="230">
        <f>(INDEX(Models!$BJ321:$BT321,,AH321)*(1-AF321)+INDEX(Models!$BJ321:$BT321,,AH321+1)*AF321-ERP_i)*AE321*Ramure*Pc/MaxiM</f>
        <v>3.7568472194580986E-5</v>
      </c>
      <c r="AE321" s="304">
        <f t="shared" si="112"/>
        <v>0.6</v>
      </c>
      <c r="AF321" s="177">
        <f t="shared" si="113"/>
        <v>0.99803954235418035</v>
      </c>
      <c r="AG321" s="799">
        <f t="shared" si="119"/>
        <v>-1</v>
      </c>
      <c r="AH321" s="176">
        <f t="shared" si="114"/>
        <v>5</v>
      </c>
      <c r="AI321" s="224">
        <f t="shared" si="115"/>
        <v>-1.9604576458196465E-3</v>
      </c>
      <c r="AJ321" s="264" t="b">
        <f t="shared" si="116"/>
        <v>0</v>
      </c>
      <c r="AK321" s="264" t="b">
        <f t="shared" si="117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18"/>
        <v>44504</v>
      </c>
      <c r="B322" s="607">
        <v>14.722</v>
      </c>
      <c r="C322" s="388"/>
      <c r="D322" s="391">
        <f t="shared" si="98"/>
        <v>15.009168516239672</v>
      </c>
      <c r="E322" s="383">
        <f t="shared" si="120"/>
        <v>16.678492598105446</v>
      </c>
      <c r="F322" s="383">
        <f t="shared" si="99"/>
        <v>16.678635522047795</v>
      </c>
      <c r="G322" s="110">
        <f t="shared" si="121"/>
        <v>0.45764211672661609</v>
      </c>
      <c r="H322" s="412" t="b">
        <f>Wh_hp&gt;='2020'!Maxi_hp</f>
        <v>1</v>
      </c>
      <c r="I322" s="379">
        <f>IF(H322,Wh_hp,'2020'!Maxi_hp)</f>
        <v>16.678635522047795</v>
      </c>
      <c r="J322" s="85">
        <f>IF(H322,An,'2020'!An_max)</f>
        <v>2021</v>
      </c>
      <c r="K322" s="197">
        <f t="shared" si="100"/>
        <v>44504</v>
      </c>
      <c r="L322" s="147">
        <f>IF(t&lt;Tvie,1-EXP((T0-t)*PertePVj)+'2020'!Pspv,1-EXP((T0-t)*PertePVj)+Pspv)</f>
        <v>1.9132873078809176E-2</v>
      </c>
      <c r="M322" s="832"/>
      <c r="N322" s="832"/>
      <c r="O322" s="48">
        <f>IF(t&lt;Tnet,'2020'!Resal+('2020'!Salim-'2020'!Resal)*(1-EXP(('2020'!Tnet-t)/('2020'!Tau_j))),Resal+(Salim-Resal)*(1-EXP((Tnet-t)/(Tau_j))))*Salcycl</f>
        <v>0.10008842657971359</v>
      </c>
      <c r="P322" s="169">
        <f>(INDEX(Models!$BJ322:$BT322,,T322)*(1-R322)+INDEX(Models!$BJ322:$BT322,,T322+1)*R322-ERP_i)*Q322*Ramure*Pc/MaxiM</f>
        <v>3.8048109711201094E-5</v>
      </c>
      <c r="Q322" s="304">
        <f t="shared" si="101"/>
        <v>0.6</v>
      </c>
      <c r="R322" s="177">
        <f t="shared" si="102"/>
        <v>0.99808928730435276</v>
      </c>
      <c r="S322" s="799">
        <f t="shared" si="103"/>
        <v>-1</v>
      </c>
      <c r="T322" s="176">
        <f t="shared" si="104"/>
        <v>5</v>
      </c>
      <c r="U322" s="250">
        <f t="shared" si="105"/>
        <v>-1.9107126956472986E-3</v>
      </c>
      <c r="V322" s="382">
        <f t="shared" si="106"/>
        <v>32.168293675172407</v>
      </c>
      <c r="W322" s="400"/>
      <c r="X322" s="157">
        <f t="shared" si="107"/>
        <v>44504</v>
      </c>
      <c r="Y322" s="383">
        <f t="shared" si="108"/>
        <v>14.722</v>
      </c>
      <c r="Z322" s="383">
        <f t="shared" si="109"/>
        <v>15.009168516239672</v>
      </c>
      <c r="AA322" s="384">
        <f t="shared" si="110"/>
        <v>16.678492598105446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0.10008842657971359</v>
      </c>
      <c r="AD322" s="230">
        <f>(INDEX(Models!$BJ322:$BT322,,AH322)*(1-AF322)+INDEX(Models!$BJ322:$BT322,,AH322+1)*AF322-ERP_i)*AE322*Ramure*Pc/MaxiM</f>
        <v>3.8048109711201094E-5</v>
      </c>
      <c r="AE322" s="304">
        <f t="shared" si="112"/>
        <v>0.6</v>
      </c>
      <c r="AF322" s="177">
        <f t="shared" si="113"/>
        <v>0.99808928730435276</v>
      </c>
      <c r="AG322" s="799">
        <f t="shared" si="119"/>
        <v>-1</v>
      </c>
      <c r="AH322" s="176">
        <f t="shared" si="114"/>
        <v>5</v>
      </c>
      <c r="AI322" s="224">
        <f t="shared" si="115"/>
        <v>-1.9107126956472986E-3</v>
      </c>
      <c r="AJ322" s="264" t="b">
        <f t="shared" si="116"/>
        <v>0</v>
      </c>
      <c r="AK322" s="264" t="b">
        <f t="shared" si="117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18"/>
        <v>44505</v>
      </c>
      <c r="B323" s="607">
        <v>9.2000000000000011</v>
      </c>
      <c r="C323" s="388"/>
      <c r="D323" s="391">
        <f t="shared" si="98"/>
        <v>9.3796356986275722</v>
      </c>
      <c r="E323" s="383">
        <f t="shared" si="120"/>
        <v>10.423425890674887</v>
      </c>
      <c r="F323" s="383">
        <f t="shared" si="99"/>
        <v>10.423425890674887</v>
      </c>
      <c r="G323" s="110">
        <f t="shared" si="121"/>
        <v>0.28853873932132607</v>
      </c>
      <c r="H323" s="412" t="b">
        <f>Wh_hp&gt;='2020'!Maxi_hp</f>
        <v>0</v>
      </c>
      <c r="I323" s="379">
        <f>IF(H323,Wh_hp,'2020'!Maxi_hp)</f>
        <v>16.690404360740779</v>
      </c>
      <c r="J323" s="85">
        <f>IF(H323,An,'2020'!An_max)</f>
        <v>2020</v>
      </c>
      <c r="K323" s="197">
        <f t="shared" si="100"/>
        <v>44505</v>
      </c>
      <c r="L323" s="147">
        <f>IF(t&lt;Tvie,1-EXP((T0-t)*PertePVj)+'2020'!Pspv,1-EXP((T0-t)*PertePVj)+Pspv)</f>
        <v>1.9151671173524898E-2</v>
      </c>
      <c r="M323" s="832"/>
      <c r="N323" s="832"/>
      <c r="O323" s="48">
        <f>IF(t&lt;Tnet,'2020'!Resal+('2020'!Salim-'2020'!Resal)*(1-EXP(('2020'!Tnet-t)/('2020'!Tau_j))),Resal+(Salim-Resal)*(1-EXP((Tnet-t)/(Tau_j))))*Salcycl</f>
        <v>0.10013887976899426</v>
      </c>
      <c r="P323" s="169">
        <f>(INDEX(Models!$BJ323:$BT323,,T323)*(1-R323)+INDEX(Models!$BJ323:$BT323,,T323+1)*R323-ERP_i)*Q323*Ramure*Pc/MaxiM</f>
        <v>3.8623035277298551E-5</v>
      </c>
      <c r="Q323" s="304">
        <f t="shared" si="101"/>
        <v>0.6</v>
      </c>
      <c r="R323" s="177">
        <f t="shared" si="102"/>
        <v>0.99813703869474213</v>
      </c>
      <c r="S323" s="799">
        <f t="shared" si="103"/>
        <v>-1</v>
      </c>
      <c r="T323" s="176">
        <f t="shared" si="104"/>
        <v>5</v>
      </c>
      <c r="U323" s="250">
        <f t="shared" si="105"/>
        <v>-1.8629613052578708E-3</v>
      </c>
      <c r="V323" s="382">
        <f t="shared" si="106"/>
        <v>31.883568527796289</v>
      </c>
      <c r="W323" s="400"/>
      <c r="X323" s="157">
        <f t="shared" si="107"/>
        <v>44505</v>
      </c>
      <c r="Y323" s="383">
        <f t="shared" si="108"/>
        <v>9.2000000000000011</v>
      </c>
      <c r="Z323" s="383">
        <f t="shared" si="109"/>
        <v>9.3796356986275722</v>
      </c>
      <c r="AA323" s="384">
        <f t="shared" si="110"/>
        <v>10.423425890674887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0.10013887976899426</v>
      </c>
      <c r="AD323" s="230">
        <f>(INDEX(Models!$BJ323:$BT323,,AH323)*(1-AF323)+INDEX(Models!$BJ323:$BT323,,AH323+1)*AF323-ERP_i)*AE323*Ramure*Pc/MaxiM</f>
        <v>3.8623035277298551E-5</v>
      </c>
      <c r="AE323" s="304">
        <f t="shared" si="112"/>
        <v>0.6</v>
      </c>
      <c r="AF323" s="177">
        <f t="shared" si="113"/>
        <v>0.99813703869474213</v>
      </c>
      <c r="AG323" s="799">
        <f t="shared" si="119"/>
        <v>-1</v>
      </c>
      <c r="AH323" s="176">
        <f t="shared" si="114"/>
        <v>5</v>
      </c>
      <c r="AI323" s="224">
        <f t="shared" si="115"/>
        <v>-1.8629613052578708E-3</v>
      </c>
      <c r="AJ323" s="264" t="b">
        <f t="shared" si="116"/>
        <v>0</v>
      </c>
      <c r="AK323" s="264" t="b">
        <f t="shared" si="117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18"/>
        <v>44506</v>
      </c>
      <c r="B324" s="607">
        <v>11.46</v>
      </c>
      <c r="C324" s="388"/>
      <c r="D324" s="391">
        <f t="shared" si="98"/>
        <v>11.683987519463086</v>
      </c>
      <c r="E324" s="383">
        <f t="shared" si="120"/>
        <v>12.984938950406454</v>
      </c>
      <c r="F324" s="383">
        <f t="shared" si="99"/>
        <v>12.984985291420037</v>
      </c>
      <c r="G324" s="110">
        <f t="shared" si="121"/>
        <v>0.36262752070380155</v>
      </c>
      <c r="H324" s="412" t="b">
        <f>Wh_hp&gt;='2020'!Maxi_hp</f>
        <v>0</v>
      </c>
      <c r="I324" s="379">
        <f>IF(H324,Wh_hp,'2020'!Maxi_hp)</f>
        <v>24.937601381627896</v>
      </c>
      <c r="J324" s="85">
        <f>IF(H324,An,'2020'!An_max)</f>
        <v>2020</v>
      </c>
      <c r="K324" s="197">
        <f t="shared" si="100"/>
        <v>44506</v>
      </c>
      <c r="L324" s="147">
        <f>IF(t&lt;Tvie,1-EXP((T0-t)*PertePVj)+'2020'!Pspv,1-EXP((T0-t)*PertePVj)+Pspv)</f>
        <v>1.9170468907979354E-2</v>
      </c>
      <c r="M324" s="832"/>
      <c r="N324" s="832"/>
      <c r="O324" s="48">
        <f>IF(t&lt;Tnet,'2020'!Resal+('2020'!Salim-'2020'!Resal)*(1-EXP(('2020'!Tnet-t)/('2020'!Tau_j))),Resal+(Salim-Resal)*(1-EXP((Tnet-t)/(Tau_j))))*Salcycl</f>
        <v>0.10018926048956478</v>
      </c>
      <c r="P324" s="169">
        <f>(INDEX(Models!$BJ324:$BT324,,T324)*(1-R324)+INDEX(Models!$BJ324:$BT324,,T324+1)*R324-ERP_i)*Q324*Ramure*Pc/MaxiM</f>
        <v>3.9880957847221689E-5</v>
      </c>
      <c r="Q324" s="304">
        <f t="shared" si="101"/>
        <v>0.6</v>
      </c>
      <c r="R324" s="177">
        <f t="shared" si="102"/>
        <v>0.9981828760592113</v>
      </c>
      <c r="S324" s="799">
        <f t="shared" si="103"/>
        <v>-1</v>
      </c>
      <c r="T324" s="176">
        <f t="shared" si="104"/>
        <v>5</v>
      </c>
      <c r="U324" s="250">
        <f t="shared" si="105"/>
        <v>-1.8171239407887008E-3</v>
      </c>
      <c r="V324" s="382">
        <f t="shared" si="106"/>
        <v>31.601528309598667</v>
      </c>
      <c r="W324" s="400"/>
      <c r="X324" s="157">
        <f t="shared" si="107"/>
        <v>44506</v>
      </c>
      <c r="Y324" s="383">
        <f t="shared" si="108"/>
        <v>11.46</v>
      </c>
      <c r="Z324" s="383">
        <f t="shared" si="109"/>
        <v>11.683987519463086</v>
      </c>
      <c r="AA324" s="384">
        <f t="shared" si="110"/>
        <v>12.984938950406454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0.10018926048956478</v>
      </c>
      <c r="AD324" s="230">
        <f>(INDEX(Models!$BJ324:$BT324,,AH324)*(1-AF324)+INDEX(Models!$BJ324:$BT324,,AH324+1)*AF324-ERP_i)*AE324*Ramure*Pc/MaxiM</f>
        <v>3.9880957847221689E-5</v>
      </c>
      <c r="AE324" s="304">
        <f t="shared" si="112"/>
        <v>0.6</v>
      </c>
      <c r="AF324" s="177">
        <f t="shared" si="113"/>
        <v>0.9981828760592113</v>
      </c>
      <c r="AG324" s="799">
        <f t="shared" si="119"/>
        <v>-1</v>
      </c>
      <c r="AH324" s="176">
        <f t="shared" si="114"/>
        <v>5</v>
      </c>
      <c r="AI324" s="224">
        <f t="shared" si="115"/>
        <v>-1.8171239407887008E-3</v>
      </c>
      <c r="AJ324" s="264" t="b">
        <f t="shared" si="116"/>
        <v>0</v>
      </c>
      <c r="AK324" s="264" t="b">
        <f t="shared" si="117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18"/>
        <v>44507</v>
      </c>
      <c r="B325" s="607">
        <v>8.4169999999999998</v>
      </c>
      <c r="C325" s="388"/>
      <c r="D325" s="391">
        <f t="shared" si="98"/>
        <v>8.5816760672009256</v>
      </c>
      <c r="E325" s="383">
        <f t="shared" si="120"/>
        <v>9.5377355829873807</v>
      </c>
      <c r="F325" s="383">
        <f t="shared" si="99"/>
        <v>9.5377355829873807</v>
      </c>
      <c r="G325" s="110">
        <f t="shared" si="121"/>
        <v>0.26871053710008841</v>
      </c>
      <c r="H325" s="412" t="b">
        <f>Wh_hp&gt;='2020'!Maxi_hp</f>
        <v>0</v>
      </c>
      <c r="I325" s="379">
        <f>IF(H325,Wh_hp,'2020'!Maxi_hp)</f>
        <v>18.805703441892177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1.918926628217954E-2</v>
      </c>
      <c r="M325" s="832"/>
      <c r="N325" s="832"/>
      <c r="O325" s="48">
        <f>IF(t&lt;Tnet,'2020'!Resal+('2020'!Salim-'2020'!Resal)*(1-EXP(('2020'!Tnet-t)/('2020'!Tau_j))),Resal+(Salim-Resal)*(1-EXP((Tnet-t)/(Tau_j))))*Salcycl</f>
        <v>0.10023967507463659</v>
      </c>
      <c r="P325" s="169">
        <f>(INDEX(Models!$BJ325:$BT325,,T325)*(1-R325)+INDEX(Models!$BJ325:$BT325,,T325+1)*R325-ERP_i)*Q325*Ramure*Pc/MaxiM</f>
        <v>4.1867347454413484E-5</v>
      </c>
      <c r="Q325" s="304">
        <f t="shared" si="101"/>
        <v>0.6</v>
      </c>
      <c r="R325" s="177">
        <f t="shared" si="102"/>
        <v>0.99822687578688241</v>
      </c>
      <c r="S325" s="799">
        <f t="shared" si="103"/>
        <v>-1</v>
      </c>
      <c r="T325" s="176">
        <f t="shared" si="104"/>
        <v>5</v>
      </c>
      <c r="U325" s="250">
        <f t="shared" si="105"/>
        <v>-1.7731242131175939E-3</v>
      </c>
      <c r="V325" s="382">
        <f t="shared" si="106"/>
        <v>31.322357855291216</v>
      </c>
      <c r="W325" s="400"/>
      <c r="X325" s="157">
        <f t="shared" si="107"/>
        <v>44507</v>
      </c>
      <c r="Y325" s="383">
        <f t="shared" si="108"/>
        <v>8.4169999999999998</v>
      </c>
      <c r="Z325" s="383">
        <f t="shared" si="109"/>
        <v>8.5816760672009256</v>
      </c>
      <c r="AA325" s="384">
        <f t="shared" si="110"/>
        <v>9.5377355829873807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0.10023967507463659</v>
      </c>
      <c r="AD325" s="230">
        <f>(INDEX(Models!$BJ325:$BT325,,AH325)*(1-AF325)+INDEX(Models!$BJ325:$BT325,,AH325+1)*AF325-ERP_i)*AE325*Ramure*Pc/MaxiM</f>
        <v>4.1867347454413484E-5</v>
      </c>
      <c r="AE325" s="304">
        <f t="shared" si="112"/>
        <v>0.6</v>
      </c>
      <c r="AF325" s="177">
        <f t="shared" si="113"/>
        <v>0.99822687578688241</v>
      </c>
      <c r="AG325" s="799">
        <f t="shared" si="119"/>
        <v>-1</v>
      </c>
      <c r="AH325" s="176">
        <f t="shared" si="114"/>
        <v>5</v>
      </c>
      <c r="AI325" s="224">
        <f t="shared" si="115"/>
        <v>-1.7731242131175939E-3</v>
      </c>
      <c r="AJ325" s="264" t="b">
        <f t="shared" si="116"/>
        <v>0</v>
      </c>
      <c r="AK325" s="264" t="b">
        <f t="shared" si="117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18"/>
        <v>44508</v>
      </c>
      <c r="B326" s="607">
        <v>25.219000000000001</v>
      </c>
      <c r="C326" s="388"/>
      <c r="D326" s="391">
        <f t="shared" si="98"/>
        <v>25.712894913016012</v>
      </c>
      <c r="E326" s="383">
        <f t="shared" si="120"/>
        <v>28.579099336743631</v>
      </c>
      <c r="F326" s="383">
        <f t="shared" si="99"/>
        <v>28.580031803596686</v>
      </c>
      <c r="G326" s="110">
        <f t="shared" si="121"/>
        <v>0.81229468045719444</v>
      </c>
      <c r="H326" s="412" t="b">
        <f>Wh_hp&gt;='2020'!Maxi_hp</f>
        <v>1</v>
      </c>
      <c r="I326" s="379">
        <f>IF(H326,Wh_hp,'2020'!Maxi_hp)</f>
        <v>28.580031803596686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1.9208063296132338E-2</v>
      </c>
      <c r="M326" s="832"/>
      <c r="N326" s="832"/>
      <c r="O326" s="48">
        <f>IF(t&lt;Tnet,'2020'!Resal+('2020'!Salim-'2020'!Resal)*(1-EXP(('2020'!Tnet-t)/('2020'!Tau_j))),Resal+(Salim-Resal)*(1-EXP((Tnet-t)/(Tau_j))))*Salcycl</f>
        <v>0.10029022923205257</v>
      </c>
      <c r="P326" s="169">
        <f>(INDEX(Models!$BJ326:$BT326,,T326)*(1-R326)+INDEX(Models!$BJ326:$BT326,,T326+1)*R326-ERP_i)*Q326*Ramure*Pc/MaxiM</f>
        <v>4.4580060847303762E-5</v>
      </c>
      <c r="Q326" s="304">
        <f t="shared" si="101"/>
        <v>0.6</v>
      </c>
      <c r="R326" s="177">
        <f t="shared" si="102"/>
        <v>0.99826911124424844</v>
      </c>
      <c r="S326" s="799">
        <f t="shared" si="103"/>
        <v>-1</v>
      </c>
      <c r="T326" s="176">
        <f t="shared" si="104"/>
        <v>5</v>
      </c>
      <c r="U326" s="250">
        <f t="shared" si="105"/>
        <v>-1.7308887557515584E-3</v>
      </c>
      <c r="V326" s="382">
        <f t="shared" si="106"/>
        <v>31.046243611385052</v>
      </c>
      <c r="W326" s="400"/>
      <c r="X326" s="157">
        <f t="shared" si="107"/>
        <v>44508</v>
      </c>
      <c r="Y326" s="383">
        <f t="shared" si="108"/>
        <v>25.219000000000001</v>
      </c>
      <c r="Z326" s="383">
        <f t="shared" si="109"/>
        <v>25.712894913016012</v>
      </c>
      <c r="AA326" s="384">
        <f t="shared" si="110"/>
        <v>28.579099336743631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0.10029022923205257</v>
      </c>
      <c r="AD326" s="230">
        <f>(INDEX(Models!$BJ326:$BT326,,AH326)*(1-AF326)+INDEX(Models!$BJ326:$BT326,,AH326+1)*AF326-ERP_i)*AE326*Ramure*Pc/MaxiM</f>
        <v>4.4580060847303762E-5</v>
      </c>
      <c r="AE326" s="304">
        <f t="shared" si="112"/>
        <v>0.6</v>
      </c>
      <c r="AF326" s="177">
        <f t="shared" si="113"/>
        <v>0.99826911124424844</v>
      </c>
      <c r="AG326" s="799">
        <f t="shared" si="119"/>
        <v>-1</v>
      </c>
      <c r="AH326" s="176">
        <f t="shared" si="114"/>
        <v>5</v>
      </c>
      <c r="AI326" s="224">
        <f t="shared" si="115"/>
        <v>-1.7308887557515584E-3</v>
      </c>
      <c r="AJ326" s="264" t="b">
        <f t="shared" si="116"/>
        <v>0</v>
      </c>
      <c r="AK326" s="264" t="b">
        <f t="shared" si="117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18"/>
        <v>44509</v>
      </c>
      <c r="B327" s="607">
        <v>16.626999999999999</v>
      </c>
      <c r="C327" s="388"/>
      <c r="D327" s="391">
        <f t="shared" si="98"/>
        <v>16.952952034503841</v>
      </c>
      <c r="E327" s="383">
        <f t="shared" si="120"/>
        <v>18.843753637560667</v>
      </c>
      <c r="F327" s="383">
        <f t="shared" si="99"/>
        <v>18.844064259702659</v>
      </c>
      <c r="G327" s="110">
        <f t="shared" si="121"/>
        <v>0.5402877406141956</v>
      </c>
      <c r="H327" s="412" t="b">
        <f>Wh_hp&gt;='2020'!Maxi_hp</f>
        <v>0</v>
      </c>
      <c r="I327" s="379">
        <f>IF(H327,Wh_hp,'2020'!Maxi_hp)</f>
        <v>26.22479613054475</v>
      </c>
      <c r="J327" s="85">
        <f>IF(H327,An,'2020'!An_max)</f>
        <v>2020</v>
      </c>
      <c r="K327" s="197">
        <f t="shared" si="100"/>
        <v>44509</v>
      </c>
      <c r="L327" s="147">
        <f>IF(t&lt;Tvie,1-EXP((T0-t)*PertePVj)+'2020'!Pspv,1-EXP((T0-t)*PertePVj)+Pspv)</f>
        <v>1.9226859949844743E-2</v>
      </c>
      <c r="M327" s="832"/>
      <c r="N327" s="832"/>
      <c r="O327" s="48">
        <f>IF(t&lt;Tnet,'2020'!Resal+('2020'!Salim-'2020'!Resal)*(1-EXP(('2020'!Tnet-t)/('2020'!Tau_j))),Resal+(Salim-Resal)*(1-EXP((Tnet-t)/(Tau_j))))*Salcycl</f>
        <v>0.100341027558753</v>
      </c>
      <c r="P327" s="169">
        <f>(INDEX(Models!$BJ327:$BT327,,T327)*(1-R327)+INDEX(Models!$BJ327:$BT327,,T327+1)*R327-ERP_i)*Q327*Ramure*Pc/MaxiM</f>
        <v>4.8016827995529205E-5</v>
      </c>
      <c r="Q327" s="304">
        <f t="shared" si="101"/>
        <v>0.6</v>
      </c>
      <c r="R327" s="177">
        <f t="shared" si="102"/>
        <v>0.998309652892718</v>
      </c>
      <c r="S327" s="799">
        <f t="shared" si="103"/>
        <v>-1</v>
      </c>
      <c r="T327" s="176">
        <f t="shared" si="104"/>
        <v>5</v>
      </c>
      <c r="U327" s="250">
        <f t="shared" si="105"/>
        <v>-1.6903471072820531E-3</v>
      </c>
      <c r="V327" s="382">
        <f t="shared" si="106"/>
        <v>30.773372116705389</v>
      </c>
      <c r="W327" s="400"/>
      <c r="X327" s="157">
        <f t="shared" si="107"/>
        <v>44509</v>
      </c>
      <c r="Y327" s="383">
        <f t="shared" si="108"/>
        <v>16.626999999999999</v>
      </c>
      <c r="Z327" s="383">
        <f t="shared" si="109"/>
        <v>16.952952034503841</v>
      </c>
      <c r="AA327" s="384">
        <f t="shared" si="110"/>
        <v>18.843753637560667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0.100341027558753</v>
      </c>
      <c r="AD327" s="230">
        <f>(INDEX(Models!$BJ327:$BT327,,AH327)*(1-AF327)+INDEX(Models!$BJ327:$BT327,,AH327+1)*AF327-ERP_i)*AE327*Ramure*Pc/MaxiM</f>
        <v>4.8016827995529205E-5</v>
      </c>
      <c r="AE327" s="304">
        <f t="shared" si="112"/>
        <v>0.6</v>
      </c>
      <c r="AF327" s="177">
        <f t="shared" si="113"/>
        <v>0.998309652892718</v>
      </c>
      <c r="AG327" s="799">
        <f t="shared" si="119"/>
        <v>-1</v>
      </c>
      <c r="AH327" s="176">
        <f t="shared" si="114"/>
        <v>5</v>
      </c>
      <c r="AI327" s="224">
        <f t="shared" si="115"/>
        <v>-1.6903471072820531E-3</v>
      </c>
      <c r="AJ327" s="264" t="b">
        <f t="shared" si="116"/>
        <v>0</v>
      </c>
      <c r="AK327" s="264" t="b">
        <f t="shared" si="117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18"/>
        <v>44510</v>
      </c>
      <c r="B328" s="607">
        <v>5.8120000000000003</v>
      </c>
      <c r="C328" s="388"/>
      <c r="D328" s="391">
        <f t="shared" si="98"/>
        <v>5.9260507353327077</v>
      </c>
      <c r="E328" s="383">
        <f t="shared" si="120"/>
        <v>6.5873712498464227</v>
      </c>
      <c r="F328" s="383">
        <f t="shared" si="99"/>
        <v>6.5873712498464227</v>
      </c>
      <c r="G328" s="110">
        <f t="shared" si="121"/>
        <v>0.19052288523710514</v>
      </c>
      <c r="H328" s="412" t="b">
        <f>Wh_hp&gt;='2020'!Maxi_hp</f>
        <v>0</v>
      </c>
      <c r="I328" s="379">
        <f>IF(H328,Wh_hp,'2020'!Maxi_hp)</f>
        <v>21.547122044732756</v>
      </c>
      <c r="J328" s="85">
        <f>IF(H328,An,'2020'!An_max)</f>
        <v>2018</v>
      </c>
      <c r="K328" s="197">
        <f t="shared" si="100"/>
        <v>44510</v>
      </c>
      <c r="L328" s="147">
        <f>IF(t&lt;Tvie,1-EXP((T0-t)*PertePVj)+'2020'!Pspv,1-EXP((T0-t)*PertePVj)+Pspv)</f>
        <v>1.9245656243323417E-2</v>
      </c>
      <c r="M328" s="832"/>
      <c r="N328" s="832"/>
      <c r="O328" s="48">
        <f>IF(t&lt;Tnet,'2020'!Resal+('2020'!Salim-'2020'!Resal)*(1-EXP(('2020'!Tnet-t)/('2020'!Tau_j))),Resal+(Salim-Resal)*(1-EXP((Tnet-t)/(Tau_j))))*Salcycl</f>
        <v>0.1003921730582792</v>
      </c>
      <c r="P328" s="169">
        <f>(INDEX(Models!$BJ328:$BT328,,T328)*(1-R328)+INDEX(Models!$BJ328:$BT328,,T328+1)*R328-ERP_i)*Q328*Ramure*Pc/MaxiM</f>
        <v>5.2175306095302555E-5</v>
      </c>
      <c r="Q328" s="304">
        <f t="shared" si="101"/>
        <v>0.6</v>
      </c>
      <c r="R328" s="177">
        <f t="shared" si="102"/>
        <v>0.99834856840175312</v>
      </c>
      <c r="S328" s="799">
        <f t="shared" si="103"/>
        <v>-1</v>
      </c>
      <c r="T328" s="176">
        <f t="shared" si="104"/>
        <v>5</v>
      </c>
      <c r="U328" s="250">
        <f t="shared" si="105"/>
        <v>-1.6514315982468775E-3</v>
      </c>
      <c r="V328" s="382">
        <f t="shared" si="106"/>
        <v>30.503930012860849</v>
      </c>
      <c r="W328" s="400"/>
      <c r="X328" s="157">
        <f t="shared" si="107"/>
        <v>44510</v>
      </c>
      <c r="Y328" s="383">
        <f t="shared" si="108"/>
        <v>5.8120000000000003</v>
      </c>
      <c r="Z328" s="383">
        <f t="shared" si="109"/>
        <v>5.9260507353327077</v>
      </c>
      <c r="AA328" s="384">
        <f t="shared" si="110"/>
        <v>6.5873712498464227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0.1003921730582792</v>
      </c>
      <c r="AD328" s="230">
        <f>(INDEX(Models!$BJ328:$BT328,,AH328)*(1-AF328)+INDEX(Models!$BJ328:$BT328,,AH328+1)*AF328-ERP_i)*AE328*Ramure*Pc/MaxiM</f>
        <v>5.2175306095302555E-5</v>
      </c>
      <c r="AE328" s="304">
        <f t="shared" si="112"/>
        <v>0.6</v>
      </c>
      <c r="AF328" s="177">
        <f t="shared" si="113"/>
        <v>0.99834856840175312</v>
      </c>
      <c r="AG328" s="799">
        <f t="shared" si="119"/>
        <v>-1</v>
      </c>
      <c r="AH328" s="176">
        <f t="shared" si="114"/>
        <v>5</v>
      </c>
      <c r="AI328" s="224">
        <f t="shared" si="115"/>
        <v>-1.6514315982468775E-3</v>
      </c>
      <c r="AJ328" s="264" t="b">
        <f t="shared" si="116"/>
        <v>0</v>
      </c>
      <c r="AK328" s="264" t="b">
        <f t="shared" si="117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18"/>
        <v>44511</v>
      </c>
      <c r="B329" s="607">
        <v>9.4429999999999996</v>
      </c>
      <c r="C329" s="388"/>
      <c r="D329" s="391">
        <f t="shared" si="98"/>
        <v>9.6284875377028296</v>
      </c>
      <c r="E329" s="383">
        <f t="shared" si="120"/>
        <v>10.703597152568712</v>
      </c>
      <c r="F329" s="383">
        <f t="shared" si="99"/>
        <v>10.703607872606405</v>
      </c>
      <c r="G329" s="110">
        <f t="shared" si="121"/>
        <v>0.31227059372366428</v>
      </c>
      <c r="H329" s="412" t="b">
        <f>Wh_hp&gt;='2020'!Maxi_hp</f>
        <v>0</v>
      </c>
      <c r="I329" s="379">
        <f>IF(H329,Wh_hp,'2020'!Maxi_hp)</f>
        <v>25.947841009342365</v>
      </c>
      <c r="J329" s="85">
        <f>IF(H329,An,'2020'!An_max)</f>
        <v>2018</v>
      </c>
      <c r="K329" s="197">
        <f t="shared" si="100"/>
        <v>44511</v>
      </c>
      <c r="L329" s="147">
        <f>IF(t&lt;Tvie,1-EXP((T0-t)*PertePVj)+'2020'!Pspv,1-EXP((T0-t)*PertePVj)+Pspv)</f>
        <v>1.9264452176575575E-2</v>
      </c>
      <c r="M329" s="832"/>
      <c r="N329" s="832"/>
      <c r="O329" s="48">
        <f>IF(t&lt;Tnet,'2020'!Resal+('2020'!Salim-'2020'!Resal)*(1-EXP(('2020'!Tnet-t)/('2020'!Tau_j))),Resal+(Salim-Resal)*(1-EXP((Tnet-t)/(Tau_j))))*Salcycl</f>
        <v>0.10044376666473022</v>
      </c>
      <c r="P329" s="169">
        <f>(INDEX(Models!$BJ329:$BT329,,T329)*(1-R329)+INDEX(Models!$BJ329:$BT329,,T329+1)*R329-ERP_i)*Q329*Ramure*Pc/MaxiM</f>
        <v>5.7053132748239048E-5</v>
      </c>
      <c r="Q329" s="304">
        <f t="shared" si="101"/>
        <v>0.6</v>
      </c>
      <c r="R329" s="177">
        <f t="shared" si="102"/>
        <v>0.99838592275775029</v>
      </c>
      <c r="S329" s="799">
        <f t="shared" si="103"/>
        <v>-1</v>
      </c>
      <c r="T329" s="176">
        <f t="shared" si="104"/>
        <v>5</v>
      </c>
      <c r="U329" s="250">
        <f t="shared" si="105"/>
        <v>-1.6140772422497673E-3</v>
      </c>
      <c r="V329" s="382">
        <f t="shared" si="106"/>
        <v>30.238104048273051</v>
      </c>
      <c r="W329" s="400"/>
      <c r="X329" s="157">
        <f t="shared" si="107"/>
        <v>44511</v>
      </c>
      <c r="Y329" s="383">
        <f t="shared" si="108"/>
        <v>9.4429999999999996</v>
      </c>
      <c r="Z329" s="383">
        <f t="shared" si="109"/>
        <v>9.6284875377028296</v>
      </c>
      <c r="AA329" s="384">
        <f t="shared" si="110"/>
        <v>10.703597152568712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0.10044376666473022</v>
      </c>
      <c r="AD329" s="230">
        <f>(INDEX(Models!$BJ329:$BT329,,AH329)*(1-AF329)+INDEX(Models!$BJ329:$BT329,,AH329+1)*AF329-ERP_i)*AE329*Ramure*Pc/MaxiM</f>
        <v>5.7053132748239048E-5</v>
      </c>
      <c r="AE329" s="304">
        <f t="shared" si="112"/>
        <v>0.6</v>
      </c>
      <c r="AF329" s="177">
        <f t="shared" si="113"/>
        <v>0.99838592275775029</v>
      </c>
      <c r="AG329" s="799">
        <f t="shared" si="119"/>
        <v>-1</v>
      </c>
      <c r="AH329" s="176">
        <f t="shared" si="114"/>
        <v>5</v>
      </c>
      <c r="AI329" s="224">
        <f t="shared" si="115"/>
        <v>-1.6140772422497673E-3</v>
      </c>
      <c r="AJ329" s="264" t="b">
        <f t="shared" si="116"/>
        <v>0</v>
      </c>
      <c r="AK329" s="264" t="b">
        <f t="shared" si="117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18"/>
        <v>44512</v>
      </c>
      <c r="B330" s="607">
        <v>6.5629999999999997</v>
      </c>
      <c r="C330" s="388"/>
      <c r="D330" s="391">
        <f t="shared" si="98"/>
        <v>6.692044349135748</v>
      </c>
      <c r="E330" s="383">
        <f t="shared" si="120"/>
        <v>7.4397041653854963</v>
      </c>
      <c r="F330" s="383">
        <f t="shared" si="99"/>
        <v>7.4397041653854963</v>
      </c>
      <c r="G330" s="110">
        <f t="shared" si="121"/>
        <v>0.2189275116722374</v>
      </c>
      <c r="H330" s="412" t="b">
        <f>Wh_hp&gt;='2020'!Maxi_hp</f>
        <v>0</v>
      </c>
      <c r="I330" s="379">
        <f>IF(H330,Wh_hp,'2020'!Maxi_hp)</f>
        <v>25.393548092988073</v>
      </c>
      <c r="J330" s="85">
        <f>IF(H330,An,'2020'!An_max)</f>
        <v>2020</v>
      </c>
      <c r="K330" s="197">
        <f t="shared" si="100"/>
        <v>44512</v>
      </c>
      <c r="L330" s="147">
        <f>IF(t&lt;Tvie,1-EXP((T0-t)*PertePVj)+'2020'!Pspv,1-EXP((T0-t)*PertePVj)+Pspv)</f>
        <v>1.9283247749607879E-2</v>
      </c>
      <c r="M330" s="832"/>
      <c r="N330" s="832"/>
      <c r="O330" s="48">
        <f>IF(t&lt;Tnet,'2020'!Resal+('2020'!Salim-'2020'!Resal)*(1-EXP(('2020'!Tnet-t)/('2020'!Tau_j))),Resal+(Salim-Resal)*(1-EXP((Tnet-t)/(Tau_j))))*Salcycl</f>
        <v>0.10049590677655766</v>
      </c>
      <c r="P330" s="169">
        <f>(INDEX(Models!$BJ330:$BT330,,T330)*(1-R330)+INDEX(Models!$BJ330:$BT330,,T330+1)*R330-ERP_i)*Q330*Ramure*Pc/MaxiM</f>
        <v>6.2647977060173896E-5</v>
      </c>
      <c r="Q330" s="304">
        <f t="shared" si="101"/>
        <v>0.6</v>
      </c>
      <c r="R330" s="177">
        <f t="shared" si="102"/>
        <v>0.99842177836881341</v>
      </c>
      <c r="S330" s="799">
        <f t="shared" si="103"/>
        <v>-1</v>
      </c>
      <c r="T330" s="176">
        <f t="shared" si="104"/>
        <v>5</v>
      </c>
      <c r="U330" s="250">
        <f t="shared" si="105"/>
        <v>-1.5782216311865382E-3</v>
      </c>
      <c r="V330" s="382">
        <f t="shared" si="106"/>
        <v>29.976081083640111</v>
      </c>
      <c r="W330" s="400"/>
      <c r="X330" s="157">
        <f t="shared" si="107"/>
        <v>44512</v>
      </c>
      <c r="Y330" s="383">
        <f t="shared" si="108"/>
        <v>6.5629999999999997</v>
      </c>
      <c r="Z330" s="383">
        <f t="shared" si="109"/>
        <v>6.692044349135748</v>
      </c>
      <c r="AA330" s="384">
        <f t="shared" si="110"/>
        <v>7.4397041653854963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0.10049590677655766</v>
      </c>
      <c r="AD330" s="230">
        <f>(INDEX(Models!$BJ330:$BT330,,AH330)*(1-AF330)+INDEX(Models!$BJ330:$BT330,,AH330+1)*AF330-ERP_i)*AE330*Ramure*Pc/MaxiM</f>
        <v>6.2647977060173896E-5</v>
      </c>
      <c r="AE330" s="304">
        <f t="shared" si="112"/>
        <v>0.6</v>
      </c>
      <c r="AF330" s="177">
        <f t="shared" si="113"/>
        <v>0.99842177836881341</v>
      </c>
      <c r="AG330" s="799">
        <f t="shared" si="119"/>
        <v>-1</v>
      </c>
      <c r="AH330" s="176">
        <f t="shared" si="114"/>
        <v>5</v>
      </c>
      <c r="AI330" s="224">
        <f t="shared" si="115"/>
        <v>-1.5782216311865382E-3</v>
      </c>
      <c r="AJ330" s="264" t="b">
        <f t="shared" si="116"/>
        <v>0</v>
      </c>
      <c r="AK330" s="264" t="b">
        <f t="shared" si="117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18"/>
        <v>44513</v>
      </c>
      <c r="B331" s="607">
        <v>4.9370000000000003</v>
      </c>
      <c r="C331" s="388"/>
      <c r="D331" s="391">
        <f t="shared" si="98"/>
        <v>5.0341697610071119</v>
      </c>
      <c r="E331" s="383">
        <f t="shared" si="120"/>
        <v>5.5969341512333184</v>
      </c>
      <c r="F331" s="383">
        <f t="shared" si="99"/>
        <v>5.5969341512333184</v>
      </c>
      <c r="G331" s="110">
        <f t="shared" si="121"/>
        <v>0.16612955692305367</v>
      </c>
      <c r="H331" s="412" t="b">
        <f>Wh_hp&gt;='2020'!Maxi_hp</f>
        <v>0</v>
      </c>
      <c r="I331" s="379">
        <f>IF(H331,Wh_hp,'2020'!Maxi_hp)</f>
        <v>30.590231162794389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1.9302042962427324E-2</v>
      </c>
      <c r="M331" s="832"/>
      <c r="N331" s="832"/>
      <c r="O331" s="48">
        <f>IF(t&lt;Tnet,'2020'!Resal+('2020'!Salim-'2020'!Resal)*(1-EXP(('2020'!Tnet-t)/('2020'!Tau_j))),Resal+(Salim-Resal)*(1-EXP((Tnet-t)/(Tau_j))))*Salcycl</f>
        <v>0.10054868880352959</v>
      </c>
      <c r="P331" s="169">
        <f>(INDEX(Models!$BJ331:$BT331,,T331)*(1-R331)+INDEX(Models!$BJ331:$BT331,,T331+1)*R331-ERP_i)*Q331*Ramure*Pc/MaxiM</f>
        <v>6.8962987665686115E-5</v>
      </c>
      <c r="Q331" s="304">
        <f t="shared" si="101"/>
        <v>0.6</v>
      </c>
      <c r="R331" s="177">
        <f t="shared" si="102"/>
        <v>0.99845619516556416</v>
      </c>
      <c r="S331" s="799">
        <f t="shared" si="103"/>
        <v>-1</v>
      </c>
      <c r="T331" s="176">
        <f t="shared" si="104"/>
        <v>5</v>
      </c>
      <c r="U331" s="250">
        <f t="shared" si="105"/>
        <v>-1.5438048344358357E-3</v>
      </c>
      <c r="V331" s="382">
        <f t="shared" si="106"/>
        <v>29.715720797452136</v>
      </c>
      <c r="W331" s="400"/>
      <c r="X331" s="157">
        <f t="shared" si="107"/>
        <v>44513</v>
      </c>
      <c r="Y331" s="383">
        <f t="shared" si="108"/>
        <v>4.9370000000000003</v>
      </c>
      <c r="Z331" s="383">
        <f t="shared" si="109"/>
        <v>5.0341697610071119</v>
      </c>
      <c r="AA331" s="384">
        <f t="shared" si="110"/>
        <v>5.5969341512333184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0.10054868880352959</v>
      </c>
      <c r="AD331" s="230">
        <f>(INDEX(Models!$BJ331:$BT331,,AH331)*(1-AF331)+INDEX(Models!$BJ331:$BT331,,AH331+1)*AF331-ERP_i)*AE331*Ramure*Pc/MaxiM</f>
        <v>6.8962987665686115E-5</v>
      </c>
      <c r="AE331" s="304">
        <f t="shared" si="112"/>
        <v>0.6</v>
      </c>
      <c r="AF331" s="177">
        <f t="shared" si="113"/>
        <v>0.99845619516556416</v>
      </c>
      <c r="AG331" s="799">
        <f t="shared" si="119"/>
        <v>-1</v>
      </c>
      <c r="AH331" s="176">
        <f t="shared" si="114"/>
        <v>5</v>
      </c>
      <c r="AI331" s="224">
        <f t="shared" si="115"/>
        <v>-1.5438048344358357E-3</v>
      </c>
      <c r="AJ331" s="264" t="b">
        <f t="shared" si="116"/>
        <v>0</v>
      </c>
      <c r="AK331" s="264" t="b">
        <f t="shared" si="117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18"/>
        <v>44514</v>
      </c>
      <c r="B332" s="607">
        <v>5.8609999999999998</v>
      </c>
      <c r="C332" s="388"/>
      <c r="D332" s="391">
        <f t="shared" si="98"/>
        <v>5.9764704156063191</v>
      </c>
      <c r="E332" s="383">
        <f t="shared" si="120"/>
        <v>6.6449689414825492</v>
      </c>
      <c r="F332" s="383">
        <f t="shared" si="99"/>
        <v>6.6449689414825492</v>
      </c>
      <c r="G332" s="110">
        <f t="shared" si="121"/>
        <v>0.19896416539460732</v>
      </c>
      <c r="H332" s="412" t="b">
        <f>Wh_hp&gt;='2020'!Maxi_hp</f>
        <v>0</v>
      </c>
      <c r="I332" s="379">
        <f>IF(H332,Wh_hp,'2020'!Maxi_hp)</f>
        <v>19.58493615154913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1.9320837815040792E-2</v>
      </c>
      <c r="M332" s="832"/>
      <c r="N332" s="832"/>
      <c r="O332" s="48">
        <f>IF(t&lt;Tnet,'2020'!Resal+('2020'!Salim-'2020'!Resal)*(1-EXP(('2020'!Tnet-t)/('2020'!Tau_j))),Resal+(Salim-Resal)*(1-EXP((Tnet-t)/(Tau_j))))*Salcycl</f>
        <v>0.10060220473010706</v>
      </c>
      <c r="P332" s="169">
        <f>(INDEX(Models!$BJ332:$BT332,,T332)*(1-R332)+INDEX(Models!$BJ332:$BT332,,T332+1)*R332-ERP_i)*Q332*Ramure*Pc/MaxiM</f>
        <v>7.6445265212694244E-5</v>
      </c>
      <c r="Q332" s="304">
        <f t="shared" si="101"/>
        <v>0.6</v>
      </c>
      <c r="R332" s="177">
        <f t="shared" si="102"/>
        <v>0.9984892306981259</v>
      </c>
      <c r="S332" s="799">
        <f t="shared" si="103"/>
        <v>-1</v>
      </c>
      <c r="T332" s="176">
        <f t="shared" si="104"/>
        <v>5</v>
      </c>
      <c r="U332" s="250">
        <f t="shared" si="105"/>
        <v>-1.5107693018741597E-3</v>
      </c>
      <c r="V332" s="382">
        <f t="shared" si="106"/>
        <v>29.455313938956326</v>
      </c>
      <c r="W332" s="400"/>
      <c r="X332" s="157">
        <f t="shared" si="107"/>
        <v>44514</v>
      </c>
      <c r="Y332" s="383">
        <f t="shared" si="108"/>
        <v>5.8609999999999998</v>
      </c>
      <c r="Z332" s="383">
        <f t="shared" si="109"/>
        <v>5.9764704156063191</v>
      </c>
      <c r="AA332" s="384">
        <f t="shared" si="110"/>
        <v>6.6449689414825492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0.10060220473010706</v>
      </c>
      <c r="AD332" s="230">
        <f>(INDEX(Models!$BJ332:$BT332,,AH332)*(1-AF332)+INDEX(Models!$BJ332:$BT332,,AH332+1)*AF332-ERP_i)*AE332*Ramure*Pc/MaxiM</f>
        <v>7.6445265212694244E-5</v>
      </c>
      <c r="AE332" s="304">
        <f t="shared" si="112"/>
        <v>0.6</v>
      </c>
      <c r="AF332" s="177">
        <f t="shared" si="113"/>
        <v>0.9984892306981259</v>
      </c>
      <c r="AG332" s="799">
        <f t="shared" si="119"/>
        <v>-1</v>
      </c>
      <c r="AH332" s="176">
        <f t="shared" si="114"/>
        <v>5</v>
      </c>
      <c r="AI332" s="224">
        <f t="shared" si="115"/>
        <v>-1.5107693018741597E-3</v>
      </c>
      <c r="AJ332" s="264" t="b">
        <f t="shared" si="116"/>
        <v>0</v>
      </c>
      <c r="AK332" s="264" t="b">
        <f t="shared" si="117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18"/>
        <v>44515</v>
      </c>
      <c r="B333" s="607">
        <v>4.3090000000000002</v>
      </c>
      <c r="C333" s="388"/>
      <c r="D333" s="391">
        <f t="shared" si="98"/>
        <v>4.3939779172874163</v>
      </c>
      <c r="E333" s="383">
        <f t="shared" si="120"/>
        <v>4.8857618094770814</v>
      </c>
      <c r="F333" s="383">
        <f t="shared" si="99"/>
        <v>4.8857618094770814</v>
      </c>
      <c r="G333" s="110">
        <f t="shared" si="121"/>
        <v>0.14757759782350036</v>
      </c>
      <c r="H333" s="412" t="b">
        <f>Wh_hp&gt;='2020'!Maxi_hp</f>
        <v>0</v>
      </c>
      <c r="I333" s="379">
        <f>IF(H333,Wh_hp,'2020'!Maxi_hp)</f>
        <v>27.924813714733766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1.9339632307455168E-2</v>
      </c>
      <c r="M333" s="832"/>
      <c r="N333" s="832"/>
      <c r="O333" s="48">
        <f>IF(t&lt;Tnet,'2020'!Resal+('2020'!Salim-'2020'!Resal)*(1-EXP(('2020'!Tnet-t)/('2020'!Tau_j))),Resal+(Salim-Resal)*(1-EXP((Tnet-t)/(Tau_j))))*Salcycl</f>
        <v>0.10065654269836391</v>
      </c>
      <c r="P333" s="169">
        <f>(INDEX(Models!$BJ333:$BT333,,T333)*(1-R333)+INDEX(Models!$BJ333:$BT333,,T333+1)*R333-ERP_i)*Q333*Ramure*Pc/MaxiM</f>
        <v>8.4949080174664382E-5</v>
      </c>
      <c r="Q333" s="304">
        <f t="shared" si="101"/>
        <v>0.6</v>
      </c>
      <c r="R333" s="177">
        <f t="shared" si="102"/>
        <v>0.99852094022942095</v>
      </c>
      <c r="S333" s="799">
        <f t="shared" si="103"/>
        <v>-1</v>
      </c>
      <c r="T333" s="176">
        <f t="shared" si="104"/>
        <v>5</v>
      </c>
      <c r="U333" s="250">
        <f t="shared" si="105"/>
        <v>-1.4790597705790498E-3</v>
      </c>
      <c r="V333" s="382">
        <f t="shared" si="106"/>
        <v>29.195718171036781</v>
      </c>
      <c r="W333" s="400"/>
      <c r="X333" s="157">
        <f t="shared" si="107"/>
        <v>44515</v>
      </c>
      <c r="Y333" s="383">
        <f t="shared" si="108"/>
        <v>4.3090000000000002</v>
      </c>
      <c r="Z333" s="383">
        <f t="shared" si="109"/>
        <v>4.3939779172874163</v>
      </c>
      <c r="AA333" s="384">
        <f t="shared" si="110"/>
        <v>4.8857618094770814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0.10065654269836391</v>
      </c>
      <c r="AD333" s="230">
        <f>(INDEX(Models!$BJ333:$BT333,,AH333)*(1-AF333)+INDEX(Models!$BJ333:$BT333,,AH333+1)*AF333-ERP_i)*AE333*Ramure*Pc/MaxiM</f>
        <v>8.4949080174664382E-5</v>
      </c>
      <c r="AE333" s="304">
        <f t="shared" si="112"/>
        <v>0.6</v>
      </c>
      <c r="AF333" s="177">
        <f t="shared" si="113"/>
        <v>0.99852094022942095</v>
      </c>
      <c r="AG333" s="799">
        <f t="shared" si="119"/>
        <v>-1</v>
      </c>
      <c r="AH333" s="176">
        <f t="shared" si="114"/>
        <v>5</v>
      </c>
      <c r="AI333" s="224">
        <f t="shared" si="115"/>
        <v>-1.4790597705790498E-3</v>
      </c>
      <c r="AJ333" s="264" t="b">
        <f t="shared" si="116"/>
        <v>0</v>
      </c>
      <c r="AK333" s="264" t="b">
        <f t="shared" si="117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18"/>
        <v>44516</v>
      </c>
      <c r="B334" s="607">
        <v>8.9730000000000008</v>
      </c>
      <c r="C334" s="388"/>
      <c r="D334" s="391">
        <f t="shared" si="98"/>
        <v>9.150132160339254</v>
      </c>
      <c r="E334" s="383">
        <f t="shared" si="120"/>
        <v>10.174860544298108</v>
      </c>
      <c r="F334" s="383">
        <f t="shared" si="99"/>
        <v>10.174874385089787</v>
      </c>
      <c r="G334" s="110">
        <f t="shared" si="121"/>
        <v>0.31005012836340617</v>
      </c>
      <c r="H334" s="412" t="b">
        <f>Wh_hp&gt;='2020'!Maxi_hp</f>
        <v>0</v>
      </c>
      <c r="I334" s="379">
        <f>IF(H334,Wh_hp,'2020'!Maxi_hp)</f>
        <v>23.286838718633803</v>
      </c>
      <c r="J334" s="85">
        <f>IF(H334,An,'2020'!An_max)</f>
        <v>2020</v>
      </c>
      <c r="K334" s="197">
        <f t="shared" si="100"/>
        <v>44516</v>
      </c>
      <c r="L334" s="147">
        <f>IF(t&lt;Tvie,1-EXP((T0-t)*PertePVj)+'2020'!Pspv,1-EXP((T0-t)*PertePVj)+Pspv)</f>
        <v>1.9358426439677334E-2</v>
      </c>
      <c r="M334" s="832"/>
      <c r="N334" s="832"/>
      <c r="O334" s="48">
        <f>IF(t&lt;Tnet,'2020'!Resal+('2020'!Salim-'2020'!Resal)*(1-EXP(('2020'!Tnet-t)/('2020'!Tau_j))),Resal+(Salim-Resal)*(1-EXP((Tnet-t)/(Tau_j))))*Salcycl</f>
        <v>0.10071178661343932</v>
      </c>
      <c r="P334" s="169">
        <f>(INDEX(Models!$BJ334:$BT334,,T334)*(1-R334)+INDEX(Models!$BJ334:$BT334,,T334+1)*R334-ERP_i)*Q334*Ramure*Pc/MaxiM</f>
        <v>9.4474026777766789E-5</v>
      </c>
      <c r="Q334" s="304">
        <f t="shared" si="101"/>
        <v>0.6</v>
      </c>
      <c r="R334" s="177">
        <f t="shared" si="102"/>
        <v>0.99855137682491057</v>
      </c>
      <c r="S334" s="799">
        <f t="shared" si="103"/>
        <v>-1</v>
      </c>
      <c r="T334" s="176">
        <f t="shared" si="104"/>
        <v>5</v>
      </c>
      <c r="U334" s="250">
        <f t="shared" si="105"/>
        <v>-1.4486231750894807E-3</v>
      </c>
      <c r="V334" s="382">
        <f t="shared" si="106"/>
        <v>28.937786727175915</v>
      </c>
      <c r="W334" s="400"/>
      <c r="X334" s="157">
        <f t="shared" si="107"/>
        <v>44516</v>
      </c>
      <c r="Y334" s="383">
        <f t="shared" si="108"/>
        <v>8.9730000000000008</v>
      </c>
      <c r="Z334" s="383">
        <f t="shared" si="109"/>
        <v>9.150132160339254</v>
      </c>
      <c r="AA334" s="384">
        <f t="shared" si="110"/>
        <v>10.174860544298108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0.10071178661343932</v>
      </c>
      <c r="AD334" s="230">
        <f>(INDEX(Models!$BJ334:$BT334,,AH334)*(1-AF334)+INDEX(Models!$BJ334:$BT334,,AH334+1)*AF334-ERP_i)*AE334*Ramure*Pc/MaxiM</f>
        <v>9.4474026777766789E-5</v>
      </c>
      <c r="AE334" s="304">
        <f t="shared" si="112"/>
        <v>0.6</v>
      </c>
      <c r="AF334" s="177">
        <f t="shared" si="113"/>
        <v>0.99855137682491057</v>
      </c>
      <c r="AG334" s="799">
        <f t="shared" si="119"/>
        <v>-1</v>
      </c>
      <c r="AH334" s="176">
        <f t="shared" si="114"/>
        <v>5</v>
      </c>
      <c r="AI334" s="224">
        <f t="shared" si="115"/>
        <v>-1.4486231750894807E-3</v>
      </c>
      <c r="AJ334" s="264" t="b">
        <f t="shared" si="116"/>
        <v>0</v>
      </c>
      <c r="AK334" s="264" t="b">
        <f t="shared" si="117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18"/>
        <v>44517</v>
      </c>
      <c r="B335" s="607">
        <v>2.5020000000000002</v>
      </c>
      <c r="C335" s="388"/>
      <c r="D335" s="391">
        <f t="shared" ref="D335:D379" si="122">Wh/(1-Ppv)</f>
        <v>2.551439811076158</v>
      </c>
      <c r="E335" s="383">
        <f t="shared" si="120"/>
        <v>2.8373543822212346</v>
      </c>
      <c r="F335" s="383">
        <f t="shared" ref="F335:F379" si="123">Wh_sa/(1-Pvg*MEDIAN((-Sdif+Wh/Env_an)/Csdif,0,1))</f>
        <v>2.8373543822212346</v>
      </c>
      <c r="G335" s="110">
        <f t="shared" si="121"/>
        <v>8.7222115877789122E-2</v>
      </c>
      <c r="H335" s="412" t="b">
        <f>Wh_hp&gt;='2020'!Maxi_hp</f>
        <v>0</v>
      </c>
      <c r="I335" s="379">
        <f>IF(H335,Wh_hp,'2020'!Maxi_hp)</f>
        <v>24.838157791635798</v>
      </c>
      <c r="J335" s="85">
        <f>IF(H335,An,'2020'!An_max)</f>
        <v>2020</v>
      </c>
      <c r="K335" s="197">
        <f t="shared" ref="K335:K380" si="124">t</f>
        <v>44517</v>
      </c>
      <c r="L335" s="147">
        <f>IF(t&lt;Tvie,1-EXP((T0-t)*PertePVj)+'2020'!Pspv,1-EXP((T0-t)*PertePVj)+Pspv)</f>
        <v>1.9377220211714397E-2</v>
      </c>
      <c r="M335" s="832"/>
      <c r="N335" s="832"/>
      <c r="O335" s="48">
        <f>IF(t&lt;Tnet,'2020'!Resal+('2020'!Salim-'2020'!Resal)*(1-EXP(('2020'!Tnet-t)/('2020'!Tau_j))),Resal+(Salim-Resal)*(1-EXP((Tnet-t)/(Tau_j))))*Salcycl</f>
        <v>0.10076801577434519</v>
      </c>
      <c r="P335" s="169">
        <f>(INDEX(Models!$BJ335:$BT335,,T335)*(1-R335)+INDEX(Models!$BJ335:$BT335,,T335+1)*R335-ERP_i)*Q335*Ramure*Pc/MaxiM</f>
        <v>1.0501979443916528E-4</v>
      </c>
      <c r="Q335" s="304">
        <f t="shared" ref="Q335:Q379" si="125">IF(OR(t&lt;Ttai,Notai),Dd+PousD*Croivg,Dens+PousD*(Croivg-Croi_tai))</f>
        <v>0.6</v>
      </c>
      <c r="R335" s="177">
        <f t="shared" ref="R335:R379" si="126">(Hp_vg-S335)/(INDEX(Echel_vg,T335+1)-S335)</f>
        <v>0.99858059143890476</v>
      </c>
      <c r="S335" s="799">
        <f t="shared" ref="S335:S379" si="127">INDEX(Echel_vg,T335)</f>
        <v>-1</v>
      </c>
      <c r="T335" s="176">
        <f t="shared" ref="T335:T379" si="128">MIN(MATCH(Hp_vg,Echel_vg),10)</f>
        <v>5</v>
      </c>
      <c r="U335" s="250">
        <f t="shared" ref="U335:U379" si="129">IF(OR(t&lt;Ttai,Notai),Hdd+PousH*Croivg,Hdtf+PousH*(Croivg-Croi_tai))</f>
        <v>-1.4194085610952367E-3</v>
      </c>
      <c r="V335" s="382">
        <f t="shared" ref="V335:V379" si="130">MaxiM*(1-Ppv)*(1-Pvg)*(1-Psa)</f>
        <v>28.682372759445681</v>
      </c>
      <c r="W335" s="400"/>
      <c r="X335" s="157">
        <f t="shared" ref="X335:X379" si="131">t</f>
        <v>44517</v>
      </c>
      <c r="Y335" s="383">
        <f t="shared" ref="Y335:Y379" si="132">Wh_pvt_s*(1-Ppv)</f>
        <v>2.5020000000000002</v>
      </c>
      <c r="Z335" s="383">
        <f t="shared" ref="Z335:Z379" si="133">Wh_sa_s*(1-Psa_s)</f>
        <v>2.551439811076158</v>
      </c>
      <c r="AA335" s="384">
        <f t="shared" ref="AA335:AA379" si="134">Wh_hp*(1-Pvg_s*MEDIAN((-Sdif+Wh/Env_an)/Csdif,0,1))</f>
        <v>2.8373543822212346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0.10076801577434519</v>
      </c>
      <c r="AD335" s="230">
        <f>(INDEX(Models!$BJ335:$BT335,,AH335)*(1-AF335)+INDEX(Models!$BJ335:$BT335,,AH335+1)*AF335-ERP_i)*AE335*Ramure*Pc/MaxiM</f>
        <v>1.0501979443916528E-4</v>
      </c>
      <c r="AE335" s="304">
        <f t="shared" ref="AE335:AE379" si="136">IF(OR(t&lt;Ttai,Notai),Dd_s+PousD*Croivg,Dens_s+PousD*(Croivg-Croi_tai))</f>
        <v>0.6</v>
      </c>
      <c r="AF335" s="177">
        <f t="shared" ref="AF335:AF379" si="137">(Hp_vg_s-AG335)/(INDEX(Echel_vg,AH335+1)-AG335)</f>
        <v>0.99858059143890476</v>
      </c>
      <c r="AG335" s="799">
        <f t="shared" si="119"/>
        <v>-1</v>
      </c>
      <c r="AH335" s="176">
        <f t="shared" ref="AH335:AH379" si="138">MIN(MATCH(Hp_vg_s,Echel_vg),10)</f>
        <v>5</v>
      </c>
      <c r="AI335" s="224">
        <f t="shared" ref="AI335:AI379" si="139">IF(OR(t&lt;Ttai,Notai),Hdd_s+PousH*Croivg,Hdtai_s+PousH*(Croivg-Croi_tai))</f>
        <v>-1.4194085610952367E-3</v>
      </c>
      <c r="AJ335" s="264" t="b">
        <f t="shared" ref="AJ335:AJ380" si="140">t&lt;Tnet</f>
        <v>0</v>
      </c>
      <c r="AK335" s="264" t="b">
        <f t="shared" ref="AK335:AK380" si="141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42">A335+1</f>
        <v>44518</v>
      </c>
      <c r="B336" s="607">
        <v>16.971</v>
      </c>
      <c r="C336" s="388"/>
      <c r="D336" s="391">
        <f t="shared" si="122"/>
        <v>17.306680612947559</v>
      </c>
      <c r="E336" s="383">
        <f t="shared" si="120"/>
        <v>19.247294991941967</v>
      </c>
      <c r="F336" s="383">
        <f t="shared" si="123"/>
        <v>19.248246905922187</v>
      </c>
      <c r="G336" s="110">
        <f t="shared" si="121"/>
        <v>0.59689286279015341</v>
      </c>
      <c r="H336" s="412" t="b">
        <f>Wh_hp&gt;='2020'!Maxi_hp</f>
        <v>0</v>
      </c>
      <c r="I336" s="379">
        <f>IF(H336,Wh_hp,'2020'!Maxi_hp)</f>
        <v>29.745287536442678</v>
      </c>
      <c r="J336" s="85">
        <f>IF(H336,An,'2020'!An_max)</f>
        <v>2020</v>
      </c>
      <c r="K336" s="197">
        <f t="shared" si="124"/>
        <v>44518</v>
      </c>
      <c r="L336" s="147">
        <f>IF(t&lt;Tvie,1-EXP((T0-t)*PertePVj)+'2020'!Pspv,1-EXP((T0-t)*PertePVj)+Pspv)</f>
        <v>1.9396013623573016E-2</v>
      </c>
      <c r="M336" s="832"/>
      <c r="N336" s="832"/>
      <c r="O336" s="48">
        <f>IF(t&lt;Tnet,'2020'!Resal+('2020'!Salim-'2020'!Resal)*(1-EXP(('2020'!Tnet-t)/('2020'!Tau_j))),Resal+(Salim-Resal)*(1-EXP((Tnet-t)/(Tau_j))))*Salcycl</f>
        <v>0.10082530453275967</v>
      </c>
      <c r="P336" s="169">
        <f>(INDEX(Models!$BJ336:$BT336,,T336)*(1-R336)+INDEX(Models!$BJ336:$BT336,,T336+1)*R336-ERP_i)*Q336*Ramure*Pc/MaxiM</f>
        <v>1.1658594283603737E-4</v>
      </c>
      <c r="Q336" s="304">
        <f t="shared" si="125"/>
        <v>0.6</v>
      </c>
      <c r="R336" s="177">
        <f t="shared" si="126"/>
        <v>0.99860863299756808</v>
      </c>
      <c r="S336" s="799">
        <f t="shared" si="127"/>
        <v>-1</v>
      </c>
      <c r="T336" s="176">
        <f t="shared" si="128"/>
        <v>5</v>
      </c>
      <c r="U336" s="250">
        <f t="shared" si="129"/>
        <v>-1.3913670024318647E-3</v>
      </c>
      <c r="V336" s="382">
        <f t="shared" si="130"/>
        <v>28.430329319038492</v>
      </c>
      <c r="W336" s="400"/>
      <c r="X336" s="157">
        <f t="shared" si="131"/>
        <v>44518</v>
      </c>
      <c r="Y336" s="383">
        <f t="shared" si="132"/>
        <v>16.971</v>
      </c>
      <c r="Z336" s="383">
        <f t="shared" si="133"/>
        <v>17.306680612947559</v>
      </c>
      <c r="AA336" s="384">
        <f t="shared" si="134"/>
        <v>19.247294991941967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0.10082530453275967</v>
      </c>
      <c r="AD336" s="230">
        <f>(INDEX(Models!$BJ336:$BT336,,AH336)*(1-AF336)+INDEX(Models!$BJ336:$BT336,,AH336+1)*AF336-ERP_i)*AE336*Ramure*Pc/MaxiM</f>
        <v>1.1658594283603737E-4</v>
      </c>
      <c r="AE336" s="304">
        <f t="shared" si="136"/>
        <v>0.6</v>
      </c>
      <c r="AF336" s="177">
        <f t="shared" si="137"/>
        <v>0.99860863299756808</v>
      </c>
      <c r="AG336" s="799">
        <f t="shared" ref="AG336:AG379" si="143">INDEX(Echel_vg,AH336)</f>
        <v>-1</v>
      </c>
      <c r="AH336" s="176">
        <f t="shared" si="138"/>
        <v>5</v>
      </c>
      <c r="AI336" s="224">
        <f t="shared" si="139"/>
        <v>-1.3913670024318647E-3</v>
      </c>
      <c r="AJ336" s="264" t="b">
        <f t="shared" si="140"/>
        <v>0</v>
      </c>
      <c r="AK336" s="264" t="b">
        <f t="shared" si="141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2"/>
        <v>44519</v>
      </c>
      <c r="B337" s="607">
        <v>27.192</v>
      </c>
      <c r="C337" s="388"/>
      <c r="D337" s="391">
        <f t="shared" si="122"/>
        <v>27.73037996607281</v>
      </c>
      <c r="E337" s="383">
        <f t="shared" si="120"/>
        <v>30.84181728664521</v>
      </c>
      <c r="F337" s="383">
        <f t="shared" si="123"/>
        <v>30.845601612610754</v>
      </c>
      <c r="G337" s="110">
        <f t="shared" si="121"/>
        <v>0.96484749737993292</v>
      </c>
      <c r="H337" s="412" t="b">
        <f>Wh_hp&gt;='2020'!Maxi_hp</f>
        <v>0</v>
      </c>
      <c r="I337" s="379">
        <f>IF(H337,Wh_hp,'2020'!Maxi_hp)</f>
        <v>31.924931644225545</v>
      </c>
      <c r="J337" s="85">
        <f>IF(H337,An,'2020'!An_max)</f>
        <v>2020</v>
      </c>
      <c r="K337" s="197">
        <f t="shared" si="124"/>
        <v>44519</v>
      </c>
      <c r="L337" s="147">
        <f>IF(t&lt;Tvie,1-EXP((T0-t)*PertePVj)+'2020'!Pspv,1-EXP((T0-t)*PertePVj)+Pspv)</f>
        <v>1.9414806675260188E-2</v>
      </c>
      <c r="M337" s="832"/>
      <c r="N337" s="832"/>
      <c r="O337" s="48">
        <f>IF(t&lt;Tnet,'2020'!Resal+('2020'!Salim-'2020'!Resal)*(1-EXP(('2020'!Tnet-t)/('2020'!Tau_j))),Resal+(Salim-Resal)*(1-EXP((Tnet-t)/(Tau_j))))*Salcycl</f>
        <v>0.1008837219822219</v>
      </c>
      <c r="P337" s="169">
        <f>(INDEX(Models!$BJ337:$BT337,,T337)*(1-R337)+INDEX(Models!$BJ337:$BT337,,T337+1)*R337-ERP_i)*Q337*Ramure*Pc/MaxiM</f>
        <v>1.2917164966426057E-4</v>
      </c>
      <c r="Q337" s="304">
        <f t="shared" si="125"/>
        <v>0.6</v>
      </c>
      <c r="R337" s="177">
        <f t="shared" si="126"/>
        <v>0.99863554847873859</v>
      </c>
      <c r="S337" s="799">
        <f t="shared" si="127"/>
        <v>-1</v>
      </c>
      <c r="T337" s="176">
        <f t="shared" si="128"/>
        <v>5</v>
      </c>
      <c r="U337" s="250">
        <f t="shared" si="129"/>
        <v>-1.3644515212613562E-3</v>
      </c>
      <c r="V337" s="382">
        <f t="shared" si="130"/>
        <v>28.182509356770872</v>
      </c>
      <c r="W337" s="400"/>
      <c r="X337" s="157">
        <f t="shared" si="131"/>
        <v>44519</v>
      </c>
      <c r="Y337" s="383">
        <f t="shared" si="132"/>
        <v>27.192</v>
      </c>
      <c r="Z337" s="383">
        <f t="shared" si="133"/>
        <v>27.73037996607281</v>
      </c>
      <c r="AA337" s="384">
        <f t="shared" si="134"/>
        <v>30.84181728664521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0.1008837219822219</v>
      </c>
      <c r="AD337" s="230">
        <f>(INDEX(Models!$BJ337:$BT337,,AH337)*(1-AF337)+INDEX(Models!$BJ337:$BT337,,AH337+1)*AF337-ERP_i)*AE337*Ramure*Pc/MaxiM</f>
        <v>1.2917164966426057E-4</v>
      </c>
      <c r="AE337" s="304">
        <f t="shared" si="136"/>
        <v>0.6</v>
      </c>
      <c r="AF337" s="177">
        <f t="shared" si="137"/>
        <v>0.99863554847873859</v>
      </c>
      <c r="AG337" s="799">
        <f t="shared" si="143"/>
        <v>-1</v>
      </c>
      <c r="AH337" s="176">
        <f t="shared" si="138"/>
        <v>5</v>
      </c>
      <c r="AI337" s="224">
        <f t="shared" si="139"/>
        <v>-1.3644515212613562E-3</v>
      </c>
      <c r="AJ337" s="264" t="b">
        <f t="shared" si="140"/>
        <v>0</v>
      </c>
      <c r="AK337" s="264" t="b">
        <f t="shared" si="141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2"/>
        <v>44520</v>
      </c>
      <c r="B338" s="607">
        <v>23.181000000000001</v>
      </c>
      <c r="C338" s="388"/>
      <c r="D338" s="391">
        <f t="shared" si="122"/>
        <v>23.640418420446061</v>
      </c>
      <c r="E338" s="383">
        <f t="shared" si="120"/>
        <v>26.294692262967967</v>
      </c>
      <c r="F338" s="383">
        <f t="shared" si="123"/>
        <v>26.297529698340693</v>
      </c>
      <c r="G338" s="110">
        <f t="shared" si="121"/>
        <v>0.82964873980948917</v>
      </c>
      <c r="H338" s="412" t="b">
        <f>Wh_hp&gt;='2020'!Maxi_hp</f>
        <v>0</v>
      </c>
      <c r="I338" s="379">
        <f>IF(H338,Wh_hp,'2020'!Maxi_hp)</f>
        <v>32.554516773217912</v>
      </c>
      <c r="J338" s="85">
        <f>IF(H338,An,'2020'!An_max)</f>
        <v>2018</v>
      </c>
      <c r="K338" s="197">
        <f t="shared" si="124"/>
        <v>44520</v>
      </c>
      <c r="L338" s="147">
        <f>IF(t&lt;Tvie,1-EXP((T0-t)*PertePVj)+'2020'!Pspv,1-EXP((T0-t)*PertePVj)+Pspv)</f>
        <v>1.9433599366782794E-2</v>
      </c>
      <c r="M338" s="832"/>
      <c r="N338" s="832"/>
      <c r="O338" s="48">
        <f>IF(t&lt;Tnet,'2020'!Resal+('2020'!Salim-'2020'!Resal)*(1-EXP(('2020'!Tnet-t)/('2020'!Tau_j))),Resal+(Salim-Resal)*(1-EXP((Tnet-t)/(Tau_j))))*Salcycl</f>
        <v>0.10094333167990879</v>
      </c>
      <c r="P338" s="169">
        <f>(INDEX(Models!$BJ338:$BT338,,T338)*(1-R338)+INDEX(Models!$BJ338:$BT338,,T338+1)*R338-ERP_i)*Q338*Ramure*Pc/MaxiM</f>
        <v>1.4259277324574091E-4</v>
      </c>
      <c r="Q338" s="304">
        <f t="shared" si="125"/>
        <v>0.6</v>
      </c>
      <c r="R338" s="177">
        <f t="shared" si="126"/>
        <v>0.99866138298867768</v>
      </c>
      <c r="S338" s="799">
        <f t="shared" si="127"/>
        <v>-1</v>
      </c>
      <c r="T338" s="176">
        <f t="shared" si="128"/>
        <v>5</v>
      </c>
      <c r="U338" s="250">
        <f t="shared" si="129"/>
        <v>-1.3386170113223184E-3</v>
      </c>
      <c r="V338" s="382">
        <f t="shared" si="130"/>
        <v>27.939770806310786</v>
      </c>
      <c r="W338" s="400"/>
      <c r="X338" s="157">
        <f t="shared" si="131"/>
        <v>44520</v>
      </c>
      <c r="Y338" s="383">
        <f t="shared" si="132"/>
        <v>23.181000000000001</v>
      </c>
      <c r="Z338" s="383">
        <f t="shared" si="133"/>
        <v>23.640418420446061</v>
      </c>
      <c r="AA338" s="384">
        <f t="shared" si="134"/>
        <v>26.294692262967967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0.10094333167990879</v>
      </c>
      <c r="AD338" s="230">
        <f>(INDEX(Models!$BJ338:$BT338,,AH338)*(1-AF338)+INDEX(Models!$BJ338:$BT338,,AH338+1)*AF338-ERP_i)*AE338*Ramure*Pc/MaxiM</f>
        <v>1.4259277324574091E-4</v>
      </c>
      <c r="AE338" s="304">
        <f t="shared" si="136"/>
        <v>0.6</v>
      </c>
      <c r="AF338" s="177">
        <f t="shared" si="137"/>
        <v>0.99866138298867768</v>
      </c>
      <c r="AG338" s="799">
        <f t="shared" si="143"/>
        <v>-1</v>
      </c>
      <c r="AH338" s="176">
        <f t="shared" si="138"/>
        <v>5</v>
      </c>
      <c r="AI338" s="224">
        <f t="shared" si="139"/>
        <v>-1.3386170113223184E-3</v>
      </c>
      <c r="AJ338" s="264" t="b">
        <f t="shared" si="140"/>
        <v>0</v>
      </c>
      <c r="AK338" s="264" t="b">
        <f t="shared" si="141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2"/>
        <v>44521</v>
      </c>
      <c r="B339" s="607">
        <v>9.657</v>
      </c>
      <c r="C339" s="388"/>
      <c r="D339" s="391">
        <f t="shared" si="122"/>
        <v>9.8485784048000919</v>
      </c>
      <c r="E339" s="383">
        <f t="shared" si="120"/>
        <v>10.955088233580522</v>
      </c>
      <c r="F339" s="383">
        <f t="shared" si="123"/>
        <v>10.955207067506578</v>
      </c>
      <c r="G339" s="110">
        <f t="shared" si="121"/>
        <v>0.34853993553518864</v>
      </c>
      <c r="H339" s="412" t="b">
        <f>Wh_hp&gt;='2020'!Maxi_hp</f>
        <v>0</v>
      </c>
      <c r="I339" s="379">
        <f>IF(H339,Wh_hp,'2020'!Maxi_hp)</f>
        <v>29.917682231011785</v>
      </c>
      <c r="J339" s="85">
        <f>IF(H339,An,'2020'!An_max)</f>
        <v>2018</v>
      </c>
      <c r="K339" s="197">
        <f t="shared" si="124"/>
        <v>44521</v>
      </c>
      <c r="L339" s="147">
        <f>IF(t&lt;Tvie,1-EXP((T0-t)*PertePVj)+'2020'!Pspv,1-EXP((T0-t)*PertePVj)+Pspv)</f>
        <v>1.9452391698147831E-2</v>
      </c>
      <c r="M339" s="832"/>
      <c r="N339" s="832"/>
      <c r="O339" s="48">
        <f>IF(t&lt;Tnet,'2020'!Resal+('2020'!Salim-'2020'!Resal)*(1-EXP(('2020'!Tnet-t)/('2020'!Tau_j))),Resal+(Salim-Resal)*(1-EXP((Tnet-t)/(Tau_j))))*Salcycl</f>
        <v>0.10100419140291871</v>
      </c>
      <c r="P339" s="169">
        <f>(INDEX(Models!$BJ339:$BT339,,T339)*(1-R339)+INDEX(Models!$BJ339:$BT339,,T339+1)*R339-ERP_i)*Q339*Ramure*Pc/MaxiM</f>
        <v>1.5626631992777664E-4</v>
      </c>
      <c r="Q339" s="304">
        <f t="shared" si="125"/>
        <v>0.6</v>
      </c>
      <c r="R339" s="177">
        <f t="shared" si="126"/>
        <v>0.99868617983586283</v>
      </c>
      <c r="S339" s="799">
        <f t="shared" si="127"/>
        <v>-1</v>
      </c>
      <c r="T339" s="176">
        <f t="shared" si="128"/>
        <v>5</v>
      </c>
      <c r="U339" s="250">
        <f t="shared" si="129"/>
        <v>-1.3138201641372249E-3</v>
      </c>
      <c r="V339" s="382">
        <f t="shared" si="130"/>
        <v>27.702982322619146</v>
      </c>
      <c r="W339" s="400"/>
      <c r="X339" s="157">
        <f t="shared" si="131"/>
        <v>44521</v>
      </c>
      <c r="Y339" s="383">
        <f t="shared" si="132"/>
        <v>9.657</v>
      </c>
      <c r="Z339" s="383">
        <f t="shared" si="133"/>
        <v>9.8485784048000919</v>
      </c>
      <c r="AA339" s="384">
        <f t="shared" si="134"/>
        <v>10.955088233580522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0.10100419140291871</v>
      </c>
      <c r="AD339" s="230">
        <f>(INDEX(Models!$BJ339:$BT339,,AH339)*(1-AF339)+INDEX(Models!$BJ339:$BT339,,AH339+1)*AF339-ERP_i)*AE339*Ramure*Pc/MaxiM</f>
        <v>1.5626631992777664E-4</v>
      </c>
      <c r="AE339" s="304">
        <f t="shared" si="136"/>
        <v>0.6</v>
      </c>
      <c r="AF339" s="177">
        <f t="shared" si="137"/>
        <v>0.99868617983586283</v>
      </c>
      <c r="AG339" s="799">
        <f t="shared" si="143"/>
        <v>-1</v>
      </c>
      <c r="AH339" s="176">
        <f t="shared" si="138"/>
        <v>5</v>
      </c>
      <c r="AI339" s="224">
        <f t="shared" si="139"/>
        <v>-1.3138201641372249E-3</v>
      </c>
      <c r="AJ339" s="264" t="b">
        <f t="shared" si="140"/>
        <v>0</v>
      </c>
      <c r="AK339" s="264" t="b">
        <f t="shared" si="141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2"/>
        <v>44522</v>
      </c>
      <c r="B340" s="607">
        <v>17.516000000000002</v>
      </c>
      <c r="C340" s="388"/>
      <c r="D340" s="391">
        <f t="shared" si="122"/>
        <v>17.863829913279716</v>
      </c>
      <c r="E340" s="383">
        <f t="shared" si="120"/>
        <v>19.872245267176663</v>
      </c>
      <c r="F340" s="383">
        <f t="shared" si="123"/>
        <v>19.873876374683604</v>
      </c>
      <c r="G340" s="110">
        <f t="shared" si="121"/>
        <v>0.63751534371533036</v>
      </c>
      <c r="H340" s="412" t="b">
        <f>Wh_hp&gt;='2020'!Maxi_hp</f>
        <v>0</v>
      </c>
      <c r="I340" s="379">
        <f>IF(H340,Wh_hp,'2020'!Maxi_hp)</f>
        <v>32.069171926586371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1.9471183669362069E-2</v>
      </c>
      <c r="M340" s="832"/>
      <c r="N340" s="832"/>
      <c r="O340" s="48">
        <f>IF(t&lt;Tnet,'2020'!Resal+('2020'!Salim-'2020'!Resal)*(1-EXP(('2020'!Tnet-t)/('2020'!Tau_j))),Resal+(Salim-Resal)*(1-EXP((Tnet-t)/(Tau_j))))*Salcycl</f>
        <v>0.10106635294071585</v>
      </c>
      <c r="P340" s="169">
        <f>(INDEX(Models!$BJ340:$BT340,,T340)*(1-R340)+INDEX(Models!$BJ340:$BT340,,T340+1)*R340-ERP_i)*Q340*Ramure*Pc/MaxiM</f>
        <v>1.7018929215408091E-4</v>
      </c>
      <c r="Q340" s="304">
        <f t="shared" si="125"/>
        <v>0.6</v>
      </c>
      <c r="R340" s="177">
        <f t="shared" si="126"/>
        <v>0.99870998060193139</v>
      </c>
      <c r="S340" s="799">
        <f t="shared" si="127"/>
        <v>-1</v>
      </c>
      <c r="T340" s="176">
        <f t="shared" si="128"/>
        <v>5</v>
      </c>
      <c r="U340" s="250">
        <f t="shared" si="129"/>
        <v>-1.2900193980686092E-3</v>
      </c>
      <c r="V340" s="382">
        <f t="shared" si="130"/>
        <v>27.472995905098312</v>
      </c>
      <c r="W340" s="400"/>
      <c r="X340" s="157">
        <f t="shared" si="131"/>
        <v>44522</v>
      </c>
      <c r="Y340" s="383">
        <f t="shared" si="132"/>
        <v>17.516000000000002</v>
      </c>
      <c r="Z340" s="383">
        <f t="shared" si="133"/>
        <v>17.863829913279716</v>
      </c>
      <c r="AA340" s="384">
        <f t="shared" si="134"/>
        <v>19.872245267176663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0.10106635294071585</v>
      </c>
      <c r="AD340" s="230">
        <f>(INDEX(Models!$BJ340:$BT340,,AH340)*(1-AF340)+INDEX(Models!$BJ340:$BT340,,AH340+1)*AF340-ERP_i)*AE340*Ramure*Pc/MaxiM</f>
        <v>1.7018929215408091E-4</v>
      </c>
      <c r="AE340" s="304">
        <f t="shared" si="136"/>
        <v>0.6</v>
      </c>
      <c r="AF340" s="177">
        <f t="shared" si="137"/>
        <v>0.99870998060193139</v>
      </c>
      <c r="AG340" s="799">
        <f t="shared" si="143"/>
        <v>-1</v>
      </c>
      <c r="AH340" s="176">
        <f t="shared" si="138"/>
        <v>5</v>
      </c>
      <c r="AI340" s="224">
        <f t="shared" si="139"/>
        <v>-1.2900193980686092E-3</v>
      </c>
      <c r="AJ340" s="264" t="b">
        <f t="shared" si="140"/>
        <v>0</v>
      </c>
      <c r="AK340" s="264" t="b">
        <f t="shared" si="141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2"/>
        <v>44523</v>
      </c>
      <c r="B341" s="607">
        <v>11.768000000000001</v>
      </c>
      <c r="C341" s="388"/>
      <c r="D341" s="391">
        <f t="shared" si="122"/>
        <v>12.001917066952711</v>
      </c>
      <c r="E341" s="383">
        <f t="shared" si="120"/>
        <v>13.352225820580843</v>
      </c>
      <c r="F341" s="383">
        <f t="shared" si="123"/>
        <v>13.352689463873462</v>
      </c>
      <c r="G341" s="110">
        <f t="shared" si="121"/>
        <v>0.4317780767699857</v>
      </c>
      <c r="H341" s="412" t="b">
        <f>Wh_hp&gt;='2020'!Maxi_hp</f>
        <v>0</v>
      </c>
      <c r="I341" s="379">
        <f>IF(H341,Wh_hp,'2020'!Maxi_hp)</f>
        <v>32.348955390885784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1.9489975280432503E-2</v>
      </c>
      <c r="M341" s="832"/>
      <c r="N341" s="832"/>
      <c r="O341" s="48">
        <f>IF(t&lt;Tnet,'2020'!Resal+('2020'!Salim-'2020'!Resal)*(1-EXP(('2020'!Tnet-t)/('2020'!Tau_j))),Resal+(Salim-Resal)*(1-EXP((Tnet-t)/(Tau_j))))*Salcycl</f>
        <v>0.10112986192510277</v>
      </c>
      <c r="P341" s="169">
        <f>(INDEX(Models!$BJ341:$BT341,,T341)*(1-R341)+INDEX(Models!$BJ341:$BT341,,T341+1)*R341-ERP_i)*Q341*Ramure*Pc/MaxiM</f>
        <v>1.8435596493380794E-4</v>
      </c>
      <c r="Q341" s="304">
        <f t="shared" si="125"/>
        <v>0.6</v>
      </c>
      <c r="R341" s="177">
        <f t="shared" si="126"/>
        <v>0.99873282520988105</v>
      </c>
      <c r="S341" s="799">
        <f t="shared" si="127"/>
        <v>-1</v>
      </c>
      <c r="T341" s="176">
        <f t="shared" si="128"/>
        <v>5</v>
      </c>
      <c r="U341" s="250">
        <f t="shared" si="129"/>
        <v>-1.2671747901188968E-3</v>
      </c>
      <c r="V341" s="382">
        <f t="shared" si="130"/>
        <v>27.250663452518239</v>
      </c>
      <c r="W341" s="400"/>
      <c r="X341" s="157">
        <f t="shared" si="131"/>
        <v>44523</v>
      </c>
      <c r="Y341" s="383">
        <f t="shared" si="132"/>
        <v>11.768000000000001</v>
      </c>
      <c r="Z341" s="383">
        <f t="shared" si="133"/>
        <v>12.001917066952711</v>
      </c>
      <c r="AA341" s="384">
        <f t="shared" si="134"/>
        <v>13.352225820580843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0.10112986192510277</v>
      </c>
      <c r="AD341" s="230">
        <f>(INDEX(Models!$BJ341:$BT341,,AH341)*(1-AF341)+INDEX(Models!$BJ341:$BT341,,AH341+1)*AF341-ERP_i)*AE341*Ramure*Pc/MaxiM</f>
        <v>1.8435596493380794E-4</v>
      </c>
      <c r="AE341" s="304">
        <f t="shared" si="136"/>
        <v>0.6</v>
      </c>
      <c r="AF341" s="177">
        <f t="shared" si="137"/>
        <v>0.99873282520988105</v>
      </c>
      <c r="AG341" s="799">
        <f t="shared" si="143"/>
        <v>-1</v>
      </c>
      <c r="AH341" s="176">
        <f t="shared" si="138"/>
        <v>5</v>
      </c>
      <c r="AI341" s="224">
        <f t="shared" si="139"/>
        <v>-1.2671747901188968E-3</v>
      </c>
      <c r="AJ341" s="264" t="b">
        <f t="shared" si="140"/>
        <v>0</v>
      </c>
      <c r="AK341" s="264" t="b">
        <f t="shared" si="141"/>
        <v>0</v>
      </c>
      <c r="AL341" s="264"/>
      <c r="AM341" s="264"/>
      <c r="AN341" s="75"/>
    </row>
    <row r="342" spans="1:40" s="6" customFormat="1" ht="11.25" x14ac:dyDescent="0.2">
      <c r="A342" s="56">
        <f t="shared" si="142"/>
        <v>44524</v>
      </c>
      <c r="B342" s="607">
        <v>1.76</v>
      </c>
      <c r="C342" s="388"/>
      <c r="D342" s="391">
        <f t="shared" si="122"/>
        <v>1.7950185987627214</v>
      </c>
      <c r="E342" s="383">
        <f t="shared" si="120"/>
        <v>1.9971162987066473</v>
      </c>
      <c r="F342" s="383">
        <f t="shared" si="123"/>
        <v>1.9971162987066473</v>
      </c>
      <c r="G342" s="110">
        <f t="shared" si="121"/>
        <v>6.5083434257412087E-2</v>
      </c>
      <c r="H342" s="412" t="b">
        <f>Wh_hp&gt;='2020'!Maxi_hp</f>
        <v>0</v>
      </c>
      <c r="I342" s="379">
        <f>IF(H342,Wh_hp,'2020'!Maxi_hp)</f>
        <v>29.959800379951087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1.9508766531365906E-2</v>
      </c>
      <c r="M342" s="832"/>
      <c r="N342" s="832"/>
      <c r="O342" s="48">
        <f>IF(t&lt;Tnet,'2020'!Resal+('2020'!Salim-'2020'!Resal)*(1-EXP(('2020'!Tnet-t)/('2020'!Tau_j))),Resal+(Salim-Resal)*(1-EXP((Tnet-t)/(Tau_j))))*Salcycl</f>
        <v>0.10119475769879117</v>
      </c>
      <c r="P342" s="169">
        <f>(INDEX(Models!$BJ342:$BT342,,T342)*(1-R342)+INDEX(Models!$BJ342:$BT342,,T342+1)*R342-ERP_i)*Q342*Ramure*Pc/MaxiM</f>
        <v>1.9875930398822303E-4</v>
      </c>
      <c r="Q342" s="304">
        <f t="shared" si="125"/>
        <v>0.6</v>
      </c>
      <c r="R342" s="177">
        <f t="shared" si="126"/>
        <v>0.99875475198962915</v>
      </c>
      <c r="S342" s="799">
        <f t="shared" si="127"/>
        <v>-1</v>
      </c>
      <c r="T342" s="176">
        <f t="shared" si="128"/>
        <v>5</v>
      </c>
      <c r="U342" s="250">
        <f t="shared" si="129"/>
        <v>-1.2452480103709029E-3</v>
      </c>
      <c r="V342" s="382">
        <f t="shared" si="130"/>
        <v>27.036836695884425</v>
      </c>
      <c r="W342" s="400"/>
      <c r="X342" s="157">
        <f t="shared" si="131"/>
        <v>44524</v>
      </c>
      <c r="Y342" s="383">
        <f t="shared" si="132"/>
        <v>1.76</v>
      </c>
      <c r="Z342" s="383">
        <f t="shared" si="133"/>
        <v>1.7950185987627214</v>
      </c>
      <c r="AA342" s="384">
        <f t="shared" si="134"/>
        <v>1.9971162987066473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0.10119475769879117</v>
      </c>
      <c r="AD342" s="230">
        <f>(INDEX(Models!$BJ342:$BT342,,AH342)*(1-AF342)+INDEX(Models!$BJ342:$BT342,,AH342+1)*AF342-ERP_i)*AE342*Ramure*Pc/MaxiM</f>
        <v>1.9875930398822303E-4</v>
      </c>
      <c r="AE342" s="304">
        <f t="shared" si="136"/>
        <v>0.6</v>
      </c>
      <c r="AF342" s="177">
        <f t="shared" si="137"/>
        <v>0.99875475198962915</v>
      </c>
      <c r="AG342" s="799">
        <f t="shared" si="143"/>
        <v>-1</v>
      </c>
      <c r="AH342" s="176">
        <f t="shared" si="138"/>
        <v>5</v>
      </c>
      <c r="AI342" s="224">
        <f t="shared" si="139"/>
        <v>-1.2452480103709029E-3</v>
      </c>
      <c r="AJ342" s="264" t="b">
        <f t="shared" si="140"/>
        <v>0</v>
      </c>
      <c r="AK342" s="264" t="b">
        <f t="shared" si="141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2"/>
        <v>44525</v>
      </c>
      <c r="B343" s="607">
        <v>17.196000000000002</v>
      </c>
      <c r="C343" s="388"/>
      <c r="D343" s="391">
        <f t="shared" si="122"/>
        <v>17.538483748496553</v>
      </c>
      <c r="E343" s="383">
        <f t="shared" si="120"/>
        <v>19.514547802439644</v>
      </c>
      <c r="F343" s="383">
        <f t="shared" si="123"/>
        <v>19.516575803578366</v>
      </c>
      <c r="G343" s="110">
        <f t="shared" si="121"/>
        <v>0.64079762643845151</v>
      </c>
      <c r="H343" s="412" t="b">
        <f>Wh_hp&gt;='2020'!Maxi_hp</f>
        <v>0</v>
      </c>
      <c r="I343" s="379">
        <f>IF(H343,Wh_hp,'2020'!Maxi_hp)</f>
        <v>29.033907399331543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1.9527557422169384E-2</v>
      </c>
      <c r="M343" s="832"/>
      <c r="N343" s="832"/>
      <c r="O343" s="48">
        <f>IF(t&lt;Tnet,'2020'!Resal+('2020'!Salim-'2020'!Resal)*(1-EXP(('2020'!Tnet-t)/('2020'!Tau_j))),Resal+(Salim-Resal)*(1-EXP((Tnet-t)/(Tau_j))))*Salcycl</f>
        <v>0.10126107322333384</v>
      </c>
      <c r="P343" s="169">
        <f>(INDEX(Models!$BJ343:$BT343,,T343)*(1-R343)+INDEX(Models!$BJ343:$BT343,,T343+1)*R343-ERP_i)*Q343*Ramure*Pc/MaxiM</f>
        <v>2.1339126585565019E-4</v>
      </c>
      <c r="Q343" s="304">
        <f t="shared" si="125"/>
        <v>0.6</v>
      </c>
      <c r="R343" s="177">
        <f t="shared" si="126"/>
        <v>0.99877579774102643</v>
      </c>
      <c r="S343" s="799">
        <f t="shared" si="127"/>
        <v>-1</v>
      </c>
      <c r="T343" s="176">
        <f t="shared" si="128"/>
        <v>5</v>
      </c>
      <c r="U343" s="250">
        <f t="shared" si="129"/>
        <v>-1.2242022589735724E-3</v>
      </c>
      <c r="V343" s="382">
        <f t="shared" si="130"/>
        <v>26.832367169968915</v>
      </c>
      <c r="W343" s="400"/>
      <c r="X343" s="157">
        <f t="shared" si="131"/>
        <v>44525</v>
      </c>
      <c r="Y343" s="383">
        <f t="shared" si="132"/>
        <v>17.196000000000002</v>
      </c>
      <c r="Z343" s="383">
        <f t="shared" si="133"/>
        <v>17.538483748496553</v>
      </c>
      <c r="AA343" s="384">
        <f t="shared" si="134"/>
        <v>19.514547802439644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0.10126107322333384</v>
      </c>
      <c r="AD343" s="230">
        <f>(INDEX(Models!$BJ343:$BT343,,AH343)*(1-AF343)+INDEX(Models!$BJ343:$BT343,,AH343+1)*AF343-ERP_i)*AE343*Ramure*Pc/MaxiM</f>
        <v>2.1339126585565019E-4</v>
      </c>
      <c r="AE343" s="304">
        <f t="shared" si="136"/>
        <v>0.6</v>
      </c>
      <c r="AF343" s="177">
        <f t="shared" si="137"/>
        <v>0.99877579774102643</v>
      </c>
      <c r="AG343" s="799">
        <f t="shared" si="143"/>
        <v>-1</v>
      </c>
      <c r="AH343" s="176">
        <f t="shared" si="138"/>
        <v>5</v>
      </c>
      <c r="AI343" s="224">
        <f t="shared" si="139"/>
        <v>-1.2242022589735724E-3</v>
      </c>
      <c r="AJ343" s="264" t="b">
        <f t="shared" si="140"/>
        <v>0</v>
      </c>
      <c r="AK343" s="264" t="b">
        <f t="shared" si="141"/>
        <v>0</v>
      </c>
      <c r="AL343" s="264"/>
      <c r="AM343" s="264"/>
      <c r="AN343" s="75"/>
    </row>
    <row r="344" spans="1:40" s="6" customFormat="1" ht="11.25" x14ac:dyDescent="0.2">
      <c r="A344" s="56">
        <f t="shared" si="142"/>
        <v>44526</v>
      </c>
      <c r="B344" s="607">
        <v>6.8140000000000001</v>
      </c>
      <c r="C344" s="388"/>
      <c r="D344" s="391">
        <f t="shared" si="122"/>
        <v>6.9498440704184485</v>
      </c>
      <c r="E344" s="383">
        <f t="shared" si="120"/>
        <v>7.7334673029441525</v>
      </c>
      <c r="F344" s="383">
        <f t="shared" si="123"/>
        <v>7.7334673029441525</v>
      </c>
      <c r="G344" s="110">
        <f t="shared" si="121"/>
        <v>0.25574058112901521</v>
      </c>
      <c r="H344" s="412" t="b">
        <f>Wh_hp&gt;='2020'!Maxi_hp</f>
        <v>0</v>
      </c>
      <c r="I344" s="379">
        <f>IF(H344,Wh_hp,'2020'!Maxi_hp)</f>
        <v>28.857430187211506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1.9546347952849707E-2</v>
      </c>
      <c r="M344" s="832"/>
      <c r="N344" s="832"/>
      <c r="O344" s="48">
        <f>IF(t&lt;Tnet,'2020'!Resal+('2020'!Salim-'2020'!Resal)*(1-EXP(('2020'!Tnet-t)/('2020'!Tau_j))),Resal+(Salim-Resal)*(1-EXP((Tnet-t)/(Tau_j))))*Salcycl</f>
        <v>0.10132883502686772</v>
      </c>
      <c r="P344" s="169">
        <f>(INDEX(Models!$BJ344:$BT344,,T344)*(1-R344)+INDEX(Models!$BJ344:$BT344,,T344+1)*R344-ERP_i)*Q344*Ramure*Pc/MaxiM</f>
        <v>2.282418066371936E-4</v>
      </c>
      <c r="Q344" s="304">
        <f t="shared" si="125"/>
        <v>0.6</v>
      </c>
      <c r="R344" s="177">
        <f t="shared" si="126"/>
        <v>0.99879599779442474</v>
      </c>
      <c r="S344" s="799">
        <f t="shared" si="127"/>
        <v>-1</v>
      </c>
      <c r="T344" s="176">
        <f t="shared" si="128"/>
        <v>5</v>
      </c>
      <c r="U344" s="250">
        <f t="shared" si="129"/>
        <v>-1.2040022055752053E-3</v>
      </c>
      <c r="V344" s="382">
        <f t="shared" si="130"/>
        <v>26.638106202209865</v>
      </c>
      <c r="W344" s="400"/>
      <c r="X344" s="157">
        <f t="shared" si="131"/>
        <v>44526</v>
      </c>
      <c r="Y344" s="383">
        <f t="shared" si="132"/>
        <v>6.8140000000000001</v>
      </c>
      <c r="Z344" s="383">
        <f t="shared" si="133"/>
        <v>6.9498440704184485</v>
      </c>
      <c r="AA344" s="384">
        <f t="shared" si="134"/>
        <v>7.7334673029441525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0.10132883502686772</v>
      </c>
      <c r="AD344" s="230">
        <f>(INDEX(Models!$BJ344:$BT344,,AH344)*(1-AF344)+INDEX(Models!$BJ344:$BT344,,AH344+1)*AF344-ERP_i)*AE344*Ramure*Pc/MaxiM</f>
        <v>2.282418066371936E-4</v>
      </c>
      <c r="AE344" s="304">
        <f t="shared" si="136"/>
        <v>0.6</v>
      </c>
      <c r="AF344" s="177">
        <f t="shared" si="137"/>
        <v>0.99879599779442474</v>
      </c>
      <c r="AG344" s="799">
        <f t="shared" si="143"/>
        <v>-1</v>
      </c>
      <c r="AH344" s="176">
        <f t="shared" si="138"/>
        <v>5</v>
      </c>
      <c r="AI344" s="224">
        <f t="shared" si="139"/>
        <v>-1.2040022055752053E-3</v>
      </c>
      <c r="AJ344" s="264" t="b">
        <f t="shared" si="140"/>
        <v>0</v>
      </c>
      <c r="AK344" s="264" t="b">
        <f t="shared" si="141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2"/>
        <v>44527</v>
      </c>
      <c r="B345" s="607">
        <v>13.941000000000001</v>
      </c>
      <c r="C345" s="388"/>
      <c r="D345" s="391">
        <f t="shared" si="122"/>
        <v>14.219200624217343</v>
      </c>
      <c r="E345" s="383">
        <f t="shared" si="120"/>
        <v>15.823692384553972</v>
      </c>
      <c r="F345" s="383">
        <f t="shared" si="123"/>
        <v>15.824941223931893</v>
      </c>
      <c r="G345" s="110">
        <f t="shared" si="121"/>
        <v>0.52694037984653186</v>
      </c>
      <c r="H345" s="412" t="b">
        <f>Wh_hp&gt;='2020'!Maxi_hp</f>
        <v>0</v>
      </c>
      <c r="I345" s="379">
        <f>IF(H345,Wh_hp,'2020'!Maxi_hp)</f>
        <v>26.802315744867702</v>
      </c>
      <c r="J345" s="85">
        <f>IF(H345,An,'2020'!An_max)</f>
        <v>2020</v>
      </c>
      <c r="K345" s="197">
        <f t="shared" si="124"/>
        <v>44527</v>
      </c>
      <c r="L345" s="147">
        <f>IF(t&lt;Tvie,1-EXP((T0-t)*PertePVj)+'2020'!Pspv,1-EXP((T0-t)*PertePVj)+Pspv)</f>
        <v>1.9565138123413761E-2</v>
      </c>
      <c r="M345" s="832"/>
      <c r="N345" s="832"/>
      <c r="O345" s="48">
        <f>IF(t&lt;Tnet,'2020'!Resal+('2020'!Salim-'2020'!Resal)*(1-EXP(('2020'!Tnet-t)/('2020'!Tau_j))),Resal+(Salim-Resal)*(1-EXP((Tnet-t)/(Tau_j))))*Salcycl</f>
        <v>0.10139806319180131</v>
      </c>
      <c r="P345" s="169">
        <f>(INDEX(Models!$BJ345:$BT345,,T345)*(1-R345)+INDEX(Models!$BJ345:$BT345,,T345+1)*R345-ERP_i)*Q345*Ramure*Pc/MaxiM</f>
        <v>2.4332399759117881E-4</v>
      </c>
      <c r="Q345" s="304">
        <f t="shared" si="125"/>
        <v>0.6</v>
      </c>
      <c r="R345" s="177">
        <f t="shared" si="126"/>
        <v>0.99881538606888531</v>
      </c>
      <c r="S345" s="799">
        <f t="shared" si="127"/>
        <v>-1</v>
      </c>
      <c r="T345" s="176">
        <f t="shared" si="128"/>
        <v>5</v>
      </c>
      <c r="U345" s="250">
        <f t="shared" si="129"/>
        <v>-1.1846139311146309E-3</v>
      </c>
      <c r="V345" s="382">
        <f t="shared" si="130"/>
        <v>26.45215348611416</v>
      </c>
      <c r="W345" s="400"/>
      <c r="X345" s="157">
        <f t="shared" si="131"/>
        <v>44527</v>
      </c>
      <c r="Y345" s="383">
        <f t="shared" si="132"/>
        <v>13.941000000000001</v>
      </c>
      <c r="Z345" s="383">
        <f t="shared" si="133"/>
        <v>14.219200624217343</v>
      </c>
      <c r="AA345" s="384">
        <f t="shared" si="134"/>
        <v>15.823692384553972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0.10139806319180131</v>
      </c>
      <c r="AD345" s="230">
        <f>(INDEX(Models!$BJ345:$BT345,,AH345)*(1-AF345)+INDEX(Models!$BJ345:$BT345,,AH345+1)*AF345-ERP_i)*AE345*Ramure*Pc/MaxiM</f>
        <v>2.4332399759117881E-4</v>
      </c>
      <c r="AE345" s="304">
        <f t="shared" si="136"/>
        <v>0.6</v>
      </c>
      <c r="AF345" s="177">
        <f t="shared" si="137"/>
        <v>0.99881538606888531</v>
      </c>
      <c r="AG345" s="799">
        <f t="shared" si="143"/>
        <v>-1</v>
      </c>
      <c r="AH345" s="176">
        <f t="shared" si="138"/>
        <v>5</v>
      </c>
      <c r="AI345" s="224">
        <f t="shared" si="139"/>
        <v>-1.1846139311146309E-3</v>
      </c>
      <c r="AJ345" s="264" t="b">
        <f t="shared" si="140"/>
        <v>0</v>
      </c>
      <c r="AK345" s="264" t="b">
        <f t="shared" si="141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2"/>
        <v>44528</v>
      </c>
      <c r="B346" s="607">
        <v>5.9390000000000001</v>
      </c>
      <c r="C346" s="388"/>
      <c r="D346" s="391">
        <f t="shared" si="122"/>
        <v>6.0576322331029671</v>
      </c>
      <c r="E346" s="383">
        <f t="shared" si="120"/>
        <v>6.7417047289739376</v>
      </c>
      <c r="F346" s="383">
        <f t="shared" si="123"/>
        <v>6.7417047289739376</v>
      </c>
      <c r="G346" s="110">
        <f t="shared" si="121"/>
        <v>0.22599770954434714</v>
      </c>
      <c r="H346" s="412" t="b">
        <f>Wh_hp&gt;='2020'!Maxi_hp</f>
        <v>0</v>
      </c>
      <c r="I346" s="379">
        <f>IF(H346,Wh_hp,'2020'!Maxi_hp)</f>
        <v>18.703888708428419</v>
      </c>
      <c r="J346" s="85">
        <f>IF(H346,An,'2020'!An_max)</f>
        <v>2020</v>
      </c>
      <c r="K346" s="197">
        <f t="shared" si="124"/>
        <v>44528</v>
      </c>
      <c r="L346" s="147">
        <f>IF(t&lt;Tvie,1-EXP((T0-t)*PertePVj)+'2020'!Pspv,1-EXP((T0-t)*PertePVj)+Pspv)</f>
        <v>1.9583927933868428E-2</v>
      </c>
      <c r="M346" s="832"/>
      <c r="N346" s="832"/>
      <c r="O346" s="48">
        <f>IF(t&lt;Tnet,'2020'!Resal+('2020'!Salim-'2020'!Resal)*(1-EXP(('2020'!Tnet-t)/('2020'!Tau_j))),Resal+(Salim-Resal)*(1-EXP((Tnet-t)/(Tau_j))))*Salcycl</f>
        <v>0.10146877138226201</v>
      </c>
      <c r="P346" s="169">
        <f>(INDEX(Models!$BJ346:$BT346,,T346)*(1-R346)+INDEX(Models!$BJ346:$BT346,,T346+1)*R346-ERP_i)*Q346*Ramure*Pc/MaxiM</f>
        <v>2.5874910354851179E-4</v>
      </c>
      <c r="Q346" s="304">
        <f t="shared" si="125"/>
        <v>0.6</v>
      </c>
      <c r="R346" s="177">
        <f t="shared" si="126"/>
        <v>0.9988339951281201</v>
      </c>
      <c r="S346" s="799">
        <f t="shared" si="127"/>
        <v>-1</v>
      </c>
      <c r="T346" s="176">
        <f t="shared" si="128"/>
        <v>5</v>
      </c>
      <c r="U346" s="250">
        <f t="shared" si="129"/>
        <v>-1.1660048718798999E-3</v>
      </c>
      <c r="V346" s="382">
        <f t="shared" si="130"/>
        <v>26.272227718789896</v>
      </c>
      <c r="W346" s="400"/>
      <c r="X346" s="157">
        <f t="shared" si="131"/>
        <v>44528</v>
      </c>
      <c r="Y346" s="383">
        <f t="shared" si="132"/>
        <v>5.9390000000000001</v>
      </c>
      <c r="Z346" s="383">
        <f t="shared" si="133"/>
        <v>6.0576322331029671</v>
      </c>
      <c r="AA346" s="384">
        <f t="shared" si="134"/>
        <v>6.7417047289739376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0.10146877138226201</v>
      </c>
      <c r="AD346" s="230">
        <f>(INDEX(Models!$BJ346:$BT346,,AH346)*(1-AF346)+INDEX(Models!$BJ346:$BT346,,AH346+1)*AF346-ERP_i)*AE346*Ramure*Pc/MaxiM</f>
        <v>2.5874910354851179E-4</v>
      </c>
      <c r="AE346" s="304">
        <f t="shared" si="136"/>
        <v>0.6</v>
      </c>
      <c r="AF346" s="177">
        <f t="shared" si="137"/>
        <v>0.9988339951281201</v>
      </c>
      <c r="AG346" s="799">
        <f t="shared" si="143"/>
        <v>-1</v>
      </c>
      <c r="AH346" s="176">
        <f t="shared" si="138"/>
        <v>5</v>
      </c>
      <c r="AI346" s="224">
        <f t="shared" si="139"/>
        <v>-1.1660048718798999E-3</v>
      </c>
      <c r="AJ346" s="264" t="b">
        <f t="shared" si="140"/>
        <v>0</v>
      </c>
      <c r="AK346" s="264" t="b">
        <f t="shared" si="141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2"/>
        <v>44529</v>
      </c>
      <c r="B347" s="607">
        <v>6.8940000000000001</v>
      </c>
      <c r="C347" s="388"/>
      <c r="D347" s="391">
        <f t="shared" si="122"/>
        <v>7.0318432356383633</v>
      </c>
      <c r="E347" s="383">
        <f t="shared" si="120"/>
        <v>7.8265596723543336</v>
      </c>
      <c r="F347" s="383">
        <f t="shared" si="123"/>
        <v>7.8265596723543336</v>
      </c>
      <c r="G347" s="110">
        <f t="shared" si="121"/>
        <v>0.26407946249571312</v>
      </c>
      <c r="H347" s="412" t="b">
        <f>Wh_hp&gt;='2020'!Maxi_hp</f>
        <v>0</v>
      </c>
      <c r="I347" s="379">
        <f>IF(H347,Wh_hp,'2020'!Maxi_hp)</f>
        <v>16.758916593732387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1.9602717384220703E-2</v>
      </c>
      <c r="M347" s="832"/>
      <c r="N347" s="832"/>
      <c r="O347" s="48">
        <f>IF(t&lt;Tnet,'2020'!Resal+('2020'!Salim-'2020'!Resal)*(1-EXP(('2020'!Tnet-t)/('2020'!Tau_j))),Resal+(Salim-Resal)*(1-EXP((Tnet-t)/(Tau_j))))*Salcycl</f>
        <v>0.10154096691080468</v>
      </c>
      <c r="P347" s="169">
        <f>(INDEX(Models!$BJ347:$BT347,,T347)*(1-R347)+INDEX(Models!$BJ347:$BT347,,T347+1)*R347-ERP_i)*Q347*Ramure*Pc/MaxiM</f>
        <v>2.7407836593458632E-4</v>
      </c>
      <c r="Q347" s="304">
        <f t="shared" si="125"/>
        <v>0.6</v>
      </c>
      <c r="R347" s="177">
        <f t="shared" si="126"/>
        <v>0.99885185623424921</v>
      </c>
      <c r="S347" s="799">
        <f t="shared" si="127"/>
        <v>-1</v>
      </c>
      <c r="T347" s="176">
        <f t="shared" si="128"/>
        <v>5</v>
      </c>
      <c r="U347" s="250">
        <f t="shared" si="129"/>
        <v>-1.148143765750731E-3</v>
      </c>
      <c r="V347" s="382">
        <f t="shared" si="130"/>
        <v>26.098623643847841</v>
      </c>
      <c r="W347" s="400"/>
      <c r="X347" s="157">
        <f t="shared" si="131"/>
        <v>44529</v>
      </c>
      <c r="Y347" s="383">
        <f t="shared" si="132"/>
        <v>6.8940000000000001</v>
      </c>
      <c r="Z347" s="383">
        <f t="shared" si="133"/>
        <v>7.0318432356383633</v>
      </c>
      <c r="AA347" s="384">
        <f t="shared" si="134"/>
        <v>7.8265596723543336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0.10154096691080468</v>
      </c>
      <c r="AD347" s="230">
        <f>(INDEX(Models!$BJ347:$BT347,,AH347)*(1-AF347)+INDEX(Models!$BJ347:$BT347,,AH347+1)*AF347-ERP_i)*AE347*Ramure*Pc/MaxiM</f>
        <v>2.7407836593458632E-4</v>
      </c>
      <c r="AE347" s="304">
        <f t="shared" si="136"/>
        <v>0.6</v>
      </c>
      <c r="AF347" s="177">
        <f t="shared" si="137"/>
        <v>0.99885185623424921</v>
      </c>
      <c r="AG347" s="799">
        <f t="shared" si="143"/>
        <v>-1</v>
      </c>
      <c r="AH347" s="176">
        <f t="shared" si="138"/>
        <v>5</v>
      </c>
      <c r="AI347" s="224">
        <f t="shared" si="139"/>
        <v>-1.148143765750731E-3</v>
      </c>
      <c r="AJ347" s="264" t="b">
        <f t="shared" si="140"/>
        <v>0</v>
      </c>
      <c r="AK347" s="264" t="b">
        <f t="shared" si="141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2"/>
        <v>44530</v>
      </c>
      <c r="B348" s="607">
        <v>19.501999999999999</v>
      </c>
      <c r="C348" s="388"/>
      <c r="D348" s="391">
        <f t="shared" si="122"/>
        <v>19.892317231347239</v>
      </c>
      <c r="E348" s="383">
        <f t="shared" si="120"/>
        <v>22.142299237210239</v>
      </c>
      <c r="F348" s="383">
        <f t="shared" si="123"/>
        <v>22.146436979144251</v>
      </c>
      <c r="G348" s="110">
        <f t="shared" si="121"/>
        <v>0.75197761991992662</v>
      </c>
      <c r="H348" s="412" t="b">
        <f>Wh_hp&gt;='2020'!Maxi_hp</f>
        <v>0</v>
      </c>
      <c r="I348" s="379">
        <f>IF(H348,Wh_hp,'2020'!Maxi_hp)</f>
        <v>27.894604255922708</v>
      </c>
      <c r="J348" s="85">
        <f>IF(H348,An,'2020'!An_max)</f>
        <v>2020</v>
      </c>
      <c r="K348" s="197">
        <f t="shared" si="124"/>
        <v>44530</v>
      </c>
      <c r="L348" s="147">
        <f>IF(t&lt;Tvie,1-EXP((T0-t)*PertePVj)+'2020'!Pspv,1-EXP((T0-t)*PertePVj)+Pspv)</f>
        <v>1.9621506474477468E-2</v>
      </c>
      <c r="M348" s="832"/>
      <c r="N348" s="832"/>
      <c r="O348" s="48">
        <f>IF(t&lt;Tnet,'2020'!Resal+('2020'!Salim-'2020'!Resal)*(1-EXP(('2020'!Tnet-t)/('2020'!Tau_j))),Resal+(Salim-Resal)*(1-EXP((Tnet-t)/(Tau_j))))*Salcycl</f>
        <v>0.10161465084357153</v>
      </c>
      <c r="P348" s="169">
        <f>(INDEX(Models!$BJ348:$BT348,,T348)*(1-R348)+INDEX(Models!$BJ348:$BT348,,T348+1)*R348-ERP_i)*Q348*Ramure*Pc/MaxiM</f>
        <v>2.8931209138399337E-4</v>
      </c>
      <c r="Q348" s="304">
        <f t="shared" si="125"/>
        <v>0.6</v>
      </c>
      <c r="R348" s="177">
        <f t="shared" si="126"/>
        <v>0.99886899939945839</v>
      </c>
      <c r="S348" s="799">
        <f t="shared" si="127"/>
        <v>-1</v>
      </c>
      <c r="T348" s="176">
        <f t="shared" si="128"/>
        <v>5</v>
      </c>
      <c r="U348" s="250">
        <f t="shared" si="129"/>
        <v>-1.1310006005416651E-3</v>
      </c>
      <c r="V348" s="382">
        <f t="shared" si="130"/>
        <v>25.931624309886718</v>
      </c>
      <c r="W348" s="400"/>
      <c r="X348" s="157">
        <f t="shared" si="131"/>
        <v>44530</v>
      </c>
      <c r="Y348" s="383">
        <f t="shared" si="132"/>
        <v>19.501999999999999</v>
      </c>
      <c r="Z348" s="383">
        <f t="shared" si="133"/>
        <v>19.892317231347239</v>
      </c>
      <c r="AA348" s="384">
        <f t="shared" si="134"/>
        <v>22.142299237210239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0.10161465084357153</v>
      </c>
      <c r="AD348" s="230">
        <f>(INDEX(Models!$BJ348:$BT348,,AH348)*(1-AF348)+INDEX(Models!$BJ348:$BT348,,AH348+1)*AF348-ERP_i)*AE348*Ramure*Pc/MaxiM</f>
        <v>2.8931209138399337E-4</v>
      </c>
      <c r="AE348" s="304">
        <f t="shared" si="136"/>
        <v>0.6</v>
      </c>
      <c r="AF348" s="177">
        <f t="shared" si="137"/>
        <v>0.99886899939945839</v>
      </c>
      <c r="AG348" s="799">
        <f t="shared" si="143"/>
        <v>-1</v>
      </c>
      <c r="AH348" s="176">
        <f t="shared" si="138"/>
        <v>5</v>
      </c>
      <c r="AI348" s="224">
        <f t="shared" si="139"/>
        <v>-1.1310006005416651E-3</v>
      </c>
      <c r="AJ348" s="264" t="b">
        <f t="shared" si="140"/>
        <v>0</v>
      </c>
      <c r="AK348" s="264" t="b">
        <f t="shared" si="141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2"/>
        <v>44531</v>
      </c>
      <c r="B349" s="607">
        <v>3.8570000000000002</v>
      </c>
      <c r="C349" s="388"/>
      <c r="D349" s="391">
        <f t="shared" si="122"/>
        <v>3.9342702287066476</v>
      </c>
      <c r="E349" s="383">
        <f t="shared" si="120"/>
        <v>4.3796344605298323</v>
      </c>
      <c r="F349" s="383">
        <f t="shared" si="123"/>
        <v>4.3796344605298323</v>
      </c>
      <c r="G349" s="110">
        <f t="shared" si="121"/>
        <v>0.14961580925765552</v>
      </c>
      <c r="H349" s="412" t="b">
        <f>Wh_hp&gt;='2020'!Maxi_hp</f>
        <v>0</v>
      </c>
      <c r="I349" s="379">
        <f>IF(H349,Wh_hp,'2020'!Maxi_hp)</f>
        <v>28.876381708820084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1.9640295204645608E-2</v>
      </c>
      <c r="M349" s="832"/>
      <c r="N349" s="832"/>
      <c r="O349" s="48">
        <f>IF(t&lt;Tnet,'2020'!Resal+('2020'!Salim-'2020'!Resal)*(1-EXP(('2020'!Tnet-t)/('2020'!Tau_j))),Resal+(Salim-Resal)*(1-EXP((Tnet-t)/(Tau_j))))*Salcycl</f>
        <v>0.10168981814279217</v>
      </c>
      <c r="P349" s="169">
        <f>(INDEX(Models!$BJ349:$BT349,,T349)*(1-R349)+INDEX(Models!$BJ349:$BT349,,T349+1)*R349-ERP_i)*Q349*Ramure*Pc/MaxiM</f>
        <v>3.0444963719990274E-4</v>
      </c>
      <c r="Q349" s="304">
        <f t="shared" si="125"/>
        <v>0.6</v>
      </c>
      <c r="R349" s="177">
        <f t="shared" si="126"/>
        <v>0.99888545343563384</v>
      </c>
      <c r="S349" s="799">
        <f t="shared" si="127"/>
        <v>-1</v>
      </c>
      <c r="T349" s="176">
        <f t="shared" si="128"/>
        <v>5</v>
      </c>
      <c r="U349" s="250">
        <f t="shared" si="129"/>
        <v>-1.114546564366159E-3</v>
      </c>
      <c r="V349" s="382">
        <f t="shared" si="130"/>
        <v>25.771512762459132</v>
      </c>
      <c r="W349" s="400"/>
      <c r="X349" s="157">
        <f t="shared" si="131"/>
        <v>44531</v>
      </c>
      <c r="Y349" s="383">
        <f t="shared" si="132"/>
        <v>3.8570000000000007</v>
      </c>
      <c r="Z349" s="383">
        <f t="shared" si="133"/>
        <v>3.934270228706648</v>
      </c>
      <c r="AA349" s="384">
        <f t="shared" si="134"/>
        <v>4.3796344605298323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0.10168981814279217</v>
      </c>
      <c r="AD349" s="230">
        <f>(INDEX(Models!$BJ349:$BT349,,AH349)*(1-AF349)+INDEX(Models!$BJ349:$BT349,,AH349+1)*AF349-ERP_i)*AE349*Ramure*Pc/MaxiM</f>
        <v>3.0444963719990274E-4</v>
      </c>
      <c r="AE349" s="304">
        <f t="shared" si="136"/>
        <v>0.6</v>
      </c>
      <c r="AF349" s="177">
        <f t="shared" si="137"/>
        <v>0.99888545343563384</v>
      </c>
      <c r="AG349" s="799">
        <f t="shared" si="143"/>
        <v>-1</v>
      </c>
      <c r="AH349" s="176">
        <f t="shared" si="138"/>
        <v>5</v>
      </c>
      <c r="AI349" s="224">
        <f t="shared" si="139"/>
        <v>-1.114546564366159E-3</v>
      </c>
      <c r="AJ349" s="264" t="b">
        <f t="shared" si="140"/>
        <v>0</v>
      </c>
      <c r="AK349" s="264" t="b">
        <f t="shared" si="141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2"/>
        <v>44532</v>
      </c>
      <c r="B350" s="607">
        <v>8.8170000000000002</v>
      </c>
      <c r="C350" s="388"/>
      <c r="D350" s="391">
        <f t="shared" si="122"/>
        <v>8.9938100636974969</v>
      </c>
      <c r="E350" s="383">
        <f t="shared" si="120"/>
        <v>10.012774675639674</v>
      </c>
      <c r="F350" s="383">
        <f t="shared" si="123"/>
        <v>10.012976509324043</v>
      </c>
      <c r="G350" s="110">
        <f t="shared" si="121"/>
        <v>0.34406135978904534</v>
      </c>
      <c r="H350" s="412" t="b">
        <f>Wh_hp&gt;='2020'!Maxi_hp</f>
        <v>1</v>
      </c>
      <c r="I350" s="379">
        <f>IF(H350,Wh_hp,'2020'!Maxi_hp)</f>
        <v>10.012976509324043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1.9659083574732117E-2</v>
      </c>
      <c r="M350" s="832"/>
      <c r="N350" s="832"/>
      <c r="O350" s="48">
        <f>IF(t&lt;Tnet,'2020'!Resal+('2020'!Salim-'2020'!Resal)*(1-EXP(('2020'!Tnet-t)/('2020'!Tau_j))),Resal+(Salim-Resal)*(1-EXP((Tnet-t)/(Tau_j))))*Salcycl</f>
        <v>0.1017664578452205</v>
      </c>
      <c r="P350" s="169">
        <f>(INDEX(Models!$BJ350:$BT350,,T350)*(1-R350)+INDEX(Models!$BJ350:$BT350,,T350+1)*R350-ERP_i)*Q350*Ramure*Pc/MaxiM</f>
        <v>3.1948931625262489E-4</v>
      </c>
      <c r="Q350" s="304">
        <f t="shared" si="125"/>
        <v>0.6</v>
      </c>
      <c r="R350" s="177">
        <f t="shared" si="126"/>
        <v>0.99890124600205576</v>
      </c>
      <c r="S350" s="799">
        <f t="shared" si="127"/>
        <v>-1</v>
      </c>
      <c r="T350" s="176">
        <f t="shared" si="128"/>
        <v>5</v>
      </c>
      <c r="U350" s="250">
        <f t="shared" si="129"/>
        <v>-1.0987539979442351E-3</v>
      </c>
      <c r="V350" s="382">
        <f t="shared" si="130"/>
        <v>25.618572050740529</v>
      </c>
      <c r="W350" s="400"/>
      <c r="X350" s="157">
        <f t="shared" si="131"/>
        <v>44532</v>
      </c>
      <c r="Y350" s="383">
        <f t="shared" si="132"/>
        <v>8.8170000000000002</v>
      </c>
      <c r="Z350" s="383">
        <f t="shared" si="133"/>
        <v>8.9938100636974969</v>
      </c>
      <c r="AA350" s="384">
        <f t="shared" si="134"/>
        <v>10.012774675639674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0.1017664578452205</v>
      </c>
      <c r="AD350" s="230">
        <f>(INDEX(Models!$BJ350:$BT350,,AH350)*(1-AF350)+INDEX(Models!$BJ350:$BT350,,AH350+1)*AF350-ERP_i)*AE350*Ramure*Pc/MaxiM</f>
        <v>3.1948931625262489E-4</v>
      </c>
      <c r="AE350" s="304">
        <f t="shared" si="136"/>
        <v>0.6</v>
      </c>
      <c r="AF350" s="177">
        <f t="shared" si="137"/>
        <v>0.99890124600205576</v>
      </c>
      <c r="AG350" s="799">
        <f t="shared" si="143"/>
        <v>-1</v>
      </c>
      <c r="AH350" s="176">
        <f t="shared" si="138"/>
        <v>5</v>
      </c>
      <c r="AI350" s="224">
        <f t="shared" si="139"/>
        <v>-1.0987539979442351E-3</v>
      </c>
      <c r="AJ350" s="264" t="b">
        <f t="shared" si="140"/>
        <v>0</v>
      </c>
      <c r="AK350" s="264" t="b">
        <f t="shared" si="141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2"/>
        <v>44533</v>
      </c>
      <c r="B351" s="607">
        <v>16.884</v>
      </c>
      <c r="C351" s="388"/>
      <c r="D351" s="391">
        <f t="shared" si="122"/>
        <v>17.222910215536906</v>
      </c>
      <c r="E351" s="383">
        <f t="shared" si="120"/>
        <v>19.175867917223638</v>
      </c>
      <c r="F351" s="383">
        <f t="shared" si="123"/>
        <v>19.179192393399582</v>
      </c>
      <c r="G351" s="110">
        <f t="shared" si="121"/>
        <v>0.66271044674876478</v>
      </c>
      <c r="H351" s="412" t="b">
        <f>Wh_hp&gt;='2020'!Maxi_hp</f>
        <v>1</v>
      </c>
      <c r="I351" s="379">
        <f>IF(H351,Wh_hp,'2020'!Maxi_hp)</f>
        <v>19.179192393399582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1.9677871584743656E-2</v>
      </c>
      <c r="M351" s="832"/>
      <c r="N351" s="832"/>
      <c r="O351" s="48">
        <f>IF(t&lt;Tnet,'2020'!Resal+('2020'!Salim-'2020'!Resal)*(1-EXP(('2020'!Tnet-t)/('2020'!Tau_j))),Resal+(Salim-Resal)*(1-EXP((Tnet-t)/(Tau_j))))*Salcycl</f>
        <v>0.10184455327482717</v>
      </c>
      <c r="P351" s="169">
        <f>(INDEX(Models!$BJ351:$BT351,,T351)*(1-R351)+INDEX(Models!$BJ351:$BT351,,T351+1)*R351-ERP_i)*Q351*Ramure*Pc/MaxiM</f>
        <v>3.3442831087791917E-4</v>
      </c>
      <c r="Q351" s="304">
        <f t="shared" si="125"/>
        <v>0.6</v>
      </c>
      <c r="R351" s="177">
        <f t="shared" si="126"/>
        <v>0.99891640365121837</v>
      </c>
      <c r="S351" s="799">
        <f t="shared" si="127"/>
        <v>-1</v>
      </c>
      <c r="T351" s="176">
        <f t="shared" si="128"/>
        <v>5</v>
      </c>
      <c r="U351" s="250">
        <f t="shared" si="129"/>
        <v>-1.0835963487816347E-3</v>
      </c>
      <c r="V351" s="382">
        <f t="shared" si="130"/>
        <v>25.47308520123509</v>
      </c>
      <c r="W351" s="400"/>
      <c r="X351" s="157">
        <f t="shared" si="131"/>
        <v>44533</v>
      </c>
      <c r="Y351" s="383">
        <f t="shared" si="132"/>
        <v>16.884</v>
      </c>
      <c r="Z351" s="383">
        <f t="shared" si="133"/>
        <v>17.222910215536906</v>
      </c>
      <c r="AA351" s="384">
        <f t="shared" si="134"/>
        <v>19.175867917223638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0.10184455327482717</v>
      </c>
      <c r="AD351" s="230">
        <f>(INDEX(Models!$BJ351:$BT351,,AH351)*(1-AF351)+INDEX(Models!$BJ351:$BT351,,AH351+1)*AF351-ERP_i)*AE351*Ramure*Pc/MaxiM</f>
        <v>3.3442831087791917E-4</v>
      </c>
      <c r="AE351" s="304">
        <f t="shared" si="136"/>
        <v>0.6</v>
      </c>
      <c r="AF351" s="177">
        <f t="shared" si="137"/>
        <v>0.99891640365121837</v>
      </c>
      <c r="AG351" s="799">
        <f t="shared" si="143"/>
        <v>-1</v>
      </c>
      <c r="AH351" s="176">
        <f t="shared" si="138"/>
        <v>5</v>
      </c>
      <c r="AI351" s="224">
        <f t="shared" si="139"/>
        <v>-1.0835963487816347E-3</v>
      </c>
      <c r="AJ351" s="264" t="b">
        <f t="shared" si="140"/>
        <v>0</v>
      </c>
      <c r="AK351" s="264" t="b">
        <f t="shared" si="141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2"/>
        <v>44534</v>
      </c>
      <c r="B352" s="607">
        <v>6.0389999999999997</v>
      </c>
      <c r="C352" s="388"/>
      <c r="D352" s="391">
        <f t="shared" si="122"/>
        <v>6.1603380799308658</v>
      </c>
      <c r="E352" s="383">
        <f t="shared" si="120"/>
        <v>6.8594847700893844</v>
      </c>
      <c r="F352" s="383">
        <f t="shared" si="123"/>
        <v>6.8594847700893844</v>
      </c>
      <c r="G352" s="110">
        <f t="shared" si="121"/>
        <v>0.23827949202374557</v>
      </c>
      <c r="H352" s="412" t="b">
        <f>Wh_hp&gt;='2020'!Maxi_hp</f>
        <v>0</v>
      </c>
      <c r="I352" s="379">
        <f>IF(H352,Wh_hp,'2020'!Maxi_hp)</f>
        <v>14.420566513115322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1.969665923468733E-2</v>
      </c>
      <c r="M352" s="832"/>
      <c r="N352" s="832"/>
      <c r="O352" s="48">
        <f>IF(t&lt;Tnet,'2020'!Resal+('2020'!Salim-'2020'!Resal)*(1-EXP(('2020'!Tnet-t)/('2020'!Tau_j))),Resal+(Salim-Resal)*(1-EXP((Tnet-t)/(Tau_j))))*Salcycl</f>
        <v>0.10192408228780245</v>
      </c>
      <c r="P352" s="169">
        <f>(INDEX(Models!$BJ352:$BT352,,T352)*(1-R352)+INDEX(Models!$BJ352:$BT352,,T352+1)*R352-ERP_i)*Q352*Ramure*Pc/MaxiM</f>
        <v>3.4926761749579826E-4</v>
      </c>
      <c r="Q352" s="304">
        <f t="shared" si="125"/>
        <v>0.6</v>
      </c>
      <c r="R352" s="177">
        <f t="shared" si="126"/>
        <v>0.9989309518728533</v>
      </c>
      <c r="S352" s="799">
        <f t="shared" si="127"/>
        <v>-1</v>
      </c>
      <c r="T352" s="176">
        <f t="shared" si="128"/>
        <v>5</v>
      </c>
      <c r="U352" s="250">
        <f t="shared" si="129"/>
        <v>-1.0690481271466434E-3</v>
      </c>
      <c r="V352" s="382">
        <f t="shared" si="130"/>
        <v>25.33533507892631</v>
      </c>
      <c r="W352" s="400"/>
      <c r="X352" s="157">
        <f t="shared" si="131"/>
        <v>44534</v>
      </c>
      <c r="Y352" s="383">
        <f t="shared" si="132"/>
        <v>6.0389999999999997</v>
      </c>
      <c r="Z352" s="383">
        <f t="shared" si="133"/>
        <v>6.1603380799308658</v>
      </c>
      <c r="AA352" s="384">
        <f t="shared" si="134"/>
        <v>6.8594847700893844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0.10192408228780245</v>
      </c>
      <c r="AD352" s="230">
        <f>(INDEX(Models!$BJ352:$BT352,,AH352)*(1-AF352)+INDEX(Models!$BJ352:$BT352,,AH352+1)*AF352-ERP_i)*AE352*Ramure*Pc/MaxiM</f>
        <v>3.4926761749579826E-4</v>
      </c>
      <c r="AE352" s="304">
        <f t="shared" si="136"/>
        <v>0.6</v>
      </c>
      <c r="AF352" s="177">
        <f t="shared" si="137"/>
        <v>0.9989309518728533</v>
      </c>
      <c r="AG352" s="799">
        <f t="shared" si="143"/>
        <v>-1</v>
      </c>
      <c r="AH352" s="176">
        <f t="shared" si="138"/>
        <v>5</v>
      </c>
      <c r="AI352" s="224">
        <f t="shared" si="139"/>
        <v>-1.0690481271466434E-3</v>
      </c>
      <c r="AJ352" s="264" t="b">
        <f t="shared" si="140"/>
        <v>0</v>
      </c>
      <c r="AK352" s="264" t="b">
        <f t="shared" si="141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2"/>
        <v>44535</v>
      </c>
      <c r="B353" s="607">
        <v>8.9689999999999994</v>
      </c>
      <c r="C353" s="388"/>
      <c r="D353" s="391">
        <f t="shared" si="122"/>
        <v>9.1493841948258332</v>
      </c>
      <c r="E353" s="383">
        <f t="shared" si="120"/>
        <v>10.188680753916845</v>
      </c>
      <c r="F353" s="383">
        <f t="shared" si="123"/>
        <v>10.188976724415941</v>
      </c>
      <c r="G353" s="110">
        <f t="shared" si="121"/>
        <v>0.35571436754274233</v>
      </c>
      <c r="H353" s="412" t="b">
        <f>Wh_hp&gt;='2020'!Maxi_hp</f>
        <v>0</v>
      </c>
      <c r="I353" s="379">
        <f>IF(H353,Wh_hp,'2020'!Maxi_hp)</f>
        <v>10.445309641349432</v>
      </c>
      <c r="J353" s="85">
        <f>IF(H353,An,'2020'!An_max)</f>
        <v>2018</v>
      </c>
      <c r="K353" s="197">
        <f t="shared" si="124"/>
        <v>44535</v>
      </c>
      <c r="L353" s="147">
        <f>IF(t&lt;Tvie,1-EXP((T0-t)*PertePVj)+'2020'!Pspv,1-EXP((T0-t)*PertePVj)+Pspv)</f>
        <v>1.9715446524569913E-2</v>
      </c>
      <c r="M353" s="832"/>
      <c r="N353" s="832"/>
      <c r="O353" s="48">
        <f>IF(t&lt;Tnet,'2020'!Resal+('2020'!Salim-'2020'!Resal)*(1-EXP(('2020'!Tnet-t)/('2020'!Tau_j))),Resal+(Salim-Resal)*(1-EXP((Tnet-t)/(Tau_j))))*Salcycl</f>
        <v>0.10200501754768139</v>
      </c>
      <c r="P353" s="169">
        <f>(INDEX(Models!$BJ353:$BT353,,T353)*(1-R353)+INDEX(Models!$BJ353:$BT353,,T353+1)*R353-ERP_i)*Q353*Ramure*Pc/MaxiM</f>
        <v>3.6418334609860715E-4</v>
      </c>
      <c r="Q353" s="304">
        <f t="shared" si="125"/>
        <v>0.6</v>
      </c>
      <c r="R353" s="177">
        <f t="shared" si="126"/>
        <v>0.9989449151362223</v>
      </c>
      <c r="S353" s="799">
        <f t="shared" si="127"/>
        <v>-1</v>
      </c>
      <c r="T353" s="176">
        <f t="shared" si="128"/>
        <v>5</v>
      </c>
      <c r="U353" s="250">
        <f t="shared" si="129"/>
        <v>-1.0550848637776999E-3</v>
      </c>
      <c r="V353" s="382">
        <f t="shared" si="130"/>
        <v>25.205600062410905</v>
      </c>
      <c r="W353" s="400"/>
      <c r="X353" s="157">
        <f t="shared" si="131"/>
        <v>44535</v>
      </c>
      <c r="Y353" s="383">
        <f t="shared" si="132"/>
        <v>8.9689999999999994</v>
      </c>
      <c r="Z353" s="383">
        <f t="shared" si="133"/>
        <v>9.1493841948258332</v>
      </c>
      <c r="AA353" s="384">
        <f t="shared" si="134"/>
        <v>10.188680753916845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0.10200501754768139</v>
      </c>
      <c r="AD353" s="230">
        <f>(INDEX(Models!$BJ353:$BT353,,AH353)*(1-AF353)+INDEX(Models!$BJ353:$BT353,,AH353+1)*AF353-ERP_i)*AE353*Ramure*Pc/MaxiM</f>
        <v>3.6418334609860715E-4</v>
      </c>
      <c r="AE353" s="304">
        <f t="shared" si="136"/>
        <v>0.6</v>
      </c>
      <c r="AF353" s="177">
        <f t="shared" si="137"/>
        <v>0.9989449151362223</v>
      </c>
      <c r="AG353" s="799">
        <f t="shared" si="143"/>
        <v>-1</v>
      </c>
      <c r="AH353" s="176">
        <f t="shared" si="138"/>
        <v>5</v>
      </c>
      <c r="AI353" s="224">
        <f t="shared" si="139"/>
        <v>-1.0550848637776999E-3</v>
      </c>
      <c r="AJ353" s="264" t="b">
        <f t="shared" si="140"/>
        <v>0</v>
      </c>
      <c r="AK353" s="264" t="b">
        <f t="shared" si="141"/>
        <v>0</v>
      </c>
      <c r="AL353" s="264"/>
      <c r="AM353" s="264"/>
      <c r="AN353" s="75"/>
    </row>
    <row r="354" spans="1:40" s="6" customFormat="1" ht="11.25" x14ac:dyDescent="0.2">
      <c r="A354" s="56">
        <f t="shared" si="142"/>
        <v>44536</v>
      </c>
      <c r="B354" s="607">
        <v>12.17</v>
      </c>
      <c r="C354" s="388"/>
      <c r="D354" s="391">
        <f t="shared" si="122"/>
        <v>12.415000518569938</v>
      </c>
      <c r="E354" s="383">
        <f t="shared" si="120"/>
        <v>13.826512187109113</v>
      </c>
      <c r="F354" s="383">
        <f t="shared" si="123"/>
        <v>13.827899113416048</v>
      </c>
      <c r="G354" s="110">
        <f t="shared" si="121"/>
        <v>0.48503136274215786</v>
      </c>
      <c r="H354" s="412" t="b">
        <f>Wh_hp&gt;='2020'!Maxi_hp</f>
        <v>0</v>
      </c>
      <c r="I354" s="379">
        <f>IF(H354,Wh_hp,'2020'!Maxi_hp)</f>
        <v>22.171647596043584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1.9734233454398509E-2</v>
      </c>
      <c r="M354" s="832"/>
      <c r="N354" s="832"/>
      <c r="O354" s="48">
        <f>IF(t&lt;Tnet,'2020'!Resal+('2020'!Salim-'2020'!Resal)*(1-EXP(('2020'!Tnet-t)/('2020'!Tau_j))),Resal+(Salim-Resal)*(1-EXP((Tnet-t)/(Tau_j))))*Salcycl</f>
        <v>0.10208732682817657</v>
      </c>
      <c r="P354" s="169">
        <f>(INDEX(Models!$BJ354:$BT354,,T354)*(1-R354)+INDEX(Models!$BJ354:$BT354,,T354+1)*R354-ERP_i)*Q354*Ramure*Pc/MaxiM</f>
        <v>3.7916862757079545E-4</v>
      </c>
      <c r="Q354" s="304">
        <f t="shared" si="125"/>
        <v>0.6</v>
      </c>
      <c r="R354" s="177">
        <f t="shared" si="126"/>
        <v>0.99895831693074522</v>
      </c>
      <c r="S354" s="799">
        <f t="shared" si="127"/>
        <v>-1</v>
      </c>
      <c r="T354" s="176">
        <f t="shared" si="128"/>
        <v>5</v>
      </c>
      <c r="U354" s="250">
        <f t="shared" si="129"/>
        <v>-1.0416830692547285E-3</v>
      </c>
      <c r="V354" s="382">
        <f t="shared" si="130"/>
        <v>25.084163112763882</v>
      </c>
      <c r="W354" s="400"/>
      <c r="X354" s="157">
        <f t="shared" si="131"/>
        <v>44536</v>
      </c>
      <c r="Y354" s="383">
        <f t="shared" si="132"/>
        <v>12.17</v>
      </c>
      <c r="Z354" s="383">
        <f t="shared" si="133"/>
        <v>12.415000518569938</v>
      </c>
      <c r="AA354" s="384">
        <f t="shared" si="134"/>
        <v>13.826512187109113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0.10208732682817657</v>
      </c>
      <c r="AD354" s="230">
        <f>(INDEX(Models!$BJ354:$BT354,,AH354)*(1-AF354)+INDEX(Models!$BJ354:$BT354,,AH354+1)*AF354-ERP_i)*AE354*Ramure*Pc/MaxiM</f>
        <v>3.7916862757079545E-4</v>
      </c>
      <c r="AE354" s="304">
        <f t="shared" si="136"/>
        <v>0.6</v>
      </c>
      <c r="AF354" s="177">
        <f t="shared" si="137"/>
        <v>0.99895831693074522</v>
      </c>
      <c r="AG354" s="799">
        <f t="shared" si="143"/>
        <v>-1</v>
      </c>
      <c r="AH354" s="176">
        <f t="shared" si="138"/>
        <v>5</v>
      </c>
      <c r="AI354" s="224">
        <f t="shared" si="139"/>
        <v>-1.0416830692547285E-3</v>
      </c>
      <c r="AJ354" s="264" t="b">
        <f t="shared" si="140"/>
        <v>0</v>
      </c>
      <c r="AK354" s="264" t="b">
        <f t="shared" si="141"/>
        <v>0</v>
      </c>
      <c r="AL354" s="264"/>
      <c r="AM354" s="264"/>
      <c r="AN354" s="75"/>
    </row>
    <row r="355" spans="1:40" s="6" customFormat="1" ht="11.25" x14ac:dyDescent="0.2">
      <c r="A355" s="56">
        <f t="shared" si="142"/>
        <v>44537</v>
      </c>
      <c r="B355" s="607">
        <v>5.6240000000000006</v>
      </c>
      <c r="C355" s="388"/>
      <c r="D355" s="391">
        <f t="shared" si="122"/>
        <v>5.7373295862015592</v>
      </c>
      <c r="E355" s="383">
        <f t="shared" si="120"/>
        <v>6.3902251050536378</v>
      </c>
      <c r="F355" s="383">
        <f t="shared" si="123"/>
        <v>6.3902251050536378</v>
      </c>
      <c r="G355" s="110">
        <f t="shared" si="121"/>
        <v>0.22512970217171163</v>
      </c>
      <c r="H355" s="412" t="b">
        <f>Wh_hp&gt;='2020'!Maxi_hp</f>
        <v>0</v>
      </c>
      <c r="I355" s="379">
        <f>IF(H355,Wh_hp,'2020'!Maxi_hp)</f>
        <v>15.243646605350044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1.9753020024179779E-2</v>
      </c>
      <c r="M355" s="832"/>
      <c r="N355" s="832"/>
      <c r="O355" s="48">
        <f>IF(t&lt;Tnet,'2020'!Resal+('2020'!Salim-'2020'!Resal)*(1-EXP(('2020'!Tnet-t)/('2020'!Tau_j))),Resal+(Salim-Resal)*(1-EXP((Tnet-t)/(Tau_j))))*Salcycl</f>
        <v>0.10217097334110249</v>
      </c>
      <c r="P355" s="169">
        <f>(INDEX(Models!$BJ355:$BT355,,T355)*(1-R355)+INDEX(Models!$BJ355:$BT355,,T355+1)*R355-ERP_i)*Q355*Ramure*Pc/MaxiM</f>
        <v>3.9421518181550509E-4</v>
      </c>
      <c r="Q355" s="304">
        <f t="shared" si="125"/>
        <v>0.6</v>
      </c>
      <c r="R355" s="177">
        <f t="shared" si="126"/>
        <v>0.99897117980503025</v>
      </c>
      <c r="S355" s="799">
        <f t="shared" si="127"/>
        <v>-1</v>
      </c>
      <c r="T355" s="176">
        <f t="shared" si="128"/>
        <v>5</v>
      </c>
      <c r="U355" s="250">
        <f t="shared" si="129"/>
        <v>-1.0288201949696929E-3</v>
      </c>
      <c r="V355" s="382">
        <f t="shared" si="130"/>
        <v>24.971307115795881</v>
      </c>
      <c r="W355" s="400"/>
      <c r="X355" s="157">
        <f t="shared" si="131"/>
        <v>44537</v>
      </c>
      <c r="Y355" s="383">
        <f t="shared" si="132"/>
        <v>5.6240000000000006</v>
      </c>
      <c r="Z355" s="383">
        <f t="shared" si="133"/>
        <v>5.7373295862015592</v>
      </c>
      <c r="AA355" s="384">
        <f t="shared" si="134"/>
        <v>6.3902251050536378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0.10217097334110249</v>
      </c>
      <c r="AD355" s="230">
        <f>(INDEX(Models!$BJ355:$BT355,,AH355)*(1-AF355)+INDEX(Models!$BJ355:$BT355,,AH355+1)*AF355-ERP_i)*AE355*Ramure*Pc/MaxiM</f>
        <v>3.9421518181550509E-4</v>
      </c>
      <c r="AE355" s="304">
        <f t="shared" si="136"/>
        <v>0.6</v>
      </c>
      <c r="AF355" s="177">
        <f t="shared" si="137"/>
        <v>0.99897117980503025</v>
      </c>
      <c r="AG355" s="799">
        <f t="shared" si="143"/>
        <v>-1</v>
      </c>
      <c r="AH355" s="176">
        <f t="shared" si="138"/>
        <v>5</v>
      </c>
      <c r="AI355" s="224">
        <f t="shared" si="139"/>
        <v>-1.0288201949696929E-3</v>
      </c>
      <c r="AJ355" s="264" t="b">
        <f t="shared" si="140"/>
        <v>0</v>
      </c>
      <c r="AK355" s="264" t="b">
        <f t="shared" si="141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2"/>
        <v>44538</v>
      </c>
      <c r="B356" s="607">
        <v>9.25</v>
      </c>
      <c r="C356" s="388"/>
      <c r="D356" s="391">
        <f t="shared" si="122"/>
        <v>9.4365781955945369</v>
      </c>
      <c r="E356" s="383">
        <f t="shared" si="120"/>
        <v>10.51143456658501</v>
      </c>
      <c r="F356" s="383">
        <f t="shared" si="123"/>
        <v>10.511876966469059</v>
      </c>
      <c r="G356" s="110">
        <f t="shared" si="121"/>
        <v>0.37183761315175806</v>
      </c>
      <c r="H356" s="412" t="b">
        <f>Wh_hp&gt;='2020'!Maxi_hp</f>
        <v>0</v>
      </c>
      <c r="I356" s="379">
        <f>IF(H356,Wh_hp,'2020'!Maxi_hp)</f>
        <v>18.001380759086484</v>
      </c>
      <c r="J356" s="85">
        <f>IF(H356,An,'2020'!An_max)</f>
        <v>2018</v>
      </c>
      <c r="K356" s="197">
        <f t="shared" si="124"/>
        <v>44538</v>
      </c>
      <c r="L356" s="147">
        <f>IF(t&lt;Tvie,1-EXP((T0-t)*PertePVj)+'2020'!Pspv,1-EXP((T0-t)*PertePVj)+Pspv)</f>
        <v>1.9771806233920719E-2</v>
      </c>
      <c r="M356" s="832"/>
      <c r="N356" s="832"/>
      <c r="O356" s="48">
        <f>IF(t&lt;Tnet,'2020'!Resal+('2020'!Salim-'2020'!Resal)*(1-EXP(('2020'!Tnet-t)/('2020'!Tau_j))),Resal+(Salim-Resal)*(1-EXP((Tnet-t)/(Tau_j))))*Salcycl</f>
        <v>0.10225591608659704</v>
      </c>
      <c r="P356" s="169">
        <f>(INDEX(Models!$BJ356:$BT356,,T356)*(1-R356)+INDEX(Models!$BJ356:$BT356,,T356+1)*R356-ERP_i)*Q356*Ramure*Pc/MaxiM</f>
        <v>4.0931326538526836E-4</v>
      </c>
      <c r="Q356" s="304">
        <f t="shared" si="125"/>
        <v>0.6</v>
      </c>
      <c r="R356" s="177">
        <f t="shared" si="126"/>
        <v>0.99898352540436441</v>
      </c>
      <c r="S356" s="799">
        <f t="shared" si="127"/>
        <v>-1</v>
      </c>
      <c r="T356" s="176">
        <f t="shared" si="128"/>
        <v>5</v>
      </c>
      <c r="U356" s="250">
        <f t="shared" si="129"/>
        <v>-1.0164745956356414E-3</v>
      </c>
      <c r="V356" s="382">
        <f t="shared" si="130"/>
        <v>24.867314857797464</v>
      </c>
      <c r="W356" s="400"/>
      <c r="X356" s="157">
        <f t="shared" si="131"/>
        <v>44538</v>
      </c>
      <c r="Y356" s="383">
        <f t="shared" si="132"/>
        <v>9.25</v>
      </c>
      <c r="Z356" s="383">
        <f t="shared" si="133"/>
        <v>9.4365781955945369</v>
      </c>
      <c r="AA356" s="384">
        <f t="shared" si="134"/>
        <v>10.51143456658501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0.10225591608659704</v>
      </c>
      <c r="AD356" s="230">
        <f>(INDEX(Models!$BJ356:$BT356,,AH356)*(1-AF356)+INDEX(Models!$BJ356:$BT356,,AH356+1)*AF356-ERP_i)*AE356*Ramure*Pc/MaxiM</f>
        <v>4.0931326538526836E-4</v>
      </c>
      <c r="AE356" s="304">
        <f t="shared" si="136"/>
        <v>0.6</v>
      </c>
      <c r="AF356" s="177">
        <f t="shared" si="137"/>
        <v>0.99898352540436441</v>
      </c>
      <c r="AG356" s="799">
        <f t="shared" si="143"/>
        <v>-1</v>
      </c>
      <c r="AH356" s="176">
        <f t="shared" si="138"/>
        <v>5</v>
      </c>
      <c r="AI356" s="224">
        <f t="shared" si="139"/>
        <v>-1.0164745956356414E-3</v>
      </c>
      <c r="AJ356" s="264" t="b">
        <f t="shared" si="140"/>
        <v>0</v>
      </c>
      <c r="AK356" s="264" t="b">
        <f t="shared" si="141"/>
        <v>0</v>
      </c>
      <c r="AL356" s="264"/>
      <c r="AM356" s="264"/>
      <c r="AN356" s="75"/>
    </row>
    <row r="357" spans="1:40" s="6" customFormat="1" ht="11.25" x14ac:dyDescent="0.2">
      <c r="A357" s="56">
        <f t="shared" si="142"/>
        <v>44539</v>
      </c>
      <c r="B357" s="607">
        <v>8.370000000000001</v>
      </c>
      <c r="C357" s="388"/>
      <c r="D357" s="391">
        <f t="shared" si="122"/>
        <v>8.538991701571284</v>
      </c>
      <c r="E357" s="383">
        <f t="shared" si="120"/>
        <v>9.5125234221353949</v>
      </c>
      <c r="F357" s="383">
        <f t="shared" si="123"/>
        <v>9.5127418909553949</v>
      </c>
      <c r="G357" s="110">
        <f t="shared" si="121"/>
        <v>0.33773942671459412</v>
      </c>
      <c r="H357" s="412" t="b">
        <f>Wh_hp&gt;='2020'!Maxi_hp</f>
        <v>0</v>
      </c>
      <c r="I357" s="379">
        <f>IF(H357,Wh_hp,'2020'!Maxi_hp)</f>
        <v>12.508888202524682</v>
      </c>
      <c r="J357" s="85">
        <f>IF(H357,An,'2020'!An_max)</f>
        <v>2018</v>
      </c>
      <c r="K357" s="197">
        <f t="shared" si="124"/>
        <v>44539</v>
      </c>
      <c r="L357" s="147">
        <f>IF(t&lt;Tvie,1-EXP((T0-t)*PertePVj)+'2020'!Pspv,1-EXP((T0-t)*PertePVj)+Pspv)</f>
        <v>1.9790592083628211E-2</v>
      </c>
      <c r="M357" s="832"/>
      <c r="N357" s="832"/>
      <c r="O357" s="48">
        <f>IF(t&lt;Tnet,'2020'!Resal+('2020'!Salim-'2020'!Resal)*(1-EXP(('2020'!Tnet-t)/('2020'!Tau_j))),Resal+(Salim-Resal)*(1-EXP((Tnet-t)/(Tau_j))))*Salcycl</f>
        <v>0.10234211022269107</v>
      </c>
      <c r="P357" s="169">
        <f>(INDEX(Models!$BJ357:$BT357,,T357)*(1-R357)+INDEX(Models!$BJ357:$BT357,,T357+1)*R357-ERP_i)*Q357*Ramure*Pc/MaxiM</f>
        <v>4.2445163391469808E-4</v>
      </c>
      <c r="Q357" s="304">
        <f t="shared" si="125"/>
        <v>0.6</v>
      </c>
      <c r="R357" s="177">
        <f t="shared" si="126"/>
        <v>0.99899537450672438</v>
      </c>
      <c r="S357" s="799">
        <f t="shared" si="127"/>
        <v>-1</v>
      </c>
      <c r="T357" s="176">
        <f t="shared" si="128"/>
        <v>5</v>
      </c>
      <c r="U357" s="250">
        <f t="shared" si="129"/>
        <v>-1.0046254932755683E-3</v>
      </c>
      <c r="V357" s="382">
        <f t="shared" si="130"/>
        <v>24.772469026614893</v>
      </c>
      <c r="W357" s="400"/>
      <c r="X357" s="157">
        <f t="shared" si="131"/>
        <v>44539</v>
      </c>
      <c r="Y357" s="383">
        <f t="shared" si="132"/>
        <v>8.370000000000001</v>
      </c>
      <c r="Z357" s="383">
        <f t="shared" si="133"/>
        <v>8.538991701571284</v>
      </c>
      <c r="AA357" s="384">
        <f t="shared" si="134"/>
        <v>9.5125234221353949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0.10234211022269107</v>
      </c>
      <c r="AD357" s="230">
        <f>(INDEX(Models!$BJ357:$BT357,,AH357)*(1-AF357)+INDEX(Models!$BJ357:$BT357,,AH357+1)*AF357-ERP_i)*AE357*Ramure*Pc/MaxiM</f>
        <v>4.2445163391469808E-4</v>
      </c>
      <c r="AE357" s="304">
        <f t="shared" si="136"/>
        <v>0.6</v>
      </c>
      <c r="AF357" s="177">
        <f t="shared" si="137"/>
        <v>0.99899537450672438</v>
      </c>
      <c r="AG357" s="799">
        <f t="shared" si="143"/>
        <v>-1</v>
      </c>
      <c r="AH357" s="176">
        <f t="shared" si="138"/>
        <v>5</v>
      </c>
      <c r="AI357" s="224">
        <f t="shared" si="139"/>
        <v>-1.0046254932755683E-3</v>
      </c>
      <c r="AJ357" s="264" t="b">
        <f t="shared" si="140"/>
        <v>0</v>
      </c>
      <c r="AK357" s="264" t="b">
        <f t="shared" si="141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2"/>
        <v>44540</v>
      </c>
      <c r="B358" s="607">
        <v>1.9430000000000001</v>
      </c>
      <c r="C358" s="388"/>
      <c r="D358" s="391">
        <f t="shared" si="122"/>
        <v>1.9822674850629054</v>
      </c>
      <c r="E358" s="383">
        <f t="shared" si="120"/>
        <v>2.2084811182170481</v>
      </c>
      <c r="F358" s="383">
        <f t="shared" si="123"/>
        <v>2.2084811182170481</v>
      </c>
      <c r="G358" s="110">
        <f t="shared" si="121"/>
        <v>7.8670624935377895E-2</v>
      </c>
      <c r="H358" s="412" t="b">
        <f>Wh_hp&gt;='2020'!Maxi_hp</f>
        <v>0</v>
      </c>
      <c r="I358" s="379">
        <f>IF(H358,Wh_hp,'2020'!Maxi_hp)</f>
        <v>24.237624658257118</v>
      </c>
      <c r="J358" s="85">
        <f>IF(H358,An,'2020'!An_max)</f>
        <v>2018</v>
      </c>
      <c r="K358" s="197">
        <f t="shared" si="124"/>
        <v>44540</v>
      </c>
      <c r="L358" s="147">
        <f>IF(t&lt;Tvie,1-EXP((T0-t)*PertePVj)+'2020'!Pspv,1-EXP((T0-t)*PertePVj)+Pspv)</f>
        <v>1.980937757330925E-2</v>
      </c>
      <c r="M358" s="832"/>
      <c r="N358" s="832"/>
      <c r="O358" s="48">
        <f>IF(t&lt;Tnet,'2020'!Resal+('2020'!Salim-'2020'!Resal)*(1-EXP(('2020'!Tnet-t)/('2020'!Tau_j))),Resal+(Salim-Resal)*(1-EXP((Tnet-t)/(Tau_j))))*Salcycl</f>
        <v>0.10242950745115252</v>
      </c>
      <c r="P358" s="169">
        <f>(INDEX(Models!$BJ358:$BT358,,T358)*(1-R358)+INDEX(Models!$BJ358:$BT358,,T358+1)*R358-ERP_i)*Q358*Ramure*Pc/MaxiM</f>
        <v>4.3961752170515532E-4</v>
      </c>
      <c r="Q358" s="304">
        <f t="shared" si="125"/>
        <v>0.6</v>
      </c>
      <c r="R358" s="177">
        <f t="shared" si="126"/>
        <v>0.99900674705736892</v>
      </c>
      <c r="S358" s="799">
        <f t="shared" si="127"/>
        <v>-1</v>
      </c>
      <c r="T358" s="176">
        <f t="shared" si="128"/>
        <v>5</v>
      </c>
      <c r="U358" s="250">
        <f t="shared" si="129"/>
        <v>-9.9325294263102881E-4</v>
      </c>
      <c r="V358" s="382">
        <f t="shared" si="130"/>
        <v>24.687052184352876</v>
      </c>
      <c r="W358" s="400"/>
      <c r="X358" s="157">
        <f t="shared" si="131"/>
        <v>44540</v>
      </c>
      <c r="Y358" s="383">
        <f t="shared" si="132"/>
        <v>1.9429999999999998</v>
      </c>
      <c r="Z358" s="383">
        <f t="shared" si="133"/>
        <v>1.9822674850629052</v>
      </c>
      <c r="AA358" s="384">
        <f t="shared" si="134"/>
        <v>2.2084811182170481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0.10242950745115252</v>
      </c>
      <c r="AD358" s="230">
        <f>(INDEX(Models!$BJ358:$BT358,,AH358)*(1-AF358)+INDEX(Models!$BJ358:$BT358,,AH358+1)*AF358-ERP_i)*AE358*Ramure*Pc/MaxiM</f>
        <v>4.3961752170515532E-4</v>
      </c>
      <c r="AE358" s="304">
        <f t="shared" si="136"/>
        <v>0.6</v>
      </c>
      <c r="AF358" s="177">
        <f t="shared" si="137"/>
        <v>0.99900674705736892</v>
      </c>
      <c r="AG358" s="799">
        <f t="shared" si="143"/>
        <v>-1</v>
      </c>
      <c r="AH358" s="176">
        <f t="shared" si="138"/>
        <v>5</v>
      </c>
      <c r="AI358" s="224">
        <f t="shared" si="139"/>
        <v>-9.9325294263102881E-4</v>
      </c>
      <c r="AJ358" s="264" t="b">
        <f t="shared" si="140"/>
        <v>0</v>
      </c>
      <c r="AK358" s="264" t="b">
        <f t="shared" si="141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2"/>
        <v>44541</v>
      </c>
      <c r="B359" s="607">
        <v>14.031000000000001</v>
      </c>
      <c r="C359" s="388"/>
      <c r="D359" s="391">
        <f t="shared" si="122"/>
        <v>14.314836915425548</v>
      </c>
      <c r="E359" s="383">
        <f t="shared" si="120"/>
        <v>15.949999905588756</v>
      </c>
      <c r="F359" s="383">
        <f t="shared" si="123"/>
        <v>15.952799893332349</v>
      </c>
      <c r="G359" s="110">
        <f t="shared" si="121"/>
        <v>0.56997349596598101</v>
      </c>
      <c r="H359" s="412" t="b">
        <f>Wh_hp&gt;='2020'!Maxi_hp</f>
        <v>1</v>
      </c>
      <c r="I359" s="379">
        <f>IF(H359,Wh_hp,'2020'!Maxi_hp)</f>
        <v>15.952799893332349</v>
      </c>
      <c r="J359" s="85">
        <f>IF(H359,An,'2020'!An_max)</f>
        <v>2021</v>
      </c>
      <c r="K359" s="197">
        <f t="shared" si="124"/>
        <v>44541</v>
      </c>
      <c r="L359" s="147">
        <f>IF(t&lt;Tvie,1-EXP((T0-t)*PertePVj)+'2020'!Pspv,1-EXP((T0-t)*PertePVj)+Pspv)</f>
        <v>1.9828162702970609E-2</v>
      </c>
      <c r="M359" s="832"/>
      <c r="N359" s="832"/>
      <c r="O359" s="48">
        <f>IF(t&lt;Tnet,'2020'!Resal+('2020'!Salim-'2020'!Resal)*(1-EXP(('2020'!Tnet-t)/('2020'!Tau_j))),Resal+(Salim-Resal)*(1-EXP((Tnet-t)/(Tau_j))))*Salcycl</f>
        <v>0.10251805641643041</v>
      </c>
      <c r="P359" s="169">
        <f>(INDEX(Models!$BJ359:$BT359,,T359)*(1-R359)+INDEX(Models!$BJ359:$BT359,,T359+1)*R359-ERP_i)*Q359*Ramure*Pc/MaxiM</f>
        <v>4.5482045725797171E-4</v>
      </c>
      <c r="Q359" s="304">
        <f t="shared" si="125"/>
        <v>0.6</v>
      </c>
      <c r="R359" s="177">
        <f t="shared" si="126"/>
        <v>0.99901766220206034</v>
      </c>
      <c r="S359" s="799">
        <f t="shared" si="127"/>
        <v>-1</v>
      </c>
      <c r="T359" s="176">
        <f t="shared" si="128"/>
        <v>5</v>
      </c>
      <c r="U359" s="250">
        <f t="shared" si="129"/>
        <v>-9.823377979397141E-4</v>
      </c>
      <c r="V359" s="382">
        <f t="shared" si="130"/>
        <v>24.610057317854242</v>
      </c>
      <c r="W359" s="400"/>
      <c r="X359" s="157">
        <f t="shared" si="131"/>
        <v>44541</v>
      </c>
      <c r="Y359" s="383">
        <f t="shared" si="132"/>
        <v>14.031000000000001</v>
      </c>
      <c r="Z359" s="383">
        <f t="shared" si="133"/>
        <v>14.314836915425548</v>
      </c>
      <c r="AA359" s="384">
        <f t="shared" si="134"/>
        <v>15.949999905588756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0.10251805641643041</v>
      </c>
      <c r="AD359" s="230">
        <f>(INDEX(Models!$BJ359:$BT359,,AH359)*(1-AF359)+INDEX(Models!$BJ359:$BT359,,AH359+1)*AF359-ERP_i)*AE359*Ramure*Pc/MaxiM</f>
        <v>4.5482045725797171E-4</v>
      </c>
      <c r="AE359" s="304">
        <f t="shared" si="136"/>
        <v>0.6</v>
      </c>
      <c r="AF359" s="177">
        <f t="shared" si="137"/>
        <v>0.99901766220206034</v>
      </c>
      <c r="AG359" s="799">
        <f t="shared" si="143"/>
        <v>-1</v>
      </c>
      <c r="AH359" s="176">
        <f t="shared" si="138"/>
        <v>5</v>
      </c>
      <c r="AI359" s="224">
        <f t="shared" si="139"/>
        <v>-9.823377979397141E-4</v>
      </c>
      <c r="AJ359" s="264" t="b">
        <f t="shared" si="140"/>
        <v>0</v>
      </c>
      <c r="AK359" s="264" t="b">
        <f t="shared" si="141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2"/>
        <v>44542</v>
      </c>
      <c r="B360" s="607">
        <v>23.574999999999999</v>
      </c>
      <c r="C360" s="388"/>
      <c r="D360" s="391">
        <f t="shared" si="122"/>
        <v>24.052366045497195</v>
      </c>
      <c r="E360" s="383">
        <f t="shared" si="120"/>
        <v>26.802510038221225</v>
      </c>
      <c r="F360" s="383">
        <f t="shared" si="123"/>
        <v>26.814406326002654</v>
      </c>
      <c r="G360" s="110">
        <f t="shared" si="121"/>
        <v>0.96063279133341184</v>
      </c>
      <c r="H360" s="412" t="b">
        <f>Wh_hp&gt;='2020'!Maxi_hp</f>
        <v>1</v>
      </c>
      <c r="I360" s="379">
        <f>IF(H360,Wh_hp,'2020'!Maxi_hp)</f>
        <v>26.814406326002654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1.9846947472619281E-2</v>
      </c>
      <c r="M360" s="832"/>
      <c r="N360" s="832"/>
      <c r="O360" s="48">
        <f>IF(t&lt;Tnet,'2020'!Resal+('2020'!Salim-'2020'!Resal)*(1-EXP(('2020'!Tnet-t)/('2020'!Tau_j))),Resal+(Salim-Resal)*(1-EXP((Tnet-t)/(Tau_j))))*Salcycl</f>
        <v>0.10260770311445598</v>
      </c>
      <c r="P360" s="169">
        <f>(INDEX(Models!$BJ360:$BT360,,T360)*(1-R360)+INDEX(Models!$BJ360:$BT360,,T360+1)*R360-ERP_i)*Q360*Ramure*Pc/MaxiM</f>
        <v>4.7007212363392616E-4</v>
      </c>
      <c r="Q360" s="304">
        <f t="shared" si="125"/>
        <v>0.6</v>
      </c>
      <c r="R360" s="177">
        <f t="shared" si="126"/>
        <v>0.99902813831897497</v>
      </c>
      <c r="S360" s="799">
        <f t="shared" si="127"/>
        <v>-1</v>
      </c>
      <c r="T360" s="176">
        <f t="shared" si="128"/>
        <v>5</v>
      </c>
      <c r="U360" s="250">
        <f t="shared" si="129"/>
        <v>-9.7186168102497694E-4</v>
      </c>
      <c r="V360" s="382">
        <f t="shared" si="130"/>
        <v>24.540466556894462</v>
      </c>
      <c r="W360" s="400"/>
      <c r="X360" s="157">
        <f t="shared" si="131"/>
        <v>44542</v>
      </c>
      <c r="Y360" s="383">
        <f t="shared" si="132"/>
        <v>23.574999999999999</v>
      </c>
      <c r="Z360" s="383">
        <f t="shared" si="133"/>
        <v>24.052366045497195</v>
      </c>
      <c r="AA360" s="384">
        <f t="shared" si="134"/>
        <v>26.802510038221225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0.10260770311445598</v>
      </c>
      <c r="AD360" s="230">
        <f>(INDEX(Models!$BJ360:$BT360,,AH360)*(1-AF360)+INDEX(Models!$BJ360:$BT360,,AH360+1)*AF360-ERP_i)*AE360*Ramure*Pc/MaxiM</f>
        <v>4.7007212363392616E-4</v>
      </c>
      <c r="AE360" s="304">
        <f t="shared" si="136"/>
        <v>0.6</v>
      </c>
      <c r="AF360" s="177">
        <f t="shared" si="137"/>
        <v>0.99902813831897497</v>
      </c>
      <c r="AG360" s="799">
        <f t="shared" si="143"/>
        <v>-1</v>
      </c>
      <c r="AH360" s="176">
        <f t="shared" si="138"/>
        <v>5</v>
      </c>
      <c r="AI360" s="224">
        <f t="shared" si="139"/>
        <v>-9.7186168102497694E-4</v>
      </c>
      <c r="AJ360" s="264" t="b">
        <f t="shared" si="140"/>
        <v>0</v>
      </c>
      <c r="AK360" s="264" t="b">
        <f t="shared" si="141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2"/>
        <v>44543</v>
      </c>
      <c r="B361" s="607">
        <v>24.747</v>
      </c>
      <c r="C361" s="388"/>
      <c r="D361" s="391">
        <f t="shared" si="122"/>
        <v>25.248581551509723</v>
      </c>
      <c r="E361" s="383">
        <f t="shared" ref="E361:E379" si="144">Wh_pvt/(1-Psa)</f>
        <v>28.138344238917707</v>
      </c>
      <c r="F361" s="383">
        <f t="shared" si="123"/>
        <v>28.151976192045886</v>
      </c>
      <c r="G361" s="110">
        <f t="shared" ref="G361:G379" si="145">+Wh_hp/MaxiM</f>
        <v>1.0109657625022384</v>
      </c>
      <c r="H361" s="412" t="b">
        <f>Wh_hp&gt;='2020'!Maxi_hp</f>
        <v>1</v>
      </c>
      <c r="I361" s="379">
        <f>IF(H361,Wh_hp,'2020'!Maxi_hp)</f>
        <v>28.151976192045886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1.986573188226215E-2</v>
      </c>
      <c r="M361" s="832"/>
      <c r="N361" s="832"/>
      <c r="O361" s="48">
        <f>IF(t&lt;Tnet,'2020'!Resal+('2020'!Salim-'2020'!Resal)*(1-EXP(('2020'!Tnet-t)/('2020'!Tau_j))),Resal+(Salim-Resal)*(1-EXP((Tnet-t)/(Tau_j))))*Salcycl</f>
        <v>0.10269839130801443</v>
      </c>
      <c r="P361" s="169">
        <f>(INDEX(Models!$BJ361:$BT361,,T361)*(1-R361)+INDEX(Models!$BJ361:$BT361,,T361+1)*R361-ERP_i)*Q361*Ramure*Pc/MaxiM</f>
        <v>4.8422721855073079E-4</v>
      </c>
      <c r="Q361" s="304">
        <f t="shared" si="125"/>
        <v>0.6</v>
      </c>
      <c r="R361" s="177">
        <f t="shared" si="126"/>
        <v>0.99903819304935093</v>
      </c>
      <c r="S361" s="799">
        <f t="shared" si="127"/>
        <v>-1</v>
      </c>
      <c r="T361" s="176">
        <f t="shared" si="128"/>
        <v>5</v>
      </c>
      <c r="U361" s="250">
        <f t="shared" si="129"/>
        <v>-9.6180695064906896E-4</v>
      </c>
      <c r="V361" s="382">
        <f t="shared" si="130"/>
        <v>24.478573773605127</v>
      </c>
      <c r="W361" s="400"/>
      <c r="X361" s="157">
        <f t="shared" si="131"/>
        <v>44543</v>
      </c>
      <c r="Y361" s="383">
        <f t="shared" si="132"/>
        <v>24.747</v>
      </c>
      <c r="Z361" s="383">
        <f t="shared" si="133"/>
        <v>25.248581551509723</v>
      </c>
      <c r="AA361" s="384">
        <f t="shared" si="134"/>
        <v>28.138344238917707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0.10269839130801443</v>
      </c>
      <c r="AD361" s="230">
        <f>(INDEX(Models!$BJ361:$BT361,,AH361)*(1-AF361)+INDEX(Models!$BJ361:$BT361,,AH361+1)*AF361-ERP_i)*AE361*Ramure*Pc/MaxiM</f>
        <v>4.8422721855073079E-4</v>
      </c>
      <c r="AE361" s="304">
        <f t="shared" si="136"/>
        <v>0.6</v>
      </c>
      <c r="AF361" s="177">
        <f t="shared" si="137"/>
        <v>0.99903819304935093</v>
      </c>
      <c r="AG361" s="799">
        <f t="shared" si="143"/>
        <v>-1</v>
      </c>
      <c r="AH361" s="176">
        <f t="shared" si="138"/>
        <v>5</v>
      </c>
      <c r="AI361" s="224">
        <f t="shared" si="139"/>
        <v>-9.6180695064906896E-4</v>
      </c>
      <c r="AJ361" s="264" t="b">
        <f t="shared" si="140"/>
        <v>0</v>
      </c>
      <c r="AK361" s="264" t="b">
        <f t="shared" si="141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2"/>
        <v>44544</v>
      </c>
      <c r="B362" s="607">
        <v>23.778000000000002</v>
      </c>
      <c r="C362" s="388"/>
      <c r="D362" s="391">
        <f t="shared" si="122"/>
        <v>24.260406438337643</v>
      </c>
      <c r="E362" s="383">
        <f t="shared" si="144"/>
        <v>27.039832525685704</v>
      </c>
      <c r="F362" s="383">
        <f t="shared" si="123"/>
        <v>27.05277642016825</v>
      </c>
      <c r="G362" s="110">
        <f t="shared" si="145"/>
        <v>0.97350659106995907</v>
      </c>
      <c r="H362" s="412" t="b">
        <f>Wh_hp&gt;='2020'!Maxi_hp</f>
        <v>1</v>
      </c>
      <c r="I362" s="379">
        <f>IF(H362,Wh_hp,'2020'!Maxi_hp)</f>
        <v>27.05277642016825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1.9884515931906099E-2</v>
      </c>
      <c r="M362" s="832"/>
      <c r="N362" s="832"/>
      <c r="O362" s="48">
        <f>IF(t&lt;Tnet,'2020'!Resal+('2020'!Salim-'2020'!Resal)*(1-EXP(('2020'!Tnet-t)/('2020'!Tau_j))),Resal+(Salim-Resal)*(1-EXP((Tnet-t)/(Tau_j))))*Salcycl</f>
        <v>0.10279006294539079</v>
      </c>
      <c r="P362" s="169">
        <f>(INDEX(Models!$BJ362:$BT362,,T362)*(1-R362)+INDEX(Models!$BJ362:$BT362,,T362+1)*R362-ERP_i)*Q362*Ramure*Pc/MaxiM</f>
        <v>4.9727599882994067E-4</v>
      </c>
      <c r="Q362" s="304">
        <f t="shared" si="125"/>
        <v>0.6</v>
      </c>
      <c r="R362" s="177">
        <f t="shared" si="126"/>
        <v>0.99904784332692032</v>
      </c>
      <c r="S362" s="799">
        <f t="shared" si="127"/>
        <v>-1</v>
      </c>
      <c r="T362" s="176">
        <f t="shared" si="128"/>
        <v>5</v>
      </c>
      <c r="U362" s="250">
        <f t="shared" si="129"/>
        <v>-9.5215667307974039E-4</v>
      </c>
      <c r="V362" s="382">
        <f t="shared" si="130"/>
        <v>24.424644674506727</v>
      </c>
      <c r="W362" s="400"/>
      <c r="X362" s="157">
        <f t="shared" si="131"/>
        <v>44544</v>
      </c>
      <c r="Y362" s="383">
        <f t="shared" si="132"/>
        <v>23.778000000000002</v>
      </c>
      <c r="Z362" s="383">
        <f t="shared" si="133"/>
        <v>24.260406438337643</v>
      </c>
      <c r="AA362" s="384">
        <f t="shared" si="134"/>
        <v>27.039832525685704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0.10279006294539079</v>
      </c>
      <c r="AD362" s="230">
        <f>(INDEX(Models!$BJ362:$BT362,,AH362)*(1-AF362)+INDEX(Models!$BJ362:$BT362,,AH362+1)*AF362-ERP_i)*AE362*Ramure*Pc/MaxiM</f>
        <v>4.9727599882994067E-4</v>
      </c>
      <c r="AE362" s="304">
        <f t="shared" si="136"/>
        <v>0.6</v>
      </c>
      <c r="AF362" s="177">
        <f t="shared" si="137"/>
        <v>0.99904784332692032</v>
      </c>
      <c r="AG362" s="799">
        <f t="shared" si="143"/>
        <v>-1</v>
      </c>
      <c r="AH362" s="176">
        <f t="shared" si="138"/>
        <v>5</v>
      </c>
      <c r="AI362" s="224">
        <f t="shared" si="139"/>
        <v>-9.5215667307974039E-4</v>
      </c>
      <c r="AJ362" s="264" t="b">
        <f t="shared" si="140"/>
        <v>0</v>
      </c>
      <c r="AK362" s="264" t="b">
        <f t="shared" si="141"/>
        <v>0</v>
      </c>
      <c r="AL362" s="264"/>
      <c r="AM362" s="264"/>
      <c r="AN362" s="75"/>
    </row>
    <row r="363" spans="1:40" s="6" customFormat="1" ht="11.25" x14ac:dyDescent="0.2">
      <c r="A363" s="56">
        <f t="shared" si="142"/>
        <v>44545</v>
      </c>
      <c r="B363" s="607">
        <v>23.19</v>
      </c>
      <c r="C363" s="388"/>
      <c r="D363" s="391">
        <f t="shared" si="122"/>
        <v>23.660930590875076</v>
      </c>
      <c r="E363" s="383">
        <f t="shared" si="144"/>
        <v>26.374398864475488</v>
      </c>
      <c r="F363" s="383">
        <f t="shared" si="123"/>
        <v>26.386899162440105</v>
      </c>
      <c r="G363" s="110">
        <f t="shared" si="145"/>
        <v>0.95119690524755751</v>
      </c>
      <c r="H363" s="412" t="b">
        <f>Wh_hp&gt;='2020'!Maxi_hp</f>
        <v>0</v>
      </c>
      <c r="I363" s="379">
        <f>IF(H363,Wh_hp,'2020'!Maxi_hp)</f>
        <v>28.710535852153466</v>
      </c>
      <c r="J363" s="85">
        <f>IF(H363,An,'2020'!An_max)</f>
        <v>2018</v>
      </c>
      <c r="K363" s="197">
        <f t="shared" si="124"/>
        <v>44545</v>
      </c>
      <c r="L363" s="147">
        <f>IF(t&lt;Tvie,1-EXP((T0-t)*PertePVj)+'2020'!Pspv,1-EXP((T0-t)*PertePVj)+Pspv)</f>
        <v>1.9903299621558013E-2</v>
      </c>
      <c r="M363" s="832"/>
      <c r="N363" s="832"/>
      <c r="O363" s="48">
        <f>IF(t&lt;Tnet,'2020'!Resal+('2020'!Salim-'2020'!Resal)*(1-EXP(('2020'!Tnet-t)/('2020'!Tau_j))),Resal+(Salim-Resal)*(1-EXP((Tnet-t)/(Tau_j))))*Salcycl</f>
        <v>0.10288265857900811</v>
      </c>
      <c r="P363" s="169">
        <f>(INDEX(Models!$BJ363:$BT363,,T363)*(1-R363)+INDEX(Models!$BJ363:$BT363,,T363+1)*R363-ERP_i)*Q363*Ramure*Pc/MaxiM</f>
        <v>5.0920798304248901E-4</v>
      </c>
      <c r="Q363" s="304">
        <f t="shared" si="125"/>
        <v>0.6</v>
      </c>
      <c r="R363" s="177">
        <f t="shared" si="126"/>
        <v>0.99905710540617676</v>
      </c>
      <c r="S363" s="799">
        <f t="shared" si="127"/>
        <v>-1</v>
      </c>
      <c r="T363" s="176">
        <f t="shared" si="128"/>
        <v>5</v>
      </c>
      <c r="U363" s="250">
        <f t="shared" si="129"/>
        <v>-9.4289459382324026E-4</v>
      </c>
      <c r="V363" s="382">
        <f t="shared" si="130"/>
        <v>24.378944859931</v>
      </c>
      <c r="W363" s="400"/>
      <c r="X363" s="157">
        <f t="shared" si="131"/>
        <v>44545</v>
      </c>
      <c r="Y363" s="383">
        <f t="shared" si="132"/>
        <v>23.19</v>
      </c>
      <c r="Z363" s="383">
        <f t="shared" si="133"/>
        <v>23.660930590875076</v>
      </c>
      <c r="AA363" s="384">
        <f t="shared" si="134"/>
        <v>26.374398864475488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0.10288265857900811</v>
      </c>
      <c r="AD363" s="230">
        <f>(INDEX(Models!$BJ363:$BT363,,AH363)*(1-AF363)+INDEX(Models!$BJ363:$BT363,,AH363+1)*AF363-ERP_i)*AE363*Ramure*Pc/MaxiM</f>
        <v>5.0920798304248901E-4</v>
      </c>
      <c r="AE363" s="304">
        <f t="shared" si="136"/>
        <v>0.6</v>
      </c>
      <c r="AF363" s="177">
        <f t="shared" si="137"/>
        <v>0.99905710540617676</v>
      </c>
      <c r="AG363" s="799">
        <f t="shared" si="143"/>
        <v>-1</v>
      </c>
      <c r="AH363" s="176">
        <f t="shared" si="138"/>
        <v>5</v>
      </c>
      <c r="AI363" s="224">
        <f t="shared" si="139"/>
        <v>-9.4289459382324026E-4</v>
      </c>
      <c r="AJ363" s="264" t="b">
        <f t="shared" si="140"/>
        <v>0</v>
      </c>
      <c r="AK363" s="264" t="b">
        <f t="shared" si="141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2"/>
        <v>44546</v>
      </c>
      <c r="B364" s="607">
        <v>24.922000000000001</v>
      </c>
      <c r="C364" s="388"/>
      <c r="D364" s="391">
        <f t="shared" si="122"/>
        <v>25.428590489055694</v>
      </c>
      <c r="E364" s="383">
        <f t="shared" si="144"/>
        <v>28.347729634741786</v>
      </c>
      <c r="F364" s="383">
        <f t="shared" si="123"/>
        <v>28.36247847047073</v>
      </c>
      <c r="G364" s="110">
        <f t="shared" si="145"/>
        <v>1.0238380732726338</v>
      </c>
      <c r="H364" s="412" t="b">
        <f>Wh_hp&gt;='2020'!Maxi_hp</f>
        <v>1</v>
      </c>
      <c r="I364" s="379">
        <f>IF(H364,Wh_hp,'2020'!Maxi_hp)</f>
        <v>28.36247847047073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1.9922082951224773E-2</v>
      </c>
      <c r="M364" s="832"/>
      <c r="N364" s="832"/>
      <c r="O364" s="48">
        <f>IF(t&lt;Tnet,'2020'!Resal+('2020'!Salim-'2020'!Resal)*(1-EXP(('2020'!Tnet-t)/('2020'!Tau_j))),Resal+(Salim-Resal)*(1-EXP((Tnet-t)/(Tau_j))))*Salcycl</f>
        <v>0.10297611778082283</v>
      </c>
      <c r="P364" s="169">
        <f>(INDEX(Models!$BJ364:$BT364,,T364)*(1-R364)+INDEX(Models!$BJ364:$BT364,,T364+1)*R364-ERP_i)*Q364*Ramure*Pc/MaxiM</f>
        <v>5.2001223180473657E-4</v>
      </c>
      <c r="Q364" s="304">
        <f t="shared" si="125"/>
        <v>0.6</v>
      </c>
      <c r="R364" s="177">
        <f t="shared" si="126"/>
        <v>0.99906599488952197</v>
      </c>
      <c r="S364" s="799">
        <f t="shared" si="127"/>
        <v>-1</v>
      </c>
      <c r="T364" s="176">
        <f t="shared" si="128"/>
        <v>5</v>
      </c>
      <c r="U364" s="250">
        <f t="shared" si="129"/>
        <v>-9.3400511047803114E-4</v>
      </c>
      <c r="V364" s="382">
        <f t="shared" si="130"/>
        <v>24.341739822527209</v>
      </c>
      <c r="W364" s="400"/>
      <c r="X364" s="157">
        <f t="shared" si="131"/>
        <v>44546</v>
      </c>
      <c r="Y364" s="383">
        <f t="shared" si="132"/>
        <v>24.922000000000001</v>
      </c>
      <c r="Z364" s="383">
        <f t="shared" si="133"/>
        <v>25.428590489055694</v>
      </c>
      <c r="AA364" s="384">
        <f t="shared" si="134"/>
        <v>28.347729634741786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0.10297611778082283</v>
      </c>
      <c r="AD364" s="230">
        <f>(INDEX(Models!$BJ364:$BT364,,AH364)*(1-AF364)+INDEX(Models!$BJ364:$BT364,,AH364+1)*AF364-ERP_i)*AE364*Ramure*Pc/MaxiM</f>
        <v>5.2001223180473657E-4</v>
      </c>
      <c r="AE364" s="304">
        <f t="shared" si="136"/>
        <v>0.6</v>
      </c>
      <c r="AF364" s="177">
        <f t="shared" si="137"/>
        <v>0.99906599488952197</v>
      </c>
      <c r="AG364" s="799">
        <f t="shared" si="143"/>
        <v>-1</v>
      </c>
      <c r="AH364" s="176">
        <f t="shared" si="138"/>
        <v>5</v>
      </c>
      <c r="AI364" s="224">
        <f t="shared" si="139"/>
        <v>-9.3400511047803114E-4</v>
      </c>
      <c r="AJ364" s="264" t="b">
        <f t="shared" si="140"/>
        <v>0</v>
      </c>
      <c r="AK364" s="264" t="b">
        <f t="shared" si="141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2"/>
        <v>44547</v>
      </c>
      <c r="B365" s="607">
        <v>25.428000000000001</v>
      </c>
      <c r="C365" s="388"/>
      <c r="D365" s="391">
        <f t="shared" si="122"/>
        <v>25.945373208417102</v>
      </c>
      <c r="E365" s="383">
        <f t="shared" si="144"/>
        <v>28.926877446011947</v>
      </c>
      <c r="F365" s="383">
        <f t="shared" si="123"/>
        <v>28.942207486281909</v>
      </c>
      <c r="G365" s="110">
        <f t="shared" si="145"/>
        <v>1.0458475530408533</v>
      </c>
      <c r="H365" s="412" t="b">
        <f>Wh_hp&gt;='2020'!Maxi_hp</f>
        <v>1</v>
      </c>
      <c r="I365" s="379">
        <f>IF(H365,Wh_hp,'2020'!Maxi_hp)</f>
        <v>28.942207486281909</v>
      </c>
      <c r="J365" s="85">
        <f>IF(H365,An,'2020'!An_max)</f>
        <v>2021</v>
      </c>
      <c r="K365" s="197">
        <f t="shared" si="124"/>
        <v>44547</v>
      </c>
      <c r="L365" s="147">
        <f>IF(t&lt;Tvie,1-EXP((T0-t)*PertePVj)+'2020'!Pspv,1-EXP((T0-t)*PertePVj)+Pspv)</f>
        <v>1.9940865920913264E-2</v>
      </c>
      <c r="M365" s="832"/>
      <c r="N365" s="832"/>
      <c r="O365" s="48">
        <f>IF(t&lt;Tnet,'2020'!Resal+('2020'!Salim-'2020'!Resal)*(1-EXP(('2020'!Tnet-t)/('2020'!Tau_j))),Resal+(Salim-Resal)*(1-EXP((Tnet-t)/(Tau_j))))*Salcycl</f>
        <v>0.10307037955131573</v>
      </c>
      <c r="P365" s="169">
        <f>(INDEX(Models!$BJ365:$BT365,,T365)*(1-R365)+INDEX(Models!$BJ365:$BT365,,T365+1)*R365-ERP_i)*Q365*Ramure*Pc/MaxiM</f>
        <v>5.2967764387797675E-4</v>
      </c>
      <c r="Q365" s="304">
        <f t="shared" si="125"/>
        <v>0.6</v>
      </c>
      <c r="R365" s="177">
        <f t="shared" si="126"/>
        <v>0.99907452675333441</v>
      </c>
      <c r="S365" s="799">
        <f t="shared" si="127"/>
        <v>-1</v>
      </c>
      <c r="T365" s="176">
        <f t="shared" si="128"/>
        <v>5</v>
      </c>
      <c r="U365" s="250">
        <f t="shared" si="129"/>
        <v>-9.2547324666558684E-4</v>
      </c>
      <c r="V365" s="382">
        <f t="shared" si="130"/>
        <v>24.313294921489113</v>
      </c>
      <c r="W365" s="400"/>
      <c r="X365" s="157">
        <f t="shared" si="131"/>
        <v>44547</v>
      </c>
      <c r="Y365" s="383">
        <f t="shared" si="132"/>
        <v>25.428000000000001</v>
      </c>
      <c r="Z365" s="383">
        <f t="shared" si="133"/>
        <v>25.945373208417102</v>
      </c>
      <c r="AA365" s="384">
        <f t="shared" si="134"/>
        <v>28.926877446011947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0.10307037955131573</v>
      </c>
      <c r="AD365" s="230">
        <f>(INDEX(Models!$BJ365:$BT365,,AH365)*(1-AF365)+INDEX(Models!$BJ365:$BT365,,AH365+1)*AF365-ERP_i)*AE365*Ramure*Pc/MaxiM</f>
        <v>5.2967764387797675E-4</v>
      </c>
      <c r="AE365" s="304">
        <f t="shared" si="136"/>
        <v>0.6</v>
      </c>
      <c r="AF365" s="177">
        <f t="shared" si="137"/>
        <v>0.99907452675333441</v>
      </c>
      <c r="AG365" s="799">
        <f t="shared" si="143"/>
        <v>-1</v>
      </c>
      <c r="AH365" s="176">
        <f t="shared" si="138"/>
        <v>5</v>
      </c>
      <c r="AI365" s="224">
        <f t="shared" si="139"/>
        <v>-9.2547324666558684E-4</v>
      </c>
      <c r="AJ365" s="264" t="b">
        <f t="shared" si="140"/>
        <v>0</v>
      </c>
      <c r="AK365" s="264" t="b">
        <f t="shared" si="141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2"/>
        <v>44548</v>
      </c>
      <c r="B366" s="607">
        <v>25.34</v>
      </c>
      <c r="C366" s="388"/>
      <c r="D366" s="391">
        <f t="shared" si="122"/>
        <v>25.856078233929722</v>
      </c>
      <c r="E366" s="383">
        <f t="shared" si="144"/>
        <v>28.830374893779201</v>
      </c>
      <c r="F366" s="383">
        <f t="shared" si="123"/>
        <v>28.845869606100038</v>
      </c>
      <c r="G366" s="110">
        <f t="shared" si="145"/>
        <v>1.0430601659585526</v>
      </c>
      <c r="H366" s="412" t="b">
        <f>Wh_hp&gt;='2020'!Maxi_hp</f>
        <v>1</v>
      </c>
      <c r="I366" s="379">
        <f>IF(H366,Wh_hp,'2020'!Maxi_hp)</f>
        <v>28.845869606100038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1.9959648530630481E-2</v>
      </c>
      <c r="M366" s="832"/>
      <c r="N366" s="832"/>
      <c r="O366" s="48">
        <f>IF(t&lt;Tnet,'2020'!Resal+('2020'!Salim-'2020'!Resal)*(1-EXP(('2020'!Tnet-t)/('2020'!Tau_j))),Resal+(Salim-Resal)*(1-EXP((Tnet-t)/(Tau_j))))*Salcycl</f>
        <v>0.10316538271901728</v>
      </c>
      <c r="P366" s="169">
        <f>(INDEX(Models!$BJ366:$BT366,,T366)*(1-R366)+INDEX(Models!$BJ366:$BT366,,T366+1)*R366-ERP_i)*Q366*Ramure*Pc/MaxiM</f>
        <v>5.3715532006566949E-4</v>
      </c>
      <c r="Q366" s="304">
        <f t="shared" si="125"/>
        <v>0.6</v>
      </c>
      <c r="R366" s="177">
        <f t="shared" si="126"/>
        <v>0.99908271537300375</v>
      </c>
      <c r="S366" s="799">
        <f t="shared" si="127"/>
        <v>-1</v>
      </c>
      <c r="T366" s="176">
        <f t="shared" si="128"/>
        <v>5</v>
      </c>
      <c r="U366" s="250">
        <f t="shared" si="129"/>
        <v>-9.1728462699630642E-4</v>
      </c>
      <c r="V366" s="382">
        <f t="shared" si="130"/>
        <v>24.293900608037333</v>
      </c>
      <c r="W366" s="400"/>
      <c r="X366" s="157">
        <f t="shared" si="131"/>
        <v>44548</v>
      </c>
      <c r="Y366" s="383">
        <f t="shared" si="132"/>
        <v>25.34</v>
      </c>
      <c r="Z366" s="383">
        <f t="shared" si="133"/>
        <v>25.856078233929722</v>
      </c>
      <c r="AA366" s="384">
        <f t="shared" si="134"/>
        <v>28.830374893779201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0.10316538271901728</v>
      </c>
      <c r="AD366" s="230">
        <f>(INDEX(Models!$BJ366:$BT366,,AH366)*(1-AF366)+INDEX(Models!$BJ366:$BT366,,AH366+1)*AF366-ERP_i)*AE366*Ramure*Pc/MaxiM</f>
        <v>5.3715532006566949E-4</v>
      </c>
      <c r="AE366" s="304">
        <f t="shared" si="136"/>
        <v>0.6</v>
      </c>
      <c r="AF366" s="177">
        <f t="shared" si="137"/>
        <v>0.99908271537300375</v>
      </c>
      <c r="AG366" s="799">
        <f t="shared" si="143"/>
        <v>-1</v>
      </c>
      <c r="AH366" s="176">
        <f t="shared" si="138"/>
        <v>5</v>
      </c>
      <c r="AI366" s="224">
        <f t="shared" si="139"/>
        <v>-9.1728462699630642E-4</v>
      </c>
      <c r="AJ366" s="264" t="b">
        <f t="shared" si="140"/>
        <v>0</v>
      </c>
      <c r="AK366" s="264" t="b">
        <f t="shared" si="141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2"/>
        <v>44549</v>
      </c>
      <c r="B367" s="607">
        <v>25.097000000000001</v>
      </c>
      <c r="C367" s="388"/>
      <c r="D367" s="391">
        <f t="shared" si="122"/>
        <v>25.608620042908385</v>
      </c>
      <c r="E367" s="383">
        <f t="shared" si="144"/>
        <v>28.557497707872205</v>
      </c>
      <c r="F367" s="383">
        <f t="shared" si="123"/>
        <v>28.572996708311734</v>
      </c>
      <c r="G367" s="110">
        <f t="shared" si="145"/>
        <v>1.0334864128964545</v>
      </c>
      <c r="H367" s="412" t="b">
        <f>Wh_hp&gt;='2020'!Maxi_hp</f>
        <v>1</v>
      </c>
      <c r="I367" s="379">
        <f>IF(H367,Wh_hp,'2020'!Maxi_hp)</f>
        <v>28.572996708311734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1.9978430780383305E-2</v>
      </c>
      <c r="M367" s="832"/>
      <c r="N367" s="832"/>
      <c r="O367" s="48">
        <f>IF(t&lt;Tnet,'2020'!Resal+('2020'!Salim-'2020'!Resal)*(1-EXP(('2020'!Tnet-t)/('2020'!Tau_j))),Resal+(Salim-Resal)*(1-EXP((Tnet-t)/(Tau_j))))*Salcycl</f>
        <v>0.10326106632763314</v>
      </c>
      <c r="P367" s="169">
        <f>(INDEX(Models!$BJ367:$BT367,,T367)*(1-R367)+INDEX(Models!$BJ367:$BT367,,T367+1)*R367-ERP_i)*Q367*Ramure*Pc/MaxiM</f>
        <v>5.4243524393863586E-4</v>
      </c>
      <c r="Q367" s="304">
        <f t="shared" si="125"/>
        <v>0.6</v>
      </c>
      <c r="R367" s="177">
        <f t="shared" si="126"/>
        <v>0.99909057454696992</v>
      </c>
      <c r="S367" s="799">
        <f t="shared" si="127"/>
        <v>-1</v>
      </c>
      <c r="T367" s="176">
        <f t="shared" si="128"/>
        <v>5</v>
      </c>
      <c r="U367" s="250">
        <f t="shared" si="129"/>
        <v>-9.0942545303007716E-4</v>
      </c>
      <c r="V367" s="382">
        <f t="shared" si="130"/>
        <v>24.283821912726467</v>
      </c>
      <c r="W367" s="400"/>
      <c r="X367" s="157">
        <f t="shared" si="131"/>
        <v>44549</v>
      </c>
      <c r="Y367" s="383">
        <f t="shared" si="132"/>
        <v>25.097000000000001</v>
      </c>
      <c r="Z367" s="383">
        <f t="shared" si="133"/>
        <v>25.608620042908385</v>
      </c>
      <c r="AA367" s="384">
        <f t="shared" si="134"/>
        <v>28.557497707872205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0.10326106632763314</v>
      </c>
      <c r="AD367" s="230">
        <f>(INDEX(Models!$BJ367:$BT367,,AH367)*(1-AF367)+INDEX(Models!$BJ367:$BT367,,AH367+1)*AF367-ERP_i)*AE367*Ramure*Pc/MaxiM</f>
        <v>5.4243524393863586E-4</v>
      </c>
      <c r="AE367" s="304">
        <f t="shared" si="136"/>
        <v>0.6</v>
      </c>
      <c r="AF367" s="177">
        <f t="shared" si="137"/>
        <v>0.99909057454696992</v>
      </c>
      <c r="AG367" s="799">
        <f t="shared" si="143"/>
        <v>-1</v>
      </c>
      <c r="AH367" s="176">
        <f t="shared" si="138"/>
        <v>5</v>
      </c>
      <c r="AI367" s="224">
        <f t="shared" si="139"/>
        <v>-9.0942545303007716E-4</v>
      </c>
      <c r="AJ367" s="264" t="b">
        <f t="shared" si="140"/>
        <v>0</v>
      </c>
      <c r="AK367" s="264" t="b">
        <f t="shared" si="141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2"/>
        <v>44550</v>
      </c>
      <c r="B368" s="607">
        <v>22.269000000000002</v>
      </c>
      <c r="C368" s="388"/>
      <c r="D368" s="391">
        <f t="shared" si="122"/>
        <v>22.723404757526811</v>
      </c>
      <c r="E368" s="383">
        <f t="shared" si="144"/>
        <v>25.342766446124969</v>
      </c>
      <c r="F368" s="383">
        <f t="shared" si="123"/>
        <v>25.354958891522763</v>
      </c>
      <c r="G368" s="110">
        <f t="shared" si="145"/>
        <v>0.91698978680774645</v>
      </c>
      <c r="H368" s="412" t="b">
        <f>Wh_hp&gt;='2020'!Maxi_hp</f>
        <v>1</v>
      </c>
      <c r="I368" s="379">
        <f>IF(H368,Wh_hp,'2020'!Maxi_hp)</f>
        <v>25.354958891522763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1.999721267017851E-2</v>
      </c>
      <c r="M368" s="832"/>
      <c r="N368" s="832"/>
      <c r="O368" s="48">
        <f>IF(t&lt;Tnet,'2020'!Resal+('2020'!Salim-'2020'!Resal)*(1-EXP(('2020'!Tnet-t)/('2020'!Tau_j))),Resal+(Salim-Resal)*(1-EXP((Tnet-t)/(Tau_j))))*Salcycl</f>
        <v>0.10335737000798781</v>
      </c>
      <c r="P368" s="169">
        <f>(INDEX(Models!$BJ368:$BT368,,T368)*(1-R368)+INDEX(Models!$BJ368:$BT368,,T368+1)*R368-ERP_i)*Q368*Ramure*Pc/MaxiM</f>
        <v>5.4551441026401718E-4</v>
      </c>
      <c r="Q368" s="304">
        <f t="shared" si="125"/>
        <v>0.6</v>
      </c>
      <c r="R368" s="177">
        <f t="shared" si="126"/>
        <v>0.99909811751980826</v>
      </c>
      <c r="S368" s="799">
        <f t="shared" si="127"/>
        <v>-1</v>
      </c>
      <c r="T368" s="176">
        <f t="shared" si="128"/>
        <v>5</v>
      </c>
      <c r="U368" s="250">
        <f t="shared" si="129"/>
        <v>-9.0188248019174022E-4</v>
      </c>
      <c r="V368" s="382">
        <f t="shared" si="130"/>
        <v>24.283323617069168</v>
      </c>
      <c r="W368" s="400"/>
      <c r="X368" s="157">
        <f t="shared" si="131"/>
        <v>44550</v>
      </c>
      <c r="Y368" s="383">
        <f t="shared" si="132"/>
        <v>22.269000000000002</v>
      </c>
      <c r="Z368" s="383">
        <f t="shared" si="133"/>
        <v>22.723404757526811</v>
      </c>
      <c r="AA368" s="384">
        <f t="shared" si="134"/>
        <v>25.342766446124969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0.10335737000798781</v>
      </c>
      <c r="AD368" s="230">
        <f>(INDEX(Models!$BJ368:$BT368,,AH368)*(1-AF368)+INDEX(Models!$BJ368:$BT368,,AH368+1)*AF368-ERP_i)*AE368*Ramure*Pc/MaxiM</f>
        <v>5.4551441026401718E-4</v>
      </c>
      <c r="AE368" s="304">
        <f t="shared" si="136"/>
        <v>0.6</v>
      </c>
      <c r="AF368" s="177">
        <f t="shared" si="137"/>
        <v>0.99909811751980826</v>
      </c>
      <c r="AG368" s="799">
        <f t="shared" si="143"/>
        <v>-1</v>
      </c>
      <c r="AH368" s="176">
        <f t="shared" si="138"/>
        <v>5</v>
      </c>
      <c r="AI368" s="224">
        <f t="shared" si="139"/>
        <v>-9.0188248019174022E-4</v>
      </c>
      <c r="AJ368" s="264" t="b">
        <f t="shared" si="140"/>
        <v>0</v>
      </c>
      <c r="AK368" s="264" t="b">
        <f t="shared" si="141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2"/>
        <v>44551</v>
      </c>
      <c r="B369" s="607">
        <v>16.600000000000001</v>
      </c>
      <c r="C369" s="388"/>
      <c r="D369" s="391">
        <f t="shared" si="122"/>
        <v>16.939051965903413</v>
      </c>
      <c r="E369" s="383">
        <f t="shared" si="144"/>
        <v>18.893683529123365</v>
      </c>
      <c r="F369" s="383">
        <f t="shared" si="123"/>
        <v>18.899338497279093</v>
      </c>
      <c r="G369" s="110">
        <f t="shared" si="145"/>
        <v>0.68316473169335645</v>
      </c>
      <c r="H369" s="412" t="b">
        <f>Wh_hp&gt;='2020'!Maxi_hp</f>
        <v>0</v>
      </c>
      <c r="I369" s="379">
        <f>IF(H369,Wh_hp,'2020'!Maxi_hp)</f>
        <v>23.305332831773615</v>
      </c>
      <c r="J369" s="85">
        <f>IF(H369,An,'2020'!An_max)</f>
        <v>2018</v>
      </c>
      <c r="K369" s="197">
        <f t="shared" si="124"/>
        <v>44551</v>
      </c>
      <c r="L369" s="147">
        <f>IF(t&lt;Tvie,1-EXP((T0-t)*PertePVj)+'2020'!Pspv,1-EXP((T0-t)*PertePVj)+Pspv)</f>
        <v>2.0015994200023091E-2</v>
      </c>
      <c r="M369" s="832"/>
      <c r="N369" s="832"/>
      <c r="O369" s="48">
        <f>IF(t&lt;Tnet,'2020'!Resal+('2020'!Salim-'2020'!Resal)*(1-EXP(('2020'!Tnet-t)/('2020'!Tau_j))),Resal+(Salim-Resal)*(1-EXP((Tnet-t)/(Tau_j))))*Salcycl</f>
        <v>0.10345423433217855</v>
      </c>
      <c r="P369" s="169">
        <f>(INDEX(Models!$BJ369:$BT369,,T369)*(1-R369)+INDEX(Models!$BJ369:$BT369,,T369+1)*R369-ERP_i)*Q369*Ramure*Pc/MaxiM</f>
        <v>5.4639235490740179E-4</v>
      </c>
      <c r="Q369" s="304">
        <f t="shared" si="125"/>
        <v>0.6</v>
      </c>
      <c r="R369" s="177">
        <f t="shared" si="126"/>
        <v>0.99910535700439518</v>
      </c>
      <c r="S369" s="799">
        <f t="shared" si="127"/>
        <v>-1</v>
      </c>
      <c r="T369" s="176">
        <f t="shared" si="128"/>
        <v>5</v>
      </c>
      <c r="U369" s="250">
        <f t="shared" si="129"/>
        <v>-8.9464299560482186E-4</v>
      </c>
      <c r="V369" s="382">
        <f t="shared" si="130"/>
        <v>24.292670362176448</v>
      </c>
      <c r="W369" s="400"/>
      <c r="X369" s="157">
        <f t="shared" si="131"/>
        <v>44551</v>
      </c>
      <c r="Y369" s="383">
        <f t="shared" si="132"/>
        <v>16.600000000000001</v>
      </c>
      <c r="Z369" s="383">
        <f t="shared" si="133"/>
        <v>16.939051965903413</v>
      </c>
      <c r="AA369" s="384">
        <f t="shared" si="134"/>
        <v>18.893683529123365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0.10345423433217855</v>
      </c>
      <c r="AD369" s="230">
        <f>(INDEX(Models!$BJ369:$BT369,,AH369)*(1-AF369)+INDEX(Models!$BJ369:$BT369,,AH369+1)*AF369-ERP_i)*AE369*Ramure*Pc/MaxiM</f>
        <v>5.4639235490740179E-4</v>
      </c>
      <c r="AE369" s="304">
        <f t="shared" si="136"/>
        <v>0.6</v>
      </c>
      <c r="AF369" s="177">
        <f t="shared" si="137"/>
        <v>0.99910535700439518</v>
      </c>
      <c r="AG369" s="799">
        <f t="shared" si="143"/>
        <v>-1</v>
      </c>
      <c r="AH369" s="176">
        <f t="shared" si="138"/>
        <v>5</v>
      </c>
      <c r="AI369" s="224">
        <f t="shared" si="139"/>
        <v>-8.9464299560482186E-4</v>
      </c>
      <c r="AJ369" s="264" t="b">
        <f t="shared" si="140"/>
        <v>0</v>
      </c>
      <c r="AK369" s="264" t="b">
        <f t="shared" si="141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2"/>
        <v>44552</v>
      </c>
      <c r="B370" s="607">
        <v>24.882000000000001</v>
      </c>
      <c r="C370" s="388"/>
      <c r="D370" s="391">
        <f t="shared" si="122"/>
        <v>25.390696909058821</v>
      </c>
      <c r="E370" s="383">
        <f t="shared" si="144"/>
        <v>28.323656935034979</v>
      </c>
      <c r="F370" s="383">
        <f t="shared" si="123"/>
        <v>28.339103776749631</v>
      </c>
      <c r="G370" s="110">
        <f t="shared" si="145"/>
        <v>1.0234398813987282</v>
      </c>
      <c r="H370" s="412" t="b">
        <f>Wh_hp&gt;='2020'!Maxi_hp</f>
        <v>1</v>
      </c>
      <c r="I370" s="379">
        <f>IF(H370,Wh_hp,'2020'!Maxi_hp)</f>
        <v>28.339103776749631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2.0034775369924041E-2</v>
      </c>
      <c r="M370" s="832"/>
      <c r="N370" s="832"/>
      <c r="O370" s="48">
        <f>IF(t&lt;Tnet,'2020'!Resal+('2020'!Salim-'2020'!Resal)*(1-EXP(('2020'!Tnet-t)/('2020'!Tau_j))),Resal+(Salim-Resal)*(1-EXP((Tnet-t)/(Tau_j))))*Salcycl</f>
        <v>0.10355160114752802</v>
      </c>
      <c r="P370" s="169">
        <f>(INDEX(Models!$BJ370:$BT370,,T370)*(1-R370)+INDEX(Models!$BJ370:$BT370,,T370+1)*R370-ERP_i)*Q370*Ramure*Pc/MaxiM</f>
        <v>5.450716379861697E-4</v>
      </c>
      <c r="Q370" s="304">
        <f t="shared" si="125"/>
        <v>0.6</v>
      </c>
      <c r="R370" s="177">
        <f t="shared" si="126"/>
        <v>0.9991123052031925</v>
      </c>
      <c r="S370" s="799">
        <f t="shared" si="127"/>
        <v>-1</v>
      </c>
      <c r="T370" s="176">
        <f t="shared" si="128"/>
        <v>5</v>
      </c>
      <c r="U370" s="250">
        <f t="shared" si="129"/>
        <v>-8.8769479680755881E-4</v>
      </c>
      <c r="V370" s="382">
        <f t="shared" si="130"/>
        <v>24.312126635121885</v>
      </c>
      <c r="W370" s="400"/>
      <c r="X370" s="157">
        <f t="shared" si="131"/>
        <v>44552</v>
      </c>
      <c r="Y370" s="383">
        <f t="shared" si="132"/>
        <v>24.882000000000001</v>
      </c>
      <c r="Z370" s="383">
        <f t="shared" si="133"/>
        <v>25.390696909058821</v>
      </c>
      <c r="AA370" s="384">
        <f t="shared" si="134"/>
        <v>28.323656935034979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0.10355160114752802</v>
      </c>
      <c r="AD370" s="230">
        <f>(INDEX(Models!$BJ370:$BT370,,AH370)*(1-AF370)+INDEX(Models!$BJ370:$BT370,,AH370+1)*AF370-ERP_i)*AE370*Ramure*Pc/MaxiM</f>
        <v>5.450716379861697E-4</v>
      </c>
      <c r="AE370" s="304">
        <f t="shared" si="136"/>
        <v>0.6</v>
      </c>
      <c r="AF370" s="177">
        <f t="shared" si="137"/>
        <v>0.9991123052031925</v>
      </c>
      <c r="AG370" s="799">
        <f t="shared" si="143"/>
        <v>-1</v>
      </c>
      <c r="AH370" s="176">
        <f t="shared" si="138"/>
        <v>5</v>
      </c>
      <c r="AI370" s="224">
        <f t="shared" si="139"/>
        <v>-8.8769479680755881E-4</v>
      </c>
      <c r="AJ370" s="264" t="b">
        <f t="shared" si="140"/>
        <v>0</v>
      </c>
      <c r="AK370" s="264" t="b">
        <f t="shared" si="141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2"/>
        <v>44553</v>
      </c>
      <c r="B371" s="607">
        <v>5.87</v>
      </c>
      <c r="C371" s="388"/>
      <c r="D371" s="391">
        <f t="shared" si="122"/>
        <v>5.9901232735914203</v>
      </c>
      <c r="E371" s="383">
        <f t="shared" si="144"/>
        <v>6.6827906026982609</v>
      </c>
      <c r="F371" s="383">
        <f t="shared" si="123"/>
        <v>6.6827906026982609</v>
      </c>
      <c r="G371" s="110">
        <f t="shared" si="145"/>
        <v>0.24101682170988534</v>
      </c>
      <c r="H371" s="412" t="b">
        <f>Wh_hp&gt;='2020'!Maxi_hp</f>
        <v>0</v>
      </c>
      <c r="I371" s="379">
        <f>IF(H371,Wh_hp,'2020'!Maxi_hp)</f>
        <v>22.369731890095228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2.0053556179888021E-2</v>
      </c>
      <c r="M371" s="832"/>
      <c r="N371" s="832"/>
      <c r="O371" s="48">
        <f>IF(t&lt;Tnet,'2020'!Resal+('2020'!Salim-'2020'!Resal)*(1-EXP(('2020'!Tnet-t)/('2020'!Tau_j))),Resal+(Salim-Resal)*(1-EXP((Tnet-t)/(Tau_j))))*Salcycl</f>
        <v>0.10364941388813947</v>
      </c>
      <c r="P371" s="169">
        <f>(INDEX(Models!$BJ371:$BT371,,T371)*(1-R371)+INDEX(Models!$BJ371:$BT371,,T371+1)*R371-ERP_i)*Q371*Ramure*Pc/MaxiM</f>
        <v>5.415559315179847E-4</v>
      </c>
      <c r="Q371" s="304">
        <f t="shared" si="125"/>
        <v>0.6</v>
      </c>
      <c r="R371" s="177">
        <f t="shared" si="126"/>
        <v>0.9991123052031925</v>
      </c>
      <c r="S371" s="799">
        <f t="shared" si="127"/>
        <v>-1</v>
      </c>
      <c r="T371" s="176">
        <f t="shared" si="128"/>
        <v>5</v>
      </c>
      <c r="U371" s="250">
        <f t="shared" si="129"/>
        <v>-8.8769479680755881E-4</v>
      </c>
      <c r="V371" s="382">
        <f t="shared" si="130"/>
        <v>24.341956818864489</v>
      </c>
      <c r="W371" s="400"/>
      <c r="X371" s="157">
        <f t="shared" si="131"/>
        <v>44553</v>
      </c>
      <c r="Y371" s="383">
        <f t="shared" si="132"/>
        <v>5.87</v>
      </c>
      <c r="Z371" s="383">
        <f t="shared" si="133"/>
        <v>5.9901232735914203</v>
      </c>
      <c r="AA371" s="384">
        <f t="shared" si="134"/>
        <v>6.6827906026982609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0.10364941388813947</v>
      </c>
      <c r="AD371" s="230">
        <f>(INDEX(Models!$BJ371:$BT371,,AH371)*(1-AF371)+INDEX(Models!$BJ371:$BT371,,AH371+1)*AF371-ERP_i)*AE371*Ramure*Pc/MaxiM</f>
        <v>5.415559315179847E-4</v>
      </c>
      <c r="AE371" s="304">
        <f t="shared" si="136"/>
        <v>0.6</v>
      </c>
      <c r="AF371" s="177">
        <f t="shared" si="137"/>
        <v>0.9991123052031925</v>
      </c>
      <c r="AG371" s="799">
        <f t="shared" si="143"/>
        <v>-1</v>
      </c>
      <c r="AH371" s="176">
        <f t="shared" si="138"/>
        <v>5</v>
      </c>
      <c r="AI371" s="224">
        <f t="shared" si="139"/>
        <v>-8.8769479680755881E-4</v>
      </c>
      <c r="AJ371" s="264" t="b">
        <f t="shared" si="140"/>
        <v>0</v>
      </c>
      <c r="AK371" s="264" t="b">
        <f t="shared" si="141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2"/>
        <v>44554</v>
      </c>
      <c r="B372" s="607">
        <v>11.76</v>
      </c>
      <c r="C372" s="388"/>
      <c r="D372" s="391">
        <f t="shared" si="122"/>
        <v>12.000885820037043</v>
      </c>
      <c r="E372" s="383">
        <f t="shared" si="144"/>
        <v>13.390074112171712</v>
      </c>
      <c r="F372" s="383">
        <f t="shared" si="123"/>
        <v>13.391943140324146</v>
      </c>
      <c r="G372" s="110">
        <f t="shared" si="145"/>
        <v>0.48212345251558142</v>
      </c>
      <c r="H372" s="412" t="b">
        <f>Wh_hp&gt;='2020'!Maxi_hp</f>
        <v>0</v>
      </c>
      <c r="I372" s="379">
        <f>IF(H372,Wh_hp,'2020'!Maxi_hp)</f>
        <v>14.087676943522759</v>
      </c>
      <c r="J372" s="85">
        <f>IF(H372,An,'2020'!An_max)</f>
        <v>2018</v>
      </c>
      <c r="K372" s="197">
        <f t="shared" si="124"/>
        <v>44554</v>
      </c>
      <c r="L372" s="147">
        <f>IF(t&lt;Tvie,1-EXP((T0-t)*PertePVj)+'2020'!Pspv,1-EXP((T0-t)*PertePVj)+Pspv)</f>
        <v>2.0072336629922138E-2</v>
      </c>
      <c r="M372" s="832"/>
      <c r="N372" s="832"/>
      <c r="O372" s="48">
        <f>IF(t&lt;Tnet,'2020'!Resal+('2020'!Salim-'2020'!Resal)*(1-EXP(('2020'!Tnet-t)/('2020'!Tau_j))),Resal+(Salim-Resal)*(1-EXP((Tnet-t)/(Tau_j))))*Salcycl</f>
        <v>0.10374761786209112</v>
      </c>
      <c r="P372" s="169">
        <f>(INDEX(Models!$BJ372:$BT372,,T372)*(1-R372)+INDEX(Models!$BJ372:$BT372,,T372+1)*R372-ERP_i)*Q372*Ramure*Pc/MaxiM</f>
        <v>5.3585686184111977E-4</v>
      </c>
      <c r="Q372" s="304">
        <f t="shared" si="125"/>
        <v>0.6</v>
      </c>
      <c r="R372" s="177">
        <f t="shared" si="126"/>
        <v>0.9991123052031925</v>
      </c>
      <c r="S372" s="799">
        <f t="shared" si="127"/>
        <v>-1</v>
      </c>
      <c r="T372" s="176">
        <f t="shared" si="128"/>
        <v>5</v>
      </c>
      <c r="U372" s="250">
        <f t="shared" si="129"/>
        <v>-8.8769479680755881E-4</v>
      </c>
      <c r="V372" s="382">
        <f t="shared" si="130"/>
        <v>24.382425040109084</v>
      </c>
      <c r="W372" s="400"/>
      <c r="X372" s="157">
        <f t="shared" si="131"/>
        <v>44554</v>
      </c>
      <c r="Y372" s="383">
        <f t="shared" si="132"/>
        <v>11.76</v>
      </c>
      <c r="Z372" s="383">
        <f t="shared" si="133"/>
        <v>12.000885820037043</v>
      </c>
      <c r="AA372" s="384">
        <f t="shared" si="134"/>
        <v>13.390074112171712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0.10374761786209112</v>
      </c>
      <c r="AD372" s="230">
        <f>(INDEX(Models!$BJ372:$BT372,,AH372)*(1-AF372)+INDEX(Models!$BJ372:$BT372,,AH372+1)*AF372-ERP_i)*AE372*Ramure*Pc/MaxiM</f>
        <v>5.3585686184111977E-4</v>
      </c>
      <c r="AE372" s="304">
        <f t="shared" si="136"/>
        <v>0.6</v>
      </c>
      <c r="AF372" s="177">
        <f t="shared" si="137"/>
        <v>0.9991123052031925</v>
      </c>
      <c r="AG372" s="799">
        <f t="shared" si="143"/>
        <v>-1</v>
      </c>
      <c r="AH372" s="176">
        <f t="shared" si="138"/>
        <v>5</v>
      </c>
      <c r="AI372" s="224">
        <f t="shared" si="139"/>
        <v>-8.8769479680755881E-4</v>
      </c>
      <c r="AJ372" s="264" t="b">
        <f t="shared" si="140"/>
        <v>0</v>
      </c>
      <c r="AK372" s="264" t="b">
        <f t="shared" si="141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2"/>
        <v>44555</v>
      </c>
      <c r="B373" s="607">
        <v>8.8330000000000002</v>
      </c>
      <c r="C373" s="388"/>
      <c r="D373" s="391">
        <f t="shared" si="122"/>
        <v>9.0141034036083436</v>
      </c>
      <c r="E373" s="383">
        <f t="shared" si="144"/>
        <v>10.058656233358255</v>
      </c>
      <c r="F373" s="383">
        <f t="shared" si="123"/>
        <v>10.059122936484302</v>
      </c>
      <c r="G373" s="110">
        <f t="shared" si="145"/>
        <v>0.36133677325075436</v>
      </c>
      <c r="H373" s="412" t="b">
        <f>Wh_hp&gt;='2020'!Maxi_hp</f>
        <v>0</v>
      </c>
      <c r="I373" s="379">
        <f>IF(H373,Wh_hp,'2020'!Maxi_hp)</f>
        <v>12.488950362834409</v>
      </c>
      <c r="J373" s="85">
        <f>IF(H373,An,'2020'!An_max)</f>
        <v>2020</v>
      </c>
      <c r="K373" s="197">
        <f t="shared" si="124"/>
        <v>44555</v>
      </c>
      <c r="L373" s="147">
        <f>IF(t&lt;Tvie,1-EXP((T0-t)*PertePVj)+'2020'!Pspv,1-EXP((T0-t)*PertePVj)+Pspv)</f>
        <v>2.0091116720033164E-2</v>
      </c>
      <c r="M373" s="832"/>
      <c r="N373" s="832"/>
      <c r="O373" s="48">
        <f>IF(t&lt;Tnet,'2020'!Resal+('2020'!Salim-'2020'!Resal)*(1-EXP(('2020'!Tnet-t)/('2020'!Tau_j))),Resal+(Salim-Resal)*(1-EXP((Tnet-t)/(Tau_j))))*Salcycl</f>
        <v>0.10384616051255283</v>
      </c>
      <c r="P373" s="169">
        <f>(INDEX(Models!$BJ373:$BT373,,T373)*(1-R373)+INDEX(Models!$BJ373:$BT373,,T373+1)*R373-ERP_i)*Q373*Ramure*Pc/MaxiM</f>
        <v>5.2799118387305774E-4</v>
      </c>
      <c r="Q373" s="304">
        <f t="shared" si="125"/>
        <v>0.6</v>
      </c>
      <c r="R373" s="177">
        <f t="shared" si="126"/>
        <v>0.9991123052031925</v>
      </c>
      <c r="S373" s="799">
        <f t="shared" si="127"/>
        <v>-1</v>
      </c>
      <c r="T373" s="176">
        <f t="shared" si="128"/>
        <v>5</v>
      </c>
      <c r="U373" s="250">
        <f t="shared" si="129"/>
        <v>-8.8769479680755881E-4</v>
      </c>
      <c r="V373" s="382">
        <f t="shared" si="130"/>
        <v>24.433565930724356</v>
      </c>
      <c r="W373" s="400"/>
      <c r="X373" s="157">
        <f t="shared" si="131"/>
        <v>44555</v>
      </c>
      <c r="Y373" s="383">
        <f t="shared" si="132"/>
        <v>8.8330000000000002</v>
      </c>
      <c r="Z373" s="383">
        <f t="shared" si="133"/>
        <v>9.0141034036083436</v>
      </c>
      <c r="AA373" s="384">
        <f t="shared" si="134"/>
        <v>10.058656233358255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0.10384616051255283</v>
      </c>
      <c r="AD373" s="230">
        <f>(INDEX(Models!$BJ373:$BT373,,AH373)*(1-AF373)+INDEX(Models!$BJ373:$BT373,,AH373+1)*AF373-ERP_i)*AE373*Ramure*Pc/MaxiM</f>
        <v>5.2799118387305774E-4</v>
      </c>
      <c r="AE373" s="304">
        <f t="shared" si="136"/>
        <v>0.6</v>
      </c>
      <c r="AF373" s="177">
        <f t="shared" si="137"/>
        <v>0.9991123052031925</v>
      </c>
      <c r="AG373" s="799">
        <f t="shared" si="143"/>
        <v>-1</v>
      </c>
      <c r="AH373" s="176">
        <f t="shared" si="138"/>
        <v>5</v>
      </c>
      <c r="AI373" s="224">
        <f t="shared" si="139"/>
        <v>-8.8769479680755881E-4</v>
      </c>
      <c r="AJ373" s="264" t="b">
        <f t="shared" si="140"/>
        <v>0</v>
      </c>
      <c r="AK373" s="264" t="b">
        <f t="shared" si="141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2"/>
        <v>44556</v>
      </c>
      <c r="B374" s="607">
        <v>11.047000000000001</v>
      </c>
      <c r="C374" s="388"/>
      <c r="D374" s="391">
        <f t="shared" si="122"/>
        <v>11.273713205165446</v>
      </c>
      <c r="E374" s="383">
        <f t="shared" si="144"/>
        <v>12.581496783263493</v>
      </c>
      <c r="F374" s="383">
        <f t="shared" si="123"/>
        <v>12.58290264772091</v>
      </c>
      <c r="G374" s="110">
        <f t="shared" si="145"/>
        <v>0.45080471094802177</v>
      </c>
      <c r="H374" s="412" t="b">
        <f>Wh_hp&gt;='2020'!Maxi_hp</f>
        <v>1</v>
      </c>
      <c r="I374" s="379">
        <f>IF(H374,Wh_hp,'2020'!Maxi_hp)</f>
        <v>12.58290264772091</v>
      </c>
      <c r="J374" s="85">
        <f>IF(H374,An,'2020'!An_max)</f>
        <v>2021</v>
      </c>
      <c r="K374" s="197">
        <f t="shared" si="124"/>
        <v>44556</v>
      </c>
      <c r="L374" s="147">
        <f>IF(t&lt;Tvie,1-EXP((T0-t)*PertePVj)+'2020'!Pspv,1-EXP((T0-t)*PertePVj)+Pspv)</f>
        <v>2.0109896450228093E-2</v>
      </c>
      <c r="M374" s="832"/>
      <c r="N374" s="832"/>
      <c r="O374" s="48">
        <f>IF(t&lt;Tnet,'2020'!Resal+('2020'!Salim-'2020'!Resal)*(1-EXP(('2020'!Tnet-t)/('2020'!Tau_j))),Resal+(Salim-Resal)*(1-EXP((Tnet-t)/(Tau_j))))*Salcycl</f>
        <v>0.10394499165136876</v>
      </c>
      <c r="P374" s="169">
        <f>(INDEX(Models!$BJ374:$BT374,,T374)*(1-R374)+INDEX(Models!$BJ374:$BT374,,T374+1)*R374-ERP_i)*Q374*Ramure*Pc/MaxiM</f>
        <v>5.179864141104366E-4</v>
      </c>
      <c r="Q374" s="304">
        <f t="shared" si="125"/>
        <v>0.6</v>
      </c>
      <c r="R374" s="177">
        <f t="shared" si="126"/>
        <v>0.9991123052031925</v>
      </c>
      <c r="S374" s="799">
        <f t="shared" si="127"/>
        <v>-1</v>
      </c>
      <c r="T374" s="176">
        <f t="shared" si="128"/>
        <v>5</v>
      </c>
      <c r="U374" s="250">
        <f t="shared" si="129"/>
        <v>-8.8769479680755881E-4</v>
      </c>
      <c r="V374" s="382">
        <f t="shared" si="130"/>
        <v>24.495111287257654</v>
      </c>
      <c r="W374" s="400"/>
      <c r="X374" s="157">
        <f t="shared" si="131"/>
        <v>44556</v>
      </c>
      <c r="Y374" s="383">
        <f t="shared" si="132"/>
        <v>11.047000000000001</v>
      </c>
      <c r="Z374" s="383">
        <f t="shared" si="133"/>
        <v>11.273713205165446</v>
      </c>
      <c r="AA374" s="384">
        <f t="shared" si="134"/>
        <v>12.581496783263493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0.10394499165136876</v>
      </c>
      <c r="AD374" s="230">
        <f>(INDEX(Models!$BJ374:$BT374,,AH374)*(1-AF374)+INDEX(Models!$BJ374:$BT374,,AH374+1)*AF374-ERP_i)*AE374*Ramure*Pc/MaxiM</f>
        <v>5.179864141104366E-4</v>
      </c>
      <c r="AE374" s="304">
        <f t="shared" si="136"/>
        <v>0.6</v>
      </c>
      <c r="AF374" s="177">
        <f t="shared" si="137"/>
        <v>0.9991123052031925</v>
      </c>
      <c r="AG374" s="799">
        <f t="shared" si="143"/>
        <v>-1</v>
      </c>
      <c r="AH374" s="176">
        <f t="shared" si="138"/>
        <v>5</v>
      </c>
      <c r="AI374" s="224">
        <f t="shared" si="139"/>
        <v>-8.8769479680755881E-4</v>
      </c>
      <c r="AJ374" s="264" t="b">
        <f t="shared" si="140"/>
        <v>0</v>
      </c>
      <c r="AK374" s="264" t="b">
        <f t="shared" si="141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2"/>
        <v>44557</v>
      </c>
      <c r="B375" s="607">
        <v>10.006</v>
      </c>
      <c r="C375" s="388"/>
      <c r="D375" s="391">
        <f t="shared" si="122"/>
        <v>10.211544876444583</v>
      </c>
      <c r="E375" s="383">
        <f t="shared" si="144"/>
        <v>11.397373980470109</v>
      </c>
      <c r="F375" s="383">
        <f t="shared" si="123"/>
        <v>11.398257814992961</v>
      </c>
      <c r="G375" s="110">
        <f t="shared" si="145"/>
        <v>0.40712200596061093</v>
      </c>
      <c r="H375" s="412" t="b">
        <f>Wh_hp&gt;='2020'!Maxi_hp</f>
        <v>0</v>
      </c>
      <c r="I375" s="379">
        <f>IF(H375,Wh_hp,'2020'!Maxi_hp)</f>
        <v>23.939485558369796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2.0128675820513808E-2</v>
      </c>
      <c r="M375" s="832"/>
      <c r="N375" s="832"/>
      <c r="O375" s="48">
        <f>IF(t&lt;Tnet,'2020'!Resal+('2020'!Salim-'2020'!Resal)*(1-EXP(('2020'!Tnet-t)/('2020'!Tau_j))),Resal+(Salim-Resal)*(1-EXP((Tnet-t)/(Tau_j))))*Salcycl</f>
        <v>0.104044063663919</v>
      </c>
      <c r="P375" s="169">
        <f>(INDEX(Models!$BJ375:$BT375,,T375)*(1-R375)+INDEX(Models!$BJ375:$BT375,,T375+1)*R375-ERP_i)*Q375*Ramure*Pc/MaxiM</f>
        <v>5.0587713915254144E-4</v>
      </c>
      <c r="Q375" s="304">
        <f t="shared" si="125"/>
        <v>0.6</v>
      </c>
      <c r="R375" s="177">
        <f t="shared" si="126"/>
        <v>0.9991123052031925</v>
      </c>
      <c r="S375" s="799">
        <f t="shared" si="127"/>
        <v>-1</v>
      </c>
      <c r="T375" s="176">
        <f t="shared" si="128"/>
        <v>5</v>
      </c>
      <c r="U375" s="250">
        <f t="shared" si="129"/>
        <v>-8.8769479680755881E-4</v>
      </c>
      <c r="V375" s="382">
        <f t="shared" si="130"/>
        <v>24.566870843971721</v>
      </c>
      <c r="W375" s="400"/>
      <c r="X375" s="157">
        <f t="shared" si="131"/>
        <v>44557</v>
      </c>
      <c r="Y375" s="383">
        <f t="shared" si="132"/>
        <v>10.006</v>
      </c>
      <c r="Z375" s="383">
        <f t="shared" si="133"/>
        <v>10.211544876444583</v>
      </c>
      <c r="AA375" s="384">
        <f t="shared" si="134"/>
        <v>11.397373980470109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0.104044063663919</v>
      </c>
      <c r="AD375" s="230">
        <f>(INDEX(Models!$BJ375:$BT375,,AH375)*(1-AF375)+INDEX(Models!$BJ375:$BT375,,AH375+1)*AF375-ERP_i)*AE375*Ramure*Pc/MaxiM</f>
        <v>5.0587713915254144E-4</v>
      </c>
      <c r="AE375" s="304">
        <f t="shared" si="136"/>
        <v>0.6</v>
      </c>
      <c r="AF375" s="177">
        <f t="shared" si="137"/>
        <v>0.9991123052031925</v>
      </c>
      <c r="AG375" s="799">
        <f t="shared" si="143"/>
        <v>-1</v>
      </c>
      <c r="AH375" s="176">
        <f t="shared" si="138"/>
        <v>5</v>
      </c>
      <c r="AI375" s="224">
        <f t="shared" si="139"/>
        <v>-8.8769479680755881E-4</v>
      </c>
      <c r="AJ375" s="264" t="b">
        <f t="shared" si="140"/>
        <v>0</v>
      </c>
      <c r="AK375" s="264" t="b">
        <f t="shared" si="141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2"/>
        <v>44558</v>
      </c>
      <c r="B376" s="607">
        <v>4.3529999999999998</v>
      </c>
      <c r="C376" s="388"/>
      <c r="D376" s="391">
        <f t="shared" si="122"/>
        <v>4.4425051722948368</v>
      </c>
      <c r="E376" s="383">
        <f t="shared" si="144"/>
        <v>4.958946368784007</v>
      </c>
      <c r="F376" s="383">
        <f t="shared" si="123"/>
        <v>4.958946368784007</v>
      </c>
      <c r="G376" s="110">
        <f t="shared" si="145"/>
        <v>0.1765150972812034</v>
      </c>
      <c r="H376" s="412" t="b">
        <f>Wh_hp&gt;='2020'!Maxi_hp</f>
        <v>0</v>
      </c>
      <c r="I376" s="379">
        <f>IF(H376,Wh_hp,'2020'!Maxi_hp)</f>
        <v>6.4352859559925566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2.0147454830897082E-2</v>
      </c>
      <c r="M376" s="832"/>
      <c r="N376" s="832"/>
      <c r="O376" s="48">
        <f>IF(t&lt;Tnet,'2020'!Resal+('2020'!Salim-'2020'!Resal)*(1-EXP(('2020'!Tnet-t)/('2020'!Tau_j))),Resal+(Salim-Resal)*(1-EXP((Tnet-t)/(Tau_j))))*Salcycl</f>
        <v>0.10414333168434882</v>
      </c>
      <c r="P376" s="169">
        <f>(INDEX(Models!$BJ376:$BT376,,T376)*(1-R376)+INDEX(Models!$BJ376:$BT376,,T376+1)*R376-ERP_i)*Q376*Ramure*Pc/MaxiM</f>
        <v>4.9270544261075867E-4</v>
      </c>
      <c r="Q376" s="304">
        <f t="shared" si="125"/>
        <v>0.6</v>
      </c>
      <c r="R376" s="177">
        <f t="shared" si="126"/>
        <v>0.9991123052031925</v>
      </c>
      <c r="S376" s="799">
        <f t="shared" si="127"/>
        <v>-1</v>
      </c>
      <c r="T376" s="176">
        <f t="shared" si="128"/>
        <v>5</v>
      </c>
      <c r="U376" s="250">
        <f t="shared" si="129"/>
        <v>-8.8769479680755881E-4</v>
      </c>
      <c r="V376" s="382">
        <f t="shared" si="130"/>
        <v>24.648629608588305</v>
      </c>
      <c r="W376" s="400"/>
      <c r="X376" s="157">
        <f t="shared" si="131"/>
        <v>44558</v>
      </c>
      <c r="Y376" s="383">
        <f t="shared" si="132"/>
        <v>4.3529999999999998</v>
      </c>
      <c r="Z376" s="383">
        <f t="shared" si="133"/>
        <v>4.4425051722948368</v>
      </c>
      <c r="AA376" s="384">
        <f t="shared" si="134"/>
        <v>4.958946368784007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0.10414333168434882</v>
      </c>
      <c r="AD376" s="230">
        <f>(INDEX(Models!$BJ376:$BT376,,AH376)*(1-AF376)+INDEX(Models!$BJ376:$BT376,,AH376+1)*AF376-ERP_i)*AE376*Ramure*Pc/MaxiM</f>
        <v>4.9270544261075867E-4</v>
      </c>
      <c r="AE376" s="304">
        <f t="shared" si="136"/>
        <v>0.6</v>
      </c>
      <c r="AF376" s="177">
        <f t="shared" si="137"/>
        <v>0.9991123052031925</v>
      </c>
      <c r="AG376" s="799">
        <f t="shared" si="143"/>
        <v>-1</v>
      </c>
      <c r="AH376" s="176">
        <f t="shared" si="138"/>
        <v>5</v>
      </c>
      <c r="AI376" s="224">
        <f t="shared" si="139"/>
        <v>-8.8769479680755881E-4</v>
      </c>
      <c r="AJ376" s="264" t="b">
        <f t="shared" si="140"/>
        <v>0</v>
      </c>
      <c r="AK376" s="264" t="b">
        <f t="shared" si="141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42"/>
        <v>44559</v>
      </c>
      <c r="B377" s="607">
        <v>3.9250000000000003</v>
      </c>
      <c r="C377" s="388"/>
      <c r="D377" s="391">
        <f t="shared" si="122"/>
        <v>4.0057815255190361</v>
      </c>
      <c r="E377" s="383">
        <f t="shared" si="144"/>
        <v>4.4719498974153193</v>
      </c>
      <c r="F377" s="383">
        <f t="shared" si="123"/>
        <v>4.4719498974153193</v>
      </c>
      <c r="G377" s="110">
        <f t="shared" si="145"/>
        <v>0.15857278006488959</v>
      </c>
      <c r="H377" s="412" t="b">
        <f>Wh_hp&gt;='2020'!Maxi_hp</f>
        <v>0</v>
      </c>
      <c r="I377" s="379">
        <f>IF(H377,Wh_hp,'2020'!Maxi_hp)</f>
        <v>26.417584370860784</v>
      </c>
      <c r="J377" s="85">
        <f>IF(H377,An,'2020'!An_max)</f>
        <v>2018</v>
      </c>
      <c r="K377" s="197">
        <f t="shared" si="124"/>
        <v>44559</v>
      </c>
      <c r="L377" s="147">
        <f>IF(t&lt;Tvie,1-EXP((T0-t)*PertePVj)+'2020'!Pspv,1-EXP((T0-t)*PertePVj)+Pspv)</f>
        <v>2.0166233481385021E-2</v>
      </c>
      <c r="M377" s="832"/>
      <c r="N377" s="832"/>
      <c r="O377" s="48">
        <f>IF(t&lt;Tnet,'2020'!Resal+('2020'!Salim-'2020'!Resal)*(1-EXP(('2020'!Tnet-t)/('2020'!Tau_j))),Resal+(Salim-Resal)*(1-EXP((Tnet-t)/(Tau_j))))*Salcycl</f>
        <v>0.10424275374053669</v>
      </c>
      <c r="P377" s="169">
        <f>(INDEX(Models!$BJ377:$BT377,,T377)*(1-R377)+INDEX(Models!$BJ377:$BT377,,T377+1)*R377-ERP_i)*Q377*Ramure*Pc/MaxiM</f>
        <v>4.784952201805395E-4</v>
      </c>
      <c r="Q377" s="304">
        <f t="shared" si="125"/>
        <v>0.6</v>
      </c>
      <c r="R377" s="177">
        <f t="shared" si="126"/>
        <v>0.9991123052031925</v>
      </c>
      <c r="S377" s="799">
        <f t="shared" si="127"/>
        <v>-1</v>
      </c>
      <c r="T377" s="176">
        <f t="shared" si="128"/>
        <v>5</v>
      </c>
      <c r="U377" s="250">
        <f t="shared" si="129"/>
        <v>-8.8769479680755881E-4</v>
      </c>
      <c r="V377" s="382">
        <f t="shared" si="130"/>
        <v>24.740197558845917</v>
      </c>
      <c r="W377" s="400"/>
      <c r="X377" s="157">
        <f t="shared" si="131"/>
        <v>44559</v>
      </c>
      <c r="Y377" s="383">
        <f t="shared" si="132"/>
        <v>3.9250000000000007</v>
      </c>
      <c r="Z377" s="383">
        <f t="shared" si="133"/>
        <v>4.0057815255190361</v>
      </c>
      <c r="AA377" s="384">
        <f t="shared" si="134"/>
        <v>4.4719498974153193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0.10424275374053669</v>
      </c>
      <c r="AD377" s="230">
        <f>(INDEX(Models!$BJ377:$BT377,,AH377)*(1-AF377)+INDEX(Models!$BJ377:$BT377,,AH377+1)*AF377-ERP_i)*AE377*Ramure*Pc/MaxiM</f>
        <v>4.784952201805395E-4</v>
      </c>
      <c r="AE377" s="304">
        <f t="shared" si="136"/>
        <v>0.6</v>
      </c>
      <c r="AF377" s="177">
        <f t="shared" si="137"/>
        <v>0.9991123052031925</v>
      </c>
      <c r="AG377" s="799">
        <f t="shared" si="143"/>
        <v>-1</v>
      </c>
      <c r="AH377" s="176">
        <f t="shared" si="138"/>
        <v>5</v>
      </c>
      <c r="AI377" s="224">
        <f t="shared" si="139"/>
        <v>-8.8769479680755881E-4</v>
      </c>
      <c r="AJ377" s="264" t="b">
        <f t="shared" si="140"/>
        <v>0</v>
      </c>
      <c r="AK377" s="264" t="b">
        <f t="shared" si="141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2"/>
        <v>44560</v>
      </c>
      <c r="B378" s="607">
        <v>16.141000000000002</v>
      </c>
      <c r="C378" s="388"/>
      <c r="D378" s="391">
        <f t="shared" si="122"/>
        <v>16.473518157944099</v>
      </c>
      <c r="E378" s="383">
        <f t="shared" si="144"/>
        <v>18.392649323498009</v>
      </c>
      <c r="F378" s="383">
        <f t="shared" si="123"/>
        <v>18.396907820504474</v>
      </c>
      <c r="G378" s="110">
        <f t="shared" si="145"/>
        <v>0.64961184572613517</v>
      </c>
      <c r="H378" s="412" t="b">
        <f>Wh_hp&gt;='2020'!Maxi_hp</f>
        <v>0</v>
      </c>
      <c r="I378" s="379">
        <f>IF(H378,Wh_hp,'2020'!Maxi_hp)</f>
        <v>29.01951581106924</v>
      </c>
      <c r="J378" s="85">
        <f>IF(H378,An,'2020'!An_max)</f>
        <v>2018</v>
      </c>
      <c r="K378" s="197">
        <f t="shared" si="124"/>
        <v>44560</v>
      </c>
      <c r="L378" s="147">
        <f>IF(t&lt;Tvie,1-EXP((T0-t)*PertePVj)+'2020'!Pspv,1-EXP((T0-t)*PertePVj)+Pspv)</f>
        <v>2.0185011771984285E-2</v>
      </c>
      <c r="M378" s="832"/>
      <c r="N378" s="832"/>
      <c r="O378" s="48">
        <f>IF(t&lt;Tnet,'2020'!Resal+('2020'!Salim-'2020'!Resal)*(1-EXP(('2020'!Tnet-t)/('2020'!Tau_j))),Resal+(Salim-Resal)*(1-EXP((Tnet-t)/(Tau_j))))*Salcycl</f>
        <v>0.10434229086845449</v>
      </c>
      <c r="P378" s="169">
        <f>(INDEX(Models!$BJ378:$BT378,,T378)*(1-R378)+INDEX(Models!$BJ378:$BT378,,T378+1)*R378-ERP_i)*Q378*Ramure*Pc/MaxiM</f>
        <v>4.6327228594489025E-4</v>
      </c>
      <c r="Q378" s="304">
        <f t="shared" si="125"/>
        <v>0.6</v>
      </c>
      <c r="R378" s="177">
        <f t="shared" si="126"/>
        <v>0.9991123052031925</v>
      </c>
      <c r="S378" s="799">
        <f t="shared" si="127"/>
        <v>-1</v>
      </c>
      <c r="T378" s="176">
        <f t="shared" si="128"/>
        <v>5</v>
      </c>
      <c r="U378" s="250">
        <f t="shared" si="129"/>
        <v>-8.8769479680755881E-4</v>
      </c>
      <c r="V378" s="382">
        <f t="shared" si="130"/>
        <v>24.841384688058604</v>
      </c>
      <c r="W378" s="400"/>
      <c r="X378" s="157">
        <f t="shared" si="131"/>
        <v>44560</v>
      </c>
      <c r="Y378" s="383">
        <f t="shared" si="132"/>
        <v>16.141000000000002</v>
      </c>
      <c r="Z378" s="383">
        <f t="shared" si="133"/>
        <v>16.473518157944099</v>
      </c>
      <c r="AA378" s="384">
        <f t="shared" si="134"/>
        <v>18.392649323498009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0.10434229086845449</v>
      </c>
      <c r="AD378" s="230">
        <f>(INDEX(Models!$BJ378:$BT378,,AH378)*(1-AF378)+INDEX(Models!$BJ378:$BT378,,AH378+1)*AF378-ERP_i)*AE378*Ramure*Pc/MaxiM</f>
        <v>4.6327228594489025E-4</v>
      </c>
      <c r="AE378" s="304">
        <f t="shared" si="136"/>
        <v>0.6</v>
      </c>
      <c r="AF378" s="177">
        <f t="shared" si="137"/>
        <v>0.9991123052031925</v>
      </c>
      <c r="AG378" s="799">
        <f t="shared" si="143"/>
        <v>-1</v>
      </c>
      <c r="AH378" s="176">
        <f t="shared" si="138"/>
        <v>5</v>
      </c>
      <c r="AI378" s="224">
        <f t="shared" si="139"/>
        <v>-8.8769479680755881E-4</v>
      </c>
      <c r="AJ378" s="264" t="b">
        <f t="shared" si="140"/>
        <v>0</v>
      </c>
      <c r="AK378" s="264" t="b">
        <f t="shared" si="141"/>
        <v>0</v>
      </c>
      <c r="AL378" s="264"/>
      <c r="AM378" s="264"/>
      <c r="AN378" s="75"/>
    </row>
    <row r="379" spans="1:40" s="18" customFormat="1" ht="12.75" x14ac:dyDescent="0.2">
      <c r="A379" s="56">
        <f t="shared" si="142"/>
        <v>44561</v>
      </c>
      <c r="B379" s="607">
        <v>25.400000000000002</v>
      </c>
      <c r="C379" s="388"/>
      <c r="D379" s="391">
        <f t="shared" si="122"/>
        <v>25.923758158130578</v>
      </c>
      <c r="E379" s="383">
        <f t="shared" si="144"/>
        <v>28.947042482703569</v>
      </c>
      <c r="F379" s="383">
        <f t="shared" si="123"/>
        <v>28.959989458050305</v>
      </c>
      <c r="G379" s="110">
        <f t="shared" si="145"/>
        <v>1.017954431909593</v>
      </c>
      <c r="H379" s="412" t="b">
        <f>Wh_hp&gt;='2020'!Maxi_hp</f>
        <v>1</v>
      </c>
      <c r="I379" s="379">
        <f>IF(H379,Wh_hp,'2020'!Maxi_hp)</f>
        <v>28.959989458050305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2.020378970270198E-2</v>
      </c>
      <c r="M379" s="832"/>
      <c r="N379" s="832"/>
      <c r="O379" s="48">
        <f>IF(t&lt;Tnet,'2020'!Resal+('2020'!Salim-'2020'!Resal)*(1-EXP(('2020'!Tnet-t)/('2020'!Tau_j))),Resal+(Salim-Resal)*(1-EXP((Tnet-t)/(Tau_j))))*Salcycl</f>
        <v>0.10444190719585474</v>
      </c>
      <c r="P379" s="169">
        <f>(INDEX(Models!$BJ379:$BT379,,T379)*(1-R379)+INDEX(Models!$BJ379:$BT379,,T379+1)*R379-ERP_i)*Q379*Ramure*Pc/MaxiM</f>
        <v>4.4706422857950873E-4</v>
      </c>
      <c r="Q379" s="305">
        <f t="shared" si="125"/>
        <v>0.6</v>
      </c>
      <c r="R379" s="177">
        <f t="shared" si="126"/>
        <v>0.9991123052031925</v>
      </c>
      <c r="S379" s="799">
        <f t="shared" si="127"/>
        <v>-1</v>
      </c>
      <c r="T379" s="176">
        <f t="shared" si="128"/>
        <v>5</v>
      </c>
      <c r="U379" s="306">
        <f t="shared" si="129"/>
        <v>-8.8769479680755881E-4</v>
      </c>
      <c r="V379" s="382">
        <f t="shared" si="130"/>
        <v>24.952000997089659</v>
      </c>
      <c r="W379" s="400"/>
      <c r="X379" s="157">
        <f t="shared" si="131"/>
        <v>44561</v>
      </c>
      <c r="Y379" s="383">
        <f t="shared" si="132"/>
        <v>25.400000000000002</v>
      </c>
      <c r="Z379" s="383">
        <f t="shared" si="133"/>
        <v>25.923758158130578</v>
      </c>
      <c r="AA379" s="384">
        <f t="shared" si="134"/>
        <v>28.947042482703569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0.10444190719585474</v>
      </c>
      <c r="AD379" s="230">
        <f>(INDEX(Models!$BJ379:$BT379,,AH379)*(1-AF379)+INDEX(Models!$BJ379:$BT379,,AH379+1)*AF379-ERP_i)*AE379*Ramure*Pc/MaxiM</f>
        <v>4.4706422857950873E-4</v>
      </c>
      <c r="AE379" s="305">
        <f t="shared" si="136"/>
        <v>0.6</v>
      </c>
      <c r="AF379" s="177">
        <f t="shared" si="137"/>
        <v>0.9991123052031925</v>
      </c>
      <c r="AG379" s="799">
        <f t="shared" si="143"/>
        <v>-1</v>
      </c>
      <c r="AH379" s="176">
        <f t="shared" si="138"/>
        <v>5</v>
      </c>
      <c r="AI379" s="221">
        <f t="shared" si="139"/>
        <v>-8.8769479680755881E-4</v>
      </c>
      <c r="AJ379" s="264" t="b">
        <f t="shared" si="140"/>
        <v>0</v>
      </c>
      <c r="AK379" s="264" t="b">
        <f t="shared" si="141"/>
        <v>0</v>
      </c>
      <c r="AL379" s="264"/>
      <c r="AM379" s="264"/>
      <c r="AN379" s="264"/>
    </row>
    <row r="380" spans="1:40" s="18" customFormat="1" ht="11.25" customHeight="1" thickBot="1" x14ac:dyDescent="0.25">
      <c r="A380" s="1120"/>
      <c r="B380" s="609"/>
      <c r="C380" s="839"/>
      <c r="D380" s="393"/>
      <c r="E380" s="1121"/>
      <c r="F380" s="1121"/>
      <c r="G380" s="1122"/>
      <c r="H380" s="412" t="b">
        <f>Wh_hp&gt;='2020'!Maxi_hp</f>
        <v>0</v>
      </c>
      <c r="I380" s="380">
        <f>IF(H380,Wh_hp,'2020'!Maxi_hp)</f>
        <v>16.432050764210434</v>
      </c>
      <c r="J380" s="128">
        <f>IF(H380,An,'2020'!An_max)</f>
        <v>2020</v>
      </c>
      <c r="K380" s="233">
        <f t="shared" si="124"/>
        <v>0</v>
      </c>
      <c r="L380" s="1123"/>
      <c r="M380" s="1124"/>
      <c r="N380" s="1124"/>
      <c r="O380" s="1125"/>
      <c r="P380" s="321"/>
      <c r="Q380" s="1126"/>
      <c r="R380" s="1127"/>
      <c r="S380" s="1128"/>
      <c r="T380" s="1129"/>
      <c r="U380" s="322"/>
      <c r="V380" s="395"/>
      <c r="W380" s="400"/>
      <c r="X380" s="1130"/>
      <c r="Y380" s="1131"/>
      <c r="Z380" s="1131"/>
      <c r="AA380" s="1132"/>
      <c r="AB380" s="1133"/>
      <c r="AC380" s="1134"/>
      <c r="AD380" s="1135"/>
      <c r="AE380" s="1126"/>
      <c r="AF380" s="1127"/>
      <c r="AG380" s="1128"/>
      <c r="AH380" s="1129"/>
      <c r="AI380" s="1136"/>
      <c r="AJ380" s="264" t="b">
        <f t="shared" si="140"/>
        <v>1</v>
      </c>
      <c r="AK380" s="264" t="b">
        <f t="shared" si="141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1.76</v>
      </c>
      <c r="C381" s="374"/>
      <c r="D381" s="372">
        <f>MIN(D15:D380)</f>
        <v>1.7950185987627214</v>
      </c>
      <c r="E381" s="372">
        <f>MIN(E15:E380)</f>
        <v>1.9971162987066473</v>
      </c>
      <c r="F381" s="373">
        <f>MIN(F15:F380)</f>
        <v>1.9971162987066473</v>
      </c>
      <c r="G381" s="125">
        <f>+MIN(G15:G380)</f>
        <v>6.5083434257412087E-2</v>
      </c>
      <c r="H381" s="94"/>
      <c r="I381" s="373">
        <f>MIN(I15:I380)</f>
        <v>6.0375203928633301</v>
      </c>
      <c r="J381" s="57">
        <f>MIN(J15:J380)</f>
        <v>2018</v>
      </c>
      <c r="K381" s="200" t="s">
        <v>7</v>
      </c>
      <c r="L381" s="146">
        <f t="shared" ref="L381:T381" si="146">MIN(L15:L380)</f>
        <v>1.3344791900708586E-2</v>
      </c>
      <c r="M381" s="833"/>
      <c r="N381" s="833"/>
      <c r="O381" s="47">
        <f t="shared" si="146"/>
        <v>5.1083227577521713E-2</v>
      </c>
      <c r="P381" s="168">
        <f t="shared" si="146"/>
        <v>-2.0375725760659744E-20</v>
      </c>
      <c r="Q381" s="309">
        <f t="shared" si="146"/>
        <v>0.6</v>
      </c>
      <c r="R381" s="310">
        <f t="shared" si="146"/>
        <v>0.49911357823936353</v>
      </c>
      <c r="S381" s="799">
        <f t="shared" si="146"/>
        <v>-1</v>
      </c>
      <c r="T381" s="176">
        <f t="shared" si="146"/>
        <v>5</v>
      </c>
      <c r="U381" s="251">
        <f>+MIN(U15:U380)</f>
        <v>-0.50088642176063647</v>
      </c>
      <c r="V381" s="372">
        <f>MIN(V15:V380)</f>
        <v>24.283323617069168</v>
      </c>
      <c r="W381" s="793"/>
      <c r="X381" s="112" t="s">
        <v>7</v>
      </c>
      <c r="Y381" s="374">
        <f>MIN(Y15:Y380)</f>
        <v>1.76</v>
      </c>
      <c r="Z381" s="374">
        <f>MIN(Z15:Z380)</f>
        <v>1.7950185987627214</v>
      </c>
      <c r="AA381" s="374">
        <f>MIN(AA15:AA380)</f>
        <v>1.9971162987066473</v>
      </c>
      <c r="AB381" s="200" t="s">
        <v>7</v>
      </c>
      <c r="AC381" s="48">
        <f t="shared" ref="AC381:AH381" si="147">MIN(AC15:AC380)</f>
        <v>5.1083227577521713E-2</v>
      </c>
      <c r="AD381" s="169">
        <f t="shared" si="147"/>
        <v>-2.0375725760659744E-20</v>
      </c>
      <c r="AE381" s="309">
        <f t="shared" si="147"/>
        <v>0.6</v>
      </c>
      <c r="AF381" s="310">
        <f t="shared" si="147"/>
        <v>0.49911357823936353</v>
      </c>
      <c r="AG381" s="799">
        <f t="shared" si="147"/>
        <v>-1</v>
      </c>
      <c r="AH381" s="176">
        <f t="shared" si="147"/>
        <v>5</v>
      </c>
      <c r="AI381" s="224">
        <f>MIN(AI15:AI380)</f>
        <v>-0.50088642176063647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29.464284931506828</v>
      </c>
      <c r="C382" s="374"/>
      <c r="D382" s="374">
        <f>AVERAGE(D15:D380)</f>
        <v>29.963285377418867</v>
      </c>
      <c r="E382" s="374">
        <f>AVERAGE(E15:E380)</f>
        <v>32.603542041844193</v>
      </c>
      <c r="F382" s="375">
        <f>AVERAGE(F15:F380)</f>
        <v>32.604260715109213</v>
      </c>
      <c r="G382" s="126">
        <f>AVERAGE(G15:G380)</f>
        <v>0.64609386163958293</v>
      </c>
      <c r="H382" s="94"/>
      <c r="I382" s="375">
        <f>AVERAGE(I15:I380)</f>
        <v>42.54911809015681</v>
      </c>
      <c r="J382" s="59">
        <f>AVERAGE(J15:J380)</f>
        <v>2019.7923497267759</v>
      </c>
      <c r="K382" s="200" t="s">
        <v>8</v>
      </c>
      <c r="L382" s="147">
        <f t="shared" ref="L382:V382" si="148">AVERAGE(L15:L380)</f>
        <v>1.6778267233208483E-2</v>
      </c>
      <c r="M382" s="832"/>
      <c r="N382" s="832"/>
      <c r="O382" s="48">
        <f t="shared" si="148"/>
        <v>8.0998054964401378E-2</v>
      </c>
      <c r="P382" s="169">
        <f t="shared" si="148"/>
        <v>6.4995708367248631E-5</v>
      </c>
      <c r="Q382" s="311">
        <f t="shared" si="148"/>
        <v>0.59999999999999631</v>
      </c>
      <c r="R382" s="177">
        <f t="shared" si="148"/>
        <v>0.77899717523850687</v>
      </c>
      <c r="S382" s="799">
        <f t="shared" si="148"/>
        <v>-1</v>
      </c>
      <c r="T382" s="176">
        <f t="shared" si="148"/>
        <v>5</v>
      </c>
      <c r="U382" s="250">
        <f t="shared" si="148"/>
        <v>-0.2210028247614928</v>
      </c>
      <c r="V382" s="374">
        <f t="shared" si="148"/>
        <v>44.136215696901225</v>
      </c>
      <c r="X382" s="112" t="s">
        <v>8</v>
      </c>
      <c r="Y382" s="374">
        <f>AVERAGE(Y15:Y380)</f>
        <v>29.464284931506828</v>
      </c>
      <c r="Z382" s="374">
        <f>AVERAGE(Z15:Z380)</f>
        <v>29.963285377418867</v>
      </c>
      <c r="AA382" s="374">
        <f>AVERAGE(AA15:AA380)</f>
        <v>32.603542041844193</v>
      </c>
      <c r="AB382" s="200" t="s">
        <v>8</v>
      </c>
      <c r="AC382" s="48">
        <f t="shared" ref="AC382:AH382" si="149">AVERAGE(AC15:AC380)</f>
        <v>8.0998054964401378E-2</v>
      </c>
      <c r="AD382" s="169">
        <f t="shared" si="149"/>
        <v>6.4995708367248631E-5</v>
      </c>
      <c r="AE382" s="311">
        <f t="shared" si="149"/>
        <v>0.59999999999999631</v>
      </c>
      <c r="AF382" s="177">
        <f t="shared" si="149"/>
        <v>0.77899717523850687</v>
      </c>
      <c r="AG382" s="799">
        <f t="shared" si="149"/>
        <v>-1</v>
      </c>
      <c r="AH382" s="176">
        <f t="shared" si="149"/>
        <v>5</v>
      </c>
      <c r="AI382" s="224">
        <f>AVERAGE(AI15:AI380)</f>
        <v>-0.2210028247614928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56.331000000000003</v>
      </c>
      <c r="C383" s="376"/>
      <c r="D383" s="376">
        <f>MAX(D15:D380)</f>
        <v>57.215572858825084</v>
      </c>
      <c r="E383" s="376">
        <f>MAX(E15:E380)</f>
        <v>61.600404811535661</v>
      </c>
      <c r="F383" s="377">
        <f>MAX(F15:F380)</f>
        <v>61.600404811535661</v>
      </c>
      <c r="G383" s="127">
        <f>+MAX(G15:G380)</f>
        <v>1.0458475530408533</v>
      </c>
      <c r="H383" s="94"/>
      <c r="I383" s="377">
        <f>MAX(I15:I380)</f>
        <v>65.55404847482302</v>
      </c>
      <c r="J383" s="60">
        <f>MAX(J15:J380)</f>
        <v>2021</v>
      </c>
      <c r="K383" s="200" t="s">
        <v>9</v>
      </c>
      <c r="L383" s="148">
        <f t="shared" ref="L383:T383" si="150">MAX(L15:L380)</f>
        <v>2.020378970270198E-2</v>
      </c>
      <c r="M383" s="834"/>
      <c r="N383" s="834"/>
      <c r="O383" s="49">
        <f t="shared" si="150"/>
        <v>0.10444190719585474</v>
      </c>
      <c r="P383" s="170">
        <f t="shared" si="150"/>
        <v>5.4639235490740179E-4</v>
      </c>
      <c r="Q383" s="312">
        <f t="shared" si="150"/>
        <v>0.6</v>
      </c>
      <c r="R383" s="313">
        <f t="shared" si="150"/>
        <v>0.9991123052031925</v>
      </c>
      <c r="S383" s="800">
        <f t="shared" si="150"/>
        <v>-1</v>
      </c>
      <c r="T383" s="232">
        <f t="shared" si="150"/>
        <v>5</v>
      </c>
      <c r="U383" s="252">
        <f>+MAX(U15:U380)</f>
        <v>-8.8769479680755881E-4</v>
      </c>
      <c r="V383" s="376">
        <f>MAX(V15:V380)</f>
        <v>57.459721296307492</v>
      </c>
      <c r="X383" s="112" t="s">
        <v>9</v>
      </c>
      <c r="Y383" s="376">
        <f>MAX(Y15:Y380)</f>
        <v>56.331000000000003</v>
      </c>
      <c r="Z383" s="376">
        <f>MAX(Z15:Z380)</f>
        <v>57.215572858825084</v>
      </c>
      <c r="AA383" s="376">
        <f>MAX(AA15:AA380)</f>
        <v>61.600404811535661</v>
      </c>
      <c r="AB383" s="200" t="s">
        <v>9</v>
      </c>
      <c r="AC383" s="49">
        <f t="shared" ref="AC383:AH383" si="151">MAX(AC15:AC380)</f>
        <v>0.10444190719585474</v>
      </c>
      <c r="AD383" s="170">
        <f t="shared" si="151"/>
        <v>5.4639235490740179E-4</v>
      </c>
      <c r="AE383" s="312">
        <f t="shared" si="151"/>
        <v>0.6</v>
      </c>
      <c r="AF383" s="313">
        <f t="shared" si="151"/>
        <v>0.9991123052031925</v>
      </c>
      <c r="AG383" s="800">
        <f t="shared" si="151"/>
        <v>-1</v>
      </c>
      <c r="AH383" s="232">
        <f t="shared" si="151"/>
        <v>5</v>
      </c>
      <c r="AI383" s="226">
        <f>MAX(AI15:AI380)</f>
        <v>-8.8769479680755881E-4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5" priority="4" stopIfTrue="1" operator="lessThan">
      <formula>0.01</formula>
    </cfRule>
    <cfRule type="cellIs" dxfId="14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W367" activePane="bottomRight" state="frozen"/>
      <selection pane="topRight"/>
      <selection pane="bottomLeft"/>
      <selection pane="bottomRight" activeCell="B14" sqref="B14:B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7">
        <f>'2021'!An+1</f>
        <v>2022</v>
      </c>
      <c r="K1" s="1278"/>
      <c r="L1" s="113" t="str">
        <f>"Calcul pertes et enveloppes en "&amp;TEXT(An,0)</f>
        <v>Calcul pertes et enveloppes en 2022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2022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7">
        <f>Tmaj</f>
        <v>44947</v>
      </c>
      <c r="F3" s="1287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0" t="str">
        <f>Station</f>
        <v>Esp. Berjean Escalquens</v>
      </c>
      <c r="F4" s="1221"/>
      <c r="G4" s="1221"/>
      <c r="H4" s="1221"/>
      <c r="I4" s="1222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893.47013448181565</v>
      </c>
      <c r="AK4" s="822">
        <f>AM12-AK12</f>
        <v>-2.816996816921663E-2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88">
        <f>T0</f>
        <v>43496</v>
      </c>
      <c r="F5" s="1288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894.20117184713649</v>
      </c>
      <c r="AA5" s="236">
        <f>Wh_Pvg_s-Wh_Pvg</f>
        <v>-2.816996816921663E-2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2911.8599999999992</v>
      </c>
      <c r="AK5" s="514">
        <f>SUMIF(AK15:AK380,"VRAI",Wh)</f>
        <v>0</v>
      </c>
      <c r="AL5" s="514">
        <f>SUMIF(AJ15:AJ380,"VRAI",Wh_s)</f>
        <v>2911.8599999999997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89">
        <f>Tservice</f>
        <v>43535</v>
      </c>
      <c r="F6" s="1289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8682.8070000000025</v>
      </c>
      <c r="AK6" s="514">
        <f>SUMIF(AK15:AK380,"FAUX",Wh)</f>
        <v>11594.666999999994</v>
      </c>
      <c r="AL6" s="514">
        <f>SUMIF(AJ15:AJ380,"FAUX",Wh_s)</f>
        <v>7789.2722895855004</v>
      </c>
      <c r="AM6" s="514">
        <f>SUMIF(AK15:AK380,"FAUX",Wh_s)</f>
        <v>10701.132289585485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AND(YEAR(Tnet)=An,Resal_2022="I")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2975.8583628660208</v>
      </c>
      <c r="AK7" s="514">
        <f>SUMIF(AK15:AK380,"VRAI",Wh_sa)</f>
        <v>0</v>
      </c>
      <c r="AL7" s="514">
        <f>SUMIF(AJ15:AJ380,"VRAI",Wh_pvt_s)</f>
        <v>2975.8583628660208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AND(YEAR(Tnet)=An,Resal_2022&lt;&gt;"I")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5" t="s">
        <v>102</v>
      </c>
      <c r="Y8" s="1276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8899.2357025203528</v>
      </c>
      <c r="AK8" s="514">
        <f>SUMIF(AK15:AK380,"FAUX",Wh_sa)</f>
        <v>12403.76919881548</v>
      </c>
      <c r="AL8" s="514">
        <f>SUMIF(AJ15:AJ380,"FAUX",Wh_pvt_s)</f>
        <v>7983.4869874780279</v>
      </c>
      <c r="AM8" s="514">
        <f>SUMIF(AK15:AK380,"FAUX",Wh_sa_s)</f>
        <v>12403.76919881548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11875.094065386384</v>
      </c>
      <c r="E9" s="184">
        <f>SUM(E$15:E$380)</f>
        <v>12403.76919881548</v>
      </c>
      <c r="F9" s="184">
        <f>SUM(F$15:F$380)</f>
        <v>12404.1602454972</v>
      </c>
      <c r="H9" s="1279">
        <f>+SUM(Wh)</f>
        <v>11594.666999999994</v>
      </c>
      <c r="I9" s="1280"/>
      <c r="J9" s="1281"/>
      <c r="K9" s="191" t="s">
        <v>10</v>
      </c>
      <c r="L9" s="231"/>
      <c r="M9" s="231"/>
      <c r="N9" s="231"/>
      <c r="O9" s="222">
        <f>Tnet_2022</f>
        <v>44683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3">
        <f>+SUM(Wh_s)</f>
        <v>10701.132289585485</v>
      </c>
      <c r="Y9" s="1274"/>
      <c r="Z9" s="514">
        <f>SUM(Wh_pvt_s)</f>
        <v>10959.345350344045</v>
      </c>
      <c r="AA9" s="514">
        <f>SUM(Wh_sa_s)</f>
        <v>12403.76919881548</v>
      </c>
      <c r="AB9" s="514">
        <f>F9</f>
        <v>12404.1602454972</v>
      </c>
      <c r="AC9" s="324">
        <f>IF(An_Tnet,Tnet,'2021'!Tnet_s)</f>
        <v>44683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3348.2398516948479</v>
      </c>
      <c r="AK9" s="514">
        <f>SUMIF(AK15:AK380,"VRAI",Wh_hp)</f>
        <v>0</v>
      </c>
      <c r="AL9" s="514">
        <f>SUMIF(AJ15:AJ380,"VRAI",Wh_sa_s)</f>
        <v>3348.2398516948479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IF(Inflex,'2021'!Resal+('2021'!Salim-'2021'!Resal)*(1-EXP(-(Tnet-'2021'!Tnet)/('2021'!Tau_j))),IF(An_Tnet,Resal_2022,'2021'!Resal))</f>
        <v>8.9999999999999993E-3</v>
      </c>
      <c r="P10" s="419" t="b">
        <f>NOT(Acti_tai)</f>
        <v>1</v>
      </c>
      <c r="Q10" s="256">
        <f>IF(Acti_tai,'2021'!PousD,Dens-Dd)</f>
        <v>0</v>
      </c>
      <c r="R10" s="273"/>
      <c r="S10" s="274"/>
      <c r="T10" s="275"/>
      <c r="U10" s="265">
        <f>IF(Acti_tai,'2021'!PousH,Hdtf-Hdd)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IF(OR(Inflex,GainD),'2021'!Resal_s+('2021'!Salim-'2021'!Resal_s)*(1-EXP(('2021'!Tnet_s-Tnet)/('2021'!Tau_j))),IF(Acti_net,'2021'!Resal+('2021'!Salim-'2021'!Resal)*(1-EXP(('2021'!Tnet-Tnet)/'2021'!Tau_j)),'2021'!Resal_s))</f>
        <v>0.11546901430831973</v>
      </c>
      <c r="AD10" s="426"/>
      <c r="AE10" s="426"/>
      <c r="AF10" s="259"/>
      <c r="AG10" s="260"/>
      <c r="AH10" s="261"/>
      <c r="AI10" s="471"/>
      <c r="AJ10" s="514">
        <f>SUMIF(AJ15:AJ380,"FAUX",Wh_sa)</f>
        <v>9055.5293471206314</v>
      </c>
      <c r="AK10" s="514">
        <f>SUMIF(AK15:AK380,"FAUX",Wh_hp)</f>
        <v>12404.1602454972</v>
      </c>
      <c r="AL10" s="514">
        <f>SUMIF(AJ15:AJ380,"FAUX",Wh_sa_s)</f>
        <v>9055.5293471206314</v>
      </c>
      <c r="AM10" s="514">
        <f>SUMIF(AK15:AK380,"FAUX",Wh_hp)</f>
        <v>12404.1602454972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280.42706538638959</v>
      </c>
      <c r="E11" s="51">
        <f>(E$9-D$9)*Prod_an/D$9</f>
        <v>516.19061622073082</v>
      </c>
      <c r="F11" s="186">
        <f>(F$9-E$9)*Prod_an/E$9</f>
        <v>0.36553857003624107</v>
      </c>
      <c r="G11" s="185" t="s">
        <v>6</v>
      </c>
      <c r="K11" s="194"/>
      <c r="L11" s="211">
        <f>Tvie_2022</f>
        <v>43496</v>
      </c>
      <c r="M11" s="831"/>
      <c r="N11" s="831"/>
      <c r="O11" s="202">
        <f>IF(An_Tnet,Salim_2022,'2021'!Salim)</f>
        <v>0.1</v>
      </c>
      <c r="P11" s="255">
        <f>Ttai_2022</f>
        <v>43466</v>
      </c>
      <c r="Q11" s="271">
        <f>Dens_2022</f>
        <v>0.6</v>
      </c>
      <c r="R11" s="276"/>
      <c r="S11" s="229"/>
      <c r="T11" s="229"/>
      <c r="U11" s="265">
        <f>Htf_2022</f>
        <v>0.49911230520319244</v>
      </c>
      <c r="V11" s="19"/>
      <c r="W11" s="824"/>
      <c r="X11" s="234" t="s">
        <v>43</v>
      </c>
      <c r="Y11" s="50">
        <f>Z$9-Prod_an_s</f>
        <v>258.21306075856046</v>
      </c>
      <c r="Z11" s="51">
        <f>(AA$9-Z$9)*Prod_an_s/Z$9</f>
        <v>1410.3917880678673</v>
      </c>
      <c r="AA11" s="186">
        <f>(AB$9-AA$9)*Prod_an_s/AA$9</f>
        <v>0.33736860186702444</v>
      </c>
      <c r="AB11" s="185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364.3731084757701</v>
      </c>
      <c r="AK11" s="822">
        <f>IF($AK7=0,0,($AK9-$AK7)*$AK5/$AK7)</f>
        <v>0</v>
      </c>
      <c r="AL11" s="821">
        <f>IF($AL7=0,0,($AL9-$AL7)*$AL5/$AL7)</f>
        <v>364.3731084757701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4.7879837042308138E-2</v>
      </c>
      <c r="K12" s="191"/>
      <c r="L12" s="212">
        <f>Pspv_2022</f>
        <v>0</v>
      </c>
      <c r="M12" s="212"/>
      <c r="N12" s="212"/>
      <c r="O12" s="205">
        <f>IF(An_Tnet,Tau_2022*365,'2021'!Tau_j)</f>
        <v>1095</v>
      </c>
      <c r="P12" s="280">
        <f>INDEX(Croivg,MIN(MAX(Ttai-$A$15,0)+1,366))</f>
        <v>2.3909964587625958E-6</v>
      </c>
      <c r="Q12" s="279">
        <f>'2021'!Df</f>
        <v>0.6</v>
      </c>
      <c r="R12" s="277"/>
      <c r="S12" s="278"/>
      <c r="T12" s="278"/>
      <c r="U12" s="266">
        <f>'2021'!Hdf</f>
        <v>-8.8769479680755881E-4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'2021'!Df_s</f>
        <v>0.6</v>
      </c>
      <c r="AF12" s="203"/>
      <c r="AG12" s="203"/>
      <c r="AH12" s="203"/>
      <c r="AI12" s="296">
        <f>'2021'!Hdf_s</f>
        <v>-8.8769479680755881E-4</v>
      </c>
      <c r="AJ12" s="821">
        <f>IF($AJ8=0,0,($AJ10-$AJ8)*$AJ6/$AJ8)</f>
        <v>152.49259562891191</v>
      </c>
      <c r="AK12" s="822">
        <f>IF($AK8=0,0,($AK10-$AK8)*$AK6/$AK8)</f>
        <v>0.36553857003624107</v>
      </c>
      <c r="AL12" s="821">
        <f>IF($AL8=0,0,($AL10-$AL8)*$AL6/$AL8)</f>
        <v>1045.9627301107275</v>
      </c>
      <c r="AM12" s="822">
        <f>IF($AM8=0,0,($AM10-$AM8)*$AM6/$AM8)</f>
        <v>0.33736860186702444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200</v>
      </c>
      <c r="V13" s="124" t="s">
        <v>41</v>
      </c>
      <c r="W13" s="825" t="s">
        <v>270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516.86570410468198</v>
      </c>
      <c r="AK13" s="73">
        <f>+AK11+AK12</f>
        <v>0.36553857003624107</v>
      </c>
      <c r="AL13" s="73">
        <f>+AL11+AL12</f>
        <v>1410.3358385864976</v>
      </c>
      <c r="AM13" s="73">
        <f>+AM11+AM12</f>
        <v>0.33736860186702444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1210" t="s">
        <v>186</v>
      </c>
      <c r="C14" s="387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199</v>
      </c>
      <c r="V14" s="45" t="str">
        <f>"Enveloppe "&amp; TEXT(An,0)</f>
        <v>Enveloppe 2022</v>
      </c>
      <c r="W14" s="826"/>
      <c r="X14" s="257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56">
        <f>DATE(An,1,1)</f>
        <v>44562</v>
      </c>
      <c r="B15" s="606">
        <v>25.228000000000002</v>
      </c>
      <c r="C15" s="388"/>
      <c r="D15" s="391">
        <f t="shared" ref="D15:D78" si="0">Wh/(1-Ppv)</f>
        <v>25.748704917398754</v>
      </c>
      <c r="E15" s="398">
        <f t="shared" ref="E15:E79" si="1">Wh_pvt/(1-Psa)</f>
        <v>28.75477415212826</v>
      </c>
      <c r="F15" s="398">
        <f t="shared" ref="F15:F78" si="2">Wh_sa/(1-Pvg*MEDIAN((-Sdif+Wh/Env_an)/Csdif,0,1))</f>
        <v>28.767141164856003</v>
      </c>
      <c r="G15" s="123">
        <f>+Wh_hp/MaxiM</f>
        <v>1.0062278397817872</v>
      </c>
      <c r="H15" s="412" t="b">
        <f>Wh_hp&gt;='2021'!Maxi_hp</f>
        <v>1</v>
      </c>
      <c r="I15" s="378">
        <f>IF(H15,Wh_hp,'2021'!Maxi_hp)</f>
        <v>28.767141164856003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2.0222567273544878E-2</v>
      </c>
      <c r="M15" s="832"/>
      <c r="N15" s="832"/>
      <c r="O15" s="48">
        <f>IF(t&lt;Tnet,'2021'!Resal+('2021'!Salim-'2021'!Resal)*(1-EXP(('2021'!Tnet-t)/('2021'!Tau_j))),Resal+(Salim-Resal)*(1-EXP((Tnet-t)/(Tau_j))))*Salcycl</f>
        <v>0.10454156999549982</v>
      </c>
      <c r="P15" s="301">
        <f>(INDEX(Models!$BJ15:$BT15,,T15)*(1-R15)+INDEX(Models!$BJ15:$BT15,,T15+1)*R15-ERP_i)*Q15*Ramure*Pc/MaxiM</f>
        <v>4.2990065147138296E-4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0.9991135007014218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49">
        <f t="shared" ref="U15:U78" si="8">IF(OR(t&lt;Ttai,Notai),Hdd+PousH*Croivg,Hdtf+PousH*(Croivg-Croi_tai))</f>
        <v>-8.8649929857817749E-4</v>
      </c>
      <c r="V15" s="381">
        <f t="shared" ref="V15:V78" si="9">MaxiM*(1-Ppv)*(1-Pvg)*(1-Psa)</f>
        <v>25.071856494718933</v>
      </c>
      <c r="W15" s="400"/>
      <c r="X15" s="156">
        <f t="shared" ref="X15:X78" si="10">t</f>
        <v>44562</v>
      </c>
      <c r="Y15" s="383">
        <f t="shared" ref="Y15:Y78" si="11">Wh_pvt_s*(1-Ppv)</f>
        <v>25.228000000000002</v>
      </c>
      <c r="Z15" s="383">
        <f t="shared" ref="Z15:Z78" si="12">Wh_sa_s*(1-Psa_s)</f>
        <v>25.748704917398754</v>
      </c>
      <c r="AA15" s="384">
        <f t="shared" ref="AA15:AA78" si="13">Wh_hp*(1-Pvg_s*MEDIAN((-Sdif+Wh/Env_an)/Csdif,0,1))</f>
        <v>28.75477415212826</v>
      </c>
      <c r="AB15" s="197">
        <f t="shared" ref="AB15:AB78" si="14">t</f>
        <v>44562</v>
      </c>
      <c r="AC15" s="119">
        <f>IF(OR(t&lt;Tnet,NoTnet),'2021'!Resal_s+('2021'!Salim-'2021'!Resal_s)*(1-EXP(('2021'!Tnet_s-t)/'2021'!Tau_j)),Resal_s+(Salim-Resal_s)*(1-EXP((Tnet_s-t)/Tau_j)))*Salcycl</f>
        <v>0.10454156999549982</v>
      </c>
      <c r="AD15" s="230">
        <f>(INDEX(Models!$BJ15:$BT15,,AH15)*(1-AF15)+INDEX(Models!$BJ15:$BT15,,AH15+1)*AF15-ERP_i)*AE15*Ramure*Pc/MaxiM</f>
        <v>4.2990065147138296E-4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0.9991135007014218</v>
      </c>
      <c r="AG15" s="798">
        <f>INDEX(Echel_vg,AH15)</f>
        <v>-1</v>
      </c>
      <c r="AH15" s="248">
        <f t="shared" ref="AH15:AH78" si="16">MIN(MATCH(Hp_vg_s,Echel_vg),10)</f>
        <v>5</v>
      </c>
      <c r="AI15" s="223">
        <f t="shared" ref="AI15:AI78" si="17">IF(OR(t&lt;Ttai,Notai),Hdd_s+PousH*Croivg,Hdtai_s+PousH*(Croivg-Croi_tai))</f>
        <v>-8.8649929857817749E-4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44563</v>
      </c>
      <c r="B16" s="607">
        <v>15.853</v>
      </c>
      <c r="C16" s="388"/>
      <c r="D16" s="391">
        <f t="shared" si="0"/>
        <v>16.180515385862314</v>
      </c>
      <c r="E16" s="383">
        <f t="shared" si="1"/>
        <v>18.071544373239202</v>
      </c>
      <c r="F16" s="383">
        <f t="shared" si="2"/>
        <v>18.075052707468576</v>
      </c>
      <c r="G16" s="110">
        <f t="shared" ref="G16:G79" si="21">+Wh_hp/MaxiM</f>
        <v>0.62893131589324802</v>
      </c>
      <c r="H16" s="412" t="b">
        <f>Wh_hp&gt;='2021'!Maxi_hp</f>
        <v>0</v>
      </c>
      <c r="I16" s="379">
        <f>IF(H16,Wh_hp,'2021'!Maxi_hp)</f>
        <v>27.700774451172606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2.0241344484519974E-2</v>
      </c>
      <c r="M16" s="832"/>
      <c r="N16" s="832"/>
      <c r="O16" s="48">
        <f>IF(t&lt;Tnet,'2021'!Resal+('2021'!Salim-'2021'!Resal)*(1-EXP(('2021'!Tnet-t)/('2021'!Tau_j))),Resal+(Salim-Resal)*(1-EXP((Tnet-t)/(Tau_j))))*Salcycl</f>
        <v>0.10464124970841844</v>
      </c>
      <c r="P16" s="169">
        <f>(INDEX(Models!$BJ16:$BT16,,T16)*(1-R16)+INDEX(Models!$BJ16:$BT16,,T16+1)*R16-ERP_i)*Q16*Ramure*Pc/MaxiM</f>
        <v>4.1288821561728963E-4</v>
      </c>
      <c r="Q16" s="304">
        <f t="shared" si="4"/>
        <v>0.6</v>
      </c>
      <c r="R16" s="177">
        <f t="shared" si="5"/>
        <v>0.9991427153154161</v>
      </c>
      <c r="S16" s="799">
        <f t="shared" si="6"/>
        <v>-1</v>
      </c>
      <c r="T16" s="176">
        <f t="shared" si="7"/>
        <v>5</v>
      </c>
      <c r="U16" s="250">
        <f t="shared" si="8"/>
        <v>-8.5728468458393862E-4</v>
      </c>
      <c r="V16" s="382">
        <f t="shared" si="9"/>
        <v>25.200734082017508</v>
      </c>
      <c r="W16" s="400"/>
      <c r="X16" s="157">
        <f t="shared" si="10"/>
        <v>44563</v>
      </c>
      <c r="Y16" s="383">
        <f t="shared" si="11"/>
        <v>15.853</v>
      </c>
      <c r="Z16" s="383">
        <f t="shared" si="12"/>
        <v>16.180515385862314</v>
      </c>
      <c r="AA16" s="384">
        <f t="shared" si="13"/>
        <v>18.071544373239202</v>
      </c>
      <c r="AB16" s="197">
        <f t="shared" si="14"/>
        <v>44563</v>
      </c>
      <c r="AC16" s="119">
        <f>IF(OR(t&lt;Tnet,NoTnet),'2021'!Resal_s+('2021'!Salim-'2021'!Resal_s)*(1-EXP(('2021'!Tnet_s-t)/'2021'!Tau_j)),Resal_s+(Salim-Resal_s)*(1-EXP((Tnet_s-t)/Tau_j)))*Salcycl</f>
        <v>0.10464124970841844</v>
      </c>
      <c r="AD16" s="230">
        <f>(INDEX(Models!$BJ16:$BT16,,AH16)*(1-AF16)+INDEX(Models!$BJ16:$BT16,,AH16+1)*AF16-ERP_i)*AE16*Ramure*Pc/MaxiM</f>
        <v>4.1288821561728963E-4</v>
      </c>
      <c r="AE16" s="304">
        <f t="shared" si="15"/>
        <v>0.6</v>
      </c>
      <c r="AF16" s="177">
        <f t="shared" ref="AF16:AF78" si="22">(Hp_vg_s-AG16)/(INDEX(Echel_vg,AH16+1)-AG16)</f>
        <v>0.9991427153154161</v>
      </c>
      <c r="AG16" s="799">
        <f t="shared" ref="AG16:AG79" si="23">INDEX(Echel_vg,AH16)</f>
        <v>-1</v>
      </c>
      <c r="AH16" s="176">
        <f t="shared" si="16"/>
        <v>5</v>
      </c>
      <c r="AI16" s="224">
        <f t="shared" si="17"/>
        <v>-8.5728468458393862E-4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44564</v>
      </c>
      <c r="B17" s="607">
        <v>18.553000000000001</v>
      </c>
      <c r="C17" s="388"/>
      <c r="D17" s="391">
        <f t="shared" si="0"/>
        <v>18.936659009218292</v>
      </c>
      <c r="E17" s="383">
        <f t="shared" si="1"/>
        <v>21.152155203950112</v>
      </c>
      <c r="F17" s="383">
        <f t="shared" si="2"/>
        <v>21.157328701116086</v>
      </c>
      <c r="G17" s="110">
        <f t="shared" si="21"/>
        <v>0.73209658706460645</v>
      </c>
      <c r="H17" s="412" t="b">
        <f>Wh_hp&gt;='2021'!Maxi_hp</f>
        <v>0</v>
      </c>
      <c r="I17" s="379">
        <f>IF(H17,Wh_hp,'2021'!Maxi_hp)</f>
        <v>27.58667687662351</v>
      </c>
      <c r="J17" s="85">
        <f>IF(H17,An,'2021'!An_max)</f>
        <v>2021</v>
      </c>
      <c r="K17" s="197">
        <f t="shared" si="3"/>
        <v>44564</v>
      </c>
      <c r="L17" s="147">
        <f>IF(t&lt;Tvie,1-EXP((T0-t)*PertePVj)+'2021'!Pspv,1-EXP((T0-t)*PertePVj)+Pspv)</f>
        <v>2.026012133563404E-2</v>
      </c>
      <c r="M17" s="832"/>
      <c r="N17" s="832"/>
      <c r="O17" s="48">
        <f>IF(t&lt;Tnet,'2021'!Resal+('2021'!Salim-'2021'!Resal)*(1-EXP(('2021'!Tnet-t)/('2021'!Tau_j))),Resal+(Salim-Resal)*(1-EXP((Tnet-t)/(Tau_j))))*Salcycl</f>
        <v>0.10474091993793998</v>
      </c>
      <c r="P17" s="169">
        <f>(INDEX(Models!$BJ17:$BT17,,T17)*(1-R17)+INDEX(Models!$BJ17:$BT17,,T17+1)*R17-ERP_i)*Q17*Ramure*Pc/MaxiM</f>
        <v>3.9603090227886432E-4</v>
      </c>
      <c r="Q17" s="304">
        <f t="shared" si="4"/>
        <v>0.6</v>
      </c>
      <c r="R17" s="177">
        <f t="shared" si="5"/>
        <v>0.99917315191090561</v>
      </c>
      <c r="S17" s="799">
        <f t="shared" si="6"/>
        <v>-1</v>
      </c>
      <c r="T17" s="176">
        <f t="shared" si="7"/>
        <v>5</v>
      </c>
      <c r="U17" s="250">
        <f t="shared" si="8"/>
        <v>-8.2684808909435606E-4</v>
      </c>
      <c r="V17" s="382">
        <f t="shared" si="9"/>
        <v>25.338444069340582</v>
      </c>
      <c r="W17" s="400"/>
      <c r="X17" s="157">
        <f t="shared" si="10"/>
        <v>44564</v>
      </c>
      <c r="Y17" s="383">
        <f t="shared" si="11"/>
        <v>18.553000000000001</v>
      </c>
      <c r="Z17" s="383">
        <f t="shared" si="12"/>
        <v>18.936659009218292</v>
      </c>
      <c r="AA17" s="384">
        <f t="shared" si="13"/>
        <v>21.152155203950112</v>
      </c>
      <c r="AB17" s="197">
        <f t="shared" si="14"/>
        <v>44564</v>
      </c>
      <c r="AC17" s="119">
        <f>IF(OR(t&lt;Tnet,NoTnet),'2021'!Resal_s+('2021'!Salim-'2021'!Resal_s)*(1-EXP(('2021'!Tnet_s-t)/'2021'!Tau_j)),Resal_s+(Salim-Resal_s)*(1-EXP((Tnet_s-t)/Tau_j)))*Salcycl</f>
        <v>0.10474091993793998</v>
      </c>
      <c r="AD17" s="230">
        <f>(INDEX(Models!$BJ17:$BT17,,AH17)*(1-AF17)+INDEX(Models!$BJ17:$BT17,,AH17+1)*AF17-ERP_i)*AE17*Ramure*Pc/MaxiM</f>
        <v>3.9603090227886432E-4</v>
      </c>
      <c r="AE17" s="304">
        <f t="shared" si="15"/>
        <v>0.6</v>
      </c>
      <c r="AF17" s="177">
        <f>(Hp_vg_s-AG17)/(INDEX(Echel_vg,AH17+1)-AG17)</f>
        <v>0.99917315191090561</v>
      </c>
      <c r="AG17" s="799">
        <f>INDEX(Echel_vg,AH17)</f>
        <v>-1</v>
      </c>
      <c r="AH17" s="176">
        <f t="shared" si="16"/>
        <v>5</v>
      </c>
      <c r="AI17" s="224">
        <f t="shared" si="17"/>
        <v>-8.2684808909435606E-4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44565</v>
      </c>
      <c r="B18" s="607">
        <v>19.362000000000002</v>
      </c>
      <c r="C18" s="388"/>
      <c r="D18" s="391">
        <f t="shared" si="0"/>
        <v>19.762767135517869</v>
      </c>
      <c r="E18" s="383">
        <f t="shared" si="1"/>
        <v>22.07737101946789</v>
      </c>
      <c r="F18" s="383">
        <f t="shared" si="2"/>
        <v>22.082872846879486</v>
      </c>
      <c r="G18" s="110">
        <f t="shared" si="21"/>
        <v>0.7596481480178866</v>
      </c>
      <c r="H18" s="412" t="b">
        <f>Wh_hp&gt;='2021'!Maxi_hp</f>
        <v>0</v>
      </c>
      <c r="I18" s="379">
        <f>IF(H18,Wh_hp,'2021'!Maxi_hp)</f>
        <v>23.787440527034882</v>
      </c>
      <c r="J18" s="85">
        <f>IF(H18,An,'2021'!An_max)</f>
        <v>2021</v>
      </c>
      <c r="K18" s="197">
        <f t="shared" si="3"/>
        <v>44565</v>
      </c>
      <c r="L18" s="147">
        <f>IF(t&lt;Tvie,1-EXP((T0-t)*PertePVj)+'2021'!Pspv,1-EXP((T0-t)*PertePVj)+Pspv)</f>
        <v>2.0278897826894071E-2</v>
      </c>
      <c r="M18" s="832"/>
      <c r="N18" s="832"/>
      <c r="O18" s="48">
        <f>IF(t&lt;Tnet,'2021'!Resal+('2021'!Salim-'2021'!Resal)*(1-EXP(('2021'!Tnet-t)/('2021'!Tau_j))),Resal+(Salim-Resal)*(1-EXP((Tnet-t)/(Tau_j))))*Salcycl</f>
        <v>0.10484055741550916</v>
      </c>
      <c r="P18" s="169">
        <f>(INDEX(Models!$BJ18:$BT18,,T18)*(1-R18)+INDEX(Models!$BJ18:$BT18,,T18+1)*R18-ERP_i)*Q18*Ramure*Pc/MaxiM</f>
        <v>3.7934157449490087E-4</v>
      </c>
      <c r="Q18" s="304">
        <f t="shared" si="4"/>
        <v>0.6</v>
      </c>
      <c r="R18" s="177">
        <f t="shared" si="5"/>
        <v>0.99920486144220078</v>
      </c>
      <c r="S18" s="799">
        <f t="shared" si="6"/>
        <v>-1</v>
      </c>
      <c r="T18" s="176">
        <f t="shared" si="7"/>
        <v>5</v>
      </c>
      <c r="U18" s="250">
        <f t="shared" si="8"/>
        <v>-7.9513855779923641E-4</v>
      </c>
      <c r="V18" s="382">
        <f t="shared" si="9"/>
        <v>25.484796543638019</v>
      </c>
      <c r="W18" s="400"/>
      <c r="X18" s="157">
        <f t="shared" si="10"/>
        <v>44565</v>
      </c>
      <c r="Y18" s="383">
        <f t="shared" si="11"/>
        <v>19.362000000000002</v>
      </c>
      <c r="Z18" s="383">
        <f>Wh_sa_s*(1-Psa_s)</f>
        <v>19.762767135517869</v>
      </c>
      <c r="AA18" s="384">
        <f t="shared" si="13"/>
        <v>22.07737101946789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0.10484055741550916</v>
      </c>
      <c r="AD18" s="230">
        <f>(INDEX(Models!$BJ18:$BT18,,AH18)*(1-AF18)+INDEX(Models!$BJ18:$BT18,,AH18+1)*AF18-ERP_i)*AE18*Ramure*Pc/MaxiM</f>
        <v>3.7934157449490087E-4</v>
      </c>
      <c r="AE18" s="304">
        <f t="shared" si="15"/>
        <v>0.6</v>
      </c>
      <c r="AF18" s="177">
        <f t="shared" si="22"/>
        <v>0.99920486144220078</v>
      </c>
      <c r="AG18" s="799">
        <f t="shared" si="23"/>
        <v>-1</v>
      </c>
      <c r="AH18" s="176">
        <f t="shared" si="16"/>
        <v>5</v>
      </c>
      <c r="AI18" s="224">
        <f t="shared" si="17"/>
        <v>-7.9513855779923641E-4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44566</v>
      </c>
      <c r="B19" s="607">
        <v>14.834</v>
      </c>
      <c r="C19" s="388"/>
      <c r="D19" s="391">
        <f t="shared" si="0"/>
        <v>15.141333857942387</v>
      </c>
      <c r="E19" s="383">
        <f t="shared" si="1"/>
        <v>16.916560073146876</v>
      </c>
      <c r="F19" s="383">
        <f t="shared" si="2"/>
        <v>16.919002934899346</v>
      </c>
      <c r="G19" s="110">
        <f t="shared" si="21"/>
        <v>0.57843172925885433</v>
      </c>
      <c r="H19" s="412" t="b">
        <f>Wh_hp&gt;='2021'!Maxi_hp</f>
        <v>1</v>
      </c>
      <c r="I19" s="379">
        <f>IF(H19,Wh_hp,'2021'!Maxi_hp)</f>
        <v>16.919002934899346</v>
      </c>
      <c r="J19" s="85">
        <f>IF(H19,An,'2021'!An_max)</f>
        <v>2022</v>
      </c>
      <c r="K19" s="197">
        <f t="shared" si="3"/>
        <v>44566</v>
      </c>
      <c r="L19" s="147">
        <f>IF(t&lt;Tvie,1-EXP((T0-t)*PertePVj)+'2021'!Pspv,1-EXP((T0-t)*PertePVj)+Pspv)</f>
        <v>2.0297673958306839E-2</v>
      </c>
      <c r="M19" s="832"/>
      <c r="N19" s="832"/>
      <c r="O19" s="48">
        <f>IF(t&lt;Tnet,'2021'!Resal+('2021'!Salim-'2021'!Resal)*(1-EXP(('2021'!Tnet-t)/('2021'!Tau_j))),Resal+(Salim-Resal)*(1-EXP((Tnet-t)/(Tau_j))))*Salcycl</f>
        <v>0.10494014193952242</v>
      </c>
      <c r="P19" s="169">
        <f>(INDEX(Models!$BJ19:$BT19,,T19)*(1-R19)+INDEX(Models!$BJ19:$BT19,,T19+1)*R19-ERP_i)*Q19*Ramure*Pc/MaxiM</f>
        <v>3.6283261854370584E-4</v>
      </c>
      <c r="Q19" s="304">
        <f t="shared" si="4"/>
        <v>0.6</v>
      </c>
      <c r="R19" s="177">
        <f t="shared" si="5"/>
        <v>0.9992378969747624</v>
      </c>
      <c r="S19" s="799">
        <f t="shared" si="6"/>
        <v>-1</v>
      </c>
      <c r="T19" s="176">
        <f t="shared" si="7"/>
        <v>5</v>
      </c>
      <c r="U19" s="250">
        <f t="shared" si="8"/>
        <v>-7.6210302523756961E-4</v>
      </c>
      <c r="V19" s="382">
        <f t="shared" si="9"/>
        <v>25.639601598589792</v>
      </c>
      <c r="W19" s="400"/>
      <c r="X19" s="157">
        <f t="shared" si="10"/>
        <v>44566</v>
      </c>
      <c r="Y19" s="383">
        <f t="shared" si="11"/>
        <v>14.833999999999998</v>
      </c>
      <c r="Z19" s="383">
        <f t="shared" si="12"/>
        <v>15.141333857942385</v>
      </c>
      <c r="AA19" s="384">
        <f t="shared" si="13"/>
        <v>16.916560073146876</v>
      </c>
      <c r="AB19" s="197">
        <f t="shared" si="14"/>
        <v>44566</v>
      </c>
      <c r="AC19" s="119">
        <f>IF(OR(t&lt;Tnet,NoTnet),'2021'!Resal_s+('2021'!Salim-'2021'!Resal_s)*(1-EXP(('2021'!Tnet_s-t)/'2021'!Tau_j)),Resal_s+(Salim-Resal_s)*(1-EXP((Tnet_s-t)/Tau_j)))*Salcycl</f>
        <v>0.10494014193952242</v>
      </c>
      <c r="AD19" s="230">
        <f>(INDEX(Models!$BJ19:$BT19,,AH19)*(1-AF19)+INDEX(Models!$BJ19:$BT19,,AH19+1)*AF19-ERP_i)*AE19*Ramure*Pc/MaxiM</f>
        <v>3.6283261854370584E-4</v>
      </c>
      <c r="AE19" s="304">
        <f t="shared" si="15"/>
        <v>0.6</v>
      </c>
      <c r="AF19" s="177">
        <f t="shared" si="22"/>
        <v>0.9992378969747624</v>
      </c>
      <c r="AG19" s="799">
        <f t="shared" si="23"/>
        <v>-1</v>
      </c>
      <c r="AH19" s="176">
        <f t="shared" si="16"/>
        <v>5</v>
      </c>
      <c r="AI19" s="224">
        <f t="shared" si="17"/>
        <v>-7.6210302523756961E-4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44567</v>
      </c>
      <c r="B20" s="607">
        <v>22.615000000000002</v>
      </c>
      <c r="C20" s="388"/>
      <c r="D20" s="391">
        <f t="shared" si="0"/>
        <v>23.083984612954399</v>
      </c>
      <c r="E20" s="383">
        <f t="shared" si="1"/>
        <v>25.793304446570748</v>
      </c>
      <c r="F20" s="383">
        <f t="shared" si="2"/>
        <v>25.800666941081889</v>
      </c>
      <c r="G20" s="110">
        <f t="shared" si="21"/>
        <v>0.87640609106382805</v>
      </c>
      <c r="H20" s="412" t="b">
        <f>Wh_hp&gt;='2021'!Maxi_hp</f>
        <v>0</v>
      </c>
      <c r="I20" s="379">
        <f>IF(H20,Wh_hp,'2021'!Maxi_hp)</f>
        <v>29.950318368832068</v>
      </c>
      <c r="J20" s="85">
        <f>IF(H20,An,'2021'!An_max)</f>
        <v>2020</v>
      </c>
      <c r="K20" s="197">
        <f t="shared" si="3"/>
        <v>44567</v>
      </c>
      <c r="L20" s="147">
        <f>IF(t&lt;Tvie,1-EXP((T0-t)*PertePVj)+'2021'!Pspv,1-EXP((T0-t)*PertePVj)+Pspv)</f>
        <v>2.0316449729879449E-2</v>
      </c>
      <c r="M20" s="832"/>
      <c r="N20" s="832"/>
      <c r="O20" s="48">
        <f>IF(t&lt;Tnet,'2021'!Resal+('2021'!Salim-'2021'!Resal)*(1-EXP(('2021'!Tnet-t)/('2021'!Tau_j))),Resal+(Salim-Resal)*(1-EXP((Tnet-t)/(Tau_j))))*Salcycl</f>
        <v>0.10503965628865188</v>
      </c>
      <c r="P20" s="169">
        <f>(INDEX(Models!$BJ20:$BT20,,T20)*(1-R20)+INDEX(Models!$BJ20:$BT20,,T20+1)*R20-ERP_i)*Q20*Ramure*Pc/MaxiM</f>
        <v>3.4651587454601637E-4</v>
      </c>
      <c r="Q20" s="304">
        <f t="shared" si="4"/>
        <v>0.6</v>
      </c>
      <c r="R20" s="177">
        <f t="shared" si="5"/>
        <v>0.99927231377151315</v>
      </c>
      <c r="S20" s="799">
        <f t="shared" si="6"/>
        <v>-1</v>
      </c>
      <c r="T20" s="176">
        <f t="shared" si="7"/>
        <v>5</v>
      </c>
      <c r="U20" s="250">
        <f t="shared" si="8"/>
        <v>-7.2768622848685808E-4</v>
      </c>
      <c r="V20" s="382">
        <f t="shared" si="9"/>
        <v>25.802669344603956</v>
      </c>
      <c r="W20" s="400"/>
      <c r="X20" s="157">
        <f t="shared" si="10"/>
        <v>44567</v>
      </c>
      <c r="Y20" s="383">
        <f t="shared" si="11"/>
        <v>22.615000000000002</v>
      </c>
      <c r="Z20" s="383">
        <f t="shared" si="12"/>
        <v>23.083984612954399</v>
      </c>
      <c r="AA20" s="384">
        <f t="shared" si="13"/>
        <v>25.793304446570748</v>
      </c>
      <c r="AB20" s="197">
        <f t="shared" si="14"/>
        <v>44567</v>
      </c>
      <c r="AC20" s="119">
        <f>IF(OR(t&lt;Tnet,NoTnet),'2021'!Resal_s+('2021'!Salim-'2021'!Resal_s)*(1-EXP(('2021'!Tnet_s-t)/'2021'!Tau_j)),Resal_s+(Salim-Resal_s)*(1-EXP((Tnet_s-t)/Tau_j)))*Salcycl</f>
        <v>0.10503965628865188</v>
      </c>
      <c r="AD20" s="230">
        <f>(INDEX(Models!$BJ20:$BT20,,AH20)*(1-AF20)+INDEX(Models!$BJ20:$BT20,,AH20+1)*AF20-ERP_i)*AE20*Ramure*Pc/MaxiM</f>
        <v>3.4651587454601637E-4</v>
      </c>
      <c r="AE20" s="304">
        <f t="shared" si="15"/>
        <v>0.6</v>
      </c>
      <c r="AF20" s="177">
        <f t="shared" si="22"/>
        <v>0.99927231377151315</v>
      </c>
      <c r="AG20" s="799">
        <f t="shared" si="23"/>
        <v>-1</v>
      </c>
      <c r="AH20" s="176">
        <f t="shared" si="16"/>
        <v>5</v>
      </c>
      <c r="AI20" s="224">
        <f t="shared" si="17"/>
        <v>-7.2768622848685808E-4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44568</v>
      </c>
      <c r="B21" s="607">
        <v>9.6829999999999998</v>
      </c>
      <c r="C21" s="388"/>
      <c r="D21" s="391">
        <f t="shared" si="0"/>
        <v>9.8839932275810956</v>
      </c>
      <c r="E21" s="383">
        <f t="shared" si="1"/>
        <v>11.045284327627646</v>
      </c>
      <c r="F21" s="383">
        <f t="shared" si="2"/>
        <v>11.04566386997643</v>
      </c>
      <c r="G21" s="110">
        <f t="shared" si="21"/>
        <v>0.37268823356322628</v>
      </c>
      <c r="H21" s="412" t="b">
        <f>Wh_hp&gt;='2021'!Maxi_hp</f>
        <v>0</v>
      </c>
      <c r="I21" s="379">
        <f>IF(H21,Wh_hp,'2021'!Maxi_hp)</f>
        <v>16.073458938356385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2.0335225141618674E-2</v>
      </c>
      <c r="M21" s="832"/>
      <c r="N21" s="832"/>
      <c r="O21" s="48">
        <f>IF(t&lt;Tnet,'2021'!Resal+('2021'!Salim-'2021'!Resal)*(1-EXP(('2021'!Tnet-t)/('2021'!Tau_j))),Resal+(Salim-Resal)*(1-EXP((Tnet-t)/(Tau_j))))*Salcycl</f>
        <v>0.10513908611132863</v>
      </c>
      <c r="P21" s="169">
        <f>(INDEX(Models!$BJ21:$BT21,,T21)*(1-R21)+INDEX(Models!$BJ21:$BT21,,T21+1)*R21-ERP_i)*Q21*Ramure*Pc/MaxiM</f>
        <v>3.3040257507654019E-4</v>
      </c>
      <c r="Q21" s="304">
        <f t="shared" si="4"/>
        <v>0.6</v>
      </c>
      <c r="R21" s="177">
        <f t="shared" si="5"/>
        <v>0.99930816938257627</v>
      </c>
      <c r="S21" s="799">
        <f t="shared" si="6"/>
        <v>-1</v>
      </c>
      <c r="T21" s="176">
        <f t="shared" si="7"/>
        <v>5</v>
      </c>
      <c r="U21" s="250">
        <f t="shared" si="8"/>
        <v>-6.918306174236743E-4</v>
      </c>
      <c r="V21" s="382">
        <f t="shared" si="9"/>
        <v>25.973809906434536</v>
      </c>
      <c r="W21" s="400"/>
      <c r="X21" s="157">
        <f t="shared" si="10"/>
        <v>44568</v>
      </c>
      <c r="Y21" s="383">
        <f t="shared" si="11"/>
        <v>9.6829999999999998</v>
      </c>
      <c r="Z21" s="383">
        <f t="shared" si="12"/>
        <v>9.8839932275810956</v>
      </c>
      <c r="AA21" s="384">
        <f t="shared" si="13"/>
        <v>11.045284327627646</v>
      </c>
      <c r="AB21" s="197">
        <f t="shared" si="14"/>
        <v>44568</v>
      </c>
      <c r="AC21" s="119">
        <f>IF(OR(t&lt;Tnet,NoTnet),'2021'!Resal_s+('2021'!Salim-'2021'!Resal_s)*(1-EXP(('2021'!Tnet_s-t)/'2021'!Tau_j)),Resal_s+(Salim-Resal_s)*(1-EXP((Tnet_s-t)/Tau_j)))*Salcycl</f>
        <v>0.10513908611132863</v>
      </c>
      <c r="AD21" s="230">
        <f>(INDEX(Models!$BJ21:$BT21,,AH21)*(1-AF21)+INDEX(Models!$BJ21:$BT21,,AH21+1)*AF21-ERP_i)*AE21*Ramure*Pc/MaxiM</f>
        <v>3.3040257507654019E-4</v>
      </c>
      <c r="AE21" s="304">
        <f t="shared" si="15"/>
        <v>0.6</v>
      </c>
      <c r="AF21" s="177">
        <f t="shared" si="22"/>
        <v>0.99930816938257627</v>
      </c>
      <c r="AG21" s="799">
        <f t="shared" si="23"/>
        <v>-1</v>
      </c>
      <c r="AH21" s="176">
        <f t="shared" si="16"/>
        <v>5</v>
      </c>
      <c r="AI21" s="224">
        <f t="shared" si="17"/>
        <v>-6.918306174236743E-4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44569</v>
      </c>
      <c r="B22" s="607">
        <v>6.7990000000000004</v>
      </c>
      <c r="C22" s="388"/>
      <c r="D22" s="391">
        <f t="shared" si="0"/>
        <v>6.940262096046081</v>
      </c>
      <c r="E22" s="383">
        <f t="shared" si="1"/>
        <v>7.7565490624243933</v>
      </c>
      <c r="F22" s="383">
        <f t="shared" si="2"/>
        <v>7.7565490624243933</v>
      </c>
      <c r="G22" s="110">
        <f t="shared" si="21"/>
        <v>0.25989006925947294</v>
      </c>
      <c r="H22" s="412" t="b">
        <f>Wh_hp&gt;='2021'!Maxi_hp</f>
        <v>0</v>
      </c>
      <c r="I22" s="379">
        <f>IF(H22,Wh_hp,'2021'!Maxi_hp)</f>
        <v>23.032683038014351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2.0354000193531396E-2</v>
      </c>
      <c r="M22" s="832"/>
      <c r="N22" s="832"/>
      <c r="O22" s="48">
        <f>IF(t&lt;Tnet,'2021'!Resal+('2021'!Salim-'2021'!Resal)*(1-EXP(('2021'!Tnet-t)/('2021'!Tau_j))),Resal+(Salim-Resal)*(1-EXP((Tnet-t)/(Tau_j))))*Salcycl</f>
        <v>0.10523841979324411</v>
      </c>
      <c r="P22" s="169">
        <f>(INDEX(Models!$BJ22:$BT22,,T22)*(1-R22)+INDEX(Models!$BJ22:$BT22,,T22+1)*R22-ERP_i)*Q22*Ramure*Pc/MaxiM</f>
        <v>3.1450329182508173E-4</v>
      </c>
      <c r="Q22" s="304">
        <f t="shared" si="4"/>
        <v>0.6</v>
      </c>
      <c r="R22" s="177">
        <f t="shared" si="5"/>
        <v>0.99934552373857344</v>
      </c>
      <c r="S22" s="799">
        <f t="shared" si="6"/>
        <v>-1</v>
      </c>
      <c r="T22" s="176">
        <f t="shared" si="7"/>
        <v>5</v>
      </c>
      <c r="U22" s="250">
        <f t="shared" si="8"/>
        <v>-6.5447626142652168E-4</v>
      </c>
      <c r="V22" s="382">
        <f t="shared" si="9"/>
        <v>26.15283343255771</v>
      </c>
      <c r="W22" s="400"/>
      <c r="X22" s="157">
        <f t="shared" si="10"/>
        <v>44569</v>
      </c>
      <c r="Y22" s="383">
        <f t="shared" si="11"/>
        <v>6.7990000000000004</v>
      </c>
      <c r="Z22" s="383">
        <f t="shared" si="12"/>
        <v>6.940262096046081</v>
      </c>
      <c r="AA22" s="384">
        <f t="shared" si="13"/>
        <v>7.7565490624243933</v>
      </c>
      <c r="AB22" s="197">
        <f t="shared" si="14"/>
        <v>44569</v>
      </c>
      <c r="AC22" s="119">
        <f>IF(OR(t&lt;Tnet,NoTnet),'2021'!Resal_s+('2021'!Salim-'2021'!Resal_s)*(1-EXP(('2021'!Tnet_s-t)/'2021'!Tau_j)),Resal_s+(Salim-Resal_s)*(1-EXP((Tnet_s-t)/Tau_j)))*Salcycl</f>
        <v>0.10523841979324411</v>
      </c>
      <c r="AD22" s="230">
        <f>(INDEX(Models!$BJ22:$BT22,,AH22)*(1-AF22)+INDEX(Models!$BJ22:$BT22,,AH22+1)*AF22-ERP_i)*AE22*Ramure*Pc/MaxiM</f>
        <v>3.1450329182508173E-4</v>
      </c>
      <c r="AE22" s="304">
        <f t="shared" si="15"/>
        <v>0.6</v>
      </c>
      <c r="AF22" s="177">
        <f t="shared" si="22"/>
        <v>0.99934552373857344</v>
      </c>
      <c r="AG22" s="799">
        <f t="shared" si="23"/>
        <v>-1</v>
      </c>
      <c r="AH22" s="176">
        <f t="shared" si="16"/>
        <v>5</v>
      </c>
      <c r="AI22" s="224">
        <f t="shared" si="17"/>
        <v>-6.5447626142652168E-4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44570</v>
      </c>
      <c r="B23" s="607">
        <v>2.0569999999999999</v>
      </c>
      <c r="C23" s="388"/>
      <c r="D23" s="391">
        <f t="shared" si="0"/>
        <v>2.0997783108363866</v>
      </c>
      <c r="E23" s="383">
        <f t="shared" si="1"/>
        <v>2.3470064509342139</v>
      </c>
      <c r="F23" s="383">
        <f t="shared" si="2"/>
        <v>2.3470064509342139</v>
      </c>
      <c r="G23" s="110">
        <f t="shared" si="21"/>
        <v>7.8065402464755712E-2</v>
      </c>
      <c r="H23" s="412" t="b">
        <f>Wh_hp&gt;='2021'!Maxi_hp</f>
        <v>0</v>
      </c>
      <c r="I23" s="379">
        <f>IF(H23,Wh_hp,'2021'!Maxi_hp)</f>
        <v>29.267673438612903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2.0372774885624501E-2</v>
      </c>
      <c r="M23" s="832"/>
      <c r="N23" s="832"/>
      <c r="O23" s="48">
        <f>IF(t&lt;Tnet,'2021'!Resal+('2021'!Salim-'2021'!Resal)*(1-EXP(('2021'!Tnet-t)/('2021'!Tau_j))),Resal+(Salim-Resal)*(1-EXP((Tnet-t)/(Tau_j))))*Salcycl</f>
        <v>0.10533764830489477</v>
      </c>
      <c r="P23" s="169">
        <f>(INDEX(Models!$BJ23:$BT23,,T23)*(1-R23)+INDEX(Models!$BJ23:$BT23,,T23+1)*R23-ERP_i)*Q23*Ramure*Pc/MaxiM</f>
        <v>2.988020633653275E-4</v>
      </c>
      <c r="Q23" s="304">
        <f t="shared" si="4"/>
        <v>0.6</v>
      </c>
      <c r="R23" s="177">
        <f t="shared" si="5"/>
        <v>0.99938443924760856</v>
      </c>
      <c r="S23" s="799">
        <f t="shared" si="6"/>
        <v>-1</v>
      </c>
      <c r="T23" s="176">
        <f t="shared" si="7"/>
        <v>5</v>
      </c>
      <c r="U23" s="250">
        <f t="shared" si="8"/>
        <v>-6.1556075239140506E-4</v>
      </c>
      <c r="V23" s="382">
        <f t="shared" si="9"/>
        <v>26.341827483488043</v>
      </c>
      <c r="W23" s="400"/>
      <c r="X23" s="157">
        <f t="shared" si="10"/>
        <v>44570</v>
      </c>
      <c r="Y23" s="383">
        <f t="shared" si="11"/>
        <v>2.0569999999999999</v>
      </c>
      <c r="Z23" s="383">
        <f t="shared" si="12"/>
        <v>2.0997783108363866</v>
      </c>
      <c r="AA23" s="384">
        <f t="shared" si="13"/>
        <v>2.3470064509342139</v>
      </c>
      <c r="AB23" s="197">
        <f t="shared" si="14"/>
        <v>44570</v>
      </c>
      <c r="AC23" s="119">
        <f>IF(OR(t&lt;Tnet,NoTnet),'2021'!Resal_s+('2021'!Salim-'2021'!Resal_s)*(1-EXP(('2021'!Tnet_s-t)/'2021'!Tau_j)),Resal_s+(Salim-Resal_s)*(1-EXP((Tnet_s-t)/Tau_j)))*Salcycl</f>
        <v>0.10533764830489477</v>
      </c>
      <c r="AD23" s="230">
        <f>(INDEX(Models!$BJ23:$BT23,,AH23)*(1-AF23)+INDEX(Models!$BJ23:$BT23,,AH23+1)*AF23-ERP_i)*AE23*Ramure*Pc/MaxiM</f>
        <v>2.988020633653275E-4</v>
      </c>
      <c r="AE23" s="304">
        <f t="shared" si="15"/>
        <v>0.6</v>
      </c>
      <c r="AF23" s="177">
        <f t="shared" si="22"/>
        <v>0.99938443924760856</v>
      </c>
      <c r="AG23" s="799">
        <f t="shared" si="23"/>
        <v>-1</v>
      </c>
      <c r="AH23" s="176">
        <f t="shared" si="16"/>
        <v>5</v>
      </c>
      <c r="AI23" s="224">
        <f t="shared" si="17"/>
        <v>-6.1556075239140506E-4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44571</v>
      </c>
      <c r="B24" s="607">
        <v>1.679</v>
      </c>
      <c r="C24" s="388"/>
      <c r="D24" s="391">
        <f t="shared" si="0"/>
        <v>1.7139500977758286</v>
      </c>
      <c r="E24" s="383">
        <f t="shared" si="1"/>
        <v>1.91596304294338</v>
      </c>
      <c r="F24" s="383">
        <f t="shared" si="2"/>
        <v>1.91596304294338</v>
      </c>
      <c r="G24" s="110">
        <f t="shared" si="21"/>
        <v>6.323922499712975E-2</v>
      </c>
      <c r="H24" s="412" t="b">
        <f>Wh_hp&gt;='2021'!Maxi_hp</f>
        <v>0</v>
      </c>
      <c r="I24" s="379">
        <f>IF(H24,Wh_hp,'2021'!Maxi_hp)</f>
        <v>9.5585505556592274</v>
      </c>
      <c r="J24" s="85">
        <f>IF(H24,An,'2021'!An_max)</f>
        <v>2020</v>
      </c>
      <c r="K24" s="197">
        <f t="shared" si="3"/>
        <v>44571</v>
      </c>
      <c r="L24" s="147">
        <f>IF(t&lt;Tvie,1-EXP((T0-t)*PertePVj)+'2021'!Pspv,1-EXP((T0-t)*PertePVj)+Pspv)</f>
        <v>2.039154921790487E-2</v>
      </c>
      <c r="M24" s="832"/>
      <c r="N24" s="832"/>
      <c r="O24" s="48">
        <f>IF(t&lt;Tnet,'2021'!Resal+('2021'!Salim-'2021'!Resal)*(1-EXP(('2021'!Tnet-t)/('2021'!Tau_j))),Resal+(Salim-Resal)*(1-EXP((Tnet-t)/(Tau_j))))*Salcycl</f>
        <v>0.10543676503133949</v>
      </c>
      <c r="P24" s="169">
        <f>(INDEX(Models!$BJ24:$BT24,,T24)*(1-R24)+INDEX(Models!$BJ24:$BT24,,T24+1)*R24-ERP_i)*Q24*Ramure*Pc/MaxiM</f>
        <v>2.831317695544719E-4</v>
      </c>
      <c r="Q24" s="304">
        <f t="shared" si="4"/>
        <v>0.6</v>
      </c>
      <c r="R24" s="177">
        <f t="shared" si="5"/>
        <v>0.99942498089607812</v>
      </c>
      <c r="S24" s="799">
        <f t="shared" si="6"/>
        <v>-1</v>
      </c>
      <c r="T24" s="176">
        <f t="shared" si="7"/>
        <v>5</v>
      </c>
      <c r="U24" s="250">
        <f t="shared" si="8"/>
        <v>-5.7501910392184722E-4</v>
      </c>
      <c r="V24" s="382">
        <f t="shared" si="9"/>
        <v>26.542460345380601</v>
      </c>
      <c r="W24" s="400"/>
      <c r="X24" s="157">
        <f t="shared" si="10"/>
        <v>44571</v>
      </c>
      <c r="Y24" s="383">
        <f t="shared" si="11"/>
        <v>1.679</v>
      </c>
      <c r="Z24" s="383">
        <f t="shared" si="12"/>
        <v>1.7139500977758286</v>
      </c>
      <c r="AA24" s="384">
        <f t="shared" si="13"/>
        <v>1.91596304294338</v>
      </c>
      <c r="AB24" s="197">
        <f t="shared" si="14"/>
        <v>44571</v>
      </c>
      <c r="AC24" s="119">
        <f>IF(OR(t&lt;Tnet,NoTnet),'2021'!Resal_s+('2021'!Salim-'2021'!Resal_s)*(1-EXP(('2021'!Tnet_s-t)/'2021'!Tau_j)),Resal_s+(Salim-Resal_s)*(1-EXP((Tnet_s-t)/Tau_j)))*Salcycl</f>
        <v>0.10543676503133949</v>
      </c>
      <c r="AD24" s="230">
        <f>(INDEX(Models!$BJ24:$BT24,,AH24)*(1-AF24)+INDEX(Models!$BJ24:$BT24,,AH24+1)*AF24-ERP_i)*AE24*Ramure*Pc/MaxiM</f>
        <v>2.831317695544719E-4</v>
      </c>
      <c r="AE24" s="304">
        <f t="shared" si="15"/>
        <v>0.6</v>
      </c>
      <c r="AF24" s="177">
        <f t="shared" si="22"/>
        <v>0.99942498089607812</v>
      </c>
      <c r="AG24" s="799">
        <f t="shared" si="23"/>
        <v>-1</v>
      </c>
      <c r="AH24" s="176">
        <f t="shared" si="16"/>
        <v>5</v>
      </c>
      <c r="AI24" s="224">
        <f t="shared" si="17"/>
        <v>-5.7501910392184722E-4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44572</v>
      </c>
      <c r="B25" s="607">
        <v>25.407</v>
      </c>
      <c r="C25" s="388"/>
      <c r="D25" s="391">
        <f t="shared" si="0"/>
        <v>25.936369687711352</v>
      </c>
      <c r="E25" s="383">
        <f t="shared" si="1"/>
        <v>28.996541940792838</v>
      </c>
      <c r="F25" s="383">
        <f t="shared" si="2"/>
        <v>29.003742839255473</v>
      </c>
      <c r="G25" s="110">
        <f t="shared" si="21"/>
        <v>0.94963740582242961</v>
      </c>
      <c r="H25" s="412" t="b">
        <f>Wh_hp&gt;='2021'!Maxi_hp</f>
        <v>0</v>
      </c>
      <c r="I25" s="379">
        <f>IF(H25,Wh_hp,'2021'!Maxi_hp)</f>
        <v>29.842314321550671</v>
      </c>
      <c r="J25" s="85">
        <f>IF(H25,An,'2021'!An_max)</f>
        <v>2020</v>
      </c>
      <c r="K25" s="197">
        <f t="shared" si="3"/>
        <v>44572</v>
      </c>
      <c r="L25" s="147">
        <f>IF(t&lt;Tvie,1-EXP((T0-t)*PertePVj)+'2021'!Pspv,1-EXP((T0-t)*PertePVj)+Pspv)</f>
        <v>2.0410323190379498E-2</v>
      </c>
      <c r="M25" s="832"/>
      <c r="N25" s="832"/>
      <c r="O25" s="48">
        <f>IF(t&lt;Tnet,'2021'!Resal+('2021'!Salim-'2021'!Resal)*(1-EXP(('2021'!Tnet-t)/('2021'!Tau_j))),Resal+(Salim-Resal)*(1-EXP((Tnet-t)/(Tau_j))))*Salcycl</f>
        <v>0.10553576558646061</v>
      </c>
      <c r="P25" s="169">
        <f>(INDEX(Models!$BJ25:$BT25,,T25)*(1-R25)+INDEX(Models!$BJ25:$BT25,,T25+1)*R25-ERP_i)*Q25*Ramure*Pc/MaxiM</f>
        <v>2.6751456992554578E-4</v>
      </c>
      <c r="Q25" s="304">
        <f t="shared" si="4"/>
        <v>0.6</v>
      </c>
      <c r="R25" s="177">
        <f t="shared" si="5"/>
        <v>0.99946721635344415</v>
      </c>
      <c r="S25" s="799">
        <f t="shared" si="6"/>
        <v>-1</v>
      </c>
      <c r="T25" s="176">
        <f t="shared" si="7"/>
        <v>5</v>
      </c>
      <c r="U25" s="250">
        <f t="shared" si="8"/>
        <v>-5.3278364655583339E-4</v>
      </c>
      <c r="V25" s="382">
        <f t="shared" si="9"/>
        <v>26.753907226072251</v>
      </c>
      <c r="W25" s="400"/>
      <c r="X25" s="157">
        <f t="shared" si="10"/>
        <v>44572</v>
      </c>
      <c r="Y25" s="383">
        <f t="shared" si="11"/>
        <v>25.407</v>
      </c>
      <c r="Z25" s="383">
        <f t="shared" si="12"/>
        <v>25.936369687711352</v>
      </c>
      <c r="AA25" s="384">
        <f t="shared" si="13"/>
        <v>28.996541940792838</v>
      </c>
      <c r="AB25" s="197">
        <f t="shared" si="14"/>
        <v>44572</v>
      </c>
      <c r="AC25" s="119">
        <f>IF(OR(t&lt;Tnet,NoTnet),'2021'!Resal_s+('2021'!Salim-'2021'!Resal_s)*(1-EXP(('2021'!Tnet_s-t)/'2021'!Tau_j)),Resal_s+(Salim-Resal_s)*(1-EXP((Tnet_s-t)/Tau_j)))*Salcycl</f>
        <v>0.10553576558646061</v>
      </c>
      <c r="AD25" s="230">
        <f>(INDEX(Models!$BJ25:$BT25,,AH25)*(1-AF25)+INDEX(Models!$BJ25:$BT25,,AH25+1)*AF25-ERP_i)*AE25*Ramure*Pc/MaxiM</f>
        <v>2.6751456992554578E-4</v>
      </c>
      <c r="AE25" s="304">
        <f t="shared" si="15"/>
        <v>0.6</v>
      </c>
      <c r="AF25" s="177">
        <f t="shared" si="22"/>
        <v>0.99946721635344415</v>
      </c>
      <c r="AG25" s="799">
        <f t="shared" si="23"/>
        <v>-1</v>
      </c>
      <c r="AH25" s="176">
        <f t="shared" si="16"/>
        <v>5</v>
      </c>
      <c r="AI25" s="224">
        <f t="shared" si="17"/>
        <v>-5.3278364655583339E-4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44573</v>
      </c>
      <c r="B26" s="607">
        <v>23.157</v>
      </c>
      <c r="C26" s="388"/>
      <c r="D26" s="391">
        <f t="shared" si="0"/>
        <v>23.639942677374766</v>
      </c>
      <c r="E26" s="383">
        <f t="shared" si="1"/>
        <v>26.432086858363693</v>
      </c>
      <c r="F26" s="383">
        <f t="shared" si="2"/>
        <v>26.437401355737393</v>
      </c>
      <c r="G26" s="110">
        <f t="shared" si="21"/>
        <v>0.85840685444893372</v>
      </c>
      <c r="H26" s="412" t="b">
        <f>Wh_hp&gt;='2021'!Maxi_hp</f>
        <v>0</v>
      </c>
      <c r="I26" s="379">
        <f>IF(H26,Wh_hp,'2021'!Maxi_hp)</f>
        <v>31.06915900574295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2.0429096803055269E-2</v>
      </c>
      <c r="M26" s="832"/>
      <c r="N26" s="832"/>
      <c r="O26" s="48">
        <f>IF(t&lt;Tnet,'2021'!Resal+('2021'!Salim-'2021'!Resal)*(1-EXP(('2021'!Tnet-t)/('2021'!Tau_j))),Resal+(Salim-Resal)*(1-EXP((Tnet-t)/(Tau_j))))*Salcycl</f>
        <v>0.10563464761411503</v>
      </c>
      <c r="P26" s="169">
        <f>(INDEX(Models!$BJ26:$BT26,,T26)*(1-R26)+INDEX(Models!$BJ26:$BT26,,T26+1)*R26-ERP_i)*Q26*Ramure*Pc/MaxiM</f>
        <v>2.5197456716968673E-4</v>
      </c>
      <c r="Q26" s="304">
        <f t="shared" si="4"/>
        <v>0.6</v>
      </c>
      <c r="R26" s="177">
        <f t="shared" si="5"/>
        <v>0.99951121608111526</v>
      </c>
      <c r="S26" s="799">
        <f t="shared" si="6"/>
        <v>-1</v>
      </c>
      <c r="T26" s="176">
        <f t="shared" si="7"/>
        <v>5</v>
      </c>
      <c r="U26" s="250">
        <f t="shared" si="8"/>
        <v>-4.8878391888471898E-4</v>
      </c>
      <c r="V26" s="382">
        <f t="shared" si="9"/>
        <v>26.975343605974036</v>
      </c>
      <c r="W26" s="400"/>
      <c r="X26" s="157">
        <f t="shared" si="10"/>
        <v>44573</v>
      </c>
      <c r="Y26" s="383">
        <f t="shared" si="11"/>
        <v>23.157</v>
      </c>
      <c r="Z26" s="383">
        <f t="shared" si="12"/>
        <v>23.639942677374766</v>
      </c>
      <c r="AA26" s="384">
        <f t="shared" si="13"/>
        <v>26.432086858363693</v>
      </c>
      <c r="AB26" s="197">
        <f t="shared" si="14"/>
        <v>44573</v>
      </c>
      <c r="AC26" s="119">
        <f>IF(OR(t&lt;Tnet,NoTnet),'2021'!Resal_s+('2021'!Salim-'2021'!Resal_s)*(1-EXP(('2021'!Tnet_s-t)/'2021'!Tau_j)),Resal_s+(Salim-Resal_s)*(1-EXP((Tnet_s-t)/Tau_j)))*Salcycl</f>
        <v>0.10563464761411503</v>
      </c>
      <c r="AD26" s="230">
        <f>(INDEX(Models!$BJ26:$BT26,,AH26)*(1-AF26)+INDEX(Models!$BJ26:$BT26,,AH26+1)*AF26-ERP_i)*AE26*Ramure*Pc/MaxiM</f>
        <v>2.5197456716968673E-4</v>
      </c>
      <c r="AE26" s="304">
        <f t="shared" si="15"/>
        <v>0.6</v>
      </c>
      <c r="AF26" s="177">
        <f t="shared" si="22"/>
        <v>0.99951121608111526</v>
      </c>
      <c r="AG26" s="799">
        <f t="shared" si="23"/>
        <v>-1</v>
      </c>
      <c r="AH26" s="176">
        <f t="shared" si="16"/>
        <v>5</v>
      </c>
      <c r="AI26" s="224">
        <f t="shared" si="17"/>
        <v>-4.8878391888471898E-4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44574</v>
      </c>
      <c r="B27" s="607">
        <v>5.2</v>
      </c>
      <c r="C27" s="388"/>
      <c r="D27" s="391">
        <f t="shared" si="0"/>
        <v>5.3085485101205947</v>
      </c>
      <c r="E27" s="383">
        <f t="shared" si="1"/>
        <v>5.9362035582202575</v>
      </c>
      <c r="F27" s="383">
        <f t="shared" si="2"/>
        <v>5.9362035582202575</v>
      </c>
      <c r="G27" s="110">
        <f t="shared" si="21"/>
        <v>0.19108948303285248</v>
      </c>
      <c r="H27" s="412" t="b">
        <f>Wh_hp&gt;='2021'!Maxi_hp</f>
        <v>0</v>
      </c>
      <c r="I27" s="379">
        <f>IF(H27,Wh_hp,'2021'!Maxi_hp)</f>
        <v>16.623085463395078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2.0447870055939066E-2</v>
      </c>
      <c r="M27" s="832"/>
      <c r="N27" s="832"/>
      <c r="O27" s="48">
        <f>IF(t&lt;Tnet,'2021'!Resal+('2021'!Salim-'2021'!Resal)*(1-EXP(('2021'!Tnet-t)/('2021'!Tau_j))),Resal+(Salim-Resal)*(1-EXP((Tnet-t)/(Tau_j))))*Salcycl</f>
        <v>0.10573341057863611</v>
      </c>
      <c r="P27" s="169">
        <f>(INDEX(Models!$BJ27:$BT27,,T27)*(1-R27)+INDEX(Models!$BJ27:$BT27,,T27+1)*R27-ERP_i)*Q27*Ramure*Pc/MaxiM</f>
        <v>2.3653327673874778E-4</v>
      </c>
      <c r="Q27" s="304">
        <f t="shared" si="4"/>
        <v>0.6</v>
      </c>
      <c r="R27" s="177">
        <f t="shared" si="5"/>
        <v>0.99955705344558443</v>
      </c>
      <c r="S27" s="799">
        <f t="shared" si="6"/>
        <v>-1</v>
      </c>
      <c r="T27" s="176">
        <f t="shared" si="7"/>
        <v>5</v>
      </c>
      <c r="U27" s="250">
        <f t="shared" si="8"/>
        <v>-4.4294655441559969E-4</v>
      </c>
      <c r="V27" s="382">
        <f t="shared" si="9"/>
        <v>27.205945321790292</v>
      </c>
      <c r="W27" s="400"/>
      <c r="X27" s="157">
        <f t="shared" si="10"/>
        <v>44574</v>
      </c>
      <c r="Y27" s="383">
        <f t="shared" si="11"/>
        <v>5.2</v>
      </c>
      <c r="Z27" s="383">
        <f t="shared" si="12"/>
        <v>5.3085485101205947</v>
      </c>
      <c r="AA27" s="384">
        <f t="shared" si="13"/>
        <v>5.9362035582202575</v>
      </c>
      <c r="AB27" s="197">
        <f t="shared" si="14"/>
        <v>44574</v>
      </c>
      <c r="AC27" s="119">
        <f>IF(OR(t&lt;Tnet,NoTnet),'2021'!Resal_s+('2021'!Salim-'2021'!Resal_s)*(1-EXP(('2021'!Tnet_s-t)/'2021'!Tau_j)),Resal_s+(Salim-Resal_s)*(1-EXP((Tnet_s-t)/Tau_j)))*Salcycl</f>
        <v>0.10573341057863611</v>
      </c>
      <c r="AD27" s="230">
        <f>(INDEX(Models!$BJ27:$BT27,,AH27)*(1-AF27)+INDEX(Models!$BJ27:$BT27,,AH27+1)*AF27-ERP_i)*AE27*Ramure*Pc/MaxiM</f>
        <v>2.3653327673874778E-4</v>
      </c>
      <c r="AE27" s="304">
        <f t="shared" si="15"/>
        <v>0.6</v>
      </c>
      <c r="AF27" s="177">
        <f t="shared" si="22"/>
        <v>0.99955705344558443</v>
      </c>
      <c r="AG27" s="799">
        <f t="shared" si="23"/>
        <v>-1</v>
      </c>
      <c r="AH27" s="176">
        <f t="shared" si="16"/>
        <v>5</v>
      </c>
      <c r="AI27" s="224">
        <f t="shared" si="17"/>
        <v>-4.4294655441559969E-4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44575</v>
      </c>
      <c r="B28" s="607">
        <v>27.806000000000001</v>
      </c>
      <c r="C28" s="388"/>
      <c r="D28" s="391">
        <f t="shared" si="0"/>
        <v>28.386986313272978</v>
      </c>
      <c r="E28" s="383">
        <f t="shared" si="1"/>
        <v>31.746817238728685</v>
      </c>
      <c r="F28" s="383">
        <f t="shared" si="2"/>
        <v>31.753841494972857</v>
      </c>
      <c r="G28" s="110">
        <f t="shared" si="21"/>
        <v>1.0131576921506382</v>
      </c>
      <c r="H28" s="412" t="b">
        <f>Wh_hp&gt;='2021'!Maxi_hp</f>
        <v>1</v>
      </c>
      <c r="I28" s="379">
        <f>IF(H28,Wh_hp,'2021'!Maxi_hp)</f>
        <v>31.753841494972857</v>
      </c>
      <c r="J28" s="85">
        <f>IF(H28,An,'2021'!An_max)</f>
        <v>2022</v>
      </c>
      <c r="K28" s="197">
        <f t="shared" si="3"/>
        <v>44575</v>
      </c>
      <c r="L28" s="147">
        <f>IF(t&lt;Tvie,1-EXP((T0-t)*PertePVj)+'2021'!Pspv,1-EXP((T0-t)*PertePVj)+Pspv)</f>
        <v>2.0466642949037661E-2</v>
      </c>
      <c r="M28" s="832"/>
      <c r="N28" s="832"/>
      <c r="O28" s="48">
        <f>IF(t&lt;Tnet,'2021'!Resal+('2021'!Salim-'2021'!Resal)*(1-EXP(('2021'!Tnet-t)/('2021'!Tau_j))),Resal+(Salim-Resal)*(1-EXP((Tnet-t)/(Tau_j))))*Salcycl</f>
        <v>0.10583205554719263</v>
      </c>
      <c r="P28" s="169">
        <f>(INDEX(Models!$BJ28:$BT28,,T28)*(1-R28)+INDEX(Models!$BJ28:$BT28,,T28+1)*R28-ERP_i)*Q28*Ramure*Pc/MaxiM</f>
        <v>2.21209652548123E-4</v>
      </c>
      <c r="Q28" s="304">
        <f t="shared" si="4"/>
        <v>0.6</v>
      </c>
      <c r="R28" s="177">
        <f t="shared" si="5"/>
        <v>0.99960480483597391</v>
      </c>
      <c r="S28" s="799">
        <f t="shared" si="6"/>
        <v>-1</v>
      </c>
      <c r="T28" s="176">
        <f t="shared" si="7"/>
        <v>5</v>
      </c>
      <c r="U28" s="250">
        <f t="shared" si="8"/>
        <v>-3.9519516402611895E-4</v>
      </c>
      <c r="V28" s="382">
        <f t="shared" si="9"/>
        <v>27.4448886046317</v>
      </c>
      <c r="W28" s="400"/>
      <c r="X28" s="157">
        <f t="shared" si="10"/>
        <v>44575</v>
      </c>
      <c r="Y28" s="383">
        <f t="shared" si="11"/>
        <v>27.806000000000001</v>
      </c>
      <c r="Z28" s="383">
        <f t="shared" si="12"/>
        <v>28.386986313272978</v>
      </c>
      <c r="AA28" s="384">
        <f t="shared" si="13"/>
        <v>31.746817238728685</v>
      </c>
      <c r="AB28" s="197">
        <f t="shared" si="14"/>
        <v>44575</v>
      </c>
      <c r="AC28" s="119">
        <f>IF(OR(t&lt;Tnet,NoTnet),'2021'!Resal_s+('2021'!Salim-'2021'!Resal_s)*(1-EXP(('2021'!Tnet_s-t)/'2021'!Tau_j)),Resal_s+(Salim-Resal_s)*(1-EXP((Tnet_s-t)/Tau_j)))*Salcycl</f>
        <v>0.10583205554719263</v>
      </c>
      <c r="AD28" s="230">
        <f>(INDEX(Models!$BJ28:$BT28,,AH28)*(1-AF28)+INDEX(Models!$BJ28:$BT28,,AH28+1)*AF28-ERP_i)*AE28*Ramure*Pc/MaxiM</f>
        <v>2.21209652548123E-4</v>
      </c>
      <c r="AE28" s="304">
        <f t="shared" si="15"/>
        <v>0.6</v>
      </c>
      <c r="AF28" s="177">
        <f t="shared" si="22"/>
        <v>0.99960480483597391</v>
      </c>
      <c r="AG28" s="799">
        <f t="shared" si="23"/>
        <v>-1</v>
      </c>
      <c r="AH28" s="176">
        <f t="shared" si="16"/>
        <v>5</v>
      </c>
      <c r="AI28" s="224">
        <f t="shared" si="17"/>
        <v>-3.9519516402611895E-4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44576</v>
      </c>
      <c r="B29" s="607">
        <v>28.565000000000001</v>
      </c>
      <c r="C29" s="388"/>
      <c r="D29" s="391">
        <f t="shared" si="0"/>
        <v>29.162403961618114</v>
      </c>
      <c r="E29" s="383">
        <f t="shared" si="1"/>
        <v>32.61760605078581</v>
      </c>
      <c r="F29" s="383">
        <f t="shared" si="2"/>
        <v>32.62432731925049</v>
      </c>
      <c r="G29" s="110">
        <f t="shared" si="21"/>
        <v>1.0315495612069479</v>
      </c>
      <c r="H29" s="412" t="b">
        <f>Wh_hp&gt;='2021'!Maxi_hp</f>
        <v>1</v>
      </c>
      <c r="I29" s="379">
        <f>IF(H29,Wh_hp,'2021'!Maxi_hp)</f>
        <v>32.62432731925049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2.0485415482358049E-2</v>
      </c>
      <c r="M29" s="832"/>
      <c r="N29" s="832"/>
      <c r="O29" s="48">
        <f>IF(t&lt;Tnet,'2021'!Resal+('2021'!Salim-'2021'!Resal)*(1-EXP(('2021'!Tnet-t)/('2021'!Tau_j))),Resal+(Salim-Resal)*(1-EXP((Tnet-t)/(Tau_j))))*Salcycl</f>
        <v>0.10593058496653392</v>
      </c>
      <c r="P29" s="169">
        <f>(INDEX(Models!$BJ29:$BT29,,T29)*(1-R29)+INDEX(Models!$BJ29:$BT29,,T29+1)*R29-ERP_i)*Q29*Ramure*Pc/MaxiM</f>
        <v>2.0602013947771083E-4</v>
      </c>
      <c r="Q29" s="304">
        <f t="shared" si="4"/>
        <v>0.6</v>
      </c>
      <c r="R29" s="177">
        <f t="shared" si="5"/>
        <v>0.99965454978614621</v>
      </c>
      <c r="S29" s="799">
        <f t="shared" si="6"/>
        <v>-1</v>
      </c>
      <c r="T29" s="176">
        <f t="shared" si="7"/>
        <v>5</v>
      </c>
      <c r="U29" s="250">
        <f t="shared" si="8"/>
        <v>-3.4545021385381483E-4</v>
      </c>
      <c r="V29" s="382">
        <f t="shared" si="9"/>
        <v>27.69135005648976</v>
      </c>
      <c r="W29" s="400"/>
      <c r="X29" s="157">
        <f t="shared" si="10"/>
        <v>44576</v>
      </c>
      <c r="Y29" s="383">
        <f t="shared" si="11"/>
        <v>28.564999999999998</v>
      </c>
      <c r="Z29" s="383">
        <f t="shared" si="12"/>
        <v>29.162403961618111</v>
      </c>
      <c r="AA29" s="384">
        <f t="shared" si="13"/>
        <v>32.61760605078581</v>
      </c>
      <c r="AB29" s="197">
        <f t="shared" si="14"/>
        <v>44576</v>
      </c>
      <c r="AC29" s="119">
        <f>IF(OR(t&lt;Tnet,NoTnet),'2021'!Resal_s+('2021'!Salim-'2021'!Resal_s)*(1-EXP(('2021'!Tnet_s-t)/'2021'!Tau_j)),Resal_s+(Salim-Resal_s)*(1-EXP((Tnet_s-t)/Tau_j)))*Salcycl</f>
        <v>0.10593058496653392</v>
      </c>
      <c r="AD29" s="230">
        <f>(INDEX(Models!$BJ29:$BT29,,AH29)*(1-AF29)+INDEX(Models!$BJ29:$BT29,,AH29+1)*AF29-ERP_i)*AE29*Ramure*Pc/MaxiM</f>
        <v>2.0602013947771083E-4</v>
      </c>
      <c r="AE29" s="304">
        <f t="shared" si="15"/>
        <v>0.6</v>
      </c>
      <c r="AF29" s="177">
        <f t="shared" si="22"/>
        <v>0.99965454978614621</v>
      </c>
      <c r="AG29" s="799">
        <f t="shared" si="23"/>
        <v>-1</v>
      </c>
      <c r="AH29" s="176">
        <f t="shared" si="16"/>
        <v>5</v>
      </c>
      <c r="AI29" s="224">
        <f t="shared" si="17"/>
        <v>-3.4545021385381483E-4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44577</v>
      </c>
      <c r="B30" s="607">
        <v>27.858000000000001</v>
      </c>
      <c r="C30" s="388"/>
      <c r="D30" s="391">
        <f t="shared" si="0"/>
        <v>28.441162942117408</v>
      </c>
      <c r="E30" s="383">
        <f t="shared" si="1"/>
        <v>31.814413464908725</v>
      </c>
      <c r="F30" s="383">
        <f t="shared" si="2"/>
        <v>31.820475310957626</v>
      </c>
      <c r="G30" s="110">
        <f t="shared" si="21"/>
        <v>0.9969038646234808</v>
      </c>
      <c r="H30" s="412" t="b">
        <f>Wh_hp&gt;='2021'!Maxi_hp</f>
        <v>1</v>
      </c>
      <c r="I30" s="379">
        <f>IF(H30,Wh_hp,'2021'!Maxi_hp)</f>
        <v>31.820475310957626</v>
      </c>
      <c r="J30" s="85">
        <f>IF(H30,An,'2021'!An_max)</f>
        <v>2022</v>
      </c>
      <c r="K30" s="197">
        <f t="shared" si="3"/>
        <v>44577</v>
      </c>
      <c r="L30" s="147">
        <f>IF(t&lt;Tvie,1-EXP((T0-t)*PertePVj)+'2021'!Pspv,1-EXP((T0-t)*PertePVj)+Pspv)</f>
        <v>2.0504187655907113E-2</v>
      </c>
      <c r="M30" s="832"/>
      <c r="N30" s="832"/>
      <c r="O30" s="48">
        <f>IF(t&lt;Tnet,'2021'!Resal+('2021'!Salim-'2021'!Resal)*(1-EXP(('2021'!Tnet-t)/('2021'!Tau_j))),Resal+(Salim-Resal)*(1-EXP((Tnet-t)/(Tau_j))))*Salcycl</f>
        <v>0.10602900243664753</v>
      </c>
      <c r="P30" s="169">
        <f>(INDEX(Models!$BJ30:$BT30,,T30)*(1-R30)+INDEX(Models!$BJ30:$BT30,,T30+1)*R30-ERP_i)*Q30*Ramure*Pc/MaxiM</f>
        <v>1.9134753918598907E-4</v>
      </c>
      <c r="Q30" s="304">
        <f t="shared" si="4"/>
        <v>0.6</v>
      </c>
      <c r="R30" s="177">
        <f t="shared" si="5"/>
        <v>0.99970637110153948</v>
      </c>
      <c r="S30" s="799">
        <f t="shared" si="6"/>
        <v>-1</v>
      </c>
      <c r="T30" s="176">
        <f t="shared" si="7"/>
        <v>5</v>
      </c>
      <c r="U30" s="250">
        <f t="shared" si="8"/>
        <v>-2.9362889846052645E-4</v>
      </c>
      <c r="V30" s="382">
        <f t="shared" si="9"/>
        <v>27.944496368383337</v>
      </c>
      <c r="W30" s="400"/>
      <c r="X30" s="157">
        <f t="shared" si="10"/>
        <v>44577</v>
      </c>
      <c r="Y30" s="383">
        <f t="shared" si="11"/>
        <v>27.858000000000001</v>
      </c>
      <c r="Z30" s="383">
        <f t="shared" si="12"/>
        <v>28.441162942117408</v>
      </c>
      <c r="AA30" s="384">
        <f t="shared" si="13"/>
        <v>31.814413464908725</v>
      </c>
      <c r="AB30" s="197">
        <f t="shared" si="14"/>
        <v>44577</v>
      </c>
      <c r="AC30" s="119">
        <f>IF(OR(t&lt;Tnet,NoTnet),'2021'!Resal_s+('2021'!Salim-'2021'!Resal_s)*(1-EXP(('2021'!Tnet_s-t)/'2021'!Tau_j)),Resal_s+(Salim-Resal_s)*(1-EXP((Tnet_s-t)/Tau_j)))*Salcycl</f>
        <v>0.10602900243664753</v>
      </c>
      <c r="AD30" s="230">
        <f>(INDEX(Models!$BJ30:$BT30,,AH30)*(1-AF30)+INDEX(Models!$BJ30:$BT30,,AH30+1)*AF30-ERP_i)*AE30*Ramure*Pc/MaxiM</f>
        <v>1.9134753918598907E-4</v>
      </c>
      <c r="AE30" s="304">
        <f t="shared" si="15"/>
        <v>0.6</v>
      </c>
      <c r="AF30" s="177">
        <f t="shared" si="22"/>
        <v>0.99970637110153948</v>
      </c>
      <c r="AG30" s="799">
        <f t="shared" si="23"/>
        <v>-1</v>
      </c>
      <c r="AH30" s="176">
        <f t="shared" si="16"/>
        <v>5</v>
      </c>
      <c r="AI30" s="224">
        <f t="shared" si="17"/>
        <v>-2.9362889846052645E-4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44578</v>
      </c>
      <c r="B31" s="607">
        <v>11.044</v>
      </c>
      <c r="C31" s="388"/>
      <c r="D31" s="391">
        <f t="shared" si="0"/>
        <v>11.275404673110623</v>
      </c>
      <c r="E31" s="383">
        <f t="shared" si="1"/>
        <v>12.614105823550652</v>
      </c>
      <c r="F31" s="383">
        <f t="shared" si="2"/>
        <v>12.614398134606729</v>
      </c>
      <c r="G31" s="110">
        <f t="shared" si="21"/>
        <v>0.3915222234769884</v>
      </c>
      <c r="H31" s="412" t="b">
        <f>Wh_hp&gt;='2021'!Maxi_hp</f>
        <v>1</v>
      </c>
      <c r="I31" s="379">
        <f>IF(H31,Wh_hp,'2021'!Maxi_hp)</f>
        <v>12.614398134606729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2.0522959469691848E-2</v>
      </c>
      <c r="M31" s="832"/>
      <c r="N31" s="832"/>
      <c r="O31" s="48">
        <f>IF(t&lt;Tnet,'2021'!Resal+('2021'!Salim-'2021'!Resal)*(1-EXP(('2021'!Tnet-t)/('2021'!Tau_j))),Resal+(Salim-Resal)*(1-EXP((Tnet-t)/(Tau_j))))*Salcycl</f>
        <v>0.10612731248382752</v>
      </c>
      <c r="P31" s="169">
        <f>(INDEX(Models!$BJ31:$BT31,,T31)*(1-R31)+INDEX(Models!$BJ31:$BT31,,T31+1)*R31-ERP_i)*Q31*Ramure*Pc/MaxiM</f>
        <v>1.7711861944160791E-4</v>
      </c>
      <c r="Q31" s="304">
        <f t="shared" si="4"/>
        <v>0.6</v>
      </c>
      <c r="R31" s="177">
        <f t="shared" si="5"/>
        <v>0.99976035499089355</v>
      </c>
      <c r="S31" s="799">
        <f t="shared" si="6"/>
        <v>-1</v>
      </c>
      <c r="T31" s="176">
        <f t="shared" si="7"/>
        <v>5</v>
      </c>
      <c r="U31" s="250">
        <f t="shared" si="8"/>
        <v>-2.3964500910640305E-4</v>
      </c>
      <c r="V31" s="382">
        <f t="shared" si="9"/>
        <v>28.203507032174812</v>
      </c>
      <c r="W31" s="400"/>
      <c r="X31" s="157">
        <f t="shared" si="10"/>
        <v>44578</v>
      </c>
      <c r="Y31" s="383">
        <f t="shared" si="11"/>
        <v>11.044</v>
      </c>
      <c r="Z31" s="383">
        <f t="shared" si="12"/>
        <v>11.275404673110623</v>
      </c>
      <c r="AA31" s="384">
        <f t="shared" si="13"/>
        <v>12.614105823550652</v>
      </c>
      <c r="AB31" s="197">
        <f t="shared" si="14"/>
        <v>44578</v>
      </c>
      <c r="AC31" s="119">
        <f>IF(OR(t&lt;Tnet,NoTnet),'2021'!Resal_s+('2021'!Salim-'2021'!Resal_s)*(1-EXP(('2021'!Tnet_s-t)/'2021'!Tau_j)),Resal_s+(Salim-Resal_s)*(1-EXP((Tnet_s-t)/Tau_j)))*Salcycl</f>
        <v>0.10612731248382752</v>
      </c>
      <c r="AD31" s="230">
        <f>(INDEX(Models!$BJ31:$BT31,,AH31)*(1-AF31)+INDEX(Models!$BJ31:$BT31,,AH31+1)*AF31-ERP_i)*AE31*Ramure*Pc/MaxiM</f>
        <v>1.7711861944160791E-4</v>
      </c>
      <c r="AE31" s="304">
        <f t="shared" si="15"/>
        <v>0.6</v>
      </c>
      <c r="AF31" s="177">
        <f t="shared" si="22"/>
        <v>0.99976035499089355</v>
      </c>
      <c r="AG31" s="799">
        <f t="shared" si="23"/>
        <v>-1</v>
      </c>
      <c r="AH31" s="176">
        <f t="shared" si="16"/>
        <v>5</v>
      </c>
      <c r="AI31" s="224">
        <f t="shared" si="17"/>
        <v>-2.3964500910640305E-4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44579</v>
      </c>
      <c r="B32" s="607">
        <v>3.577</v>
      </c>
      <c r="C32" s="388"/>
      <c r="D32" s="391">
        <f t="shared" si="0"/>
        <v>3.6520187872561829</v>
      </c>
      <c r="E32" s="383">
        <f t="shared" si="1"/>
        <v>4.0860629502729449</v>
      </c>
      <c r="F32" s="383">
        <f t="shared" si="2"/>
        <v>4.0860629502729449</v>
      </c>
      <c r="G32" s="110">
        <f t="shared" si="21"/>
        <v>0.1256312719447428</v>
      </c>
      <c r="H32" s="412" t="b">
        <f>Wh_hp&gt;='2021'!Maxi_hp</f>
        <v>0</v>
      </c>
      <c r="I32" s="379">
        <f>IF(H32,Wh_hp,'2021'!Maxi_hp)</f>
        <v>30.661484813289494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2.0541730923718915E-2</v>
      </c>
      <c r="M32" s="832"/>
      <c r="N32" s="832"/>
      <c r="O32" s="48">
        <f>IF(t&lt;Tnet,'2021'!Resal+('2021'!Salim-'2021'!Resal)*(1-EXP(('2021'!Tnet-t)/('2021'!Tau_j))),Resal+(Salim-Resal)*(1-EXP((Tnet-t)/(Tau_j))))*Salcycl</f>
        <v>0.10622552033560037</v>
      </c>
      <c r="P32" s="169">
        <f>(INDEX(Models!$BJ32:$BT32,,T32)*(1-R32)+INDEX(Models!$BJ32:$BT32,,T32+1)*R32-ERP_i)*Q32*Ramure*Pc/MaxiM</f>
        <v>1.6333457814986035E-4</v>
      </c>
      <c r="Q32" s="304">
        <f t="shared" si="4"/>
        <v>0.6</v>
      </c>
      <c r="R32" s="177">
        <f t="shared" si="5"/>
        <v>0.99981659120303523</v>
      </c>
      <c r="S32" s="799">
        <f t="shared" si="6"/>
        <v>-1</v>
      </c>
      <c r="T32" s="176">
        <f t="shared" si="7"/>
        <v>5</v>
      </c>
      <c r="U32" s="250">
        <f t="shared" si="8"/>
        <v>-1.8340879696471962E-4</v>
      </c>
      <c r="V32" s="382">
        <f t="shared" si="9"/>
        <v>28.467559842799293</v>
      </c>
      <c r="W32" s="400"/>
      <c r="X32" s="157">
        <f t="shared" si="10"/>
        <v>44579</v>
      </c>
      <c r="Y32" s="383">
        <f t="shared" si="11"/>
        <v>3.577</v>
      </c>
      <c r="Z32" s="383">
        <f t="shared" si="12"/>
        <v>3.6520187872561829</v>
      </c>
      <c r="AA32" s="384">
        <f t="shared" si="13"/>
        <v>4.0860629502729449</v>
      </c>
      <c r="AB32" s="197">
        <f t="shared" si="14"/>
        <v>44579</v>
      </c>
      <c r="AC32" s="119">
        <f>IF(OR(t&lt;Tnet,NoTnet),'2021'!Resal_s+('2021'!Salim-'2021'!Resal_s)*(1-EXP(('2021'!Tnet_s-t)/'2021'!Tau_j)),Resal_s+(Salim-Resal_s)*(1-EXP((Tnet_s-t)/Tau_j)))*Salcycl</f>
        <v>0.10622552033560037</v>
      </c>
      <c r="AD32" s="230">
        <f>(INDEX(Models!$BJ32:$BT32,,AH32)*(1-AF32)+INDEX(Models!$BJ32:$BT32,,AH32+1)*AF32-ERP_i)*AE32*Ramure*Pc/MaxiM</f>
        <v>1.6333457814986035E-4</v>
      </c>
      <c r="AE32" s="304">
        <f t="shared" si="15"/>
        <v>0.6</v>
      </c>
      <c r="AF32" s="177">
        <f t="shared" si="22"/>
        <v>0.99981659120303523</v>
      </c>
      <c r="AG32" s="799">
        <f t="shared" si="23"/>
        <v>-1</v>
      </c>
      <c r="AH32" s="176">
        <f t="shared" si="16"/>
        <v>5</v>
      </c>
      <c r="AI32" s="224">
        <f t="shared" si="17"/>
        <v>-1.8340879696471962E-4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44580</v>
      </c>
      <c r="B33" s="607">
        <v>10.857000000000001</v>
      </c>
      <c r="C33" s="388"/>
      <c r="D33" s="391">
        <f t="shared" si="0"/>
        <v>11.084911342016838</v>
      </c>
      <c r="E33" s="383">
        <f t="shared" si="1"/>
        <v>12.403719886989615</v>
      </c>
      <c r="F33" s="383">
        <f t="shared" si="2"/>
        <v>12.403926726402664</v>
      </c>
      <c r="G33" s="110">
        <f t="shared" si="21"/>
        <v>0.37777058815689774</v>
      </c>
      <c r="H33" s="412" t="b">
        <f>Wh_hp&gt;='2021'!Maxi_hp</f>
        <v>0</v>
      </c>
      <c r="I33" s="379">
        <f>IF(H33,Wh_hp,'2021'!Maxi_hp)</f>
        <v>33.4781759439336</v>
      </c>
      <c r="J33" s="85">
        <f>IF(H33,An,'2021'!An_max)</f>
        <v>2021</v>
      </c>
      <c r="K33" s="197">
        <f t="shared" si="3"/>
        <v>44580</v>
      </c>
      <c r="L33" s="147">
        <f>IF(t&lt;Tvie,1-EXP((T0-t)*PertePVj)+'2021'!Pspv,1-EXP((T0-t)*PertePVj)+Pspv)</f>
        <v>2.0560502017995419E-2</v>
      </c>
      <c r="M33" s="832"/>
      <c r="N33" s="832"/>
      <c r="O33" s="48">
        <f>IF(t&lt;Tnet,'2021'!Resal+('2021'!Salim-'2021'!Resal)*(1-EXP(('2021'!Tnet-t)/('2021'!Tau_j))),Resal+(Salim-Resal)*(1-EXP((Tnet-t)/(Tau_j))))*Salcycl</f>
        <v>0.10632363169988121</v>
      </c>
      <c r="P33" s="169">
        <f>(INDEX(Models!$BJ33:$BT33,,T33)*(1-R33)+INDEX(Models!$BJ33:$BT33,,T33+1)*R33-ERP_i)*Q33*Ramure*Pc/MaxiM</f>
        <v>1.4999457844301465E-4</v>
      </c>
      <c r="Q33" s="304">
        <f t="shared" si="4"/>
        <v>0.6</v>
      </c>
      <c r="R33" s="177">
        <f t="shared" si="5"/>
        <v>0.99987517316889618</v>
      </c>
      <c r="S33" s="799">
        <f t="shared" si="6"/>
        <v>-1</v>
      </c>
      <c r="T33" s="176">
        <f t="shared" si="7"/>
        <v>5</v>
      </c>
      <c r="U33" s="250">
        <f t="shared" si="8"/>
        <v>-1.2482683110383904E-4</v>
      </c>
      <c r="V33" s="382">
        <f t="shared" si="9"/>
        <v>28.735832986911543</v>
      </c>
      <c r="W33" s="400"/>
      <c r="X33" s="157">
        <f t="shared" si="10"/>
        <v>44580</v>
      </c>
      <c r="Y33" s="383">
        <f t="shared" si="11"/>
        <v>10.857000000000001</v>
      </c>
      <c r="Z33" s="383">
        <f t="shared" si="12"/>
        <v>11.084911342016838</v>
      </c>
      <c r="AA33" s="384">
        <f t="shared" si="13"/>
        <v>12.403719886989615</v>
      </c>
      <c r="AB33" s="197">
        <f t="shared" si="14"/>
        <v>44580</v>
      </c>
      <c r="AC33" s="119">
        <f>IF(OR(t&lt;Tnet,NoTnet),'2021'!Resal_s+('2021'!Salim-'2021'!Resal_s)*(1-EXP(('2021'!Tnet_s-t)/'2021'!Tau_j)),Resal_s+(Salim-Resal_s)*(1-EXP((Tnet_s-t)/Tau_j)))*Salcycl</f>
        <v>0.10632363169988121</v>
      </c>
      <c r="AD33" s="230">
        <f>(INDEX(Models!$BJ33:$BT33,,AH33)*(1-AF33)+INDEX(Models!$BJ33:$BT33,,AH33+1)*AF33-ERP_i)*AE33*Ramure*Pc/MaxiM</f>
        <v>1.4999457844301465E-4</v>
      </c>
      <c r="AE33" s="304">
        <f t="shared" si="15"/>
        <v>0.6</v>
      </c>
      <c r="AF33" s="177">
        <f t="shared" si="22"/>
        <v>0.99987517316889618</v>
      </c>
      <c r="AG33" s="799">
        <f t="shared" si="23"/>
        <v>-1</v>
      </c>
      <c r="AH33" s="176">
        <f t="shared" si="16"/>
        <v>5</v>
      </c>
      <c r="AI33" s="224">
        <f t="shared" si="17"/>
        <v>-1.2482683110383904E-4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44581</v>
      </c>
      <c r="B34" s="607">
        <v>6.1180000000000003</v>
      </c>
      <c r="C34" s="388"/>
      <c r="D34" s="391">
        <f t="shared" si="0"/>
        <v>6.2465494447864138</v>
      </c>
      <c r="E34" s="383">
        <f t="shared" si="1"/>
        <v>6.990488816807841</v>
      </c>
      <c r="F34" s="383">
        <f t="shared" si="2"/>
        <v>6.990488816807841</v>
      </c>
      <c r="G34" s="110">
        <f t="shared" si="21"/>
        <v>0.21088201940477977</v>
      </c>
      <c r="H34" s="412" t="b">
        <f>Wh_hp&gt;='2021'!Maxi_hp</f>
        <v>0</v>
      </c>
      <c r="I34" s="379">
        <f>IF(H34,Wh_hp,'2021'!Maxi_hp)</f>
        <v>12.8610654344488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2.0579272752528244E-2</v>
      </c>
      <c r="M34" s="832"/>
      <c r="N34" s="832"/>
      <c r="O34" s="48">
        <f>IF(t&lt;Tnet,'2021'!Resal+('2021'!Salim-'2021'!Resal)*(1-EXP(('2021'!Tnet-t)/('2021'!Tau_j))),Resal+(Salim-Resal)*(1-EXP((Tnet-t)/(Tau_j))))*Salcycl</f>
        <v>0.10642165255063551</v>
      </c>
      <c r="P34" s="169">
        <f>(INDEX(Models!$BJ34:$BT34,,T34)*(1-R34)+INDEX(Models!$BJ34:$BT34,,T34+1)*R34-ERP_i)*Q34*Ramure*Pc/MaxiM</f>
        <v>1.3709671939420525E-4</v>
      </c>
      <c r="Q34" s="304">
        <f t="shared" si="4"/>
        <v>0.6</v>
      </c>
      <c r="R34" s="177">
        <f t="shared" si="5"/>
        <v>0.99993619814893886</v>
      </c>
      <c r="S34" s="799">
        <f t="shared" si="6"/>
        <v>-1</v>
      </c>
      <c r="T34" s="176">
        <f t="shared" si="7"/>
        <v>5</v>
      </c>
      <c r="U34" s="250">
        <f t="shared" si="8"/>
        <v>-6.3801851061189236E-5</v>
      </c>
      <c r="V34" s="382">
        <f t="shared" si="9"/>
        <v>29.007505047308438</v>
      </c>
      <c r="W34" s="400"/>
      <c r="X34" s="157">
        <f t="shared" si="10"/>
        <v>44581</v>
      </c>
      <c r="Y34" s="383">
        <f t="shared" si="11"/>
        <v>6.1180000000000003</v>
      </c>
      <c r="Z34" s="383">
        <f t="shared" si="12"/>
        <v>6.2465494447864138</v>
      </c>
      <c r="AA34" s="384">
        <f t="shared" si="13"/>
        <v>6.990488816807841</v>
      </c>
      <c r="AB34" s="197">
        <f t="shared" si="14"/>
        <v>44581</v>
      </c>
      <c r="AC34" s="119">
        <f>IF(OR(t&lt;Tnet,NoTnet),'2021'!Resal_s+('2021'!Salim-'2021'!Resal_s)*(1-EXP(('2021'!Tnet_s-t)/'2021'!Tau_j)),Resal_s+(Salim-Resal_s)*(1-EXP((Tnet_s-t)/Tau_j)))*Salcycl</f>
        <v>0.10642165255063551</v>
      </c>
      <c r="AD34" s="230">
        <f>(INDEX(Models!$BJ34:$BT34,,AH34)*(1-AF34)+INDEX(Models!$BJ34:$BT34,,AH34+1)*AF34-ERP_i)*AE34*Ramure*Pc/MaxiM</f>
        <v>1.3709671939420525E-4</v>
      </c>
      <c r="AE34" s="304">
        <f t="shared" si="15"/>
        <v>0.6</v>
      </c>
      <c r="AF34" s="177">
        <f t="shared" si="22"/>
        <v>0.99993619814893886</v>
      </c>
      <c r="AG34" s="799">
        <f t="shared" si="23"/>
        <v>-1</v>
      </c>
      <c r="AH34" s="176">
        <f t="shared" si="16"/>
        <v>5</v>
      </c>
      <c r="AI34" s="224">
        <f t="shared" si="17"/>
        <v>-6.3801851061189236E-5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44582</v>
      </c>
      <c r="B35" s="607">
        <v>21.608000000000001</v>
      </c>
      <c r="C35" s="388"/>
      <c r="D35" s="391">
        <f t="shared" si="0"/>
        <v>22.062443155613465</v>
      </c>
      <c r="E35" s="383">
        <f t="shared" si="1"/>
        <v>24.692699338533661</v>
      </c>
      <c r="F35" s="383">
        <f t="shared" si="2"/>
        <v>24.694624919253947</v>
      </c>
      <c r="G35" s="110">
        <f t="shared" si="21"/>
        <v>0.73789947508867504</v>
      </c>
      <c r="H35" s="412" t="b">
        <f>Wh_hp&gt;='2021'!Maxi_hp</f>
        <v>1</v>
      </c>
      <c r="I35" s="379">
        <f>IF(H35,Wh_hp,'2021'!Maxi_hp)</f>
        <v>24.694624919253947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2.0598043127324162E-2</v>
      </c>
      <c r="M35" s="832"/>
      <c r="N35" s="832"/>
      <c r="O35" s="48">
        <f>IF(t&lt;Tnet,'2021'!Resal+('2021'!Salim-'2021'!Resal)*(1-EXP(('2021'!Tnet-t)/('2021'!Tau_j))),Resal+(Salim-Resal)*(1-EXP((Tnet-t)/(Tau_j))))*Salcycl</f>
        <v>0.10651958892220444</v>
      </c>
      <c r="P35" s="169">
        <f>(INDEX(Models!$BJ35:$BT35,,T35)*(1-R35)+INDEX(Models!$BJ35:$BT35,,T35+1)*R35-ERP_i)*Q35*Ramure*Pc/MaxiM</f>
        <v>1.2463750854330139E-4</v>
      </c>
      <c r="Q35" s="304">
        <f t="shared" si="4"/>
        <v>0.6</v>
      </c>
      <c r="R35" s="177">
        <f t="shared" si="5"/>
        <v>0.99999976738617502</v>
      </c>
      <c r="S35" s="799">
        <f t="shared" si="6"/>
        <v>-1</v>
      </c>
      <c r="T35" s="176">
        <f t="shared" si="7"/>
        <v>5</v>
      </c>
      <c r="U35" s="250">
        <f t="shared" si="8"/>
        <v>-2.3261382499850051E-7</v>
      </c>
      <c r="V35" s="382">
        <f t="shared" si="9"/>
        <v>29.281755012045309</v>
      </c>
      <c r="W35" s="400"/>
      <c r="X35" s="157">
        <f t="shared" si="10"/>
        <v>44582</v>
      </c>
      <c r="Y35" s="383">
        <f t="shared" si="11"/>
        <v>21.608000000000001</v>
      </c>
      <c r="Z35" s="383">
        <f t="shared" si="12"/>
        <v>22.062443155613465</v>
      </c>
      <c r="AA35" s="384">
        <f t="shared" si="13"/>
        <v>24.692699338533661</v>
      </c>
      <c r="AB35" s="197">
        <f t="shared" si="14"/>
        <v>44582</v>
      </c>
      <c r="AC35" s="119">
        <f>IF(OR(t&lt;Tnet,NoTnet),'2021'!Resal_s+('2021'!Salim-'2021'!Resal_s)*(1-EXP(('2021'!Tnet_s-t)/'2021'!Tau_j)),Resal_s+(Salim-Resal_s)*(1-EXP((Tnet_s-t)/Tau_j)))*Salcycl</f>
        <v>0.10651958892220444</v>
      </c>
      <c r="AD35" s="230">
        <f>(INDEX(Models!$BJ35:$BT35,,AH35)*(1-AF35)+INDEX(Models!$BJ35:$BT35,,AH35+1)*AF35-ERP_i)*AE35*Ramure*Pc/MaxiM</f>
        <v>1.2463750854330139E-4</v>
      </c>
      <c r="AE35" s="304">
        <f t="shared" si="15"/>
        <v>0.6</v>
      </c>
      <c r="AF35" s="177">
        <f t="shared" si="22"/>
        <v>0.99999976738617502</v>
      </c>
      <c r="AG35" s="799">
        <f t="shared" si="23"/>
        <v>-1</v>
      </c>
      <c r="AH35" s="176">
        <f t="shared" si="16"/>
        <v>5</v>
      </c>
      <c r="AI35" s="224">
        <f t="shared" si="17"/>
        <v>-2.3261382499850051E-7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44583</v>
      </c>
      <c r="B36" s="607">
        <v>29.641000000000002</v>
      </c>
      <c r="C36" s="388"/>
      <c r="D36" s="391">
        <f t="shared" si="0"/>
        <v>30.264967172965605</v>
      </c>
      <c r="E36" s="383">
        <f t="shared" si="1"/>
        <v>33.87682808630754</v>
      </c>
      <c r="F36" s="383">
        <f t="shared" si="2"/>
        <v>33.880643604916131</v>
      </c>
      <c r="G36" s="110">
        <f t="shared" si="21"/>
        <v>1.0028161076790942</v>
      </c>
      <c r="H36" s="412" t="b">
        <f>Wh_hp&gt;='2021'!Maxi_hp</f>
        <v>1</v>
      </c>
      <c r="I36" s="379">
        <f>IF(H36,Wh_hp,'2021'!Maxi_hp)</f>
        <v>33.880643604916131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2.0616813142390167E-2</v>
      </c>
      <c r="M36" s="832"/>
      <c r="N36" s="832"/>
      <c r="O36" s="48">
        <f>IF(t&lt;Tnet,'2021'!Resal+('2021'!Salim-'2021'!Resal)*(1-EXP(('2021'!Tnet-t)/('2021'!Tau_j))),Resal+(Salim-Resal)*(1-EXP((Tnet-t)/(Tau_j))))*Salcycl</f>
        <v>0.10661744671431593</v>
      </c>
      <c r="P36" s="169">
        <f>(INDEX(Models!$BJ36:$BT36,,T36)*(1-R36)+INDEX(Models!$BJ36:$BT36,,T36+1)*R36-ERP_i)*Q36*Ramure*Pc/MaxiM</f>
        <v>1.1261647367400976E-4</v>
      </c>
      <c r="Q36" s="304">
        <f t="shared" si="4"/>
        <v>0.6</v>
      </c>
      <c r="R36" s="177">
        <f t="shared" si="5"/>
        <v>6.5986264957097036E-5</v>
      </c>
      <c r="S36" s="799">
        <f t="shared" si="6"/>
        <v>0</v>
      </c>
      <c r="T36" s="176">
        <f t="shared" si="7"/>
        <v>6</v>
      </c>
      <c r="U36" s="250">
        <f t="shared" si="8"/>
        <v>6.5986264957097036E-5</v>
      </c>
      <c r="V36" s="382">
        <f t="shared" si="9"/>
        <v>29.557762159007176</v>
      </c>
      <c r="W36" s="400"/>
      <c r="X36" s="157">
        <f t="shared" si="10"/>
        <v>44583</v>
      </c>
      <c r="Y36" s="383">
        <f t="shared" si="11"/>
        <v>29.641000000000002</v>
      </c>
      <c r="Z36" s="383">
        <f t="shared" si="12"/>
        <v>30.264967172965605</v>
      </c>
      <c r="AA36" s="384">
        <f t="shared" si="13"/>
        <v>33.87682808630754</v>
      </c>
      <c r="AB36" s="197">
        <f t="shared" si="14"/>
        <v>44583</v>
      </c>
      <c r="AC36" s="119">
        <f>IF(OR(t&lt;Tnet,NoTnet),'2021'!Resal_s+('2021'!Salim-'2021'!Resal_s)*(1-EXP(('2021'!Tnet_s-t)/'2021'!Tau_j)),Resal_s+(Salim-Resal_s)*(1-EXP((Tnet_s-t)/Tau_j)))*Salcycl</f>
        <v>0.10661744671431593</v>
      </c>
      <c r="AD36" s="230">
        <f>(INDEX(Models!$BJ36:$BT36,,AH36)*(1-AF36)+INDEX(Models!$BJ36:$BT36,,AH36+1)*AF36-ERP_i)*AE36*Ramure*Pc/MaxiM</f>
        <v>1.1261647367400976E-4</v>
      </c>
      <c r="AE36" s="304">
        <f t="shared" si="15"/>
        <v>0.6</v>
      </c>
      <c r="AF36" s="177">
        <f t="shared" si="22"/>
        <v>6.5986264957097036E-5</v>
      </c>
      <c r="AG36" s="799">
        <f t="shared" si="23"/>
        <v>0</v>
      </c>
      <c r="AH36" s="176">
        <f t="shared" si="16"/>
        <v>6</v>
      </c>
      <c r="AI36" s="224">
        <f t="shared" si="17"/>
        <v>6.5986264957097036E-5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44584</v>
      </c>
      <c r="B37" s="607">
        <v>29.542999999999999</v>
      </c>
      <c r="C37" s="388"/>
      <c r="D37" s="391">
        <f t="shared" si="0"/>
        <v>30.165482307796076</v>
      </c>
      <c r="E37" s="383">
        <f t="shared" si="1"/>
        <v>33.769166756056542</v>
      </c>
      <c r="F37" s="383">
        <f t="shared" si="2"/>
        <v>33.772529804178184</v>
      </c>
      <c r="G37" s="110">
        <f t="shared" si="21"/>
        <v>0.99009899404437918</v>
      </c>
      <c r="H37" s="412" t="b">
        <f>Wh_hp&gt;='2021'!Maxi_hp</f>
        <v>1</v>
      </c>
      <c r="I37" s="379">
        <f>IF(H37,Wh_hp,'2021'!Maxi_hp)</f>
        <v>33.772529804178184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2.0635582797733032E-2</v>
      </c>
      <c r="M37" s="832"/>
      <c r="N37" s="832"/>
      <c r="O37" s="48">
        <f>IF(t&lt;Tnet,'2021'!Resal+('2021'!Salim-'2021'!Resal)*(1-EXP(('2021'!Tnet-t)/('2021'!Tau_j))),Resal+(Salim-Resal)*(1-EXP((Tnet-t)/(Tau_j))))*Salcycl</f>
        <v>0.10671523150964753</v>
      </c>
      <c r="P37" s="169">
        <f>(INDEX(Models!$BJ37:$BT37,,T37)*(1-R37)+INDEX(Models!$BJ37:$BT37,,T37+1)*R37-ERP_i)*Q37*Ramure*Pc/MaxiM</f>
        <v>1.0100787709677233E-4</v>
      </c>
      <c r="Q37" s="304">
        <f t="shared" si="4"/>
        <v>0.6</v>
      </c>
      <c r="R37" s="177">
        <f t="shared" si="5"/>
        <v>1.3496447573439069E-4</v>
      </c>
      <c r="S37" s="799">
        <f t="shared" si="6"/>
        <v>0</v>
      </c>
      <c r="T37" s="176">
        <f t="shared" si="7"/>
        <v>6</v>
      </c>
      <c r="U37" s="250">
        <f t="shared" si="8"/>
        <v>1.3496447573439069E-4</v>
      </c>
      <c r="V37" s="382">
        <f t="shared" si="9"/>
        <v>29.838387849991065</v>
      </c>
      <c r="W37" s="400"/>
      <c r="X37" s="157">
        <f t="shared" si="10"/>
        <v>44584</v>
      </c>
      <c r="Y37" s="383">
        <f t="shared" si="11"/>
        <v>29.542999999999996</v>
      </c>
      <c r="Z37" s="383">
        <f t="shared" si="12"/>
        <v>30.165482307796072</v>
      </c>
      <c r="AA37" s="384">
        <f t="shared" si="13"/>
        <v>33.769166756056542</v>
      </c>
      <c r="AB37" s="197">
        <f t="shared" si="14"/>
        <v>44584</v>
      </c>
      <c r="AC37" s="119">
        <f>IF(OR(t&lt;Tnet,NoTnet),'2021'!Resal_s+('2021'!Salim-'2021'!Resal_s)*(1-EXP(('2021'!Tnet_s-t)/'2021'!Tau_j)),Resal_s+(Salim-Resal_s)*(1-EXP((Tnet_s-t)/Tau_j)))*Salcycl</f>
        <v>0.10671523150964753</v>
      </c>
      <c r="AD37" s="230">
        <f>(INDEX(Models!$BJ37:$BT37,,AH37)*(1-AF37)+INDEX(Models!$BJ37:$BT37,,AH37+1)*AF37-ERP_i)*AE37*Ramure*Pc/MaxiM</f>
        <v>1.0100787709677233E-4</v>
      </c>
      <c r="AE37" s="304">
        <f t="shared" si="15"/>
        <v>0.6</v>
      </c>
      <c r="AF37" s="177">
        <f t="shared" si="22"/>
        <v>1.3496447573439069E-4</v>
      </c>
      <c r="AG37" s="799">
        <f t="shared" si="23"/>
        <v>0</v>
      </c>
      <c r="AH37" s="176">
        <f t="shared" si="16"/>
        <v>6</v>
      </c>
      <c r="AI37" s="224">
        <f t="shared" si="17"/>
        <v>1.3496447573439069E-4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44585</v>
      </c>
      <c r="B38" s="607">
        <v>30.504000000000001</v>
      </c>
      <c r="C38" s="388"/>
      <c r="D38" s="391">
        <f t="shared" si="0"/>
        <v>31.147327876733371</v>
      </c>
      <c r="E38" s="383">
        <f t="shared" si="1"/>
        <v>34.87212205006179</v>
      </c>
      <c r="F38" s="383">
        <f t="shared" si="2"/>
        <v>34.875269429553491</v>
      </c>
      <c r="G38" s="110">
        <f t="shared" si="21"/>
        <v>1.012529757282697</v>
      </c>
      <c r="H38" s="412" t="b">
        <f>Wh_hp&gt;='2021'!Maxi_hp</f>
        <v>1</v>
      </c>
      <c r="I38" s="379">
        <f>IF(H38,Wh_hp,'2021'!Maxi_hp)</f>
        <v>34.875269429553491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2.0654352093359751E-2</v>
      </c>
      <c r="M38" s="832"/>
      <c r="N38" s="832"/>
      <c r="O38" s="48">
        <f>IF(t&lt;Tnet,'2021'!Resal+('2021'!Salim-'2021'!Resal)*(1-EXP(('2021'!Tnet-t)/('2021'!Tau_j))),Resal+(Salim-Resal)*(1-EXP((Tnet-t)/(Tau_j))))*Salcycl</f>
        <v>0.10681294840563975</v>
      </c>
      <c r="P38" s="169">
        <f>(INDEX(Models!$BJ38:$BT38,,T38)*(1-R38)+INDEX(Models!$BJ38:$BT38,,T38+1)*R38-ERP_i)*Q38*Ramure*Pc/MaxiM</f>
        <v>9.0246743413894398E-5</v>
      </c>
      <c r="Q38" s="304">
        <f t="shared" si="4"/>
        <v>0.6</v>
      </c>
      <c r="R38" s="177">
        <f t="shared" si="5"/>
        <v>2.0681618596386743E-4</v>
      </c>
      <c r="S38" s="799">
        <f t="shared" si="6"/>
        <v>0</v>
      </c>
      <c r="T38" s="176">
        <f t="shared" si="7"/>
        <v>6</v>
      </c>
      <c r="U38" s="250">
        <f t="shared" si="8"/>
        <v>2.0681618596386743E-4</v>
      </c>
      <c r="V38" s="382">
        <f t="shared" si="9"/>
        <v>30.126521991672508</v>
      </c>
      <c r="W38" s="400"/>
      <c r="X38" s="157">
        <f t="shared" si="10"/>
        <v>44585</v>
      </c>
      <c r="Y38" s="383">
        <f t="shared" si="11"/>
        <v>30.504000000000001</v>
      </c>
      <c r="Z38" s="383">
        <f t="shared" si="12"/>
        <v>31.147327876733371</v>
      </c>
      <c r="AA38" s="384">
        <f t="shared" si="13"/>
        <v>34.87212205006179</v>
      </c>
      <c r="AB38" s="197">
        <f t="shared" si="14"/>
        <v>44585</v>
      </c>
      <c r="AC38" s="119">
        <f>IF(OR(t&lt;Tnet,NoTnet),'2021'!Resal_s+('2021'!Salim-'2021'!Resal_s)*(1-EXP(('2021'!Tnet_s-t)/'2021'!Tau_j)),Resal_s+(Salim-Resal_s)*(1-EXP((Tnet_s-t)/Tau_j)))*Salcycl</f>
        <v>0.10681294840563975</v>
      </c>
      <c r="AD38" s="230">
        <f>(INDEX(Models!$BJ38:$BT38,,AH38)*(1-AF38)+INDEX(Models!$BJ38:$BT38,,AH38+1)*AF38-ERP_i)*AE38*Ramure*Pc/MaxiM</f>
        <v>9.0246743413894398E-5</v>
      </c>
      <c r="AE38" s="304">
        <f t="shared" si="15"/>
        <v>0.6</v>
      </c>
      <c r="AF38" s="177">
        <f t="shared" si="22"/>
        <v>2.0681618596386743E-4</v>
      </c>
      <c r="AG38" s="799">
        <f t="shared" si="23"/>
        <v>0</v>
      </c>
      <c r="AH38" s="176">
        <f t="shared" si="16"/>
        <v>6</v>
      </c>
      <c r="AI38" s="224">
        <f t="shared" si="17"/>
        <v>2.0681618596386743E-4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44586</v>
      </c>
      <c r="B39" s="607">
        <v>28.238</v>
      </c>
      <c r="C39" s="388"/>
      <c r="D39" s="391">
        <f t="shared" si="0"/>
        <v>28.83409064568745</v>
      </c>
      <c r="E39" s="383">
        <f t="shared" si="1"/>
        <v>32.285783154302244</v>
      </c>
      <c r="F39" s="383">
        <f t="shared" si="2"/>
        <v>32.288114654998978</v>
      </c>
      <c r="G39" s="110">
        <f t="shared" si="21"/>
        <v>0.9282203807662085</v>
      </c>
      <c r="H39" s="412" t="b">
        <f>Wh_hp&gt;='2021'!Maxi_hp</f>
        <v>1</v>
      </c>
      <c r="I39" s="379">
        <f>IF(H39,Wh_hp,'2021'!Maxi_hp)</f>
        <v>32.288114654998978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2.0673121029277319E-2</v>
      </c>
      <c r="M39" s="832"/>
      <c r="N39" s="832"/>
      <c r="O39" s="48">
        <f>IF(t&lt;Tnet,'2021'!Resal+('2021'!Salim-'2021'!Resal)*(1-EXP(('2021'!Tnet-t)/('2021'!Tau_j))),Resal+(Salim-Resal)*(1-EXP((Tnet-t)/(Tau_j))))*Salcycl</f>
        <v>0.10691060186207182</v>
      </c>
      <c r="P39" s="169">
        <f>(INDEX(Models!$BJ39:$BT39,,T39)*(1-R39)+INDEX(Models!$BJ39:$BT39,,T39+1)*R39-ERP_i)*Q39*Ramure*Pc/MaxiM</f>
        <v>8.0458806689679311E-5</v>
      </c>
      <c r="Q39" s="304">
        <f t="shared" si="4"/>
        <v>0.6</v>
      </c>
      <c r="R39" s="177">
        <f t="shared" si="5"/>
        <v>2.8166021737210055E-4</v>
      </c>
      <c r="S39" s="799">
        <f t="shared" si="6"/>
        <v>0</v>
      </c>
      <c r="T39" s="176">
        <f t="shared" si="7"/>
        <v>6</v>
      </c>
      <c r="U39" s="250">
        <f t="shared" si="8"/>
        <v>2.8166021737210055E-4</v>
      </c>
      <c r="V39" s="382">
        <f t="shared" si="9"/>
        <v>30.42140381470719</v>
      </c>
      <c r="W39" s="400"/>
      <c r="X39" s="157">
        <f t="shared" si="10"/>
        <v>44586</v>
      </c>
      <c r="Y39" s="383">
        <f t="shared" si="11"/>
        <v>28.238000000000003</v>
      </c>
      <c r="Z39" s="383">
        <f t="shared" si="12"/>
        <v>28.834090645687454</v>
      </c>
      <c r="AA39" s="384">
        <f t="shared" si="13"/>
        <v>32.285783154302244</v>
      </c>
      <c r="AB39" s="197">
        <f t="shared" si="14"/>
        <v>44586</v>
      </c>
      <c r="AC39" s="119">
        <f>IF(OR(t&lt;Tnet,NoTnet),'2021'!Resal_s+('2021'!Salim-'2021'!Resal_s)*(1-EXP(('2021'!Tnet_s-t)/'2021'!Tau_j)),Resal_s+(Salim-Resal_s)*(1-EXP((Tnet_s-t)/Tau_j)))*Salcycl</f>
        <v>0.10691060186207182</v>
      </c>
      <c r="AD39" s="230">
        <f>(INDEX(Models!$BJ39:$BT39,,AH39)*(1-AF39)+INDEX(Models!$BJ39:$BT39,,AH39+1)*AF39-ERP_i)*AE39*Ramure*Pc/MaxiM</f>
        <v>8.0458806689679311E-5</v>
      </c>
      <c r="AE39" s="304">
        <f t="shared" si="15"/>
        <v>0.6</v>
      </c>
      <c r="AF39" s="177">
        <f t="shared" si="22"/>
        <v>2.8166021737210055E-4</v>
      </c>
      <c r="AG39" s="799">
        <f t="shared" si="23"/>
        <v>0</v>
      </c>
      <c r="AH39" s="176">
        <f t="shared" si="16"/>
        <v>6</v>
      </c>
      <c r="AI39" s="224">
        <f t="shared" si="17"/>
        <v>2.8166021737210055E-4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44587</v>
      </c>
      <c r="B40" s="607">
        <v>29.773</v>
      </c>
      <c r="C40" s="388"/>
      <c r="D40" s="391">
        <f t="shared" si="0"/>
        <v>30.402076408829238</v>
      </c>
      <c r="E40" s="383">
        <f t="shared" si="1"/>
        <v>34.045190849303758</v>
      </c>
      <c r="F40" s="383">
        <f t="shared" si="2"/>
        <v>34.047521820123769</v>
      </c>
      <c r="G40" s="110">
        <f t="shared" si="21"/>
        <v>0.96909827500031964</v>
      </c>
      <c r="H40" s="412" t="b">
        <f>Wh_hp&gt;='2021'!Maxi_hp</f>
        <v>1</v>
      </c>
      <c r="I40" s="379">
        <f>IF(H40,Wh_hp,'2021'!Maxi_hp)</f>
        <v>34.047521820123769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2.0691889605492397E-2</v>
      </c>
      <c r="M40" s="832"/>
      <c r="N40" s="832"/>
      <c r="O40" s="48">
        <f>IF(t&lt;Tnet,'2021'!Resal+('2021'!Salim-'2021'!Resal)*(1-EXP(('2021'!Tnet-t)/('2021'!Tau_j))),Resal+(Salim-Resal)*(1-EXP((Tnet-t)/(Tau_j))))*Salcycl</f>
        <v>0.10700819556571892</v>
      </c>
      <c r="P40" s="169">
        <f>(INDEX(Models!$BJ40:$BT40,,T40)*(1-R40)+INDEX(Models!$BJ40:$BT40,,T40+1)*R40-ERP_i)*Q40*Ramure*Pc/MaxiM</f>
        <v>7.1623818506967853E-5</v>
      </c>
      <c r="Q40" s="304">
        <f t="shared" si="4"/>
        <v>0.6</v>
      </c>
      <c r="R40" s="177">
        <f t="shared" si="5"/>
        <v>3.5962022976476922E-4</v>
      </c>
      <c r="S40" s="799">
        <f t="shared" si="6"/>
        <v>0</v>
      </c>
      <c r="T40" s="176">
        <f t="shared" si="7"/>
        <v>6</v>
      </c>
      <c r="U40" s="250">
        <f t="shared" si="8"/>
        <v>3.5962022976476922E-4</v>
      </c>
      <c r="V40" s="382">
        <f t="shared" si="9"/>
        <v>30.72227722717437</v>
      </c>
      <c r="W40" s="400"/>
      <c r="X40" s="157">
        <f t="shared" si="10"/>
        <v>44587</v>
      </c>
      <c r="Y40" s="383">
        <f t="shared" si="11"/>
        <v>29.772999999999996</v>
      </c>
      <c r="Z40" s="383">
        <f t="shared" si="12"/>
        <v>30.402076408829235</v>
      </c>
      <c r="AA40" s="384">
        <f t="shared" si="13"/>
        <v>34.045190849303758</v>
      </c>
      <c r="AB40" s="197">
        <f t="shared" si="14"/>
        <v>44587</v>
      </c>
      <c r="AC40" s="119">
        <f>IF(OR(t&lt;Tnet,NoTnet),'2021'!Resal_s+('2021'!Salim-'2021'!Resal_s)*(1-EXP(('2021'!Tnet_s-t)/'2021'!Tau_j)),Resal_s+(Salim-Resal_s)*(1-EXP((Tnet_s-t)/Tau_j)))*Salcycl</f>
        <v>0.10700819556571892</v>
      </c>
      <c r="AD40" s="230">
        <f>(INDEX(Models!$BJ40:$BT40,,AH40)*(1-AF40)+INDEX(Models!$BJ40:$BT40,,AH40+1)*AF40-ERP_i)*AE40*Ramure*Pc/MaxiM</f>
        <v>7.1623818506967853E-5</v>
      </c>
      <c r="AE40" s="304">
        <f t="shared" si="15"/>
        <v>0.6</v>
      </c>
      <c r="AF40" s="177">
        <f t="shared" si="22"/>
        <v>3.5962022976476922E-4</v>
      </c>
      <c r="AG40" s="799">
        <f t="shared" si="23"/>
        <v>0</v>
      </c>
      <c r="AH40" s="176">
        <f t="shared" si="16"/>
        <v>6</v>
      </c>
      <c r="AI40" s="224">
        <f t="shared" si="17"/>
        <v>3.5962022976476922E-4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44588</v>
      </c>
      <c r="B41" s="607">
        <v>26.278000000000002</v>
      </c>
      <c r="C41" s="388"/>
      <c r="D41" s="391">
        <f t="shared" si="0"/>
        <v>26.833744500431738</v>
      </c>
      <c r="E41" s="383">
        <f t="shared" si="1"/>
        <v>30.052544261426799</v>
      </c>
      <c r="F41" s="383">
        <f t="shared" si="2"/>
        <v>30.054040469475297</v>
      </c>
      <c r="G41" s="110">
        <f t="shared" si="21"/>
        <v>0.84689011193616981</v>
      </c>
      <c r="H41" s="412" t="b">
        <f>Wh_hp&gt;='2021'!Maxi_hp</f>
        <v>1</v>
      </c>
      <c r="I41" s="379">
        <f>IF(H41,Wh_hp,'2021'!Maxi_hp)</f>
        <v>30.054040469475297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2.071065782201198E-2</v>
      </c>
      <c r="M41" s="832"/>
      <c r="N41" s="832"/>
      <c r="O41" s="48">
        <f>IF(t&lt;Tnet,'2021'!Resal+('2021'!Salim-'2021'!Resal)*(1-EXP(('2021'!Tnet-t)/('2021'!Tau_j))),Resal+(Salim-Resal)*(1-EXP((Tnet-t)/(Tau_j))))*Salcycl</f>
        <v>0.10710573231320292</v>
      </c>
      <c r="P41" s="169">
        <f>(INDEX(Models!$BJ41:$BT41,,T41)*(1-R41)+INDEX(Models!$BJ41:$BT41,,T41+1)*R41-ERP_i)*Q41*Ramure*Pc/MaxiM</f>
        <v>6.3720285860609333E-5</v>
      </c>
      <c r="Q41" s="304">
        <f t="shared" si="4"/>
        <v>0.6</v>
      </c>
      <c r="R41" s="177">
        <f t="shared" si="5"/>
        <v>4.4082491158651139E-4</v>
      </c>
      <c r="S41" s="799">
        <f t="shared" si="6"/>
        <v>0</v>
      </c>
      <c r="T41" s="176">
        <f t="shared" si="7"/>
        <v>6</v>
      </c>
      <c r="U41" s="250">
        <f t="shared" si="8"/>
        <v>4.4082491158651139E-4</v>
      </c>
      <c r="V41" s="382">
        <f t="shared" si="9"/>
        <v>31.028386554140045</v>
      </c>
      <c r="W41" s="400"/>
      <c r="X41" s="157">
        <f t="shared" si="10"/>
        <v>44588</v>
      </c>
      <c r="Y41" s="383">
        <f t="shared" si="11"/>
        <v>26.278000000000002</v>
      </c>
      <c r="Z41" s="383">
        <f t="shared" si="12"/>
        <v>26.833744500431738</v>
      </c>
      <c r="AA41" s="384">
        <f t="shared" si="13"/>
        <v>30.052544261426799</v>
      </c>
      <c r="AB41" s="197">
        <f t="shared" si="14"/>
        <v>44588</v>
      </c>
      <c r="AC41" s="119">
        <f>IF(OR(t&lt;Tnet,NoTnet),'2021'!Resal_s+('2021'!Salim-'2021'!Resal_s)*(1-EXP(('2021'!Tnet_s-t)/'2021'!Tau_j)),Resal_s+(Salim-Resal_s)*(1-EXP((Tnet_s-t)/Tau_j)))*Salcycl</f>
        <v>0.10710573231320292</v>
      </c>
      <c r="AD41" s="230">
        <f>(INDEX(Models!$BJ41:$BT41,,AH41)*(1-AF41)+INDEX(Models!$BJ41:$BT41,,AH41+1)*AF41-ERP_i)*AE41*Ramure*Pc/MaxiM</f>
        <v>6.3720285860609333E-5</v>
      </c>
      <c r="AE41" s="304">
        <f t="shared" si="15"/>
        <v>0.6</v>
      </c>
      <c r="AF41" s="177">
        <f t="shared" si="22"/>
        <v>4.4082491158651139E-4</v>
      </c>
      <c r="AG41" s="799">
        <f t="shared" si="23"/>
        <v>0</v>
      </c>
      <c r="AH41" s="176">
        <f t="shared" si="16"/>
        <v>6</v>
      </c>
      <c r="AI41" s="224">
        <f t="shared" si="17"/>
        <v>4.4082491158651139E-4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44589</v>
      </c>
      <c r="B42" s="607">
        <v>4.0120000000000005</v>
      </c>
      <c r="C42" s="388"/>
      <c r="D42" s="391">
        <f t="shared" si="0"/>
        <v>4.0969269425676051</v>
      </c>
      <c r="E42" s="383">
        <f t="shared" si="1"/>
        <v>4.588868381262392</v>
      </c>
      <c r="F42" s="383">
        <f t="shared" si="2"/>
        <v>4.588868381262392</v>
      </c>
      <c r="G42" s="110">
        <f t="shared" si="21"/>
        <v>0.12801223456410066</v>
      </c>
      <c r="H42" s="412" t="b">
        <f>Wh_hp&gt;='2021'!Maxi_hp</f>
        <v>0</v>
      </c>
      <c r="I42" s="379">
        <f>IF(H42,Wh_hp,'2021'!Maxi_hp)</f>
        <v>18.140123451777548</v>
      </c>
      <c r="J42" s="85">
        <f>IF(H42,An,'2021'!An_max)</f>
        <v>2021</v>
      </c>
      <c r="K42" s="197">
        <f t="shared" si="3"/>
        <v>44589</v>
      </c>
      <c r="L42" s="147">
        <f>IF(t&lt;Tvie,1-EXP((T0-t)*PertePVj)+'2021'!Pspv,1-EXP((T0-t)*PertePVj)+Pspv)</f>
        <v>2.0729425678843061E-2</v>
      </c>
      <c r="M42" s="832"/>
      <c r="N42" s="832"/>
      <c r="O42" s="48">
        <f>IF(t&lt;Tnet,'2021'!Resal+('2021'!Salim-'2021'!Resal)*(1-EXP(('2021'!Tnet-t)/('2021'!Tau_j))),Resal+(Salim-Resal)*(1-EXP((Tnet-t)/(Tau_j))))*Salcycl</f>
        <v>0.1072032139129374</v>
      </c>
      <c r="P42" s="169">
        <f>(INDEX(Models!$BJ42:$BT42,,T42)*(1-R42)+INDEX(Models!$BJ42:$BT42,,T42+1)*R42-ERP_i)*Q42*Ramure*Pc/MaxiM</f>
        <v>5.6725816070851374E-5</v>
      </c>
      <c r="Q42" s="304">
        <f t="shared" si="4"/>
        <v>0.6</v>
      </c>
      <c r="R42" s="177">
        <f t="shared" si="5"/>
        <v>5.2540817743246368E-4</v>
      </c>
      <c r="S42" s="799">
        <f t="shared" si="6"/>
        <v>0</v>
      </c>
      <c r="T42" s="176">
        <f t="shared" si="7"/>
        <v>6</v>
      </c>
      <c r="U42" s="250">
        <f t="shared" si="8"/>
        <v>5.2540817743246368E-4</v>
      </c>
      <c r="V42" s="382">
        <f t="shared" si="9"/>
        <v>31.338976541473269</v>
      </c>
      <c r="W42" s="400"/>
      <c r="X42" s="157">
        <f t="shared" si="10"/>
        <v>44589</v>
      </c>
      <c r="Y42" s="383">
        <f t="shared" si="11"/>
        <v>4.0120000000000005</v>
      </c>
      <c r="Z42" s="383">
        <f t="shared" si="12"/>
        <v>4.0969269425676051</v>
      </c>
      <c r="AA42" s="384">
        <f t="shared" si="13"/>
        <v>4.588868381262392</v>
      </c>
      <c r="AB42" s="197">
        <f t="shared" si="14"/>
        <v>44589</v>
      </c>
      <c r="AC42" s="119">
        <f>IF(OR(t&lt;Tnet,NoTnet),'2021'!Resal_s+('2021'!Salim-'2021'!Resal_s)*(1-EXP(('2021'!Tnet_s-t)/'2021'!Tau_j)),Resal_s+(Salim-Resal_s)*(1-EXP((Tnet_s-t)/Tau_j)))*Salcycl</f>
        <v>0.1072032139129374</v>
      </c>
      <c r="AD42" s="230">
        <f>(INDEX(Models!$BJ42:$BT42,,AH42)*(1-AF42)+INDEX(Models!$BJ42:$BT42,,AH42+1)*AF42-ERP_i)*AE42*Ramure*Pc/MaxiM</f>
        <v>5.6725816070851374E-5</v>
      </c>
      <c r="AE42" s="304">
        <f t="shared" si="15"/>
        <v>0.6</v>
      </c>
      <c r="AF42" s="177">
        <f t="shared" si="22"/>
        <v>5.2540817743246368E-4</v>
      </c>
      <c r="AG42" s="799">
        <f t="shared" si="23"/>
        <v>0</v>
      </c>
      <c r="AH42" s="176">
        <f t="shared" si="16"/>
        <v>6</v>
      </c>
      <c r="AI42" s="224">
        <f t="shared" si="17"/>
        <v>5.2540817743246368E-4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44590</v>
      </c>
      <c r="B43" s="607">
        <v>7.6320000000000006</v>
      </c>
      <c r="C43" s="388"/>
      <c r="D43" s="391">
        <f t="shared" si="0"/>
        <v>7.7937053031872869</v>
      </c>
      <c r="E43" s="383">
        <f t="shared" si="1"/>
        <v>8.7304927751383499</v>
      </c>
      <c r="F43" s="383">
        <f t="shared" si="2"/>
        <v>8.7304927751383499</v>
      </c>
      <c r="G43" s="110">
        <f t="shared" si="21"/>
        <v>0.24110015482794667</v>
      </c>
      <c r="H43" s="412" t="b">
        <f>Wh_hp&gt;='2021'!Maxi_hp</f>
        <v>0</v>
      </c>
      <c r="I43" s="379">
        <f>IF(H43,Wh_hp,'2021'!Maxi_hp)</f>
        <v>22.560776300734982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2.0748193175992413E-2</v>
      </c>
      <c r="M43" s="832"/>
      <c r="N43" s="832"/>
      <c r="O43" s="48">
        <f>IF(t&lt;Tnet,'2021'!Resal+('2021'!Salim-'2021'!Resal)*(1-EXP(('2021'!Tnet-t)/('2021'!Tau_j))),Resal+(Salim-Resal)*(1-EXP((Tnet-t)/(Tau_j))))*Salcycl</f>
        <v>0.1073006411068496</v>
      </c>
      <c r="P43" s="169">
        <f>(INDEX(Models!$BJ43:$BT43,,T43)*(1-R43)+INDEX(Models!$BJ43:$BT43,,T43+1)*R43-ERP_i)*Q43*Ramure*Pc/MaxiM</f>
        <v>5.0617432431072917E-5</v>
      </c>
      <c r="Q43" s="304">
        <f t="shared" si="4"/>
        <v>0.6</v>
      </c>
      <c r="R43" s="177">
        <f t="shared" si="5"/>
        <v>6.1350937271773681E-4</v>
      </c>
      <c r="S43" s="799">
        <f t="shared" si="6"/>
        <v>0</v>
      </c>
      <c r="T43" s="176">
        <f t="shared" si="7"/>
        <v>6</v>
      </c>
      <c r="U43" s="250">
        <f t="shared" si="8"/>
        <v>6.1350937271773681E-4</v>
      </c>
      <c r="V43" s="382">
        <f t="shared" si="9"/>
        <v>31.653292355625986</v>
      </c>
      <c r="W43" s="400"/>
      <c r="X43" s="157">
        <f t="shared" si="10"/>
        <v>44590</v>
      </c>
      <c r="Y43" s="383">
        <f t="shared" si="11"/>
        <v>7.6320000000000006</v>
      </c>
      <c r="Z43" s="383">
        <f t="shared" si="12"/>
        <v>7.7937053031872869</v>
      </c>
      <c r="AA43" s="384">
        <f t="shared" si="13"/>
        <v>8.7304927751383499</v>
      </c>
      <c r="AB43" s="197">
        <f t="shared" si="14"/>
        <v>44590</v>
      </c>
      <c r="AC43" s="119">
        <f>IF(OR(t&lt;Tnet,NoTnet),'2021'!Resal_s+('2021'!Salim-'2021'!Resal_s)*(1-EXP(('2021'!Tnet_s-t)/'2021'!Tau_j)),Resal_s+(Salim-Resal_s)*(1-EXP((Tnet_s-t)/Tau_j)))*Salcycl</f>
        <v>0.1073006411068496</v>
      </c>
      <c r="AD43" s="230">
        <f>(INDEX(Models!$BJ43:$BT43,,AH43)*(1-AF43)+INDEX(Models!$BJ43:$BT43,,AH43+1)*AF43-ERP_i)*AE43*Ramure*Pc/MaxiM</f>
        <v>5.0617432431072917E-5</v>
      </c>
      <c r="AE43" s="304">
        <f t="shared" si="15"/>
        <v>0.6</v>
      </c>
      <c r="AF43" s="177">
        <f t="shared" si="22"/>
        <v>6.1350937271773681E-4</v>
      </c>
      <c r="AG43" s="799">
        <f t="shared" si="23"/>
        <v>0</v>
      </c>
      <c r="AH43" s="176">
        <f t="shared" si="16"/>
        <v>6</v>
      </c>
      <c r="AI43" s="224">
        <f t="shared" si="17"/>
        <v>6.1350937271773681E-4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44591</v>
      </c>
      <c r="B44" s="607">
        <v>4.4160000000000004</v>
      </c>
      <c r="C44" s="388"/>
      <c r="D44" s="391">
        <f t="shared" si="0"/>
        <v>4.5096517591089729</v>
      </c>
      <c r="E44" s="383">
        <f t="shared" si="1"/>
        <v>5.0522537787017683</v>
      </c>
      <c r="F44" s="383">
        <f t="shared" si="2"/>
        <v>5.0522537787017683</v>
      </c>
      <c r="G44" s="110">
        <f t="shared" si="21"/>
        <v>0.13812072519462282</v>
      </c>
      <c r="H44" s="412" t="b">
        <f>Wh_hp&gt;='2021'!Maxi_hp</f>
        <v>0</v>
      </c>
      <c r="I44" s="379">
        <f>IF(H44,Wh_hp,'2021'!Maxi_hp)</f>
        <v>12.305895524222464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2.076696031346692E-2</v>
      </c>
      <c r="M44" s="832"/>
      <c r="N44" s="832"/>
      <c r="O44" s="48">
        <f>IF(t&lt;Tnet,'2021'!Resal+('2021'!Salim-'2021'!Resal)*(1-EXP(('2021'!Tnet-t)/('2021'!Tau_j))),Resal+(Salim-Resal)*(1-EXP((Tnet-t)/(Tau_j))))*Salcycl</f>
        <v>0.10739801351234247</v>
      </c>
      <c r="P44" s="169">
        <f>(INDEX(Models!$BJ44:$BT44,,T44)*(1-R44)+INDEX(Models!$BJ44:$BT44,,T44+1)*R44-ERP_i)*Q44*Ramure*Pc/MaxiM</f>
        <v>4.5477180901414974E-5</v>
      </c>
      <c r="Q44" s="304">
        <f t="shared" si="4"/>
        <v>0.6</v>
      </c>
      <c r="R44" s="177">
        <f t="shared" si="5"/>
        <v>7.0527348571120842E-4</v>
      </c>
      <c r="S44" s="799">
        <f t="shared" si="6"/>
        <v>0</v>
      </c>
      <c r="T44" s="176">
        <f t="shared" si="7"/>
        <v>6</v>
      </c>
      <c r="U44" s="250">
        <f t="shared" si="8"/>
        <v>7.0527348571120842E-4</v>
      </c>
      <c r="V44" s="382">
        <f t="shared" si="9"/>
        <v>31.97057622269892</v>
      </c>
      <c r="W44" s="400"/>
      <c r="X44" s="157">
        <f t="shared" si="10"/>
        <v>44591</v>
      </c>
      <c r="Y44" s="383">
        <f t="shared" si="11"/>
        <v>4.4160000000000004</v>
      </c>
      <c r="Z44" s="383">
        <f t="shared" si="12"/>
        <v>4.5096517591089729</v>
      </c>
      <c r="AA44" s="384">
        <f t="shared" si="13"/>
        <v>5.0522537787017683</v>
      </c>
      <c r="AB44" s="197">
        <f t="shared" si="14"/>
        <v>44591</v>
      </c>
      <c r="AC44" s="119">
        <f>IF(OR(t&lt;Tnet,NoTnet),'2021'!Resal_s+('2021'!Salim-'2021'!Resal_s)*(1-EXP(('2021'!Tnet_s-t)/'2021'!Tau_j)),Resal_s+(Salim-Resal_s)*(1-EXP((Tnet_s-t)/Tau_j)))*Salcycl</f>
        <v>0.10739801351234247</v>
      </c>
      <c r="AD44" s="230">
        <f>(INDEX(Models!$BJ44:$BT44,,AH44)*(1-AF44)+INDEX(Models!$BJ44:$BT44,,AH44+1)*AF44-ERP_i)*AE44*Ramure*Pc/MaxiM</f>
        <v>4.5477180901414974E-5</v>
      </c>
      <c r="AE44" s="304">
        <f t="shared" si="15"/>
        <v>0.6</v>
      </c>
      <c r="AF44" s="177">
        <f t="shared" si="22"/>
        <v>7.0527348571120842E-4</v>
      </c>
      <c r="AG44" s="799">
        <f t="shared" si="23"/>
        <v>0</v>
      </c>
      <c r="AH44" s="176">
        <f t="shared" si="16"/>
        <v>6</v>
      </c>
      <c r="AI44" s="224">
        <f t="shared" si="17"/>
        <v>7.0527348571120842E-4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44592</v>
      </c>
      <c r="B45" s="607">
        <v>7.0419999999999998</v>
      </c>
      <c r="C45" s="388"/>
      <c r="D45" s="391">
        <f t="shared" si="0"/>
        <v>7.1914801436481834</v>
      </c>
      <c r="E45" s="383">
        <f t="shared" si="1"/>
        <v>8.0576386679322987</v>
      </c>
      <c r="F45" s="383">
        <f t="shared" si="2"/>
        <v>8.0576386679322987</v>
      </c>
      <c r="G45" s="110">
        <f t="shared" si="21"/>
        <v>0.21807659159003442</v>
      </c>
      <c r="H45" s="412" t="b">
        <f>Wh_hp&gt;='2021'!Maxi_hp</f>
        <v>0</v>
      </c>
      <c r="I45" s="379">
        <f>IF(H45,Wh_hp,'2021'!Maxi_hp)</f>
        <v>23.230245238916424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2.0785727091273576E-2</v>
      </c>
      <c r="M45" s="832"/>
      <c r="N45" s="832"/>
      <c r="O45" s="48">
        <f>IF(t&lt;Tnet,'2021'!Resal+('2021'!Salim-'2021'!Resal)*(1-EXP(('2021'!Tnet-t)/('2021'!Tau_j))),Resal+(Salim-Resal)*(1-EXP((Tnet-t)/(Tau_j))))*Salcycl</f>
        <v>0.10749532958473851</v>
      </c>
      <c r="P45" s="169">
        <f>(INDEX(Models!$BJ45:$BT45,,T45)*(1-R45)+INDEX(Models!$BJ45:$BT45,,T45+1)*R45-ERP_i)*Q45*Ramure*Pc/MaxiM</f>
        <v>4.0959877340186535E-5</v>
      </c>
      <c r="Q45" s="304">
        <f t="shared" si="4"/>
        <v>0.6</v>
      </c>
      <c r="R45" s="177">
        <f t="shared" si="5"/>
        <v>8.0085136714126877E-4</v>
      </c>
      <c r="S45" s="799">
        <f t="shared" si="6"/>
        <v>0</v>
      </c>
      <c r="T45" s="176">
        <f t="shared" si="7"/>
        <v>6</v>
      </c>
      <c r="U45" s="250">
        <f t="shared" si="8"/>
        <v>8.0085136714126877E-4</v>
      </c>
      <c r="V45" s="382">
        <f t="shared" si="9"/>
        <v>32.290084457031462</v>
      </c>
      <c r="W45" s="400"/>
      <c r="X45" s="157">
        <f t="shared" si="10"/>
        <v>44592</v>
      </c>
      <c r="Y45" s="383">
        <f t="shared" si="11"/>
        <v>7.0419999999999989</v>
      </c>
      <c r="Z45" s="383">
        <f t="shared" si="12"/>
        <v>7.1914801436481826</v>
      </c>
      <c r="AA45" s="384">
        <f t="shared" si="13"/>
        <v>8.0576386679322987</v>
      </c>
      <c r="AB45" s="197">
        <f t="shared" si="14"/>
        <v>44592</v>
      </c>
      <c r="AC45" s="119">
        <f>IF(OR(t&lt;Tnet,NoTnet),'2021'!Resal_s+('2021'!Salim-'2021'!Resal_s)*(1-EXP(('2021'!Tnet_s-t)/'2021'!Tau_j)),Resal_s+(Salim-Resal_s)*(1-EXP((Tnet_s-t)/Tau_j)))*Salcycl</f>
        <v>0.10749532958473851</v>
      </c>
      <c r="AD45" s="230">
        <f>(INDEX(Models!$BJ45:$BT45,,AH45)*(1-AF45)+INDEX(Models!$BJ45:$BT45,,AH45+1)*AF45-ERP_i)*AE45*Ramure*Pc/MaxiM</f>
        <v>4.0959877340186535E-5</v>
      </c>
      <c r="AE45" s="304">
        <f t="shared" si="15"/>
        <v>0.6</v>
      </c>
      <c r="AF45" s="177">
        <f t="shared" si="22"/>
        <v>8.0085136714126877E-4</v>
      </c>
      <c r="AG45" s="799">
        <f t="shared" si="23"/>
        <v>0</v>
      </c>
      <c r="AH45" s="176">
        <f t="shared" si="16"/>
        <v>6</v>
      </c>
      <c r="AI45" s="224">
        <f t="shared" si="17"/>
        <v>8.0085136714126877E-4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44593</v>
      </c>
      <c r="B46" s="607">
        <v>15.452</v>
      </c>
      <c r="C46" s="388"/>
      <c r="D46" s="391">
        <f t="shared" si="0"/>
        <v>15.780301173337376</v>
      </c>
      <c r="E46" s="383">
        <f t="shared" si="1"/>
        <v>17.682844109530372</v>
      </c>
      <c r="F46" s="383">
        <f t="shared" si="2"/>
        <v>17.683006794963966</v>
      </c>
      <c r="G46" s="110">
        <f t="shared" si="21"/>
        <v>0.47381373115171671</v>
      </c>
      <c r="H46" s="412" t="b">
        <f>Wh_hp&gt;='2021'!Maxi_hp</f>
        <v>1</v>
      </c>
      <c r="I46" s="379">
        <f>IF(H46,Wh_hp,'2021'!Maxi_hp)</f>
        <v>17.683006794963966</v>
      </c>
      <c r="J46" s="85">
        <f>IF(H46,An,'2021'!An_max)</f>
        <v>2022</v>
      </c>
      <c r="K46" s="197">
        <f t="shared" si="3"/>
        <v>44593</v>
      </c>
      <c r="L46" s="147">
        <f>IF(t&lt;Tvie,1-EXP((T0-t)*PertePVj)+'2021'!Pspv,1-EXP((T0-t)*PertePVj)+Pspv)</f>
        <v>2.0804493509419153E-2</v>
      </c>
      <c r="M46" s="832"/>
      <c r="N46" s="832"/>
      <c r="O46" s="48">
        <f>IF(t&lt;Tnet,'2021'!Resal+('2021'!Salim-'2021'!Resal)*(1-EXP(('2021'!Tnet-t)/('2021'!Tau_j))),Resal+(Salim-Resal)*(1-EXP((Tnet-t)/(Tau_j))))*Salcycl</f>
        <v>0.107592586600229</v>
      </c>
      <c r="P46" s="169">
        <f>(INDEX(Models!$BJ46:$BT46,,T46)*(1-R46)+INDEX(Models!$BJ46:$BT46,,T46+1)*R46-ERP_i)*Q46*Ramure*Pc/MaxiM</f>
        <v>3.7048748613586853E-5</v>
      </c>
      <c r="Q46" s="304">
        <f t="shared" si="4"/>
        <v>0.6</v>
      </c>
      <c r="R46" s="177">
        <f t="shared" si="5"/>
        <v>9.0039995758174336E-4</v>
      </c>
      <c r="S46" s="799">
        <f t="shared" si="6"/>
        <v>0</v>
      </c>
      <c r="T46" s="176">
        <f t="shared" si="7"/>
        <v>6</v>
      </c>
      <c r="U46" s="250">
        <f t="shared" si="8"/>
        <v>9.0039995758174336E-4</v>
      </c>
      <c r="V46" s="382">
        <f t="shared" si="9"/>
        <v>32.611063510477727</v>
      </c>
      <c r="W46" s="400"/>
      <c r="X46" s="157">
        <f t="shared" si="10"/>
        <v>44593</v>
      </c>
      <c r="Y46" s="383">
        <f t="shared" si="11"/>
        <v>15.452</v>
      </c>
      <c r="Z46" s="383">
        <f t="shared" si="12"/>
        <v>15.780301173337376</v>
      </c>
      <c r="AA46" s="384">
        <f t="shared" si="13"/>
        <v>17.682844109530372</v>
      </c>
      <c r="AB46" s="197">
        <f t="shared" si="14"/>
        <v>44593</v>
      </c>
      <c r="AC46" s="119">
        <f>IF(OR(t&lt;Tnet,NoTnet),'2021'!Resal_s+('2021'!Salim-'2021'!Resal_s)*(1-EXP(('2021'!Tnet_s-t)/'2021'!Tau_j)),Resal_s+(Salim-Resal_s)*(1-EXP((Tnet_s-t)/Tau_j)))*Salcycl</f>
        <v>0.107592586600229</v>
      </c>
      <c r="AD46" s="230">
        <f>(INDEX(Models!$BJ46:$BT46,,AH46)*(1-AF46)+INDEX(Models!$BJ46:$BT46,,AH46+1)*AF46-ERP_i)*AE46*Ramure*Pc/MaxiM</f>
        <v>3.7048748613586853E-5</v>
      </c>
      <c r="AE46" s="304">
        <f t="shared" si="15"/>
        <v>0.6</v>
      </c>
      <c r="AF46" s="177">
        <f t="shared" si="22"/>
        <v>9.0039995758174336E-4</v>
      </c>
      <c r="AG46" s="799">
        <f t="shared" si="23"/>
        <v>0</v>
      </c>
      <c r="AH46" s="176">
        <f t="shared" si="16"/>
        <v>6</v>
      </c>
      <c r="AI46" s="224">
        <f t="shared" si="17"/>
        <v>9.0039995758174336E-4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44594</v>
      </c>
      <c r="B47" s="607">
        <v>5.0730000000000004</v>
      </c>
      <c r="C47" s="388"/>
      <c r="D47" s="391">
        <f t="shared" si="0"/>
        <v>5.1808828687672834</v>
      </c>
      <c r="E47" s="383">
        <f t="shared" si="1"/>
        <v>5.8061453925679896</v>
      </c>
      <c r="F47" s="383">
        <f t="shared" si="2"/>
        <v>5.8061453925679896</v>
      </c>
      <c r="G47" s="110">
        <f t="shared" si="21"/>
        <v>0.15403594660097208</v>
      </c>
      <c r="H47" s="412" t="b">
        <f>Wh_hp&gt;='2021'!Maxi_hp</f>
        <v>0</v>
      </c>
      <c r="I47" s="379">
        <f>IF(H47,Wh_hp,'2021'!Maxi_hp)</f>
        <v>31.802968969314829</v>
      </c>
      <c r="J47" s="85">
        <f>IF(H47,An,'2021'!An_max)</f>
        <v>2021</v>
      </c>
      <c r="K47" s="197">
        <f t="shared" si="3"/>
        <v>44594</v>
      </c>
      <c r="L47" s="147">
        <f>IF(t&lt;Tvie,1-EXP((T0-t)*PertePVj)+'2021'!Pspv,1-EXP((T0-t)*PertePVj)+Pspv)</f>
        <v>2.0823259567910646E-2</v>
      </c>
      <c r="M47" s="832"/>
      <c r="N47" s="832"/>
      <c r="O47" s="48">
        <f>IF(t&lt;Tnet,'2021'!Resal+('2021'!Salim-'2021'!Resal)*(1-EXP(('2021'!Tnet-t)/('2021'!Tau_j))),Resal+(Salim-Resal)*(1-EXP((Tnet-t)/(Tau_j))))*Salcycl</f>
        <v>0.10768978065913709</v>
      </c>
      <c r="P47" s="169">
        <f>(INDEX(Models!$BJ47:$BT47,,T47)*(1-R47)+INDEX(Models!$BJ47:$BT47,,T47+1)*R47-ERP_i)*Q47*Ramure*Pc/MaxiM</f>
        <v>3.3727174006962347E-5</v>
      </c>
      <c r="Q47" s="304">
        <f t="shared" si="4"/>
        <v>0.6</v>
      </c>
      <c r="R47" s="177">
        <f t="shared" si="5"/>
        <v>1.0040825228266239E-3</v>
      </c>
      <c r="S47" s="799">
        <f t="shared" si="6"/>
        <v>0</v>
      </c>
      <c r="T47" s="176">
        <f t="shared" si="7"/>
        <v>6</v>
      </c>
      <c r="U47" s="250">
        <f t="shared" si="8"/>
        <v>1.0040825228266239E-3</v>
      </c>
      <c r="V47" s="382">
        <f t="shared" si="9"/>
        <v>32.932760267883147</v>
      </c>
      <c r="W47" s="400"/>
      <c r="X47" s="157">
        <f t="shared" si="10"/>
        <v>44594</v>
      </c>
      <c r="Y47" s="383">
        <f t="shared" si="11"/>
        <v>5.0730000000000004</v>
      </c>
      <c r="Z47" s="383">
        <f t="shared" si="12"/>
        <v>5.1808828687672834</v>
      </c>
      <c r="AA47" s="384">
        <f t="shared" si="13"/>
        <v>5.8061453925679896</v>
      </c>
      <c r="AB47" s="197">
        <f t="shared" si="14"/>
        <v>44594</v>
      </c>
      <c r="AC47" s="119">
        <f>IF(OR(t&lt;Tnet,NoTnet),'2021'!Resal_s+('2021'!Salim-'2021'!Resal_s)*(1-EXP(('2021'!Tnet_s-t)/'2021'!Tau_j)),Resal_s+(Salim-Resal_s)*(1-EXP((Tnet_s-t)/Tau_j)))*Salcycl</f>
        <v>0.10768978065913709</v>
      </c>
      <c r="AD47" s="230">
        <f>(INDEX(Models!$BJ47:$BT47,,AH47)*(1-AF47)+INDEX(Models!$BJ47:$BT47,,AH47+1)*AF47-ERP_i)*AE47*Ramure*Pc/MaxiM</f>
        <v>3.3727174006962347E-5</v>
      </c>
      <c r="AE47" s="304">
        <f t="shared" si="15"/>
        <v>0.6</v>
      </c>
      <c r="AF47" s="177">
        <f t="shared" si="22"/>
        <v>1.0040825228266239E-3</v>
      </c>
      <c r="AG47" s="799">
        <f t="shared" si="23"/>
        <v>0</v>
      </c>
      <c r="AH47" s="176">
        <f t="shared" si="16"/>
        <v>6</v>
      </c>
      <c r="AI47" s="224">
        <f t="shared" si="17"/>
        <v>1.0040825228266239E-3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44595</v>
      </c>
      <c r="B48" s="607">
        <v>10.201000000000001</v>
      </c>
      <c r="C48" s="388"/>
      <c r="D48" s="391">
        <f t="shared" si="0"/>
        <v>10.418135033602816</v>
      </c>
      <c r="E48" s="383">
        <f t="shared" si="1"/>
        <v>11.676734080617214</v>
      </c>
      <c r="F48" s="383">
        <f t="shared" si="2"/>
        <v>11.67673757194525</v>
      </c>
      <c r="G48" s="110">
        <f t="shared" si="21"/>
        <v>0.30674678455005472</v>
      </c>
      <c r="H48" s="412" t="b">
        <f>Wh_hp&gt;='2021'!Maxi_hp</f>
        <v>0</v>
      </c>
      <c r="I48" s="379">
        <f>IF(H48,Wh_hp,'2021'!Maxi_hp)</f>
        <v>29.439960485046544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2.0842025266754938E-2</v>
      </c>
      <c r="M48" s="832"/>
      <c r="N48" s="832"/>
      <c r="O48" s="48">
        <f>IF(t&lt;Tnet,'2021'!Resal+('2021'!Salim-'2021'!Resal)*(1-EXP(('2021'!Tnet-t)/('2021'!Tau_j))),Resal+(Salim-Resal)*(1-EXP((Tnet-t)/(Tau_j))))*Salcycl</f>
        <v>0.10778690670909502</v>
      </c>
      <c r="P48" s="169">
        <f>(INDEX(Models!$BJ48:$BT48,,T48)*(1-R48)+INDEX(Models!$BJ48:$BT48,,T48+1)*R48-ERP_i)*Q48*Ramure*Pc/MaxiM</f>
        <v>3.0978825620716834E-5</v>
      </c>
      <c r="Q48" s="304">
        <f t="shared" si="4"/>
        <v>0.6</v>
      </c>
      <c r="R48" s="177">
        <f t="shared" si="5"/>
        <v>1.1120688974596074E-3</v>
      </c>
      <c r="S48" s="799">
        <f t="shared" si="6"/>
        <v>0</v>
      </c>
      <c r="T48" s="176">
        <f t="shared" si="7"/>
        <v>6</v>
      </c>
      <c r="U48" s="250">
        <f t="shared" si="8"/>
        <v>1.1120688974596074E-3</v>
      </c>
      <c r="V48" s="382">
        <f t="shared" si="9"/>
        <v>33.254422047010287</v>
      </c>
      <c r="W48" s="400"/>
      <c r="X48" s="157">
        <f t="shared" si="10"/>
        <v>44595</v>
      </c>
      <c r="Y48" s="383">
        <f t="shared" si="11"/>
        <v>10.201000000000001</v>
      </c>
      <c r="Z48" s="383">
        <f t="shared" si="12"/>
        <v>10.418135033602816</v>
      </c>
      <c r="AA48" s="384">
        <f t="shared" si="13"/>
        <v>11.676734080617214</v>
      </c>
      <c r="AB48" s="197">
        <f t="shared" si="14"/>
        <v>44595</v>
      </c>
      <c r="AC48" s="119">
        <f>IF(OR(t&lt;Tnet,NoTnet),'2021'!Resal_s+('2021'!Salim-'2021'!Resal_s)*(1-EXP(('2021'!Tnet_s-t)/'2021'!Tau_j)),Resal_s+(Salim-Resal_s)*(1-EXP((Tnet_s-t)/Tau_j)))*Salcycl</f>
        <v>0.10778690670909502</v>
      </c>
      <c r="AD48" s="230">
        <f>(INDEX(Models!$BJ48:$BT48,,AH48)*(1-AF48)+INDEX(Models!$BJ48:$BT48,,AH48+1)*AF48-ERP_i)*AE48*Ramure*Pc/MaxiM</f>
        <v>3.0978825620716834E-5</v>
      </c>
      <c r="AE48" s="304">
        <f t="shared" si="15"/>
        <v>0.6</v>
      </c>
      <c r="AF48" s="177">
        <f t="shared" si="22"/>
        <v>1.1120688974596074E-3</v>
      </c>
      <c r="AG48" s="799">
        <f t="shared" si="23"/>
        <v>0</v>
      </c>
      <c r="AH48" s="176">
        <f t="shared" si="16"/>
        <v>6</v>
      </c>
      <c r="AI48" s="224">
        <f t="shared" si="17"/>
        <v>1.1120688974596074E-3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44596</v>
      </c>
      <c r="B49" s="607">
        <v>10.535</v>
      </c>
      <c r="C49" s="388"/>
      <c r="D49" s="391">
        <f t="shared" si="0"/>
        <v>10.759450646981838</v>
      </c>
      <c r="E49" s="383">
        <f t="shared" si="1"/>
        <v>12.060595424275371</v>
      </c>
      <c r="F49" s="383">
        <f t="shared" si="2"/>
        <v>12.060602255327879</v>
      </c>
      <c r="G49" s="110">
        <f t="shared" si="21"/>
        <v>0.31376350337997888</v>
      </c>
      <c r="H49" s="412" t="b">
        <f>Wh_hp&gt;='2021'!Maxi_hp</f>
        <v>0</v>
      </c>
      <c r="I49" s="379">
        <f>IF(H49,Wh_hp,'2021'!Maxi_hp)</f>
        <v>20.989724213200883</v>
      </c>
      <c r="J49" s="85">
        <f>IF(H49,An,'2021'!An_max)</f>
        <v>2020</v>
      </c>
      <c r="K49" s="197">
        <f t="shared" si="3"/>
        <v>44596</v>
      </c>
      <c r="L49" s="147">
        <f>IF(t&lt;Tvie,1-EXP((T0-t)*PertePVj)+'2021'!Pspv,1-EXP((T0-t)*PertePVj)+Pspv)</f>
        <v>2.0860790605958912E-2</v>
      </c>
      <c r="M49" s="832"/>
      <c r="N49" s="832"/>
      <c r="O49" s="48">
        <f>IF(t&lt;Tnet,'2021'!Resal+('2021'!Salim-'2021'!Resal)*(1-EXP(('2021'!Tnet-t)/('2021'!Tau_j))),Resal+(Salim-Resal)*(1-EXP((Tnet-t)/(Tau_j))))*Salcycl</f>
        <v>0.10788395858753465</v>
      </c>
      <c r="P49" s="169">
        <f>(INDEX(Models!$BJ49:$BT49,,T49)*(1-R49)+INDEX(Models!$BJ49:$BT49,,T49+1)*R49-ERP_i)*Q49*Ramure*Pc/MaxiM</f>
        <v>2.8787791596830891E-5</v>
      </c>
      <c r="Q49" s="304">
        <f t="shared" si="4"/>
        <v>0.6</v>
      </c>
      <c r="R49" s="177">
        <f t="shared" si="5"/>
        <v>1.2245357368255751E-3</v>
      </c>
      <c r="S49" s="799">
        <f t="shared" si="6"/>
        <v>0</v>
      </c>
      <c r="T49" s="176">
        <f t="shared" si="7"/>
        <v>6</v>
      </c>
      <c r="U49" s="250">
        <f t="shared" si="8"/>
        <v>1.2245357368255751E-3</v>
      </c>
      <c r="V49" s="382">
        <f t="shared" si="9"/>
        <v>33.575296597354104</v>
      </c>
      <c r="W49" s="400"/>
      <c r="X49" s="157">
        <f t="shared" si="10"/>
        <v>44596</v>
      </c>
      <c r="Y49" s="383">
        <f t="shared" si="11"/>
        <v>10.535</v>
      </c>
      <c r="Z49" s="383">
        <f t="shared" si="12"/>
        <v>10.759450646981838</v>
      </c>
      <c r="AA49" s="384">
        <f t="shared" si="13"/>
        <v>12.060595424275371</v>
      </c>
      <c r="AB49" s="197">
        <f t="shared" si="14"/>
        <v>44596</v>
      </c>
      <c r="AC49" s="119">
        <f>IF(OR(t&lt;Tnet,NoTnet),'2021'!Resal_s+('2021'!Salim-'2021'!Resal_s)*(1-EXP(('2021'!Tnet_s-t)/'2021'!Tau_j)),Resal_s+(Salim-Resal_s)*(1-EXP((Tnet_s-t)/Tau_j)))*Salcycl</f>
        <v>0.10788395858753465</v>
      </c>
      <c r="AD49" s="230">
        <f>(INDEX(Models!$BJ49:$BT49,,AH49)*(1-AF49)+INDEX(Models!$BJ49:$BT49,,AH49+1)*AF49-ERP_i)*AE49*Ramure*Pc/MaxiM</f>
        <v>2.8787791596830891E-5</v>
      </c>
      <c r="AE49" s="304">
        <f t="shared" si="15"/>
        <v>0.6</v>
      </c>
      <c r="AF49" s="177">
        <f t="shared" si="22"/>
        <v>1.2245357368255751E-3</v>
      </c>
      <c r="AG49" s="799">
        <f t="shared" si="23"/>
        <v>0</v>
      </c>
      <c r="AH49" s="176">
        <f t="shared" si="16"/>
        <v>6</v>
      </c>
      <c r="AI49" s="224">
        <f t="shared" si="17"/>
        <v>1.2245357368255751E-3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44597</v>
      </c>
      <c r="B50" s="607">
        <v>8.6920000000000002</v>
      </c>
      <c r="C50" s="388"/>
      <c r="D50" s="391">
        <f t="shared" si="0"/>
        <v>8.8773552320194398</v>
      </c>
      <c r="E50" s="383">
        <f t="shared" si="1"/>
        <v>9.9519791913086575</v>
      </c>
      <c r="F50" s="383">
        <f t="shared" si="2"/>
        <v>9.9519791913086575</v>
      </c>
      <c r="G50" s="110">
        <f t="shared" si="21"/>
        <v>0.25643482674681001</v>
      </c>
      <c r="H50" s="412" t="b">
        <f>Wh_hp&gt;='2021'!Maxi_hp</f>
        <v>0</v>
      </c>
      <c r="I50" s="379">
        <f>IF(H50,Wh_hp,'2021'!Maxi_hp)</f>
        <v>38.888374306898015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2.0879555585529341E-2</v>
      </c>
      <c r="M50" s="832"/>
      <c r="N50" s="832"/>
      <c r="O50" s="48">
        <f>IF(t&lt;Tnet,'2021'!Resal+('2021'!Salim-'2021'!Resal)*(1-EXP(('2021'!Tnet-t)/('2021'!Tau_j))),Resal+(Salim-Resal)*(1-EXP((Tnet-t)/(Tau_j))))*Salcycl</f>
        <v>0.10798092908270122</v>
      </c>
      <c r="P50" s="169">
        <f>(INDEX(Models!$BJ50:$BT50,,T50)*(1-R50)+INDEX(Models!$BJ50:$BT50,,T50+1)*R50-ERP_i)*Q50*Ramure*Pc/MaxiM</f>
        <v>2.7138683587797685E-5</v>
      </c>
      <c r="Q50" s="304">
        <f t="shared" si="4"/>
        <v>0.6</v>
      </c>
      <c r="R50" s="177">
        <f t="shared" si="5"/>
        <v>1.3416667776064246E-3</v>
      </c>
      <c r="S50" s="799">
        <f t="shared" si="6"/>
        <v>0</v>
      </c>
      <c r="T50" s="176">
        <f t="shared" si="7"/>
        <v>6</v>
      </c>
      <c r="U50" s="250">
        <f t="shared" si="8"/>
        <v>1.3416667776064246E-3</v>
      </c>
      <c r="V50" s="382">
        <f t="shared" si="9"/>
        <v>33.894632101372231</v>
      </c>
      <c r="W50" s="400"/>
      <c r="X50" s="157">
        <f t="shared" si="10"/>
        <v>44597</v>
      </c>
      <c r="Y50" s="383">
        <f t="shared" si="11"/>
        <v>8.6920000000000002</v>
      </c>
      <c r="Z50" s="383">
        <f t="shared" si="12"/>
        <v>8.8773552320194398</v>
      </c>
      <c r="AA50" s="384">
        <f t="shared" si="13"/>
        <v>9.9519791913086575</v>
      </c>
      <c r="AB50" s="197">
        <f t="shared" si="14"/>
        <v>44597</v>
      </c>
      <c r="AC50" s="119">
        <f>IF(OR(t&lt;Tnet,NoTnet),'2021'!Resal_s+('2021'!Salim-'2021'!Resal_s)*(1-EXP(('2021'!Tnet_s-t)/'2021'!Tau_j)),Resal_s+(Salim-Resal_s)*(1-EXP((Tnet_s-t)/Tau_j)))*Salcycl</f>
        <v>0.10798092908270122</v>
      </c>
      <c r="AD50" s="230">
        <f>(INDEX(Models!$BJ50:$BT50,,AH50)*(1-AF50)+INDEX(Models!$BJ50:$BT50,,AH50+1)*AF50-ERP_i)*AE50*Ramure*Pc/MaxiM</f>
        <v>2.7138683587797685E-5</v>
      </c>
      <c r="AE50" s="304">
        <f t="shared" si="15"/>
        <v>0.6</v>
      </c>
      <c r="AF50" s="177">
        <f t="shared" si="22"/>
        <v>1.3416667776064246E-3</v>
      </c>
      <c r="AG50" s="799">
        <f t="shared" si="23"/>
        <v>0</v>
      </c>
      <c r="AH50" s="176">
        <f t="shared" si="16"/>
        <v>6</v>
      </c>
      <c r="AI50" s="224">
        <f t="shared" si="17"/>
        <v>1.3416667776064246E-3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44598</v>
      </c>
      <c r="B51" s="607">
        <v>23.778000000000002</v>
      </c>
      <c r="C51" s="388"/>
      <c r="D51" s="391">
        <f t="shared" si="0"/>
        <v>24.285526713619806</v>
      </c>
      <c r="E51" s="383">
        <f t="shared" si="1"/>
        <v>27.228301959784829</v>
      </c>
      <c r="F51" s="383">
        <f t="shared" si="2"/>
        <v>27.228701626895671</v>
      </c>
      <c r="G51" s="110">
        <f t="shared" si="21"/>
        <v>0.69495492959286809</v>
      </c>
      <c r="H51" s="412" t="b">
        <f>Wh_hp&gt;='2021'!Maxi_hp</f>
        <v>0</v>
      </c>
      <c r="I51" s="379">
        <f>IF(H51,Wh_hp,'2021'!Maxi_hp)</f>
        <v>41.004542581463518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2.0898320205473331E-2</v>
      </c>
      <c r="M51" s="832"/>
      <c r="N51" s="832"/>
      <c r="O51" s="48">
        <f>IF(t&lt;Tnet,'2021'!Resal+('2021'!Salim-'2021'!Resal)*(1-EXP(('2021'!Tnet-t)/('2021'!Tau_j))),Resal+(Salim-Resal)*(1-EXP((Tnet-t)/(Tau_j))))*Salcycl</f>
        <v>0.10807781001222151</v>
      </c>
      <c r="P51" s="169">
        <f>(INDEX(Models!$BJ51:$BT51,,T51)*(1-R51)+INDEX(Models!$BJ51:$BT51,,T51+1)*R51-ERP_i)*Q51*Ramure*Pc/MaxiM</f>
        <v>2.6014370205202304E-5</v>
      </c>
      <c r="Q51" s="304">
        <f t="shared" si="4"/>
        <v>0.6</v>
      </c>
      <c r="R51" s="177">
        <f t="shared" si="5"/>
        <v>1.463653107200574E-3</v>
      </c>
      <c r="S51" s="799">
        <f t="shared" si="6"/>
        <v>0</v>
      </c>
      <c r="T51" s="176">
        <f t="shared" si="7"/>
        <v>6</v>
      </c>
      <c r="U51" s="250">
        <f t="shared" si="8"/>
        <v>1.463653107200574E-3</v>
      </c>
      <c r="V51" s="382">
        <f t="shared" si="9"/>
        <v>34.214780600887458</v>
      </c>
      <c r="W51" s="400"/>
      <c r="X51" s="157">
        <f t="shared" si="10"/>
        <v>44598</v>
      </c>
      <c r="Y51" s="383">
        <f t="shared" si="11"/>
        <v>23.778000000000002</v>
      </c>
      <c r="Z51" s="383">
        <f t="shared" si="12"/>
        <v>24.285526713619806</v>
      </c>
      <c r="AA51" s="384">
        <f t="shared" si="13"/>
        <v>27.228301959784829</v>
      </c>
      <c r="AB51" s="197">
        <f t="shared" si="14"/>
        <v>44598</v>
      </c>
      <c r="AC51" s="119">
        <f>IF(OR(t&lt;Tnet,NoTnet),'2021'!Resal_s+('2021'!Salim-'2021'!Resal_s)*(1-EXP(('2021'!Tnet_s-t)/'2021'!Tau_j)),Resal_s+(Salim-Resal_s)*(1-EXP((Tnet_s-t)/Tau_j)))*Salcycl</f>
        <v>0.10807781001222151</v>
      </c>
      <c r="AD51" s="230">
        <f>(INDEX(Models!$BJ51:$BT51,,AH51)*(1-AF51)+INDEX(Models!$BJ51:$BT51,,AH51+1)*AF51-ERP_i)*AE51*Ramure*Pc/MaxiM</f>
        <v>2.6014370205202304E-5</v>
      </c>
      <c r="AE51" s="304">
        <f t="shared" si="15"/>
        <v>0.6</v>
      </c>
      <c r="AF51" s="177">
        <f t="shared" si="22"/>
        <v>1.463653107200574E-3</v>
      </c>
      <c r="AG51" s="799">
        <f t="shared" si="23"/>
        <v>0</v>
      </c>
      <c r="AH51" s="176">
        <f t="shared" si="16"/>
        <v>6</v>
      </c>
      <c r="AI51" s="224">
        <f t="shared" si="17"/>
        <v>1.463653107200574E-3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44599</v>
      </c>
      <c r="B52" s="607">
        <v>8.5299999999999994</v>
      </c>
      <c r="C52" s="388"/>
      <c r="D52" s="391">
        <f t="shared" si="0"/>
        <v>8.7122345458820529</v>
      </c>
      <c r="E52" s="383">
        <f t="shared" si="1"/>
        <v>9.7689911846394715</v>
      </c>
      <c r="F52" s="383">
        <f t="shared" si="2"/>
        <v>9.7689911846394715</v>
      </c>
      <c r="G52" s="110">
        <f t="shared" si="21"/>
        <v>0.24696651291799793</v>
      </c>
      <c r="H52" s="412" t="b">
        <f>Wh_hp&gt;='2021'!Maxi_hp</f>
        <v>0</v>
      </c>
      <c r="I52" s="379">
        <f>IF(H52,Wh_hp,'2021'!Maxi_hp)</f>
        <v>27.6544109096825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2.0917084465797542E-2</v>
      </c>
      <c r="M52" s="832"/>
      <c r="N52" s="832"/>
      <c r="O52" s="48">
        <f>IF(t&lt;Tnet,'2021'!Resal+('2021'!Salim-'2021'!Resal)*(1-EXP(('2021'!Tnet-t)/('2021'!Tau_j))),Resal+(Salim-Resal)*(1-EXP((Tnet-t)/(Tau_j))))*Salcycl</f>
        <v>0.10817459231809307</v>
      </c>
      <c r="P52" s="169">
        <f>(INDEX(Models!$BJ52:$BT52,,T52)*(1-R52)+INDEX(Models!$BJ52:$BT52,,T52+1)*R52-ERP_i)*Q52*Ramure*Pc/MaxiM</f>
        <v>2.5367146991441076E-5</v>
      </c>
      <c r="Q52" s="304">
        <f t="shared" si="4"/>
        <v>0.6</v>
      </c>
      <c r="R52" s="177">
        <f t="shared" si="5"/>
        <v>1.590693442102041E-3</v>
      </c>
      <c r="S52" s="799">
        <f t="shared" si="6"/>
        <v>0</v>
      </c>
      <c r="T52" s="176">
        <f t="shared" si="7"/>
        <v>6</v>
      </c>
      <c r="U52" s="250">
        <f t="shared" si="8"/>
        <v>1.590693442102041E-3</v>
      </c>
      <c r="V52" s="382">
        <f t="shared" si="9"/>
        <v>34.538219443007513</v>
      </c>
      <c r="W52" s="400"/>
      <c r="X52" s="157">
        <f t="shared" si="10"/>
        <v>44599</v>
      </c>
      <c r="Y52" s="383">
        <f t="shared" si="11"/>
        <v>8.5299999999999994</v>
      </c>
      <c r="Z52" s="383">
        <f t="shared" si="12"/>
        <v>8.7122345458820529</v>
      </c>
      <c r="AA52" s="384">
        <f t="shared" si="13"/>
        <v>9.7689911846394715</v>
      </c>
      <c r="AB52" s="197">
        <f t="shared" si="14"/>
        <v>44599</v>
      </c>
      <c r="AC52" s="119">
        <f>IF(OR(t&lt;Tnet,NoTnet),'2021'!Resal_s+('2021'!Salim-'2021'!Resal_s)*(1-EXP(('2021'!Tnet_s-t)/'2021'!Tau_j)),Resal_s+(Salim-Resal_s)*(1-EXP((Tnet_s-t)/Tau_j)))*Salcycl</f>
        <v>0.10817459231809307</v>
      </c>
      <c r="AD52" s="230">
        <f>(INDEX(Models!$BJ52:$BT52,,AH52)*(1-AF52)+INDEX(Models!$BJ52:$BT52,,AH52+1)*AF52-ERP_i)*AE52*Ramure*Pc/MaxiM</f>
        <v>2.5367146991441076E-5</v>
      </c>
      <c r="AE52" s="304">
        <f t="shared" si="15"/>
        <v>0.6</v>
      </c>
      <c r="AF52" s="177">
        <f t="shared" si="22"/>
        <v>1.590693442102041E-3</v>
      </c>
      <c r="AG52" s="799">
        <f t="shared" si="23"/>
        <v>0</v>
      </c>
      <c r="AH52" s="176">
        <f t="shared" si="16"/>
        <v>6</v>
      </c>
      <c r="AI52" s="224">
        <f t="shared" si="17"/>
        <v>1.590693442102041E-3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44600</v>
      </c>
      <c r="B53" s="607">
        <v>34.472000000000001</v>
      </c>
      <c r="C53" s="388"/>
      <c r="D53" s="391">
        <f t="shared" si="0"/>
        <v>35.209133071092637</v>
      </c>
      <c r="E53" s="383">
        <f t="shared" si="1"/>
        <v>39.484129798237369</v>
      </c>
      <c r="F53" s="383">
        <f t="shared" si="2"/>
        <v>39.485093112915379</v>
      </c>
      <c r="G53" s="110">
        <f t="shared" si="21"/>
        <v>0.98874464957521502</v>
      </c>
      <c r="H53" s="412" t="b">
        <f>Wh_hp&gt;='2021'!Maxi_hp</f>
        <v>1</v>
      </c>
      <c r="I53" s="379">
        <f>IF(H53,Wh_hp,'2021'!Maxi_hp)</f>
        <v>39.485093112915379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2.093584836650908E-2</v>
      </c>
      <c r="M53" s="832"/>
      <c r="N53" s="832"/>
      <c r="O53" s="48">
        <f>IF(t&lt;Tnet,'2021'!Resal+('2021'!Salim-'2021'!Resal)*(1-EXP(('2021'!Tnet-t)/('2021'!Tau_j))),Resal+(Salim-Resal)*(1-EXP((Tnet-t)/(Tau_j))))*Salcycl</f>
        <v>0.10827126617681146</v>
      </c>
      <c r="P53" s="169">
        <f>(INDEX(Models!$BJ53:$BT53,,T53)*(1-R53)+INDEX(Models!$BJ53:$BT53,,T53+1)*R53-ERP_i)*Q53*Ramure*Pc/MaxiM</f>
        <v>2.4795596732699907E-5</v>
      </c>
      <c r="Q53" s="304">
        <f t="shared" si="4"/>
        <v>0.6</v>
      </c>
      <c r="R53" s="177">
        <f t="shared" si="5"/>
        <v>1.7229944154683033E-3</v>
      </c>
      <c r="S53" s="799">
        <f t="shared" si="6"/>
        <v>0</v>
      </c>
      <c r="T53" s="176">
        <f t="shared" si="7"/>
        <v>6</v>
      </c>
      <c r="U53" s="250">
        <f t="shared" si="8"/>
        <v>1.7229944154683033E-3</v>
      </c>
      <c r="V53" s="382">
        <f t="shared" si="9"/>
        <v>34.864397265065179</v>
      </c>
      <c r="W53" s="400"/>
      <c r="X53" s="157">
        <f t="shared" si="10"/>
        <v>44600</v>
      </c>
      <c r="Y53" s="383">
        <f t="shared" si="11"/>
        <v>34.472000000000001</v>
      </c>
      <c r="Z53" s="383">
        <f t="shared" si="12"/>
        <v>35.209133071092637</v>
      </c>
      <c r="AA53" s="384">
        <f t="shared" si="13"/>
        <v>39.484129798237369</v>
      </c>
      <c r="AB53" s="197">
        <f t="shared" si="14"/>
        <v>44600</v>
      </c>
      <c r="AC53" s="119">
        <f>IF(OR(t&lt;Tnet,NoTnet),'2021'!Resal_s+('2021'!Salim-'2021'!Resal_s)*(1-EXP(('2021'!Tnet_s-t)/'2021'!Tau_j)),Resal_s+(Salim-Resal_s)*(1-EXP((Tnet_s-t)/Tau_j)))*Salcycl</f>
        <v>0.10827126617681146</v>
      </c>
      <c r="AD53" s="230">
        <f>(INDEX(Models!$BJ53:$BT53,,AH53)*(1-AF53)+INDEX(Models!$BJ53:$BT53,,AH53+1)*AF53-ERP_i)*AE53*Ramure*Pc/MaxiM</f>
        <v>2.4795596732699907E-5</v>
      </c>
      <c r="AE53" s="304">
        <f t="shared" si="15"/>
        <v>0.6</v>
      </c>
      <c r="AF53" s="177">
        <f t="shared" si="22"/>
        <v>1.7229944154683033E-3</v>
      </c>
      <c r="AG53" s="799">
        <f t="shared" si="23"/>
        <v>0</v>
      </c>
      <c r="AH53" s="176">
        <f t="shared" si="16"/>
        <v>6</v>
      </c>
      <c r="AI53" s="224">
        <f t="shared" si="17"/>
        <v>1.7229944154683033E-3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44601</v>
      </c>
      <c r="B54" s="607">
        <v>35.173999999999999</v>
      </c>
      <c r="C54" s="388"/>
      <c r="D54" s="391">
        <f t="shared" si="0"/>
        <v>35.926832839215507</v>
      </c>
      <c r="E54" s="383">
        <f t="shared" si="1"/>
        <v>40.293333608118274</v>
      </c>
      <c r="F54" s="383">
        <f t="shared" si="2"/>
        <v>40.294311941413838</v>
      </c>
      <c r="G54" s="110">
        <f t="shared" si="21"/>
        <v>0.99946721611230882</v>
      </c>
      <c r="H54" s="412" t="b">
        <f>Wh_hp&gt;='2021'!Maxi_hp</f>
        <v>1</v>
      </c>
      <c r="I54" s="379">
        <f>IF(H54,Wh_hp,'2021'!Maxi_hp)</f>
        <v>40.294311941413838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2.0954611907614717E-2</v>
      </c>
      <c r="M54" s="832"/>
      <c r="N54" s="832"/>
      <c r="O54" s="48">
        <f>IF(t&lt;Tnet,'2021'!Resal+('2021'!Salim-'2021'!Resal)*(1-EXP(('2021'!Tnet-t)/('2021'!Tau_j))),Resal+(Salim-Resal)*(1-EXP((Tnet-t)/(Tau_j))))*Salcycl</f>
        <v>0.10836782112321955</v>
      </c>
      <c r="P54" s="169">
        <f>(INDEX(Models!$BJ54:$BT54,,T54)*(1-R54)+INDEX(Models!$BJ54:$BT54,,T54+1)*R54-ERP_i)*Q54*Ramure*Pc/MaxiM</f>
        <v>2.4298180526789559E-5</v>
      </c>
      <c r="Q54" s="304">
        <f t="shared" si="4"/>
        <v>0.6</v>
      </c>
      <c r="R54" s="177">
        <f t="shared" si="5"/>
        <v>1.8607708740594358E-3</v>
      </c>
      <c r="S54" s="799">
        <f t="shared" si="6"/>
        <v>0</v>
      </c>
      <c r="T54" s="176">
        <f t="shared" si="7"/>
        <v>6</v>
      </c>
      <c r="U54" s="250">
        <f t="shared" si="8"/>
        <v>1.8607708740594358E-3</v>
      </c>
      <c r="V54" s="382">
        <f t="shared" si="9"/>
        <v>35.192749479391061</v>
      </c>
      <c r="W54" s="400"/>
      <c r="X54" s="157">
        <f t="shared" si="10"/>
        <v>44601</v>
      </c>
      <c r="Y54" s="383">
        <f t="shared" si="11"/>
        <v>35.173999999999999</v>
      </c>
      <c r="Z54" s="383">
        <f t="shared" si="12"/>
        <v>35.926832839215507</v>
      </c>
      <c r="AA54" s="384">
        <f t="shared" si="13"/>
        <v>40.293333608118274</v>
      </c>
      <c r="AB54" s="197">
        <f t="shared" si="14"/>
        <v>44601</v>
      </c>
      <c r="AC54" s="119">
        <f>IF(OR(t&lt;Tnet,NoTnet),'2021'!Resal_s+('2021'!Salim-'2021'!Resal_s)*(1-EXP(('2021'!Tnet_s-t)/'2021'!Tau_j)),Resal_s+(Salim-Resal_s)*(1-EXP((Tnet_s-t)/Tau_j)))*Salcycl</f>
        <v>0.10836782112321955</v>
      </c>
      <c r="AD54" s="230">
        <f>(INDEX(Models!$BJ54:$BT54,,AH54)*(1-AF54)+INDEX(Models!$BJ54:$BT54,,AH54+1)*AF54-ERP_i)*AE54*Ramure*Pc/MaxiM</f>
        <v>2.4298180526789559E-5</v>
      </c>
      <c r="AE54" s="304">
        <f t="shared" si="15"/>
        <v>0.6</v>
      </c>
      <c r="AF54" s="177">
        <f t="shared" si="22"/>
        <v>1.8607708740594358E-3</v>
      </c>
      <c r="AG54" s="799">
        <f t="shared" si="23"/>
        <v>0</v>
      </c>
      <c r="AH54" s="176">
        <f t="shared" si="16"/>
        <v>6</v>
      </c>
      <c r="AI54" s="224">
        <f t="shared" si="17"/>
        <v>1.8607708740594358E-3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44602</v>
      </c>
      <c r="B55" s="607">
        <v>32.977000000000004</v>
      </c>
      <c r="C55" s="388"/>
      <c r="D55" s="391">
        <f t="shared" si="0"/>
        <v>33.683455751779903</v>
      </c>
      <c r="E55" s="383">
        <f t="shared" si="1"/>
        <v>37.781385219496109</v>
      </c>
      <c r="F55" s="383">
        <f t="shared" si="2"/>
        <v>37.78219486426039</v>
      </c>
      <c r="G55" s="110">
        <f t="shared" si="21"/>
        <v>0.92833338746355532</v>
      </c>
      <c r="H55" s="412" t="b">
        <f>Wh_hp&gt;='2021'!Maxi_hp</f>
        <v>1</v>
      </c>
      <c r="I55" s="379">
        <f>IF(H55,Wh_hp,'2021'!Maxi_hp)</f>
        <v>37.78219486426039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2.0973375089121338E-2</v>
      </c>
      <c r="M55" s="832"/>
      <c r="N55" s="832"/>
      <c r="O55" s="48">
        <f>IF(t&lt;Tnet,'2021'!Resal+('2021'!Salim-'2021'!Resal)*(1-EXP(('2021'!Tnet-t)/('2021'!Tau_j))),Resal+(Salim-Resal)*(1-EXP((Tnet-t)/(Tau_j))))*Salcycl</f>
        <v>0.10846424618654731</v>
      </c>
      <c r="P55" s="169">
        <f>(INDEX(Models!$BJ55:$BT55,,T55)*(1-R55)+INDEX(Models!$BJ55:$BT55,,T55+1)*R55-ERP_i)*Q55*Ramure*Pc/MaxiM</f>
        <v>2.3873366354827642E-5</v>
      </c>
      <c r="Q55" s="304">
        <f t="shared" si="4"/>
        <v>0.6</v>
      </c>
      <c r="R55" s="177">
        <f t="shared" si="5"/>
        <v>2.0042461847219429E-3</v>
      </c>
      <c r="S55" s="799">
        <f t="shared" si="6"/>
        <v>0</v>
      </c>
      <c r="T55" s="176">
        <f t="shared" si="7"/>
        <v>6</v>
      </c>
      <c r="U55" s="250">
        <f t="shared" si="8"/>
        <v>2.0042461847219429E-3</v>
      </c>
      <c r="V55" s="382">
        <f t="shared" si="9"/>
        <v>35.522711823744224</v>
      </c>
      <c r="W55" s="400"/>
      <c r="X55" s="157">
        <f t="shared" si="10"/>
        <v>44602</v>
      </c>
      <c r="Y55" s="383">
        <f t="shared" si="11"/>
        <v>32.977000000000004</v>
      </c>
      <c r="Z55" s="383">
        <f t="shared" si="12"/>
        <v>33.683455751779903</v>
      </c>
      <c r="AA55" s="384">
        <f t="shared" si="13"/>
        <v>37.781385219496109</v>
      </c>
      <c r="AB55" s="197">
        <f t="shared" si="14"/>
        <v>44602</v>
      </c>
      <c r="AC55" s="119">
        <f>IF(OR(t&lt;Tnet,NoTnet),'2021'!Resal_s+('2021'!Salim-'2021'!Resal_s)*(1-EXP(('2021'!Tnet_s-t)/'2021'!Tau_j)),Resal_s+(Salim-Resal_s)*(1-EXP((Tnet_s-t)/Tau_j)))*Salcycl</f>
        <v>0.10846424618654731</v>
      </c>
      <c r="AD55" s="230">
        <f>(INDEX(Models!$BJ55:$BT55,,AH55)*(1-AF55)+INDEX(Models!$BJ55:$BT55,,AH55+1)*AF55-ERP_i)*AE55*Ramure*Pc/MaxiM</f>
        <v>2.3873366354827642E-5</v>
      </c>
      <c r="AE55" s="304">
        <f t="shared" si="15"/>
        <v>0.6</v>
      </c>
      <c r="AF55" s="177">
        <f t="shared" si="22"/>
        <v>2.0042461847219429E-3</v>
      </c>
      <c r="AG55" s="799">
        <f t="shared" si="23"/>
        <v>0</v>
      </c>
      <c r="AH55" s="176">
        <f t="shared" si="16"/>
        <v>6</v>
      </c>
      <c r="AI55" s="224">
        <f t="shared" si="17"/>
        <v>2.0042461847219429E-3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44603</v>
      </c>
      <c r="B56" s="607">
        <v>16.298999999999999</v>
      </c>
      <c r="C56" s="388"/>
      <c r="D56" s="391">
        <f t="shared" si="0"/>
        <v>16.648487342299692</v>
      </c>
      <c r="E56" s="383">
        <f t="shared" si="1"/>
        <v>18.675959392947824</v>
      </c>
      <c r="F56" s="383">
        <f t="shared" si="2"/>
        <v>18.676056403593478</v>
      </c>
      <c r="G56" s="110">
        <f t="shared" si="21"/>
        <v>0.45458884472051131</v>
      </c>
      <c r="H56" s="412" t="b">
        <f>Wh_hp&gt;='2021'!Maxi_hp</f>
        <v>0</v>
      </c>
      <c r="I56" s="379">
        <f>IF(H56,Wh_hp,'2021'!Maxi_hp)</f>
        <v>35.249540811228528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2.0992137911035935E-2</v>
      </c>
      <c r="M56" s="832"/>
      <c r="N56" s="832"/>
      <c r="O56" s="48">
        <f>IF(t&lt;Tnet,'2021'!Resal+('2021'!Salim-'2021'!Resal)*(1-EXP(('2021'!Tnet-t)/('2021'!Tau_j))),Resal+(Salim-Resal)*(1-EXP((Tnet-t)/(Tau_j))))*Salcycl</f>
        <v>0.10856053003701226</v>
      </c>
      <c r="P56" s="169">
        <f>(INDEX(Models!$BJ56:$BT56,,T56)*(1-R56)+INDEX(Models!$BJ56:$BT56,,T56+1)*R56-ERP_i)*Q56*Ramure*Pc/MaxiM</f>
        <v>2.3519641813464476E-5</v>
      </c>
      <c r="Q56" s="304">
        <f t="shared" si="4"/>
        <v>0.6</v>
      </c>
      <c r="R56" s="177">
        <f t="shared" si="5"/>
        <v>2.1536525505831483E-3</v>
      </c>
      <c r="S56" s="799">
        <f t="shared" si="6"/>
        <v>0</v>
      </c>
      <c r="T56" s="176">
        <f t="shared" si="7"/>
        <v>6</v>
      </c>
      <c r="U56" s="250">
        <f t="shared" si="8"/>
        <v>2.1536525505831483E-3</v>
      </c>
      <c r="V56" s="382">
        <f t="shared" si="9"/>
        <v>35.853720354982507</v>
      </c>
      <c r="W56" s="400"/>
      <c r="X56" s="157">
        <f t="shared" si="10"/>
        <v>44603</v>
      </c>
      <c r="Y56" s="383">
        <f t="shared" si="11"/>
        <v>16.298999999999999</v>
      </c>
      <c r="Z56" s="383">
        <f t="shared" si="12"/>
        <v>16.648487342299692</v>
      </c>
      <c r="AA56" s="384">
        <f t="shared" si="13"/>
        <v>18.675959392947824</v>
      </c>
      <c r="AB56" s="197">
        <f t="shared" si="14"/>
        <v>44603</v>
      </c>
      <c r="AC56" s="119">
        <f>IF(OR(t&lt;Tnet,NoTnet),'2021'!Resal_s+('2021'!Salim-'2021'!Resal_s)*(1-EXP(('2021'!Tnet_s-t)/'2021'!Tau_j)),Resal_s+(Salim-Resal_s)*(1-EXP((Tnet_s-t)/Tau_j)))*Salcycl</f>
        <v>0.10856053003701226</v>
      </c>
      <c r="AD56" s="230">
        <f>(INDEX(Models!$BJ56:$BT56,,AH56)*(1-AF56)+INDEX(Models!$BJ56:$BT56,,AH56+1)*AF56-ERP_i)*AE56*Ramure*Pc/MaxiM</f>
        <v>2.3519641813464476E-5</v>
      </c>
      <c r="AE56" s="304">
        <f t="shared" si="15"/>
        <v>0.6</v>
      </c>
      <c r="AF56" s="177">
        <f t="shared" si="22"/>
        <v>2.1536525505831483E-3</v>
      </c>
      <c r="AG56" s="799">
        <f t="shared" si="23"/>
        <v>0</v>
      </c>
      <c r="AH56" s="176">
        <f t="shared" si="16"/>
        <v>6</v>
      </c>
      <c r="AI56" s="224">
        <f t="shared" si="17"/>
        <v>2.1536525505831483E-3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44604</v>
      </c>
      <c r="B57" s="607">
        <v>26.494</v>
      </c>
      <c r="C57" s="388"/>
      <c r="D57" s="391">
        <f t="shared" si="0"/>
        <v>27.06260979831567</v>
      </c>
      <c r="E57" s="383">
        <f t="shared" si="1"/>
        <v>30.361599866743337</v>
      </c>
      <c r="F57" s="383">
        <f t="shared" si="2"/>
        <v>30.36203542631517</v>
      </c>
      <c r="G57" s="110">
        <f t="shared" si="21"/>
        <v>0.73217105576861008</v>
      </c>
      <c r="H57" s="412" t="b">
        <f>Wh_hp&gt;='2021'!Maxi_hp</f>
        <v>1</v>
      </c>
      <c r="I57" s="379">
        <f>IF(H57,Wh_hp,'2021'!Maxi_hp)</f>
        <v>30.36203542631517</v>
      </c>
      <c r="J57" s="85">
        <f>IF(H57,An,'2021'!An_max)</f>
        <v>2022</v>
      </c>
      <c r="K57" s="197">
        <f t="shared" si="3"/>
        <v>44604</v>
      </c>
      <c r="L57" s="147">
        <f>IF(t&lt;Tvie,1-EXP((T0-t)*PertePVj)+'2021'!Pspv,1-EXP((T0-t)*PertePVj)+Pspv)</f>
        <v>2.1010900373365282E-2</v>
      </c>
      <c r="M57" s="832"/>
      <c r="N57" s="832"/>
      <c r="O57" s="48">
        <f>IF(t&lt;Tnet,'2021'!Resal+('2021'!Salim-'2021'!Resal)*(1-EXP(('2021'!Tnet-t)/('2021'!Tau_j))),Resal+(Salim-Resal)*(1-EXP((Tnet-t)/(Tau_j))))*Salcycl</f>
        <v>0.10865666114127358</v>
      </c>
      <c r="P57" s="169">
        <f>(INDEX(Models!$BJ57:$BT57,,T57)*(1-R57)+INDEX(Models!$BJ57:$BT57,,T57+1)*R57-ERP_i)*Q57*Ramure*Pc/MaxiM</f>
        <v>2.3235525627084979E-5</v>
      </c>
      <c r="Q57" s="304">
        <f t="shared" si="4"/>
        <v>0.6</v>
      </c>
      <c r="R57" s="177">
        <f t="shared" si="5"/>
        <v>2.30923133710599E-3</v>
      </c>
      <c r="S57" s="799">
        <f t="shared" si="6"/>
        <v>0</v>
      </c>
      <c r="T57" s="176">
        <f t="shared" si="7"/>
        <v>6</v>
      </c>
      <c r="U57" s="250">
        <f t="shared" si="8"/>
        <v>2.30923133710599E-3</v>
      </c>
      <c r="V57" s="382">
        <f t="shared" si="9"/>
        <v>36.185211442612975</v>
      </c>
      <c r="W57" s="400"/>
      <c r="X57" s="157">
        <f t="shared" si="10"/>
        <v>44604</v>
      </c>
      <c r="Y57" s="383">
        <f t="shared" si="11"/>
        <v>26.494</v>
      </c>
      <c r="Z57" s="383">
        <f t="shared" si="12"/>
        <v>27.06260979831567</v>
      </c>
      <c r="AA57" s="384">
        <f t="shared" si="13"/>
        <v>30.361599866743337</v>
      </c>
      <c r="AB57" s="197">
        <f t="shared" si="14"/>
        <v>44604</v>
      </c>
      <c r="AC57" s="119">
        <f>IF(OR(t&lt;Tnet,NoTnet),'2021'!Resal_s+('2021'!Salim-'2021'!Resal_s)*(1-EXP(('2021'!Tnet_s-t)/'2021'!Tau_j)),Resal_s+(Salim-Resal_s)*(1-EXP((Tnet_s-t)/Tau_j)))*Salcycl</f>
        <v>0.10865666114127358</v>
      </c>
      <c r="AD57" s="230">
        <f>(INDEX(Models!$BJ57:$BT57,,AH57)*(1-AF57)+INDEX(Models!$BJ57:$BT57,,AH57+1)*AF57-ERP_i)*AE57*Ramure*Pc/MaxiM</f>
        <v>2.3235525627084979E-5</v>
      </c>
      <c r="AE57" s="304">
        <f t="shared" si="15"/>
        <v>0.6</v>
      </c>
      <c r="AF57" s="177">
        <f t="shared" si="22"/>
        <v>2.30923133710599E-3</v>
      </c>
      <c r="AG57" s="799">
        <f t="shared" si="23"/>
        <v>0</v>
      </c>
      <c r="AH57" s="176">
        <f t="shared" si="16"/>
        <v>6</v>
      </c>
      <c r="AI57" s="224">
        <f t="shared" si="17"/>
        <v>2.30923133710599E-3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44605</v>
      </c>
      <c r="B58" s="607">
        <v>32.99</v>
      </c>
      <c r="C58" s="388"/>
      <c r="D58" s="391">
        <f t="shared" si="0"/>
        <v>33.698671691567114</v>
      </c>
      <c r="E58" s="383">
        <f t="shared" si="1"/>
        <v>37.810682810888899</v>
      </c>
      <c r="F58" s="383">
        <f t="shared" si="2"/>
        <v>37.811432491234164</v>
      </c>
      <c r="G58" s="110">
        <f t="shared" si="21"/>
        <v>0.90342132094265237</v>
      </c>
      <c r="H58" s="412" t="b">
        <f>Wh_hp&gt;='2021'!Maxi_hp</f>
        <v>1</v>
      </c>
      <c r="I58" s="379">
        <f>IF(H58,Wh_hp,'2021'!Maxi_hp)</f>
        <v>37.811432491234164</v>
      </c>
      <c r="J58" s="85">
        <f>IF(H58,An,'2021'!An_max)</f>
        <v>2022</v>
      </c>
      <c r="K58" s="197">
        <f t="shared" si="3"/>
        <v>44605</v>
      </c>
      <c r="L58" s="147">
        <f>IF(t&lt;Tvie,1-EXP((T0-t)*PertePVj)+'2021'!Pspv,1-EXP((T0-t)*PertePVj)+Pspv)</f>
        <v>2.1029662476116262E-2</v>
      </c>
      <c r="M58" s="832"/>
      <c r="N58" s="832"/>
      <c r="O58" s="48">
        <f>IF(t&lt;Tnet,'2021'!Resal+('2021'!Salim-'2021'!Resal)*(1-EXP(('2021'!Tnet-t)/('2021'!Tau_j))),Resal+(Salim-Resal)*(1-EXP((Tnet-t)/(Tau_j))))*Salcycl</f>
        <v>0.1087526279249733</v>
      </c>
      <c r="P58" s="169">
        <f>(INDEX(Models!$BJ58:$BT58,,T58)*(1-R58)+INDEX(Models!$BJ58:$BT58,,T58+1)*R58-ERP_i)*Q58*Ramure*Pc/MaxiM</f>
        <v>2.3000025599734111E-5</v>
      </c>
      <c r="Q58" s="304">
        <f t="shared" si="4"/>
        <v>0.6</v>
      </c>
      <c r="R58" s="177">
        <f t="shared" si="5"/>
        <v>2.4712334081451724E-3</v>
      </c>
      <c r="S58" s="799">
        <f t="shared" si="6"/>
        <v>0</v>
      </c>
      <c r="T58" s="176">
        <f t="shared" si="7"/>
        <v>6</v>
      </c>
      <c r="U58" s="250">
        <f t="shared" si="8"/>
        <v>2.4712334081451724E-3</v>
      </c>
      <c r="V58" s="382">
        <f t="shared" si="9"/>
        <v>36.516622476148676</v>
      </c>
      <c r="W58" s="400"/>
      <c r="X58" s="157">
        <f t="shared" si="10"/>
        <v>44605</v>
      </c>
      <c r="Y58" s="383">
        <f t="shared" si="11"/>
        <v>32.99</v>
      </c>
      <c r="Z58" s="383">
        <f t="shared" si="12"/>
        <v>33.698671691567114</v>
      </c>
      <c r="AA58" s="384">
        <f t="shared" si="13"/>
        <v>37.810682810888899</v>
      </c>
      <c r="AB58" s="197">
        <f t="shared" si="14"/>
        <v>44605</v>
      </c>
      <c r="AC58" s="119">
        <f>IF(OR(t&lt;Tnet,NoTnet),'2021'!Resal_s+('2021'!Salim-'2021'!Resal_s)*(1-EXP(('2021'!Tnet_s-t)/'2021'!Tau_j)),Resal_s+(Salim-Resal_s)*(1-EXP((Tnet_s-t)/Tau_j)))*Salcycl</f>
        <v>0.1087526279249733</v>
      </c>
      <c r="AD58" s="230">
        <f>(INDEX(Models!$BJ58:$BT58,,AH58)*(1-AF58)+INDEX(Models!$BJ58:$BT58,,AH58+1)*AF58-ERP_i)*AE58*Ramure*Pc/MaxiM</f>
        <v>2.3000025599734111E-5</v>
      </c>
      <c r="AE58" s="304">
        <f t="shared" si="15"/>
        <v>0.6</v>
      </c>
      <c r="AF58" s="177">
        <f t="shared" si="22"/>
        <v>2.4712334081451724E-3</v>
      </c>
      <c r="AG58" s="799">
        <f t="shared" si="23"/>
        <v>0</v>
      </c>
      <c r="AH58" s="176">
        <f t="shared" si="16"/>
        <v>6</v>
      </c>
      <c r="AI58" s="224">
        <f t="shared" si="17"/>
        <v>2.4712334081451724E-3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44606</v>
      </c>
      <c r="B59" s="607">
        <v>14.518000000000001</v>
      </c>
      <c r="C59" s="388"/>
      <c r="D59" s="391">
        <f t="shared" si="0"/>
        <v>14.830151316138434</v>
      </c>
      <c r="E59" s="383">
        <f t="shared" si="1"/>
        <v>16.641558665595003</v>
      </c>
      <c r="F59" s="383">
        <f t="shared" si="2"/>
        <v>16.641609441650239</v>
      </c>
      <c r="G59" s="110">
        <f t="shared" si="21"/>
        <v>0.39399569244881016</v>
      </c>
      <c r="H59" s="412" t="b">
        <f>Wh_hp&gt;='2021'!Maxi_hp</f>
        <v>0</v>
      </c>
      <c r="I59" s="379">
        <f>IF(H59,Wh_hp,'2021'!Maxi_hp)</f>
        <v>40.693105086860676</v>
      </c>
      <c r="J59" s="85">
        <f>IF(H59,An,'2021'!An_max)</f>
        <v>2021</v>
      </c>
      <c r="K59" s="197">
        <f t="shared" si="3"/>
        <v>44606</v>
      </c>
      <c r="L59" s="147">
        <f>IF(t&lt;Tvie,1-EXP((T0-t)*PertePVj)+'2021'!Pspv,1-EXP((T0-t)*PertePVj)+Pspv)</f>
        <v>2.104842421929598E-2</v>
      </c>
      <c r="M59" s="832"/>
      <c r="N59" s="832"/>
      <c r="O59" s="48">
        <f>IF(t&lt;Tnet,'2021'!Resal+('2021'!Salim-'2021'!Resal)*(1-EXP(('2021'!Tnet-t)/('2021'!Tau_j))),Resal+(Salim-Resal)*(1-EXP((Tnet-t)/(Tau_j))))*Salcycl</f>
        <v>0.10884841894055873</v>
      </c>
      <c r="P59" s="169">
        <f>(INDEX(Models!$BJ59:$BT59,,T59)*(1-R59)+INDEX(Models!$BJ59:$BT59,,T59+1)*R59-ERP_i)*Q59*Ramure*Pc/MaxiM</f>
        <v>2.2720501608794702E-5</v>
      </c>
      <c r="Q59" s="304">
        <f t="shared" si="4"/>
        <v>0.6</v>
      </c>
      <c r="R59" s="177">
        <f t="shared" si="5"/>
        <v>2.6399194721268755E-3</v>
      </c>
      <c r="S59" s="799">
        <f t="shared" si="6"/>
        <v>0</v>
      </c>
      <c r="T59" s="176">
        <f t="shared" si="7"/>
        <v>6</v>
      </c>
      <c r="U59" s="250">
        <f t="shared" si="8"/>
        <v>2.6399194721268755E-3</v>
      </c>
      <c r="V59" s="382">
        <f t="shared" si="9"/>
        <v>36.847393810976136</v>
      </c>
      <c r="W59" s="400"/>
      <c r="X59" s="157">
        <f t="shared" si="10"/>
        <v>44606</v>
      </c>
      <c r="Y59" s="383">
        <f t="shared" si="11"/>
        <v>14.517999999999999</v>
      </c>
      <c r="Z59" s="383">
        <f t="shared" si="12"/>
        <v>14.830151316138432</v>
      </c>
      <c r="AA59" s="384">
        <f t="shared" si="13"/>
        <v>16.641558665595003</v>
      </c>
      <c r="AB59" s="197">
        <f t="shared" si="14"/>
        <v>44606</v>
      </c>
      <c r="AC59" s="119">
        <f>IF(OR(t&lt;Tnet,NoTnet),'2021'!Resal_s+('2021'!Salim-'2021'!Resal_s)*(1-EXP(('2021'!Tnet_s-t)/'2021'!Tau_j)),Resal_s+(Salim-Resal_s)*(1-EXP((Tnet_s-t)/Tau_j)))*Salcycl</f>
        <v>0.10884841894055873</v>
      </c>
      <c r="AD59" s="230">
        <f>(INDEX(Models!$BJ59:$BT59,,AH59)*(1-AF59)+INDEX(Models!$BJ59:$BT59,,AH59+1)*AF59-ERP_i)*AE59*Ramure*Pc/MaxiM</f>
        <v>2.2720501608794702E-5</v>
      </c>
      <c r="AE59" s="304">
        <f t="shared" si="15"/>
        <v>0.6</v>
      </c>
      <c r="AF59" s="177">
        <f t="shared" si="22"/>
        <v>2.6399194721268755E-3</v>
      </c>
      <c r="AG59" s="799">
        <f t="shared" si="23"/>
        <v>0</v>
      </c>
      <c r="AH59" s="176">
        <f t="shared" si="16"/>
        <v>6</v>
      </c>
      <c r="AI59" s="224">
        <f t="shared" si="17"/>
        <v>2.6399194721268755E-3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44607</v>
      </c>
      <c r="B60" s="607">
        <v>18.457000000000001</v>
      </c>
      <c r="C60" s="388"/>
      <c r="D60" s="391">
        <f t="shared" si="0"/>
        <v>18.854205036907878</v>
      </c>
      <c r="E60" s="383">
        <f t="shared" si="1"/>
        <v>21.159394610877317</v>
      </c>
      <c r="F60" s="383">
        <f t="shared" si="2"/>
        <v>21.159527627749895</v>
      </c>
      <c r="G60" s="110">
        <f t="shared" si="21"/>
        <v>0.49645536564369325</v>
      </c>
      <c r="H60" s="412" t="b">
        <f>Wh_hp&gt;='2021'!Maxi_hp</f>
        <v>0</v>
      </c>
      <c r="I60" s="379">
        <f>IF(H60,Wh_hp,'2021'!Maxi_hp)</f>
        <v>42.120737329566786</v>
      </c>
      <c r="J60" s="85">
        <f>IF(H60,An,'2021'!An_max)</f>
        <v>2020</v>
      </c>
      <c r="K60" s="197">
        <f t="shared" si="3"/>
        <v>44607</v>
      </c>
      <c r="L60" s="147">
        <f>IF(t&lt;Tvie,1-EXP((T0-t)*PertePVj)+'2021'!Pspv,1-EXP((T0-t)*PertePVj)+Pspv)</f>
        <v>2.1067185602910987E-2</v>
      </c>
      <c r="M60" s="832"/>
      <c r="N60" s="832"/>
      <c r="O60" s="48">
        <f>IF(t&lt;Tnet,'2021'!Resal+('2021'!Salim-'2021'!Resal)*(1-EXP(('2021'!Tnet-t)/('2021'!Tau_j))),Resal+(Salim-Resal)*(1-EXP((Tnet-t)/(Tau_j))))*Salcycl</f>
        <v>0.10894402303856182</v>
      </c>
      <c r="P60" s="169">
        <f>(INDEX(Models!$BJ60:$BT60,,T60)*(1-R60)+INDEX(Models!$BJ60:$BT60,,T60+1)*R60-ERP_i)*Q60*Ramure*Pc/MaxiM</f>
        <v>2.2398411897751317E-5</v>
      </c>
      <c r="Q60" s="304">
        <f t="shared" si="4"/>
        <v>0.6</v>
      </c>
      <c r="R60" s="177">
        <f t="shared" si="5"/>
        <v>2.8155604384573151E-3</v>
      </c>
      <c r="S60" s="799">
        <f t="shared" si="6"/>
        <v>0</v>
      </c>
      <c r="T60" s="176">
        <f t="shared" si="7"/>
        <v>6</v>
      </c>
      <c r="U60" s="250">
        <f t="shared" si="8"/>
        <v>2.8155604384573151E-3</v>
      </c>
      <c r="V60" s="382">
        <f t="shared" si="9"/>
        <v>37.176962715395902</v>
      </c>
      <c r="W60" s="400"/>
      <c r="X60" s="157">
        <f t="shared" si="10"/>
        <v>44607</v>
      </c>
      <c r="Y60" s="383">
        <f t="shared" si="11"/>
        <v>18.457000000000001</v>
      </c>
      <c r="Z60" s="383">
        <f t="shared" si="12"/>
        <v>18.854205036907878</v>
      </c>
      <c r="AA60" s="384">
        <f t="shared" si="13"/>
        <v>21.159394610877317</v>
      </c>
      <c r="AB60" s="197">
        <f t="shared" si="14"/>
        <v>44607</v>
      </c>
      <c r="AC60" s="119">
        <f>IF(OR(t&lt;Tnet,NoTnet),'2021'!Resal_s+('2021'!Salim-'2021'!Resal_s)*(1-EXP(('2021'!Tnet_s-t)/'2021'!Tau_j)),Resal_s+(Salim-Resal_s)*(1-EXP((Tnet_s-t)/Tau_j)))*Salcycl</f>
        <v>0.10894402303856182</v>
      </c>
      <c r="AD60" s="230">
        <f>(INDEX(Models!$BJ60:$BT60,,AH60)*(1-AF60)+INDEX(Models!$BJ60:$BT60,,AH60+1)*AF60-ERP_i)*AE60*Ramure*Pc/MaxiM</f>
        <v>2.2398411897751317E-5</v>
      </c>
      <c r="AE60" s="304">
        <f t="shared" si="15"/>
        <v>0.6</v>
      </c>
      <c r="AF60" s="177">
        <f t="shared" si="22"/>
        <v>2.8155604384573151E-3</v>
      </c>
      <c r="AG60" s="799">
        <f t="shared" si="23"/>
        <v>0</v>
      </c>
      <c r="AH60" s="176">
        <f t="shared" si="16"/>
        <v>6</v>
      </c>
      <c r="AI60" s="224">
        <f t="shared" si="17"/>
        <v>2.8155604384573151E-3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44608</v>
      </c>
      <c r="B61" s="607">
        <v>8.3160000000000007</v>
      </c>
      <c r="C61" s="388"/>
      <c r="D61" s="391">
        <f t="shared" si="0"/>
        <v>8.4951278116252062</v>
      </c>
      <c r="E61" s="383">
        <f t="shared" si="1"/>
        <v>9.5347965928998004</v>
      </c>
      <c r="F61" s="383">
        <f t="shared" si="2"/>
        <v>9.5347965928998004</v>
      </c>
      <c r="G61" s="110">
        <f t="shared" si="21"/>
        <v>0.22172692910704223</v>
      </c>
      <c r="H61" s="412" t="b">
        <f>Wh_hp&gt;='2021'!Maxi_hp</f>
        <v>0</v>
      </c>
      <c r="I61" s="379">
        <f>IF(H61,Wh_hp,'2021'!Maxi_hp)</f>
        <v>34.417893598161328</v>
      </c>
      <c r="J61" s="85">
        <f>IF(H61,An,'2021'!An_max)</f>
        <v>2021</v>
      </c>
      <c r="K61" s="197">
        <f t="shared" si="3"/>
        <v>44608</v>
      </c>
      <c r="L61" s="147">
        <f>IF(t&lt;Tvie,1-EXP((T0-t)*PertePVj)+'2021'!Pspv,1-EXP((T0-t)*PertePVj)+Pspv)</f>
        <v>2.1085946626968499E-2</v>
      </c>
      <c r="M61" s="832"/>
      <c r="N61" s="832"/>
      <c r="O61" s="48">
        <f>IF(t&lt;Tnet,'2021'!Resal+('2021'!Salim-'2021'!Resal)*(1-EXP(('2021'!Tnet-t)/('2021'!Tau_j))),Resal+(Salim-Resal)*(1-EXP((Tnet-t)/(Tau_j))))*Salcycl</f>
        <v>0.10903942954051013</v>
      </c>
      <c r="P61" s="169">
        <f>(INDEX(Models!$BJ61:$BT61,,T61)*(1-R61)+INDEX(Models!$BJ61:$BT61,,T61+1)*R61-ERP_i)*Q61*Ramure*Pc/MaxiM</f>
        <v>2.2035136260611232E-5</v>
      </c>
      <c r="Q61" s="304">
        <f t="shared" si="4"/>
        <v>0.6</v>
      </c>
      <c r="R61" s="177">
        <f t="shared" si="5"/>
        <v>2.998437784245394E-3</v>
      </c>
      <c r="S61" s="799">
        <f t="shared" si="6"/>
        <v>0</v>
      </c>
      <c r="T61" s="176">
        <f t="shared" si="7"/>
        <v>6</v>
      </c>
      <c r="U61" s="250">
        <f t="shared" si="8"/>
        <v>2.998437784245394E-3</v>
      </c>
      <c r="V61" s="382">
        <f t="shared" si="9"/>
        <v>37.504766738514945</v>
      </c>
      <c r="W61" s="400"/>
      <c r="X61" s="157">
        <f t="shared" si="10"/>
        <v>44608</v>
      </c>
      <c r="Y61" s="383">
        <f t="shared" si="11"/>
        <v>8.3160000000000007</v>
      </c>
      <c r="Z61" s="383">
        <f t="shared" si="12"/>
        <v>8.4951278116252062</v>
      </c>
      <c r="AA61" s="384">
        <f t="shared" si="13"/>
        <v>9.5347965928998004</v>
      </c>
      <c r="AB61" s="197">
        <f t="shared" si="14"/>
        <v>44608</v>
      </c>
      <c r="AC61" s="119">
        <f>IF(OR(t&lt;Tnet,NoTnet),'2021'!Resal_s+('2021'!Salim-'2021'!Resal_s)*(1-EXP(('2021'!Tnet_s-t)/'2021'!Tau_j)),Resal_s+(Salim-Resal_s)*(1-EXP((Tnet_s-t)/Tau_j)))*Salcycl</f>
        <v>0.10903942954051013</v>
      </c>
      <c r="AD61" s="230">
        <f>(INDEX(Models!$BJ61:$BT61,,AH61)*(1-AF61)+INDEX(Models!$BJ61:$BT61,,AH61+1)*AF61-ERP_i)*AE61*Ramure*Pc/MaxiM</f>
        <v>2.2035136260611232E-5</v>
      </c>
      <c r="AE61" s="304">
        <f t="shared" si="15"/>
        <v>0.6</v>
      </c>
      <c r="AF61" s="177">
        <f t="shared" si="22"/>
        <v>2.998437784245394E-3</v>
      </c>
      <c r="AG61" s="799">
        <f t="shared" si="23"/>
        <v>0</v>
      </c>
      <c r="AH61" s="176">
        <f t="shared" si="16"/>
        <v>6</v>
      </c>
      <c r="AI61" s="224">
        <f t="shared" si="17"/>
        <v>2.998437784245394E-3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44609</v>
      </c>
      <c r="B62" s="607">
        <v>10.488</v>
      </c>
      <c r="C62" s="388"/>
      <c r="D62" s="391">
        <f t="shared" si="0"/>
        <v>10.714118331267631</v>
      </c>
      <c r="E62" s="383">
        <f t="shared" si="1"/>
        <v>12.026641368005238</v>
      </c>
      <c r="F62" s="383">
        <f t="shared" si="2"/>
        <v>12.026641368005238</v>
      </c>
      <c r="G62" s="110">
        <f t="shared" si="21"/>
        <v>0.27723250229646823</v>
      </c>
      <c r="H62" s="412" t="b">
        <f>Wh_hp&gt;='2021'!Maxi_hp</f>
        <v>0</v>
      </c>
      <c r="I62" s="379">
        <f>IF(H62,Wh_hp,'2021'!Maxi_hp)</f>
        <v>38.835369308971607</v>
      </c>
      <c r="J62" s="85">
        <f>IF(H62,An,'2021'!An_max)</f>
        <v>2021</v>
      </c>
      <c r="K62" s="197">
        <f t="shared" si="3"/>
        <v>44609</v>
      </c>
      <c r="L62" s="147">
        <f>IF(t&lt;Tvie,1-EXP((T0-t)*PertePVj)+'2021'!Pspv,1-EXP((T0-t)*PertePVj)+Pspv)</f>
        <v>2.1104707291475178E-2</v>
      </c>
      <c r="M62" s="832"/>
      <c r="N62" s="832"/>
      <c r="O62" s="48">
        <f>IF(t&lt;Tnet,'2021'!Resal+('2021'!Salim-'2021'!Resal)*(1-EXP(('2021'!Tnet-t)/('2021'!Tau_j))),Resal+(Salim-Resal)*(1-EXP((Tnet-t)/(Tau_j))))*Salcycl</f>
        <v>0.10913462841166473</v>
      </c>
      <c r="P62" s="169">
        <f>(INDEX(Models!$BJ62:$BT62,,T62)*(1-R62)+INDEX(Models!$BJ62:$BT62,,T62+1)*R62-ERP_i)*Q62*Ramure*Pc/MaxiM</f>
        <v>2.163197474931012E-5</v>
      </c>
      <c r="Q62" s="304">
        <f t="shared" si="4"/>
        <v>0.6</v>
      </c>
      <c r="R62" s="177">
        <f t="shared" si="5"/>
        <v>3.1888439314017285E-3</v>
      </c>
      <c r="S62" s="799">
        <f t="shared" si="6"/>
        <v>0</v>
      </c>
      <c r="T62" s="176">
        <f t="shared" si="7"/>
        <v>6</v>
      </c>
      <c r="U62" s="250">
        <f t="shared" si="8"/>
        <v>3.1888439314017285E-3</v>
      </c>
      <c r="V62" s="382">
        <f t="shared" si="9"/>
        <v>37.830243701488371</v>
      </c>
      <c r="W62" s="400"/>
      <c r="X62" s="157">
        <f t="shared" si="10"/>
        <v>44609</v>
      </c>
      <c r="Y62" s="383">
        <f t="shared" si="11"/>
        <v>10.488</v>
      </c>
      <c r="Z62" s="383">
        <f t="shared" si="12"/>
        <v>10.714118331267631</v>
      </c>
      <c r="AA62" s="384">
        <f t="shared" si="13"/>
        <v>12.026641368005238</v>
      </c>
      <c r="AB62" s="197">
        <f t="shared" si="14"/>
        <v>44609</v>
      </c>
      <c r="AC62" s="119">
        <f>IF(OR(t&lt;Tnet,NoTnet),'2021'!Resal_s+('2021'!Salim-'2021'!Resal_s)*(1-EXP(('2021'!Tnet_s-t)/'2021'!Tau_j)),Resal_s+(Salim-Resal_s)*(1-EXP((Tnet_s-t)/Tau_j)))*Salcycl</f>
        <v>0.10913462841166473</v>
      </c>
      <c r="AD62" s="230">
        <f>(INDEX(Models!$BJ62:$BT62,,AH62)*(1-AF62)+INDEX(Models!$BJ62:$BT62,,AH62+1)*AF62-ERP_i)*AE62*Ramure*Pc/MaxiM</f>
        <v>2.163197474931012E-5</v>
      </c>
      <c r="AE62" s="304">
        <f t="shared" si="15"/>
        <v>0.6</v>
      </c>
      <c r="AF62" s="177">
        <f t="shared" si="22"/>
        <v>3.1888439314017285E-3</v>
      </c>
      <c r="AG62" s="799">
        <f t="shared" si="23"/>
        <v>0</v>
      </c>
      <c r="AH62" s="176">
        <f t="shared" si="16"/>
        <v>6</v>
      </c>
      <c r="AI62" s="224">
        <f t="shared" si="17"/>
        <v>3.1888439314017285E-3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44610</v>
      </c>
      <c r="B63" s="607">
        <v>29.753</v>
      </c>
      <c r="C63" s="388"/>
      <c r="D63" s="391">
        <f t="shared" si="0"/>
        <v>30.395048829032213</v>
      </c>
      <c r="E63" s="383">
        <f t="shared" si="1"/>
        <v>34.122203864193089</v>
      </c>
      <c r="F63" s="383">
        <f t="shared" si="2"/>
        <v>34.122699512103274</v>
      </c>
      <c r="G63" s="110">
        <f t="shared" si="21"/>
        <v>0.77983206982938635</v>
      </c>
      <c r="H63" s="412" t="b">
        <f>Wh_hp&gt;='2021'!Maxi_hp</f>
        <v>1</v>
      </c>
      <c r="I63" s="379">
        <f>IF(H63,Wh_hp,'2021'!Maxi_hp)</f>
        <v>34.122699512103274</v>
      </c>
      <c r="J63" s="85">
        <f>IF(H63,An,'2021'!An_max)</f>
        <v>2022</v>
      </c>
      <c r="K63" s="197">
        <f t="shared" si="3"/>
        <v>44610</v>
      </c>
      <c r="L63" s="147">
        <f>IF(t&lt;Tvie,1-EXP((T0-t)*PertePVj)+'2021'!Pspv,1-EXP((T0-t)*PertePVj)+Pspv)</f>
        <v>2.1123467596438017E-2</v>
      </c>
      <c r="M63" s="832"/>
      <c r="N63" s="832"/>
      <c r="O63" s="48">
        <f>IF(t&lt;Tnet,'2021'!Resal+('2021'!Salim-'2021'!Resal)*(1-EXP(('2021'!Tnet-t)/('2021'!Tau_j))),Resal+(Salim-Resal)*(1-EXP((Tnet-t)/(Tau_j))))*Salcycl</f>
        <v>0.1092296104318177</v>
      </c>
      <c r="P63" s="169">
        <f>(INDEX(Models!$BJ63:$BT63,,T63)*(1-R63)+INDEX(Models!$BJ63:$BT63,,T63+1)*R63-ERP_i)*Q63*Ramure*Pc/MaxiM</f>
        <v>2.1190146663656458E-5</v>
      </c>
      <c r="Q63" s="304">
        <f t="shared" si="4"/>
        <v>0.6</v>
      </c>
      <c r="R63" s="177">
        <f t="shared" si="5"/>
        <v>3.3870826341500003E-3</v>
      </c>
      <c r="S63" s="799">
        <f t="shared" si="6"/>
        <v>0</v>
      </c>
      <c r="T63" s="176">
        <f t="shared" si="7"/>
        <v>6</v>
      </c>
      <c r="U63" s="250">
        <f t="shared" si="8"/>
        <v>3.3870826341500003E-3</v>
      </c>
      <c r="V63" s="382">
        <f t="shared" si="9"/>
        <v>38.152831684916009</v>
      </c>
      <c r="W63" s="400"/>
      <c r="X63" s="157">
        <f t="shared" si="10"/>
        <v>44610</v>
      </c>
      <c r="Y63" s="383">
        <f t="shared" si="11"/>
        <v>29.753000000000004</v>
      </c>
      <c r="Z63" s="383">
        <f t="shared" si="12"/>
        <v>30.395048829032216</v>
      </c>
      <c r="AA63" s="384">
        <f t="shared" si="13"/>
        <v>34.122203864193089</v>
      </c>
      <c r="AB63" s="197">
        <f t="shared" si="14"/>
        <v>44610</v>
      </c>
      <c r="AC63" s="119">
        <f>IF(OR(t&lt;Tnet,NoTnet),'2021'!Resal_s+('2021'!Salim-'2021'!Resal_s)*(1-EXP(('2021'!Tnet_s-t)/'2021'!Tau_j)),Resal_s+(Salim-Resal_s)*(1-EXP((Tnet_s-t)/Tau_j)))*Salcycl</f>
        <v>0.1092296104318177</v>
      </c>
      <c r="AD63" s="230">
        <f>(INDEX(Models!$BJ63:$BT63,,AH63)*(1-AF63)+INDEX(Models!$BJ63:$BT63,,AH63+1)*AF63-ERP_i)*AE63*Ramure*Pc/MaxiM</f>
        <v>2.1190146663656458E-5</v>
      </c>
      <c r="AE63" s="304">
        <f t="shared" si="15"/>
        <v>0.6</v>
      </c>
      <c r="AF63" s="177">
        <f t="shared" si="22"/>
        <v>3.3870826341500003E-3</v>
      </c>
      <c r="AG63" s="799">
        <f t="shared" si="23"/>
        <v>0</v>
      </c>
      <c r="AH63" s="176">
        <f t="shared" si="16"/>
        <v>6</v>
      </c>
      <c r="AI63" s="224">
        <f t="shared" si="17"/>
        <v>3.3870826341500003E-3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44611</v>
      </c>
      <c r="B64" s="607">
        <v>17.905000000000001</v>
      </c>
      <c r="C64" s="388"/>
      <c r="D64" s="391">
        <f t="shared" si="0"/>
        <v>18.291727872821038</v>
      </c>
      <c r="E64" s="383">
        <f t="shared" si="1"/>
        <v>20.536912881127844</v>
      </c>
      <c r="F64" s="383">
        <f t="shared" si="2"/>
        <v>20.537013384665521</v>
      </c>
      <c r="G64" s="110">
        <f t="shared" si="21"/>
        <v>0.46539642369040157</v>
      </c>
      <c r="H64" s="412" t="b">
        <f>Wh_hp&gt;='2021'!Maxi_hp</f>
        <v>0</v>
      </c>
      <c r="I64" s="379">
        <f>IF(H64,Wh_hp,'2021'!Maxi_hp)</f>
        <v>41.255245253729655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2.1142227541863901E-2</v>
      </c>
      <c r="M64" s="832"/>
      <c r="N64" s="832"/>
      <c r="O64" s="48">
        <f>IF(t&lt;Tnet,'2021'!Resal+('2021'!Salim-'2021'!Resal)*(1-EXP(('2021'!Tnet-t)/('2021'!Tau_j))),Resal+(Salim-Resal)*(1-EXP((Tnet-t)/(Tau_j))))*Salcycl</f>
        <v>0.10932436736243796</v>
      </c>
      <c r="P64" s="169">
        <f>(INDEX(Models!$BJ64:$BT64,,T64)*(1-R64)+INDEX(Models!$BJ64:$BT64,,T64+1)*R64-ERP_i)*Q64*Ramure*Pc/MaxiM</f>
        <v>2.0710789724405675E-5</v>
      </c>
      <c r="Q64" s="304">
        <f t="shared" si="4"/>
        <v>0.6</v>
      </c>
      <c r="R64" s="177">
        <f t="shared" si="5"/>
        <v>3.5934693769589651E-3</v>
      </c>
      <c r="S64" s="799">
        <f t="shared" si="6"/>
        <v>0</v>
      </c>
      <c r="T64" s="176">
        <f t="shared" si="7"/>
        <v>6</v>
      </c>
      <c r="U64" s="250">
        <f t="shared" si="8"/>
        <v>3.5934693769589651E-3</v>
      </c>
      <c r="V64" s="382">
        <f t="shared" si="9"/>
        <v>38.471969021595569</v>
      </c>
      <c r="W64" s="400"/>
      <c r="X64" s="157">
        <f t="shared" si="10"/>
        <v>44611</v>
      </c>
      <c r="Y64" s="383">
        <f t="shared" si="11"/>
        <v>17.905000000000001</v>
      </c>
      <c r="Z64" s="383">
        <f t="shared" si="12"/>
        <v>18.291727872821038</v>
      </c>
      <c r="AA64" s="384">
        <f t="shared" si="13"/>
        <v>20.536912881127844</v>
      </c>
      <c r="AB64" s="197">
        <f t="shared" si="14"/>
        <v>44611</v>
      </c>
      <c r="AC64" s="119">
        <f>IF(OR(t&lt;Tnet,NoTnet),'2021'!Resal_s+('2021'!Salim-'2021'!Resal_s)*(1-EXP(('2021'!Tnet_s-t)/'2021'!Tau_j)),Resal_s+(Salim-Resal_s)*(1-EXP((Tnet_s-t)/Tau_j)))*Salcycl</f>
        <v>0.10932436736243796</v>
      </c>
      <c r="AD64" s="230">
        <f>(INDEX(Models!$BJ64:$BT64,,AH64)*(1-AF64)+INDEX(Models!$BJ64:$BT64,,AH64+1)*AF64-ERP_i)*AE64*Ramure*Pc/MaxiM</f>
        <v>2.0710789724405675E-5</v>
      </c>
      <c r="AE64" s="304">
        <f t="shared" si="15"/>
        <v>0.6</v>
      </c>
      <c r="AF64" s="177">
        <f t="shared" si="22"/>
        <v>3.5934693769589651E-3</v>
      </c>
      <c r="AG64" s="799">
        <f t="shared" si="23"/>
        <v>0</v>
      </c>
      <c r="AH64" s="176">
        <f t="shared" si="16"/>
        <v>6</v>
      </c>
      <c r="AI64" s="224">
        <f t="shared" si="17"/>
        <v>3.5934693769589651E-3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44612</v>
      </c>
      <c r="B65" s="607">
        <v>19.466000000000001</v>
      </c>
      <c r="C65" s="388"/>
      <c r="D65" s="391">
        <f t="shared" si="0"/>
        <v>19.886824844547483</v>
      </c>
      <c r="E65" s="383">
        <f t="shared" si="1"/>
        <v>22.330166975618017</v>
      </c>
      <c r="F65" s="383">
        <f t="shared" si="2"/>
        <v>22.330297010485058</v>
      </c>
      <c r="G65" s="110">
        <f t="shared" si="21"/>
        <v>0.50184516297167103</v>
      </c>
      <c r="H65" s="412" t="b">
        <f>Wh_hp&gt;='2021'!Maxi_hp</f>
        <v>0</v>
      </c>
      <c r="I65" s="379">
        <f>IF(H65,Wh_hp,'2021'!Maxi_hp)</f>
        <v>44.665553120035945</v>
      </c>
      <c r="J65" s="85">
        <f>IF(H65,An,'2021'!An_max)</f>
        <v>2020</v>
      </c>
      <c r="K65" s="197">
        <f t="shared" si="3"/>
        <v>44612</v>
      </c>
      <c r="L65" s="147">
        <f>IF(t&lt;Tvie,1-EXP((T0-t)*PertePVj)+'2021'!Pspv,1-EXP((T0-t)*PertePVj)+Pspv)</f>
        <v>2.1160987127759712E-2</v>
      </c>
      <c r="M65" s="832"/>
      <c r="N65" s="832"/>
      <c r="O65" s="48">
        <f>IF(t&lt;Tnet,'2021'!Resal+('2021'!Salim-'2021'!Resal)*(1-EXP(('2021'!Tnet-t)/('2021'!Tau_j))),Resal+(Salim-Resal)*(1-EXP((Tnet-t)/(Tau_j))))*Salcycl</f>
        <v>0.10941889210852657</v>
      </c>
      <c r="P65" s="169">
        <f>(INDEX(Models!$BJ65:$BT65,,T65)*(1-R65)+INDEX(Models!$BJ65:$BT65,,T65+1)*R65-ERP_i)*Q65*Ramure*Pc/MaxiM</f>
        <v>2.0194332112714286E-5</v>
      </c>
      <c r="Q65" s="304">
        <f t="shared" si="4"/>
        <v>0.6</v>
      </c>
      <c r="R65" s="177">
        <f t="shared" si="5"/>
        <v>3.8083317828692511E-3</v>
      </c>
      <c r="S65" s="799">
        <f t="shared" si="6"/>
        <v>0</v>
      </c>
      <c r="T65" s="176">
        <f t="shared" si="7"/>
        <v>6</v>
      </c>
      <c r="U65" s="250">
        <f t="shared" si="8"/>
        <v>3.8083317828692511E-3</v>
      </c>
      <c r="V65" s="382">
        <f t="shared" si="9"/>
        <v>38.788299035483284</v>
      </c>
      <c r="W65" s="400"/>
      <c r="X65" s="157">
        <f t="shared" si="10"/>
        <v>44612</v>
      </c>
      <c r="Y65" s="383">
        <f t="shared" si="11"/>
        <v>19.466000000000001</v>
      </c>
      <c r="Z65" s="383">
        <f t="shared" si="12"/>
        <v>19.886824844547483</v>
      </c>
      <c r="AA65" s="384">
        <f t="shared" si="13"/>
        <v>22.330166975618017</v>
      </c>
      <c r="AB65" s="197">
        <f t="shared" si="14"/>
        <v>44612</v>
      </c>
      <c r="AC65" s="119">
        <f>IF(OR(t&lt;Tnet,NoTnet),'2021'!Resal_s+('2021'!Salim-'2021'!Resal_s)*(1-EXP(('2021'!Tnet_s-t)/'2021'!Tau_j)),Resal_s+(Salim-Resal_s)*(1-EXP((Tnet_s-t)/Tau_j)))*Salcycl</f>
        <v>0.10941889210852657</v>
      </c>
      <c r="AD65" s="230">
        <f>(INDEX(Models!$BJ65:$BT65,,AH65)*(1-AF65)+INDEX(Models!$BJ65:$BT65,,AH65+1)*AF65-ERP_i)*AE65*Ramure*Pc/MaxiM</f>
        <v>2.0194332112714286E-5</v>
      </c>
      <c r="AE65" s="304">
        <f t="shared" si="15"/>
        <v>0.6</v>
      </c>
      <c r="AF65" s="177">
        <f t="shared" si="22"/>
        <v>3.8083317828692511E-3</v>
      </c>
      <c r="AG65" s="799">
        <f t="shared" si="23"/>
        <v>0</v>
      </c>
      <c r="AH65" s="176">
        <f t="shared" si="16"/>
        <v>6</v>
      </c>
      <c r="AI65" s="224">
        <f t="shared" si="17"/>
        <v>3.8083317828692511E-3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44613</v>
      </c>
      <c r="B66" s="607">
        <v>20.490000000000002</v>
      </c>
      <c r="C66" s="388"/>
      <c r="D66" s="391">
        <f t="shared" si="0"/>
        <v>20.933363325574568</v>
      </c>
      <c r="E66" s="383">
        <f t="shared" si="1"/>
        <v>23.507774431850834</v>
      </c>
      <c r="F66" s="383">
        <f t="shared" si="2"/>
        <v>23.507922443525114</v>
      </c>
      <c r="G66" s="110">
        <f t="shared" si="21"/>
        <v>0.5239950270281879</v>
      </c>
      <c r="H66" s="412" t="b">
        <f>Wh_hp&gt;='2021'!Maxi_hp</f>
        <v>1</v>
      </c>
      <c r="I66" s="379">
        <f>IF(H66,Wh_hp,'2021'!Maxi_hp)</f>
        <v>23.507922443525114</v>
      </c>
      <c r="J66" s="85">
        <f>IF(H66,An,'2021'!An_max)</f>
        <v>2022</v>
      </c>
      <c r="K66" s="197">
        <f t="shared" si="3"/>
        <v>44613</v>
      </c>
      <c r="L66" s="147">
        <f>IF(t&lt;Tvie,1-EXP((T0-t)*PertePVj)+'2021'!Pspv,1-EXP((T0-t)*PertePVj)+Pspv)</f>
        <v>2.1179746354132334E-2</v>
      </c>
      <c r="M66" s="832"/>
      <c r="N66" s="832"/>
      <c r="O66" s="48">
        <f>IF(t&lt;Tnet,'2021'!Resal+('2021'!Salim-'2021'!Resal)*(1-EXP(('2021'!Tnet-t)/('2021'!Tau_j))),Resal+(Salim-Resal)*(1-EXP((Tnet-t)/(Tau_j))))*Salcycl</f>
        <v>0.10951317887363166</v>
      </c>
      <c r="P66" s="169">
        <f>(INDEX(Models!$BJ66:$BT66,,T66)*(1-R66)+INDEX(Models!$BJ66:$BT66,,T66+1)*R66-ERP_i)*Q66*Ramure*Pc/MaxiM</f>
        <v>1.9675591293738497E-5</v>
      </c>
      <c r="Q66" s="304">
        <f t="shared" si="4"/>
        <v>0.6</v>
      </c>
      <c r="R66" s="177">
        <f t="shared" si="5"/>
        <v>4.0320100321558725E-3</v>
      </c>
      <c r="S66" s="799">
        <f t="shared" si="6"/>
        <v>0</v>
      </c>
      <c r="T66" s="176">
        <f t="shared" si="7"/>
        <v>6</v>
      </c>
      <c r="U66" s="250">
        <f t="shared" si="8"/>
        <v>4.0320100321558725E-3</v>
      </c>
      <c r="V66" s="382">
        <f t="shared" si="9"/>
        <v>39.102901360925998</v>
      </c>
      <c r="W66" s="400"/>
      <c r="X66" s="157">
        <f t="shared" si="10"/>
        <v>44613</v>
      </c>
      <c r="Y66" s="383">
        <f t="shared" si="11"/>
        <v>20.490000000000002</v>
      </c>
      <c r="Z66" s="383">
        <f t="shared" si="12"/>
        <v>20.933363325574568</v>
      </c>
      <c r="AA66" s="384">
        <f t="shared" si="13"/>
        <v>23.507774431850834</v>
      </c>
      <c r="AB66" s="197">
        <f t="shared" si="14"/>
        <v>44613</v>
      </c>
      <c r="AC66" s="119">
        <f>IF(OR(t&lt;Tnet,NoTnet),'2021'!Resal_s+('2021'!Salim-'2021'!Resal_s)*(1-EXP(('2021'!Tnet_s-t)/'2021'!Tau_j)),Resal_s+(Salim-Resal_s)*(1-EXP((Tnet_s-t)/Tau_j)))*Salcycl</f>
        <v>0.10951317887363166</v>
      </c>
      <c r="AD66" s="230">
        <f>(INDEX(Models!$BJ66:$BT66,,AH66)*(1-AF66)+INDEX(Models!$BJ66:$BT66,,AH66+1)*AF66-ERP_i)*AE66*Ramure*Pc/MaxiM</f>
        <v>1.9675591293738497E-5</v>
      </c>
      <c r="AE66" s="304">
        <f t="shared" si="15"/>
        <v>0.6</v>
      </c>
      <c r="AF66" s="177">
        <f t="shared" si="22"/>
        <v>4.0320100321558725E-3</v>
      </c>
      <c r="AG66" s="799">
        <f t="shared" si="23"/>
        <v>0</v>
      </c>
      <c r="AH66" s="176">
        <f t="shared" si="16"/>
        <v>6</v>
      </c>
      <c r="AI66" s="224">
        <f t="shared" si="17"/>
        <v>4.0320100321558725E-3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44614</v>
      </c>
      <c r="B67" s="607">
        <v>32.381999999999998</v>
      </c>
      <c r="C67" s="388"/>
      <c r="D67" s="391">
        <f t="shared" si="0"/>
        <v>33.083316865296617</v>
      </c>
      <c r="E67" s="383">
        <f t="shared" si="1"/>
        <v>37.155868433878446</v>
      </c>
      <c r="F67" s="383">
        <f t="shared" si="2"/>
        <v>37.156399467362718</v>
      </c>
      <c r="G67" s="110">
        <f t="shared" si="21"/>
        <v>0.82154324576521709</v>
      </c>
      <c r="H67" s="412" t="b">
        <f>Wh_hp&gt;='2021'!Maxi_hp</f>
        <v>0</v>
      </c>
      <c r="I67" s="379">
        <f>IF(H67,Wh_hp,'2021'!Maxi_hp)</f>
        <v>42.383788099046349</v>
      </c>
      <c r="J67" s="85">
        <f>IF(H67,An,'2021'!An_max)</f>
        <v>2020</v>
      </c>
      <c r="K67" s="197">
        <f t="shared" si="3"/>
        <v>44614</v>
      </c>
      <c r="L67" s="147">
        <f>IF(t&lt;Tvie,1-EXP((T0-t)*PertePVj)+'2021'!Pspv,1-EXP((T0-t)*PertePVj)+Pspv)</f>
        <v>2.1198505220988761E-2</v>
      </c>
      <c r="M67" s="832"/>
      <c r="N67" s="832"/>
      <c r="O67" s="48">
        <f>IF(t&lt;Tnet,'2021'!Resal+('2021'!Salim-'2021'!Resal)*(1-EXP(('2021'!Tnet-t)/('2021'!Tau_j))),Resal+(Salim-Resal)*(1-EXP((Tnet-t)/(Tau_j))))*Salcycl</f>
        <v>0.10960722330657495</v>
      </c>
      <c r="P67" s="169">
        <f>(INDEX(Models!$BJ67:$BT67,,T67)*(1-R67)+INDEX(Models!$BJ67:$BT67,,T67+1)*R67-ERP_i)*Q67*Ramure*Pc/MaxiM</f>
        <v>1.9181945475558361E-5</v>
      </c>
      <c r="Q67" s="304">
        <f t="shared" si="4"/>
        <v>0.6</v>
      </c>
      <c r="R67" s="177">
        <f t="shared" si="5"/>
        <v>4.2648572912251615E-3</v>
      </c>
      <c r="S67" s="799">
        <f t="shared" si="6"/>
        <v>0</v>
      </c>
      <c r="T67" s="176">
        <f t="shared" si="7"/>
        <v>6</v>
      </c>
      <c r="U67" s="250">
        <f t="shared" si="8"/>
        <v>4.2648572912251615E-3</v>
      </c>
      <c r="V67" s="382">
        <f t="shared" si="9"/>
        <v>39.415869844229732</v>
      </c>
      <c r="W67" s="400"/>
      <c r="X67" s="157">
        <f t="shared" si="10"/>
        <v>44614</v>
      </c>
      <c r="Y67" s="383">
        <f t="shared" si="11"/>
        <v>32.381999999999998</v>
      </c>
      <c r="Z67" s="383">
        <f t="shared" si="12"/>
        <v>33.083316865296617</v>
      </c>
      <c r="AA67" s="384">
        <f t="shared" si="13"/>
        <v>37.155868433878446</v>
      </c>
      <c r="AB67" s="197">
        <f t="shared" si="14"/>
        <v>44614</v>
      </c>
      <c r="AC67" s="119">
        <f>IF(OR(t&lt;Tnet,NoTnet),'2021'!Resal_s+('2021'!Salim-'2021'!Resal_s)*(1-EXP(('2021'!Tnet_s-t)/'2021'!Tau_j)),Resal_s+(Salim-Resal_s)*(1-EXP((Tnet_s-t)/Tau_j)))*Salcycl</f>
        <v>0.10960722330657495</v>
      </c>
      <c r="AD67" s="230">
        <f>(INDEX(Models!$BJ67:$BT67,,AH67)*(1-AF67)+INDEX(Models!$BJ67:$BT67,,AH67+1)*AF67-ERP_i)*AE67*Ramure*Pc/MaxiM</f>
        <v>1.9181945475558361E-5</v>
      </c>
      <c r="AE67" s="304">
        <f t="shared" si="15"/>
        <v>0.6</v>
      </c>
      <c r="AF67" s="177">
        <f t="shared" si="22"/>
        <v>4.2648572912251615E-3</v>
      </c>
      <c r="AG67" s="799">
        <f t="shared" si="23"/>
        <v>0</v>
      </c>
      <c r="AH67" s="176">
        <f t="shared" si="16"/>
        <v>6</v>
      </c>
      <c r="AI67" s="224">
        <f t="shared" si="17"/>
        <v>4.2648572912251615E-3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44615</v>
      </c>
      <c r="B68" s="607">
        <v>34.408000000000001</v>
      </c>
      <c r="C68" s="388"/>
      <c r="D68" s="391">
        <f t="shared" si="0"/>
        <v>35.153868907685705</v>
      </c>
      <c r="E68" s="383">
        <f t="shared" si="1"/>
        <v>39.48546477259854</v>
      </c>
      <c r="F68" s="383">
        <f t="shared" si="2"/>
        <v>39.486062325144545</v>
      </c>
      <c r="G68" s="110">
        <f t="shared" si="21"/>
        <v>0.86610158362320977</v>
      </c>
      <c r="H68" s="412" t="b">
        <f>Wh_hp&gt;='2021'!Maxi_hp</f>
        <v>0</v>
      </c>
      <c r="I68" s="379">
        <f>IF(H68,Wh_hp,'2021'!Maxi_hp)</f>
        <v>44.04907717434498</v>
      </c>
      <c r="J68" s="85">
        <f>IF(H68,An,'2021'!An_max)</f>
        <v>2020</v>
      </c>
      <c r="K68" s="197">
        <f t="shared" si="3"/>
        <v>44615</v>
      </c>
      <c r="L68" s="147">
        <f>IF(t&lt;Tvie,1-EXP((T0-t)*PertePVj)+'2021'!Pspv,1-EXP((T0-t)*PertePVj)+Pspv)</f>
        <v>2.1217263728335656E-2</v>
      </c>
      <c r="M68" s="832"/>
      <c r="N68" s="832"/>
      <c r="O68" s="48">
        <f>IF(t&lt;Tnet,'2021'!Resal+('2021'!Salim-'2021'!Resal)*(1-EXP(('2021'!Tnet-t)/('2021'!Tau_j))),Resal+(Salim-Resal)*(1-EXP((Tnet-t)/(Tau_j))))*Salcycl</f>
        <v>0.10970102263855856</v>
      </c>
      <c r="P68" s="169">
        <f>(INDEX(Models!$BJ68:$BT68,,T68)*(1-R68)+INDEX(Models!$BJ68:$BT68,,T68+1)*R68-ERP_i)*Q68*Ramure*Pc/MaxiM</f>
        <v>1.8712575533605575E-5</v>
      </c>
      <c r="Q68" s="304">
        <f t="shared" si="4"/>
        <v>0.6</v>
      </c>
      <c r="R68" s="177">
        <f t="shared" si="5"/>
        <v>4.507240151603027E-3</v>
      </c>
      <c r="S68" s="799">
        <f t="shared" si="6"/>
        <v>0</v>
      </c>
      <c r="T68" s="176">
        <f t="shared" si="7"/>
        <v>6</v>
      </c>
      <c r="U68" s="250">
        <f t="shared" si="8"/>
        <v>4.507240151603027E-3</v>
      </c>
      <c r="V68" s="382">
        <f t="shared" si="9"/>
        <v>39.727299304596833</v>
      </c>
      <c r="W68" s="400"/>
      <c r="X68" s="157">
        <f t="shared" si="10"/>
        <v>44615</v>
      </c>
      <c r="Y68" s="383">
        <f t="shared" si="11"/>
        <v>34.408000000000001</v>
      </c>
      <c r="Z68" s="383">
        <f t="shared" si="12"/>
        <v>35.153868907685705</v>
      </c>
      <c r="AA68" s="384">
        <f t="shared" si="13"/>
        <v>39.48546477259854</v>
      </c>
      <c r="AB68" s="197">
        <f t="shared" si="14"/>
        <v>44615</v>
      </c>
      <c r="AC68" s="119">
        <f>IF(OR(t&lt;Tnet,NoTnet),'2021'!Resal_s+('2021'!Salim-'2021'!Resal_s)*(1-EXP(('2021'!Tnet_s-t)/'2021'!Tau_j)),Resal_s+(Salim-Resal_s)*(1-EXP((Tnet_s-t)/Tau_j)))*Salcycl</f>
        <v>0.10970102263855856</v>
      </c>
      <c r="AD68" s="230">
        <f>(INDEX(Models!$BJ68:$BT68,,AH68)*(1-AF68)+INDEX(Models!$BJ68:$BT68,,AH68+1)*AF68-ERP_i)*AE68*Ramure*Pc/MaxiM</f>
        <v>1.8712575533605575E-5</v>
      </c>
      <c r="AE68" s="304">
        <f t="shared" si="15"/>
        <v>0.6</v>
      </c>
      <c r="AF68" s="177">
        <f t="shared" si="22"/>
        <v>4.507240151603027E-3</v>
      </c>
      <c r="AG68" s="799">
        <f t="shared" si="23"/>
        <v>0</v>
      </c>
      <c r="AH68" s="176">
        <f t="shared" si="16"/>
        <v>6</v>
      </c>
      <c r="AI68" s="224">
        <f t="shared" si="17"/>
        <v>4.507240151603027E-3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44616</v>
      </c>
      <c r="B69" s="607">
        <v>23.716999999999999</v>
      </c>
      <c r="C69" s="388"/>
      <c r="D69" s="391">
        <f t="shared" si="0"/>
        <v>24.231582414243331</v>
      </c>
      <c r="E69" s="383">
        <f t="shared" si="1"/>
        <v>27.220214296353724</v>
      </c>
      <c r="F69" s="383">
        <f t="shared" si="2"/>
        <v>27.220421977144728</v>
      </c>
      <c r="G69" s="110">
        <f t="shared" si="21"/>
        <v>0.59236654160995361</v>
      </c>
      <c r="H69" s="412" t="b">
        <f>Wh_hp&gt;='2021'!Maxi_hp</f>
        <v>0</v>
      </c>
      <c r="I69" s="379">
        <f>IF(H69,Wh_hp,'2021'!Maxi_hp)</f>
        <v>42.202501894458955</v>
      </c>
      <c r="J69" s="85">
        <f>IF(H69,An,'2021'!An_max)</f>
        <v>2021</v>
      </c>
      <c r="K69" s="197">
        <f t="shared" si="3"/>
        <v>44616</v>
      </c>
      <c r="L69" s="147">
        <f>IF(t&lt;Tvie,1-EXP((T0-t)*PertePVj)+'2021'!Pspv,1-EXP((T0-t)*PertePVj)+Pspv)</f>
        <v>2.1236021876180122E-2</v>
      </c>
      <c r="M69" s="832"/>
      <c r="N69" s="832"/>
      <c r="O69" s="48">
        <f>IF(t&lt;Tnet,'2021'!Resal+('2021'!Salim-'2021'!Resal)*(1-EXP(('2021'!Tnet-t)/('2021'!Tau_j))),Resal+(Salim-Resal)*(1-EXP((Tnet-t)/(Tau_j))))*Salcycl</f>
        <v>0.10979457580944676</v>
      </c>
      <c r="P69" s="169">
        <f>(INDEX(Models!$BJ69:$BT69,,T69)*(1-R69)+INDEX(Models!$BJ69:$BT69,,T69+1)*R69-ERP_i)*Q69*Ramure*Pc/MaxiM</f>
        <v>1.8266800481374525E-5</v>
      </c>
      <c r="Q69" s="304">
        <f t="shared" si="4"/>
        <v>0.6</v>
      </c>
      <c r="R69" s="177">
        <f t="shared" si="5"/>
        <v>4.7595390788213133E-3</v>
      </c>
      <c r="S69" s="799">
        <f t="shared" si="6"/>
        <v>0</v>
      </c>
      <c r="T69" s="176">
        <f t="shared" si="7"/>
        <v>6</v>
      </c>
      <c r="U69" s="250">
        <f t="shared" si="8"/>
        <v>4.7595390788213133E-3</v>
      </c>
      <c r="V69" s="382">
        <f t="shared" si="9"/>
        <v>40.03728443374056</v>
      </c>
      <c r="W69" s="400"/>
      <c r="X69" s="157">
        <f t="shared" si="10"/>
        <v>44616</v>
      </c>
      <c r="Y69" s="383">
        <f t="shared" si="11"/>
        <v>23.716999999999999</v>
      </c>
      <c r="Z69" s="383">
        <f t="shared" si="12"/>
        <v>24.231582414243331</v>
      </c>
      <c r="AA69" s="384">
        <f t="shared" si="13"/>
        <v>27.220214296353724</v>
      </c>
      <c r="AB69" s="197">
        <f t="shared" si="14"/>
        <v>44616</v>
      </c>
      <c r="AC69" s="119">
        <f>IF(OR(t&lt;Tnet,NoTnet),'2021'!Resal_s+('2021'!Salim-'2021'!Resal_s)*(1-EXP(('2021'!Tnet_s-t)/'2021'!Tau_j)),Resal_s+(Salim-Resal_s)*(1-EXP((Tnet_s-t)/Tau_j)))*Salcycl</f>
        <v>0.10979457580944676</v>
      </c>
      <c r="AD69" s="230">
        <f>(INDEX(Models!$BJ69:$BT69,,AH69)*(1-AF69)+INDEX(Models!$BJ69:$BT69,,AH69+1)*AF69-ERP_i)*AE69*Ramure*Pc/MaxiM</f>
        <v>1.8266800481374525E-5</v>
      </c>
      <c r="AE69" s="304">
        <f t="shared" si="15"/>
        <v>0.6</v>
      </c>
      <c r="AF69" s="177">
        <f t="shared" si="22"/>
        <v>4.7595390788213133E-3</v>
      </c>
      <c r="AG69" s="799">
        <f t="shared" si="23"/>
        <v>0</v>
      </c>
      <c r="AH69" s="176">
        <f t="shared" si="16"/>
        <v>6</v>
      </c>
      <c r="AI69" s="224">
        <f t="shared" si="17"/>
        <v>4.7595390788213133E-3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44617</v>
      </c>
      <c r="B70" s="607">
        <v>28.099</v>
      </c>
      <c r="C70" s="388"/>
      <c r="D70" s="391">
        <f t="shared" si="0"/>
        <v>28.709207888002648</v>
      </c>
      <c r="E70" s="383">
        <f t="shared" si="1"/>
        <v>32.253473869718334</v>
      </c>
      <c r="F70" s="383">
        <f t="shared" si="2"/>
        <v>32.253799830352605</v>
      </c>
      <c r="G70" s="110">
        <f t="shared" si="21"/>
        <v>0.69644669684366078</v>
      </c>
      <c r="H70" s="412" t="b">
        <f>Wh_hp&gt;='2021'!Maxi_hp</f>
        <v>0</v>
      </c>
      <c r="I70" s="379">
        <f>IF(H70,Wh_hp,'2021'!Maxi_hp)</f>
        <v>38.963373237809762</v>
      </c>
      <c r="J70" s="85">
        <f>IF(H70,An,'2021'!An_max)</f>
        <v>2021</v>
      </c>
      <c r="K70" s="197">
        <f t="shared" si="3"/>
        <v>44617</v>
      </c>
      <c r="L70" s="147">
        <f>IF(t&lt;Tvie,1-EXP((T0-t)*PertePVj)+'2021'!Pspv,1-EXP((T0-t)*PertePVj)+Pspv)</f>
        <v>2.1254779664528822E-2</v>
      </c>
      <c r="M70" s="832"/>
      <c r="N70" s="832"/>
      <c r="O70" s="48">
        <f>IF(t&lt;Tnet,'2021'!Resal+('2021'!Salim-'2021'!Resal)*(1-EXP(('2021'!Tnet-t)/('2021'!Tau_j))),Resal+(Salim-Resal)*(1-EXP((Tnet-t)/(Tau_j))))*Salcycl</f>
        <v>0.10988788358215491</v>
      </c>
      <c r="P70" s="169">
        <f>(INDEX(Models!$BJ70:$BT70,,T70)*(1-R70)+INDEX(Models!$BJ70:$BT70,,T70+1)*R70-ERP_i)*Q70*Ramure*Pc/MaxiM</f>
        <v>1.784397477434807E-5</v>
      </c>
      <c r="Q70" s="304">
        <f t="shared" si="4"/>
        <v>0.6</v>
      </c>
      <c r="R70" s="177">
        <f t="shared" si="5"/>
        <v>5.0221488709573658E-3</v>
      </c>
      <c r="S70" s="799">
        <f t="shared" si="6"/>
        <v>0</v>
      </c>
      <c r="T70" s="176">
        <f t="shared" si="7"/>
        <v>6</v>
      </c>
      <c r="U70" s="250">
        <f t="shared" si="8"/>
        <v>5.0221488709573658E-3</v>
      </c>
      <c r="V70" s="382">
        <f t="shared" si="9"/>
        <v>40.345919794073495</v>
      </c>
      <c r="W70" s="400"/>
      <c r="X70" s="157">
        <f t="shared" si="10"/>
        <v>44617</v>
      </c>
      <c r="Y70" s="383">
        <f t="shared" si="11"/>
        <v>28.099</v>
      </c>
      <c r="Z70" s="383">
        <f t="shared" si="12"/>
        <v>28.709207888002648</v>
      </c>
      <c r="AA70" s="384">
        <f t="shared" si="13"/>
        <v>32.253473869718334</v>
      </c>
      <c r="AB70" s="197">
        <f t="shared" si="14"/>
        <v>44617</v>
      </c>
      <c r="AC70" s="119">
        <f>IF(OR(t&lt;Tnet,NoTnet),'2021'!Resal_s+('2021'!Salim-'2021'!Resal_s)*(1-EXP(('2021'!Tnet_s-t)/'2021'!Tau_j)),Resal_s+(Salim-Resal_s)*(1-EXP((Tnet_s-t)/Tau_j)))*Salcycl</f>
        <v>0.10988788358215491</v>
      </c>
      <c r="AD70" s="230">
        <f>(INDEX(Models!$BJ70:$BT70,,AH70)*(1-AF70)+INDEX(Models!$BJ70:$BT70,,AH70+1)*AF70-ERP_i)*AE70*Ramure*Pc/MaxiM</f>
        <v>1.784397477434807E-5</v>
      </c>
      <c r="AE70" s="304">
        <f t="shared" si="15"/>
        <v>0.6</v>
      </c>
      <c r="AF70" s="177">
        <f t="shared" si="22"/>
        <v>5.0221488709573658E-3</v>
      </c>
      <c r="AG70" s="799">
        <f t="shared" si="23"/>
        <v>0</v>
      </c>
      <c r="AH70" s="176">
        <f t="shared" si="16"/>
        <v>6</v>
      </c>
      <c r="AI70" s="224">
        <f t="shared" si="17"/>
        <v>5.0221488709573658E-3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44618</v>
      </c>
      <c r="B71" s="607">
        <v>42.256999999999998</v>
      </c>
      <c r="C71" s="388"/>
      <c r="D71" s="391">
        <f t="shared" si="0"/>
        <v>43.175495505154345</v>
      </c>
      <c r="E71" s="383">
        <f t="shared" si="1"/>
        <v>48.510754280354504</v>
      </c>
      <c r="F71" s="383">
        <f t="shared" si="2"/>
        <v>48.511600491772313</v>
      </c>
      <c r="G71" s="110">
        <f t="shared" si="21"/>
        <v>1.0394482169514443</v>
      </c>
      <c r="H71" s="412" t="b">
        <f>Wh_hp&gt;='2021'!Maxi_hp</f>
        <v>1</v>
      </c>
      <c r="I71" s="379">
        <f>IF(H71,Wh_hp,'2021'!Maxi_hp)</f>
        <v>48.511600491772313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2.1273537093388972E-2</v>
      </c>
      <c r="M71" s="832"/>
      <c r="N71" s="832"/>
      <c r="O71" s="48">
        <f>IF(t&lt;Tnet,'2021'!Resal+('2021'!Salim-'2021'!Resal)*(1-EXP(('2021'!Tnet-t)/('2021'!Tau_j))),Resal+(Salim-Resal)*(1-EXP((Tnet-t)/(Tau_j))))*Salcycl</f>
        <v>0.10998094864422235</v>
      </c>
      <c r="P71" s="169">
        <f>(INDEX(Models!$BJ71:$BT71,,T71)*(1-R71)+INDEX(Models!$BJ71:$BT71,,T71+1)*R71-ERP_i)*Q71*Ramure*Pc/MaxiM</f>
        <v>1.7443485872040669E-5</v>
      </c>
      <c r="Q71" s="304">
        <f t="shared" si="4"/>
        <v>0.6</v>
      </c>
      <c r="R71" s="177">
        <f t="shared" si="5"/>
        <v>5.2954791265226661E-3</v>
      </c>
      <c r="S71" s="799">
        <f t="shared" si="6"/>
        <v>0</v>
      </c>
      <c r="T71" s="176">
        <f t="shared" si="7"/>
        <v>6</v>
      </c>
      <c r="U71" s="250">
        <f t="shared" si="8"/>
        <v>5.2954791265226661E-3</v>
      </c>
      <c r="V71" s="382">
        <f t="shared" si="9"/>
        <v>40.653299809329454</v>
      </c>
      <c r="W71" s="400"/>
      <c r="X71" s="157">
        <f t="shared" si="10"/>
        <v>44618</v>
      </c>
      <c r="Y71" s="383">
        <f t="shared" si="11"/>
        <v>42.256999999999998</v>
      </c>
      <c r="Z71" s="383">
        <f t="shared" si="12"/>
        <v>43.175495505154345</v>
      </c>
      <c r="AA71" s="384">
        <f t="shared" si="13"/>
        <v>48.510754280354504</v>
      </c>
      <c r="AB71" s="197">
        <f t="shared" si="14"/>
        <v>44618</v>
      </c>
      <c r="AC71" s="119">
        <f>IF(OR(t&lt;Tnet,NoTnet),'2021'!Resal_s+('2021'!Salim-'2021'!Resal_s)*(1-EXP(('2021'!Tnet_s-t)/'2021'!Tau_j)),Resal_s+(Salim-Resal_s)*(1-EXP((Tnet_s-t)/Tau_j)))*Salcycl</f>
        <v>0.10998094864422235</v>
      </c>
      <c r="AD71" s="230">
        <f>(INDEX(Models!$BJ71:$BT71,,AH71)*(1-AF71)+INDEX(Models!$BJ71:$BT71,,AH71+1)*AF71-ERP_i)*AE71*Ramure*Pc/MaxiM</f>
        <v>1.7443485872040669E-5</v>
      </c>
      <c r="AE71" s="304">
        <f t="shared" si="15"/>
        <v>0.6</v>
      </c>
      <c r="AF71" s="177">
        <f t="shared" si="22"/>
        <v>5.2954791265226661E-3</v>
      </c>
      <c r="AG71" s="799">
        <f t="shared" si="23"/>
        <v>0</v>
      </c>
      <c r="AH71" s="176">
        <f t="shared" si="16"/>
        <v>6</v>
      </c>
      <c r="AI71" s="224">
        <f t="shared" si="17"/>
        <v>5.2954791265226661E-3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44619</v>
      </c>
      <c r="B72" s="607">
        <v>24.891000000000002</v>
      </c>
      <c r="C72" s="388"/>
      <c r="D72" s="391">
        <f t="shared" si="0"/>
        <v>25.432516625285036</v>
      </c>
      <c r="E72" s="383">
        <f t="shared" si="1"/>
        <v>28.578230341700149</v>
      </c>
      <c r="F72" s="383">
        <f t="shared" si="2"/>
        <v>28.578444490390428</v>
      </c>
      <c r="G72" s="110">
        <f t="shared" si="21"/>
        <v>0.60769175299784617</v>
      </c>
      <c r="H72" s="412" t="b">
        <f>Wh_hp&gt;='2021'!Maxi_hp</f>
        <v>0</v>
      </c>
      <c r="I72" s="379">
        <f>IF(H72,Wh_hp,'2021'!Maxi_hp)</f>
        <v>44.999579692306305</v>
      </c>
      <c r="J72" s="85">
        <f>IF(H72,An,'2021'!An_max)</f>
        <v>2021</v>
      </c>
      <c r="K72" s="197">
        <f t="shared" si="3"/>
        <v>44619</v>
      </c>
      <c r="L72" s="147">
        <f>IF(t&lt;Tvie,1-EXP((T0-t)*PertePVj)+'2021'!Pspv,1-EXP((T0-t)*PertePVj)+Pspv)</f>
        <v>2.1292294162767123E-2</v>
      </c>
      <c r="M72" s="832"/>
      <c r="N72" s="832"/>
      <c r="O72" s="48">
        <f>IF(t&lt;Tnet,'2021'!Resal+('2021'!Salim-'2021'!Resal)*(1-EXP(('2021'!Tnet-t)/('2021'!Tau_j))),Resal+(Salim-Resal)*(1-EXP((Tnet-t)/(Tau_j))))*Salcycl</f>
        <v>0.11007377569579671</v>
      </c>
      <c r="P72" s="169">
        <f>(INDEX(Models!$BJ72:$BT72,,T72)*(1-R72)+INDEX(Models!$BJ72:$BT72,,T72+1)*R72-ERP_i)*Q72*Ramure*Pc/MaxiM</f>
        <v>1.7047112422174859E-5</v>
      </c>
      <c r="Q72" s="304">
        <f t="shared" si="4"/>
        <v>0.6</v>
      </c>
      <c r="R72" s="177">
        <f t="shared" si="5"/>
        <v>5.5799547213327971E-3</v>
      </c>
      <c r="S72" s="799">
        <f t="shared" si="6"/>
        <v>0</v>
      </c>
      <c r="T72" s="176">
        <f t="shared" si="7"/>
        <v>6</v>
      </c>
      <c r="U72" s="250">
        <f t="shared" si="8"/>
        <v>5.5799547213327971E-3</v>
      </c>
      <c r="V72" s="382">
        <f t="shared" si="9"/>
        <v>40.959519481840076</v>
      </c>
      <c r="W72" s="400"/>
      <c r="X72" s="157">
        <f t="shared" si="10"/>
        <v>44619</v>
      </c>
      <c r="Y72" s="383">
        <f t="shared" si="11"/>
        <v>24.891000000000002</v>
      </c>
      <c r="Z72" s="383">
        <f t="shared" si="12"/>
        <v>25.432516625285036</v>
      </c>
      <c r="AA72" s="384">
        <f t="shared" si="13"/>
        <v>28.578230341700149</v>
      </c>
      <c r="AB72" s="197">
        <f t="shared" si="14"/>
        <v>44619</v>
      </c>
      <c r="AC72" s="119">
        <f>IF(OR(t&lt;Tnet,NoTnet),'2021'!Resal_s+('2021'!Salim-'2021'!Resal_s)*(1-EXP(('2021'!Tnet_s-t)/'2021'!Tau_j)),Resal_s+(Salim-Resal_s)*(1-EXP((Tnet_s-t)/Tau_j)))*Salcycl</f>
        <v>0.11007377569579671</v>
      </c>
      <c r="AD72" s="230">
        <f>(INDEX(Models!$BJ72:$BT72,,AH72)*(1-AF72)+INDEX(Models!$BJ72:$BT72,,AH72+1)*AF72-ERP_i)*AE72*Ramure*Pc/MaxiM</f>
        <v>1.7047112422174859E-5</v>
      </c>
      <c r="AE72" s="304">
        <f t="shared" si="15"/>
        <v>0.6</v>
      </c>
      <c r="AF72" s="177">
        <f t="shared" si="22"/>
        <v>5.5799547213327971E-3</v>
      </c>
      <c r="AG72" s="799">
        <f t="shared" si="23"/>
        <v>0</v>
      </c>
      <c r="AH72" s="176">
        <f t="shared" si="16"/>
        <v>6</v>
      </c>
      <c r="AI72" s="224">
        <f t="shared" si="17"/>
        <v>5.5799547213327971E-3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44620</v>
      </c>
      <c r="B73" s="607">
        <v>35.585999999999999</v>
      </c>
      <c r="C73" s="388"/>
      <c r="D73" s="391">
        <f t="shared" si="0"/>
        <v>36.360888749925159</v>
      </c>
      <c r="E73" s="383">
        <f t="shared" si="1"/>
        <v>40.862569795407389</v>
      </c>
      <c r="F73" s="383">
        <f t="shared" si="2"/>
        <v>40.863117136509821</v>
      </c>
      <c r="G73" s="110">
        <f t="shared" si="21"/>
        <v>0.8623813409352703</v>
      </c>
      <c r="H73" s="412" t="b">
        <f>Wh_hp&gt;='2021'!Maxi_hp</f>
        <v>1</v>
      </c>
      <c r="I73" s="379">
        <f>IF(H73,Wh_hp,'2021'!Maxi_hp)</f>
        <v>40.863117136509821</v>
      </c>
      <c r="J73" s="85">
        <f>IF(H73,An,'2021'!An_max)</f>
        <v>2022</v>
      </c>
      <c r="K73" s="197">
        <f t="shared" si="3"/>
        <v>44620</v>
      </c>
      <c r="L73" s="147">
        <f>IF(t&lt;Tvie,1-EXP((T0-t)*PertePVj)+'2021'!Pspv,1-EXP((T0-t)*PertePVj)+Pspv)</f>
        <v>2.1311050872670378E-2</v>
      </c>
      <c r="M73" s="832"/>
      <c r="N73" s="832"/>
      <c r="O73" s="48">
        <f>IF(t&lt;Tnet,'2021'!Resal+('2021'!Salim-'2021'!Resal)*(1-EXP(('2021'!Tnet-t)/('2021'!Tau_j))),Resal+(Salim-Resal)*(1-EXP((Tnet-t)/(Tau_j))))*Salcycl</f>
        <v>0.11016637152341273</v>
      </c>
      <c r="P73" s="169">
        <f>(INDEX(Models!$BJ73:$BT73,,T73)*(1-R73)+INDEX(Models!$BJ73:$BT73,,T73+1)*R73-ERP_i)*Q73*Ramure*Pc/MaxiM</f>
        <v>1.667214674659805E-5</v>
      </c>
      <c r="Q73" s="304">
        <f t="shared" si="4"/>
        <v>0.6</v>
      </c>
      <c r="R73" s="177">
        <f t="shared" si="5"/>
        <v>5.8760162939204561E-3</v>
      </c>
      <c r="S73" s="799">
        <f t="shared" si="6"/>
        <v>0</v>
      </c>
      <c r="T73" s="176">
        <f t="shared" si="7"/>
        <v>6</v>
      </c>
      <c r="U73" s="250">
        <f t="shared" si="8"/>
        <v>5.8760162939204561E-3</v>
      </c>
      <c r="V73" s="382">
        <f t="shared" si="9"/>
        <v>41.264672217486215</v>
      </c>
      <c r="W73" s="400"/>
      <c r="X73" s="157">
        <f t="shared" si="10"/>
        <v>44620</v>
      </c>
      <c r="Y73" s="383">
        <f t="shared" si="11"/>
        <v>35.585999999999999</v>
      </c>
      <c r="Z73" s="383">
        <f t="shared" si="12"/>
        <v>36.360888749925159</v>
      </c>
      <c r="AA73" s="384">
        <f t="shared" si="13"/>
        <v>40.862569795407389</v>
      </c>
      <c r="AB73" s="197">
        <f t="shared" si="14"/>
        <v>44620</v>
      </c>
      <c r="AC73" s="119">
        <f>IF(OR(t&lt;Tnet,NoTnet),'2021'!Resal_s+('2021'!Salim-'2021'!Resal_s)*(1-EXP(('2021'!Tnet_s-t)/'2021'!Tau_j)),Resal_s+(Salim-Resal_s)*(1-EXP((Tnet_s-t)/Tau_j)))*Salcycl</f>
        <v>0.11016637152341273</v>
      </c>
      <c r="AD73" s="230">
        <f>(INDEX(Models!$BJ73:$BT73,,AH73)*(1-AF73)+INDEX(Models!$BJ73:$BT73,,AH73+1)*AF73-ERP_i)*AE73*Ramure*Pc/MaxiM</f>
        <v>1.667214674659805E-5</v>
      </c>
      <c r="AE73" s="304">
        <f t="shared" si="15"/>
        <v>0.6</v>
      </c>
      <c r="AF73" s="177">
        <f t="shared" si="22"/>
        <v>5.8760162939204561E-3</v>
      </c>
      <c r="AG73" s="799">
        <f t="shared" si="23"/>
        <v>0</v>
      </c>
      <c r="AH73" s="176">
        <f t="shared" si="16"/>
        <v>6</v>
      </c>
      <c r="AI73" s="224">
        <f t="shared" si="17"/>
        <v>5.8760162939204561E-3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44621</v>
      </c>
      <c r="B74" s="607">
        <v>40.316000000000003</v>
      </c>
      <c r="C74" s="388"/>
      <c r="D74" s="391">
        <f t="shared" si="0"/>
        <v>41.194674464956108</v>
      </c>
      <c r="E74" s="383">
        <f t="shared" si="1"/>
        <v>46.299611528851372</v>
      </c>
      <c r="F74" s="383">
        <f t="shared" si="2"/>
        <v>46.300334532075077</v>
      </c>
      <c r="G74" s="110">
        <f t="shared" si="21"/>
        <v>0.96986011758012836</v>
      </c>
      <c r="H74" s="412" t="b">
        <f>Wh_hp&gt;='2021'!Maxi_hp</f>
        <v>1</v>
      </c>
      <c r="I74" s="379">
        <f>IF(H74,Wh_hp,'2021'!Maxi_hp)</f>
        <v>46.300334532075077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2.1329807223105623E-2</v>
      </c>
      <c r="M74" s="832"/>
      <c r="N74" s="832"/>
      <c r="O74" s="48">
        <f>IF(t&lt;Tnet,'2021'!Resal+('2021'!Salim-'2021'!Resal)*(1-EXP(('2021'!Tnet-t)/('2021'!Tau_j))),Resal+(Salim-Resal)*(1-EXP((Tnet-t)/(Tau_j))))*Salcycl</f>
        <v>0.11025874505910596</v>
      </c>
      <c r="P74" s="169">
        <f>(INDEX(Models!$BJ74:$BT74,,T74)*(1-R74)+INDEX(Models!$BJ74:$BT74,,T74+1)*R74-ERP_i)*Q74*Ramure*Pc/MaxiM</f>
        <v>1.6318099678387633E-5</v>
      </c>
      <c r="Q74" s="304">
        <f t="shared" si="4"/>
        <v>0.6</v>
      </c>
      <c r="R74" s="177">
        <f t="shared" si="5"/>
        <v>6.1841207389792385E-3</v>
      </c>
      <c r="S74" s="799">
        <f t="shared" si="6"/>
        <v>0</v>
      </c>
      <c r="T74" s="176">
        <f t="shared" si="7"/>
        <v>6</v>
      </c>
      <c r="U74" s="250">
        <f t="shared" si="8"/>
        <v>6.1841207389792385E-3</v>
      </c>
      <c r="V74" s="382">
        <f t="shared" si="9"/>
        <v>41.568851985010923</v>
      </c>
      <c r="W74" s="400"/>
      <c r="X74" s="157">
        <f t="shared" si="10"/>
        <v>44621</v>
      </c>
      <c r="Y74" s="383">
        <f t="shared" si="11"/>
        <v>40.316000000000003</v>
      </c>
      <c r="Z74" s="383">
        <f t="shared" si="12"/>
        <v>41.194674464956108</v>
      </c>
      <c r="AA74" s="384">
        <f t="shared" si="13"/>
        <v>46.299611528851372</v>
      </c>
      <c r="AB74" s="197">
        <f t="shared" si="14"/>
        <v>44621</v>
      </c>
      <c r="AC74" s="119">
        <f>IF(OR(t&lt;Tnet,NoTnet),'2021'!Resal_s+('2021'!Salim-'2021'!Resal_s)*(1-EXP(('2021'!Tnet_s-t)/'2021'!Tau_j)),Resal_s+(Salim-Resal_s)*(1-EXP((Tnet_s-t)/Tau_j)))*Salcycl</f>
        <v>0.11025874505910596</v>
      </c>
      <c r="AD74" s="230">
        <f>(INDEX(Models!$BJ74:$BT74,,AH74)*(1-AF74)+INDEX(Models!$BJ74:$BT74,,AH74+1)*AF74-ERP_i)*AE74*Ramure*Pc/MaxiM</f>
        <v>1.6318099678387633E-5</v>
      </c>
      <c r="AE74" s="304">
        <f t="shared" si="15"/>
        <v>0.6</v>
      </c>
      <c r="AF74" s="177">
        <f t="shared" si="22"/>
        <v>6.1841207389792385E-3</v>
      </c>
      <c r="AG74" s="799">
        <f t="shared" si="23"/>
        <v>0</v>
      </c>
      <c r="AH74" s="176">
        <f t="shared" si="16"/>
        <v>6</v>
      </c>
      <c r="AI74" s="224">
        <f t="shared" si="17"/>
        <v>6.1841207389792385E-3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44622</v>
      </c>
      <c r="B75" s="607">
        <v>11.824</v>
      </c>
      <c r="C75" s="388"/>
      <c r="D75" s="391">
        <f t="shared" si="0"/>
        <v>12.081931886629922</v>
      </c>
      <c r="E75" s="383">
        <f t="shared" si="1"/>
        <v>13.58055888266464</v>
      </c>
      <c r="F75" s="383">
        <f t="shared" si="2"/>
        <v>13.58055888266464</v>
      </c>
      <c r="G75" s="110">
        <f t="shared" si="21"/>
        <v>0.28237886681781155</v>
      </c>
      <c r="H75" s="412" t="b">
        <f>Wh_hp&gt;='2021'!Maxi_hp</f>
        <v>0</v>
      </c>
      <c r="I75" s="379">
        <f>IF(H75,Wh_hp,'2021'!Maxi_hp)</f>
        <v>33.645098322767872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2.134856321407963E-2</v>
      </c>
      <c r="M75" s="832"/>
      <c r="N75" s="832"/>
      <c r="O75" s="48">
        <f>IF(t&lt;Tnet,'2021'!Resal+('2021'!Salim-'2021'!Resal)*(1-EXP(('2021'!Tnet-t)/('2021'!Tau_j))),Resal+(Salim-Resal)*(1-EXP((Tnet-t)/(Tau_j))))*Salcycl</f>
        <v>0.11035090742456044</v>
      </c>
      <c r="P75" s="169">
        <f>(INDEX(Models!$BJ75:$BT75,,T75)*(1-R75)+INDEX(Models!$BJ75:$BT75,,T75+1)*R75-ERP_i)*Q75*Ramure*Pc/MaxiM</f>
        <v>1.5984509337741242E-5</v>
      </c>
      <c r="Q75" s="304">
        <f t="shared" si="4"/>
        <v>0.6</v>
      </c>
      <c r="R75" s="177">
        <f t="shared" si="5"/>
        <v>6.5047417082407912E-3</v>
      </c>
      <c r="S75" s="799">
        <f t="shared" si="6"/>
        <v>0</v>
      </c>
      <c r="T75" s="176">
        <f t="shared" si="7"/>
        <v>6</v>
      </c>
      <c r="U75" s="250">
        <f t="shared" si="8"/>
        <v>6.5047417082407912E-3</v>
      </c>
      <c r="V75" s="382">
        <f t="shared" si="9"/>
        <v>41.872152588494558</v>
      </c>
      <c r="W75" s="400"/>
      <c r="X75" s="157">
        <f t="shared" si="10"/>
        <v>44622</v>
      </c>
      <c r="Y75" s="383">
        <f t="shared" si="11"/>
        <v>11.824</v>
      </c>
      <c r="Z75" s="383">
        <f t="shared" si="12"/>
        <v>12.081931886629922</v>
      </c>
      <c r="AA75" s="384">
        <f t="shared" si="13"/>
        <v>13.58055888266464</v>
      </c>
      <c r="AB75" s="197">
        <f t="shared" si="14"/>
        <v>44622</v>
      </c>
      <c r="AC75" s="119">
        <f>IF(OR(t&lt;Tnet,NoTnet),'2021'!Resal_s+('2021'!Salim-'2021'!Resal_s)*(1-EXP(('2021'!Tnet_s-t)/'2021'!Tau_j)),Resal_s+(Salim-Resal_s)*(1-EXP((Tnet_s-t)/Tau_j)))*Salcycl</f>
        <v>0.11035090742456044</v>
      </c>
      <c r="AD75" s="230">
        <f>(INDEX(Models!$BJ75:$BT75,,AH75)*(1-AF75)+INDEX(Models!$BJ75:$BT75,,AH75+1)*AF75-ERP_i)*AE75*Ramure*Pc/MaxiM</f>
        <v>1.5984509337741242E-5</v>
      </c>
      <c r="AE75" s="304">
        <f t="shared" si="15"/>
        <v>0.6</v>
      </c>
      <c r="AF75" s="177">
        <f t="shared" si="22"/>
        <v>6.5047417082407912E-3</v>
      </c>
      <c r="AG75" s="799">
        <f t="shared" si="23"/>
        <v>0</v>
      </c>
      <c r="AH75" s="176">
        <f t="shared" si="16"/>
        <v>6</v>
      </c>
      <c r="AI75" s="224">
        <f t="shared" si="17"/>
        <v>6.5047417082407912E-3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44623</v>
      </c>
      <c r="B76" s="607">
        <v>32.615000000000002</v>
      </c>
      <c r="C76" s="388"/>
      <c r="D76" s="391">
        <f t="shared" si="0"/>
        <v>33.327111007091204</v>
      </c>
      <c r="E76" s="383">
        <f t="shared" si="1"/>
        <v>37.46483497976994</v>
      </c>
      <c r="F76" s="383">
        <f t="shared" si="2"/>
        <v>37.465231980084269</v>
      </c>
      <c r="G76" s="110">
        <f t="shared" si="21"/>
        <v>0.77332759928164851</v>
      </c>
      <c r="H76" s="412" t="b">
        <f>Wh_hp&gt;='2021'!Maxi_hp</f>
        <v>1</v>
      </c>
      <c r="I76" s="379">
        <f>IF(H76,Wh_hp,'2021'!Maxi_hp)</f>
        <v>37.465231980084269</v>
      </c>
      <c r="J76" s="85">
        <f>IF(H76,An,'2021'!An_max)</f>
        <v>2022</v>
      </c>
      <c r="K76" s="197">
        <f t="shared" si="3"/>
        <v>44623</v>
      </c>
      <c r="L76" s="147">
        <f>IF(t&lt;Tvie,1-EXP((T0-t)*PertePVj)+'2021'!Pspv,1-EXP((T0-t)*PertePVj)+Pspv)</f>
        <v>2.1367318845599392E-2</v>
      </c>
      <c r="M76" s="832"/>
      <c r="N76" s="832"/>
      <c r="O76" s="48">
        <f>IF(t&lt;Tnet,'2021'!Resal+('2021'!Salim-'2021'!Resal)*(1-EXP(('2021'!Tnet-t)/('2021'!Tau_j))),Resal+(Salim-Resal)*(1-EXP((Tnet-t)/(Tau_j))))*Salcycl</f>
        <v>0.11044287196014613</v>
      </c>
      <c r="P76" s="169">
        <f>(INDEX(Models!$BJ76:$BT76,,T76)*(1-R76)+INDEX(Models!$BJ76:$BT76,,T76+1)*R76-ERP_i)*Q76*Ramure*Pc/MaxiM</f>
        <v>1.5670939554000232E-5</v>
      </c>
      <c r="Q76" s="304">
        <f t="shared" si="4"/>
        <v>0.6</v>
      </c>
      <c r="R76" s="177">
        <f t="shared" si="5"/>
        <v>6.8383701180986739E-3</v>
      </c>
      <c r="S76" s="799">
        <f t="shared" si="6"/>
        <v>0</v>
      </c>
      <c r="T76" s="176">
        <f t="shared" si="7"/>
        <v>6</v>
      </c>
      <c r="U76" s="250">
        <f t="shared" si="8"/>
        <v>6.8383701180986739E-3</v>
      </c>
      <c r="V76" s="382">
        <f t="shared" si="9"/>
        <v>42.174667664366538</v>
      </c>
      <c r="W76" s="400"/>
      <c r="X76" s="157">
        <f t="shared" si="10"/>
        <v>44623</v>
      </c>
      <c r="Y76" s="383">
        <f t="shared" si="11"/>
        <v>32.615000000000002</v>
      </c>
      <c r="Z76" s="383">
        <f t="shared" si="12"/>
        <v>33.327111007091204</v>
      </c>
      <c r="AA76" s="384">
        <f t="shared" si="13"/>
        <v>37.46483497976994</v>
      </c>
      <c r="AB76" s="197">
        <f t="shared" si="14"/>
        <v>44623</v>
      </c>
      <c r="AC76" s="119">
        <f>IF(OR(t&lt;Tnet,NoTnet),'2021'!Resal_s+('2021'!Salim-'2021'!Resal_s)*(1-EXP(('2021'!Tnet_s-t)/'2021'!Tau_j)),Resal_s+(Salim-Resal_s)*(1-EXP((Tnet_s-t)/Tau_j)))*Salcycl</f>
        <v>0.11044287196014613</v>
      </c>
      <c r="AD76" s="230">
        <f>(INDEX(Models!$BJ76:$BT76,,AH76)*(1-AF76)+INDEX(Models!$BJ76:$BT76,,AH76+1)*AF76-ERP_i)*AE76*Ramure*Pc/MaxiM</f>
        <v>1.5670939554000232E-5</v>
      </c>
      <c r="AE76" s="304">
        <f t="shared" si="15"/>
        <v>0.6</v>
      </c>
      <c r="AF76" s="177">
        <f t="shared" si="22"/>
        <v>6.8383701180986739E-3</v>
      </c>
      <c r="AG76" s="799">
        <f t="shared" si="23"/>
        <v>0</v>
      </c>
      <c r="AH76" s="176">
        <f t="shared" si="16"/>
        <v>6</v>
      </c>
      <c r="AI76" s="224">
        <f t="shared" si="17"/>
        <v>6.8383701180986739E-3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44624</v>
      </c>
      <c r="B77" s="607">
        <v>3.492</v>
      </c>
      <c r="C77" s="388"/>
      <c r="D77" s="391">
        <f t="shared" si="0"/>
        <v>3.5683121889478295</v>
      </c>
      <c r="E77" s="383">
        <f t="shared" si="1"/>
        <v>4.011749536902208</v>
      </c>
      <c r="F77" s="383">
        <f t="shared" si="2"/>
        <v>4.011749536902208</v>
      </c>
      <c r="G77" s="110">
        <f t="shared" si="21"/>
        <v>8.2208917167436127E-2</v>
      </c>
      <c r="H77" s="412" t="b">
        <f>Wh_hp&gt;='2021'!Maxi_hp</f>
        <v>0</v>
      </c>
      <c r="I77" s="379">
        <f>IF(H77,Wh_hp,'2021'!Maxi_hp)</f>
        <v>31.305227886602569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2.1386074117671683E-2</v>
      </c>
      <c r="M77" s="832"/>
      <c r="N77" s="832"/>
      <c r="O77" s="48">
        <f>IF(t&lt;Tnet,'2021'!Resal+('2021'!Salim-'2021'!Resal)*(1-EXP(('2021'!Tnet-t)/('2021'!Tau_j))),Resal+(Salim-Resal)*(1-EXP((Tnet-t)/(Tau_j))))*Salcycl</f>
        <v>0.11053465423885657</v>
      </c>
      <c r="P77" s="169">
        <f>(INDEX(Models!$BJ77:$BT77,,T77)*(1-R77)+INDEX(Models!$BJ77:$BT77,,T77+1)*R77-ERP_i)*Q77*Ramure*Pc/MaxiM</f>
        <v>1.5376978433822244E-5</v>
      </c>
      <c r="Q77" s="304">
        <f t="shared" si="4"/>
        <v>0.6</v>
      </c>
      <c r="R77" s="177">
        <f t="shared" si="5"/>
        <v>7.1855146631969596E-3</v>
      </c>
      <c r="S77" s="799">
        <f t="shared" si="6"/>
        <v>0</v>
      </c>
      <c r="T77" s="176">
        <f t="shared" si="7"/>
        <v>6</v>
      </c>
      <c r="U77" s="250">
        <f t="shared" si="8"/>
        <v>7.1855146631969596E-3</v>
      </c>
      <c r="V77" s="382">
        <f t="shared" si="9"/>
        <v>42.47649067654315</v>
      </c>
      <c r="W77" s="400"/>
      <c r="X77" s="157">
        <f t="shared" si="10"/>
        <v>44624</v>
      </c>
      <c r="Y77" s="383">
        <f t="shared" si="11"/>
        <v>3.492</v>
      </c>
      <c r="Z77" s="383">
        <f t="shared" si="12"/>
        <v>3.5683121889478295</v>
      </c>
      <c r="AA77" s="384">
        <f t="shared" si="13"/>
        <v>4.011749536902208</v>
      </c>
      <c r="AB77" s="197">
        <f t="shared" si="14"/>
        <v>44624</v>
      </c>
      <c r="AC77" s="119">
        <f>IF(OR(t&lt;Tnet,NoTnet),'2021'!Resal_s+('2021'!Salim-'2021'!Resal_s)*(1-EXP(('2021'!Tnet_s-t)/'2021'!Tau_j)),Resal_s+(Salim-Resal_s)*(1-EXP((Tnet_s-t)/Tau_j)))*Salcycl</f>
        <v>0.11053465423885657</v>
      </c>
      <c r="AD77" s="230">
        <f>(INDEX(Models!$BJ77:$BT77,,AH77)*(1-AF77)+INDEX(Models!$BJ77:$BT77,,AH77+1)*AF77-ERP_i)*AE77*Ramure*Pc/MaxiM</f>
        <v>1.5376978433822244E-5</v>
      </c>
      <c r="AE77" s="304">
        <f t="shared" si="15"/>
        <v>0.6</v>
      </c>
      <c r="AF77" s="177">
        <f t="shared" si="22"/>
        <v>7.1855146631969596E-3</v>
      </c>
      <c r="AG77" s="799">
        <f t="shared" si="23"/>
        <v>0</v>
      </c>
      <c r="AH77" s="176">
        <f t="shared" si="16"/>
        <v>6</v>
      </c>
      <c r="AI77" s="224">
        <f t="shared" si="17"/>
        <v>7.1855146631969596E-3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44625</v>
      </c>
      <c r="B78" s="607">
        <v>11.961</v>
      </c>
      <c r="C78" s="388"/>
      <c r="D78" s="391">
        <f t="shared" si="0"/>
        <v>12.222623159020666</v>
      </c>
      <c r="E78" s="383">
        <f t="shared" si="1"/>
        <v>13.742955042537705</v>
      </c>
      <c r="F78" s="383">
        <f t="shared" si="2"/>
        <v>13.742955042537705</v>
      </c>
      <c r="G78" s="110">
        <f t="shared" si="21"/>
        <v>0.27960398039883055</v>
      </c>
      <c r="H78" s="412" t="b">
        <f>Wh_hp&gt;='2021'!Maxi_hp</f>
        <v>0</v>
      </c>
      <c r="I78" s="379">
        <f>IF(H78,Wh_hp,'2021'!Maxi_hp)</f>
        <v>38.458441078302194</v>
      </c>
      <c r="J78" s="85">
        <f>IF(H78,An,'2021'!An_max)</f>
        <v>2021</v>
      </c>
      <c r="K78" s="197">
        <f t="shared" si="3"/>
        <v>44625</v>
      </c>
      <c r="L78" s="147">
        <f>IF(t&lt;Tvie,1-EXP((T0-t)*PertePVj)+'2021'!Pspv,1-EXP((T0-t)*PertePVj)+Pspv)</f>
        <v>2.1404829030303496E-2</v>
      </c>
      <c r="M78" s="832"/>
      <c r="N78" s="832"/>
      <c r="O78" s="48">
        <f>IF(t&lt;Tnet,'2021'!Resal+('2021'!Salim-'2021'!Resal)*(1-EXP(('2021'!Tnet-t)/('2021'!Tau_j))),Resal+(Salim-Resal)*(1-EXP((Tnet-t)/(Tau_j))))*Salcycl</f>
        <v>0.11062627206530565</v>
      </c>
      <c r="P78" s="169">
        <f>(INDEX(Models!$BJ78:$BT78,,T78)*(1-R78)+INDEX(Models!$BJ78:$BT78,,T78+1)*R78-ERP_i)*Q78*Ramure*Pc/MaxiM</f>
        <v>1.5102237070104992E-5</v>
      </c>
      <c r="Q78" s="304">
        <f t="shared" si="4"/>
        <v>0.6</v>
      </c>
      <c r="R78" s="177">
        <f t="shared" si="5"/>
        <v>7.5467023350926019E-3</v>
      </c>
      <c r="S78" s="799">
        <f t="shared" si="6"/>
        <v>0</v>
      </c>
      <c r="T78" s="176">
        <f t="shared" si="7"/>
        <v>6</v>
      </c>
      <c r="U78" s="250">
        <f t="shared" si="8"/>
        <v>7.5467023350926019E-3</v>
      </c>
      <c r="V78" s="382">
        <f t="shared" si="9"/>
        <v>42.777714913361905</v>
      </c>
      <c r="W78" s="400"/>
      <c r="X78" s="157">
        <f t="shared" si="10"/>
        <v>44625</v>
      </c>
      <c r="Y78" s="383">
        <f t="shared" si="11"/>
        <v>11.961</v>
      </c>
      <c r="Z78" s="383">
        <f t="shared" si="12"/>
        <v>12.222623159020666</v>
      </c>
      <c r="AA78" s="384">
        <f t="shared" si="13"/>
        <v>13.742955042537705</v>
      </c>
      <c r="AB78" s="197">
        <f t="shared" si="14"/>
        <v>44625</v>
      </c>
      <c r="AC78" s="119">
        <f>IF(OR(t&lt;Tnet,NoTnet),'2021'!Resal_s+('2021'!Salim-'2021'!Resal_s)*(1-EXP(('2021'!Tnet_s-t)/'2021'!Tau_j)),Resal_s+(Salim-Resal_s)*(1-EXP((Tnet_s-t)/Tau_j)))*Salcycl</f>
        <v>0.11062627206530565</v>
      </c>
      <c r="AD78" s="230">
        <f>(INDEX(Models!$BJ78:$BT78,,AH78)*(1-AF78)+INDEX(Models!$BJ78:$BT78,,AH78+1)*AF78-ERP_i)*AE78*Ramure*Pc/MaxiM</f>
        <v>1.5102237070104992E-5</v>
      </c>
      <c r="AE78" s="304">
        <f t="shared" si="15"/>
        <v>0.6</v>
      </c>
      <c r="AF78" s="177">
        <f t="shared" si="22"/>
        <v>7.5467023350926019E-3</v>
      </c>
      <c r="AG78" s="799">
        <f t="shared" si="23"/>
        <v>0</v>
      </c>
      <c r="AH78" s="176">
        <f t="shared" si="16"/>
        <v>6</v>
      </c>
      <c r="AI78" s="224">
        <f t="shared" si="17"/>
        <v>7.5467023350926019E-3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44626</v>
      </c>
      <c r="B79" s="607">
        <v>14.696</v>
      </c>
      <c r="C79" s="388"/>
      <c r="D79" s="391">
        <f t="shared" ref="D79:D142" si="24">Wh/(1-Ppv)</f>
        <v>15.017733672569051</v>
      </c>
      <c r="E79" s="383">
        <f t="shared" si="1"/>
        <v>16.887477059056739</v>
      </c>
      <c r="F79" s="383">
        <f t="shared" ref="F79:F142" si="25">Wh_sa/(1-Pvg*MEDIAN((-Sdif+Wh/Env_an)/Csdif,0,1))</f>
        <v>16.88749179346107</v>
      </c>
      <c r="G79" s="110">
        <f t="shared" si="21"/>
        <v>0.34113422993456255</v>
      </c>
      <c r="H79" s="412" t="b">
        <f>Wh_hp&gt;='2021'!Maxi_hp</f>
        <v>1</v>
      </c>
      <c r="I79" s="379">
        <f>IF(H79,Wh_hp,'2021'!Maxi_hp)</f>
        <v>16.88749179346107</v>
      </c>
      <c r="J79" s="85">
        <f>IF(H79,An,'2021'!An_max)</f>
        <v>2022</v>
      </c>
      <c r="K79" s="197">
        <f t="shared" ref="K79:K142" si="26">t</f>
        <v>44626</v>
      </c>
      <c r="L79" s="147">
        <f>IF(t&lt;Tvie,1-EXP((T0-t)*PertePVj)+'2021'!Pspv,1-EXP((T0-t)*PertePVj)+Pspv)</f>
        <v>2.1423583583501715E-2</v>
      </c>
      <c r="M79" s="832"/>
      <c r="N79" s="832"/>
      <c r="O79" s="48">
        <f>IF(t&lt;Tnet,'2021'!Resal+('2021'!Salim-'2021'!Resal)*(1-EXP(('2021'!Tnet-t)/('2021'!Tau_j))),Resal+(Salim-Resal)*(1-EXP((Tnet-t)/(Tau_j))))*Salcycl</f>
        <v>0.1107177454600861</v>
      </c>
      <c r="P79" s="169">
        <f>(INDEX(Models!$BJ79:$BT79,,T79)*(1-R79)+INDEX(Models!$BJ79:$BT79,,T79+1)*R79-ERP_i)*Q79*Ramure*Pc/MaxiM</f>
        <v>1.4846079252073965E-5</v>
      </c>
      <c r="Q79" s="304">
        <f t="shared" ref="Q79:Q142" si="27">IF(OR(t&lt;Ttai,Notai),Dd+PousD*Croivg,Dens+PousD*(Croivg-Croi_tai))</f>
        <v>0.6</v>
      </c>
      <c r="R79" s="177">
        <f t="shared" ref="R79:R142" si="28">(Hp_vg-S79)/(INDEX(Echel_vg,T79+1)-S79)</f>
        <v>7.9224789449907265E-3</v>
      </c>
      <c r="S79" s="799">
        <f t="shared" ref="S79:S142" si="29">INDEX(Echel_vg,T79)</f>
        <v>0</v>
      </c>
      <c r="T79" s="176">
        <f t="shared" ref="T79:T142" si="30">MIN(MATCH(Hp_vg,Echel_vg),10)</f>
        <v>6</v>
      </c>
      <c r="U79" s="250">
        <f t="shared" ref="U79:U142" si="31">IF(OR(t&lt;Ttai,Notai),Hdd+PousH*Croivg,Hdtf+PousH*(Croivg-Croi_tai))</f>
        <v>7.9224789449907265E-3</v>
      </c>
      <c r="V79" s="382">
        <f t="shared" ref="V79:V142" si="32">MaxiM*(1-Ppv)*(1-Pvg)*(1-Psa)</f>
        <v>43.079214439952516</v>
      </c>
      <c r="W79" s="400"/>
      <c r="X79" s="157">
        <f t="shared" ref="X79:X142" si="33">t</f>
        <v>44626</v>
      </c>
      <c r="Y79" s="383">
        <f t="shared" ref="Y79:Y142" si="34">Wh_pvt_s*(1-Ppv)</f>
        <v>14.696000000000002</v>
      </c>
      <c r="Z79" s="383">
        <f t="shared" ref="Z79:Z142" si="35">Wh_sa_s*(1-Psa_s)</f>
        <v>15.017733672569053</v>
      </c>
      <c r="AA79" s="384">
        <f t="shared" ref="AA79:AA142" si="36">Wh_hp*(1-Pvg_s*MEDIAN((-Sdif+Wh/Env_an)/Csdif,0,1))</f>
        <v>16.887477059056739</v>
      </c>
      <c r="AB79" s="197">
        <f t="shared" ref="AB79:AB142" si="37">t</f>
        <v>44626</v>
      </c>
      <c r="AC79" s="119">
        <f>IF(OR(t&lt;Tnet,NoTnet),'2021'!Resal_s+('2021'!Salim-'2021'!Resal_s)*(1-EXP(('2021'!Tnet_s-t)/'2021'!Tau_j)),Resal_s+(Salim-Resal_s)*(1-EXP((Tnet_s-t)/Tau_j)))*Salcycl</f>
        <v>0.1107177454600861</v>
      </c>
      <c r="AD79" s="230">
        <f>(INDEX(Models!$BJ79:$BT79,,AH79)*(1-AF79)+INDEX(Models!$BJ79:$BT79,,AH79+1)*AF79-ERP_i)*AE79*Ramure*Pc/MaxiM</f>
        <v>1.4846079252073965E-5</v>
      </c>
      <c r="AE79" s="304">
        <f t="shared" ref="AE79:AE142" si="38">IF(OR(t&lt;Ttai,Notai),Dd_s+PousD*Croivg,Dens_s+PousD*(Croivg-Croi_tai))</f>
        <v>0.6</v>
      </c>
      <c r="AF79" s="177">
        <f t="shared" ref="AF79:AF142" si="39">(Hp_vg_s-AG79)/(INDEX(Echel_vg,AH79+1)-AG79)</f>
        <v>7.9224789449907265E-3</v>
      </c>
      <c r="AG79" s="799">
        <f t="shared" si="23"/>
        <v>0</v>
      </c>
      <c r="AH79" s="176">
        <f t="shared" ref="AH79:AH142" si="40">MIN(MATCH(Hp_vg_s,Echel_vg),10)</f>
        <v>6</v>
      </c>
      <c r="AI79" s="224">
        <f t="shared" ref="AI79:AI142" si="41">IF(OR(t&lt;Ttai,Notai),Hdd_s+PousH*Croivg,Hdtai_s+PousH*(Croivg-Croi_tai))</f>
        <v>7.9224789449907265E-3</v>
      </c>
      <c r="AJ79" s="264" t="b">
        <f t="shared" ref="AJ79:AJ142" si="42">t&lt;Tnet</f>
        <v>1</v>
      </c>
      <c r="AK79" s="264" t="b">
        <f t="shared" ref="AK79:AK142" si="43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4">A79+1</f>
        <v>44627</v>
      </c>
      <c r="B80" s="607">
        <v>35.859000000000002</v>
      </c>
      <c r="C80" s="388"/>
      <c r="D80" s="391">
        <f t="shared" si="24"/>
        <v>36.644749087701925</v>
      </c>
      <c r="E80" s="383">
        <f t="shared" ref="E80:E143" si="45">Wh_pvt/(1-Psa)</f>
        <v>41.211340499342391</v>
      </c>
      <c r="F80" s="383">
        <f t="shared" si="25"/>
        <v>41.211792495970926</v>
      </c>
      <c r="G80" s="110">
        <f t="shared" ref="G80:G143" si="46">+Wh_hp/MaxiM</f>
        <v>0.82659381118707098</v>
      </c>
      <c r="H80" s="412" t="b">
        <f>Wh_hp&gt;='2021'!Maxi_hp</f>
        <v>1</v>
      </c>
      <c r="I80" s="379">
        <f>IF(H80,Wh_hp,'2021'!Maxi_hp)</f>
        <v>41.211792495970926</v>
      </c>
      <c r="J80" s="85">
        <f>IF(H80,An,'2021'!An_max)</f>
        <v>2022</v>
      </c>
      <c r="K80" s="197">
        <f t="shared" si="26"/>
        <v>44627</v>
      </c>
      <c r="L80" s="147">
        <f>IF(t&lt;Tvie,1-EXP((T0-t)*PertePVj)+'2021'!Pspv,1-EXP((T0-t)*PertePVj)+Pspv)</f>
        <v>2.1442337777273113E-2</v>
      </c>
      <c r="M80" s="832"/>
      <c r="N80" s="832"/>
      <c r="O80" s="48">
        <f>IF(t&lt;Tnet,'2021'!Resal+('2021'!Salim-'2021'!Resal)*(1-EXP(('2021'!Tnet-t)/('2021'!Tau_j))),Resal+(Salim-Resal)*(1-EXP((Tnet-t)/(Tau_j))))*Salcycl</f>
        <v>0.1108090966299273</v>
      </c>
      <c r="P80" s="169">
        <f>(INDEX(Models!$BJ80:$BT80,,T80)*(1-R80)+INDEX(Models!$BJ80:$BT80,,T80+1)*R80-ERP_i)*Q80*Ramure*Pc/MaxiM</f>
        <v>1.4579194106236097E-5</v>
      </c>
      <c r="Q80" s="304">
        <f t="shared" si="27"/>
        <v>0.6</v>
      </c>
      <c r="R80" s="177">
        <f t="shared" si="28"/>
        <v>8.3134096494262948E-3</v>
      </c>
      <c r="S80" s="799">
        <f t="shared" si="29"/>
        <v>0</v>
      </c>
      <c r="T80" s="176">
        <f t="shared" si="30"/>
        <v>6</v>
      </c>
      <c r="U80" s="250">
        <f t="shared" si="31"/>
        <v>8.3134096494262948E-3</v>
      </c>
      <c r="V80" s="382">
        <f t="shared" si="32"/>
        <v>43.381489199417715</v>
      </c>
      <c r="W80" s="400"/>
      <c r="X80" s="157">
        <f t="shared" si="33"/>
        <v>44627</v>
      </c>
      <c r="Y80" s="383">
        <f t="shared" si="34"/>
        <v>35.859000000000002</v>
      </c>
      <c r="Z80" s="383">
        <f t="shared" si="35"/>
        <v>36.644749087701925</v>
      </c>
      <c r="AA80" s="384">
        <f t="shared" si="36"/>
        <v>41.211340499342391</v>
      </c>
      <c r="AB80" s="197">
        <f t="shared" si="37"/>
        <v>44627</v>
      </c>
      <c r="AC80" s="119">
        <f>IF(OR(t&lt;Tnet,NoTnet),'2021'!Resal_s+('2021'!Salim-'2021'!Resal_s)*(1-EXP(('2021'!Tnet_s-t)/'2021'!Tau_j)),Resal_s+(Salim-Resal_s)*(1-EXP((Tnet_s-t)/Tau_j)))*Salcycl</f>
        <v>0.1108090966299273</v>
      </c>
      <c r="AD80" s="230">
        <f>(INDEX(Models!$BJ80:$BT80,,AH80)*(1-AF80)+INDEX(Models!$BJ80:$BT80,,AH80+1)*AF80-ERP_i)*AE80*Ramure*Pc/MaxiM</f>
        <v>1.4579194106236097E-5</v>
      </c>
      <c r="AE80" s="304">
        <f t="shared" si="38"/>
        <v>0.6</v>
      </c>
      <c r="AF80" s="177">
        <f t="shared" si="39"/>
        <v>8.3134096494262948E-3</v>
      </c>
      <c r="AG80" s="799">
        <f t="shared" ref="AG80:AG143" si="47">INDEX(Echel_vg,AH80)</f>
        <v>0</v>
      </c>
      <c r="AH80" s="176">
        <f t="shared" si="40"/>
        <v>6</v>
      </c>
      <c r="AI80" s="224">
        <f t="shared" si="41"/>
        <v>8.3134096494262948E-3</v>
      </c>
      <c r="AJ80" s="264" t="b">
        <f t="shared" si="42"/>
        <v>1</v>
      </c>
      <c r="AK80" s="264" t="b">
        <f t="shared" si="43"/>
        <v>0</v>
      </c>
      <c r="AL80" s="264"/>
      <c r="AM80" s="264"/>
      <c r="AN80" s="75"/>
    </row>
    <row r="81" spans="1:40" s="6" customFormat="1" ht="11.25" x14ac:dyDescent="0.2">
      <c r="A81" s="56">
        <f t="shared" si="44"/>
        <v>44628</v>
      </c>
      <c r="B81" s="607">
        <v>33.643999999999998</v>
      </c>
      <c r="C81" s="388"/>
      <c r="D81" s="391">
        <f t="shared" si="24"/>
        <v>34.381872515841678</v>
      </c>
      <c r="E81" s="383">
        <f t="shared" si="45"/>
        <v>38.670437574585748</v>
      </c>
      <c r="F81" s="383">
        <f t="shared" si="25"/>
        <v>38.670808244768345</v>
      </c>
      <c r="G81" s="110">
        <f t="shared" si="46"/>
        <v>0.77016271160145666</v>
      </c>
      <c r="H81" s="412" t="b">
        <f>Wh_hp&gt;='2021'!Maxi_hp</f>
        <v>1</v>
      </c>
      <c r="I81" s="379">
        <f>IF(H81,Wh_hp,'2021'!Maxi_hp)</f>
        <v>38.670808244768345</v>
      </c>
      <c r="J81" s="85">
        <f>IF(H81,An,'2021'!An_max)</f>
        <v>2022</v>
      </c>
      <c r="K81" s="197">
        <f t="shared" si="26"/>
        <v>44628</v>
      </c>
      <c r="L81" s="147">
        <f>IF(t&lt;Tvie,1-EXP((T0-t)*PertePVj)+'2021'!Pspv,1-EXP((T0-t)*PertePVj)+Pspv)</f>
        <v>2.1461091611624794E-2</v>
      </c>
      <c r="M81" s="832"/>
      <c r="N81" s="832"/>
      <c r="O81" s="48">
        <f>IF(t&lt;Tnet,'2021'!Resal+('2021'!Salim-'2021'!Resal)*(1-EXP(('2021'!Tnet-t)/('2021'!Tau_j))),Resal+(Salim-Resal)*(1-EXP((Tnet-t)/(Tau_j))))*Salcycl</f>
        <v>0.11090034992421492</v>
      </c>
      <c r="P81" s="169">
        <f>(INDEX(Models!$BJ81:$BT81,,T81)*(1-R81)+INDEX(Models!$BJ81:$BT81,,T81+1)*R81-ERP_i)*Q81*Ramure*Pc/MaxiM</f>
        <v>1.4270885672554775E-5</v>
      </c>
      <c r="Q81" s="304">
        <f t="shared" si="27"/>
        <v>0.6</v>
      </c>
      <c r="R81" s="177">
        <f t="shared" si="28"/>
        <v>8.7200794776363753E-3</v>
      </c>
      <c r="S81" s="799">
        <f t="shared" si="29"/>
        <v>0</v>
      </c>
      <c r="T81" s="176">
        <f t="shared" si="30"/>
        <v>6</v>
      </c>
      <c r="U81" s="250">
        <f t="shared" si="31"/>
        <v>8.7200794776363753E-3</v>
      </c>
      <c r="V81" s="382">
        <f t="shared" si="32"/>
        <v>43.684070715025626</v>
      </c>
      <c r="W81" s="400"/>
      <c r="X81" s="157">
        <f t="shared" si="33"/>
        <v>44628</v>
      </c>
      <c r="Y81" s="383">
        <f t="shared" si="34"/>
        <v>33.643999999999998</v>
      </c>
      <c r="Z81" s="383">
        <f t="shared" si="35"/>
        <v>34.381872515841678</v>
      </c>
      <c r="AA81" s="384">
        <f t="shared" si="36"/>
        <v>38.670437574585748</v>
      </c>
      <c r="AB81" s="197">
        <f t="shared" si="37"/>
        <v>44628</v>
      </c>
      <c r="AC81" s="119">
        <f>IF(OR(t&lt;Tnet,NoTnet),'2021'!Resal_s+('2021'!Salim-'2021'!Resal_s)*(1-EXP(('2021'!Tnet_s-t)/'2021'!Tau_j)),Resal_s+(Salim-Resal_s)*(1-EXP((Tnet_s-t)/Tau_j)))*Salcycl</f>
        <v>0.11090034992421492</v>
      </c>
      <c r="AD81" s="230">
        <f>(INDEX(Models!$BJ81:$BT81,,AH81)*(1-AF81)+INDEX(Models!$BJ81:$BT81,,AH81+1)*AF81-ERP_i)*AE81*Ramure*Pc/MaxiM</f>
        <v>1.4270885672554775E-5</v>
      </c>
      <c r="AE81" s="304">
        <f t="shared" si="38"/>
        <v>0.6</v>
      </c>
      <c r="AF81" s="177">
        <f t="shared" si="39"/>
        <v>8.7200794776363753E-3</v>
      </c>
      <c r="AG81" s="799">
        <f t="shared" si="47"/>
        <v>0</v>
      </c>
      <c r="AH81" s="176">
        <f t="shared" si="40"/>
        <v>6</v>
      </c>
      <c r="AI81" s="224">
        <f t="shared" si="41"/>
        <v>8.7200794776363753E-3</v>
      </c>
      <c r="AJ81" s="264" t="b">
        <f t="shared" si="42"/>
        <v>1</v>
      </c>
      <c r="AK81" s="264" t="b">
        <f t="shared" si="43"/>
        <v>0</v>
      </c>
      <c r="AL81" s="264"/>
      <c r="AM81" s="264"/>
      <c r="AN81" s="75"/>
    </row>
    <row r="82" spans="1:40" s="6" customFormat="1" ht="11.25" x14ac:dyDescent="0.2">
      <c r="A82" s="56">
        <f t="shared" si="44"/>
        <v>44629</v>
      </c>
      <c r="B82" s="607">
        <v>29.404</v>
      </c>
      <c r="C82" s="388"/>
      <c r="D82" s="391">
        <f t="shared" si="24"/>
        <v>30.049457696250705</v>
      </c>
      <c r="E82" s="383">
        <f t="shared" si="45"/>
        <v>33.80109275715639</v>
      </c>
      <c r="F82" s="383">
        <f t="shared" si="25"/>
        <v>33.801340473411372</v>
      </c>
      <c r="G82" s="110">
        <f t="shared" si="46"/>
        <v>0.6684735841727123</v>
      </c>
      <c r="H82" s="412" t="b">
        <f>Wh_hp&gt;='2021'!Maxi_hp</f>
        <v>0</v>
      </c>
      <c r="I82" s="379">
        <f>IF(H82,Wh_hp,'2021'!Maxi_hp)</f>
        <v>46.982445789324288</v>
      </c>
      <c r="J82" s="85">
        <f>IF(H82,An,'2021'!An_max)</f>
        <v>2021</v>
      </c>
      <c r="K82" s="197">
        <f t="shared" si="26"/>
        <v>44629</v>
      </c>
      <c r="L82" s="147">
        <f>IF(t&lt;Tvie,1-EXP((T0-t)*PertePVj)+'2021'!Pspv,1-EXP((T0-t)*PertePVj)+Pspv)</f>
        <v>2.1479845086563421E-2</v>
      </c>
      <c r="M82" s="832"/>
      <c r="N82" s="832"/>
      <c r="O82" s="48">
        <f>IF(t&lt;Tnet,'2021'!Resal+('2021'!Salim-'2021'!Resal)*(1-EXP(('2021'!Tnet-t)/('2021'!Tau_j))),Resal+(Salim-Resal)*(1-EXP((Tnet-t)/(Tau_j))))*Salcycl</f>
        <v>0.11099153177855127</v>
      </c>
      <c r="P82" s="169">
        <f>(INDEX(Models!$BJ82:$BT82,,T82)*(1-R82)+INDEX(Models!$BJ82:$BT82,,T82+1)*R82-ERP_i)*Q82*Ramure*Pc/MaxiM</f>
        <v>1.3922174350807453E-5</v>
      </c>
      <c r="Q82" s="304">
        <f t="shared" si="27"/>
        <v>0.6</v>
      </c>
      <c r="R82" s="177">
        <f t="shared" si="28"/>
        <v>9.1430938592232999E-3</v>
      </c>
      <c r="S82" s="799">
        <f t="shared" si="29"/>
        <v>0</v>
      </c>
      <c r="T82" s="176">
        <f t="shared" si="30"/>
        <v>6</v>
      </c>
      <c r="U82" s="250">
        <f t="shared" si="31"/>
        <v>9.1430938592232999E-3</v>
      </c>
      <c r="V82" s="382">
        <f t="shared" si="32"/>
        <v>43.986489245183812</v>
      </c>
      <c r="W82" s="400"/>
      <c r="X82" s="157">
        <f t="shared" si="33"/>
        <v>44629</v>
      </c>
      <c r="Y82" s="383">
        <f t="shared" si="34"/>
        <v>29.404000000000003</v>
      </c>
      <c r="Z82" s="383">
        <f t="shared" si="35"/>
        <v>30.049457696250709</v>
      </c>
      <c r="AA82" s="384">
        <f t="shared" si="36"/>
        <v>33.80109275715639</v>
      </c>
      <c r="AB82" s="197">
        <f t="shared" si="37"/>
        <v>44629</v>
      </c>
      <c r="AC82" s="119">
        <f>IF(OR(t&lt;Tnet,NoTnet),'2021'!Resal_s+('2021'!Salim-'2021'!Resal_s)*(1-EXP(('2021'!Tnet_s-t)/'2021'!Tau_j)),Resal_s+(Salim-Resal_s)*(1-EXP((Tnet_s-t)/Tau_j)))*Salcycl</f>
        <v>0.11099153177855127</v>
      </c>
      <c r="AD82" s="230">
        <f>(INDEX(Models!$BJ82:$BT82,,AH82)*(1-AF82)+INDEX(Models!$BJ82:$BT82,,AH82+1)*AF82-ERP_i)*AE82*Ramure*Pc/MaxiM</f>
        <v>1.3922174350807453E-5</v>
      </c>
      <c r="AE82" s="304">
        <f t="shared" si="38"/>
        <v>0.6</v>
      </c>
      <c r="AF82" s="177">
        <f t="shared" si="39"/>
        <v>9.1430938592232999E-3</v>
      </c>
      <c r="AG82" s="799">
        <f t="shared" si="47"/>
        <v>0</v>
      </c>
      <c r="AH82" s="176">
        <f t="shared" si="40"/>
        <v>6</v>
      </c>
      <c r="AI82" s="224">
        <f t="shared" si="41"/>
        <v>9.1430938592232999E-3</v>
      </c>
      <c r="AJ82" s="264" t="b">
        <f t="shared" si="42"/>
        <v>1</v>
      </c>
      <c r="AK82" s="264" t="b">
        <f t="shared" si="43"/>
        <v>0</v>
      </c>
      <c r="AL82" s="264"/>
      <c r="AM82" s="264"/>
      <c r="AN82" s="75"/>
    </row>
    <row r="83" spans="1:40" s="6" customFormat="1" ht="11.25" x14ac:dyDescent="0.2">
      <c r="A83" s="56">
        <f t="shared" si="44"/>
        <v>44630</v>
      </c>
      <c r="B83" s="607">
        <v>24.865000000000002</v>
      </c>
      <c r="C83" s="388"/>
      <c r="D83" s="391">
        <f t="shared" si="24"/>
        <v>25.411307489506825</v>
      </c>
      <c r="E83" s="383">
        <f t="shared" si="45"/>
        <v>28.586806275874753</v>
      </c>
      <c r="F83" s="383">
        <f t="shared" si="25"/>
        <v>28.586950773656881</v>
      </c>
      <c r="G83" s="110">
        <f t="shared" si="46"/>
        <v>0.56143051591149429</v>
      </c>
      <c r="H83" s="412" t="b">
        <f>Wh_hp&gt;='2021'!Maxi_hp</f>
        <v>0</v>
      </c>
      <c r="I83" s="379">
        <f>IF(H83,Wh_hp,'2021'!Maxi_hp)</f>
        <v>45.805582995042379</v>
      </c>
      <c r="J83" s="85">
        <f>IF(H83,An,'2021'!An_max)</f>
        <v>2021</v>
      </c>
      <c r="K83" s="197">
        <f t="shared" si="26"/>
        <v>44630</v>
      </c>
      <c r="L83" s="147">
        <f>IF(t&lt;Tvie,1-EXP((T0-t)*PertePVj)+'2021'!Pspv,1-EXP((T0-t)*PertePVj)+Pspv)</f>
        <v>2.1498598202096098E-2</v>
      </c>
      <c r="M83" s="832"/>
      <c r="N83" s="832"/>
      <c r="O83" s="48">
        <f>IF(t&lt;Tnet,'2021'!Resal+('2021'!Salim-'2021'!Resal)*(1-EXP(('2021'!Tnet-t)/('2021'!Tau_j))),Resal+(Salim-Resal)*(1-EXP((Tnet-t)/(Tau_j))))*Salcycl</f>
        <v>0.11108267064613747</v>
      </c>
      <c r="P83" s="169">
        <f>(INDEX(Models!$BJ83:$BT83,,T83)*(1-R83)+INDEX(Models!$BJ83:$BT83,,T83+1)*R83-ERP_i)*Q83*Ramure*Pc/MaxiM</f>
        <v>1.3534032002175979E-5</v>
      </c>
      <c r="Q83" s="304">
        <f t="shared" si="27"/>
        <v>0.6</v>
      </c>
      <c r="R83" s="177">
        <f t="shared" si="28"/>
        <v>9.5830791505600588E-3</v>
      </c>
      <c r="S83" s="799">
        <f t="shared" si="29"/>
        <v>0</v>
      </c>
      <c r="T83" s="176">
        <f t="shared" si="30"/>
        <v>6</v>
      </c>
      <c r="U83" s="250">
        <f t="shared" si="31"/>
        <v>9.5830791505600588E-3</v>
      </c>
      <c r="V83" s="382">
        <f t="shared" si="32"/>
        <v>44.288275138350549</v>
      </c>
      <c r="W83" s="400"/>
      <c r="X83" s="157">
        <f t="shared" si="33"/>
        <v>44630</v>
      </c>
      <c r="Y83" s="383">
        <f t="shared" si="34"/>
        <v>24.865000000000002</v>
      </c>
      <c r="Z83" s="383">
        <f t="shared" si="35"/>
        <v>25.411307489506825</v>
      </c>
      <c r="AA83" s="384">
        <f t="shared" si="36"/>
        <v>28.586806275874753</v>
      </c>
      <c r="AB83" s="197">
        <f t="shared" si="37"/>
        <v>44630</v>
      </c>
      <c r="AC83" s="119">
        <f>IF(OR(t&lt;Tnet,NoTnet),'2021'!Resal_s+('2021'!Salim-'2021'!Resal_s)*(1-EXP(('2021'!Tnet_s-t)/'2021'!Tau_j)),Resal_s+(Salim-Resal_s)*(1-EXP((Tnet_s-t)/Tau_j)))*Salcycl</f>
        <v>0.11108267064613747</v>
      </c>
      <c r="AD83" s="230">
        <f>(INDEX(Models!$BJ83:$BT83,,AH83)*(1-AF83)+INDEX(Models!$BJ83:$BT83,,AH83+1)*AF83-ERP_i)*AE83*Ramure*Pc/MaxiM</f>
        <v>1.3534032002175979E-5</v>
      </c>
      <c r="AE83" s="304">
        <f t="shared" si="38"/>
        <v>0.6</v>
      </c>
      <c r="AF83" s="177">
        <f t="shared" si="39"/>
        <v>9.5830791505600588E-3</v>
      </c>
      <c r="AG83" s="799">
        <f t="shared" si="47"/>
        <v>0</v>
      </c>
      <c r="AH83" s="176">
        <f t="shared" si="40"/>
        <v>6</v>
      </c>
      <c r="AI83" s="224">
        <f t="shared" si="41"/>
        <v>9.5830791505600588E-3</v>
      </c>
      <c r="AJ83" s="264" t="b">
        <f t="shared" si="42"/>
        <v>1</v>
      </c>
      <c r="AK83" s="264" t="b">
        <f t="shared" si="43"/>
        <v>0</v>
      </c>
      <c r="AL83" s="264"/>
      <c r="AM83" s="264"/>
      <c r="AN83" s="75"/>
    </row>
    <row r="84" spans="1:40" s="6" customFormat="1" ht="11.25" x14ac:dyDescent="0.2">
      <c r="A84" s="56">
        <f t="shared" si="44"/>
        <v>44631</v>
      </c>
      <c r="B84" s="607">
        <v>15.838000000000001</v>
      </c>
      <c r="C84" s="388"/>
      <c r="D84" s="391">
        <f t="shared" si="24"/>
        <v>16.186285996496899</v>
      </c>
      <c r="E84" s="383">
        <f t="shared" si="45"/>
        <v>18.210856003533998</v>
      </c>
      <c r="F84" s="383">
        <f t="shared" si="25"/>
        <v>18.21087482649542</v>
      </c>
      <c r="G84" s="110">
        <f t="shared" si="46"/>
        <v>0.3551957522471425</v>
      </c>
      <c r="H84" s="412" t="b">
        <f>Wh_hp&gt;='2021'!Maxi_hp</f>
        <v>0</v>
      </c>
      <c r="I84" s="379">
        <f>IF(H84,Wh_hp,'2021'!Maxi_hp)</f>
        <v>35.092284275887017</v>
      </c>
      <c r="J84" s="85">
        <f>IF(H84,An,'2021'!An_max)</f>
        <v>2021</v>
      </c>
      <c r="K84" s="197">
        <f t="shared" si="26"/>
        <v>44631</v>
      </c>
      <c r="L84" s="147">
        <f>IF(t&lt;Tvie,1-EXP((T0-t)*PertePVj)+'2021'!Pspv,1-EXP((T0-t)*PertePVj)+Pspv)</f>
        <v>2.1517350958229486E-2</v>
      </c>
      <c r="M84" s="832"/>
      <c r="N84" s="832"/>
      <c r="O84" s="48">
        <f>IF(t&lt;Tnet,'2021'!Resal+('2021'!Salim-'2021'!Resal)*(1-EXP(('2021'!Tnet-t)/('2021'!Tau_j))),Resal+(Salim-Resal)*(1-EXP((Tnet-t)/(Tau_j))))*Salcycl</f>
        <v>0.11117379691785</v>
      </c>
      <c r="P84" s="169">
        <f>(INDEX(Models!$BJ84:$BT84,,T84)*(1-R84)+INDEX(Models!$BJ84:$BT84,,T84+1)*R84-ERP_i)*Q84*Ramure*Pc/MaxiM</f>
        <v>1.3107376782766317E-5</v>
      </c>
      <c r="Q84" s="304">
        <f t="shared" si="27"/>
        <v>0.6</v>
      </c>
      <c r="R84" s="177">
        <f t="shared" si="28"/>
        <v>1.0040683158224907E-2</v>
      </c>
      <c r="S84" s="799">
        <f t="shared" si="29"/>
        <v>0</v>
      </c>
      <c r="T84" s="176">
        <f t="shared" si="30"/>
        <v>6</v>
      </c>
      <c r="U84" s="250">
        <f t="shared" si="31"/>
        <v>1.0040683158224907E-2</v>
      </c>
      <c r="V84" s="382">
        <f t="shared" si="32"/>
        <v>44.588958835523528</v>
      </c>
      <c r="W84" s="400"/>
      <c r="X84" s="157">
        <f t="shared" si="33"/>
        <v>44631</v>
      </c>
      <c r="Y84" s="383">
        <f t="shared" si="34"/>
        <v>15.837999999999999</v>
      </c>
      <c r="Z84" s="383">
        <f t="shared" si="35"/>
        <v>16.186285996496899</v>
      </c>
      <c r="AA84" s="384">
        <f t="shared" si="36"/>
        <v>18.210856003533998</v>
      </c>
      <c r="AB84" s="197">
        <f t="shared" si="37"/>
        <v>44631</v>
      </c>
      <c r="AC84" s="119">
        <f>IF(OR(t&lt;Tnet,NoTnet),'2021'!Resal_s+('2021'!Salim-'2021'!Resal_s)*(1-EXP(('2021'!Tnet_s-t)/'2021'!Tau_j)),Resal_s+(Salim-Resal_s)*(1-EXP((Tnet_s-t)/Tau_j)))*Salcycl</f>
        <v>0.11117379691785</v>
      </c>
      <c r="AD84" s="230">
        <f>(INDEX(Models!$BJ84:$BT84,,AH84)*(1-AF84)+INDEX(Models!$BJ84:$BT84,,AH84+1)*AF84-ERP_i)*AE84*Ramure*Pc/MaxiM</f>
        <v>1.3107376782766317E-5</v>
      </c>
      <c r="AE84" s="304">
        <f t="shared" si="38"/>
        <v>0.6</v>
      </c>
      <c r="AF84" s="177">
        <f t="shared" si="39"/>
        <v>1.0040683158224907E-2</v>
      </c>
      <c r="AG84" s="799">
        <f t="shared" si="47"/>
        <v>0</v>
      </c>
      <c r="AH84" s="176">
        <f t="shared" si="40"/>
        <v>6</v>
      </c>
      <c r="AI84" s="224">
        <f t="shared" si="41"/>
        <v>1.0040683158224907E-2</v>
      </c>
      <c r="AJ84" s="264" t="b">
        <f t="shared" si="42"/>
        <v>1</v>
      </c>
      <c r="AK84" s="264" t="b">
        <f t="shared" si="43"/>
        <v>0</v>
      </c>
      <c r="AL84" s="264"/>
      <c r="AM84" s="264"/>
      <c r="AN84" s="75"/>
    </row>
    <row r="85" spans="1:40" s="6" customFormat="1" ht="11.25" x14ac:dyDescent="0.2">
      <c r="A85" s="56">
        <f t="shared" si="44"/>
        <v>44632</v>
      </c>
      <c r="B85" s="607">
        <v>13.02</v>
      </c>
      <c r="C85" s="388"/>
      <c r="D85" s="391">
        <f t="shared" si="24"/>
        <v>13.306571703507055</v>
      </c>
      <c r="E85" s="383">
        <f t="shared" si="45"/>
        <v>14.97248431485143</v>
      </c>
      <c r="F85" s="383">
        <f t="shared" si="25"/>
        <v>14.97248431485143</v>
      </c>
      <c r="G85" s="110">
        <f t="shared" si="46"/>
        <v>0.29005112348756712</v>
      </c>
      <c r="H85" s="412" t="b">
        <f>Wh_hp&gt;='2021'!Maxi_hp</f>
        <v>0</v>
      </c>
      <c r="I85" s="379">
        <f>IF(H85,Wh_hp,'2021'!Maxi_hp)</f>
        <v>45.555962265985798</v>
      </c>
      <c r="J85" s="85">
        <f>IF(H85,An,'2021'!An_max)</f>
        <v>2018</v>
      </c>
      <c r="K85" s="197">
        <f t="shared" si="26"/>
        <v>44632</v>
      </c>
      <c r="L85" s="147">
        <f>IF(t&lt;Tvie,1-EXP((T0-t)*PertePVj)+'2021'!Pspv,1-EXP((T0-t)*PertePVj)+Pspv)</f>
        <v>2.1536103354970582E-2</v>
      </c>
      <c r="M85" s="832"/>
      <c r="N85" s="832"/>
      <c r="O85" s="48">
        <f>IF(t&lt;Tnet,'2021'!Resal+('2021'!Salim-'2021'!Resal)*(1-EXP(('2021'!Tnet-t)/('2021'!Tau_j))),Resal+(Salim-Resal)*(1-EXP((Tnet-t)/(Tau_j))))*Salcycl</f>
        <v>0.11126494283196085</v>
      </c>
      <c r="P85" s="169">
        <f>(INDEX(Models!$BJ85:$BT85,,T85)*(1-R85)+INDEX(Models!$BJ85:$BT85,,T85+1)*R85-ERP_i)*Q85*Ramure*Pc/MaxiM</f>
        <v>1.2643068158359227E-5</v>
      </c>
      <c r="Q85" s="304">
        <f t="shared" si="27"/>
        <v>0.6</v>
      </c>
      <c r="R85" s="177">
        <f t="shared" si="28"/>
        <v>1.051657565758015E-2</v>
      </c>
      <c r="S85" s="799">
        <f t="shared" si="29"/>
        <v>0</v>
      </c>
      <c r="T85" s="176">
        <f t="shared" si="30"/>
        <v>6</v>
      </c>
      <c r="U85" s="250">
        <f t="shared" si="31"/>
        <v>1.051657565758015E-2</v>
      </c>
      <c r="V85" s="382">
        <f t="shared" si="32"/>
        <v>44.888070870756906</v>
      </c>
      <c r="W85" s="400"/>
      <c r="X85" s="157">
        <f t="shared" si="33"/>
        <v>44632</v>
      </c>
      <c r="Y85" s="383">
        <f t="shared" si="34"/>
        <v>13.02</v>
      </c>
      <c r="Z85" s="383">
        <f t="shared" si="35"/>
        <v>13.306571703507055</v>
      </c>
      <c r="AA85" s="384">
        <f t="shared" si="36"/>
        <v>14.97248431485143</v>
      </c>
      <c r="AB85" s="197">
        <f t="shared" si="37"/>
        <v>44632</v>
      </c>
      <c r="AC85" s="119">
        <f>IF(OR(t&lt;Tnet,NoTnet),'2021'!Resal_s+('2021'!Salim-'2021'!Resal_s)*(1-EXP(('2021'!Tnet_s-t)/'2021'!Tau_j)),Resal_s+(Salim-Resal_s)*(1-EXP((Tnet_s-t)/Tau_j)))*Salcycl</f>
        <v>0.11126494283196085</v>
      </c>
      <c r="AD85" s="230">
        <f>(INDEX(Models!$BJ85:$BT85,,AH85)*(1-AF85)+INDEX(Models!$BJ85:$BT85,,AH85+1)*AF85-ERP_i)*AE85*Ramure*Pc/MaxiM</f>
        <v>1.2643068158359227E-5</v>
      </c>
      <c r="AE85" s="304">
        <f t="shared" si="38"/>
        <v>0.6</v>
      </c>
      <c r="AF85" s="177">
        <f t="shared" si="39"/>
        <v>1.051657565758015E-2</v>
      </c>
      <c r="AG85" s="799">
        <f t="shared" si="47"/>
        <v>0</v>
      </c>
      <c r="AH85" s="176">
        <f t="shared" si="40"/>
        <v>6</v>
      </c>
      <c r="AI85" s="224">
        <f t="shared" si="41"/>
        <v>1.051657565758015E-2</v>
      </c>
      <c r="AJ85" s="264" t="b">
        <f t="shared" si="42"/>
        <v>1</v>
      </c>
      <c r="AK85" s="264" t="b">
        <f t="shared" si="43"/>
        <v>0</v>
      </c>
      <c r="AL85" s="264"/>
      <c r="AM85" s="264"/>
      <c r="AN85" s="75"/>
    </row>
    <row r="86" spans="1:40" s="6" customFormat="1" ht="11.25" x14ac:dyDescent="0.2">
      <c r="A86" s="56">
        <f t="shared" si="44"/>
        <v>44633</v>
      </c>
      <c r="B86" s="607">
        <v>7.5019999999999998</v>
      </c>
      <c r="C86" s="388"/>
      <c r="D86" s="391">
        <f t="shared" si="24"/>
        <v>7.6672668277260145</v>
      </c>
      <c r="E86" s="383">
        <f t="shared" si="45"/>
        <v>8.6280535919231429</v>
      </c>
      <c r="F86" s="383">
        <f t="shared" si="25"/>
        <v>8.6280535919231429</v>
      </c>
      <c r="G86" s="110">
        <f t="shared" si="46"/>
        <v>0.16602601209910248</v>
      </c>
      <c r="H86" s="412" t="b">
        <f>Wh_hp&gt;='2021'!Maxi_hp</f>
        <v>0</v>
      </c>
      <c r="I86" s="379">
        <f>IF(H86,Wh_hp,'2021'!Maxi_hp)</f>
        <v>42.650905420994242</v>
      </c>
      <c r="J86" s="85">
        <f>IF(H86,An,'2021'!An_max)</f>
        <v>2021</v>
      </c>
      <c r="K86" s="197">
        <f t="shared" si="26"/>
        <v>44633</v>
      </c>
      <c r="L86" s="147">
        <f>IF(t&lt;Tvie,1-EXP((T0-t)*PertePVj)+'2021'!Pspv,1-EXP((T0-t)*PertePVj)+Pspv)</f>
        <v>2.1554855392326266E-2</v>
      </c>
      <c r="M86" s="832"/>
      <c r="N86" s="832"/>
      <c r="O86" s="48">
        <f>IF(t&lt;Tnet,'2021'!Resal+('2021'!Salim-'2021'!Resal)*(1-EXP(('2021'!Tnet-t)/('2021'!Tau_j))),Resal+(Salim-Resal)*(1-EXP((Tnet-t)/(Tau_j))))*Salcycl</f>
        <v>0.11135614237451381</v>
      </c>
      <c r="P86" s="169">
        <f>(INDEX(Models!$BJ86:$BT86,,T86)*(1-R86)+INDEX(Models!$BJ86:$BT86,,T86+1)*R86-ERP_i)*Q86*Ramure*Pc/MaxiM</f>
        <v>1.2159669335120439E-5</v>
      </c>
      <c r="Q86" s="304">
        <f t="shared" si="27"/>
        <v>0.6</v>
      </c>
      <c r="R86" s="177">
        <f t="shared" si="28"/>
        <v>1.1011448904425934E-2</v>
      </c>
      <c r="S86" s="799">
        <f t="shared" si="29"/>
        <v>0</v>
      </c>
      <c r="T86" s="176">
        <f t="shared" si="30"/>
        <v>6</v>
      </c>
      <c r="U86" s="250">
        <f t="shared" si="31"/>
        <v>1.1011448904425934E-2</v>
      </c>
      <c r="V86" s="382">
        <f t="shared" si="32"/>
        <v>45.185141071043063</v>
      </c>
      <c r="W86" s="400"/>
      <c r="X86" s="157">
        <f t="shared" si="33"/>
        <v>44633</v>
      </c>
      <c r="Y86" s="383">
        <f t="shared" si="34"/>
        <v>7.5019999999999989</v>
      </c>
      <c r="Z86" s="383">
        <f t="shared" si="35"/>
        <v>7.6672668277260136</v>
      </c>
      <c r="AA86" s="384">
        <f t="shared" si="36"/>
        <v>8.6280535919231429</v>
      </c>
      <c r="AB86" s="197">
        <f t="shared" si="37"/>
        <v>44633</v>
      </c>
      <c r="AC86" s="119">
        <f>IF(OR(t&lt;Tnet,NoTnet),'2021'!Resal_s+('2021'!Salim-'2021'!Resal_s)*(1-EXP(('2021'!Tnet_s-t)/'2021'!Tau_j)),Resal_s+(Salim-Resal_s)*(1-EXP((Tnet_s-t)/Tau_j)))*Salcycl</f>
        <v>0.11135614237451381</v>
      </c>
      <c r="AD86" s="230">
        <f>(INDEX(Models!$BJ86:$BT86,,AH86)*(1-AF86)+INDEX(Models!$BJ86:$BT86,,AH86+1)*AF86-ERP_i)*AE86*Ramure*Pc/MaxiM</f>
        <v>1.2159669335120439E-5</v>
      </c>
      <c r="AE86" s="304">
        <f t="shared" si="38"/>
        <v>0.6</v>
      </c>
      <c r="AF86" s="177">
        <f t="shared" si="39"/>
        <v>1.1011448904425934E-2</v>
      </c>
      <c r="AG86" s="799">
        <f t="shared" si="47"/>
        <v>0</v>
      </c>
      <c r="AH86" s="176">
        <f t="shared" si="40"/>
        <v>6</v>
      </c>
      <c r="AI86" s="224">
        <f t="shared" si="41"/>
        <v>1.1011448904425934E-2</v>
      </c>
      <c r="AJ86" s="264" t="b">
        <f t="shared" si="42"/>
        <v>1</v>
      </c>
      <c r="AK86" s="264" t="b">
        <f t="shared" si="43"/>
        <v>0</v>
      </c>
      <c r="AL86" s="264"/>
      <c r="AM86" s="264"/>
      <c r="AN86" s="75"/>
    </row>
    <row r="87" spans="1:40" s="6" customFormat="1" ht="11.25" x14ac:dyDescent="0.2">
      <c r="A87" s="56">
        <f t="shared" si="44"/>
        <v>44634</v>
      </c>
      <c r="B87" s="607">
        <v>13.464</v>
      </c>
      <c r="C87" s="388"/>
      <c r="D87" s="391">
        <f t="shared" si="24"/>
        <v>13.760871637655669</v>
      </c>
      <c r="E87" s="383">
        <f t="shared" si="45"/>
        <v>15.486840194269236</v>
      </c>
      <c r="F87" s="383">
        <f t="shared" si="25"/>
        <v>15.486840194269236</v>
      </c>
      <c r="G87" s="110">
        <f t="shared" si="46"/>
        <v>0.29604071692813916</v>
      </c>
      <c r="H87" s="412" t="b">
        <f>Wh_hp&gt;='2021'!Maxi_hp</f>
        <v>0</v>
      </c>
      <c r="I87" s="379">
        <f>IF(H87,Wh_hp,'2021'!Maxi_hp)</f>
        <v>42.248499261755185</v>
      </c>
      <c r="J87" s="85">
        <f>IF(H87,An,'2021'!An_max)</f>
        <v>2020</v>
      </c>
      <c r="K87" s="197">
        <f t="shared" si="26"/>
        <v>44634</v>
      </c>
      <c r="L87" s="147">
        <f>IF(t&lt;Tvie,1-EXP((T0-t)*PertePVj)+'2021'!Pspv,1-EXP((T0-t)*PertePVj)+Pspv)</f>
        <v>2.1573607070303535E-2</v>
      </c>
      <c r="M87" s="832"/>
      <c r="N87" s="832"/>
      <c r="O87" s="48">
        <f>IF(t&lt;Tnet,'2021'!Resal+('2021'!Salim-'2021'!Resal)*(1-EXP(('2021'!Tnet-t)/('2021'!Tau_j))),Resal+(Salim-Resal)*(1-EXP((Tnet-t)/(Tau_j))))*Salcycl</f>
        <v>0.11144743117141787</v>
      </c>
      <c r="P87" s="169">
        <f>(INDEX(Models!$BJ87:$BT87,,T87)*(1-R87)+INDEX(Models!$BJ87:$BT87,,T87+1)*R87-ERP_i)*Q87*Ramure*Pc/MaxiM</f>
        <v>1.1673454326483618E-5</v>
      </c>
      <c r="Q87" s="304">
        <f t="shared" si="27"/>
        <v>0.6</v>
      </c>
      <c r="R87" s="177">
        <f t="shared" si="28"/>
        <v>1.1526018137463567E-2</v>
      </c>
      <c r="S87" s="799">
        <f t="shared" si="29"/>
        <v>0</v>
      </c>
      <c r="T87" s="176">
        <f t="shared" si="30"/>
        <v>6</v>
      </c>
      <c r="U87" s="250">
        <f t="shared" si="31"/>
        <v>1.1526018137463567E-2</v>
      </c>
      <c r="V87" s="382">
        <f t="shared" si="32"/>
        <v>45.479699442422167</v>
      </c>
      <c r="W87" s="400"/>
      <c r="X87" s="157">
        <f t="shared" si="33"/>
        <v>44634</v>
      </c>
      <c r="Y87" s="383">
        <f t="shared" si="34"/>
        <v>13.464</v>
      </c>
      <c r="Z87" s="383">
        <f t="shared" si="35"/>
        <v>13.760871637655669</v>
      </c>
      <c r="AA87" s="384">
        <f t="shared" si="36"/>
        <v>15.486840194269236</v>
      </c>
      <c r="AB87" s="197">
        <f t="shared" si="37"/>
        <v>44634</v>
      </c>
      <c r="AC87" s="119">
        <f>IF(OR(t&lt;Tnet,NoTnet),'2021'!Resal_s+('2021'!Salim-'2021'!Resal_s)*(1-EXP(('2021'!Tnet_s-t)/'2021'!Tau_j)),Resal_s+(Salim-Resal_s)*(1-EXP((Tnet_s-t)/Tau_j)))*Salcycl</f>
        <v>0.11144743117141787</v>
      </c>
      <c r="AD87" s="230">
        <f>(INDEX(Models!$BJ87:$BT87,,AH87)*(1-AF87)+INDEX(Models!$BJ87:$BT87,,AH87+1)*AF87-ERP_i)*AE87*Ramure*Pc/MaxiM</f>
        <v>1.1673454326483618E-5</v>
      </c>
      <c r="AE87" s="304">
        <f t="shared" si="38"/>
        <v>0.6</v>
      </c>
      <c r="AF87" s="177">
        <f t="shared" si="39"/>
        <v>1.1526018137463567E-2</v>
      </c>
      <c r="AG87" s="799">
        <f t="shared" si="47"/>
        <v>0</v>
      </c>
      <c r="AH87" s="176">
        <f t="shared" si="40"/>
        <v>6</v>
      </c>
      <c r="AI87" s="224">
        <f t="shared" si="41"/>
        <v>1.1526018137463567E-2</v>
      </c>
      <c r="AJ87" s="264" t="b">
        <f t="shared" si="42"/>
        <v>1</v>
      </c>
      <c r="AK87" s="264" t="b">
        <f t="shared" si="43"/>
        <v>0</v>
      </c>
      <c r="AL87" s="264"/>
      <c r="AM87" s="264"/>
      <c r="AN87" s="75"/>
    </row>
    <row r="88" spans="1:40" s="6" customFormat="1" ht="11.25" x14ac:dyDescent="0.2">
      <c r="A88" s="56">
        <f t="shared" si="44"/>
        <v>44635</v>
      </c>
      <c r="B88" s="607">
        <v>12.766999999999999</v>
      </c>
      <c r="C88" s="388"/>
      <c r="D88" s="391">
        <f t="shared" si="24"/>
        <v>13.048753359057244</v>
      </c>
      <c r="E88" s="383">
        <f t="shared" si="45"/>
        <v>14.686914904262244</v>
      </c>
      <c r="F88" s="383">
        <f t="shared" si="25"/>
        <v>14.686914904262244</v>
      </c>
      <c r="G88" s="110">
        <f t="shared" si="46"/>
        <v>0.27892726827177444</v>
      </c>
      <c r="H88" s="412" t="b">
        <f>Wh_hp&gt;='2021'!Maxi_hp</f>
        <v>0</v>
      </c>
      <c r="I88" s="379">
        <f>IF(H88,Wh_hp,'2021'!Maxi_hp)</f>
        <v>34.209482776257786</v>
      </c>
      <c r="J88" s="85">
        <f>IF(H88,An,'2021'!An_max)</f>
        <v>2020</v>
      </c>
      <c r="K88" s="197">
        <f t="shared" si="26"/>
        <v>44635</v>
      </c>
      <c r="L88" s="147">
        <f>IF(t&lt;Tvie,1-EXP((T0-t)*PertePVj)+'2021'!Pspv,1-EXP((T0-t)*PertePVj)+Pspv)</f>
        <v>2.159235838890905E-2</v>
      </c>
      <c r="M88" s="832"/>
      <c r="N88" s="832"/>
      <c r="O88" s="48">
        <f>IF(t&lt;Tnet,'2021'!Resal+('2021'!Salim-'2021'!Resal)*(1-EXP(('2021'!Tnet-t)/('2021'!Tau_j))),Resal+(Salim-Resal)*(1-EXP((Tnet-t)/(Tau_j))))*Salcycl</f>
        <v>0.11153884637335194</v>
      </c>
      <c r="P88" s="169">
        <f>(INDEX(Models!$BJ88:$BT88,,T88)*(1-R88)+INDEX(Models!$BJ88:$BT88,,T88+1)*R88-ERP_i)*Q88*Ramure*Pc/MaxiM</f>
        <v>1.1184483875798519E-5</v>
      </c>
      <c r="Q88" s="304">
        <f t="shared" si="27"/>
        <v>0.6</v>
      </c>
      <c r="R88" s="177">
        <f t="shared" si="28"/>
        <v>1.2061022069095168E-2</v>
      </c>
      <c r="S88" s="799">
        <f t="shared" si="29"/>
        <v>0</v>
      </c>
      <c r="T88" s="176">
        <f t="shared" si="30"/>
        <v>6</v>
      </c>
      <c r="U88" s="250">
        <f t="shared" si="31"/>
        <v>1.2061022069095168E-2</v>
      </c>
      <c r="V88" s="382">
        <f t="shared" si="32"/>
        <v>45.771276816345157</v>
      </c>
      <c r="W88" s="400"/>
      <c r="X88" s="157">
        <f t="shared" si="33"/>
        <v>44635</v>
      </c>
      <c r="Y88" s="383">
        <f t="shared" si="34"/>
        <v>12.766999999999999</v>
      </c>
      <c r="Z88" s="383">
        <f t="shared" si="35"/>
        <v>13.048753359057244</v>
      </c>
      <c r="AA88" s="384">
        <f t="shared" si="36"/>
        <v>14.686914904262244</v>
      </c>
      <c r="AB88" s="197">
        <f t="shared" si="37"/>
        <v>44635</v>
      </c>
      <c r="AC88" s="119">
        <f>IF(OR(t&lt;Tnet,NoTnet),'2021'!Resal_s+('2021'!Salim-'2021'!Resal_s)*(1-EXP(('2021'!Tnet_s-t)/'2021'!Tau_j)),Resal_s+(Salim-Resal_s)*(1-EXP((Tnet_s-t)/Tau_j)))*Salcycl</f>
        <v>0.11153884637335194</v>
      </c>
      <c r="AD88" s="230">
        <f>(INDEX(Models!$BJ88:$BT88,,AH88)*(1-AF88)+INDEX(Models!$BJ88:$BT88,,AH88+1)*AF88-ERP_i)*AE88*Ramure*Pc/MaxiM</f>
        <v>1.1184483875798519E-5</v>
      </c>
      <c r="AE88" s="304">
        <f t="shared" si="38"/>
        <v>0.6</v>
      </c>
      <c r="AF88" s="177">
        <f t="shared" si="39"/>
        <v>1.2061022069095168E-2</v>
      </c>
      <c r="AG88" s="799">
        <f t="shared" si="47"/>
        <v>0</v>
      </c>
      <c r="AH88" s="176">
        <f t="shared" si="40"/>
        <v>6</v>
      </c>
      <c r="AI88" s="224">
        <f t="shared" si="41"/>
        <v>1.2061022069095168E-2</v>
      </c>
      <c r="AJ88" s="264" t="b">
        <f t="shared" si="42"/>
        <v>1</v>
      </c>
      <c r="AK88" s="264" t="b">
        <f t="shared" si="43"/>
        <v>0</v>
      </c>
      <c r="AL88" s="264"/>
      <c r="AM88" s="264"/>
      <c r="AN88" s="75"/>
    </row>
    <row r="89" spans="1:40" s="6" customFormat="1" ht="11.25" x14ac:dyDescent="0.2">
      <c r="A89" s="56">
        <f t="shared" si="44"/>
        <v>44636</v>
      </c>
      <c r="B89" s="607">
        <v>12.836</v>
      </c>
      <c r="C89" s="388"/>
      <c r="D89" s="391">
        <f t="shared" si="24"/>
        <v>13.119527544357167</v>
      </c>
      <c r="E89" s="383">
        <f t="shared" si="45"/>
        <v>14.768096450196659</v>
      </c>
      <c r="F89" s="383">
        <f t="shared" si="25"/>
        <v>14.768096450196659</v>
      </c>
      <c r="G89" s="110">
        <f t="shared" si="46"/>
        <v>0.27868060799515015</v>
      </c>
      <c r="H89" s="412" t="b">
        <f>Wh_hp&gt;='2021'!Maxi_hp</f>
        <v>0</v>
      </c>
      <c r="I89" s="379">
        <f>IF(H89,Wh_hp,'2021'!Maxi_hp)</f>
        <v>54.475764848808986</v>
      </c>
      <c r="J89" s="85">
        <f>IF(H89,An,'2021'!An_max)</f>
        <v>2020</v>
      </c>
      <c r="K89" s="197">
        <f t="shared" si="26"/>
        <v>44636</v>
      </c>
      <c r="L89" s="147">
        <f>IF(t&lt;Tvie,1-EXP((T0-t)*PertePVj)+'2021'!Pspv,1-EXP((T0-t)*PertePVj)+Pspv)</f>
        <v>2.1611109348149915E-2</v>
      </c>
      <c r="M89" s="832"/>
      <c r="N89" s="832"/>
      <c r="O89" s="48">
        <f>IF(t&lt;Tnet,'2021'!Resal+('2021'!Salim-'2021'!Resal)*(1-EXP(('2021'!Tnet-t)/('2021'!Tau_j))),Resal+(Salim-Resal)*(1-EXP((Tnet-t)/(Tau_j))))*Salcycl</f>
        <v>0.11163042653459501</v>
      </c>
      <c r="P89" s="169">
        <f>(INDEX(Models!$BJ89:$BT89,,T89)*(1-R89)+INDEX(Models!$BJ89:$BT89,,T89+1)*R89-ERP_i)*Q89*Ramure*Pc/MaxiM</f>
        <v>1.0692783736032572E-5</v>
      </c>
      <c r="Q89" s="304">
        <f t="shared" si="27"/>
        <v>0.6</v>
      </c>
      <c r="R89" s="177">
        <f t="shared" si="28"/>
        <v>1.2617223361867096E-2</v>
      </c>
      <c r="S89" s="799">
        <f t="shared" si="29"/>
        <v>0</v>
      </c>
      <c r="T89" s="176">
        <f t="shared" si="30"/>
        <v>6</v>
      </c>
      <c r="U89" s="250">
        <f t="shared" si="31"/>
        <v>1.2617223361867096E-2</v>
      </c>
      <c r="V89" s="382">
        <f t="shared" si="32"/>
        <v>46.05940413210002</v>
      </c>
      <c r="W89" s="400"/>
      <c r="X89" s="157">
        <f t="shared" si="33"/>
        <v>44636</v>
      </c>
      <c r="Y89" s="383">
        <f t="shared" si="34"/>
        <v>12.836</v>
      </c>
      <c r="Z89" s="383">
        <f t="shared" si="35"/>
        <v>13.119527544357167</v>
      </c>
      <c r="AA89" s="384">
        <f t="shared" si="36"/>
        <v>14.768096450196659</v>
      </c>
      <c r="AB89" s="197">
        <f t="shared" si="37"/>
        <v>44636</v>
      </c>
      <c r="AC89" s="119">
        <f>IF(OR(t&lt;Tnet,NoTnet),'2021'!Resal_s+('2021'!Salim-'2021'!Resal_s)*(1-EXP(('2021'!Tnet_s-t)/'2021'!Tau_j)),Resal_s+(Salim-Resal_s)*(1-EXP((Tnet_s-t)/Tau_j)))*Salcycl</f>
        <v>0.11163042653459501</v>
      </c>
      <c r="AD89" s="230">
        <f>(INDEX(Models!$BJ89:$BT89,,AH89)*(1-AF89)+INDEX(Models!$BJ89:$BT89,,AH89+1)*AF89-ERP_i)*AE89*Ramure*Pc/MaxiM</f>
        <v>1.0692783736032572E-5</v>
      </c>
      <c r="AE89" s="304">
        <f t="shared" si="38"/>
        <v>0.6</v>
      </c>
      <c r="AF89" s="177">
        <f t="shared" si="39"/>
        <v>1.2617223361867096E-2</v>
      </c>
      <c r="AG89" s="799">
        <f t="shared" si="47"/>
        <v>0</v>
      </c>
      <c r="AH89" s="176">
        <f t="shared" si="40"/>
        <v>6</v>
      </c>
      <c r="AI89" s="224">
        <f t="shared" si="41"/>
        <v>1.2617223361867096E-2</v>
      </c>
      <c r="AJ89" s="264" t="b">
        <f t="shared" si="42"/>
        <v>1</v>
      </c>
      <c r="AK89" s="264" t="b">
        <f t="shared" si="43"/>
        <v>0</v>
      </c>
      <c r="AL89" s="264"/>
      <c r="AM89" s="264"/>
      <c r="AN89" s="75"/>
    </row>
    <row r="90" spans="1:40" s="6" customFormat="1" ht="11.25" x14ac:dyDescent="0.2">
      <c r="A90" s="56">
        <f t="shared" si="44"/>
        <v>44637</v>
      </c>
      <c r="B90" s="607">
        <v>10.583</v>
      </c>
      <c r="C90" s="388"/>
      <c r="D90" s="391">
        <f t="shared" si="24"/>
        <v>10.8169695361286</v>
      </c>
      <c r="E90" s="383">
        <f t="shared" si="45"/>
        <v>12.177462586602822</v>
      </c>
      <c r="F90" s="383">
        <f t="shared" si="25"/>
        <v>12.177462586602822</v>
      </c>
      <c r="G90" s="110">
        <f t="shared" si="46"/>
        <v>0.22835708120965206</v>
      </c>
      <c r="H90" s="412" t="b">
        <f>Wh_hp&gt;='2021'!Maxi_hp</f>
        <v>0</v>
      </c>
      <c r="I90" s="379">
        <f>IF(H90,Wh_hp,'2021'!Maxi_hp)</f>
        <v>28.016167697203379</v>
      </c>
      <c r="J90" s="85">
        <f>IF(H90,An,'2021'!An_max)</f>
        <v>2021</v>
      </c>
      <c r="K90" s="197">
        <f t="shared" si="26"/>
        <v>44637</v>
      </c>
      <c r="L90" s="147">
        <f>IF(t&lt;Tvie,1-EXP((T0-t)*PertePVj)+'2021'!Pspv,1-EXP((T0-t)*PertePVj)+Pspv)</f>
        <v>2.1629859948032792E-2</v>
      </c>
      <c r="M90" s="832"/>
      <c r="N90" s="832"/>
      <c r="O90" s="48">
        <f>IF(t&lt;Tnet,'2021'!Resal+('2021'!Salim-'2021'!Resal)*(1-EXP(('2021'!Tnet-t)/('2021'!Tau_j))),Resal+(Salim-Resal)*(1-EXP((Tnet-t)/(Tau_j))))*Salcycl</f>
        <v>0.11172221148689751</v>
      </c>
      <c r="P90" s="169">
        <f>(INDEX(Models!$BJ90:$BT90,,T90)*(1-R90)+INDEX(Models!$BJ90:$BT90,,T90+1)*R90-ERP_i)*Q90*Ramure*Pc/MaxiM</f>
        <v>1.0198344075123976E-5</v>
      </c>
      <c r="Q90" s="304">
        <f t="shared" si="27"/>
        <v>0.6</v>
      </c>
      <c r="R90" s="177">
        <f t="shared" si="28"/>
        <v>1.3195409087631345E-2</v>
      </c>
      <c r="S90" s="799">
        <f t="shared" si="29"/>
        <v>0</v>
      </c>
      <c r="T90" s="176">
        <f t="shared" si="30"/>
        <v>6</v>
      </c>
      <c r="U90" s="250">
        <f t="shared" si="31"/>
        <v>1.3195409087631345E-2</v>
      </c>
      <c r="V90" s="382">
        <f t="shared" si="32"/>
        <v>46.343612446196133</v>
      </c>
      <c r="W90" s="400"/>
      <c r="X90" s="157">
        <f t="shared" si="33"/>
        <v>44637</v>
      </c>
      <c r="Y90" s="383">
        <f t="shared" si="34"/>
        <v>10.583</v>
      </c>
      <c r="Z90" s="383">
        <f t="shared" si="35"/>
        <v>10.8169695361286</v>
      </c>
      <c r="AA90" s="384">
        <f t="shared" si="36"/>
        <v>12.177462586602822</v>
      </c>
      <c r="AB90" s="197">
        <f t="shared" si="37"/>
        <v>44637</v>
      </c>
      <c r="AC90" s="119">
        <f>IF(OR(t&lt;Tnet,NoTnet),'2021'!Resal_s+('2021'!Salim-'2021'!Resal_s)*(1-EXP(('2021'!Tnet_s-t)/'2021'!Tau_j)),Resal_s+(Salim-Resal_s)*(1-EXP((Tnet_s-t)/Tau_j)))*Salcycl</f>
        <v>0.11172221148689751</v>
      </c>
      <c r="AD90" s="230">
        <f>(INDEX(Models!$BJ90:$BT90,,AH90)*(1-AF90)+INDEX(Models!$BJ90:$BT90,,AH90+1)*AF90-ERP_i)*AE90*Ramure*Pc/MaxiM</f>
        <v>1.0198344075123976E-5</v>
      </c>
      <c r="AE90" s="304">
        <f t="shared" si="38"/>
        <v>0.6</v>
      </c>
      <c r="AF90" s="177">
        <f t="shared" si="39"/>
        <v>1.3195409087631345E-2</v>
      </c>
      <c r="AG90" s="799">
        <f t="shared" si="47"/>
        <v>0</v>
      </c>
      <c r="AH90" s="176">
        <f t="shared" si="40"/>
        <v>6</v>
      </c>
      <c r="AI90" s="224">
        <f t="shared" si="41"/>
        <v>1.3195409087631345E-2</v>
      </c>
      <c r="AJ90" s="264" t="b">
        <f t="shared" si="42"/>
        <v>1</v>
      </c>
      <c r="AK90" s="264" t="b">
        <f t="shared" si="43"/>
        <v>0</v>
      </c>
      <c r="AL90" s="264"/>
      <c r="AM90" s="264"/>
      <c r="AN90" s="75"/>
    </row>
    <row r="91" spans="1:40" s="6" customFormat="1" ht="11.25" x14ac:dyDescent="0.2">
      <c r="A91" s="56">
        <f t="shared" si="44"/>
        <v>44638</v>
      </c>
      <c r="B91" s="607">
        <v>13.264000000000001</v>
      </c>
      <c r="C91" s="388"/>
      <c r="D91" s="391">
        <f t="shared" si="24"/>
        <v>13.55750105548117</v>
      </c>
      <c r="E91" s="383">
        <f t="shared" si="45"/>
        <v>15.264263062726426</v>
      </c>
      <c r="F91" s="383">
        <f t="shared" si="25"/>
        <v>15.264263062726426</v>
      </c>
      <c r="G91" s="110">
        <f t="shared" si="46"/>
        <v>0.28448937560363774</v>
      </c>
      <c r="H91" s="412" t="b">
        <f>Wh_hp&gt;='2021'!Maxi_hp</f>
        <v>0</v>
      </c>
      <c r="I91" s="379">
        <f>IF(H91,Wh_hp,'2021'!Maxi_hp)</f>
        <v>36.161356704838056</v>
      </c>
      <c r="J91" s="85">
        <f>IF(H91,An,'2021'!An_max)</f>
        <v>2018</v>
      </c>
      <c r="K91" s="197">
        <f t="shared" si="26"/>
        <v>44638</v>
      </c>
      <c r="L91" s="147">
        <f>IF(t&lt;Tvie,1-EXP((T0-t)*PertePVj)+'2021'!Pspv,1-EXP((T0-t)*PertePVj)+Pspv)</f>
        <v>2.1648610188564898E-2</v>
      </c>
      <c r="M91" s="832"/>
      <c r="N91" s="832"/>
      <c r="O91" s="48">
        <f>IF(t&lt;Tnet,'2021'!Resal+('2021'!Salim-'2021'!Resal)*(1-EXP(('2021'!Tnet-t)/('2021'!Tau_j))),Resal+(Salim-Resal)*(1-EXP((Tnet-t)/(Tau_j))))*Salcycl</f>
        <v>0.11181424220950255</v>
      </c>
      <c r="P91" s="169">
        <f>(INDEX(Models!$BJ91:$BT91,,T91)*(1-R91)+INDEX(Models!$BJ91:$BT91,,T91+1)*R91-ERP_i)*Q91*Ramure*Pc/MaxiM</f>
        <v>9.7011188813826577E-6</v>
      </c>
      <c r="Q91" s="304">
        <f t="shared" si="27"/>
        <v>0.6</v>
      </c>
      <c r="R91" s="177">
        <f t="shared" si="28"/>
        <v>1.3796391166256772E-2</v>
      </c>
      <c r="S91" s="799">
        <f t="shared" si="29"/>
        <v>0</v>
      </c>
      <c r="T91" s="176">
        <f t="shared" si="30"/>
        <v>6</v>
      </c>
      <c r="U91" s="250">
        <f t="shared" si="31"/>
        <v>1.3796391166256772E-2</v>
      </c>
      <c r="V91" s="382">
        <f t="shared" si="32"/>
        <v>46.623432935643002</v>
      </c>
      <c r="W91" s="400"/>
      <c r="X91" s="157">
        <f t="shared" si="33"/>
        <v>44638</v>
      </c>
      <c r="Y91" s="383">
        <f t="shared" si="34"/>
        <v>13.264000000000001</v>
      </c>
      <c r="Z91" s="383">
        <f t="shared" si="35"/>
        <v>13.55750105548117</v>
      </c>
      <c r="AA91" s="384">
        <f t="shared" si="36"/>
        <v>15.264263062726426</v>
      </c>
      <c r="AB91" s="197">
        <f t="shared" si="37"/>
        <v>44638</v>
      </c>
      <c r="AC91" s="119">
        <f>IF(OR(t&lt;Tnet,NoTnet),'2021'!Resal_s+('2021'!Salim-'2021'!Resal_s)*(1-EXP(('2021'!Tnet_s-t)/'2021'!Tau_j)),Resal_s+(Salim-Resal_s)*(1-EXP((Tnet_s-t)/Tau_j)))*Salcycl</f>
        <v>0.11181424220950255</v>
      </c>
      <c r="AD91" s="230">
        <f>(INDEX(Models!$BJ91:$BT91,,AH91)*(1-AF91)+INDEX(Models!$BJ91:$BT91,,AH91+1)*AF91-ERP_i)*AE91*Ramure*Pc/MaxiM</f>
        <v>9.7011188813826577E-6</v>
      </c>
      <c r="AE91" s="304">
        <f t="shared" si="38"/>
        <v>0.6</v>
      </c>
      <c r="AF91" s="177">
        <f t="shared" si="39"/>
        <v>1.3796391166256772E-2</v>
      </c>
      <c r="AG91" s="799">
        <f t="shared" si="47"/>
        <v>0</v>
      </c>
      <c r="AH91" s="176">
        <f t="shared" si="40"/>
        <v>6</v>
      </c>
      <c r="AI91" s="224">
        <f t="shared" si="41"/>
        <v>1.3796391166256772E-2</v>
      </c>
      <c r="AJ91" s="264" t="b">
        <f t="shared" si="42"/>
        <v>1</v>
      </c>
      <c r="AK91" s="264" t="b">
        <f t="shared" si="43"/>
        <v>0</v>
      </c>
      <c r="AL91" s="264"/>
      <c r="AM91" s="264"/>
      <c r="AN91" s="75"/>
    </row>
    <row r="92" spans="1:40" s="6" customFormat="1" ht="11.25" x14ac:dyDescent="0.2">
      <c r="A92" s="56">
        <f t="shared" si="44"/>
        <v>44639</v>
      </c>
      <c r="B92" s="607">
        <v>26.655000000000001</v>
      </c>
      <c r="C92" s="388"/>
      <c r="D92" s="391">
        <f t="shared" si="24"/>
        <v>27.24533447223067</v>
      </c>
      <c r="E92" s="383">
        <f t="shared" si="45"/>
        <v>30.678454840962537</v>
      </c>
      <c r="F92" s="383">
        <f t="shared" si="25"/>
        <v>30.678563055353525</v>
      </c>
      <c r="G92" s="110">
        <f t="shared" si="46"/>
        <v>0.5683530893233818</v>
      </c>
      <c r="H92" s="412" t="b">
        <f>Wh_hp&gt;='2021'!Maxi_hp</f>
        <v>0</v>
      </c>
      <c r="I92" s="379">
        <f>IF(H92,Wh_hp,'2021'!Maxi_hp)</f>
        <v>48.151919129153704</v>
      </c>
      <c r="J92" s="85">
        <f>IF(H92,An,'2021'!An_max)</f>
        <v>2020</v>
      </c>
      <c r="K92" s="197">
        <f t="shared" si="26"/>
        <v>44639</v>
      </c>
      <c r="L92" s="147">
        <f>IF(t&lt;Tvie,1-EXP((T0-t)*PertePVj)+'2021'!Pspv,1-EXP((T0-t)*PertePVj)+Pspv)</f>
        <v>2.1667360069752784E-2</v>
      </c>
      <c r="M92" s="832"/>
      <c r="N92" s="832"/>
      <c r="O92" s="48">
        <f>IF(t&lt;Tnet,'2021'!Resal+('2021'!Salim-'2021'!Resal)*(1-EXP(('2021'!Tnet-t)/('2021'!Tau_j))),Resal+(Salim-Resal)*(1-EXP((Tnet-t)/(Tau_j))))*Salcycl</f>
        <v>0.11190656069639754</v>
      </c>
      <c r="P92" s="169">
        <f>(INDEX(Models!$BJ92:$BT92,,T92)*(1-R92)+INDEX(Models!$BJ92:$BT92,,T92+1)*R92-ERP_i)*Q92*Ramure*Pc/MaxiM</f>
        <v>9.201025359859607E-6</v>
      </c>
      <c r="Q92" s="304">
        <f t="shared" si="27"/>
        <v>0.6</v>
      </c>
      <c r="R92" s="177">
        <f t="shared" si="28"/>
        <v>1.4421006780463359E-2</v>
      </c>
      <c r="S92" s="799">
        <f t="shared" si="29"/>
        <v>0</v>
      </c>
      <c r="T92" s="176">
        <f t="shared" si="30"/>
        <v>6</v>
      </c>
      <c r="U92" s="250">
        <f t="shared" si="31"/>
        <v>1.4421006780463359E-2</v>
      </c>
      <c r="V92" s="382">
        <f t="shared" si="32"/>
        <v>46.89839690973848</v>
      </c>
      <c r="W92" s="400"/>
      <c r="X92" s="157">
        <f t="shared" si="33"/>
        <v>44639</v>
      </c>
      <c r="Y92" s="383">
        <f t="shared" si="34"/>
        <v>26.655000000000001</v>
      </c>
      <c r="Z92" s="383">
        <f t="shared" si="35"/>
        <v>27.24533447223067</v>
      </c>
      <c r="AA92" s="384">
        <f t="shared" si="36"/>
        <v>30.678454840962537</v>
      </c>
      <c r="AB92" s="197">
        <f t="shared" si="37"/>
        <v>44639</v>
      </c>
      <c r="AC92" s="119">
        <f>IF(OR(t&lt;Tnet,NoTnet),'2021'!Resal_s+('2021'!Salim-'2021'!Resal_s)*(1-EXP(('2021'!Tnet_s-t)/'2021'!Tau_j)),Resal_s+(Salim-Resal_s)*(1-EXP((Tnet_s-t)/Tau_j)))*Salcycl</f>
        <v>0.11190656069639754</v>
      </c>
      <c r="AD92" s="230">
        <f>(INDEX(Models!$BJ92:$BT92,,AH92)*(1-AF92)+INDEX(Models!$BJ92:$BT92,,AH92+1)*AF92-ERP_i)*AE92*Ramure*Pc/MaxiM</f>
        <v>9.201025359859607E-6</v>
      </c>
      <c r="AE92" s="304">
        <f t="shared" si="38"/>
        <v>0.6</v>
      </c>
      <c r="AF92" s="177">
        <f t="shared" si="39"/>
        <v>1.4421006780463359E-2</v>
      </c>
      <c r="AG92" s="799">
        <f t="shared" si="47"/>
        <v>0</v>
      </c>
      <c r="AH92" s="176">
        <f t="shared" si="40"/>
        <v>6</v>
      </c>
      <c r="AI92" s="224">
        <f t="shared" si="41"/>
        <v>1.4421006780463359E-2</v>
      </c>
      <c r="AJ92" s="264" t="b">
        <f t="shared" si="42"/>
        <v>1</v>
      </c>
      <c r="AK92" s="264" t="b">
        <f t="shared" si="43"/>
        <v>0</v>
      </c>
      <c r="AL92" s="264"/>
      <c r="AM92" s="264"/>
      <c r="AN92" s="75"/>
    </row>
    <row r="93" spans="1:40" s="6" customFormat="1" ht="11.25" x14ac:dyDescent="0.2">
      <c r="A93" s="56">
        <f t="shared" si="44"/>
        <v>44640</v>
      </c>
      <c r="B93" s="607">
        <v>29.495000000000001</v>
      </c>
      <c r="C93" s="388"/>
      <c r="D93" s="391">
        <f t="shared" si="24"/>
        <v>30.14881040653254</v>
      </c>
      <c r="E93" s="383">
        <f t="shared" si="45"/>
        <v>33.951332859156402</v>
      </c>
      <c r="F93" s="383">
        <f t="shared" si="25"/>
        <v>33.951470078383032</v>
      </c>
      <c r="G93" s="110">
        <f t="shared" si="46"/>
        <v>0.62528031378053883</v>
      </c>
      <c r="H93" s="412" t="b">
        <f>Wh_hp&gt;='2021'!Maxi_hp</f>
        <v>0</v>
      </c>
      <c r="I93" s="379">
        <f>IF(H93,Wh_hp,'2021'!Maxi_hp)</f>
        <v>53.213779784597463</v>
      </c>
      <c r="J93" s="85">
        <f>IF(H93,An,'2021'!An_max)</f>
        <v>2018</v>
      </c>
      <c r="K93" s="197">
        <f t="shared" si="26"/>
        <v>44640</v>
      </c>
      <c r="L93" s="147">
        <f>IF(t&lt;Tvie,1-EXP((T0-t)*PertePVj)+'2021'!Pspv,1-EXP((T0-t)*PertePVj)+Pspv)</f>
        <v>2.1686109591603442E-2</v>
      </c>
      <c r="M93" s="832"/>
      <c r="N93" s="832"/>
      <c r="O93" s="48">
        <f>IF(t&lt;Tnet,'2021'!Resal+('2021'!Salim-'2021'!Resal)*(1-EXP(('2021'!Tnet-t)/('2021'!Tau_j))),Resal+(Salim-Resal)*(1-EXP((Tnet-t)/(Tau_j))))*Salcycl</f>
        <v>0.11199920982184204</v>
      </c>
      <c r="P93" s="169">
        <f>(INDEX(Models!$BJ93:$BT93,,T93)*(1-R93)+INDEX(Models!$BJ93:$BT93,,T93+1)*R93-ERP_i)*Q93*Ramure*Pc/MaxiM</f>
        <v>8.6974663364929452E-6</v>
      </c>
      <c r="Q93" s="304">
        <f t="shared" si="27"/>
        <v>0.6</v>
      </c>
      <c r="R93" s="177">
        <f t="shared" si="28"/>
        <v>1.5070118763084835E-2</v>
      </c>
      <c r="S93" s="799">
        <f t="shared" si="29"/>
        <v>0</v>
      </c>
      <c r="T93" s="176">
        <f t="shared" si="30"/>
        <v>6</v>
      </c>
      <c r="U93" s="250">
        <f t="shared" si="31"/>
        <v>1.5070118763084835E-2</v>
      </c>
      <c r="V93" s="382">
        <f t="shared" si="32"/>
        <v>47.17062415922787</v>
      </c>
      <c r="W93" s="400"/>
      <c r="X93" s="157">
        <f t="shared" si="33"/>
        <v>44640</v>
      </c>
      <c r="Y93" s="383">
        <f t="shared" si="34"/>
        <v>29.495000000000005</v>
      </c>
      <c r="Z93" s="383">
        <f t="shared" si="35"/>
        <v>30.148810406532544</v>
      </c>
      <c r="AA93" s="384">
        <f t="shared" si="36"/>
        <v>33.951332859156402</v>
      </c>
      <c r="AB93" s="197">
        <f t="shared" si="37"/>
        <v>44640</v>
      </c>
      <c r="AC93" s="119">
        <f>IF(OR(t&lt;Tnet,NoTnet),'2021'!Resal_s+('2021'!Salim-'2021'!Resal_s)*(1-EXP(('2021'!Tnet_s-t)/'2021'!Tau_j)),Resal_s+(Salim-Resal_s)*(1-EXP((Tnet_s-t)/Tau_j)))*Salcycl</f>
        <v>0.11199920982184204</v>
      </c>
      <c r="AD93" s="230">
        <f>(INDEX(Models!$BJ93:$BT93,,AH93)*(1-AF93)+INDEX(Models!$BJ93:$BT93,,AH93+1)*AF93-ERP_i)*AE93*Ramure*Pc/MaxiM</f>
        <v>8.6974663364929452E-6</v>
      </c>
      <c r="AE93" s="304">
        <f t="shared" si="38"/>
        <v>0.6</v>
      </c>
      <c r="AF93" s="177">
        <f t="shared" si="39"/>
        <v>1.5070118763084835E-2</v>
      </c>
      <c r="AG93" s="799">
        <f t="shared" si="47"/>
        <v>0</v>
      </c>
      <c r="AH93" s="176">
        <f t="shared" si="40"/>
        <v>6</v>
      </c>
      <c r="AI93" s="224">
        <f t="shared" si="41"/>
        <v>1.5070118763084835E-2</v>
      </c>
      <c r="AJ93" s="264" t="b">
        <f t="shared" si="42"/>
        <v>1</v>
      </c>
      <c r="AK93" s="264" t="b">
        <f t="shared" si="43"/>
        <v>0</v>
      </c>
      <c r="AL93" s="264"/>
      <c r="AM93" s="264"/>
      <c r="AN93" s="75"/>
    </row>
    <row r="94" spans="1:40" s="6" customFormat="1" ht="11.25" x14ac:dyDescent="0.2">
      <c r="A94" s="56">
        <f t="shared" si="44"/>
        <v>44641</v>
      </c>
      <c r="B94" s="607">
        <v>43.204999999999998</v>
      </c>
      <c r="C94" s="388"/>
      <c r="D94" s="391">
        <f t="shared" si="24"/>
        <v>44.163563916894923</v>
      </c>
      <c r="E94" s="383">
        <f t="shared" si="45"/>
        <v>49.738909342257863</v>
      </c>
      <c r="F94" s="383">
        <f t="shared" si="25"/>
        <v>49.739265142364111</v>
      </c>
      <c r="G94" s="110">
        <f t="shared" si="46"/>
        <v>0.91068791983430497</v>
      </c>
      <c r="H94" s="412" t="b">
        <f>Wh_hp&gt;='2021'!Maxi_hp</f>
        <v>0</v>
      </c>
      <c r="I94" s="379">
        <f>IF(H94,Wh_hp,'2021'!Maxi_hp)</f>
        <v>53.458089214511951</v>
      </c>
      <c r="J94" s="85">
        <f>IF(H94,An,'2021'!An_max)</f>
        <v>2020</v>
      </c>
      <c r="K94" s="197">
        <f t="shared" si="26"/>
        <v>44641</v>
      </c>
      <c r="L94" s="147">
        <f>IF(t&lt;Tvie,1-EXP((T0-t)*PertePVj)+'2021'!Pspv,1-EXP((T0-t)*PertePVj)+Pspv)</f>
        <v>2.1704858754123868E-2</v>
      </c>
      <c r="M94" s="832"/>
      <c r="N94" s="832"/>
      <c r="O94" s="48">
        <f>IF(t&lt;Tnet,'2021'!Resal+('2021'!Salim-'2021'!Resal)*(1-EXP(('2021'!Tnet-t)/('2021'!Tau_j))),Resal+(Salim-Resal)*(1-EXP((Tnet-t)/(Tau_j))))*Salcycl</f>
        <v>0.11209223320516527</v>
      </c>
      <c r="P94" s="169">
        <f>(INDEX(Models!$BJ94:$BT94,,T94)*(1-R94)+INDEX(Models!$BJ94:$BT94,,T94+1)*R94-ERP_i)*Q94*Ramure*Pc/MaxiM</f>
        <v>8.1994503811373925E-6</v>
      </c>
      <c r="Q94" s="304">
        <f t="shared" si="27"/>
        <v>0.6</v>
      </c>
      <c r="R94" s="177">
        <f t="shared" si="28"/>
        <v>1.5744615952785042E-2</v>
      </c>
      <c r="S94" s="799">
        <f t="shared" si="29"/>
        <v>0</v>
      </c>
      <c r="T94" s="176">
        <f t="shared" si="30"/>
        <v>6</v>
      </c>
      <c r="U94" s="250">
        <f t="shared" si="31"/>
        <v>1.5744615952785042E-2</v>
      </c>
      <c r="V94" s="382">
        <f t="shared" si="32"/>
        <v>47.442108168956786</v>
      </c>
      <c r="W94" s="400"/>
      <c r="X94" s="157">
        <f t="shared" si="33"/>
        <v>44641</v>
      </c>
      <c r="Y94" s="383">
        <f t="shared" si="34"/>
        <v>43.204999999999998</v>
      </c>
      <c r="Z94" s="383">
        <f t="shared" si="35"/>
        <v>44.163563916894923</v>
      </c>
      <c r="AA94" s="384">
        <f t="shared" si="36"/>
        <v>49.738909342257863</v>
      </c>
      <c r="AB94" s="197">
        <f t="shared" si="37"/>
        <v>44641</v>
      </c>
      <c r="AC94" s="119">
        <f>IF(OR(t&lt;Tnet,NoTnet),'2021'!Resal_s+('2021'!Salim-'2021'!Resal_s)*(1-EXP(('2021'!Tnet_s-t)/'2021'!Tau_j)),Resal_s+(Salim-Resal_s)*(1-EXP((Tnet_s-t)/Tau_j)))*Salcycl</f>
        <v>0.11209223320516527</v>
      </c>
      <c r="AD94" s="230">
        <f>(INDEX(Models!$BJ94:$BT94,,AH94)*(1-AF94)+INDEX(Models!$BJ94:$BT94,,AH94+1)*AF94-ERP_i)*AE94*Ramure*Pc/MaxiM</f>
        <v>8.1994503811373925E-6</v>
      </c>
      <c r="AE94" s="304">
        <f t="shared" si="38"/>
        <v>0.6</v>
      </c>
      <c r="AF94" s="177">
        <f t="shared" si="39"/>
        <v>1.5744615952785042E-2</v>
      </c>
      <c r="AG94" s="799">
        <f t="shared" si="47"/>
        <v>0</v>
      </c>
      <c r="AH94" s="176">
        <f t="shared" si="40"/>
        <v>6</v>
      </c>
      <c r="AI94" s="224">
        <f t="shared" si="41"/>
        <v>1.5744615952785042E-2</v>
      </c>
      <c r="AJ94" s="264" t="b">
        <f t="shared" si="42"/>
        <v>1</v>
      </c>
      <c r="AK94" s="264" t="b">
        <f t="shared" si="43"/>
        <v>0</v>
      </c>
      <c r="AL94" s="264"/>
      <c r="AM94" s="264"/>
      <c r="AN94" s="75"/>
    </row>
    <row r="95" spans="1:40" s="6" customFormat="1" ht="11.25" x14ac:dyDescent="0.2">
      <c r="A95" s="56">
        <f t="shared" si="44"/>
        <v>44642</v>
      </c>
      <c r="B95" s="607">
        <v>40.670999999999999</v>
      </c>
      <c r="C95" s="388"/>
      <c r="D95" s="391">
        <f t="shared" si="24"/>
        <v>41.574140308596952</v>
      </c>
      <c r="E95" s="383">
        <f t="shared" si="45"/>
        <v>46.827516904669096</v>
      </c>
      <c r="F95" s="383">
        <f t="shared" si="25"/>
        <v>46.827802697380697</v>
      </c>
      <c r="G95" s="110">
        <f t="shared" si="46"/>
        <v>0.85242226952193501</v>
      </c>
      <c r="H95" s="412" t="b">
        <f>Wh_hp&gt;='2021'!Maxi_hp</f>
        <v>0</v>
      </c>
      <c r="I95" s="379">
        <f>IF(H95,Wh_hp,'2021'!Maxi_hp)</f>
        <v>53.132913238257949</v>
      </c>
      <c r="J95" s="85">
        <f>IF(H95,An,'2021'!An_max)</f>
        <v>2020</v>
      </c>
      <c r="K95" s="197">
        <f t="shared" si="26"/>
        <v>44642</v>
      </c>
      <c r="L95" s="147">
        <f>IF(t&lt;Tvie,1-EXP((T0-t)*PertePVj)+'2021'!Pspv,1-EXP((T0-t)*PertePVj)+Pspv)</f>
        <v>2.1723607557320834E-2</v>
      </c>
      <c r="M95" s="832"/>
      <c r="N95" s="832"/>
      <c r="O95" s="48">
        <f>IF(t&lt;Tnet,'2021'!Resal+('2021'!Salim-'2021'!Resal)*(1-EXP(('2021'!Tnet-t)/('2021'!Tau_j))),Resal+(Salim-Resal)*(1-EXP((Tnet-t)/(Tau_j))))*Salcycl</f>
        <v>0.11218567507576589</v>
      </c>
      <c r="P95" s="169">
        <f>(INDEX(Models!$BJ95:$BT95,,T95)*(1-R95)+INDEX(Models!$BJ95:$BT95,,T95+1)*R95-ERP_i)*Q95*Ramure*Pc/MaxiM</f>
        <v>7.7334474515931914E-6</v>
      </c>
      <c r="Q95" s="304">
        <f t="shared" si="27"/>
        <v>0.6</v>
      </c>
      <c r="R95" s="177">
        <f t="shared" si="28"/>
        <v>1.6445413513959752E-2</v>
      </c>
      <c r="S95" s="799">
        <f t="shared" si="29"/>
        <v>0</v>
      </c>
      <c r="T95" s="176">
        <f t="shared" si="30"/>
        <v>6</v>
      </c>
      <c r="U95" s="250">
        <f t="shared" si="31"/>
        <v>1.6445413513959752E-2</v>
      </c>
      <c r="V95" s="382">
        <f t="shared" si="32"/>
        <v>47.712190476631086</v>
      </c>
      <c r="W95" s="400"/>
      <c r="X95" s="157">
        <f t="shared" si="33"/>
        <v>44642</v>
      </c>
      <c r="Y95" s="383">
        <f t="shared" si="34"/>
        <v>40.670999999999999</v>
      </c>
      <c r="Z95" s="383">
        <f t="shared" si="35"/>
        <v>41.574140308596952</v>
      </c>
      <c r="AA95" s="384">
        <f t="shared" si="36"/>
        <v>46.827516904669096</v>
      </c>
      <c r="AB95" s="197">
        <f t="shared" si="37"/>
        <v>44642</v>
      </c>
      <c r="AC95" s="119">
        <f>IF(OR(t&lt;Tnet,NoTnet),'2021'!Resal_s+('2021'!Salim-'2021'!Resal_s)*(1-EXP(('2021'!Tnet_s-t)/'2021'!Tau_j)),Resal_s+(Salim-Resal_s)*(1-EXP((Tnet_s-t)/Tau_j)))*Salcycl</f>
        <v>0.11218567507576589</v>
      </c>
      <c r="AD95" s="230">
        <f>(INDEX(Models!$BJ95:$BT95,,AH95)*(1-AF95)+INDEX(Models!$BJ95:$BT95,,AH95+1)*AF95-ERP_i)*AE95*Ramure*Pc/MaxiM</f>
        <v>7.7334474515931914E-6</v>
      </c>
      <c r="AE95" s="304">
        <f t="shared" si="38"/>
        <v>0.6</v>
      </c>
      <c r="AF95" s="177">
        <f t="shared" si="39"/>
        <v>1.6445413513959752E-2</v>
      </c>
      <c r="AG95" s="799">
        <f t="shared" si="47"/>
        <v>0</v>
      </c>
      <c r="AH95" s="176">
        <f t="shared" si="40"/>
        <v>6</v>
      </c>
      <c r="AI95" s="224">
        <f t="shared" si="41"/>
        <v>1.6445413513959752E-2</v>
      </c>
      <c r="AJ95" s="264" t="b">
        <f t="shared" si="42"/>
        <v>1</v>
      </c>
      <c r="AK95" s="264" t="b">
        <f t="shared" si="43"/>
        <v>0</v>
      </c>
      <c r="AL95" s="264"/>
      <c r="AM95" s="264"/>
      <c r="AN95" s="75"/>
    </row>
    <row r="96" spans="1:40" s="6" customFormat="1" ht="11.25" x14ac:dyDescent="0.2">
      <c r="A96" s="56">
        <f t="shared" si="44"/>
        <v>44643</v>
      </c>
      <c r="B96" s="607">
        <v>46.249000000000002</v>
      </c>
      <c r="C96" s="388"/>
      <c r="D96" s="391">
        <f t="shared" si="24"/>
        <v>47.276911439147206</v>
      </c>
      <c r="E96" s="383">
        <f t="shared" si="45"/>
        <v>53.25653255397588</v>
      </c>
      <c r="F96" s="383">
        <f t="shared" si="25"/>
        <v>53.256901238281728</v>
      </c>
      <c r="G96" s="110">
        <f t="shared" si="46"/>
        <v>0.96391780314311704</v>
      </c>
      <c r="H96" s="412" t="b">
        <f>Wh_hp&gt;='2021'!Maxi_hp</f>
        <v>0</v>
      </c>
      <c r="I96" s="379">
        <f>IF(H96,Wh_hp,'2021'!Maxi_hp)</f>
        <v>53.726378247452473</v>
      </c>
      <c r="J96" s="85">
        <f>IF(H96,An,'2021'!An_max)</f>
        <v>2021</v>
      </c>
      <c r="K96" s="197">
        <f t="shared" si="26"/>
        <v>44643</v>
      </c>
      <c r="L96" s="147">
        <f>IF(t&lt;Tvie,1-EXP((T0-t)*PertePVj)+'2021'!Pspv,1-EXP((T0-t)*PertePVj)+Pspv)</f>
        <v>2.1742356001201335E-2</v>
      </c>
      <c r="M96" s="832"/>
      <c r="N96" s="832"/>
      <c r="O96" s="48">
        <f>IF(t&lt;Tnet,'2021'!Resal+('2021'!Salim-'2021'!Resal)*(1-EXP(('2021'!Tnet-t)/('2021'!Tau_j))),Resal+(Salim-Resal)*(1-EXP((Tnet-t)/(Tau_j))))*Salcycl</f>
        <v>0.11227958013917418</v>
      </c>
      <c r="P96" s="169">
        <f>(INDEX(Models!$BJ96:$BT96,,T96)*(1-R96)+INDEX(Models!$BJ96:$BT96,,T96+1)*R96-ERP_i)*Q96*Ramure*Pc/MaxiM</f>
        <v>7.2989812139672865E-6</v>
      </c>
      <c r="Q96" s="304">
        <f t="shared" si="27"/>
        <v>0.6</v>
      </c>
      <c r="R96" s="177">
        <f t="shared" si="28"/>
        <v>1.7173453216254395E-2</v>
      </c>
      <c r="S96" s="799">
        <f t="shared" si="29"/>
        <v>0</v>
      </c>
      <c r="T96" s="176">
        <f t="shared" si="30"/>
        <v>6</v>
      </c>
      <c r="U96" s="250">
        <f t="shared" si="31"/>
        <v>1.7173453216254395E-2</v>
      </c>
      <c r="V96" s="382">
        <f t="shared" si="32"/>
        <v>47.980214131158576</v>
      </c>
      <c r="W96" s="400"/>
      <c r="X96" s="157">
        <f t="shared" si="33"/>
        <v>44643</v>
      </c>
      <c r="Y96" s="383">
        <f t="shared" si="34"/>
        <v>46.249000000000002</v>
      </c>
      <c r="Z96" s="383">
        <f t="shared" si="35"/>
        <v>47.276911439147206</v>
      </c>
      <c r="AA96" s="384">
        <f t="shared" si="36"/>
        <v>53.25653255397588</v>
      </c>
      <c r="AB96" s="197">
        <f t="shared" si="37"/>
        <v>44643</v>
      </c>
      <c r="AC96" s="119">
        <f>IF(OR(t&lt;Tnet,NoTnet),'2021'!Resal_s+('2021'!Salim-'2021'!Resal_s)*(1-EXP(('2021'!Tnet_s-t)/'2021'!Tau_j)),Resal_s+(Salim-Resal_s)*(1-EXP((Tnet_s-t)/Tau_j)))*Salcycl</f>
        <v>0.11227958013917418</v>
      </c>
      <c r="AD96" s="230">
        <f>(INDEX(Models!$BJ96:$BT96,,AH96)*(1-AF96)+INDEX(Models!$BJ96:$BT96,,AH96+1)*AF96-ERP_i)*AE96*Ramure*Pc/MaxiM</f>
        <v>7.2989812139672865E-6</v>
      </c>
      <c r="AE96" s="304">
        <f t="shared" si="38"/>
        <v>0.6</v>
      </c>
      <c r="AF96" s="177">
        <f t="shared" si="39"/>
        <v>1.7173453216254395E-2</v>
      </c>
      <c r="AG96" s="799">
        <f t="shared" si="47"/>
        <v>0</v>
      </c>
      <c r="AH96" s="176">
        <f t="shared" si="40"/>
        <v>6</v>
      </c>
      <c r="AI96" s="224">
        <f t="shared" si="41"/>
        <v>1.7173453216254395E-2</v>
      </c>
      <c r="AJ96" s="264" t="b">
        <f t="shared" si="42"/>
        <v>1</v>
      </c>
      <c r="AK96" s="264" t="b">
        <f t="shared" si="43"/>
        <v>0</v>
      </c>
      <c r="AL96" s="264"/>
      <c r="AM96" s="264"/>
      <c r="AN96" s="75"/>
    </row>
    <row r="97" spans="1:40" s="6" customFormat="1" ht="11.25" x14ac:dyDescent="0.2">
      <c r="A97" s="56">
        <f t="shared" si="44"/>
        <v>44644</v>
      </c>
      <c r="B97" s="607">
        <v>45.637</v>
      </c>
      <c r="C97" s="388"/>
      <c r="D97" s="391">
        <f t="shared" si="24"/>
        <v>46.652203455219656</v>
      </c>
      <c r="E97" s="383">
        <f t="shared" si="45"/>
        <v>52.558400847538238</v>
      </c>
      <c r="F97" s="383">
        <f t="shared" si="25"/>
        <v>52.558735276974602</v>
      </c>
      <c r="G97" s="110">
        <f t="shared" si="46"/>
        <v>0.94593183749569887</v>
      </c>
      <c r="H97" s="412" t="b">
        <f>Wh_hp&gt;='2021'!Maxi_hp</f>
        <v>0</v>
      </c>
      <c r="I97" s="379">
        <f>IF(H97,Wh_hp,'2021'!Maxi_hp)</f>
        <v>52.931336323355495</v>
      </c>
      <c r="J97" s="85">
        <f>IF(H97,An,'2021'!An_max)</f>
        <v>2018</v>
      </c>
      <c r="K97" s="197">
        <f t="shared" si="26"/>
        <v>44644</v>
      </c>
      <c r="L97" s="147">
        <f>IF(t&lt;Tvie,1-EXP((T0-t)*PertePVj)+'2021'!Pspv,1-EXP((T0-t)*PertePVj)+Pspv)</f>
        <v>2.1761104085772143E-2</v>
      </c>
      <c r="M97" s="832"/>
      <c r="N97" s="832"/>
      <c r="O97" s="48">
        <f>IF(t&lt;Tnet,'2021'!Resal+('2021'!Salim-'2021'!Resal)*(1-EXP(('2021'!Tnet-t)/('2021'!Tau_j))),Resal+(Salim-Resal)*(1-EXP((Tnet-t)/(Tau_j))))*Salcycl</f>
        <v>0.11237399344495501</v>
      </c>
      <c r="P97" s="169">
        <f>(INDEX(Models!$BJ97:$BT97,,T97)*(1-R97)+INDEX(Models!$BJ97:$BT97,,T97+1)*R97-ERP_i)*Q97*Ramure*Pc/MaxiM</f>
        <v>6.8955768159572404E-6</v>
      </c>
      <c r="Q97" s="304">
        <f t="shared" si="27"/>
        <v>0.6</v>
      </c>
      <c r="R97" s="177">
        <f t="shared" si="28"/>
        <v>1.7929703668814211E-2</v>
      </c>
      <c r="S97" s="799">
        <f t="shared" si="29"/>
        <v>0</v>
      </c>
      <c r="T97" s="176">
        <f t="shared" si="30"/>
        <v>6</v>
      </c>
      <c r="U97" s="250">
        <f t="shared" si="31"/>
        <v>1.7929703668814211E-2</v>
      </c>
      <c r="V97" s="382">
        <f t="shared" si="32"/>
        <v>48.245522440495137</v>
      </c>
      <c r="W97" s="400"/>
      <c r="X97" s="157">
        <f t="shared" si="33"/>
        <v>44644</v>
      </c>
      <c r="Y97" s="383">
        <f t="shared" si="34"/>
        <v>45.637</v>
      </c>
      <c r="Z97" s="383">
        <f t="shared" si="35"/>
        <v>46.652203455219656</v>
      </c>
      <c r="AA97" s="384">
        <f t="shared" si="36"/>
        <v>52.558400847538238</v>
      </c>
      <c r="AB97" s="197">
        <f t="shared" si="37"/>
        <v>44644</v>
      </c>
      <c r="AC97" s="119">
        <f>IF(OR(t&lt;Tnet,NoTnet),'2021'!Resal_s+('2021'!Salim-'2021'!Resal_s)*(1-EXP(('2021'!Tnet_s-t)/'2021'!Tau_j)),Resal_s+(Salim-Resal_s)*(1-EXP((Tnet_s-t)/Tau_j)))*Salcycl</f>
        <v>0.11237399344495501</v>
      </c>
      <c r="AD97" s="230">
        <f>(INDEX(Models!$BJ97:$BT97,,AH97)*(1-AF97)+INDEX(Models!$BJ97:$BT97,,AH97+1)*AF97-ERP_i)*AE97*Ramure*Pc/MaxiM</f>
        <v>6.8955768159572404E-6</v>
      </c>
      <c r="AE97" s="304">
        <f t="shared" si="38"/>
        <v>0.6</v>
      </c>
      <c r="AF97" s="177">
        <f t="shared" si="39"/>
        <v>1.7929703668814211E-2</v>
      </c>
      <c r="AG97" s="799">
        <f t="shared" si="47"/>
        <v>0</v>
      </c>
      <c r="AH97" s="176">
        <f t="shared" si="40"/>
        <v>6</v>
      </c>
      <c r="AI97" s="224">
        <f t="shared" si="41"/>
        <v>1.7929703668814211E-2</v>
      </c>
      <c r="AJ97" s="264" t="b">
        <f t="shared" si="42"/>
        <v>1</v>
      </c>
      <c r="AK97" s="264" t="b">
        <f t="shared" si="43"/>
        <v>0</v>
      </c>
      <c r="AL97" s="264"/>
      <c r="AM97" s="264"/>
      <c r="AN97" s="75"/>
    </row>
    <row r="98" spans="1:40" s="6" customFormat="1" ht="11.25" x14ac:dyDescent="0.2">
      <c r="A98" s="56">
        <f t="shared" si="44"/>
        <v>44645</v>
      </c>
      <c r="B98" s="607">
        <v>38.311999999999998</v>
      </c>
      <c r="C98" s="388"/>
      <c r="D98" s="391">
        <f t="shared" si="24"/>
        <v>39.165008071986044</v>
      </c>
      <c r="E98" s="383">
        <f t="shared" si="45"/>
        <v>44.128043209996555</v>
      </c>
      <c r="F98" s="383">
        <f t="shared" si="25"/>
        <v>44.128244621381867</v>
      </c>
      <c r="G98" s="110">
        <f t="shared" si="46"/>
        <v>0.78981512880523808</v>
      </c>
      <c r="H98" s="412" t="b">
        <f>Wh_hp&gt;='2021'!Maxi_hp</f>
        <v>0</v>
      </c>
      <c r="I98" s="379">
        <f>IF(H98,Wh_hp,'2021'!Maxi_hp)</f>
        <v>46.534768311108202</v>
      </c>
      <c r="J98" s="85">
        <f>IF(H98,An,'2021'!An_max)</f>
        <v>2020</v>
      </c>
      <c r="K98" s="197">
        <f t="shared" si="26"/>
        <v>44645</v>
      </c>
      <c r="L98" s="147">
        <f>IF(t&lt;Tvie,1-EXP((T0-t)*PertePVj)+'2021'!Pspv,1-EXP((T0-t)*PertePVj)+Pspv)</f>
        <v>2.1779851811040141E-2</v>
      </c>
      <c r="M98" s="832"/>
      <c r="N98" s="832"/>
      <c r="O98" s="48">
        <f>IF(t&lt;Tnet,'2021'!Resal+('2021'!Salim-'2021'!Resal)*(1-EXP(('2021'!Tnet-t)/('2021'!Tau_j))),Resal+(Salim-Resal)*(1-EXP((Tnet-t)/(Tau_j))))*Salcycl</f>
        <v>0.11246896025714113</v>
      </c>
      <c r="P98" s="169">
        <f>(INDEX(Models!$BJ98:$BT98,,T98)*(1-R98)+INDEX(Models!$BJ98:$BT98,,T98+1)*R98-ERP_i)*Q98*Ramure*Pc/MaxiM</f>
        <v>6.5227665907362112E-6</v>
      </c>
      <c r="Q98" s="304">
        <f t="shared" si="27"/>
        <v>0.6</v>
      </c>
      <c r="R98" s="177">
        <f t="shared" si="28"/>
        <v>1.871516050406145E-2</v>
      </c>
      <c r="S98" s="799">
        <f t="shared" si="29"/>
        <v>0</v>
      </c>
      <c r="T98" s="176">
        <f t="shared" si="30"/>
        <v>6</v>
      </c>
      <c r="U98" s="250">
        <f t="shared" si="31"/>
        <v>1.871516050406145E-2</v>
      </c>
      <c r="V98" s="382">
        <f t="shared" si="32"/>
        <v>48.507458982325971</v>
      </c>
      <c r="W98" s="400"/>
      <c r="X98" s="157">
        <f t="shared" si="33"/>
        <v>44645</v>
      </c>
      <c r="Y98" s="383">
        <f t="shared" si="34"/>
        <v>38.311999999999998</v>
      </c>
      <c r="Z98" s="383">
        <f t="shared" si="35"/>
        <v>39.165008071986044</v>
      </c>
      <c r="AA98" s="384">
        <f t="shared" si="36"/>
        <v>44.128043209996555</v>
      </c>
      <c r="AB98" s="197">
        <f t="shared" si="37"/>
        <v>44645</v>
      </c>
      <c r="AC98" s="119">
        <f>IF(OR(t&lt;Tnet,NoTnet),'2021'!Resal_s+('2021'!Salim-'2021'!Resal_s)*(1-EXP(('2021'!Tnet_s-t)/'2021'!Tau_j)),Resal_s+(Salim-Resal_s)*(1-EXP((Tnet_s-t)/Tau_j)))*Salcycl</f>
        <v>0.11246896025714113</v>
      </c>
      <c r="AD98" s="230">
        <f>(INDEX(Models!$BJ98:$BT98,,AH98)*(1-AF98)+INDEX(Models!$BJ98:$BT98,,AH98+1)*AF98-ERP_i)*AE98*Ramure*Pc/MaxiM</f>
        <v>6.5227665907362112E-6</v>
      </c>
      <c r="AE98" s="304">
        <f t="shared" si="38"/>
        <v>0.6</v>
      </c>
      <c r="AF98" s="177">
        <f t="shared" si="39"/>
        <v>1.871516050406145E-2</v>
      </c>
      <c r="AG98" s="799">
        <f t="shared" si="47"/>
        <v>0</v>
      </c>
      <c r="AH98" s="176">
        <f t="shared" si="40"/>
        <v>6</v>
      </c>
      <c r="AI98" s="224">
        <f t="shared" si="41"/>
        <v>1.871516050406145E-2</v>
      </c>
      <c r="AJ98" s="264" t="b">
        <f t="shared" si="42"/>
        <v>1</v>
      </c>
      <c r="AK98" s="264" t="b">
        <f t="shared" si="43"/>
        <v>0</v>
      </c>
      <c r="AL98" s="264"/>
      <c r="AM98" s="264"/>
      <c r="AN98" s="75"/>
    </row>
    <row r="99" spans="1:40" s="6" customFormat="1" ht="11.25" x14ac:dyDescent="0.2">
      <c r="A99" s="56">
        <f t="shared" si="44"/>
        <v>44646</v>
      </c>
      <c r="B99" s="607">
        <v>44.311</v>
      </c>
      <c r="C99" s="388"/>
      <c r="D99" s="391">
        <f t="shared" si="24"/>
        <v>45.298442593437244</v>
      </c>
      <c r="E99" s="383">
        <f t="shared" si="45"/>
        <v>51.044209879930172</v>
      </c>
      <c r="F99" s="383">
        <f t="shared" si="25"/>
        <v>51.044484175438434</v>
      </c>
      <c r="G99" s="110">
        <f t="shared" si="46"/>
        <v>0.90865641812105524</v>
      </c>
      <c r="H99" s="412" t="b">
        <f>Wh_hp&gt;='2021'!Maxi_hp</f>
        <v>0</v>
      </c>
      <c r="I99" s="379">
        <f>IF(H99,Wh_hp,'2021'!Maxi_hp)</f>
        <v>56.562989488883829</v>
      </c>
      <c r="J99" s="85">
        <f>IF(H99,An,'2021'!An_max)</f>
        <v>2020</v>
      </c>
      <c r="K99" s="197">
        <f t="shared" si="26"/>
        <v>44646</v>
      </c>
      <c r="L99" s="147">
        <f>IF(t&lt;Tvie,1-EXP((T0-t)*PertePVj)+'2021'!Pspv,1-EXP((T0-t)*PertePVj)+Pspv)</f>
        <v>2.1798599177012323E-2</v>
      </c>
      <c r="M99" s="832"/>
      <c r="N99" s="832"/>
      <c r="O99" s="48">
        <f>IF(t&lt;Tnet,'2021'!Resal+('2021'!Salim-'2021'!Resal)*(1-EXP(('2021'!Tnet-t)/('2021'!Tau_j))),Resal+(Salim-Resal)*(1-EXP((Tnet-t)/(Tau_j))))*Salcycl</f>
        <v>0.11256452592778948</v>
      </c>
      <c r="P99" s="169">
        <f>(INDEX(Models!$BJ99:$BT99,,T99)*(1-R99)+INDEX(Models!$BJ99:$BT99,,T99+1)*R99-ERP_i)*Q99*Ramure*Pc/MaxiM</f>
        <v>6.1800955202550943E-6</v>
      </c>
      <c r="Q99" s="304">
        <f t="shared" si="27"/>
        <v>0.6</v>
      </c>
      <c r="R99" s="177">
        <f t="shared" si="28"/>
        <v>1.9530846505465067E-2</v>
      </c>
      <c r="S99" s="799">
        <f t="shared" si="29"/>
        <v>0</v>
      </c>
      <c r="T99" s="176">
        <f t="shared" si="30"/>
        <v>6</v>
      </c>
      <c r="U99" s="250">
        <f t="shared" si="31"/>
        <v>1.9530846505465067E-2</v>
      </c>
      <c r="V99" s="382">
        <f t="shared" si="32"/>
        <v>48.765367615299709</v>
      </c>
      <c r="W99" s="400"/>
      <c r="X99" s="157">
        <f t="shared" si="33"/>
        <v>44646</v>
      </c>
      <c r="Y99" s="383">
        <f t="shared" si="34"/>
        <v>44.311</v>
      </c>
      <c r="Z99" s="383">
        <f t="shared" si="35"/>
        <v>45.298442593437244</v>
      </c>
      <c r="AA99" s="384">
        <f t="shared" si="36"/>
        <v>51.044209879930172</v>
      </c>
      <c r="AB99" s="197">
        <f t="shared" si="37"/>
        <v>44646</v>
      </c>
      <c r="AC99" s="119">
        <f>IF(OR(t&lt;Tnet,NoTnet),'2021'!Resal_s+('2021'!Salim-'2021'!Resal_s)*(1-EXP(('2021'!Tnet_s-t)/'2021'!Tau_j)),Resal_s+(Salim-Resal_s)*(1-EXP((Tnet_s-t)/Tau_j)))*Salcycl</f>
        <v>0.11256452592778948</v>
      </c>
      <c r="AD99" s="230">
        <f>(INDEX(Models!$BJ99:$BT99,,AH99)*(1-AF99)+INDEX(Models!$BJ99:$BT99,,AH99+1)*AF99-ERP_i)*AE99*Ramure*Pc/MaxiM</f>
        <v>6.1800955202550943E-6</v>
      </c>
      <c r="AE99" s="304">
        <f t="shared" si="38"/>
        <v>0.6</v>
      </c>
      <c r="AF99" s="177">
        <f t="shared" si="39"/>
        <v>1.9530846505465067E-2</v>
      </c>
      <c r="AG99" s="799">
        <f t="shared" si="47"/>
        <v>0</v>
      </c>
      <c r="AH99" s="176">
        <f t="shared" si="40"/>
        <v>6</v>
      </c>
      <c r="AI99" s="224">
        <f t="shared" si="41"/>
        <v>1.9530846505465067E-2</v>
      </c>
      <c r="AJ99" s="264" t="b">
        <f t="shared" si="42"/>
        <v>1</v>
      </c>
      <c r="AK99" s="264" t="b">
        <f t="shared" si="43"/>
        <v>0</v>
      </c>
      <c r="AL99" s="264"/>
      <c r="AM99" s="264"/>
      <c r="AN99" s="75"/>
    </row>
    <row r="100" spans="1:40" s="6" customFormat="1" ht="11.25" x14ac:dyDescent="0.2">
      <c r="A100" s="56">
        <f t="shared" si="44"/>
        <v>44647</v>
      </c>
      <c r="B100" s="607">
        <v>43.533000000000001</v>
      </c>
      <c r="C100" s="388"/>
      <c r="D100" s="391">
        <f t="shared" si="24"/>
        <v>44.503958263990214</v>
      </c>
      <c r="E100" s="383">
        <f t="shared" si="45"/>
        <v>50.1543885841876</v>
      </c>
      <c r="F100" s="383">
        <f t="shared" si="25"/>
        <v>50.154635586562513</v>
      </c>
      <c r="G100" s="110">
        <f t="shared" si="46"/>
        <v>0.88809075830892614</v>
      </c>
      <c r="H100" s="412" t="b">
        <f>Wh_hp&gt;='2021'!Maxi_hp</f>
        <v>0</v>
      </c>
      <c r="I100" s="379">
        <f>IF(H100,Wh_hp,'2021'!Maxi_hp)</f>
        <v>55.827090198915265</v>
      </c>
      <c r="J100" s="85">
        <f>IF(H100,An,'2021'!An_max)</f>
        <v>2018</v>
      </c>
      <c r="K100" s="197">
        <f t="shared" si="26"/>
        <v>44647</v>
      </c>
      <c r="L100" s="147">
        <f>IF(t&lt;Tvie,1-EXP((T0-t)*PertePVj)+'2021'!Pspv,1-EXP((T0-t)*PertePVj)+Pspv)</f>
        <v>2.1817346183695463E-2</v>
      </c>
      <c r="M100" s="832"/>
      <c r="N100" s="832"/>
      <c r="O100" s="48">
        <f>IF(t&lt;Tnet,'2021'!Resal+('2021'!Salim-'2021'!Resal)*(1-EXP(('2021'!Tnet-t)/('2021'!Tau_j))),Resal+(Salim-Resal)*(1-EXP((Tnet-t)/(Tau_j))))*Salcycl</f>
        <v>0.11266073577415368</v>
      </c>
      <c r="P100" s="169">
        <f>(INDEX(Models!$BJ100:$BT100,,T100)*(1-R100)+INDEX(Models!$BJ100:$BT100,,T100+1)*R100-ERP_i)*Q100*Ramure*Pc/MaxiM</f>
        <v>5.8619636424947502E-6</v>
      </c>
      <c r="Q100" s="304">
        <f t="shared" si="27"/>
        <v>0.6</v>
      </c>
      <c r="R100" s="177">
        <f t="shared" si="28"/>
        <v>2.0377811673429645E-2</v>
      </c>
      <c r="S100" s="799">
        <f t="shared" si="29"/>
        <v>0</v>
      </c>
      <c r="T100" s="176">
        <f t="shared" si="30"/>
        <v>6</v>
      </c>
      <c r="U100" s="250">
        <f t="shared" si="31"/>
        <v>2.0377811673429645E-2</v>
      </c>
      <c r="V100" s="382">
        <f t="shared" si="32"/>
        <v>49.018592745931592</v>
      </c>
      <c r="W100" s="400"/>
      <c r="X100" s="157">
        <f t="shared" si="33"/>
        <v>44647</v>
      </c>
      <c r="Y100" s="383">
        <f t="shared" si="34"/>
        <v>43.533000000000001</v>
      </c>
      <c r="Z100" s="383">
        <f t="shared" si="35"/>
        <v>44.503958263990214</v>
      </c>
      <c r="AA100" s="384">
        <f t="shared" si="36"/>
        <v>50.1543885841876</v>
      </c>
      <c r="AB100" s="197">
        <f t="shared" si="37"/>
        <v>44647</v>
      </c>
      <c r="AC100" s="119">
        <f>IF(OR(t&lt;Tnet,NoTnet),'2021'!Resal_s+('2021'!Salim-'2021'!Resal_s)*(1-EXP(('2021'!Tnet_s-t)/'2021'!Tau_j)),Resal_s+(Salim-Resal_s)*(1-EXP((Tnet_s-t)/Tau_j)))*Salcycl</f>
        <v>0.11266073577415368</v>
      </c>
      <c r="AD100" s="230">
        <f>(INDEX(Models!$BJ100:$BT100,,AH100)*(1-AF100)+INDEX(Models!$BJ100:$BT100,,AH100+1)*AF100-ERP_i)*AE100*Ramure*Pc/MaxiM</f>
        <v>5.8619636424947502E-6</v>
      </c>
      <c r="AE100" s="304">
        <f t="shared" si="38"/>
        <v>0.6</v>
      </c>
      <c r="AF100" s="177">
        <f t="shared" si="39"/>
        <v>2.0377811673429645E-2</v>
      </c>
      <c r="AG100" s="799">
        <f t="shared" si="47"/>
        <v>0</v>
      </c>
      <c r="AH100" s="176">
        <f t="shared" si="40"/>
        <v>6</v>
      </c>
      <c r="AI100" s="224">
        <f t="shared" si="41"/>
        <v>2.0377811673429645E-2</v>
      </c>
      <c r="AJ100" s="264" t="b">
        <f t="shared" si="42"/>
        <v>1</v>
      </c>
      <c r="AK100" s="264" t="b">
        <f t="shared" si="43"/>
        <v>0</v>
      </c>
      <c r="AL100" s="264"/>
      <c r="AM100" s="264"/>
      <c r="AN100" s="75"/>
    </row>
    <row r="101" spans="1:40" s="6" customFormat="1" ht="11.25" x14ac:dyDescent="0.2">
      <c r="A101" s="56">
        <f t="shared" si="44"/>
        <v>44648</v>
      </c>
      <c r="B101" s="607">
        <v>34.725999999999999</v>
      </c>
      <c r="C101" s="388"/>
      <c r="D101" s="391">
        <f t="shared" si="24"/>
        <v>35.501207666215521</v>
      </c>
      <c r="E101" s="383">
        <f t="shared" si="45"/>
        <v>40.012976234074912</v>
      </c>
      <c r="F101" s="383">
        <f t="shared" si="25"/>
        <v>40.013104707036646</v>
      </c>
      <c r="G101" s="110">
        <f t="shared" si="46"/>
        <v>0.70485894187419518</v>
      </c>
      <c r="H101" s="412" t="b">
        <f>Wh_hp&gt;='2021'!Maxi_hp</f>
        <v>0</v>
      </c>
      <c r="I101" s="379">
        <f>IF(H101,Wh_hp,'2021'!Maxi_hp)</f>
        <v>54.360653644959861</v>
      </c>
      <c r="J101" s="85">
        <f>IF(H101,An,'2021'!An_max)</f>
        <v>2018</v>
      </c>
      <c r="K101" s="197">
        <f t="shared" si="26"/>
        <v>44648</v>
      </c>
      <c r="L101" s="147">
        <f>IF(t&lt;Tvie,1-EXP((T0-t)*PertePVj)+'2021'!Pspv,1-EXP((T0-t)*PertePVj)+Pspv)</f>
        <v>2.1836092831096554E-2</v>
      </c>
      <c r="M101" s="832"/>
      <c r="N101" s="832"/>
      <c r="O101" s="48">
        <f>IF(t&lt;Tnet,'2021'!Resal+('2021'!Salim-'2021'!Resal)*(1-EXP(('2021'!Tnet-t)/('2021'!Tau_j))),Resal+(Salim-Resal)*(1-EXP((Tnet-t)/(Tau_j))))*Salcycl</f>
        <v>0.11275763495986048</v>
      </c>
      <c r="P101" s="169">
        <f>(INDEX(Models!$BJ101:$BT101,,T101)*(1-R101)+INDEX(Models!$BJ101:$BT101,,T101+1)*R101-ERP_i)*Q101*Ramure*Pc/MaxiM</f>
        <v>5.5513935970315582E-6</v>
      </c>
      <c r="Q101" s="304">
        <f t="shared" si="27"/>
        <v>0.6</v>
      </c>
      <c r="R101" s="177">
        <f t="shared" si="28"/>
        <v>2.1257133223093885E-2</v>
      </c>
      <c r="S101" s="799">
        <f t="shared" si="29"/>
        <v>0</v>
      </c>
      <c r="T101" s="176">
        <f t="shared" si="30"/>
        <v>6</v>
      </c>
      <c r="U101" s="250">
        <f t="shared" si="31"/>
        <v>2.1257133223093885E-2</v>
      </c>
      <c r="V101" s="382">
        <f t="shared" si="32"/>
        <v>49.266479654756502</v>
      </c>
      <c r="W101" s="400"/>
      <c r="X101" s="157">
        <f t="shared" si="33"/>
        <v>44648</v>
      </c>
      <c r="Y101" s="383">
        <f t="shared" si="34"/>
        <v>34.725999999999999</v>
      </c>
      <c r="Z101" s="383">
        <f t="shared" si="35"/>
        <v>35.501207666215521</v>
      </c>
      <c r="AA101" s="384">
        <f t="shared" si="36"/>
        <v>40.012976234074912</v>
      </c>
      <c r="AB101" s="197">
        <f t="shared" si="37"/>
        <v>44648</v>
      </c>
      <c r="AC101" s="119">
        <f>IF(OR(t&lt;Tnet,NoTnet),'2021'!Resal_s+('2021'!Salim-'2021'!Resal_s)*(1-EXP(('2021'!Tnet_s-t)/'2021'!Tau_j)),Resal_s+(Salim-Resal_s)*(1-EXP((Tnet_s-t)/Tau_j)))*Salcycl</f>
        <v>0.11275763495986048</v>
      </c>
      <c r="AD101" s="230">
        <f>(INDEX(Models!$BJ101:$BT101,,AH101)*(1-AF101)+INDEX(Models!$BJ101:$BT101,,AH101+1)*AF101-ERP_i)*AE101*Ramure*Pc/MaxiM</f>
        <v>5.5513935970315582E-6</v>
      </c>
      <c r="AE101" s="304">
        <f t="shared" si="38"/>
        <v>0.6</v>
      </c>
      <c r="AF101" s="177">
        <f t="shared" si="39"/>
        <v>2.1257133223093885E-2</v>
      </c>
      <c r="AG101" s="799">
        <f t="shared" si="47"/>
        <v>0</v>
      </c>
      <c r="AH101" s="176">
        <f t="shared" si="40"/>
        <v>6</v>
      </c>
      <c r="AI101" s="224">
        <f t="shared" si="41"/>
        <v>2.1257133223093885E-2</v>
      </c>
      <c r="AJ101" s="264" t="b">
        <f t="shared" si="42"/>
        <v>1</v>
      </c>
      <c r="AK101" s="264" t="b">
        <f t="shared" si="43"/>
        <v>0</v>
      </c>
      <c r="AL101" s="264"/>
      <c r="AM101" s="264"/>
      <c r="AN101" s="75"/>
    </row>
    <row r="102" spans="1:40" s="6" customFormat="1" ht="11.25" x14ac:dyDescent="0.2">
      <c r="A102" s="56">
        <f t="shared" si="44"/>
        <v>44649</v>
      </c>
      <c r="B102" s="607">
        <v>26.025000000000002</v>
      </c>
      <c r="C102" s="388"/>
      <c r="D102" s="391">
        <f t="shared" si="24"/>
        <v>26.606480347523888</v>
      </c>
      <c r="E102" s="383">
        <f t="shared" si="45"/>
        <v>29.991138310599467</v>
      </c>
      <c r="F102" s="383">
        <f t="shared" si="25"/>
        <v>29.991189053342758</v>
      </c>
      <c r="G102" s="110">
        <f t="shared" si="46"/>
        <v>0.52566678730673178</v>
      </c>
      <c r="H102" s="412" t="b">
        <f>Wh_hp&gt;='2021'!Maxi_hp</f>
        <v>0</v>
      </c>
      <c r="I102" s="379">
        <f>IF(H102,Wh_hp,'2021'!Maxi_hp)</f>
        <v>56.601597113397979</v>
      </c>
      <c r="J102" s="85">
        <f>IF(H102,An,'2021'!An_max)</f>
        <v>2021</v>
      </c>
      <c r="K102" s="197">
        <f t="shared" si="26"/>
        <v>44649</v>
      </c>
      <c r="L102" s="147">
        <f>IF(t&lt;Tvie,1-EXP((T0-t)*PertePVj)+'2021'!Pspv,1-EXP((T0-t)*PertePVj)+Pspv)</f>
        <v>2.1854839119222369E-2</v>
      </c>
      <c r="M102" s="832"/>
      <c r="N102" s="832"/>
      <c r="O102" s="48">
        <f>IF(t&lt;Tnet,'2021'!Resal+('2021'!Salim-'2021'!Resal)*(1-EXP(('2021'!Tnet-t)/('2021'!Tau_j))),Resal+(Salim-Resal)*(1-EXP((Tnet-t)/(Tau_j))))*Salcycl</f>
        <v>0.11285526838037259</v>
      </c>
      <c r="P102" s="169">
        <f>(INDEX(Models!$BJ102:$BT102,,T102)*(1-R102)+INDEX(Models!$BJ102:$BT102,,T102+1)*R102-ERP_i)*Q102*Ramure*Pc/MaxiM</f>
        <v>5.248159849839211E-6</v>
      </c>
      <c r="Q102" s="304">
        <f t="shared" si="27"/>
        <v>0.6</v>
      </c>
      <c r="R102" s="177">
        <f t="shared" si="28"/>
        <v>2.2169915507480268E-2</v>
      </c>
      <c r="S102" s="799">
        <f t="shared" si="29"/>
        <v>0</v>
      </c>
      <c r="T102" s="176">
        <f t="shared" si="30"/>
        <v>6</v>
      </c>
      <c r="U102" s="250">
        <f t="shared" si="31"/>
        <v>2.2169915507480268E-2</v>
      </c>
      <c r="V102" s="382">
        <f t="shared" si="32"/>
        <v>49.508373131360742</v>
      </c>
      <c r="W102" s="400"/>
      <c r="X102" s="157">
        <f t="shared" si="33"/>
        <v>44649</v>
      </c>
      <c r="Y102" s="383">
        <f t="shared" si="34"/>
        <v>26.025000000000002</v>
      </c>
      <c r="Z102" s="383">
        <f t="shared" si="35"/>
        <v>26.606480347523888</v>
      </c>
      <c r="AA102" s="384">
        <f t="shared" si="36"/>
        <v>29.991138310599467</v>
      </c>
      <c r="AB102" s="197">
        <f t="shared" si="37"/>
        <v>44649</v>
      </c>
      <c r="AC102" s="119">
        <f>IF(OR(t&lt;Tnet,NoTnet),'2021'!Resal_s+('2021'!Salim-'2021'!Resal_s)*(1-EXP(('2021'!Tnet_s-t)/'2021'!Tau_j)),Resal_s+(Salim-Resal_s)*(1-EXP((Tnet_s-t)/Tau_j)))*Salcycl</f>
        <v>0.11285526838037259</v>
      </c>
      <c r="AD102" s="230">
        <f>(INDEX(Models!$BJ102:$BT102,,AH102)*(1-AF102)+INDEX(Models!$BJ102:$BT102,,AH102+1)*AF102-ERP_i)*AE102*Ramure*Pc/MaxiM</f>
        <v>5.248159849839211E-6</v>
      </c>
      <c r="AE102" s="304">
        <f t="shared" si="38"/>
        <v>0.6</v>
      </c>
      <c r="AF102" s="177">
        <f t="shared" si="39"/>
        <v>2.2169915507480268E-2</v>
      </c>
      <c r="AG102" s="799">
        <f t="shared" si="47"/>
        <v>0</v>
      </c>
      <c r="AH102" s="176">
        <f t="shared" si="40"/>
        <v>6</v>
      </c>
      <c r="AI102" s="224">
        <f t="shared" si="41"/>
        <v>2.2169915507480268E-2</v>
      </c>
      <c r="AJ102" s="264" t="b">
        <f t="shared" si="42"/>
        <v>1</v>
      </c>
      <c r="AK102" s="264" t="b">
        <f t="shared" si="43"/>
        <v>0</v>
      </c>
      <c r="AL102" s="264"/>
      <c r="AM102" s="264"/>
      <c r="AN102" s="75"/>
    </row>
    <row r="103" spans="1:40" s="6" customFormat="1" ht="11.25" x14ac:dyDescent="0.2">
      <c r="A103" s="56">
        <f t="shared" si="44"/>
        <v>44650</v>
      </c>
      <c r="B103" s="607">
        <v>7.0750000000000002</v>
      </c>
      <c r="C103" s="388"/>
      <c r="D103" s="391">
        <f t="shared" si="24"/>
        <v>7.233216373517295</v>
      </c>
      <c r="E103" s="383">
        <f t="shared" si="45"/>
        <v>8.1542713327821481</v>
      </c>
      <c r="F103" s="383">
        <f t="shared" si="25"/>
        <v>8.1542713327821481</v>
      </c>
      <c r="G103" s="110">
        <f t="shared" si="46"/>
        <v>0.1422285954631102</v>
      </c>
      <c r="H103" s="412" t="b">
        <f>Wh_hp&gt;='2021'!Maxi_hp</f>
        <v>0</v>
      </c>
      <c r="I103" s="379">
        <f>IF(H103,Wh_hp,'2021'!Maxi_hp)</f>
        <v>56.745534114329011</v>
      </c>
      <c r="J103" s="85">
        <f>IF(H103,An,'2021'!An_max)</f>
        <v>2018</v>
      </c>
      <c r="K103" s="197">
        <f t="shared" si="26"/>
        <v>44650</v>
      </c>
      <c r="L103" s="147">
        <f>IF(t&lt;Tvie,1-EXP((T0-t)*PertePVj)+'2021'!Pspv,1-EXP((T0-t)*PertePVj)+Pspv)</f>
        <v>2.1873585048079902E-2</v>
      </c>
      <c r="M103" s="832"/>
      <c r="N103" s="832"/>
      <c r="O103" s="48">
        <f>IF(t&lt;Tnet,'2021'!Resal+('2021'!Salim-'2021'!Resal)*(1-EXP(('2021'!Tnet-t)/('2021'!Tau_j))),Resal+(Salim-Resal)*(1-EXP((Tnet-t)/(Tau_j))))*Salcycl</f>
        <v>0.11295368055291327</v>
      </c>
      <c r="P103" s="169">
        <f>(INDEX(Models!$BJ103:$BT103,,T103)*(1-R103)+INDEX(Models!$BJ103:$BT103,,T103+1)*R103-ERP_i)*Q103*Ramure*Pc/MaxiM</f>
        <v>4.9520252007387009E-6</v>
      </c>
      <c r="Q103" s="304">
        <f t="shared" si="27"/>
        <v>0.6</v>
      </c>
      <c r="R103" s="177">
        <f t="shared" si="28"/>
        <v>2.3117289859098607E-2</v>
      </c>
      <c r="S103" s="799">
        <f t="shared" si="29"/>
        <v>0</v>
      </c>
      <c r="T103" s="176">
        <f t="shared" si="30"/>
        <v>6</v>
      </c>
      <c r="U103" s="250">
        <f t="shared" si="31"/>
        <v>2.3117289859098607E-2</v>
      </c>
      <c r="V103" s="382">
        <f t="shared" si="32"/>
        <v>49.743618302528603</v>
      </c>
      <c r="W103" s="400"/>
      <c r="X103" s="157">
        <f t="shared" si="33"/>
        <v>44650</v>
      </c>
      <c r="Y103" s="383">
        <f t="shared" si="34"/>
        <v>7.0750000000000011</v>
      </c>
      <c r="Z103" s="383">
        <f t="shared" si="35"/>
        <v>7.2332163735172958</v>
      </c>
      <c r="AA103" s="384">
        <f t="shared" si="36"/>
        <v>8.1542713327821481</v>
      </c>
      <c r="AB103" s="197">
        <f t="shared" si="37"/>
        <v>44650</v>
      </c>
      <c r="AC103" s="119">
        <f>IF(OR(t&lt;Tnet,NoTnet),'2021'!Resal_s+('2021'!Salim-'2021'!Resal_s)*(1-EXP(('2021'!Tnet_s-t)/'2021'!Tau_j)),Resal_s+(Salim-Resal_s)*(1-EXP((Tnet_s-t)/Tau_j)))*Salcycl</f>
        <v>0.11295368055291327</v>
      </c>
      <c r="AD103" s="230">
        <f>(INDEX(Models!$BJ103:$BT103,,AH103)*(1-AF103)+INDEX(Models!$BJ103:$BT103,,AH103+1)*AF103-ERP_i)*AE103*Ramure*Pc/MaxiM</f>
        <v>4.9520252007387009E-6</v>
      </c>
      <c r="AE103" s="304">
        <f t="shared" si="38"/>
        <v>0.6</v>
      </c>
      <c r="AF103" s="177">
        <f t="shared" si="39"/>
        <v>2.3117289859098607E-2</v>
      </c>
      <c r="AG103" s="799">
        <f t="shared" si="47"/>
        <v>0</v>
      </c>
      <c r="AH103" s="176">
        <f t="shared" si="40"/>
        <v>6</v>
      </c>
      <c r="AI103" s="224">
        <f t="shared" si="41"/>
        <v>2.3117289859098607E-2</v>
      </c>
      <c r="AJ103" s="264" t="b">
        <f t="shared" si="42"/>
        <v>1</v>
      </c>
      <c r="AK103" s="264" t="b">
        <f t="shared" si="43"/>
        <v>0</v>
      </c>
      <c r="AL103" s="264"/>
      <c r="AM103" s="264"/>
      <c r="AN103" s="75"/>
    </row>
    <row r="104" spans="1:40" s="6" customFormat="1" ht="11.25" x14ac:dyDescent="0.2">
      <c r="A104" s="56">
        <f t="shared" si="44"/>
        <v>44651</v>
      </c>
      <c r="B104" s="607">
        <v>24.018000000000001</v>
      </c>
      <c r="C104" s="388"/>
      <c r="D104" s="391">
        <f t="shared" si="24"/>
        <v>24.555578850708116</v>
      </c>
      <c r="E104" s="383">
        <f t="shared" si="45"/>
        <v>27.685506024131424</v>
      </c>
      <c r="F104" s="383">
        <f t="shared" si="25"/>
        <v>27.685539335642911</v>
      </c>
      <c r="G104" s="110">
        <f t="shared" si="46"/>
        <v>0.48063171528559717</v>
      </c>
      <c r="H104" s="412" t="b">
        <f>Wh_hp&gt;='2021'!Maxi_hp</f>
        <v>0</v>
      </c>
      <c r="I104" s="379">
        <f>IF(H104,Wh_hp,'2021'!Maxi_hp)</f>
        <v>51.692988498313227</v>
      </c>
      <c r="J104" s="85">
        <f>IF(H104,An,'2021'!An_max)</f>
        <v>2021</v>
      </c>
      <c r="K104" s="197">
        <f t="shared" si="26"/>
        <v>44651</v>
      </c>
      <c r="L104" s="147">
        <f>IF(t&lt;Tvie,1-EXP((T0-t)*PertePVj)+'2021'!Pspv,1-EXP((T0-t)*PertePVj)+Pspv)</f>
        <v>2.1892330617676037E-2</v>
      </c>
      <c r="M104" s="832"/>
      <c r="N104" s="832"/>
      <c r="O104" s="48">
        <f>IF(t&lt;Tnet,'2021'!Resal+('2021'!Salim-'2021'!Resal)*(1-EXP(('2021'!Tnet-t)/('2021'!Tau_j))),Resal+(Salim-Resal)*(1-EXP((Tnet-t)/(Tau_j))))*Salcycl</f>
        <v>0.113052915510924</v>
      </c>
      <c r="P104" s="169">
        <f>(INDEX(Models!$BJ104:$BT104,,T104)*(1-R104)+INDEX(Models!$BJ104:$BT104,,T104+1)*R104-ERP_i)*Q104*Ramure*Pc/MaxiM</f>
        <v>4.6627420128741124E-6</v>
      </c>
      <c r="Q104" s="304">
        <f t="shared" si="27"/>
        <v>0.6</v>
      </c>
      <c r="R104" s="177">
        <f t="shared" si="28"/>
        <v>2.4100414342762864E-2</v>
      </c>
      <c r="S104" s="799">
        <f t="shared" si="29"/>
        <v>0</v>
      </c>
      <c r="T104" s="176">
        <f t="shared" si="30"/>
        <v>6</v>
      </c>
      <c r="U104" s="250">
        <f t="shared" si="31"/>
        <v>2.4100414342762864E-2</v>
      </c>
      <c r="V104" s="382">
        <f t="shared" si="32"/>
        <v>49.971560646144503</v>
      </c>
      <c r="W104" s="400"/>
      <c r="X104" s="157">
        <f t="shared" si="33"/>
        <v>44651</v>
      </c>
      <c r="Y104" s="383">
        <f t="shared" si="34"/>
        <v>24.018000000000001</v>
      </c>
      <c r="Z104" s="383">
        <f t="shared" si="35"/>
        <v>24.555578850708116</v>
      </c>
      <c r="AA104" s="384">
        <f t="shared" si="36"/>
        <v>27.685506024131424</v>
      </c>
      <c r="AB104" s="197">
        <f t="shared" si="37"/>
        <v>44651</v>
      </c>
      <c r="AC104" s="119">
        <f>IF(OR(t&lt;Tnet,NoTnet),'2021'!Resal_s+('2021'!Salim-'2021'!Resal_s)*(1-EXP(('2021'!Tnet_s-t)/'2021'!Tau_j)),Resal_s+(Salim-Resal_s)*(1-EXP((Tnet_s-t)/Tau_j)))*Salcycl</f>
        <v>0.113052915510924</v>
      </c>
      <c r="AD104" s="230">
        <f>(INDEX(Models!$BJ104:$BT104,,AH104)*(1-AF104)+INDEX(Models!$BJ104:$BT104,,AH104+1)*AF104-ERP_i)*AE104*Ramure*Pc/MaxiM</f>
        <v>4.6627420128741124E-6</v>
      </c>
      <c r="AE104" s="304">
        <f t="shared" si="38"/>
        <v>0.6</v>
      </c>
      <c r="AF104" s="177">
        <f t="shared" si="39"/>
        <v>2.4100414342762864E-2</v>
      </c>
      <c r="AG104" s="799">
        <f t="shared" si="47"/>
        <v>0</v>
      </c>
      <c r="AH104" s="176">
        <f t="shared" si="40"/>
        <v>6</v>
      </c>
      <c r="AI104" s="224">
        <f t="shared" si="41"/>
        <v>2.4100414342762864E-2</v>
      </c>
      <c r="AJ104" s="264" t="b">
        <f t="shared" si="42"/>
        <v>1</v>
      </c>
      <c r="AK104" s="264" t="b">
        <f t="shared" si="43"/>
        <v>0</v>
      </c>
      <c r="AL104" s="264"/>
      <c r="AM104" s="264"/>
      <c r="AN104" s="75"/>
    </row>
    <row r="105" spans="1:40" s="6" customFormat="1" ht="11.25" x14ac:dyDescent="0.2">
      <c r="A105" s="56">
        <f t="shared" si="44"/>
        <v>44652</v>
      </c>
      <c r="B105" s="607">
        <v>28.54</v>
      </c>
      <c r="C105" s="388"/>
      <c r="D105" s="391">
        <f t="shared" si="24"/>
        <v>29.179350971754445</v>
      </c>
      <c r="E105" s="383">
        <f t="shared" si="45"/>
        <v>32.902351275161536</v>
      </c>
      <c r="F105" s="383">
        <f t="shared" si="25"/>
        <v>32.902406578334187</v>
      </c>
      <c r="G105" s="110">
        <f t="shared" si="46"/>
        <v>0.56862012095910752</v>
      </c>
      <c r="H105" s="412" t="b">
        <f>Wh_hp&gt;='2021'!Maxi_hp</f>
        <v>0</v>
      </c>
      <c r="I105" s="379">
        <f>IF(H105,Wh_hp,'2021'!Maxi_hp)</f>
        <v>52.356654743992351</v>
      </c>
      <c r="J105" s="85">
        <f>IF(H105,An,'2021'!An_max)</f>
        <v>2021</v>
      </c>
      <c r="K105" s="197">
        <f t="shared" si="26"/>
        <v>44652</v>
      </c>
      <c r="L105" s="147">
        <f>IF(t&lt;Tvie,1-EXP((T0-t)*PertePVj)+'2021'!Pspv,1-EXP((T0-t)*PertePVj)+Pspv)</f>
        <v>2.1911075828017434E-2</v>
      </c>
      <c r="M105" s="832"/>
      <c r="N105" s="832"/>
      <c r="O105" s="48">
        <f>IF(t&lt;Tnet,'2021'!Resal+('2021'!Salim-'2021'!Resal)*(1-EXP(('2021'!Tnet-t)/('2021'!Tau_j))),Resal+(Salim-Resal)*(1-EXP((Tnet-t)/(Tau_j))))*Salcycl</f>
        <v>0.11315301670302319</v>
      </c>
      <c r="P105" s="169">
        <f>(INDEX(Models!$BJ105:$BT105,,T105)*(1-R105)+INDEX(Models!$BJ105:$BT105,,T105+1)*R105-ERP_i)*Q105*Ramure*Pc/MaxiM</f>
        <v>4.380053349903186E-6</v>
      </c>
      <c r="Q105" s="304">
        <f t="shared" si="27"/>
        <v>0.6</v>
      </c>
      <c r="R105" s="177">
        <f t="shared" si="28"/>
        <v>2.5120473412048101E-2</v>
      </c>
      <c r="S105" s="799">
        <f t="shared" si="29"/>
        <v>0</v>
      </c>
      <c r="T105" s="176">
        <f t="shared" si="30"/>
        <v>6</v>
      </c>
      <c r="U105" s="250">
        <f t="shared" si="31"/>
        <v>2.5120473412048101E-2</v>
      </c>
      <c r="V105" s="382">
        <f t="shared" si="32"/>
        <v>50.19154601096669</v>
      </c>
      <c r="W105" s="400"/>
      <c r="X105" s="157">
        <f t="shared" si="33"/>
        <v>44652</v>
      </c>
      <c r="Y105" s="383">
        <f t="shared" si="34"/>
        <v>28.54</v>
      </c>
      <c r="Z105" s="383">
        <f t="shared" si="35"/>
        <v>29.179350971754445</v>
      </c>
      <c r="AA105" s="384">
        <f t="shared" si="36"/>
        <v>32.902351275161536</v>
      </c>
      <c r="AB105" s="197">
        <f t="shared" si="37"/>
        <v>44652</v>
      </c>
      <c r="AC105" s="119">
        <f>IF(OR(t&lt;Tnet,NoTnet),'2021'!Resal_s+('2021'!Salim-'2021'!Resal_s)*(1-EXP(('2021'!Tnet_s-t)/'2021'!Tau_j)),Resal_s+(Salim-Resal_s)*(1-EXP((Tnet_s-t)/Tau_j)))*Salcycl</f>
        <v>0.11315301670302319</v>
      </c>
      <c r="AD105" s="230">
        <f>(INDEX(Models!$BJ105:$BT105,,AH105)*(1-AF105)+INDEX(Models!$BJ105:$BT105,,AH105+1)*AF105-ERP_i)*AE105*Ramure*Pc/MaxiM</f>
        <v>4.380053349903186E-6</v>
      </c>
      <c r="AE105" s="304">
        <f t="shared" si="38"/>
        <v>0.6</v>
      </c>
      <c r="AF105" s="177">
        <f t="shared" si="39"/>
        <v>2.5120473412048101E-2</v>
      </c>
      <c r="AG105" s="799">
        <f t="shared" si="47"/>
        <v>0</v>
      </c>
      <c r="AH105" s="176">
        <f t="shared" si="40"/>
        <v>6</v>
      </c>
      <c r="AI105" s="224">
        <f t="shared" si="41"/>
        <v>2.5120473412048101E-2</v>
      </c>
      <c r="AJ105" s="264" t="b">
        <f t="shared" si="42"/>
        <v>1</v>
      </c>
      <c r="AK105" s="264" t="b">
        <f t="shared" si="43"/>
        <v>0</v>
      </c>
      <c r="AL105" s="264"/>
      <c r="AM105" s="264"/>
      <c r="AN105" s="75"/>
    </row>
    <row r="106" spans="1:40" s="6" customFormat="1" ht="11.25" x14ac:dyDescent="0.2">
      <c r="A106" s="56">
        <f t="shared" si="44"/>
        <v>44653</v>
      </c>
      <c r="B106" s="607">
        <v>18.333000000000002</v>
      </c>
      <c r="C106" s="388"/>
      <c r="D106" s="391">
        <f t="shared" si="24"/>
        <v>18.744053737257691</v>
      </c>
      <c r="E106" s="383">
        <f t="shared" si="45"/>
        <v>21.138019574706831</v>
      </c>
      <c r="F106" s="383">
        <f t="shared" si="25"/>
        <v>21.138027471994604</v>
      </c>
      <c r="G106" s="110">
        <f t="shared" si="46"/>
        <v>0.36372756554723917</v>
      </c>
      <c r="H106" s="412" t="b">
        <f>Wh_hp&gt;='2021'!Maxi_hp</f>
        <v>0</v>
      </c>
      <c r="I106" s="379">
        <f>IF(H106,Wh_hp,'2021'!Maxi_hp)</f>
        <v>47.319485851291006</v>
      </c>
      <c r="J106" s="85">
        <f>IF(H106,An,'2021'!An_max)</f>
        <v>2021</v>
      </c>
      <c r="K106" s="197">
        <f t="shared" si="26"/>
        <v>44653</v>
      </c>
      <c r="L106" s="147">
        <f>IF(t&lt;Tvie,1-EXP((T0-t)*PertePVj)+'2021'!Pspv,1-EXP((T0-t)*PertePVj)+Pspv)</f>
        <v>2.1929820679111311E-2</v>
      </c>
      <c r="M106" s="832"/>
      <c r="N106" s="832"/>
      <c r="O106" s="48">
        <f>IF(t&lt;Tnet,'2021'!Resal+('2021'!Salim-'2021'!Resal)*(1-EXP(('2021'!Tnet-t)/('2021'!Tau_j))),Resal+(Salim-Resal)*(1-EXP((Tnet-t)/(Tau_j))))*Salcycl</f>
        <v>0.1132540268963368</v>
      </c>
      <c r="P106" s="169">
        <f>(INDEX(Models!$BJ106:$BT106,,T106)*(1-R106)+INDEX(Models!$BJ106:$BT106,,T106+1)*R106-ERP_i)*Q106*Ramure*Pc/MaxiM</f>
        <v>4.1036940212607324E-6</v>
      </c>
      <c r="Q106" s="304">
        <f t="shared" si="27"/>
        <v>0.6</v>
      </c>
      <c r="R106" s="177">
        <f t="shared" si="28"/>
        <v>2.6178677461487464E-2</v>
      </c>
      <c r="S106" s="799">
        <f t="shared" si="29"/>
        <v>0</v>
      </c>
      <c r="T106" s="176">
        <f t="shared" si="30"/>
        <v>6</v>
      </c>
      <c r="U106" s="250">
        <f t="shared" si="31"/>
        <v>2.6178677461487464E-2</v>
      </c>
      <c r="V106" s="382">
        <f t="shared" si="32"/>
        <v>50.402920627373959</v>
      </c>
      <c r="W106" s="400"/>
      <c r="X106" s="157">
        <f t="shared" si="33"/>
        <v>44653</v>
      </c>
      <c r="Y106" s="383">
        <f t="shared" si="34"/>
        <v>18.333000000000002</v>
      </c>
      <c r="Z106" s="383">
        <f t="shared" si="35"/>
        <v>18.744053737257691</v>
      </c>
      <c r="AA106" s="384">
        <f t="shared" si="36"/>
        <v>21.138019574706831</v>
      </c>
      <c r="AB106" s="197">
        <f t="shared" si="37"/>
        <v>44653</v>
      </c>
      <c r="AC106" s="119">
        <f>IF(OR(t&lt;Tnet,NoTnet),'2021'!Resal_s+('2021'!Salim-'2021'!Resal_s)*(1-EXP(('2021'!Tnet_s-t)/'2021'!Tau_j)),Resal_s+(Salim-Resal_s)*(1-EXP((Tnet_s-t)/Tau_j)))*Salcycl</f>
        <v>0.1132540268963368</v>
      </c>
      <c r="AD106" s="230">
        <f>(INDEX(Models!$BJ106:$BT106,,AH106)*(1-AF106)+INDEX(Models!$BJ106:$BT106,,AH106+1)*AF106-ERP_i)*AE106*Ramure*Pc/MaxiM</f>
        <v>4.1036940212607324E-6</v>
      </c>
      <c r="AE106" s="304">
        <f t="shared" si="38"/>
        <v>0.6</v>
      </c>
      <c r="AF106" s="177">
        <f t="shared" si="39"/>
        <v>2.6178677461487464E-2</v>
      </c>
      <c r="AG106" s="799">
        <f t="shared" si="47"/>
        <v>0</v>
      </c>
      <c r="AH106" s="176">
        <f t="shared" si="40"/>
        <v>6</v>
      </c>
      <c r="AI106" s="224">
        <f t="shared" si="41"/>
        <v>2.6178677461487464E-2</v>
      </c>
      <c r="AJ106" s="264" t="b">
        <f t="shared" si="42"/>
        <v>1</v>
      </c>
      <c r="AK106" s="264" t="b">
        <f t="shared" si="43"/>
        <v>0</v>
      </c>
      <c r="AL106" s="264"/>
      <c r="AM106" s="264"/>
      <c r="AN106" s="75"/>
    </row>
    <row r="107" spans="1:40" s="6" customFormat="1" ht="11.25" x14ac:dyDescent="0.2">
      <c r="A107" s="56">
        <f t="shared" si="44"/>
        <v>44654</v>
      </c>
      <c r="B107" s="607">
        <v>22.716000000000001</v>
      </c>
      <c r="C107" s="388"/>
      <c r="D107" s="391">
        <f t="shared" si="24"/>
        <v>23.22577237869988</v>
      </c>
      <c r="E107" s="383">
        <f t="shared" si="45"/>
        <v>26.195149424749911</v>
      </c>
      <c r="F107" s="383">
        <f t="shared" si="25"/>
        <v>26.195170780618355</v>
      </c>
      <c r="G107" s="110">
        <f t="shared" si="46"/>
        <v>0.44887411750154688</v>
      </c>
      <c r="H107" s="412" t="b">
        <f>Wh_hp&gt;='2021'!Maxi_hp</f>
        <v>0</v>
      </c>
      <c r="I107" s="379">
        <f>IF(H107,Wh_hp,'2021'!Maxi_hp)</f>
        <v>54.874354285186392</v>
      </c>
      <c r="J107" s="85">
        <f>IF(H107,An,'2021'!An_max)</f>
        <v>2021</v>
      </c>
      <c r="K107" s="197">
        <f t="shared" si="26"/>
        <v>44654</v>
      </c>
      <c r="L107" s="147">
        <f>IF(t&lt;Tvie,1-EXP((T0-t)*PertePVj)+'2021'!Pspv,1-EXP((T0-t)*PertePVj)+Pspv)</f>
        <v>2.1948565170964329E-2</v>
      </c>
      <c r="M107" s="832"/>
      <c r="N107" s="832"/>
      <c r="O107" s="48">
        <f>IF(t&lt;Tnet,'2021'!Resal+('2021'!Salim-'2021'!Resal)*(1-EXP(('2021'!Tnet-t)/('2021'!Tau_j))),Resal+(Salim-Resal)*(1-EXP((Tnet-t)/(Tau_j))))*Salcycl</f>
        <v>0.11335598808398013</v>
      </c>
      <c r="P107" s="169">
        <f>(INDEX(Models!$BJ107:$BT107,,T107)*(1-R107)+INDEX(Models!$BJ107:$BT107,,T107+1)*R107-ERP_i)*Q107*Ramure*Pc/MaxiM</f>
        <v>3.8332830665983445E-6</v>
      </c>
      <c r="Q107" s="304">
        <f t="shared" si="27"/>
        <v>0.6</v>
      </c>
      <c r="R107" s="177">
        <f t="shared" si="28"/>
        <v>2.7276262266301032E-2</v>
      </c>
      <c r="S107" s="799">
        <f t="shared" si="29"/>
        <v>0</v>
      </c>
      <c r="T107" s="176">
        <f t="shared" si="30"/>
        <v>6</v>
      </c>
      <c r="U107" s="250">
        <f t="shared" si="31"/>
        <v>2.7276262266301032E-2</v>
      </c>
      <c r="V107" s="382">
        <f t="shared" si="32"/>
        <v>50.606463052412956</v>
      </c>
      <c r="W107" s="400"/>
      <c r="X107" s="157">
        <f t="shared" si="33"/>
        <v>44654</v>
      </c>
      <c r="Y107" s="383">
        <f t="shared" si="34"/>
        <v>22.716000000000001</v>
      </c>
      <c r="Z107" s="383">
        <f t="shared" si="35"/>
        <v>23.22577237869988</v>
      </c>
      <c r="AA107" s="384">
        <f t="shared" si="36"/>
        <v>26.195149424749911</v>
      </c>
      <c r="AB107" s="197">
        <f t="shared" si="37"/>
        <v>44654</v>
      </c>
      <c r="AC107" s="119">
        <f>IF(OR(t&lt;Tnet,NoTnet),'2021'!Resal_s+('2021'!Salim-'2021'!Resal_s)*(1-EXP(('2021'!Tnet_s-t)/'2021'!Tau_j)),Resal_s+(Salim-Resal_s)*(1-EXP((Tnet_s-t)/Tau_j)))*Salcycl</f>
        <v>0.11335598808398013</v>
      </c>
      <c r="AD107" s="230">
        <f>(INDEX(Models!$BJ107:$BT107,,AH107)*(1-AF107)+INDEX(Models!$BJ107:$BT107,,AH107+1)*AF107-ERP_i)*AE107*Ramure*Pc/MaxiM</f>
        <v>3.8332830665983445E-6</v>
      </c>
      <c r="AE107" s="304">
        <f t="shared" si="38"/>
        <v>0.6</v>
      </c>
      <c r="AF107" s="177">
        <f t="shared" si="39"/>
        <v>2.7276262266301032E-2</v>
      </c>
      <c r="AG107" s="799">
        <f t="shared" si="47"/>
        <v>0</v>
      </c>
      <c r="AH107" s="176">
        <f t="shared" si="40"/>
        <v>6</v>
      </c>
      <c r="AI107" s="224">
        <f t="shared" si="41"/>
        <v>2.7276262266301032E-2</v>
      </c>
      <c r="AJ107" s="264" t="b">
        <f t="shared" si="42"/>
        <v>1</v>
      </c>
      <c r="AK107" s="264" t="b">
        <f t="shared" si="43"/>
        <v>0</v>
      </c>
      <c r="AL107" s="264"/>
      <c r="AM107" s="264"/>
      <c r="AN107" s="75"/>
    </row>
    <row r="108" spans="1:40" s="6" customFormat="1" ht="11.25" x14ac:dyDescent="0.2">
      <c r="A108" s="56">
        <f t="shared" si="44"/>
        <v>44655</v>
      </c>
      <c r="B108" s="607">
        <v>42.928000000000004</v>
      </c>
      <c r="C108" s="388"/>
      <c r="D108" s="391">
        <f t="shared" si="24"/>
        <v>43.892193388170647</v>
      </c>
      <c r="E108" s="383">
        <f t="shared" si="45"/>
        <v>49.50948741991138</v>
      </c>
      <c r="F108" s="383">
        <f t="shared" si="25"/>
        <v>49.509625163751778</v>
      </c>
      <c r="G108" s="110">
        <f t="shared" si="46"/>
        <v>0.8449813287111988</v>
      </c>
      <c r="H108" s="412" t="b">
        <f>Wh_hp&gt;='2021'!Maxi_hp</f>
        <v>0</v>
      </c>
      <c r="I108" s="379">
        <f>IF(H108,Wh_hp,'2021'!Maxi_hp)</f>
        <v>58.531654511187028</v>
      </c>
      <c r="J108" s="85">
        <f>IF(H108,An,'2021'!An_max)</f>
        <v>2020</v>
      </c>
      <c r="K108" s="197">
        <f t="shared" si="26"/>
        <v>44655</v>
      </c>
      <c r="L108" s="147">
        <f>IF(t&lt;Tvie,1-EXP((T0-t)*PertePVj)+'2021'!Pspv,1-EXP((T0-t)*PertePVj)+Pspv)</f>
        <v>2.1967309303583371E-2</v>
      </c>
      <c r="M108" s="832"/>
      <c r="N108" s="832"/>
      <c r="O108" s="48">
        <f>IF(t&lt;Tnet,'2021'!Resal+('2021'!Salim-'2021'!Resal)*(1-EXP(('2021'!Tnet-t)/('2021'!Tau_j))),Resal+(Salim-Resal)*(1-EXP((Tnet-t)/(Tau_j))))*Salcycl</f>
        <v>0.11345894139638388</v>
      </c>
      <c r="P108" s="169">
        <f>(INDEX(Models!$BJ108:$BT108,,T108)*(1-R108)+INDEX(Models!$BJ108:$BT108,,T108+1)*R108-ERP_i)*Q108*Ramure*Pc/MaxiM</f>
        <v>3.5735382306914484E-6</v>
      </c>
      <c r="Q108" s="304">
        <f t="shared" si="27"/>
        <v>0.6</v>
      </c>
      <c r="R108" s="177">
        <f t="shared" si="28"/>
        <v>2.8414488301153704E-2</v>
      </c>
      <c r="S108" s="799">
        <f t="shared" si="29"/>
        <v>0</v>
      </c>
      <c r="T108" s="176">
        <f t="shared" si="30"/>
        <v>6</v>
      </c>
      <c r="U108" s="250">
        <f t="shared" si="31"/>
        <v>2.8414488301153704E-2</v>
      </c>
      <c r="V108" s="382">
        <f t="shared" si="32"/>
        <v>50.803449223214407</v>
      </c>
      <c r="W108" s="400"/>
      <c r="X108" s="157">
        <f t="shared" si="33"/>
        <v>44655</v>
      </c>
      <c r="Y108" s="383">
        <f t="shared" si="34"/>
        <v>42.928000000000004</v>
      </c>
      <c r="Z108" s="383">
        <f t="shared" si="35"/>
        <v>43.892193388170647</v>
      </c>
      <c r="AA108" s="384">
        <f t="shared" si="36"/>
        <v>49.50948741991138</v>
      </c>
      <c r="AB108" s="197">
        <f t="shared" si="37"/>
        <v>44655</v>
      </c>
      <c r="AC108" s="119">
        <f>IF(OR(t&lt;Tnet,NoTnet),'2021'!Resal_s+('2021'!Salim-'2021'!Resal_s)*(1-EXP(('2021'!Tnet_s-t)/'2021'!Tau_j)),Resal_s+(Salim-Resal_s)*(1-EXP((Tnet_s-t)/Tau_j)))*Salcycl</f>
        <v>0.11345894139638388</v>
      </c>
      <c r="AD108" s="230">
        <f>(INDEX(Models!$BJ108:$BT108,,AH108)*(1-AF108)+INDEX(Models!$BJ108:$BT108,,AH108+1)*AF108-ERP_i)*AE108*Ramure*Pc/MaxiM</f>
        <v>3.5735382306914484E-6</v>
      </c>
      <c r="AE108" s="304">
        <f t="shared" si="38"/>
        <v>0.6</v>
      </c>
      <c r="AF108" s="177">
        <f t="shared" si="39"/>
        <v>2.8414488301153704E-2</v>
      </c>
      <c r="AG108" s="799">
        <f t="shared" si="47"/>
        <v>0</v>
      </c>
      <c r="AH108" s="176">
        <f t="shared" si="40"/>
        <v>6</v>
      </c>
      <c r="AI108" s="224">
        <f t="shared" si="41"/>
        <v>2.8414488301153704E-2</v>
      </c>
      <c r="AJ108" s="264" t="b">
        <f t="shared" si="42"/>
        <v>1</v>
      </c>
      <c r="AK108" s="264" t="b">
        <f t="shared" si="43"/>
        <v>0</v>
      </c>
      <c r="AL108" s="264"/>
      <c r="AM108" s="264"/>
      <c r="AN108" s="75"/>
    </row>
    <row r="109" spans="1:40" s="6" customFormat="1" ht="11.25" x14ac:dyDescent="0.2">
      <c r="A109" s="56">
        <f t="shared" si="44"/>
        <v>44656</v>
      </c>
      <c r="B109" s="607">
        <v>49.280999999999999</v>
      </c>
      <c r="C109" s="388"/>
      <c r="D109" s="391">
        <f t="shared" si="24"/>
        <v>50.388851973987961</v>
      </c>
      <c r="E109" s="383">
        <f t="shared" si="45"/>
        <v>56.844251565843734</v>
      </c>
      <c r="F109" s="383">
        <f t="shared" si="25"/>
        <v>56.844430963458578</v>
      </c>
      <c r="G109" s="110">
        <f t="shared" si="46"/>
        <v>0.96640817831239534</v>
      </c>
      <c r="H109" s="412" t="b">
        <f>Wh_hp&gt;='2021'!Maxi_hp</f>
        <v>0</v>
      </c>
      <c r="I109" s="379">
        <f>IF(H109,Wh_hp,'2021'!Maxi_hp)</f>
        <v>60.630362862646294</v>
      </c>
      <c r="J109" s="85">
        <f>IF(H109,An,'2021'!An_max)</f>
        <v>2020</v>
      </c>
      <c r="K109" s="197">
        <f t="shared" si="26"/>
        <v>44656</v>
      </c>
      <c r="L109" s="147">
        <f>IF(t&lt;Tvie,1-EXP((T0-t)*PertePVj)+'2021'!Pspv,1-EXP((T0-t)*PertePVj)+Pspv)</f>
        <v>2.1986053076975542E-2</v>
      </c>
      <c r="M109" s="832"/>
      <c r="N109" s="832"/>
      <c r="O109" s="48">
        <f>IF(t&lt;Tnet,'2021'!Resal+('2021'!Salim-'2021'!Resal)*(1-EXP(('2021'!Tnet-t)/('2021'!Tau_j))),Resal+(Salim-Resal)*(1-EXP((Tnet-t)/(Tau_j))))*Salcycl</f>
        <v>0.113562927016083</v>
      </c>
      <c r="P109" s="169">
        <f>(INDEX(Models!$BJ109:$BT109,,T109)*(1-R109)+INDEX(Models!$BJ109:$BT109,,T109+1)*R109-ERP_i)*Q109*Ramure*Pc/MaxiM</f>
        <v>3.3150216028643779E-6</v>
      </c>
      <c r="Q109" s="304">
        <f t="shared" si="27"/>
        <v>0.6</v>
      </c>
      <c r="R109" s="177">
        <f t="shared" si="28"/>
        <v>2.9594639929172432E-2</v>
      </c>
      <c r="S109" s="799">
        <f t="shared" si="29"/>
        <v>0</v>
      </c>
      <c r="T109" s="176">
        <f t="shared" si="30"/>
        <v>6</v>
      </c>
      <c r="U109" s="250">
        <f t="shared" si="31"/>
        <v>2.9594639929172432E-2</v>
      </c>
      <c r="V109" s="382">
        <f t="shared" si="32"/>
        <v>50.993972594823916</v>
      </c>
      <c r="W109" s="400"/>
      <c r="X109" s="157">
        <f t="shared" si="33"/>
        <v>44656</v>
      </c>
      <c r="Y109" s="383">
        <f t="shared" si="34"/>
        <v>49.280999999999999</v>
      </c>
      <c r="Z109" s="383">
        <f t="shared" si="35"/>
        <v>50.388851973987961</v>
      </c>
      <c r="AA109" s="384">
        <f t="shared" si="36"/>
        <v>56.844251565843734</v>
      </c>
      <c r="AB109" s="197">
        <f t="shared" si="37"/>
        <v>44656</v>
      </c>
      <c r="AC109" s="119">
        <f>IF(OR(t&lt;Tnet,NoTnet),'2021'!Resal_s+('2021'!Salim-'2021'!Resal_s)*(1-EXP(('2021'!Tnet_s-t)/'2021'!Tau_j)),Resal_s+(Salim-Resal_s)*(1-EXP((Tnet_s-t)/Tau_j)))*Salcycl</f>
        <v>0.113562927016083</v>
      </c>
      <c r="AD109" s="230">
        <f>(INDEX(Models!$BJ109:$BT109,,AH109)*(1-AF109)+INDEX(Models!$BJ109:$BT109,,AH109+1)*AF109-ERP_i)*AE109*Ramure*Pc/MaxiM</f>
        <v>3.3150216028643779E-6</v>
      </c>
      <c r="AE109" s="304">
        <f t="shared" si="38"/>
        <v>0.6</v>
      </c>
      <c r="AF109" s="177">
        <f t="shared" si="39"/>
        <v>2.9594639929172432E-2</v>
      </c>
      <c r="AG109" s="799">
        <f t="shared" si="47"/>
        <v>0</v>
      </c>
      <c r="AH109" s="176">
        <f t="shared" si="40"/>
        <v>6</v>
      </c>
      <c r="AI109" s="224">
        <f t="shared" si="41"/>
        <v>2.9594639929172432E-2</v>
      </c>
      <c r="AJ109" s="264" t="b">
        <f t="shared" si="42"/>
        <v>1</v>
      </c>
      <c r="AK109" s="264" t="b">
        <f t="shared" si="43"/>
        <v>0</v>
      </c>
      <c r="AL109" s="264"/>
      <c r="AM109" s="264"/>
      <c r="AN109" s="75"/>
    </row>
    <row r="110" spans="1:40" s="6" customFormat="1" ht="11.25" x14ac:dyDescent="0.2">
      <c r="A110" s="56">
        <f t="shared" si="44"/>
        <v>44657</v>
      </c>
      <c r="B110" s="607">
        <v>10.416</v>
      </c>
      <c r="C110" s="388"/>
      <c r="D110" s="391">
        <f t="shared" si="24"/>
        <v>10.650358981955597</v>
      </c>
      <c r="E110" s="383">
        <f t="shared" si="45"/>
        <v>12.016218291615191</v>
      </c>
      <c r="F110" s="383">
        <f t="shared" si="25"/>
        <v>12.016218291615191</v>
      </c>
      <c r="G110" s="110">
        <f t="shared" si="46"/>
        <v>0.20352382807140398</v>
      </c>
      <c r="H110" s="412" t="b">
        <f>Wh_hp&gt;='2021'!Maxi_hp</f>
        <v>0</v>
      </c>
      <c r="I110" s="379">
        <f>IF(H110,Wh_hp,'2021'!Maxi_hp)</f>
        <v>61.789879611435509</v>
      </c>
      <c r="J110" s="85">
        <f>IF(H110,An,'2021'!An_max)</f>
        <v>2020</v>
      </c>
      <c r="K110" s="197">
        <f t="shared" si="26"/>
        <v>44657</v>
      </c>
      <c r="L110" s="147">
        <f>IF(t&lt;Tvie,1-EXP((T0-t)*PertePVj)+'2021'!Pspv,1-EXP((T0-t)*PertePVj)+Pspv)</f>
        <v>2.2004796491147394E-2</v>
      </c>
      <c r="M110" s="832"/>
      <c r="N110" s="832"/>
      <c r="O110" s="48">
        <f>IF(t&lt;Tnet,'2021'!Resal+('2021'!Salim-'2021'!Resal)*(1-EXP(('2021'!Tnet-t)/('2021'!Tau_j))),Resal+(Salim-Resal)*(1-EXP((Tnet-t)/(Tau_j))))*Salcycl</f>
        <v>0.11366798409551854</v>
      </c>
      <c r="P110" s="169">
        <f>(INDEX(Models!$BJ110:$BT110,,T110)*(1-R110)+INDEX(Models!$BJ110:$BT110,,T110+1)*R110-ERP_i)*Q110*Ramure*Pc/MaxiM</f>
        <v>3.0574618214400551E-6</v>
      </c>
      <c r="Q110" s="304">
        <f t="shared" si="27"/>
        <v>0.6</v>
      </c>
      <c r="R110" s="177">
        <f t="shared" si="28"/>
        <v>3.0818024452212635E-2</v>
      </c>
      <c r="S110" s="799">
        <f t="shared" si="29"/>
        <v>0</v>
      </c>
      <c r="T110" s="176">
        <f t="shared" si="30"/>
        <v>6</v>
      </c>
      <c r="U110" s="250">
        <f t="shared" si="31"/>
        <v>3.0818024452212635E-2</v>
      </c>
      <c r="V110" s="382">
        <f t="shared" si="32"/>
        <v>51.17812617903072</v>
      </c>
      <c r="W110" s="400"/>
      <c r="X110" s="157">
        <f t="shared" si="33"/>
        <v>44657</v>
      </c>
      <c r="Y110" s="383">
        <f t="shared" si="34"/>
        <v>10.416</v>
      </c>
      <c r="Z110" s="383">
        <f t="shared" si="35"/>
        <v>10.650358981955597</v>
      </c>
      <c r="AA110" s="384">
        <f t="shared" si="36"/>
        <v>12.016218291615191</v>
      </c>
      <c r="AB110" s="197">
        <f t="shared" si="37"/>
        <v>44657</v>
      </c>
      <c r="AC110" s="119">
        <f>IF(OR(t&lt;Tnet,NoTnet),'2021'!Resal_s+('2021'!Salim-'2021'!Resal_s)*(1-EXP(('2021'!Tnet_s-t)/'2021'!Tau_j)),Resal_s+(Salim-Resal_s)*(1-EXP((Tnet_s-t)/Tau_j)))*Salcycl</f>
        <v>0.11366798409551854</v>
      </c>
      <c r="AD110" s="230">
        <f>(INDEX(Models!$BJ110:$BT110,,AH110)*(1-AF110)+INDEX(Models!$BJ110:$BT110,,AH110+1)*AF110-ERP_i)*AE110*Ramure*Pc/MaxiM</f>
        <v>3.0574618214400551E-6</v>
      </c>
      <c r="AE110" s="304">
        <f t="shared" si="38"/>
        <v>0.6</v>
      </c>
      <c r="AF110" s="177">
        <f t="shared" si="39"/>
        <v>3.0818024452212635E-2</v>
      </c>
      <c r="AG110" s="799">
        <f t="shared" si="47"/>
        <v>0</v>
      </c>
      <c r="AH110" s="176">
        <f t="shared" si="40"/>
        <v>6</v>
      </c>
      <c r="AI110" s="224">
        <f t="shared" si="41"/>
        <v>3.0818024452212635E-2</v>
      </c>
      <c r="AJ110" s="264" t="b">
        <f t="shared" si="42"/>
        <v>1</v>
      </c>
      <c r="AK110" s="264" t="b">
        <f t="shared" si="43"/>
        <v>0</v>
      </c>
      <c r="AL110" s="264"/>
      <c r="AM110" s="264"/>
      <c r="AN110" s="75"/>
    </row>
    <row r="111" spans="1:40" s="6" customFormat="1" ht="11.25" x14ac:dyDescent="0.2">
      <c r="A111" s="56">
        <f t="shared" si="44"/>
        <v>44658</v>
      </c>
      <c r="B111" s="607">
        <v>37.783000000000001</v>
      </c>
      <c r="C111" s="388"/>
      <c r="D111" s="391">
        <f t="shared" si="24"/>
        <v>38.633854216147832</v>
      </c>
      <c r="E111" s="383">
        <f t="shared" si="45"/>
        <v>43.593689177172962</v>
      </c>
      <c r="F111" s="383">
        <f t="shared" si="25"/>
        <v>43.593765169617761</v>
      </c>
      <c r="G111" s="110">
        <f t="shared" si="46"/>
        <v>0.73570678856292604</v>
      </c>
      <c r="H111" s="412" t="b">
        <f>Wh_hp&gt;='2021'!Maxi_hp</f>
        <v>0</v>
      </c>
      <c r="I111" s="379">
        <f>IF(H111,Wh_hp,'2021'!Maxi_hp)</f>
        <v>57.641590326418545</v>
      </c>
      <c r="J111" s="85">
        <f>IF(H111,An,'2021'!An_max)</f>
        <v>2021</v>
      </c>
      <c r="K111" s="197">
        <f t="shared" si="26"/>
        <v>44658</v>
      </c>
      <c r="L111" s="147">
        <f>IF(t&lt;Tvie,1-EXP((T0-t)*PertePVj)+'2021'!Pspv,1-EXP((T0-t)*PertePVj)+Pspv)</f>
        <v>2.2023539546106141E-2</v>
      </c>
      <c r="M111" s="832"/>
      <c r="N111" s="832"/>
      <c r="O111" s="48">
        <f>IF(t&lt;Tnet,'2021'!Resal+('2021'!Salim-'2021'!Resal)*(1-EXP(('2021'!Tnet-t)/('2021'!Tau_j))),Resal+(Salim-Resal)*(1-EXP((Tnet-t)/(Tau_j))))*Salcycl</f>
        <v>0.11377415067734753</v>
      </c>
      <c r="P111" s="169">
        <f>(INDEX(Models!$BJ111:$BT111,,T111)*(1-R111)+INDEX(Models!$BJ111:$BT111,,T111+1)*R111-ERP_i)*Q111*Ramure*Pc/MaxiM</f>
        <v>2.8005863925285868E-6</v>
      </c>
      <c r="Q111" s="304">
        <f t="shared" si="27"/>
        <v>0.6</v>
      </c>
      <c r="R111" s="177">
        <f t="shared" si="28"/>
        <v>3.2085971013161643E-2</v>
      </c>
      <c r="S111" s="799">
        <f t="shared" si="29"/>
        <v>0</v>
      </c>
      <c r="T111" s="176">
        <f t="shared" si="30"/>
        <v>6</v>
      </c>
      <c r="U111" s="250">
        <f t="shared" si="31"/>
        <v>3.2085971013161643E-2</v>
      </c>
      <c r="V111" s="382">
        <f t="shared" si="32"/>
        <v>51.356003010823862</v>
      </c>
      <c r="W111" s="400"/>
      <c r="X111" s="157">
        <f t="shared" si="33"/>
        <v>44658</v>
      </c>
      <c r="Y111" s="383">
        <f t="shared" si="34"/>
        <v>37.783000000000001</v>
      </c>
      <c r="Z111" s="383">
        <f t="shared" si="35"/>
        <v>38.633854216147832</v>
      </c>
      <c r="AA111" s="384">
        <f t="shared" si="36"/>
        <v>43.593689177172962</v>
      </c>
      <c r="AB111" s="197">
        <f t="shared" si="37"/>
        <v>44658</v>
      </c>
      <c r="AC111" s="119">
        <f>IF(OR(t&lt;Tnet,NoTnet),'2021'!Resal_s+('2021'!Salim-'2021'!Resal_s)*(1-EXP(('2021'!Tnet_s-t)/'2021'!Tau_j)),Resal_s+(Salim-Resal_s)*(1-EXP((Tnet_s-t)/Tau_j)))*Salcycl</f>
        <v>0.11377415067734753</v>
      </c>
      <c r="AD111" s="230">
        <f>(INDEX(Models!$BJ111:$BT111,,AH111)*(1-AF111)+INDEX(Models!$BJ111:$BT111,,AH111+1)*AF111-ERP_i)*AE111*Ramure*Pc/MaxiM</f>
        <v>2.8005863925285868E-6</v>
      </c>
      <c r="AE111" s="304">
        <f t="shared" si="38"/>
        <v>0.6</v>
      </c>
      <c r="AF111" s="177">
        <f t="shared" si="39"/>
        <v>3.2085971013161643E-2</v>
      </c>
      <c r="AG111" s="799">
        <f t="shared" si="47"/>
        <v>0</v>
      </c>
      <c r="AH111" s="176">
        <f t="shared" si="40"/>
        <v>6</v>
      </c>
      <c r="AI111" s="224">
        <f t="shared" si="41"/>
        <v>3.2085971013161643E-2</v>
      </c>
      <c r="AJ111" s="264" t="b">
        <f t="shared" si="42"/>
        <v>1</v>
      </c>
      <c r="AK111" s="264" t="b">
        <f t="shared" si="43"/>
        <v>0</v>
      </c>
      <c r="AL111" s="264"/>
      <c r="AM111" s="264"/>
      <c r="AN111" s="75"/>
    </row>
    <row r="112" spans="1:40" s="6" customFormat="1" ht="11.25" x14ac:dyDescent="0.2">
      <c r="A112" s="56">
        <f t="shared" si="44"/>
        <v>44659</v>
      </c>
      <c r="B112" s="607">
        <v>32.401000000000003</v>
      </c>
      <c r="C112" s="388"/>
      <c r="D112" s="391">
        <f t="shared" si="24"/>
        <v>33.131289228204736</v>
      </c>
      <c r="E112" s="383">
        <f t="shared" si="45"/>
        <v>37.389229395235041</v>
      </c>
      <c r="F112" s="383">
        <f t="shared" si="25"/>
        <v>37.389274076814218</v>
      </c>
      <c r="G112" s="110">
        <f t="shared" si="46"/>
        <v>0.62880661669762106</v>
      </c>
      <c r="H112" s="412" t="b">
        <f>Wh_hp&gt;='2021'!Maxi_hp</f>
        <v>0</v>
      </c>
      <c r="I112" s="379">
        <f>IF(H112,Wh_hp,'2021'!Maxi_hp)</f>
        <v>59.015866902452174</v>
      </c>
      <c r="J112" s="85">
        <f>IF(H112,An,'2021'!An_max)</f>
        <v>2021</v>
      </c>
      <c r="K112" s="197">
        <f t="shared" si="26"/>
        <v>44659</v>
      </c>
      <c r="L112" s="147">
        <f>IF(t&lt;Tvie,1-EXP((T0-t)*PertePVj)+'2021'!Pspv,1-EXP((T0-t)*PertePVj)+Pspv)</f>
        <v>2.2042282241858446E-2</v>
      </c>
      <c r="M112" s="832"/>
      <c r="N112" s="832"/>
      <c r="O112" s="48">
        <f>IF(t&lt;Tnet,'2021'!Resal+('2021'!Salim-'2021'!Resal)*(1-EXP(('2021'!Tnet-t)/('2021'!Tau_j))),Resal+(Salim-Resal)*(1-EXP((Tnet-t)/(Tau_j))))*Salcycl</f>
        <v>0.11388146361671055</v>
      </c>
      <c r="P112" s="169">
        <f>(INDEX(Models!$BJ112:$BT112,,T112)*(1-R112)+INDEX(Models!$BJ112:$BT112,,T112+1)*R112-ERP_i)*Q112*Ramure*Pc/MaxiM</f>
        <v>2.5441215211551777E-6</v>
      </c>
      <c r="Q112" s="304">
        <f t="shared" si="27"/>
        <v>0.6</v>
      </c>
      <c r="R112" s="177">
        <f t="shared" si="28"/>
        <v>3.3399829340905227E-2</v>
      </c>
      <c r="S112" s="799">
        <f t="shared" si="29"/>
        <v>0</v>
      </c>
      <c r="T112" s="176">
        <f t="shared" si="30"/>
        <v>6</v>
      </c>
      <c r="U112" s="250">
        <f t="shared" si="31"/>
        <v>3.3399829340905227E-2</v>
      </c>
      <c r="V112" s="382">
        <f t="shared" si="32"/>
        <v>51.527696159489629</v>
      </c>
      <c r="W112" s="400"/>
      <c r="X112" s="157">
        <f t="shared" si="33"/>
        <v>44659</v>
      </c>
      <c r="Y112" s="383">
        <f t="shared" si="34"/>
        <v>32.401000000000003</v>
      </c>
      <c r="Z112" s="383">
        <f t="shared" si="35"/>
        <v>33.131289228204736</v>
      </c>
      <c r="AA112" s="384">
        <f t="shared" si="36"/>
        <v>37.389229395235041</v>
      </c>
      <c r="AB112" s="197">
        <f t="shared" si="37"/>
        <v>44659</v>
      </c>
      <c r="AC112" s="119">
        <f>IF(OR(t&lt;Tnet,NoTnet),'2021'!Resal_s+('2021'!Salim-'2021'!Resal_s)*(1-EXP(('2021'!Tnet_s-t)/'2021'!Tau_j)),Resal_s+(Salim-Resal_s)*(1-EXP((Tnet_s-t)/Tau_j)))*Salcycl</f>
        <v>0.11388146361671055</v>
      </c>
      <c r="AD112" s="230">
        <f>(INDEX(Models!$BJ112:$BT112,,AH112)*(1-AF112)+INDEX(Models!$BJ112:$BT112,,AH112+1)*AF112-ERP_i)*AE112*Ramure*Pc/MaxiM</f>
        <v>2.5441215211551777E-6</v>
      </c>
      <c r="AE112" s="304">
        <f t="shared" si="38"/>
        <v>0.6</v>
      </c>
      <c r="AF112" s="177">
        <f t="shared" si="39"/>
        <v>3.3399829340905227E-2</v>
      </c>
      <c r="AG112" s="799">
        <f t="shared" si="47"/>
        <v>0</v>
      </c>
      <c r="AH112" s="176">
        <f t="shared" si="40"/>
        <v>6</v>
      </c>
      <c r="AI112" s="224">
        <f t="shared" si="41"/>
        <v>3.3399829340905227E-2</v>
      </c>
      <c r="AJ112" s="264" t="b">
        <f t="shared" si="42"/>
        <v>1</v>
      </c>
      <c r="AK112" s="264" t="b">
        <f t="shared" si="43"/>
        <v>0</v>
      </c>
      <c r="AL112" s="264"/>
      <c r="AM112" s="264"/>
      <c r="AN112" s="75"/>
    </row>
    <row r="113" spans="1:40" s="6" customFormat="1" ht="11.25" x14ac:dyDescent="0.2">
      <c r="A113" s="56">
        <f t="shared" si="44"/>
        <v>44660</v>
      </c>
      <c r="B113" s="607">
        <v>31.937000000000001</v>
      </c>
      <c r="C113" s="388"/>
      <c r="D113" s="391">
        <f t="shared" si="24"/>
        <v>32.657456960677926</v>
      </c>
      <c r="E113" s="383">
        <f t="shared" si="45"/>
        <v>36.859014493299739</v>
      </c>
      <c r="F113" s="383">
        <f t="shared" si="25"/>
        <v>36.859052779284241</v>
      </c>
      <c r="G113" s="110">
        <f t="shared" si="46"/>
        <v>0.61781625263184381</v>
      </c>
      <c r="H113" s="412" t="b">
        <f>Wh_hp&gt;='2021'!Maxi_hp</f>
        <v>0</v>
      </c>
      <c r="I113" s="379">
        <f>IF(H113,Wh_hp,'2021'!Maxi_hp)</f>
        <v>41.335283844945479</v>
      </c>
      <c r="J113" s="85">
        <f>IF(H113,An,'2021'!An_max)</f>
        <v>2020</v>
      </c>
      <c r="K113" s="197">
        <f t="shared" si="26"/>
        <v>44660</v>
      </c>
      <c r="L113" s="147">
        <f>IF(t&lt;Tvie,1-EXP((T0-t)*PertePVj)+'2021'!Pspv,1-EXP((T0-t)*PertePVj)+Pspv)</f>
        <v>2.2061024578411303E-2</v>
      </c>
      <c r="M113" s="832"/>
      <c r="N113" s="832"/>
      <c r="O113" s="48">
        <f>IF(t&lt;Tnet,'2021'!Resal+('2021'!Salim-'2021'!Resal)*(1-EXP(('2021'!Tnet-t)/('2021'!Tau_j))),Resal+(Salim-Resal)*(1-EXP((Tnet-t)/(Tau_j))))*Salcycl</f>
        <v>0.11398995850487464</v>
      </c>
      <c r="P113" s="169">
        <f>(INDEX(Models!$BJ113:$BT113,,T113)*(1-R113)+INDEX(Models!$BJ113:$BT113,,T113+1)*R113-ERP_i)*Q113*Ramure*Pc/MaxiM</f>
        <v>2.2877919725456155E-6</v>
      </c>
      <c r="Q113" s="304">
        <f t="shared" si="27"/>
        <v>0.6</v>
      </c>
      <c r="R113" s="177">
        <f t="shared" si="28"/>
        <v>3.476096832847126E-2</v>
      </c>
      <c r="S113" s="799">
        <f t="shared" si="29"/>
        <v>0</v>
      </c>
      <c r="T113" s="176">
        <f t="shared" si="30"/>
        <v>6</v>
      </c>
      <c r="U113" s="250">
        <f t="shared" si="31"/>
        <v>3.476096832847126E-2</v>
      </c>
      <c r="V113" s="382">
        <f t="shared" si="32"/>
        <v>51.693298730943035</v>
      </c>
      <c r="W113" s="400"/>
      <c r="X113" s="157">
        <f t="shared" si="33"/>
        <v>44660</v>
      </c>
      <c r="Y113" s="383">
        <f t="shared" si="34"/>
        <v>31.937000000000001</v>
      </c>
      <c r="Z113" s="383">
        <f t="shared" si="35"/>
        <v>32.657456960677926</v>
      </c>
      <c r="AA113" s="384">
        <f t="shared" si="36"/>
        <v>36.859014493299739</v>
      </c>
      <c r="AB113" s="197">
        <f t="shared" si="37"/>
        <v>44660</v>
      </c>
      <c r="AC113" s="119">
        <f>IF(OR(t&lt;Tnet,NoTnet),'2021'!Resal_s+('2021'!Salim-'2021'!Resal_s)*(1-EXP(('2021'!Tnet_s-t)/'2021'!Tau_j)),Resal_s+(Salim-Resal_s)*(1-EXP((Tnet_s-t)/Tau_j)))*Salcycl</f>
        <v>0.11398995850487464</v>
      </c>
      <c r="AD113" s="230">
        <f>(INDEX(Models!$BJ113:$BT113,,AH113)*(1-AF113)+INDEX(Models!$BJ113:$BT113,,AH113+1)*AF113-ERP_i)*AE113*Ramure*Pc/MaxiM</f>
        <v>2.2877919725456155E-6</v>
      </c>
      <c r="AE113" s="304">
        <f t="shared" si="38"/>
        <v>0.6</v>
      </c>
      <c r="AF113" s="177">
        <f t="shared" si="39"/>
        <v>3.476096832847126E-2</v>
      </c>
      <c r="AG113" s="799">
        <f t="shared" si="47"/>
        <v>0</v>
      </c>
      <c r="AH113" s="176">
        <f t="shared" si="40"/>
        <v>6</v>
      </c>
      <c r="AI113" s="224">
        <f t="shared" si="41"/>
        <v>3.476096832847126E-2</v>
      </c>
      <c r="AJ113" s="264" t="b">
        <f t="shared" si="42"/>
        <v>1</v>
      </c>
      <c r="AK113" s="264" t="b">
        <f t="shared" si="43"/>
        <v>0</v>
      </c>
      <c r="AL113" s="264"/>
      <c r="AM113" s="264"/>
      <c r="AN113" s="75"/>
    </row>
    <row r="114" spans="1:40" s="6" customFormat="1" ht="11.25" x14ac:dyDescent="0.2">
      <c r="A114" s="56">
        <f t="shared" si="44"/>
        <v>44661</v>
      </c>
      <c r="B114" s="607">
        <v>51.838000000000001</v>
      </c>
      <c r="C114" s="388"/>
      <c r="D114" s="391">
        <f t="shared" si="24"/>
        <v>53.008413393213999</v>
      </c>
      <c r="E114" s="383">
        <f t="shared" si="45"/>
        <v>59.835640166089242</v>
      </c>
      <c r="F114" s="383">
        <f t="shared" si="25"/>
        <v>59.835762256445776</v>
      </c>
      <c r="G114" s="110">
        <f t="shared" si="46"/>
        <v>0.99971258301712507</v>
      </c>
      <c r="H114" s="412" t="b">
        <f>Wh_hp&gt;='2021'!Maxi_hp</f>
        <v>1</v>
      </c>
      <c r="I114" s="379">
        <f>IF(H114,Wh_hp,'2021'!Maxi_hp)</f>
        <v>59.835762256445776</v>
      </c>
      <c r="J114" s="85">
        <f>IF(H114,An,'2021'!An_max)</f>
        <v>2022</v>
      </c>
      <c r="K114" s="197">
        <f t="shared" si="26"/>
        <v>44661</v>
      </c>
      <c r="L114" s="147">
        <f>IF(t&lt;Tvie,1-EXP((T0-t)*PertePVj)+'2021'!Pspv,1-EXP((T0-t)*PertePVj)+Pspv)</f>
        <v>2.2079766555771485E-2</v>
      </c>
      <c r="M114" s="832"/>
      <c r="N114" s="832"/>
      <c r="O114" s="48">
        <f>IF(t&lt;Tnet,'2021'!Resal+('2021'!Salim-'2021'!Resal)*(1-EXP(('2021'!Tnet-t)/('2021'!Tau_j))),Resal+(Salim-Resal)*(1-EXP((Tnet-t)/(Tau_j))))*Salcycl</f>
        <v>0.11409966959364877</v>
      </c>
      <c r="P114" s="169">
        <f>(INDEX(Models!$BJ114:$BT114,,T114)*(1-R114)+INDEX(Models!$BJ114:$BT114,,T114+1)*R114-ERP_i)*Q114*Ramure*Pc/MaxiM</f>
        <v>2.0412626521265284E-6</v>
      </c>
      <c r="Q114" s="304">
        <f t="shared" si="27"/>
        <v>0.6</v>
      </c>
      <c r="R114" s="177">
        <f t="shared" si="28"/>
        <v>3.6170774434813785E-2</v>
      </c>
      <c r="S114" s="799">
        <f t="shared" si="29"/>
        <v>0</v>
      </c>
      <c r="T114" s="176">
        <f t="shared" si="30"/>
        <v>6</v>
      </c>
      <c r="U114" s="250">
        <f t="shared" si="31"/>
        <v>3.6170774434813785E-2</v>
      </c>
      <c r="V114" s="382">
        <f t="shared" si="32"/>
        <v>51.852903361590357</v>
      </c>
      <c r="W114" s="400"/>
      <c r="X114" s="157">
        <f t="shared" si="33"/>
        <v>44661</v>
      </c>
      <c r="Y114" s="383">
        <f t="shared" si="34"/>
        <v>51.838000000000001</v>
      </c>
      <c r="Z114" s="383">
        <f t="shared" si="35"/>
        <v>53.008413393213999</v>
      </c>
      <c r="AA114" s="384">
        <f t="shared" si="36"/>
        <v>59.835640166089242</v>
      </c>
      <c r="AB114" s="197">
        <f t="shared" si="37"/>
        <v>44661</v>
      </c>
      <c r="AC114" s="119">
        <f>IF(OR(t&lt;Tnet,NoTnet),'2021'!Resal_s+('2021'!Salim-'2021'!Resal_s)*(1-EXP(('2021'!Tnet_s-t)/'2021'!Tau_j)),Resal_s+(Salim-Resal_s)*(1-EXP((Tnet_s-t)/Tau_j)))*Salcycl</f>
        <v>0.11409966959364877</v>
      </c>
      <c r="AD114" s="230">
        <f>(INDEX(Models!$BJ114:$BT114,,AH114)*(1-AF114)+INDEX(Models!$BJ114:$BT114,,AH114+1)*AF114-ERP_i)*AE114*Ramure*Pc/MaxiM</f>
        <v>2.0412626521265284E-6</v>
      </c>
      <c r="AE114" s="304">
        <f t="shared" si="38"/>
        <v>0.6</v>
      </c>
      <c r="AF114" s="177">
        <f t="shared" si="39"/>
        <v>3.6170774434813785E-2</v>
      </c>
      <c r="AG114" s="799">
        <f t="shared" si="47"/>
        <v>0</v>
      </c>
      <c r="AH114" s="176">
        <f t="shared" si="40"/>
        <v>6</v>
      </c>
      <c r="AI114" s="224">
        <f t="shared" si="41"/>
        <v>3.6170774434813785E-2</v>
      </c>
      <c r="AJ114" s="264" t="b">
        <f t="shared" si="42"/>
        <v>1</v>
      </c>
      <c r="AK114" s="264" t="b">
        <f t="shared" si="43"/>
        <v>0</v>
      </c>
      <c r="AL114" s="264"/>
      <c r="AM114" s="264"/>
      <c r="AN114" s="75"/>
    </row>
    <row r="115" spans="1:40" s="6" customFormat="1" ht="11.25" x14ac:dyDescent="0.2">
      <c r="A115" s="56">
        <f t="shared" si="44"/>
        <v>44662</v>
      </c>
      <c r="B115" s="607">
        <v>43.355000000000004</v>
      </c>
      <c r="C115" s="388"/>
      <c r="D115" s="391">
        <f t="shared" si="24"/>
        <v>44.334731424780209</v>
      </c>
      <c r="E115" s="383">
        <f t="shared" si="45"/>
        <v>50.051098954556238</v>
      </c>
      <c r="F115" s="383">
        <f t="shared" si="25"/>
        <v>50.051167997621299</v>
      </c>
      <c r="G115" s="110">
        <f t="shared" si="46"/>
        <v>0.83364378507081771</v>
      </c>
      <c r="H115" s="412" t="b">
        <f>Wh_hp&gt;='2021'!Maxi_hp</f>
        <v>0</v>
      </c>
      <c r="I115" s="379">
        <f>IF(H115,Wh_hp,'2021'!Maxi_hp)</f>
        <v>61.040326499043537</v>
      </c>
      <c r="J115" s="85">
        <f>IF(H115,An,'2021'!An_max)</f>
        <v>2020</v>
      </c>
      <c r="K115" s="197">
        <f t="shared" si="26"/>
        <v>44662</v>
      </c>
      <c r="L115" s="147">
        <f>IF(t&lt;Tvie,1-EXP((T0-t)*PertePVj)+'2021'!Pspv,1-EXP((T0-t)*PertePVj)+Pspv)</f>
        <v>2.2098508173945985E-2</v>
      </c>
      <c r="M115" s="832"/>
      <c r="N115" s="832"/>
      <c r="O115" s="48">
        <f>IF(t&lt;Tnet,'2021'!Resal+('2021'!Salim-'2021'!Resal)*(1-EXP(('2021'!Tnet-t)/('2021'!Tau_j))),Resal+(Salim-Resal)*(1-EXP((Tnet-t)/(Tau_j))))*Salcycl</f>
        <v>0.11421062971996253</v>
      </c>
      <c r="P115" s="169">
        <f>(INDEX(Models!$BJ115:$BT115,,T115)*(1-R115)+INDEX(Models!$BJ115:$BT115,,T115+1)*R115-ERP_i)*Q115*Ramure*Pc/MaxiM</f>
        <v>1.8094731313007668E-6</v>
      </c>
      <c r="Q115" s="304">
        <f t="shared" si="27"/>
        <v>0.6</v>
      </c>
      <c r="R115" s="177">
        <f t="shared" si="28"/>
        <v>3.763064990071089E-2</v>
      </c>
      <c r="S115" s="799">
        <f t="shared" si="29"/>
        <v>0</v>
      </c>
      <c r="T115" s="176">
        <f t="shared" si="30"/>
        <v>6</v>
      </c>
      <c r="U115" s="250">
        <f t="shared" si="31"/>
        <v>3.763064990071089E-2</v>
      </c>
      <c r="V115" s="382">
        <f t="shared" si="32"/>
        <v>52.006602979259661</v>
      </c>
      <c r="W115" s="400"/>
      <c r="X115" s="157">
        <f t="shared" si="33"/>
        <v>44662</v>
      </c>
      <c r="Y115" s="383">
        <f t="shared" si="34"/>
        <v>43.355000000000004</v>
      </c>
      <c r="Z115" s="383">
        <f t="shared" si="35"/>
        <v>44.334731424780209</v>
      </c>
      <c r="AA115" s="384">
        <f t="shared" si="36"/>
        <v>50.051098954556238</v>
      </c>
      <c r="AB115" s="197">
        <f t="shared" si="37"/>
        <v>44662</v>
      </c>
      <c r="AC115" s="119">
        <f>IF(OR(t&lt;Tnet,NoTnet),'2021'!Resal_s+('2021'!Salim-'2021'!Resal_s)*(1-EXP(('2021'!Tnet_s-t)/'2021'!Tau_j)),Resal_s+(Salim-Resal_s)*(1-EXP((Tnet_s-t)/Tau_j)))*Salcycl</f>
        <v>0.11421062971996253</v>
      </c>
      <c r="AD115" s="230">
        <f>(INDEX(Models!$BJ115:$BT115,,AH115)*(1-AF115)+INDEX(Models!$BJ115:$BT115,,AH115+1)*AF115-ERP_i)*AE115*Ramure*Pc/MaxiM</f>
        <v>1.8094731313007668E-6</v>
      </c>
      <c r="AE115" s="304">
        <f t="shared" si="38"/>
        <v>0.6</v>
      </c>
      <c r="AF115" s="177">
        <f t="shared" si="39"/>
        <v>3.763064990071089E-2</v>
      </c>
      <c r="AG115" s="799">
        <f t="shared" si="47"/>
        <v>0</v>
      </c>
      <c r="AH115" s="176">
        <f t="shared" si="40"/>
        <v>6</v>
      </c>
      <c r="AI115" s="224">
        <f t="shared" si="41"/>
        <v>3.763064990071089E-2</v>
      </c>
      <c r="AJ115" s="264" t="b">
        <f t="shared" si="42"/>
        <v>1</v>
      </c>
      <c r="AK115" s="264" t="b">
        <f t="shared" si="43"/>
        <v>0</v>
      </c>
      <c r="AL115" s="264"/>
      <c r="AM115" s="264"/>
      <c r="AN115" s="75"/>
    </row>
    <row r="116" spans="1:40" s="6" customFormat="1" ht="11.25" x14ac:dyDescent="0.2">
      <c r="A116" s="56">
        <f t="shared" si="44"/>
        <v>44663</v>
      </c>
      <c r="B116" s="607">
        <v>36.047000000000004</v>
      </c>
      <c r="C116" s="388"/>
      <c r="D116" s="391">
        <f t="shared" si="24"/>
        <v>36.862292518297245</v>
      </c>
      <c r="E116" s="383">
        <f t="shared" si="45"/>
        <v>41.620463348613484</v>
      </c>
      <c r="F116" s="383">
        <f t="shared" si="25"/>
        <v>41.62050038090841</v>
      </c>
      <c r="G116" s="110">
        <f t="shared" si="46"/>
        <v>0.69115763760132143</v>
      </c>
      <c r="H116" s="412" t="b">
        <f>Wh_hp&gt;='2021'!Maxi_hp</f>
        <v>0</v>
      </c>
      <c r="I116" s="379">
        <f>IF(H116,Wh_hp,'2021'!Maxi_hp)</f>
        <v>60.002961591028409</v>
      </c>
      <c r="J116" s="85">
        <f>IF(H116,An,'2021'!An_max)</f>
        <v>2020</v>
      </c>
      <c r="K116" s="197">
        <f t="shared" si="26"/>
        <v>44663</v>
      </c>
      <c r="L116" s="147">
        <f>IF(t&lt;Tvie,1-EXP((T0-t)*PertePVj)+'2021'!Pspv,1-EXP((T0-t)*PertePVj)+Pspv)</f>
        <v>2.2117249432941688E-2</v>
      </c>
      <c r="M116" s="832"/>
      <c r="N116" s="832"/>
      <c r="O116" s="48">
        <f>IF(t&lt;Tnet,'2021'!Resal+('2021'!Salim-'2021'!Resal)*(1-EXP(('2021'!Tnet-t)/('2021'!Tau_j))),Resal+(Salim-Resal)*(1-EXP((Tnet-t)/(Tau_j))))*Salcycl</f>
        <v>0.11432287023000552</v>
      </c>
      <c r="P116" s="169">
        <f>(INDEX(Models!$BJ116:$BT116,,T116)*(1-R116)+INDEX(Models!$BJ116:$BT116,,T116+1)*R116-ERP_i)*Q116*Ramure*Pc/MaxiM</f>
        <v>1.5922784438856678E-6</v>
      </c>
      <c r="Q116" s="304">
        <f t="shared" si="27"/>
        <v>0.6</v>
      </c>
      <c r="R116" s="177">
        <f t="shared" si="28"/>
        <v>3.9142010769339215E-2</v>
      </c>
      <c r="S116" s="799">
        <f t="shared" si="29"/>
        <v>0</v>
      </c>
      <c r="T116" s="176">
        <f t="shared" si="30"/>
        <v>6</v>
      </c>
      <c r="U116" s="250">
        <f t="shared" si="31"/>
        <v>3.9142010769339215E-2</v>
      </c>
      <c r="V116" s="382">
        <f t="shared" si="32"/>
        <v>52.154490835738045</v>
      </c>
      <c r="W116" s="400"/>
      <c r="X116" s="157">
        <f t="shared" si="33"/>
        <v>44663</v>
      </c>
      <c r="Y116" s="383">
        <f t="shared" si="34"/>
        <v>36.047000000000004</v>
      </c>
      <c r="Z116" s="383">
        <f t="shared" si="35"/>
        <v>36.862292518297245</v>
      </c>
      <c r="AA116" s="384">
        <f t="shared" si="36"/>
        <v>41.620463348613484</v>
      </c>
      <c r="AB116" s="197">
        <f t="shared" si="37"/>
        <v>44663</v>
      </c>
      <c r="AC116" s="119">
        <f>IF(OR(t&lt;Tnet,NoTnet),'2021'!Resal_s+('2021'!Salim-'2021'!Resal_s)*(1-EXP(('2021'!Tnet_s-t)/'2021'!Tau_j)),Resal_s+(Salim-Resal_s)*(1-EXP((Tnet_s-t)/Tau_j)))*Salcycl</f>
        <v>0.11432287023000552</v>
      </c>
      <c r="AD116" s="230">
        <f>(INDEX(Models!$BJ116:$BT116,,AH116)*(1-AF116)+INDEX(Models!$BJ116:$BT116,,AH116+1)*AF116-ERP_i)*AE116*Ramure*Pc/MaxiM</f>
        <v>1.5922784438856678E-6</v>
      </c>
      <c r="AE116" s="304">
        <f t="shared" si="38"/>
        <v>0.6</v>
      </c>
      <c r="AF116" s="177">
        <f t="shared" si="39"/>
        <v>3.9142010769339215E-2</v>
      </c>
      <c r="AG116" s="799">
        <f t="shared" si="47"/>
        <v>0</v>
      </c>
      <c r="AH116" s="176">
        <f t="shared" si="40"/>
        <v>6</v>
      </c>
      <c r="AI116" s="224">
        <f t="shared" si="41"/>
        <v>3.9142010769339215E-2</v>
      </c>
      <c r="AJ116" s="264" t="b">
        <f t="shared" si="42"/>
        <v>1</v>
      </c>
      <c r="AK116" s="264" t="b">
        <f t="shared" si="43"/>
        <v>0</v>
      </c>
      <c r="AL116" s="264"/>
      <c r="AM116" s="264"/>
      <c r="AN116" s="75"/>
    </row>
    <row r="117" spans="1:40" s="6" customFormat="1" ht="11.25" x14ac:dyDescent="0.2">
      <c r="A117" s="56">
        <f t="shared" si="44"/>
        <v>44664</v>
      </c>
      <c r="B117" s="607">
        <v>7.3140000000000001</v>
      </c>
      <c r="C117" s="388"/>
      <c r="D117" s="391">
        <f t="shared" si="24"/>
        <v>7.4795676369037665</v>
      </c>
      <c r="E117" s="383">
        <f t="shared" si="45"/>
        <v>8.4461102663290006</v>
      </c>
      <c r="F117" s="383">
        <f t="shared" si="25"/>
        <v>8.4461102663290006</v>
      </c>
      <c r="G117" s="110">
        <f t="shared" si="46"/>
        <v>0.13985577286737666</v>
      </c>
      <c r="H117" s="412" t="b">
        <f>Wh_hp&gt;='2021'!Maxi_hp</f>
        <v>0</v>
      </c>
      <c r="I117" s="379">
        <f>IF(H117,Wh_hp,'2021'!Maxi_hp)</f>
        <v>59.530054657867453</v>
      </c>
      <c r="J117" s="85">
        <f>IF(H117,An,'2021'!An_max)</f>
        <v>2018</v>
      </c>
      <c r="K117" s="197">
        <f t="shared" si="26"/>
        <v>44664</v>
      </c>
      <c r="L117" s="147">
        <f>IF(t&lt;Tvie,1-EXP((T0-t)*PertePVj)+'2021'!Pspv,1-EXP((T0-t)*PertePVj)+Pspv)</f>
        <v>2.2135990332765365E-2</v>
      </c>
      <c r="M117" s="832"/>
      <c r="N117" s="832"/>
      <c r="O117" s="48">
        <f>IF(t&lt;Tnet,'2021'!Resal+('2021'!Salim-'2021'!Resal)*(1-EXP(('2021'!Tnet-t)/('2021'!Tau_j))),Resal+(Salim-Resal)*(1-EXP((Tnet-t)/(Tau_j))))*Salcycl</f>
        <v>0.11443642090234396</v>
      </c>
      <c r="P117" s="169">
        <f>(INDEX(Models!$BJ117:$BT117,,T117)*(1-R117)+INDEX(Models!$BJ117:$BT117,,T117+1)*R117-ERP_i)*Q117*Ramure*Pc/MaxiM</f>
        <v>1.3895652754922794E-6</v>
      </c>
      <c r="Q117" s="304">
        <f t="shared" si="27"/>
        <v>0.6</v>
      </c>
      <c r="R117" s="177">
        <f t="shared" si="28"/>
        <v>4.0706284702260766E-2</v>
      </c>
      <c r="S117" s="799">
        <f t="shared" si="29"/>
        <v>0</v>
      </c>
      <c r="T117" s="176">
        <f t="shared" si="30"/>
        <v>6</v>
      </c>
      <c r="U117" s="250">
        <f t="shared" si="31"/>
        <v>4.0706284702260766E-2</v>
      </c>
      <c r="V117" s="382">
        <f t="shared" si="32"/>
        <v>52.296660243373246</v>
      </c>
      <c r="W117" s="400"/>
      <c r="X117" s="157">
        <f t="shared" si="33"/>
        <v>44664</v>
      </c>
      <c r="Y117" s="383">
        <f t="shared" si="34"/>
        <v>7.3140000000000001</v>
      </c>
      <c r="Z117" s="383">
        <f t="shared" si="35"/>
        <v>7.4795676369037665</v>
      </c>
      <c r="AA117" s="384">
        <f t="shared" si="36"/>
        <v>8.4461102663290006</v>
      </c>
      <c r="AB117" s="197">
        <f t="shared" si="37"/>
        <v>44664</v>
      </c>
      <c r="AC117" s="119">
        <f>IF(OR(t&lt;Tnet,NoTnet),'2021'!Resal_s+('2021'!Salim-'2021'!Resal_s)*(1-EXP(('2021'!Tnet_s-t)/'2021'!Tau_j)),Resal_s+(Salim-Resal_s)*(1-EXP((Tnet_s-t)/Tau_j)))*Salcycl</f>
        <v>0.11443642090234396</v>
      </c>
      <c r="AD117" s="230">
        <f>(INDEX(Models!$BJ117:$BT117,,AH117)*(1-AF117)+INDEX(Models!$BJ117:$BT117,,AH117+1)*AF117-ERP_i)*AE117*Ramure*Pc/MaxiM</f>
        <v>1.3895652754922794E-6</v>
      </c>
      <c r="AE117" s="304">
        <f t="shared" si="38"/>
        <v>0.6</v>
      </c>
      <c r="AF117" s="177">
        <f t="shared" si="39"/>
        <v>4.0706284702260766E-2</v>
      </c>
      <c r="AG117" s="799">
        <f t="shared" si="47"/>
        <v>0</v>
      </c>
      <c r="AH117" s="176">
        <f t="shared" si="40"/>
        <v>6</v>
      </c>
      <c r="AI117" s="224">
        <f t="shared" si="41"/>
        <v>4.0706284702260766E-2</v>
      </c>
      <c r="AJ117" s="264" t="b">
        <f t="shared" si="42"/>
        <v>1</v>
      </c>
      <c r="AK117" s="264" t="b">
        <f t="shared" si="43"/>
        <v>0</v>
      </c>
      <c r="AL117" s="264"/>
      <c r="AM117" s="264"/>
      <c r="AN117" s="75"/>
    </row>
    <row r="118" spans="1:40" s="6" customFormat="1" ht="11.25" x14ac:dyDescent="0.2">
      <c r="A118" s="56">
        <f t="shared" si="44"/>
        <v>44665</v>
      </c>
      <c r="B118" s="607">
        <v>37.871000000000002</v>
      </c>
      <c r="C118" s="388"/>
      <c r="D118" s="391">
        <f t="shared" si="24"/>
        <v>38.729031264656903</v>
      </c>
      <c r="E118" s="383">
        <f t="shared" si="45"/>
        <v>43.739441591976792</v>
      </c>
      <c r="F118" s="383">
        <f t="shared" si="25"/>
        <v>43.739473287746861</v>
      </c>
      <c r="G118" s="110">
        <f t="shared" si="46"/>
        <v>0.72227097784086791</v>
      </c>
      <c r="H118" s="412" t="b">
        <f>Wh_hp&gt;='2021'!Maxi_hp</f>
        <v>0</v>
      </c>
      <c r="I118" s="379">
        <f>IF(H118,Wh_hp,'2021'!Maxi_hp)</f>
        <v>58.540655243985405</v>
      </c>
      <c r="J118" s="85">
        <f>IF(H118,An,'2021'!An_max)</f>
        <v>2021</v>
      </c>
      <c r="K118" s="197">
        <f t="shared" si="26"/>
        <v>44665</v>
      </c>
      <c r="L118" s="147">
        <f>IF(t&lt;Tvie,1-EXP((T0-t)*PertePVj)+'2021'!Pspv,1-EXP((T0-t)*PertePVj)+Pspv)</f>
        <v>2.2154730873424011E-2</v>
      </c>
      <c r="M118" s="832"/>
      <c r="N118" s="832"/>
      <c r="O118" s="48">
        <f>IF(t&lt;Tnet,'2021'!Resal+('2021'!Salim-'2021'!Resal)*(1-EXP(('2021'!Tnet-t)/('2021'!Tau_j))),Resal+(Salim-Resal)*(1-EXP((Tnet-t)/(Tau_j))))*Salcycl</f>
        <v>0.11455130986946473</v>
      </c>
      <c r="P118" s="169">
        <f>(INDEX(Models!$BJ118:$BT118,,T118)*(1-R118)+INDEX(Models!$BJ118:$BT118,,T118+1)*R118-ERP_i)*Q118*Ramure*Pc/MaxiM</f>
        <v>1.2012522408869471E-6</v>
      </c>
      <c r="Q118" s="304">
        <f t="shared" si="27"/>
        <v>0.6</v>
      </c>
      <c r="R118" s="177">
        <f t="shared" si="28"/>
        <v>4.232490858182434E-2</v>
      </c>
      <c r="S118" s="799">
        <f t="shared" si="29"/>
        <v>0</v>
      </c>
      <c r="T118" s="176">
        <f t="shared" si="30"/>
        <v>6</v>
      </c>
      <c r="U118" s="250">
        <f t="shared" si="31"/>
        <v>4.232490858182434E-2</v>
      </c>
      <c r="V118" s="382">
        <f t="shared" si="32"/>
        <v>52.433204589999853</v>
      </c>
      <c r="W118" s="400"/>
      <c r="X118" s="157">
        <f t="shared" si="33"/>
        <v>44665</v>
      </c>
      <c r="Y118" s="383">
        <f t="shared" si="34"/>
        <v>37.871000000000002</v>
      </c>
      <c r="Z118" s="383">
        <f t="shared" si="35"/>
        <v>38.729031264656903</v>
      </c>
      <c r="AA118" s="384">
        <f t="shared" si="36"/>
        <v>43.739441591976792</v>
      </c>
      <c r="AB118" s="197">
        <f t="shared" si="37"/>
        <v>44665</v>
      </c>
      <c r="AC118" s="119">
        <f>IF(OR(t&lt;Tnet,NoTnet),'2021'!Resal_s+('2021'!Salim-'2021'!Resal_s)*(1-EXP(('2021'!Tnet_s-t)/'2021'!Tau_j)),Resal_s+(Salim-Resal_s)*(1-EXP((Tnet_s-t)/Tau_j)))*Salcycl</f>
        <v>0.11455130986946473</v>
      </c>
      <c r="AD118" s="230">
        <f>(INDEX(Models!$BJ118:$BT118,,AH118)*(1-AF118)+INDEX(Models!$BJ118:$BT118,,AH118+1)*AF118-ERP_i)*AE118*Ramure*Pc/MaxiM</f>
        <v>1.2012522408869471E-6</v>
      </c>
      <c r="AE118" s="304">
        <f t="shared" si="38"/>
        <v>0.6</v>
      </c>
      <c r="AF118" s="177">
        <f t="shared" si="39"/>
        <v>4.232490858182434E-2</v>
      </c>
      <c r="AG118" s="799">
        <f t="shared" si="47"/>
        <v>0</v>
      </c>
      <c r="AH118" s="176">
        <f t="shared" si="40"/>
        <v>6</v>
      </c>
      <c r="AI118" s="224">
        <f t="shared" si="41"/>
        <v>4.232490858182434E-2</v>
      </c>
      <c r="AJ118" s="264" t="b">
        <f t="shared" si="42"/>
        <v>1</v>
      </c>
      <c r="AK118" s="264" t="b">
        <f t="shared" si="43"/>
        <v>0</v>
      </c>
      <c r="AL118" s="264"/>
      <c r="AM118" s="264"/>
      <c r="AN118" s="75"/>
    </row>
    <row r="119" spans="1:40" s="6" customFormat="1" ht="11.25" x14ac:dyDescent="0.2">
      <c r="A119" s="56">
        <f t="shared" si="44"/>
        <v>44666</v>
      </c>
      <c r="B119" s="607">
        <v>40.81</v>
      </c>
      <c r="C119" s="388"/>
      <c r="D119" s="391">
        <f t="shared" si="24"/>
        <v>41.735419107546321</v>
      </c>
      <c r="E119" s="383">
        <f t="shared" si="45"/>
        <v>47.14095789181215</v>
      </c>
      <c r="F119" s="383">
        <f t="shared" si="25"/>
        <v>47.14099084903971</v>
      </c>
      <c r="G119" s="110">
        <f t="shared" si="46"/>
        <v>0.77638341585730208</v>
      </c>
      <c r="H119" s="412" t="b">
        <f>Wh_hp&gt;='2021'!Maxi_hp</f>
        <v>0</v>
      </c>
      <c r="I119" s="379">
        <f>IF(H119,Wh_hp,'2021'!Maxi_hp)</f>
        <v>59.383919600806216</v>
      </c>
      <c r="J119" s="85">
        <f>IF(H119,An,'2021'!An_max)</f>
        <v>2021</v>
      </c>
      <c r="K119" s="197">
        <f t="shared" si="26"/>
        <v>44666</v>
      </c>
      <c r="L119" s="147">
        <f>IF(t&lt;Tvie,1-EXP((T0-t)*PertePVj)+'2021'!Pspv,1-EXP((T0-t)*PertePVj)+Pspv)</f>
        <v>2.217347105492451E-2</v>
      </c>
      <c r="M119" s="832"/>
      <c r="N119" s="832"/>
      <c r="O119" s="48">
        <f>IF(t&lt;Tnet,'2021'!Resal+('2021'!Salim-'2021'!Resal)*(1-EXP(('2021'!Tnet-t)/('2021'!Tau_j))),Resal+(Salim-Resal)*(1-EXP((Tnet-t)/(Tau_j))))*Salcycl</f>
        <v>0.11466756353724213</v>
      </c>
      <c r="P119" s="169">
        <f>(INDEX(Models!$BJ119:$BT119,,T119)*(1-R119)+INDEX(Models!$BJ119:$BT119,,T119+1)*R119-ERP_i)*Q119*Ramure*Pc/MaxiM</f>
        <v>1.0272901821825979E-6</v>
      </c>
      <c r="Q119" s="304">
        <f t="shared" si="27"/>
        <v>0.6</v>
      </c>
      <c r="R119" s="177">
        <f t="shared" si="28"/>
        <v>4.3999325891355842E-2</v>
      </c>
      <c r="S119" s="799">
        <f t="shared" si="29"/>
        <v>0</v>
      </c>
      <c r="T119" s="176">
        <f t="shared" si="30"/>
        <v>6</v>
      </c>
      <c r="U119" s="250">
        <f t="shared" si="31"/>
        <v>4.3999325891355842E-2</v>
      </c>
      <c r="V119" s="382">
        <f t="shared" si="32"/>
        <v>52.564217336247076</v>
      </c>
      <c r="W119" s="400"/>
      <c r="X119" s="157">
        <f t="shared" si="33"/>
        <v>44666</v>
      </c>
      <c r="Y119" s="383">
        <f t="shared" si="34"/>
        <v>40.81</v>
      </c>
      <c r="Z119" s="383">
        <f t="shared" si="35"/>
        <v>41.735419107546321</v>
      </c>
      <c r="AA119" s="384">
        <f t="shared" si="36"/>
        <v>47.14095789181215</v>
      </c>
      <c r="AB119" s="197">
        <f t="shared" si="37"/>
        <v>44666</v>
      </c>
      <c r="AC119" s="119">
        <f>IF(OR(t&lt;Tnet,NoTnet),'2021'!Resal_s+('2021'!Salim-'2021'!Resal_s)*(1-EXP(('2021'!Tnet_s-t)/'2021'!Tau_j)),Resal_s+(Salim-Resal_s)*(1-EXP((Tnet_s-t)/Tau_j)))*Salcycl</f>
        <v>0.11466756353724213</v>
      </c>
      <c r="AD119" s="230">
        <f>(INDEX(Models!$BJ119:$BT119,,AH119)*(1-AF119)+INDEX(Models!$BJ119:$BT119,,AH119+1)*AF119-ERP_i)*AE119*Ramure*Pc/MaxiM</f>
        <v>1.0272901821825979E-6</v>
      </c>
      <c r="AE119" s="304">
        <f t="shared" si="38"/>
        <v>0.6</v>
      </c>
      <c r="AF119" s="177">
        <f t="shared" si="39"/>
        <v>4.3999325891355842E-2</v>
      </c>
      <c r="AG119" s="799">
        <f t="shared" si="47"/>
        <v>0</v>
      </c>
      <c r="AH119" s="176">
        <f t="shared" si="40"/>
        <v>6</v>
      </c>
      <c r="AI119" s="224">
        <f t="shared" si="41"/>
        <v>4.3999325891355842E-2</v>
      </c>
      <c r="AJ119" s="264" t="b">
        <f t="shared" si="42"/>
        <v>1</v>
      </c>
      <c r="AK119" s="264" t="b">
        <f t="shared" si="43"/>
        <v>0</v>
      </c>
      <c r="AL119" s="264"/>
      <c r="AM119" s="264"/>
      <c r="AN119" s="75"/>
    </row>
    <row r="120" spans="1:40" s="6" customFormat="1" ht="11.25" x14ac:dyDescent="0.2">
      <c r="A120" s="56">
        <f t="shared" si="44"/>
        <v>44667</v>
      </c>
      <c r="B120" s="607">
        <v>39.352000000000004</v>
      </c>
      <c r="C120" s="388"/>
      <c r="D120" s="391">
        <f t="shared" si="24"/>
        <v>40.24512837569641</v>
      </c>
      <c r="E120" s="383">
        <f t="shared" si="45"/>
        <v>45.463687086225725</v>
      </c>
      <c r="F120" s="383">
        <f t="shared" si="25"/>
        <v>45.463712268272971</v>
      </c>
      <c r="G120" s="110">
        <f t="shared" si="46"/>
        <v>0.74686170007257424</v>
      </c>
      <c r="H120" s="412" t="b">
        <f>Wh_hp&gt;='2021'!Maxi_hp</f>
        <v>0</v>
      </c>
      <c r="I120" s="379">
        <f>IF(H120,Wh_hp,'2021'!Maxi_hp)</f>
        <v>56.502985475141656</v>
      </c>
      <c r="J120" s="85">
        <f>IF(H120,An,'2021'!An_max)</f>
        <v>2020</v>
      </c>
      <c r="K120" s="197">
        <f t="shared" si="26"/>
        <v>44667</v>
      </c>
      <c r="L120" s="147">
        <f>IF(t&lt;Tvie,1-EXP((T0-t)*PertePVj)+'2021'!Pspv,1-EXP((T0-t)*PertePVj)+Pspv)</f>
        <v>2.2192210877273633E-2</v>
      </c>
      <c r="M120" s="832"/>
      <c r="N120" s="832"/>
      <c r="O120" s="48">
        <f>IF(t&lt;Tnet,'2021'!Resal+('2021'!Salim-'2021'!Resal)*(1-EXP(('2021'!Tnet-t)/('2021'!Tau_j))),Resal+(Salim-Resal)*(1-EXP((Tnet-t)/(Tau_j))))*Salcycl</f>
        <v>0.1147852065018808</v>
      </c>
      <c r="P120" s="169">
        <f>(INDEX(Models!$BJ120:$BT120,,T120)*(1-R120)+INDEX(Models!$BJ120:$BT120,,T120+1)*R120-ERP_i)*Q120*Ramure*Pc/MaxiM</f>
        <v>8.6766248193575989E-7</v>
      </c>
      <c r="Q120" s="304">
        <f t="shared" si="27"/>
        <v>0.6</v>
      </c>
      <c r="R120" s="177">
        <f t="shared" si="28"/>
        <v>4.5730983864998236E-2</v>
      </c>
      <c r="S120" s="799">
        <f t="shared" si="29"/>
        <v>0</v>
      </c>
      <c r="T120" s="176">
        <f t="shared" si="30"/>
        <v>6</v>
      </c>
      <c r="U120" s="250">
        <f t="shared" si="31"/>
        <v>4.5730983864998236E-2</v>
      </c>
      <c r="V120" s="382">
        <f t="shared" si="32"/>
        <v>52.689792030741174</v>
      </c>
      <c r="W120" s="400"/>
      <c r="X120" s="157">
        <f t="shared" si="33"/>
        <v>44667</v>
      </c>
      <c r="Y120" s="383">
        <f t="shared" si="34"/>
        <v>39.352000000000004</v>
      </c>
      <c r="Z120" s="383">
        <f t="shared" si="35"/>
        <v>40.24512837569641</v>
      </c>
      <c r="AA120" s="384">
        <f t="shared" si="36"/>
        <v>45.463687086225725</v>
      </c>
      <c r="AB120" s="197">
        <f t="shared" si="37"/>
        <v>44667</v>
      </c>
      <c r="AC120" s="119">
        <f>IF(OR(t&lt;Tnet,NoTnet),'2021'!Resal_s+('2021'!Salim-'2021'!Resal_s)*(1-EXP(('2021'!Tnet_s-t)/'2021'!Tau_j)),Resal_s+(Salim-Resal_s)*(1-EXP((Tnet_s-t)/Tau_j)))*Salcycl</f>
        <v>0.1147852065018808</v>
      </c>
      <c r="AD120" s="230">
        <f>(INDEX(Models!$BJ120:$BT120,,AH120)*(1-AF120)+INDEX(Models!$BJ120:$BT120,,AH120+1)*AF120-ERP_i)*AE120*Ramure*Pc/MaxiM</f>
        <v>8.6766248193575989E-7</v>
      </c>
      <c r="AE120" s="304">
        <f t="shared" si="38"/>
        <v>0.6</v>
      </c>
      <c r="AF120" s="177">
        <f t="shared" si="39"/>
        <v>4.5730983864998236E-2</v>
      </c>
      <c r="AG120" s="799">
        <f t="shared" si="47"/>
        <v>0</v>
      </c>
      <c r="AH120" s="176">
        <f t="shared" si="40"/>
        <v>6</v>
      </c>
      <c r="AI120" s="224">
        <f t="shared" si="41"/>
        <v>4.5730983864998236E-2</v>
      </c>
      <c r="AJ120" s="264" t="b">
        <f t="shared" si="42"/>
        <v>1</v>
      </c>
      <c r="AK120" s="264" t="b">
        <f t="shared" si="43"/>
        <v>0</v>
      </c>
      <c r="AL120" s="264"/>
      <c r="AM120" s="264"/>
      <c r="AN120" s="75"/>
    </row>
    <row r="121" spans="1:40" s="6" customFormat="1" ht="11.25" x14ac:dyDescent="0.2">
      <c r="A121" s="56">
        <f t="shared" si="44"/>
        <v>44668</v>
      </c>
      <c r="B121" s="607">
        <v>50.805</v>
      </c>
      <c r="C121" s="388"/>
      <c r="D121" s="391">
        <f t="shared" si="24"/>
        <v>51.959060103701241</v>
      </c>
      <c r="E121" s="383">
        <f t="shared" si="45"/>
        <v>58.704451780145376</v>
      </c>
      <c r="F121" s="383">
        <f t="shared" si="25"/>
        <v>58.704491889636252</v>
      </c>
      <c r="G121" s="110">
        <f t="shared" si="46"/>
        <v>0.96205589930891522</v>
      </c>
      <c r="H121" s="412" t="b">
        <f>Wh_hp&gt;='2021'!Maxi_hp</f>
        <v>1</v>
      </c>
      <c r="I121" s="379">
        <f>IF(H121,Wh_hp,'2021'!Maxi_hp)</f>
        <v>58.704491889636252</v>
      </c>
      <c r="J121" s="85">
        <f>IF(H121,An,'2021'!An_max)</f>
        <v>2022</v>
      </c>
      <c r="K121" s="197">
        <f t="shared" si="26"/>
        <v>44668</v>
      </c>
      <c r="L121" s="147">
        <f>IF(t&lt;Tvie,1-EXP((T0-t)*PertePVj)+'2021'!Pspv,1-EXP((T0-t)*PertePVj)+Pspv)</f>
        <v>2.2210950340478375E-2</v>
      </c>
      <c r="M121" s="832"/>
      <c r="N121" s="832"/>
      <c r="O121" s="48">
        <f>IF(t&lt;Tnet,'2021'!Resal+('2021'!Salim-'2021'!Resal)*(1-EXP(('2021'!Tnet-t)/('2021'!Tau_j))),Resal+(Salim-Resal)*(1-EXP((Tnet-t)/(Tau_j))))*Salcycl</f>
        <v>0.11490426146395789</v>
      </c>
      <c r="P121" s="169">
        <f>(INDEX(Models!$BJ121:$BT121,,T121)*(1-R121)+INDEX(Models!$BJ121:$BT121,,T121+1)*R121-ERP_i)*Q121*Ramure*Pc/MaxiM</f>
        <v>7.2240238567287443E-7</v>
      </c>
      <c r="Q121" s="304">
        <f t="shared" si="27"/>
        <v>0.6</v>
      </c>
      <c r="R121" s="177">
        <f t="shared" si="28"/>
        <v>4.7521330399675023E-2</v>
      </c>
      <c r="S121" s="799">
        <f t="shared" si="29"/>
        <v>0</v>
      </c>
      <c r="T121" s="176">
        <f t="shared" si="30"/>
        <v>6</v>
      </c>
      <c r="U121" s="250">
        <f t="shared" si="31"/>
        <v>4.7521330399675023E-2</v>
      </c>
      <c r="V121" s="382">
        <f t="shared" si="32"/>
        <v>52.808779663480422</v>
      </c>
      <c r="W121" s="400"/>
      <c r="X121" s="157">
        <f t="shared" si="33"/>
        <v>44668</v>
      </c>
      <c r="Y121" s="383">
        <f t="shared" si="34"/>
        <v>50.805</v>
      </c>
      <c r="Z121" s="383">
        <f t="shared" si="35"/>
        <v>51.959060103701241</v>
      </c>
      <c r="AA121" s="384">
        <f t="shared" si="36"/>
        <v>58.704451780145376</v>
      </c>
      <c r="AB121" s="197">
        <f t="shared" si="37"/>
        <v>44668</v>
      </c>
      <c r="AC121" s="119">
        <f>IF(OR(t&lt;Tnet,NoTnet),'2021'!Resal_s+('2021'!Salim-'2021'!Resal_s)*(1-EXP(('2021'!Tnet_s-t)/'2021'!Tau_j)),Resal_s+(Salim-Resal_s)*(1-EXP((Tnet_s-t)/Tau_j)))*Salcycl</f>
        <v>0.11490426146395789</v>
      </c>
      <c r="AD121" s="230">
        <f>(INDEX(Models!$BJ121:$BT121,,AH121)*(1-AF121)+INDEX(Models!$BJ121:$BT121,,AH121+1)*AF121-ERP_i)*AE121*Ramure*Pc/MaxiM</f>
        <v>7.2240238567287443E-7</v>
      </c>
      <c r="AE121" s="304">
        <f t="shared" si="38"/>
        <v>0.6</v>
      </c>
      <c r="AF121" s="177">
        <f t="shared" si="39"/>
        <v>4.7521330399675023E-2</v>
      </c>
      <c r="AG121" s="799">
        <f t="shared" si="47"/>
        <v>0</v>
      </c>
      <c r="AH121" s="176">
        <f t="shared" si="40"/>
        <v>6</v>
      </c>
      <c r="AI121" s="224">
        <f t="shared" si="41"/>
        <v>4.7521330399675023E-2</v>
      </c>
      <c r="AJ121" s="264" t="b">
        <f t="shared" si="42"/>
        <v>1</v>
      </c>
      <c r="AK121" s="264" t="b">
        <f t="shared" si="43"/>
        <v>0</v>
      </c>
      <c r="AL121" s="264"/>
      <c r="AM121" s="264"/>
      <c r="AN121" s="75"/>
    </row>
    <row r="122" spans="1:40" s="18" customFormat="1" ht="11.25" x14ac:dyDescent="0.2">
      <c r="A122" s="56">
        <f t="shared" si="44"/>
        <v>44669</v>
      </c>
      <c r="B122" s="607">
        <v>33.738999999999997</v>
      </c>
      <c r="C122" s="388"/>
      <c r="D122" s="391">
        <f t="shared" si="24"/>
        <v>34.506058974968724</v>
      </c>
      <c r="E122" s="383">
        <f t="shared" si="45"/>
        <v>38.990987534858078</v>
      </c>
      <c r="F122" s="383">
        <f t="shared" si="25"/>
        <v>38.990998748693698</v>
      </c>
      <c r="G122" s="110">
        <f t="shared" si="46"/>
        <v>0.63754366704633914</v>
      </c>
      <c r="H122" s="412" t="b">
        <f>Wh_hp&gt;='2021'!Maxi_hp</f>
        <v>0</v>
      </c>
      <c r="I122" s="379">
        <f>IF(H122,Wh_hp,'2021'!Maxi_hp)</f>
        <v>44.767493272933869</v>
      </c>
      <c r="J122" s="85">
        <f>IF(H122,An,'2021'!An_max)</f>
        <v>2021</v>
      </c>
      <c r="K122" s="197">
        <f t="shared" si="26"/>
        <v>44669</v>
      </c>
      <c r="L122" s="147">
        <f>IF(t&lt;Tvie,1-EXP((T0-t)*PertePVj)+'2021'!Pspv,1-EXP((T0-t)*PertePVj)+Pspv)</f>
        <v>2.2229689444545508E-2</v>
      </c>
      <c r="M122" s="832"/>
      <c r="N122" s="832"/>
      <c r="O122" s="48">
        <f>IF(t&lt;Tnet,'2021'!Resal+('2021'!Salim-'2021'!Resal)*(1-EXP(('2021'!Tnet-t)/('2021'!Tau_j))),Resal+(Salim-Resal)*(1-EXP((Tnet-t)/(Tau_j))))*Salcycl</f>
        <v>0.11502474913926755</v>
      </c>
      <c r="P122" s="169">
        <f>(INDEX(Models!$BJ122:$BT122,,T122)*(1-R122)+INDEX(Models!$BJ122:$BT122,,T122+1)*R122-ERP_i)*Q122*Ramure*Pc/MaxiM</f>
        <v>5.9642748452154749E-7</v>
      </c>
      <c r="Q122" s="304">
        <f t="shared" si="27"/>
        <v>0.6</v>
      </c>
      <c r="R122" s="177">
        <f t="shared" si="28"/>
        <v>4.9371810722397935E-2</v>
      </c>
      <c r="S122" s="799">
        <f t="shared" si="29"/>
        <v>0</v>
      </c>
      <c r="T122" s="176">
        <f t="shared" si="30"/>
        <v>6</v>
      </c>
      <c r="U122" s="250">
        <f t="shared" si="31"/>
        <v>4.9371810722397935E-2</v>
      </c>
      <c r="V122" s="382">
        <f t="shared" si="32"/>
        <v>52.92028032651654</v>
      </c>
      <c r="W122" s="400"/>
      <c r="X122" s="157">
        <f t="shared" si="33"/>
        <v>44669</v>
      </c>
      <c r="Y122" s="383">
        <f t="shared" si="34"/>
        <v>33.738999999999997</v>
      </c>
      <c r="Z122" s="383">
        <f t="shared" si="35"/>
        <v>34.506058974968724</v>
      </c>
      <c r="AA122" s="384">
        <f t="shared" si="36"/>
        <v>38.990987534858078</v>
      </c>
      <c r="AB122" s="197">
        <f t="shared" si="37"/>
        <v>44669</v>
      </c>
      <c r="AC122" s="119">
        <f>IF(OR(t&lt;Tnet,NoTnet),'2021'!Resal_s+('2021'!Salim-'2021'!Resal_s)*(1-EXP(('2021'!Tnet_s-t)/'2021'!Tau_j)),Resal_s+(Salim-Resal_s)*(1-EXP((Tnet_s-t)/Tau_j)))*Salcycl</f>
        <v>0.11502474913926755</v>
      </c>
      <c r="AD122" s="230">
        <f>(INDEX(Models!$BJ122:$BT122,,AH122)*(1-AF122)+INDEX(Models!$BJ122:$BT122,,AH122+1)*AF122-ERP_i)*AE122*Ramure*Pc/MaxiM</f>
        <v>5.9642748452154749E-7</v>
      </c>
      <c r="AE122" s="304">
        <f t="shared" si="38"/>
        <v>0.6</v>
      </c>
      <c r="AF122" s="177">
        <f t="shared" si="39"/>
        <v>4.9371810722397935E-2</v>
      </c>
      <c r="AG122" s="799">
        <f t="shared" si="47"/>
        <v>0</v>
      </c>
      <c r="AH122" s="176">
        <f t="shared" si="40"/>
        <v>6</v>
      </c>
      <c r="AI122" s="224">
        <f t="shared" si="41"/>
        <v>4.9371810722397935E-2</v>
      </c>
      <c r="AJ122" s="264" t="b">
        <f t="shared" si="42"/>
        <v>1</v>
      </c>
      <c r="AK122" s="264" t="b">
        <f t="shared" si="43"/>
        <v>0</v>
      </c>
      <c r="AL122" s="264"/>
      <c r="AM122" s="264"/>
      <c r="AN122" s="264"/>
    </row>
    <row r="123" spans="1:40" s="18" customFormat="1" ht="11.25" x14ac:dyDescent="0.2">
      <c r="A123" s="56">
        <f t="shared" si="44"/>
        <v>44670</v>
      </c>
      <c r="B123" s="607">
        <v>8.5139999999999993</v>
      </c>
      <c r="C123" s="388"/>
      <c r="D123" s="391">
        <f t="shared" si="24"/>
        <v>8.7077333808162454</v>
      </c>
      <c r="E123" s="383">
        <f t="shared" si="45"/>
        <v>9.8408778770016028</v>
      </c>
      <c r="F123" s="383">
        <f t="shared" si="25"/>
        <v>9.8408778770016028</v>
      </c>
      <c r="G123" s="110">
        <f t="shared" si="46"/>
        <v>0.16056641414402592</v>
      </c>
      <c r="H123" s="412" t="b">
        <f>Wh_hp&gt;='2021'!Maxi_hp</f>
        <v>0</v>
      </c>
      <c r="I123" s="379">
        <f>IF(H123,Wh_hp,'2021'!Maxi_hp)</f>
        <v>58.622323149510997</v>
      </c>
      <c r="J123" s="85">
        <f>IF(H123,An,'2021'!An_max)</f>
        <v>2021</v>
      </c>
      <c r="K123" s="197">
        <f t="shared" si="26"/>
        <v>44670</v>
      </c>
      <c r="L123" s="147">
        <f>IF(t&lt;Tvie,1-EXP((T0-t)*PertePVj)+'2021'!Pspv,1-EXP((T0-t)*PertePVj)+Pspv)</f>
        <v>2.2248428189482139E-2</v>
      </c>
      <c r="M123" s="832"/>
      <c r="N123" s="832"/>
      <c r="O123" s="48">
        <f>IF(t&lt;Tnet,'2021'!Resal+('2021'!Salim-'2021'!Resal)*(1-EXP(('2021'!Tnet-t)/('2021'!Tau_j))),Resal+(Salim-Resal)*(1-EXP((Tnet-t)/(Tau_j))))*Salcycl</f>
        <v>0.11514668816626068</v>
      </c>
      <c r="P123" s="169">
        <f>(INDEX(Models!$BJ123:$BT123,,T123)*(1-R123)+INDEX(Models!$BJ123:$BT123,,T123+1)*R123-ERP_i)*Q123*Ramure*Pc/MaxiM</f>
        <v>4.845457384205385E-7</v>
      </c>
      <c r="Q123" s="304">
        <f t="shared" si="27"/>
        <v>0.6</v>
      </c>
      <c r="R123" s="177">
        <f t="shared" si="28"/>
        <v>5.1283863807034792E-2</v>
      </c>
      <c r="S123" s="799">
        <f t="shared" si="29"/>
        <v>0</v>
      </c>
      <c r="T123" s="176">
        <f t="shared" si="30"/>
        <v>6</v>
      </c>
      <c r="U123" s="250">
        <f t="shared" si="31"/>
        <v>5.1283863807034792E-2</v>
      </c>
      <c r="V123" s="382">
        <f t="shared" si="32"/>
        <v>53.024761871686572</v>
      </c>
      <c r="W123" s="400"/>
      <c r="X123" s="157">
        <f t="shared" si="33"/>
        <v>44670</v>
      </c>
      <c r="Y123" s="383">
        <f t="shared" si="34"/>
        <v>8.5139999999999993</v>
      </c>
      <c r="Z123" s="383">
        <f t="shared" si="35"/>
        <v>8.7077333808162454</v>
      </c>
      <c r="AA123" s="384">
        <f t="shared" si="36"/>
        <v>9.8408778770016028</v>
      </c>
      <c r="AB123" s="197">
        <f t="shared" si="37"/>
        <v>44670</v>
      </c>
      <c r="AC123" s="119">
        <f>IF(OR(t&lt;Tnet,NoTnet),'2021'!Resal_s+('2021'!Salim-'2021'!Resal_s)*(1-EXP(('2021'!Tnet_s-t)/'2021'!Tau_j)),Resal_s+(Salim-Resal_s)*(1-EXP((Tnet_s-t)/Tau_j)))*Salcycl</f>
        <v>0.11514668816626068</v>
      </c>
      <c r="AD123" s="230">
        <f>(INDEX(Models!$BJ123:$BT123,,AH123)*(1-AF123)+INDEX(Models!$BJ123:$BT123,,AH123+1)*AF123-ERP_i)*AE123*Ramure*Pc/MaxiM</f>
        <v>4.845457384205385E-7</v>
      </c>
      <c r="AE123" s="304">
        <f t="shared" si="38"/>
        <v>0.6</v>
      </c>
      <c r="AF123" s="177">
        <f t="shared" si="39"/>
        <v>5.1283863807034792E-2</v>
      </c>
      <c r="AG123" s="799">
        <f t="shared" si="47"/>
        <v>0</v>
      </c>
      <c r="AH123" s="176">
        <f t="shared" si="40"/>
        <v>6</v>
      </c>
      <c r="AI123" s="224">
        <f t="shared" si="41"/>
        <v>5.1283863807034792E-2</v>
      </c>
      <c r="AJ123" s="264" t="b">
        <f t="shared" si="42"/>
        <v>1</v>
      </c>
      <c r="AK123" s="264" t="b">
        <f t="shared" si="43"/>
        <v>0</v>
      </c>
      <c r="AL123" s="264"/>
      <c r="AM123" s="264"/>
      <c r="AN123" s="264"/>
    </row>
    <row r="124" spans="1:40" s="6" customFormat="1" ht="11.25" x14ac:dyDescent="0.2">
      <c r="A124" s="56">
        <f t="shared" si="44"/>
        <v>44671</v>
      </c>
      <c r="B124" s="607">
        <v>8.8190000000000008</v>
      </c>
      <c r="C124" s="388"/>
      <c r="D124" s="391">
        <f t="shared" si="24"/>
        <v>9.0198464227796116</v>
      </c>
      <c r="E124" s="383">
        <f t="shared" si="45"/>
        <v>10.195028304012483</v>
      </c>
      <c r="F124" s="383">
        <f t="shared" si="25"/>
        <v>10.195028304012483</v>
      </c>
      <c r="G124" s="110">
        <f t="shared" si="46"/>
        <v>0.16601185471621083</v>
      </c>
      <c r="H124" s="412" t="b">
        <f>Wh_hp&gt;='2021'!Maxi_hp</f>
        <v>0</v>
      </c>
      <c r="I124" s="379">
        <f>IF(H124,Wh_hp,'2021'!Maxi_hp)</f>
        <v>57.174498343837172</v>
      </c>
      <c r="J124" s="85">
        <f>IF(H124,An,'2021'!An_max)</f>
        <v>2018</v>
      </c>
      <c r="K124" s="197">
        <f t="shared" si="26"/>
        <v>44671</v>
      </c>
      <c r="L124" s="147">
        <f>IF(t&lt;Tvie,1-EXP((T0-t)*PertePVj)+'2021'!Pspv,1-EXP((T0-t)*PertePVj)+Pspv)</f>
        <v>2.2267166575294817E-2</v>
      </c>
      <c r="M124" s="832"/>
      <c r="N124" s="832"/>
      <c r="O124" s="48">
        <f>IF(t&lt;Tnet,'2021'!Resal+('2021'!Salim-'2021'!Resal)*(1-EXP(('2021'!Tnet-t)/('2021'!Tau_j))),Resal+(Salim-Resal)*(1-EXP((Tnet-t)/(Tau_j))))*Salcycl</f>
        <v>0.115270095009972</v>
      </c>
      <c r="P124" s="169">
        <f>(INDEX(Models!$BJ124:$BT124,,T124)*(1-R124)+INDEX(Models!$BJ124:$BT124,,T124+1)*R124-ERP_i)*Q124*Ramure*Pc/MaxiM</f>
        <v>3.8685892930427858E-7</v>
      </c>
      <c r="Q124" s="304">
        <f t="shared" si="27"/>
        <v>0.6</v>
      </c>
      <c r="R124" s="177">
        <f t="shared" si="28"/>
        <v>5.3258918535704004E-2</v>
      </c>
      <c r="S124" s="799">
        <f t="shared" si="29"/>
        <v>0</v>
      </c>
      <c r="T124" s="176">
        <f t="shared" si="30"/>
        <v>6</v>
      </c>
      <c r="U124" s="250">
        <f t="shared" si="31"/>
        <v>5.3258918535704004E-2</v>
      </c>
      <c r="V124" s="382">
        <f t="shared" si="32"/>
        <v>53.122691770215724</v>
      </c>
      <c r="W124" s="400"/>
      <c r="X124" s="157">
        <f t="shared" si="33"/>
        <v>44671</v>
      </c>
      <c r="Y124" s="383">
        <f t="shared" si="34"/>
        <v>8.8190000000000008</v>
      </c>
      <c r="Z124" s="383">
        <f t="shared" si="35"/>
        <v>9.0198464227796116</v>
      </c>
      <c r="AA124" s="384">
        <f t="shared" si="36"/>
        <v>10.195028304012483</v>
      </c>
      <c r="AB124" s="197">
        <f t="shared" si="37"/>
        <v>44671</v>
      </c>
      <c r="AC124" s="119">
        <f>IF(OR(t&lt;Tnet,NoTnet),'2021'!Resal_s+('2021'!Salim-'2021'!Resal_s)*(1-EXP(('2021'!Tnet_s-t)/'2021'!Tau_j)),Resal_s+(Salim-Resal_s)*(1-EXP((Tnet_s-t)/Tau_j)))*Salcycl</f>
        <v>0.115270095009972</v>
      </c>
      <c r="AD124" s="230">
        <f>(INDEX(Models!$BJ124:$BT124,,AH124)*(1-AF124)+INDEX(Models!$BJ124:$BT124,,AH124+1)*AF124-ERP_i)*AE124*Ramure*Pc/MaxiM</f>
        <v>3.8685892930427858E-7</v>
      </c>
      <c r="AE124" s="304">
        <f t="shared" si="38"/>
        <v>0.6</v>
      </c>
      <c r="AF124" s="177">
        <f t="shared" si="39"/>
        <v>5.3258918535704004E-2</v>
      </c>
      <c r="AG124" s="799">
        <f t="shared" si="47"/>
        <v>0</v>
      </c>
      <c r="AH124" s="176">
        <f t="shared" si="40"/>
        <v>6</v>
      </c>
      <c r="AI124" s="224">
        <f t="shared" si="41"/>
        <v>5.3258918535704004E-2</v>
      </c>
      <c r="AJ124" s="264" t="b">
        <f t="shared" si="42"/>
        <v>1</v>
      </c>
      <c r="AK124" s="264" t="b">
        <f t="shared" si="43"/>
        <v>0</v>
      </c>
      <c r="AL124" s="264"/>
      <c r="AM124" s="264"/>
      <c r="AN124" s="75"/>
    </row>
    <row r="125" spans="1:40" s="6" customFormat="1" ht="11.25" x14ac:dyDescent="0.2">
      <c r="A125" s="56">
        <f t="shared" si="44"/>
        <v>44672</v>
      </c>
      <c r="B125" s="607">
        <v>8.3919999999999995</v>
      </c>
      <c r="C125" s="388"/>
      <c r="D125" s="391">
        <f t="shared" si="24"/>
        <v>8.5832862996454722</v>
      </c>
      <c r="E125" s="383">
        <f t="shared" si="45"/>
        <v>9.7029591095045777</v>
      </c>
      <c r="F125" s="383">
        <f t="shared" si="25"/>
        <v>9.7029591095045777</v>
      </c>
      <c r="G125" s="110">
        <f t="shared" si="46"/>
        <v>0.15770121971944992</v>
      </c>
      <c r="H125" s="412" t="b">
        <f>Wh_hp&gt;='2021'!Maxi_hp</f>
        <v>0</v>
      </c>
      <c r="I125" s="379">
        <f>IF(H125,Wh_hp,'2021'!Maxi_hp)</f>
        <v>52.981756605548966</v>
      </c>
      <c r="J125" s="85">
        <f>IF(H125,An,'2021'!An_max)</f>
        <v>2021</v>
      </c>
      <c r="K125" s="197">
        <f t="shared" si="26"/>
        <v>44672</v>
      </c>
      <c r="L125" s="147">
        <f>IF(t&lt;Tvie,1-EXP((T0-t)*PertePVj)+'2021'!Pspv,1-EXP((T0-t)*PertePVj)+Pspv)</f>
        <v>2.2285904601990758E-2</v>
      </c>
      <c r="M125" s="832"/>
      <c r="N125" s="832"/>
      <c r="O125" s="48">
        <f>IF(t&lt;Tnet,'2021'!Resal+('2021'!Salim-'2021'!Resal)*(1-EXP(('2021'!Tnet-t)/('2021'!Tau_j))),Resal+(Salim-Resal)*(1-EXP((Tnet-t)/(Tau_j))))*Salcycl</f>
        <v>0.11539498386243074</v>
      </c>
      <c r="P125" s="169">
        <f>(INDEX(Models!$BJ125:$BT125,,T125)*(1-R125)+INDEX(Models!$BJ125:$BT125,,T125+1)*R125-ERP_i)*Q125*Ramure*Pc/MaxiM</f>
        <v>3.0350813789428607E-7</v>
      </c>
      <c r="Q125" s="304">
        <f t="shared" si="27"/>
        <v>0.6</v>
      </c>
      <c r="R125" s="177">
        <f t="shared" si="28"/>
        <v>5.529838960117707E-2</v>
      </c>
      <c r="S125" s="799">
        <f t="shared" si="29"/>
        <v>0</v>
      </c>
      <c r="T125" s="176">
        <f t="shared" si="30"/>
        <v>6</v>
      </c>
      <c r="U125" s="250">
        <f t="shared" si="31"/>
        <v>5.529838960117707E-2</v>
      </c>
      <c r="V125" s="382">
        <f t="shared" si="32"/>
        <v>53.214537388417469</v>
      </c>
      <c r="W125" s="400"/>
      <c r="X125" s="157">
        <f t="shared" si="33"/>
        <v>44672</v>
      </c>
      <c r="Y125" s="383">
        <f t="shared" si="34"/>
        <v>8.3919999999999995</v>
      </c>
      <c r="Z125" s="383">
        <f t="shared" si="35"/>
        <v>8.5832862996454722</v>
      </c>
      <c r="AA125" s="384">
        <f t="shared" si="36"/>
        <v>9.7029591095045777</v>
      </c>
      <c r="AB125" s="197">
        <f t="shared" si="37"/>
        <v>44672</v>
      </c>
      <c r="AC125" s="119">
        <f>IF(OR(t&lt;Tnet,NoTnet),'2021'!Resal_s+('2021'!Salim-'2021'!Resal_s)*(1-EXP(('2021'!Tnet_s-t)/'2021'!Tau_j)),Resal_s+(Salim-Resal_s)*(1-EXP((Tnet_s-t)/Tau_j)))*Salcycl</f>
        <v>0.11539498386243074</v>
      </c>
      <c r="AD125" s="230">
        <f>(INDEX(Models!$BJ125:$BT125,,AH125)*(1-AF125)+INDEX(Models!$BJ125:$BT125,,AH125+1)*AF125-ERP_i)*AE125*Ramure*Pc/MaxiM</f>
        <v>3.0350813789428607E-7</v>
      </c>
      <c r="AE125" s="304">
        <f t="shared" si="38"/>
        <v>0.6</v>
      </c>
      <c r="AF125" s="177">
        <f t="shared" si="39"/>
        <v>5.529838960117707E-2</v>
      </c>
      <c r="AG125" s="799">
        <f t="shared" si="47"/>
        <v>0</v>
      </c>
      <c r="AH125" s="176">
        <f t="shared" si="40"/>
        <v>6</v>
      </c>
      <c r="AI125" s="224">
        <f t="shared" si="41"/>
        <v>5.529838960117707E-2</v>
      </c>
      <c r="AJ125" s="264" t="b">
        <f t="shared" si="42"/>
        <v>1</v>
      </c>
      <c r="AK125" s="264" t="b">
        <f t="shared" si="43"/>
        <v>0</v>
      </c>
      <c r="AL125" s="264"/>
      <c r="AM125" s="264"/>
      <c r="AN125" s="75"/>
    </row>
    <row r="126" spans="1:40" s="6" customFormat="1" ht="11.25" x14ac:dyDescent="0.2">
      <c r="A126" s="56">
        <f t="shared" si="44"/>
        <v>44673</v>
      </c>
      <c r="B126" s="607">
        <v>24.265000000000001</v>
      </c>
      <c r="C126" s="388"/>
      <c r="D126" s="391">
        <f t="shared" si="24"/>
        <v>24.818569310104575</v>
      </c>
      <c r="E126" s="383">
        <f t="shared" si="45"/>
        <v>28.060111766642891</v>
      </c>
      <c r="F126" s="383">
        <f t="shared" si="25"/>
        <v>28.060113227050191</v>
      </c>
      <c r="G126" s="110">
        <f t="shared" si="46"/>
        <v>0.45524665765185562</v>
      </c>
      <c r="H126" s="412" t="b">
        <f>Wh_hp&gt;='2021'!Maxi_hp</f>
        <v>0</v>
      </c>
      <c r="I126" s="379">
        <f>IF(H126,Wh_hp,'2021'!Maxi_hp)</f>
        <v>60.779702375651659</v>
      </c>
      <c r="J126" s="85">
        <f>IF(H126,An,'2021'!An_max)</f>
        <v>2021</v>
      </c>
      <c r="K126" s="197">
        <f t="shared" si="26"/>
        <v>44673</v>
      </c>
      <c r="L126" s="147">
        <f>IF(t&lt;Tvie,1-EXP((T0-t)*PertePVj)+'2021'!Pspv,1-EXP((T0-t)*PertePVj)+Pspv)</f>
        <v>2.2304642269576624E-2</v>
      </c>
      <c r="M126" s="832"/>
      <c r="N126" s="832"/>
      <c r="O126" s="48">
        <f>IF(t&lt;Tnet,'2021'!Resal+('2021'!Salim-'2021'!Resal)*(1-EXP(('2021'!Tnet-t)/('2021'!Tau_j))),Resal+(Salim-Resal)*(1-EXP((Tnet-t)/(Tau_j))))*Salcycl</f>
        <v>0.11552136653966487</v>
      </c>
      <c r="P126" s="169">
        <f>(INDEX(Models!$BJ126:$BT126,,T126)*(1-R126)+INDEX(Models!$BJ126:$BT126,,T126+1)*R126-ERP_i)*Q126*Ramure*Pc/MaxiM</f>
        <v>2.3467137854906607E-7</v>
      </c>
      <c r="Q126" s="304">
        <f t="shared" si="27"/>
        <v>0.6</v>
      </c>
      <c r="R126" s="177">
        <f t="shared" si="28"/>
        <v>5.7403673148059525E-2</v>
      </c>
      <c r="S126" s="799">
        <f t="shared" si="29"/>
        <v>0</v>
      </c>
      <c r="T126" s="176">
        <f t="shared" si="30"/>
        <v>6</v>
      </c>
      <c r="U126" s="250">
        <f t="shared" si="31"/>
        <v>5.7403673148059525E-2</v>
      </c>
      <c r="V126" s="382">
        <f t="shared" si="32"/>
        <v>53.30076599297788</v>
      </c>
      <c r="W126" s="400"/>
      <c r="X126" s="157">
        <f t="shared" si="33"/>
        <v>44673</v>
      </c>
      <c r="Y126" s="383">
        <f t="shared" si="34"/>
        <v>24.265000000000001</v>
      </c>
      <c r="Z126" s="383">
        <f t="shared" si="35"/>
        <v>24.818569310104575</v>
      </c>
      <c r="AA126" s="384">
        <f t="shared" si="36"/>
        <v>28.060111766642891</v>
      </c>
      <c r="AB126" s="197">
        <f t="shared" si="37"/>
        <v>44673</v>
      </c>
      <c r="AC126" s="119">
        <f>IF(OR(t&lt;Tnet,NoTnet),'2021'!Resal_s+('2021'!Salim-'2021'!Resal_s)*(1-EXP(('2021'!Tnet_s-t)/'2021'!Tau_j)),Resal_s+(Salim-Resal_s)*(1-EXP((Tnet_s-t)/Tau_j)))*Salcycl</f>
        <v>0.11552136653966487</v>
      </c>
      <c r="AD126" s="230">
        <f>(INDEX(Models!$BJ126:$BT126,,AH126)*(1-AF126)+INDEX(Models!$BJ126:$BT126,,AH126+1)*AF126-ERP_i)*AE126*Ramure*Pc/MaxiM</f>
        <v>2.3467137854906607E-7</v>
      </c>
      <c r="AE126" s="304">
        <f t="shared" si="38"/>
        <v>0.6</v>
      </c>
      <c r="AF126" s="177">
        <f t="shared" si="39"/>
        <v>5.7403673148059525E-2</v>
      </c>
      <c r="AG126" s="799">
        <f t="shared" si="47"/>
        <v>0</v>
      </c>
      <c r="AH126" s="176">
        <f t="shared" si="40"/>
        <v>6</v>
      </c>
      <c r="AI126" s="224">
        <f t="shared" si="41"/>
        <v>5.7403673148059525E-2</v>
      </c>
      <c r="AJ126" s="264" t="b">
        <f t="shared" si="42"/>
        <v>1</v>
      </c>
      <c r="AK126" s="264" t="b">
        <f t="shared" si="43"/>
        <v>0</v>
      </c>
      <c r="AL126" s="264"/>
      <c r="AM126" s="264"/>
      <c r="AN126" s="75"/>
    </row>
    <row r="127" spans="1:40" s="6" customFormat="1" ht="11.25" x14ac:dyDescent="0.2">
      <c r="A127" s="56">
        <f t="shared" si="44"/>
        <v>44674</v>
      </c>
      <c r="B127" s="607">
        <v>8.2669999999999995</v>
      </c>
      <c r="C127" s="388"/>
      <c r="D127" s="391">
        <f t="shared" si="24"/>
        <v>8.4557611661329997</v>
      </c>
      <c r="E127" s="383">
        <f t="shared" si="45"/>
        <v>9.5615469188516826</v>
      </c>
      <c r="F127" s="383">
        <f t="shared" si="25"/>
        <v>9.5615469188516826</v>
      </c>
      <c r="G127" s="110">
        <f t="shared" si="46"/>
        <v>0.15486535817870697</v>
      </c>
      <c r="H127" s="412" t="b">
        <f>Wh_hp&gt;='2021'!Maxi_hp</f>
        <v>0</v>
      </c>
      <c r="I127" s="379">
        <f>IF(H127,Wh_hp,'2021'!Maxi_hp)</f>
        <v>61.484717168911814</v>
      </c>
      <c r="J127" s="85">
        <f>IF(H127,An,'2021'!An_max)</f>
        <v>2021</v>
      </c>
      <c r="K127" s="197">
        <f t="shared" si="26"/>
        <v>44674</v>
      </c>
      <c r="L127" s="147">
        <f>IF(t&lt;Tvie,1-EXP((T0-t)*PertePVj)+'2021'!Pspv,1-EXP((T0-t)*PertePVj)+Pspv)</f>
        <v>2.2323379578059299E-2</v>
      </c>
      <c r="M127" s="832"/>
      <c r="N127" s="832"/>
      <c r="O127" s="48">
        <f>IF(t&lt;Tnet,'2021'!Resal+('2021'!Salim-'2021'!Resal)*(1-EXP(('2021'!Tnet-t)/('2021'!Tau_j))),Resal+(Salim-Resal)*(1-EXP((Tnet-t)/(Tau_j))))*Salcycl</f>
        <v>0.11564925237552307</v>
      </c>
      <c r="P127" s="169">
        <f>(INDEX(Models!$BJ127:$BT127,,T127)*(1-R127)+INDEX(Models!$BJ127:$BT127,,T127+1)*R127-ERP_i)*Q127*Ramure*Pc/MaxiM</f>
        <v>1.8056272965181485E-7</v>
      </c>
      <c r="Q127" s="304">
        <f t="shared" si="27"/>
        <v>0.6</v>
      </c>
      <c r="R127" s="177">
        <f t="shared" si="28"/>
        <v>5.9576142152092913E-2</v>
      </c>
      <c r="S127" s="799">
        <f t="shared" si="29"/>
        <v>0</v>
      </c>
      <c r="T127" s="176">
        <f t="shared" si="30"/>
        <v>6</v>
      </c>
      <c r="U127" s="250">
        <f t="shared" si="31"/>
        <v>5.9576142152092913E-2</v>
      </c>
      <c r="V127" s="382">
        <f t="shared" si="32"/>
        <v>53.381844748960617</v>
      </c>
      <c r="W127" s="400"/>
      <c r="X127" s="157">
        <f t="shared" si="33"/>
        <v>44674</v>
      </c>
      <c r="Y127" s="383">
        <f t="shared" si="34"/>
        <v>8.2669999999999995</v>
      </c>
      <c r="Z127" s="383">
        <f t="shared" si="35"/>
        <v>8.4557611661329997</v>
      </c>
      <c r="AA127" s="384">
        <f t="shared" si="36"/>
        <v>9.5615469188516826</v>
      </c>
      <c r="AB127" s="197">
        <f t="shared" si="37"/>
        <v>44674</v>
      </c>
      <c r="AC127" s="119">
        <f>IF(OR(t&lt;Tnet,NoTnet),'2021'!Resal_s+('2021'!Salim-'2021'!Resal_s)*(1-EXP(('2021'!Tnet_s-t)/'2021'!Tau_j)),Resal_s+(Salim-Resal_s)*(1-EXP((Tnet_s-t)/Tau_j)))*Salcycl</f>
        <v>0.11564925237552307</v>
      </c>
      <c r="AD127" s="230">
        <f>(INDEX(Models!$BJ127:$BT127,,AH127)*(1-AF127)+INDEX(Models!$BJ127:$BT127,,AH127+1)*AF127-ERP_i)*AE127*Ramure*Pc/MaxiM</f>
        <v>1.8056272965181485E-7</v>
      </c>
      <c r="AE127" s="304">
        <f t="shared" si="38"/>
        <v>0.6</v>
      </c>
      <c r="AF127" s="177">
        <f t="shared" si="39"/>
        <v>5.9576142152092913E-2</v>
      </c>
      <c r="AG127" s="799">
        <f t="shared" si="47"/>
        <v>0</v>
      </c>
      <c r="AH127" s="176">
        <f t="shared" si="40"/>
        <v>6</v>
      </c>
      <c r="AI127" s="224">
        <f t="shared" si="41"/>
        <v>5.9576142152092913E-2</v>
      </c>
      <c r="AJ127" s="264" t="b">
        <f t="shared" si="42"/>
        <v>1</v>
      </c>
      <c r="AK127" s="264" t="b">
        <f t="shared" si="43"/>
        <v>0</v>
      </c>
      <c r="AL127" s="264"/>
      <c r="AM127" s="264"/>
      <c r="AN127" s="75"/>
    </row>
    <row r="128" spans="1:40" s="6" customFormat="1" ht="11.25" x14ac:dyDescent="0.2">
      <c r="A128" s="56">
        <f t="shared" si="44"/>
        <v>44675</v>
      </c>
      <c r="B128" s="607">
        <v>27.141999999999999</v>
      </c>
      <c r="C128" s="388"/>
      <c r="D128" s="391">
        <f t="shared" si="24"/>
        <v>27.762267822762318</v>
      </c>
      <c r="E128" s="383">
        <f t="shared" si="45"/>
        <v>31.397418489730715</v>
      </c>
      <c r="F128" s="383">
        <f t="shared" si="25"/>
        <v>31.397419807477387</v>
      </c>
      <c r="G128" s="110">
        <f t="shared" si="46"/>
        <v>0.5077233544445019</v>
      </c>
      <c r="H128" s="412" t="b">
        <f>Wh_hp&gt;='2021'!Maxi_hp</f>
        <v>0</v>
      </c>
      <c r="I128" s="379">
        <f>IF(H128,Wh_hp,'2021'!Maxi_hp)</f>
        <v>60.938970338666145</v>
      </c>
      <c r="J128" s="85">
        <f>IF(H128,An,'2021'!An_max)</f>
        <v>2021</v>
      </c>
      <c r="K128" s="197">
        <f t="shared" si="26"/>
        <v>44675</v>
      </c>
      <c r="L128" s="147">
        <f>IF(t&lt;Tvie,1-EXP((T0-t)*PertePVj)+'2021'!Pspv,1-EXP((T0-t)*PertePVj)+Pspv)</f>
        <v>2.2342116527445888E-2</v>
      </c>
      <c r="M128" s="832"/>
      <c r="N128" s="832"/>
      <c r="O128" s="48">
        <f>IF(t&lt;Tnet,'2021'!Resal+('2021'!Salim-'2021'!Resal)*(1-EXP(('2021'!Tnet-t)/('2021'!Tau_j))),Resal+(Salim-Resal)*(1-EXP((Tnet-t)/(Tau_j))))*Salcycl</f>
        <v>0.11577864811265806</v>
      </c>
      <c r="P128" s="169">
        <f>(INDEX(Models!$BJ128:$BT128,,T128)*(1-R128)+INDEX(Models!$BJ128:$BT128,,T128+1)*R128-ERP_i)*Q128*Ramure*Pc/MaxiM</f>
        <v>1.4143294204653355E-7</v>
      </c>
      <c r="Q128" s="304">
        <f t="shared" si="27"/>
        <v>0.6</v>
      </c>
      <c r="R128" s="177">
        <f t="shared" si="28"/>
        <v>6.1817141538674417E-2</v>
      </c>
      <c r="S128" s="799">
        <f t="shared" si="29"/>
        <v>0</v>
      </c>
      <c r="T128" s="176">
        <f t="shared" si="30"/>
        <v>6</v>
      </c>
      <c r="U128" s="250">
        <f t="shared" si="31"/>
        <v>6.1817141538674417E-2</v>
      </c>
      <c r="V128" s="382">
        <f t="shared" si="32"/>
        <v>53.458240718648923</v>
      </c>
      <c r="W128" s="400"/>
      <c r="X128" s="157">
        <f t="shared" si="33"/>
        <v>44675</v>
      </c>
      <c r="Y128" s="383">
        <f t="shared" si="34"/>
        <v>27.141999999999999</v>
      </c>
      <c r="Z128" s="383">
        <f t="shared" si="35"/>
        <v>27.762267822762318</v>
      </c>
      <c r="AA128" s="384">
        <f t="shared" si="36"/>
        <v>31.397418489730715</v>
      </c>
      <c r="AB128" s="197">
        <f t="shared" si="37"/>
        <v>44675</v>
      </c>
      <c r="AC128" s="119">
        <f>IF(OR(t&lt;Tnet,NoTnet),'2021'!Resal_s+('2021'!Salim-'2021'!Resal_s)*(1-EXP(('2021'!Tnet_s-t)/'2021'!Tau_j)),Resal_s+(Salim-Resal_s)*(1-EXP((Tnet_s-t)/Tau_j)))*Salcycl</f>
        <v>0.11577864811265806</v>
      </c>
      <c r="AD128" s="230">
        <f>(INDEX(Models!$BJ128:$BT128,,AH128)*(1-AF128)+INDEX(Models!$BJ128:$BT128,,AH128+1)*AF128-ERP_i)*AE128*Ramure*Pc/MaxiM</f>
        <v>1.4143294204653355E-7</v>
      </c>
      <c r="AE128" s="304">
        <f t="shared" si="38"/>
        <v>0.6</v>
      </c>
      <c r="AF128" s="177">
        <f t="shared" si="39"/>
        <v>6.1817141538674417E-2</v>
      </c>
      <c r="AG128" s="799">
        <f t="shared" si="47"/>
        <v>0</v>
      </c>
      <c r="AH128" s="176">
        <f t="shared" si="40"/>
        <v>6</v>
      </c>
      <c r="AI128" s="224">
        <f t="shared" si="41"/>
        <v>6.1817141538674417E-2</v>
      </c>
      <c r="AJ128" s="264" t="b">
        <f t="shared" si="42"/>
        <v>1</v>
      </c>
      <c r="AK128" s="264" t="b">
        <f t="shared" si="43"/>
        <v>0</v>
      </c>
      <c r="AL128" s="264"/>
      <c r="AM128" s="264"/>
      <c r="AN128" s="75"/>
    </row>
    <row r="129" spans="1:40" s="6" customFormat="1" ht="11.25" x14ac:dyDescent="0.2">
      <c r="A129" s="56">
        <f t="shared" si="44"/>
        <v>44676</v>
      </c>
      <c r="B129" s="607">
        <v>41.273000000000003</v>
      </c>
      <c r="C129" s="388"/>
      <c r="D129" s="391">
        <f t="shared" si="24"/>
        <v>42.217008322162414</v>
      </c>
      <c r="E129" s="383">
        <f t="shared" si="45"/>
        <v>47.751911237367196</v>
      </c>
      <c r="F129" s="383">
        <f t="shared" si="25"/>
        <v>47.751914670934042</v>
      </c>
      <c r="G129" s="110">
        <f t="shared" si="46"/>
        <v>0.77101949599650033</v>
      </c>
      <c r="H129" s="412" t="b">
        <f>Wh_hp&gt;='2021'!Maxi_hp</f>
        <v>0</v>
      </c>
      <c r="I129" s="379">
        <f>IF(H129,Wh_hp,'2021'!Maxi_hp)</f>
        <v>53.779346350507211</v>
      </c>
      <c r="J129" s="85">
        <f>IF(H129,An,'2021'!An_max)</f>
        <v>2020</v>
      </c>
      <c r="K129" s="197">
        <f t="shared" si="26"/>
        <v>44676</v>
      </c>
      <c r="L129" s="147">
        <f>IF(t&lt;Tvie,1-EXP((T0-t)*PertePVj)+'2021'!Pspv,1-EXP((T0-t)*PertePVj)+Pspv)</f>
        <v>2.2360853117743051E-2</v>
      </c>
      <c r="M129" s="832"/>
      <c r="N129" s="832"/>
      <c r="O129" s="48">
        <f>IF(t&lt;Tnet,'2021'!Resal+('2021'!Salim-'2021'!Resal)*(1-EXP(('2021'!Tnet-t)/('2021'!Tau_j))),Resal+(Salim-Resal)*(1-EXP((Tnet-t)/(Tau_j))))*Salcycl</f>
        <v>0.1159095577911354</v>
      </c>
      <c r="P129" s="169">
        <f>(INDEX(Models!$BJ129:$BT129,,T129)*(1-R129)+INDEX(Models!$BJ129:$BT129,,T129+1)*R129-ERP_i)*Q129*Ramure*Pc/MaxiM</f>
        <v>1.0685967489912888E-7</v>
      </c>
      <c r="Q129" s="304">
        <f t="shared" si="27"/>
        <v>0.6</v>
      </c>
      <c r="R129" s="177">
        <f t="shared" si="28"/>
        <v>6.4127983043640258E-2</v>
      </c>
      <c r="S129" s="799">
        <f t="shared" si="29"/>
        <v>0</v>
      </c>
      <c r="T129" s="176">
        <f t="shared" si="30"/>
        <v>6</v>
      </c>
      <c r="U129" s="250">
        <f t="shared" si="31"/>
        <v>6.4127983043640258E-2</v>
      </c>
      <c r="V129" s="382">
        <f t="shared" si="32"/>
        <v>53.530421437583279</v>
      </c>
      <c r="W129" s="400"/>
      <c r="X129" s="157">
        <f t="shared" si="33"/>
        <v>44676</v>
      </c>
      <c r="Y129" s="383">
        <f t="shared" si="34"/>
        <v>41.273000000000003</v>
      </c>
      <c r="Z129" s="383">
        <f t="shared" si="35"/>
        <v>42.217008322162414</v>
      </c>
      <c r="AA129" s="384">
        <f t="shared" si="36"/>
        <v>47.751911237367196</v>
      </c>
      <c r="AB129" s="197">
        <f t="shared" si="37"/>
        <v>44676</v>
      </c>
      <c r="AC129" s="119">
        <f>IF(OR(t&lt;Tnet,NoTnet),'2021'!Resal_s+('2021'!Salim-'2021'!Resal_s)*(1-EXP(('2021'!Tnet_s-t)/'2021'!Tau_j)),Resal_s+(Salim-Resal_s)*(1-EXP((Tnet_s-t)/Tau_j)))*Salcycl</f>
        <v>0.1159095577911354</v>
      </c>
      <c r="AD129" s="230">
        <f>(INDEX(Models!$BJ129:$BT129,,AH129)*(1-AF129)+INDEX(Models!$BJ129:$BT129,,AH129+1)*AF129-ERP_i)*AE129*Ramure*Pc/MaxiM</f>
        <v>1.0685967489912888E-7</v>
      </c>
      <c r="AE129" s="304">
        <f t="shared" si="38"/>
        <v>0.6</v>
      </c>
      <c r="AF129" s="177">
        <f t="shared" si="39"/>
        <v>6.4127983043640258E-2</v>
      </c>
      <c r="AG129" s="799">
        <f t="shared" si="47"/>
        <v>0</v>
      </c>
      <c r="AH129" s="176">
        <f t="shared" si="40"/>
        <v>6</v>
      </c>
      <c r="AI129" s="224">
        <f t="shared" si="41"/>
        <v>6.4127983043640258E-2</v>
      </c>
      <c r="AJ129" s="264" t="b">
        <f t="shared" si="42"/>
        <v>1</v>
      </c>
      <c r="AK129" s="264" t="b">
        <f t="shared" si="43"/>
        <v>0</v>
      </c>
      <c r="AL129" s="264"/>
      <c r="AM129" s="264"/>
      <c r="AN129" s="75"/>
    </row>
    <row r="130" spans="1:40" s="6" customFormat="1" ht="11.25" x14ac:dyDescent="0.2">
      <c r="A130" s="56">
        <f t="shared" si="44"/>
        <v>44677</v>
      </c>
      <c r="B130" s="607">
        <v>50.742000000000004</v>
      </c>
      <c r="C130" s="388"/>
      <c r="D130" s="391">
        <f t="shared" si="24"/>
        <v>51.903580824594869</v>
      </c>
      <c r="E130" s="383">
        <f t="shared" si="45"/>
        <v>58.717246526401233</v>
      </c>
      <c r="F130" s="383">
        <f t="shared" si="25"/>
        <v>58.717250698812563</v>
      </c>
      <c r="G130" s="110">
        <f t="shared" si="46"/>
        <v>0.94669934372336462</v>
      </c>
      <c r="H130" s="412" t="b">
        <f>Wh_hp&gt;='2021'!Maxi_hp</f>
        <v>1</v>
      </c>
      <c r="I130" s="379">
        <f>IF(H130,Wh_hp,'2021'!Maxi_hp)</f>
        <v>58.717250698812563</v>
      </c>
      <c r="J130" s="85">
        <f>IF(H130,An,'2021'!An_max)</f>
        <v>2022</v>
      </c>
      <c r="K130" s="197">
        <f t="shared" si="26"/>
        <v>44677</v>
      </c>
      <c r="L130" s="147">
        <f>IF(t&lt;Tvie,1-EXP((T0-t)*PertePVj)+'2021'!Pspv,1-EXP((T0-t)*PertePVj)+Pspv)</f>
        <v>2.2379589348957674E-2</v>
      </c>
      <c r="M130" s="832"/>
      <c r="N130" s="832"/>
      <c r="O130" s="48">
        <f>IF(t&lt;Tnet,'2021'!Resal+('2021'!Salim-'2021'!Resal)*(1-EXP(('2021'!Tnet-t)/('2021'!Tau_j))),Resal+(Salim-Resal)*(1-EXP((Tnet-t)/(Tau_j))))*Salcycl</f>
        <v>0.11604198263525035</v>
      </c>
      <c r="P130" s="169">
        <f>(INDEX(Models!$BJ130:$BT130,,T130)*(1-R130)+INDEX(Models!$BJ130:$BT130,,T130+1)*R130-ERP_i)*Q130*Ramure*Pc/MaxiM</f>
        <v>7.6916058220520406E-8</v>
      </c>
      <c r="Q130" s="304">
        <f t="shared" si="27"/>
        <v>0.6</v>
      </c>
      <c r="R130" s="177">
        <f t="shared" si="28"/>
        <v>6.650993982149922E-2</v>
      </c>
      <c r="S130" s="799">
        <f t="shared" si="29"/>
        <v>0</v>
      </c>
      <c r="T130" s="176">
        <f t="shared" si="30"/>
        <v>6</v>
      </c>
      <c r="U130" s="250">
        <f t="shared" si="31"/>
        <v>6.650993982149922E-2</v>
      </c>
      <c r="V130" s="382">
        <f t="shared" si="32"/>
        <v>53.598853785249553</v>
      </c>
      <c r="W130" s="400"/>
      <c r="X130" s="157">
        <f t="shared" si="33"/>
        <v>44677</v>
      </c>
      <c r="Y130" s="383">
        <f t="shared" si="34"/>
        <v>50.742000000000004</v>
      </c>
      <c r="Z130" s="383">
        <f t="shared" si="35"/>
        <v>51.903580824594869</v>
      </c>
      <c r="AA130" s="384">
        <f t="shared" si="36"/>
        <v>58.717246526401233</v>
      </c>
      <c r="AB130" s="197">
        <f t="shared" si="37"/>
        <v>44677</v>
      </c>
      <c r="AC130" s="119">
        <f>IF(OR(t&lt;Tnet,NoTnet),'2021'!Resal_s+('2021'!Salim-'2021'!Resal_s)*(1-EXP(('2021'!Tnet_s-t)/'2021'!Tau_j)),Resal_s+(Salim-Resal_s)*(1-EXP((Tnet_s-t)/Tau_j)))*Salcycl</f>
        <v>0.11604198263525035</v>
      </c>
      <c r="AD130" s="230">
        <f>(INDEX(Models!$BJ130:$BT130,,AH130)*(1-AF130)+INDEX(Models!$BJ130:$BT130,,AH130+1)*AF130-ERP_i)*AE130*Ramure*Pc/MaxiM</f>
        <v>7.6916058220520406E-8</v>
      </c>
      <c r="AE130" s="304">
        <f t="shared" si="38"/>
        <v>0.6</v>
      </c>
      <c r="AF130" s="177">
        <f t="shared" si="39"/>
        <v>6.650993982149922E-2</v>
      </c>
      <c r="AG130" s="799">
        <f t="shared" si="47"/>
        <v>0</v>
      </c>
      <c r="AH130" s="176">
        <f t="shared" si="40"/>
        <v>6</v>
      </c>
      <c r="AI130" s="224">
        <f t="shared" si="41"/>
        <v>6.650993982149922E-2</v>
      </c>
      <c r="AJ130" s="264" t="b">
        <f t="shared" si="42"/>
        <v>1</v>
      </c>
      <c r="AK130" s="264" t="b">
        <f t="shared" si="43"/>
        <v>0</v>
      </c>
      <c r="AL130" s="264"/>
      <c r="AM130" s="264"/>
      <c r="AN130" s="75"/>
    </row>
    <row r="131" spans="1:40" s="6" customFormat="1" ht="11.25" x14ac:dyDescent="0.2">
      <c r="A131" s="56">
        <f t="shared" si="44"/>
        <v>44678</v>
      </c>
      <c r="B131" s="607">
        <v>38.749000000000002</v>
      </c>
      <c r="C131" s="388"/>
      <c r="D131" s="391">
        <f t="shared" si="24"/>
        <v>39.63679788985997</v>
      </c>
      <c r="E131" s="383">
        <f t="shared" si="45"/>
        <v>44.846931452673928</v>
      </c>
      <c r="F131" s="383">
        <f t="shared" si="25"/>
        <v>44.846932850316357</v>
      </c>
      <c r="G131" s="110">
        <f t="shared" si="46"/>
        <v>0.7220668590950422</v>
      </c>
      <c r="H131" s="412" t="b">
        <f>Wh_hp&gt;='2021'!Maxi_hp</f>
        <v>1</v>
      </c>
      <c r="I131" s="379">
        <f>IF(H131,Wh_hp,'2021'!Maxi_hp)</f>
        <v>44.846932850316357</v>
      </c>
      <c r="J131" s="85">
        <f>IF(H131,An,'2021'!An_max)</f>
        <v>2022</v>
      </c>
      <c r="K131" s="197">
        <f t="shared" si="26"/>
        <v>44678</v>
      </c>
      <c r="L131" s="147">
        <f>IF(t&lt;Tvie,1-EXP((T0-t)*PertePVj)+'2021'!Pspv,1-EXP((T0-t)*PertePVj)+Pspv)</f>
        <v>2.2398325221096749E-2</v>
      </c>
      <c r="M131" s="832"/>
      <c r="N131" s="832"/>
      <c r="O131" s="48">
        <f>IF(t&lt;Tnet,'2021'!Resal+('2021'!Salim-'2021'!Resal)*(1-EXP(('2021'!Tnet-t)/('2021'!Tau_j))),Resal+(Salim-Resal)*(1-EXP((Tnet-t)/(Tau_j))))*Salcycl</f>
        <v>0.11617592093925329</v>
      </c>
      <c r="P131" s="169">
        <f>(INDEX(Models!$BJ131:$BT131,,T131)*(1-R131)+INDEX(Models!$BJ131:$BT131,,T131+1)*R131-ERP_i)*Q131*Ramure*Pc/MaxiM</f>
        <v>5.1686854403027823E-8</v>
      </c>
      <c r="Q131" s="304">
        <f t="shared" si="27"/>
        <v>0.6</v>
      </c>
      <c r="R131" s="177">
        <f t="shared" si="28"/>
        <v>6.896424080863417E-2</v>
      </c>
      <c r="S131" s="799">
        <f t="shared" si="29"/>
        <v>0</v>
      </c>
      <c r="T131" s="176">
        <f t="shared" si="30"/>
        <v>6</v>
      </c>
      <c r="U131" s="250">
        <f t="shared" si="31"/>
        <v>6.896424080863417E-2</v>
      </c>
      <c r="V131" s="382">
        <f t="shared" si="32"/>
        <v>53.664004540177537</v>
      </c>
      <c r="W131" s="400"/>
      <c r="X131" s="157">
        <f t="shared" si="33"/>
        <v>44678</v>
      </c>
      <c r="Y131" s="383">
        <f t="shared" si="34"/>
        <v>38.749000000000002</v>
      </c>
      <c r="Z131" s="383">
        <f t="shared" si="35"/>
        <v>39.63679788985997</v>
      </c>
      <c r="AA131" s="384">
        <f t="shared" si="36"/>
        <v>44.846931452673928</v>
      </c>
      <c r="AB131" s="197">
        <f t="shared" si="37"/>
        <v>44678</v>
      </c>
      <c r="AC131" s="119">
        <f>IF(OR(t&lt;Tnet,NoTnet),'2021'!Resal_s+('2021'!Salim-'2021'!Resal_s)*(1-EXP(('2021'!Tnet_s-t)/'2021'!Tau_j)),Resal_s+(Salim-Resal_s)*(1-EXP((Tnet_s-t)/Tau_j)))*Salcycl</f>
        <v>0.11617592093925329</v>
      </c>
      <c r="AD131" s="230">
        <f>(INDEX(Models!$BJ131:$BT131,,AH131)*(1-AF131)+INDEX(Models!$BJ131:$BT131,,AH131+1)*AF131-ERP_i)*AE131*Ramure*Pc/MaxiM</f>
        <v>5.1686854403027823E-8</v>
      </c>
      <c r="AE131" s="304">
        <f t="shared" si="38"/>
        <v>0.6</v>
      </c>
      <c r="AF131" s="177">
        <f t="shared" si="39"/>
        <v>6.896424080863417E-2</v>
      </c>
      <c r="AG131" s="799">
        <f t="shared" si="47"/>
        <v>0</v>
      </c>
      <c r="AH131" s="176">
        <f t="shared" si="40"/>
        <v>6</v>
      </c>
      <c r="AI131" s="224">
        <f t="shared" si="41"/>
        <v>6.896424080863417E-2</v>
      </c>
      <c r="AJ131" s="264" t="b">
        <f t="shared" si="42"/>
        <v>1</v>
      </c>
      <c r="AK131" s="264" t="b">
        <f t="shared" si="43"/>
        <v>0</v>
      </c>
      <c r="AL131" s="264"/>
      <c r="AM131" s="264"/>
      <c r="AN131" s="75"/>
    </row>
    <row r="132" spans="1:40" s="6" customFormat="1" ht="11.25" x14ac:dyDescent="0.2">
      <c r="A132" s="56">
        <f t="shared" si="44"/>
        <v>44679</v>
      </c>
      <c r="B132" s="607">
        <v>21.831</v>
      </c>
      <c r="C132" s="388"/>
      <c r="D132" s="391">
        <f t="shared" si="24"/>
        <v>22.331609036052871</v>
      </c>
      <c r="E132" s="383">
        <f t="shared" si="45"/>
        <v>25.270902245645306</v>
      </c>
      <c r="F132" s="383">
        <f t="shared" si="25"/>
        <v>25.270902365680808</v>
      </c>
      <c r="G132" s="110">
        <f t="shared" si="46"/>
        <v>0.40633698973804599</v>
      </c>
      <c r="H132" s="412" t="b">
        <f>Wh_hp&gt;='2021'!Maxi_hp</f>
        <v>0</v>
      </c>
      <c r="I132" s="379">
        <f>IF(H132,Wh_hp,'2021'!Maxi_hp)</f>
        <v>48.436349706395312</v>
      </c>
      <c r="J132" s="85">
        <f>IF(H132,An,'2021'!An_max)</f>
        <v>2018</v>
      </c>
      <c r="K132" s="197">
        <f t="shared" si="26"/>
        <v>44679</v>
      </c>
      <c r="L132" s="147">
        <f>IF(t&lt;Tvie,1-EXP((T0-t)*PertePVj)+'2021'!Pspv,1-EXP((T0-t)*PertePVj)+Pspv)</f>
        <v>2.2417060734167049E-2</v>
      </c>
      <c r="M132" s="832"/>
      <c r="N132" s="832"/>
      <c r="O132" s="48">
        <f>IF(t&lt;Tnet,'2021'!Resal+('2021'!Salim-'2021'!Resal)*(1-EXP(('2021'!Tnet-t)/('2021'!Tau_j))),Resal+(Salim-Resal)*(1-EXP((Tnet-t)/(Tau_j))))*Salcycl</f>
        <v>0.11631136795279787</v>
      </c>
      <c r="P132" s="169">
        <f>(INDEX(Models!$BJ132:$BT132,,T132)*(1-R132)+INDEX(Models!$BJ132:$BT132,,T132+1)*R132-ERP_i)*Q132*Ramure*Pc/MaxiM</f>
        <v>3.1268178736640734E-8</v>
      </c>
      <c r="Q132" s="304">
        <f t="shared" si="27"/>
        <v>0.6</v>
      </c>
      <c r="R132" s="177">
        <f t="shared" si="28"/>
        <v>7.149206485151148E-2</v>
      </c>
      <c r="S132" s="799">
        <f t="shared" si="29"/>
        <v>0</v>
      </c>
      <c r="T132" s="176">
        <f t="shared" si="30"/>
        <v>6</v>
      </c>
      <c r="U132" s="250">
        <f t="shared" si="31"/>
        <v>7.149206485151148E-2</v>
      </c>
      <c r="V132" s="382">
        <f t="shared" si="32"/>
        <v>53.726340383518512</v>
      </c>
      <c r="W132" s="400"/>
      <c r="X132" s="157">
        <f t="shared" si="33"/>
        <v>44679</v>
      </c>
      <c r="Y132" s="383">
        <f t="shared" si="34"/>
        <v>21.831</v>
      </c>
      <c r="Z132" s="383">
        <f t="shared" si="35"/>
        <v>22.331609036052871</v>
      </c>
      <c r="AA132" s="384">
        <f t="shared" si="36"/>
        <v>25.270902245645306</v>
      </c>
      <c r="AB132" s="197">
        <f t="shared" si="37"/>
        <v>44679</v>
      </c>
      <c r="AC132" s="119">
        <f>IF(OR(t&lt;Tnet,NoTnet),'2021'!Resal_s+('2021'!Salim-'2021'!Resal_s)*(1-EXP(('2021'!Tnet_s-t)/'2021'!Tau_j)),Resal_s+(Salim-Resal_s)*(1-EXP((Tnet_s-t)/Tau_j)))*Salcycl</f>
        <v>0.11631136795279787</v>
      </c>
      <c r="AD132" s="230">
        <f>(INDEX(Models!$BJ132:$BT132,,AH132)*(1-AF132)+INDEX(Models!$BJ132:$BT132,,AH132+1)*AF132-ERP_i)*AE132*Ramure*Pc/MaxiM</f>
        <v>3.1268178736640734E-8</v>
      </c>
      <c r="AE132" s="304">
        <f t="shared" si="38"/>
        <v>0.6</v>
      </c>
      <c r="AF132" s="177">
        <f t="shared" si="39"/>
        <v>7.149206485151148E-2</v>
      </c>
      <c r="AG132" s="799">
        <f t="shared" si="47"/>
        <v>0</v>
      </c>
      <c r="AH132" s="176">
        <f t="shared" si="40"/>
        <v>6</v>
      </c>
      <c r="AI132" s="224">
        <f t="shared" si="41"/>
        <v>7.149206485151148E-2</v>
      </c>
      <c r="AJ132" s="264" t="b">
        <f t="shared" si="42"/>
        <v>1</v>
      </c>
      <c r="AK132" s="264" t="b">
        <f t="shared" si="43"/>
        <v>0</v>
      </c>
      <c r="AL132" s="264"/>
      <c r="AM132" s="264"/>
      <c r="AN132" s="75"/>
    </row>
    <row r="133" spans="1:40" s="6" customFormat="1" ht="11.25" x14ac:dyDescent="0.2">
      <c r="A133" s="56">
        <f t="shared" si="44"/>
        <v>44680</v>
      </c>
      <c r="B133" s="607">
        <v>39.612000000000002</v>
      </c>
      <c r="C133" s="388"/>
      <c r="D133" s="391">
        <f t="shared" si="24"/>
        <v>40.521123659585996</v>
      </c>
      <c r="E133" s="383">
        <f t="shared" si="45"/>
        <v>45.86163365730367</v>
      </c>
      <c r="F133" s="383">
        <f t="shared" si="25"/>
        <v>45.861634108182514</v>
      </c>
      <c r="G133" s="110">
        <f t="shared" si="46"/>
        <v>0.73646968129493617</v>
      </c>
      <c r="H133" s="412" t="b">
        <f>Wh_hp&gt;='2021'!Maxi_hp</f>
        <v>0</v>
      </c>
      <c r="I133" s="379">
        <f>IF(H133,Wh_hp,'2021'!Maxi_hp)</f>
        <v>49.060314253198726</v>
      </c>
      <c r="J133" s="85">
        <f>IF(H133,An,'2021'!An_max)</f>
        <v>2018</v>
      </c>
      <c r="K133" s="197">
        <f t="shared" si="26"/>
        <v>44680</v>
      </c>
      <c r="L133" s="147">
        <f>IF(t&lt;Tvie,1-EXP((T0-t)*PertePVj)+'2021'!Pspv,1-EXP((T0-t)*PertePVj)+Pspv)</f>
        <v>2.2435795888175569E-2</v>
      </c>
      <c r="M133" s="832"/>
      <c r="N133" s="832"/>
      <c r="O133" s="48">
        <f>IF(t&lt;Tnet,'2021'!Resal+('2021'!Salim-'2021'!Resal)*(1-EXP(('2021'!Tnet-t)/('2021'!Tau_j))),Resal+(Salim-Resal)*(1-EXP((Tnet-t)/(Tau_j))))*Salcycl</f>
        <v>0.11644831576703278</v>
      </c>
      <c r="P133" s="169">
        <f>(INDEX(Models!$BJ133:$BT133,,T133)*(1-R133)+INDEX(Models!$BJ133:$BT133,,T133+1)*R133-ERP_i)*Q133*Ramure*Pc/MaxiM</f>
        <v>1.5767189537472298E-8</v>
      </c>
      <c r="Q133" s="304">
        <f t="shared" si="27"/>
        <v>0.6</v>
      </c>
      <c r="R133" s="177">
        <f t="shared" si="28"/>
        <v>7.4094534612643564E-2</v>
      </c>
      <c r="S133" s="799">
        <f t="shared" si="29"/>
        <v>0</v>
      </c>
      <c r="T133" s="176">
        <f t="shared" si="30"/>
        <v>6</v>
      </c>
      <c r="U133" s="250">
        <f t="shared" si="31"/>
        <v>7.4094534612643564E-2</v>
      </c>
      <c r="V133" s="382">
        <f t="shared" si="32"/>
        <v>53.786327897731141</v>
      </c>
      <c r="W133" s="400"/>
      <c r="X133" s="157">
        <f t="shared" si="33"/>
        <v>44680</v>
      </c>
      <c r="Y133" s="383">
        <f t="shared" si="34"/>
        <v>39.612000000000002</v>
      </c>
      <c r="Z133" s="383">
        <f t="shared" si="35"/>
        <v>40.521123659585996</v>
      </c>
      <c r="AA133" s="384">
        <f t="shared" si="36"/>
        <v>45.86163365730367</v>
      </c>
      <c r="AB133" s="197">
        <f t="shared" si="37"/>
        <v>44680</v>
      </c>
      <c r="AC133" s="119">
        <f>IF(OR(t&lt;Tnet,NoTnet),'2021'!Resal_s+('2021'!Salim-'2021'!Resal_s)*(1-EXP(('2021'!Tnet_s-t)/'2021'!Tau_j)),Resal_s+(Salim-Resal_s)*(1-EXP((Tnet_s-t)/Tau_j)))*Salcycl</f>
        <v>0.11644831576703278</v>
      </c>
      <c r="AD133" s="230">
        <f>(INDEX(Models!$BJ133:$BT133,,AH133)*(1-AF133)+INDEX(Models!$BJ133:$BT133,,AH133+1)*AF133-ERP_i)*AE133*Ramure*Pc/MaxiM</f>
        <v>1.5767189537472298E-8</v>
      </c>
      <c r="AE133" s="304">
        <f t="shared" si="38"/>
        <v>0.6</v>
      </c>
      <c r="AF133" s="177">
        <f t="shared" si="39"/>
        <v>7.4094534612643564E-2</v>
      </c>
      <c r="AG133" s="799">
        <f t="shared" si="47"/>
        <v>0</v>
      </c>
      <c r="AH133" s="176">
        <f t="shared" si="40"/>
        <v>6</v>
      </c>
      <c r="AI133" s="224">
        <f t="shared" si="41"/>
        <v>7.4094534612643564E-2</v>
      </c>
      <c r="AJ133" s="264" t="b">
        <f t="shared" si="42"/>
        <v>1</v>
      </c>
      <c r="AK133" s="264" t="b">
        <f t="shared" si="43"/>
        <v>0</v>
      </c>
      <c r="AL133" s="264"/>
      <c r="AM133" s="264"/>
      <c r="AN133" s="75"/>
    </row>
    <row r="134" spans="1:40" s="6" customFormat="1" ht="11.25" x14ac:dyDescent="0.2">
      <c r="A134" s="56">
        <f t="shared" si="44"/>
        <v>44681</v>
      </c>
      <c r="B134" s="607">
        <v>40.591999999999999</v>
      </c>
      <c r="C134" s="388"/>
      <c r="D134" s="391">
        <f t="shared" si="24"/>
        <v>41.524411164594255</v>
      </c>
      <c r="E134" s="383">
        <f t="shared" si="45"/>
        <v>47.00451494826418</v>
      </c>
      <c r="F134" s="383">
        <f t="shared" si="25"/>
        <v>47.004515109847631</v>
      </c>
      <c r="G134" s="110">
        <f t="shared" si="46"/>
        <v>0.75387551196997205</v>
      </c>
      <c r="H134" s="412" t="b">
        <f>Wh_hp&gt;='2021'!Maxi_hp</f>
        <v>0</v>
      </c>
      <c r="I134" s="379">
        <f>IF(H134,Wh_hp,'2021'!Maxi_hp)</f>
        <v>62.303261019981171</v>
      </c>
      <c r="J134" s="85">
        <f>IF(H134,An,'2021'!An_max)</f>
        <v>2018</v>
      </c>
      <c r="K134" s="197">
        <f t="shared" si="26"/>
        <v>44681</v>
      </c>
      <c r="L134" s="147">
        <f>IF(t&lt;Tvie,1-EXP((T0-t)*PertePVj)+'2021'!Pspv,1-EXP((T0-t)*PertePVj)+Pspv)</f>
        <v>2.2454530683129192E-2</v>
      </c>
      <c r="M134" s="832"/>
      <c r="N134" s="832"/>
      <c r="O134" s="48">
        <f>IF(t&lt;Tnet,'2021'!Resal+('2021'!Salim-'2021'!Resal)*(1-EXP(('2021'!Tnet-t)/('2021'!Tau_j))),Resal+(Salim-Resal)*(1-EXP((Tnet-t)/(Tau_j))))*Salcycl</f>
        <v>0.11658675320236006</v>
      </c>
      <c r="P134" s="169">
        <f>(INDEX(Models!$BJ134:$BT134,,T134)*(1-R134)+INDEX(Models!$BJ134:$BT134,,T134+1)*R134-ERP_i)*Q134*Ramure*Pc/MaxiM</f>
        <v>5.301742005465575E-9</v>
      </c>
      <c r="Q134" s="304">
        <f t="shared" si="27"/>
        <v>0.6</v>
      </c>
      <c r="R134" s="177">
        <f t="shared" si="28"/>
        <v>7.6772710269922689E-2</v>
      </c>
      <c r="S134" s="799">
        <f t="shared" si="29"/>
        <v>0</v>
      </c>
      <c r="T134" s="176">
        <f t="shared" si="30"/>
        <v>6</v>
      </c>
      <c r="U134" s="250">
        <f t="shared" si="31"/>
        <v>7.6772710269922689E-2</v>
      </c>
      <c r="V134" s="382">
        <f t="shared" si="32"/>
        <v>53.844433570019206</v>
      </c>
      <c r="W134" s="400"/>
      <c r="X134" s="157">
        <f t="shared" si="33"/>
        <v>44681</v>
      </c>
      <c r="Y134" s="383">
        <f t="shared" si="34"/>
        <v>40.591999999999999</v>
      </c>
      <c r="Z134" s="383">
        <f t="shared" si="35"/>
        <v>41.524411164594255</v>
      </c>
      <c r="AA134" s="384">
        <f t="shared" si="36"/>
        <v>47.00451494826418</v>
      </c>
      <c r="AB134" s="197">
        <f t="shared" si="37"/>
        <v>44681</v>
      </c>
      <c r="AC134" s="119">
        <f>IF(OR(t&lt;Tnet,NoTnet),'2021'!Resal_s+('2021'!Salim-'2021'!Resal_s)*(1-EXP(('2021'!Tnet_s-t)/'2021'!Tau_j)),Resal_s+(Salim-Resal_s)*(1-EXP((Tnet_s-t)/Tau_j)))*Salcycl</f>
        <v>0.11658675320236006</v>
      </c>
      <c r="AD134" s="230">
        <f>(INDEX(Models!$BJ134:$BT134,,AH134)*(1-AF134)+INDEX(Models!$BJ134:$BT134,,AH134+1)*AF134-ERP_i)*AE134*Ramure*Pc/MaxiM</f>
        <v>5.301742005465575E-9</v>
      </c>
      <c r="AE134" s="304">
        <f t="shared" si="38"/>
        <v>0.6</v>
      </c>
      <c r="AF134" s="177">
        <f t="shared" si="39"/>
        <v>7.6772710269922689E-2</v>
      </c>
      <c r="AG134" s="799">
        <f t="shared" si="47"/>
        <v>0</v>
      </c>
      <c r="AH134" s="176">
        <f t="shared" si="40"/>
        <v>6</v>
      </c>
      <c r="AI134" s="224">
        <f t="shared" si="41"/>
        <v>7.6772710269922689E-2</v>
      </c>
      <c r="AJ134" s="264" t="b">
        <f t="shared" si="42"/>
        <v>1</v>
      </c>
      <c r="AK134" s="264" t="b">
        <f t="shared" si="43"/>
        <v>0</v>
      </c>
      <c r="AL134" s="264"/>
      <c r="AM134" s="264"/>
      <c r="AN134" s="75"/>
    </row>
    <row r="135" spans="1:40" s="6" customFormat="1" ht="11.25" x14ac:dyDescent="0.2">
      <c r="A135" s="56">
        <f t="shared" si="44"/>
        <v>44682</v>
      </c>
      <c r="B135" s="607">
        <v>43.994999999999997</v>
      </c>
      <c r="C135" s="388"/>
      <c r="D135" s="391">
        <f t="shared" si="24"/>
        <v>45.006441696305444</v>
      </c>
      <c r="E135" s="383">
        <f t="shared" si="45"/>
        <v>50.954149693561234</v>
      </c>
      <c r="F135" s="383">
        <f t="shared" si="25"/>
        <v>50.954149693561234</v>
      </c>
      <c r="G135" s="110">
        <f t="shared" si="46"/>
        <v>0.81624045075881102</v>
      </c>
      <c r="H135" s="412" t="b">
        <f>Wh_hp&gt;='2021'!Maxi_hp</f>
        <v>0</v>
      </c>
      <c r="I135" s="379">
        <f>IF(H135,Wh_hp,'2021'!Maxi_hp)</f>
        <v>58.712576893324226</v>
      </c>
      <c r="J135" s="85">
        <f>IF(H135,An,'2021'!An_max)</f>
        <v>2018</v>
      </c>
      <c r="K135" s="197">
        <f t="shared" si="26"/>
        <v>44682</v>
      </c>
      <c r="L135" s="147">
        <f>IF(t&lt;Tvie,1-EXP((T0-t)*PertePVj)+'2021'!Pspv,1-EXP((T0-t)*PertePVj)+Pspv)</f>
        <v>2.2473265119034691E-2</v>
      </c>
      <c r="M135" s="832"/>
      <c r="N135" s="832"/>
      <c r="O135" s="48">
        <f>IF(t&lt;Tnet,'2021'!Resal+('2021'!Salim-'2021'!Resal)*(1-EXP(('2021'!Tnet-t)/('2021'!Tau_j))),Resal+(Salim-Resal)*(1-EXP((Tnet-t)/(Tau_j))))*Salcycl</f>
        <v>0.11672666569897377</v>
      </c>
      <c r="P135" s="169">
        <f>(INDEX(Models!$BJ135:$BT135,,T135)*(1-R135)+INDEX(Models!$BJ135:$BT135,,T135+1)*R135-ERP_i)*Q135*Ramure*Pc/MaxiM</f>
        <v>-1.1551394077639989E-20</v>
      </c>
      <c r="Q135" s="304">
        <f t="shared" si="27"/>
        <v>0.6</v>
      </c>
      <c r="R135" s="177">
        <f t="shared" si="28"/>
        <v>7.9527583027982685E-2</v>
      </c>
      <c r="S135" s="799">
        <f t="shared" si="29"/>
        <v>0</v>
      </c>
      <c r="T135" s="176">
        <f t="shared" si="30"/>
        <v>6</v>
      </c>
      <c r="U135" s="250">
        <f t="shared" si="31"/>
        <v>7.9527583027982685E-2</v>
      </c>
      <c r="V135" s="382">
        <f t="shared" si="32"/>
        <v>53.89955859097698</v>
      </c>
      <c r="W135" s="400"/>
      <c r="X135" s="157">
        <f t="shared" si="33"/>
        <v>44682</v>
      </c>
      <c r="Y135" s="383">
        <f t="shared" si="34"/>
        <v>43.994999999999997</v>
      </c>
      <c r="Z135" s="383">
        <f t="shared" si="35"/>
        <v>45.006441696305444</v>
      </c>
      <c r="AA135" s="384">
        <f t="shared" si="36"/>
        <v>50.954149693561234</v>
      </c>
      <c r="AB135" s="197">
        <f t="shared" si="37"/>
        <v>44682</v>
      </c>
      <c r="AC135" s="119">
        <f>IF(OR(t&lt;Tnet,NoTnet),'2021'!Resal_s+('2021'!Salim-'2021'!Resal_s)*(1-EXP(('2021'!Tnet_s-t)/'2021'!Tau_j)),Resal_s+(Salim-Resal_s)*(1-EXP((Tnet_s-t)/Tau_j)))*Salcycl</f>
        <v>0.11672666569897377</v>
      </c>
      <c r="AD135" s="230">
        <f>(INDEX(Models!$BJ135:$BT135,,AH135)*(1-AF135)+INDEX(Models!$BJ135:$BT135,,AH135+1)*AF135-ERP_i)*AE135*Ramure*Pc/MaxiM</f>
        <v>-1.1551394077639989E-20</v>
      </c>
      <c r="AE135" s="304">
        <f t="shared" si="38"/>
        <v>0.6</v>
      </c>
      <c r="AF135" s="177">
        <f t="shared" si="39"/>
        <v>7.9527583027982685E-2</v>
      </c>
      <c r="AG135" s="799">
        <f t="shared" si="47"/>
        <v>0</v>
      </c>
      <c r="AH135" s="176">
        <f t="shared" si="40"/>
        <v>6</v>
      </c>
      <c r="AI135" s="224">
        <f t="shared" si="41"/>
        <v>7.9527583027982685E-2</v>
      </c>
      <c r="AJ135" s="264" t="b">
        <f t="shared" si="42"/>
        <v>1</v>
      </c>
      <c r="AK135" s="264" t="b">
        <f t="shared" si="43"/>
        <v>0</v>
      </c>
      <c r="AL135" s="264"/>
      <c r="AM135" s="264"/>
      <c r="AN135" s="75"/>
    </row>
    <row r="136" spans="1:40" s="6" customFormat="1" ht="11.25" x14ac:dyDescent="0.2">
      <c r="A136" s="56">
        <f t="shared" si="44"/>
        <v>44683</v>
      </c>
      <c r="B136" s="607">
        <v>30.585000000000001</v>
      </c>
      <c r="C136" s="388"/>
      <c r="D136" s="391">
        <f t="shared" si="24"/>
        <v>31.288746460224047</v>
      </c>
      <c r="E136" s="383">
        <f t="shared" si="45"/>
        <v>31.57637706414117</v>
      </c>
      <c r="F136" s="383">
        <f t="shared" si="25"/>
        <v>31.57637706414117</v>
      </c>
      <c r="G136" s="110">
        <f t="shared" si="46"/>
        <v>0.50525823485500121</v>
      </c>
      <c r="H136" s="412" t="b">
        <f>Wh_hp&gt;='2021'!Maxi_hp</f>
        <v>0</v>
      </c>
      <c r="I136" s="379">
        <f>IF(H136,Wh_hp,'2021'!Maxi_hp)</f>
        <v>48.58732792238655</v>
      </c>
      <c r="J136" s="85">
        <f>IF(H136,An,'2021'!An_max)</f>
        <v>2021</v>
      </c>
      <c r="K136" s="197">
        <f t="shared" si="26"/>
        <v>44683</v>
      </c>
      <c r="L136" s="147">
        <f>IF(t&lt;Tvie,1-EXP((T0-t)*PertePVj)+'2021'!Pspv,1-EXP((T0-t)*PertePVj)+Pspv)</f>
        <v>2.2491999195898948E-2</v>
      </c>
      <c r="M136" s="832"/>
      <c r="N136" s="832"/>
      <c r="O136" s="48">
        <f>IF(t&lt;Tnet,'2021'!Resal+('2021'!Salim-'2021'!Resal)*(1-EXP(('2021'!Tnet-t)/('2021'!Tau_j))),Resal+(Salim-Resal)*(1-EXP((Tnet-t)/(Tau_j))))*Salcycl</f>
        <v>9.1090438694996726E-3</v>
      </c>
      <c r="P136" s="169">
        <f>(INDEX(Models!$BJ136:$BT136,,T136)*(1-R136)+INDEX(Models!$BJ136:$BT136,,T136+1)*R136-ERP_i)*Q136*Ramure*Pc/MaxiM</f>
        <v>0</v>
      </c>
      <c r="Q136" s="304">
        <f t="shared" si="27"/>
        <v>0.6</v>
      </c>
      <c r="R136" s="177">
        <f t="shared" si="28"/>
        <v>8.2360068463417771E-2</v>
      </c>
      <c r="S136" s="799">
        <f t="shared" si="29"/>
        <v>0</v>
      </c>
      <c r="T136" s="176">
        <f t="shared" si="30"/>
        <v>6</v>
      </c>
      <c r="U136" s="250">
        <f t="shared" si="31"/>
        <v>8.2360068463417771E-2</v>
      </c>
      <c r="V136" s="382">
        <f t="shared" si="32"/>
        <v>60.533402308182616</v>
      </c>
      <c r="W136" s="400"/>
      <c r="X136" s="157">
        <f t="shared" si="33"/>
        <v>44683</v>
      </c>
      <c r="Y136" s="383">
        <f t="shared" si="34"/>
        <v>27.258893600702937</v>
      </c>
      <c r="Z136" s="383">
        <f t="shared" si="35"/>
        <v>27.886107917561482</v>
      </c>
      <c r="AA136" s="384">
        <f t="shared" si="36"/>
        <v>31.57637706414117</v>
      </c>
      <c r="AB136" s="197">
        <f t="shared" si="37"/>
        <v>44683</v>
      </c>
      <c r="AC136" s="119">
        <f>IF(OR(t&lt;Tnet,NoTnet),'2021'!Resal_s+('2021'!Salim-'2021'!Resal_s)*(1-EXP(('2021'!Tnet_s-t)/'2021'!Tau_j)),Resal_s+(Salim-Resal_s)*(1-EXP((Tnet_s-t)/Tau_j)))*Salcycl</f>
        <v>0.11686803521137443</v>
      </c>
      <c r="AD136" s="230">
        <f>(INDEX(Models!$BJ136:$BT136,,AH136)*(1-AF136)+INDEX(Models!$BJ136:$BT136,,AH136+1)*AF136-ERP_i)*AE136*Ramure*Pc/MaxiM</f>
        <v>0</v>
      </c>
      <c r="AE136" s="304">
        <f t="shared" si="38"/>
        <v>0.6</v>
      </c>
      <c r="AF136" s="177">
        <f t="shared" si="39"/>
        <v>8.2360068463417771E-2</v>
      </c>
      <c r="AG136" s="799">
        <f t="shared" si="47"/>
        <v>0</v>
      </c>
      <c r="AH136" s="176">
        <f t="shared" si="40"/>
        <v>6</v>
      </c>
      <c r="AI136" s="224">
        <f t="shared" si="41"/>
        <v>8.2360068463417771E-2</v>
      </c>
      <c r="AJ136" s="264" t="b">
        <f t="shared" si="42"/>
        <v>0</v>
      </c>
      <c r="AK136" s="264" t="b">
        <f t="shared" si="43"/>
        <v>0</v>
      </c>
      <c r="AL136" s="264"/>
      <c r="AM136" s="264"/>
      <c r="AN136" s="75"/>
    </row>
    <row r="137" spans="1:40" s="6" customFormat="1" ht="11.25" x14ac:dyDescent="0.2">
      <c r="A137" s="56">
        <f t="shared" si="44"/>
        <v>44684</v>
      </c>
      <c r="B137" s="607">
        <v>40.021000000000001</v>
      </c>
      <c r="C137" s="388"/>
      <c r="D137" s="391">
        <f t="shared" si="24"/>
        <v>40.942649037258263</v>
      </c>
      <c r="E137" s="383">
        <f t="shared" si="45"/>
        <v>41.322738805069307</v>
      </c>
      <c r="F137" s="383">
        <f t="shared" si="25"/>
        <v>41.322738805069307</v>
      </c>
      <c r="G137" s="110">
        <f t="shared" si="46"/>
        <v>0.6605188059649213</v>
      </c>
      <c r="H137" s="412" t="b">
        <f>Wh_hp&gt;='2021'!Maxi_hp</f>
        <v>0</v>
      </c>
      <c r="I137" s="379">
        <f>IF(H137,Wh_hp,'2021'!Maxi_hp)</f>
        <v>60.66641025918041</v>
      </c>
      <c r="J137" s="85">
        <f>IF(H137,An,'2021'!An_max)</f>
        <v>2021</v>
      </c>
      <c r="K137" s="197">
        <f t="shared" si="26"/>
        <v>44684</v>
      </c>
      <c r="L137" s="147">
        <f>IF(t&lt;Tvie,1-EXP((T0-t)*PertePVj)+'2021'!Pspv,1-EXP((T0-t)*PertePVj)+Pspv)</f>
        <v>2.2510732913728959E-2</v>
      </c>
      <c r="M137" s="832"/>
      <c r="N137" s="832"/>
      <c r="O137" s="48">
        <f>IF(t&lt;Tnet,'2021'!Resal+('2021'!Salim-'2021'!Resal)*(1-EXP(('2021'!Tnet-t)/('2021'!Tau_j))),Resal+(Salim-Resal)*(1-EXP((Tnet-t)/(Tau_j))))*Salcycl</f>
        <v>9.1980778332248127E-3</v>
      </c>
      <c r="P137" s="169">
        <f>(INDEX(Models!$BJ137:$BT137,,T137)*(1-R137)+INDEX(Models!$BJ137:$BT137,,T137+1)*R137-ERP_i)*Q137*Ramure*Pc/MaxiM</f>
        <v>0</v>
      </c>
      <c r="Q137" s="304">
        <f t="shared" si="27"/>
        <v>0.6</v>
      </c>
      <c r="R137" s="177">
        <f t="shared" si="28"/>
        <v>8.5270999728981542E-2</v>
      </c>
      <c r="S137" s="799">
        <f t="shared" si="29"/>
        <v>0</v>
      </c>
      <c r="T137" s="176">
        <f t="shared" si="30"/>
        <v>6</v>
      </c>
      <c r="U137" s="250">
        <f t="shared" si="31"/>
        <v>8.5270999728981542E-2</v>
      </c>
      <c r="V137" s="382">
        <f t="shared" si="32"/>
        <v>60.590250631146191</v>
      </c>
      <c r="W137" s="400"/>
      <c r="X137" s="157">
        <f t="shared" si="33"/>
        <v>44684</v>
      </c>
      <c r="Y137" s="383">
        <f t="shared" si="34"/>
        <v>35.669968059593437</v>
      </c>
      <c r="Z137" s="383">
        <f t="shared" si="35"/>
        <v>36.491416592142784</v>
      </c>
      <c r="AA137" s="384">
        <f t="shared" si="36"/>
        <v>41.322738805069307</v>
      </c>
      <c r="AB137" s="197">
        <f t="shared" si="37"/>
        <v>44684</v>
      </c>
      <c r="AC137" s="119">
        <f>IF(OR(t&lt;Tnet,NoTnet),'2021'!Resal_s+('2021'!Salim-'2021'!Resal_s)*(1-EXP(('2021'!Tnet_s-t)/'2021'!Tau_j)),Resal_s+(Salim-Resal_s)*(1-EXP((Tnet_s-t)/Tau_j)))*Salcycl</f>
        <v>0.11691679575541192</v>
      </c>
      <c r="AD137" s="230">
        <f>(INDEX(Models!$BJ137:$BT137,,AH137)*(1-AF137)+INDEX(Models!$BJ137:$BT137,,AH137+1)*AF137-ERP_i)*AE137*Ramure*Pc/MaxiM</f>
        <v>0</v>
      </c>
      <c r="AE137" s="304">
        <f t="shared" si="38"/>
        <v>0.6</v>
      </c>
      <c r="AF137" s="177">
        <f t="shared" si="39"/>
        <v>8.5270999728981542E-2</v>
      </c>
      <c r="AG137" s="799">
        <f t="shared" si="47"/>
        <v>0</v>
      </c>
      <c r="AH137" s="176">
        <f t="shared" si="40"/>
        <v>6</v>
      </c>
      <c r="AI137" s="224">
        <f t="shared" si="41"/>
        <v>8.5270999728981542E-2</v>
      </c>
      <c r="AJ137" s="264" t="b">
        <f t="shared" si="42"/>
        <v>0</v>
      </c>
      <c r="AK137" s="264" t="b">
        <f t="shared" si="43"/>
        <v>0</v>
      </c>
      <c r="AL137" s="264"/>
      <c r="AM137" s="264"/>
      <c r="AN137" s="75"/>
    </row>
    <row r="138" spans="1:40" s="6" customFormat="1" ht="11.25" x14ac:dyDescent="0.2">
      <c r="A138" s="56">
        <f t="shared" si="44"/>
        <v>44685</v>
      </c>
      <c r="B138" s="607">
        <v>21.411000000000001</v>
      </c>
      <c r="C138" s="388"/>
      <c r="D138" s="391">
        <f t="shared" si="24"/>
        <v>21.90449661776676</v>
      </c>
      <c r="E138" s="383">
        <f t="shared" si="45"/>
        <v>22.109836084282311</v>
      </c>
      <c r="F138" s="383">
        <f t="shared" si="25"/>
        <v>22.109836084282311</v>
      </c>
      <c r="G138" s="110">
        <f t="shared" si="46"/>
        <v>0.35306725952179024</v>
      </c>
      <c r="H138" s="412" t="b">
        <f>Wh_hp&gt;='2021'!Maxi_hp</f>
        <v>0</v>
      </c>
      <c r="I138" s="379">
        <f>IF(H138,Wh_hp,'2021'!Maxi_hp)</f>
        <v>53.762353847555971</v>
      </c>
      <c r="J138" s="85">
        <f>IF(H138,An,'2021'!An_max)</f>
        <v>2021</v>
      </c>
      <c r="K138" s="197">
        <f t="shared" si="26"/>
        <v>44685</v>
      </c>
      <c r="L138" s="147">
        <f>IF(t&lt;Tvie,1-EXP((T0-t)*PertePVj)+'2021'!Pspv,1-EXP((T0-t)*PertePVj)+Pspv)</f>
        <v>2.2529466272531606E-2</v>
      </c>
      <c r="M138" s="832"/>
      <c r="N138" s="832"/>
      <c r="O138" s="48">
        <f>IF(t&lt;Tnet,'2021'!Resal+('2021'!Salim-'2021'!Resal)*(1-EXP(('2021'!Tnet-t)/('2021'!Tau_j))),Resal+(Salim-Resal)*(1-EXP((Tnet-t)/(Tau_j))))*Salcycl</f>
        <v>9.287245085526594E-3</v>
      </c>
      <c r="P138" s="169">
        <f>(INDEX(Models!$BJ138:$BT138,,T138)*(1-R138)+INDEX(Models!$BJ138:$BT138,,T138+1)*R138-ERP_i)*Q138*Ramure*Pc/MaxiM</f>
        <v>0</v>
      </c>
      <c r="Q138" s="304">
        <f t="shared" si="27"/>
        <v>0.6</v>
      </c>
      <c r="R138" s="177">
        <f t="shared" si="28"/>
        <v>8.8261120645271945E-2</v>
      </c>
      <c r="S138" s="799">
        <f t="shared" si="29"/>
        <v>0</v>
      </c>
      <c r="T138" s="176">
        <f t="shared" si="30"/>
        <v>6</v>
      </c>
      <c r="U138" s="250">
        <f t="shared" si="31"/>
        <v>8.8261120645271945E-2</v>
      </c>
      <c r="V138" s="382">
        <f t="shared" si="32"/>
        <v>60.642836237491963</v>
      </c>
      <c r="W138" s="400"/>
      <c r="X138" s="157">
        <f t="shared" si="33"/>
        <v>44685</v>
      </c>
      <c r="Y138" s="383">
        <f t="shared" si="34"/>
        <v>19.083854767453673</v>
      </c>
      <c r="Z138" s="383">
        <f t="shared" si="35"/>
        <v>19.523713614854096</v>
      </c>
      <c r="AA138" s="384">
        <f t="shared" si="36"/>
        <v>22.109836084282311</v>
      </c>
      <c r="AB138" s="197">
        <f t="shared" si="37"/>
        <v>44685</v>
      </c>
      <c r="AC138" s="119">
        <f>IF(OR(t&lt;Tnet,NoTnet),'2021'!Resal_s+('2021'!Salim-'2021'!Resal_s)*(1-EXP(('2021'!Tnet_s-t)/'2021'!Tau_j)),Resal_s+(Salim-Resal_s)*(1-EXP((Tnet_s-t)/Tau_j)))*Salcycl</f>
        <v>0.11696705753810036</v>
      </c>
      <c r="AD138" s="230">
        <f>(INDEX(Models!$BJ138:$BT138,,AH138)*(1-AF138)+INDEX(Models!$BJ138:$BT138,,AH138+1)*AF138-ERP_i)*AE138*Ramure*Pc/MaxiM</f>
        <v>0</v>
      </c>
      <c r="AE138" s="304">
        <f t="shared" si="38"/>
        <v>0.6</v>
      </c>
      <c r="AF138" s="177">
        <f t="shared" si="39"/>
        <v>8.8261120645271945E-2</v>
      </c>
      <c r="AG138" s="799">
        <f t="shared" si="47"/>
        <v>0</v>
      </c>
      <c r="AH138" s="176">
        <f t="shared" si="40"/>
        <v>6</v>
      </c>
      <c r="AI138" s="224">
        <f t="shared" si="41"/>
        <v>8.8261120645271945E-2</v>
      </c>
      <c r="AJ138" s="264" t="b">
        <f t="shared" si="42"/>
        <v>0</v>
      </c>
      <c r="AK138" s="264" t="b">
        <f t="shared" si="43"/>
        <v>0</v>
      </c>
      <c r="AL138" s="264"/>
      <c r="AM138" s="264"/>
      <c r="AN138" s="75"/>
    </row>
    <row r="139" spans="1:40" s="6" customFormat="1" ht="11.25" x14ac:dyDescent="0.2">
      <c r="A139" s="56">
        <f t="shared" si="44"/>
        <v>44686</v>
      </c>
      <c r="B139" s="607">
        <v>44.841000000000001</v>
      </c>
      <c r="C139" s="388"/>
      <c r="D139" s="391">
        <f t="shared" si="24"/>
        <v>45.875407837621339</v>
      </c>
      <c r="E139" s="383">
        <f t="shared" si="45"/>
        <v>46.309632245425448</v>
      </c>
      <c r="F139" s="383">
        <f t="shared" si="25"/>
        <v>46.309632245425448</v>
      </c>
      <c r="G139" s="110">
        <f t="shared" si="46"/>
        <v>0.73883652213561524</v>
      </c>
      <c r="H139" s="412" t="b">
        <f>Wh_hp&gt;='2021'!Maxi_hp</f>
        <v>0</v>
      </c>
      <c r="I139" s="379">
        <f>IF(H139,Wh_hp,'2021'!Maxi_hp)</f>
        <v>62.195002367063097</v>
      </c>
      <c r="J139" s="85">
        <f>IF(H139,An,'2021'!An_max)</f>
        <v>2020</v>
      </c>
      <c r="K139" s="197">
        <f t="shared" si="26"/>
        <v>44686</v>
      </c>
      <c r="L139" s="147">
        <f>IF(t&lt;Tvie,1-EXP((T0-t)*PertePVj)+'2021'!Pspv,1-EXP((T0-t)*PertePVj)+Pspv)</f>
        <v>2.2548199272313552E-2</v>
      </c>
      <c r="M139" s="832"/>
      <c r="N139" s="832"/>
      <c r="O139" s="48">
        <f>IF(t&lt;Tnet,'2021'!Resal+('2021'!Salim-'2021'!Resal)*(1-EXP(('2021'!Tnet-t)/('2021'!Tau_j))),Resal+(Salim-Resal)*(1-EXP((Tnet-t)/(Tau_j))))*Salcycl</f>
        <v>9.3765462334675417E-3</v>
      </c>
      <c r="P139" s="169">
        <f>(INDEX(Models!$BJ139:$BT139,,T139)*(1-R139)+INDEX(Models!$BJ139:$BT139,,T139+1)*R139-ERP_i)*Q139*Ramure*Pc/MaxiM</f>
        <v>0</v>
      </c>
      <c r="Q139" s="304">
        <f t="shared" si="27"/>
        <v>0.6</v>
      </c>
      <c r="R139" s="177">
        <f t="shared" si="28"/>
        <v>9.133107871184834E-2</v>
      </c>
      <c r="S139" s="799">
        <f t="shared" si="29"/>
        <v>0</v>
      </c>
      <c r="T139" s="176">
        <f t="shared" si="30"/>
        <v>6</v>
      </c>
      <c r="U139" s="250">
        <f t="shared" si="31"/>
        <v>9.133107871184834E-2</v>
      </c>
      <c r="V139" s="382">
        <f t="shared" si="32"/>
        <v>60.691369005942725</v>
      </c>
      <c r="W139" s="400"/>
      <c r="X139" s="157">
        <f t="shared" si="33"/>
        <v>44686</v>
      </c>
      <c r="Y139" s="383">
        <f t="shared" si="34"/>
        <v>39.968527278602096</v>
      </c>
      <c r="Z139" s="383">
        <f t="shared" si="35"/>
        <v>40.890535214981043</v>
      </c>
      <c r="AA139" s="384">
        <f t="shared" si="36"/>
        <v>46.309632245425448</v>
      </c>
      <c r="AB139" s="197">
        <f t="shared" si="37"/>
        <v>44686</v>
      </c>
      <c r="AC139" s="119">
        <f>IF(OR(t&lt;Tnet,NoTnet),'2021'!Resal_s+('2021'!Salim-'2021'!Resal_s)*(1-EXP(('2021'!Tnet_s-t)/'2021'!Tau_j)),Resal_s+(Salim-Resal_s)*(1-EXP((Tnet_s-t)/Tau_j)))*Salcycl</f>
        <v>0.11701878783500197</v>
      </c>
      <c r="AD139" s="230">
        <f>(INDEX(Models!$BJ139:$BT139,,AH139)*(1-AF139)+INDEX(Models!$BJ139:$BT139,,AH139+1)*AF139-ERP_i)*AE139*Ramure*Pc/MaxiM</f>
        <v>0</v>
      </c>
      <c r="AE139" s="304">
        <f t="shared" si="38"/>
        <v>0.6</v>
      </c>
      <c r="AF139" s="177">
        <f t="shared" si="39"/>
        <v>9.133107871184834E-2</v>
      </c>
      <c r="AG139" s="799">
        <f t="shared" si="47"/>
        <v>0</v>
      </c>
      <c r="AH139" s="176">
        <f t="shared" si="40"/>
        <v>6</v>
      </c>
      <c r="AI139" s="224">
        <f t="shared" si="41"/>
        <v>9.133107871184834E-2</v>
      </c>
      <c r="AJ139" s="264" t="b">
        <f t="shared" si="42"/>
        <v>0</v>
      </c>
      <c r="AK139" s="264" t="b">
        <f t="shared" si="43"/>
        <v>0</v>
      </c>
      <c r="AL139" s="264"/>
      <c r="AM139" s="264"/>
      <c r="AN139" s="75"/>
    </row>
    <row r="140" spans="1:40" s="6" customFormat="1" ht="11.25" x14ac:dyDescent="0.2">
      <c r="A140" s="56">
        <f t="shared" si="44"/>
        <v>44687</v>
      </c>
      <c r="B140" s="607">
        <v>42.637999999999998</v>
      </c>
      <c r="C140" s="388"/>
      <c r="D140" s="391">
        <f t="shared" si="24"/>
        <v>43.622424278578244</v>
      </c>
      <c r="E140" s="383">
        <f t="shared" si="45"/>
        <v>44.039299471966501</v>
      </c>
      <c r="F140" s="383">
        <f t="shared" si="25"/>
        <v>44.039299471966501</v>
      </c>
      <c r="G140" s="110">
        <f t="shared" si="46"/>
        <v>0.70202118603639396</v>
      </c>
      <c r="H140" s="412" t="b">
        <f>Wh_hp&gt;='2021'!Maxi_hp</f>
        <v>0</v>
      </c>
      <c r="I140" s="379">
        <f>IF(H140,Wh_hp,'2021'!Maxi_hp)</f>
        <v>64.219243698545085</v>
      </c>
      <c r="J140" s="85">
        <f>IF(H140,An,'2021'!An_max)</f>
        <v>2018</v>
      </c>
      <c r="K140" s="197">
        <f t="shared" si="26"/>
        <v>44687</v>
      </c>
      <c r="L140" s="147">
        <f>IF(t&lt;Tvie,1-EXP((T0-t)*PertePVj)+'2021'!Pspv,1-EXP((T0-t)*PertePVj)+Pspv)</f>
        <v>2.25669319130819E-2</v>
      </c>
      <c r="M140" s="832"/>
      <c r="N140" s="832"/>
      <c r="O140" s="48">
        <f>IF(t&lt;Tnet,'2021'!Resal+('2021'!Salim-'2021'!Resal)*(1-EXP(('2021'!Tnet-t)/('2021'!Tau_j))),Resal+(Salim-Resal)*(1-EXP((Tnet-t)/(Tau_j))))*Salcycl</f>
        <v>9.4659814844153013E-3</v>
      </c>
      <c r="P140" s="169">
        <f>(INDEX(Models!$BJ140:$BT140,,T140)*(1-R140)+INDEX(Models!$BJ140:$BT140,,T140+1)*R140-ERP_i)*Q140*Ramure*Pc/MaxiM</f>
        <v>1.2016492217106695E-20</v>
      </c>
      <c r="Q140" s="304">
        <f t="shared" si="27"/>
        <v>0.6</v>
      </c>
      <c r="R140" s="177">
        <f t="shared" si="28"/>
        <v>9.4481418073189716E-2</v>
      </c>
      <c r="S140" s="799">
        <f t="shared" si="29"/>
        <v>0</v>
      </c>
      <c r="T140" s="176">
        <f t="shared" si="30"/>
        <v>6</v>
      </c>
      <c r="U140" s="250">
        <f t="shared" si="31"/>
        <v>9.4481418073189716E-2</v>
      </c>
      <c r="V140" s="382">
        <f t="shared" si="32"/>
        <v>60.736058751636556</v>
      </c>
      <c r="W140" s="400"/>
      <c r="X140" s="157">
        <f t="shared" si="33"/>
        <v>44687</v>
      </c>
      <c r="Y140" s="383">
        <f t="shared" si="34"/>
        <v>38.00605075974233</v>
      </c>
      <c r="Z140" s="383">
        <f t="shared" si="35"/>
        <v>38.883532796910288</v>
      </c>
      <c r="AA140" s="384">
        <f t="shared" si="36"/>
        <v>44.039299471966501</v>
      </c>
      <c r="AB140" s="197">
        <f t="shared" si="37"/>
        <v>44687</v>
      </c>
      <c r="AC140" s="119">
        <f>IF(OR(t&lt;Tnet,NoTnet),'2021'!Resal_s+('2021'!Salim-'2021'!Resal_s)*(1-EXP(('2021'!Tnet_s-t)/'2021'!Tau_j)),Resal_s+(Salim-Resal_s)*(1-EXP((Tnet_s-t)/Tau_j)))*Salcycl</f>
        <v>0.1170719502097928</v>
      </c>
      <c r="AD140" s="230">
        <f>(INDEX(Models!$BJ140:$BT140,,AH140)*(1-AF140)+INDEX(Models!$BJ140:$BT140,,AH140+1)*AF140-ERP_i)*AE140*Ramure*Pc/MaxiM</f>
        <v>1.2016492217106695E-20</v>
      </c>
      <c r="AE140" s="304">
        <f t="shared" si="38"/>
        <v>0.6</v>
      </c>
      <c r="AF140" s="177">
        <f t="shared" si="39"/>
        <v>9.4481418073189716E-2</v>
      </c>
      <c r="AG140" s="799">
        <f t="shared" si="47"/>
        <v>0</v>
      </c>
      <c r="AH140" s="176">
        <f t="shared" si="40"/>
        <v>6</v>
      </c>
      <c r="AI140" s="224">
        <f t="shared" si="41"/>
        <v>9.4481418073189716E-2</v>
      </c>
      <c r="AJ140" s="264" t="b">
        <f t="shared" si="42"/>
        <v>0</v>
      </c>
      <c r="AK140" s="264" t="b">
        <f t="shared" si="43"/>
        <v>0</v>
      </c>
      <c r="AL140" s="264"/>
      <c r="AM140" s="264"/>
      <c r="AN140" s="75"/>
    </row>
    <row r="141" spans="1:40" s="6" customFormat="1" ht="11.25" x14ac:dyDescent="0.2">
      <c r="A141" s="56">
        <f t="shared" si="44"/>
        <v>44688</v>
      </c>
      <c r="B141" s="607">
        <v>53.003</v>
      </c>
      <c r="C141" s="388"/>
      <c r="D141" s="391">
        <f t="shared" si="24"/>
        <v>54.227770207951941</v>
      </c>
      <c r="E141" s="383">
        <f t="shared" si="45"/>
        <v>54.75094564098449</v>
      </c>
      <c r="F141" s="383">
        <f t="shared" si="25"/>
        <v>54.75094564098449</v>
      </c>
      <c r="G141" s="110">
        <f t="shared" si="46"/>
        <v>0.87208811746012582</v>
      </c>
      <c r="H141" s="412" t="b">
        <f>Wh_hp&gt;='2021'!Maxi_hp</f>
        <v>0</v>
      </c>
      <c r="I141" s="379">
        <f>IF(H141,Wh_hp,'2021'!Maxi_hp)</f>
        <v>60.265273662889911</v>
      </c>
      <c r="J141" s="85">
        <f>IF(H141,An,'2021'!An_max)</f>
        <v>2020</v>
      </c>
      <c r="K141" s="197">
        <f t="shared" si="26"/>
        <v>44688</v>
      </c>
      <c r="L141" s="147">
        <f>IF(t&lt;Tvie,1-EXP((T0-t)*PertePVj)+'2021'!Pspv,1-EXP((T0-t)*PertePVj)+Pspv)</f>
        <v>2.2585664194843535E-2</v>
      </c>
      <c r="M141" s="832"/>
      <c r="N141" s="832"/>
      <c r="O141" s="48">
        <f>IF(t&lt;Tnet,'2021'!Resal+('2021'!Salim-'2021'!Resal)*(1-EXP(('2021'!Tnet-t)/('2021'!Tau_j))),Resal+(Salim-Resal)*(1-EXP((Tnet-t)/(Tau_j))))*Salcycl</f>
        <v>9.5555506285342449E-3</v>
      </c>
      <c r="P141" s="169">
        <f>(INDEX(Models!$BJ141:$BT141,,T141)*(1-R141)+INDEX(Models!$BJ141:$BT141,,T141+1)*R141-ERP_i)*Q141*Ramure*Pc/MaxiM</f>
        <v>-1.2118296531897426E-20</v>
      </c>
      <c r="Q141" s="304">
        <f t="shared" si="27"/>
        <v>0.6</v>
      </c>
      <c r="R141" s="177">
        <f t="shared" si="28"/>
        <v>9.7712572478342044E-2</v>
      </c>
      <c r="S141" s="799">
        <f t="shared" si="29"/>
        <v>0</v>
      </c>
      <c r="T141" s="176">
        <f t="shared" si="30"/>
        <v>6</v>
      </c>
      <c r="U141" s="250">
        <f t="shared" si="31"/>
        <v>9.7712572478342044E-2</v>
      </c>
      <c r="V141" s="382">
        <f t="shared" si="32"/>
        <v>60.77711522359256</v>
      </c>
      <c r="W141" s="400"/>
      <c r="X141" s="157">
        <f t="shared" si="33"/>
        <v>44688</v>
      </c>
      <c r="Y141" s="383">
        <f t="shared" si="34"/>
        <v>47.246409340412789</v>
      </c>
      <c r="Z141" s="383">
        <f t="shared" si="35"/>
        <v>48.338158762008547</v>
      </c>
      <c r="AA141" s="384">
        <f t="shared" si="36"/>
        <v>54.75094564098449</v>
      </c>
      <c r="AB141" s="197">
        <f t="shared" si="37"/>
        <v>44688</v>
      </c>
      <c r="AC141" s="119">
        <f>IF(OR(t&lt;Tnet,NoTnet),'2021'!Resal_s+('2021'!Salim-'2021'!Resal_s)*(1-EXP(('2021'!Tnet_s-t)/'2021'!Tau_j)),Resal_s+(Salim-Resal_s)*(1-EXP((Tnet_s-t)/Tau_j)))*Salcycl</f>
        <v>0.11712650446306763</v>
      </c>
      <c r="AD141" s="230">
        <f>(INDEX(Models!$BJ141:$BT141,,AH141)*(1-AF141)+INDEX(Models!$BJ141:$BT141,,AH141+1)*AF141-ERP_i)*AE141*Ramure*Pc/MaxiM</f>
        <v>-1.2118296531897426E-20</v>
      </c>
      <c r="AE141" s="304">
        <f t="shared" si="38"/>
        <v>0.6</v>
      </c>
      <c r="AF141" s="177">
        <f t="shared" si="39"/>
        <v>9.7712572478342044E-2</v>
      </c>
      <c r="AG141" s="799">
        <f t="shared" si="47"/>
        <v>0</v>
      </c>
      <c r="AH141" s="176">
        <f t="shared" si="40"/>
        <v>6</v>
      </c>
      <c r="AI141" s="224">
        <f t="shared" si="41"/>
        <v>9.7712572478342044E-2</v>
      </c>
      <c r="AJ141" s="264" t="b">
        <f t="shared" si="42"/>
        <v>0</v>
      </c>
      <c r="AK141" s="264" t="b">
        <f t="shared" si="43"/>
        <v>0</v>
      </c>
      <c r="AL141" s="264"/>
      <c r="AM141" s="264"/>
      <c r="AN141" s="75"/>
    </row>
    <row r="142" spans="1:40" s="6" customFormat="1" ht="11.25" x14ac:dyDescent="0.2">
      <c r="A142" s="56">
        <f t="shared" si="44"/>
        <v>44689</v>
      </c>
      <c r="B142" s="607">
        <v>52.160000000000004</v>
      </c>
      <c r="C142" s="388"/>
      <c r="D142" s="391">
        <f t="shared" si="24"/>
        <v>53.366313284826433</v>
      </c>
      <c r="E142" s="383">
        <f t="shared" si="45"/>
        <v>53.886057948098731</v>
      </c>
      <c r="F142" s="383">
        <f t="shared" si="25"/>
        <v>53.886057948098731</v>
      </c>
      <c r="G142" s="110">
        <f t="shared" si="46"/>
        <v>0.85768668978985596</v>
      </c>
      <c r="H142" s="412" t="b">
        <f>Wh_hp&gt;='2021'!Maxi_hp</f>
        <v>0</v>
      </c>
      <c r="I142" s="379">
        <f>IF(H142,Wh_hp,'2021'!Maxi_hp)</f>
        <v>60.80360190588106</v>
      </c>
      <c r="J142" s="85">
        <f>IF(H142,An,'2021'!An_max)</f>
        <v>2021</v>
      </c>
      <c r="K142" s="197">
        <f t="shared" si="26"/>
        <v>44689</v>
      </c>
      <c r="L142" s="147">
        <f>IF(t&lt;Tvie,1-EXP((T0-t)*PertePVj)+'2021'!Pspv,1-EXP((T0-t)*PertePVj)+Pspv)</f>
        <v>2.2604396117605119E-2</v>
      </c>
      <c r="M142" s="832"/>
      <c r="N142" s="832"/>
      <c r="O142" s="48">
        <f>IF(t&lt;Tnet,'2021'!Resal+('2021'!Salim-'2021'!Resal)*(1-EXP(('2021'!Tnet-t)/('2021'!Tau_j))),Resal+(Salim-Resal)*(1-EXP((Tnet-t)/(Tau_j))))*Salcycl</f>
        <v>9.6452530220878553E-3</v>
      </c>
      <c r="P142" s="169">
        <f>(INDEX(Models!$BJ142:$BT142,,T142)*(1-R142)+INDEX(Models!$BJ142:$BT142,,T142+1)*R142-ERP_i)*Q142*Ramure*Pc/MaxiM</f>
        <v>0</v>
      </c>
      <c r="Q142" s="304">
        <f t="shared" si="27"/>
        <v>0.6</v>
      </c>
      <c r="R142" s="177">
        <f t="shared" si="28"/>
        <v>0.10102485827647499</v>
      </c>
      <c r="S142" s="799">
        <f t="shared" si="29"/>
        <v>0</v>
      </c>
      <c r="T142" s="176">
        <f t="shared" si="30"/>
        <v>6</v>
      </c>
      <c r="U142" s="250">
        <f t="shared" si="31"/>
        <v>0.10102485827647499</v>
      </c>
      <c r="V142" s="382">
        <f t="shared" si="32"/>
        <v>60.814748113649586</v>
      </c>
      <c r="W142" s="400"/>
      <c r="X142" s="157">
        <f t="shared" si="33"/>
        <v>44689</v>
      </c>
      <c r="Y142" s="383">
        <f t="shared" si="34"/>
        <v>46.496233609830234</v>
      </c>
      <c r="Z142" s="383">
        <f t="shared" si="35"/>
        <v>47.571559995910206</v>
      </c>
      <c r="AA142" s="384">
        <f t="shared" si="36"/>
        <v>53.886057948098731</v>
      </c>
      <c r="AB142" s="197">
        <f t="shared" si="37"/>
        <v>44689</v>
      </c>
      <c r="AC142" s="119">
        <f>IF(OR(t&lt;Tnet,NoTnet),'2021'!Resal_s+('2021'!Salim-'2021'!Resal_s)*(1-EXP(('2021'!Tnet_s-t)/'2021'!Tau_j)),Resal_s+(Salim-Resal_s)*(1-EXP((Tnet_s-t)/Tau_j)))*Salcycl</f>
        <v>0.11718240659337961</v>
      </c>
      <c r="AD142" s="230">
        <f>(INDEX(Models!$BJ142:$BT142,,AH142)*(1-AF142)+INDEX(Models!$BJ142:$BT142,,AH142+1)*AF142-ERP_i)*AE142*Ramure*Pc/MaxiM</f>
        <v>0</v>
      </c>
      <c r="AE142" s="304">
        <f t="shared" si="38"/>
        <v>0.6</v>
      </c>
      <c r="AF142" s="177">
        <f t="shared" si="39"/>
        <v>0.10102485827647499</v>
      </c>
      <c r="AG142" s="799">
        <f t="shared" si="47"/>
        <v>0</v>
      </c>
      <c r="AH142" s="176">
        <f t="shared" si="40"/>
        <v>6</v>
      </c>
      <c r="AI142" s="224">
        <f t="shared" si="41"/>
        <v>0.10102485827647499</v>
      </c>
      <c r="AJ142" s="264" t="b">
        <f t="shared" si="42"/>
        <v>0</v>
      </c>
      <c r="AK142" s="264" t="b">
        <f t="shared" si="43"/>
        <v>0</v>
      </c>
      <c r="AL142" s="264"/>
      <c r="AM142" s="264"/>
      <c r="AN142" s="75"/>
    </row>
    <row r="143" spans="1:40" s="6" customFormat="1" ht="11.25" x14ac:dyDescent="0.2">
      <c r="A143" s="56">
        <f t="shared" si="44"/>
        <v>44690</v>
      </c>
      <c r="B143" s="607">
        <v>57.506</v>
      </c>
      <c r="C143" s="388"/>
      <c r="D143" s="391">
        <f t="shared" ref="D143:D206" si="48">Wh/(1-Ppv)</f>
        <v>58.837078744843637</v>
      </c>
      <c r="E143" s="383">
        <f t="shared" si="45"/>
        <v>59.415493779908196</v>
      </c>
      <c r="F143" s="383">
        <f t="shared" ref="F143:F206" si="49">Wh_sa/(1-Pvg*MEDIAN((-Sdif+Wh/Env_an)/Csdif,0,1))</f>
        <v>59.415493779908196</v>
      </c>
      <c r="G143" s="110">
        <f t="shared" si="46"/>
        <v>0.94505812960057012</v>
      </c>
      <c r="H143" s="412" t="b">
        <f>Wh_hp&gt;='2021'!Maxi_hp</f>
        <v>1</v>
      </c>
      <c r="I143" s="379">
        <f>IF(H143,Wh_hp,'2021'!Maxi_hp)</f>
        <v>59.415493779908196</v>
      </c>
      <c r="J143" s="85">
        <f>IF(H143,An,'2021'!An_max)</f>
        <v>2022</v>
      </c>
      <c r="K143" s="197">
        <f t="shared" ref="K143:K206" si="50">t</f>
        <v>44690</v>
      </c>
      <c r="L143" s="147">
        <f>IF(t&lt;Tvie,1-EXP((T0-t)*PertePVj)+'2021'!Pspv,1-EXP((T0-t)*PertePVj)+Pspv)</f>
        <v>2.2623127681373756E-2</v>
      </c>
      <c r="M143" s="832"/>
      <c r="N143" s="832"/>
      <c r="O143" s="48">
        <f>IF(t&lt;Tnet,'2021'!Resal+('2021'!Salim-'2021'!Resal)*(1-EXP(('2021'!Tnet-t)/('2021'!Tau_j))),Resal+(Salim-Resal)*(1-EXP((Tnet-t)/(Tau_j))))*Salcycl</f>
        <v>9.7350875717228287E-3</v>
      </c>
      <c r="P143" s="169">
        <f>(INDEX(Models!$BJ143:$BT143,,T143)*(1-R143)+INDEX(Models!$BJ143:$BT143,,T143+1)*R143-ERP_i)*Q143*Ramure*Pc/MaxiM</f>
        <v>-1.2329921231475895E-20</v>
      </c>
      <c r="Q143" s="304">
        <f t="shared" ref="Q143:Q206" si="51">IF(OR(t&lt;Ttai,Notai),Dd+PousD*Croivg,Dens+PousD*(Croivg-Croi_tai))</f>
        <v>0.6</v>
      </c>
      <c r="R143" s="177">
        <f t="shared" ref="R143:R206" si="52">(Hp_vg-S143)/(INDEX(Echel_vg,T143+1)-S143)</f>
        <v>0.10441846749382039</v>
      </c>
      <c r="S143" s="799">
        <f t="shared" ref="S143:S206" si="53">INDEX(Echel_vg,T143)</f>
        <v>0</v>
      </c>
      <c r="T143" s="176">
        <f t="shared" ref="T143:T206" si="54">MIN(MATCH(Hp_vg,Echel_vg),10)</f>
        <v>6</v>
      </c>
      <c r="U143" s="250">
        <f t="shared" ref="U143:U206" si="55">IF(OR(t&lt;Ttai,Notai),Hdd+PousH*Croivg,Hdtf+PousH*(Croivg-Croi_tai))</f>
        <v>0.10441846749382039</v>
      </c>
      <c r="V143" s="382">
        <f t="shared" ref="V143:V206" si="56">MaxiM*(1-Ppv)*(1-Pvg)*(1-Psa)</f>
        <v>60.84916704997287</v>
      </c>
      <c r="W143" s="400"/>
      <c r="X143" s="157">
        <f t="shared" ref="X143:X206" si="57">t</f>
        <v>44690</v>
      </c>
      <c r="Y143" s="383">
        <f t="shared" ref="Y143:Y206" si="58">Wh_pvt_s*(1-Ppv)</f>
        <v>51.263069529028307</v>
      </c>
      <c r="Z143" s="383">
        <f t="shared" ref="Z143:Z206" si="59">Wh_sa_s*(1-Psa_s)</f>
        <v>52.449644534167447</v>
      </c>
      <c r="AA143" s="384">
        <f t="shared" ref="AA143:AA206" si="60">Wh_hp*(1-Pvg_s*MEDIAN((-Sdif+Wh/Env_an)/Csdif,0,1))</f>
        <v>59.415493779908196</v>
      </c>
      <c r="AB143" s="197">
        <f t="shared" ref="AB143:AB206" si="61">t</f>
        <v>44690</v>
      </c>
      <c r="AC143" s="119">
        <f>IF(OR(t&lt;Tnet,NoTnet),'2021'!Resal_s+('2021'!Salim-'2021'!Resal_s)*(1-EXP(('2021'!Tnet_s-t)/'2021'!Tau_j)),Resal_s+(Salim-Resal_s)*(1-EXP((Tnet_s-t)/Tau_j)))*Salcycl</f>
        <v>0.11723960877181669</v>
      </c>
      <c r="AD143" s="230">
        <f>(INDEX(Models!$BJ143:$BT143,,AH143)*(1-AF143)+INDEX(Models!$BJ143:$BT143,,AH143+1)*AF143-ERP_i)*AE143*Ramure*Pc/MaxiM</f>
        <v>-1.2329921231475895E-20</v>
      </c>
      <c r="AE143" s="304">
        <f t="shared" ref="AE143:AE206" si="62">IF(OR(t&lt;Ttai,Notai),Dd_s+PousD*Croivg,Dens_s+PousD*(Croivg-Croi_tai))</f>
        <v>0.6</v>
      </c>
      <c r="AF143" s="177">
        <f t="shared" ref="AF143:AF206" si="63">(Hp_vg_s-AG143)/(INDEX(Echel_vg,AH143+1)-AG143)</f>
        <v>0.10441846749382039</v>
      </c>
      <c r="AG143" s="799">
        <f t="shared" si="47"/>
        <v>0</v>
      </c>
      <c r="AH143" s="176">
        <f t="shared" ref="AH143:AH206" si="64">MIN(MATCH(Hp_vg_s,Echel_vg),10)</f>
        <v>6</v>
      </c>
      <c r="AI143" s="224">
        <f t="shared" ref="AI143:AI206" si="65">IF(OR(t&lt;Ttai,Notai),Hdd_s+PousH*Croivg,Hdtai_s+PousH*(Croivg-Croi_tai))</f>
        <v>0.10441846749382039</v>
      </c>
      <c r="AJ143" s="264" t="b">
        <f t="shared" ref="AJ143:AJ206" si="66">t&lt;Tnet</f>
        <v>0</v>
      </c>
      <c r="AK143" s="264" t="b">
        <f t="shared" ref="AK143:AK206" si="67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68">A143+1</f>
        <v>44691</v>
      </c>
      <c r="B144" s="607">
        <v>55.432000000000002</v>
      </c>
      <c r="C144" s="388"/>
      <c r="D144" s="391">
        <f t="shared" si="48"/>
        <v>56.716159274866293</v>
      </c>
      <c r="E144" s="383">
        <f t="shared" ref="E144:E169" si="69">Wh_pvt/(1-Psa)</f>
        <v>57.278927759846646</v>
      </c>
      <c r="F144" s="383">
        <f t="shared" si="49"/>
        <v>57.278927759846646</v>
      </c>
      <c r="G144" s="110">
        <f t="shared" ref="G144:G169" si="70">+Wh_hp/MaxiM</f>
        <v>0.91050378534553278</v>
      </c>
      <c r="H144" s="412" t="b">
        <f>Wh_hp&gt;='2021'!Maxi_hp</f>
        <v>1</v>
      </c>
      <c r="I144" s="379">
        <f>IF(H144,Wh_hp,'2021'!Maxi_hp)</f>
        <v>57.278927759846646</v>
      </c>
      <c r="J144" s="85">
        <f>IF(H144,An,'2021'!An_max)</f>
        <v>2022</v>
      </c>
      <c r="K144" s="197">
        <f t="shared" si="50"/>
        <v>44691</v>
      </c>
      <c r="L144" s="147">
        <f>IF(t&lt;Tvie,1-EXP((T0-t)*PertePVj)+'2021'!Pspv,1-EXP((T0-t)*PertePVj)+Pspv)</f>
        <v>2.264185888615633E-2</v>
      </c>
      <c r="M144" s="832"/>
      <c r="N144" s="832"/>
      <c r="O144" s="48">
        <f>IF(t&lt;Tnet,'2021'!Resal+('2021'!Salim-'2021'!Resal)*(1-EXP(('2021'!Tnet-t)/('2021'!Tau_j))),Resal+(Salim-Resal)*(1-EXP((Tnet-t)/(Tau_j))))*Salcycl</f>
        <v>9.8250527199089978E-3</v>
      </c>
      <c r="P144" s="169">
        <f>(INDEX(Models!$BJ144:$BT144,,T144)*(1-R144)+INDEX(Models!$BJ144:$BT144,,T144+1)*R144-ERP_i)*Q144*Ramure*Pc/MaxiM</f>
        <v>0</v>
      </c>
      <c r="Q144" s="304">
        <f t="shared" si="51"/>
        <v>0.6</v>
      </c>
      <c r="R144" s="177">
        <f t="shared" si="52"/>
        <v>0.10789346104053862</v>
      </c>
      <c r="S144" s="799">
        <f t="shared" si="53"/>
        <v>0</v>
      </c>
      <c r="T144" s="176">
        <f t="shared" si="54"/>
        <v>6</v>
      </c>
      <c r="U144" s="250">
        <f t="shared" si="55"/>
        <v>0.10789346104053862</v>
      </c>
      <c r="V144" s="382">
        <f t="shared" si="56"/>
        <v>60.880581599080081</v>
      </c>
      <c r="W144" s="400"/>
      <c r="X144" s="157">
        <f t="shared" si="57"/>
        <v>44691</v>
      </c>
      <c r="Y144" s="383">
        <f t="shared" si="58"/>
        <v>49.415443310850222</v>
      </c>
      <c r="Z144" s="383">
        <f t="shared" si="59"/>
        <v>50.560220693034836</v>
      </c>
      <c r="AA144" s="384">
        <f t="shared" si="60"/>
        <v>57.278927759846646</v>
      </c>
      <c r="AB144" s="197">
        <f t="shared" si="61"/>
        <v>44691</v>
      </c>
      <c r="AC144" s="119">
        <f>IF(OR(t&lt;Tnet,NoTnet),'2021'!Resal_s+('2021'!Salim-'2021'!Resal_s)*(1-EXP(('2021'!Tnet_s-t)/'2021'!Tau_j)),Resal_s+(Salim-Resal_s)*(1-EXP((Tnet_s-t)/Tau_j)))*Salcycl</f>
        <v>0.11729805933137101</v>
      </c>
      <c r="AD144" s="230">
        <f>(INDEX(Models!$BJ144:$BT144,,AH144)*(1-AF144)+INDEX(Models!$BJ144:$BT144,,AH144+1)*AF144-ERP_i)*AE144*Ramure*Pc/MaxiM</f>
        <v>0</v>
      </c>
      <c r="AE144" s="304">
        <f t="shared" si="62"/>
        <v>0.6</v>
      </c>
      <c r="AF144" s="177">
        <f t="shared" si="63"/>
        <v>0.10789346104053862</v>
      </c>
      <c r="AG144" s="799">
        <f t="shared" ref="AG144:AG207" si="71">INDEX(Echel_vg,AH144)</f>
        <v>0</v>
      </c>
      <c r="AH144" s="176">
        <f t="shared" si="64"/>
        <v>6</v>
      </c>
      <c r="AI144" s="224">
        <f t="shared" si="65"/>
        <v>0.10789346104053862</v>
      </c>
      <c r="AJ144" s="264" t="b">
        <f t="shared" si="66"/>
        <v>0</v>
      </c>
      <c r="AK144" s="264" t="b">
        <f t="shared" si="67"/>
        <v>0</v>
      </c>
      <c r="AL144" s="264"/>
      <c r="AM144" s="264"/>
      <c r="AN144" s="75"/>
    </row>
    <row r="145" spans="1:40" s="6" customFormat="1" ht="11.25" x14ac:dyDescent="0.2">
      <c r="A145" s="56">
        <f t="shared" si="68"/>
        <v>44692</v>
      </c>
      <c r="B145" s="607">
        <v>59.410000000000004</v>
      </c>
      <c r="C145" s="388"/>
      <c r="D145" s="391">
        <f t="shared" si="48"/>
        <v>60.787480148484441</v>
      </c>
      <c r="E145" s="383">
        <f t="shared" si="69"/>
        <v>61.396232786922219</v>
      </c>
      <c r="F145" s="383">
        <f t="shared" si="49"/>
        <v>61.396232786922219</v>
      </c>
      <c r="G145" s="110">
        <f t="shared" si="70"/>
        <v>0.97538629238634744</v>
      </c>
      <c r="H145" s="412" t="b">
        <f>Wh_hp&gt;='2021'!Maxi_hp</f>
        <v>1</v>
      </c>
      <c r="I145" s="379">
        <f>IF(H145,Wh_hp,'2021'!Maxi_hp)</f>
        <v>61.396232786922219</v>
      </c>
      <c r="J145" s="85">
        <f>IF(H145,An,'2021'!An_max)</f>
        <v>2022</v>
      </c>
      <c r="K145" s="197">
        <f t="shared" si="50"/>
        <v>44692</v>
      </c>
      <c r="L145" s="147">
        <f>IF(t&lt;Tvie,1-EXP((T0-t)*PertePVj)+'2021'!Pspv,1-EXP((T0-t)*PertePVj)+Pspv)</f>
        <v>2.2660589731959502E-2</v>
      </c>
      <c r="M145" s="832"/>
      <c r="N145" s="832"/>
      <c r="O145" s="48">
        <f>IF(t&lt;Tnet,'2021'!Resal+('2021'!Salim-'2021'!Resal)*(1-EXP(('2021'!Tnet-t)/('2021'!Tau_j))),Resal+(Salim-Resal)*(1-EXP((Tnet-t)/(Tau_j))))*Salcycl</f>
        <v>9.9151464317113903E-3</v>
      </c>
      <c r="P145" s="169">
        <f>(INDEX(Models!$BJ145:$BT145,,T145)*(1-R145)+INDEX(Models!$BJ145:$BT145,,T145+1)*R145-ERP_i)*Q145*Ramure*Pc/MaxiM</f>
        <v>0</v>
      </c>
      <c r="Q145" s="304">
        <f t="shared" si="51"/>
        <v>0.6</v>
      </c>
      <c r="R145" s="177">
        <f t="shared" si="52"/>
        <v>0.11144976209890288</v>
      </c>
      <c r="S145" s="799">
        <f t="shared" si="53"/>
        <v>0</v>
      </c>
      <c r="T145" s="176">
        <f t="shared" si="54"/>
        <v>6</v>
      </c>
      <c r="U145" s="250">
        <f t="shared" si="55"/>
        <v>0.11144976209890288</v>
      </c>
      <c r="V145" s="382">
        <f t="shared" si="56"/>
        <v>60.909201271067168</v>
      </c>
      <c r="W145" s="400"/>
      <c r="X145" s="157">
        <f t="shared" si="57"/>
        <v>44692</v>
      </c>
      <c r="Y145" s="383">
        <f t="shared" si="58"/>
        <v>52.962913925317785</v>
      </c>
      <c r="Z145" s="383">
        <f t="shared" si="59"/>
        <v>54.190911948176151</v>
      </c>
      <c r="AA145" s="384">
        <f t="shared" si="60"/>
        <v>61.396232786922219</v>
      </c>
      <c r="AB145" s="197">
        <f t="shared" si="61"/>
        <v>44692</v>
      </c>
      <c r="AC145" s="119">
        <f>IF(OR(t&lt;Tnet,NoTnet),'2021'!Resal_s+('2021'!Salim-'2021'!Resal_s)*(1-EXP(('2021'!Tnet_s-t)/'2021'!Tau_j)),Resal_s+(Salim-Resal_s)*(1-EXP((Tnet_s-t)/Tau_j)))*Salcycl</f>
        <v>0.11735770277229213</v>
      </c>
      <c r="AD145" s="230">
        <f>(INDEX(Models!$BJ145:$BT145,,AH145)*(1-AF145)+INDEX(Models!$BJ145:$BT145,,AH145+1)*AF145-ERP_i)*AE145*Ramure*Pc/MaxiM</f>
        <v>0</v>
      </c>
      <c r="AE145" s="304">
        <f t="shared" si="62"/>
        <v>0.6</v>
      </c>
      <c r="AF145" s="177">
        <f t="shared" si="63"/>
        <v>0.11144976209890288</v>
      </c>
      <c r="AG145" s="799">
        <f t="shared" si="71"/>
        <v>0</v>
      </c>
      <c r="AH145" s="176">
        <f t="shared" si="64"/>
        <v>6</v>
      </c>
      <c r="AI145" s="224">
        <f t="shared" si="65"/>
        <v>0.11144976209890288</v>
      </c>
      <c r="AJ145" s="264" t="b">
        <f t="shared" si="66"/>
        <v>0</v>
      </c>
      <c r="AK145" s="264" t="b">
        <f t="shared" si="67"/>
        <v>0</v>
      </c>
      <c r="AL145" s="264"/>
      <c r="AM145" s="264"/>
      <c r="AN145" s="75"/>
    </row>
    <row r="146" spans="1:40" s="6" customFormat="1" ht="11.25" x14ac:dyDescent="0.2">
      <c r="A146" s="56">
        <f t="shared" si="68"/>
        <v>44693</v>
      </c>
      <c r="B146" s="607">
        <v>42.472000000000001</v>
      </c>
      <c r="C146" s="388"/>
      <c r="D146" s="391">
        <f t="shared" si="48"/>
        <v>43.457588567048539</v>
      </c>
      <c r="E146" s="383">
        <f t="shared" si="69"/>
        <v>43.896792045728127</v>
      </c>
      <c r="F146" s="383">
        <f t="shared" si="49"/>
        <v>43.896792045728127</v>
      </c>
      <c r="G146" s="110">
        <f t="shared" si="70"/>
        <v>0.69700231141390234</v>
      </c>
      <c r="H146" s="412" t="b">
        <f>Wh_hp&gt;='2021'!Maxi_hp</f>
        <v>0</v>
      </c>
      <c r="I146" s="379">
        <f>IF(H146,Wh_hp,'2021'!Maxi_hp)</f>
        <v>54.191031708919418</v>
      </c>
      <c r="J146" s="85">
        <f>IF(H146,An,'2021'!An_max)</f>
        <v>2018</v>
      </c>
      <c r="K146" s="197">
        <f t="shared" si="50"/>
        <v>44693</v>
      </c>
      <c r="L146" s="147">
        <f>IF(t&lt;Tvie,1-EXP((T0-t)*PertePVj)+'2021'!Pspv,1-EXP((T0-t)*PertePVj)+Pspv)</f>
        <v>2.2679320218790378E-2</v>
      </c>
      <c r="M146" s="832"/>
      <c r="N146" s="832"/>
      <c r="O146" s="48">
        <f>IF(t&lt;Tnet,'2021'!Resal+('2021'!Salim-'2021'!Resal)*(1-EXP(('2021'!Tnet-t)/('2021'!Tau_j))),Resal+(Salim-Resal)*(1-EXP((Tnet-t)/(Tau_j))))*Salcycl</f>
        <v>1.0005366183069977E-2</v>
      </c>
      <c r="P146" s="169">
        <f>(INDEX(Models!$BJ146:$BT146,,T146)*(1-R146)+INDEX(Models!$BJ146:$BT146,,T146+1)*R146-ERP_i)*Q146*Ramure*Pc/MaxiM</f>
        <v>1.2665693720788202E-20</v>
      </c>
      <c r="Q146" s="304">
        <f t="shared" si="51"/>
        <v>0.6</v>
      </c>
      <c r="R146" s="177">
        <f t="shared" si="52"/>
        <v>0.11508714974673162</v>
      </c>
      <c r="S146" s="799">
        <f t="shared" si="53"/>
        <v>0</v>
      </c>
      <c r="T146" s="176">
        <f t="shared" si="54"/>
        <v>6</v>
      </c>
      <c r="U146" s="250">
        <f t="shared" si="55"/>
        <v>0.11508714974673162</v>
      </c>
      <c r="V146" s="382">
        <f t="shared" si="56"/>
        <v>60.935235514274737</v>
      </c>
      <c r="W146" s="400"/>
      <c r="X146" s="157">
        <f t="shared" si="57"/>
        <v>44693</v>
      </c>
      <c r="Y146" s="383">
        <f t="shared" si="58"/>
        <v>37.863843950413646</v>
      </c>
      <c r="Z146" s="383">
        <f t="shared" si="59"/>
        <v>38.742497456300761</v>
      </c>
      <c r="AA146" s="384">
        <f t="shared" si="60"/>
        <v>43.896792045728127</v>
      </c>
      <c r="AB146" s="197">
        <f t="shared" si="61"/>
        <v>44693</v>
      </c>
      <c r="AC146" s="119">
        <f>IF(OR(t&lt;Tnet,NoTnet),'2021'!Resal_s+('2021'!Salim-'2021'!Resal_s)*(1-EXP(('2021'!Tnet_s-t)/'2021'!Tau_j)),Resal_s+(Salim-Resal_s)*(1-EXP((Tnet_s-t)/Tau_j)))*Salcycl</f>
        <v>0.11741847978453723</v>
      </c>
      <c r="AD146" s="230">
        <f>(INDEX(Models!$BJ146:$BT146,,AH146)*(1-AF146)+INDEX(Models!$BJ146:$BT146,,AH146+1)*AF146-ERP_i)*AE146*Ramure*Pc/MaxiM</f>
        <v>1.2665693720788202E-20</v>
      </c>
      <c r="AE146" s="304">
        <f t="shared" si="62"/>
        <v>0.6</v>
      </c>
      <c r="AF146" s="177">
        <f t="shared" si="63"/>
        <v>0.11508714974673162</v>
      </c>
      <c r="AG146" s="799">
        <f t="shared" si="71"/>
        <v>0</v>
      </c>
      <c r="AH146" s="176">
        <f t="shared" si="64"/>
        <v>6</v>
      </c>
      <c r="AI146" s="224">
        <f t="shared" si="65"/>
        <v>0.11508714974673162</v>
      </c>
      <c r="AJ146" s="264" t="b">
        <f t="shared" si="66"/>
        <v>0</v>
      </c>
      <c r="AK146" s="264" t="b">
        <f t="shared" si="67"/>
        <v>0</v>
      </c>
      <c r="AL146" s="264"/>
      <c r="AM146" s="264"/>
      <c r="AN146" s="75"/>
    </row>
    <row r="147" spans="1:40" s="6" customFormat="1" ht="11.25" x14ac:dyDescent="0.2">
      <c r="A147" s="56">
        <f t="shared" si="68"/>
        <v>44694</v>
      </c>
      <c r="B147" s="607">
        <v>43.597000000000001</v>
      </c>
      <c r="C147" s="388"/>
      <c r="D147" s="391">
        <f t="shared" si="48"/>
        <v>44.609549807471637</v>
      </c>
      <c r="E147" s="383">
        <f t="shared" si="69"/>
        <v>45.064507963884282</v>
      </c>
      <c r="F147" s="383">
        <f t="shared" si="49"/>
        <v>45.064507963884282</v>
      </c>
      <c r="G147" s="110">
        <f t="shared" si="70"/>
        <v>0.71518686347729132</v>
      </c>
      <c r="H147" s="412" t="b">
        <f>Wh_hp&gt;='2021'!Maxi_hp</f>
        <v>0</v>
      </c>
      <c r="I147" s="379">
        <f>IF(H147,Wh_hp,'2021'!Maxi_hp)</f>
        <v>65.060121509053133</v>
      </c>
      <c r="J147" s="85">
        <f>IF(H147,An,'2021'!An_max)</f>
        <v>2018</v>
      </c>
      <c r="K147" s="197">
        <f t="shared" si="50"/>
        <v>44694</v>
      </c>
      <c r="L147" s="147">
        <f>IF(t&lt;Tvie,1-EXP((T0-t)*PertePVj)+'2021'!Pspv,1-EXP((T0-t)*PertePVj)+Pspv)</f>
        <v>2.2698050346655729E-2</v>
      </c>
      <c r="M147" s="832"/>
      <c r="N147" s="832"/>
      <c r="O147" s="48">
        <f>IF(t&lt;Tnet,'2021'!Resal+('2021'!Salim-'2021'!Resal)*(1-EXP(('2021'!Tnet-t)/('2021'!Tau_j))),Resal+(Salim-Resal)*(1-EXP((Tnet-t)/(Tau_j))))*Salcycl</f>
        <v>1.0095708950761352E-2</v>
      </c>
      <c r="P147" s="169">
        <f>(INDEX(Models!$BJ147:$BT147,,T147)*(1-R147)+INDEX(Models!$BJ147:$BT147,,T147+1)*R147-ERP_i)*Q147*Ramure*Pc/MaxiM</f>
        <v>1.2782005825439509E-20</v>
      </c>
      <c r="Q147" s="304">
        <f t="shared" si="51"/>
        <v>0.6</v>
      </c>
      <c r="R147" s="177">
        <f t="shared" si="52"/>
        <v>0.11880525287218373</v>
      </c>
      <c r="S147" s="799">
        <f t="shared" si="53"/>
        <v>0</v>
      </c>
      <c r="T147" s="176">
        <f t="shared" si="54"/>
        <v>6</v>
      </c>
      <c r="U147" s="250">
        <f t="shared" si="55"/>
        <v>0.11880525287218373</v>
      </c>
      <c r="V147" s="382">
        <f t="shared" si="56"/>
        <v>60.958893719087861</v>
      </c>
      <c r="W147" s="400"/>
      <c r="X147" s="157">
        <f t="shared" si="57"/>
        <v>44694</v>
      </c>
      <c r="Y147" s="383">
        <f t="shared" si="58"/>
        <v>38.867606211130919</v>
      </c>
      <c r="Z147" s="383">
        <f t="shared" si="59"/>
        <v>39.770314819199456</v>
      </c>
      <c r="AA147" s="384">
        <f t="shared" si="60"/>
        <v>45.064507963884282</v>
      </c>
      <c r="AB147" s="197">
        <f t="shared" si="61"/>
        <v>44694</v>
      </c>
      <c r="AC147" s="119">
        <f>IF(OR(t&lt;Tnet,NoTnet),'2021'!Resal_s+('2021'!Salim-'2021'!Resal_s)*(1-EXP(('2021'!Tnet_s-t)/'2021'!Tau_j)),Resal_s+(Salim-Resal_s)*(1-EXP((Tnet_s-t)/Tau_j)))*Salcycl</f>
        <v>0.1174803272883332</v>
      </c>
      <c r="AD147" s="230">
        <f>(INDEX(Models!$BJ147:$BT147,,AH147)*(1-AF147)+INDEX(Models!$BJ147:$BT147,,AH147+1)*AF147-ERP_i)*AE147*Ramure*Pc/MaxiM</f>
        <v>1.2782005825439509E-20</v>
      </c>
      <c r="AE147" s="304">
        <f t="shared" si="62"/>
        <v>0.6</v>
      </c>
      <c r="AF147" s="177">
        <f t="shared" si="63"/>
        <v>0.11880525287218373</v>
      </c>
      <c r="AG147" s="799">
        <f t="shared" si="71"/>
        <v>0</v>
      </c>
      <c r="AH147" s="176">
        <f t="shared" si="64"/>
        <v>6</v>
      </c>
      <c r="AI147" s="224">
        <f t="shared" si="65"/>
        <v>0.11880525287218373</v>
      </c>
      <c r="AJ147" s="264" t="b">
        <f t="shared" si="66"/>
        <v>0</v>
      </c>
      <c r="AK147" s="264" t="b">
        <f t="shared" si="67"/>
        <v>0</v>
      </c>
      <c r="AL147" s="264"/>
      <c r="AM147" s="264"/>
      <c r="AN147" s="75"/>
    </row>
    <row r="148" spans="1:40" s="6" customFormat="1" ht="11.25" x14ac:dyDescent="0.2">
      <c r="A148" s="56">
        <f t="shared" si="68"/>
        <v>44695</v>
      </c>
      <c r="B148" s="607">
        <v>54.076000000000001</v>
      </c>
      <c r="C148" s="388"/>
      <c r="D148" s="391">
        <f t="shared" si="48"/>
        <v>55.332987305762202</v>
      </c>
      <c r="E148" s="383">
        <f t="shared" si="69"/>
        <v>55.902418915565725</v>
      </c>
      <c r="F148" s="383">
        <f t="shared" si="49"/>
        <v>55.902418915565725</v>
      </c>
      <c r="G148" s="110">
        <f t="shared" si="70"/>
        <v>0.88677694978913091</v>
      </c>
      <c r="H148" s="412" t="b">
        <f>Wh_hp&gt;='2021'!Maxi_hp</f>
        <v>0</v>
      </c>
      <c r="I148" s="379">
        <f>IF(H148,Wh_hp,'2021'!Maxi_hp)</f>
        <v>63.419199758926844</v>
      </c>
      <c r="J148" s="85">
        <f>IF(H148,An,'2021'!An_max)</f>
        <v>2018</v>
      </c>
      <c r="K148" s="197">
        <f t="shared" si="50"/>
        <v>44695</v>
      </c>
      <c r="L148" s="147">
        <f>IF(t&lt;Tvie,1-EXP((T0-t)*PertePVj)+'2021'!Pspv,1-EXP((T0-t)*PertePVj)+Pspv)</f>
        <v>2.2716780115562329E-2</v>
      </c>
      <c r="M148" s="832"/>
      <c r="N148" s="832"/>
      <c r="O148" s="48">
        <f>IF(t&lt;Tnet,'2021'!Resal+('2021'!Salim-'2021'!Resal)*(1-EXP(('2021'!Tnet-t)/('2021'!Tau_j))),Resal+(Salim-Resal)*(1-EXP((Tnet-t)/(Tau_j))))*Salcycl</f>
        <v>1.0186171204211884E-2</v>
      </c>
      <c r="P148" s="169">
        <f>(INDEX(Models!$BJ148:$BT148,,T148)*(1-R148)+INDEX(Models!$BJ148:$BT148,,T148+1)*R148-ERP_i)*Q148*Ramure*Pc/MaxiM</f>
        <v>0</v>
      </c>
      <c r="Q148" s="304">
        <f t="shared" si="51"/>
        <v>0.6</v>
      </c>
      <c r="R148" s="177">
        <f t="shared" si="52"/>
        <v>0.12260354443778609</v>
      </c>
      <c r="S148" s="799">
        <f t="shared" si="53"/>
        <v>0</v>
      </c>
      <c r="T148" s="176">
        <f t="shared" si="54"/>
        <v>6</v>
      </c>
      <c r="U148" s="250">
        <f t="shared" si="55"/>
        <v>0.12260354443778609</v>
      </c>
      <c r="V148" s="382">
        <f t="shared" si="56"/>
        <v>60.980385217341151</v>
      </c>
      <c r="W148" s="400"/>
      <c r="X148" s="157">
        <f t="shared" si="57"/>
        <v>44695</v>
      </c>
      <c r="Y148" s="383">
        <f t="shared" si="58"/>
        <v>48.21081873328415</v>
      </c>
      <c r="Z148" s="383">
        <f t="shared" si="59"/>
        <v>49.331470910740705</v>
      </c>
      <c r="AA148" s="384">
        <f t="shared" si="60"/>
        <v>55.902418915565725</v>
      </c>
      <c r="AB148" s="197">
        <f t="shared" si="61"/>
        <v>44695</v>
      </c>
      <c r="AC148" s="119">
        <f>IF(OR(t&lt;Tnet,NoTnet),'2021'!Resal_s+('2021'!Salim-'2021'!Resal_s)*(1-EXP(('2021'!Tnet_s-t)/'2021'!Tau_j)),Resal_s+(Salim-Resal_s)*(1-EXP((Tnet_s-t)/Tau_j)))*Salcycl</f>
        <v>0.11754317849375517</v>
      </c>
      <c r="AD148" s="230">
        <f>(INDEX(Models!$BJ148:$BT148,,AH148)*(1-AF148)+INDEX(Models!$BJ148:$BT148,,AH148+1)*AF148-ERP_i)*AE148*Ramure*Pc/MaxiM</f>
        <v>0</v>
      </c>
      <c r="AE148" s="304">
        <f t="shared" si="62"/>
        <v>0.6</v>
      </c>
      <c r="AF148" s="177">
        <f t="shared" si="63"/>
        <v>0.12260354443778609</v>
      </c>
      <c r="AG148" s="799">
        <f t="shared" si="71"/>
        <v>0</v>
      </c>
      <c r="AH148" s="176">
        <f t="shared" si="64"/>
        <v>6</v>
      </c>
      <c r="AI148" s="224">
        <f t="shared" si="65"/>
        <v>0.12260354443778609</v>
      </c>
      <c r="AJ148" s="264" t="b">
        <f t="shared" si="66"/>
        <v>0</v>
      </c>
      <c r="AK148" s="264" t="b">
        <f t="shared" si="67"/>
        <v>0</v>
      </c>
      <c r="AL148" s="264"/>
      <c r="AM148" s="264"/>
      <c r="AN148" s="75"/>
    </row>
    <row r="149" spans="1:40" s="6" customFormat="1" ht="11.25" x14ac:dyDescent="0.2">
      <c r="A149" s="56">
        <f t="shared" si="68"/>
        <v>44696</v>
      </c>
      <c r="B149" s="607">
        <v>56.402000000000001</v>
      </c>
      <c r="C149" s="388"/>
      <c r="D149" s="391">
        <f t="shared" si="48"/>
        <v>57.71416085384994</v>
      </c>
      <c r="E149" s="383">
        <f t="shared" si="69"/>
        <v>58.313433366010017</v>
      </c>
      <c r="F149" s="383">
        <f t="shared" si="49"/>
        <v>58.313433366010017</v>
      </c>
      <c r="G149" s="110">
        <f t="shared" si="70"/>
        <v>0.92463548941580365</v>
      </c>
      <c r="H149" s="412" t="b">
        <f>Wh_hp&gt;='2021'!Maxi_hp</f>
        <v>0</v>
      </c>
      <c r="I149" s="379">
        <f>IF(H149,Wh_hp,'2021'!Maxi_hp)</f>
        <v>63.720230232595142</v>
      </c>
      <c r="J149" s="85">
        <f>IF(H149,An,'2021'!An_max)</f>
        <v>2018</v>
      </c>
      <c r="K149" s="197">
        <f t="shared" si="50"/>
        <v>44696</v>
      </c>
      <c r="L149" s="147">
        <f>IF(t&lt;Tvie,1-EXP((T0-t)*PertePVj)+'2021'!Pspv,1-EXP((T0-t)*PertePVj)+Pspv)</f>
        <v>2.2735509525517283E-2</v>
      </c>
      <c r="M149" s="832"/>
      <c r="N149" s="832"/>
      <c r="O149" s="48">
        <f>IF(t&lt;Tnet,'2021'!Resal+('2021'!Salim-'2021'!Resal)*(1-EXP(('2021'!Tnet-t)/('2021'!Tau_j))),Resal+(Salim-Resal)*(1-EXP((Tnet-t)/(Tau_j))))*Salcycl</f>
        <v>1.0276748899326265E-2</v>
      </c>
      <c r="P149" s="169">
        <f>(INDEX(Models!$BJ149:$BT149,,T149)*(1-R149)+INDEX(Models!$BJ149:$BT149,,T149+1)*R149-ERP_i)*Q149*Ramure*Pc/MaxiM</f>
        <v>0</v>
      </c>
      <c r="Q149" s="304">
        <f t="shared" si="51"/>
        <v>0.6</v>
      </c>
      <c r="R149" s="177">
        <f t="shared" si="52"/>
        <v>0.12648133615282572</v>
      </c>
      <c r="S149" s="799">
        <f t="shared" si="53"/>
        <v>0</v>
      </c>
      <c r="T149" s="176">
        <f t="shared" si="54"/>
        <v>6</v>
      </c>
      <c r="U149" s="250">
        <f t="shared" si="55"/>
        <v>0.12648133615282572</v>
      </c>
      <c r="V149" s="382">
        <f t="shared" si="56"/>
        <v>60.999172804448044</v>
      </c>
      <c r="W149" s="400"/>
      <c r="X149" s="157">
        <f t="shared" si="57"/>
        <v>44696</v>
      </c>
      <c r="Y149" s="383">
        <f t="shared" si="58"/>
        <v>50.285503567435171</v>
      </c>
      <c r="Z149" s="383">
        <f t="shared" si="59"/>
        <v>51.455367566891219</v>
      </c>
      <c r="AA149" s="384">
        <f t="shared" si="60"/>
        <v>58.313433366010017</v>
      </c>
      <c r="AB149" s="197">
        <f t="shared" si="61"/>
        <v>44696</v>
      </c>
      <c r="AC149" s="119">
        <f>IF(OR(t&lt;Tnet,NoTnet),'2021'!Resal_s+('2021'!Salim-'2021'!Resal_s)*(1-EXP(('2021'!Tnet_s-t)/'2021'!Tau_j)),Resal_s+(Salim-Resal_s)*(1-EXP((Tnet_s-t)/Tau_j)))*Salcycl</f>
        <v>0.11760696298009873</v>
      </c>
      <c r="AD149" s="230">
        <f>(INDEX(Models!$BJ149:$BT149,,AH149)*(1-AF149)+INDEX(Models!$BJ149:$BT149,,AH149+1)*AF149-ERP_i)*AE149*Ramure*Pc/MaxiM</f>
        <v>0</v>
      </c>
      <c r="AE149" s="304">
        <f t="shared" si="62"/>
        <v>0.6</v>
      </c>
      <c r="AF149" s="177">
        <f t="shared" si="63"/>
        <v>0.12648133615282572</v>
      </c>
      <c r="AG149" s="799">
        <f t="shared" si="71"/>
        <v>0</v>
      </c>
      <c r="AH149" s="176">
        <f t="shared" si="64"/>
        <v>6</v>
      </c>
      <c r="AI149" s="224">
        <f t="shared" si="65"/>
        <v>0.12648133615282572</v>
      </c>
      <c r="AJ149" s="264" t="b">
        <f t="shared" si="66"/>
        <v>0</v>
      </c>
      <c r="AK149" s="264" t="b">
        <f t="shared" si="67"/>
        <v>0</v>
      </c>
      <c r="AL149" s="264"/>
      <c r="AM149" s="264"/>
      <c r="AN149" s="75"/>
    </row>
    <row r="150" spans="1:40" s="6" customFormat="1" ht="11.25" x14ac:dyDescent="0.2">
      <c r="A150" s="56">
        <f t="shared" si="68"/>
        <v>44697</v>
      </c>
      <c r="B150" s="607">
        <v>53.936999999999998</v>
      </c>
      <c r="C150" s="388"/>
      <c r="D150" s="391">
        <f t="shared" si="48"/>
        <v>55.192871772024326</v>
      </c>
      <c r="E150" s="383">
        <f t="shared" si="69"/>
        <v>55.771074903976235</v>
      </c>
      <c r="F150" s="383">
        <f t="shared" si="49"/>
        <v>55.771074903976235</v>
      </c>
      <c r="G150" s="110">
        <f t="shared" si="70"/>
        <v>0.88400080795457237</v>
      </c>
      <c r="H150" s="412" t="b">
        <f>Wh_hp&gt;='2021'!Maxi_hp</f>
        <v>0</v>
      </c>
      <c r="I150" s="379">
        <f>IF(H150,Wh_hp,'2021'!Maxi_hp)</f>
        <v>57.127425816284799</v>
      </c>
      <c r="J150" s="85">
        <f>IF(H150,An,'2021'!An_max)</f>
        <v>2018</v>
      </c>
      <c r="K150" s="197">
        <f t="shared" si="50"/>
        <v>44697</v>
      </c>
      <c r="L150" s="147">
        <f>IF(t&lt;Tvie,1-EXP((T0-t)*PertePVj)+'2021'!Pspv,1-EXP((T0-t)*PertePVj)+Pspv)</f>
        <v>2.2754238576527475E-2</v>
      </c>
      <c r="M150" s="832"/>
      <c r="N150" s="832"/>
      <c r="O150" s="48">
        <f>IF(t&lt;Tnet,'2021'!Resal+('2021'!Salim-'2021'!Resal)*(1-EXP(('2021'!Tnet-t)/('2021'!Tau_j))),Resal+(Salim-Resal)*(1-EXP((Tnet-t)/(Tau_j))))*Salcycl</f>
        <v>1.0367437474487141E-2</v>
      </c>
      <c r="P150" s="169">
        <f>(INDEX(Models!$BJ150:$BT150,,T150)*(1-R150)+INDEX(Models!$BJ150:$BT150,,T150+1)*R150-ERP_i)*Q150*Ramure*Pc/MaxiM</f>
        <v>0</v>
      </c>
      <c r="Q150" s="304">
        <f t="shared" si="51"/>
        <v>0.6</v>
      </c>
      <c r="R150" s="177">
        <f t="shared" si="52"/>
        <v>0.13043777361395184</v>
      </c>
      <c r="S150" s="799">
        <f t="shared" si="53"/>
        <v>0</v>
      </c>
      <c r="T150" s="176">
        <f t="shared" si="54"/>
        <v>6</v>
      </c>
      <c r="U150" s="250">
        <f t="shared" si="55"/>
        <v>0.13043777361395184</v>
      </c>
      <c r="V150" s="382">
        <f t="shared" si="56"/>
        <v>61.014650116441686</v>
      </c>
      <c r="W150" s="400"/>
      <c r="X150" s="157">
        <f t="shared" si="57"/>
        <v>44697</v>
      </c>
      <c r="Y150" s="383">
        <f t="shared" si="58"/>
        <v>48.088703167580263</v>
      </c>
      <c r="Z150" s="383">
        <f t="shared" si="59"/>
        <v>49.208402907302919</v>
      </c>
      <c r="AA150" s="384">
        <f t="shared" si="60"/>
        <v>55.771074903976235</v>
      </c>
      <c r="AB150" s="197">
        <f t="shared" si="61"/>
        <v>44697</v>
      </c>
      <c r="AC150" s="119">
        <f>IF(OR(t&lt;Tnet,NoTnet),'2021'!Resal_s+('2021'!Salim-'2021'!Resal_s)*(1-EXP(('2021'!Tnet_s-t)/'2021'!Tau_j)),Resal_s+(Salim-Resal_s)*(1-EXP((Tnet_s-t)/Tau_j)))*Salcycl</f>
        <v>0.11767160679568363</v>
      </c>
      <c r="AD150" s="230">
        <f>(INDEX(Models!$BJ150:$BT150,,AH150)*(1-AF150)+INDEX(Models!$BJ150:$BT150,,AH150+1)*AF150-ERP_i)*AE150*Ramure*Pc/MaxiM</f>
        <v>0</v>
      </c>
      <c r="AE150" s="304">
        <f t="shared" si="62"/>
        <v>0.6</v>
      </c>
      <c r="AF150" s="177">
        <f t="shared" si="63"/>
        <v>0.13043777361395184</v>
      </c>
      <c r="AG150" s="799">
        <f t="shared" si="71"/>
        <v>0</v>
      </c>
      <c r="AH150" s="176">
        <f t="shared" si="64"/>
        <v>6</v>
      </c>
      <c r="AI150" s="224">
        <f t="shared" si="65"/>
        <v>0.13043777361395184</v>
      </c>
      <c r="AJ150" s="264" t="b">
        <f t="shared" si="66"/>
        <v>0</v>
      </c>
      <c r="AK150" s="264" t="b">
        <f t="shared" si="67"/>
        <v>0</v>
      </c>
      <c r="AL150" s="264"/>
      <c r="AM150" s="264"/>
      <c r="AN150" s="75"/>
    </row>
    <row r="151" spans="1:40" s="6" customFormat="1" ht="11.25" x14ac:dyDescent="0.2">
      <c r="A151" s="56">
        <f t="shared" si="68"/>
        <v>44698</v>
      </c>
      <c r="B151" s="607">
        <v>57.253999999999998</v>
      </c>
      <c r="C151" s="388"/>
      <c r="D151" s="391">
        <f t="shared" si="48"/>
        <v>58.58822779387517</v>
      </c>
      <c r="E151" s="383">
        <f t="shared" si="69"/>
        <v>59.207432853837069</v>
      </c>
      <c r="F151" s="383">
        <f t="shared" si="49"/>
        <v>59.207432853837069</v>
      </c>
      <c r="G151" s="110">
        <f t="shared" si="70"/>
        <v>0.93817609463648943</v>
      </c>
      <c r="H151" s="412" t="b">
        <f>Wh_hp&gt;='2021'!Maxi_hp</f>
        <v>1</v>
      </c>
      <c r="I151" s="379">
        <f>IF(H151,Wh_hp,'2021'!Maxi_hp)</f>
        <v>59.207432853837069</v>
      </c>
      <c r="J151" s="85">
        <f>IF(H151,An,'2021'!An_max)</f>
        <v>2022</v>
      </c>
      <c r="K151" s="197">
        <f t="shared" si="50"/>
        <v>44698</v>
      </c>
      <c r="L151" s="147">
        <f>IF(t&lt;Tvie,1-EXP((T0-t)*PertePVj)+'2021'!Pspv,1-EXP((T0-t)*PertePVj)+Pspv)</f>
        <v>2.2772967268599564E-2</v>
      </c>
      <c r="M151" s="832"/>
      <c r="N151" s="832"/>
      <c r="O151" s="48">
        <f>IF(t&lt;Tnet,'2021'!Resal+('2021'!Salim-'2021'!Resal)*(1-EXP(('2021'!Tnet-t)/('2021'!Tau_j))),Resal+(Salim-Resal)*(1-EXP((Tnet-t)/(Tau_j))))*Salcycl</f>
        <v>1.045823184887122E-2</v>
      </c>
      <c r="P151" s="169">
        <f>(INDEX(Models!$BJ151:$BT151,,T151)*(1-R151)+INDEX(Models!$BJ151:$BT151,,T151+1)*R151-ERP_i)*Q151*Ramure*Pc/MaxiM</f>
        <v>0</v>
      </c>
      <c r="Q151" s="304">
        <f t="shared" si="51"/>
        <v>0.6</v>
      </c>
      <c r="R151" s="177">
        <f t="shared" si="52"/>
        <v>0.13447183197392565</v>
      </c>
      <c r="S151" s="799">
        <f t="shared" si="53"/>
        <v>0</v>
      </c>
      <c r="T151" s="176">
        <f t="shared" si="54"/>
        <v>6</v>
      </c>
      <c r="U151" s="250">
        <f t="shared" si="55"/>
        <v>0.13447183197392565</v>
      </c>
      <c r="V151" s="382">
        <f t="shared" si="56"/>
        <v>61.026922693211375</v>
      </c>
      <c r="W151" s="400"/>
      <c r="X151" s="157">
        <f t="shared" si="57"/>
        <v>44698</v>
      </c>
      <c r="Y151" s="383">
        <f t="shared" si="58"/>
        <v>51.046944719802553</v>
      </c>
      <c r="Z151" s="383">
        <f t="shared" si="59"/>
        <v>52.236525403031152</v>
      </c>
      <c r="AA151" s="384">
        <f t="shared" si="60"/>
        <v>59.207432853837069</v>
      </c>
      <c r="AB151" s="197">
        <f t="shared" si="61"/>
        <v>44698</v>
      </c>
      <c r="AC151" s="119">
        <f>IF(OR(t&lt;Tnet,NoTnet),'2021'!Resal_s+('2021'!Salim-'2021'!Resal_s)*(1-EXP(('2021'!Tnet_s-t)/'2021'!Tau_j)),Resal_s+(Salim-Resal_s)*(1-EXP((Tnet_s-t)/Tau_j)))*Salcycl</f>
        <v>0.11773703257857353</v>
      </c>
      <c r="AD151" s="230">
        <f>(INDEX(Models!$BJ151:$BT151,,AH151)*(1-AF151)+INDEX(Models!$BJ151:$BT151,,AH151+1)*AF151-ERP_i)*AE151*Ramure*Pc/MaxiM</f>
        <v>0</v>
      </c>
      <c r="AE151" s="304">
        <f t="shared" si="62"/>
        <v>0.6</v>
      </c>
      <c r="AF151" s="177">
        <f t="shared" si="63"/>
        <v>0.13447183197392565</v>
      </c>
      <c r="AG151" s="799">
        <f t="shared" si="71"/>
        <v>0</v>
      </c>
      <c r="AH151" s="176">
        <f t="shared" si="64"/>
        <v>6</v>
      </c>
      <c r="AI151" s="224">
        <f t="shared" si="65"/>
        <v>0.13447183197392565</v>
      </c>
      <c r="AJ151" s="264" t="b">
        <f t="shared" si="66"/>
        <v>0</v>
      </c>
      <c r="AK151" s="264" t="b">
        <f t="shared" si="67"/>
        <v>0</v>
      </c>
      <c r="AL151" s="264"/>
      <c r="AM151" s="264"/>
      <c r="AN151" s="75"/>
    </row>
    <row r="152" spans="1:40" s="6" customFormat="1" ht="11.25" x14ac:dyDescent="0.2">
      <c r="A152" s="56">
        <f t="shared" si="68"/>
        <v>44699</v>
      </c>
      <c r="B152" s="607">
        <v>54.255000000000003</v>
      </c>
      <c r="C152" s="388"/>
      <c r="D152" s="391">
        <f t="shared" si="48"/>
        <v>55.520404151097431</v>
      </c>
      <c r="E152" s="383">
        <f t="shared" si="69"/>
        <v>56.112340323067961</v>
      </c>
      <c r="F152" s="383">
        <f t="shared" si="49"/>
        <v>56.112340323067961</v>
      </c>
      <c r="G152" s="110">
        <f t="shared" si="70"/>
        <v>0.88890023282259123</v>
      </c>
      <c r="H152" s="412" t="b">
        <f>Wh_hp&gt;='2021'!Maxi_hp</f>
        <v>0</v>
      </c>
      <c r="I152" s="379">
        <f>IF(H152,Wh_hp,'2021'!Maxi_hp)</f>
        <v>64.598562640471044</v>
      </c>
      <c r="J152" s="85">
        <f>IF(H152,An,'2021'!An_max)</f>
        <v>2020</v>
      </c>
      <c r="K152" s="197">
        <f t="shared" si="50"/>
        <v>44699</v>
      </c>
      <c r="L152" s="147">
        <f>IF(t&lt;Tvie,1-EXP((T0-t)*PertePVj)+'2021'!Pspv,1-EXP((T0-t)*PertePVj)+Pspv)</f>
        <v>2.2791695601740547E-2</v>
      </c>
      <c r="M152" s="832"/>
      <c r="N152" s="832"/>
      <c r="O152" s="48">
        <f>IF(t&lt;Tnet,'2021'!Resal+('2021'!Salim-'2021'!Resal)*(1-EXP(('2021'!Tnet-t)/('2021'!Tau_j))),Resal+(Salim-Resal)*(1-EXP((Tnet-t)/(Tau_j))))*Salcycl</f>
        <v>1.0549126423215403E-2</v>
      </c>
      <c r="P152" s="169">
        <f>(INDEX(Models!$BJ152:$BT152,,T152)*(1-R152)+INDEX(Models!$BJ152:$BT152,,T152+1)*R152-ERP_i)*Q152*Ramure*Pc/MaxiM</f>
        <v>1.3392794902799644E-20</v>
      </c>
      <c r="Q152" s="304">
        <f t="shared" si="51"/>
        <v>0.6</v>
      </c>
      <c r="R152" s="177">
        <f t="shared" si="52"/>
        <v>0.13858231219788275</v>
      </c>
      <c r="S152" s="799">
        <f t="shared" si="53"/>
        <v>0</v>
      </c>
      <c r="T152" s="176">
        <f t="shared" si="54"/>
        <v>6</v>
      </c>
      <c r="U152" s="250">
        <f t="shared" si="55"/>
        <v>0.13858231219788275</v>
      </c>
      <c r="V152" s="382">
        <f t="shared" si="56"/>
        <v>61.036096061894433</v>
      </c>
      <c r="W152" s="400"/>
      <c r="X152" s="157">
        <f t="shared" si="57"/>
        <v>44699</v>
      </c>
      <c r="Y152" s="383">
        <f t="shared" si="58"/>
        <v>48.373891871491402</v>
      </c>
      <c r="Z152" s="383">
        <f t="shared" si="59"/>
        <v>49.502129334931141</v>
      </c>
      <c r="AA152" s="384">
        <f t="shared" si="60"/>
        <v>56.112340323067961</v>
      </c>
      <c r="AB152" s="197">
        <f t="shared" si="61"/>
        <v>44699</v>
      </c>
      <c r="AC152" s="119">
        <f>IF(OR(t&lt;Tnet,NoTnet),'2021'!Resal_s+('2021'!Salim-'2021'!Resal_s)*(1-EXP(('2021'!Tnet_s-t)/'2021'!Tau_j)),Resal_s+(Salim-Resal_s)*(1-EXP((Tnet_s-t)/Tau_j)))*Salcycl</f>
        <v>0.11780315969853326</v>
      </c>
      <c r="AD152" s="230">
        <f>(INDEX(Models!$BJ152:$BT152,,AH152)*(1-AF152)+INDEX(Models!$BJ152:$BT152,,AH152+1)*AF152-ERP_i)*AE152*Ramure*Pc/MaxiM</f>
        <v>1.3392794902799644E-20</v>
      </c>
      <c r="AE152" s="304">
        <f t="shared" si="62"/>
        <v>0.6</v>
      </c>
      <c r="AF152" s="177">
        <f t="shared" si="63"/>
        <v>0.13858231219788275</v>
      </c>
      <c r="AG152" s="799">
        <f t="shared" si="71"/>
        <v>0</v>
      </c>
      <c r="AH152" s="176">
        <f t="shared" si="64"/>
        <v>6</v>
      </c>
      <c r="AI152" s="224">
        <f t="shared" si="65"/>
        <v>0.13858231219788275</v>
      </c>
      <c r="AJ152" s="264" t="b">
        <f t="shared" si="66"/>
        <v>0</v>
      </c>
      <c r="AK152" s="264" t="b">
        <f t="shared" si="67"/>
        <v>0</v>
      </c>
      <c r="AL152" s="264"/>
      <c r="AM152" s="264"/>
      <c r="AN152" s="75"/>
    </row>
    <row r="153" spans="1:40" s="6" customFormat="1" ht="11.25" x14ac:dyDescent="0.2">
      <c r="A153" s="56">
        <f t="shared" si="68"/>
        <v>44700</v>
      </c>
      <c r="B153" s="607">
        <v>57.826000000000001</v>
      </c>
      <c r="C153" s="388"/>
      <c r="D153" s="391">
        <f t="shared" si="48"/>
        <v>59.17582564849927</v>
      </c>
      <c r="E153" s="383">
        <f t="shared" si="69"/>
        <v>59.81223470918551</v>
      </c>
      <c r="F153" s="383">
        <f t="shared" si="49"/>
        <v>59.81223470918551</v>
      </c>
      <c r="G153" s="110">
        <f t="shared" si="70"/>
        <v>0.94731068427701792</v>
      </c>
      <c r="H153" s="412" t="b">
        <f>Wh_hp&gt;='2021'!Maxi_hp</f>
        <v>0</v>
      </c>
      <c r="I153" s="379">
        <f>IF(H153,Wh_hp,'2021'!Maxi_hp)</f>
        <v>63.301181056084516</v>
      </c>
      <c r="J153" s="85">
        <f>IF(H153,An,'2021'!An_max)</f>
        <v>2020</v>
      </c>
      <c r="K153" s="197">
        <f t="shared" si="50"/>
        <v>44700</v>
      </c>
      <c r="L153" s="147">
        <f>IF(t&lt;Tvie,1-EXP((T0-t)*PertePVj)+'2021'!Pspv,1-EXP((T0-t)*PertePVj)+Pspv)</f>
        <v>2.2810423575957306E-2</v>
      </c>
      <c r="M153" s="832"/>
      <c r="N153" s="832"/>
      <c r="O153" s="48">
        <f>IF(t&lt;Tnet,'2021'!Resal+('2021'!Salim-'2021'!Resal)*(1-EXP(('2021'!Tnet-t)/('2021'!Tau_j))),Resal+(Salim-Resal)*(1-EXP((Tnet-t)/(Tau_j))))*Salcycl</f>
        <v>1.0640115083152102E-2</v>
      </c>
      <c r="P153" s="169">
        <f>(INDEX(Models!$BJ153:$BT153,,T153)*(1-R153)+INDEX(Models!$BJ153:$BT153,,T153+1)*R153-ERP_i)*Q153*Ramure*Pc/MaxiM</f>
        <v>0</v>
      </c>
      <c r="Q153" s="304">
        <f t="shared" si="51"/>
        <v>0.6</v>
      </c>
      <c r="R153" s="177">
        <f t="shared" si="52"/>
        <v>0.14276783796517922</v>
      </c>
      <c r="S153" s="799">
        <f t="shared" si="53"/>
        <v>0</v>
      </c>
      <c r="T153" s="176">
        <f t="shared" si="54"/>
        <v>6</v>
      </c>
      <c r="U153" s="250">
        <f t="shared" si="55"/>
        <v>0.14276783796517922</v>
      </c>
      <c r="V153" s="382">
        <f t="shared" si="56"/>
        <v>61.042275738853803</v>
      </c>
      <c r="W153" s="400"/>
      <c r="X153" s="157">
        <f t="shared" si="57"/>
        <v>44700</v>
      </c>
      <c r="Y153" s="383">
        <f t="shared" si="58"/>
        <v>51.558644821418881</v>
      </c>
      <c r="Z153" s="383">
        <f t="shared" si="59"/>
        <v>52.762172320845004</v>
      </c>
      <c r="AA153" s="384">
        <f t="shared" si="60"/>
        <v>59.81223470918551</v>
      </c>
      <c r="AB153" s="197">
        <f t="shared" si="61"/>
        <v>44700</v>
      </c>
      <c r="AC153" s="119">
        <f>IF(OR(t&lt;Tnet,NoTnet),'2021'!Resal_s+('2021'!Salim-'2021'!Resal_s)*(1-EXP(('2021'!Tnet_s-t)/'2021'!Tau_j)),Resal_s+(Salim-Resal_s)*(1-EXP((Tnet_s-t)/Tau_j)))*Salcycl</f>
        <v>0.11786990442037132</v>
      </c>
      <c r="AD153" s="230">
        <f>(INDEX(Models!$BJ153:$BT153,,AH153)*(1-AF153)+INDEX(Models!$BJ153:$BT153,,AH153+1)*AF153-ERP_i)*AE153*Ramure*Pc/MaxiM</f>
        <v>0</v>
      </c>
      <c r="AE153" s="304">
        <f t="shared" si="62"/>
        <v>0.6</v>
      </c>
      <c r="AF153" s="177">
        <f t="shared" si="63"/>
        <v>0.14276783796517922</v>
      </c>
      <c r="AG153" s="799">
        <f t="shared" si="71"/>
        <v>0</v>
      </c>
      <c r="AH153" s="176">
        <f t="shared" si="64"/>
        <v>6</v>
      </c>
      <c r="AI153" s="224">
        <f t="shared" si="65"/>
        <v>0.14276783796517922</v>
      </c>
      <c r="AJ153" s="264" t="b">
        <f t="shared" si="66"/>
        <v>0</v>
      </c>
      <c r="AK153" s="264" t="b">
        <f t="shared" si="67"/>
        <v>0</v>
      </c>
      <c r="AL153" s="264"/>
      <c r="AM153" s="264"/>
      <c r="AN153" s="75"/>
    </row>
    <row r="154" spans="1:40" s="6" customFormat="1" ht="11.25" x14ac:dyDescent="0.2">
      <c r="A154" s="56">
        <f t="shared" si="68"/>
        <v>44701</v>
      </c>
      <c r="B154" s="607">
        <v>52.609000000000002</v>
      </c>
      <c r="C154" s="388"/>
      <c r="D154" s="391">
        <f t="shared" si="48"/>
        <v>53.838077613689528</v>
      </c>
      <c r="E154" s="383">
        <f t="shared" si="69"/>
        <v>54.422091483183401</v>
      </c>
      <c r="F154" s="383">
        <f t="shared" si="49"/>
        <v>54.422091483183401</v>
      </c>
      <c r="G154" s="110">
        <f t="shared" si="70"/>
        <v>0.86179885603103057</v>
      </c>
      <c r="H154" s="412" t="b">
        <f>Wh_hp&gt;='2021'!Maxi_hp</f>
        <v>0</v>
      </c>
      <c r="I154" s="379">
        <f>IF(H154,Wh_hp,'2021'!Maxi_hp)</f>
        <v>62.450618114879568</v>
      </c>
      <c r="J154" s="85">
        <f>IF(H154,An,'2021'!An_max)</f>
        <v>2020</v>
      </c>
      <c r="K154" s="197">
        <f t="shared" si="50"/>
        <v>44701</v>
      </c>
      <c r="L154" s="147">
        <f>IF(t&lt;Tvie,1-EXP((T0-t)*PertePVj)+'2021'!Pspv,1-EXP((T0-t)*PertePVj)+Pspv)</f>
        <v>2.2829151191256614E-2</v>
      </c>
      <c r="M154" s="832"/>
      <c r="N154" s="832"/>
      <c r="O154" s="48">
        <f>IF(t&lt;Tnet,'2021'!Resal+('2021'!Salim-'2021'!Resal)*(1-EXP(('2021'!Tnet-t)/('2021'!Tau_j))),Resal+(Salim-Resal)*(1-EXP((Tnet-t)/(Tau_j))))*Salcycl</f>
        <v>1.0731191205217344E-2</v>
      </c>
      <c r="P154" s="169">
        <f>(INDEX(Models!$BJ154:$BT154,,T154)*(1-R154)+INDEX(Models!$BJ154:$BT154,,T154+1)*R154-ERP_i)*Q154*Ramure*Pc/MaxiM</f>
        <v>0</v>
      </c>
      <c r="Q154" s="304">
        <f t="shared" si="51"/>
        <v>0.6</v>
      </c>
      <c r="R154" s="177">
        <f t="shared" si="52"/>
        <v>0.1470268532728399</v>
      </c>
      <c r="S154" s="799">
        <f t="shared" si="53"/>
        <v>0</v>
      </c>
      <c r="T154" s="176">
        <f t="shared" si="54"/>
        <v>6</v>
      </c>
      <c r="U154" s="250">
        <f t="shared" si="55"/>
        <v>0.1470268532728399</v>
      </c>
      <c r="V154" s="382">
        <f t="shared" si="56"/>
        <v>61.045567224686266</v>
      </c>
      <c r="W154" s="400"/>
      <c r="X154" s="157">
        <f t="shared" si="57"/>
        <v>44701</v>
      </c>
      <c r="Y154" s="383">
        <f t="shared" si="58"/>
        <v>46.907819674665731</v>
      </c>
      <c r="Z154" s="383">
        <f t="shared" si="59"/>
        <v>48.003703479131069</v>
      </c>
      <c r="AA154" s="384">
        <f t="shared" si="60"/>
        <v>54.422091483183401</v>
      </c>
      <c r="AB154" s="197">
        <f t="shared" si="61"/>
        <v>44701</v>
      </c>
      <c r="AC154" s="119">
        <f>IF(OR(t&lt;Tnet,NoTnet),'2021'!Resal_s+('2021'!Salim-'2021'!Resal_s)*(1-EXP(('2021'!Tnet_s-t)/'2021'!Tau_j)),Resal_s+(Salim-Resal_s)*(1-EXP((Tnet_s-t)/Tau_j)))*Salcycl</f>
        <v>0.11793718008863427</v>
      </c>
      <c r="AD154" s="230">
        <f>(INDEX(Models!$BJ154:$BT154,,AH154)*(1-AF154)+INDEX(Models!$BJ154:$BT154,,AH154+1)*AF154-ERP_i)*AE154*Ramure*Pc/MaxiM</f>
        <v>0</v>
      </c>
      <c r="AE154" s="304">
        <f t="shared" si="62"/>
        <v>0.6</v>
      </c>
      <c r="AF154" s="177">
        <f t="shared" si="63"/>
        <v>0.1470268532728399</v>
      </c>
      <c r="AG154" s="799">
        <f t="shared" si="71"/>
        <v>0</v>
      </c>
      <c r="AH154" s="176">
        <f t="shared" si="64"/>
        <v>6</v>
      </c>
      <c r="AI154" s="224">
        <f t="shared" si="65"/>
        <v>0.1470268532728399</v>
      </c>
      <c r="AJ154" s="264" t="b">
        <f t="shared" si="66"/>
        <v>0</v>
      </c>
      <c r="AK154" s="264" t="b">
        <f t="shared" si="67"/>
        <v>0</v>
      </c>
      <c r="AL154" s="264"/>
      <c r="AM154" s="264"/>
      <c r="AN154" s="75"/>
    </row>
    <row r="155" spans="1:40" s="6" customFormat="1" ht="11.25" x14ac:dyDescent="0.2">
      <c r="A155" s="56">
        <f t="shared" si="68"/>
        <v>44702</v>
      </c>
      <c r="B155" s="607">
        <v>53.660000000000004</v>
      </c>
      <c r="C155" s="388"/>
      <c r="D155" s="391">
        <f t="shared" si="48"/>
        <v>54.914684025607961</v>
      </c>
      <c r="E155" s="383">
        <f t="shared" si="69"/>
        <v>55.515491980650339</v>
      </c>
      <c r="F155" s="383">
        <f t="shared" si="49"/>
        <v>55.515491980650339</v>
      </c>
      <c r="G155" s="110">
        <f t="shared" si="70"/>
        <v>0.87900817723197366</v>
      </c>
      <c r="H155" s="412" t="b">
        <f>Wh_hp&gt;='2021'!Maxi_hp</f>
        <v>0</v>
      </c>
      <c r="I155" s="379">
        <f>IF(H155,Wh_hp,'2021'!Maxi_hp)</f>
        <v>60.873954388671315</v>
      </c>
      <c r="J155" s="85">
        <f>IF(H155,An,'2021'!An_max)</f>
        <v>2020</v>
      </c>
      <c r="K155" s="197">
        <f t="shared" si="50"/>
        <v>44702</v>
      </c>
      <c r="L155" s="147">
        <f>IF(t&lt;Tvie,1-EXP((T0-t)*PertePVj)+'2021'!Pspv,1-EXP((T0-t)*PertePVj)+Pspv)</f>
        <v>2.2847878447645575E-2</v>
      </c>
      <c r="M155" s="832"/>
      <c r="N155" s="832"/>
      <c r="O155" s="48">
        <f>IF(t&lt;Tnet,'2021'!Resal+('2021'!Salim-'2021'!Resal)*(1-EXP(('2021'!Tnet-t)/('2021'!Tau_j))),Resal+(Salim-Resal)*(1-EXP((Tnet-t)/(Tau_j))))*Salcycl</f>
        <v>1.0822347665617106E-2</v>
      </c>
      <c r="P155" s="169">
        <f>(INDEX(Models!$BJ155:$BT155,,T155)*(1-R155)+INDEX(Models!$BJ155:$BT155,,T155+1)*R155-ERP_i)*Q155*Ramure*Pc/MaxiM</f>
        <v>0</v>
      </c>
      <c r="Q155" s="304">
        <f t="shared" si="51"/>
        <v>0.6</v>
      </c>
      <c r="R155" s="177">
        <f t="shared" si="52"/>
        <v>0.15135762079378276</v>
      </c>
      <c r="S155" s="799">
        <f t="shared" si="53"/>
        <v>0</v>
      </c>
      <c r="T155" s="176">
        <f t="shared" si="54"/>
        <v>6</v>
      </c>
      <c r="U155" s="250">
        <f t="shared" si="55"/>
        <v>0.15135762079378276</v>
      </c>
      <c r="V155" s="382">
        <f t="shared" si="56"/>
        <v>61.046076009187033</v>
      </c>
      <c r="W155" s="400"/>
      <c r="X155" s="157">
        <f t="shared" si="57"/>
        <v>44702</v>
      </c>
      <c r="Y155" s="383">
        <f t="shared" si="58"/>
        <v>47.845659571258949</v>
      </c>
      <c r="Z155" s="383">
        <f t="shared" si="59"/>
        <v>48.964392049058709</v>
      </c>
      <c r="AA155" s="384">
        <f t="shared" si="60"/>
        <v>55.515491980650339</v>
      </c>
      <c r="AB155" s="197">
        <f t="shared" si="61"/>
        <v>44702</v>
      </c>
      <c r="AC155" s="119">
        <f>IF(OR(t&lt;Tnet,NoTnet),'2021'!Resal_s+('2021'!Salim-'2021'!Resal_s)*(1-EXP(('2021'!Tnet_s-t)/'2021'!Tau_j)),Resal_s+(Salim-Resal_s)*(1-EXP((Tnet_s-t)/Tau_j)))*Salcycl</f>
        <v>0.11800489733343238</v>
      </c>
      <c r="AD155" s="230">
        <f>(INDEX(Models!$BJ155:$BT155,,AH155)*(1-AF155)+INDEX(Models!$BJ155:$BT155,,AH155+1)*AF155-ERP_i)*AE155*Ramure*Pc/MaxiM</f>
        <v>0</v>
      </c>
      <c r="AE155" s="304">
        <f t="shared" si="62"/>
        <v>0.6</v>
      </c>
      <c r="AF155" s="177">
        <f t="shared" si="63"/>
        <v>0.15135762079378276</v>
      </c>
      <c r="AG155" s="799">
        <f t="shared" si="71"/>
        <v>0</v>
      </c>
      <c r="AH155" s="176">
        <f t="shared" si="64"/>
        <v>6</v>
      </c>
      <c r="AI155" s="224">
        <f t="shared" si="65"/>
        <v>0.15135762079378276</v>
      </c>
      <c r="AJ155" s="264" t="b">
        <f t="shared" si="66"/>
        <v>0</v>
      </c>
      <c r="AK155" s="264" t="b">
        <f t="shared" si="67"/>
        <v>0</v>
      </c>
      <c r="AL155" s="264"/>
      <c r="AM155" s="264"/>
      <c r="AN155" s="75"/>
    </row>
    <row r="156" spans="1:40" s="18" customFormat="1" ht="11.25" x14ac:dyDescent="0.2">
      <c r="A156" s="56">
        <f t="shared" si="68"/>
        <v>44703</v>
      </c>
      <c r="B156" s="607">
        <v>42.676000000000002</v>
      </c>
      <c r="C156" s="388"/>
      <c r="D156" s="391">
        <f t="shared" si="48"/>
        <v>43.67469194425955</v>
      </c>
      <c r="E156" s="383">
        <f t="shared" si="69"/>
        <v>44.15659837413051</v>
      </c>
      <c r="F156" s="383">
        <f t="shared" si="49"/>
        <v>44.15659837413051</v>
      </c>
      <c r="G156" s="110">
        <f t="shared" si="70"/>
        <v>0.69910334547496078</v>
      </c>
      <c r="H156" s="412" t="b">
        <f>Wh_hp&gt;='2021'!Maxi_hp</f>
        <v>0</v>
      </c>
      <c r="I156" s="379">
        <f>IF(H156,Wh_hp,'2021'!Maxi_hp)</f>
        <v>60.177941095555454</v>
      </c>
      <c r="J156" s="85">
        <f>IF(H156,An,'2021'!An_max)</f>
        <v>2018</v>
      </c>
      <c r="K156" s="197">
        <f t="shared" si="50"/>
        <v>44703</v>
      </c>
      <c r="L156" s="147">
        <f>IF(t&lt;Tvie,1-EXP((T0-t)*PertePVj)+'2021'!Pspv,1-EXP((T0-t)*PertePVj)+Pspv)</f>
        <v>2.2866605345130853E-2</v>
      </c>
      <c r="M156" s="832"/>
      <c r="N156" s="832"/>
      <c r="O156" s="48">
        <f>IF(t&lt;Tnet,'2021'!Resal+('2021'!Salim-'2021'!Resal)*(1-EXP(('2021'!Tnet-t)/('2021'!Tau_j))),Resal+(Salim-Resal)*(1-EXP((Tnet-t)/(Tau_j))))*Salcycl</f>
        <v>1.0913576851818567E-2</v>
      </c>
      <c r="P156" s="169">
        <f>(INDEX(Models!$BJ156:$BT156,,T156)*(1-R156)+INDEX(Models!$BJ156:$BT156,,T156+1)*R156-ERP_i)*Q156*Ramure*Pc/MaxiM</f>
        <v>0</v>
      </c>
      <c r="Q156" s="304">
        <f t="shared" si="51"/>
        <v>0.6</v>
      </c>
      <c r="R156" s="177">
        <f t="shared" si="52"/>
        <v>0.15575822103933834</v>
      </c>
      <c r="S156" s="799">
        <f t="shared" si="53"/>
        <v>0</v>
      </c>
      <c r="T156" s="176">
        <f t="shared" si="54"/>
        <v>6</v>
      </c>
      <c r="U156" s="250">
        <f t="shared" si="55"/>
        <v>0.15575822103933834</v>
      </c>
      <c r="V156" s="382">
        <f t="shared" si="56"/>
        <v>61.043907565635436</v>
      </c>
      <c r="W156" s="400"/>
      <c r="X156" s="157">
        <f t="shared" si="57"/>
        <v>44703</v>
      </c>
      <c r="Y156" s="383">
        <f t="shared" si="58"/>
        <v>38.052406033302987</v>
      </c>
      <c r="Z156" s="383">
        <f t="shared" si="59"/>
        <v>38.942897910825558</v>
      </c>
      <c r="AA156" s="384">
        <f t="shared" si="60"/>
        <v>44.15659837413051</v>
      </c>
      <c r="AB156" s="197">
        <f t="shared" si="61"/>
        <v>44703</v>
      </c>
      <c r="AC156" s="119">
        <f>IF(OR(t&lt;Tnet,NoTnet),'2021'!Resal_s+('2021'!Salim-'2021'!Resal_s)*(1-EXP(('2021'!Tnet_s-t)/'2021'!Tau_j)),Resal_s+(Salim-Resal_s)*(1-EXP((Tnet_s-t)/Tau_j)))*Salcycl</f>
        <v>0.11807296429698354</v>
      </c>
      <c r="AD156" s="230">
        <f>(INDEX(Models!$BJ156:$BT156,,AH156)*(1-AF156)+INDEX(Models!$BJ156:$BT156,,AH156+1)*AF156-ERP_i)*AE156*Ramure*Pc/MaxiM</f>
        <v>0</v>
      </c>
      <c r="AE156" s="304">
        <f t="shared" si="62"/>
        <v>0.6</v>
      </c>
      <c r="AF156" s="177">
        <f t="shared" si="63"/>
        <v>0.15575822103933834</v>
      </c>
      <c r="AG156" s="799">
        <f t="shared" si="71"/>
        <v>0</v>
      </c>
      <c r="AH156" s="176">
        <f t="shared" si="64"/>
        <v>6</v>
      </c>
      <c r="AI156" s="224">
        <f t="shared" si="65"/>
        <v>0.15575822103933834</v>
      </c>
      <c r="AJ156" s="264" t="b">
        <f t="shared" si="66"/>
        <v>0</v>
      </c>
      <c r="AK156" s="264" t="b">
        <f t="shared" si="67"/>
        <v>0</v>
      </c>
      <c r="AL156" s="264"/>
      <c r="AM156" s="264"/>
      <c r="AN156" s="264"/>
    </row>
    <row r="157" spans="1:40" s="18" customFormat="1" ht="11.25" x14ac:dyDescent="0.2">
      <c r="A157" s="56">
        <f t="shared" si="68"/>
        <v>44704</v>
      </c>
      <c r="B157" s="607">
        <v>20.003</v>
      </c>
      <c r="C157" s="388"/>
      <c r="D157" s="391">
        <f t="shared" si="48"/>
        <v>20.471497003071871</v>
      </c>
      <c r="E157" s="383">
        <f t="shared" si="69"/>
        <v>20.699290012768348</v>
      </c>
      <c r="F157" s="383">
        <f t="shared" si="49"/>
        <v>20.699290012768348</v>
      </c>
      <c r="G157" s="110">
        <f t="shared" si="70"/>
        <v>0.32770761573836865</v>
      </c>
      <c r="H157" s="412" t="b">
        <f>Wh_hp&gt;='2021'!Maxi_hp</f>
        <v>0</v>
      </c>
      <c r="I157" s="379">
        <f>IF(H157,Wh_hp,'2021'!Maxi_hp)</f>
        <v>58.544637750972903</v>
      </c>
      <c r="J157" s="85">
        <f>IF(H157,An,'2021'!An_max)</f>
        <v>2020</v>
      </c>
      <c r="K157" s="197">
        <f t="shared" si="50"/>
        <v>44704</v>
      </c>
      <c r="L157" s="147">
        <f>IF(t&lt;Tvie,1-EXP((T0-t)*PertePVj)+'2021'!Pspv,1-EXP((T0-t)*PertePVj)+Pspv)</f>
        <v>2.2885331883719551E-2</v>
      </c>
      <c r="M157" s="832"/>
      <c r="N157" s="832"/>
      <c r="O157" s="48">
        <f>IF(t&lt;Tnet,'2021'!Resal+('2021'!Salim-'2021'!Resal)*(1-EXP(('2021'!Tnet-t)/('2021'!Tau_j))),Resal+(Salim-Resal)*(1-EXP((Tnet-t)/(Tau_j))))*Salcycl</f>
        <v>1.1004870677011773E-2</v>
      </c>
      <c r="P157" s="169">
        <f>(INDEX(Models!$BJ157:$BT157,,T157)*(1-R157)+INDEX(Models!$BJ157:$BT157,,T157+1)*R157-ERP_i)*Q157*Ramure*Pc/MaxiM</f>
        <v>0</v>
      </c>
      <c r="Q157" s="304">
        <f t="shared" si="51"/>
        <v>0.6</v>
      </c>
      <c r="R157" s="177">
        <f t="shared" si="52"/>
        <v>0.16022655237111069</v>
      </c>
      <c r="S157" s="799">
        <f t="shared" si="53"/>
        <v>0</v>
      </c>
      <c r="T157" s="176">
        <f t="shared" si="54"/>
        <v>6</v>
      </c>
      <c r="U157" s="250">
        <f t="shared" si="55"/>
        <v>0.16022655237111069</v>
      </c>
      <c r="V157" s="382">
        <f t="shared" si="56"/>
        <v>61.039167353284093</v>
      </c>
      <c r="W157" s="400"/>
      <c r="X157" s="157">
        <f t="shared" si="57"/>
        <v>44704</v>
      </c>
      <c r="Y157" s="383">
        <f t="shared" si="58"/>
        <v>17.836103854838228</v>
      </c>
      <c r="Z157" s="383">
        <f t="shared" si="59"/>
        <v>18.253849253151998</v>
      </c>
      <c r="AA157" s="384">
        <f t="shared" si="60"/>
        <v>20.699290012768348</v>
      </c>
      <c r="AB157" s="197">
        <f t="shared" si="61"/>
        <v>44704</v>
      </c>
      <c r="AC157" s="119">
        <f>IF(OR(t&lt;Tnet,NoTnet),'2021'!Resal_s+('2021'!Salim-'2021'!Resal_s)*(1-EXP(('2021'!Tnet_s-t)/'2021'!Tau_j)),Resal_s+(Salim-Resal_s)*(1-EXP((Tnet_s-t)/Tau_j)))*Salcycl</f>
        <v>0.11814128688026877</v>
      </c>
      <c r="AD157" s="230">
        <f>(INDEX(Models!$BJ157:$BT157,,AH157)*(1-AF157)+INDEX(Models!$BJ157:$BT157,,AH157+1)*AF157-ERP_i)*AE157*Ramure*Pc/MaxiM</f>
        <v>0</v>
      </c>
      <c r="AE157" s="304">
        <f t="shared" si="62"/>
        <v>0.6</v>
      </c>
      <c r="AF157" s="177">
        <f t="shared" si="63"/>
        <v>0.16022655237111069</v>
      </c>
      <c r="AG157" s="799">
        <f t="shared" si="71"/>
        <v>0</v>
      </c>
      <c r="AH157" s="176">
        <f t="shared" si="64"/>
        <v>6</v>
      </c>
      <c r="AI157" s="224">
        <f t="shared" si="65"/>
        <v>0.16022655237111069</v>
      </c>
      <c r="AJ157" s="264" t="b">
        <f t="shared" si="66"/>
        <v>0</v>
      </c>
      <c r="AK157" s="264" t="b">
        <f t="shared" si="67"/>
        <v>0</v>
      </c>
      <c r="AL157" s="264"/>
      <c r="AM157" s="264"/>
      <c r="AN157" s="264"/>
    </row>
    <row r="158" spans="1:40" s="6" customFormat="1" ht="11.25" x14ac:dyDescent="0.2">
      <c r="A158" s="56">
        <f t="shared" si="68"/>
        <v>44705</v>
      </c>
      <c r="B158" s="607">
        <v>17.472999999999999</v>
      </c>
      <c r="C158" s="388"/>
      <c r="D158" s="391">
        <f t="shared" si="48"/>
        <v>17.882583736218283</v>
      </c>
      <c r="E158" s="383">
        <f t="shared" si="69"/>
        <v>18.083239349153256</v>
      </c>
      <c r="F158" s="383">
        <f t="shared" si="49"/>
        <v>18.083239349153256</v>
      </c>
      <c r="G158" s="110">
        <f t="shared" si="70"/>
        <v>0.28629262057704186</v>
      </c>
      <c r="H158" s="412" t="b">
        <f>Wh_hp&gt;='2021'!Maxi_hp</f>
        <v>0</v>
      </c>
      <c r="I158" s="379">
        <f>IF(H158,Wh_hp,'2021'!Maxi_hp)</f>
        <v>26.742649720256367</v>
      </c>
      <c r="J158" s="85">
        <f>IF(H158,An,'2021'!An_max)</f>
        <v>2021</v>
      </c>
      <c r="K158" s="197">
        <f t="shared" si="50"/>
        <v>44705</v>
      </c>
      <c r="L158" s="147">
        <f>IF(t&lt;Tvie,1-EXP((T0-t)*PertePVj)+'2021'!Pspv,1-EXP((T0-t)*PertePVj)+Pspv)</f>
        <v>2.2904058063418331E-2</v>
      </c>
      <c r="M158" s="832"/>
      <c r="N158" s="832"/>
      <c r="O158" s="48">
        <f>IF(t&lt;Tnet,'2021'!Resal+('2021'!Salim-'2021'!Resal)*(1-EXP(('2021'!Tnet-t)/('2021'!Tau_j))),Resal+(Salim-Resal)*(1-EXP((Tnet-t)/(Tau_j))))*Salcycl</f>
        <v>1.1096220597465489E-2</v>
      </c>
      <c r="P158" s="169">
        <f>(INDEX(Models!$BJ158:$BT158,,T158)*(1-R158)+INDEX(Models!$BJ158:$BT158,,T158+1)*R158-ERP_i)*Q158*Ramure*Pc/MaxiM</f>
        <v>1.4176377305478259E-20</v>
      </c>
      <c r="Q158" s="304">
        <f t="shared" si="51"/>
        <v>0.6</v>
      </c>
      <c r="R158" s="177">
        <f t="shared" si="52"/>
        <v>0.1647603319019402</v>
      </c>
      <c r="S158" s="799">
        <f t="shared" si="53"/>
        <v>0</v>
      </c>
      <c r="T158" s="176">
        <f t="shared" si="54"/>
        <v>6</v>
      </c>
      <c r="U158" s="250">
        <f t="shared" si="55"/>
        <v>0.1647603319019402</v>
      </c>
      <c r="V158" s="382">
        <f t="shared" si="56"/>
        <v>61.031960812618927</v>
      </c>
      <c r="W158" s="400"/>
      <c r="X158" s="157">
        <f t="shared" si="57"/>
        <v>44705</v>
      </c>
      <c r="Y158" s="383">
        <f t="shared" si="58"/>
        <v>15.580404309319693</v>
      </c>
      <c r="Z158" s="383">
        <f t="shared" si="59"/>
        <v>15.94562380275543</v>
      </c>
      <c r="AA158" s="384">
        <f t="shared" si="60"/>
        <v>18.083239349153256</v>
      </c>
      <c r="AB158" s="197">
        <f t="shared" si="61"/>
        <v>44705</v>
      </c>
      <c r="AC158" s="119">
        <f>IF(OR(t&lt;Tnet,NoTnet),'2021'!Resal_s+('2021'!Salim-'2021'!Resal_s)*(1-EXP(('2021'!Tnet_s-t)/'2021'!Tau_j)),Resal_s+(Salim-Resal_s)*(1-EXP((Tnet_s-t)/Tau_j)))*Salcycl</f>
        <v>0.11820976900899781</v>
      </c>
      <c r="AD158" s="230">
        <f>(INDEX(Models!$BJ158:$BT158,,AH158)*(1-AF158)+INDEX(Models!$BJ158:$BT158,,AH158+1)*AF158-ERP_i)*AE158*Ramure*Pc/MaxiM</f>
        <v>1.4176377305478259E-20</v>
      </c>
      <c r="AE158" s="304">
        <f t="shared" si="62"/>
        <v>0.6</v>
      </c>
      <c r="AF158" s="177">
        <f t="shared" si="63"/>
        <v>0.1647603319019402</v>
      </c>
      <c r="AG158" s="799">
        <f t="shared" si="71"/>
        <v>0</v>
      </c>
      <c r="AH158" s="176">
        <f t="shared" si="64"/>
        <v>6</v>
      </c>
      <c r="AI158" s="224">
        <f t="shared" si="65"/>
        <v>0.1647603319019402</v>
      </c>
      <c r="AJ158" s="264" t="b">
        <f t="shared" si="66"/>
        <v>0</v>
      </c>
      <c r="AK158" s="264" t="b">
        <f t="shared" si="67"/>
        <v>0</v>
      </c>
      <c r="AL158" s="264"/>
      <c r="AM158" s="264"/>
      <c r="AN158" s="75"/>
    </row>
    <row r="159" spans="1:40" s="6" customFormat="1" ht="11.25" x14ac:dyDescent="0.2">
      <c r="A159" s="56">
        <f t="shared" si="68"/>
        <v>44706</v>
      </c>
      <c r="B159" s="607">
        <v>44.442</v>
      </c>
      <c r="C159" s="388"/>
      <c r="D159" s="391">
        <f t="shared" si="48"/>
        <v>45.484634445446353</v>
      </c>
      <c r="E159" s="383">
        <f t="shared" si="69"/>
        <v>45.999256538996697</v>
      </c>
      <c r="F159" s="383">
        <f t="shared" si="49"/>
        <v>45.999256538996697</v>
      </c>
      <c r="G159" s="110">
        <f t="shared" si="70"/>
        <v>0.72829001861801534</v>
      </c>
      <c r="H159" s="412" t="b">
        <f>Wh_hp&gt;='2021'!Maxi_hp</f>
        <v>0</v>
      </c>
      <c r="I159" s="379">
        <f>IF(H159,Wh_hp,'2021'!Maxi_hp)</f>
        <v>59.02247557748224</v>
      </c>
      <c r="J159" s="85">
        <f>IF(H159,An,'2021'!An_max)</f>
        <v>2020</v>
      </c>
      <c r="K159" s="197">
        <f t="shared" si="50"/>
        <v>44706</v>
      </c>
      <c r="L159" s="147">
        <f>IF(t&lt;Tvie,1-EXP((T0-t)*PertePVj)+'2021'!Pspv,1-EXP((T0-t)*PertePVj)+Pspv)</f>
        <v>2.2922783884234077E-2</v>
      </c>
      <c r="M159" s="832"/>
      <c r="N159" s="832"/>
      <c r="O159" s="48">
        <f>IF(t&lt;Tnet,'2021'!Resal+('2021'!Salim-'2021'!Resal)*(1-EXP(('2021'!Tnet-t)/('2021'!Tau_j))),Resal+(Salim-Resal)*(1-EXP((Tnet-t)/(Tau_j))))*Salcycl</f>
        <v>1.1187617632777608E-2</v>
      </c>
      <c r="P159" s="169">
        <f>(INDEX(Models!$BJ159:$BT159,,T159)*(1-R159)+INDEX(Models!$BJ159:$BT159,,T159+1)*R159-ERP_i)*Q159*Ramure*Pc/MaxiM</f>
        <v>0</v>
      </c>
      <c r="Q159" s="304">
        <f t="shared" si="51"/>
        <v>0.6</v>
      </c>
      <c r="R159" s="177">
        <f t="shared" si="52"/>
        <v>0.16935709731965728</v>
      </c>
      <c r="S159" s="799">
        <f t="shared" si="53"/>
        <v>0</v>
      </c>
      <c r="T159" s="176">
        <f t="shared" si="54"/>
        <v>6</v>
      </c>
      <c r="U159" s="250">
        <f t="shared" si="55"/>
        <v>0.16935709731965728</v>
      </c>
      <c r="V159" s="382">
        <f t="shared" si="56"/>
        <v>61.022393365121239</v>
      </c>
      <c r="W159" s="400"/>
      <c r="X159" s="157">
        <f t="shared" si="57"/>
        <v>44706</v>
      </c>
      <c r="Y159" s="383">
        <f t="shared" si="58"/>
        <v>39.628827385325501</v>
      </c>
      <c r="Z159" s="383">
        <f t="shared" si="59"/>
        <v>40.558542080086944</v>
      </c>
      <c r="AA159" s="384">
        <f t="shared" si="60"/>
        <v>45.999256538996697</v>
      </c>
      <c r="AB159" s="197">
        <f t="shared" si="61"/>
        <v>44706</v>
      </c>
      <c r="AC159" s="119">
        <f>IF(OR(t&lt;Tnet,NoTnet),'2021'!Resal_s+('2021'!Salim-'2021'!Resal_s)*(1-EXP(('2021'!Tnet_s-t)/'2021'!Tau_j)),Resal_s+(Salim-Resal_s)*(1-EXP((Tnet_s-t)/Tau_j)))*Salcycl</f>
        <v>0.11827831291789015</v>
      </c>
      <c r="AD159" s="230">
        <f>(INDEX(Models!$BJ159:$BT159,,AH159)*(1-AF159)+INDEX(Models!$BJ159:$BT159,,AH159+1)*AF159-ERP_i)*AE159*Ramure*Pc/MaxiM</f>
        <v>0</v>
      </c>
      <c r="AE159" s="304">
        <f t="shared" si="62"/>
        <v>0.6</v>
      </c>
      <c r="AF159" s="177">
        <f t="shared" si="63"/>
        <v>0.16935709731965728</v>
      </c>
      <c r="AG159" s="799">
        <f t="shared" si="71"/>
        <v>0</v>
      </c>
      <c r="AH159" s="176">
        <f t="shared" si="64"/>
        <v>6</v>
      </c>
      <c r="AI159" s="224">
        <f t="shared" si="65"/>
        <v>0.16935709731965728</v>
      </c>
      <c r="AJ159" s="264" t="b">
        <f t="shared" si="66"/>
        <v>0</v>
      </c>
      <c r="AK159" s="264" t="b">
        <f t="shared" si="67"/>
        <v>0</v>
      </c>
      <c r="AL159" s="264"/>
      <c r="AM159" s="264"/>
      <c r="AN159" s="75"/>
    </row>
    <row r="160" spans="1:40" s="6" customFormat="1" ht="11.25" x14ac:dyDescent="0.2">
      <c r="A160" s="56">
        <f t="shared" si="68"/>
        <v>44707</v>
      </c>
      <c r="B160" s="607">
        <v>28.995000000000001</v>
      </c>
      <c r="C160" s="388"/>
      <c r="D160" s="391">
        <f t="shared" si="48"/>
        <v>29.675807822515498</v>
      </c>
      <c r="E160" s="383">
        <f t="shared" si="69"/>
        <v>30.014341148753509</v>
      </c>
      <c r="F160" s="383">
        <f t="shared" si="49"/>
        <v>30.014341148753509</v>
      </c>
      <c r="G160" s="110">
        <f t="shared" si="70"/>
        <v>0.47524551570704993</v>
      </c>
      <c r="H160" s="412" t="b">
        <f>Wh_hp&gt;='2021'!Maxi_hp</f>
        <v>0</v>
      </c>
      <c r="I160" s="379">
        <f>IF(H160,Wh_hp,'2021'!Maxi_hp)</f>
        <v>61.793070992258549</v>
      </c>
      <c r="J160" s="85">
        <f>IF(H160,An,'2021'!An_max)</f>
        <v>2020</v>
      </c>
      <c r="K160" s="197">
        <f t="shared" si="50"/>
        <v>44707</v>
      </c>
      <c r="L160" s="147">
        <f>IF(t&lt;Tvie,1-EXP((T0-t)*PertePVj)+'2021'!Pspv,1-EXP((T0-t)*PertePVj)+Pspv)</f>
        <v>2.2941509346173783E-2</v>
      </c>
      <c r="M160" s="832"/>
      <c r="N160" s="832"/>
      <c r="O160" s="48">
        <f>IF(t&lt;Tnet,'2021'!Resal+('2021'!Salim-'2021'!Resal)*(1-EXP(('2021'!Tnet-t)/('2021'!Tau_j))),Resal+(Salim-Resal)*(1-EXP((Tnet-t)/(Tau_j))))*Salcycl</f>
        <v>1.1279052388996735E-2</v>
      </c>
      <c r="P160" s="169">
        <f>(INDEX(Models!$BJ160:$BT160,,T160)*(1-R160)+INDEX(Models!$BJ160:$BT160,,T160+1)*R160-ERP_i)*Q160*Ramure*Pc/MaxiM</f>
        <v>0</v>
      </c>
      <c r="Q160" s="304">
        <f t="shared" si="51"/>
        <v>0.6</v>
      </c>
      <c r="R160" s="177">
        <f t="shared" si="52"/>
        <v>0.17401420966048961</v>
      </c>
      <c r="S160" s="799">
        <f t="shared" si="53"/>
        <v>0</v>
      </c>
      <c r="T160" s="176">
        <f t="shared" si="54"/>
        <v>6</v>
      </c>
      <c r="U160" s="250">
        <f t="shared" si="55"/>
        <v>0.17401420966048961</v>
      </c>
      <c r="V160" s="382">
        <f t="shared" si="56"/>
        <v>61.010570414036373</v>
      </c>
      <c r="W160" s="400"/>
      <c r="X160" s="157">
        <f t="shared" si="57"/>
        <v>44707</v>
      </c>
      <c r="Y160" s="383">
        <f t="shared" si="58"/>
        <v>25.855155624804553</v>
      </c>
      <c r="Z160" s="383">
        <f t="shared" si="59"/>
        <v>26.462239335848611</v>
      </c>
      <c r="AA160" s="384">
        <f t="shared" si="60"/>
        <v>30.014341148753509</v>
      </c>
      <c r="AB160" s="197">
        <f t="shared" si="61"/>
        <v>44707</v>
      </c>
      <c r="AC160" s="119">
        <f>IF(OR(t&lt;Tnet,NoTnet),'2021'!Resal_s+('2021'!Salim-'2021'!Resal_s)*(1-EXP(('2021'!Tnet_s-t)/'2021'!Tau_j)),Resal_s+(Salim-Resal_s)*(1-EXP((Tnet_s-t)/Tau_j)))*Salcycl</f>
        <v>0.11834681945208773</v>
      </c>
      <c r="AD160" s="230">
        <f>(INDEX(Models!$BJ160:$BT160,,AH160)*(1-AF160)+INDEX(Models!$BJ160:$BT160,,AH160+1)*AF160-ERP_i)*AE160*Ramure*Pc/MaxiM</f>
        <v>0</v>
      </c>
      <c r="AE160" s="304">
        <f t="shared" si="62"/>
        <v>0.6</v>
      </c>
      <c r="AF160" s="177">
        <f t="shared" si="63"/>
        <v>0.17401420966048961</v>
      </c>
      <c r="AG160" s="799">
        <f t="shared" si="71"/>
        <v>0</v>
      </c>
      <c r="AH160" s="176">
        <f t="shared" si="64"/>
        <v>6</v>
      </c>
      <c r="AI160" s="224">
        <f t="shared" si="65"/>
        <v>0.17401420966048961</v>
      </c>
      <c r="AJ160" s="264" t="b">
        <f t="shared" si="66"/>
        <v>0</v>
      </c>
      <c r="AK160" s="264" t="b">
        <f t="shared" si="67"/>
        <v>0</v>
      </c>
      <c r="AL160" s="264"/>
      <c r="AM160" s="264"/>
      <c r="AN160" s="75"/>
    </row>
    <row r="161" spans="1:40" s="6" customFormat="1" ht="11.25" x14ac:dyDescent="0.2">
      <c r="A161" s="56">
        <f t="shared" si="68"/>
        <v>44708</v>
      </c>
      <c r="B161" s="607">
        <v>45.996000000000002</v>
      </c>
      <c r="C161" s="388"/>
      <c r="D161" s="391">
        <f t="shared" si="48"/>
        <v>47.076896582681194</v>
      </c>
      <c r="E161" s="383">
        <f t="shared" si="69"/>
        <v>47.618341654768791</v>
      </c>
      <c r="F161" s="383">
        <f t="shared" si="49"/>
        <v>47.618341654768791</v>
      </c>
      <c r="G161" s="110">
        <f t="shared" si="70"/>
        <v>0.75407485018699716</v>
      </c>
      <c r="H161" s="412" t="b">
        <f>Wh_hp&gt;='2021'!Maxi_hp</f>
        <v>0</v>
      </c>
      <c r="I161" s="379">
        <f>IF(H161,Wh_hp,'2021'!Maxi_hp)</f>
        <v>61.558653979625923</v>
      </c>
      <c r="J161" s="85">
        <f>IF(H161,An,'2021'!An_max)</f>
        <v>2020</v>
      </c>
      <c r="K161" s="197">
        <f t="shared" si="50"/>
        <v>44708</v>
      </c>
      <c r="L161" s="147">
        <f>IF(t&lt;Tvie,1-EXP((T0-t)*PertePVj)+'2021'!Pspv,1-EXP((T0-t)*PertePVj)+Pspv)</f>
        <v>2.2960234449244332E-2</v>
      </c>
      <c r="M161" s="832"/>
      <c r="N161" s="832"/>
      <c r="O161" s="48">
        <f>IF(t&lt;Tnet,'2021'!Resal+('2021'!Salim-'2021'!Resal)*(1-EXP(('2021'!Tnet-t)/('2021'!Tau_j))),Resal+(Salim-Resal)*(1-EXP((Tnet-t)/(Tau_j))))*Salcycl</f>
        <v>1.137051508456666E-2</v>
      </c>
      <c r="P161" s="169">
        <f>(INDEX(Models!$BJ161:$BT161,,T161)*(1-R161)+INDEX(Models!$BJ161:$BT161,,T161+1)*R161-ERP_i)*Q161*Ramure*Pc/MaxiM</f>
        <v>0</v>
      </c>
      <c r="Q161" s="304">
        <f t="shared" si="51"/>
        <v>0.6</v>
      </c>
      <c r="R161" s="177">
        <f t="shared" si="52"/>
        <v>0.17872885705146546</v>
      </c>
      <c r="S161" s="799">
        <f t="shared" si="53"/>
        <v>0</v>
      </c>
      <c r="T161" s="176">
        <f t="shared" si="54"/>
        <v>6</v>
      </c>
      <c r="U161" s="250">
        <f t="shared" si="55"/>
        <v>0.17872885705146546</v>
      </c>
      <c r="V161" s="382">
        <f t="shared" si="56"/>
        <v>60.99659733857164</v>
      </c>
      <c r="W161" s="400"/>
      <c r="X161" s="157">
        <f t="shared" si="57"/>
        <v>44708</v>
      </c>
      <c r="Y161" s="383">
        <f t="shared" si="58"/>
        <v>41.015745143938176</v>
      </c>
      <c r="Z161" s="383">
        <f t="shared" si="59"/>
        <v>41.979606757169876</v>
      </c>
      <c r="AA161" s="384">
        <f t="shared" si="60"/>
        <v>47.618341654768791</v>
      </c>
      <c r="AB161" s="197">
        <f t="shared" si="61"/>
        <v>44708</v>
      </c>
      <c r="AC161" s="119">
        <f>IF(OR(t&lt;Tnet,NoTnet),'2021'!Resal_s+('2021'!Salim-'2021'!Resal_s)*(1-EXP(('2021'!Tnet_s-t)/'2021'!Tau_j)),Resal_s+(Salim-Resal_s)*(1-EXP((Tnet_s-t)/Tau_j)))*Salcycl</f>
        <v>0.11841518838433165</v>
      </c>
      <c r="AD161" s="230">
        <f>(INDEX(Models!$BJ161:$BT161,,AH161)*(1-AF161)+INDEX(Models!$BJ161:$BT161,,AH161+1)*AF161-ERP_i)*AE161*Ramure*Pc/MaxiM</f>
        <v>0</v>
      </c>
      <c r="AE161" s="304">
        <f t="shared" si="62"/>
        <v>0.6</v>
      </c>
      <c r="AF161" s="177">
        <f t="shared" si="63"/>
        <v>0.17872885705146546</v>
      </c>
      <c r="AG161" s="799">
        <f t="shared" si="71"/>
        <v>0</v>
      </c>
      <c r="AH161" s="176">
        <f t="shared" si="64"/>
        <v>6</v>
      </c>
      <c r="AI161" s="224">
        <f t="shared" si="65"/>
        <v>0.17872885705146546</v>
      </c>
      <c r="AJ161" s="264" t="b">
        <f t="shared" si="66"/>
        <v>0</v>
      </c>
      <c r="AK161" s="264" t="b">
        <f t="shared" si="67"/>
        <v>0</v>
      </c>
      <c r="AL161" s="264"/>
      <c r="AM161" s="264"/>
      <c r="AN161" s="75"/>
    </row>
    <row r="162" spans="1:40" s="6" customFormat="1" ht="11.25" x14ac:dyDescent="0.2">
      <c r="A162" s="56">
        <f t="shared" si="68"/>
        <v>44709</v>
      </c>
      <c r="B162" s="607">
        <v>57.238</v>
      </c>
      <c r="C162" s="388"/>
      <c r="D162" s="391">
        <f t="shared" si="48"/>
        <v>58.584204033875316</v>
      </c>
      <c r="E162" s="383">
        <f t="shared" si="69"/>
        <v>59.263481800267343</v>
      </c>
      <c r="F162" s="383">
        <f t="shared" si="49"/>
        <v>59.263481800267343</v>
      </c>
      <c r="G162" s="110">
        <f t="shared" si="70"/>
        <v>0.93862669846152225</v>
      </c>
      <c r="H162" s="412" t="b">
        <f>Wh_hp&gt;='2021'!Maxi_hp</f>
        <v>0</v>
      </c>
      <c r="I162" s="379">
        <f>IF(H162,Wh_hp,'2021'!Maxi_hp)</f>
        <v>60.976736931549574</v>
      </c>
      <c r="J162" s="85">
        <f>IF(H162,An,'2021'!An_max)</f>
        <v>2020</v>
      </c>
      <c r="K162" s="197">
        <f t="shared" si="50"/>
        <v>44709</v>
      </c>
      <c r="L162" s="147">
        <f>IF(t&lt;Tvie,1-EXP((T0-t)*PertePVj)+'2021'!Pspv,1-EXP((T0-t)*PertePVj)+Pspv)</f>
        <v>2.2978959193452497E-2</v>
      </c>
      <c r="M162" s="832"/>
      <c r="N162" s="832"/>
      <c r="O162" s="48">
        <f>IF(t&lt;Tnet,'2021'!Resal+('2021'!Salim-'2021'!Resal)*(1-EXP(('2021'!Tnet-t)/('2021'!Tau_j))),Resal+(Salim-Resal)*(1-EXP((Tnet-t)/(Tau_j))))*Salcycl</f>
        <v>1.1461995579020537E-2</v>
      </c>
      <c r="P162" s="169">
        <f>(INDEX(Models!$BJ162:$BT162,,T162)*(1-R162)+INDEX(Models!$BJ162:$BT162,,T162+1)*R162-ERP_i)*Q162*Ramure*Pc/MaxiM</f>
        <v>0</v>
      </c>
      <c r="Q162" s="304">
        <f t="shared" si="51"/>
        <v>0.6</v>
      </c>
      <c r="R162" s="177">
        <f t="shared" si="52"/>
        <v>0.18349805943300784</v>
      </c>
      <c r="S162" s="799">
        <f t="shared" si="53"/>
        <v>0</v>
      </c>
      <c r="T162" s="176">
        <f t="shared" si="54"/>
        <v>6</v>
      </c>
      <c r="U162" s="250">
        <f t="shared" si="55"/>
        <v>0.18349805943300784</v>
      </c>
      <c r="V162" s="382">
        <f t="shared" si="56"/>
        <v>60.980579493229065</v>
      </c>
      <c r="W162" s="400"/>
      <c r="X162" s="157">
        <f t="shared" si="57"/>
        <v>44709</v>
      </c>
      <c r="Y162" s="383">
        <f t="shared" si="58"/>
        <v>51.041286805305788</v>
      </c>
      <c r="Z162" s="383">
        <f t="shared" si="59"/>
        <v>52.24174779610717</v>
      </c>
      <c r="AA162" s="384">
        <f t="shared" si="60"/>
        <v>59.263481800267343</v>
      </c>
      <c r="AB162" s="197">
        <f t="shared" si="61"/>
        <v>44709</v>
      </c>
      <c r="AC162" s="119">
        <f>IF(OR(t&lt;Tnet,NoTnet),'2021'!Resal_s+('2021'!Salim-'2021'!Resal_s)*(1-EXP(('2021'!Tnet_s-t)/'2021'!Tau_j)),Resal_s+(Salim-Resal_s)*(1-EXP((Tnet_s-t)/Tau_j)))*Salcycl</f>
        <v>0.11848331874635988</v>
      </c>
      <c r="AD162" s="230">
        <f>(INDEX(Models!$BJ162:$BT162,,AH162)*(1-AF162)+INDEX(Models!$BJ162:$BT162,,AH162+1)*AF162-ERP_i)*AE162*Ramure*Pc/MaxiM</f>
        <v>0</v>
      </c>
      <c r="AE162" s="304">
        <f t="shared" si="62"/>
        <v>0.6</v>
      </c>
      <c r="AF162" s="177">
        <f t="shared" si="63"/>
        <v>0.18349805943300784</v>
      </c>
      <c r="AG162" s="799">
        <f t="shared" si="71"/>
        <v>0</v>
      </c>
      <c r="AH162" s="176">
        <f t="shared" si="64"/>
        <v>6</v>
      </c>
      <c r="AI162" s="224">
        <f t="shared" si="65"/>
        <v>0.18349805943300784</v>
      </c>
      <c r="AJ162" s="264" t="b">
        <f t="shared" si="66"/>
        <v>0</v>
      </c>
      <c r="AK162" s="264" t="b">
        <f t="shared" si="67"/>
        <v>0</v>
      </c>
      <c r="AL162" s="264"/>
      <c r="AM162" s="264"/>
      <c r="AN162" s="75"/>
    </row>
    <row r="163" spans="1:40" s="6" customFormat="1" ht="11.25" x14ac:dyDescent="0.2">
      <c r="A163" s="56">
        <f t="shared" si="68"/>
        <v>44710</v>
      </c>
      <c r="B163" s="607">
        <v>61.923000000000002</v>
      </c>
      <c r="C163" s="388"/>
      <c r="D163" s="391">
        <f t="shared" si="48"/>
        <v>63.380607148227504</v>
      </c>
      <c r="E163" s="383">
        <f t="shared" si="69"/>
        <v>64.121433060958907</v>
      </c>
      <c r="F163" s="383">
        <f t="shared" si="49"/>
        <v>64.121433060958907</v>
      </c>
      <c r="G163" s="110">
        <f t="shared" si="70"/>
        <v>1.0157616376594201</v>
      </c>
      <c r="H163" s="412" t="b">
        <f>Wh_hp&gt;='2021'!Maxi_hp</f>
        <v>1</v>
      </c>
      <c r="I163" s="379">
        <f>IF(H163,Wh_hp,'2021'!Maxi_hp)</f>
        <v>64.121433060958907</v>
      </c>
      <c r="J163" s="85">
        <f>IF(H163,An,'2021'!An_max)</f>
        <v>2022</v>
      </c>
      <c r="K163" s="197">
        <f t="shared" si="50"/>
        <v>44710</v>
      </c>
      <c r="L163" s="147">
        <f>IF(t&lt;Tvie,1-EXP((T0-t)*PertePVj)+'2021'!Pspv,1-EXP((T0-t)*PertePVj)+Pspv)</f>
        <v>2.2997683578805272E-2</v>
      </c>
      <c r="M163" s="832"/>
      <c r="N163" s="832"/>
      <c r="O163" s="48">
        <f>IF(t&lt;Tnet,'2021'!Resal+('2021'!Salim-'2021'!Resal)*(1-EXP(('2021'!Tnet-t)/('2021'!Tau_j))),Resal+(Salim-Resal)*(1-EXP((Tnet-t)/(Tau_j))))*Salcycl</f>
        <v>1.1553483404326196E-2</v>
      </c>
      <c r="P163" s="169">
        <f>(INDEX(Models!$BJ163:$BT163,,T163)*(1-R163)+INDEX(Models!$BJ163:$BT163,,T163+1)*R163-ERP_i)*Q163*Ramure*Pc/MaxiM</f>
        <v>1.4849088892227716E-20</v>
      </c>
      <c r="Q163" s="304">
        <f t="shared" si="51"/>
        <v>0.6</v>
      </c>
      <c r="R163" s="177">
        <f t="shared" si="52"/>
        <v>0.18831867426422982</v>
      </c>
      <c r="S163" s="799">
        <f t="shared" si="53"/>
        <v>0</v>
      </c>
      <c r="T163" s="176">
        <f t="shared" si="54"/>
        <v>6</v>
      </c>
      <c r="U163" s="250">
        <f t="shared" si="55"/>
        <v>0.18831867426422982</v>
      </c>
      <c r="V163" s="382">
        <f t="shared" si="56"/>
        <v>60.962136887436273</v>
      </c>
      <c r="W163" s="400"/>
      <c r="X163" s="157">
        <f t="shared" si="57"/>
        <v>44710</v>
      </c>
      <c r="Y163" s="383">
        <f t="shared" si="58"/>
        <v>55.219942354269634</v>
      </c>
      <c r="Z163" s="383">
        <f t="shared" si="59"/>
        <v>56.519766049831766</v>
      </c>
      <c r="AA163" s="384">
        <f t="shared" si="60"/>
        <v>64.121433060958907</v>
      </c>
      <c r="AB163" s="197">
        <f t="shared" si="61"/>
        <v>44710</v>
      </c>
      <c r="AC163" s="119">
        <f>IF(OR(t&lt;Tnet,NoTnet),'2021'!Resal_s+('2021'!Salim-'2021'!Resal_s)*(1-EXP(('2021'!Tnet_s-t)/'2021'!Tau_j)),Resal_s+(Salim-Resal_s)*(1-EXP((Tnet_s-t)/Tau_j)))*Salcycl</f>
        <v>0.11855110917281583</v>
      </c>
      <c r="AD163" s="230">
        <f>(INDEX(Models!$BJ163:$BT163,,AH163)*(1-AF163)+INDEX(Models!$BJ163:$BT163,,AH163+1)*AF163-ERP_i)*AE163*Ramure*Pc/MaxiM</f>
        <v>1.4849088892227716E-20</v>
      </c>
      <c r="AE163" s="304">
        <f t="shared" si="62"/>
        <v>0.6</v>
      </c>
      <c r="AF163" s="177">
        <f t="shared" si="63"/>
        <v>0.18831867426422982</v>
      </c>
      <c r="AG163" s="799">
        <f t="shared" si="71"/>
        <v>0</v>
      </c>
      <c r="AH163" s="176">
        <f t="shared" si="64"/>
        <v>6</v>
      </c>
      <c r="AI163" s="224">
        <f t="shared" si="65"/>
        <v>0.18831867426422982</v>
      </c>
      <c r="AJ163" s="264" t="b">
        <f t="shared" si="66"/>
        <v>0</v>
      </c>
      <c r="AK163" s="264" t="b">
        <f t="shared" si="67"/>
        <v>0</v>
      </c>
      <c r="AL163" s="264"/>
      <c r="AM163" s="264"/>
      <c r="AN163" s="75"/>
    </row>
    <row r="164" spans="1:40" s="6" customFormat="1" ht="11.25" x14ac:dyDescent="0.2">
      <c r="A164" s="56">
        <f t="shared" si="68"/>
        <v>44711</v>
      </c>
      <c r="B164" s="607">
        <v>49.975000000000001</v>
      </c>
      <c r="C164" s="388"/>
      <c r="D164" s="391">
        <f t="shared" si="48"/>
        <v>51.152343180611631</v>
      </c>
      <c r="E164" s="383">
        <f t="shared" si="69"/>
        <v>51.755028824699089</v>
      </c>
      <c r="F164" s="383">
        <f t="shared" si="49"/>
        <v>51.755028824699089</v>
      </c>
      <c r="G164" s="110">
        <f t="shared" si="70"/>
        <v>0.8200569475233237</v>
      </c>
      <c r="H164" s="412" t="b">
        <f>Wh_hp&gt;='2021'!Maxi_hp</f>
        <v>0</v>
      </c>
      <c r="I164" s="379">
        <f>IF(H164,Wh_hp,'2021'!Maxi_hp)</f>
        <v>59.216456207612119</v>
      </c>
      <c r="J164" s="85">
        <f>IF(H164,An,'2021'!An_max)</f>
        <v>2020</v>
      </c>
      <c r="K164" s="197">
        <f t="shared" si="50"/>
        <v>44711</v>
      </c>
      <c r="L164" s="147">
        <f>IF(t&lt;Tvie,1-EXP((T0-t)*PertePVj)+'2021'!Pspv,1-EXP((T0-t)*PertePVj)+Pspv)</f>
        <v>2.301640760530943E-2</v>
      </c>
      <c r="M164" s="832"/>
      <c r="N164" s="832"/>
      <c r="O164" s="48">
        <f>IF(t&lt;Tnet,'2021'!Resal+('2021'!Salim-'2021'!Resal)*(1-EXP(('2021'!Tnet-t)/('2021'!Tau_j))),Resal+(Salim-Resal)*(1-EXP((Tnet-t)/(Tau_j))))*Salcycl</f>
        <v>1.1644967798758918E-2</v>
      </c>
      <c r="P164" s="169">
        <f>(INDEX(Models!$BJ164:$BT164,,T164)*(1-R164)+INDEX(Models!$BJ164:$BT164,,T164+1)*R164-ERP_i)*Q164*Ramure*Pc/MaxiM</f>
        <v>0</v>
      </c>
      <c r="Q164" s="304">
        <f t="shared" si="51"/>
        <v>0.6</v>
      </c>
      <c r="R164" s="177">
        <f t="shared" si="52"/>
        <v>0.19318740320431738</v>
      </c>
      <c r="S164" s="799">
        <f t="shared" si="53"/>
        <v>0</v>
      </c>
      <c r="T164" s="176">
        <f t="shared" si="54"/>
        <v>6</v>
      </c>
      <c r="U164" s="250">
        <f t="shared" si="55"/>
        <v>0.19318740320431738</v>
      </c>
      <c r="V164" s="382">
        <f t="shared" si="56"/>
        <v>60.940889716172592</v>
      </c>
      <c r="W164" s="400"/>
      <c r="X164" s="157">
        <f t="shared" si="57"/>
        <v>44711</v>
      </c>
      <c r="Y164" s="383">
        <f t="shared" si="58"/>
        <v>44.566012327134764</v>
      </c>
      <c r="Z164" s="383">
        <f t="shared" si="59"/>
        <v>45.61592709852858</v>
      </c>
      <c r="AA164" s="384">
        <f t="shared" si="60"/>
        <v>51.755028824699089</v>
      </c>
      <c r="AB164" s="197">
        <f t="shared" si="61"/>
        <v>44711</v>
      </c>
      <c r="AC164" s="119">
        <f>IF(OR(t&lt;Tnet,NoTnet),'2021'!Resal_s+('2021'!Salim-'2021'!Resal_s)*(1-EXP(('2021'!Tnet_s-t)/'2021'!Tau_j)),Resal_s+(Salim-Resal_s)*(1-EXP((Tnet_s-t)/Tau_j)))*Salcycl</f>
        <v>0.11861845825580415</v>
      </c>
      <c r="AD164" s="230">
        <f>(INDEX(Models!$BJ164:$BT164,,AH164)*(1-AF164)+INDEX(Models!$BJ164:$BT164,,AH164+1)*AF164-ERP_i)*AE164*Ramure*Pc/MaxiM</f>
        <v>0</v>
      </c>
      <c r="AE164" s="304">
        <f t="shared" si="62"/>
        <v>0.6</v>
      </c>
      <c r="AF164" s="177">
        <f t="shared" si="63"/>
        <v>0.19318740320431738</v>
      </c>
      <c r="AG164" s="799">
        <f t="shared" si="71"/>
        <v>0</v>
      </c>
      <c r="AH164" s="176">
        <f t="shared" si="64"/>
        <v>6</v>
      </c>
      <c r="AI164" s="224">
        <f t="shared" si="65"/>
        <v>0.19318740320431738</v>
      </c>
      <c r="AJ164" s="264" t="b">
        <f t="shared" si="66"/>
        <v>0</v>
      </c>
      <c r="AK164" s="264" t="b">
        <f t="shared" si="67"/>
        <v>0</v>
      </c>
      <c r="AL164" s="264"/>
      <c r="AM164" s="264"/>
      <c r="AN164" s="75"/>
    </row>
    <row r="165" spans="1:40" s="6" customFormat="1" ht="11.25" x14ac:dyDescent="0.2">
      <c r="A165" s="56">
        <f t="shared" si="68"/>
        <v>44712</v>
      </c>
      <c r="B165" s="607">
        <v>55.987000000000002</v>
      </c>
      <c r="C165" s="388"/>
      <c r="D165" s="391">
        <f t="shared" si="48"/>
        <v>57.307076018967088</v>
      </c>
      <c r="E165" s="383">
        <f t="shared" si="69"/>
        <v>57.987644397308202</v>
      </c>
      <c r="F165" s="383">
        <f t="shared" si="49"/>
        <v>57.987644397308202</v>
      </c>
      <c r="G165" s="110">
        <f t="shared" si="70"/>
        <v>0.91907106159188368</v>
      </c>
      <c r="H165" s="412" t="b">
        <f>Wh_hp&gt;='2021'!Maxi_hp</f>
        <v>0</v>
      </c>
      <c r="I165" s="379">
        <f>IF(H165,Wh_hp,'2021'!Maxi_hp)</f>
        <v>62.494074168087401</v>
      </c>
      <c r="J165" s="85">
        <f>IF(H165,An,'2021'!An_max)</f>
        <v>2020</v>
      </c>
      <c r="K165" s="197">
        <f t="shared" si="50"/>
        <v>44712</v>
      </c>
      <c r="L165" s="147">
        <f>IF(t&lt;Tvie,1-EXP((T0-t)*PertePVj)+'2021'!Pspv,1-EXP((T0-t)*PertePVj)+Pspv)</f>
        <v>2.3035131272971854E-2</v>
      </c>
      <c r="M165" s="832"/>
      <c r="N165" s="832"/>
      <c r="O165" s="48">
        <f>IF(t&lt;Tnet,'2021'!Resal+('2021'!Salim-'2021'!Resal)*(1-EXP(('2021'!Tnet-t)/('2021'!Tau_j))),Resal+(Salim-Resal)*(1-EXP((Tnet-t)/(Tau_j))))*Salcycl</f>
        <v>1.1736437743153279E-2</v>
      </c>
      <c r="P165" s="169">
        <f>(INDEX(Models!$BJ165:$BT165,,T165)*(1-R165)+INDEX(Models!$BJ165:$BT165,,T165+1)*R165-ERP_i)*Q165*Ramure*Pc/MaxiM</f>
        <v>0</v>
      </c>
      <c r="Q165" s="304">
        <f t="shared" si="51"/>
        <v>0.6</v>
      </c>
      <c r="R165" s="177">
        <f t="shared" si="52"/>
        <v>0.19810079975394404</v>
      </c>
      <c r="S165" s="799">
        <f t="shared" si="53"/>
        <v>0</v>
      </c>
      <c r="T165" s="176">
        <f t="shared" si="54"/>
        <v>6</v>
      </c>
      <c r="U165" s="250">
        <f t="shared" si="55"/>
        <v>0.19810079975394404</v>
      </c>
      <c r="V165" s="382">
        <f t="shared" si="56"/>
        <v>60.916943574555937</v>
      </c>
      <c r="W165" s="400"/>
      <c r="X165" s="157">
        <f t="shared" si="57"/>
        <v>44712</v>
      </c>
      <c r="Y165" s="383">
        <f t="shared" si="58"/>
        <v>49.928146658479136</v>
      </c>
      <c r="Z165" s="383">
        <f t="shared" si="59"/>
        <v>51.105365460617669</v>
      </c>
      <c r="AA165" s="384">
        <f t="shared" si="60"/>
        <v>57.987644397308202</v>
      </c>
      <c r="AB165" s="197">
        <f t="shared" si="61"/>
        <v>44712</v>
      </c>
      <c r="AC165" s="119">
        <f>IF(OR(t&lt;Tnet,NoTnet),'2021'!Resal_s+('2021'!Salim-'2021'!Resal_s)*(1-EXP(('2021'!Tnet_s-t)/'2021'!Tau_j)),Resal_s+(Salim-Resal_s)*(1-EXP((Tnet_s-t)/Tau_j)))*Salcycl</f>
        <v>0.11868526490808803</v>
      </c>
      <c r="AD165" s="230">
        <f>(INDEX(Models!$BJ165:$BT165,,AH165)*(1-AF165)+INDEX(Models!$BJ165:$BT165,,AH165+1)*AF165-ERP_i)*AE165*Ramure*Pc/MaxiM</f>
        <v>0</v>
      </c>
      <c r="AE165" s="304">
        <f t="shared" si="62"/>
        <v>0.6</v>
      </c>
      <c r="AF165" s="177">
        <f t="shared" si="63"/>
        <v>0.19810079975394404</v>
      </c>
      <c r="AG165" s="799">
        <f t="shared" si="71"/>
        <v>0</v>
      </c>
      <c r="AH165" s="176">
        <f t="shared" si="64"/>
        <v>6</v>
      </c>
      <c r="AI165" s="224">
        <f t="shared" si="65"/>
        <v>0.19810079975394404</v>
      </c>
      <c r="AJ165" s="264" t="b">
        <f t="shared" si="66"/>
        <v>0</v>
      </c>
      <c r="AK165" s="264" t="b">
        <f t="shared" si="67"/>
        <v>0</v>
      </c>
      <c r="AL165" s="264"/>
      <c r="AM165" s="264"/>
      <c r="AN165" s="75"/>
    </row>
    <row r="166" spans="1:40" s="6" customFormat="1" ht="11.25" x14ac:dyDescent="0.2">
      <c r="A166" s="56">
        <f t="shared" si="68"/>
        <v>44713</v>
      </c>
      <c r="B166" s="607">
        <v>58.06</v>
      </c>
      <c r="C166" s="388"/>
      <c r="D166" s="391">
        <f t="shared" si="48"/>
        <v>59.430092715240008</v>
      </c>
      <c r="E166" s="383">
        <f t="shared" si="69"/>
        <v>60.141438553725308</v>
      </c>
      <c r="F166" s="383">
        <f t="shared" si="49"/>
        <v>60.141438553725308</v>
      </c>
      <c r="G166" s="110">
        <f t="shared" si="70"/>
        <v>0.95351641909032669</v>
      </c>
      <c r="H166" s="412" t="b">
        <f>Wh_hp&gt;='2021'!Maxi_hp</f>
        <v>0</v>
      </c>
      <c r="I166" s="379">
        <f>IF(H166,Wh_hp,'2021'!Maxi_hp)</f>
        <v>63.527407036379969</v>
      </c>
      <c r="J166" s="85">
        <f>IF(H166,An,'2021'!An_max)</f>
        <v>2018</v>
      </c>
      <c r="K166" s="197">
        <f t="shared" si="50"/>
        <v>44713</v>
      </c>
      <c r="L166" s="147">
        <f>IF(t&lt;Tvie,1-EXP((T0-t)*PertePVj)+'2021'!Pspv,1-EXP((T0-t)*PertePVj)+Pspv)</f>
        <v>2.3053854581799538E-2</v>
      </c>
      <c r="M166" s="832"/>
      <c r="N166" s="832"/>
      <c r="O166" s="48">
        <f>IF(t&lt;Tnet,'2021'!Resal+('2021'!Salim-'2021'!Resal)*(1-EXP(('2021'!Tnet-t)/('2021'!Tau_j))),Resal+(Salim-Resal)*(1-EXP((Tnet-t)/(Tau_j))))*Salcycl</f>
        <v>1.1827881999361229E-2</v>
      </c>
      <c r="P166" s="169">
        <f>(INDEX(Models!$BJ166:$BT166,,T166)*(1-R166)+INDEX(Models!$BJ166:$BT166,,T166+1)*R166-ERP_i)*Q166*Ramure*Pc/MaxiM</f>
        <v>0</v>
      </c>
      <c r="Q166" s="304">
        <f t="shared" si="51"/>
        <v>0.6</v>
      </c>
      <c r="R166" s="177">
        <f t="shared" si="52"/>
        <v>0.20305527783102639</v>
      </c>
      <c r="S166" s="799">
        <f t="shared" si="53"/>
        <v>0</v>
      </c>
      <c r="T166" s="176">
        <f t="shared" si="54"/>
        <v>6</v>
      </c>
      <c r="U166" s="250">
        <f t="shared" si="55"/>
        <v>0.20305527783102639</v>
      </c>
      <c r="V166" s="382">
        <f t="shared" si="56"/>
        <v>60.890404021978327</v>
      </c>
      <c r="W166" s="400"/>
      <c r="X166" s="157">
        <f t="shared" si="57"/>
        <v>44713</v>
      </c>
      <c r="Y166" s="383">
        <f t="shared" si="58"/>
        <v>51.77771272407098</v>
      </c>
      <c r="Z166" s="383">
        <f t="shared" si="59"/>
        <v>52.999556799424745</v>
      </c>
      <c r="AA166" s="384">
        <f t="shared" si="60"/>
        <v>60.141438553725308</v>
      </c>
      <c r="AB166" s="197">
        <f t="shared" si="61"/>
        <v>44713</v>
      </c>
      <c r="AC166" s="119">
        <f>IF(OR(t&lt;Tnet,NoTnet),'2021'!Resal_s+('2021'!Salim-'2021'!Resal_s)*(1-EXP(('2021'!Tnet_s-t)/'2021'!Tau_j)),Resal_s+(Salim-Resal_s)*(1-EXP((Tnet_s-t)/Tau_j)))*Salcycl</f>
        <v>0.11875142873279647</v>
      </c>
      <c r="AD166" s="230">
        <f>(INDEX(Models!$BJ166:$BT166,,AH166)*(1-AF166)+INDEX(Models!$BJ166:$BT166,,AH166+1)*AF166-ERP_i)*AE166*Ramure*Pc/MaxiM</f>
        <v>0</v>
      </c>
      <c r="AE166" s="304">
        <f t="shared" si="62"/>
        <v>0.6</v>
      </c>
      <c r="AF166" s="177">
        <f t="shared" si="63"/>
        <v>0.20305527783102639</v>
      </c>
      <c r="AG166" s="799">
        <f t="shared" si="71"/>
        <v>0</v>
      </c>
      <c r="AH166" s="176">
        <f t="shared" si="64"/>
        <v>6</v>
      </c>
      <c r="AI166" s="224">
        <f t="shared" si="65"/>
        <v>0.20305527783102639</v>
      </c>
      <c r="AJ166" s="264" t="b">
        <f t="shared" si="66"/>
        <v>0</v>
      </c>
      <c r="AK166" s="264" t="b">
        <f t="shared" si="67"/>
        <v>0</v>
      </c>
      <c r="AL166" s="264"/>
      <c r="AM166" s="264"/>
      <c r="AN166" s="75"/>
    </row>
    <row r="167" spans="1:40" s="6" customFormat="1" ht="11.25" x14ac:dyDescent="0.2">
      <c r="A167" s="56">
        <f t="shared" si="68"/>
        <v>44714</v>
      </c>
      <c r="B167" s="607">
        <v>43.911999999999999</v>
      </c>
      <c r="C167" s="388"/>
      <c r="D167" s="391">
        <f t="shared" si="48"/>
        <v>44.949091396223295</v>
      </c>
      <c r="E167" s="383">
        <f t="shared" si="69"/>
        <v>45.49131553999112</v>
      </c>
      <c r="F167" s="383">
        <f t="shared" si="49"/>
        <v>45.49131553999112</v>
      </c>
      <c r="G167" s="110">
        <f t="shared" si="70"/>
        <v>0.72150849137454032</v>
      </c>
      <c r="H167" s="412" t="b">
        <f>Wh_hp&gt;='2021'!Maxi_hp</f>
        <v>0</v>
      </c>
      <c r="I167" s="379">
        <f>IF(H167,Wh_hp,'2021'!Maxi_hp)</f>
        <v>63.013679668505368</v>
      </c>
      <c r="J167" s="85">
        <f>IF(H167,An,'2021'!An_max)</f>
        <v>2018</v>
      </c>
      <c r="K167" s="197">
        <f t="shared" si="50"/>
        <v>44714</v>
      </c>
      <c r="L167" s="147">
        <f>IF(t&lt;Tvie,1-EXP((T0-t)*PertePVj)+'2021'!Pspv,1-EXP((T0-t)*PertePVj)+Pspv)</f>
        <v>2.3072577531799254E-2</v>
      </c>
      <c r="M167" s="832"/>
      <c r="N167" s="832"/>
      <c r="O167" s="48">
        <f>IF(t&lt;Tnet,'2021'!Resal+('2021'!Salim-'2021'!Resal)*(1-EXP(('2021'!Tnet-t)/('2021'!Tau_j))),Resal+(Salim-Resal)*(1-EXP((Tnet-t)/(Tau_j))))*Salcycl</f>
        <v>1.1919289150720658E-2</v>
      </c>
      <c r="P167" s="169">
        <f>(INDEX(Models!$BJ167:$BT167,,T167)*(1-R167)+INDEX(Models!$BJ167:$BT167,,T167+1)*R167-ERP_i)*Q167*Ramure*Pc/MaxiM</f>
        <v>1.5387549871256607E-20</v>
      </c>
      <c r="Q167" s="304">
        <f t="shared" si="51"/>
        <v>0.6</v>
      </c>
      <c r="R167" s="177">
        <f t="shared" si="52"/>
        <v>0.20804712124543895</v>
      </c>
      <c r="S167" s="799">
        <f t="shared" si="53"/>
        <v>0</v>
      </c>
      <c r="T167" s="176">
        <f t="shared" si="54"/>
        <v>6</v>
      </c>
      <c r="U167" s="250">
        <f t="shared" si="55"/>
        <v>0.20804712124543895</v>
      </c>
      <c r="V167" s="382">
        <f t="shared" si="56"/>
        <v>60.861376581089964</v>
      </c>
      <c r="W167" s="400"/>
      <c r="X167" s="157">
        <f t="shared" si="57"/>
        <v>44714</v>
      </c>
      <c r="Y167" s="383">
        <f t="shared" si="58"/>
        <v>39.161289194776884</v>
      </c>
      <c r="Z167" s="383">
        <f t="shared" si="59"/>
        <v>40.086180707095053</v>
      </c>
      <c r="AA167" s="384">
        <f t="shared" si="60"/>
        <v>45.49131553999112</v>
      </c>
      <c r="AB167" s="197">
        <f t="shared" si="61"/>
        <v>44714</v>
      </c>
      <c r="AC167" s="119">
        <f>IF(OR(t&lt;Tnet,NoTnet),'2021'!Resal_s+('2021'!Salim-'2021'!Resal_s)*(1-EXP(('2021'!Tnet_s-t)/'2021'!Tau_j)),Resal_s+(Salim-Resal_s)*(1-EXP((Tnet_s-t)/Tau_j)))*Salcycl</f>
        <v>0.11881685039740054</v>
      </c>
      <c r="AD167" s="230">
        <f>(INDEX(Models!$BJ167:$BT167,,AH167)*(1-AF167)+INDEX(Models!$BJ167:$BT167,,AH167+1)*AF167-ERP_i)*AE167*Ramure*Pc/MaxiM</f>
        <v>1.5387549871256607E-20</v>
      </c>
      <c r="AE167" s="304">
        <f t="shared" si="62"/>
        <v>0.6</v>
      </c>
      <c r="AF167" s="177">
        <f t="shared" si="63"/>
        <v>0.20804712124543895</v>
      </c>
      <c r="AG167" s="799">
        <f t="shared" si="71"/>
        <v>0</v>
      </c>
      <c r="AH167" s="176">
        <f t="shared" si="64"/>
        <v>6</v>
      </c>
      <c r="AI167" s="224">
        <f t="shared" si="65"/>
        <v>0.20804712124543895</v>
      </c>
      <c r="AJ167" s="264" t="b">
        <f t="shared" si="66"/>
        <v>0</v>
      </c>
      <c r="AK167" s="264" t="b">
        <f t="shared" si="67"/>
        <v>0</v>
      </c>
      <c r="AL167" s="264"/>
      <c r="AM167" s="264"/>
      <c r="AN167" s="75"/>
    </row>
    <row r="168" spans="1:40" s="6" customFormat="1" ht="11.25" x14ac:dyDescent="0.2">
      <c r="A168" s="56">
        <f t="shared" si="68"/>
        <v>44715</v>
      </c>
      <c r="B168" s="607">
        <v>57.643000000000001</v>
      </c>
      <c r="C168" s="388"/>
      <c r="D168" s="391">
        <f t="shared" si="48"/>
        <v>59.005514033457146</v>
      </c>
      <c r="E168" s="383">
        <f t="shared" si="69"/>
        <v>59.722823826763985</v>
      </c>
      <c r="F168" s="383">
        <f t="shared" si="49"/>
        <v>59.722823826763985</v>
      </c>
      <c r="G168" s="110">
        <f t="shared" si="70"/>
        <v>0.94760860629198485</v>
      </c>
      <c r="H168" s="412" t="b">
        <f>Wh_hp&gt;='2021'!Maxi_hp</f>
        <v>1</v>
      </c>
      <c r="I168" s="379">
        <f>IF(H168,Wh_hp,'2021'!Maxi_hp)</f>
        <v>59.722823826763985</v>
      </c>
      <c r="J168" s="85">
        <f>IF(H168,An,'2021'!An_max)</f>
        <v>2022</v>
      </c>
      <c r="K168" s="197">
        <f t="shared" si="50"/>
        <v>44715</v>
      </c>
      <c r="L168" s="147">
        <f>IF(t&lt;Tvie,1-EXP((T0-t)*PertePVj)+'2021'!Pspv,1-EXP((T0-t)*PertePVj)+Pspv)</f>
        <v>2.3091300122977887E-2</v>
      </c>
      <c r="M168" s="832"/>
      <c r="N168" s="832"/>
      <c r="O168" s="48">
        <f>IF(t&lt;Tnet,'2021'!Resal+('2021'!Salim-'2021'!Resal)*(1-EXP(('2021'!Tnet-t)/('2021'!Tau_j))),Resal+(Salim-Resal)*(1-EXP((Tnet-t)/(Tau_j))))*Salcycl</f>
        <v>1.2010647644316251E-2</v>
      </c>
      <c r="P168" s="169">
        <f>(INDEX(Models!$BJ168:$BT168,,T168)*(1-R168)+INDEX(Models!$BJ168:$BT168,,T168+1)*R168-ERP_i)*Q168*Ramure*Pc/MaxiM</f>
        <v>0</v>
      </c>
      <c r="Q168" s="304">
        <f t="shared" si="51"/>
        <v>0.6</v>
      </c>
      <c r="R168" s="177">
        <f t="shared" si="52"/>
        <v>0.21307249402771086</v>
      </c>
      <c r="S168" s="799">
        <f t="shared" si="53"/>
        <v>0</v>
      </c>
      <c r="T168" s="176">
        <f t="shared" si="54"/>
        <v>6</v>
      </c>
      <c r="U168" s="250">
        <f t="shared" si="55"/>
        <v>0.21307249402771086</v>
      </c>
      <c r="V168" s="382">
        <f t="shared" si="56"/>
        <v>60.829966736539511</v>
      </c>
      <c r="W168" s="400"/>
      <c r="X168" s="157">
        <f t="shared" si="57"/>
        <v>44715</v>
      </c>
      <c r="Y168" s="383">
        <f t="shared" si="58"/>
        <v>51.4077580831906</v>
      </c>
      <c r="Z168" s="383">
        <f t="shared" si="59"/>
        <v>52.622889006579683</v>
      </c>
      <c r="AA168" s="384">
        <f t="shared" si="60"/>
        <v>59.722823826763985</v>
      </c>
      <c r="AB168" s="197">
        <f t="shared" si="61"/>
        <v>44715</v>
      </c>
      <c r="AC168" s="119">
        <f>IF(OR(t&lt;Tnet,NoTnet),'2021'!Resal_s+('2021'!Salim-'2021'!Resal_s)*(1-EXP(('2021'!Tnet_s-t)/'2021'!Tau_j)),Resal_s+(Salim-Resal_s)*(1-EXP((Tnet_s-t)/Tau_j)))*Salcycl</f>
        <v>0.11888143200962577</v>
      </c>
      <c r="AD168" s="230">
        <f>(INDEX(Models!$BJ168:$BT168,,AH168)*(1-AF168)+INDEX(Models!$BJ168:$BT168,,AH168+1)*AF168-ERP_i)*AE168*Ramure*Pc/MaxiM</f>
        <v>0</v>
      </c>
      <c r="AE168" s="304">
        <f t="shared" si="62"/>
        <v>0.6</v>
      </c>
      <c r="AF168" s="177">
        <f t="shared" si="63"/>
        <v>0.21307249402771086</v>
      </c>
      <c r="AG168" s="799">
        <f t="shared" si="71"/>
        <v>0</v>
      </c>
      <c r="AH168" s="176">
        <f t="shared" si="64"/>
        <v>6</v>
      </c>
      <c r="AI168" s="224">
        <f t="shared" si="65"/>
        <v>0.21307249402771086</v>
      </c>
      <c r="AJ168" s="264" t="b">
        <f t="shared" si="66"/>
        <v>0</v>
      </c>
      <c r="AK168" s="264" t="b">
        <f t="shared" si="67"/>
        <v>0</v>
      </c>
      <c r="AL168" s="264"/>
      <c r="AM168" s="264"/>
      <c r="AN168" s="75"/>
    </row>
    <row r="169" spans="1:40" s="18" customFormat="1" ht="11.25" x14ac:dyDescent="0.2">
      <c r="A169" s="56">
        <f t="shared" si="68"/>
        <v>44716</v>
      </c>
      <c r="B169" s="607">
        <v>26.083000000000002</v>
      </c>
      <c r="C169" s="388"/>
      <c r="D169" s="391">
        <f t="shared" si="48"/>
        <v>26.700038486307058</v>
      </c>
      <c r="E169" s="383">
        <f t="shared" si="69"/>
        <v>27.027119219167947</v>
      </c>
      <c r="F169" s="383">
        <f t="shared" si="49"/>
        <v>27.027119219167947</v>
      </c>
      <c r="G169" s="110">
        <f t="shared" si="70"/>
        <v>0.42902296046229343</v>
      </c>
      <c r="H169" s="412" t="b">
        <f>Wh_hp&gt;='2021'!Maxi_hp</f>
        <v>0</v>
      </c>
      <c r="I169" s="379">
        <f>IF(H169,Wh_hp,'2021'!Maxi_hp)</f>
        <v>59.234814387524935</v>
      </c>
      <c r="J169" s="85">
        <f>IF(H169,An,'2021'!An_max)</f>
        <v>2018</v>
      </c>
      <c r="K169" s="197">
        <f t="shared" si="50"/>
        <v>44716</v>
      </c>
      <c r="L169" s="147">
        <f>IF(t&lt;Tvie,1-EXP((T0-t)*PertePVj)+'2021'!Pspv,1-EXP((T0-t)*PertePVj)+Pspv)</f>
        <v>2.3110022355342319E-2</v>
      </c>
      <c r="M169" s="832"/>
      <c r="N169" s="832"/>
      <c r="O169" s="48">
        <f>IF(t&lt;Tnet,'2021'!Resal+('2021'!Salim-'2021'!Resal)*(1-EXP(('2021'!Tnet-t)/('2021'!Tau_j))),Resal+(Salim-Resal)*(1-EXP((Tnet-t)/(Tau_j))))*Salcycl</f>
        <v>1.2101945834793936E-2</v>
      </c>
      <c r="P169" s="169">
        <f>(INDEX(Models!$BJ169:$BT169,,T169)*(1-R169)+INDEX(Models!$BJ169:$BT169,,T169+1)*R169-ERP_i)*Q169*Ramure*Pc/MaxiM</f>
        <v>-1.5653625717230827E-20</v>
      </c>
      <c r="Q169" s="304">
        <f t="shared" si="51"/>
        <v>0.6</v>
      </c>
      <c r="R169" s="177">
        <f t="shared" si="52"/>
        <v>0.21812745155737065</v>
      </c>
      <c r="S169" s="799">
        <f t="shared" si="53"/>
        <v>0</v>
      </c>
      <c r="T169" s="176">
        <f t="shared" si="54"/>
        <v>6</v>
      </c>
      <c r="U169" s="250">
        <f t="shared" si="55"/>
        <v>0.21812745155737065</v>
      </c>
      <c r="V169" s="382">
        <f t="shared" si="56"/>
        <v>60.796279928454837</v>
      </c>
      <c r="W169" s="400"/>
      <c r="X169" s="157">
        <f t="shared" si="57"/>
        <v>44716</v>
      </c>
      <c r="Y169" s="383">
        <f t="shared" si="58"/>
        <v>23.262071877620851</v>
      </c>
      <c r="Z169" s="383">
        <f t="shared" si="59"/>
        <v>23.812376429234281</v>
      </c>
      <c r="AA169" s="384">
        <f t="shared" si="60"/>
        <v>27.027119219167947</v>
      </c>
      <c r="AB169" s="197">
        <f t="shared" si="61"/>
        <v>44716</v>
      </c>
      <c r="AC169" s="119">
        <f>IF(OR(t&lt;Tnet,NoTnet),'2021'!Resal_s+('2021'!Salim-'2021'!Resal_s)*(1-EXP(('2021'!Tnet_s-t)/'2021'!Tau_j)),Resal_s+(Salim-Resal_s)*(1-EXP((Tnet_s-t)/Tau_j)))*Salcycl</f>
        <v>0.11894507749289586</v>
      </c>
      <c r="AD169" s="230">
        <f>(INDEX(Models!$BJ169:$BT169,,AH169)*(1-AF169)+INDEX(Models!$BJ169:$BT169,,AH169+1)*AF169-ERP_i)*AE169*Ramure*Pc/MaxiM</f>
        <v>-1.5653625717230827E-20</v>
      </c>
      <c r="AE169" s="304">
        <f t="shared" si="62"/>
        <v>0.6</v>
      </c>
      <c r="AF169" s="177">
        <f t="shared" si="63"/>
        <v>0.21812745155737065</v>
      </c>
      <c r="AG169" s="799">
        <f t="shared" si="71"/>
        <v>0</v>
      </c>
      <c r="AH169" s="176">
        <f t="shared" si="64"/>
        <v>6</v>
      </c>
      <c r="AI169" s="224">
        <f t="shared" si="65"/>
        <v>0.21812745155737065</v>
      </c>
      <c r="AJ169" s="264" t="b">
        <f t="shared" si="66"/>
        <v>0</v>
      </c>
      <c r="AK169" s="264" t="b">
        <f t="shared" si="67"/>
        <v>0</v>
      </c>
      <c r="AL169" s="264"/>
      <c r="AM169" s="264"/>
      <c r="AN169" s="264"/>
    </row>
    <row r="170" spans="1:40" s="18" customFormat="1" ht="11.25" x14ac:dyDescent="0.2">
      <c r="A170" s="56">
        <f t="shared" si="68"/>
        <v>44717</v>
      </c>
      <c r="B170" s="607">
        <v>36.1</v>
      </c>
      <c r="C170" s="388"/>
      <c r="D170" s="391">
        <f t="shared" si="48"/>
        <v>36.954716178545141</v>
      </c>
      <c r="E170" s="383">
        <f t="shared" ref="E170:E232" si="72">Wh_pvt/(1-Psa)</f>
        <v>37.410873393606138</v>
      </c>
      <c r="F170" s="383">
        <f t="shared" si="49"/>
        <v>37.410873393606138</v>
      </c>
      <c r="G170" s="110">
        <f t="shared" ref="G170:G232" si="73">+Wh_hp/MaxiM</f>
        <v>0.5941367600411972</v>
      </c>
      <c r="H170" s="412" t="b">
        <f>Wh_hp&gt;='2021'!Maxi_hp</f>
        <v>0</v>
      </c>
      <c r="I170" s="379">
        <f>IF(H170,Wh_hp,'2021'!Maxi_hp)</f>
        <v>42.628678562631272</v>
      </c>
      <c r="J170" s="85">
        <f>IF(H170,An,'2021'!An_max)</f>
        <v>2021</v>
      </c>
      <c r="K170" s="197">
        <f t="shared" si="50"/>
        <v>44717</v>
      </c>
      <c r="L170" s="147">
        <f>IF(t&lt;Tvie,1-EXP((T0-t)*PertePVj)+'2021'!Pspv,1-EXP((T0-t)*PertePVj)+Pspv)</f>
        <v>2.3128744228899434E-2</v>
      </c>
      <c r="M170" s="832"/>
      <c r="N170" s="832"/>
      <c r="O170" s="48">
        <f>IF(t&lt;Tnet,'2021'!Resal+('2021'!Salim-'2021'!Resal)*(1-EXP(('2021'!Tnet-t)/('2021'!Tau_j))),Resal+(Salim-Resal)*(1-EXP((Tnet-t)/(Tau_j))))*Salcycl</f>
        <v>1.2193172029470869E-2</v>
      </c>
      <c r="P170" s="169">
        <f>(INDEX(Models!$BJ170:$BT170,,T170)*(1-R170)+INDEX(Models!$BJ170:$BT170,,T170+1)*R170-ERP_i)*Q170*Ramure*Pc/MaxiM</f>
        <v>0</v>
      </c>
      <c r="Q170" s="304">
        <f t="shared" si="51"/>
        <v>0.6</v>
      </c>
      <c r="R170" s="177">
        <f t="shared" si="52"/>
        <v>0.2232079524276426</v>
      </c>
      <c r="S170" s="799">
        <f t="shared" si="53"/>
        <v>0</v>
      </c>
      <c r="T170" s="176">
        <f t="shared" si="54"/>
        <v>6</v>
      </c>
      <c r="U170" s="250">
        <f t="shared" si="55"/>
        <v>0.2232079524276426</v>
      </c>
      <c r="V170" s="382">
        <f t="shared" si="56"/>
        <v>60.760421552601528</v>
      </c>
      <c r="W170" s="400"/>
      <c r="X170" s="157">
        <f t="shared" si="57"/>
        <v>44717</v>
      </c>
      <c r="Y170" s="383">
        <f t="shared" si="58"/>
        <v>32.196398509946675</v>
      </c>
      <c r="Z170" s="383">
        <f t="shared" si="59"/>
        <v>32.958691659457429</v>
      </c>
      <c r="AA170" s="384">
        <f t="shared" si="60"/>
        <v>37.410873393606138</v>
      </c>
      <c r="AB170" s="197">
        <f t="shared" si="61"/>
        <v>44717</v>
      </c>
      <c r="AC170" s="119">
        <f>IF(OR(t&lt;Tnet,NoTnet),'2021'!Resal_s+('2021'!Salim-'2021'!Resal_s)*(1-EXP(('2021'!Tnet_s-t)/'2021'!Tau_j)),Resal_s+(Salim-Resal_s)*(1-EXP((Tnet_s-t)/Tau_j)))*Salcycl</f>
        <v>0.11900769295885048</v>
      </c>
      <c r="AD170" s="230">
        <f>(INDEX(Models!$BJ170:$BT170,,AH170)*(1-AF170)+INDEX(Models!$BJ170:$BT170,,AH170+1)*AF170-ERP_i)*AE170*Ramure*Pc/MaxiM</f>
        <v>0</v>
      </c>
      <c r="AE170" s="304">
        <f t="shared" si="62"/>
        <v>0.6</v>
      </c>
      <c r="AF170" s="177">
        <f t="shared" si="63"/>
        <v>0.2232079524276426</v>
      </c>
      <c r="AG170" s="799">
        <f t="shared" si="71"/>
        <v>0</v>
      </c>
      <c r="AH170" s="176">
        <f t="shared" si="64"/>
        <v>6</v>
      </c>
      <c r="AI170" s="224">
        <f t="shared" si="65"/>
        <v>0.2232079524276426</v>
      </c>
      <c r="AJ170" s="264" t="b">
        <f t="shared" si="66"/>
        <v>0</v>
      </c>
      <c r="AK170" s="264" t="b">
        <f t="shared" si="67"/>
        <v>0</v>
      </c>
      <c r="AL170" s="264"/>
      <c r="AM170" s="264"/>
      <c r="AN170" s="264"/>
    </row>
    <row r="171" spans="1:40" s="6" customFormat="1" ht="11.25" x14ac:dyDescent="0.2">
      <c r="A171" s="56">
        <f t="shared" si="68"/>
        <v>44718</v>
      </c>
      <c r="B171" s="607">
        <v>51.734999999999999</v>
      </c>
      <c r="C171" s="388"/>
      <c r="D171" s="391">
        <f t="shared" si="48"/>
        <v>52.960910870118909</v>
      </c>
      <c r="E171" s="383">
        <f t="shared" si="72"/>
        <v>53.619590788575124</v>
      </c>
      <c r="F171" s="383">
        <f t="shared" si="49"/>
        <v>53.619590788575124</v>
      </c>
      <c r="G171" s="110">
        <f t="shared" si="73"/>
        <v>0.85199065576218946</v>
      </c>
      <c r="H171" s="412" t="b">
        <f>Wh_hp&gt;='2021'!Maxi_hp</f>
        <v>0</v>
      </c>
      <c r="I171" s="379">
        <f>IF(H171,Wh_hp,'2021'!Maxi_hp)</f>
        <v>54.411394736000254</v>
      </c>
      <c r="J171" s="85">
        <f>IF(H171,An,'2021'!An_max)</f>
        <v>2018</v>
      </c>
      <c r="K171" s="197">
        <f t="shared" si="50"/>
        <v>44718</v>
      </c>
      <c r="L171" s="147">
        <f>IF(t&lt;Tvie,1-EXP((T0-t)*PertePVj)+'2021'!Pspv,1-EXP((T0-t)*PertePVj)+Pspv)</f>
        <v>2.3147465743656226E-2</v>
      </c>
      <c r="M171" s="832"/>
      <c r="N171" s="832"/>
      <c r="O171" s="48">
        <f>IF(t&lt;Tnet,'2021'!Resal+('2021'!Salim-'2021'!Resal)*(1-EXP(('2021'!Tnet-t)/('2021'!Tau_j))),Resal+(Salim-Resal)*(1-EXP((Tnet-t)/(Tau_j))))*Salcycl</f>
        <v>1.2284314534466141E-2</v>
      </c>
      <c r="P171" s="169">
        <f>(INDEX(Models!$BJ171:$BT171,,T171)*(1-R171)+INDEX(Models!$BJ171:$BT171,,T171+1)*R171-ERP_i)*Q171*Ramure*Pc/MaxiM</f>
        <v>0</v>
      </c>
      <c r="Q171" s="304">
        <f t="shared" si="51"/>
        <v>0.6</v>
      </c>
      <c r="R171" s="177">
        <f t="shared" si="52"/>
        <v>0.22830987097478256</v>
      </c>
      <c r="S171" s="799">
        <f t="shared" si="53"/>
        <v>0</v>
      </c>
      <c r="T171" s="176">
        <f t="shared" si="54"/>
        <v>6</v>
      </c>
      <c r="U171" s="250">
        <f t="shared" si="55"/>
        <v>0.22830987097478256</v>
      </c>
      <c r="V171" s="382">
        <f t="shared" si="56"/>
        <v>60.722496954755862</v>
      </c>
      <c r="W171" s="400"/>
      <c r="X171" s="157">
        <f t="shared" si="57"/>
        <v>44718</v>
      </c>
      <c r="Y171" s="383">
        <f t="shared" si="58"/>
        <v>46.141775692488679</v>
      </c>
      <c r="Z171" s="383">
        <f t="shared" si="59"/>
        <v>47.235149702114853</v>
      </c>
      <c r="AA171" s="384">
        <f t="shared" si="60"/>
        <v>53.619590788575124</v>
      </c>
      <c r="AB171" s="197">
        <f t="shared" si="61"/>
        <v>44718</v>
      </c>
      <c r="AC171" s="119">
        <f>IF(OR(t&lt;Tnet,NoTnet),'2021'!Resal_s+('2021'!Salim-'2021'!Resal_s)*(1-EXP(('2021'!Tnet_s-t)/'2021'!Tau_j)),Resal_s+(Salim-Resal_s)*(1-EXP((Tnet_s-t)/Tau_j)))*Salcycl</f>
        <v>0.11906918707444936</v>
      </c>
      <c r="AD171" s="230">
        <f>(INDEX(Models!$BJ171:$BT171,,AH171)*(1-AF171)+INDEX(Models!$BJ171:$BT171,,AH171+1)*AF171-ERP_i)*AE171*Ramure*Pc/MaxiM</f>
        <v>0</v>
      </c>
      <c r="AE171" s="304">
        <f t="shared" si="62"/>
        <v>0.6</v>
      </c>
      <c r="AF171" s="177">
        <f t="shared" si="63"/>
        <v>0.22830987097478256</v>
      </c>
      <c r="AG171" s="799">
        <f t="shared" si="71"/>
        <v>0</v>
      </c>
      <c r="AH171" s="176">
        <f t="shared" si="64"/>
        <v>6</v>
      </c>
      <c r="AI171" s="224">
        <f t="shared" si="65"/>
        <v>0.22830987097478256</v>
      </c>
      <c r="AJ171" s="264" t="b">
        <f t="shared" si="66"/>
        <v>0</v>
      </c>
      <c r="AK171" s="264" t="b">
        <f t="shared" si="67"/>
        <v>0</v>
      </c>
      <c r="AL171" s="264"/>
      <c r="AM171" s="264"/>
      <c r="AN171" s="75"/>
    </row>
    <row r="172" spans="1:40" s="6" customFormat="1" ht="11.25" x14ac:dyDescent="0.2">
      <c r="A172" s="56">
        <f t="shared" si="68"/>
        <v>44719</v>
      </c>
      <c r="B172" s="607">
        <v>26.614000000000001</v>
      </c>
      <c r="C172" s="388"/>
      <c r="D172" s="391">
        <f t="shared" si="48"/>
        <v>27.24516662207834</v>
      </c>
      <c r="E172" s="383">
        <f t="shared" si="72"/>
        <v>27.586560283690957</v>
      </c>
      <c r="F172" s="383">
        <f t="shared" si="49"/>
        <v>27.586560283690957</v>
      </c>
      <c r="G172" s="110">
        <f t="shared" si="73"/>
        <v>0.43857703834635148</v>
      </c>
      <c r="H172" s="412" t="b">
        <f>Wh_hp&gt;='2021'!Maxi_hp</f>
        <v>0</v>
      </c>
      <c r="I172" s="379">
        <f>IF(H172,Wh_hp,'2021'!Maxi_hp)</f>
        <v>54.292344061536546</v>
      </c>
      <c r="J172" s="85">
        <f>IF(H172,An,'2021'!An_max)</f>
        <v>2021</v>
      </c>
      <c r="K172" s="197">
        <f t="shared" si="50"/>
        <v>44719</v>
      </c>
      <c r="L172" s="147">
        <f>IF(t&lt;Tvie,1-EXP((T0-t)*PertePVj)+'2021'!Pspv,1-EXP((T0-t)*PertePVj)+Pspv)</f>
        <v>2.3166186899619357E-2</v>
      </c>
      <c r="M172" s="832"/>
      <c r="N172" s="832"/>
      <c r="O172" s="48">
        <f>IF(t&lt;Tnet,'2021'!Resal+('2021'!Salim-'2021'!Resal)*(1-EXP(('2021'!Tnet-t)/('2021'!Tau_j))),Resal+(Salim-Resal)*(1-EXP((Tnet-t)/(Tau_j))))*Salcycl</f>
        <v>1.2375361701561872E-2</v>
      </c>
      <c r="P172" s="169">
        <f>(INDEX(Models!$BJ172:$BT172,,T172)*(1-R172)+INDEX(Models!$BJ172:$BT172,,T172+1)*R172-ERP_i)*Q172*Ramure*Pc/MaxiM</f>
        <v>0</v>
      </c>
      <c r="Q172" s="304">
        <f t="shared" si="51"/>
        <v>0.6</v>
      </c>
      <c r="R172" s="177">
        <f t="shared" si="52"/>
        <v>0.23342901039260855</v>
      </c>
      <c r="S172" s="799">
        <f t="shared" si="53"/>
        <v>0</v>
      </c>
      <c r="T172" s="176">
        <f t="shared" si="54"/>
        <v>6</v>
      </c>
      <c r="U172" s="250">
        <f t="shared" si="55"/>
        <v>0.23342901039260855</v>
      </c>
      <c r="V172" s="382">
        <f t="shared" si="56"/>
        <v>60.682611429790569</v>
      </c>
      <c r="W172" s="400"/>
      <c r="X172" s="157">
        <f t="shared" si="57"/>
        <v>44719</v>
      </c>
      <c r="Y172" s="383">
        <f t="shared" si="58"/>
        <v>23.737245243281397</v>
      </c>
      <c r="Z172" s="383">
        <f t="shared" si="59"/>
        <v>24.300187938766744</v>
      </c>
      <c r="AA172" s="384">
        <f t="shared" si="60"/>
        <v>27.586560283690957</v>
      </c>
      <c r="AB172" s="197">
        <f t="shared" si="61"/>
        <v>44719</v>
      </c>
      <c r="AC172" s="119">
        <f>IF(OR(t&lt;Tnet,NoTnet),'2021'!Resal_s+('2021'!Salim-'2021'!Resal_s)*(1-EXP(('2021'!Tnet_s-t)/'2021'!Tau_j)),Resal_s+(Salim-Resal_s)*(1-EXP((Tnet_s-t)/Tau_j)))*Salcycl</f>
        <v>0.11912947142116526</v>
      </c>
      <c r="AD172" s="230">
        <f>(INDEX(Models!$BJ172:$BT172,,AH172)*(1-AF172)+INDEX(Models!$BJ172:$BT172,,AH172+1)*AF172-ERP_i)*AE172*Ramure*Pc/MaxiM</f>
        <v>0</v>
      </c>
      <c r="AE172" s="304">
        <f t="shared" si="62"/>
        <v>0.6</v>
      </c>
      <c r="AF172" s="177">
        <f t="shared" si="63"/>
        <v>0.23342901039260855</v>
      </c>
      <c r="AG172" s="799">
        <f t="shared" si="71"/>
        <v>0</v>
      </c>
      <c r="AH172" s="176">
        <f t="shared" si="64"/>
        <v>6</v>
      </c>
      <c r="AI172" s="224">
        <f t="shared" si="65"/>
        <v>0.23342901039260855</v>
      </c>
      <c r="AJ172" s="264" t="b">
        <f t="shared" si="66"/>
        <v>0</v>
      </c>
      <c r="AK172" s="264" t="b">
        <f t="shared" si="67"/>
        <v>0</v>
      </c>
      <c r="AL172" s="264"/>
      <c r="AM172" s="264"/>
      <c r="AN172" s="75"/>
    </row>
    <row r="173" spans="1:40" s="6" customFormat="1" ht="11.25" x14ac:dyDescent="0.2">
      <c r="A173" s="56">
        <f t="shared" si="68"/>
        <v>44720</v>
      </c>
      <c r="B173" s="607">
        <v>21.975999999999999</v>
      </c>
      <c r="C173" s="388"/>
      <c r="D173" s="391">
        <f t="shared" si="48"/>
        <v>22.497604892839465</v>
      </c>
      <c r="E173" s="383">
        <f t="shared" si="72"/>
        <v>22.781607288788567</v>
      </c>
      <c r="F173" s="383">
        <f t="shared" si="49"/>
        <v>22.781607288788567</v>
      </c>
      <c r="G173" s="110">
        <f t="shared" si="73"/>
        <v>0.3623958548232934</v>
      </c>
      <c r="H173" s="412" t="b">
        <f>Wh_hp&gt;='2021'!Maxi_hp</f>
        <v>0</v>
      </c>
      <c r="I173" s="379">
        <f>IF(H173,Wh_hp,'2021'!Maxi_hp)</f>
        <v>63.783632046651569</v>
      </c>
      <c r="J173" s="85">
        <f>IF(H173,An,'2021'!An_max)</f>
        <v>2018</v>
      </c>
      <c r="K173" s="197">
        <f t="shared" si="50"/>
        <v>44720</v>
      </c>
      <c r="L173" s="147">
        <f>IF(t&lt;Tvie,1-EXP((T0-t)*PertePVj)+'2021'!Pspv,1-EXP((T0-t)*PertePVj)+Pspv)</f>
        <v>2.318490769679582E-2</v>
      </c>
      <c r="M173" s="832"/>
      <c r="N173" s="832"/>
      <c r="O173" s="48">
        <f>IF(t&lt;Tnet,'2021'!Resal+('2021'!Salim-'2021'!Resal)*(1-EXP(('2021'!Tnet-t)/('2021'!Tau_j))),Resal+(Salim-Resal)*(1-EXP((Tnet-t)/(Tau_j))))*Salcycl</f>
        <v>1.2466301975491827E-2</v>
      </c>
      <c r="P173" s="169">
        <f>(INDEX(Models!$BJ173:$BT173,,T173)*(1-R173)+INDEX(Models!$BJ173:$BT173,,T173+1)*R173-ERP_i)*Q173*Ramure*Pc/MaxiM</f>
        <v>-1.6172830190142663E-20</v>
      </c>
      <c r="Q173" s="304">
        <f t="shared" si="51"/>
        <v>0.6</v>
      </c>
      <c r="R173" s="177">
        <f t="shared" si="52"/>
        <v>0.23856111634587504</v>
      </c>
      <c r="S173" s="799">
        <f t="shared" si="53"/>
        <v>0</v>
      </c>
      <c r="T173" s="176">
        <f t="shared" si="54"/>
        <v>6</v>
      </c>
      <c r="U173" s="250">
        <f t="shared" si="55"/>
        <v>0.23856111634587504</v>
      </c>
      <c r="V173" s="382">
        <f t="shared" si="56"/>
        <v>60.640870218329738</v>
      </c>
      <c r="W173" s="400"/>
      <c r="X173" s="157">
        <f t="shared" si="57"/>
        <v>44720</v>
      </c>
      <c r="Y173" s="383">
        <f t="shared" si="58"/>
        <v>19.601067207345725</v>
      </c>
      <c r="Z173" s="383">
        <f t="shared" si="59"/>
        <v>20.066302580490369</v>
      </c>
      <c r="AA173" s="384">
        <f t="shared" si="60"/>
        <v>22.781607288788567</v>
      </c>
      <c r="AB173" s="197">
        <f t="shared" si="61"/>
        <v>44720</v>
      </c>
      <c r="AC173" s="119">
        <f>IF(OR(t&lt;Tnet,NoTnet),'2021'!Resal_s+('2021'!Salim-'2021'!Resal_s)*(1-EXP(('2021'!Tnet_s-t)/'2021'!Tau_j)),Resal_s+(Salim-Resal_s)*(1-EXP((Tnet_s-t)/Tau_j)))*Salcycl</f>
        <v>0.11918846084378211</v>
      </c>
      <c r="AD173" s="230">
        <f>(INDEX(Models!$BJ173:$BT173,,AH173)*(1-AF173)+INDEX(Models!$BJ173:$BT173,,AH173+1)*AF173-ERP_i)*AE173*Ramure*Pc/MaxiM</f>
        <v>-1.6172830190142663E-20</v>
      </c>
      <c r="AE173" s="304">
        <f t="shared" si="62"/>
        <v>0.6</v>
      </c>
      <c r="AF173" s="177">
        <f t="shared" si="63"/>
        <v>0.23856111634587504</v>
      </c>
      <c r="AG173" s="799">
        <f t="shared" si="71"/>
        <v>0</v>
      </c>
      <c r="AH173" s="176">
        <f t="shared" si="64"/>
        <v>6</v>
      </c>
      <c r="AI173" s="224">
        <f t="shared" si="65"/>
        <v>0.23856111634587504</v>
      </c>
      <c r="AJ173" s="264" t="b">
        <f t="shared" si="66"/>
        <v>0</v>
      </c>
      <c r="AK173" s="264" t="b">
        <f t="shared" si="67"/>
        <v>0</v>
      </c>
      <c r="AL173" s="264"/>
      <c r="AM173" s="264"/>
      <c r="AN173" s="75"/>
    </row>
    <row r="174" spans="1:40" s="6" customFormat="1" ht="11.25" x14ac:dyDescent="0.2">
      <c r="A174" s="56">
        <f t="shared" si="68"/>
        <v>44721</v>
      </c>
      <c r="B174" s="607">
        <v>51.841000000000001</v>
      </c>
      <c r="C174" s="388"/>
      <c r="D174" s="391">
        <f t="shared" si="48"/>
        <v>53.072473949744563</v>
      </c>
      <c r="E174" s="383">
        <f t="shared" si="72"/>
        <v>53.747386544102199</v>
      </c>
      <c r="F174" s="383">
        <f t="shared" si="49"/>
        <v>53.747386544102199</v>
      </c>
      <c r="G174" s="110">
        <f t="shared" si="73"/>
        <v>0.85549905425975226</v>
      </c>
      <c r="H174" s="412" t="b">
        <f>Wh_hp&gt;='2021'!Maxi_hp</f>
        <v>0</v>
      </c>
      <c r="I174" s="379">
        <f>IF(H174,Wh_hp,'2021'!Maxi_hp)</f>
        <v>60.032633975701692</v>
      </c>
      <c r="J174" s="85">
        <f>IF(H174,An,'2021'!An_max)</f>
        <v>2021</v>
      </c>
      <c r="K174" s="197">
        <f t="shared" si="50"/>
        <v>44721</v>
      </c>
      <c r="L174" s="147">
        <f>IF(t&lt;Tvie,1-EXP((T0-t)*PertePVj)+'2021'!Pspv,1-EXP((T0-t)*PertePVj)+Pspv)</f>
        <v>2.32036281351925E-2</v>
      </c>
      <c r="M174" s="832"/>
      <c r="N174" s="832"/>
      <c r="O174" s="48">
        <f>IF(t&lt;Tnet,'2021'!Resal+('2021'!Salim-'2021'!Resal)*(1-EXP(('2021'!Tnet-t)/('2021'!Tau_j))),Resal+(Salim-Resal)*(1-EXP((Tnet-t)/(Tau_j))))*Salcycl</f>
        <v>1.2557123941344298E-2</v>
      </c>
      <c r="P174" s="169">
        <f>(INDEX(Models!$BJ174:$BT174,,T174)*(1-R174)+INDEX(Models!$BJ174:$BT174,,T174+1)*R174-ERP_i)*Q174*Ramure*Pc/MaxiM</f>
        <v>0</v>
      </c>
      <c r="Q174" s="304">
        <f t="shared" si="51"/>
        <v>0.6</v>
      </c>
      <c r="R174" s="177">
        <f t="shared" si="52"/>
        <v>0.24370189099018091</v>
      </c>
      <c r="S174" s="799">
        <f t="shared" si="53"/>
        <v>0</v>
      </c>
      <c r="T174" s="176">
        <f t="shared" si="54"/>
        <v>6</v>
      </c>
      <c r="U174" s="250">
        <f t="shared" si="55"/>
        <v>0.24370189099018091</v>
      </c>
      <c r="V174" s="382">
        <f t="shared" si="56"/>
        <v>60.597378503073948</v>
      </c>
      <c r="W174" s="400"/>
      <c r="X174" s="157">
        <f t="shared" si="57"/>
        <v>44721</v>
      </c>
      <c r="Y174" s="383">
        <f t="shared" si="58"/>
        <v>46.239803229011969</v>
      </c>
      <c r="Z174" s="383">
        <f t="shared" si="59"/>
        <v>47.338221722440778</v>
      </c>
      <c r="AA174" s="384">
        <f t="shared" si="60"/>
        <v>53.747386544102199</v>
      </c>
      <c r="AB174" s="197">
        <f t="shared" si="61"/>
        <v>44721</v>
      </c>
      <c r="AC174" s="119">
        <f>IF(OR(t&lt;Tnet,NoTnet),'2021'!Resal_s+('2021'!Salim-'2021'!Resal_s)*(1-EXP(('2021'!Tnet_s-t)/'2021'!Tau_j)),Resal_s+(Salim-Resal_s)*(1-EXP((Tnet_s-t)/Tau_j)))*Salcycl</f>
        <v>0.1192460737863488</v>
      </c>
      <c r="AD174" s="230">
        <f>(INDEX(Models!$BJ174:$BT174,,AH174)*(1-AF174)+INDEX(Models!$BJ174:$BT174,,AH174+1)*AF174-ERP_i)*AE174*Ramure*Pc/MaxiM</f>
        <v>0</v>
      </c>
      <c r="AE174" s="304">
        <f t="shared" si="62"/>
        <v>0.6</v>
      </c>
      <c r="AF174" s="177">
        <f t="shared" si="63"/>
        <v>0.24370189099018091</v>
      </c>
      <c r="AG174" s="799">
        <f t="shared" si="71"/>
        <v>0</v>
      </c>
      <c r="AH174" s="176">
        <f t="shared" si="64"/>
        <v>6</v>
      </c>
      <c r="AI174" s="224">
        <f t="shared" si="65"/>
        <v>0.24370189099018091</v>
      </c>
      <c r="AJ174" s="264" t="b">
        <f t="shared" si="66"/>
        <v>0</v>
      </c>
      <c r="AK174" s="264" t="b">
        <f t="shared" si="67"/>
        <v>0</v>
      </c>
      <c r="AL174" s="264"/>
      <c r="AM174" s="264"/>
      <c r="AN174" s="75"/>
    </row>
    <row r="175" spans="1:40" s="6" customFormat="1" ht="11.25" x14ac:dyDescent="0.2">
      <c r="A175" s="56">
        <f t="shared" si="68"/>
        <v>44722</v>
      </c>
      <c r="B175" s="607">
        <v>59.873000000000005</v>
      </c>
      <c r="C175" s="388"/>
      <c r="D175" s="391">
        <f t="shared" si="48"/>
        <v>61.296447446944121</v>
      </c>
      <c r="E175" s="383">
        <f t="shared" si="72"/>
        <v>62.081644689027698</v>
      </c>
      <c r="F175" s="383">
        <f t="shared" si="49"/>
        <v>62.081644689027698</v>
      </c>
      <c r="G175" s="110">
        <f t="shared" si="73"/>
        <v>0.98878255555832673</v>
      </c>
      <c r="H175" s="412" t="b">
        <f>Wh_hp&gt;='2021'!Maxi_hp</f>
        <v>1</v>
      </c>
      <c r="I175" s="379">
        <f>IF(H175,Wh_hp,'2021'!Maxi_hp)</f>
        <v>62.081644689027698</v>
      </c>
      <c r="J175" s="85">
        <f>IF(H175,An,'2021'!An_max)</f>
        <v>2022</v>
      </c>
      <c r="K175" s="197">
        <f t="shared" si="50"/>
        <v>44722</v>
      </c>
      <c r="L175" s="147">
        <f>IF(t&lt;Tvie,1-EXP((T0-t)*PertePVj)+'2021'!Pspv,1-EXP((T0-t)*PertePVj)+Pspv)</f>
        <v>2.3222348214816169E-2</v>
      </c>
      <c r="M175" s="832"/>
      <c r="N175" s="832"/>
      <c r="O175" s="48">
        <f>IF(t&lt;Tnet,'2021'!Resal+('2021'!Salim-'2021'!Resal)*(1-EXP(('2021'!Tnet-t)/('2021'!Tau_j))),Resal+(Salim-Resal)*(1-EXP((Tnet-t)/(Tau_j))))*Salcycl</f>
        <v>1.2647816371758519E-2</v>
      </c>
      <c r="P175" s="169">
        <f>(INDEX(Models!$BJ175:$BT175,,T175)*(1-R175)+INDEX(Models!$BJ175:$BT175,,T175+1)*R175-ERP_i)*Q175*Ramure*Pc/MaxiM</f>
        <v>-1.6423440873775281E-20</v>
      </c>
      <c r="Q175" s="304">
        <f t="shared" si="51"/>
        <v>0.6</v>
      </c>
      <c r="R175" s="177">
        <f t="shared" si="52"/>
        <v>0.24884700730119244</v>
      </c>
      <c r="S175" s="799">
        <f t="shared" si="53"/>
        <v>0</v>
      </c>
      <c r="T175" s="176">
        <f t="shared" si="54"/>
        <v>6</v>
      </c>
      <c r="U175" s="250">
        <f t="shared" si="55"/>
        <v>0.24884700730119244</v>
      </c>
      <c r="V175" s="382">
        <f t="shared" si="56"/>
        <v>60.552241403765528</v>
      </c>
      <c r="W175" s="400"/>
      <c r="X175" s="157">
        <f t="shared" si="57"/>
        <v>44722</v>
      </c>
      <c r="Y175" s="383">
        <f t="shared" si="58"/>
        <v>53.405480132732343</v>
      </c>
      <c r="Z175" s="383">
        <f t="shared" si="59"/>
        <v>54.675165873346018</v>
      </c>
      <c r="AA175" s="384">
        <f t="shared" si="60"/>
        <v>62.081644689027698</v>
      </c>
      <c r="AB175" s="197">
        <f t="shared" si="61"/>
        <v>44722</v>
      </c>
      <c r="AC175" s="119">
        <f>IF(OR(t&lt;Tnet,NoTnet),'2021'!Resal_s+('2021'!Salim-'2021'!Resal_s)*(1-EXP(('2021'!Tnet_s-t)/'2021'!Tau_j)),Resal_s+(Salim-Resal_s)*(1-EXP((Tnet_s-t)/Tau_j)))*Salcycl</f>
        <v>0.11930223261289814</v>
      </c>
      <c r="AD175" s="230">
        <f>(INDEX(Models!$BJ175:$BT175,,AH175)*(1-AF175)+INDEX(Models!$BJ175:$BT175,,AH175+1)*AF175-ERP_i)*AE175*Ramure*Pc/MaxiM</f>
        <v>-1.6423440873775281E-20</v>
      </c>
      <c r="AE175" s="304">
        <f t="shared" si="62"/>
        <v>0.6</v>
      </c>
      <c r="AF175" s="177">
        <f t="shared" si="63"/>
        <v>0.24884700730119244</v>
      </c>
      <c r="AG175" s="799">
        <f t="shared" si="71"/>
        <v>0</v>
      </c>
      <c r="AH175" s="176">
        <f t="shared" si="64"/>
        <v>6</v>
      </c>
      <c r="AI175" s="224">
        <f t="shared" si="65"/>
        <v>0.24884700730119244</v>
      </c>
      <c r="AJ175" s="264" t="b">
        <f t="shared" si="66"/>
        <v>0</v>
      </c>
      <c r="AK175" s="264" t="b">
        <f t="shared" si="67"/>
        <v>0</v>
      </c>
      <c r="AL175" s="264"/>
      <c r="AM175" s="264"/>
      <c r="AN175" s="75"/>
    </row>
    <row r="176" spans="1:40" s="6" customFormat="1" ht="11.25" x14ac:dyDescent="0.2">
      <c r="A176" s="56">
        <f t="shared" si="68"/>
        <v>44723</v>
      </c>
      <c r="B176" s="607">
        <v>58.163000000000004</v>
      </c>
      <c r="C176" s="388"/>
      <c r="D176" s="391">
        <f t="shared" si="48"/>
        <v>59.546934346508316</v>
      </c>
      <c r="E176" s="383">
        <f t="shared" si="72"/>
        <v>60.315252242082352</v>
      </c>
      <c r="F176" s="383">
        <f t="shared" si="49"/>
        <v>60.315252242082352</v>
      </c>
      <c r="G176" s="110">
        <f t="shared" si="73"/>
        <v>0.96128349484104114</v>
      </c>
      <c r="H176" s="412" t="b">
        <f>Wh_hp&gt;='2021'!Maxi_hp</f>
        <v>1</v>
      </c>
      <c r="I176" s="379">
        <f>IF(H176,Wh_hp,'2021'!Maxi_hp)</f>
        <v>60.315252242082352</v>
      </c>
      <c r="J176" s="85">
        <f>IF(H176,An,'2021'!An_max)</f>
        <v>2022</v>
      </c>
      <c r="K176" s="197">
        <f t="shared" si="50"/>
        <v>44723</v>
      </c>
      <c r="L176" s="147">
        <f>IF(t&lt;Tvie,1-EXP((T0-t)*PertePVj)+'2021'!Pspv,1-EXP((T0-t)*PertePVj)+Pspv)</f>
        <v>2.324106793567382E-2</v>
      </c>
      <c r="M176" s="832"/>
      <c r="N176" s="832"/>
      <c r="O176" s="48">
        <f>IF(t&lt;Tnet,'2021'!Resal+('2021'!Salim-'2021'!Resal)*(1-EXP(('2021'!Tnet-t)/('2021'!Tau_j))),Resal+(Salim-Resal)*(1-EXP((Tnet-t)/(Tau_j))))*Salcycl</f>
        <v>1.273836827358862E-2</v>
      </c>
      <c r="P176" s="169">
        <f>(INDEX(Models!$BJ176:$BT176,,T176)*(1-R176)+INDEX(Models!$BJ176:$BT176,,T176+1)*R176-ERP_i)*Q176*Ramure*Pc/MaxiM</f>
        <v>-1.6545981072515534E-20</v>
      </c>
      <c r="Q176" s="304">
        <f t="shared" si="51"/>
        <v>0.6</v>
      </c>
      <c r="R176" s="177">
        <f t="shared" si="52"/>
        <v>0.25399212361220397</v>
      </c>
      <c r="S176" s="799">
        <f t="shared" si="53"/>
        <v>0</v>
      </c>
      <c r="T176" s="176">
        <f t="shared" si="54"/>
        <v>6</v>
      </c>
      <c r="U176" s="250">
        <f t="shared" si="55"/>
        <v>0.25399212361220397</v>
      </c>
      <c r="V176" s="382">
        <f t="shared" si="56"/>
        <v>60.505563979976479</v>
      </c>
      <c r="W176" s="400"/>
      <c r="X176" s="157">
        <f t="shared" si="57"/>
        <v>44723</v>
      </c>
      <c r="Y176" s="383">
        <f t="shared" si="58"/>
        <v>51.881735376262341</v>
      </c>
      <c r="Z176" s="383">
        <f t="shared" si="59"/>
        <v>53.116212888489436</v>
      </c>
      <c r="AA176" s="384">
        <f t="shared" si="60"/>
        <v>60.315252242082352</v>
      </c>
      <c r="AB176" s="197">
        <f t="shared" si="61"/>
        <v>44723</v>
      </c>
      <c r="AC176" s="119">
        <f>IF(OR(t&lt;Tnet,NoTnet),'2021'!Resal_s+('2021'!Salim-'2021'!Resal_s)*(1-EXP(('2021'!Tnet_s-t)/'2021'!Tau_j)),Resal_s+(Salim-Resal_s)*(1-EXP((Tnet_s-t)/Tau_j)))*Salcycl</f>
        <v>0.11935686391061961</v>
      </c>
      <c r="AD176" s="230">
        <f>(INDEX(Models!$BJ176:$BT176,,AH176)*(1-AF176)+INDEX(Models!$BJ176:$BT176,,AH176+1)*AF176-ERP_i)*AE176*Ramure*Pc/MaxiM</f>
        <v>-1.6545981072515534E-20</v>
      </c>
      <c r="AE176" s="304">
        <f t="shared" si="62"/>
        <v>0.6</v>
      </c>
      <c r="AF176" s="177">
        <f t="shared" si="63"/>
        <v>0.25399212361220397</v>
      </c>
      <c r="AG176" s="799">
        <f t="shared" si="71"/>
        <v>0</v>
      </c>
      <c r="AH176" s="176">
        <f t="shared" si="64"/>
        <v>6</v>
      </c>
      <c r="AI176" s="224">
        <f t="shared" si="65"/>
        <v>0.25399212361220397</v>
      </c>
      <c r="AJ176" s="264" t="b">
        <f t="shared" si="66"/>
        <v>0</v>
      </c>
      <c r="AK176" s="264" t="b">
        <f t="shared" si="67"/>
        <v>0</v>
      </c>
      <c r="AL176" s="264"/>
      <c r="AM176" s="264"/>
      <c r="AN176" s="75"/>
    </row>
    <row r="177" spans="1:40" s="6" customFormat="1" ht="11.25" x14ac:dyDescent="0.2">
      <c r="A177" s="56">
        <f t="shared" si="68"/>
        <v>44724</v>
      </c>
      <c r="B177" s="607">
        <v>45.813000000000002</v>
      </c>
      <c r="C177" s="388"/>
      <c r="D177" s="391">
        <f t="shared" si="48"/>
        <v>46.903976517210019</v>
      </c>
      <c r="E177" s="383">
        <f t="shared" si="72"/>
        <v>47.513516440857693</v>
      </c>
      <c r="F177" s="383">
        <f t="shared" si="49"/>
        <v>47.513516440857693</v>
      </c>
      <c r="G177" s="110">
        <f t="shared" si="73"/>
        <v>0.7577758536505671</v>
      </c>
      <c r="H177" s="412" t="b">
        <f>Wh_hp&gt;='2021'!Maxi_hp</f>
        <v>0</v>
      </c>
      <c r="I177" s="379">
        <f>IF(H177,Wh_hp,'2021'!Maxi_hp)</f>
        <v>58.629383345992608</v>
      </c>
      <c r="J177" s="85">
        <f>IF(H177,An,'2021'!An_max)</f>
        <v>2018</v>
      </c>
      <c r="K177" s="197">
        <f t="shared" si="50"/>
        <v>44724</v>
      </c>
      <c r="L177" s="147">
        <f>IF(t&lt;Tvie,1-EXP((T0-t)*PertePVj)+'2021'!Pspv,1-EXP((T0-t)*PertePVj)+Pspv)</f>
        <v>2.3259787297772339E-2</v>
      </c>
      <c r="M177" s="832"/>
      <c r="N177" s="832"/>
      <c r="O177" s="48">
        <f>IF(t&lt;Tnet,'2021'!Resal+('2021'!Salim-'2021'!Resal)*(1-EXP(('2021'!Tnet-t)/('2021'!Tau_j))),Resal+(Salim-Resal)*(1-EXP((Tnet-t)/(Tau_j))))*Salcycl</f>
        <v>1.2828768933707428E-2</v>
      </c>
      <c r="P177" s="169">
        <f>(INDEX(Models!$BJ177:$BT177,,T177)*(1-R177)+INDEX(Models!$BJ177:$BT177,,T177+1)*R177-ERP_i)*Q177*Ramure*Pc/MaxiM</f>
        <v>0</v>
      </c>
      <c r="Q177" s="304">
        <f t="shared" si="51"/>
        <v>0.6</v>
      </c>
      <c r="R177" s="177">
        <f t="shared" si="52"/>
        <v>0.25913289825650987</v>
      </c>
      <c r="S177" s="799">
        <f t="shared" si="53"/>
        <v>0</v>
      </c>
      <c r="T177" s="176">
        <f t="shared" si="54"/>
        <v>6</v>
      </c>
      <c r="U177" s="250">
        <f t="shared" si="55"/>
        <v>0.25913289825650987</v>
      </c>
      <c r="V177" s="382">
        <f t="shared" si="56"/>
        <v>60.457191634303165</v>
      </c>
      <c r="W177" s="400"/>
      <c r="X177" s="157">
        <f t="shared" si="57"/>
        <v>44724</v>
      </c>
      <c r="Y177" s="383">
        <f t="shared" si="58"/>
        <v>40.866744327550983</v>
      </c>
      <c r="Z177" s="383">
        <f t="shared" si="59"/>
        <v>41.839932252292513</v>
      </c>
      <c r="AA177" s="384">
        <f t="shared" si="60"/>
        <v>47.513516440857693</v>
      </c>
      <c r="AB177" s="197">
        <f t="shared" si="61"/>
        <v>44724</v>
      </c>
      <c r="AC177" s="119">
        <f>IF(OR(t&lt;Tnet,NoTnet),'2021'!Resal_s+('2021'!Salim-'2021'!Resal_s)*(1-EXP(('2021'!Tnet_s-t)/'2021'!Tau_j)),Resal_s+(Salim-Resal_s)*(1-EXP((Tnet_s-t)/Tau_j)))*Salcycl</f>
        <v>0.11940989877327553</v>
      </c>
      <c r="AD177" s="230">
        <f>(INDEX(Models!$BJ177:$BT177,,AH177)*(1-AF177)+INDEX(Models!$BJ177:$BT177,,AH177+1)*AF177-ERP_i)*AE177*Ramure*Pc/MaxiM</f>
        <v>0</v>
      </c>
      <c r="AE177" s="304">
        <f t="shared" si="62"/>
        <v>0.6</v>
      </c>
      <c r="AF177" s="177">
        <f t="shared" si="63"/>
        <v>0.25913289825650987</v>
      </c>
      <c r="AG177" s="799">
        <f t="shared" si="71"/>
        <v>0</v>
      </c>
      <c r="AH177" s="176">
        <f t="shared" si="64"/>
        <v>6</v>
      </c>
      <c r="AI177" s="224">
        <f t="shared" si="65"/>
        <v>0.25913289825650987</v>
      </c>
      <c r="AJ177" s="264" t="b">
        <f t="shared" si="66"/>
        <v>0</v>
      </c>
      <c r="AK177" s="264" t="b">
        <f t="shared" si="67"/>
        <v>0</v>
      </c>
      <c r="AL177" s="264"/>
      <c r="AM177" s="264"/>
      <c r="AN177" s="75"/>
    </row>
    <row r="178" spans="1:40" s="6" customFormat="1" ht="11.25" x14ac:dyDescent="0.2">
      <c r="A178" s="56">
        <f t="shared" si="68"/>
        <v>44725</v>
      </c>
      <c r="B178" s="607">
        <v>55.124000000000002</v>
      </c>
      <c r="C178" s="388"/>
      <c r="D178" s="391">
        <f t="shared" si="48"/>
        <v>56.437787389364509</v>
      </c>
      <c r="E178" s="383">
        <f t="shared" si="72"/>
        <v>57.176450407510856</v>
      </c>
      <c r="F178" s="383">
        <f t="shared" si="49"/>
        <v>57.176450407510856</v>
      </c>
      <c r="G178" s="110">
        <f t="shared" si="73"/>
        <v>0.91254474988575529</v>
      </c>
      <c r="H178" s="412" t="b">
        <f>Wh_hp&gt;='2021'!Maxi_hp</f>
        <v>0</v>
      </c>
      <c r="I178" s="379">
        <f>IF(H178,Wh_hp,'2021'!Maxi_hp)</f>
        <v>65.55404847482302</v>
      </c>
      <c r="J178" s="85">
        <f>IF(H178,An,'2021'!An_max)</f>
        <v>2018</v>
      </c>
      <c r="K178" s="197">
        <f t="shared" si="50"/>
        <v>44725</v>
      </c>
      <c r="L178" s="147">
        <f>IF(t&lt;Tvie,1-EXP((T0-t)*PertePVj)+'2021'!Pspv,1-EXP((T0-t)*PertePVj)+Pspv)</f>
        <v>2.3278506301118496E-2</v>
      </c>
      <c r="M178" s="832"/>
      <c r="N178" s="832"/>
      <c r="O178" s="48">
        <f>IF(t&lt;Tnet,'2021'!Resal+('2021'!Salim-'2021'!Resal)*(1-EXP(('2021'!Tnet-t)/('2021'!Tau_j))),Resal+(Salim-Resal)*(1-EXP((Tnet-t)/(Tau_j))))*Salcycl</f>
        <v>1.2919007963623341E-2</v>
      </c>
      <c r="P178" s="169">
        <f>(INDEX(Models!$BJ178:$BT178,,T178)*(1-R178)+INDEX(Models!$BJ178:$BT178,,T178+1)*R178-ERP_i)*Q178*Ramure*Pc/MaxiM</f>
        <v>0</v>
      </c>
      <c r="Q178" s="304">
        <f t="shared" si="51"/>
        <v>0.6</v>
      </c>
      <c r="R178" s="177">
        <f t="shared" si="52"/>
        <v>0.26426500420977639</v>
      </c>
      <c r="S178" s="799">
        <f t="shared" si="53"/>
        <v>0</v>
      </c>
      <c r="T178" s="176">
        <f t="shared" si="54"/>
        <v>6</v>
      </c>
      <c r="U178" s="250">
        <f t="shared" si="55"/>
        <v>0.26426500420977639</v>
      </c>
      <c r="V178" s="382">
        <f t="shared" si="56"/>
        <v>60.406900600656755</v>
      </c>
      <c r="W178" s="400"/>
      <c r="X178" s="157">
        <f t="shared" si="57"/>
        <v>44725</v>
      </c>
      <c r="Y178" s="383">
        <f t="shared" si="58"/>
        <v>49.174097338811762</v>
      </c>
      <c r="Z178" s="383">
        <f t="shared" si="59"/>
        <v>50.346078852619065</v>
      </c>
      <c r="AA178" s="384">
        <f t="shared" si="60"/>
        <v>57.176450407510856</v>
      </c>
      <c r="AB178" s="197">
        <f t="shared" si="61"/>
        <v>44725</v>
      </c>
      <c r="AC178" s="119">
        <f>IF(OR(t&lt;Tnet,NoTnet),'2021'!Resal_s+('2021'!Salim-'2021'!Resal_s)*(1-EXP(('2021'!Tnet_s-t)/'2021'!Tau_j)),Resal_s+(Salim-Resal_s)*(1-EXP((Tnet_s-t)/Tau_j)))*Salcycl</f>
        <v>0.1194612730627737</v>
      </c>
      <c r="AD178" s="230">
        <f>(INDEX(Models!$BJ178:$BT178,,AH178)*(1-AF178)+INDEX(Models!$BJ178:$BT178,,AH178+1)*AF178-ERP_i)*AE178*Ramure*Pc/MaxiM</f>
        <v>0</v>
      </c>
      <c r="AE178" s="304">
        <f t="shared" si="62"/>
        <v>0.6</v>
      </c>
      <c r="AF178" s="177">
        <f t="shared" si="63"/>
        <v>0.26426500420977639</v>
      </c>
      <c r="AG178" s="799">
        <f t="shared" si="71"/>
        <v>0</v>
      </c>
      <c r="AH178" s="176">
        <f t="shared" si="64"/>
        <v>6</v>
      </c>
      <c r="AI178" s="224">
        <f t="shared" si="65"/>
        <v>0.26426500420977639</v>
      </c>
      <c r="AJ178" s="264" t="b">
        <f t="shared" si="66"/>
        <v>0</v>
      </c>
      <c r="AK178" s="264" t="b">
        <f t="shared" si="67"/>
        <v>0</v>
      </c>
      <c r="AL178" s="264"/>
      <c r="AM178" s="264"/>
      <c r="AN178" s="75"/>
    </row>
    <row r="179" spans="1:40" s="6" customFormat="1" ht="11.25" x14ac:dyDescent="0.2">
      <c r="A179" s="56">
        <f t="shared" si="68"/>
        <v>44726</v>
      </c>
      <c r="B179" s="607">
        <v>53.012</v>
      </c>
      <c r="C179" s="388"/>
      <c r="D179" s="391">
        <f t="shared" si="48"/>
        <v>54.276491634882305</v>
      </c>
      <c r="E179" s="383">
        <f t="shared" si="72"/>
        <v>54.991885212847144</v>
      </c>
      <c r="F179" s="383">
        <f t="shared" si="49"/>
        <v>54.991885212847144</v>
      </c>
      <c r="G179" s="110">
        <f t="shared" si="73"/>
        <v>0.87834098966709884</v>
      </c>
      <c r="H179" s="412" t="b">
        <f>Wh_hp&gt;='2021'!Maxi_hp</f>
        <v>0</v>
      </c>
      <c r="I179" s="379">
        <f>IF(H179,Wh_hp,'2021'!Maxi_hp)</f>
        <v>57.93177367847553</v>
      </c>
      <c r="J179" s="85">
        <f>IF(H179,An,'2021'!An_max)</f>
        <v>2021</v>
      </c>
      <c r="K179" s="197">
        <f t="shared" si="50"/>
        <v>44726</v>
      </c>
      <c r="L179" s="147">
        <f>IF(t&lt;Tvie,1-EXP((T0-t)*PertePVj)+'2021'!Pspv,1-EXP((T0-t)*PertePVj)+Pspv)</f>
        <v>2.3297224945719286E-2</v>
      </c>
      <c r="M179" s="832"/>
      <c r="N179" s="832"/>
      <c r="O179" s="48">
        <f>IF(t&lt;Tnet,'2021'!Resal+('2021'!Salim-'2021'!Resal)*(1-EXP(('2021'!Tnet-t)/('2021'!Tau_j))),Resal+(Salim-Resal)*(1-EXP((Tnet-t)/(Tau_j))))*Salcycl</f>
        <v>1.3009075342587209E-2</v>
      </c>
      <c r="P179" s="169">
        <f>(INDEX(Models!$BJ179:$BT179,,T179)*(1-R179)+INDEX(Models!$BJ179:$BT179,,T179+1)*R179-ERP_i)*Q179*Ramure*Pc/MaxiM</f>
        <v>-1.6901672804168074E-20</v>
      </c>
      <c r="Q179" s="304">
        <f t="shared" si="51"/>
        <v>0.6</v>
      </c>
      <c r="R179" s="177">
        <f t="shared" si="52"/>
        <v>0.26938414362760232</v>
      </c>
      <c r="S179" s="799">
        <f t="shared" si="53"/>
        <v>0</v>
      </c>
      <c r="T179" s="176">
        <f t="shared" si="54"/>
        <v>6</v>
      </c>
      <c r="U179" s="250">
        <f t="shared" si="55"/>
        <v>0.26938414362760232</v>
      </c>
      <c r="V179" s="382">
        <f t="shared" si="56"/>
        <v>60.354692111194936</v>
      </c>
      <c r="W179" s="400"/>
      <c r="X179" s="157">
        <f t="shared" si="57"/>
        <v>44726</v>
      </c>
      <c r="Y179" s="383">
        <f t="shared" si="58"/>
        <v>47.291708097297224</v>
      </c>
      <c r="Z179" s="383">
        <f t="shared" si="59"/>
        <v>48.419753998005142</v>
      </c>
      <c r="AA179" s="384">
        <f t="shared" si="60"/>
        <v>54.991885212847144</v>
      </c>
      <c r="AB179" s="197">
        <f t="shared" si="61"/>
        <v>44726</v>
      </c>
      <c r="AC179" s="119">
        <f>IF(OR(t&lt;Tnet,NoTnet),'2021'!Resal_s+('2021'!Salim-'2021'!Resal_s)*(1-EXP(('2021'!Tnet_s-t)/'2021'!Tau_j)),Resal_s+(Salim-Resal_s)*(1-EXP((Tnet_s-t)/Tau_j)))*Salcycl</f>
        <v>0.11951092764695093</v>
      </c>
      <c r="AD179" s="230">
        <f>(INDEX(Models!$BJ179:$BT179,,AH179)*(1-AF179)+INDEX(Models!$BJ179:$BT179,,AH179+1)*AF179-ERP_i)*AE179*Ramure*Pc/MaxiM</f>
        <v>-1.6901672804168074E-20</v>
      </c>
      <c r="AE179" s="304">
        <f t="shared" si="62"/>
        <v>0.6</v>
      </c>
      <c r="AF179" s="177">
        <f t="shared" si="63"/>
        <v>0.26938414362760232</v>
      </c>
      <c r="AG179" s="799">
        <f t="shared" si="71"/>
        <v>0</v>
      </c>
      <c r="AH179" s="176">
        <f t="shared" si="64"/>
        <v>6</v>
      </c>
      <c r="AI179" s="224">
        <f t="shared" si="65"/>
        <v>0.26938414362760232</v>
      </c>
      <c r="AJ179" s="264" t="b">
        <f t="shared" si="66"/>
        <v>0</v>
      </c>
      <c r="AK179" s="264" t="b">
        <f t="shared" si="67"/>
        <v>0</v>
      </c>
      <c r="AL179" s="264"/>
      <c r="AM179" s="264"/>
      <c r="AN179" s="75"/>
    </row>
    <row r="180" spans="1:40" s="6" customFormat="1" ht="11.25" x14ac:dyDescent="0.2">
      <c r="A180" s="56">
        <f t="shared" si="68"/>
        <v>44727</v>
      </c>
      <c r="B180" s="607">
        <v>56.36</v>
      </c>
      <c r="C180" s="388"/>
      <c r="D180" s="391">
        <f t="shared" si="48"/>
        <v>57.70545716337368</v>
      </c>
      <c r="E180" s="383">
        <f t="shared" si="72"/>
        <v>58.471371403840045</v>
      </c>
      <c r="F180" s="383">
        <f t="shared" si="49"/>
        <v>58.471371403840045</v>
      </c>
      <c r="G180" s="110">
        <f t="shared" si="73"/>
        <v>0.93465123890441126</v>
      </c>
      <c r="H180" s="412" t="b">
        <f>Wh_hp&gt;='2021'!Maxi_hp</f>
        <v>1</v>
      </c>
      <c r="I180" s="379">
        <f>IF(H180,Wh_hp,'2021'!Maxi_hp)</f>
        <v>58.471371403840045</v>
      </c>
      <c r="J180" s="85">
        <f>IF(H180,An,'2021'!An_max)</f>
        <v>2022</v>
      </c>
      <c r="K180" s="197">
        <f t="shared" si="50"/>
        <v>44727</v>
      </c>
      <c r="L180" s="147">
        <f>IF(t&lt;Tvie,1-EXP((T0-t)*PertePVj)+'2021'!Pspv,1-EXP((T0-t)*PertePVj)+Pspv)</f>
        <v>2.3315943231581482E-2</v>
      </c>
      <c r="M180" s="832"/>
      <c r="N180" s="832"/>
      <c r="O180" s="48">
        <f>IF(t&lt;Tnet,'2021'!Resal+('2021'!Salim-'2021'!Resal)*(1-EXP(('2021'!Tnet-t)/('2021'!Tau_j))),Resal+(Salim-Resal)*(1-EXP((Tnet-t)/(Tau_j))))*Salcycl</f>
        <v>1.309896145887322E-2</v>
      </c>
      <c r="P180" s="169">
        <f>(INDEX(Models!$BJ180:$BT180,,T180)*(1-R180)+INDEX(Models!$BJ180:$BT180,,T180+1)*R180-ERP_i)*Q180*Ramure*Pc/MaxiM</f>
        <v>0</v>
      </c>
      <c r="Q180" s="304">
        <f t="shared" si="51"/>
        <v>0.6</v>
      </c>
      <c r="R180" s="177">
        <f t="shared" si="52"/>
        <v>0.27448606217474236</v>
      </c>
      <c r="S180" s="799">
        <f t="shared" si="53"/>
        <v>0</v>
      </c>
      <c r="T180" s="176">
        <f t="shared" si="54"/>
        <v>6</v>
      </c>
      <c r="U180" s="250">
        <f t="shared" si="55"/>
        <v>0.27448606217474236</v>
      </c>
      <c r="V180" s="382">
        <f t="shared" si="56"/>
        <v>60.300567371059856</v>
      </c>
      <c r="W180" s="400"/>
      <c r="X180" s="157">
        <f t="shared" si="57"/>
        <v>44727</v>
      </c>
      <c r="Y180" s="383">
        <f t="shared" si="58"/>
        <v>50.28028506281894</v>
      </c>
      <c r="Z180" s="383">
        <f t="shared" si="59"/>
        <v>51.480603900899851</v>
      </c>
      <c r="AA180" s="384">
        <f t="shared" si="60"/>
        <v>58.471371403840045</v>
      </c>
      <c r="AB180" s="197">
        <f t="shared" si="61"/>
        <v>44727</v>
      </c>
      <c r="AC180" s="119">
        <f>IF(OR(t&lt;Tnet,NoTnet),'2021'!Resal_s+('2021'!Salim-'2021'!Resal_s)*(1-EXP(('2021'!Tnet_s-t)/'2021'!Tau_j)),Resal_s+(Salim-Resal_s)*(1-EXP((Tnet_s-t)/Tau_j)))*Salcycl</f>
        <v>0.11955880861178307</v>
      </c>
      <c r="AD180" s="230">
        <f>(INDEX(Models!$BJ180:$BT180,,AH180)*(1-AF180)+INDEX(Models!$BJ180:$BT180,,AH180+1)*AF180-ERP_i)*AE180*Ramure*Pc/MaxiM</f>
        <v>0</v>
      </c>
      <c r="AE180" s="304">
        <f t="shared" si="62"/>
        <v>0.6</v>
      </c>
      <c r="AF180" s="177">
        <f t="shared" si="63"/>
        <v>0.27448606217474236</v>
      </c>
      <c r="AG180" s="799">
        <f t="shared" si="71"/>
        <v>0</v>
      </c>
      <c r="AH180" s="176">
        <f t="shared" si="64"/>
        <v>6</v>
      </c>
      <c r="AI180" s="224">
        <f t="shared" si="65"/>
        <v>0.27448606217474236</v>
      </c>
      <c r="AJ180" s="264" t="b">
        <f t="shared" si="66"/>
        <v>0</v>
      </c>
      <c r="AK180" s="264" t="b">
        <f t="shared" si="67"/>
        <v>0</v>
      </c>
      <c r="AL180" s="264"/>
      <c r="AM180" s="264"/>
      <c r="AN180" s="75"/>
    </row>
    <row r="181" spans="1:40" s="6" customFormat="1" ht="11.25" x14ac:dyDescent="0.2">
      <c r="A181" s="56">
        <f t="shared" si="68"/>
        <v>44728</v>
      </c>
      <c r="B181" s="607">
        <v>54.353999999999999</v>
      </c>
      <c r="C181" s="388"/>
      <c r="D181" s="391">
        <f t="shared" si="48"/>
        <v>55.652635389401013</v>
      </c>
      <c r="E181" s="383">
        <f t="shared" si="72"/>
        <v>56.396428549970572</v>
      </c>
      <c r="F181" s="383">
        <f t="shared" si="49"/>
        <v>56.396428549970572</v>
      </c>
      <c r="G181" s="110">
        <f t="shared" si="73"/>
        <v>0.90222302685284872</v>
      </c>
      <c r="H181" s="412" t="b">
        <f>Wh_hp&gt;='2021'!Maxi_hp</f>
        <v>0</v>
      </c>
      <c r="I181" s="379">
        <f>IF(H181,Wh_hp,'2021'!Maxi_hp)</f>
        <v>62.896396798110899</v>
      </c>
      <c r="J181" s="85">
        <f>IF(H181,An,'2021'!An_max)</f>
        <v>2018</v>
      </c>
      <c r="K181" s="197">
        <f t="shared" si="50"/>
        <v>44728</v>
      </c>
      <c r="L181" s="147">
        <f>IF(t&lt;Tvie,1-EXP((T0-t)*PertePVj)+'2021'!Pspv,1-EXP((T0-t)*PertePVj)+Pspv)</f>
        <v>2.3334661158711967E-2</v>
      </c>
      <c r="M181" s="832"/>
      <c r="N181" s="832"/>
      <c r="O181" s="48">
        <f>IF(t&lt;Tnet,'2021'!Resal+('2021'!Salim-'2021'!Resal)*(1-EXP(('2021'!Tnet-t)/('2021'!Tau_j))),Resal+(Salim-Resal)*(1-EXP((Tnet-t)/(Tau_j))))*Salcycl</f>
        <v>1.318865714892775E-2</v>
      </c>
      <c r="P181" s="169">
        <f>(INDEX(Models!$BJ181:$BT181,,T181)*(1-R181)+INDEX(Models!$BJ181:$BT181,,T181+1)*R181-ERP_i)*Q181*Ramure*Pc/MaxiM</f>
        <v>0</v>
      </c>
      <c r="Q181" s="304">
        <f t="shared" si="51"/>
        <v>0.6</v>
      </c>
      <c r="R181" s="177">
        <f t="shared" si="52"/>
        <v>0.27956656304501426</v>
      </c>
      <c r="S181" s="799">
        <f t="shared" si="53"/>
        <v>0</v>
      </c>
      <c r="T181" s="176">
        <f t="shared" si="54"/>
        <v>6</v>
      </c>
      <c r="U181" s="250">
        <f t="shared" si="55"/>
        <v>0.27956656304501426</v>
      </c>
      <c r="V181" s="382">
        <f t="shared" si="56"/>
        <v>60.244527552792178</v>
      </c>
      <c r="W181" s="400"/>
      <c r="X181" s="157">
        <f t="shared" si="57"/>
        <v>44728</v>
      </c>
      <c r="Y181" s="383">
        <f t="shared" si="58"/>
        <v>48.492548633016021</v>
      </c>
      <c r="Z181" s="383">
        <f t="shared" si="59"/>
        <v>49.65114118880004</v>
      </c>
      <c r="AA181" s="384">
        <f t="shared" si="60"/>
        <v>56.396428549970572</v>
      </c>
      <c r="AB181" s="197">
        <f t="shared" si="61"/>
        <v>44728</v>
      </c>
      <c r="AC181" s="119">
        <f>IF(OR(t&lt;Tnet,NoTnet),'2021'!Resal_s+('2021'!Salim-'2021'!Resal_s)*(1-EXP(('2021'!Tnet_s-t)/'2021'!Tau_j)),Resal_s+(Salim-Resal_s)*(1-EXP((Tnet_s-t)/Tau_j)))*Salcycl</f>
        <v>0.11960486744641648</v>
      </c>
      <c r="AD181" s="230">
        <f>(INDEX(Models!$BJ181:$BT181,,AH181)*(1-AF181)+INDEX(Models!$BJ181:$BT181,,AH181+1)*AF181-ERP_i)*AE181*Ramure*Pc/MaxiM</f>
        <v>0</v>
      </c>
      <c r="AE181" s="304">
        <f t="shared" si="62"/>
        <v>0.6</v>
      </c>
      <c r="AF181" s="177">
        <f t="shared" si="63"/>
        <v>0.27956656304501426</v>
      </c>
      <c r="AG181" s="799">
        <f t="shared" si="71"/>
        <v>0</v>
      </c>
      <c r="AH181" s="176">
        <f t="shared" si="64"/>
        <v>6</v>
      </c>
      <c r="AI181" s="224">
        <f t="shared" si="65"/>
        <v>0.27956656304501426</v>
      </c>
      <c r="AJ181" s="264" t="b">
        <f t="shared" si="66"/>
        <v>0</v>
      </c>
      <c r="AK181" s="264" t="b">
        <f t="shared" si="67"/>
        <v>0</v>
      </c>
      <c r="AL181" s="264"/>
      <c r="AM181" s="264"/>
      <c r="AN181" s="75"/>
    </row>
    <row r="182" spans="1:40" s="6" customFormat="1" ht="11.25" x14ac:dyDescent="0.2">
      <c r="A182" s="56">
        <f t="shared" si="68"/>
        <v>44729</v>
      </c>
      <c r="B182" s="607">
        <v>54.267000000000003</v>
      </c>
      <c r="C182" s="388"/>
      <c r="D182" s="391">
        <f t="shared" si="48"/>
        <v>55.564621653298488</v>
      </c>
      <c r="E182" s="383">
        <f t="shared" si="72"/>
        <v>56.312345635777717</v>
      </c>
      <c r="F182" s="383">
        <f t="shared" si="49"/>
        <v>56.312345635777717</v>
      </c>
      <c r="G182" s="110">
        <f t="shared" si="73"/>
        <v>0.90164627386345519</v>
      </c>
      <c r="H182" s="412" t="b">
        <f>Wh_hp&gt;='2021'!Maxi_hp</f>
        <v>0</v>
      </c>
      <c r="I182" s="379">
        <f>IF(H182,Wh_hp,'2021'!Maxi_hp)</f>
        <v>61.724084548861946</v>
      </c>
      <c r="J182" s="85">
        <f>IF(H182,An,'2021'!An_max)</f>
        <v>2018</v>
      </c>
      <c r="K182" s="197">
        <f t="shared" si="50"/>
        <v>44729</v>
      </c>
      <c r="L182" s="147">
        <f>IF(t&lt;Tvie,1-EXP((T0-t)*PertePVj)+'2021'!Pspv,1-EXP((T0-t)*PertePVj)+Pspv)</f>
        <v>2.3353378727117735E-2</v>
      </c>
      <c r="M182" s="832"/>
      <c r="N182" s="832"/>
      <c r="O182" s="48">
        <f>IF(t&lt;Tnet,'2021'!Resal+('2021'!Salim-'2021'!Resal)*(1-EXP(('2021'!Tnet-t)/('2021'!Tau_j))),Resal+(Salim-Resal)*(1-EXP((Tnet-t)/(Tau_j))))*Salcycl</f>
        <v>1.3278153734092871E-2</v>
      </c>
      <c r="P182" s="169">
        <f>(INDEX(Models!$BJ182:$BT182,,T182)*(1-R182)+INDEX(Models!$BJ182:$BT182,,T182+1)*R182-ERP_i)*Q182*Ramure*Pc/MaxiM</f>
        <v>0</v>
      </c>
      <c r="Q182" s="304">
        <f t="shared" si="51"/>
        <v>0.6</v>
      </c>
      <c r="R182" s="177">
        <f t="shared" si="52"/>
        <v>0.28462152057467405</v>
      </c>
      <c r="S182" s="799">
        <f t="shared" si="53"/>
        <v>0</v>
      </c>
      <c r="T182" s="176">
        <f t="shared" si="54"/>
        <v>6</v>
      </c>
      <c r="U182" s="250">
        <f t="shared" si="55"/>
        <v>0.28462152057467405</v>
      </c>
      <c r="V182" s="382">
        <f t="shared" si="56"/>
        <v>60.186573796253683</v>
      </c>
      <c r="W182" s="400"/>
      <c r="X182" s="157">
        <f t="shared" si="57"/>
        <v>44729</v>
      </c>
      <c r="Y182" s="383">
        <f t="shared" si="58"/>
        <v>48.416891322183623</v>
      </c>
      <c r="Z182" s="383">
        <f t="shared" si="59"/>
        <v>49.574626346509</v>
      </c>
      <c r="AA182" s="384">
        <f t="shared" si="60"/>
        <v>56.312345635777717</v>
      </c>
      <c r="AB182" s="197">
        <f t="shared" si="61"/>
        <v>44729</v>
      </c>
      <c r="AC182" s="119">
        <f>IF(OR(t&lt;Tnet,NoTnet),'2021'!Resal_s+('2021'!Salim-'2021'!Resal_s)*(1-EXP(('2021'!Tnet_s-t)/'2021'!Tau_j)),Resal_s+(Salim-Resal_s)*(1-EXP((Tnet_s-t)/Tau_j)))*Salcycl</f>
        <v>0.11964906119960922</v>
      </c>
      <c r="AD182" s="230">
        <f>(INDEX(Models!$BJ182:$BT182,,AH182)*(1-AF182)+INDEX(Models!$BJ182:$BT182,,AH182+1)*AF182-ERP_i)*AE182*Ramure*Pc/MaxiM</f>
        <v>0</v>
      </c>
      <c r="AE182" s="304">
        <f t="shared" si="62"/>
        <v>0.6</v>
      </c>
      <c r="AF182" s="177">
        <f t="shared" si="63"/>
        <v>0.28462152057467405</v>
      </c>
      <c r="AG182" s="799">
        <f t="shared" si="71"/>
        <v>0</v>
      </c>
      <c r="AH182" s="176">
        <f t="shared" si="64"/>
        <v>6</v>
      </c>
      <c r="AI182" s="224">
        <f t="shared" si="65"/>
        <v>0.28462152057467405</v>
      </c>
      <c r="AJ182" s="264" t="b">
        <f t="shared" si="66"/>
        <v>0</v>
      </c>
      <c r="AK182" s="264" t="b">
        <f t="shared" si="67"/>
        <v>0</v>
      </c>
      <c r="AL182" s="264"/>
      <c r="AM182" s="264"/>
      <c r="AN182" s="75"/>
    </row>
    <row r="183" spans="1:40" s="6" customFormat="1" ht="11.25" x14ac:dyDescent="0.2">
      <c r="A183" s="56">
        <f t="shared" si="68"/>
        <v>44730</v>
      </c>
      <c r="B183" s="607">
        <v>57.869</v>
      </c>
      <c r="C183" s="388"/>
      <c r="D183" s="391">
        <f t="shared" si="48"/>
        <v>59.253887544314402</v>
      </c>
      <c r="E183" s="383">
        <f t="shared" si="72"/>
        <v>60.056691954059566</v>
      </c>
      <c r="F183" s="383">
        <f t="shared" si="49"/>
        <v>60.056691954059566</v>
      </c>
      <c r="G183" s="110">
        <f t="shared" si="73"/>
        <v>0.96245084241538426</v>
      </c>
      <c r="H183" s="412" t="b">
        <f>Wh_hp&gt;='2021'!Maxi_hp</f>
        <v>1</v>
      </c>
      <c r="I183" s="379">
        <f>IF(H183,Wh_hp,'2021'!Maxi_hp)</f>
        <v>60.056691954059566</v>
      </c>
      <c r="J183" s="85">
        <f>IF(H183,An,'2021'!An_max)</f>
        <v>2022</v>
      </c>
      <c r="K183" s="197">
        <f t="shared" si="50"/>
        <v>44730</v>
      </c>
      <c r="L183" s="147">
        <f>IF(t&lt;Tvie,1-EXP((T0-t)*PertePVj)+'2021'!Pspv,1-EXP((T0-t)*PertePVj)+Pspv)</f>
        <v>2.3372095936805559E-2</v>
      </c>
      <c r="M183" s="832"/>
      <c r="N183" s="832"/>
      <c r="O183" s="48">
        <f>IF(t&lt;Tnet,'2021'!Resal+('2021'!Salim-'2021'!Resal)*(1-EXP(('2021'!Tnet-t)/('2021'!Tau_j))),Resal+(Salim-Resal)*(1-EXP((Tnet-t)/(Tau_j))))*Salcycl</f>
        <v>1.3367443054627011E-2</v>
      </c>
      <c r="P183" s="169">
        <f>(INDEX(Models!$BJ183:$BT183,,T183)*(1-R183)+INDEX(Models!$BJ183:$BT183,,T183+1)*R183-ERP_i)*Q183*Ramure*Pc/MaxiM</f>
        <v>0</v>
      </c>
      <c r="Q183" s="304">
        <f t="shared" si="51"/>
        <v>0.6</v>
      </c>
      <c r="R183" s="177">
        <f t="shared" si="52"/>
        <v>0.28964689335694599</v>
      </c>
      <c r="S183" s="799">
        <f t="shared" si="53"/>
        <v>0</v>
      </c>
      <c r="T183" s="176">
        <f t="shared" si="54"/>
        <v>6</v>
      </c>
      <c r="U183" s="250">
        <f t="shared" si="55"/>
        <v>0.28964689335694599</v>
      </c>
      <c r="V183" s="382">
        <f t="shared" si="56"/>
        <v>60.126707203841079</v>
      </c>
      <c r="W183" s="400"/>
      <c r="X183" s="157">
        <f t="shared" si="57"/>
        <v>44730</v>
      </c>
      <c r="Y183" s="383">
        <f t="shared" si="58"/>
        <v>51.63277935378521</v>
      </c>
      <c r="Z183" s="383">
        <f t="shared" si="59"/>
        <v>52.868425261013449</v>
      </c>
      <c r="AA183" s="384">
        <f t="shared" si="60"/>
        <v>60.056691954059566</v>
      </c>
      <c r="AB183" s="197">
        <f t="shared" si="61"/>
        <v>44730</v>
      </c>
      <c r="AC183" s="119">
        <f>IF(OR(t&lt;Tnet,NoTnet),'2021'!Resal_s+('2021'!Salim-'2021'!Resal_s)*(1-EXP(('2021'!Tnet_s-t)/'2021'!Tau_j)),Resal_s+(Salim-Resal_s)*(1-EXP((Tnet_s-t)/Tau_j)))*Salcycl</f>
        <v>0.11969135260638057</v>
      </c>
      <c r="AD183" s="230">
        <f>(INDEX(Models!$BJ183:$BT183,,AH183)*(1-AF183)+INDEX(Models!$BJ183:$BT183,,AH183+1)*AF183-ERP_i)*AE183*Ramure*Pc/MaxiM</f>
        <v>0</v>
      </c>
      <c r="AE183" s="304">
        <f t="shared" si="62"/>
        <v>0.6</v>
      </c>
      <c r="AF183" s="177">
        <f t="shared" si="63"/>
        <v>0.28964689335694599</v>
      </c>
      <c r="AG183" s="799">
        <f t="shared" si="71"/>
        <v>0</v>
      </c>
      <c r="AH183" s="176">
        <f t="shared" si="64"/>
        <v>6</v>
      </c>
      <c r="AI183" s="224">
        <f t="shared" si="65"/>
        <v>0.28964689335694599</v>
      </c>
      <c r="AJ183" s="264" t="b">
        <f t="shared" si="66"/>
        <v>0</v>
      </c>
      <c r="AK183" s="264" t="b">
        <f t="shared" si="67"/>
        <v>0</v>
      </c>
      <c r="AL183" s="264"/>
      <c r="AM183" s="264"/>
      <c r="AN183" s="75"/>
    </row>
    <row r="184" spans="1:40" s="6" customFormat="1" ht="11.25" x14ac:dyDescent="0.2">
      <c r="A184" s="56">
        <f t="shared" si="68"/>
        <v>44731</v>
      </c>
      <c r="B184" s="607">
        <v>58.998000000000005</v>
      </c>
      <c r="C184" s="388"/>
      <c r="D184" s="391">
        <f t="shared" si="48"/>
        <v>60.411063885660241</v>
      </c>
      <c r="E184" s="383">
        <f t="shared" si="72"/>
        <v>61.235074740567256</v>
      </c>
      <c r="F184" s="383">
        <f t="shared" si="49"/>
        <v>61.235074740567256</v>
      </c>
      <c r="G184" s="110">
        <f t="shared" si="73"/>
        <v>0.98223707474016986</v>
      </c>
      <c r="H184" s="412" t="b">
        <f>Wh_hp&gt;='2021'!Maxi_hp</f>
        <v>1</v>
      </c>
      <c r="I184" s="379">
        <f>IF(H184,Wh_hp,'2021'!Maxi_hp)</f>
        <v>61.235074740567256</v>
      </c>
      <c r="J184" s="85">
        <f>IF(H184,An,'2021'!An_max)</f>
        <v>2022</v>
      </c>
      <c r="K184" s="197">
        <f t="shared" si="50"/>
        <v>44731</v>
      </c>
      <c r="L184" s="147">
        <f>IF(t&lt;Tvie,1-EXP((T0-t)*PertePVj)+'2021'!Pspv,1-EXP((T0-t)*PertePVj)+Pspv)</f>
        <v>2.3390812787782322E-2</v>
      </c>
      <c r="M184" s="832"/>
      <c r="N184" s="832"/>
      <c r="O184" s="48">
        <f>IF(t&lt;Tnet,'2021'!Resal+('2021'!Salim-'2021'!Resal)*(1-EXP(('2021'!Tnet-t)/('2021'!Tau_j))),Resal+(Salim-Resal)*(1-EXP((Tnet-t)/(Tau_j))))*Salcycl</f>
        <v>1.3456517500763722E-2</v>
      </c>
      <c r="P184" s="169">
        <f>(INDEX(Models!$BJ184:$BT184,,T184)*(1-R184)+INDEX(Models!$BJ184:$BT184,,T184+1)*R184-ERP_i)*Q184*Ramure*Pc/MaxiM</f>
        <v>0</v>
      </c>
      <c r="Q184" s="304">
        <f t="shared" si="51"/>
        <v>0.6</v>
      </c>
      <c r="R184" s="177">
        <f t="shared" si="52"/>
        <v>0.29463873677135849</v>
      </c>
      <c r="S184" s="799">
        <f t="shared" si="53"/>
        <v>0</v>
      </c>
      <c r="T184" s="176">
        <f t="shared" si="54"/>
        <v>6</v>
      </c>
      <c r="U184" s="250">
        <f t="shared" si="55"/>
        <v>0.29463873677135849</v>
      </c>
      <c r="V184" s="382">
        <f t="shared" si="56"/>
        <v>60.06492884175308</v>
      </c>
      <c r="W184" s="400"/>
      <c r="X184" s="157">
        <f t="shared" si="57"/>
        <v>44731</v>
      </c>
      <c r="Y184" s="383">
        <f t="shared" si="58"/>
        <v>52.642452647910758</v>
      </c>
      <c r="Z184" s="383">
        <f t="shared" si="59"/>
        <v>53.903294518640983</v>
      </c>
      <c r="AA184" s="384">
        <f t="shared" si="60"/>
        <v>61.235074740567256</v>
      </c>
      <c r="AB184" s="197">
        <f t="shared" si="61"/>
        <v>44731</v>
      </c>
      <c r="AC184" s="119">
        <f>IF(OR(t&lt;Tnet,NoTnet),'2021'!Resal_s+('2021'!Salim-'2021'!Resal_s)*(1-EXP(('2021'!Tnet_s-t)/'2021'!Tau_j)),Resal_s+(Salim-Resal_s)*(1-EXP((Tnet_s-t)/Tau_j)))*Salcycl</f>
        <v>0.11973171018388733</v>
      </c>
      <c r="AD184" s="230">
        <f>(INDEX(Models!$BJ184:$BT184,,AH184)*(1-AF184)+INDEX(Models!$BJ184:$BT184,,AH184+1)*AF184-ERP_i)*AE184*Ramure*Pc/MaxiM</f>
        <v>0</v>
      </c>
      <c r="AE184" s="304">
        <f t="shared" si="62"/>
        <v>0.6</v>
      </c>
      <c r="AF184" s="177">
        <f t="shared" si="63"/>
        <v>0.29463873677135849</v>
      </c>
      <c r="AG184" s="799">
        <f t="shared" si="71"/>
        <v>0</v>
      </c>
      <c r="AH184" s="176">
        <f t="shared" si="64"/>
        <v>6</v>
      </c>
      <c r="AI184" s="224">
        <f t="shared" si="65"/>
        <v>0.29463873677135849</v>
      </c>
      <c r="AJ184" s="264" t="b">
        <f t="shared" si="66"/>
        <v>0</v>
      </c>
      <c r="AK184" s="264" t="b">
        <f t="shared" si="67"/>
        <v>0</v>
      </c>
      <c r="AL184" s="264"/>
      <c r="AM184" s="264"/>
      <c r="AN184" s="75"/>
    </row>
    <row r="185" spans="1:40" s="6" customFormat="1" ht="11.25" x14ac:dyDescent="0.2">
      <c r="A185" s="56">
        <f t="shared" si="68"/>
        <v>44732</v>
      </c>
      <c r="B185" s="607">
        <v>31.186</v>
      </c>
      <c r="C185" s="388"/>
      <c r="D185" s="391">
        <f t="shared" si="48"/>
        <v>31.933549358729248</v>
      </c>
      <c r="E185" s="383">
        <f t="shared" si="72"/>
        <v>32.372040628003944</v>
      </c>
      <c r="F185" s="383">
        <f t="shared" si="49"/>
        <v>32.372040628003944</v>
      </c>
      <c r="G185" s="110">
        <f t="shared" si="73"/>
        <v>0.51975592732939879</v>
      </c>
      <c r="H185" s="412" t="b">
        <f>Wh_hp&gt;='2021'!Maxi_hp</f>
        <v>0</v>
      </c>
      <c r="I185" s="379">
        <f>IF(H185,Wh_hp,'2021'!Maxi_hp)</f>
        <v>58.11759070939933</v>
      </c>
      <c r="J185" s="85">
        <f>IF(H185,An,'2021'!An_max)</f>
        <v>2020</v>
      </c>
      <c r="K185" s="197">
        <f t="shared" si="50"/>
        <v>44732</v>
      </c>
      <c r="L185" s="147">
        <f>IF(t&lt;Tvie,1-EXP((T0-t)*PertePVj)+'2021'!Pspv,1-EXP((T0-t)*PertePVj)+Pspv)</f>
        <v>2.3409529280054797E-2</v>
      </c>
      <c r="M185" s="832"/>
      <c r="N185" s="832"/>
      <c r="O185" s="48">
        <f>IF(t&lt;Tnet,'2021'!Resal+('2021'!Salim-'2021'!Resal)*(1-EXP(('2021'!Tnet-t)/('2021'!Tau_j))),Resal+(Salim-Resal)*(1-EXP((Tnet-t)/(Tau_j))))*Salcycl</f>
        <v>1.3545370040570387E-2</v>
      </c>
      <c r="P185" s="169">
        <f>(INDEX(Models!$BJ185:$BT185,,T185)*(1-R185)+INDEX(Models!$BJ185:$BT185,,T185+1)*R185-ERP_i)*Q185*Ramure*Pc/MaxiM</f>
        <v>0</v>
      </c>
      <c r="Q185" s="304">
        <f t="shared" si="51"/>
        <v>0.6</v>
      </c>
      <c r="R185" s="177">
        <f t="shared" si="52"/>
        <v>0.29959321484844081</v>
      </c>
      <c r="S185" s="799">
        <f t="shared" si="53"/>
        <v>0</v>
      </c>
      <c r="T185" s="176">
        <f t="shared" si="54"/>
        <v>6</v>
      </c>
      <c r="U185" s="250">
        <f t="shared" si="55"/>
        <v>0.29959321484844081</v>
      </c>
      <c r="V185" s="382">
        <f t="shared" si="56"/>
        <v>60.001239736195771</v>
      </c>
      <c r="W185" s="400"/>
      <c r="X185" s="157">
        <f t="shared" si="57"/>
        <v>44732</v>
      </c>
      <c r="Y185" s="383">
        <f t="shared" si="58"/>
        <v>27.827787076043087</v>
      </c>
      <c r="Z185" s="383">
        <f t="shared" si="59"/>
        <v>28.494837816232597</v>
      </c>
      <c r="AA185" s="384">
        <f t="shared" si="60"/>
        <v>32.372040628003944</v>
      </c>
      <c r="AB185" s="197">
        <f t="shared" si="61"/>
        <v>44732</v>
      </c>
      <c r="AC185" s="119">
        <f>IF(OR(t&lt;Tnet,NoTnet),'2021'!Resal_s+('2021'!Salim-'2021'!Resal_s)*(1-EXP(('2021'!Tnet_s-t)/'2021'!Tau_j)),Resal_s+(Salim-Resal_s)*(1-EXP((Tnet_s-t)/Tau_j)))*Salcycl</f>
        <v>0.11977010829577769</v>
      </c>
      <c r="AD185" s="230">
        <f>(INDEX(Models!$BJ185:$BT185,,AH185)*(1-AF185)+INDEX(Models!$BJ185:$BT185,,AH185+1)*AF185-ERP_i)*AE185*Ramure*Pc/MaxiM</f>
        <v>0</v>
      </c>
      <c r="AE185" s="304">
        <f t="shared" si="62"/>
        <v>0.6</v>
      </c>
      <c r="AF185" s="177">
        <f t="shared" si="63"/>
        <v>0.29959321484844081</v>
      </c>
      <c r="AG185" s="799">
        <f t="shared" si="71"/>
        <v>0</v>
      </c>
      <c r="AH185" s="176">
        <f t="shared" si="64"/>
        <v>6</v>
      </c>
      <c r="AI185" s="224">
        <f t="shared" si="65"/>
        <v>0.29959321484844081</v>
      </c>
      <c r="AJ185" s="264" t="b">
        <f t="shared" si="66"/>
        <v>0</v>
      </c>
      <c r="AK185" s="264" t="b">
        <f t="shared" si="67"/>
        <v>0</v>
      </c>
      <c r="AL185" s="264"/>
      <c r="AM185" s="264"/>
      <c r="AN185" s="75"/>
    </row>
    <row r="186" spans="1:40" s="6" customFormat="1" ht="11.25" x14ac:dyDescent="0.2">
      <c r="A186" s="56">
        <f t="shared" si="68"/>
        <v>44733</v>
      </c>
      <c r="B186" s="607">
        <v>23.25</v>
      </c>
      <c r="C186" s="388"/>
      <c r="D186" s="391">
        <f t="shared" si="48"/>
        <v>23.807774380949212</v>
      </c>
      <c r="E186" s="383">
        <f t="shared" si="72"/>
        <v>24.136856138620903</v>
      </c>
      <c r="F186" s="383">
        <f t="shared" si="49"/>
        <v>24.136856138620903</v>
      </c>
      <c r="G186" s="110">
        <f t="shared" si="73"/>
        <v>0.38791609902370316</v>
      </c>
      <c r="H186" s="412" t="b">
        <f>Wh_hp&gt;='2021'!Maxi_hp</f>
        <v>0</v>
      </c>
      <c r="I186" s="379">
        <f>IF(H186,Wh_hp,'2021'!Maxi_hp)</f>
        <v>54.852267304881771</v>
      </c>
      <c r="J186" s="85">
        <f>IF(H186,An,'2021'!An_max)</f>
        <v>2020</v>
      </c>
      <c r="K186" s="197">
        <f t="shared" si="50"/>
        <v>44733</v>
      </c>
      <c r="L186" s="147">
        <f>IF(t&lt;Tvie,1-EXP((T0-t)*PertePVj)+'2021'!Pspv,1-EXP((T0-t)*PertePVj)+Pspv)</f>
        <v>2.3428245413630089E-2</v>
      </c>
      <c r="M186" s="832"/>
      <c r="N186" s="832"/>
      <c r="O186" s="48">
        <f>IF(t&lt;Tnet,'2021'!Resal+('2021'!Salim-'2021'!Resal)*(1-EXP(('2021'!Tnet-t)/('2021'!Tau_j))),Resal+(Salim-Resal)*(1-EXP((Tnet-t)/(Tau_j))))*Salcycl</f>
        <v>1.3633994244392546E-2</v>
      </c>
      <c r="P186" s="169">
        <f>(INDEX(Models!$BJ186:$BT186,,T186)*(1-R186)+INDEX(Models!$BJ186:$BT186,,T186+1)*R186-ERP_i)*Q186*Ramure*Pc/MaxiM</f>
        <v>0</v>
      </c>
      <c r="Q186" s="304">
        <f t="shared" si="51"/>
        <v>0.6</v>
      </c>
      <c r="R186" s="177">
        <f t="shared" si="52"/>
        <v>0.30450661139806751</v>
      </c>
      <c r="S186" s="799">
        <f t="shared" si="53"/>
        <v>0</v>
      </c>
      <c r="T186" s="176">
        <f t="shared" si="54"/>
        <v>6</v>
      </c>
      <c r="U186" s="250">
        <f t="shared" si="55"/>
        <v>0.30450661139806751</v>
      </c>
      <c r="V186" s="382">
        <f t="shared" si="56"/>
        <v>59.935640873155243</v>
      </c>
      <c r="W186" s="400"/>
      <c r="X186" s="157">
        <f t="shared" si="57"/>
        <v>44733</v>
      </c>
      <c r="Y186" s="383">
        <f t="shared" si="58"/>
        <v>20.74736773524873</v>
      </c>
      <c r="Z186" s="383">
        <f t="shared" si="59"/>
        <v>21.245103227500518</v>
      </c>
      <c r="AA186" s="384">
        <f t="shared" si="60"/>
        <v>24.136856138620903</v>
      </c>
      <c r="AB186" s="197">
        <f t="shared" si="61"/>
        <v>44733</v>
      </c>
      <c r="AC186" s="119">
        <f>IF(OR(t&lt;Tnet,NoTnet),'2021'!Resal_s+('2021'!Salim-'2021'!Resal_s)*(1-EXP(('2021'!Tnet_s-t)/'2021'!Tau_j)),Resal_s+(Salim-Resal_s)*(1-EXP((Tnet_s-t)/Tau_j)))*Salcycl</f>
        <v>0.11980652718451379</v>
      </c>
      <c r="AD186" s="230">
        <f>(INDEX(Models!$BJ186:$BT186,,AH186)*(1-AF186)+INDEX(Models!$BJ186:$BT186,,AH186+1)*AF186-ERP_i)*AE186*Ramure*Pc/MaxiM</f>
        <v>0</v>
      </c>
      <c r="AE186" s="304">
        <f t="shared" si="62"/>
        <v>0.6</v>
      </c>
      <c r="AF186" s="177">
        <f t="shared" si="63"/>
        <v>0.30450661139806751</v>
      </c>
      <c r="AG186" s="799">
        <f t="shared" si="71"/>
        <v>0</v>
      </c>
      <c r="AH186" s="176">
        <f t="shared" si="64"/>
        <v>6</v>
      </c>
      <c r="AI186" s="224">
        <f t="shared" si="65"/>
        <v>0.30450661139806751</v>
      </c>
      <c r="AJ186" s="264" t="b">
        <f t="shared" si="66"/>
        <v>0</v>
      </c>
      <c r="AK186" s="264" t="b">
        <f t="shared" si="67"/>
        <v>0</v>
      </c>
      <c r="AL186" s="264"/>
      <c r="AM186" s="264"/>
      <c r="AN186" s="75"/>
    </row>
    <row r="187" spans="1:40" s="6" customFormat="1" ht="11.25" x14ac:dyDescent="0.2">
      <c r="A187" s="56">
        <f t="shared" si="68"/>
        <v>44734</v>
      </c>
      <c r="B187" s="607">
        <v>43.96</v>
      </c>
      <c r="C187" s="388"/>
      <c r="D187" s="391">
        <f t="shared" si="48"/>
        <v>45.015476121503411</v>
      </c>
      <c r="E187" s="383">
        <f t="shared" si="72"/>
        <v>45.641790308516818</v>
      </c>
      <c r="F187" s="383">
        <f t="shared" si="49"/>
        <v>45.641790308516818</v>
      </c>
      <c r="G187" s="110">
        <f t="shared" si="73"/>
        <v>0.73428045362943584</v>
      </c>
      <c r="H187" s="412" t="b">
        <f>Wh_hp&gt;='2021'!Maxi_hp</f>
        <v>0</v>
      </c>
      <c r="I187" s="379">
        <f>IF(H187,Wh_hp,'2021'!Maxi_hp)</f>
        <v>62.350039866865146</v>
      </c>
      <c r="J187" s="85">
        <f>IF(H187,An,'2021'!An_max)</f>
        <v>2020</v>
      </c>
      <c r="K187" s="197">
        <f t="shared" si="50"/>
        <v>44734</v>
      </c>
      <c r="L187" s="147">
        <f>IF(t&lt;Tvie,1-EXP((T0-t)*PertePVj)+'2021'!Pspv,1-EXP((T0-t)*PertePVj)+Pspv)</f>
        <v>2.344696118851497E-2</v>
      </c>
      <c r="M187" s="832"/>
      <c r="N187" s="832"/>
      <c r="O187" s="48">
        <f>IF(t&lt;Tnet,'2021'!Resal+('2021'!Salim-'2021'!Resal)*(1-EXP(('2021'!Tnet-t)/('2021'!Tau_j))),Resal+(Salim-Resal)*(1-EXP((Tnet-t)/(Tau_j))))*Salcycl</f>
        <v>1.3722384305694857E-2</v>
      </c>
      <c r="P187" s="169">
        <f>(INDEX(Models!$BJ187:$BT187,,T187)*(1-R187)+INDEX(Models!$BJ187:$BT187,,T187+1)*R187-ERP_i)*Q187*Ramure*Pc/MaxiM</f>
        <v>0</v>
      </c>
      <c r="Q187" s="304">
        <f t="shared" si="51"/>
        <v>0.6</v>
      </c>
      <c r="R187" s="177">
        <f t="shared" si="52"/>
        <v>0.30937534033815511</v>
      </c>
      <c r="S187" s="799">
        <f t="shared" si="53"/>
        <v>0</v>
      </c>
      <c r="T187" s="176">
        <f t="shared" si="54"/>
        <v>6</v>
      </c>
      <c r="U187" s="250">
        <f t="shared" si="55"/>
        <v>0.30937534033815511</v>
      </c>
      <c r="V187" s="382">
        <f t="shared" si="56"/>
        <v>59.868133194493261</v>
      </c>
      <c r="W187" s="400"/>
      <c r="X187" s="157">
        <f t="shared" si="57"/>
        <v>44734</v>
      </c>
      <c r="Y187" s="383">
        <f t="shared" si="58"/>
        <v>39.230122525025202</v>
      </c>
      <c r="Z187" s="383">
        <f t="shared" si="59"/>
        <v>40.17203466262341</v>
      </c>
      <c r="AA187" s="384">
        <f t="shared" si="60"/>
        <v>45.641790308516818</v>
      </c>
      <c r="AB187" s="197">
        <f t="shared" si="61"/>
        <v>44734</v>
      </c>
      <c r="AC187" s="119">
        <f>IF(OR(t&lt;Tnet,NoTnet),'2021'!Resal_s+('2021'!Salim-'2021'!Resal_s)*(1-EXP(('2021'!Tnet_s-t)/'2021'!Tau_j)),Resal_s+(Salim-Resal_s)*(1-EXP((Tnet_s-t)/Tau_j)))*Salcycl</f>
        <v>0.1198409529713987</v>
      </c>
      <c r="AD187" s="230">
        <f>(INDEX(Models!$BJ187:$BT187,,AH187)*(1-AF187)+INDEX(Models!$BJ187:$BT187,,AH187+1)*AF187-ERP_i)*AE187*Ramure*Pc/MaxiM</f>
        <v>0</v>
      </c>
      <c r="AE187" s="304">
        <f t="shared" si="62"/>
        <v>0.6</v>
      </c>
      <c r="AF187" s="177">
        <f t="shared" si="63"/>
        <v>0.30937534033815511</v>
      </c>
      <c r="AG187" s="799">
        <f t="shared" si="71"/>
        <v>0</v>
      </c>
      <c r="AH187" s="176">
        <f t="shared" si="64"/>
        <v>6</v>
      </c>
      <c r="AI187" s="224">
        <f t="shared" si="65"/>
        <v>0.30937534033815511</v>
      </c>
      <c r="AJ187" s="264" t="b">
        <f t="shared" si="66"/>
        <v>0</v>
      </c>
      <c r="AK187" s="264" t="b">
        <f t="shared" si="67"/>
        <v>0</v>
      </c>
      <c r="AL187" s="264"/>
      <c r="AM187" s="264"/>
      <c r="AN187" s="75"/>
    </row>
    <row r="188" spans="1:40" s="6" customFormat="1" ht="11.25" x14ac:dyDescent="0.2">
      <c r="A188" s="56">
        <f t="shared" si="68"/>
        <v>44735</v>
      </c>
      <c r="B188" s="607">
        <v>44.648000000000003</v>
      </c>
      <c r="C188" s="388"/>
      <c r="D188" s="391">
        <f t="shared" si="48"/>
        <v>45.720871177128387</v>
      </c>
      <c r="E188" s="383">
        <f t="shared" si="72"/>
        <v>46.36114337301678</v>
      </c>
      <c r="F188" s="383">
        <f t="shared" si="49"/>
        <v>46.36114337301678</v>
      </c>
      <c r="G188" s="110">
        <f t="shared" si="73"/>
        <v>0.74663808507722484</v>
      </c>
      <c r="H188" s="412" t="b">
        <f>Wh_hp&gt;='2021'!Maxi_hp</f>
        <v>0</v>
      </c>
      <c r="I188" s="379">
        <f>IF(H188,Wh_hp,'2021'!Maxi_hp)</f>
        <v>54.242625495320887</v>
      </c>
      <c r="J188" s="85">
        <f>IF(H188,An,'2021'!An_max)</f>
        <v>2018</v>
      </c>
      <c r="K188" s="197">
        <f t="shared" si="50"/>
        <v>44735</v>
      </c>
      <c r="L188" s="147">
        <f>IF(t&lt;Tvie,1-EXP((T0-t)*PertePVj)+'2021'!Pspv,1-EXP((T0-t)*PertePVj)+Pspv)</f>
        <v>2.3465676604716212E-2</v>
      </c>
      <c r="M188" s="832"/>
      <c r="N188" s="832"/>
      <c r="O188" s="48">
        <f>IF(t&lt;Tnet,'2021'!Resal+('2021'!Salim-'2021'!Resal)*(1-EXP(('2021'!Tnet-t)/('2021'!Tau_j))),Resal+(Salim-Resal)*(1-EXP((Tnet-t)/(Tau_j))))*Salcycl</f>
        <v>1.3810535058137662E-2</v>
      </c>
      <c r="P188" s="169">
        <f>(INDEX(Models!$BJ188:$BT188,,T188)*(1-R188)+INDEX(Models!$BJ188:$BT188,,T188+1)*R188-ERP_i)*Q188*Ramure*Pc/MaxiM</f>
        <v>0</v>
      </c>
      <c r="Q188" s="304">
        <f t="shared" si="51"/>
        <v>0.6</v>
      </c>
      <c r="R188" s="177">
        <f t="shared" si="52"/>
        <v>0.31419595516937704</v>
      </c>
      <c r="S188" s="799">
        <f t="shared" si="53"/>
        <v>0</v>
      </c>
      <c r="T188" s="176">
        <f t="shared" si="54"/>
        <v>6</v>
      </c>
      <c r="U188" s="250">
        <f t="shared" si="55"/>
        <v>0.31419595516937704</v>
      </c>
      <c r="V188" s="382">
        <f t="shared" si="56"/>
        <v>59.798717601422716</v>
      </c>
      <c r="W188" s="400"/>
      <c r="X188" s="157">
        <f t="shared" si="57"/>
        <v>44735</v>
      </c>
      <c r="Y188" s="383">
        <f t="shared" si="58"/>
        <v>39.84619064871783</v>
      </c>
      <c r="Z188" s="383">
        <f t="shared" si="59"/>
        <v>40.803676526369053</v>
      </c>
      <c r="AA188" s="384">
        <f t="shared" si="60"/>
        <v>46.36114337301678</v>
      </c>
      <c r="AB188" s="197">
        <f t="shared" si="61"/>
        <v>44735</v>
      </c>
      <c r="AC188" s="119">
        <f>IF(OR(t&lt;Tnet,NoTnet),'2021'!Resal_s+('2021'!Salim-'2021'!Resal_s)*(1-EXP(('2021'!Tnet_s-t)/'2021'!Tau_j)),Resal_s+(Salim-Resal_s)*(1-EXP((Tnet_s-t)/Tau_j)))*Salcycl</f>
        <v>0.11987337762429522</v>
      </c>
      <c r="AD188" s="230">
        <f>(INDEX(Models!$BJ188:$BT188,,AH188)*(1-AF188)+INDEX(Models!$BJ188:$BT188,,AH188+1)*AF188-ERP_i)*AE188*Ramure*Pc/MaxiM</f>
        <v>0</v>
      </c>
      <c r="AE188" s="304">
        <f t="shared" si="62"/>
        <v>0.6</v>
      </c>
      <c r="AF188" s="177">
        <f t="shared" si="63"/>
        <v>0.31419595516937704</v>
      </c>
      <c r="AG188" s="799">
        <f t="shared" si="71"/>
        <v>0</v>
      </c>
      <c r="AH188" s="176">
        <f t="shared" si="64"/>
        <v>6</v>
      </c>
      <c r="AI188" s="224">
        <f t="shared" si="65"/>
        <v>0.31419595516937704</v>
      </c>
      <c r="AJ188" s="264" t="b">
        <f t="shared" si="66"/>
        <v>0</v>
      </c>
      <c r="AK188" s="264" t="b">
        <f t="shared" si="67"/>
        <v>0</v>
      </c>
      <c r="AL188" s="264"/>
      <c r="AM188" s="264"/>
      <c r="AN188" s="75"/>
    </row>
    <row r="189" spans="1:40" s="6" customFormat="1" ht="11.25" x14ac:dyDescent="0.2">
      <c r="A189" s="56">
        <f t="shared" si="68"/>
        <v>44736</v>
      </c>
      <c r="B189" s="607">
        <v>41.03</v>
      </c>
      <c r="C189" s="388"/>
      <c r="D189" s="391">
        <f t="shared" si="48"/>
        <v>42.016737520296203</v>
      </c>
      <c r="E189" s="383">
        <f t="shared" si="72"/>
        <v>42.608935336270079</v>
      </c>
      <c r="F189" s="383">
        <f t="shared" si="49"/>
        <v>42.608935336270079</v>
      </c>
      <c r="G189" s="110">
        <f t="shared" si="73"/>
        <v>0.68695445422333934</v>
      </c>
      <c r="H189" s="412" t="b">
        <f>Wh_hp&gt;='2021'!Maxi_hp</f>
        <v>0</v>
      </c>
      <c r="I189" s="379">
        <f>IF(H189,Wh_hp,'2021'!Maxi_hp)</f>
        <v>61.322953896057307</v>
      </c>
      <c r="J189" s="85">
        <f>IF(H189,An,'2021'!An_max)</f>
        <v>2020</v>
      </c>
      <c r="K189" s="197">
        <f t="shared" si="50"/>
        <v>44736</v>
      </c>
      <c r="L189" s="147">
        <f>IF(t&lt;Tvie,1-EXP((T0-t)*PertePVj)+'2021'!Pspv,1-EXP((T0-t)*PertePVj)+Pspv)</f>
        <v>2.3484391662240811E-2</v>
      </c>
      <c r="M189" s="832"/>
      <c r="N189" s="832"/>
      <c r="O189" s="48">
        <f>IF(t&lt;Tnet,'2021'!Resal+('2021'!Salim-'2021'!Resal)*(1-EXP(('2021'!Tnet-t)/('2021'!Tau_j))),Resal+(Salim-Resal)*(1-EXP((Tnet-t)/(Tau_j))))*Salcycl</f>
        <v>1.3898441988757627E-2</v>
      </c>
      <c r="P189" s="169">
        <f>(INDEX(Models!$BJ189:$BT189,,T189)*(1-R189)+INDEX(Models!$BJ189:$BT189,,T189+1)*R189-ERP_i)*Q189*Ramure*Pc/MaxiM</f>
        <v>1.7938377904598949E-20</v>
      </c>
      <c r="Q189" s="304">
        <f t="shared" si="51"/>
        <v>0.6</v>
      </c>
      <c r="R189" s="177">
        <f t="shared" si="52"/>
        <v>0.31896515755091942</v>
      </c>
      <c r="S189" s="799">
        <f t="shared" si="53"/>
        <v>0</v>
      </c>
      <c r="T189" s="176">
        <f t="shared" si="54"/>
        <v>6</v>
      </c>
      <c r="U189" s="250">
        <f t="shared" si="55"/>
        <v>0.31896515755091942</v>
      </c>
      <c r="V189" s="382">
        <f t="shared" si="56"/>
        <v>59.727394949913986</v>
      </c>
      <c r="W189" s="400"/>
      <c r="X189" s="157">
        <f t="shared" si="57"/>
        <v>44736</v>
      </c>
      <c r="Y189" s="383">
        <f t="shared" si="58"/>
        <v>36.619298324845872</v>
      </c>
      <c r="Z189" s="383">
        <f t="shared" si="59"/>
        <v>37.499962122653457</v>
      </c>
      <c r="AA189" s="384">
        <f t="shared" si="60"/>
        <v>42.608935336270079</v>
      </c>
      <c r="AB189" s="197">
        <f t="shared" si="61"/>
        <v>44736</v>
      </c>
      <c r="AC189" s="119">
        <f>IF(OR(t&lt;Tnet,NoTnet),'2021'!Resal_s+('2021'!Salim-'2021'!Resal_s)*(1-EXP(('2021'!Tnet_s-t)/'2021'!Tau_j)),Resal_s+(Salim-Resal_s)*(1-EXP((Tnet_s-t)/Tau_j)))*Salcycl</f>
        <v>0.11990379889327342</v>
      </c>
      <c r="AD189" s="230">
        <f>(INDEX(Models!$BJ189:$BT189,,AH189)*(1-AF189)+INDEX(Models!$BJ189:$BT189,,AH189+1)*AF189-ERP_i)*AE189*Ramure*Pc/MaxiM</f>
        <v>1.7938377904598949E-20</v>
      </c>
      <c r="AE189" s="304">
        <f t="shared" si="62"/>
        <v>0.6</v>
      </c>
      <c r="AF189" s="177">
        <f t="shared" si="63"/>
        <v>0.31896515755091942</v>
      </c>
      <c r="AG189" s="799">
        <f t="shared" si="71"/>
        <v>0</v>
      </c>
      <c r="AH189" s="176">
        <f t="shared" si="64"/>
        <v>6</v>
      </c>
      <c r="AI189" s="224">
        <f t="shared" si="65"/>
        <v>0.31896515755091942</v>
      </c>
      <c r="AJ189" s="264" t="b">
        <f t="shared" si="66"/>
        <v>0</v>
      </c>
      <c r="AK189" s="264" t="b">
        <f t="shared" si="67"/>
        <v>0</v>
      </c>
      <c r="AL189" s="264"/>
      <c r="AM189" s="264"/>
      <c r="AN189" s="75"/>
    </row>
    <row r="190" spans="1:40" s="6" customFormat="1" ht="11.25" x14ac:dyDescent="0.2">
      <c r="A190" s="56">
        <f t="shared" si="68"/>
        <v>44737</v>
      </c>
      <c r="B190" s="607">
        <v>38.825000000000003</v>
      </c>
      <c r="C190" s="388"/>
      <c r="D190" s="391">
        <f t="shared" si="48"/>
        <v>39.759471077597681</v>
      </c>
      <c r="E190" s="383">
        <f t="shared" si="72"/>
        <v>40.323438774937273</v>
      </c>
      <c r="F190" s="383">
        <f t="shared" si="49"/>
        <v>40.323438774937273</v>
      </c>
      <c r="G190" s="110">
        <f t="shared" si="73"/>
        <v>0.6508346787641327</v>
      </c>
      <c r="H190" s="412" t="b">
        <f>Wh_hp&gt;='2021'!Maxi_hp</f>
        <v>0</v>
      </c>
      <c r="I190" s="379">
        <f>IF(H190,Wh_hp,'2021'!Maxi_hp)</f>
        <v>60.963352971258608</v>
      </c>
      <c r="J190" s="85">
        <f>IF(H190,An,'2021'!An_max)</f>
        <v>2020</v>
      </c>
      <c r="K190" s="197">
        <f t="shared" si="50"/>
        <v>44737</v>
      </c>
      <c r="L190" s="147">
        <f>IF(t&lt;Tvie,1-EXP((T0-t)*PertePVj)+'2021'!Pspv,1-EXP((T0-t)*PertePVj)+Pspv)</f>
        <v>2.3503106361095538E-2</v>
      </c>
      <c r="M190" s="832"/>
      <c r="N190" s="832"/>
      <c r="O190" s="48">
        <f>IF(t&lt;Tnet,'2021'!Resal+('2021'!Salim-'2021'!Resal)*(1-EXP(('2021'!Tnet-t)/('2021'!Tau_j))),Resal+(Salim-Resal)*(1-EXP((Tnet-t)/(Tau_j))))*Salcycl</f>
        <v>1.3986101247151599E-2</v>
      </c>
      <c r="P190" s="169">
        <f>(INDEX(Models!$BJ190:$BT190,,T190)*(1-R190)+INDEX(Models!$BJ190:$BT190,,T190+1)*R190-ERP_i)*Q190*Ramure*Pc/MaxiM</f>
        <v>0</v>
      </c>
      <c r="Q190" s="304">
        <f t="shared" si="51"/>
        <v>0.6</v>
      </c>
      <c r="R190" s="177">
        <f t="shared" si="52"/>
        <v>0.3236798049418953</v>
      </c>
      <c r="S190" s="799">
        <f t="shared" si="53"/>
        <v>0</v>
      </c>
      <c r="T190" s="176">
        <f t="shared" si="54"/>
        <v>6</v>
      </c>
      <c r="U190" s="250">
        <f t="shared" si="55"/>
        <v>0.3236798049418953</v>
      </c>
      <c r="V190" s="382">
        <f t="shared" si="56"/>
        <v>59.654166052928581</v>
      </c>
      <c r="W190" s="400"/>
      <c r="X190" s="157">
        <f t="shared" si="57"/>
        <v>44737</v>
      </c>
      <c r="Y190" s="383">
        <f t="shared" si="58"/>
        <v>34.653296057371151</v>
      </c>
      <c r="Z190" s="383">
        <f t="shared" si="59"/>
        <v>35.487359235968526</v>
      </c>
      <c r="AA190" s="384">
        <f t="shared" si="60"/>
        <v>40.323438774937273</v>
      </c>
      <c r="AB190" s="197">
        <f t="shared" si="61"/>
        <v>44737</v>
      </c>
      <c r="AC190" s="119">
        <f>IF(OR(t&lt;Tnet,NoTnet),'2021'!Resal_s+('2021'!Salim-'2021'!Resal_s)*(1-EXP(('2021'!Tnet_s-t)/'2021'!Tau_j)),Resal_s+(Salim-Resal_s)*(1-EXP((Tnet_s-t)/Tau_j)))*Salcycl</f>
        <v>0.11993222021467503</v>
      </c>
      <c r="AD190" s="230">
        <f>(INDEX(Models!$BJ190:$BT190,,AH190)*(1-AF190)+INDEX(Models!$BJ190:$BT190,,AH190+1)*AF190-ERP_i)*AE190*Ramure*Pc/MaxiM</f>
        <v>0</v>
      </c>
      <c r="AE190" s="304">
        <f t="shared" si="62"/>
        <v>0.6</v>
      </c>
      <c r="AF190" s="177">
        <f t="shared" si="63"/>
        <v>0.3236798049418953</v>
      </c>
      <c r="AG190" s="799">
        <f t="shared" si="71"/>
        <v>0</v>
      </c>
      <c r="AH190" s="176">
        <f t="shared" si="64"/>
        <v>6</v>
      </c>
      <c r="AI190" s="224">
        <f t="shared" si="65"/>
        <v>0.3236798049418953</v>
      </c>
      <c r="AJ190" s="264" t="b">
        <f t="shared" si="66"/>
        <v>0</v>
      </c>
      <c r="AK190" s="264" t="b">
        <f t="shared" si="67"/>
        <v>0</v>
      </c>
      <c r="AL190" s="264"/>
      <c r="AM190" s="264"/>
      <c r="AN190" s="75"/>
    </row>
    <row r="191" spans="1:40" s="6" customFormat="1" ht="11.25" x14ac:dyDescent="0.2">
      <c r="A191" s="56">
        <f t="shared" si="68"/>
        <v>44738</v>
      </c>
      <c r="B191" s="607">
        <v>12.581</v>
      </c>
      <c r="C191" s="388"/>
      <c r="D191" s="391">
        <f t="shared" si="48"/>
        <v>12.884056466100887</v>
      </c>
      <c r="E191" s="383">
        <f t="shared" si="72"/>
        <v>13.067968648996214</v>
      </c>
      <c r="F191" s="383">
        <f t="shared" si="49"/>
        <v>13.067968648996214</v>
      </c>
      <c r="G191" s="110">
        <f t="shared" si="73"/>
        <v>0.21116648786525158</v>
      </c>
      <c r="H191" s="412" t="b">
        <f>Wh_hp&gt;='2021'!Maxi_hp</f>
        <v>0</v>
      </c>
      <c r="I191" s="379">
        <f>IF(H191,Wh_hp,'2021'!Maxi_hp)</f>
        <v>60.568355603676984</v>
      </c>
      <c r="J191" s="85">
        <f>IF(H191,An,'2021'!An_max)</f>
        <v>2018</v>
      </c>
      <c r="K191" s="197">
        <f t="shared" si="50"/>
        <v>44738</v>
      </c>
      <c r="L191" s="147">
        <f>IF(t&lt;Tvie,1-EXP((T0-t)*PertePVj)+'2021'!Pspv,1-EXP((T0-t)*PertePVj)+Pspv)</f>
        <v>2.3521820701287388E-2</v>
      </c>
      <c r="M191" s="832"/>
      <c r="N191" s="832"/>
      <c r="O191" s="48">
        <f>IF(t&lt;Tnet,'2021'!Resal+('2021'!Salim-'2021'!Resal)*(1-EXP(('2021'!Tnet-t)/('2021'!Tau_j))),Resal+(Salim-Resal)*(1-EXP((Tnet-t)/(Tau_j))))*Salcycl</f>
        <v>1.4073509650595391E-2</v>
      </c>
      <c r="P191" s="169">
        <f>(INDEX(Models!$BJ191:$BT191,,T191)*(1-R191)+INDEX(Models!$BJ191:$BT191,,T191+1)*R191-ERP_i)*Q191*Ramure*Pc/MaxiM</f>
        <v>1.8116136804416534E-20</v>
      </c>
      <c r="Q191" s="304">
        <f t="shared" si="51"/>
        <v>0.6</v>
      </c>
      <c r="R191" s="177">
        <f t="shared" si="52"/>
        <v>0.32833691728272757</v>
      </c>
      <c r="S191" s="799">
        <f t="shared" si="53"/>
        <v>0</v>
      </c>
      <c r="T191" s="176">
        <f t="shared" si="54"/>
        <v>6</v>
      </c>
      <c r="U191" s="250">
        <f t="shared" si="55"/>
        <v>0.32833691728272757</v>
      </c>
      <c r="V191" s="382">
        <f t="shared" si="56"/>
        <v>59.578582412319705</v>
      </c>
      <c r="W191" s="400"/>
      <c r="X191" s="157">
        <f t="shared" si="57"/>
        <v>44738</v>
      </c>
      <c r="Y191" s="383">
        <f t="shared" si="58"/>
        <v>11.22984352826831</v>
      </c>
      <c r="Z191" s="383">
        <f t="shared" si="59"/>
        <v>11.500352763984303</v>
      </c>
      <c r="AA191" s="384">
        <f t="shared" si="60"/>
        <v>13.067968648996214</v>
      </c>
      <c r="AB191" s="197">
        <f t="shared" si="61"/>
        <v>44738</v>
      </c>
      <c r="AC191" s="119">
        <f>IF(OR(t&lt;Tnet,NoTnet),'2021'!Resal_s+('2021'!Salim-'2021'!Resal_s)*(1-EXP(('2021'!Tnet_s-t)/'2021'!Tau_j)),Resal_s+(Salim-Resal_s)*(1-EXP((Tnet_s-t)/Tau_j)))*Salcycl</f>
        <v>0.11995865058432968</v>
      </c>
      <c r="AD191" s="230">
        <f>(INDEX(Models!$BJ191:$BT191,,AH191)*(1-AF191)+INDEX(Models!$BJ191:$BT191,,AH191+1)*AF191-ERP_i)*AE191*Ramure*Pc/MaxiM</f>
        <v>1.8116136804416534E-20</v>
      </c>
      <c r="AE191" s="304">
        <f t="shared" si="62"/>
        <v>0.6</v>
      </c>
      <c r="AF191" s="177">
        <f t="shared" si="63"/>
        <v>0.32833691728272757</v>
      </c>
      <c r="AG191" s="799">
        <f t="shared" si="71"/>
        <v>0</v>
      </c>
      <c r="AH191" s="176">
        <f t="shared" si="64"/>
        <v>6</v>
      </c>
      <c r="AI191" s="224">
        <f t="shared" si="65"/>
        <v>0.32833691728272757</v>
      </c>
      <c r="AJ191" s="264" t="b">
        <f t="shared" si="66"/>
        <v>0</v>
      </c>
      <c r="AK191" s="264" t="b">
        <f t="shared" si="67"/>
        <v>0</v>
      </c>
      <c r="AL191" s="264"/>
      <c r="AM191" s="264"/>
      <c r="AN191" s="75"/>
    </row>
    <row r="192" spans="1:40" s="6" customFormat="1" ht="11.25" x14ac:dyDescent="0.2">
      <c r="A192" s="56">
        <f t="shared" si="68"/>
        <v>44739</v>
      </c>
      <c r="B192" s="607">
        <v>15.493</v>
      </c>
      <c r="C192" s="388"/>
      <c r="D192" s="391">
        <f t="shared" si="48"/>
        <v>15.8665060356269</v>
      </c>
      <c r="E192" s="383">
        <f t="shared" si="72"/>
        <v>16.09441363034896</v>
      </c>
      <c r="F192" s="383">
        <f t="shared" si="49"/>
        <v>16.09441363034896</v>
      </c>
      <c r="G192" s="110">
        <f t="shared" si="73"/>
        <v>0.26038509339637556</v>
      </c>
      <c r="H192" s="412" t="b">
        <f>Wh_hp&gt;='2021'!Maxi_hp</f>
        <v>0</v>
      </c>
      <c r="I192" s="379">
        <f>IF(H192,Wh_hp,'2021'!Maxi_hp)</f>
        <v>60.063496146867578</v>
      </c>
      <c r="J192" s="85">
        <f>IF(H192,An,'2021'!An_max)</f>
        <v>2018</v>
      </c>
      <c r="K192" s="197">
        <f t="shared" si="50"/>
        <v>44739</v>
      </c>
      <c r="L192" s="147">
        <f>IF(t&lt;Tvie,1-EXP((T0-t)*PertePVj)+'2021'!Pspv,1-EXP((T0-t)*PertePVj)+Pspv)</f>
        <v>2.3540534682823244E-2</v>
      </c>
      <c r="M192" s="832"/>
      <c r="N192" s="832"/>
      <c r="O192" s="48">
        <f>IF(t&lt;Tnet,'2021'!Resal+('2021'!Salim-'2021'!Resal)*(1-EXP(('2021'!Tnet-t)/('2021'!Tau_j))),Resal+(Salim-Resal)*(1-EXP((Tnet-t)/(Tau_j))))*Salcycl</f>
        <v>1.4160664685061828E-2</v>
      </c>
      <c r="P192" s="169">
        <f>(INDEX(Models!$BJ192:$BT192,,T192)*(1-R192)+INDEX(Models!$BJ192:$BT192,,T192+1)*R192-ERP_i)*Q192*Ramure*Pc/MaxiM</f>
        <v>0</v>
      </c>
      <c r="Q192" s="304">
        <f t="shared" si="51"/>
        <v>0.6</v>
      </c>
      <c r="R192" s="177">
        <f t="shared" si="52"/>
        <v>0.33293368270044471</v>
      </c>
      <c r="S192" s="799">
        <f t="shared" si="53"/>
        <v>0</v>
      </c>
      <c r="T192" s="176">
        <f t="shared" si="54"/>
        <v>6</v>
      </c>
      <c r="U192" s="250">
        <f t="shared" si="55"/>
        <v>0.33293368270044471</v>
      </c>
      <c r="V192" s="382">
        <f t="shared" si="56"/>
        <v>59.500333901278758</v>
      </c>
      <c r="W192" s="400"/>
      <c r="X192" s="157">
        <f t="shared" si="57"/>
        <v>44739</v>
      </c>
      <c r="Y192" s="383">
        <f t="shared" si="58"/>
        <v>13.829942948220152</v>
      </c>
      <c r="Z192" s="383">
        <f t="shared" si="59"/>
        <v>14.163355919467548</v>
      </c>
      <c r="AA192" s="384">
        <f t="shared" si="60"/>
        <v>16.09441363034896</v>
      </c>
      <c r="AB192" s="197">
        <f t="shared" si="61"/>
        <v>44739</v>
      </c>
      <c r="AC192" s="119">
        <f>IF(OR(t&lt;Tnet,NoTnet),'2021'!Resal_s+('2021'!Salim-'2021'!Resal_s)*(1-EXP(('2021'!Tnet_s-t)/'2021'!Tau_j)),Resal_s+(Salim-Resal_s)*(1-EXP((Tnet_s-t)/Tau_j)))*Salcycl</f>
        <v>0.11998310440089895</v>
      </c>
      <c r="AD192" s="230">
        <f>(INDEX(Models!$BJ192:$BT192,,AH192)*(1-AF192)+INDEX(Models!$BJ192:$BT192,,AH192+1)*AF192-ERP_i)*AE192*Ramure*Pc/MaxiM</f>
        <v>0</v>
      </c>
      <c r="AE192" s="304">
        <f t="shared" si="62"/>
        <v>0.6</v>
      </c>
      <c r="AF192" s="177">
        <f t="shared" si="63"/>
        <v>0.33293368270044471</v>
      </c>
      <c r="AG192" s="799">
        <f t="shared" si="71"/>
        <v>0</v>
      </c>
      <c r="AH192" s="176">
        <f t="shared" si="64"/>
        <v>6</v>
      </c>
      <c r="AI192" s="224">
        <f t="shared" si="65"/>
        <v>0.33293368270044471</v>
      </c>
      <c r="AJ192" s="264" t="b">
        <f t="shared" si="66"/>
        <v>0</v>
      </c>
      <c r="AK192" s="264" t="b">
        <f t="shared" si="67"/>
        <v>0</v>
      </c>
      <c r="AL192" s="264"/>
      <c r="AM192" s="264"/>
      <c r="AN192" s="75"/>
    </row>
    <row r="193" spans="1:40" s="6" customFormat="1" ht="11.25" x14ac:dyDescent="0.2">
      <c r="A193" s="56">
        <f t="shared" si="68"/>
        <v>44740</v>
      </c>
      <c r="B193" s="607">
        <v>59.459000000000003</v>
      </c>
      <c r="C193" s="388"/>
      <c r="D193" s="391">
        <f t="shared" si="48"/>
        <v>60.89360762220192</v>
      </c>
      <c r="E193" s="383">
        <f t="shared" si="72"/>
        <v>61.77373286574435</v>
      </c>
      <c r="F193" s="383">
        <f t="shared" si="49"/>
        <v>61.77373286574435</v>
      </c>
      <c r="G193" s="110">
        <f t="shared" si="73"/>
        <v>1.0006625966645877</v>
      </c>
      <c r="H193" s="412" t="b">
        <f>Wh_hp&gt;='2021'!Maxi_hp</f>
        <v>1</v>
      </c>
      <c r="I193" s="379">
        <f>IF(H193,Wh_hp,'2021'!Maxi_hp)</f>
        <v>61.77373286574435</v>
      </c>
      <c r="J193" s="85">
        <f>IF(H193,An,'2021'!An_max)</f>
        <v>2022</v>
      </c>
      <c r="K193" s="197">
        <f t="shared" si="50"/>
        <v>44740</v>
      </c>
      <c r="L193" s="147">
        <f>IF(t&lt;Tvie,1-EXP((T0-t)*PertePVj)+'2021'!Pspv,1-EXP((T0-t)*PertePVj)+Pspv)</f>
        <v>2.3559248305709768E-2</v>
      </c>
      <c r="M193" s="832"/>
      <c r="N193" s="832"/>
      <c r="O193" s="48">
        <f>IF(t&lt;Tnet,'2021'!Resal+('2021'!Salim-'2021'!Resal)*(1-EXP(('2021'!Tnet-t)/('2021'!Tau_j))),Resal+(Salim-Resal)*(1-EXP((Tnet-t)/(Tau_j))))*Salcycl</f>
        <v>1.4247564502136276E-2</v>
      </c>
      <c r="P193" s="169">
        <f>(INDEX(Models!$BJ193:$BT193,,T193)*(1-R193)+INDEX(Models!$BJ193:$BT193,,T193+1)*R193-ERP_i)*Q193*Ramure*Pc/MaxiM</f>
        <v>0</v>
      </c>
      <c r="Q193" s="304">
        <f t="shared" si="51"/>
        <v>0.6</v>
      </c>
      <c r="R193" s="177">
        <f t="shared" si="52"/>
        <v>0.33746746223127422</v>
      </c>
      <c r="S193" s="799">
        <f t="shared" si="53"/>
        <v>0</v>
      </c>
      <c r="T193" s="176">
        <f t="shared" si="54"/>
        <v>6</v>
      </c>
      <c r="U193" s="250">
        <f t="shared" si="55"/>
        <v>0.33746746223127422</v>
      </c>
      <c r="V193" s="382">
        <f t="shared" si="56"/>
        <v>59.419628752177779</v>
      </c>
      <c r="W193" s="400"/>
      <c r="X193" s="157">
        <f t="shared" si="57"/>
        <v>44740</v>
      </c>
      <c r="Y193" s="383">
        <f t="shared" si="58"/>
        <v>53.07984547563688</v>
      </c>
      <c r="Z193" s="383">
        <f t="shared" si="59"/>
        <v>54.360538909846142</v>
      </c>
      <c r="AA193" s="384">
        <f t="shared" si="60"/>
        <v>61.77373286574435</v>
      </c>
      <c r="AB193" s="197">
        <f t="shared" si="61"/>
        <v>44740</v>
      </c>
      <c r="AC193" s="119">
        <f>IF(OR(t&lt;Tnet,NoTnet),'2021'!Resal_s+('2021'!Salim-'2021'!Resal_s)*(1-EXP(('2021'!Tnet_s-t)/'2021'!Tau_j)),Resal_s+(Salim-Resal_s)*(1-EXP((Tnet_s-t)/Tau_j)))*Salcycl</f>
        <v>0.1200056012805578</v>
      </c>
      <c r="AD193" s="230">
        <f>(INDEX(Models!$BJ193:$BT193,,AH193)*(1-AF193)+INDEX(Models!$BJ193:$BT193,,AH193+1)*AF193-ERP_i)*AE193*Ramure*Pc/MaxiM</f>
        <v>0</v>
      </c>
      <c r="AE193" s="304">
        <f t="shared" si="62"/>
        <v>0.6</v>
      </c>
      <c r="AF193" s="177">
        <f t="shared" si="63"/>
        <v>0.33746746223127422</v>
      </c>
      <c r="AG193" s="799">
        <f t="shared" si="71"/>
        <v>0</v>
      </c>
      <c r="AH193" s="176">
        <f t="shared" si="64"/>
        <v>6</v>
      </c>
      <c r="AI193" s="224">
        <f t="shared" si="65"/>
        <v>0.33746746223127422</v>
      </c>
      <c r="AJ193" s="264" t="b">
        <f t="shared" si="66"/>
        <v>0</v>
      </c>
      <c r="AK193" s="264" t="b">
        <f t="shared" si="67"/>
        <v>0</v>
      </c>
      <c r="AL193" s="264"/>
      <c r="AM193" s="264"/>
      <c r="AN193" s="75"/>
    </row>
    <row r="194" spans="1:40" s="6" customFormat="1" ht="11.25" x14ac:dyDescent="0.2">
      <c r="A194" s="56">
        <f t="shared" si="68"/>
        <v>44741</v>
      </c>
      <c r="B194" s="607">
        <v>58.983000000000004</v>
      </c>
      <c r="C194" s="388"/>
      <c r="D194" s="391">
        <f t="shared" si="48"/>
        <v>60.407280539096249</v>
      </c>
      <c r="E194" s="383">
        <f t="shared" si="72"/>
        <v>61.28576341390837</v>
      </c>
      <c r="F194" s="383">
        <f t="shared" si="49"/>
        <v>61.28576341390837</v>
      </c>
      <c r="G194" s="110">
        <f t="shared" si="73"/>
        <v>0.99403951999911411</v>
      </c>
      <c r="H194" s="412" t="b">
        <f>Wh_hp&gt;='2021'!Maxi_hp</f>
        <v>1</v>
      </c>
      <c r="I194" s="379">
        <f>IF(H194,Wh_hp,'2021'!Maxi_hp)</f>
        <v>61.28576341390837</v>
      </c>
      <c r="J194" s="85">
        <f>IF(H194,An,'2021'!An_max)</f>
        <v>2022</v>
      </c>
      <c r="K194" s="197">
        <f t="shared" si="50"/>
        <v>44741</v>
      </c>
      <c r="L194" s="147">
        <f>IF(t&lt;Tvie,1-EXP((T0-t)*PertePVj)+'2021'!Pspv,1-EXP((T0-t)*PertePVj)+Pspv)</f>
        <v>2.3577961569954065E-2</v>
      </c>
      <c r="M194" s="832"/>
      <c r="N194" s="832"/>
      <c r="O194" s="48">
        <f>IF(t&lt;Tnet,'2021'!Resal+('2021'!Salim-'2021'!Resal)*(1-EXP(('2021'!Tnet-t)/('2021'!Tau_j))),Resal+(Salim-Resal)*(1-EXP((Tnet-t)/(Tau_j))))*Salcycl</f>
        <v>1.4334207911861581E-2</v>
      </c>
      <c r="P194" s="169">
        <f>(INDEX(Models!$BJ194:$BT194,,T194)*(1-R194)+INDEX(Models!$BJ194:$BT194,,T194+1)*R194-ERP_i)*Q194*Ramure*Pc/MaxiM</f>
        <v>0</v>
      </c>
      <c r="Q194" s="304">
        <f t="shared" si="51"/>
        <v>0.6</v>
      </c>
      <c r="R194" s="177">
        <f t="shared" si="52"/>
        <v>0.34193579356304654</v>
      </c>
      <c r="S194" s="799">
        <f t="shared" si="53"/>
        <v>0</v>
      </c>
      <c r="T194" s="176">
        <f t="shared" si="54"/>
        <v>6</v>
      </c>
      <c r="U194" s="250">
        <f t="shared" si="55"/>
        <v>0.34193579356304654</v>
      </c>
      <c r="V194" s="382">
        <f t="shared" si="56"/>
        <v>59.336675065044268</v>
      </c>
      <c r="W194" s="400"/>
      <c r="X194" s="157">
        <f t="shared" si="57"/>
        <v>44741</v>
      </c>
      <c r="Y194" s="383">
        <f t="shared" si="58"/>
        <v>52.65831185034758</v>
      </c>
      <c r="Z194" s="383">
        <f t="shared" si="59"/>
        <v>53.929868210487136</v>
      </c>
      <c r="AA194" s="384">
        <f t="shared" si="60"/>
        <v>61.28576341390837</v>
      </c>
      <c r="AB194" s="197">
        <f t="shared" si="61"/>
        <v>44741</v>
      </c>
      <c r="AC194" s="119">
        <f>IF(OR(t&lt;Tnet,NoTnet),'2021'!Resal_s+('2021'!Salim-'2021'!Resal_s)*(1-EXP(('2021'!Tnet_s-t)/'2021'!Tau_j)),Resal_s+(Salim-Resal_s)*(1-EXP((Tnet_s-t)/Tau_j)))*Salcycl</f>
        <v>0.12002616584444584</v>
      </c>
      <c r="AD194" s="230">
        <f>(INDEX(Models!$BJ194:$BT194,,AH194)*(1-AF194)+INDEX(Models!$BJ194:$BT194,,AH194+1)*AF194-ERP_i)*AE194*Ramure*Pc/MaxiM</f>
        <v>0</v>
      </c>
      <c r="AE194" s="304">
        <f t="shared" si="62"/>
        <v>0.6</v>
      </c>
      <c r="AF194" s="177">
        <f t="shared" si="63"/>
        <v>0.34193579356304654</v>
      </c>
      <c r="AG194" s="799">
        <f t="shared" si="71"/>
        <v>0</v>
      </c>
      <c r="AH194" s="176">
        <f t="shared" si="64"/>
        <v>6</v>
      </c>
      <c r="AI194" s="224">
        <f t="shared" si="65"/>
        <v>0.34193579356304654</v>
      </c>
      <c r="AJ194" s="264" t="b">
        <f t="shared" si="66"/>
        <v>0</v>
      </c>
      <c r="AK194" s="264" t="b">
        <f t="shared" si="67"/>
        <v>0</v>
      </c>
      <c r="AL194" s="264"/>
      <c r="AM194" s="264"/>
      <c r="AN194" s="75"/>
    </row>
    <row r="195" spans="1:40" s="6" customFormat="1" ht="11.25" x14ac:dyDescent="0.2">
      <c r="A195" s="56">
        <f t="shared" si="68"/>
        <v>44742</v>
      </c>
      <c r="B195" s="607">
        <v>14.512</v>
      </c>
      <c r="C195" s="388"/>
      <c r="D195" s="391">
        <f t="shared" si="48"/>
        <v>14.86271054249579</v>
      </c>
      <c r="E195" s="383">
        <f t="shared" si="72"/>
        <v>15.080175638429735</v>
      </c>
      <c r="F195" s="383">
        <f t="shared" si="49"/>
        <v>15.080175638429735</v>
      </c>
      <c r="G195" s="110">
        <f t="shared" si="73"/>
        <v>0.24492132210197967</v>
      </c>
      <c r="H195" s="412" t="b">
        <f>Wh_hp&gt;='2021'!Maxi_hp</f>
        <v>0</v>
      </c>
      <c r="I195" s="379">
        <f>IF(H195,Wh_hp,'2021'!Maxi_hp)</f>
        <v>48.567329624942467</v>
      </c>
      <c r="J195" s="85">
        <f>IF(H195,An,'2021'!An_max)</f>
        <v>2018</v>
      </c>
      <c r="K195" s="197">
        <f t="shared" si="50"/>
        <v>44742</v>
      </c>
      <c r="L195" s="147">
        <f>IF(t&lt;Tvie,1-EXP((T0-t)*PertePVj)+'2021'!Pspv,1-EXP((T0-t)*PertePVj)+Pspv)</f>
        <v>2.3596674475562907E-2</v>
      </c>
      <c r="M195" s="832"/>
      <c r="N195" s="832"/>
      <c r="O195" s="48">
        <f>IF(t&lt;Tnet,'2021'!Resal+('2021'!Salim-'2021'!Resal)*(1-EXP(('2021'!Tnet-t)/('2021'!Tau_j))),Resal+(Salim-Resal)*(1-EXP((Tnet-t)/(Tau_j))))*Salcycl</f>
        <v>1.4420594371577885E-2</v>
      </c>
      <c r="P195" s="169">
        <f>(INDEX(Models!$BJ195:$BT195,,T195)*(1-R195)+INDEX(Models!$BJ195:$BT195,,T195+1)*R195-ERP_i)*Q195*Ramure*Pc/MaxiM</f>
        <v>0</v>
      </c>
      <c r="Q195" s="304">
        <f t="shared" si="51"/>
        <v>0.6</v>
      </c>
      <c r="R195" s="177">
        <f t="shared" si="52"/>
        <v>0.34633639380860215</v>
      </c>
      <c r="S195" s="799">
        <f t="shared" si="53"/>
        <v>0</v>
      </c>
      <c r="T195" s="176">
        <f t="shared" si="54"/>
        <v>6</v>
      </c>
      <c r="U195" s="250">
        <f t="shared" si="55"/>
        <v>0.34633639380860215</v>
      </c>
      <c r="V195" s="382">
        <f t="shared" si="56"/>
        <v>59.251680806939028</v>
      </c>
      <c r="W195" s="400"/>
      <c r="X195" s="157">
        <f t="shared" si="57"/>
        <v>44742</v>
      </c>
      <c r="Y195" s="383">
        <f t="shared" si="58"/>
        <v>12.956753550933032</v>
      </c>
      <c r="Z195" s="383">
        <f t="shared" si="59"/>
        <v>13.269878555538321</v>
      </c>
      <c r="AA195" s="384">
        <f t="shared" si="60"/>
        <v>15.080175638429735</v>
      </c>
      <c r="AB195" s="197">
        <f t="shared" si="61"/>
        <v>44742</v>
      </c>
      <c r="AC195" s="119">
        <f>IF(OR(t&lt;Tnet,NoTnet),'2021'!Resal_s+('2021'!Salim-'2021'!Resal_s)*(1-EXP(('2021'!Tnet_s-t)/'2021'!Tau_j)),Resal_s+(Salim-Resal_s)*(1-EXP((Tnet_s-t)/Tau_j)))*Salcycl</f>
        <v>0.12004482748053158</v>
      </c>
      <c r="AD195" s="230">
        <f>(INDEX(Models!$BJ195:$BT195,,AH195)*(1-AF195)+INDEX(Models!$BJ195:$BT195,,AH195+1)*AF195-ERP_i)*AE195*Ramure*Pc/MaxiM</f>
        <v>0</v>
      </c>
      <c r="AE195" s="304">
        <f t="shared" si="62"/>
        <v>0.6</v>
      </c>
      <c r="AF195" s="177">
        <f t="shared" si="63"/>
        <v>0.34633639380860215</v>
      </c>
      <c r="AG195" s="799">
        <f t="shared" si="71"/>
        <v>0</v>
      </c>
      <c r="AH195" s="176">
        <f t="shared" si="64"/>
        <v>6</v>
      </c>
      <c r="AI195" s="224">
        <f t="shared" si="65"/>
        <v>0.34633639380860215</v>
      </c>
      <c r="AJ195" s="264" t="b">
        <f t="shared" si="66"/>
        <v>0</v>
      </c>
      <c r="AK195" s="264" t="b">
        <f t="shared" si="67"/>
        <v>0</v>
      </c>
      <c r="AL195" s="264"/>
      <c r="AM195" s="264"/>
      <c r="AN195" s="75"/>
    </row>
    <row r="196" spans="1:40" s="6" customFormat="1" ht="11.25" x14ac:dyDescent="0.2">
      <c r="A196" s="56">
        <f t="shared" si="68"/>
        <v>44743</v>
      </c>
      <c r="B196" s="607">
        <v>49.298999999999999</v>
      </c>
      <c r="C196" s="388"/>
      <c r="D196" s="391">
        <f t="shared" si="48"/>
        <v>50.491373322305968</v>
      </c>
      <c r="E196" s="383">
        <f t="shared" si="72"/>
        <v>51.234619809636143</v>
      </c>
      <c r="F196" s="383">
        <f t="shared" si="49"/>
        <v>51.234619809636143</v>
      </c>
      <c r="G196" s="110">
        <f t="shared" si="73"/>
        <v>0.83324806571576504</v>
      </c>
      <c r="H196" s="412" t="b">
        <f>Wh_hp&gt;='2021'!Maxi_hp</f>
        <v>0</v>
      </c>
      <c r="I196" s="379">
        <f>IF(H196,Wh_hp,'2021'!Maxi_hp)</f>
        <v>60.829668831248355</v>
      </c>
      <c r="J196" s="85">
        <f>IF(H196,An,'2021'!An_max)</f>
        <v>2020</v>
      </c>
      <c r="K196" s="197">
        <f t="shared" si="50"/>
        <v>44743</v>
      </c>
      <c r="L196" s="147">
        <f>IF(t&lt;Tvie,1-EXP((T0-t)*PertePVj)+'2021'!Pspv,1-EXP((T0-t)*PertePVj)+Pspv)</f>
        <v>2.3615387022543177E-2</v>
      </c>
      <c r="M196" s="832"/>
      <c r="N196" s="832"/>
      <c r="O196" s="48">
        <f>IF(t&lt;Tnet,'2021'!Resal+('2021'!Salim-'2021'!Resal)*(1-EXP(('2021'!Tnet-t)/('2021'!Tau_j))),Resal+(Salim-Resal)*(1-EXP((Tnet-t)/(Tau_j))))*Salcycl</f>
        <v>1.4506723970856651E-2</v>
      </c>
      <c r="P196" s="169">
        <f>(INDEX(Models!$BJ196:$BT196,,T196)*(1-R196)+INDEX(Models!$BJ196:$BT196,,T196+1)*R196-ERP_i)*Q196*Ramure*Pc/MaxiM</f>
        <v>0</v>
      </c>
      <c r="Q196" s="304">
        <f t="shared" si="51"/>
        <v>0.6</v>
      </c>
      <c r="R196" s="177">
        <f t="shared" si="52"/>
        <v>0.35066716132954501</v>
      </c>
      <c r="S196" s="799">
        <f t="shared" si="53"/>
        <v>0</v>
      </c>
      <c r="T196" s="176">
        <f t="shared" si="54"/>
        <v>6</v>
      </c>
      <c r="U196" s="250">
        <f t="shared" si="55"/>
        <v>0.35066716132954501</v>
      </c>
      <c r="V196" s="382">
        <f t="shared" si="56"/>
        <v>59.164853815354341</v>
      </c>
      <c r="W196" s="400"/>
      <c r="X196" s="157">
        <f t="shared" si="57"/>
        <v>44743</v>
      </c>
      <c r="Y196" s="383">
        <f t="shared" si="58"/>
        <v>44.018648576053785</v>
      </c>
      <c r="Z196" s="383">
        <f t="shared" si="59"/>
        <v>45.083308351019767</v>
      </c>
      <c r="AA196" s="384">
        <f t="shared" si="60"/>
        <v>51.234619809636143</v>
      </c>
      <c r="AB196" s="197">
        <f t="shared" si="61"/>
        <v>44743</v>
      </c>
      <c r="AC196" s="119">
        <f>IF(OR(t&lt;Tnet,NoTnet),'2021'!Resal_s+('2021'!Salim-'2021'!Resal_s)*(1-EXP(('2021'!Tnet_s-t)/'2021'!Tau_j)),Resal_s+(Salim-Resal_s)*(1-EXP((Tnet_s-t)/Tau_j)))*Salcycl</f>
        <v>0.12006162008172933</v>
      </c>
      <c r="AD196" s="230">
        <f>(INDEX(Models!$BJ196:$BT196,,AH196)*(1-AF196)+INDEX(Models!$BJ196:$BT196,,AH196+1)*AF196-ERP_i)*AE196*Ramure*Pc/MaxiM</f>
        <v>0</v>
      </c>
      <c r="AE196" s="304">
        <f t="shared" si="62"/>
        <v>0.6</v>
      </c>
      <c r="AF196" s="177">
        <f t="shared" si="63"/>
        <v>0.35066716132954501</v>
      </c>
      <c r="AG196" s="799">
        <f t="shared" si="71"/>
        <v>0</v>
      </c>
      <c r="AH196" s="176">
        <f t="shared" si="64"/>
        <v>6</v>
      </c>
      <c r="AI196" s="224">
        <f t="shared" si="65"/>
        <v>0.35066716132954501</v>
      </c>
      <c r="AJ196" s="264" t="b">
        <f t="shared" si="66"/>
        <v>0</v>
      </c>
      <c r="AK196" s="264" t="b">
        <f t="shared" si="67"/>
        <v>0</v>
      </c>
      <c r="AL196" s="264"/>
      <c r="AM196" s="264"/>
      <c r="AN196" s="75"/>
    </row>
    <row r="197" spans="1:40" s="6" customFormat="1" ht="11.25" x14ac:dyDescent="0.2">
      <c r="A197" s="56">
        <f t="shared" si="68"/>
        <v>44744</v>
      </c>
      <c r="B197" s="607">
        <v>36.055999999999997</v>
      </c>
      <c r="C197" s="388"/>
      <c r="D197" s="391">
        <f t="shared" si="48"/>
        <v>36.928778412744201</v>
      </c>
      <c r="E197" s="383">
        <f t="shared" si="72"/>
        <v>37.47564541912508</v>
      </c>
      <c r="F197" s="383">
        <f t="shared" si="49"/>
        <v>37.47564541912508</v>
      </c>
      <c r="G197" s="110">
        <f t="shared" si="73"/>
        <v>0.61032830202047483</v>
      </c>
      <c r="H197" s="412" t="b">
        <f>Wh_hp&gt;='2021'!Maxi_hp</f>
        <v>0</v>
      </c>
      <c r="I197" s="379">
        <f>IF(H197,Wh_hp,'2021'!Maxi_hp)</f>
        <v>55.982473400012779</v>
      </c>
      <c r="J197" s="85">
        <f>IF(H197,An,'2021'!An_max)</f>
        <v>2021</v>
      </c>
      <c r="K197" s="197">
        <f t="shared" si="50"/>
        <v>44744</v>
      </c>
      <c r="L197" s="147">
        <f>IF(t&lt;Tvie,1-EXP((T0-t)*PertePVj)+'2021'!Pspv,1-EXP((T0-t)*PertePVj)+Pspv)</f>
        <v>2.363409921090176E-2</v>
      </c>
      <c r="M197" s="832"/>
      <c r="N197" s="832"/>
      <c r="O197" s="48">
        <f>IF(t&lt;Tnet,'2021'!Resal+('2021'!Salim-'2021'!Resal)*(1-EXP(('2021'!Tnet-t)/('2021'!Tau_j))),Resal+(Salim-Resal)*(1-EXP((Tnet-t)/(Tau_j))))*Salcycl</f>
        <v>1.4592597412659843E-2</v>
      </c>
      <c r="P197" s="169">
        <f>(INDEX(Models!$BJ197:$BT197,,T197)*(1-R197)+INDEX(Models!$BJ197:$BT197,,T197+1)*R197-ERP_i)*Q197*Ramure*Pc/MaxiM</f>
        <v>0</v>
      </c>
      <c r="Q197" s="304">
        <f t="shared" si="51"/>
        <v>0.6</v>
      </c>
      <c r="R197" s="177">
        <f t="shared" si="52"/>
        <v>0.35492617663720566</v>
      </c>
      <c r="S197" s="799">
        <f t="shared" si="53"/>
        <v>0</v>
      </c>
      <c r="T197" s="176">
        <f t="shared" si="54"/>
        <v>6</v>
      </c>
      <c r="U197" s="250">
        <f t="shared" si="55"/>
        <v>0.35492617663720566</v>
      </c>
      <c r="V197" s="382">
        <f t="shared" si="56"/>
        <v>59.076401799879854</v>
      </c>
      <c r="W197" s="400"/>
      <c r="X197" s="157">
        <f t="shared" si="57"/>
        <v>44744</v>
      </c>
      <c r="Y197" s="383">
        <f t="shared" si="58"/>
        <v>32.196347099358135</v>
      </c>
      <c r="Z197" s="383">
        <f t="shared" si="59"/>
        <v>32.975698017860999</v>
      </c>
      <c r="AA197" s="384">
        <f t="shared" si="60"/>
        <v>37.47564541912508</v>
      </c>
      <c r="AB197" s="197">
        <f t="shared" si="61"/>
        <v>44744</v>
      </c>
      <c r="AC197" s="119">
        <f>IF(OR(t&lt;Tnet,NoTnet),'2021'!Resal_s+('2021'!Salim-'2021'!Resal_s)*(1-EXP(('2021'!Tnet_s-t)/'2021'!Tau_j)),Resal_s+(Salim-Resal_s)*(1-EXP((Tnet_s-t)/Tau_j)))*Salcycl</f>
        <v>0.12007658176228789</v>
      </c>
      <c r="AD197" s="230">
        <f>(INDEX(Models!$BJ197:$BT197,,AH197)*(1-AF197)+INDEX(Models!$BJ197:$BT197,,AH197+1)*AF197-ERP_i)*AE197*Ramure*Pc/MaxiM</f>
        <v>0</v>
      </c>
      <c r="AE197" s="304">
        <f t="shared" si="62"/>
        <v>0.6</v>
      </c>
      <c r="AF197" s="177">
        <f t="shared" si="63"/>
        <v>0.35492617663720566</v>
      </c>
      <c r="AG197" s="799">
        <f t="shared" si="71"/>
        <v>0</v>
      </c>
      <c r="AH197" s="176">
        <f t="shared" si="64"/>
        <v>6</v>
      </c>
      <c r="AI197" s="224">
        <f t="shared" si="65"/>
        <v>0.35492617663720566</v>
      </c>
      <c r="AJ197" s="264" t="b">
        <f t="shared" si="66"/>
        <v>0</v>
      </c>
      <c r="AK197" s="264" t="b">
        <f t="shared" si="67"/>
        <v>0</v>
      </c>
      <c r="AL197" s="264"/>
      <c r="AM197" s="264"/>
      <c r="AN197" s="75"/>
    </row>
    <row r="198" spans="1:40" s="6" customFormat="1" ht="11.25" x14ac:dyDescent="0.2">
      <c r="A198" s="56">
        <f t="shared" si="68"/>
        <v>44745</v>
      </c>
      <c r="B198" s="607">
        <v>51.237000000000002</v>
      </c>
      <c r="C198" s="388"/>
      <c r="D198" s="391">
        <f t="shared" si="48"/>
        <v>52.478258327973748</v>
      </c>
      <c r="E198" s="383">
        <f t="shared" si="72"/>
        <v>53.260020411249144</v>
      </c>
      <c r="F198" s="383">
        <f t="shared" si="49"/>
        <v>53.260020411249144</v>
      </c>
      <c r="G198" s="110">
        <f t="shared" si="73"/>
        <v>0.86862200511697962</v>
      </c>
      <c r="H198" s="412" t="b">
        <f>Wh_hp&gt;='2021'!Maxi_hp</f>
        <v>1</v>
      </c>
      <c r="I198" s="379">
        <f>IF(H198,Wh_hp,'2021'!Maxi_hp)</f>
        <v>53.260020411249144</v>
      </c>
      <c r="J198" s="85">
        <f>IF(H198,An,'2021'!An_max)</f>
        <v>2022</v>
      </c>
      <c r="K198" s="197">
        <f t="shared" si="50"/>
        <v>44745</v>
      </c>
      <c r="L198" s="147">
        <f>IF(t&lt;Tvie,1-EXP((T0-t)*PertePVj)+'2021'!Pspv,1-EXP((T0-t)*PertePVj)+Pspv)</f>
        <v>2.3652811040645538E-2</v>
      </c>
      <c r="M198" s="832"/>
      <c r="N198" s="832"/>
      <c r="O198" s="48">
        <f>IF(t&lt;Tnet,'2021'!Resal+('2021'!Salim-'2021'!Resal)*(1-EXP(('2021'!Tnet-t)/('2021'!Tau_j))),Resal+(Salim-Resal)*(1-EXP((Tnet-t)/(Tau_j))))*Salcycl</f>
        <v>1.4678215990887622E-2</v>
      </c>
      <c r="P198" s="169">
        <f>(INDEX(Models!$BJ198:$BT198,,T198)*(1-R198)+INDEX(Models!$BJ198:$BT198,,T198+1)*R198-ERP_i)*Q198*Ramure*Pc/MaxiM</f>
        <v>1.8666068031238821E-20</v>
      </c>
      <c r="Q198" s="304">
        <f t="shared" si="51"/>
        <v>0.6</v>
      </c>
      <c r="R198" s="177">
        <f t="shared" si="52"/>
        <v>0.35911170240450213</v>
      </c>
      <c r="S198" s="799">
        <f t="shared" si="53"/>
        <v>0</v>
      </c>
      <c r="T198" s="176">
        <f t="shared" si="54"/>
        <v>6</v>
      </c>
      <c r="U198" s="250">
        <f t="shared" si="55"/>
        <v>0.35911170240450213</v>
      </c>
      <c r="V198" s="382">
        <f t="shared" si="56"/>
        <v>58.986532344526289</v>
      </c>
      <c r="W198" s="400"/>
      <c r="X198" s="157">
        <f t="shared" si="57"/>
        <v>44745</v>
      </c>
      <c r="Y198" s="383">
        <f t="shared" si="58"/>
        <v>45.755571405764591</v>
      </c>
      <c r="Z198" s="383">
        <f t="shared" si="59"/>
        <v>46.864037632487523</v>
      </c>
      <c r="AA198" s="384">
        <f t="shared" si="60"/>
        <v>53.260020411249144</v>
      </c>
      <c r="AB198" s="197">
        <f t="shared" si="61"/>
        <v>44745</v>
      </c>
      <c r="AC198" s="119">
        <f>IF(OR(t&lt;Tnet,NoTnet),'2021'!Resal_s+('2021'!Salim-'2021'!Resal_s)*(1-EXP(('2021'!Tnet_s-t)/'2021'!Tau_j)),Resal_s+(Salim-Resal_s)*(1-EXP((Tnet_s-t)/Tau_j)))*Salcycl</f>
        <v>0.12008975455463239</v>
      </c>
      <c r="AD198" s="230">
        <f>(INDEX(Models!$BJ198:$BT198,,AH198)*(1-AF198)+INDEX(Models!$BJ198:$BT198,,AH198+1)*AF198-ERP_i)*AE198*Ramure*Pc/MaxiM</f>
        <v>1.8666068031238821E-20</v>
      </c>
      <c r="AE198" s="304">
        <f t="shared" si="62"/>
        <v>0.6</v>
      </c>
      <c r="AF198" s="177">
        <f t="shared" si="63"/>
        <v>0.35911170240450213</v>
      </c>
      <c r="AG198" s="799">
        <f t="shared" si="71"/>
        <v>0</v>
      </c>
      <c r="AH198" s="176">
        <f t="shared" si="64"/>
        <v>6</v>
      </c>
      <c r="AI198" s="224">
        <f t="shared" si="65"/>
        <v>0.35911170240450213</v>
      </c>
      <c r="AJ198" s="264" t="b">
        <f t="shared" si="66"/>
        <v>0</v>
      </c>
      <c r="AK198" s="264" t="b">
        <f t="shared" si="67"/>
        <v>0</v>
      </c>
      <c r="AL198" s="264"/>
      <c r="AM198" s="264"/>
      <c r="AN198" s="75"/>
    </row>
    <row r="199" spans="1:40" s="6" customFormat="1" ht="11.25" x14ac:dyDescent="0.2">
      <c r="A199" s="56">
        <f t="shared" si="68"/>
        <v>44746</v>
      </c>
      <c r="B199" s="607">
        <v>46.399000000000001</v>
      </c>
      <c r="C199" s="388"/>
      <c r="D199" s="391">
        <f t="shared" si="48"/>
        <v>47.523964597826556</v>
      </c>
      <c r="E199" s="383">
        <f t="shared" si="72"/>
        <v>48.236102227414889</v>
      </c>
      <c r="F199" s="383">
        <f t="shared" si="49"/>
        <v>48.236102227414889</v>
      </c>
      <c r="G199" s="110">
        <f t="shared" si="73"/>
        <v>0.78781973324448806</v>
      </c>
      <c r="H199" s="412" t="b">
        <f>Wh_hp&gt;='2021'!Maxi_hp</f>
        <v>0</v>
      </c>
      <c r="I199" s="379">
        <f>IF(H199,Wh_hp,'2021'!Maxi_hp)</f>
        <v>58.038793817867159</v>
      </c>
      <c r="J199" s="85">
        <f>IF(H199,An,'2021'!An_max)</f>
        <v>2018</v>
      </c>
      <c r="K199" s="197">
        <f t="shared" si="50"/>
        <v>44746</v>
      </c>
      <c r="L199" s="147">
        <f>IF(t&lt;Tvie,1-EXP((T0-t)*PertePVj)+'2021'!Pspv,1-EXP((T0-t)*PertePVj)+Pspv)</f>
        <v>2.3671522511781395E-2</v>
      </c>
      <c r="M199" s="832"/>
      <c r="N199" s="832"/>
      <c r="O199" s="48">
        <f>IF(t&lt;Tnet,'2021'!Resal+('2021'!Salim-'2021'!Resal)*(1-EXP(('2021'!Tnet-t)/('2021'!Tau_j))),Resal+(Salim-Resal)*(1-EXP((Tnet-t)/(Tau_j))))*Salcycl</f>
        <v>1.4763581564506913E-2</v>
      </c>
      <c r="P199" s="169">
        <f>(INDEX(Models!$BJ199:$BT199,,T199)*(1-R199)+INDEX(Models!$BJ199:$BT199,,T199+1)*R199-ERP_i)*Q199*Ramure*Pc/MaxiM</f>
        <v>1.8735358726363577E-20</v>
      </c>
      <c r="Q199" s="304">
        <f t="shared" si="51"/>
        <v>0.6</v>
      </c>
      <c r="R199" s="177">
        <f t="shared" si="52"/>
        <v>0.36322218262845923</v>
      </c>
      <c r="S199" s="799">
        <f t="shared" si="53"/>
        <v>0</v>
      </c>
      <c r="T199" s="176">
        <f t="shared" si="54"/>
        <v>6</v>
      </c>
      <c r="U199" s="250">
        <f t="shared" si="55"/>
        <v>0.36322218262845923</v>
      </c>
      <c r="V199" s="382">
        <f t="shared" si="56"/>
        <v>58.895452908896317</v>
      </c>
      <c r="W199" s="400"/>
      <c r="X199" s="157">
        <f t="shared" si="57"/>
        <v>44746</v>
      </c>
      <c r="Y199" s="383">
        <f t="shared" si="58"/>
        <v>41.438201426095915</v>
      </c>
      <c r="Z199" s="383">
        <f t="shared" si="59"/>
        <v>42.442889234065134</v>
      </c>
      <c r="AA199" s="384">
        <f t="shared" si="60"/>
        <v>48.236102227414889</v>
      </c>
      <c r="AB199" s="197">
        <f t="shared" si="61"/>
        <v>44746</v>
      </c>
      <c r="AC199" s="119">
        <f>IF(OR(t&lt;Tnet,NoTnet),'2021'!Resal_s+('2021'!Salim-'2021'!Resal_s)*(1-EXP(('2021'!Tnet_s-t)/'2021'!Tau_j)),Resal_s+(Salim-Resal_s)*(1-EXP((Tnet_s-t)/Tau_j)))*Salcycl</f>
        <v>0.12010118408898297</v>
      </c>
      <c r="AD199" s="230">
        <f>(INDEX(Models!$BJ199:$BT199,,AH199)*(1-AF199)+INDEX(Models!$BJ199:$BT199,,AH199+1)*AF199-ERP_i)*AE199*Ramure*Pc/MaxiM</f>
        <v>1.8735358726363577E-20</v>
      </c>
      <c r="AE199" s="304">
        <f t="shared" si="62"/>
        <v>0.6</v>
      </c>
      <c r="AF199" s="177">
        <f t="shared" si="63"/>
        <v>0.36322218262845923</v>
      </c>
      <c r="AG199" s="799">
        <f t="shared" si="71"/>
        <v>0</v>
      </c>
      <c r="AH199" s="176">
        <f t="shared" si="64"/>
        <v>6</v>
      </c>
      <c r="AI199" s="224">
        <f t="shared" si="65"/>
        <v>0.36322218262845923</v>
      </c>
      <c r="AJ199" s="264" t="b">
        <f t="shared" si="66"/>
        <v>0</v>
      </c>
      <c r="AK199" s="264" t="b">
        <f t="shared" si="67"/>
        <v>0</v>
      </c>
      <c r="AL199" s="264"/>
      <c r="AM199" s="264"/>
      <c r="AN199" s="75"/>
    </row>
    <row r="200" spans="1:40" s="6" customFormat="1" ht="11.25" x14ac:dyDescent="0.2">
      <c r="A200" s="56">
        <f t="shared" si="68"/>
        <v>44747</v>
      </c>
      <c r="B200" s="607">
        <v>57.841999999999999</v>
      </c>
      <c r="C200" s="388"/>
      <c r="D200" s="391">
        <f t="shared" si="48"/>
        <v>59.245540700391196</v>
      </c>
      <c r="E200" s="383">
        <f t="shared" si="72"/>
        <v>60.138519323498087</v>
      </c>
      <c r="F200" s="383">
        <f t="shared" si="49"/>
        <v>60.138519323498087</v>
      </c>
      <c r="G200" s="110">
        <f t="shared" si="73"/>
        <v>0.98365109316285038</v>
      </c>
      <c r="H200" s="412" t="b">
        <f>Wh_hp&gt;='2021'!Maxi_hp</f>
        <v>1</v>
      </c>
      <c r="I200" s="379">
        <f>IF(H200,Wh_hp,'2021'!Maxi_hp)</f>
        <v>60.138519323498087</v>
      </c>
      <c r="J200" s="85">
        <f>IF(H200,An,'2021'!An_max)</f>
        <v>2022</v>
      </c>
      <c r="K200" s="197">
        <f t="shared" si="50"/>
        <v>44747</v>
      </c>
      <c r="L200" s="147">
        <f>IF(t&lt;Tvie,1-EXP((T0-t)*PertePVj)+'2021'!Pspv,1-EXP((T0-t)*PertePVj)+Pspv)</f>
        <v>2.3690233624316104E-2</v>
      </c>
      <c r="M200" s="832"/>
      <c r="N200" s="832"/>
      <c r="O200" s="48">
        <f>IF(t&lt;Tnet,'2021'!Resal+('2021'!Salim-'2021'!Resal)*(1-EXP(('2021'!Tnet-t)/('2021'!Tau_j))),Resal+(Salim-Resal)*(1-EXP((Tnet-t)/(Tau_j))))*Salcycl</f>
        <v>1.4848696528482256E-2</v>
      </c>
      <c r="P200" s="169">
        <f>(INDEX(Models!$BJ200:$BT200,,T200)*(1-R200)+INDEX(Models!$BJ200:$BT200,,T200+1)*R200-ERP_i)*Q200*Ramure*Pc/MaxiM</f>
        <v>1.8802337206731021E-20</v>
      </c>
      <c r="Q200" s="304">
        <f t="shared" si="51"/>
        <v>0.6</v>
      </c>
      <c r="R200" s="177">
        <f t="shared" si="52"/>
        <v>0.36725624098843307</v>
      </c>
      <c r="S200" s="799">
        <f t="shared" si="53"/>
        <v>0</v>
      </c>
      <c r="T200" s="176">
        <f t="shared" si="54"/>
        <v>6</v>
      </c>
      <c r="U200" s="250">
        <f t="shared" si="55"/>
        <v>0.36725624098843307</v>
      </c>
      <c r="V200" s="382">
        <f t="shared" si="56"/>
        <v>58.803370831433462</v>
      </c>
      <c r="W200" s="400"/>
      <c r="X200" s="157">
        <f t="shared" si="57"/>
        <v>44747</v>
      </c>
      <c r="Y200" s="383">
        <f t="shared" si="58"/>
        <v>51.661652407019268</v>
      </c>
      <c r="Z200" s="383">
        <f t="shared" si="59"/>
        <v>52.915226484726027</v>
      </c>
      <c r="AA200" s="384">
        <f t="shared" si="60"/>
        <v>60.138519323498087</v>
      </c>
      <c r="AB200" s="197">
        <f t="shared" si="61"/>
        <v>44747</v>
      </c>
      <c r="AC200" s="119">
        <f>IF(OR(t&lt;Tnet,NoTnet),'2021'!Resal_s+('2021'!Salim-'2021'!Resal_s)*(1-EXP(('2021'!Tnet_s-t)/'2021'!Tau_j)),Resal_s+(Salim-Resal_s)*(1-EXP((Tnet_s-t)/Tau_j)))*Salcycl</f>
        <v>0.12011091925819477</v>
      </c>
      <c r="AD200" s="230">
        <f>(INDEX(Models!$BJ200:$BT200,,AH200)*(1-AF200)+INDEX(Models!$BJ200:$BT200,,AH200+1)*AF200-ERP_i)*AE200*Ramure*Pc/MaxiM</f>
        <v>1.8802337206731021E-20</v>
      </c>
      <c r="AE200" s="304">
        <f t="shared" si="62"/>
        <v>0.6</v>
      </c>
      <c r="AF200" s="177">
        <f t="shared" si="63"/>
        <v>0.36725624098843307</v>
      </c>
      <c r="AG200" s="799">
        <f t="shared" si="71"/>
        <v>0</v>
      </c>
      <c r="AH200" s="176">
        <f t="shared" si="64"/>
        <v>6</v>
      </c>
      <c r="AI200" s="224">
        <f t="shared" si="65"/>
        <v>0.36725624098843307</v>
      </c>
      <c r="AJ200" s="264" t="b">
        <f t="shared" si="66"/>
        <v>0</v>
      </c>
      <c r="AK200" s="264" t="b">
        <f t="shared" si="67"/>
        <v>0</v>
      </c>
      <c r="AL200" s="264"/>
      <c r="AM200" s="264"/>
      <c r="AN200" s="75"/>
    </row>
    <row r="201" spans="1:40" s="6" customFormat="1" ht="11.25" x14ac:dyDescent="0.2">
      <c r="A201" s="56">
        <f t="shared" si="68"/>
        <v>44748</v>
      </c>
      <c r="B201" s="607">
        <v>47.169000000000004</v>
      </c>
      <c r="C201" s="388"/>
      <c r="D201" s="391">
        <f t="shared" si="48"/>
        <v>48.314485448154386</v>
      </c>
      <c r="E201" s="383">
        <f t="shared" si="72"/>
        <v>49.046930919337697</v>
      </c>
      <c r="F201" s="383">
        <f t="shared" si="49"/>
        <v>49.046930919337697</v>
      </c>
      <c r="G201" s="110">
        <f t="shared" si="73"/>
        <v>0.80341685655393902</v>
      </c>
      <c r="H201" s="412" t="b">
        <f>Wh_hp&gt;='2021'!Maxi_hp</f>
        <v>0</v>
      </c>
      <c r="I201" s="379">
        <f>IF(H201,Wh_hp,'2021'!Maxi_hp)</f>
        <v>59.81714469792518</v>
      </c>
      <c r="J201" s="85">
        <f>IF(H201,An,'2021'!An_max)</f>
        <v>2020</v>
      </c>
      <c r="K201" s="197">
        <f t="shared" si="50"/>
        <v>44748</v>
      </c>
      <c r="L201" s="147">
        <f>IF(t&lt;Tvie,1-EXP((T0-t)*PertePVj)+'2021'!Pspv,1-EXP((T0-t)*PertePVj)+Pspv)</f>
        <v>2.3708944378256658E-2</v>
      </c>
      <c r="M201" s="832"/>
      <c r="N201" s="832"/>
      <c r="O201" s="48">
        <f>IF(t&lt;Tnet,'2021'!Resal+('2021'!Salim-'2021'!Resal)*(1-EXP(('2021'!Tnet-t)/('2021'!Tau_j))),Resal+(Salim-Resal)*(1-EXP((Tnet-t)/(Tau_j))))*Salcycl</f>
        <v>1.4933563781755995E-2</v>
      </c>
      <c r="P201" s="169">
        <f>(INDEX(Models!$BJ201:$BT201,,T201)*(1-R201)+INDEX(Models!$BJ201:$BT201,,T201+1)*R201-ERP_i)*Q201*Ramure*Pc/MaxiM</f>
        <v>0</v>
      </c>
      <c r="Q201" s="304">
        <f t="shared" si="51"/>
        <v>0.6</v>
      </c>
      <c r="R201" s="177">
        <f t="shared" si="52"/>
        <v>0.37121267844955919</v>
      </c>
      <c r="S201" s="799">
        <f t="shared" si="53"/>
        <v>0</v>
      </c>
      <c r="T201" s="176">
        <f t="shared" si="54"/>
        <v>6</v>
      </c>
      <c r="U201" s="250">
        <f t="shared" si="55"/>
        <v>0.37121267844955919</v>
      </c>
      <c r="V201" s="382">
        <f t="shared" si="56"/>
        <v>58.710493332589444</v>
      </c>
      <c r="W201" s="400"/>
      <c r="X201" s="157">
        <f t="shared" si="57"/>
        <v>44748</v>
      </c>
      <c r="Y201" s="383">
        <f t="shared" si="58"/>
        <v>42.132291592860376</v>
      </c>
      <c r="Z201" s="383">
        <f t="shared" si="59"/>
        <v>43.155462042032902</v>
      </c>
      <c r="AA201" s="384">
        <f t="shared" si="60"/>
        <v>49.046930919337697</v>
      </c>
      <c r="AB201" s="197">
        <f t="shared" si="61"/>
        <v>44748</v>
      </c>
      <c r="AC201" s="119">
        <f>IF(OR(t&lt;Tnet,NoTnet),'2021'!Resal_s+('2021'!Salim-'2021'!Resal_s)*(1-EXP(('2021'!Tnet_s-t)/'2021'!Tau_j)),Resal_s+(Salim-Resal_s)*(1-EXP((Tnet_s-t)/Tau_j)))*Salcycl</f>
        <v>0.12011901187036306</v>
      </c>
      <c r="AD201" s="230">
        <f>(INDEX(Models!$BJ201:$BT201,,AH201)*(1-AF201)+INDEX(Models!$BJ201:$BT201,,AH201+1)*AF201-ERP_i)*AE201*Ramure*Pc/MaxiM</f>
        <v>0</v>
      </c>
      <c r="AE201" s="304">
        <f t="shared" si="62"/>
        <v>0.6</v>
      </c>
      <c r="AF201" s="177">
        <f t="shared" si="63"/>
        <v>0.37121267844955919</v>
      </c>
      <c r="AG201" s="799">
        <f t="shared" si="71"/>
        <v>0</v>
      </c>
      <c r="AH201" s="176">
        <f t="shared" si="64"/>
        <v>6</v>
      </c>
      <c r="AI201" s="224">
        <f t="shared" si="65"/>
        <v>0.37121267844955919</v>
      </c>
      <c r="AJ201" s="264" t="b">
        <f t="shared" si="66"/>
        <v>0</v>
      </c>
      <c r="AK201" s="264" t="b">
        <f t="shared" si="67"/>
        <v>0</v>
      </c>
      <c r="AL201" s="264"/>
      <c r="AM201" s="264"/>
      <c r="AN201" s="75"/>
    </row>
    <row r="202" spans="1:40" s="6" customFormat="1" ht="11.25" x14ac:dyDescent="0.2">
      <c r="A202" s="56">
        <f t="shared" si="68"/>
        <v>44749</v>
      </c>
      <c r="B202" s="607">
        <v>57.521999999999998</v>
      </c>
      <c r="C202" s="388"/>
      <c r="D202" s="391">
        <f t="shared" si="48"/>
        <v>58.920034231494164</v>
      </c>
      <c r="E202" s="383">
        <f t="shared" si="72"/>
        <v>59.818398101836763</v>
      </c>
      <c r="F202" s="383">
        <f t="shared" si="49"/>
        <v>59.818398101836763</v>
      </c>
      <c r="G202" s="110">
        <f t="shared" si="73"/>
        <v>0.98131895178301876</v>
      </c>
      <c r="H202" s="412" t="b">
        <f>Wh_hp&gt;='2021'!Maxi_hp</f>
        <v>1</v>
      </c>
      <c r="I202" s="379">
        <f>IF(H202,Wh_hp,'2021'!Maxi_hp)</f>
        <v>59.818398101836763</v>
      </c>
      <c r="J202" s="85">
        <f>IF(H202,An,'2021'!An_max)</f>
        <v>2022</v>
      </c>
      <c r="K202" s="197">
        <f t="shared" si="50"/>
        <v>44749</v>
      </c>
      <c r="L202" s="147">
        <f>IF(t&lt;Tvie,1-EXP((T0-t)*PertePVj)+'2021'!Pspv,1-EXP((T0-t)*PertePVj)+Pspv)</f>
        <v>2.372765477360983E-2</v>
      </c>
      <c r="M202" s="832"/>
      <c r="N202" s="832"/>
      <c r="O202" s="48">
        <f>IF(t&lt;Tnet,'2021'!Resal+('2021'!Salim-'2021'!Resal)*(1-EXP(('2021'!Tnet-t)/('2021'!Tau_j))),Resal+(Salim-Resal)*(1-EXP((Tnet-t)/(Tau_j))))*Salcycl</f>
        <v>1.501818669254899E-2</v>
      </c>
      <c r="P202" s="169">
        <f>(INDEX(Models!$BJ202:$BT202,,T202)*(1-R202)+INDEX(Models!$BJ202:$BT202,,T202+1)*R202-ERP_i)*Q202*Ramure*Pc/MaxiM</f>
        <v>1.8929411117052292E-20</v>
      </c>
      <c r="Q202" s="304">
        <f t="shared" si="51"/>
        <v>0.6</v>
      </c>
      <c r="R202" s="177">
        <f t="shared" si="52"/>
        <v>0.37509047016459879</v>
      </c>
      <c r="S202" s="799">
        <f t="shared" si="53"/>
        <v>0</v>
      </c>
      <c r="T202" s="176">
        <f t="shared" si="54"/>
        <v>6</v>
      </c>
      <c r="U202" s="250">
        <f t="shared" si="55"/>
        <v>0.37509047016459879</v>
      </c>
      <c r="V202" s="382">
        <f t="shared" si="56"/>
        <v>58.617027517388443</v>
      </c>
      <c r="W202" s="400"/>
      <c r="X202" s="157">
        <f t="shared" si="57"/>
        <v>44749</v>
      </c>
      <c r="Y202" s="383">
        <f t="shared" si="58"/>
        <v>51.383832034332485</v>
      </c>
      <c r="Z202" s="383">
        <f t="shared" si="59"/>
        <v>52.632682146104386</v>
      </c>
      <c r="AA202" s="384">
        <f t="shared" si="60"/>
        <v>59.818398101836763</v>
      </c>
      <c r="AB202" s="197">
        <f t="shared" si="61"/>
        <v>44749</v>
      </c>
      <c r="AC202" s="119">
        <f>IF(OR(t&lt;Tnet,NoTnet),'2021'!Resal_s+('2021'!Salim-'2021'!Resal_s)*(1-EXP(('2021'!Tnet_s-t)/'2021'!Tau_j)),Resal_s+(Salim-Resal_s)*(1-EXP((Tnet_s-t)/Tau_j)))*Salcycl</f>
        <v>0.12012551629181345</v>
      </c>
      <c r="AD202" s="230">
        <f>(INDEX(Models!$BJ202:$BT202,,AH202)*(1-AF202)+INDEX(Models!$BJ202:$BT202,,AH202+1)*AF202-ERP_i)*AE202*Ramure*Pc/MaxiM</f>
        <v>1.8929411117052292E-20</v>
      </c>
      <c r="AE202" s="304">
        <f t="shared" si="62"/>
        <v>0.6</v>
      </c>
      <c r="AF202" s="177">
        <f t="shared" si="63"/>
        <v>0.37509047016459879</v>
      </c>
      <c r="AG202" s="799">
        <f t="shared" si="71"/>
        <v>0</v>
      </c>
      <c r="AH202" s="176">
        <f t="shared" si="64"/>
        <v>6</v>
      </c>
      <c r="AI202" s="224">
        <f t="shared" si="65"/>
        <v>0.37509047016459879</v>
      </c>
      <c r="AJ202" s="264" t="b">
        <f t="shared" si="66"/>
        <v>0</v>
      </c>
      <c r="AK202" s="264" t="b">
        <f t="shared" si="67"/>
        <v>0</v>
      </c>
      <c r="AL202" s="264"/>
      <c r="AM202" s="264"/>
      <c r="AN202" s="75"/>
    </row>
    <row r="203" spans="1:40" s="6" customFormat="1" ht="11.25" x14ac:dyDescent="0.2">
      <c r="A203" s="56">
        <f t="shared" si="68"/>
        <v>44750</v>
      </c>
      <c r="B203" s="607">
        <v>59.413000000000004</v>
      </c>
      <c r="C203" s="388"/>
      <c r="D203" s="391">
        <f t="shared" si="48"/>
        <v>60.858160070728175</v>
      </c>
      <c r="E203" s="383">
        <f t="shared" si="72"/>
        <v>61.791368480597036</v>
      </c>
      <c r="F203" s="383">
        <f t="shared" si="49"/>
        <v>61.791368480597036</v>
      </c>
      <c r="G203" s="110">
        <f t="shared" si="73"/>
        <v>1.0152045670878949</v>
      </c>
      <c r="H203" s="412" t="b">
        <f>Wh_hp&gt;='2021'!Maxi_hp</f>
        <v>0</v>
      </c>
      <c r="I203" s="379">
        <f>IF(H203,Wh_hp,'2021'!Maxi_hp)</f>
        <v>63.269155638139843</v>
      </c>
      <c r="J203" s="85">
        <f>IF(H203,An,'2021'!An_max)</f>
        <v>2020</v>
      </c>
      <c r="K203" s="197">
        <f t="shared" si="50"/>
        <v>44750</v>
      </c>
      <c r="L203" s="147">
        <f>IF(t&lt;Tvie,1-EXP((T0-t)*PertePVj)+'2021'!Pspv,1-EXP((T0-t)*PertePVj)+Pspv)</f>
        <v>2.3746364810382614E-2</v>
      </c>
      <c r="M203" s="832"/>
      <c r="N203" s="832"/>
      <c r="O203" s="48">
        <f>IF(t&lt;Tnet,'2021'!Resal+('2021'!Salim-'2021'!Resal)*(1-EXP(('2021'!Tnet-t)/('2021'!Tau_j))),Resal+(Salim-Resal)*(1-EXP((Tnet-t)/(Tau_j))))*Salcycl</f>
        <v>1.5102569061274251E-2</v>
      </c>
      <c r="P203" s="169">
        <f>(INDEX(Models!$BJ203:$BT203,,T203)*(1-R203)+INDEX(Models!$BJ203:$BT203,,T203+1)*R203-ERP_i)*Q203*Ramure*Pc/MaxiM</f>
        <v>-1.8989541041851656E-20</v>
      </c>
      <c r="Q203" s="304">
        <f t="shared" si="51"/>
        <v>0.6</v>
      </c>
      <c r="R203" s="177">
        <f t="shared" si="52"/>
        <v>0.3788887617302012</v>
      </c>
      <c r="S203" s="799">
        <f t="shared" si="53"/>
        <v>0</v>
      </c>
      <c r="T203" s="176">
        <f t="shared" si="54"/>
        <v>6</v>
      </c>
      <c r="U203" s="250">
        <f t="shared" si="55"/>
        <v>0.3788887617302012</v>
      </c>
      <c r="V203" s="382">
        <f t="shared" si="56"/>
        <v>58.523180377749533</v>
      </c>
      <c r="W203" s="400"/>
      <c r="X203" s="157">
        <f t="shared" si="57"/>
        <v>44750</v>
      </c>
      <c r="Y203" s="383">
        <f t="shared" si="58"/>
        <v>53.077290700492419</v>
      </c>
      <c r="Z203" s="383">
        <f t="shared" si="59"/>
        <v>54.368341163905868</v>
      </c>
      <c r="AA203" s="384">
        <f t="shared" si="60"/>
        <v>61.791368480597036</v>
      </c>
      <c r="AB203" s="197">
        <f t="shared" si="61"/>
        <v>44750</v>
      </c>
      <c r="AC203" s="119">
        <f>IF(OR(t&lt;Tnet,NoTnet),'2021'!Resal_s+('2021'!Salim-'2021'!Resal_s)*(1-EXP(('2021'!Tnet_s-t)/'2021'!Tau_j)),Resal_s+(Salim-Resal_s)*(1-EXP((Tnet_s-t)/Tau_j)))*Salcycl</f>
        <v>0.12013048908314847</v>
      </c>
      <c r="AD203" s="230">
        <f>(INDEX(Models!$BJ203:$BT203,,AH203)*(1-AF203)+INDEX(Models!$BJ203:$BT203,,AH203+1)*AF203-ERP_i)*AE203*Ramure*Pc/MaxiM</f>
        <v>-1.8989541041851656E-20</v>
      </c>
      <c r="AE203" s="304">
        <f t="shared" si="62"/>
        <v>0.6</v>
      </c>
      <c r="AF203" s="177">
        <f t="shared" si="63"/>
        <v>0.3788887617302012</v>
      </c>
      <c r="AG203" s="799">
        <f t="shared" si="71"/>
        <v>0</v>
      </c>
      <c r="AH203" s="176">
        <f t="shared" si="64"/>
        <v>6</v>
      </c>
      <c r="AI203" s="224">
        <f t="shared" si="65"/>
        <v>0.3788887617302012</v>
      </c>
      <c r="AJ203" s="264" t="b">
        <f t="shared" si="66"/>
        <v>0</v>
      </c>
      <c r="AK203" s="264" t="b">
        <f t="shared" si="67"/>
        <v>0</v>
      </c>
      <c r="AL203" s="264"/>
      <c r="AM203" s="264"/>
      <c r="AN203" s="75"/>
    </row>
    <row r="204" spans="1:40" s="6" customFormat="1" ht="11.25" x14ac:dyDescent="0.2">
      <c r="A204" s="56">
        <f t="shared" si="68"/>
        <v>44751</v>
      </c>
      <c r="B204" s="607">
        <v>58.710999999999999</v>
      </c>
      <c r="C204" s="388"/>
      <c r="D204" s="391">
        <f t="shared" si="48"/>
        <v>60.14023721722841</v>
      </c>
      <c r="E204" s="383">
        <f t="shared" si="72"/>
        <v>61.067654283520113</v>
      </c>
      <c r="F204" s="383">
        <f t="shared" si="49"/>
        <v>61.067654283520113</v>
      </c>
      <c r="G204" s="110">
        <f t="shared" si="73"/>
        <v>1.0048236395791403</v>
      </c>
      <c r="H204" s="412" t="b">
        <f>Wh_hp&gt;='2021'!Maxi_hp</f>
        <v>1</v>
      </c>
      <c r="I204" s="379">
        <f>IF(H204,Wh_hp,'2021'!Maxi_hp)</f>
        <v>61.067654283520113</v>
      </c>
      <c r="J204" s="85">
        <f>IF(H204,An,'2021'!An_max)</f>
        <v>2022</v>
      </c>
      <c r="K204" s="197">
        <f t="shared" si="50"/>
        <v>44751</v>
      </c>
      <c r="L204" s="147">
        <f>IF(t&lt;Tvie,1-EXP((T0-t)*PertePVj)+'2021'!Pspv,1-EXP((T0-t)*PertePVj)+Pspv)</f>
        <v>2.3765074488581783E-2</v>
      </c>
      <c r="M204" s="832"/>
      <c r="N204" s="832"/>
      <c r="O204" s="48">
        <f>IF(t&lt;Tnet,'2021'!Resal+('2021'!Salim-'2021'!Resal)*(1-EXP(('2021'!Tnet-t)/('2021'!Tau_j))),Resal+(Salim-Resal)*(1-EXP((Tnet-t)/(Tau_j))))*Salcycl</f>
        <v>1.5186715081374574E-2</v>
      </c>
      <c r="P204" s="169">
        <f>(INDEX(Models!$BJ204:$BT204,,T204)*(1-R204)+INDEX(Models!$BJ204:$BT204,,T204+1)*R204-ERP_i)*Q204*Ramure*Pc/MaxiM</f>
        <v>-1.9047426725438346E-20</v>
      </c>
      <c r="Q204" s="304">
        <f t="shared" si="51"/>
        <v>0.6</v>
      </c>
      <c r="R204" s="177">
        <f t="shared" si="52"/>
        <v>0.38260686485565326</v>
      </c>
      <c r="S204" s="799">
        <f t="shared" si="53"/>
        <v>0</v>
      </c>
      <c r="T204" s="176">
        <f t="shared" si="54"/>
        <v>6</v>
      </c>
      <c r="U204" s="250">
        <f t="shared" si="55"/>
        <v>0.38260686485565326</v>
      </c>
      <c r="V204" s="382">
        <f t="shared" si="56"/>
        <v>58.429158797050668</v>
      </c>
      <c r="W204" s="400"/>
      <c r="X204" s="157">
        <f t="shared" si="57"/>
        <v>44751</v>
      </c>
      <c r="Y204" s="383">
        <f t="shared" si="58"/>
        <v>52.454423782220665</v>
      </c>
      <c r="Z204" s="383">
        <f t="shared" si="59"/>
        <v>53.731353398098797</v>
      </c>
      <c r="AA204" s="384">
        <f t="shared" si="60"/>
        <v>61.067654283520113</v>
      </c>
      <c r="AB204" s="197">
        <f t="shared" si="61"/>
        <v>44751</v>
      </c>
      <c r="AC204" s="119">
        <f>IF(OR(t&lt;Tnet,NoTnet),'2021'!Resal_s+('2021'!Salim-'2021'!Resal_s)*(1-EXP(('2021'!Tnet_s-t)/'2021'!Tau_j)),Resal_s+(Salim-Resal_s)*(1-EXP((Tnet_s-t)/Tau_j)))*Salcycl</f>
        <v>0.12013398863105033</v>
      </c>
      <c r="AD204" s="230">
        <f>(INDEX(Models!$BJ204:$BT204,,AH204)*(1-AF204)+INDEX(Models!$BJ204:$BT204,,AH204+1)*AF204-ERP_i)*AE204*Ramure*Pc/MaxiM</f>
        <v>-1.9047426725438346E-20</v>
      </c>
      <c r="AE204" s="304">
        <f t="shared" si="62"/>
        <v>0.6</v>
      </c>
      <c r="AF204" s="177">
        <f t="shared" si="63"/>
        <v>0.38260686485565326</v>
      </c>
      <c r="AG204" s="799">
        <f t="shared" si="71"/>
        <v>0</v>
      </c>
      <c r="AH204" s="176">
        <f t="shared" si="64"/>
        <v>6</v>
      </c>
      <c r="AI204" s="224">
        <f t="shared" si="65"/>
        <v>0.38260686485565326</v>
      </c>
      <c r="AJ204" s="264" t="b">
        <f t="shared" si="66"/>
        <v>0</v>
      </c>
      <c r="AK204" s="264" t="b">
        <f t="shared" si="67"/>
        <v>0</v>
      </c>
      <c r="AL204" s="264"/>
      <c r="AM204" s="264"/>
      <c r="AN204" s="75"/>
    </row>
    <row r="205" spans="1:40" s="6" customFormat="1" ht="11.25" x14ac:dyDescent="0.2">
      <c r="A205" s="56">
        <f t="shared" si="68"/>
        <v>44752</v>
      </c>
      <c r="B205" s="607">
        <v>57.984000000000002</v>
      </c>
      <c r="C205" s="388"/>
      <c r="D205" s="391">
        <f t="shared" si="48"/>
        <v>59.396677742350228</v>
      </c>
      <c r="E205" s="383">
        <f t="shared" si="72"/>
        <v>60.317768017858462</v>
      </c>
      <c r="F205" s="383">
        <f t="shared" si="49"/>
        <v>60.317768017858462</v>
      </c>
      <c r="G205" s="110">
        <f t="shared" si="73"/>
        <v>0.99398895981519897</v>
      </c>
      <c r="H205" s="412" t="b">
        <f>Wh_hp&gt;='2021'!Maxi_hp</f>
        <v>1</v>
      </c>
      <c r="I205" s="379">
        <f>IF(H205,Wh_hp,'2021'!Maxi_hp)</f>
        <v>60.317768017858462</v>
      </c>
      <c r="J205" s="85">
        <f>IF(H205,An,'2021'!An_max)</f>
        <v>2022</v>
      </c>
      <c r="K205" s="197">
        <f t="shared" si="50"/>
        <v>44752</v>
      </c>
      <c r="L205" s="147">
        <f>IF(t&lt;Tvie,1-EXP((T0-t)*PertePVj)+'2021'!Pspv,1-EXP((T0-t)*PertePVj)+Pspv)</f>
        <v>2.3783783808214221E-2</v>
      </c>
      <c r="M205" s="832"/>
      <c r="N205" s="832"/>
      <c r="O205" s="48">
        <f>IF(t&lt;Tnet,'2021'!Resal+('2021'!Salim-'2021'!Resal)*(1-EXP(('2021'!Tnet-t)/('2021'!Tau_j))),Resal+(Salim-Resal)*(1-EXP((Tnet-t)/(Tau_j))))*Salcycl</f>
        <v>1.5270629298410518E-2</v>
      </c>
      <c r="P205" s="169">
        <f>(INDEX(Models!$BJ205:$BT205,,T205)*(1-R205)+INDEX(Models!$BJ205:$BT205,,T205+1)*R205-ERP_i)*Q205*Ramure*Pc/MaxiM</f>
        <v>0</v>
      </c>
      <c r="Q205" s="304">
        <f t="shared" si="51"/>
        <v>0.6</v>
      </c>
      <c r="R205" s="177">
        <f t="shared" si="52"/>
        <v>0.38624425250348199</v>
      </c>
      <c r="S205" s="799">
        <f t="shared" si="53"/>
        <v>0</v>
      </c>
      <c r="T205" s="176">
        <f t="shared" si="54"/>
        <v>6</v>
      </c>
      <c r="U205" s="250">
        <f t="shared" si="55"/>
        <v>0.38624425250348199</v>
      </c>
      <c r="V205" s="382">
        <f t="shared" si="56"/>
        <v>58.334651936959446</v>
      </c>
      <c r="W205" s="400"/>
      <c r="X205" s="157">
        <f t="shared" si="57"/>
        <v>44752</v>
      </c>
      <c r="Y205" s="383">
        <f t="shared" si="58"/>
        <v>51.809188755781925</v>
      </c>
      <c r="Z205" s="383">
        <f t="shared" si="59"/>
        <v>53.071428128790252</v>
      </c>
      <c r="AA205" s="384">
        <f t="shared" si="60"/>
        <v>60.317768017858462</v>
      </c>
      <c r="AB205" s="197">
        <f t="shared" si="61"/>
        <v>44752</v>
      </c>
      <c r="AC205" s="119">
        <f>IF(OR(t&lt;Tnet,NoTnet),'2021'!Resal_s+('2021'!Salim-'2021'!Resal_s)*(1-EXP(('2021'!Tnet_s-t)/'2021'!Tau_j)),Resal_s+(Salim-Resal_s)*(1-EXP((Tnet_s-t)/Tau_j)))*Salcycl</f>
        <v>0.12013607477854228</v>
      </c>
      <c r="AD205" s="230">
        <f>(INDEX(Models!$BJ205:$BT205,,AH205)*(1-AF205)+INDEX(Models!$BJ205:$BT205,,AH205+1)*AF205-ERP_i)*AE205*Ramure*Pc/MaxiM</f>
        <v>0</v>
      </c>
      <c r="AE205" s="304">
        <f t="shared" si="62"/>
        <v>0.6</v>
      </c>
      <c r="AF205" s="177">
        <f t="shared" si="63"/>
        <v>0.38624425250348199</v>
      </c>
      <c r="AG205" s="799">
        <f t="shared" si="71"/>
        <v>0</v>
      </c>
      <c r="AH205" s="176">
        <f t="shared" si="64"/>
        <v>6</v>
      </c>
      <c r="AI205" s="224">
        <f t="shared" si="65"/>
        <v>0.38624425250348199</v>
      </c>
      <c r="AJ205" s="264" t="b">
        <f t="shared" si="66"/>
        <v>0</v>
      </c>
      <c r="AK205" s="264" t="b">
        <f t="shared" si="67"/>
        <v>0</v>
      </c>
      <c r="AL205" s="264"/>
      <c r="AM205" s="264"/>
      <c r="AN205" s="75"/>
    </row>
    <row r="206" spans="1:40" s="6" customFormat="1" ht="11.25" x14ac:dyDescent="0.2">
      <c r="A206" s="56">
        <f t="shared" si="68"/>
        <v>44753</v>
      </c>
      <c r="B206" s="607">
        <v>56.984999999999999</v>
      </c>
      <c r="C206" s="388"/>
      <c r="D206" s="391">
        <f t="shared" si="48"/>
        <v>58.374457605055369</v>
      </c>
      <c r="E206" s="383">
        <f t="shared" si="72"/>
        <v>59.284734181309368</v>
      </c>
      <c r="F206" s="383">
        <f t="shared" si="49"/>
        <v>59.284734181309368</v>
      </c>
      <c r="G206" s="110">
        <f t="shared" si="73"/>
        <v>0.97846449096408616</v>
      </c>
      <c r="H206" s="412" t="b">
        <f>Wh_hp&gt;='2021'!Maxi_hp</f>
        <v>0</v>
      </c>
      <c r="I206" s="379">
        <f>IF(H206,Wh_hp,'2021'!Maxi_hp)</f>
        <v>60.058702365360794</v>
      </c>
      <c r="J206" s="85">
        <f>IF(H206,An,'2021'!An_max)</f>
        <v>2018</v>
      </c>
      <c r="K206" s="197">
        <f t="shared" si="50"/>
        <v>44753</v>
      </c>
      <c r="L206" s="147">
        <f>IF(t&lt;Tvie,1-EXP((T0-t)*PertePVj)+'2021'!Pspv,1-EXP((T0-t)*PertePVj)+Pspv)</f>
        <v>2.3802492769286809E-2</v>
      </c>
      <c r="M206" s="832"/>
      <c r="N206" s="832"/>
      <c r="O206" s="48">
        <f>IF(t&lt;Tnet,'2021'!Resal+('2021'!Salim-'2021'!Resal)*(1-EXP(('2021'!Tnet-t)/('2021'!Tau_j))),Resal+(Salim-Resal)*(1-EXP((Tnet-t)/(Tau_j))))*Salcycl</f>
        <v>1.5354316567737638E-2</v>
      </c>
      <c r="P206" s="169">
        <f>(INDEX(Models!$BJ206:$BT206,,T206)*(1-R206)+INDEX(Models!$BJ206:$BT206,,T206+1)*R206-ERP_i)*Q206*Ramure*Pc/MaxiM</f>
        <v>0</v>
      </c>
      <c r="Q206" s="304">
        <f t="shared" si="51"/>
        <v>0.6</v>
      </c>
      <c r="R206" s="177">
        <f t="shared" si="52"/>
        <v>0.38980055356184629</v>
      </c>
      <c r="S206" s="799">
        <f t="shared" si="53"/>
        <v>0</v>
      </c>
      <c r="T206" s="176">
        <f t="shared" si="54"/>
        <v>6</v>
      </c>
      <c r="U206" s="250">
        <f t="shared" si="55"/>
        <v>0.38980055356184629</v>
      </c>
      <c r="V206" s="382">
        <f t="shared" si="56"/>
        <v>58.239211055939677</v>
      </c>
      <c r="W206" s="400"/>
      <c r="X206" s="157">
        <f t="shared" si="57"/>
        <v>44753</v>
      </c>
      <c r="Y206" s="383">
        <f t="shared" si="58"/>
        <v>50.92085895846197</v>
      </c>
      <c r="Z206" s="383">
        <f t="shared" si="59"/>
        <v>52.162455426581417</v>
      </c>
      <c r="AA206" s="384">
        <f t="shared" si="60"/>
        <v>59.284734181309368</v>
      </c>
      <c r="AB206" s="197">
        <f t="shared" si="61"/>
        <v>44753</v>
      </c>
      <c r="AC206" s="119">
        <f>IF(OR(t&lt;Tnet,NoTnet),'2021'!Resal_s+('2021'!Salim-'2021'!Resal_s)*(1-EXP(('2021'!Tnet_s-t)/'2021'!Tau_j)),Resal_s+(Salim-Resal_s)*(1-EXP((Tnet_s-t)/Tau_j)))*Salcycl</f>
        <v>0.12013680845638981</v>
      </c>
      <c r="AD206" s="230">
        <f>(INDEX(Models!$BJ206:$BT206,,AH206)*(1-AF206)+INDEX(Models!$BJ206:$BT206,,AH206+1)*AF206-ERP_i)*AE206*Ramure*Pc/MaxiM</f>
        <v>0</v>
      </c>
      <c r="AE206" s="304">
        <f t="shared" si="62"/>
        <v>0.6</v>
      </c>
      <c r="AF206" s="177">
        <f t="shared" si="63"/>
        <v>0.38980055356184629</v>
      </c>
      <c r="AG206" s="799">
        <f t="shared" si="71"/>
        <v>0</v>
      </c>
      <c r="AH206" s="176">
        <f t="shared" si="64"/>
        <v>6</v>
      </c>
      <c r="AI206" s="224">
        <f t="shared" si="65"/>
        <v>0.38980055356184629</v>
      </c>
      <c r="AJ206" s="264" t="b">
        <f t="shared" si="66"/>
        <v>0</v>
      </c>
      <c r="AK206" s="264" t="b">
        <f t="shared" si="67"/>
        <v>0</v>
      </c>
      <c r="AL206" s="264"/>
      <c r="AM206" s="264"/>
      <c r="AN206" s="75"/>
    </row>
    <row r="207" spans="1:40" s="6" customFormat="1" ht="11.25" x14ac:dyDescent="0.2">
      <c r="A207" s="56">
        <f t="shared" si="68"/>
        <v>44754</v>
      </c>
      <c r="B207" s="607">
        <v>56.570999999999998</v>
      </c>
      <c r="C207" s="388"/>
      <c r="D207" s="391">
        <f t="shared" ref="D207:D270" si="74">Wh/(1-Ppv)</f>
        <v>57.95147372540584</v>
      </c>
      <c r="E207" s="383">
        <f t="shared" si="72"/>
        <v>58.860143794447758</v>
      </c>
      <c r="F207" s="383">
        <f t="shared" ref="F207:F270" si="75">Wh_sa/(1-Pvg*MEDIAN((-Sdif+Wh/Env_an)/Csdif,0,1))</f>
        <v>58.860143794447758</v>
      </c>
      <c r="G207" s="110">
        <f t="shared" si="73"/>
        <v>0.97296595427046184</v>
      </c>
      <c r="H207" s="412" t="b">
        <f>Wh_hp&gt;='2021'!Maxi_hp</f>
        <v>0</v>
      </c>
      <c r="I207" s="379">
        <f>IF(H207,Wh_hp,'2021'!Maxi_hp)</f>
        <v>60.040514635762435</v>
      </c>
      <c r="J207" s="85">
        <f>IF(H207,An,'2021'!An_max)</f>
        <v>2018</v>
      </c>
      <c r="K207" s="197">
        <f t="shared" ref="K207:K270" si="76">t</f>
        <v>44754</v>
      </c>
      <c r="L207" s="147">
        <f>IF(t&lt;Tvie,1-EXP((T0-t)*PertePVj)+'2021'!Pspv,1-EXP((T0-t)*PertePVj)+Pspv)</f>
        <v>2.3821201371806433E-2</v>
      </c>
      <c r="M207" s="832"/>
      <c r="N207" s="832"/>
      <c r="O207" s="48">
        <f>IF(t&lt;Tnet,'2021'!Resal+('2021'!Salim-'2021'!Resal)*(1-EXP(('2021'!Tnet-t)/('2021'!Tau_j))),Resal+(Salim-Resal)*(1-EXP((Tnet-t)/(Tau_j))))*Salcycl</f>
        <v>1.5437782011120964E-2</v>
      </c>
      <c r="P207" s="169">
        <f>(INDEX(Models!$BJ207:$BT207,,T207)*(1-R207)+INDEX(Models!$BJ207:$BT207,,T207+1)*R207-ERP_i)*Q207*Ramure*Pc/MaxiM</f>
        <v>0</v>
      </c>
      <c r="Q207" s="304">
        <f t="shared" ref="Q207:Q270" si="77">IF(OR(t&lt;Ttai,Notai),Dd+PousD*Croivg,Dens+PousD*(Croivg-Croi_tai))</f>
        <v>0.6</v>
      </c>
      <c r="R207" s="177">
        <f t="shared" ref="R207:R270" si="78">(Hp_vg-S207)/(INDEX(Echel_vg,T207+1)-S207)</f>
        <v>0.39327554710856449</v>
      </c>
      <c r="S207" s="799">
        <f t="shared" ref="S207:S270" si="79">INDEX(Echel_vg,T207)</f>
        <v>0</v>
      </c>
      <c r="T207" s="176">
        <f t="shared" ref="T207:T270" si="80">MIN(MATCH(Hp_vg,Echel_vg),10)</f>
        <v>6</v>
      </c>
      <c r="U207" s="250">
        <f t="shared" ref="U207:U270" si="81">IF(OR(t&lt;Ttai,Notai),Hdd+PousH*Croivg,Hdtf+PousH*(Croivg-Croi_tai))</f>
        <v>0.39327554710856449</v>
      </c>
      <c r="V207" s="382">
        <f t="shared" ref="V207:V270" si="82">MaxiM*(1-Ppv)*(1-Pvg)*(1-Psa)</f>
        <v>58.142836089693816</v>
      </c>
      <c r="W207" s="400"/>
      <c r="X207" s="157">
        <f t="shared" ref="X207:X270" si="83">t</f>
        <v>44754</v>
      </c>
      <c r="Y207" s="383">
        <f t="shared" ref="Y207:Y270" si="84">Wh_pvt_s*(1-Ppv)</f>
        <v>50.555232790007359</v>
      </c>
      <c r="Z207" s="383">
        <f t="shared" ref="Z207:Z270" si="85">Wh_sa_s*(1-Psa_s)</f>
        <v>51.788906766928065</v>
      </c>
      <c r="AA207" s="384">
        <f t="shared" ref="AA207:AA270" si="86">Wh_hp*(1-Pvg_s*MEDIAN((-Sdif+Wh/Env_an)/Csdif,0,1))</f>
        <v>58.860143794447758</v>
      </c>
      <c r="AB207" s="197">
        <f t="shared" ref="AB207:AB270" si="87">t</f>
        <v>44754</v>
      </c>
      <c r="AC207" s="119">
        <f>IF(OR(t&lt;Tnet,NoTnet),'2021'!Resal_s+('2021'!Salim-'2021'!Resal_s)*(1-EXP(('2021'!Tnet_s-t)/'2021'!Tau_j)),Resal_s+(Salim-Resal_s)*(1-EXP((Tnet_s-t)/Tau_j)))*Salcycl</f>
        <v>0.12013625131827693</v>
      </c>
      <c r="AD207" s="230">
        <f>(INDEX(Models!$BJ207:$BT207,,AH207)*(1-AF207)+INDEX(Models!$BJ207:$BT207,,AH207+1)*AF207-ERP_i)*AE207*Ramure*Pc/MaxiM</f>
        <v>0</v>
      </c>
      <c r="AE207" s="304">
        <f t="shared" ref="AE207:AE270" si="88">IF(OR(t&lt;Ttai,Notai),Dd_s+PousD*Croivg,Dens_s+PousD*(Croivg-Croi_tai))</f>
        <v>0.6</v>
      </c>
      <c r="AF207" s="177">
        <f t="shared" ref="AF207:AF270" si="89">(Hp_vg_s-AG207)/(INDEX(Echel_vg,AH207+1)-AG207)</f>
        <v>0.39327554710856449</v>
      </c>
      <c r="AG207" s="799">
        <f t="shared" si="71"/>
        <v>0</v>
      </c>
      <c r="AH207" s="176">
        <f t="shared" ref="AH207:AH270" si="90">MIN(MATCH(Hp_vg_s,Echel_vg),10)</f>
        <v>6</v>
      </c>
      <c r="AI207" s="224">
        <f t="shared" ref="AI207:AI270" si="91">IF(OR(t&lt;Ttai,Notai),Hdd_s+PousH*Croivg,Hdtai_s+PousH*(Croivg-Croi_tai))</f>
        <v>0.39327554710856449</v>
      </c>
      <c r="AJ207" s="264" t="b">
        <f t="shared" ref="AJ207:AJ270" si="92">t&lt;Tnet</f>
        <v>0</v>
      </c>
      <c r="AK207" s="264" t="b">
        <f t="shared" ref="AK207:AK270" si="93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4">A207+1</f>
        <v>44755</v>
      </c>
      <c r="B208" s="607">
        <v>56.045000000000002</v>
      </c>
      <c r="C208" s="388"/>
      <c r="D208" s="391">
        <f t="shared" si="74"/>
        <v>57.413738332552086</v>
      </c>
      <c r="E208" s="383">
        <f t="shared" si="72"/>
        <v>58.31890790849031</v>
      </c>
      <c r="F208" s="383">
        <f t="shared" si="75"/>
        <v>58.31890790849031</v>
      </c>
      <c r="G208" s="110">
        <f t="shared" si="73"/>
        <v>0.96553520888761091</v>
      </c>
      <c r="H208" s="412" t="b">
        <f>Wh_hp&gt;='2021'!Maxi_hp</f>
        <v>1</v>
      </c>
      <c r="I208" s="379">
        <f>IF(H208,Wh_hp,'2021'!Maxi_hp)</f>
        <v>58.31890790849031</v>
      </c>
      <c r="J208" s="85">
        <f>IF(H208,An,'2021'!An_max)</f>
        <v>2022</v>
      </c>
      <c r="K208" s="197">
        <f t="shared" si="76"/>
        <v>44755</v>
      </c>
      <c r="L208" s="147">
        <f>IF(t&lt;Tvie,1-EXP((T0-t)*PertePVj)+'2021'!Pspv,1-EXP((T0-t)*PertePVj)+Pspv)</f>
        <v>2.3839909615779975E-2</v>
      </c>
      <c r="M208" s="832"/>
      <c r="N208" s="832"/>
      <c r="O208" s="48">
        <f>IF(t&lt;Tnet,'2021'!Resal+('2021'!Salim-'2021'!Resal)*(1-EXP(('2021'!Tnet-t)/('2021'!Tau_j))),Resal+(Salim-Resal)*(1-EXP((Tnet-t)/(Tau_j))))*Salcycl</f>
        <v>1.5521030972640074E-2</v>
      </c>
      <c r="P208" s="169">
        <f>(INDEX(Models!$BJ208:$BT208,,T208)*(1-R208)+INDEX(Models!$BJ208:$BT208,,T208+1)*R208-ERP_i)*Q208*Ramure*Pc/MaxiM</f>
        <v>0</v>
      </c>
      <c r="Q208" s="304">
        <f t="shared" si="77"/>
        <v>0.6</v>
      </c>
      <c r="R208" s="177">
        <f t="shared" si="78"/>
        <v>0.39666915632590993</v>
      </c>
      <c r="S208" s="799">
        <f t="shared" si="79"/>
        <v>0</v>
      </c>
      <c r="T208" s="176">
        <f t="shared" si="80"/>
        <v>6</v>
      </c>
      <c r="U208" s="250">
        <f t="shared" si="81"/>
        <v>0.39666915632590993</v>
      </c>
      <c r="V208" s="382">
        <f t="shared" si="82"/>
        <v>58.045526961745097</v>
      </c>
      <c r="W208" s="400"/>
      <c r="X208" s="157">
        <f t="shared" si="83"/>
        <v>44755</v>
      </c>
      <c r="Y208" s="383">
        <f t="shared" si="84"/>
        <v>50.089504640578291</v>
      </c>
      <c r="Z208" s="383">
        <f t="shared" si="85"/>
        <v>51.312797085222861</v>
      </c>
      <c r="AA208" s="384">
        <f t="shared" si="86"/>
        <v>58.31890790849031</v>
      </c>
      <c r="AB208" s="197">
        <f t="shared" si="87"/>
        <v>44755</v>
      </c>
      <c r="AC208" s="119">
        <f>IF(OR(t&lt;Tnet,NoTnet),'2021'!Resal_s+('2021'!Salim-'2021'!Resal_s)*(1-EXP(('2021'!Tnet_s-t)/'2021'!Tau_j)),Resal_s+(Salim-Resal_s)*(1-EXP((Tnet_s-t)/Tau_j)))*Salcycl</f>
        <v>0.12013446538232367</v>
      </c>
      <c r="AD208" s="230">
        <f>(INDEX(Models!$BJ208:$BT208,,AH208)*(1-AF208)+INDEX(Models!$BJ208:$BT208,,AH208+1)*AF208-ERP_i)*AE208*Ramure*Pc/MaxiM</f>
        <v>0</v>
      </c>
      <c r="AE208" s="304">
        <f t="shared" si="88"/>
        <v>0.6</v>
      </c>
      <c r="AF208" s="177">
        <f t="shared" si="89"/>
        <v>0.39666915632590993</v>
      </c>
      <c r="AG208" s="799">
        <f t="shared" ref="AG208:AG271" si="95">INDEX(Echel_vg,AH208)</f>
        <v>0</v>
      </c>
      <c r="AH208" s="176">
        <f t="shared" si="90"/>
        <v>6</v>
      </c>
      <c r="AI208" s="224">
        <f t="shared" si="91"/>
        <v>0.39666915632590993</v>
      </c>
      <c r="AJ208" s="264" t="b">
        <f t="shared" si="92"/>
        <v>0</v>
      </c>
      <c r="AK208" s="264" t="b">
        <f t="shared" si="93"/>
        <v>0</v>
      </c>
      <c r="AL208" s="264"/>
      <c r="AM208" s="264"/>
      <c r="AN208" s="75"/>
    </row>
    <row r="209" spans="1:40" s="6" customFormat="1" ht="11.25" x14ac:dyDescent="0.2">
      <c r="A209" s="56">
        <f t="shared" si="94"/>
        <v>44756</v>
      </c>
      <c r="B209" s="607">
        <v>55.721000000000004</v>
      </c>
      <c r="C209" s="388"/>
      <c r="D209" s="391">
        <f t="shared" si="74"/>
        <v>57.082919543234631</v>
      </c>
      <c r="E209" s="383">
        <f t="shared" si="72"/>
        <v>57.987764622059281</v>
      </c>
      <c r="F209" s="383">
        <f t="shared" si="75"/>
        <v>57.987764622059281</v>
      </c>
      <c r="G209" s="110">
        <f t="shared" si="73"/>
        <v>0.96158088096967798</v>
      </c>
      <c r="H209" s="412" t="b">
        <f>Wh_hp&gt;='2021'!Maxi_hp</f>
        <v>0</v>
      </c>
      <c r="I209" s="379">
        <f>IF(H209,Wh_hp,'2021'!Maxi_hp)</f>
        <v>60.412493272450547</v>
      </c>
      <c r="J209" s="85">
        <f>IF(H209,An,'2021'!An_max)</f>
        <v>2018</v>
      </c>
      <c r="K209" s="197">
        <f t="shared" si="76"/>
        <v>44756</v>
      </c>
      <c r="L209" s="147">
        <f>IF(t&lt;Tvie,1-EXP((T0-t)*PertePVj)+'2021'!Pspv,1-EXP((T0-t)*PertePVj)+Pspv)</f>
        <v>2.3858617501214319E-2</v>
      </c>
      <c r="M209" s="832"/>
      <c r="N209" s="832"/>
      <c r="O209" s="48">
        <f>IF(t&lt;Tnet,'2021'!Resal+('2021'!Salim-'2021'!Resal)*(1-EXP(('2021'!Tnet-t)/('2021'!Tau_j))),Resal+(Salim-Resal)*(1-EXP((Tnet-t)/(Tau_j))))*Salcycl</f>
        <v>1.5604068974240683E-2</v>
      </c>
      <c r="P209" s="169">
        <f>(INDEX(Models!$BJ209:$BT209,,T209)*(1-R209)+INDEX(Models!$BJ209:$BT209,,T209+1)*R209-ERP_i)*Q209*Ramure*Pc/MaxiM</f>
        <v>0</v>
      </c>
      <c r="Q209" s="304">
        <f t="shared" si="77"/>
        <v>0.6</v>
      </c>
      <c r="R209" s="177">
        <f t="shared" si="78"/>
        <v>0.39998144212404285</v>
      </c>
      <c r="S209" s="799">
        <f t="shared" si="79"/>
        <v>0</v>
      </c>
      <c r="T209" s="176">
        <f t="shared" si="80"/>
        <v>6</v>
      </c>
      <c r="U209" s="250">
        <f t="shared" si="81"/>
        <v>0.39998144212404285</v>
      </c>
      <c r="V209" s="382">
        <f t="shared" si="82"/>
        <v>57.947283585557358</v>
      </c>
      <c r="W209" s="400"/>
      <c r="X209" s="157">
        <f t="shared" si="83"/>
        <v>44756</v>
      </c>
      <c r="Y209" s="383">
        <f t="shared" si="84"/>
        <v>49.804301741466446</v>
      </c>
      <c r="Z209" s="383">
        <f t="shared" si="85"/>
        <v>51.021606740997278</v>
      </c>
      <c r="AA209" s="384">
        <f t="shared" si="86"/>
        <v>57.987764622059281</v>
      </c>
      <c r="AB209" s="197">
        <f t="shared" si="87"/>
        <v>44756</v>
      </c>
      <c r="AC209" s="119">
        <f>IF(OR(t&lt;Tnet,NoTnet),'2021'!Resal_s+('2021'!Salim-'2021'!Resal_s)*(1-EXP(('2021'!Tnet_s-t)/'2021'!Tau_j)),Resal_s+(Salim-Resal_s)*(1-EXP((Tnet_s-t)/Tau_j)))*Salcycl</f>
        <v>0.12013151268141804</v>
      </c>
      <c r="AD209" s="230">
        <f>(INDEX(Models!$BJ209:$BT209,,AH209)*(1-AF209)+INDEX(Models!$BJ209:$BT209,,AH209+1)*AF209-ERP_i)*AE209*Ramure*Pc/MaxiM</f>
        <v>0</v>
      </c>
      <c r="AE209" s="304">
        <f t="shared" si="88"/>
        <v>0.6</v>
      </c>
      <c r="AF209" s="177">
        <f t="shared" si="89"/>
        <v>0.39998144212404285</v>
      </c>
      <c r="AG209" s="799">
        <f t="shared" si="95"/>
        <v>0</v>
      </c>
      <c r="AH209" s="176">
        <f t="shared" si="90"/>
        <v>6</v>
      </c>
      <c r="AI209" s="224">
        <f t="shared" si="91"/>
        <v>0.39998144212404285</v>
      </c>
      <c r="AJ209" s="264" t="b">
        <f t="shared" si="92"/>
        <v>0</v>
      </c>
      <c r="AK209" s="264" t="b">
        <f t="shared" si="93"/>
        <v>0</v>
      </c>
      <c r="AL209" s="264"/>
      <c r="AM209" s="264"/>
      <c r="AN209" s="75"/>
    </row>
    <row r="210" spans="1:40" s="6" customFormat="1" ht="11.25" x14ac:dyDescent="0.2">
      <c r="A210" s="56">
        <f t="shared" si="94"/>
        <v>44757</v>
      </c>
      <c r="B210" s="607">
        <v>53.45</v>
      </c>
      <c r="C210" s="388"/>
      <c r="D210" s="391">
        <f t="shared" si="74"/>
        <v>54.75746171098789</v>
      </c>
      <c r="E210" s="383">
        <f t="shared" si="72"/>
        <v>55.630126027949636</v>
      </c>
      <c r="F210" s="383">
        <f t="shared" si="75"/>
        <v>55.630126027949636</v>
      </c>
      <c r="G210" s="110">
        <f t="shared" si="73"/>
        <v>0.92397148011035024</v>
      </c>
      <c r="H210" s="412" t="b">
        <f>Wh_hp&gt;='2021'!Maxi_hp</f>
        <v>0</v>
      </c>
      <c r="I210" s="379">
        <f>IF(H210,Wh_hp,'2021'!Maxi_hp)</f>
        <v>62.029169256698459</v>
      </c>
      <c r="J210" s="85">
        <f>IF(H210,An,'2021'!An_max)</f>
        <v>2018</v>
      </c>
      <c r="K210" s="197">
        <f t="shared" si="76"/>
        <v>44757</v>
      </c>
      <c r="L210" s="147">
        <f>IF(t&lt;Tvie,1-EXP((T0-t)*PertePVj)+'2021'!Pspv,1-EXP((T0-t)*PertePVj)+Pspv)</f>
        <v>2.3877325028116236E-2</v>
      </c>
      <c r="M210" s="832"/>
      <c r="N210" s="832"/>
      <c r="O210" s="48">
        <f>IF(t&lt;Tnet,'2021'!Resal+('2021'!Salim-'2021'!Resal)*(1-EXP(('2021'!Tnet-t)/('2021'!Tau_j))),Resal+(Salim-Resal)*(1-EXP((Tnet-t)/(Tau_j))))*Salcycl</f>
        <v>1.5686901671286984E-2</v>
      </c>
      <c r="P210" s="169">
        <f>(INDEX(Models!$BJ210:$BT210,,T210)*(1-R210)+INDEX(Models!$BJ210:$BT210,,T210+1)*R210-ERP_i)*Q210*Ramure*Pc/MaxiM</f>
        <v>-1.9357241086780245E-20</v>
      </c>
      <c r="Q210" s="304">
        <f t="shared" si="77"/>
        <v>0.6</v>
      </c>
      <c r="R210" s="177">
        <f t="shared" si="78"/>
        <v>0.40321259652919522</v>
      </c>
      <c r="S210" s="799">
        <f t="shared" si="79"/>
        <v>0</v>
      </c>
      <c r="T210" s="176">
        <f t="shared" si="80"/>
        <v>6</v>
      </c>
      <c r="U210" s="250">
        <f t="shared" si="81"/>
        <v>0.40321259652919522</v>
      </c>
      <c r="V210" s="382">
        <f t="shared" si="82"/>
        <v>57.84810586752792</v>
      </c>
      <c r="W210" s="400"/>
      <c r="X210" s="157">
        <f t="shared" si="83"/>
        <v>44757</v>
      </c>
      <c r="Y210" s="383">
        <f t="shared" si="84"/>
        <v>47.778687100807225</v>
      </c>
      <c r="Z210" s="383">
        <f t="shared" si="85"/>
        <v>48.94742057107058</v>
      </c>
      <c r="AA210" s="384">
        <f t="shared" si="86"/>
        <v>55.630126027949636</v>
      </c>
      <c r="AB210" s="197">
        <f t="shared" si="87"/>
        <v>44757</v>
      </c>
      <c r="AC210" s="119">
        <f>IF(OR(t&lt;Tnet,NoTnet),'2021'!Resal_s+('2021'!Salim-'2021'!Resal_s)*(1-EXP(('2021'!Tnet_s-t)/'2021'!Tau_j)),Resal_s+(Salim-Resal_s)*(1-EXP((Tnet_s-t)/Tau_j)))*Salcycl</f>
        <v>0.12012745492472078</v>
      </c>
      <c r="AD210" s="230">
        <f>(INDEX(Models!$BJ210:$BT210,,AH210)*(1-AF210)+INDEX(Models!$BJ210:$BT210,,AH210+1)*AF210-ERP_i)*AE210*Ramure*Pc/MaxiM</f>
        <v>-1.9357241086780245E-20</v>
      </c>
      <c r="AE210" s="304">
        <f t="shared" si="88"/>
        <v>0.6</v>
      </c>
      <c r="AF210" s="177">
        <f t="shared" si="89"/>
        <v>0.40321259652919522</v>
      </c>
      <c r="AG210" s="799">
        <f t="shared" si="95"/>
        <v>0</v>
      </c>
      <c r="AH210" s="176">
        <f t="shared" si="90"/>
        <v>6</v>
      </c>
      <c r="AI210" s="224">
        <f t="shared" si="91"/>
        <v>0.40321259652919522</v>
      </c>
      <c r="AJ210" s="264" t="b">
        <f t="shared" si="92"/>
        <v>0</v>
      </c>
      <c r="AK210" s="264" t="b">
        <f t="shared" si="93"/>
        <v>0</v>
      </c>
      <c r="AL210" s="264"/>
      <c r="AM210" s="264"/>
      <c r="AN210" s="75"/>
    </row>
    <row r="211" spans="1:40" s="6" customFormat="1" ht="11.25" x14ac:dyDescent="0.2">
      <c r="A211" s="56">
        <f t="shared" si="94"/>
        <v>44758</v>
      </c>
      <c r="B211" s="607">
        <v>54.917999999999999</v>
      </c>
      <c r="C211" s="388"/>
      <c r="D211" s="391">
        <f t="shared" si="74"/>
        <v>56.262449299924533</v>
      </c>
      <c r="E211" s="383">
        <f t="shared" si="72"/>
        <v>57.163897369276832</v>
      </c>
      <c r="F211" s="383">
        <f t="shared" si="75"/>
        <v>57.163897369276832</v>
      </c>
      <c r="G211" s="110">
        <f t="shared" si="73"/>
        <v>0.9509940773932033</v>
      </c>
      <c r="H211" s="412" t="b">
        <f>Wh_hp&gt;='2021'!Maxi_hp</f>
        <v>0</v>
      </c>
      <c r="I211" s="379">
        <f>IF(H211,Wh_hp,'2021'!Maxi_hp)</f>
        <v>60.446549664611396</v>
      </c>
      <c r="J211" s="85">
        <f>IF(H211,An,'2021'!An_max)</f>
        <v>2018</v>
      </c>
      <c r="K211" s="197">
        <f t="shared" si="76"/>
        <v>44758</v>
      </c>
      <c r="L211" s="147">
        <f>IF(t&lt;Tvie,1-EXP((T0-t)*PertePVj)+'2021'!Pspv,1-EXP((T0-t)*PertePVj)+Pspv)</f>
        <v>2.3896032196492722E-2</v>
      </c>
      <c r="M211" s="832"/>
      <c r="N211" s="832"/>
      <c r="O211" s="48">
        <f>IF(t&lt;Tnet,'2021'!Resal+('2021'!Salim-'2021'!Resal)*(1-EXP(('2021'!Tnet-t)/('2021'!Tau_j))),Resal+(Salim-Resal)*(1-EXP((Tnet-t)/(Tau_j))))*Salcycl</f>
        <v>1.5769534808464398E-2</v>
      </c>
      <c r="P211" s="169">
        <f>(INDEX(Models!$BJ211:$BT211,,T211)*(1-R211)+INDEX(Models!$BJ211:$BT211,,T211+1)*R211-ERP_i)*Q211*Ramure*Pc/MaxiM</f>
        <v>0</v>
      </c>
      <c r="Q211" s="304">
        <f t="shared" si="77"/>
        <v>0.6</v>
      </c>
      <c r="R211" s="177">
        <f t="shared" si="78"/>
        <v>0.40636293589053663</v>
      </c>
      <c r="S211" s="799">
        <f t="shared" si="79"/>
        <v>0</v>
      </c>
      <c r="T211" s="176">
        <f t="shared" si="80"/>
        <v>6</v>
      </c>
      <c r="U211" s="250">
        <f t="shared" si="81"/>
        <v>0.40636293589053663</v>
      </c>
      <c r="V211" s="382">
        <f t="shared" si="82"/>
        <v>57.747993710473224</v>
      </c>
      <c r="W211" s="400"/>
      <c r="X211" s="157">
        <f t="shared" si="83"/>
        <v>44758</v>
      </c>
      <c r="Y211" s="383">
        <f t="shared" si="84"/>
        <v>49.095331141843388</v>
      </c>
      <c r="Z211" s="383">
        <f t="shared" si="85"/>
        <v>50.297235500764224</v>
      </c>
      <c r="AA211" s="384">
        <f t="shared" si="86"/>
        <v>57.163897369276832</v>
      </c>
      <c r="AB211" s="197">
        <f t="shared" si="87"/>
        <v>44758</v>
      </c>
      <c r="AC211" s="119">
        <f>IF(OR(t&lt;Tnet,NoTnet),'2021'!Resal_s+('2021'!Salim-'2021'!Resal_s)*(1-EXP(('2021'!Tnet_s-t)/'2021'!Tau_j)),Resal_s+(Salim-Resal_s)*(1-EXP((Tnet_s-t)/Tau_j)))*Salcycl</f>
        <v>0.12012235317256635</v>
      </c>
      <c r="AD211" s="230">
        <f>(INDEX(Models!$BJ211:$BT211,,AH211)*(1-AF211)+INDEX(Models!$BJ211:$BT211,,AH211+1)*AF211-ERP_i)*AE211*Ramure*Pc/MaxiM</f>
        <v>0</v>
      </c>
      <c r="AE211" s="304">
        <f t="shared" si="88"/>
        <v>0.6</v>
      </c>
      <c r="AF211" s="177">
        <f t="shared" si="89"/>
        <v>0.40636293589053663</v>
      </c>
      <c r="AG211" s="799">
        <f t="shared" si="95"/>
        <v>0</v>
      </c>
      <c r="AH211" s="176">
        <f t="shared" si="90"/>
        <v>6</v>
      </c>
      <c r="AI211" s="224">
        <f t="shared" si="91"/>
        <v>0.40636293589053663</v>
      </c>
      <c r="AJ211" s="264" t="b">
        <f t="shared" si="92"/>
        <v>0</v>
      </c>
      <c r="AK211" s="264" t="b">
        <f t="shared" si="93"/>
        <v>0</v>
      </c>
      <c r="AL211" s="264"/>
      <c r="AM211" s="264"/>
      <c r="AN211" s="75"/>
    </row>
    <row r="212" spans="1:40" s="6" customFormat="1" ht="11.25" x14ac:dyDescent="0.2">
      <c r="A212" s="56">
        <f t="shared" si="94"/>
        <v>44759</v>
      </c>
      <c r="B212" s="607">
        <v>55.067</v>
      </c>
      <c r="C212" s="388"/>
      <c r="D212" s="391">
        <f t="shared" si="74"/>
        <v>56.416178176834777</v>
      </c>
      <c r="E212" s="383">
        <f t="shared" si="72"/>
        <v>57.324890866514217</v>
      </c>
      <c r="F212" s="383">
        <f t="shared" si="75"/>
        <v>57.324890866514217</v>
      </c>
      <c r="G212" s="110">
        <f t="shared" si="73"/>
        <v>0.95524573029177495</v>
      </c>
      <c r="H212" s="412" t="b">
        <f>Wh_hp&gt;='2021'!Maxi_hp</f>
        <v>0</v>
      </c>
      <c r="I212" s="379">
        <f>IF(H212,Wh_hp,'2021'!Maxi_hp)</f>
        <v>60.566791048252</v>
      </c>
      <c r="J212" s="85">
        <f>IF(H212,An,'2021'!An_max)</f>
        <v>2021</v>
      </c>
      <c r="K212" s="197">
        <f t="shared" si="76"/>
        <v>44759</v>
      </c>
      <c r="L212" s="147">
        <f>IF(t&lt;Tvie,1-EXP((T0-t)*PertePVj)+'2021'!Pspv,1-EXP((T0-t)*PertePVj)+Pspv)</f>
        <v>2.3914739006350549E-2</v>
      </c>
      <c r="M212" s="832"/>
      <c r="N212" s="832"/>
      <c r="O212" s="48">
        <f>IF(t&lt;Tnet,'2021'!Resal+('2021'!Salim-'2021'!Resal)*(1-EXP(('2021'!Tnet-t)/('2021'!Tau_j))),Resal+(Salim-Resal)*(1-EXP((Tnet-t)/(Tau_j))))*Salcycl</f>
        <v>1.5851974176373955E-2</v>
      </c>
      <c r="P212" s="169">
        <f>(INDEX(Models!$BJ212:$BT212,,T212)*(1-R212)+INDEX(Models!$BJ212:$BT212,,T212+1)*R212-ERP_i)*Q212*Ramure*Pc/MaxiM</f>
        <v>-1.9448925844073106E-20</v>
      </c>
      <c r="Q212" s="304">
        <f t="shared" si="77"/>
        <v>0.6</v>
      </c>
      <c r="R212" s="177">
        <f t="shared" si="78"/>
        <v>0.40943289395711296</v>
      </c>
      <c r="S212" s="799">
        <f t="shared" si="79"/>
        <v>0</v>
      </c>
      <c r="T212" s="176">
        <f t="shared" si="80"/>
        <v>6</v>
      </c>
      <c r="U212" s="250">
        <f t="shared" si="81"/>
        <v>0.40943289395711296</v>
      </c>
      <c r="V212" s="382">
        <f t="shared" si="82"/>
        <v>57.646947014544693</v>
      </c>
      <c r="W212" s="400"/>
      <c r="X212" s="157">
        <f t="shared" si="83"/>
        <v>44759</v>
      </c>
      <c r="Y212" s="383">
        <f t="shared" si="84"/>
        <v>49.23299770433475</v>
      </c>
      <c r="Z212" s="383">
        <f t="shared" si="85"/>
        <v>50.439238939245769</v>
      </c>
      <c r="AA212" s="384">
        <f t="shared" si="86"/>
        <v>57.324890866514217</v>
      </c>
      <c r="AB212" s="197">
        <f t="shared" si="87"/>
        <v>44759</v>
      </c>
      <c r="AC212" s="119">
        <f>IF(OR(t&lt;Tnet,NoTnet),'2021'!Resal_s+('2021'!Salim-'2021'!Resal_s)*(1-EXP(('2021'!Tnet_s-t)/'2021'!Tau_j)),Resal_s+(Salim-Resal_s)*(1-EXP((Tnet_s-t)/Tau_j)))*Salcycl</f>
        <v>0.12011626752682811</v>
      </c>
      <c r="AD212" s="230">
        <f>(INDEX(Models!$BJ212:$BT212,,AH212)*(1-AF212)+INDEX(Models!$BJ212:$BT212,,AH212+1)*AF212-ERP_i)*AE212*Ramure*Pc/MaxiM</f>
        <v>-1.9448925844073106E-20</v>
      </c>
      <c r="AE212" s="304">
        <f t="shared" si="88"/>
        <v>0.6</v>
      </c>
      <c r="AF212" s="177">
        <f t="shared" si="89"/>
        <v>0.40943289395711296</v>
      </c>
      <c r="AG212" s="799">
        <f t="shared" si="95"/>
        <v>0</v>
      </c>
      <c r="AH212" s="176">
        <f t="shared" si="90"/>
        <v>6</v>
      </c>
      <c r="AI212" s="224">
        <f t="shared" si="91"/>
        <v>0.40943289395711296</v>
      </c>
      <c r="AJ212" s="264" t="b">
        <f t="shared" si="92"/>
        <v>0</v>
      </c>
      <c r="AK212" s="264" t="b">
        <f t="shared" si="93"/>
        <v>0</v>
      </c>
      <c r="AL212" s="264"/>
      <c r="AM212" s="264"/>
      <c r="AN212" s="75"/>
    </row>
    <row r="213" spans="1:40" s="6" customFormat="1" ht="11.25" x14ac:dyDescent="0.2">
      <c r="A213" s="56">
        <f t="shared" si="94"/>
        <v>44760</v>
      </c>
      <c r="B213" s="607">
        <v>57.352000000000004</v>
      </c>
      <c r="C213" s="388"/>
      <c r="D213" s="391">
        <f t="shared" si="74"/>
        <v>58.758288287926717</v>
      </c>
      <c r="E213" s="383">
        <f t="shared" si="72"/>
        <v>59.70971637735331</v>
      </c>
      <c r="F213" s="383">
        <f t="shared" si="75"/>
        <v>59.70971637735331</v>
      </c>
      <c r="G213" s="110">
        <f t="shared" si="73"/>
        <v>0.99664669742893375</v>
      </c>
      <c r="H213" s="412" t="b">
        <f>Wh_hp&gt;='2021'!Maxi_hp</f>
        <v>1</v>
      </c>
      <c r="I213" s="379">
        <f>IF(H213,Wh_hp,'2021'!Maxi_hp)</f>
        <v>59.70971637735331</v>
      </c>
      <c r="J213" s="85">
        <f>IF(H213,An,'2021'!An_max)</f>
        <v>2022</v>
      </c>
      <c r="K213" s="197">
        <f t="shared" si="76"/>
        <v>44760</v>
      </c>
      <c r="L213" s="147">
        <f>IF(t&lt;Tvie,1-EXP((T0-t)*PertePVj)+'2021'!Pspv,1-EXP((T0-t)*PertePVj)+Pspv)</f>
        <v>2.3933445457696712E-2</v>
      </c>
      <c r="M213" s="832"/>
      <c r="N213" s="832"/>
      <c r="O213" s="48">
        <f>IF(t&lt;Tnet,'2021'!Resal+('2021'!Salim-'2021'!Resal)*(1-EXP(('2021'!Tnet-t)/('2021'!Tau_j))),Resal+(Salim-Resal)*(1-EXP((Tnet-t)/(Tau_j))))*Salcycl</f>
        <v>1.5934225569147961E-2</v>
      </c>
      <c r="P213" s="169">
        <f>(INDEX(Models!$BJ213:$BT213,,T213)*(1-R213)+INDEX(Models!$BJ213:$BT213,,T213+1)*R213-ERP_i)*Q213*Ramure*Pc/MaxiM</f>
        <v>1.9493036937755797E-20</v>
      </c>
      <c r="Q213" s="304">
        <f t="shared" si="77"/>
        <v>0.6</v>
      </c>
      <c r="R213" s="177">
        <f t="shared" si="78"/>
        <v>0.41242301487340338</v>
      </c>
      <c r="S213" s="799">
        <f t="shared" si="79"/>
        <v>0</v>
      </c>
      <c r="T213" s="176">
        <f t="shared" si="80"/>
        <v>6</v>
      </c>
      <c r="U213" s="250">
        <f t="shared" si="81"/>
        <v>0.41242301487340338</v>
      </c>
      <c r="V213" s="382">
        <f t="shared" si="82"/>
        <v>57.544965681371259</v>
      </c>
      <c r="W213" s="400"/>
      <c r="X213" s="157">
        <f t="shared" si="83"/>
        <v>44760</v>
      </c>
      <c r="Y213" s="383">
        <f t="shared" si="84"/>
        <v>51.280610720331609</v>
      </c>
      <c r="Z213" s="383">
        <f t="shared" si="85"/>
        <v>52.538026717223282</v>
      </c>
      <c r="AA213" s="384">
        <f t="shared" si="86"/>
        <v>59.70971637735331</v>
      </c>
      <c r="AB213" s="197">
        <f t="shared" si="87"/>
        <v>44760</v>
      </c>
      <c r="AC213" s="119">
        <f>IF(OR(t&lt;Tnet,NoTnet),'2021'!Resal_s+('2021'!Salim-'2021'!Resal_s)*(1-EXP(('2021'!Tnet_s-t)/'2021'!Tau_j)),Resal_s+(Salim-Resal_s)*(1-EXP((Tnet_s-t)/Tau_j)))*Salcycl</f>
        <v>0.12010925683864247</v>
      </c>
      <c r="AD213" s="230">
        <f>(INDEX(Models!$BJ213:$BT213,,AH213)*(1-AF213)+INDEX(Models!$BJ213:$BT213,,AH213+1)*AF213-ERP_i)*AE213*Ramure*Pc/MaxiM</f>
        <v>1.9493036937755797E-20</v>
      </c>
      <c r="AE213" s="304">
        <f t="shared" si="88"/>
        <v>0.6</v>
      </c>
      <c r="AF213" s="177">
        <f t="shared" si="89"/>
        <v>0.41242301487340338</v>
      </c>
      <c r="AG213" s="799">
        <f t="shared" si="95"/>
        <v>0</v>
      </c>
      <c r="AH213" s="176">
        <f t="shared" si="90"/>
        <v>6</v>
      </c>
      <c r="AI213" s="224">
        <f t="shared" si="91"/>
        <v>0.41242301487340338</v>
      </c>
      <c r="AJ213" s="264" t="b">
        <f t="shared" si="92"/>
        <v>0</v>
      </c>
      <c r="AK213" s="264" t="b">
        <f t="shared" si="93"/>
        <v>0</v>
      </c>
      <c r="AL213" s="264"/>
      <c r="AM213" s="264"/>
      <c r="AN213" s="75"/>
    </row>
    <row r="214" spans="1:40" s="6" customFormat="1" ht="11.25" x14ac:dyDescent="0.2">
      <c r="A214" s="56">
        <f t="shared" si="94"/>
        <v>44761</v>
      </c>
      <c r="B214" s="607">
        <v>44.960999999999999</v>
      </c>
      <c r="C214" s="388"/>
      <c r="D214" s="391">
        <f t="shared" si="74"/>
        <v>46.064340054050128</v>
      </c>
      <c r="E214" s="383">
        <f t="shared" si="72"/>
        <v>46.814128941330075</v>
      </c>
      <c r="F214" s="383">
        <f t="shared" si="75"/>
        <v>46.814128941330075</v>
      </c>
      <c r="G214" s="110">
        <f t="shared" si="73"/>
        <v>0.78271928492841281</v>
      </c>
      <c r="H214" s="412" t="b">
        <f>Wh_hp&gt;='2021'!Maxi_hp</f>
        <v>0</v>
      </c>
      <c r="I214" s="379">
        <f>IF(H214,Wh_hp,'2021'!Maxi_hp)</f>
        <v>60.093272883435894</v>
      </c>
      <c r="J214" s="85">
        <f>IF(H214,An,'2021'!An_max)</f>
        <v>2020</v>
      </c>
      <c r="K214" s="197">
        <f t="shared" si="76"/>
        <v>44761</v>
      </c>
      <c r="L214" s="147">
        <f>IF(t&lt;Tvie,1-EXP((T0-t)*PertePVj)+'2021'!Pspv,1-EXP((T0-t)*PertePVj)+Pspv)</f>
        <v>2.3952151550537981E-2</v>
      </c>
      <c r="M214" s="832"/>
      <c r="N214" s="832"/>
      <c r="O214" s="48">
        <f>IF(t&lt;Tnet,'2021'!Resal+('2021'!Salim-'2021'!Resal)*(1-EXP(('2021'!Tnet-t)/('2021'!Tau_j))),Resal+(Salim-Resal)*(1-EXP((Tnet-t)/(Tau_j))))*Salcycl</f>
        <v>1.6016294743401542E-2</v>
      </c>
      <c r="P214" s="169">
        <f>(INDEX(Models!$BJ214:$BT214,,T214)*(1-R214)+INDEX(Models!$BJ214:$BT214,,T214+1)*R214-ERP_i)*Q214*Ramure*Pc/MaxiM</f>
        <v>-1.953612006557277E-20</v>
      </c>
      <c r="Q214" s="304">
        <f t="shared" si="77"/>
        <v>0.6</v>
      </c>
      <c r="R214" s="177">
        <f t="shared" si="78"/>
        <v>0.41533394613896712</v>
      </c>
      <c r="S214" s="799">
        <f t="shared" si="79"/>
        <v>0</v>
      </c>
      <c r="T214" s="176">
        <f t="shared" si="80"/>
        <v>6</v>
      </c>
      <c r="U214" s="250">
        <f t="shared" si="81"/>
        <v>0.41533394613896712</v>
      </c>
      <c r="V214" s="382">
        <f t="shared" si="82"/>
        <v>57.442049615670477</v>
      </c>
      <c r="W214" s="400"/>
      <c r="X214" s="157">
        <f t="shared" si="83"/>
        <v>44761</v>
      </c>
      <c r="Y214" s="383">
        <f t="shared" si="84"/>
        <v>40.205057983006405</v>
      </c>
      <c r="Z214" s="383">
        <f t="shared" si="85"/>
        <v>41.191687525233199</v>
      </c>
      <c r="AA214" s="384">
        <f t="shared" si="86"/>
        <v>46.814128941330075</v>
      </c>
      <c r="AB214" s="197">
        <f t="shared" si="87"/>
        <v>44761</v>
      </c>
      <c r="AC214" s="119">
        <f>IF(OR(t&lt;Tnet,NoTnet),'2021'!Resal_s+('2021'!Salim-'2021'!Resal_s)*(1-EXP(('2021'!Tnet_s-t)/'2021'!Tau_j)),Resal_s+(Salim-Resal_s)*(1-EXP((Tnet_s-t)/Tau_j)))*Salcycl</f>
        <v>0.12010137843519884</v>
      </c>
      <c r="AD214" s="230">
        <f>(INDEX(Models!$BJ214:$BT214,,AH214)*(1-AF214)+INDEX(Models!$BJ214:$BT214,,AH214+1)*AF214-ERP_i)*AE214*Ramure*Pc/MaxiM</f>
        <v>-1.953612006557277E-20</v>
      </c>
      <c r="AE214" s="304">
        <f t="shared" si="88"/>
        <v>0.6</v>
      </c>
      <c r="AF214" s="177">
        <f t="shared" si="89"/>
        <v>0.41533394613896712</v>
      </c>
      <c r="AG214" s="799">
        <f t="shared" si="95"/>
        <v>0</v>
      </c>
      <c r="AH214" s="176">
        <f t="shared" si="90"/>
        <v>6</v>
      </c>
      <c r="AI214" s="224">
        <f t="shared" si="91"/>
        <v>0.41533394613896712</v>
      </c>
      <c r="AJ214" s="264" t="b">
        <f t="shared" si="92"/>
        <v>0</v>
      </c>
      <c r="AK214" s="264" t="b">
        <f t="shared" si="93"/>
        <v>0</v>
      </c>
      <c r="AL214" s="264"/>
      <c r="AM214" s="264"/>
      <c r="AN214" s="75"/>
    </row>
    <row r="215" spans="1:40" s="6" customFormat="1" ht="11.25" x14ac:dyDescent="0.2">
      <c r="A215" s="56">
        <f t="shared" si="94"/>
        <v>44762</v>
      </c>
      <c r="B215" s="607">
        <v>45.064</v>
      </c>
      <c r="C215" s="388"/>
      <c r="D215" s="391">
        <f t="shared" si="74"/>
        <v>46.170752519377572</v>
      </c>
      <c r="E215" s="383">
        <f t="shared" si="72"/>
        <v>46.926178940940723</v>
      </c>
      <c r="F215" s="383">
        <f t="shared" si="75"/>
        <v>46.926178940940723</v>
      </c>
      <c r="G215" s="110">
        <f t="shared" si="73"/>
        <v>0.7859333044940946</v>
      </c>
      <c r="H215" s="412" t="b">
        <f>Wh_hp&gt;='2021'!Maxi_hp</f>
        <v>0</v>
      </c>
      <c r="I215" s="379">
        <f>IF(H215,Wh_hp,'2021'!Maxi_hp)</f>
        <v>59.221861562396249</v>
      </c>
      <c r="J215" s="85">
        <f>IF(H215,An,'2021'!An_max)</f>
        <v>2020</v>
      </c>
      <c r="K215" s="197">
        <f t="shared" si="76"/>
        <v>44762</v>
      </c>
      <c r="L215" s="147">
        <f>IF(t&lt;Tvie,1-EXP((T0-t)*PertePVj)+'2021'!Pspv,1-EXP((T0-t)*PertePVj)+Pspv)</f>
        <v>2.3970857284881242E-2</v>
      </c>
      <c r="M215" s="832"/>
      <c r="N215" s="832"/>
      <c r="O215" s="48">
        <f>IF(t&lt;Tnet,'2021'!Resal+('2021'!Salim-'2021'!Resal)*(1-EXP(('2021'!Tnet-t)/('2021'!Tau_j))),Resal+(Salim-Resal)*(1-EXP((Tnet-t)/(Tau_j))))*Salcycl</f>
        <v>1.6098187378816901E-2</v>
      </c>
      <c r="P215" s="169">
        <f>(INDEX(Models!$BJ215:$BT215,,T215)*(1-R215)+INDEX(Models!$BJ215:$BT215,,T215+1)*R215-ERP_i)*Q215*Ramure*Pc/MaxiM</f>
        <v>1.9578266917535816E-20</v>
      </c>
      <c r="Q215" s="304">
        <f t="shared" si="77"/>
        <v>0.6</v>
      </c>
      <c r="R215" s="177">
        <f t="shared" si="78"/>
        <v>0.41816643157440225</v>
      </c>
      <c r="S215" s="799">
        <f t="shared" si="79"/>
        <v>0</v>
      </c>
      <c r="T215" s="176">
        <f t="shared" si="80"/>
        <v>6</v>
      </c>
      <c r="U215" s="250">
        <f t="shared" si="81"/>
        <v>0.41816643157440225</v>
      </c>
      <c r="V215" s="382">
        <f t="shared" si="82"/>
        <v>57.338198727954023</v>
      </c>
      <c r="W215" s="400"/>
      <c r="X215" s="157">
        <f t="shared" si="83"/>
        <v>44762</v>
      </c>
      <c r="Y215" s="383">
        <f t="shared" si="84"/>
        <v>40.300914791813433</v>
      </c>
      <c r="Z215" s="383">
        <f t="shared" si="85"/>
        <v>41.290687980590732</v>
      </c>
      <c r="AA215" s="384">
        <f t="shared" si="86"/>
        <v>46.926178940940723</v>
      </c>
      <c r="AB215" s="197">
        <f t="shared" si="87"/>
        <v>44762</v>
      </c>
      <c r="AC215" s="119">
        <f>IF(OR(t&lt;Tnet,NoTnet),'2021'!Resal_s+('2021'!Salim-'2021'!Resal_s)*(1-EXP(('2021'!Tnet_s-t)/'2021'!Tau_j)),Resal_s+(Salim-Resal_s)*(1-EXP((Tnet_s-t)/Tau_j)))*Salcycl</f>
        <v>0.12009268786709822</v>
      </c>
      <c r="AD215" s="230">
        <f>(INDEX(Models!$BJ215:$BT215,,AH215)*(1-AF215)+INDEX(Models!$BJ215:$BT215,,AH215+1)*AF215-ERP_i)*AE215*Ramure*Pc/MaxiM</f>
        <v>1.9578266917535816E-20</v>
      </c>
      <c r="AE215" s="304">
        <f t="shared" si="88"/>
        <v>0.6</v>
      </c>
      <c r="AF215" s="177">
        <f t="shared" si="89"/>
        <v>0.41816643157440225</v>
      </c>
      <c r="AG215" s="799">
        <f t="shared" si="95"/>
        <v>0</v>
      </c>
      <c r="AH215" s="176">
        <f t="shared" si="90"/>
        <v>6</v>
      </c>
      <c r="AI215" s="224">
        <f t="shared" si="91"/>
        <v>0.41816643157440225</v>
      </c>
      <c r="AJ215" s="264" t="b">
        <f t="shared" si="92"/>
        <v>0</v>
      </c>
      <c r="AK215" s="264" t="b">
        <f t="shared" si="93"/>
        <v>0</v>
      </c>
      <c r="AL215" s="264"/>
      <c r="AM215" s="264"/>
      <c r="AN215" s="75"/>
    </row>
    <row r="216" spans="1:40" s="6" customFormat="1" ht="11.25" x14ac:dyDescent="0.2">
      <c r="A216" s="56">
        <f t="shared" si="94"/>
        <v>44763</v>
      </c>
      <c r="B216" s="607">
        <v>54.515000000000001</v>
      </c>
      <c r="C216" s="388"/>
      <c r="D216" s="391">
        <f t="shared" si="74"/>
        <v>55.854935474476157</v>
      </c>
      <c r="E216" s="383">
        <f t="shared" si="72"/>
        <v>56.773525960432131</v>
      </c>
      <c r="F216" s="383">
        <f t="shared" si="75"/>
        <v>56.773525960432131</v>
      </c>
      <c r="G216" s="110">
        <f t="shared" si="73"/>
        <v>0.95250304329432012</v>
      </c>
      <c r="H216" s="412" t="b">
        <f>Wh_hp&gt;='2021'!Maxi_hp</f>
        <v>1</v>
      </c>
      <c r="I216" s="379">
        <f>IF(H216,Wh_hp,'2021'!Maxi_hp)</f>
        <v>56.773525960432131</v>
      </c>
      <c r="J216" s="85">
        <f>IF(H216,An,'2021'!An_max)</f>
        <v>2022</v>
      </c>
      <c r="K216" s="197">
        <f t="shared" si="76"/>
        <v>44763</v>
      </c>
      <c r="L216" s="147">
        <f>IF(t&lt;Tvie,1-EXP((T0-t)*PertePVj)+'2021'!Pspv,1-EXP((T0-t)*PertePVj)+Pspv)</f>
        <v>2.3989562660733266E-2</v>
      </c>
      <c r="M216" s="832"/>
      <c r="N216" s="832"/>
      <c r="O216" s="48">
        <f>IF(t&lt;Tnet,'2021'!Resal+('2021'!Salim-'2021'!Resal)*(1-EXP(('2021'!Tnet-t)/('2021'!Tau_j))),Resal+(Salim-Resal)*(1-EXP((Tnet-t)/(Tau_j))))*Salcycl</f>
        <v>1.6179909040635973E-2</v>
      </c>
      <c r="P216" s="169">
        <f>(INDEX(Models!$BJ216:$BT216,,T216)*(1-R216)+INDEX(Models!$BJ216:$BT216,,T216+1)*R216-ERP_i)*Q216*Ramure*Pc/MaxiM</f>
        <v>1.9619566310446586E-20</v>
      </c>
      <c r="Q216" s="304">
        <f t="shared" si="77"/>
        <v>0.6</v>
      </c>
      <c r="R216" s="177">
        <f t="shared" si="78"/>
        <v>0.42092130433246222</v>
      </c>
      <c r="S216" s="799">
        <f t="shared" si="79"/>
        <v>0</v>
      </c>
      <c r="T216" s="176">
        <f t="shared" si="80"/>
        <v>6</v>
      </c>
      <c r="U216" s="250">
        <f t="shared" si="81"/>
        <v>0.42092130433246222</v>
      </c>
      <c r="V216" s="382">
        <f t="shared" si="82"/>
        <v>57.233412936356416</v>
      </c>
      <c r="W216" s="400"/>
      <c r="X216" s="157">
        <f t="shared" si="83"/>
        <v>44763</v>
      </c>
      <c r="Y216" s="383">
        <f t="shared" si="84"/>
        <v>48.757555049232728</v>
      </c>
      <c r="Z216" s="383">
        <f t="shared" si="85"/>
        <v>49.955977091958424</v>
      </c>
      <c r="AA216" s="384">
        <f t="shared" si="86"/>
        <v>56.773525960432131</v>
      </c>
      <c r="AB216" s="197">
        <f t="shared" si="87"/>
        <v>44763</v>
      </c>
      <c r="AC216" s="119">
        <f>IF(OR(t&lt;Tnet,NoTnet),'2021'!Resal_s+('2021'!Salim-'2021'!Resal_s)*(1-EXP(('2021'!Tnet_s-t)/'2021'!Tau_j)),Resal_s+(Salim-Resal_s)*(1-EXP((Tnet_s-t)/Tau_j)))*Salcycl</f>
        <v>0.12008323867756851</v>
      </c>
      <c r="AD216" s="230">
        <f>(INDEX(Models!$BJ216:$BT216,,AH216)*(1-AF216)+INDEX(Models!$BJ216:$BT216,,AH216+1)*AF216-ERP_i)*AE216*Ramure*Pc/MaxiM</f>
        <v>1.9619566310446586E-20</v>
      </c>
      <c r="AE216" s="304">
        <f t="shared" si="88"/>
        <v>0.6</v>
      </c>
      <c r="AF216" s="177">
        <f t="shared" si="89"/>
        <v>0.42092130433246222</v>
      </c>
      <c r="AG216" s="799">
        <f t="shared" si="95"/>
        <v>0</v>
      </c>
      <c r="AH216" s="176">
        <f t="shared" si="90"/>
        <v>6</v>
      </c>
      <c r="AI216" s="224">
        <f t="shared" si="91"/>
        <v>0.42092130433246222</v>
      </c>
      <c r="AJ216" s="264" t="b">
        <f t="shared" si="92"/>
        <v>0</v>
      </c>
      <c r="AK216" s="264" t="b">
        <f t="shared" si="93"/>
        <v>0</v>
      </c>
      <c r="AL216" s="264"/>
      <c r="AM216" s="264"/>
      <c r="AN216" s="75"/>
    </row>
    <row r="217" spans="1:40" s="6" customFormat="1" ht="11.25" x14ac:dyDescent="0.2">
      <c r="A217" s="56">
        <f t="shared" si="94"/>
        <v>44764</v>
      </c>
      <c r="B217" s="607">
        <v>45.822000000000003</v>
      </c>
      <c r="C217" s="388"/>
      <c r="D217" s="391">
        <f t="shared" si="74"/>
        <v>46.949168197346083</v>
      </c>
      <c r="E217" s="383">
        <f t="shared" si="72"/>
        <v>47.725250698076486</v>
      </c>
      <c r="F217" s="383">
        <f t="shared" si="75"/>
        <v>47.725250698076486</v>
      </c>
      <c r="G217" s="110">
        <f t="shared" si="73"/>
        <v>0.80209786637045499</v>
      </c>
      <c r="H217" s="412" t="b">
        <f>Wh_hp&gt;='2021'!Maxi_hp</f>
        <v>0</v>
      </c>
      <c r="I217" s="379">
        <f>IF(H217,Wh_hp,'2021'!Maxi_hp)</f>
        <v>55.683659624670192</v>
      </c>
      <c r="J217" s="85">
        <f>IF(H217,An,'2021'!An_max)</f>
        <v>2021</v>
      </c>
      <c r="K217" s="197">
        <f t="shared" si="76"/>
        <v>44764</v>
      </c>
      <c r="L217" s="147">
        <f>IF(t&lt;Tvie,1-EXP((T0-t)*PertePVj)+'2021'!Pspv,1-EXP((T0-t)*PertePVj)+Pspv)</f>
        <v>2.4008267678101158E-2</v>
      </c>
      <c r="M217" s="832"/>
      <c r="N217" s="832"/>
      <c r="O217" s="48">
        <f>IF(t&lt;Tnet,'2021'!Resal+('2021'!Salim-'2021'!Resal)*(1-EXP(('2021'!Tnet-t)/('2021'!Tau_j))),Resal+(Salim-Resal)*(1-EXP((Tnet-t)/(Tau_j))))*Salcycl</f>
        <v>1.626146514431373E-2</v>
      </c>
      <c r="P217" s="169">
        <f>(INDEX(Models!$BJ217:$BT217,,T217)*(1-R217)+INDEX(Models!$BJ217:$BT217,,T217+1)*R217-ERP_i)*Q217*Ramure*Pc/MaxiM</f>
        <v>0</v>
      </c>
      <c r="Q217" s="304">
        <f t="shared" si="77"/>
        <v>0.6</v>
      </c>
      <c r="R217" s="177">
        <f t="shared" si="78"/>
        <v>0.42359947998974135</v>
      </c>
      <c r="S217" s="799">
        <f t="shared" si="79"/>
        <v>0</v>
      </c>
      <c r="T217" s="176">
        <f t="shared" si="80"/>
        <v>6</v>
      </c>
      <c r="U217" s="250">
        <f t="shared" si="81"/>
        <v>0.42359947998974135</v>
      </c>
      <c r="V217" s="382">
        <f t="shared" si="82"/>
        <v>57.12769216971931</v>
      </c>
      <c r="W217" s="400"/>
      <c r="X217" s="157">
        <f t="shared" si="83"/>
        <v>44764</v>
      </c>
      <c r="Y217" s="383">
        <f t="shared" si="84"/>
        <v>40.986511963358161</v>
      </c>
      <c r="Z217" s="383">
        <f t="shared" si="85"/>
        <v>41.994732748248431</v>
      </c>
      <c r="AA217" s="384">
        <f t="shared" si="86"/>
        <v>47.725250698076486</v>
      </c>
      <c r="AB217" s="197">
        <f t="shared" si="87"/>
        <v>44764</v>
      </c>
      <c r="AC217" s="119">
        <f>IF(OR(t&lt;Tnet,NoTnet),'2021'!Resal_s+('2021'!Salim-'2021'!Resal_s)*(1-EXP(('2021'!Tnet_s-t)/'2021'!Tau_j)),Resal_s+(Salim-Resal_s)*(1-EXP((Tnet_s-t)/Tau_j)))*Salcycl</f>
        <v>0.12007308219460058</v>
      </c>
      <c r="AD217" s="230">
        <f>(INDEX(Models!$BJ217:$BT217,,AH217)*(1-AF217)+INDEX(Models!$BJ217:$BT217,,AH217+1)*AF217-ERP_i)*AE217*Ramure*Pc/MaxiM</f>
        <v>0</v>
      </c>
      <c r="AE217" s="304">
        <f t="shared" si="88"/>
        <v>0.6</v>
      </c>
      <c r="AF217" s="177">
        <f t="shared" si="89"/>
        <v>0.42359947998974135</v>
      </c>
      <c r="AG217" s="799">
        <f t="shared" si="95"/>
        <v>0</v>
      </c>
      <c r="AH217" s="176">
        <f t="shared" si="90"/>
        <v>6</v>
      </c>
      <c r="AI217" s="224">
        <f t="shared" si="91"/>
        <v>0.42359947998974135</v>
      </c>
      <c r="AJ217" s="264" t="b">
        <f t="shared" si="92"/>
        <v>0</v>
      </c>
      <c r="AK217" s="264" t="b">
        <f t="shared" si="93"/>
        <v>0</v>
      </c>
      <c r="AL217" s="264"/>
      <c r="AM217" s="264"/>
      <c r="AN217" s="75"/>
    </row>
    <row r="218" spans="1:40" s="6" customFormat="1" ht="11.25" x14ac:dyDescent="0.2">
      <c r="A218" s="56">
        <f t="shared" si="94"/>
        <v>44765</v>
      </c>
      <c r="B218" s="607">
        <v>45.774999999999999</v>
      </c>
      <c r="C218" s="388"/>
      <c r="D218" s="391">
        <f t="shared" si="74"/>
        <v>46.901910916133993</v>
      </c>
      <c r="E218" s="383">
        <f t="shared" si="72"/>
        <v>47.681157440815845</v>
      </c>
      <c r="F218" s="383">
        <f t="shared" si="75"/>
        <v>47.681157440815845</v>
      </c>
      <c r="G218" s="110">
        <f t="shared" si="73"/>
        <v>0.80277390443400365</v>
      </c>
      <c r="H218" s="412" t="b">
        <f>Wh_hp&gt;='2021'!Maxi_hp</f>
        <v>0</v>
      </c>
      <c r="I218" s="379">
        <f>IF(H218,Wh_hp,'2021'!Maxi_hp)</f>
        <v>57.020157721480658</v>
      </c>
      <c r="J218" s="85">
        <f>IF(H218,An,'2021'!An_max)</f>
        <v>2018</v>
      </c>
      <c r="K218" s="197">
        <f t="shared" si="76"/>
        <v>44765</v>
      </c>
      <c r="L218" s="147">
        <f>IF(t&lt;Tvie,1-EXP((T0-t)*PertePVj)+'2021'!Pspv,1-EXP((T0-t)*PertePVj)+Pspv)</f>
        <v>2.4026972336991581E-2</v>
      </c>
      <c r="M218" s="832"/>
      <c r="N218" s="832"/>
      <c r="O218" s="48">
        <f>IF(t&lt;Tnet,'2021'!Resal+('2021'!Salim-'2021'!Resal)*(1-EXP(('2021'!Tnet-t)/('2021'!Tau_j))),Resal+(Salim-Resal)*(1-EXP((Tnet-t)/(Tau_j))))*Salcycl</f>
        <v>1.6342860922558104E-2</v>
      </c>
      <c r="P218" s="169">
        <f>(INDEX(Models!$BJ218:$BT218,,T218)*(1-R218)+INDEX(Models!$BJ218:$BT218,,T218+1)*R218-ERP_i)*Q218*Ramure*Pc/MaxiM</f>
        <v>0</v>
      </c>
      <c r="Q218" s="304">
        <f t="shared" si="77"/>
        <v>0.6</v>
      </c>
      <c r="R218" s="177">
        <f t="shared" si="78"/>
        <v>0.42620194975087344</v>
      </c>
      <c r="S218" s="799">
        <f t="shared" si="79"/>
        <v>0</v>
      </c>
      <c r="T218" s="176">
        <f t="shared" si="80"/>
        <v>6</v>
      </c>
      <c r="U218" s="250">
        <f t="shared" si="81"/>
        <v>0.42620194975087344</v>
      </c>
      <c r="V218" s="382">
        <f t="shared" si="82"/>
        <v>57.021036367984209</v>
      </c>
      <c r="W218" s="400"/>
      <c r="X218" s="157">
        <f t="shared" si="83"/>
        <v>44765</v>
      </c>
      <c r="Y218" s="383">
        <f t="shared" si="84"/>
        <v>40.948363115603321</v>
      </c>
      <c r="Z218" s="383">
        <f t="shared" si="85"/>
        <v>41.95644956875006</v>
      </c>
      <c r="AA218" s="384">
        <f t="shared" si="86"/>
        <v>47.681157440815845</v>
      </c>
      <c r="AB218" s="197">
        <f t="shared" si="87"/>
        <v>44765</v>
      </c>
      <c r="AC218" s="119">
        <f>IF(OR(t&lt;Tnet,NoTnet),'2021'!Resal_s+('2021'!Salim-'2021'!Resal_s)*(1-EXP(('2021'!Tnet_s-t)/'2021'!Tau_j)),Resal_s+(Salim-Resal_s)*(1-EXP((Tnet_s-t)/Tau_j)))*Salcycl</f>
        <v>0.12006226734683542</v>
      </c>
      <c r="AD218" s="230">
        <f>(INDEX(Models!$BJ218:$BT218,,AH218)*(1-AF218)+INDEX(Models!$BJ218:$BT218,,AH218+1)*AF218-ERP_i)*AE218*Ramure*Pc/MaxiM</f>
        <v>0</v>
      </c>
      <c r="AE218" s="304">
        <f t="shared" si="88"/>
        <v>0.6</v>
      </c>
      <c r="AF218" s="177">
        <f t="shared" si="89"/>
        <v>0.42620194975087344</v>
      </c>
      <c r="AG218" s="799">
        <f t="shared" si="95"/>
        <v>0</v>
      </c>
      <c r="AH218" s="176">
        <f t="shared" si="90"/>
        <v>6</v>
      </c>
      <c r="AI218" s="224">
        <f t="shared" si="91"/>
        <v>0.42620194975087344</v>
      </c>
      <c r="AJ218" s="264" t="b">
        <f t="shared" si="92"/>
        <v>0</v>
      </c>
      <c r="AK218" s="264" t="b">
        <f t="shared" si="93"/>
        <v>0</v>
      </c>
      <c r="AL218" s="264"/>
      <c r="AM218" s="264"/>
      <c r="AN218" s="75"/>
    </row>
    <row r="219" spans="1:40" s="6" customFormat="1" ht="11.25" x14ac:dyDescent="0.2">
      <c r="A219" s="56">
        <f t="shared" si="94"/>
        <v>44766</v>
      </c>
      <c r="B219" s="607">
        <v>54.777999999999999</v>
      </c>
      <c r="C219" s="388"/>
      <c r="D219" s="391">
        <f t="shared" si="74"/>
        <v>56.127626763582427</v>
      </c>
      <c r="E219" s="383">
        <f t="shared" si="72"/>
        <v>57.064865907333974</v>
      </c>
      <c r="F219" s="383">
        <f t="shared" si="75"/>
        <v>57.064865907333974</v>
      </c>
      <c r="G219" s="110">
        <f t="shared" si="73"/>
        <v>0.96247528086777845</v>
      </c>
      <c r="H219" s="412" t="b">
        <f>Wh_hp&gt;='2021'!Maxi_hp</f>
        <v>0</v>
      </c>
      <c r="I219" s="379">
        <f>IF(H219,Wh_hp,'2021'!Maxi_hp)</f>
        <v>57.130225133334037</v>
      </c>
      <c r="J219" s="85">
        <f>IF(H219,An,'2021'!An_max)</f>
        <v>2018</v>
      </c>
      <c r="K219" s="197">
        <f t="shared" si="76"/>
        <v>44766</v>
      </c>
      <c r="L219" s="147">
        <f>IF(t&lt;Tvie,1-EXP((T0-t)*PertePVj)+'2021'!Pspv,1-EXP((T0-t)*PertePVj)+Pspv)</f>
        <v>2.4045676637411528E-2</v>
      </c>
      <c r="M219" s="832"/>
      <c r="N219" s="832"/>
      <c r="O219" s="48">
        <f>IF(t&lt;Tnet,'2021'!Resal+('2021'!Salim-'2021'!Resal)*(1-EXP(('2021'!Tnet-t)/('2021'!Tau_j))),Resal+(Salim-Resal)*(1-EXP((Tnet-t)/(Tau_j))))*Salcycl</f>
        <v>1.6424101394954749E-2</v>
      </c>
      <c r="P219" s="169">
        <f>(INDEX(Models!$BJ219:$BT219,,T219)*(1-R219)+INDEX(Models!$BJ219:$BT219,,T219+1)*R219-ERP_i)*Q219*Ramure*Pc/MaxiM</f>
        <v>-1.9739139617537201E-20</v>
      </c>
      <c r="Q219" s="304">
        <f t="shared" si="77"/>
        <v>0.6</v>
      </c>
      <c r="R219" s="177">
        <f t="shared" si="78"/>
        <v>0.42872977379375071</v>
      </c>
      <c r="S219" s="799">
        <f t="shared" si="79"/>
        <v>0</v>
      </c>
      <c r="T219" s="176">
        <f t="shared" si="80"/>
        <v>6</v>
      </c>
      <c r="U219" s="250">
        <f t="shared" si="81"/>
        <v>0.42872977379375071</v>
      </c>
      <c r="V219" s="382">
        <f t="shared" si="82"/>
        <v>56.913669461320133</v>
      </c>
      <c r="W219" s="400"/>
      <c r="X219" s="157">
        <f t="shared" si="83"/>
        <v>44766</v>
      </c>
      <c r="Y219" s="383">
        <f t="shared" si="84"/>
        <v>49.006746837986995</v>
      </c>
      <c r="Z219" s="383">
        <f t="shared" si="85"/>
        <v>50.214180791922075</v>
      </c>
      <c r="AA219" s="384">
        <f t="shared" si="86"/>
        <v>57.064865907333974</v>
      </c>
      <c r="AB219" s="197">
        <f t="shared" si="87"/>
        <v>44766</v>
      </c>
      <c r="AC219" s="119">
        <f>IF(OR(t&lt;Tnet,NoTnet),'2021'!Resal_s+('2021'!Salim-'2021'!Resal_s)*(1-EXP(('2021'!Tnet_s-t)/'2021'!Tau_j)),Resal_s+(Salim-Resal_s)*(1-EXP((Tnet_s-t)/Tau_j)))*Salcycl</f>
        <v>0.12005084050379675</v>
      </c>
      <c r="AD219" s="230">
        <f>(INDEX(Models!$BJ219:$BT219,,AH219)*(1-AF219)+INDEX(Models!$BJ219:$BT219,,AH219+1)*AF219-ERP_i)*AE219*Ramure*Pc/MaxiM</f>
        <v>-1.9739139617537201E-20</v>
      </c>
      <c r="AE219" s="304">
        <f t="shared" si="88"/>
        <v>0.6</v>
      </c>
      <c r="AF219" s="177">
        <f t="shared" si="89"/>
        <v>0.42872977379375071</v>
      </c>
      <c r="AG219" s="799">
        <f t="shared" si="95"/>
        <v>0</v>
      </c>
      <c r="AH219" s="176">
        <f t="shared" si="90"/>
        <v>6</v>
      </c>
      <c r="AI219" s="224">
        <f t="shared" si="91"/>
        <v>0.42872977379375071</v>
      </c>
      <c r="AJ219" s="264" t="b">
        <f t="shared" si="92"/>
        <v>0</v>
      </c>
      <c r="AK219" s="264" t="b">
        <f t="shared" si="93"/>
        <v>0</v>
      </c>
      <c r="AL219" s="264"/>
      <c r="AM219" s="264"/>
      <c r="AN219" s="75"/>
    </row>
    <row r="220" spans="1:40" s="6" customFormat="1" ht="11.25" x14ac:dyDescent="0.2">
      <c r="A220" s="56">
        <f t="shared" si="94"/>
        <v>44767</v>
      </c>
      <c r="B220" s="607">
        <v>26.903000000000002</v>
      </c>
      <c r="C220" s="388"/>
      <c r="D220" s="391">
        <f t="shared" si="74"/>
        <v>27.56636756015839</v>
      </c>
      <c r="E220" s="383">
        <f t="shared" si="72"/>
        <v>28.028991426733498</v>
      </c>
      <c r="F220" s="383">
        <f t="shared" si="75"/>
        <v>28.028991426733498</v>
      </c>
      <c r="G220" s="110">
        <f t="shared" si="73"/>
        <v>0.47359645295049041</v>
      </c>
      <c r="H220" s="412" t="b">
        <f>Wh_hp&gt;='2021'!Maxi_hp</f>
        <v>0</v>
      </c>
      <c r="I220" s="379">
        <f>IF(H220,Wh_hp,'2021'!Maxi_hp)</f>
        <v>58.039813998105629</v>
      </c>
      <c r="J220" s="85">
        <f>IF(H220,An,'2021'!An_max)</f>
        <v>2018</v>
      </c>
      <c r="K220" s="197">
        <f t="shared" si="76"/>
        <v>44767</v>
      </c>
      <c r="L220" s="147">
        <f>IF(t&lt;Tvie,1-EXP((T0-t)*PertePVj)+'2021'!Pspv,1-EXP((T0-t)*PertePVj)+Pspv)</f>
        <v>2.4064380579367772E-2</v>
      </c>
      <c r="M220" s="832"/>
      <c r="N220" s="832"/>
      <c r="O220" s="48">
        <f>IF(t&lt;Tnet,'2021'!Resal+('2021'!Salim-'2021'!Resal)*(1-EXP(('2021'!Tnet-t)/('2021'!Tau_j))),Resal+(Salim-Resal)*(1-EXP((Tnet-t)/(Tau_j))))*Salcycl</f>
        <v>1.6505191340344373E-2</v>
      </c>
      <c r="P220" s="169">
        <f>(INDEX(Models!$BJ220:$BT220,,T220)*(1-R220)+INDEX(Models!$BJ220:$BT220,,T220+1)*R220-ERP_i)*Q220*Ramure*Pc/MaxiM</f>
        <v>0</v>
      </c>
      <c r="Q220" s="304">
        <f t="shared" si="77"/>
        <v>0.6</v>
      </c>
      <c r="R220" s="177">
        <f t="shared" si="78"/>
        <v>0.43118407478088572</v>
      </c>
      <c r="S220" s="799">
        <f t="shared" si="79"/>
        <v>0</v>
      </c>
      <c r="T220" s="176">
        <f t="shared" si="80"/>
        <v>6</v>
      </c>
      <c r="U220" s="250">
        <f t="shared" si="81"/>
        <v>0.43118407478088572</v>
      </c>
      <c r="V220" s="382">
        <f t="shared" si="82"/>
        <v>56.805746395259497</v>
      </c>
      <c r="W220" s="400"/>
      <c r="X220" s="157">
        <f t="shared" si="83"/>
        <v>44767</v>
      </c>
      <c r="Y220" s="383">
        <f t="shared" si="84"/>
        <v>24.070889582080376</v>
      </c>
      <c r="Z220" s="383">
        <f t="shared" si="85"/>
        <v>24.66442365980058</v>
      </c>
      <c r="AA220" s="384">
        <f t="shared" si="86"/>
        <v>28.028991426733498</v>
      </c>
      <c r="AB220" s="197">
        <f t="shared" si="87"/>
        <v>44767</v>
      </c>
      <c r="AC220" s="119">
        <f>IF(OR(t&lt;Tnet,NoTnet),'2021'!Resal_s+('2021'!Salim-'2021'!Resal_s)*(1-EXP(('2021'!Tnet_s-t)/'2021'!Tau_j)),Resal_s+(Salim-Resal_s)*(1-EXP((Tnet_s-t)/Tau_j)))*Salcycl</f>
        <v>0.12003884534082312</v>
      </c>
      <c r="AD220" s="230">
        <f>(INDEX(Models!$BJ220:$BT220,,AH220)*(1-AF220)+INDEX(Models!$BJ220:$BT220,,AH220+1)*AF220-ERP_i)*AE220*Ramure*Pc/MaxiM</f>
        <v>0</v>
      </c>
      <c r="AE220" s="304">
        <f t="shared" si="88"/>
        <v>0.6</v>
      </c>
      <c r="AF220" s="177">
        <f t="shared" si="89"/>
        <v>0.43118407478088572</v>
      </c>
      <c r="AG220" s="799">
        <f t="shared" si="95"/>
        <v>0</v>
      </c>
      <c r="AH220" s="176">
        <f t="shared" si="90"/>
        <v>6</v>
      </c>
      <c r="AI220" s="224">
        <f t="shared" si="91"/>
        <v>0.43118407478088572</v>
      </c>
      <c r="AJ220" s="264" t="b">
        <f t="shared" si="92"/>
        <v>0</v>
      </c>
      <c r="AK220" s="264" t="b">
        <f t="shared" si="93"/>
        <v>0</v>
      </c>
      <c r="AL220" s="264"/>
      <c r="AM220" s="264"/>
      <c r="AN220" s="75"/>
    </row>
    <row r="221" spans="1:40" s="6" customFormat="1" ht="11.25" x14ac:dyDescent="0.2">
      <c r="A221" s="56">
        <f t="shared" si="94"/>
        <v>44768</v>
      </c>
      <c r="B221" s="607">
        <v>57.125</v>
      </c>
      <c r="C221" s="388"/>
      <c r="D221" s="391">
        <f t="shared" si="74"/>
        <v>58.534696010467954</v>
      </c>
      <c r="E221" s="383">
        <f t="shared" si="72"/>
        <v>59.521934873943657</v>
      </c>
      <c r="F221" s="383">
        <f t="shared" si="75"/>
        <v>59.521934873943657</v>
      </c>
      <c r="G221" s="110">
        <f t="shared" si="73"/>
        <v>1.0075459914600895</v>
      </c>
      <c r="H221" s="412" t="b">
        <f>Wh_hp&gt;='2021'!Maxi_hp</f>
        <v>1</v>
      </c>
      <c r="I221" s="379">
        <f>IF(H221,Wh_hp,'2021'!Maxi_hp)</f>
        <v>59.521934873943657</v>
      </c>
      <c r="J221" s="85">
        <f>IF(H221,An,'2021'!An_max)</f>
        <v>2022</v>
      </c>
      <c r="K221" s="197">
        <f t="shared" si="76"/>
        <v>44768</v>
      </c>
      <c r="L221" s="147">
        <f>IF(t&lt;Tvie,1-EXP((T0-t)*PertePVj)+'2021'!Pspv,1-EXP((T0-t)*PertePVj)+Pspv)</f>
        <v>2.4083084162867308E-2</v>
      </c>
      <c r="M221" s="832"/>
      <c r="N221" s="832"/>
      <c r="O221" s="48">
        <f>IF(t&lt;Tnet,'2021'!Resal+('2021'!Salim-'2021'!Resal)*(1-EXP(('2021'!Tnet-t)/('2021'!Tau_j))),Resal+(Salim-Resal)*(1-EXP((Tnet-t)/(Tau_j))))*Salcycl</f>
        <v>1.6586135272089051E-2</v>
      </c>
      <c r="P221" s="169">
        <f>(INDEX(Models!$BJ221:$BT221,,T221)*(1-R221)+INDEX(Models!$BJ221:$BT221,,T221+1)*R221-ERP_i)*Q221*Ramure*Pc/MaxiM</f>
        <v>0</v>
      </c>
      <c r="Q221" s="304">
        <f t="shared" si="77"/>
        <v>0.6</v>
      </c>
      <c r="R221" s="177">
        <f t="shared" si="78"/>
        <v>0.43356603155874462</v>
      </c>
      <c r="S221" s="799">
        <f t="shared" si="79"/>
        <v>0</v>
      </c>
      <c r="T221" s="176">
        <f t="shared" si="80"/>
        <v>6</v>
      </c>
      <c r="U221" s="250">
        <f t="shared" si="81"/>
        <v>0.43356603155874462</v>
      </c>
      <c r="V221" s="382">
        <f t="shared" si="82"/>
        <v>56.697163687006544</v>
      </c>
      <c r="W221" s="400"/>
      <c r="X221" s="157">
        <f t="shared" si="83"/>
        <v>44768</v>
      </c>
      <c r="Y221" s="383">
        <f t="shared" si="84"/>
        <v>51.116318487155709</v>
      </c>
      <c r="Z221" s="383">
        <f t="shared" si="85"/>
        <v>52.377735909320307</v>
      </c>
      <c r="AA221" s="384">
        <f t="shared" si="86"/>
        <v>59.521934873943657</v>
      </c>
      <c r="AB221" s="197">
        <f t="shared" si="87"/>
        <v>44768</v>
      </c>
      <c r="AC221" s="119">
        <f>IF(OR(t&lt;Tnet,NoTnet),'2021'!Resal_s+('2021'!Salim-'2021'!Resal_s)*(1-EXP(('2021'!Tnet_s-t)/'2021'!Tau_j)),Resal_s+(Salim-Resal_s)*(1-EXP((Tnet_s-t)/Tau_j)))*Salcycl</f>
        <v>0.12002632272881303</v>
      </c>
      <c r="AD221" s="230">
        <f>(INDEX(Models!$BJ221:$BT221,,AH221)*(1-AF221)+INDEX(Models!$BJ221:$BT221,,AH221+1)*AF221-ERP_i)*AE221*Ramure*Pc/MaxiM</f>
        <v>0</v>
      </c>
      <c r="AE221" s="304">
        <f t="shared" si="88"/>
        <v>0.6</v>
      </c>
      <c r="AF221" s="177">
        <f t="shared" si="89"/>
        <v>0.43356603155874462</v>
      </c>
      <c r="AG221" s="799">
        <f t="shared" si="95"/>
        <v>0</v>
      </c>
      <c r="AH221" s="176">
        <f t="shared" si="90"/>
        <v>6</v>
      </c>
      <c r="AI221" s="224">
        <f t="shared" si="91"/>
        <v>0.43356603155874462</v>
      </c>
      <c r="AJ221" s="264" t="b">
        <f t="shared" si="92"/>
        <v>0</v>
      </c>
      <c r="AK221" s="264" t="b">
        <f t="shared" si="93"/>
        <v>0</v>
      </c>
      <c r="AL221" s="264"/>
      <c r="AM221" s="264"/>
      <c r="AN221" s="75"/>
    </row>
    <row r="222" spans="1:40" s="6" customFormat="1" ht="11.25" x14ac:dyDescent="0.2">
      <c r="A222" s="56">
        <f t="shared" si="94"/>
        <v>44769</v>
      </c>
      <c r="B222" s="607">
        <v>58.576999999999998</v>
      </c>
      <c r="C222" s="388"/>
      <c r="D222" s="391">
        <f t="shared" si="74"/>
        <v>60.023677923554303</v>
      </c>
      <c r="E222" s="383">
        <f t="shared" si="72"/>
        <v>61.041045203793374</v>
      </c>
      <c r="F222" s="383">
        <f t="shared" si="75"/>
        <v>61.041045203793374</v>
      </c>
      <c r="G222" s="110">
        <f t="shared" si="73"/>
        <v>1.0351521256731888</v>
      </c>
      <c r="H222" s="412" t="b">
        <f>Wh_hp&gt;='2021'!Maxi_hp</f>
        <v>1</v>
      </c>
      <c r="I222" s="379">
        <f>IF(H222,Wh_hp,'2021'!Maxi_hp)</f>
        <v>61.041045203793374</v>
      </c>
      <c r="J222" s="85">
        <f>IF(H222,An,'2021'!An_max)</f>
        <v>2022</v>
      </c>
      <c r="K222" s="197">
        <f t="shared" si="76"/>
        <v>44769</v>
      </c>
      <c r="L222" s="147">
        <f>IF(t&lt;Tvie,1-EXP((T0-t)*PertePVj)+'2021'!Pspv,1-EXP((T0-t)*PertePVj)+Pspv)</f>
        <v>2.4101787387916906E-2</v>
      </c>
      <c r="M222" s="832"/>
      <c r="N222" s="832"/>
      <c r="O222" s="48">
        <f>IF(t&lt;Tnet,'2021'!Resal+('2021'!Salim-'2021'!Resal)*(1-EXP(('2021'!Tnet-t)/('2021'!Tau_j))),Resal+(Salim-Resal)*(1-EXP((Tnet-t)/(Tau_j))))*Salcycl</f>
        <v>1.6666937416331302E-2</v>
      </c>
      <c r="P222" s="169">
        <f>(INDEX(Models!$BJ222:$BT222,,T222)*(1-R222)+INDEX(Models!$BJ222:$BT222,,T222+1)*R222-ERP_i)*Q222*Ramure*Pc/MaxiM</f>
        <v>0</v>
      </c>
      <c r="Q222" s="304">
        <f t="shared" si="77"/>
        <v>0.6</v>
      </c>
      <c r="R222" s="177">
        <f t="shared" si="78"/>
        <v>0.43587687306371048</v>
      </c>
      <c r="S222" s="799">
        <f t="shared" si="79"/>
        <v>0</v>
      </c>
      <c r="T222" s="176">
        <f t="shared" si="80"/>
        <v>6</v>
      </c>
      <c r="U222" s="250">
        <f t="shared" si="81"/>
        <v>0.43587687306371048</v>
      </c>
      <c r="V222" s="382">
        <f t="shared" si="82"/>
        <v>56.587817913145578</v>
      </c>
      <c r="W222" s="400"/>
      <c r="X222" s="157">
        <f t="shared" si="83"/>
        <v>44769</v>
      </c>
      <c r="Y222" s="383">
        <f t="shared" si="84"/>
        <v>52.420672367809765</v>
      </c>
      <c r="Z222" s="383">
        <f t="shared" si="85"/>
        <v>53.715307283431656</v>
      </c>
      <c r="AA222" s="384">
        <f t="shared" si="86"/>
        <v>61.041045203793374</v>
      </c>
      <c r="AB222" s="197">
        <f t="shared" si="87"/>
        <v>44769</v>
      </c>
      <c r="AC222" s="119">
        <f>IF(OR(t&lt;Tnet,NoTnet),'2021'!Resal_s+('2021'!Salim-'2021'!Resal_s)*(1-EXP(('2021'!Tnet_s-t)/'2021'!Tau_j)),Resal_s+(Salim-Resal_s)*(1-EXP((Tnet_s-t)/Tau_j)))*Salcycl</f>
        <v>0.12001331064865953</v>
      </c>
      <c r="AD222" s="230">
        <f>(INDEX(Models!$BJ222:$BT222,,AH222)*(1-AF222)+INDEX(Models!$BJ222:$BT222,,AH222+1)*AF222-ERP_i)*AE222*Ramure*Pc/MaxiM</f>
        <v>0</v>
      </c>
      <c r="AE222" s="304">
        <f t="shared" si="88"/>
        <v>0.6</v>
      </c>
      <c r="AF222" s="177">
        <f t="shared" si="89"/>
        <v>0.43587687306371048</v>
      </c>
      <c r="AG222" s="799">
        <f t="shared" si="95"/>
        <v>0</v>
      </c>
      <c r="AH222" s="176">
        <f t="shared" si="90"/>
        <v>6</v>
      </c>
      <c r="AI222" s="224">
        <f t="shared" si="91"/>
        <v>0.43587687306371048</v>
      </c>
      <c r="AJ222" s="264" t="b">
        <f t="shared" si="92"/>
        <v>0</v>
      </c>
      <c r="AK222" s="264" t="b">
        <f t="shared" si="93"/>
        <v>0</v>
      </c>
      <c r="AL222" s="264"/>
      <c r="AM222" s="264"/>
      <c r="AN222" s="75"/>
    </row>
    <row r="223" spans="1:40" s="6" customFormat="1" ht="11.25" x14ac:dyDescent="0.2">
      <c r="A223" s="56">
        <f t="shared" si="94"/>
        <v>44770</v>
      </c>
      <c r="B223" s="607">
        <v>44.36</v>
      </c>
      <c r="C223" s="388"/>
      <c r="D223" s="391">
        <f t="shared" si="74"/>
        <v>45.45643141085084</v>
      </c>
      <c r="E223" s="383">
        <f t="shared" si="72"/>
        <v>46.230684500880947</v>
      </c>
      <c r="F223" s="383">
        <f t="shared" si="75"/>
        <v>46.230684500880947</v>
      </c>
      <c r="G223" s="110">
        <f t="shared" si="73"/>
        <v>0.78544406126196076</v>
      </c>
      <c r="H223" s="412" t="b">
        <f>Wh_hp&gt;='2021'!Maxi_hp</f>
        <v>0</v>
      </c>
      <c r="I223" s="379">
        <f>IF(H223,Wh_hp,'2021'!Maxi_hp)</f>
        <v>56.607198272356136</v>
      </c>
      <c r="J223" s="85">
        <f>IF(H223,An,'2021'!An_max)</f>
        <v>2020</v>
      </c>
      <c r="K223" s="197">
        <f t="shared" si="76"/>
        <v>44770</v>
      </c>
      <c r="L223" s="147">
        <f>IF(t&lt;Tvie,1-EXP((T0-t)*PertePVj)+'2021'!Pspv,1-EXP((T0-t)*PertePVj)+Pspv)</f>
        <v>2.4120490254523452E-2</v>
      </c>
      <c r="M223" s="832"/>
      <c r="N223" s="832"/>
      <c r="O223" s="48">
        <f>IF(t&lt;Tnet,'2021'!Resal+('2021'!Salim-'2021'!Resal)*(1-EXP(('2021'!Tnet-t)/('2021'!Tau_j))),Resal+(Salim-Resal)*(1-EXP((Tnet-t)/(Tau_j))))*Salcycl</f>
        <v>1.6747601693315895E-2</v>
      </c>
      <c r="P223" s="169">
        <f>(INDEX(Models!$BJ223:$BT223,,T223)*(1-R223)+INDEX(Models!$BJ223:$BT223,,T223+1)*R223-ERP_i)*Q223*Ramure*Pc/MaxiM</f>
        <v>0</v>
      </c>
      <c r="Q223" s="304">
        <f t="shared" si="77"/>
        <v>0.6</v>
      </c>
      <c r="R223" s="177">
        <f t="shared" si="78"/>
        <v>0.43811787245029199</v>
      </c>
      <c r="S223" s="799">
        <f t="shared" si="79"/>
        <v>0</v>
      </c>
      <c r="T223" s="176">
        <f t="shared" si="80"/>
        <v>6</v>
      </c>
      <c r="U223" s="250">
        <f t="shared" si="81"/>
        <v>0.43811787245029199</v>
      </c>
      <c r="V223" s="382">
        <f t="shared" si="82"/>
        <v>56.477605711000571</v>
      </c>
      <c r="W223" s="400"/>
      <c r="X223" s="157">
        <f t="shared" si="83"/>
        <v>44770</v>
      </c>
      <c r="Y223" s="383">
        <f t="shared" si="84"/>
        <v>39.701715430971717</v>
      </c>
      <c r="Z223" s="383">
        <f t="shared" si="85"/>
        <v>40.683009566751224</v>
      </c>
      <c r="AA223" s="384">
        <f t="shared" si="86"/>
        <v>46.230684500880947</v>
      </c>
      <c r="AB223" s="197">
        <f t="shared" si="87"/>
        <v>44770</v>
      </c>
      <c r="AC223" s="119">
        <f>IF(OR(t&lt;Tnet,NoTnet),'2021'!Resal_s+('2021'!Salim-'2021'!Resal_s)*(1-EXP(('2021'!Tnet_s-t)/'2021'!Tau_j)),Resal_s+(Salim-Resal_s)*(1-EXP((Tnet_s-t)/Tau_j)))*Salcycl</f>
        <v>0.11999984413001742</v>
      </c>
      <c r="AD223" s="230">
        <f>(INDEX(Models!$BJ223:$BT223,,AH223)*(1-AF223)+INDEX(Models!$BJ223:$BT223,,AH223+1)*AF223-ERP_i)*AE223*Ramure*Pc/MaxiM</f>
        <v>0</v>
      </c>
      <c r="AE223" s="304">
        <f t="shared" si="88"/>
        <v>0.6</v>
      </c>
      <c r="AF223" s="177">
        <f t="shared" si="89"/>
        <v>0.43811787245029199</v>
      </c>
      <c r="AG223" s="799">
        <f t="shared" si="95"/>
        <v>0</v>
      </c>
      <c r="AH223" s="176">
        <f t="shared" si="90"/>
        <v>6</v>
      </c>
      <c r="AI223" s="224">
        <f t="shared" si="91"/>
        <v>0.43811787245029199</v>
      </c>
      <c r="AJ223" s="264" t="b">
        <f t="shared" si="92"/>
        <v>0</v>
      </c>
      <c r="AK223" s="264" t="b">
        <f t="shared" si="93"/>
        <v>0</v>
      </c>
      <c r="AL223" s="264"/>
      <c r="AM223" s="264"/>
      <c r="AN223" s="75"/>
    </row>
    <row r="224" spans="1:40" s="6" customFormat="1" ht="11.25" x14ac:dyDescent="0.2">
      <c r="A224" s="56">
        <f t="shared" si="94"/>
        <v>44771</v>
      </c>
      <c r="B224" s="607">
        <v>30.709</v>
      </c>
      <c r="C224" s="388"/>
      <c r="D224" s="391">
        <f t="shared" si="74"/>
        <v>31.46862725939182</v>
      </c>
      <c r="E224" s="383">
        <f t="shared" si="72"/>
        <v>32.007249468866618</v>
      </c>
      <c r="F224" s="383">
        <f t="shared" si="75"/>
        <v>32.007249468866618</v>
      </c>
      <c r="G224" s="110">
        <f t="shared" si="73"/>
        <v>0.54481015365298768</v>
      </c>
      <c r="H224" s="412" t="b">
        <f>Wh_hp&gt;='2021'!Maxi_hp</f>
        <v>0</v>
      </c>
      <c r="I224" s="379">
        <f>IF(H224,Wh_hp,'2021'!Maxi_hp)</f>
        <v>59.144534762584179</v>
      </c>
      <c r="J224" s="85">
        <f>IF(H224,An,'2021'!An_max)</f>
        <v>2018</v>
      </c>
      <c r="K224" s="197">
        <f t="shared" si="76"/>
        <v>44771</v>
      </c>
      <c r="L224" s="147">
        <f>IF(t&lt;Tvie,1-EXP((T0-t)*PertePVj)+'2021'!Pspv,1-EXP((T0-t)*PertePVj)+Pspv)</f>
        <v>2.4139192762693829E-2</v>
      </c>
      <c r="M224" s="832"/>
      <c r="N224" s="832"/>
      <c r="O224" s="48">
        <f>IF(t&lt;Tnet,'2021'!Resal+('2021'!Salim-'2021'!Resal)*(1-EXP(('2021'!Tnet-t)/('2021'!Tau_j))),Resal+(Salim-Resal)*(1-EXP((Tnet-t)/(Tau_j))))*Salcycl</f>
        <v>1.6828131701810755E-2</v>
      </c>
      <c r="P224" s="169">
        <f>(INDEX(Models!$BJ224:$BT224,,T224)*(1-R224)+INDEX(Models!$BJ224:$BT224,,T224+1)*R224-ERP_i)*Q224*Ramure*Pc/MaxiM</f>
        <v>1.9927150967186139E-20</v>
      </c>
      <c r="Q224" s="304">
        <f t="shared" si="77"/>
        <v>0.6</v>
      </c>
      <c r="R224" s="177">
        <f t="shared" si="78"/>
        <v>0.44029034145432538</v>
      </c>
      <c r="S224" s="799">
        <f t="shared" si="79"/>
        <v>0</v>
      </c>
      <c r="T224" s="176">
        <f t="shared" si="80"/>
        <v>6</v>
      </c>
      <c r="U224" s="250">
        <f t="shared" si="81"/>
        <v>0.44029034145432538</v>
      </c>
      <c r="V224" s="382">
        <f t="shared" si="82"/>
        <v>56.366423779171782</v>
      </c>
      <c r="W224" s="400"/>
      <c r="X224" s="157">
        <f t="shared" si="83"/>
        <v>44771</v>
      </c>
      <c r="Y224" s="383">
        <f t="shared" si="84"/>
        <v>27.486904551201508</v>
      </c>
      <c r="Z224" s="383">
        <f t="shared" si="85"/>
        <v>28.166829067577613</v>
      </c>
      <c r="AA224" s="384">
        <f t="shared" si="86"/>
        <v>32.007249468866618</v>
      </c>
      <c r="AB224" s="197">
        <f t="shared" si="87"/>
        <v>44771</v>
      </c>
      <c r="AC224" s="119">
        <f>IF(OR(t&lt;Tnet,NoTnet),'2021'!Resal_s+('2021'!Salim-'2021'!Resal_s)*(1-EXP(('2021'!Tnet_s-t)/'2021'!Tau_j)),Resal_s+(Salim-Resal_s)*(1-EXP((Tnet_s-t)/Tau_j)))*Salcycl</f>
        <v>0.11998595521382042</v>
      </c>
      <c r="AD224" s="230">
        <f>(INDEX(Models!$BJ224:$BT224,,AH224)*(1-AF224)+INDEX(Models!$BJ224:$BT224,,AH224+1)*AF224-ERP_i)*AE224*Ramure*Pc/MaxiM</f>
        <v>1.9927150967186139E-20</v>
      </c>
      <c r="AE224" s="304">
        <f t="shared" si="88"/>
        <v>0.6</v>
      </c>
      <c r="AF224" s="177">
        <f t="shared" si="89"/>
        <v>0.44029034145432538</v>
      </c>
      <c r="AG224" s="799">
        <f t="shared" si="95"/>
        <v>0</v>
      </c>
      <c r="AH224" s="176">
        <f t="shared" si="90"/>
        <v>6</v>
      </c>
      <c r="AI224" s="224">
        <f t="shared" si="91"/>
        <v>0.44029034145432538</v>
      </c>
      <c r="AJ224" s="264" t="b">
        <f t="shared" si="92"/>
        <v>0</v>
      </c>
      <c r="AK224" s="264" t="b">
        <f t="shared" si="93"/>
        <v>0</v>
      </c>
      <c r="AL224" s="264"/>
      <c r="AM224" s="264"/>
      <c r="AN224" s="75"/>
    </row>
    <row r="225" spans="1:40" s="6" customFormat="1" ht="11.25" x14ac:dyDescent="0.2">
      <c r="A225" s="56">
        <f t="shared" si="94"/>
        <v>44772</v>
      </c>
      <c r="B225" s="607">
        <v>49.392000000000003</v>
      </c>
      <c r="C225" s="388"/>
      <c r="D225" s="391">
        <f t="shared" si="74"/>
        <v>50.614745707829364</v>
      </c>
      <c r="E225" s="383">
        <f t="shared" si="72"/>
        <v>51.485286251349898</v>
      </c>
      <c r="F225" s="383">
        <f t="shared" si="75"/>
        <v>51.485286251349898</v>
      </c>
      <c r="G225" s="110">
        <f t="shared" si="73"/>
        <v>0.87801492734352826</v>
      </c>
      <c r="H225" s="412" t="b">
        <f>Wh_hp&gt;='2021'!Maxi_hp</f>
        <v>1</v>
      </c>
      <c r="I225" s="379">
        <f>IF(H225,Wh_hp,'2021'!Maxi_hp)</f>
        <v>51.485286251349898</v>
      </c>
      <c r="J225" s="85">
        <f>IF(H225,An,'2021'!An_max)</f>
        <v>2022</v>
      </c>
      <c r="K225" s="197">
        <f t="shared" si="76"/>
        <v>44772</v>
      </c>
      <c r="L225" s="147">
        <f>IF(t&lt;Tvie,1-EXP((T0-t)*PertePVj)+'2021'!Pspv,1-EXP((T0-t)*PertePVj)+Pspv)</f>
        <v>2.4157894912434918E-2</v>
      </c>
      <c r="M225" s="832"/>
      <c r="N225" s="832"/>
      <c r="O225" s="48">
        <f>IF(t&lt;Tnet,'2021'!Resal+('2021'!Salim-'2021'!Resal)*(1-EXP(('2021'!Tnet-t)/('2021'!Tau_j))),Resal+(Salim-Resal)*(1-EXP((Tnet-t)/(Tau_j))))*Salcycl</f>
        <v>1.6908530706629062E-2</v>
      </c>
      <c r="P225" s="169">
        <f>(INDEX(Models!$BJ225:$BT225,,T225)*(1-R225)+INDEX(Models!$BJ225:$BT225,,T225+1)*R225-ERP_i)*Q225*Ramure*Pc/MaxiM</f>
        <v>1.9963849872836837E-20</v>
      </c>
      <c r="Q225" s="304">
        <f t="shared" si="77"/>
        <v>0.6</v>
      </c>
      <c r="R225" s="177">
        <f t="shared" si="78"/>
        <v>0.44239562500120783</v>
      </c>
      <c r="S225" s="799">
        <f t="shared" si="79"/>
        <v>0</v>
      </c>
      <c r="T225" s="176">
        <f t="shared" si="80"/>
        <v>6</v>
      </c>
      <c r="U225" s="250">
        <f t="shared" si="81"/>
        <v>0.44239562500120783</v>
      </c>
      <c r="V225" s="382">
        <f t="shared" si="82"/>
        <v>56.254168877786185</v>
      </c>
      <c r="W225" s="400"/>
      <c r="X225" s="157">
        <f t="shared" si="83"/>
        <v>44772</v>
      </c>
      <c r="Y225" s="383">
        <f t="shared" si="84"/>
        <v>44.213952096951402</v>
      </c>
      <c r="Z225" s="383">
        <f t="shared" si="85"/>
        <v>45.308510328096531</v>
      </c>
      <c r="AA225" s="384">
        <f t="shared" si="86"/>
        <v>51.485286251349898</v>
      </c>
      <c r="AB225" s="197">
        <f t="shared" si="87"/>
        <v>44772</v>
      </c>
      <c r="AC225" s="119">
        <f>IF(OR(t&lt;Tnet,NoTnet),'2021'!Resal_s+('2021'!Salim-'2021'!Resal_s)*(1-EXP(('2021'!Tnet_s-t)/'2021'!Tau_j)),Resal_s+(Salim-Resal_s)*(1-EXP((Tnet_s-t)/Tau_j)))*Salcycl</f>
        <v>0.11997167293774962</v>
      </c>
      <c r="AD225" s="230">
        <f>(INDEX(Models!$BJ225:$BT225,,AH225)*(1-AF225)+INDEX(Models!$BJ225:$BT225,,AH225+1)*AF225-ERP_i)*AE225*Ramure*Pc/MaxiM</f>
        <v>1.9963849872836837E-20</v>
      </c>
      <c r="AE225" s="304">
        <f t="shared" si="88"/>
        <v>0.6</v>
      </c>
      <c r="AF225" s="177">
        <f t="shared" si="89"/>
        <v>0.44239562500120783</v>
      </c>
      <c r="AG225" s="799">
        <f t="shared" si="95"/>
        <v>0</v>
      </c>
      <c r="AH225" s="176">
        <f t="shared" si="90"/>
        <v>6</v>
      </c>
      <c r="AI225" s="224">
        <f t="shared" si="91"/>
        <v>0.44239562500120783</v>
      </c>
      <c r="AJ225" s="264" t="b">
        <f t="shared" si="92"/>
        <v>0</v>
      </c>
      <c r="AK225" s="264" t="b">
        <f t="shared" si="93"/>
        <v>0</v>
      </c>
      <c r="AL225" s="264"/>
      <c r="AM225" s="264"/>
      <c r="AN225" s="75"/>
    </row>
    <row r="226" spans="1:40" s="6" customFormat="1" ht="11.25" x14ac:dyDescent="0.2">
      <c r="A226" s="56">
        <f t="shared" si="94"/>
        <v>44773</v>
      </c>
      <c r="B226" s="607">
        <v>56.161999999999999</v>
      </c>
      <c r="C226" s="388"/>
      <c r="D226" s="391">
        <f t="shared" si="74"/>
        <v>57.553446464072955</v>
      </c>
      <c r="E226" s="383">
        <f t="shared" si="72"/>
        <v>58.548108667999671</v>
      </c>
      <c r="F226" s="383">
        <f t="shared" si="75"/>
        <v>58.548108667999671</v>
      </c>
      <c r="G226" s="110">
        <f t="shared" si="73"/>
        <v>1.00037872980777</v>
      </c>
      <c r="H226" s="412" t="b">
        <f>Wh_hp&gt;='2021'!Maxi_hp</f>
        <v>1</v>
      </c>
      <c r="I226" s="379">
        <f>IF(H226,Wh_hp,'2021'!Maxi_hp)</f>
        <v>58.548108667999671</v>
      </c>
      <c r="J226" s="85">
        <f>IF(H226,An,'2021'!An_max)</f>
        <v>2022</v>
      </c>
      <c r="K226" s="197">
        <f t="shared" si="76"/>
        <v>44773</v>
      </c>
      <c r="L226" s="147">
        <f>IF(t&lt;Tvie,1-EXP((T0-t)*PertePVj)+'2021'!Pspv,1-EXP((T0-t)*PertePVj)+Pspv)</f>
        <v>2.4176596703753495E-2</v>
      </c>
      <c r="M226" s="832"/>
      <c r="N226" s="832"/>
      <c r="O226" s="48">
        <f>IF(t&lt;Tnet,'2021'!Resal+('2021'!Salim-'2021'!Resal)*(1-EXP(('2021'!Tnet-t)/('2021'!Tau_j))),Resal+(Salim-Resal)*(1-EXP((Tnet-t)/(Tau_j))))*Salcycl</f>
        <v>1.6988801629220892E-2</v>
      </c>
      <c r="P226" s="169">
        <f>(INDEX(Models!$BJ226:$BT226,,T226)*(1-R226)+INDEX(Models!$BJ226:$BT226,,T226+1)*R226-ERP_i)*Q226*Ramure*Pc/MaxiM</f>
        <v>-2.0000452082313129E-20</v>
      </c>
      <c r="Q226" s="304">
        <f t="shared" si="77"/>
        <v>0.6</v>
      </c>
      <c r="R226" s="177">
        <f t="shared" si="78"/>
        <v>0.44443509606668091</v>
      </c>
      <c r="S226" s="799">
        <f t="shared" si="79"/>
        <v>0</v>
      </c>
      <c r="T226" s="176">
        <f t="shared" si="80"/>
        <v>6</v>
      </c>
      <c r="U226" s="250">
        <f t="shared" si="81"/>
        <v>0.44443509606668091</v>
      </c>
      <c r="V226" s="382">
        <f t="shared" si="82"/>
        <v>56.140737829153899</v>
      </c>
      <c r="W226" s="400"/>
      <c r="X226" s="157">
        <f t="shared" si="83"/>
        <v>44773</v>
      </c>
      <c r="Y226" s="383">
        <f t="shared" si="84"/>
        <v>50.279156266876548</v>
      </c>
      <c r="Z226" s="383">
        <f t="shared" si="85"/>
        <v>51.524851829785938</v>
      </c>
      <c r="AA226" s="384">
        <f t="shared" si="86"/>
        <v>58.548108667999671</v>
      </c>
      <c r="AB226" s="197">
        <f t="shared" si="87"/>
        <v>44773</v>
      </c>
      <c r="AC226" s="119">
        <f>IF(OR(t&lt;Tnet,NoTnet),'2021'!Resal_s+('2021'!Salim-'2021'!Resal_s)*(1-EXP(('2021'!Tnet_s-t)/'2021'!Tau_j)),Resal_s+(Salim-Resal_s)*(1-EXP((Tnet_s-t)/Tau_j)))*Salcycl</f>
        <v>0.11995702334364899</v>
      </c>
      <c r="AD226" s="230">
        <f>(INDEX(Models!$BJ226:$BT226,,AH226)*(1-AF226)+INDEX(Models!$BJ226:$BT226,,AH226+1)*AF226-ERP_i)*AE226*Ramure*Pc/MaxiM</f>
        <v>-2.0000452082313129E-20</v>
      </c>
      <c r="AE226" s="304">
        <f t="shared" si="88"/>
        <v>0.6</v>
      </c>
      <c r="AF226" s="177">
        <f t="shared" si="89"/>
        <v>0.44443509606668091</v>
      </c>
      <c r="AG226" s="799">
        <f t="shared" si="95"/>
        <v>0</v>
      </c>
      <c r="AH226" s="176">
        <f t="shared" si="90"/>
        <v>6</v>
      </c>
      <c r="AI226" s="224">
        <f t="shared" si="91"/>
        <v>0.44443509606668091</v>
      </c>
      <c r="AJ226" s="264" t="b">
        <f t="shared" si="92"/>
        <v>0</v>
      </c>
      <c r="AK226" s="264" t="b">
        <f t="shared" si="93"/>
        <v>0</v>
      </c>
      <c r="AL226" s="264"/>
      <c r="AM226" s="264"/>
      <c r="AN226" s="75"/>
    </row>
    <row r="227" spans="1:40" s="6" customFormat="1" ht="11.25" x14ac:dyDescent="0.2">
      <c r="A227" s="56">
        <f t="shared" si="94"/>
        <v>44774</v>
      </c>
      <c r="B227" s="607">
        <v>55.801000000000002</v>
      </c>
      <c r="C227" s="388"/>
      <c r="D227" s="391">
        <f t="shared" si="74"/>
        <v>57.18459840728935</v>
      </c>
      <c r="E227" s="383">
        <f t="shared" si="72"/>
        <v>58.177629280464245</v>
      </c>
      <c r="F227" s="383">
        <f t="shared" si="75"/>
        <v>58.177629280464245</v>
      </c>
      <c r="G227" s="110">
        <f t="shared" si="73"/>
        <v>0.99598351824544606</v>
      </c>
      <c r="H227" s="412" t="b">
        <f>Wh_hp&gt;='2021'!Maxi_hp</f>
        <v>1</v>
      </c>
      <c r="I227" s="379">
        <f>IF(H227,Wh_hp,'2021'!Maxi_hp)</f>
        <v>58.177629280464245</v>
      </c>
      <c r="J227" s="85">
        <f>IF(H227,An,'2021'!An_max)</f>
        <v>2022</v>
      </c>
      <c r="K227" s="197">
        <f t="shared" si="76"/>
        <v>44774</v>
      </c>
      <c r="L227" s="147">
        <f>IF(t&lt;Tvie,1-EXP((T0-t)*PertePVj)+'2021'!Pspv,1-EXP((T0-t)*PertePVj)+Pspv)</f>
        <v>2.4195298136656662E-2</v>
      </c>
      <c r="M227" s="832"/>
      <c r="N227" s="832"/>
      <c r="O227" s="48">
        <f>IF(t&lt;Tnet,'2021'!Resal+('2021'!Salim-'2021'!Resal)*(1-EXP(('2021'!Tnet-t)/('2021'!Tau_j))),Resal+(Salim-Resal)*(1-EXP((Tnet-t)/(Tau_j))))*Salcycl</f>
        <v>1.7068947041270242E-2</v>
      </c>
      <c r="P227" s="169">
        <f>(INDEX(Models!$BJ227:$BT227,,T227)*(1-R227)+INDEX(Models!$BJ227:$BT227,,T227+1)*R227-ERP_i)*Q227*Ramure*Pc/MaxiM</f>
        <v>-2.0037036623249356E-20</v>
      </c>
      <c r="Q227" s="304">
        <f t="shared" si="77"/>
        <v>0.6</v>
      </c>
      <c r="R227" s="177">
        <f t="shared" si="78"/>
        <v>0.44641015079535012</v>
      </c>
      <c r="S227" s="799">
        <f t="shared" si="79"/>
        <v>0</v>
      </c>
      <c r="T227" s="176">
        <f t="shared" si="80"/>
        <v>6</v>
      </c>
      <c r="U227" s="250">
        <f t="shared" si="81"/>
        <v>0.44641015079535012</v>
      </c>
      <c r="V227" s="382">
        <f t="shared" si="82"/>
        <v>56.026027517303383</v>
      </c>
      <c r="W227" s="400"/>
      <c r="X227" s="157">
        <f t="shared" si="83"/>
        <v>44774</v>
      </c>
      <c r="Y227" s="383">
        <f t="shared" si="84"/>
        <v>49.960894676927715</v>
      </c>
      <c r="Z227" s="383">
        <f t="shared" si="85"/>
        <v>51.199686352735462</v>
      </c>
      <c r="AA227" s="384">
        <f t="shared" si="86"/>
        <v>58.177629280464245</v>
      </c>
      <c r="AB227" s="197">
        <f t="shared" si="87"/>
        <v>44774</v>
      </c>
      <c r="AC227" s="119">
        <f>IF(OR(t&lt;Tnet,NoTnet),'2021'!Resal_s+('2021'!Salim-'2021'!Resal_s)*(1-EXP(('2021'!Tnet_s-t)/'2021'!Tau_j)),Resal_s+(Salim-Resal_s)*(1-EXP((Tnet_s-t)/Tau_j)))*Salcycl</f>
        <v>0.11994202950569423</v>
      </c>
      <c r="AD227" s="230">
        <f>(INDEX(Models!$BJ227:$BT227,,AH227)*(1-AF227)+INDEX(Models!$BJ227:$BT227,,AH227+1)*AF227-ERP_i)*AE227*Ramure*Pc/MaxiM</f>
        <v>-2.0037036623249356E-20</v>
      </c>
      <c r="AE227" s="304">
        <f t="shared" si="88"/>
        <v>0.6</v>
      </c>
      <c r="AF227" s="177">
        <f t="shared" si="89"/>
        <v>0.44641015079535012</v>
      </c>
      <c r="AG227" s="799">
        <f t="shared" si="95"/>
        <v>0</v>
      </c>
      <c r="AH227" s="176">
        <f t="shared" si="90"/>
        <v>6</v>
      </c>
      <c r="AI227" s="224">
        <f t="shared" si="91"/>
        <v>0.44641015079535012</v>
      </c>
      <c r="AJ227" s="264" t="b">
        <f t="shared" si="92"/>
        <v>0</v>
      </c>
      <c r="AK227" s="264" t="b">
        <f t="shared" si="93"/>
        <v>0</v>
      </c>
      <c r="AL227" s="264"/>
      <c r="AM227" s="264"/>
      <c r="AN227" s="75"/>
    </row>
    <row r="228" spans="1:40" s="6" customFormat="1" ht="11.25" x14ac:dyDescent="0.2">
      <c r="A228" s="56">
        <f t="shared" si="94"/>
        <v>44775</v>
      </c>
      <c r="B228" s="607">
        <v>55.875</v>
      </c>
      <c r="C228" s="388"/>
      <c r="D228" s="391">
        <f t="shared" si="74"/>
        <v>57.261530658186629</v>
      </c>
      <c r="E228" s="383">
        <f t="shared" si="72"/>
        <v>58.260640586923572</v>
      </c>
      <c r="F228" s="383">
        <f t="shared" si="75"/>
        <v>58.260640586923572</v>
      </c>
      <c r="G228" s="110">
        <f t="shared" si="73"/>
        <v>0.99937515778508601</v>
      </c>
      <c r="H228" s="412" t="b">
        <f>Wh_hp&gt;='2021'!Maxi_hp</f>
        <v>1</v>
      </c>
      <c r="I228" s="379">
        <f>IF(H228,Wh_hp,'2021'!Maxi_hp)</f>
        <v>58.260640586923572</v>
      </c>
      <c r="J228" s="85">
        <f>IF(H228,An,'2021'!An_max)</f>
        <v>2022</v>
      </c>
      <c r="K228" s="197">
        <f t="shared" si="76"/>
        <v>44775</v>
      </c>
      <c r="L228" s="147">
        <f>IF(t&lt;Tvie,1-EXP((T0-t)*PertePVj)+'2021'!Pspv,1-EXP((T0-t)*PertePVj)+Pspv)</f>
        <v>2.4213999211150972E-2</v>
      </c>
      <c r="M228" s="832"/>
      <c r="N228" s="832"/>
      <c r="O228" s="48">
        <f>IF(t&lt;Tnet,'2021'!Resal+('2021'!Salim-'2021'!Resal)*(1-EXP(('2021'!Tnet-t)/('2021'!Tau_j))),Resal+(Salim-Resal)*(1-EXP((Tnet-t)/(Tau_j))))*Salcycl</f>
        <v>1.7148969161200598E-2</v>
      </c>
      <c r="P228" s="169">
        <f>(INDEX(Models!$BJ228:$BT228,,T228)*(1-R228)+INDEX(Models!$BJ228:$BT228,,T228+1)*R228-ERP_i)*Q228*Ramure*Pc/MaxiM</f>
        <v>-2.0073678288339543E-20</v>
      </c>
      <c r="Q228" s="304">
        <f t="shared" si="77"/>
        <v>0.6</v>
      </c>
      <c r="R228" s="177">
        <f t="shared" si="78"/>
        <v>0.44832220387998695</v>
      </c>
      <c r="S228" s="799">
        <f t="shared" si="79"/>
        <v>0</v>
      </c>
      <c r="T228" s="176">
        <f t="shared" si="80"/>
        <v>6</v>
      </c>
      <c r="U228" s="250">
        <f t="shared" si="81"/>
        <v>0.44832220387998695</v>
      </c>
      <c r="V228" s="382">
        <f t="shared" si="82"/>
        <v>55.909934887550833</v>
      </c>
      <c r="W228" s="400"/>
      <c r="X228" s="157">
        <f t="shared" si="83"/>
        <v>44775</v>
      </c>
      <c r="Y228" s="383">
        <f t="shared" si="84"/>
        <v>50.032093824651618</v>
      </c>
      <c r="Z228" s="383">
        <f t="shared" si="85"/>
        <v>51.273633546909323</v>
      </c>
      <c r="AA228" s="384">
        <f t="shared" si="86"/>
        <v>58.260640586923572</v>
      </c>
      <c r="AB228" s="197">
        <f t="shared" si="87"/>
        <v>44775</v>
      </c>
      <c r="AC228" s="119">
        <f>IF(OR(t&lt;Tnet,NoTnet),'2021'!Resal_s+('2021'!Salim-'2021'!Resal_s)*(1-EXP(('2021'!Tnet_s-t)/'2021'!Tau_j)),Resal_s+(Salim-Resal_s)*(1-EXP((Tnet_s-t)/Tau_j)))*Salcycl</f>
        <v>0.11992671157794405</v>
      </c>
      <c r="AD228" s="230">
        <f>(INDEX(Models!$BJ228:$BT228,,AH228)*(1-AF228)+INDEX(Models!$BJ228:$BT228,,AH228+1)*AF228-ERP_i)*AE228*Ramure*Pc/MaxiM</f>
        <v>-2.0073678288339543E-20</v>
      </c>
      <c r="AE228" s="304">
        <f t="shared" si="88"/>
        <v>0.6</v>
      </c>
      <c r="AF228" s="177">
        <f t="shared" si="89"/>
        <v>0.44832220387998695</v>
      </c>
      <c r="AG228" s="799">
        <f t="shared" si="95"/>
        <v>0</v>
      </c>
      <c r="AH228" s="176">
        <f t="shared" si="90"/>
        <v>6</v>
      </c>
      <c r="AI228" s="224">
        <f t="shared" si="91"/>
        <v>0.44832220387998695</v>
      </c>
      <c r="AJ228" s="264" t="b">
        <f t="shared" si="92"/>
        <v>0</v>
      </c>
      <c r="AK228" s="264" t="b">
        <f t="shared" si="93"/>
        <v>0</v>
      </c>
      <c r="AL228" s="264"/>
      <c r="AM228" s="264"/>
      <c r="AN228" s="75"/>
    </row>
    <row r="229" spans="1:40" s="6" customFormat="1" ht="11.25" x14ac:dyDescent="0.2">
      <c r="A229" s="56">
        <f t="shared" si="94"/>
        <v>44776</v>
      </c>
      <c r="B229" s="607">
        <v>55.219000000000001</v>
      </c>
      <c r="C229" s="388"/>
      <c r="D229" s="391">
        <f t="shared" si="74"/>
        <v>56.590336646742195</v>
      </c>
      <c r="E229" s="383">
        <f t="shared" si="72"/>
        <v>57.582416608335059</v>
      </c>
      <c r="F229" s="383">
        <f t="shared" si="75"/>
        <v>57.582416608335059</v>
      </c>
      <c r="G229" s="110">
        <f t="shared" si="73"/>
        <v>0.98972337826311496</v>
      </c>
      <c r="H229" s="412" t="b">
        <f>Wh_hp&gt;='2021'!Maxi_hp</f>
        <v>1</v>
      </c>
      <c r="I229" s="379">
        <f>IF(H229,Wh_hp,'2021'!Maxi_hp)</f>
        <v>57.582416608335059</v>
      </c>
      <c r="J229" s="85">
        <f>IF(H229,An,'2021'!An_max)</f>
        <v>2022</v>
      </c>
      <c r="K229" s="197">
        <f t="shared" si="76"/>
        <v>44776</v>
      </c>
      <c r="L229" s="147">
        <f>IF(t&lt;Tvie,1-EXP((T0-t)*PertePVj)+'2021'!Pspv,1-EXP((T0-t)*PertePVj)+Pspv)</f>
        <v>2.4232699927243528E-2</v>
      </c>
      <c r="M229" s="832"/>
      <c r="N229" s="832"/>
      <c r="O229" s="48">
        <f>IF(t&lt;Tnet,'2021'!Resal+('2021'!Salim-'2021'!Resal)*(1-EXP(('2021'!Tnet-t)/('2021'!Tau_j))),Resal+(Salim-Resal)*(1-EXP((Tnet-t)/(Tau_j))))*Salcycl</f>
        <v>1.7228869853462506E-2</v>
      </c>
      <c r="P229" s="169">
        <f>(INDEX(Models!$BJ229:$BT229,,T229)*(1-R229)+INDEX(Models!$BJ229:$BT229,,T229+1)*R229-ERP_i)*Q229*Ramure*Pc/MaxiM</f>
        <v>0</v>
      </c>
      <c r="Q229" s="304">
        <f t="shared" si="77"/>
        <v>0.6</v>
      </c>
      <c r="R229" s="177">
        <f t="shared" si="78"/>
        <v>0.45017268420270989</v>
      </c>
      <c r="S229" s="799">
        <f t="shared" si="79"/>
        <v>0</v>
      </c>
      <c r="T229" s="176">
        <f t="shared" si="80"/>
        <v>6</v>
      </c>
      <c r="U229" s="250">
        <f t="shared" si="81"/>
        <v>0.45017268420270989</v>
      </c>
      <c r="V229" s="382">
        <f t="shared" si="82"/>
        <v>55.792356948165562</v>
      </c>
      <c r="W229" s="400"/>
      <c r="X229" s="157">
        <f t="shared" si="83"/>
        <v>44776</v>
      </c>
      <c r="Y229" s="383">
        <f t="shared" si="84"/>
        <v>49.449590249405695</v>
      </c>
      <c r="Z229" s="383">
        <f t="shared" si="85"/>
        <v>50.677646448818862</v>
      </c>
      <c r="AA229" s="384">
        <f t="shared" si="86"/>
        <v>57.582416608335059</v>
      </c>
      <c r="AB229" s="197">
        <f t="shared" si="87"/>
        <v>44776</v>
      </c>
      <c r="AC229" s="119">
        <f>IF(OR(t&lt;Tnet,NoTnet),'2021'!Resal_s+('2021'!Salim-'2021'!Resal_s)*(1-EXP(('2021'!Tnet_s-t)/'2021'!Tau_j)),Resal_s+(Salim-Resal_s)*(1-EXP((Tnet_s-t)/Tau_j)))*Salcycl</f>
        <v>0.11991108685974698</v>
      </c>
      <c r="AD229" s="230">
        <f>(INDEX(Models!$BJ229:$BT229,,AH229)*(1-AF229)+INDEX(Models!$BJ229:$BT229,,AH229+1)*AF229-ERP_i)*AE229*Ramure*Pc/MaxiM</f>
        <v>0</v>
      </c>
      <c r="AE229" s="304">
        <f t="shared" si="88"/>
        <v>0.6</v>
      </c>
      <c r="AF229" s="177">
        <f t="shared" si="89"/>
        <v>0.45017268420270989</v>
      </c>
      <c r="AG229" s="799">
        <f t="shared" si="95"/>
        <v>0</v>
      </c>
      <c r="AH229" s="176">
        <f t="shared" si="90"/>
        <v>6</v>
      </c>
      <c r="AI229" s="224">
        <f t="shared" si="91"/>
        <v>0.45017268420270989</v>
      </c>
      <c r="AJ229" s="264" t="b">
        <f t="shared" si="92"/>
        <v>0</v>
      </c>
      <c r="AK229" s="264" t="b">
        <f t="shared" si="93"/>
        <v>0</v>
      </c>
      <c r="AL229" s="264"/>
      <c r="AM229" s="264"/>
      <c r="AN229" s="75"/>
    </row>
    <row r="230" spans="1:40" s="6" customFormat="1" ht="11.25" x14ac:dyDescent="0.2">
      <c r="A230" s="56">
        <f t="shared" si="94"/>
        <v>44777</v>
      </c>
      <c r="B230" s="607">
        <v>53.667000000000002</v>
      </c>
      <c r="C230" s="388"/>
      <c r="D230" s="391">
        <f t="shared" si="74"/>
        <v>55.00084757044182</v>
      </c>
      <c r="E230" s="383">
        <f t="shared" si="72"/>
        <v>55.96960592532713</v>
      </c>
      <c r="F230" s="383">
        <f t="shared" si="75"/>
        <v>55.96960592532713</v>
      </c>
      <c r="G230" s="110">
        <f t="shared" si="73"/>
        <v>0.9639648681948243</v>
      </c>
      <c r="H230" s="412" t="b">
        <f>Wh_hp&gt;='2021'!Maxi_hp</f>
        <v>1</v>
      </c>
      <c r="I230" s="379">
        <f>IF(H230,Wh_hp,'2021'!Maxi_hp)</f>
        <v>55.96960592532713</v>
      </c>
      <c r="J230" s="85">
        <f>IF(H230,An,'2021'!An_max)</f>
        <v>2022</v>
      </c>
      <c r="K230" s="197">
        <f t="shared" si="76"/>
        <v>44777</v>
      </c>
      <c r="L230" s="147">
        <f>IF(t&lt;Tvie,1-EXP((T0-t)*PertePVj)+'2021'!Pspv,1-EXP((T0-t)*PertePVj)+Pspv)</f>
        <v>2.4251400284941216E-2</v>
      </c>
      <c r="M230" s="832"/>
      <c r="N230" s="832"/>
      <c r="O230" s="48">
        <f>IF(t&lt;Tnet,'2021'!Resal+('2021'!Salim-'2021'!Resal)*(1-EXP(('2021'!Tnet-t)/('2021'!Tau_j))),Resal+(Salim-Resal)*(1-EXP((Tnet-t)/(Tau_j))))*Salcycl</f>
        <v>1.7308650630447519E-2</v>
      </c>
      <c r="P230" s="169">
        <f>(INDEX(Models!$BJ230:$BT230,,T230)*(1-R230)+INDEX(Models!$BJ230:$BT230,,T230+1)*R230-ERP_i)*Q230*Ramure*Pc/MaxiM</f>
        <v>0</v>
      </c>
      <c r="Q230" s="304">
        <f t="shared" si="77"/>
        <v>0.6</v>
      </c>
      <c r="R230" s="177">
        <f t="shared" si="78"/>
        <v>0.4519630307373867</v>
      </c>
      <c r="S230" s="799">
        <f t="shared" si="79"/>
        <v>0</v>
      </c>
      <c r="T230" s="176">
        <f t="shared" si="80"/>
        <v>6</v>
      </c>
      <c r="U230" s="250">
        <f t="shared" si="81"/>
        <v>0.4519630307373867</v>
      </c>
      <c r="V230" s="382">
        <f t="shared" si="82"/>
        <v>55.673190767314878</v>
      </c>
      <c r="W230" s="400"/>
      <c r="X230" s="157">
        <f t="shared" si="83"/>
        <v>44777</v>
      </c>
      <c r="Y230" s="383">
        <f t="shared" si="84"/>
        <v>48.064517865650409</v>
      </c>
      <c r="Z230" s="383">
        <f t="shared" si="85"/>
        <v>49.259120514942438</v>
      </c>
      <c r="AA230" s="384">
        <f t="shared" si="86"/>
        <v>55.96960592532713</v>
      </c>
      <c r="AB230" s="197">
        <f t="shared" si="87"/>
        <v>44777</v>
      </c>
      <c r="AC230" s="119">
        <f>IF(OR(t&lt;Tnet,NoTnet),'2021'!Resal_s+('2021'!Salim-'2021'!Resal_s)*(1-EXP(('2021'!Tnet_s-t)/'2021'!Tau_j)),Resal_s+(Salim-Resal_s)*(1-EXP((Tnet_s-t)/Tau_j)))*Salcycl</f>
        <v>0.11989516987733669</v>
      </c>
      <c r="AD230" s="230">
        <f>(INDEX(Models!$BJ230:$BT230,,AH230)*(1-AF230)+INDEX(Models!$BJ230:$BT230,,AH230+1)*AF230-ERP_i)*AE230*Ramure*Pc/MaxiM</f>
        <v>0</v>
      </c>
      <c r="AE230" s="304">
        <f t="shared" si="88"/>
        <v>0.6</v>
      </c>
      <c r="AF230" s="177">
        <f t="shared" si="89"/>
        <v>0.4519630307373867</v>
      </c>
      <c r="AG230" s="799">
        <f t="shared" si="95"/>
        <v>0</v>
      </c>
      <c r="AH230" s="176">
        <f t="shared" si="90"/>
        <v>6</v>
      </c>
      <c r="AI230" s="224">
        <f t="shared" si="91"/>
        <v>0.4519630307373867</v>
      </c>
      <c r="AJ230" s="264" t="b">
        <f t="shared" si="92"/>
        <v>0</v>
      </c>
      <c r="AK230" s="264" t="b">
        <f t="shared" si="93"/>
        <v>0</v>
      </c>
      <c r="AL230" s="264"/>
      <c r="AM230" s="264"/>
      <c r="AN230" s="75"/>
    </row>
    <row r="231" spans="1:40" s="6" customFormat="1" ht="11.25" x14ac:dyDescent="0.2">
      <c r="A231" s="56">
        <f t="shared" si="94"/>
        <v>44778</v>
      </c>
      <c r="B231" s="607">
        <v>44.216999999999999</v>
      </c>
      <c r="C231" s="388"/>
      <c r="D231" s="391">
        <f t="shared" si="74"/>
        <v>45.316844357112906</v>
      </c>
      <c r="E231" s="383">
        <f t="shared" si="72"/>
        <v>46.118771983715554</v>
      </c>
      <c r="F231" s="383">
        <f t="shared" si="75"/>
        <v>46.118771983715554</v>
      </c>
      <c r="G231" s="110">
        <f t="shared" si="73"/>
        <v>0.79595216320881057</v>
      </c>
      <c r="H231" s="412" t="b">
        <f>Wh_hp&gt;='2021'!Maxi_hp</f>
        <v>0</v>
      </c>
      <c r="I231" s="379">
        <f>IF(H231,Wh_hp,'2021'!Maxi_hp)</f>
        <v>54.752335956396053</v>
      </c>
      <c r="J231" s="85">
        <f>IF(H231,An,'2021'!An_max)</f>
        <v>2020</v>
      </c>
      <c r="K231" s="197">
        <f t="shared" si="76"/>
        <v>44778</v>
      </c>
      <c r="L231" s="147">
        <f>IF(t&lt;Tvie,1-EXP((T0-t)*PertePVj)+'2021'!Pspv,1-EXP((T0-t)*PertePVj)+Pspv)</f>
        <v>2.4270100284250695E-2</v>
      </c>
      <c r="M231" s="832"/>
      <c r="N231" s="832"/>
      <c r="O231" s="48">
        <f>IF(t&lt;Tnet,'2021'!Resal+('2021'!Salim-'2021'!Resal)*(1-EXP(('2021'!Tnet-t)/('2021'!Tau_j))),Resal+(Salim-Resal)*(1-EXP((Tnet-t)/(Tau_j))))*Salcycl</f>
        <v>1.7388312656846257E-2</v>
      </c>
      <c r="P231" s="169">
        <f>(INDEX(Models!$BJ231:$BT231,,T231)*(1-R231)+INDEX(Models!$BJ231:$BT231,,T231+1)*R231-ERP_i)*Q231*Ramure*Pc/MaxiM</f>
        <v>0</v>
      </c>
      <c r="Q231" s="304">
        <f t="shared" si="77"/>
        <v>0.6</v>
      </c>
      <c r="R231" s="177">
        <f t="shared" si="78"/>
        <v>0.45369468871102903</v>
      </c>
      <c r="S231" s="799">
        <f t="shared" si="79"/>
        <v>0</v>
      </c>
      <c r="T231" s="176">
        <f t="shared" si="80"/>
        <v>6</v>
      </c>
      <c r="U231" s="250">
        <f t="shared" si="81"/>
        <v>0.45369468871102903</v>
      </c>
      <c r="V231" s="382">
        <f t="shared" si="82"/>
        <v>55.552333474091057</v>
      </c>
      <c r="W231" s="400"/>
      <c r="X231" s="157">
        <f t="shared" si="83"/>
        <v>44778</v>
      </c>
      <c r="Y231" s="383">
        <f t="shared" si="84"/>
        <v>39.604975164791362</v>
      </c>
      <c r="Z231" s="383">
        <f t="shared" si="85"/>
        <v>40.590100986276148</v>
      </c>
      <c r="AA231" s="384">
        <f t="shared" si="86"/>
        <v>46.118771983715554</v>
      </c>
      <c r="AB231" s="197">
        <f t="shared" si="87"/>
        <v>44778</v>
      </c>
      <c r="AC231" s="119">
        <f>IF(OR(t&lt;Tnet,NoTnet),'2021'!Resal_s+('2021'!Salim-'2021'!Resal_s)*(1-EXP(('2021'!Tnet_s-t)/'2021'!Tau_j)),Resal_s+(Salim-Resal_s)*(1-EXP((Tnet_s-t)/Tau_j)))*Salcycl</f>
        <v>0.11987897247983029</v>
      </c>
      <c r="AD231" s="230">
        <f>(INDEX(Models!$BJ231:$BT231,,AH231)*(1-AF231)+INDEX(Models!$BJ231:$BT231,,AH231+1)*AF231-ERP_i)*AE231*Ramure*Pc/MaxiM</f>
        <v>0</v>
      </c>
      <c r="AE231" s="304">
        <f t="shared" si="88"/>
        <v>0.6</v>
      </c>
      <c r="AF231" s="177">
        <f t="shared" si="89"/>
        <v>0.45369468871102903</v>
      </c>
      <c r="AG231" s="799">
        <f t="shared" si="95"/>
        <v>0</v>
      </c>
      <c r="AH231" s="176">
        <f t="shared" si="90"/>
        <v>6</v>
      </c>
      <c r="AI231" s="224">
        <f t="shared" si="91"/>
        <v>0.45369468871102903</v>
      </c>
      <c r="AJ231" s="264" t="b">
        <f t="shared" si="92"/>
        <v>0</v>
      </c>
      <c r="AK231" s="264" t="b">
        <f t="shared" si="93"/>
        <v>0</v>
      </c>
      <c r="AL231" s="264"/>
      <c r="AM231" s="264"/>
      <c r="AN231" s="75"/>
    </row>
    <row r="232" spans="1:40" s="6" customFormat="1" ht="11.25" x14ac:dyDescent="0.2">
      <c r="A232" s="56">
        <f t="shared" si="94"/>
        <v>44779</v>
      </c>
      <c r="B232" s="607">
        <v>52.059000000000005</v>
      </c>
      <c r="C232" s="388"/>
      <c r="D232" s="391">
        <f t="shared" si="74"/>
        <v>53.354927150583016</v>
      </c>
      <c r="E232" s="383">
        <f t="shared" si="72"/>
        <v>54.303492783895877</v>
      </c>
      <c r="F232" s="383">
        <f t="shared" si="75"/>
        <v>54.303492783895877</v>
      </c>
      <c r="G232" s="110">
        <f t="shared" si="73"/>
        <v>0.93918994082779939</v>
      </c>
      <c r="H232" s="412" t="b">
        <f>Wh_hp&gt;='2021'!Maxi_hp</f>
        <v>0</v>
      </c>
      <c r="I232" s="379">
        <f>IF(H232,Wh_hp,'2021'!Maxi_hp)</f>
        <v>57.804553829679008</v>
      </c>
      <c r="J232" s="85">
        <f>IF(H232,An,'2021'!An_max)</f>
        <v>2020</v>
      </c>
      <c r="K232" s="197">
        <f t="shared" si="76"/>
        <v>44779</v>
      </c>
      <c r="L232" s="147">
        <f>IF(t&lt;Tvie,1-EXP((T0-t)*PertePVj)+'2021'!Pspv,1-EXP((T0-t)*PertePVj)+Pspv)</f>
        <v>2.4288799925178961E-2</v>
      </c>
      <c r="M232" s="832"/>
      <c r="N232" s="832"/>
      <c r="O232" s="48">
        <f>IF(t&lt;Tnet,'2021'!Resal+('2021'!Salim-'2021'!Resal)*(1-EXP(('2021'!Tnet-t)/('2021'!Tau_j))),Resal+(Salim-Resal)*(1-EXP((Tnet-t)/(Tau_j))))*Salcycl</f>
        <v>1.746785675624471E-2</v>
      </c>
      <c r="P232" s="169">
        <f>(INDEX(Models!$BJ232:$BT232,,T232)*(1-R232)+INDEX(Models!$BJ232:$BT232,,T232+1)*R232-ERP_i)*Q232*Ramure*Pc/MaxiM</f>
        <v>0</v>
      </c>
      <c r="Q232" s="304">
        <f t="shared" si="77"/>
        <v>0.6</v>
      </c>
      <c r="R232" s="177">
        <f t="shared" si="78"/>
        <v>0.45536910602056058</v>
      </c>
      <c r="S232" s="799">
        <f t="shared" si="79"/>
        <v>0</v>
      </c>
      <c r="T232" s="176">
        <f t="shared" si="80"/>
        <v>6</v>
      </c>
      <c r="U232" s="250">
        <f t="shared" si="81"/>
        <v>0.45536910602056058</v>
      </c>
      <c r="V232" s="382">
        <f t="shared" si="82"/>
        <v>55.429682258005606</v>
      </c>
      <c r="W232" s="400"/>
      <c r="X232" s="157">
        <f t="shared" si="83"/>
        <v>44779</v>
      </c>
      <c r="Y232" s="383">
        <f t="shared" si="84"/>
        <v>46.633668142108768</v>
      </c>
      <c r="Z232" s="383">
        <f t="shared" si="85"/>
        <v>47.79454016570962</v>
      </c>
      <c r="AA232" s="384">
        <f t="shared" si="86"/>
        <v>54.303492783895877</v>
      </c>
      <c r="AB232" s="197">
        <f t="shared" si="87"/>
        <v>44779</v>
      </c>
      <c r="AC232" s="119">
        <f>IF(OR(t&lt;Tnet,NoTnet),'2021'!Resal_s+('2021'!Salim-'2021'!Resal_s)*(1-EXP(('2021'!Tnet_s-t)/'2021'!Tau_j)),Resal_s+(Salim-Resal_s)*(1-EXP((Tnet_s-t)/Tau_j)))*Salcycl</f>
        <v>0.1198625039477486</v>
      </c>
      <c r="AD232" s="230">
        <f>(INDEX(Models!$BJ232:$BT232,,AH232)*(1-AF232)+INDEX(Models!$BJ232:$BT232,,AH232+1)*AF232-ERP_i)*AE232*Ramure*Pc/MaxiM</f>
        <v>0</v>
      </c>
      <c r="AE232" s="304">
        <f t="shared" si="88"/>
        <v>0.6</v>
      </c>
      <c r="AF232" s="177">
        <f t="shared" si="89"/>
        <v>0.45536910602056058</v>
      </c>
      <c r="AG232" s="799">
        <f t="shared" si="95"/>
        <v>0</v>
      </c>
      <c r="AH232" s="176">
        <f t="shared" si="90"/>
        <v>6</v>
      </c>
      <c r="AI232" s="224">
        <f t="shared" si="91"/>
        <v>0.45536910602056058</v>
      </c>
      <c r="AJ232" s="264" t="b">
        <f t="shared" si="92"/>
        <v>0</v>
      </c>
      <c r="AK232" s="264" t="b">
        <f t="shared" si="93"/>
        <v>0</v>
      </c>
      <c r="AL232" s="264"/>
      <c r="AM232" s="264"/>
      <c r="AN232" s="75"/>
    </row>
    <row r="233" spans="1:40" s="6" customFormat="1" ht="11.25" x14ac:dyDescent="0.2">
      <c r="A233" s="56">
        <f t="shared" si="94"/>
        <v>44780</v>
      </c>
      <c r="B233" s="607">
        <v>54.572000000000003</v>
      </c>
      <c r="C233" s="388"/>
      <c r="D233" s="391">
        <f t="shared" si="74"/>
        <v>55.931556259464195</v>
      </c>
      <c r="E233" s="383">
        <f t="shared" ref="E233:E296" si="96">Wh_pvt/(1-Psa)</f>
        <v>56.930532447557674</v>
      </c>
      <c r="F233" s="383">
        <f t="shared" si="75"/>
        <v>56.930532447557674</v>
      </c>
      <c r="G233" s="110">
        <f t="shared" ref="G233:G296" si="97">+Wh_hp/MaxiM</f>
        <v>0.98674321419123134</v>
      </c>
      <c r="H233" s="412" t="b">
        <f>Wh_hp&gt;='2021'!Maxi_hp</f>
        <v>1</v>
      </c>
      <c r="I233" s="379">
        <f>IF(H233,Wh_hp,'2021'!Maxi_hp)</f>
        <v>56.930532447557674</v>
      </c>
      <c r="J233" s="85">
        <f>IF(H233,An,'2021'!An_max)</f>
        <v>2022</v>
      </c>
      <c r="K233" s="197">
        <f t="shared" si="76"/>
        <v>44780</v>
      </c>
      <c r="L233" s="147">
        <f>IF(t&lt;Tvie,1-EXP((T0-t)*PertePVj)+'2021'!Pspv,1-EXP((T0-t)*PertePVj)+Pspv)</f>
        <v>2.4307499207732897E-2</v>
      </c>
      <c r="M233" s="832"/>
      <c r="N233" s="832"/>
      <c r="O233" s="48">
        <f>IF(t&lt;Tnet,'2021'!Resal+('2021'!Salim-'2021'!Resal)*(1-EXP(('2021'!Tnet-t)/('2021'!Tau_j))),Resal+(Salim-Resal)*(1-EXP((Tnet-t)/(Tau_j))))*Salcycl</f>
        <v>1.7547283419730879E-2</v>
      </c>
      <c r="P233" s="169">
        <f>(INDEX(Models!$BJ233:$BT233,,T233)*(1-R233)+INDEX(Models!$BJ233:$BT233,,T233+1)*R233-ERP_i)*Q233*Ramure*Pc/MaxiM</f>
        <v>0</v>
      </c>
      <c r="Q233" s="304">
        <f t="shared" si="77"/>
        <v>0.6</v>
      </c>
      <c r="R233" s="177">
        <f t="shared" si="78"/>
        <v>0.45698772990012415</v>
      </c>
      <c r="S233" s="799">
        <f t="shared" si="79"/>
        <v>0</v>
      </c>
      <c r="T233" s="176">
        <f t="shared" si="80"/>
        <v>6</v>
      </c>
      <c r="U233" s="250">
        <f t="shared" si="81"/>
        <v>0.45698772990012415</v>
      </c>
      <c r="V233" s="382">
        <f t="shared" si="82"/>
        <v>55.305168776589042</v>
      </c>
      <c r="W233" s="400"/>
      <c r="X233" s="157">
        <f t="shared" si="83"/>
        <v>44780</v>
      </c>
      <c r="Y233" s="383">
        <f t="shared" si="84"/>
        <v>48.889657250946321</v>
      </c>
      <c r="Z233" s="383">
        <f t="shared" si="85"/>
        <v>50.107648886557683</v>
      </c>
      <c r="AA233" s="384">
        <f t="shared" si="86"/>
        <v>56.930532447557674</v>
      </c>
      <c r="AB233" s="197">
        <f t="shared" si="87"/>
        <v>44780</v>
      </c>
      <c r="AC233" s="119">
        <f>IF(OR(t&lt;Tnet,NoTnet),'2021'!Resal_s+('2021'!Salim-'2021'!Resal_s)*(1-EXP(('2021'!Tnet_s-t)/'2021'!Tau_j)),Resal_s+(Salim-Resal_s)*(1-EXP((Tnet_s-t)/Tau_j)))*Salcycl</f>
        <v>0.11984577111210021</v>
      </c>
      <c r="AD233" s="230">
        <f>(INDEX(Models!$BJ233:$BT233,,AH233)*(1-AF233)+INDEX(Models!$BJ233:$BT233,,AH233+1)*AF233-ERP_i)*AE233*Ramure*Pc/MaxiM</f>
        <v>0</v>
      </c>
      <c r="AE233" s="304">
        <f t="shared" si="88"/>
        <v>0.6</v>
      </c>
      <c r="AF233" s="177">
        <f t="shared" si="89"/>
        <v>0.45698772990012415</v>
      </c>
      <c r="AG233" s="799">
        <f t="shared" si="95"/>
        <v>0</v>
      </c>
      <c r="AH233" s="176">
        <f t="shared" si="90"/>
        <v>6</v>
      </c>
      <c r="AI233" s="224">
        <f t="shared" si="91"/>
        <v>0.45698772990012415</v>
      </c>
      <c r="AJ233" s="264" t="b">
        <f t="shared" si="92"/>
        <v>0</v>
      </c>
      <c r="AK233" s="264" t="b">
        <f t="shared" si="93"/>
        <v>0</v>
      </c>
      <c r="AL233" s="264"/>
      <c r="AM233" s="264"/>
      <c r="AN233" s="75"/>
    </row>
    <row r="234" spans="1:40" s="6" customFormat="1" ht="11.25" x14ac:dyDescent="0.2">
      <c r="A234" s="56">
        <f t="shared" si="94"/>
        <v>44781</v>
      </c>
      <c r="B234" s="607">
        <v>55.346000000000004</v>
      </c>
      <c r="C234" s="388"/>
      <c r="D234" s="391">
        <f t="shared" si="74"/>
        <v>56.725926117962175</v>
      </c>
      <c r="E234" s="383">
        <f t="shared" si="96"/>
        <v>57.743751717164187</v>
      </c>
      <c r="F234" s="383">
        <f t="shared" si="75"/>
        <v>57.743751717164187</v>
      </c>
      <c r="G234" s="110">
        <f t="shared" si="97"/>
        <v>1.0030290157698138</v>
      </c>
      <c r="H234" s="412" t="b">
        <f>Wh_hp&gt;='2021'!Maxi_hp</f>
        <v>1</v>
      </c>
      <c r="I234" s="379">
        <f>IF(H234,Wh_hp,'2021'!Maxi_hp)</f>
        <v>57.743751717164187</v>
      </c>
      <c r="J234" s="85">
        <f>IF(H234,An,'2021'!An_max)</f>
        <v>2022</v>
      </c>
      <c r="K234" s="197">
        <f t="shared" si="76"/>
        <v>44781</v>
      </c>
      <c r="L234" s="147">
        <f>IF(t&lt;Tvie,1-EXP((T0-t)*PertePVj)+'2021'!Pspv,1-EXP((T0-t)*PertePVj)+Pspv)</f>
        <v>2.4326198131919385E-2</v>
      </c>
      <c r="M234" s="832"/>
      <c r="N234" s="832"/>
      <c r="O234" s="48">
        <f>IF(t&lt;Tnet,'2021'!Resal+('2021'!Salim-'2021'!Resal)*(1-EXP(('2021'!Tnet-t)/('2021'!Tau_j))),Resal+(Salim-Resal)*(1-EXP((Tnet-t)/(Tau_j))))*Salcycl</f>
        <v>1.7626592816265996E-2</v>
      </c>
      <c r="P234" s="169">
        <f>(INDEX(Models!$BJ234:$BT234,,T234)*(1-R234)+INDEX(Models!$BJ234:$BT234,,T234+1)*R234-ERP_i)*Q234*Ramure*Pc/MaxiM</f>
        <v>-2.0298310050297815E-20</v>
      </c>
      <c r="Q234" s="304">
        <f t="shared" si="77"/>
        <v>0.6</v>
      </c>
      <c r="R234" s="177">
        <f t="shared" si="78"/>
        <v>0.45855200383304567</v>
      </c>
      <c r="S234" s="799">
        <f t="shared" si="79"/>
        <v>0</v>
      </c>
      <c r="T234" s="176">
        <f t="shared" si="80"/>
        <v>6</v>
      </c>
      <c r="U234" s="250">
        <f t="shared" si="81"/>
        <v>0.45855200383304567</v>
      </c>
      <c r="V234" s="382">
        <f t="shared" si="82"/>
        <v>55.178862355764004</v>
      </c>
      <c r="W234" s="400"/>
      <c r="X234" s="157">
        <f t="shared" si="83"/>
        <v>44781</v>
      </c>
      <c r="Y234" s="383">
        <f t="shared" si="84"/>
        <v>49.588024339733558</v>
      </c>
      <c r="Z234" s="383">
        <f t="shared" si="85"/>
        <v>50.824388483927216</v>
      </c>
      <c r="AA234" s="384">
        <f t="shared" si="86"/>
        <v>57.743751717164187</v>
      </c>
      <c r="AB234" s="197">
        <f t="shared" si="87"/>
        <v>44781</v>
      </c>
      <c r="AC234" s="119">
        <f>IF(OR(t&lt;Tnet,NoTnet),'2021'!Resal_s+('2021'!Salim-'2021'!Resal_s)*(1-EXP(('2021'!Tnet_s-t)/'2021'!Tau_j)),Resal_s+(Salim-Resal_s)*(1-EXP((Tnet_s-t)/Tau_j)))*Salcycl</f>
        <v>0.11982877848202245</v>
      </c>
      <c r="AD234" s="230">
        <f>(INDEX(Models!$BJ234:$BT234,,AH234)*(1-AF234)+INDEX(Models!$BJ234:$BT234,,AH234+1)*AF234-ERP_i)*AE234*Ramure*Pc/MaxiM</f>
        <v>-2.0298310050297815E-20</v>
      </c>
      <c r="AE234" s="304">
        <f t="shared" si="88"/>
        <v>0.6</v>
      </c>
      <c r="AF234" s="177">
        <f t="shared" si="89"/>
        <v>0.45855200383304567</v>
      </c>
      <c r="AG234" s="799">
        <f t="shared" si="95"/>
        <v>0</v>
      </c>
      <c r="AH234" s="176">
        <f t="shared" si="90"/>
        <v>6</v>
      </c>
      <c r="AI234" s="224">
        <f t="shared" si="91"/>
        <v>0.45855200383304567</v>
      </c>
      <c r="AJ234" s="264" t="b">
        <f t="shared" si="92"/>
        <v>0</v>
      </c>
      <c r="AK234" s="264" t="b">
        <f t="shared" si="93"/>
        <v>0</v>
      </c>
      <c r="AL234" s="264"/>
      <c r="AM234" s="264"/>
      <c r="AN234" s="75"/>
    </row>
    <row r="235" spans="1:40" s="6" customFormat="1" ht="11.25" x14ac:dyDescent="0.2">
      <c r="A235" s="56">
        <f t="shared" si="94"/>
        <v>44782</v>
      </c>
      <c r="B235" s="607">
        <v>53.151000000000003</v>
      </c>
      <c r="C235" s="388"/>
      <c r="D235" s="391">
        <f t="shared" si="74"/>
        <v>54.477242849550287</v>
      </c>
      <c r="E235" s="383">
        <f t="shared" si="96"/>
        <v>55.459191357154921</v>
      </c>
      <c r="F235" s="383">
        <f t="shared" si="75"/>
        <v>55.459191357154921</v>
      </c>
      <c r="G235" s="110">
        <f t="shared" si="97"/>
        <v>0.96548888644004527</v>
      </c>
      <c r="H235" s="412" t="b">
        <f>Wh_hp&gt;='2021'!Maxi_hp</f>
        <v>0</v>
      </c>
      <c r="I235" s="379">
        <f>IF(H235,Wh_hp,'2021'!Maxi_hp)</f>
        <v>56.250511188466319</v>
      </c>
      <c r="J235" s="85">
        <f>IF(H235,An,'2021'!An_max)</f>
        <v>2021</v>
      </c>
      <c r="K235" s="197">
        <f t="shared" si="76"/>
        <v>44782</v>
      </c>
      <c r="L235" s="147">
        <f>IF(t&lt;Tvie,1-EXP((T0-t)*PertePVj)+'2021'!Pspv,1-EXP((T0-t)*PertePVj)+Pspv)</f>
        <v>2.43448966977452E-2</v>
      </c>
      <c r="M235" s="832"/>
      <c r="N235" s="832"/>
      <c r="O235" s="48">
        <f>IF(t&lt;Tnet,'2021'!Resal+('2021'!Salim-'2021'!Resal)*(1-EXP(('2021'!Tnet-t)/('2021'!Tau_j))),Resal+(Salim-Resal)*(1-EXP((Tnet-t)/(Tau_j))))*Salcycl</f>
        <v>1.7705784804558863E-2</v>
      </c>
      <c r="P235" s="169">
        <f>(INDEX(Models!$BJ235:$BT235,,T235)*(1-R235)+INDEX(Models!$BJ235:$BT235,,T235+1)*R235-ERP_i)*Q235*Ramure*Pc/MaxiM</f>
        <v>0</v>
      </c>
      <c r="Q235" s="304">
        <f t="shared" si="77"/>
        <v>0.6</v>
      </c>
      <c r="R235" s="177">
        <f t="shared" si="78"/>
        <v>0.46006336470167397</v>
      </c>
      <c r="S235" s="799">
        <f t="shared" si="79"/>
        <v>0</v>
      </c>
      <c r="T235" s="176">
        <f t="shared" si="80"/>
        <v>6</v>
      </c>
      <c r="U235" s="250">
        <f t="shared" si="81"/>
        <v>0.46006336470167397</v>
      </c>
      <c r="V235" s="382">
        <f t="shared" si="82"/>
        <v>55.050866712695786</v>
      </c>
      <c r="W235" s="400"/>
      <c r="X235" s="157">
        <f t="shared" si="83"/>
        <v>44782</v>
      </c>
      <c r="Y235" s="383">
        <f t="shared" si="84"/>
        <v>47.626155922971357</v>
      </c>
      <c r="Z235" s="383">
        <f t="shared" si="85"/>
        <v>48.814540877993977</v>
      </c>
      <c r="AA235" s="384">
        <f t="shared" si="86"/>
        <v>55.459191357154921</v>
      </c>
      <c r="AB235" s="197">
        <f t="shared" si="87"/>
        <v>44782</v>
      </c>
      <c r="AC235" s="119">
        <f>IF(OR(t&lt;Tnet,NoTnet),'2021'!Resal_s+('2021'!Salim-'2021'!Resal_s)*(1-EXP(('2021'!Tnet_s-t)/'2021'!Tau_j)),Resal_s+(Salim-Resal_s)*(1-EXP((Tnet_s-t)/Tau_j)))*Salcycl</f>
        <v>0.11981152837894206</v>
      </c>
      <c r="AD235" s="230">
        <f>(INDEX(Models!$BJ235:$BT235,,AH235)*(1-AF235)+INDEX(Models!$BJ235:$BT235,,AH235+1)*AF235-ERP_i)*AE235*Ramure*Pc/MaxiM</f>
        <v>0</v>
      </c>
      <c r="AE235" s="304">
        <f t="shared" si="88"/>
        <v>0.6</v>
      </c>
      <c r="AF235" s="177">
        <f t="shared" si="89"/>
        <v>0.46006336470167397</v>
      </c>
      <c r="AG235" s="799">
        <f t="shared" si="95"/>
        <v>0</v>
      </c>
      <c r="AH235" s="176">
        <f t="shared" si="90"/>
        <v>6</v>
      </c>
      <c r="AI235" s="224">
        <f t="shared" si="91"/>
        <v>0.46006336470167397</v>
      </c>
      <c r="AJ235" s="264" t="b">
        <f t="shared" si="92"/>
        <v>0</v>
      </c>
      <c r="AK235" s="264" t="b">
        <f t="shared" si="93"/>
        <v>0</v>
      </c>
      <c r="AL235" s="264"/>
      <c r="AM235" s="264"/>
      <c r="AN235" s="75"/>
    </row>
    <row r="236" spans="1:40" s="6" customFormat="1" ht="11.25" x14ac:dyDescent="0.2">
      <c r="A236" s="56">
        <f t="shared" si="94"/>
        <v>44783</v>
      </c>
      <c r="B236" s="607">
        <v>51.194000000000003</v>
      </c>
      <c r="C236" s="388"/>
      <c r="D236" s="391">
        <f t="shared" si="74"/>
        <v>52.47241670428086</v>
      </c>
      <c r="E236" s="383">
        <f t="shared" si="96"/>
        <v>53.422528844324901</v>
      </c>
      <c r="F236" s="383">
        <f t="shared" si="75"/>
        <v>53.422528844324901</v>
      </c>
      <c r="G236" s="110">
        <f t="shared" si="97"/>
        <v>0.93213404417001011</v>
      </c>
      <c r="H236" s="412" t="b">
        <f>Wh_hp&gt;='2021'!Maxi_hp</f>
        <v>0</v>
      </c>
      <c r="I236" s="379">
        <f>IF(H236,Wh_hp,'2021'!Maxi_hp)</f>
        <v>54.321267794225101</v>
      </c>
      <c r="J236" s="85">
        <f>IF(H236,An,'2021'!An_max)</f>
        <v>2021</v>
      </c>
      <c r="K236" s="197">
        <f t="shared" si="76"/>
        <v>44783</v>
      </c>
      <c r="L236" s="147">
        <f>IF(t&lt;Tvie,1-EXP((T0-t)*PertePVj)+'2021'!Pspv,1-EXP((T0-t)*PertePVj)+Pspv)</f>
        <v>2.4363594905217334E-2</v>
      </c>
      <c r="M236" s="832"/>
      <c r="N236" s="832"/>
      <c r="O236" s="48">
        <f>IF(t&lt;Tnet,'2021'!Resal+('2021'!Salim-'2021'!Resal)*(1-EXP(('2021'!Tnet-t)/('2021'!Tau_j))),Resal+(Salim-Resal)*(1-EXP((Tnet-t)/(Tau_j))))*Salcycl</f>
        <v>1.7784858946170427E-2</v>
      </c>
      <c r="P236" s="169">
        <f>(INDEX(Models!$BJ236:$BT236,,T236)*(1-R236)+INDEX(Models!$BJ236:$BT236,,T236+1)*R236-ERP_i)*Q236*Ramure*Pc/MaxiM</f>
        <v>2.0375725760659744E-20</v>
      </c>
      <c r="Q236" s="304">
        <f t="shared" si="77"/>
        <v>0.6</v>
      </c>
      <c r="R236" s="177">
        <f t="shared" si="78"/>
        <v>0.46152324016757112</v>
      </c>
      <c r="S236" s="799">
        <f t="shared" si="79"/>
        <v>0</v>
      </c>
      <c r="T236" s="176">
        <f t="shared" si="80"/>
        <v>6</v>
      </c>
      <c r="U236" s="250">
        <f t="shared" si="81"/>
        <v>0.46152324016757112</v>
      </c>
      <c r="V236" s="382">
        <f t="shared" si="82"/>
        <v>54.921285538480809</v>
      </c>
      <c r="W236" s="400"/>
      <c r="X236" s="157">
        <f t="shared" si="83"/>
        <v>44783</v>
      </c>
      <c r="Y236" s="383">
        <f t="shared" si="84"/>
        <v>45.877184133741473</v>
      </c>
      <c r="Z236" s="383">
        <f t="shared" si="85"/>
        <v>47.022829298056507</v>
      </c>
      <c r="AA236" s="384">
        <f t="shared" si="86"/>
        <v>53.422528844324901</v>
      </c>
      <c r="AB236" s="197">
        <f t="shared" si="87"/>
        <v>44783</v>
      </c>
      <c r="AC236" s="119">
        <f>IF(OR(t&lt;Tnet,NoTnet),'2021'!Resal_s+('2021'!Salim-'2021'!Resal_s)*(1-EXP(('2021'!Tnet_s-t)/'2021'!Tau_j)),Resal_s+(Salim-Resal_s)*(1-EXP((Tnet_s-t)/Tau_j)))*Salcycl</f>
        <v>0.11979402107521608</v>
      </c>
      <c r="AD236" s="230">
        <f>(INDEX(Models!$BJ236:$BT236,,AH236)*(1-AF236)+INDEX(Models!$BJ236:$BT236,,AH236+1)*AF236-ERP_i)*AE236*Ramure*Pc/MaxiM</f>
        <v>2.0375725760659744E-20</v>
      </c>
      <c r="AE236" s="304">
        <f t="shared" si="88"/>
        <v>0.6</v>
      </c>
      <c r="AF236" s="177">
        <f t="shared" si="89"/>
        <v>0.46152324016757112</v>
      </c>
      <c r="AG236" s="799">
        <f t="shared" si="95"/>
        <v>0</v>
      </c>
      <c r="AH236" s="176">
        <f t="shared" si="90"/>
        <v>6</v>
      </c>
      <c r="AI236" s="224">
        <f t="shared" si="91"/>
        <v>0.46152324016757112</v>
      </c>
      <c r="AJ236" s="264" t="b">
        <f t="shared" si="92"/>
        <v>0</v>
      </c>
      <c r="AK236" s="264" t="b">
        <f t="shared" si="93"/>
        <v>0</v>
      </c>
      <c r="AL236" s="264"/>
      <c r="AM236" s="264"/>
      <c r="AN236" s="75"/>
    </row>
    <row r="237" spans="1:40" s="6" customFormat="1" ht="11.25" x14ac:dyDescent="0.2">
      <c r="A237" s="56">
        <f t="shared" si="94"/>
        <v>44784</v>
      </c>
      <c r="B237" s="607">
        <v>49.628999999999998</v>
      </c>
      <c r="C237" s="388"/>
      <c r="D237" s="391">
        <f t="shared" si="74"/>
        <v>50.869310418843767</v>
      </c>
      <c r="E237" s="383">
        <f t="shared" si="96"/>
        <v>51.794558810558392</v>
      </c>
      <c r="F237" s="383">
        <f t="shared" si="75"/>
        <v>51.794558810558392</v>
      </c>
      <c r="G237" s="110">
        <f t="shared" si="97"/>
        <v>0.90580030045709481</v>
      </c>
      <c r="H237" s="412" t="b">
        <f>Wh_hp&gt;='2021'!Maxi_hp</f>
        <v>0</v>
      </c>
      <c r="I237" s="379">
        <f>IF(H237,Wh_hp,'2021'!Maxi_hp)</f>
        <v>52.572729783905686</v>
      </c>
      <c r="J237" s="85">
        <f>IF(H237,An,'2021'!An_max)</f>
        <v>2021</v>
      </c>
      <c r="K237" s="197">
        <f t="shared" si="76"/>
        <v>44784</v>
      </c>
      <c r="L237" s="147">
        <f>IF(t&lt;Tvie,1-EXP((T0-t)*PertePVj)+'2021'!Pspv,1-EXP((T0-t)*PertePVj)+Pspv)</f>
        <v>2.4382292754342449E-2</v>
      </c>
      <c r="M237" s="832"/>
      <c r="N237" s="832"/>
      <c r="O237" s="48">
        <f>IF(t&lt;Tnet,'2021'!Resal+('2021'!Salim-'2021'!Resal)*(1-EXP(('2021'!Tnet-t)/('2021'!Tau_j))),Resal+(Salim-Resal)*(1-EXP((Tnet-t)/(Tau_j))))*Salcycl</f>
        <v>1.7863814519567141E-2</v>
      </c>
      <c r="P237" s="169">
        <f>(INDEX(Models!$BJ237:$BT237,,T237)*(1-R237)+INDEX(Models!$BJ237:$BT237,,T237+1)*R237-ERP_i)*Q237*Ramure*Pc/MaxiM</f>
        <v>0</v>
      </c>
      <c r="Q237" s="304">
        <f t="shared" si="77"/>
        <v>0.6</v>
      </c>
      <c r="R237" s="177">
        <f t="shared" si="78"/>
        <v>0.46293304627391363</v>
      </c>
      <c r="S237" s="799">
        <f t="shared" si="79"/>
        <v>0</v>
      </c>
      <c r="T237" s="176">
        <f t="shared" si="80"/>
        <v>6</v>
      </c>
      <c r="U237" s="250">
        <f t="shared" si="81"/>
        <v>0.46293304627391363</v>
      </c>
      <c r="V237" s="382">
        <f t="shared" si="82"/>
        <v>54.790222497117377</v>
      </c>
      <c r="W237" s="400"/>
      <c r="X237" s="157">
        <f t="shared" si="83"/>
        <v>44784</v>
      </c>
      <c r="Y237" s="383">
        <f t="shared" si="84"/>
        <v>44.479192284774783</v>
      </c>
      <c r="Z237" s="383">
        <f t="shared" si="85"/>
        <v>45.590800530207126</v>
      </c>
      <c r="AA237" s="384">
        <f t="shared" si="86"/>
        <v>51.794558810558392</v>
      </c>
      <c r="AB237" s="197">
        <f t="shared" si="87"/>
        <v>44784</v>
      </c>
      <c r="AC237" s="119">
        <f>IF(OR(t&lt;Tnet,NoTnet),'2021'!Resal_s+('2021'!Salim-'2021'!Resal_s)*(1-EXP(('2021'!Tnet_s-t)/'2021'!Tau_j)),Resal_s+(Salim-Resal_s)*(1-EXP((Tnet_s-t)/Tau_j)))*Salcycl</f>
        <v>0.11977625493523113</v>
      </c>
      <c r="AD237" s="230">
        <f>(INDEX(Models!$BJ237:$BT237,,AH237)*(1-AF237)+INDEX(Models!$BJ237:$BT237,,AH237+1)*AF237-ERP_i)*AE237*Ramure*Pc/MaxiM</f>
        <v>0</v>
      </c>
      <c r="AE237" s="304">
        <f t="shared" si="88"/>
        <v>0.6</v>
      </c>
      <c r="AF237" s="177">
        <f t="shared" si="89"/>
        <v>0.46293304627391363</v>
      </c>
      <c r="AG237" s="799">
        <f t="shared" si="95"/>
        <v>0</v>
      </c>
      <c r="AH237" s="176">
        <f t="shared" si="90"/>
        <v>6</v>
      </c>
      <c r="AI237" s="224">
        <f t="shared" si="91"/>
        <v>0.46293304627391363</v>
      </c>
      <c r="AJ237" s="264" t="b">
        <f t="shared" si="92"/>
        <v>0</v>
      </c>
      <c r="AK237" s="264" t="b">
        <f t="shared" si="93"/>
        <v>0</v>
      </c>
      <c r="AL237" s="264"/>
      <c r="AM237" s="264"/>
      <c r="AN237" s="75"/>
    </row>
    <row r="238" spans="1:40" s="6" customFormat="1" ht="11.25" x14ac:dyDescent="0.2">
      <c r="A238" s="56">
        <f t="shared" si="94"/>
        <v>44785</v>
      </c>
      <c r="B238" s="607">
        <v>49.899000000000001</v>
      </c>
      <c r="C238" s="388"/>
      <c r="D238" s="391">
        <f t="shared" si="74"/>
        <v>51.147038384692038</v>
      </c>
      <c r="E238" s="383">
        <f t="shared" si="96"/>
        <v>52.081518877229684</v>
      </c>
      <c r="F238" s="383">
        <f t="shared" si="75"/>
        <v>52.081518877229684</v>
      </c>
      <c r="G238" s="110">
        <f t="shared" si="97"/>
        <v>0.91293497250078715</v>
      </c>
      <c r="H238" s="412" t="b">
        <f>Wh_hp&gt;='2021'!Maxi_hp</f>
        <v>1</v>
      </c>
      <c r="I238" s="379">
        <f>IF(H238,Wh_hp,'2021'!Maxi_hp)</f>
        <v>52.081518877229684</v>
      </c>
      <c r="J238" s="85">
        <f>IF(H238,An,'2021'!An_max)</f>
        <v>2022</v>
      </c>
      <c r="K238" s="197">
        <f t="shared" si="76"/>
        <v>44785</v>
      </c>
      <c r="L238" s="147">
        <f>IF(t&lt;Tvie,1-EXP((T0-t)*PertePVj)+'2021'!Pspv,1-EXP((T0-t)*PertePVj)+Pspv)</f>
        <v>2.4400990245127652E-2</v>
      </c>
      <c r="M238" s="832"/>
      <c r="N238" s="832"/>
      <c r="O238" s="48">
        <f>IF(t&lt;Tnet,'2021'!Resal+('2021'!Salim-'2021'!Resal)*(1-EXP(('2021'!Tnet-t)/('2021'!Tau_j))),Resal+(Salim-Resal)*(1-EXP((Tnet-t)/(Tau_j))))*Salcycl</f>
        <v>1.7942650534836863E-2</v>
      </c>
      <c r="P238" s="169">
        <f>(INDEX(Models!$BJ238:$BT238,,T238)*(1-R238)+INDEX(Models!$BJ238:$BT238,,T238+1)*R238-ERP_i)*Q238*Ramure*Pc/MaxiM</f>
        <v>0</v>
      </c>
      <c r="Q238" s="304">
        <f t="shared" si="77"/>
        <v>0.6</v>
      </c>
      <c r="R238" s="177">
        <f t="shared" si="78"/>
        <v>0.4642941852614797</v>
      </c>
      <c r="S238" s="799">
        <f t="shared" si="79"/>
        <v>0</v>
      </c>
      <c r="T238" s="176">
        <f t="shared" si="80"/>
        <v>6</v>
      </c>
      <c r="U238" s="250">
        <f t="shared" si="81"/>
        <v>0.4642941852614797</v>
      </c>
      <c r="V238" s="382">
        <f t="shared" si="82"/>
        <v>54.657781225438789</v>
      </c>
      <c r="W238" s="400"/>
      <c r="X238" s="157">
        <f t="shared" si="83"/>
        <v>44785</v>
      </c>
      <c r="Y238" s="383">
        <f t="shared" si="84"/>
        <v>44.725681526597235</v>
      </c>
      <c r="Z238" s="383">
        <f t="shared" si="85"/>
        <v>45.844328540098608</v>
      </c>
      <c r="AA238" s="384">
        <f t="shared" si="86"/>
        <v>52.081518877229684</v>
      </c>
      <c r="AB238" s="197">
        <f t="shared" si="87"/>
        <v>44785</v>
      </c>
      <c r="AC238" s="119">
        <f>IF(OR(t&lt;Tnet,NoTnet),'2021'!Resal_s+('2021'!Salim-'2021'!Resal_s)*(1-EXP(('2021'!Tnet_s-t)/'2021'!Tau_j)),Resal_s+(Salim-Resal_s)*(1-EXP((Tnet_s-t)/Tau_j)))*Salcycl</f>
        <v>0.11975822655698327</v>
      </c>
      <c r="AD238" s="230">
        <f>(INDEX(Models!$BJ238:$BT238,,AH238)*(1-AF238)+INDEX(Models!$BJ238:$BT238,,AH238+1)*AF238-ERP_i)*AE238*Ramure*Pc/MaxiM</f>
        <v>0</v>
      </c>
      <c r="AE238" s="304">
        <f t="shared" si="88"/>
        <v>0.6</v>
      </c>
      <c r="AF238" s="177">
        <f t="shared" si="89"/>
        <v>0.4642941852614797</v>
      </c>
      <c r="AG238" s="799">
        <f t="shared" si="95"/>
        <v>0</v>
      </c>
      <c r="AH238" s="176">
        <f t="shared" si="90"/>
        <v>6</v>
      </c>
      <c r="AI238" s="224">
        <f t="shared" si="91"/>
        <v>0.4642941852614797</v>
      </c>
      <c r="AJ238" s="264" t="b">
        <f t="shared" si="92"/>
        <v>0</v>
      </c>
      <c r="AK238" s="264" t="b">
        <f t="shared" si="93"/>
        <v>0</v>
      </c>
      <c r="AL238" s="264"/>
      <c r="AM238" s="264"/>
      <c r="AN238" s="75"/>
    </row>
    <row r="239" spans="1:40" s="6" customFormat="1" ht="11.25" x14ac:dyDescent="0.2">
      <c r="A239" s="56">
        <f t="shared" si="94"/>
        <v>44786</v>
      </c>
      <c r="B239" s="607">
        <v>38.978000000000002</v>
      </c>
      <c r="C239" s="388"/>
      <c r="D239" s="391">
        <f t="shared" si="74"/>
        <v>39.953655783832623</v>
      </c>
      <c r="E239" s="383">
        <f t="shared" si="96"/>
        <v>40.686889093364208</v>
      </c>
      <c r="F239" s="383">
        <f t="shared" si="75"/>
        <v>40.686889093364208</v>
      </c>
      <c r="G239" s="110">
        <f t="shared" si="97"/>
        <v>0.7148769953757238</v>
      </c>
      <c r="H239" s="412" t="b">
        <f>Wh_hp&gt;='2021'!Maxi_hp</f>
        <v>0</v>
      </c>
      <c r="I239" s="379">
        <f>IF(H239,Wh_hp,'2021'!Maxi_hp)</f>
        <v>50.157042918193603</v>
      </c>
      <c r="J239" s="85">
        <f>IF(H239,An,'2021'!An_max)</f>
        <v>2018</v>
      </c>
      <c r="K239" s="197">
        <f t="shared" si="76"/>
        <v>44786</v>
      </c>
      <c r="L239" s="147">
        <f>IF(t&lt;Tvie,1-EXP((T0-t)*PertePVj)+'2021'!Pspv,1-EXP((T0-t)*PertePVj)+Pspv)</f>
        <v>2.4419687377579713E-2</v>
      </c>
      <c r="M239" s="832"/>
      <c r="N239" s="832"/>
      <c r="O239" s="48">
        <f>IF(t&lt;Tnet,'2021'!Resal+('2021'!Salim-'2021'!Resal)*(1-EXP(('2021'!Tnet-t)/('2021'!Tau_j))),Resal+(Salim-Resal)*(1-EXP((Tnet-t)/(Tau_j))))*Salcycl</f>
        <v>1.8021365748780532E-2</v>
      </c>
      <c r="P239" s="169">
        <f>(INDEX(Models!$BJ239:$BT239,,T239)*(1-R239)+INDEX(Models!$BJ239:$BT239,,T239+1)*R239-ERP_i)*Q239*Ramure*Pc/MaxiM</f>
        <v>-2.0493627059220515E-20</v>
      </c>
      <c r="Q239" s="304">
        <f t="shared" si="77"/>
        <v>0.6</v>
      </c>
      <c r="R239" s="177">
        <f t="shared" si="78"/>
        <v>0.46560804358922331</v>
      </c>
      <c r="S239" s="799">
        <f t="shared" si="79"/>
        <v>0</v>
      </c>
      <c r="T239" s="176">
        <f t="shared" si="80"/>
        <v>6</v>
      </c>
      <c r="U239" s="250">
        <f t="shared" si="81"/>
        <v>0.46560804358922331</v>
      </c>
      <c r="V239" s="382">
        <f t="shared" si="82"/>
        <v>54.524065331706481</v>
      </c>
      <c r="W239" s="400"/>
      <c r="X239" s="157">
        <f t="shared" si="83"/>
        <v>44786</v>
      </c>
      <c r="Y239" s="383">
        <f t="shared" si="84"/>
        <v>34.940451631176309</v>
      </c>
      <c r="Z239" s="383">
        <f t="shared" si="85"/>
        <v>35.815043804291427</v>
      </c>
      <c r="AA239" s="384">
        <f t="shared" si="86"/>
        <v>40.686889093364208</v>
      </c>
      <c r="AB239" s="197">
        <f t="shared" si="87"/>
        <v>44786</v>
      </c>
      <c r="AC239" s="119">
        <f>IF(OR(t&lt;Tnet,NoTnet),'2021'!Resal_s+('2021'!Salim-'2021'!Resal_s)*(1-EXP(('2021'!Tnet_s-t)/'2021'!Tau_j)),Resal_s+(Salim-Resal_s)*(1-EXP((Tnet_s-t)/Tau_j)))*Salcycl</f>
        <v>0.11973993091222483</v>
      </c>
      <c r="AD239" s="230">
        <f>(INDEX(Models!$BJ239:$BT239,,AH239)*(1-AF239)+INDEX(Models!$BJ239:$BT239,,AH239+1)*AF239-ERP_i)*AE239*Ramure*Pc/MaxiM</f>
        <v>-2.0493627059220515E-20</v>
      </c>
      <c r="AE239" s="304">
        <f t="shared" si="88"/>
        <v>0.6</v>
      </c>
      <c r="AF239" s="177">
        <f t="shared" si="89"/>
        <v>0.46560804358922331</v>
      </c>
      <c r="AG239" s="799">
        <f t="shared" si="95"/>
        <v>0</v>
      </c>
      <c r="AH239" s="176">
        <f t="shared" si="90"/>
        <v>6</v>
      </c>
      <c r="AI239" s="224">
        <f t="shared" si="91"/>
        <v>0.46560804358922331</v>
      </c>
      <c r="AJ239" s="264" t="b">
        <f t="shared" si="92"/>
        <v>0</v>
      </c>
      <c r="AK239" s="264" t="b">
        <f t="shared" si="93"/>
        <v>0</v>
      </c>
      <c r="AL239" s="264"/>
      <c r="AM239" s="264"/>
      <c r="AN239" s="75"/>
    </row>
    <row r="240" spans="1:40" s="6" customFormat="1" ht="11.25" x14ac:dyDescent="0.2">
      <c r="A240" s="56">
        <f t="shared" si="94"/>
        <v>44787</v>
      </c>
      <c r="B240" s="607">
        <v>35.133000000000003</v>
      </c>
      <c r="C240" s="388"/>
      <c r="D240" s="391">
        <f t="shared" si="74"/>
        <v>36.013102021700888</v>
      </c>
      <c r="E240" s="383">
        <f t="shared" si="96"/>
        <v>36.676953362066058</v>
      </c>
      <c r="F240" s="383">
        <f t="shared" si="75"/>
        <v>36.676953572836929</v>
      </c>
      <c r="G240" s="110">
        <f t="shared" si="97"/>
        <v>0.64595570735213026</v>
      </c>
      <c r="H240" s="412" t="b">
        <f>Wh_hp&gt;='2021'!Maxi_hp</f>
        <v>0</v>
      </c>
      <c r="I240" s="379">
        <f>IF(H240,Wh_hp,'2021'!Maxi_hp)</f>
        <v>57.247327740538942</v>
      </c>
      <c r="J240" s="85">
        <f>IF(H240,An,'2021'!An_max)</f>
        <v>2018</v>
      </c>
      <c r="K240" s="197">
        <f t="shared" si="76"/>
        <v>44787</v>
      </c>
      <c r="L240" s="147">
        <f>IF(t&lt;Tvie,1-EXP((T0-t)*PertePVj)+'2021'!Pspv,1-EXP((T0-t)*PertePVj)+Pspv)</f>
        <v>2.4438384151705517E-2</v>
      </c>
      <c r="M240" s="832"/>
      <c r="N240" s="832"/>
      <c r="O240" s="48">
        <f>IF(t&lt;Tnet,'2021'!Resal+('2021'!Salim-'2021'!Resal)*(1-EXP(('2021'!Tnet-t)/('2021'!Tau_j))),Resal+(Salim-Resal)*(1-EXP((Tnet-t)/(Tau_j))))*Salcycl</f>
        <v>1.8099958680095122E-2</v>
      </c>
      <c r="P240" s="169">
        <f>(INDEX(Models!$BJ240:$BT240,,T240)*(1-R240)+INDEX(Models!$BJ240:$BT240,,T240+1)*R240-ERP_i)*Q240*Ramure*Pc/MaxiM</f>
        <v>1.1627728166547555E-8</v>
      </c>
      <c r="Q240" s="304">
        <f t="shared" si="77"/>
        <v>0.6</v>
      </c>
      <c r="R240" s="177">
        <f t="shared" si="78"/>
        <v>0.46687599015017223</v>
      </c>
      <c r="S240" s="799">
        <f t="shared" si="79"/>
        <v>0</v>
      </c>
      <c r="T240" s="176">
        <f t="shared" si="80"/>
        <v>6</v>
      </c>
      <c r="U240" s="250">
        <f t="shared" si="81"/>
        <v>0.46687599015017223</v>
      </c>
      <c r="V240" s="382">
        <f t="shared" si="82"/>
        <v>54.38917776173345</v>
      </c>
      <c r="W240" s="400"/>
      <c r="X240" s="157">
        <f t="shared" si="83"/>
        <v>44787</v>
      </c>
      <c r="Y240" s="383">
        <f t="shared" si="84"/>
        <v>31.496922401013883</v>
      </c>
      <c r="Z240" s="383">
        <f t="shared" si="85"/>
        <v>32.285938570498082</v>
      </c>
      <c r="AA240" s="384">
        <f t="shared" si="86"/>
        <v>36.676953362066058</v>
      </c>
      <c r="AB240" s="197">
        <f t="shared" si="87"/>
        <v>44787</v>
      </c>
      <c r="AC240" s="119">
        <f>IF(OR(t&lt;Tnet,NoTnet),'2021'!Resal_s+('2021'!Salim-'2021'!Resal_s)*(1-EXP(('2021'!Tnet_s-t)/'2021'!Tau_j)),Resal_s+(Salim-Resal_s)*(1-EXP((Tnet_s-t)/Tau_j)))*Salcycl</f>
        <v>0.11972136148335263</v>
      </c>
      <c r="AD240" s="230">
        <f>(INDEX(Models!$BJ240:$BT240,,AH240)*(1-AF240)+INDEX(Models!$BJ240:$BT240,,AH240+1)*AF240-ERP_i)*AE240*Ramure*Pc/MaxiM</f>
        <v>1.1627728166547555E-8</v>
      </c>
      <c r="AE240" s="304">
        <f t="shared" si="88"/>
        <v>0.6</v>
      </c>
      <c r="AF240" s="177">
        <f t="shared" si="89"/>
        <v>0.46687599015017223</v>
      </c>
      <c r="AG240" s="799">
        <f t="shared" si="95"/>
        <v>0</v>
      </c>
      <c r="AH240" s="176">
        <f t="shared" si="90"/>
        <v>6</v>
      </c>
      <c r="AI240" s="224">
        <f t="shared" si="91"/>
        <v>0.46687599015017223</v>
      </c>
      <c r="AJ240" s="264" t="b">
        <f t="shared" si="92"/>
        <v>0</v>
      </c>
      <c r="AK240" s="264" t="b">
        <f t="shared" si="93"/>
        <v>0</v>
      </c>
      <c r="AL240" s="264"/>
      <c r="AM240" s="264"/>
      <c r="AN240" s="75"/>
    </row>
    <row r="241" spans="1:40" s="6" customFormat="1" ht="11.25" x14ac:dyDescent="0.2">
      <c r="A241" s="56">
        <f t="shared" si="94"/>
        <v>44788</v>
      </c>
      <c r="B241" s="607">
        <v>37.563000000000002</v>
      </c>
      <c r="C241" s="388"/>
      <c r="D241" s="391">
        <f t="shared" si="74"/>
        <v>38.504712864762404</v>
      </c>
      <c r="E241" s="383">
        <f t="shared" si="96"/>
        <v>39.217627670978786</v>
      </c>
      <c r="F241" s="383">
        <f t="shared" si="75"/>
        <v>39.217628439792236</v>
      </c>
      <c r="G241" s="110">
        <f t="shared" si="97"/>
        <v>0.69236439779699499</v>
      </c>
      <c r="H241" s="412" t="b">
        <f>Wh_hp&gt;='2021'!Maxi_hp</f>
        <v>0</v>
      </c>
      <c r="I241" s="379">
        <f>IF(H241,Wh_hp,'2021'!Maxi_hp)</f>
        <v>50.015473109752712</v>
      </c>
      <c r="J241" s="85">
        <f>IF(H241,An,'2021'!An_max)</f>
        <v>2020</v>
      </c>
      <c r="K241" s="197">
        <f t="shared" si="76"/>
        <v>44788</v>
      </c>
      <c r="L241" s="147">
        <f>IF(t&lt;Tvie,1-EXP((T0-t)*PertePVj)+'2021'!Pspv,1-EXP((T0-t)*PertePVj)+Pspv)</f>
        <v>2.4457080567511835E-2</v>
      </c>
      <c r="M241" s="832"/>
      <c r="N241" s="832"/>
      <c r="O241" s="48">
        <f>IF(t&lt;Tnet,'2021'!Resal+('2021'!Salim-'2021'!Resal)*(1-EXP(('2021'!Tnet-t)/('2021'!Tau_j))),Resal+(Salim-Resal)*(1-EXP((Tnet-t)/(Tau_j))))*Salcycl</f>
        <v>1.8178427624370073E-2</v>
      </c>
      <c r="P241" s="169">
        <f>(INDEX(Models!$BJ241:$BT241,,T241)*(1-R241)+INDEX(Models!$BJ241:$BT241,,T241+1)*R241-ERP_i)*Q241*Ramure*Pc/MaxiM</f>
        <v>3.497422351260562E-8</v>
      </c>
      <c r="Q241" s="304">
        <f t="shared" si="77"/>
        <v>0.6</v>
      </c>
      <c r="R241" s="177">
        <f t="shared" si="78"/>
        <v>0.46809937467321244</v>
      </c>
      <c r="S241" s="799">
        <f t="shared" si="79"/>
        <v>0</v>
      </c>
      <c r="T241" s="176">
        <f t="shared" si="80"/>
        <v>6</v>
      </c>
      <c r="U241" s="250">
        <f t="shared" si="81"/>
        <v>0.46809937467321244</v>
      </c>
      <c r="V241" s="382">
        <f t="shared" si="82"/>
        <v>54.253222063641402</v>
      </c>
      <c r="W241" s="400"/>
      <c r="X241" s="157">
        <f t="shared" si="83"/>
        <v>44788</v>
      </c>
      <c r="Y241" s="383">
        <f t="shared" si="84"/>
        <v>33.678843012190256</v>
      </c>
      <c r="Z241" s="383">
        <f t="shared" si="85"/>
        <v>34.523179187013696</v>
      </c>
      <c r="AA241" s="384">
        <f t="shared" si="86"/>
        <v>39.217627670978786</v>
      </c>
      <c r="AB241" s="197">
        <f t="shared" si="87"/>
        <v>44788</v>
      </c>
      <c r="AC241" s="119">
        <f>IF(OR(t&lt;Tnet,NoTnet),'2021'!Resal_s+('2021'!Salim-'2021'!Resal_s)*(1-EXP(('2021'!Tnet_s-t)/'2021'!Tau_j)),Resal_s+(Salim-Resal_s)*(1-EXP((Tnet_s-t)/Tau_j)))*Salcycl</f>
        <v>0.11970251039531909</v>
      </c>
      <c r="AD241" s="230">
        <f>(INDEX(Models!$BJ241:$BT241,,AH241)*(1-AF241)+INDEX(Models!$BJ241:$BT241,,AH241+1)*AF241-ERP_i)*AE241*Ramure*Pc/MaxiM</f>
        <v>3.497422351260562E-8</v>
      </c>
      <c r="AE241" s="304">
        <f t="shared" si="88"/>
        <v>0.6</v>
      </c>
      <c r="AF241" s="177">
        <f t="shared" si="89"/>
        <v>0.46809937467321244</v>
      </c>
      <c r="AG241" s="799">
        <f t="shared" si="95"/>
        <v>0</v>
      </c>
      <c r="AH241" s="176">
        <f t="shared" si="90"/>
        <v>6</v>
      </c>
      <c r="AI241" s="224">
        <f t="shared" si="91"/>
        <v>0.46809937467321244</v>
      </c>
      <c r="AJ241" s="264" t="b">
        <f t="shared" si="92"/>
        <v>0</v>
      </c>
      <c r="AK241" s="264" t="b">
        <f t="shared" si="93"/>
        <v>0</v>
      </c>
      <c r="AL241" s="264"/>
      <c r="AM241" s="264"/>
      <c r="AN241" s="75"/>
    </row>
    <row r="242" spans="1:40" s="6" customFormat="1" ht="11.25" x14ac:dyDescent="0.2">
      <c r="A242" s="56">
        <f t="shared" si="94"/>
        <v>44789</v>
      </c>
      <c r="B242" s="607">
        <v>38.887999999999998</v>
      </c>
      <c r="C242" s="388"/>
      <c r="D242" s="391">
        <f t="shared" si="74"/>
        <v>39.863694891614536</v>
      </c>
      <c r="E242" s="383">
        <f t="shared" si="96"/>
        <v>40.605011270374902</v>
      </c>
      <c r="F242" s="383">
        <f t="shared" si="75"/>
        <v>40.605012973249941</v>
      </c>
      <c r="G242" s="110">
        <f t="shared" si="97"/>
        <v>0.71860045204152145</v>
      </c>
      <c r="H242" s="412" t="b">
        <f>Wh_hp&gt;='2021'!Maxi_hp</f>
        <v>0</v>
      </c>
      <c r="I242" s="379">
        <f>IF(H242,Wh_hp,'2021'!Maxi_hp)</f>
        <v>56.868065915870055</v>
      </c>
      <c r="J242" s="85">
        <f>IF(H242,An,'2021'!An_max)</f>
        <v>2018</v>
      </c>
      <c r="K242" s="197">
        <f t="shared" si="76"/>
        <v>44789</v>
      </c>
      <c r="L242" s="147">
        <f>IF(t&lt;Tvie,1-EXP((T0-t)*PertePVj)+'2021'!Pspv,1-EXP((T0-t)*PertePVj)+Pspv)</f>
        <v>2.4475776625005663E-2</v>
      </c>
      <c r="M242" s="832"/>
      <c r="N242" s="832"/>
      <c r="O242" s="48">
        <f>IF(t&lt;Tnet,'2021'!Resal+('2021'!Salim-'2021'!Resal)*(1-EXP(('2021'!Tnet-t)/('2021'!Tau_j))),Resal+(Salim-Resal)*(1-EXP((Tnet-t)/(Tau_j))))*Salcycl</f>
        <v>1.8256770668629806E-2</v>
      </c>
      <c r="P242" s="169">
        <f>(INDEX(Models!$BJ242:$BT242,,T242)*(1-R242)+INDEX(Models!$BJ242:$BT242,,T242+1)*R242-ERP_i)*Q242*Ramure*Pc/MaxiM</f>
        <v>7.0129614503721662E-8</v>
      </c>
      <c r="Q242" s="304">
        <f t="shared" si="77"/>
        <v>0.6</v>
      </c>
      <c r="R242" s="177">
        <f t="shared" si="78"/>
        <v>0.46927952630123121</v>
      </c>
      <c r="S242" s="799">
        <f t="shared" si="79"/>
        <v>0</v>
      </c>
      <c r="T242" s="176">
        <f t="shared" si="80"/>
        <v>6</v>
      </c>
      <c r="U242" s="250">
        <f t="shared" si="81"/>
        <v>0.46927952630123121</v>
      </c>
      <c r="V242" s="382">
        <f t="shared" si="82"/>
        <v>54.116301754594822</v>
      </c>
      <c r="W242" s="400"/>
      <c r="X242" s="157">
        <f t="shared" si="83"/>
        <v>44789</v>
      </c>
      <c r="Y242" s="383">
        <f t="shared" si="84"/>
        <v>34.870373577716357</v>
      </c>
      <c r="Z242" s="383">
        <f t="shared" si="85"/>
        <v>35.745266741892152</v>
      </c>
      <c r="AA242" s="384">
        <f t="shared" si="86"/>
        <v>40.605011270374902</v>
      </c>
      <c r="AB242" s="197">
        <f t="shared" si="87"/>
        <v>44789</v>
      </c>
      <c r="AC242" s="119">
        <f>IF(OR(t&lt;Tnet,NoTnet),'2021'!Resal_s+('2021'!Salim-'2021'!Resal_s)*(1-EXP(('2021'!Tnet_s-t)/'2021'!Tau_j)),Resal_s+(Salim-Resal_s)*(1-EXP((Tnet_s-t)/Tau_j)))*Salcycl</f>
        <v>0.11968336854097575</v>
      </c>
      <c r="AD242" s="230">
        <f>(INDEX(Models!$BJ242:$BT242,,AH242)*(1-AF242)+INDEX(Models!$BJ242:$BT242,,AH242+1)*AF242-ERP_i)*AE242*Ramure*Pc/MaxiM</f>
        <v>7.0129614503721662E-8</v>
      </c>
      <c r="AE242" s="304">
        <f t="shared" si="88"/>
        <v>0.6</v>
      </c>
      <c r="AF242" s="177">
        <f t="shared" si="89"/>
        <v>0.46927952630123121</v>
      </c>
      <c r="AG242" s="799">
        <f t="shared" si="95"/>
        <v>0</v>
      </c>
      <c r="AH242" s="176">
        <f t="shared" si="90"/>
        <v>6</v>
      </c>
      <c r="AI242" s="224">
        <f t="shared" si="91"/>
        <v>0.46927952630123121</v>
      </c>
      <c r="AJ242" s="264" t="b">
        <f t="shared" si="92"/>
        <v>0</v>
      </c>
      <c r="AK242" s="264" t="b">
        <f t="shared" si="93"/>
        <v>0</v>
      </c>
      <c r="AL242" s="264"/>
      <c r="AM242" s="264"/>
      <c r="AN242" s="75"/>
    </row>
    <row r="243" spans="1:40" s="6" customFormat="1" ht="11.25" x14ac:dyDescent="0.2">
      <c r="A243" s="56">
        <f t="shared" si="94"/>
        <v>44790</v>
      </c>
      <c r="B243" s="607">
        <v>30.074000000000002</v>
      </c>
      <c r="C243" s="388"/>
      <c r="D243" s="391">
        <f t="shared" si="74"/>
        <v>30.829143604806536</v>
      </c>
      <c r="E243" s="383">
        <f t="shared" si="96"/>
        <v>31.404952968556486</v>
      </c>
      <c r="F243" s="383">
        <f t="shared" si="75"/>
        <v>31.40495432046259</v>
      </c>
      <c r="G243" s="110">
        <f t="shared" si="97"/>
        <v>0.55714750223368825</v>
      </c>
      <c r="H243" s="412" t="b">
        <f>Wh_hp&gt;='2021'!Maxi_hp</f>
        <v>0</v>
      </c>
      <c r="I243" s="379">
        <f>IF(H243,Wh_hp,'2021'!Maxi_hp)</f>
        <v>54.878692753943</v>
      </c>
      <c r="J243" s="85">
        <f>IF(H243,An,'2021'!An_max)</f>
        <v>2018</v>
      </c>
      <c r="K243" s="197">
        <f t="shared" si="76"/>
        <v>44790</v>
      </c>
      <c r="L243" s="147">
        <f>IF(t&lt;Tvie,1-EXP((T0-t)*PertePVj)+'2021'!Pspv,1-EXP((T0-t)*PertePVj)+Pspv)</f>
        <v>2.4494472324193883E-2</v>
      </c>
      <c r="M243" s="832"/>
      <c r="N243" s="832"/>
      <c r="O243" s="48">
        <f>IF(t&lt;Tnet,'2021'!Resal+('2021'!Salim-'2021'!Resal)*(1-EXP(('2021'!Tnet-t)/('2021'!Tau_j))),Resal+(Salim-Resal)*(1-EXP((Tnet-t)/(Tau_j))))*Salcycl</f>
        <v>1.8334985705167776E-2</v>
      </c>
      <c r="P243" s="169">
        <f>(INDEX(Models!$BJ243:$BT243,,T243)*(1-R243)+INDEX(Models!$BJ243:$BT243,,T243+1)*R243-ERP_i)*Q243*Ramure*Pc/MaxiM</f>
        <v>1.1718284100104768E-7</v>
      </c>
      <c r="Q243" s="304">
        <f t="shared" si="77"/>
        <v>0.6</v>
      </c>
      <c r="R243" s="177">
        <f t="shared" si="78"/>
        <v>0.47041775233608385</v>
      </c>
      <c r="S243" s="799">
        <f t="shared" si="79"/>
        <v>0</v>
      </c>
      <c r="T243" s="176">
        <f t="shared" si="80"/>
        <v>6</v>
      </c>
      <c r="U243" s="250">
        <f t="shared" si="81"/>
        <v>0.47041775233608385</v>
      </c>
      <c r="V243" s="382">
        <f t="shared" si="82"/>
        <v>53.978520319814329</v>
      </c>
      <c r="W243" s="400"/>
      <c r="X243" s="157">
        <f t="shared" si="83"/>
        <v>44790</v>
      </c>
      <c r="Y243" s="383">
        <f t="shared" si="84"/>
        <v>26.969716464393304</v>
      </c>
      <c r="Z243" s="383">
        <f t="shared" si="85"/>
        <v>27.646913009965296</v>
      </c>
      <c r="AA243" s="384">
        <f t="shared" si="86"/>
        <v>31.404952968556486</v>
      </c>
      <c r="AB243" s="197">
        <f t="shared" si="87"/>
        <v>44790</v>
      </c>
      <c r="AC243" s="119">
        <f>IF(OR(t&lt;Tnet,NoTnet),'2021'!Resal_s+('2021'!Salim-'2021'!Resal_s)*(1-EXP(('2021'!Tnet_s-t)/'2021'!Tau_j)),Resal_s+(Salim-Resal_s)*(1-EXP((Tnet_s-t)/Tau_j)))*Salcycl</f>
        <v>0.11966392569840327</v>
      </c>
      <c r="AD243" s="230">
        <f>(INDEX(Models!$BJ243:$BT243,,AH243)*(1-AF243)+INDEX(Models!$BJ243:$BT243,,AH243+1)*AF243-ERP_i)*AE243*Ramure*Pc/MaxiM</f>
        <v>1.1718284100104768E-7</v>
      </c>
      <c r="AE243" s="304">
        <f t="shared" si="88"/>
        <v>0.6</v>
      </c>
      <c r="AF243" s="177">
        <f t="shared" si="89"/>
        <v>0.47041775233608385</v>
      </c>
      <c r="AG243" s="799">
        <f t="shared" si="95"/>
        <v>0</v>
      </c>
      <c r="AH243" s="176">
        <f t="shared" si="90"/>
        <v>6</v>
      </c>
      <c r="AI243" s="224">
        <f t="shared" si="91"/>
        <v>0.47041775233608385</v>
      </c>
      <c r="AJ243" s="264" t="b">
        <f t="shared" si="92"/>
        <v>0</v>
      </c>
      <c r="AK243" s="264" t="b">
        <f t="shared" si="93"/>
        <v>0</v>
      </c>
      <c r="AL243" s="264"/>
      <c r="AM243" s="264"/>
      <c r="AN243" s="75"/>
    </row>
    <row r="244" spans="1:40" s="6" customFormat="1" ht="11.25" x14ac:dyDescent="0.2">
      <c r="A244" s="56">
        <f t="shared" si="94"/>
        <v>44791</v>
      </c>
      <c r="B244" s="607">
        <v>38.177</v>
      </c>
      <c r="C244" s="388"/>
      <c r="D244" s="391">
        <f t="shared" si="74"/>
        <v>39.136356057846378</v>
      </c>
      <c r="E244" s="383">
        <f t="shared" si="96"/>
        <v>39.870494277634954</v>
      </c>
      <c r="F244" s="383">
        <f t="shared" si="75"/>
        <v>39.870498383675908</v>
      </c>
      <c r="G244" s="110">
        <f t="shared" si="97"/>
        <v>0.70908266207313675</v>
      </c>
      <c r="H244" s="412" t="b">
        <f>Wh_hp&gt;='2021'!Maxi_hp</f>
        <v>0</v>
      </c>
      <c r="I244" s="379">
        <f>IF(H244,Wh_hp,'2021'!Maxi_hp)</f>
        <v>51.155268788996608</v>
      </c>
      <c r="J244" s="85">
        <f>IF(H244,An,'2021'!An_max)</f>
        <v>2021</v>
      </c>
      <c r="K244" s="197">
        <f t="shared" si="76"/>
        <v>44791</v>
      </c>
      <c r="L244" s="147">
        <f>IF(t&lt;Tvie,1-EXP((T0-t)*PertePVj)+'2021'!Pspv,1-EXP((T0-t)*PertePVj)+Pspv)</f>
        <v>2.4513167665083158E-2</v>
      </c>
      <c r="M244" s="832"/>
      <c r="N244" s="832"/>
      <c r="O244" s="48">
        <f>IF(t&lt;Tnet,'2021'!Resal+('2021'!Salim-'2021'!Resal)*(1-EXP(('2021'!Tnet-t)/('2021'!Tau_j))),Resal+(Salim-Resal)*(1-EXP((Tnet-t)/(Tau_j))))*Salcycl</f>
        <v>1.8413070444435957E-2</v>
      </c>
      <c r="P244" s="169">
        <f>(INDEX(Models!$BJ244:$BT244,,T244)*(1-R244)+INDEX(Models!$BJ244:$BT244,,T244+1)*R244-ERP_i)*Q244*Ramure*Pc/MaxiM</f>
        <v>1.7622135000629488E-7</v>
      </c>
      <c r="Q244" s="304">
        <f t="shared" si="77"/>
        <v>0.6</v>
      </c>
      <c r="R244" s="177">
        <f t="shared" si="78"/>
        <v>0.47151533714089744</v>
      </c>
      <c r="S244" s="799">
        <f t="shared" si="79"/>
        <v>0</v>
      </c>
      <c r="T244" s="176">
        <f t="shared" si="80"/>
        <v>6</v>
      </c>
      <c r="U244" s="250">
        <f t="shared" si="81"/>
        <v>0.47151533714089744</v>
      </c>
      <c r="V244" s="382">
        <f t="shared" si="82"/>
        <v>53.839981212368897</v>
      </c>
      <c r="W244" s="400"/>
      <c r="X244" s="157">
        <f t="shared" si="83"/>
        <v>44791</v>
      </c>
      <c r="Y244" s="383">
        <f t="shared" si="84"/>
        <v>34.239804428461987</v>
      </c>
      <c r="Z244" s="383">
        <f t="shared" si="85"/>
        <v>35.100222056822531</v>
      </c>
      <c r="AA244" s="384">
        <f t="shared" si="86"/>
        <v>39.870494277634954</v>
      </c>
      <c r="AB244" s="197">
        <f t="shared" si="87"/>
        <v>44791</v>
      </c>
      <c r="AC244" s="119">
        <f>IF(OR(t&lt;Tnet,NoTnet),'2021'!Resal_s+('2021'!Salim-'2021'!Resal_s)*(1-EXP(('2021'!Tnet_s-t)/'2021'!Tau_j)),Resal_s+(Salim-Resal_s)*(1-EXP((Tnet_s-t)/Tau_j)))*Salcycl</f>
        <v>0.1196441706389446</v>
      </c>
      <c r="AD244" s="230">
        <f>(INDEX(Models!$BJ244:$BT244,,AH244)*(1-AF244)+INDEX(Models!$BJ244:$BT244,,AH244+1)*AF244-ERP_i)*AE244*Ramure*Pc/MaxiM</f>
        <v>1.7622135000629488E-7</v>
      </c>
      <c r="AE244" s="304">
        <f t="shared" si="88"/>
        <v>0.6</v>
      </c>
      <c r="AF244" s="177">
        <f t="shared" si="89"/>
        <v>0.47151533714089744</v>
      </c>
      <c r="AG244" s="799">
        <f t="shared" si="95"/>
        <v>0</v>
      </c>
      <c r="AH244" s="176">
        <f t="shared" si="90"/>
        <v>6</v>
      </c>
      <c r="AI244" s="224">
        <f t="shared" si="91"/>
        <v>0.47151533714089744</v>
      </c>
      <c r="AJ244" s="264" t="b">
        <f t="shared" si="92"/>
        <v>0</v>
      </c>
      <c r="AK244" s="264" t="b">
        <f t="shared" si="93"/>
        <v>0</v>
      </c>
      <c r="AL244" s="264"/>
      <c r="AM244" s="264"/>
      <c r="AN244" s="75"/>
    </row>
    <row r="245" spans="1:40" s="6" customFormat="1" ht="11.25" x14ac:dyDescent="0.2">
      <c r="A245" s="56">
        <f t="shared" si="94"/>
        <v>44792</v>
      </c>
      <c r="B245" s="607">
        <v>39.86</v>
      </c>
      <c r="C245" s="388"/>
      <c r="D245" s="391">
        <f t="shared" si="74"/>
        <v>40.862431558441948</v>
      </c>
      <c r="E245" s="383">
        <f t="shared" si="96"/>
        <v>41.632254510268417</v>
      </c>
      <c r="F245" s="383">
        <f t="shared" si="75"/>
        <v>41.632261015889071</v>
      </c>
      <c r="G245" s="110">
        <f t="shared" si="97"/>
        <v>0.74226092325854776</v>
      </c>
      <c r="H245" s="412" t="b">
        <f>Wh_hp&gt;='2021'!Maxi_hp</f>
        <v>0</v>
      </c>
      <c r="I245" s="379">
        <f>IF(H245,Wh_hp,'2021'!Maxi_hp)</f>
        <v>45.575246648150426</v>
      </c>
      <c r="J245" s="85">
        <f>IF(H245,An,'2021'!An_max)</f>
        <v>2021</v>
      </c>
      <c r="K245" s="197">
        <f t="shared" si="76"/>
        <v>44792</v>
      </c>
      <c r="L245" s="147">
        <f>IF(t&lt;Tvie,1-EXP((T0-t)*PertePVj)+'2021'!Pspv,1-EXP((T0-t)*PertePVj)+Pspv)</f>
        <v>2.4531862647680591E-2</v>
      </c>
      <c r="M245" s="832"/>
      <c r="N245" s="832"/>
      <c r="O245" s="48">
        <f>IF(t&lt;Tnet,'2021'!Resal+('2021'!Salim-'2021'!Resal)*(1-EXP(('2021'!Tnet-t)/('2021'!Tau_j))),Resal+(Salim-Resal)*(1-EXP((Tnet-t)/(Tau_j))))*Salcycl</f>
        <v>1.8491022426772412E-2</v>
      </c>
      <c r="P245" s="169">
        <f>(INDEX(Models!$BJ245:$BT245,,T245)*(1-R245)+INDEX(Models!$BJ245:$BT245,,T245+1)*R245-ERP_i)*Q245*Ramure*Pc/MaxiM</f>
        <v>2.4733076671451925E-7</v>
      </c>
      <c r="Q245" s="304">
        <f t="shared" si="77"/>
        <v>0.6</v>
      </c>
      <c r="R245" s="177">
        <f t="shared" si="78"/>
        <v>0.47257354119033679</v>
      </c>
      <c r="S245" s="799">
        <f t="shared" si="79"/>
        <v>0</v>
      </c>
      <c r="T245" s="176">
        <f t="shared" si="80"/>
        <v>6</v>
      </c>
      <c r="U245" s="250">
        <f t="shared" si="81"/>
        <v>0.47257354119033679</v>
      </c>
      <c r="V245" s="382">
        <f t="shared" si="82"/>
        <v>53.700787851108579</v>
      </c>
      <c r="W245" s="400"/>
      <c r="X245" s="157">
        <f t="shared" si="83"/>
        <v>44792</v>
      </c>
      <c r="Y245" s="383">
        <f t="shared" si="84"/>
        <v>35.752891237472255</v>
      </c>
      <c r="Z245" s="383">
        <f t="shared" si="85"/>
        <v>36.652033898836649</v>
      </c>
      <c r="AA245" s="384">
        <f t="shared" si="86"/>
        <v>41.632254510268417</v>
      </c>
      <c r="AB245" s="197">
        <f t="shared" si="87"/>
        <v>44792</v>
      </c>
      <c r="AC245" s="119">
        <f>IF(OR(t&lt;Tnet,NoTnet),'2021'!Resal_s+('2021'!Salim-'2021'!Resal_s)*(1-EXP(('2021'!Tnet_s-t)/'2021'!Tau_j)),Resal_s+(Salim-Resal_s)*(1-EXP((Tnet_s-t)/Tau_j)))*Salcycl</f>
        <v>0.11962409122483195</v>
      </c>
      <c r="AD245" s="230">
        <f>(INDEX(Models!$BJ245:$BT245,,AH245)*(1-AF245)+INDEX(Models!$BJ245:$BT245,,AH245+1)*AF245-ERP_i)*AE245*Ramure*Pc/MaxiM</f>
        <v>2.4733076671451925E-7</v>
      </c>
      <c r="AE245" s="304">
        <f t="shared" si="88"/>
        <v>0.6</v>
      </c>
      <c r="AF245" s="177">
        <f t="shared" si="89"/>
        <v>0.47257354119033679</v>
      </c>
      <c r="AG245" s="799">
        <f t="shared" si="95"/>
        <v>0</v>
      </c>
      <c r="AH245" s="176">
        <f t="shared" si="90"/>
        <v>6</v>
      </c>
      <c r="AI245" s="224">
        <f t="shared" si="91"/>
        <v>0.47257354119033679</v>
      </c>
      <c r="AJ245" s="264" t="b">
        <f t="shared" si="92"/>
        <v>0</v>
      </c>
      <c r="AK245" s="264" t="b">
        <f t="shared" si="93"/>
        <v>0</v>
      </c>
      <c r="AL245" s="264"/>
      <c r="AM245" s="264"/>
      <c r="AN245" s="75"/>
    </row>
    <row r="246" spans="1:40" s="6" customFormat="1" ht="11.25" x14ac:dyDescent="0.2">
      <c r="A246" s="56">
        <f t="shared" si="94"/>
        <v>44793</v>
      </c>
      <c r="B246" s="607">
        <v>52.128999999999998</v>
      </c>
      <c r="C246" s="388"/>
      <c r="D246" s="391">
        <f t="shared" si="74"/>
        <v>53.441006490518411</v>
      </c>
      <c r="E246" s="383">
        <f t="shared" si="96"/>
        <v>54.452119125554276</v>
      </c>
      <c r="F246" s="383">
        <f t="shared" si="75"/>
        <v>54.452136439558863</v>
      </c>
      <c r="G246" s="110">
        <f t="shared" si="97"/>
        <v>0.97326332379200964</v>
      </c>
      <c r="H246" s="412" t="b">
        <f>Wh_hp&gt;='2021'!Maxi_hp</f>
        <v>1</v>
      </c>
      <c r="I246" s="379">
        <f>IF(H246,Wh_hp,'2021'!Maxi_hp)</f>
        <v>54.452136439558863</v>
      </c>
      <c r="J246" s="85">
        <f>IF(H246,An,'2021'!An_max)</f>
        <v>2022</v>
      </c>
      <c r="K246" s="197">
        <f t="shared" si="76"/>
        <v>44793</v>
      </c>
      <c r="L246" s="147">
        <f>IF(t&lt;Tvie,1-EXP((T0-t)*PertePVj)+'2021'!Pspv,1-EXP((T0-t)*PertePVj)+Pspv)</f>
        <v>2.4550557271992846E-2</v>
      </c>
      <c r="M246" s="832"/>
      <c r="N246" s="832"/>
      <c r="O246" s="48">
        <f>IF(t&lt;Tnet,'2021'!Resal+('2021'!Salim-'2021'!Resal)*(1-EXP(('2021'!Tnet-t)/('2021'!Tau_j))),Resal+(Salim-Resal)*(1-EXP((Tnet-t)/(Tau_j))))*Salcycl</f>
        <v>1.8568839032774283E-2</v>
      </c>
      <c r="P246" s="169">
        <f>(INDEX(Models!$BJ246:$BT246,,T246)*(1-R246)+INDEX(Models!$BJ246:$BT246,,T246+1)*R246-ERP_i)*Q246*Ramure*Pc/MaxiM</f>
        <v>3.3059454212233475E-7</v>
      </c>
      <c r="Q246" s="304">
        <f t="shared" si="77"/>
        <v>0.6</v>
      </c>
      <c r="R246" s="177">
        <f t="shared" si="78"/>
        <v>0.47359360025962205</v>
      </c>
      <c r="S246" s="799">
        <f t="shared" si="79"/>
        <v>0</v>
      </c>
      <c r="T246" s="176">
        <f t="shared" si="80"/>
        <v>6</v>
      </c>
      <c r="U246" s="250">
        <f t="shared" si="81"/>
        <v>0.47359360025962205</v>
      </c>
      <c r="V246" s="382">
        <f t="shared" si="82"/>
        <v>53.561043622455458</v>
      </c>
      <c r="W246" s="400"/>
      <c r="X246" s="157">
        <f t="shared" si="83"/>
        <v>44793</v>
      </c>
      <c r="Y246" s="383">
        <f t="shared" si="84"/>
        <v>46.76250548942707</v>
      </c>
      <c r="Z246" s="383">
        <f t="shared" si="85"/>
        <v>47.93944559407192</v>
      </c>
      <c r="AA246" s="384">
        <f t="shared" si="86"/>
        <v>54.452119125554276</v>
      </c>
      <c r="AB246" s="197">
        <f t="shared" si="87"/>
        <v>44793</v>
      </c>
      <c r="AC246" s="119">
        <f>IF(OR(t&lt;Tnet,NoTnet),'2021'!Resal_s+('2021'!Salim-'2021'!Resal_s)*(1-EXP(('2021'!Tnet_s-t)/'2021'!Tau_j)),Resal_s+(Salim-Resal_s)*(1-EXP((Tnet_s-t)/Tau_j)))*Salcycl</f>
        <v>0.11960367449548849</v>
      </c>
      <c r="AD246" s="230">
        <f>(INDEX(Models!$BJ246:$BT246,,AH246)*(1-AF246)+INDEX(Models!$BJ246:$BT246,,AH246+1)*AF246-ERP_i)*AE246*Ramure*Pc/MaxiM</f>
        <v>3.3059454212233475E-7</v>
      </c>
      <c r="AE246" s="304">
        <f t="shared" si="88"/>
        <v>0.6</v>
      </c>
      <c r="AF246" s="177">
        <f t="shared" si="89"/>
        <v>0.47359360025962205</v>
      </c>
      <c r="AG246" s="799">
        <f t="shared" si="95"/>
        <v>0</v>
      </c>
      <c r="AH246" s="176">
        <f t="shared" si="90"/>
        <v>6</v>
      </c>
      <c r="AI246" s="224">
        <f t="shared" si="91"/>
        <v>0.47359360025962205</v>
      </c>
      <c r="AJ246" s="264" t="b">
        <f t="shared" si="92"/>
        <v>0</v>
      </c>
      <c r="AK246" s="264" t="b">
        <f t="shared" si="93"/>
        <v>0</v>
      </c>
      <c r="AL246" s="264"/>
      <c r="AM246" s="264"/>
      <c r="AN246" s="75"/>
    </row>
    <row r="247" spans="1:40" s="6" customFormat="1" ht="11.25" x14ac:dyDescent="0.2">
      <c r="A247" s="56">
        <f t="shared" si="94"/>
        <v>44794</v>
      </c>
      <c r="B247" s="607">
        <v>38.936</v>
      </c>
      <c r="C247" s="388"/>
      <c r="D247" s="391">
        <f t="shared" si="74"/>
        <v>39.916724033349368</v>
      </c>
      <c r="E247" s="383">
        <f t="shared" si="96"/>
        <v>40.675174383996762</v>
      </c>
      <c r="F247" s="383">
        <f t="shared" si="75"/>
        <v>40.675185001733915</v>
      </c>
      <c r="G247" s="110">
        <f t="shared" si="97"/>
        <v>0.72884517720527642</v>
      </c>
      <c r="H247" s="412" t="b">
        <f>Wh_hp&gt;='2021'!Maxi_hp</f>
        <v>0</v>
      </c>
      <c r="I247" s="379">
        <f>IF(H247,Wh_hp,'2021'!Maxi_hp)</f>
        <v>55.472998221971906</v>
      </c>
      <c r="J247" s="85">
        <f>IF(H247,An,'2021'!An_max)</f>
        <v>2020</v>
      </c>
      <c r="K247" s="197">
        <f t="shared" si="76"/>
        <v>44794</v>
      </c>
      <c r="L247" s="147">
        <f>IF(t&lt;Tvie,1-EXP((T0-t)*PertePVj)+'2021'!Pspv,1-EXP((T0-t)*PertePVj)+Pspv)</f>
        <v>2.4569251538026915E-2</v>
      </c>
      <c r="M247" s="832"/>
      <c r="N247" s="832"/>
      <c r="O247" s="48">
        <f>IF(t&lt;Tnet,'2021'!Resal+('2021'!Salim-'2021'!Resal)*(1-EXP(('2021'!Tnet-t)/('2021'!Tau_j))),Resal+(Salim-Resal)*(1-EXP((Tnet-t)/(Tau_j))))*Salcycl</f>
        <v>1.8646517492148733E-2</v>
      </c>
      <c r="P247" s="169">
        <f>(INDEX(Models!$BJ247:$BT247,,T247)*(1-R247)+INDEX(Models!$BJ247:$BT247,,T247+1)*R247-ERP_i)*Q247*Ramure*Pc/MaxiM</f>
        <v>4.2608850788846017E-7</v>
      </c>
      <c r="Q247" s="304">
        <f t="shared" si="77"/>
        <v>0.6</v>
      </c>
      <c r="R247" s="177">
        <f t="shared" si="78"/>
        <v>0.47457672474328627</v>
      </c>
      <c r="S247" s="799">
        <f t="shared" si="79"/>
        <v>0</v>
      </c>
      <c r="T247" s="176">
        <f t="shared" si="80"/>
        <v>6</v>
      </c>
      <c r="U247" s="250">
        <f t="shared" si="81"/>
        <v>0.47457672474328627</v>
      </c>
      <c r="V247" s="382">
        <f t="shared" si="82"/>
        <v>53.421487568676255</v>
      </c>
      <c r="W247" s="400"/>
      <c r="X247" s="157">
        <f t="shared" si="83"/>
        <v>44794</v>
      </c>
      <c r="Y247" s="383">
        <f t="shared" si="84"/>
        <v>34.931266413300492</v>
      </c>
      <c r="Z247" s="383">
        <f t="shared" si="85"/>
        <v>35.811118798929556</v>
      </c>
      <c r="AA247" s="384">
        <f t="shared" si="86"/>
        <v>40.675174383996762</v>
      </c>
      <c r="AB247" s="197">
        <f t="shared" si="87"/>
        <v>44794</v>
      </c>
      <c r="AC247" s="119">
        <f>IF(OR(t&lt;Tnet,NoTnet),'2021'!Resal_s+('2021'!Salim-'2021'!Resal_s)*(1-EXP(('2021'!Tnet_s-t)/'2021'!Tau_j)),Resal_s+(Salim-Resal_s)*(1-EXP((Tnet_s-t)/Tau_j)))*Salcycl</f>
        <v>0.11958290674178197</v>
      </c>
      <c r="AD247" s="230">
        <f>(INDEX(Models!$BJ247:$BT247,,AH247)*(1-AF247)+INDEX(Models!$BJ247:$BT247,,AH247+1)*AF247-ERP_i)*AE247*Ramure*Pc/MaxiM</f>
        <v>4.2608850788846017E-7</v>
      </c>
      <c r="AE247" s="304">
        <f t="shared" si="88"/>
        <v>0.6</v>
      </c>
      <c r="AF247" s="177">
        <f t="shared" si="89"/>
        <v>0.47457672474328627</v>
      </c>
      <c r="AG247" s="799">
        <f t="shared" si="95"/>
        <v>0</v>
      </c>
      <c r="AH247" s="176">
        <f t="shared" si="90"/>
        <v>6</v>
      </c>
      <c r="AI247" s="224">
        <f t="shared" si="91"/>
        <v>0.47457672474328627</v>
      </c>
      <c r="AJ247" s="264" t="b">
        <f t="shared" si="92"/>
        <v>0</v>
      </c>
      <c r="AK247" s="264" t="b">
        <f t="shared" si="93"/>
        <v>0</v>
      </c>
      <c r="AL247" s="264"/>
      <c r="AM247" s="264"/>
      <c r="AN247" s="75"/>
    </row>
    <row r="248" spans="1:40" s="6" customFormat="1" ht="11.25" x14ac:dyDescent="0.2">
      <c r="A248" s="56">
        <f t="shared" si="94"/>
        <v>44795</v>
      </c>
      <c r="B248" s="607">
        <v>28.124000000000002</v>
      </c>
      <c r="C248" s="388"/>
      <c r="D248" s="391">
        <f t="shared" si="74"/>
        <v>28.83294282522829</v>
      </c>
      <c r="E248" s="383">
        <f t="shared" si="96"/>
        <v>29.383113862046915</v>
      </c>
      <c r="F248" s="383">
        <f t="shared" si="75"/>
        <v>29.38311920760297</v>
      </c>
      <c r="G248" s="110">
        <f t="shared" si="97"/>
        <v>0.52782775311672692</v>
      </c>
      <c r="H248" s="412" t="b">
        <f>Wh_hp&gt;='2021'!Maxi_hp</f>
        <v>0</v>
      </c>
      <c r="I248" s="379">
        <f>IF(H248,Wh_hp,'2021'!Maxi_hp)</f>
        <v>56.932210607769058</v>
      </c>
      <c r="J248" s="85">
        <f>IF(H248,An,'2021'!An_max)</f>
        <v>2018</v>
      </c>
      <c r="K248" s="197">
        <f t="shared" si="76"/>
        <v>44795</v>
      </c>
      <c r="L248" s="147">
        <f>IF(t&lt;Tvie,1-EXP((T0-t)*PertePVj)+'2021'!Pspv,1-EXP((T0-t)*PertePVj)+Pspv)</f>
        <v>2.4587945445789683E-2</v>
      </c>
      <c r="M248" s="832"/>
      <c r="N248" s="832"/>
      <c r="O248" s="48">
        <f>IF(t&lt;Tnet,'2021'!Resal+('2021'!Salim-'2021'!Resal)*(1-EXP(('2021'!Tnet-t)/('2021'!Tau_j))),Resal+(Salim-Resal)*(1-EXP((Tnet-t)/(Tau_j))))*Salcycl</f>
        <v>1.8724054890903272E-2</v>
      </c>
      <c r="P248" s="169">
        <f>(INDEX(Models!$BJ248:$BT248,,T248)*(1-R248)+INDEX(Models!$BJ248:$BT248,,T248+1)*R248-ERP_i)*Q248*Ramure*Pc/MaxiM</f>
        <v>5.5896681397863621E-7</v>
      </c>
      <c r="Q248" s="304">
        <f t="shared" si="77"/>
        <v>0.6</v>
      </c>
      <c r="R248" s="177">
        <f t="shared" si="78"/>
        <v>0.47552409909490467</v>
      </c>
      <c r="S248" s="799">
        <f t="shared" si="79"/>
        <v>0</v>
      </c>
      <c r="T248" s="176">
        <f t="shared" si="80"/>
        <v>6</v>
      </c>
      <c r="U248" s="250">
        <f t="shared" si="81"/>
        <v>0.47552409909490467</v>
      </c>
      <c r="V248" s="382">
        <f t="shared" si="82"/>
        <v>53.28251352839591</v>
      </c>
      <c r="W248" s="400"/>
      <c r="X248" s="157">
        <f t="shared" si="83"/>
        <v>44795</v>
      </c>
      <c r="Y248" s="383">
        <f t="shared" si="84"/>
        <v>25.233926097545027</v>
      </c>
      <c r="Z248" s="383">
        <f t="shared" si="85"/>
        <v>25.870016655758487</v>
      </c>
      <c r="AA248" s="384">
        <f t="shared" si="86"/>
        <v>29.383113862046915</v>
      </c>
      <c r="AB248" s="197">
        <f t="shared" si="87"/>
        <v>44795</v>
      </c>
      <c r="AC248" s="119">
        <f>IF(OR(t&lt;Tnet,NoTnet),'2021'!Resal_s+('2021'!Salim-'2021'!Resal_s)*(1-EXP(('2021'!Tnet_s-t)/'2021'!Tau_j)),Resal_s+(Salim-Resal_s)*(1-EXP((Tnet_s-t)/Tau_j)))*Salcycl</f>
        <v>0.11956177356771461</v>
      </c>
      <c r="AD248" s="230">
        <f>(INDEX(Models!$BJ248:$BT248,,AH248)*(1-AF248)+INDEX(Models!$BJ248:$BT248,,AH248+1)*AF248-ERP_i)*AE248*Ramure*Pc/MaxiM</f>
        <v>5.5896681397863621E-7</v>
      </c>
      <c r="AE248" s="304">
        <f t="shared" si="88"/>
        <v>0.6</v>
      </c>
      <c r="AF248" s="177">
        <f t="shared" si="89"/>
        <v>0.47552409909490467</v>
      </c>
      <c r="AG248" s="799">
        <f t="shared" si="95"/>
        <v>0</v>
      </c>
      <c r="AH248" s="176">
        <f t="shared" si="90"/>
        <v>6</v>
      </c>
      <c r="AI248" s="224">
        <f t="shared" si="91"/>
        <v>0.47552409909490467</v>
      </c>
      <c r="AJ248" s="264" t="b">
        <f t="shared" si="92"/>
        <v>0</v>
      </c>
      <c r="AK248" s="264" t="b">
        <f t="shared" si="93"/>
        <v>0</v>
      </c>
      <c r="AL248" s="264"/>
      <c r="AM248" s="264"/>
      <c r="AN248" s="75"/>
    </row>
    <row r="249" spans="1:40" s="6" customFormat="1" ht="11.25" x14ac:dyDescent="0.2">
      <c r="A249" s="56">
        <f t="shared" si="94"/>
        <v>44796</v>
      </c>
      <c r="B249" s="607">
        <v>50.389000000000003</v>
      </c>
      <c r="C249" s="388"/>
      <c r="D249" s="391">
        <f t="shared" si="74"/>
        <v>51.660183485456983</v>
      </c>
      <c r="E249" s="383">
        <f t="shared" si="96"/>
        <v>52.650081259765038</v>
      </c>
      <c r="F249" s="383">
        <f t="shared" si="75"/>
        <v>52.650116822941889</v>
      </c>
      <c r="G249" s="110">
        <f t="shared" si="97"/>
        <v>0.94816485425205954</v>
      </c>
      <c r="H249" s="412" t="b">
        <f>Wh_hp&gt;='2021'!Maxi_hp</f>
        <v>0</v>
      </c>
      <c r="I249" s="379">
        <f>IF(H249,Wh_hp,'2021'!Maxi_hp)</f>
        <v>54.337170768740876</v>
      </c>
      <c r="J249" s="85">
        <f>IF(H249,An,'2021'!An_max)</f>
        <v>2018</v>
      </c>
      <c r="K249" s="197">
        <f t="shared" si="76"/>
        <v>44796</v>
      </c>
      <c r="L249" s="147">
        <f>IF(t&lt;Tvie,1-EXP((T0-t)*PertePVj)+'2021'!Pspv,1-EXP((T0-t)*PertePVj)+Pspv)</f>
        <v>2.4606638995288033E-2</v>
      </c>
      <c r="M249" s="832"/>
      <c r="N249" s="832"/>
      <c r="O249" s="48">
        <f>IF(t&lt;Tnet,'2021'!Resal+('2021'!Salim-'2021'!Resal)*(1-EXP(('2021'!Tnet-t)/('2021'!Tau_j))),Resal+(Salim-Resal)*(1-EXP((Tnet-t)/(Tau_j))))*Salcycl</f>
        <v>1.880144817676719E-2</v>
      </c>
      <c r="P249" s="169">
        <f>(INDEX(Models!$BJ249:$BT249,,T249)*(1-R249)+INDEX(Models!$BJ249:$BT249,,T249+1)*R249-ERP_i)*Q249*Ramure*Pc/MaxiM</f>
        <v>7.294805848290742E-7</v>
      </c>
      <c r="Q249" s="304">
        <f t="shared" si="77"/>
        <v>0.6</v>
      </c>
      <c r="R249" s="177">
        <f t="shared" si="78"/>
        <v>0.47643688137929097</v>
      </c>
      <c r="S249" s="799">
        <f t="shared" si="79"/>
        <v>0</v>
      </c>
      <c r="T249" s="176">
        <f t="shared" si="80"/>
        <v>6</v>
      </c>
      <c r="U249" s="250">
        <f t="shared" si="81"/>
        <v>0.47643688137929097</v>
      </c>
      <c r="V249" s="382">
        <f t="shared" si="82"/>
        <v>53.143709189502339</v>
      </c>
      <c r="W249" s="400"/>
      <c r="X249" s="157">
        <f t="shared" si="83"/>
        <v>44796</v>
      </c>
      <c r="Y249" s="383">
        <f t="shared" si="84"/>
        <v>45.215604690287066</v>
      </c>
      <c r="Z249" s="383">
        <f t="shared" si="85"/>
        <v>46.356276860150409</v>
      </c>
      <c r="AA249" s="384">
        <f t="shared" si="86"/>
        <v>52.650081259765038</v>
      </c>
      <c r="AB249" s="197">
        <f t="shared" si="87"/>
        <v>44796</v>
      </c>
      <c r="AC249" s="119">
        <f>IF(OR(t&lt;Tnet,NoTnet),'2021'!Resal_s+('2021'!Salim-'2021'!Resal_s)*(1-EXP(('2021'!Tnet_s-t)/'2021'!Tau_j)),Resal_s+(Salim-Resal_s)*(1-EXP((Tnet_s-t)/Tau_j)))*Salcycl</f>
        <v>0.119540259939244</v>
      </c>
      <c r="AD249" s="230">
        <f>(INDEX(Models!$BJ249:$BT249,,AH249)*(1-AF249)+INDEX(Models!$BJ249:$BT249,,AH249+1)*AF249-ERP_i)*AE249*Ramure*Pc/MaxiM</f>
        <v>7.294805848290742E-7</v>
      </c>
      <c r="AE249" s="304">
        <f t="shared" si="88"/>
        <v>0.6</v>
      </c>
      <c r="AF249" s="177">
        <f t="shared" si="89"/>
        <v>0.47643688137929097</v>
      </c>
      <c r="AG249" s="799">
        <f t="shared" si="95"/>
        <v>0</v>
      </c>
      <c r="AH249" s="176">
        <f t="shared" si="90"/>
        <v>6</v>
      </c>
      <c r="AI249" s="224">
        <f t="shared" si="91"/>
        <v>0.47643688137929097</v>
      </c>
      <c r="AJ249" s="264" t="b">
        <f t="shared" si="92"/>
        <v>0</v>
      </c>
      <c r="AK249" s="264" t="b">
        <f t="shared" si="93"/>
        <v>0</v>
      </c>
      <c r="AL249" s="264"/>
      <c r="AM249" s="264"/>
      <c r="AN249" s="75"/>
    </row>
    <row r="250" spans="1:40" s="6" customFormat="1" ht="11.25" x14ac:dyDescent="0.2">
      <c r="A250" s="56">
        <f t="shared" si="94"/>
        <v>44797</v>
      </c>
      <c r="B250" s="607">
        <v>50.953000000000003</v>
      </c>
      <c r="C250" s="388"/>
      <c r="D250" s="391">
        <f t="shared" si="74"/>
        <v>52.239412895788007</v>
      </c>
      <c r="E250" s="383">
        <f t="shared" si="96"/>
        <v>53.244601442234462</v>
      </c>
      <c r="F250" s="383">
        <f t="shared" si="75"/>
        <v>53.244648617833462</v>
      </c>
      <c r="G250" s="110">
        <f t="shared" si="97"/>
        <v>0.9612927437672375</v>
      </c>
      <c r="H250" s="412" t="b">
        <f>Wh_hp&gt;='2021'!Maxi_hp</f>
        <v>0</v>
      </c>
      <c r="I250" s="379">
        <f>IF(H250,Wh_hp,'2021'!Maxi_hp)</f>
        <v>54.747664261265655</v>
      </c>
      <c r="J250" s="85">
        <f>IF(H250,An,'2021'!An_max)</f>
        <v>2018</v>
      </c>
      <c r="K250" s="197">
        <f t="shared" si="76"/>
        <v>44797</v>
      </c>
      <c r="L250" s="147">
        <f>IF(t&lt;Tvie,1-EXP((T0-t)*PertePVj)+'2021'!Pspv,1-EXP((T0-t)*PertePVj)+Pspv)</f>
        <v>2.4625332186528626E-2</v>
      </c>
      <c r="M250" s="832"/>
      <c r="N250" s="832"/>
      <c r="O250" s="48">
        <f>IF(t&lt;Tnet,'2021'!Resal+('2021'!Salim-'2021'!Resal)*(1-EXP(('2021'!Tnet-t)/('2021'!Tau_j))),Resal+(Salim-Resal)*(1-EXP((Tnet-t)/(Tau_j))))*Salcycl</f>
        <v>1.8878694162768637E-2</v>
      </c>
      <c r="P250" s="169">
        <f>(INDEX(Models!$BJ250:$BT250,,T250)*(1-R250)+INDEX(Models!$BJ250:$BT250,,T250+1)*R250-ERP_i)*Q250*Ramure*Pc/MaxiM</f>
        <v>9.3787661626103579E-7</v>
      </c>
      <c r="Q250" s="304">
        <f t="shared" si="77"/>
        <v>0.6</v>
      </c>
      <c r="R250" s="177">
        <f t="shared" si="78"/>
        <v>0.47731620292895521</v>
      </c>
      <c r="S250" s="799">
        <f t="shared" si="79"/>
        <v>0</v>
      </c>
      <c r="T250" s="176">
        <f t="shared" si="80"/>
        <v>6</v>
      </c>
      <c r="U250" s="250">
        <f t="shared" si="81"/>
        <v>0.47731620292895521</v>
      </c>
      <c r="V250" s="382">
        <f t="shared" si="82"/>
        <v>53.004662406845426</v>
      </c>
      <c r="W250" s="400"/>
      <c r="X250" s="157">
        <f t="shared" si="83"/>
        <v>44797</v>
      </c>
      <c r="Y250" s="383">
        <f t="shared" si="84"/>
        <v>45.726436918979509</v>
      </c>
      <c r="Z250" s="383">
        <f t="shared" si="85"/>
        <v>46.880894519729459</v>
      </c>
      <c r="AA250" s="384">
        <f t="shared" si="86"/>
        <v>53.244601442234462</v>
      </c>
      <c r="AB250" s="197">
        <f t="shared" si="87"/>
        <v>44797</v>
      </c>
      <c r="AC250" s="119">
        <f>IF(OR(t&lt;Tnet,NoTnet),'2021'!Resal_s+('2021'!Salim-'2021'!Resal_s)*(1-EXP(('2021'!Tnet_s-t)/'2021'!Tau_j)),Resal_s+(Salim-Resal_s)*(1-EXP((Tnet_s-t)/Tau_j)))*Salcycl</f>
        <v>0.11951835022014479</v>
      </c>
      <c r="AD250" s="230">
        <f>(INDEX(Models!$BJ250:$BT250,,AH250)*(1-AF250)+INDEX(Models!$BJ250:$BT250,,AH250+1)*AF250-ERP_i)*AE250*Ramure*Pc/MaxiM</f>
        <v>9.3787661626103579E-7</v>
      </c>
      <c r="AE250" s="304">
        <f t="shared" si="88"/>
        <v>0.6</v>
      </c>
      <c r="AF250" s="177">
        <f t="shared" si="89"/>
        <v>0.47731620292895521</v>
      </c>
      <c r="AG250" s="799">
        <f t="shared" si="95"/>
        <v>0</v>
      </c>
      <c r="AH250" s="176">
        <f t="shared" si="90"/>
        <v>6</v>
      </c>
      <c r="AI250" s="224">
        <f t="shared" si="91"/>
        <v>0.47731620292895521</v>
      </c>
      <c r="AJ250" s="264" t="b">
        <f t="shared" si="92"/>
        <v>0</v>
      </c>
      <c r="AK250" s="264" t="b">
        <f t="shared" si="93"/>
        <v>0</v>
      </c>
      <c r="AL250" s="264"/>
      <c r="AM250" s="264"/>
      <c r="AN250" s="75"/>
    </row>
    <row r="251" spans="1:40" s="6" customFormat="1" ht="11.25" x14ac:dyDescent="0.2">
      <c r="A251" s="56">
        <f t="shared" si="94"/>
        <v>44798</v>
      </c>
      <c r="B251" s="607">
        <v>30.649000000000001</v>
      </c>
      <c r="C251" s="388"/>
      <c r="D251" s="391">
        <f t="shared" si="74"/>
        <v>31.423399031941482</v>
      </c>
      <c r="E251" s="383">
        <f t="shared" si="96"/>
        <v>32.030563655080016</v>
      </c>
      <c r="F251" s="383">
        <f t="shared" si="75"/>
        <v>32.030578816893147</v>
      </c>
      <c r="G251" s="110">
        <f t="shared" si="97"/>
        <v>0.57975977868418893</v>
      </c>
      <c r="H251" s="412" t="b">
        <f>Wh_hp&gt;='2021'!Maxi_hp</f>
        <v>0</v>
      </c>
      <c r="I251" s="379">
        <f>IF(H251,Wh_hp,'2021'!Maxi_hp)</f>
        <v>52.804588122486173</v>
      </c>
      <c r="J251" s="85">
        <f>IF(H251,An,'2021'!An_max)</f>
        <v>2021</v>
      </c>
      <c r="K251" s="197">
        <f t="shared" si="76"/>
        <v>44798</v>
      </c>
      <c r="L251" s="147">
        <f>IF(t&lt;Tvie,1-EXP((T0-t)*PertePVj)+'2021'!Pspv,1-EXP((T0-t)*PertePVj)+Pspv)</f>
        <v>2.4644025019518567E-2</v>
      </c>
      <c r="M251" s="832"/>
      <c r="N251" s="832"/>
      <c r="O251" s="48">
        <f>IF(t&lt;Tnet,'2021'!Resal+('2021'!Salim-'2021'!Resal)*(1-EXP(('2021'!Tnet-t)/('2021'!Tau_j))),Resal+(Salim-Resal)*(1-EXP((Tnet-t)/(Tau_j))))*Salcycl</f>
        <v>1.8955789528925106E-2</v>
      </c>
      <c r="P251" s="169">
        <f>(INDEX(Models!$BJ251:$BT251,,T251)*(1-R251)+INDEX(Models!$BJ251:$BT251,,T251+1)*R251-ERP_i)*Q251*Ramure*Pc/MaxiM</f>
        <v>1.1844002140577731E-6</v>
      </c>
      <c r="Q251" s="304">
        <f t="shared" si="77"/>
        <v>0.6</v>
      </c>
      <c r="R251" s="177">
        <f t="shared" si="78"/>
        <v>0.47816316809691983</v>
      </c>
      <c r="S251" s="799">
        <f t="shared" si="79"/>
        <v>0</v>
      </c>
      <c r="T251" s="176">
        <f t="shared" si="80"/>
        <v>6</v>
      </c>
      <c r="U251" s="250">
        <f t="shared" si="81"/>
        <v>0.47816316809691983</v>
      </c>
      <c r="V251" s="382">
        <f t="shared" si="82"/>
        <v>52.864961202904844</v>
      </c>
      <c r="W251" s="400"/>
      <c r="X251" s="157">
        <f t="shared" si="83"/>
        <v>44798</v>
      </c>
      <c r="Y251" s="383">
        <f t="shared" si="84"/>
        <v>27.508002130599227</v>
      </c>
      <c r="Z251" s="383">
        <f t="shared" si="85"/>
        <v>28.203038517449702</v>
      </c>
      <c r="AA251" s="384">
        <f t="shared" si="86"/>
        <v>32.030563655080016</v>
      </c>
      <c r="AB251" s="197">
        <f t="shared" si="87"/>
        <v>44798</v>
      </c>
      <c r="AC251" s="119">
        <f>IF(OR(t&lt;Tnet,NoTnet),'2021'!Resal_s+('2021'!Salim-'2021'!Resal_s)*(1-EXP(('2021'!Tnet_s-t)/'2021'!Tau_j)),Resal_s+(Salim-Resal_s)*(1-EXP((Tnet_s-t)/Tau_j)))*Salcycl</f>
        <v>0.11949602819503519</v>
      </c>
      <c r="AD251" s="230">
        <f>(INDEX(Models!$BJ251:$BT251,,AH251)*(1-AF251)+INDEX(Models!$BJ251:$BT251,,AH251+1)*AF251-ERP_i)*AE251*Ramure*Pc/MaxiM</f>
        <v>1.1844002140577731E-6</v>
      </c>
      <c r="AE251" s="304">
        <f t="shared" si="88"/>
        <v>0.6</v>
      </c>
      <c r="AF251" s="177">
        <f t="shared" si="89"/>
        <v>0.47816316809691983</v>
      </c>
      <c r="AG251" s="799">
        <f t="shared" si="95"/>
        <v>0</v>
      </c>
      <c r="AH251" s="176">
        <f t="shared" si="90"/>
        <v>6</v>
      </c>
      <c r="AI251" s="224">
        <f t="shared" si="91"/>
        <v>0.47816316809691983</v>
      </c>
      <c r="AJ251" s="264" t="b">
        <f t="shared" si="92"/>
        <v>0</v>
      </c>
      <c r="AK251" s="264" t="b">
        <f t="shared" si="93"/>
        <v>0</v>
      </c>
      <c r="AL251" s="264"/>
      <c r="AM251" s="264"/>
      <c r="AN251" s="75"/>
    </row>
    <row r="252" spans="1:40" s="6" customFormat="1" ht="11.25" x14ac:dyDescent="0.2">
      <c r="A252" s="56">
        <f t="shared" si="94"/>
        <v>44799</v>
      </c>
      <c r="B252" s="607">
        <v>40.956000000000003</v>
      </c>
      <c r="C252" s="388"/>
      <c r="D252" s="391">
        <f t="shared" si="74"/>
        <v>41.991627649852674</v>
      </c>
      <c r="E252" s="383">
        <f t="shared" si="96"/>
        <v>42.80634937498089</v>
      </c>
      <c r="F252" s="383">
        <f t="shared" si="75"/>
        <v>42.80639221540558</v>
      </c>
      <c r="G252" s="110">
        <f t="shared" si="97"/>
        <v>0.77679672054133275</v>
      </c>
      <c r="H252" s="412" t="b">
        <f>Wh_hp&gt;='2021'!Maxi_hp</f>
        <v>0</v>
      </c>
      <c r="I252" s="379">
        <f>IF(H252,Wh_hp,'2021'!Maxi_hp)</f>
        <v>54.205725811203237</v>
      </c>
      <c r="J252" s="85">
        <f>IF(H252,An,'2021'!An_max)</f>
        <v>2020</v>
      </c>
      <c r="K252" s="197">
        <f t="shared" si="76"/>
        <v>44799</v>
      </c>
      <c r="L252" s="147">
        <f>IF(t&lt;Tvie,1-EXP((T0-t)*PertePVj)+'2021'!Pspv,1-EXP((T0-t)*PertePVj)+Pspv)</f>
        <v>2.466271749426463E-2</v>
      </c>
      <c r="M252" s="832"/>
      <c r="N252" s="832"/>
      <c r="O252" s="48">
        <f>IF(t&lt;Tnet,'2021'!Resal+('2021'!Salim-'2021'!Resal)*(1-EXP(('2021'!Tnet-t)/('2021'!Tau_j))),Resal+(Salim-Resal)*(1-EXP((Tnet-t)/(Tau_j))))*Salcycl</f>
        <v>1.9032730822040118E-2</v>
      </c>
      <c r="P252" s="169">
        <f>(INDEX(Models!$BJ252:$BT252,,T252)*(1-R252)+INDEX(Models!$BJ252:$BT252,,T252+1)*R252-ERP_i)*Q252*Ramure*Pc/MaxiM</f>
        <v>1.4692969937535422E-6</v>
      </c>
      <c r="Q252" s="304">
        <f t="shared" si="77"/>
        <v>0.6</v>
      </c>
      <c r="R252" s="177">
        <f t="shared" si="78"/>
        <v>0.47897885409832347</v>
      </c>
      <c r="S252" s="799">
        <f t="shared" si="79"/>
        <v>0</v>
      </c>
      <c r="T252" s="176">
        <f t="shared" si="80"/>
        <v>6</v>
      </c>
      <c r="U252" s="250">
        <f t="shared" si="81"/>
        <v>0.47897885409832347</v>
      </c>
      <c r="V252" s="382">
        <f t="shared" si="82"/>
        <v>52.724193767802142</v>
      </c>
      <c r="W252" s="400"/>
      <c r="X252" s="157">
        <f t="shared" si="83"/>
        <v>44799</v>
      </c>
      <c r="Y252" s="383">
        <f t="shared" si="84"/>
        <v>36.762544069524075</v>
      </c>
      <c r="Z252" s="383">
        <f t="shared" si="85"/>
        <v>37.692134535324598</v>
      </c>
      <c r="AA252" s="384">
        <f t="shared" si="86"/>
        <v>42.80634937498089</v>
      </c>
      <c r="AB252" s="197">
        <f t="shared" si="87"/>
        <v>44799</v>
      </c>
      <c r="AC252" s="119">
        <f>IF(OR(t&lt;Tnet,NoTnet),'2021'!Resal_s+('2021'!Salim-'2021'!Resal_s)*(1-EXP(('2021'!Tnet_s-t)/'2021'!Tau_j)),Resal_s+(Salim-Resal_s)*(1-EXP((Tnet_s-t)/Tau_j)))*Salcycl</f>
        <v>0.11947327707990446</v>
      </c>
      <c r="AD252" s="230">
        <f>(INDEX(Models!$BJ252:$BT252,,AH252)*(1-AF252)+INDEX(Models!$BJ252:$BT252,,AH252+1)*AF252-ERP_i)*AE252*Ramure*Pc/MaxiM</f>
        <v>1.4692969937535422E-6</v>
      </c>
      <c r="AE252" s="304">
        <f t="shared" si="88"/>
        <v>0.6</v>
      </c>
      <c r="AF252" s="177">
        <f t="shared" si="89"/>
        <v>0.47897885409832347</v>
      </c>
      <c r="AG252" s="799">
        <f t="shared" si="95"/>
        <v>0</v>
      </c>
      <c r="AH252" s="176">
        <f t="shared" si="90"/>
        <v>6</v>
      </c>
      <c r="AI252" s="224">
        <f t="shared" si="91"/>
        <v>0.47897885409832347</v>
      </c>
      <c r="AJ252" s="264" t="b">
        <f t="shared" si="92"/>
        <v>0</v>
      </c>
      <c r="AK252" s="264" t="b">
        <f t="shared" si="93"/>
        <v>0</v>
      </c>
      <c r="AL252" s="264"/>
      <c r="AM252" s="264"/>
      <c r="AN252" s="75"/>
    </row>
    <row r="253" spans="1:40" s="6" customFormat="1" ht="11.25" x14ac:dyDescent="0.2">
      <c r="A253" s="56">
        <f t="shared" si="94"/>
        <v>44800</v>
      </c>
      <c r="B253" s="607">
        <v>49.59</v>
      </c>
      <c r="C253" s="388"/>
      <c r="D253" s="391">
        <f t="shared" si="74"/>
        <v>50.844924405890616</v>
      </c>
      <c r="E253" s="383">
        <f t="shared" si="96"/>
        <v>51.83547516782108</v>
      </c>
      <c r="F253" s="383">
        <f t="shared" si="75"/>
        <v>51.835560545336492</v>
      </c>
      <c r="G253" s="110">
        <f t="shared" si="97"/>
        <v>0.94309918573285412</v>
      </c>
      <c r="H253" s="412" t="b">
        <f>Wh_hp&gt;='2021'!Maxi_hp</f>
        <v>1</v>
      </c>
      <c r="I253" s="379">
        <f>IF(H253,Wh_hp,'2021'!Maxi_hp)</f>
        <v>51.835560545336492</v>
      </c>
      <c r="J253" s="85">
        <f>IF(H253,An,'2021'!An_max)</f>
        <v>2022</v>
      </c>
      <c r="K253" s="197">
        <f t="shared" si="76"/>
        <v>44800</v>
      </c>
      <c r="L253" s="147">
        <f>IF(t&lt;Tvie,1-EXP((T0-t)*PertePVj)+'2021'!Pspv,1-EXP((T0-t)*PertePVj)+Pspv)</f>
        <v>2.4681409610773697E-2</v>
      </c>
      <c r="M253" s="832"/>
      <c r="N253" s="832"/>
      <c r="O253" s="48">
        <f>IF(t&lt;Tnet,'2021'!Resal+('2021'!Salim-'2021'!Resal)*(1-EXP(('2021'!Tnet-t)/('2021'!Tau_j))),Resal+(Salim-Resal)*(1-EXP((Tnet-t)/(Tau_j))))*Salcycl</f>
        <v>1.9109514453634041E-2</v>
      </c>
      <c r="P253" s="169">
        <f>(INDEX(Models!$BJ253:$BT253,,T253)*(1-R253)+INDEX(Models!$BJ253:$BT253,,T253+1)*R253-ERP_i)*Q253*Ramure*Pc/MaxiM</f>
        <v>1.7928159213150982E-6</v>
      </c>
      <c r="Q253" s="304">
        <f t="shared" si="77"/>
        <v>0.6</v>
      </c>
      <c r="R253" s="177">
        <f t="shared" si="78"/>
        <v>0.47976431093357069</v>
      </c>
      <c r="S253" s="799">
        <f t="shared" si="79"/>
        <v>0</v>
      </c>
      <c r="T253" s="176">
        <f t="shared" si="80"/>
        <v>6</v>
      </c>
      <c r="U253" s="250">
        <f t="shared" si="81"/>
        <v>0.47976431093357069</v>
      </c>
      <c r="V253" s="382">
        <f t="shared" si="82"/>
        <v>52.581948456037033</v>
      </c>
      <c r="W253" s="400"/>
      <c r="X253" s="157">
        <f t="shared" si="83"/>
        <v>44800</v>
      </c>
      <c r="Y253" s="383">
        <f t="shared" si="84"/>
        <v>44.517172100253859</v>
      </c>
      <c r="Z253" s="383">
        <f t="shared" si="85"/>
        <v>45.643723537032265</v>
      </c>
      <c r="AA253" s="384">
        <f t="shared" si="86"/>
        <v>51.83547516782108</v>
      </c>
      <c r="AB253" s="197">
        <f t="shared" si="87"/>
        <v>44800</v>
      </c>
      <c r="AC253" s="119">
        <f>IF(OR(t&lt;Tnet,NoTnet),'2021'!Resal_s+('2021'!Salim-'2021'!Resal_s)*(1-EXP(('2021'!Tnet_s-t)/'2021'!Tau_j)),Resal_s+(Salim-Resal_s)*(1-EXP((Tnet_s-t)/Tau_j)))*Salcycl</f>
        <v>0.11945007952068673</v>
      </c>
      <c r="AD253" s="230">
        <f>(INDEX(Models!$BJ253:$BT253,,AH253)*(1-AF253)+INDEX(Models!$BJ253:$BT253,,AH253+1)*AF253-ERP_i)*AE253*Ramure*Pc/MaxiM</f>
        <v>1.7928159213150982E-6</v>
      </c>
      <c r="AE253" s="304">
        <f t="shared" si="88"/>
        <v>0.6</v>
      </c>
      <c r="AF253" s="177">
        <f t="shared" si="89"/>
        <v>0.47976431093357069</v>
      </c>
      <c r="AG253" s="799">
        <f t="shared" si="95"/>
        <v>0</v>
      </c>
      <c r="AH253" s="176">
        <f t="shared" si="90"/>
        <v>6</v>
      </c>
      <c r="AI253" s="224">
        <f t="shared" si="91"/>
        <v>0.47976431093357069</v>
      </c>
      <c r="AJ253" s="264" t="b">
        <f t="shared" si="92"/>
        <v>0</v>
      </c>
      <c r="AK253" s="264" t="b">
        <f t="shared" si="93"/>
        <v>0</v>
      </c>
      <c r="AL253" s="264"/>
      <c r="AM253" s="264"/>
      <c r="AN253" s="75"/>
    </row>
    <row r="254" spans="1:40" s="6" customFormat="1" ht="11.25" x14ac:dyDescent="0.2">
      <c r="A254" s="56">
        <f t="shared" si="94"/>
        <v>44801</v>
      </c>
      <c r="B254" s="607">
        <v>50.703000000000003</v>
      </c>
      <c r="C254" s="388"/>
      <c r="D254" s="391">
        <f t="shared" si="74"/>
        <v>51.987086301529466</v>
      </c>
      <c r="E254" s="383">
        <f t="shared" si="96"/>
        <v>53.004028844380308</v>
      </c>
      <c r="F254" s="383">
        <f t="shared" si="75"/>
        <v>53.004138362210199</v>
      </c>
      <c r="G254" s="110">
        <f t="shared" si="97"/>
        <v>0.96691665467076116</v>
      </c>
      <c r="H254" s="412" t="b">
        <f>Wh_hp&gt;='2021'!Maxi_hp</f>
        <v>0</v>
      </c>
      <c r="I254" s="379">
        <f>IF(H254,Wh_hp,'2021'!Maxi_hp)</f>
        <v>55.753732502644198</v>
      </c>
      <c r="J254" s="85">
        <f>IF(H254,An,'2021'!An_max)</f>
        <v>2021</v>
      </c>
      <c r="K254" s="197">
        <f t="shared" si="76"/>
        <v>44801</v>
      </c>
      <c r="L254" s="147">
        <f>IF(t&lt;Tvie,1-EXP((T0-t)*PertePVj)+'2021'!Pspv,1-EXP((T0-t)*PertePVj)+Pspv)</f>
        <v>2.4700101369052541E-2</v>
      </c>
      <c r="M254" s="832"/>
      <c r="N254" s="832"/>
      <c r="O254" s="48">
        <f>IF(t&lt;Tnet,'2021'!Resal+('2021'!Salim-'2021'!Resal)*(1-EXP(('2021'!Tnet-t)/('2021'!Tau_j))),Resal+(Salim-Resal)*(1-EXP((Tnet-t)/(Tau_j))))*Salcycl</f>
        <v>1.9186136696072345E-2</v>
      </c>
      <c r="P254" s="169">
        <f>(INDEX(Models!$BJ254:$BT254,,T254)*(1-R254)+INDEX(Models!$BJ254:$BT254,,T254+1)*R254-ERP_i)*Q254*Ramure*Pc/MaxiM</f>
        <v>2.1687099053283675E-6</v>
      </c>
      <c r="Q254" s="304">
        <f t="shared" si="77"/>
        <v>0.6</v>
      </c>
      <c r="R254" s="177">
        <f t="shared" si="78"/>
        <v>0.48052056138613053</v>
      </c>
      <c r="S254" s="799">
        <f t="shared" si="79"/>
        <v>0</v>
      </c>
      <c r="T254" s="176">
        <f t="shared" si="80"/>
        <v>6</v>
      </c>
      <c r="U254" s="250">
        <f t="shared" si="81"/>
        <v>0.48052056138613053</v>
      </c>
      <c r="V254" s="382">
        <f t="shared" si="82"/>
        <v>52.437813081566809</v>
      </c>
      <c r="W254" s="400"/>
      <c r="X254" s="157">
        <f t="shared" si="83"/>
        <v>44801</v>
      </c>
      <c r="Y254" s="383">
        <f t="shared" si="84"/>
        <v>45.521096326076716</v>
      </c>
      <c r="Z254" s="383">
        <f t="shared" si="85"/>
        <v>46.67394756215581</v>
      </c>
      <c r="AA254" s="384">
        <f t="shared" si="86"/>
        <v>53.004028844380308</v>
      </c>
      <c r="AB254" s="197">
        <f t="shared" si="87"/>
        <v>44801</v>
      </c>
      <c r="AC254" s="119">
        <f>IF(OR(t&lt;Tnet,NoTnet),'2021'!Resal_s+('2021'!Salim-'2021'!Resal_s)*(1-EXP(('2021'!Tnet_s-t)/'2021'!Tau_j)),Resal_s+(Salim-Resal_s)*(1-EXP((Tnet_s-t)/Tau_j)))*Salcycl</f>
        <v>0.1194264175806258</v>
      </c>
      <c r="AD254" s="230">
        <f>(INDEX(Models!$BJ254:$BT254,,AH254)*(1-AF254)+INDEX(Models!$BJ254:$BT254,,AH254+1)*AF254-ERP_i)*AE254*Ramure*Pc/MaxiM</f>
        <v>2.1687099053283675E-6</v>
      </c>
      <c r="AE254" s="304">
        <f t="shared" si="88"/>
        <v>0.6</v>
      </c>
      <c r="AF254" s="177">
        <f t="shared" si="89"/>
        <v>0.48052056138613053</v>
      </c>
      <c r="AG254" s="799">
        <f t="shared" si="95"/>
        <v>0</v>
      </c>
      <c r="AH254" s="176">
        <f t="shared" si="90"/>
        <v>6</v>
      </c>
      <c r="AI254" s="224">
        <f t="shared" si="91"/>
        <v>0.48052056138613053</v>
      </c>
      <c r="AJ254" s="264" t="b">
        <f t="shared" si="92"/>
        <v>0</v>
      </c>
      <c r="AK254" s="264" t="b">
        <f t="shared" si="93"/>
        <v>0</v>
      </c>
      <c r="AL254" s="264"/>
      <c r="AM254" s="264"/>
      <c r="AN254" s="75"/>
    </row>
    <row r="255" spans="1:40" s="6" customFormat="1" ht="11.25" x14ac:dyDescent="0.2">
      <c r="A255" s="56">
        <f t="shared" si="94"/>
        <v>44802</v>
      </c>
      <c r="B255" s="607">
        <v>34.863999999999997</v>
      </c>
      <c r="C255" s="388"/>
      <c r="D255" s="391">
        <f t="shared" si="74"/>
        <v>35.747638467257126</v>
      </c>
      <c r="E255" s="383">
        <f t="shared" si="96"/>
        <v>36.449755293093695</v>
      </c>
      <c r="F255" s="383">
        <f t="shared" si="75"/>
        <v>36.449804661160208</v>
      </c>
      <c r="G255" s="110">
        <f t="shared" si="97"/>
        <v>0.66672478549897463</v>
      </c>
      <c r="H255" s="412" t="b">
        <f>Wh_hp&gt;='2021'!Maxi_hp</f>
        <v>0</v>
      </c>
      <c r="I255" s="379">
        <f>IF(H255,Wh_hp,'2021'!Maxi_hp)</f>
        <v>55.057615254458725</v>
      </c>
      <c r="J255" s="85">
        <f>IF(H255,An,'2021'!An_max)</f>
        <v>2021</v>
      </c>
      <c r="K255" s="197">
        <f t="shared" si="76"/>
        <v>44802</v>
      </c>
      <c r="L255" s="147">
        <f>IF(t&lt;Tvie,1-EXP((T0-t)*PertePVj)+'2021'!Pspv,1-EXP((T0-t)*PertePVj)+Pspv)</f>
        <v>2.4718792769108155E-2</v>
      </c>
      <c r="M255" s="832"/>
      <c r="N255" s="832"/>
      <c r="O255" s="48">
        <f>IF(t&lt;Tnet,'2021'!Resal+('2021'!Salim-'2021'!Resal)*(1-EXP(('2021'!Tnet-t)/('2021'!Tau_j))),Resal+(Salim-Resal)*(1-EXP((Tnet-t)/(Tau_j))))*Salcycl</f>
        <v>1.9262593676989844E-2</v>
      </c>
      <c r="P255" s="169">
        <f>(INDEX(Models!$BJ255:$BT255,,T255)*(1-R255)+INDEX(Models!$BJ255:$BT255,,T255+1)*R255-ERP_i)*Q255*Ramure*Pc/MaxiM</f>
        <v>2.5852807844805025E-6</v>
      </c>
      <c r="Q255" s="304">
        <f t="shared" si="77"/>
        <v>0.6</v>
      </c>
      <c r="R255" s="177">
        <f t="shared" si="78"/>
        <v>0.48124860108842515</v>
      </c>
      <c r="S255" s="799">
        <f t="shared" si="79"/>
        <v>0</v>
      </c>
      <c r="T255" s="176">
        <f t="shared" si="80"/>
        <v>6</v>
      </c>
      <c r="U255" s="250">
        <f t="shared" si="81"/>
        <v>0.48124860108842515</v>
      </c>
      <c r="V255" s="382">
        <f t="shared" si="82"/>
        <v>52.291376959765479</v>
      </c>
      <c r="W255" s="400"/>
      <c r="X255" s="157">
        <f t="shared" si="83"/>
        <v>44802</v>
      </c>
      <c r="Y255" s="383">
        <f t="shared" si="84"/>
        <v>31.304158448576676</v>
      </c>
      <c r="Z255" s="383">
        <f t="shared" si="85"/>
        <v>32.097571671106351</v>
      </c>
      <c r="AA255" s="384">
        <f t="shared" si="86"/>
        <v>36.449755293093695</v>
      </c>
      <c r="AB255" s="197">
        <f t="shared" si="87"/>
        <v>44802</v>
      </c>
      <c r="AC255" s="119">
        <f>IF(OR(t&lt;Tnet,NoTnet),'2021'!Resal_s+('2021'!Salim-'2021'!Resal_s)*(1-EXP(('2021'!Tnet_s-t)/'2021'!Tau_j)),Resal_s+(Salim-Resal_s)*(1-EXP((Tnet_s-t)/Tau_j)))*Salcycl</f>
        <v>0.11940227271736924</v>
      </c>
      <c r="AD255" s="230">
        <f>(INDEX(Models!$BJ255:$BT255,,AH255)*(1-AF255)+INDEX(Models!$BJ255:$BT255,,AH255+1)*AF255-ERP_i)*AE255*Ramure*Pc/MaxiM</f>
        <v>2.5852807844805025E-6</v>
      </c>
      <c r="AE255" s="304">
        <f t="shared" si="88"/>
        <v>0.6</v>
      </c>
      <c r="AF255" s="177">
        <f t="shared" si="89"/>
        <v>0.48124860108842515</v>
      </c>
      <c r="AG255" s="799">
        <f t="shared" si="95"/>
        <v>0</v>
      </c>
      <c r="AH255" s="176">
        <f t="shared" si="90"/>
        <v>6</v>
      </c>
      <c r="AI255" s="224">
        <f t="shared" si="91"/>
        <v>0.48124860108842515</v>
      </c>
      <c r="AJ255" s="264" t="b">
        <f t="shared" si="92"/>
        <v>0</v>
      </c>
      <c r="AK255" s="264" t="b">
        <f t="shared" si="93"/>
        <v>0</v>
      </c>
      <c r="AL255" s="264"/>
      <c r="AM255" s="264"/>
      <c r="AN255" s="75"/>
    </row>
    <row r="256" spans="1:40" s="6" customFormat="1" ht="11.25" x14ac:dyDescent="0.2">
      <c r="A256" s="56">
        <f t="shared" si="94"/>
        <v>44803</v>
      </c>
      <c r="B256" s="607">
        <v>50.032000000000004</v>
      </c>
      <c r="C256" s="388"/>
      <c r="D256" s="391">
        <f t="shared" si="74"/>
        <v>51.301059119451899</v>
      </c>
      <c r="E256" s="383">
        <f t="shared" si="96"/>
        <v>52.312728775494293</v>
      </c>
      <c r="F256" s="383">
        <f t="shared" si="75"/>
        <v>52.312878751012029</v>
      </c>
      <c r="G256" s="110">
        <f t="shared" si="97"/>
        <v>0.95952919952240479</v>
      </c>
      <c r="H256" s="412" t="b">
        <f>Wh_hp&gt;='2021'!Maxi_hp</f>
        <v>0</v>
      </c>
      <c r="I256" s="379">
        <f>IF(H256,Wh_hp,'2021'!Maxi_hp)</f>
        <v>53.730779388968067</v>
      </c>
      <c r="J256" s="85">
        <f>IF(H256,An,'2021'!An_max)</f>
        <v>2021</v>
      </c>
      <c r="K256" s="197">
        <f t="shared" si="76"/>
        <v>44803</v>
      </c>
      <c r="L256" s="147">
        <f>IF(t&lt;Tvie,1-EXP((T0-t)*PertePVj)+'2021'!Pspv,1-EXP((T0-t)*PertePVj)+Pspv)</f>
        <v>2.4737483810947314E-2</v>
      </c>
      <c r="M256" s="832"/>
      <c r="N256" s="832"/>
      <c r="O256" s="48">
        <f>IF(t&lt;Tnet,'2021'!Resal+('2021'!Salim-'2021'!Resal)*(1-EXP(('2021'!Tnet-t)/('2021'!Tau_j))),Resal+(Salim-Resal)*(1-EXP((Tnet-t)/(Tau_j))))*Salcycl</f>
        <v>1.933888137214336E-2</v>
      </c>
      <c r="P256" s="169">
        <f>(INDEX(Models!$BJ256:$BT256,,T256)*(1-R256)+INDEX(Models!$BJ256:$BT256,,T256+1)*R256-ERP_i)*Q256*Ramure*Pc/MaxiM</f>
        <v>3.0428157186365473E-6</v>
      </c>
      <c r="Q256" s="304">
        <f t="shared" si="77"/>
        <v>0.6</v>
      </c>
      <c r="R256" s="177">
        <f t="shared" si="78"/>
        <v>0.48194939864959985</v>
      </c>
      <c r="S256" s="799">
        <f t="shared" si="79"/>
        <v>0</v>
      </c>
      <c r="T256" s="176">
        <f t="shared" si="80"/>
        <v>6</v>
      </c>
      <c r="U256" s="250">
        <f t="shared" si="81"/>
        <v>0.48194939864959985</v>
      </c>
      <c r="V256" s="382">
        <f t="shared" si="82"/>
        <v>52.142228942277136</v>
      </c>
      <c r="W256" s="400"/>
      <c r="X256" s="157">
        <f t="shared" si="83"/>
        <v>44803</v>
      </c>
      <c r="Y256" s="383">
        <f t="shared" si="84"/>
        <v>44.928158964922027</v>
      </c>
      <c r="Z256" s="383">
        <f t="shared" si="85"/>
        <v>46.067759417724602</v>
      </c>
      <c r="AA256" s="384">
        <f t="shared" si="86"/>
        <v>52.312728775494293</v>
      </c>
      <c r="AB256" s="197">
        <f t="shared" si="87"/>
        <v>44803</v>
      </c>
      <c r="AC256" s="119">
        <f>IF(OR(t&lt;Tnet,NoTnet),'2021'!Resal_s+('2021'!Salim-'2021'!Resal_s)*(1-EXP(('2021'!Tnet_s-t)/'2021'!Tau_j)),Resal_s+(Salim-Resal_s)*(1-EXP((Tnet_s-t)/Tau_j)))*Salcycl</f>
        <v>0.11937762575090761</v>
      </c>
      <c r="AD256" s="230">
        <f>(INDEX(Models!$BJ256:$BT256,,AH256)*(1-AF256)+INDEX(Models!$BJ256:$BT256,,AH256+1)*AF256-ERP_i)*AE256*Ramure*Pc/MaxiM</f>
        <v>3.0428157186365473E-6</v>
      </c>
      <c r="AE256" s="304">
        <f t="shared" si="88"/>
        <v>0.6</v>
      </c>
      <c r="AF256" s="177">
        <f t="shared" si="89"/>
        <v>0.48194939864959985</v>
      </c>
      <c r="AG256" s="799">
        <f t="shared" si="95"/>
        <v>0</v>
      </c>
      <c r="AH256" s="176">
        <f t="shared" si="90"/>
        <v>6</v>
      </c>
      <c r="AI256" s="224">
        <f t="shared" si="91"/>
        <v>0.48194939864959985</v>
      </c>
      <c r="AJ256" s="264" t="b">
        <f t="shared" si="92"/>
        <v>0</v>
      </c>
      <c r="AK256" s="264" t="b">
        <f t="shared" si="93"/>
        <v>0</v>
      </c>
      <c r="AL256" s="264"/>
      <c r="AM256" s="264"/>
      <c r="AN256" s="75"/>
    </row>
    <row r="257" spans="1:40" s="6" customFormat="1" ht="11.25" x14ac:dyDescent="0.2">
      <c r="A257" s="56">
        <f t="shared" si="94"/>
        <v>44804</v>
      </c>
      <c r="B257" s="607">
        <v>25.926000000000002</v>
      </c>
      <c r="C257" s="388"/>
      <c r="D257" s="391">
        <f t="shared" si="74"/>
        <v>26.584121141770648</v>
      </c>
      <c r="E257" s="383">
        <f t="shared" si="96"/>
        <v>27.11047081323845</v>
      </c>
      <c r="F257" s="383">
        <f t="shared" si="75"/>
        <v>27.110498064108</v>
      </c>
      <c r="G257" s="110">
        <f t="shared" si="97"/>
        <v>0.49867195929243663</v>
      </c>
      <c r="H257" s="412" t="b">
        <f>Wh_hp&gt;='2021'!Maxi_hp</f>
        <v>0</v>
      </c>
      <c r="I257" s="379">
        <f>IF(H257,Wh_hp,'2021'!Maxi_hp)</f>
        <v>53.216072891494655</v>
      </c>
      <c r="J257" s="85">
        <f>IF(H257,An,'2021'!An_max)</f>
        <v>2021</v>
      </c>
      <c r="K257" s="197">
        <f t="shared" si="76"/>
        <v>44804</v>
      </c>
      <c r="L257" s="147">
        <f>IF(t&lt;Tvie,1-EXP((T0-t)*PertePVj)+'2021'!Pspv,1-EXP((T0-t)*PertePVj)+Pspv)</f>
        <v>2.475617449457701E-2</v>
      </c>
      <c r="M257" s="832"/>
      <c r="N257" s="832"/>
      <c r="O257" s="48">
        <f>IF(t&lt;Tnet,'2021'!Resal+('2021'!Salim-'2021'!Resal)*(1-EXP(('2021'!Tnet-t)/('2021'!Tau_j))),Resal+(Salim-Resal)*(1-EXP((Tnet-t)/(Tau_j))))*Salcycl</f>
        <v>1.9414995596859094E-2</v>
      </c>
      <c r="P257" s="169">
        <f>(INDEX(Models!$BJ257:$BT257,,T257)*(1-R257)+INDEX(Models!$BJ257:$BT257,,T257+1)*R257-ERP_i)*Q257*Ramure*Pc/MaxiM</f>
        <v>3.5416167965804976E-6</v>
      </c>
      <c r="Q257" s="304">
        <f t="shared" si="77"/>
        <v>0.6</v>
      </c>
      <c r="R257" s="177">
        <f t="shared" si="78"/>
        <v>0.48262389583930004</v>
      </c>
      <c r="S257" s="799">
        <f t="shared" si="79"/>
        <v>0</v>
      </c>
      <c r="T257" s="176">
        <f t="shared" si="80"/>
        <v>6</v>
      </c>
      <c r="U257" s="250">
        <f t="shared" si="81"/>
        <v>0.48262389583930004</v>
      </c>
      <c r="V257" s="382">
        <f t="shared" si="82"/>
        <v>51.989958041758491</v>
      </c>
      <c r="W257" s="400"/>
      <c r="X257" s="157">
        <f t="shared" si="83"/>
        <v>44804</v>
      </c>
      <c r="Y257" s="383">
        <f t="shared" si="84"/>
        <v>23.28372155587606</v>
      </c>
      <c r="Z257" s="383">
        <f t="shared" si="85"/>
        <v>23.874769516032774</v>
      </c>
      <c r="AA257" s="384">
        <f t="shared" si="86"/>
        <v>27.11047081323845</v>
      </c>
      <c r="AB257" s="197">
        <f t="shared" si="87"/>
        <v>44804</v>
      </c>
      <c r="AC257" s="119">
        <f>IF(OR(t&lt;Tnet,NoTnet),'2021'!Resal_s+('2021'!Salim-'2021'!Resal_s)*(1-EXP(('2021'!Tnet_s-t)/'2021'!Tau_j)),Resal_s+(Salim-Resal_s)*(1-EXP((Tnet_s-t)/Tau_j)))*Salcycl</f>
        <v>0.11935245682364302</v>
      </c>
      <c r="AD257" s="230">
        <f>(INDEX(Models!$BJ257:$BT257,,AH257)*(1-AF257)+INDEX(Models!$BJ257:$BT257,,AH257+1)*AF257-ERP_i)*AE257*Ramure*Pc/MaxiM</f>
        <v>3.5416167965804976E-6</v>
      </c>
      <c r="AE257" s="304">
        <f t="shared" si="88"/>
        <v>0.6</v>
      </c>
      <c r="AF257" s="177">
        <f t="shared" si="89"/>
        <v>0.48262389583930004</v>
      </c>
      <c r="AG257" s="799">
        <f t="shared" si="95"/>
        <v>0</v>
      </c>
      <c r="AH257" s="176">
        <f t="shared" si="90"/>
        <v>6</v>
      </c>
      <c r="AI257" s="224">
        <f t="shared" si="91"/>
        <v>0.48262389583930004</v>
      </c>
      <c r="AJ257" s="264" t="b">
        <f t="shared" si="92"/>
        <v>0</v>
      </c>
      <c r="AK257" s="264" t="b">
        <f t="shared" si="93"/>
        <v>0</v>
      </c>
      <c r="AL257" s="264"/>
      <c r="AM257" s="264"/>
      <c r="AN257" s="75"/>
    </row>
    <row r="258" spans="1:40" s="6" customFormat="1" ht="11.25" x14ac:dyDescent="0.2">
      <c r="A258" s="56">
        <f t="shared" si="94"/>
        <v>44805</v>
      </c>
      <c r="B258" s="607">
        <v>40.666000000000004</v>
      </c>
      <c r="C258" s="388"/>
      <c r="D258" s="391">
        <f t="shared" si="74"/>
        <v>41.699089300538105</v>
      </c>
      <c r="E258" s="383">
        <f t="shared" si="96"/>
        <v>42.527999649646844</v>
      </c>
      <c r="F258" s="383">
        <f t="shared" si="75"/>
        <v>42.528119815696307</v>
      </c>
      <c r="G258" s="110">
        <f t="shared" si="97"/>
        <v>0.78453965597880715</v>
      </c>
      <c r="H258" s="412" t="b">
        <f>Wh_hp&gt;='2021'!Maxi_hp</f>
        <v>0</v>
      </c>
      <c r="I258" s="379">
        <f>IF(H258,Wh_hp,'2021'!Maxi_hp)</f>
        <v>44.616826041056136</v>
      </c>
      <c r="J258" s="85">
        <f>IF(H258,An,'2021'!An_max)</f>
        <v>2020</v>
      </c>
      <c r="K258" s="197">
        <f t="shared" si="76"/>
        <v>44805</v>
      </c>
      <c r="L258" s="147">
        <f>IF(t&lt;Tvie,1-EXP((T0-t)*PertePVj)+'2021'!Pspv,1-EXP((T0-t)*PertePVj)+Pspv)</f>
        <v>2.4774864820003906E-2</v>
      </c>
      <c r="M258" s="832"/>
      <c r="N258" s="832"/>
      <c r="O258" s="48">
        <f>IF(t&lt;Tnet,'2021'!Resal+('2021'!Salim-'2021'!Resal)*(1-EXP(('2021'!Tnet-t)/('2021'!Tau_j))),Resal+(Salim-Resal)*(1-EXP((Tnet-t)/(Tau_j))))*Salcycl</f>
        <v>1.9490931996271818E-2</v>
      </c>
      <c r="P258" s="169">
        <f>(INDEX(Models!$BJ258:$BT258,,T258)*(1-R258)+INDEX(Models!$BJ258:$BT258,,T258+1)*R258-ERP_i)*Q258*Ramure*Pc/MaxiM</f>
        <v>4.082004045214103E-6</v>
      </c>
      <c r="Q258" s="304">
        <f t="shared" si="77"/>
        <v>0.6</v>
      </c>
      <c r="R258" s="177">
        <f t="shared" si="78"/>
        <v>0.48327300782192151</v>
      </c>
      <c r="S258" s="799">
        <f t="shared" si="79"/>
        <v>0</v>
      </c>
      <c r="T258" s="176">
        <f t="shared" si="80"/>
        <v>6</v>
      </c>
      <c r="U258" s="250">
        <f t="shared" si="81"/>
        <v>0.48327300782192151</v>
      </c>
      <c r="V258" s="382">
        <f t="shared" si="82"/>
        <v>51.834153437213772</v>
      </c>
      <c r="W258" s="400"/>
      <c r="X258" s="157">
        <f t="shared" si="83"/>
        <v>44805</v>
      </c>
      <c r="Y258" s="383">
        <f t="shared" si="84"/>
        <v>36.525372117514422</v>
      </c>
      <c r="Z258" s="383">
        <f t="shared" si="85"/>
        <v>37.453271865037586</v>
      </c>
      <c r="AA258" s="384">
        <f t="shared" si="86"/>
        <v>42.527999649646844</v>
      </c>
      <c r="AB258" s="197">
        <f t="shared" si="87"/>
        <v>44805</v>
      </c>
      <c r="AC258" s="119">
        <f>IF(OR(t&lt;Tnet,NoTnet),'2021'!Resal_s+('2021'!Salim-'2021'!Resal_s)*(1-EXP(('2021'!Tnet_s-t)/'2021'!Tau_j)),Resal_s+(Salim-Resal_s)*(1-EXP((Tnet_s-t)/Tau_j)))*Salcycl</f>
        <v>0.11932674535401985</v>
      </c>
      <c r="AD258" s="230">
        <f>(INDEX(Models!$BJ258:$BT258,,AH258)*(1-AF258)+INDEX(Models!$BJ258:$BT258,,AH258+1)*AF258-ERP_i)*AE258*Ramure*Pc/MaxiM</f>
        <v>4.082004045214103E-6</v>
      </c>
      <c r="AE258" s="304">
        <f t="shared" si="88"/>
        <v>0.6</v>
      </c>
      <c r="AF258" s="177">
        <f t="shared" si="89"/>
        <v>0.48327300782192151</v>
      </c>
      <c r="AG258" s="799">
        <f t="shared" si="95"/>
        <v>0</v>
      </c>
      <c r="AH258" s="176">
        <f t="shared" si="90"/>
        <v>6</v>
      </c>
      <c r="AI258" s="224">
        <f t="shared" si="91"/>
        <v>0.48327300782192151</v>
      </c>
      <c r="AJ258" s="264" t="b">
        <f t="shared" si="92"/>
        <v>0</v>
      </c>
      <c r="AK258" s="264" t="b">
        <f t="shared" si="93"/>
        <v>0</v>
      </c>
      <c r="AL258" s="264"/>
      <c r="AM258" s="264"/>
      <c r="AN258" s="75"/>
    </row>
    <row r="259" spans="1:40" s="6" customFormat="1" ht="11.25" x14ac:dyDescent="0.2">
      <c r="A259" s="56">
        <f t="shared" si="94"/>
        <v>44806</v>
      </c>
      <c r="B259" s="607">
        <v>38.741999999999997</v>
      </c>
      <c r="C259" s="388"/>
      <c r="D259" s="391">
        <f t="shared" si="74"/>
        <v>39.726972878596477</v>
      </c>
      <c r="E259" s="383">
        <f t="shared" si="96"/>
        <v>40.519811304573622</v>
      </c>
      <c r="F259" s="383">
        <f t="shared" si="75"/>
        <v>40.519932731083287</v>
      </c>
      <c r="G259" s="110">
        <f t="shared" si="97"/>
        <v>0.74973162811631611</v>
      </c>
      <c r="H259" s="412" t="b">
        <f>Wh_hp&gt;='2021'!Maxi_hp</f>
        <v>0</v>
      </c>
      <c r="I259" s="379">
        <f>IF(H259,Wh_hp,'2021'!Maxi_hp)</f>
        <v>52.82794412076764</v>
      </c>
      <c r="J259" s="85">
        <f>IF(H259,An,'2021'!An_max)</f>
        <v>2018</v>
      </c>
      <c r="K259" s="197">
        <f t="shared" si="76"/>
        <v>44806</v>
      </c>
      <c r="L259" s="147">
        <f>IF(t&lt;Tvie,1-EXP((T0-t)*PertePVj)+'2021'!Pspv,1-EXP((T0-t)*PertePVj)+Pspv)</f>
        <v>2.4793554787234995E-2</v>
      </c>
      <c r="M259" s="832"/>
      <c r="N259" s="832"/>
      <c r="O259" s="48">
        <f>IF(t&lt;Tnet,'2021'!Resal+('2021'!Salim-'2021'!Resal)*(1-EXP(('2021'!Tnet-t)/('2021'!Tau_j))),Resal+(Salim-Resal)*(1-EXP((Tnet-t)/(Tau_j))))*Salcycl</f>
        <v>1.9566686034583069E-2</v>
      </c>
      <c r="P259" s="169">
        <f>(INDEX(Models!$BJ259:$BT259,,T259)*(1-R259)+INDEX(Models!$BJ259:$BT259,,T259+1)*R259-ERP_i)*Q259*Ramure*Pc/MaxiM</f>
        <v>4.6643184917690566E-6</v>
      </c>
      <c r="Q259" s="304">
        <f t="shared" si="77"/>
        <v>0.6</v>
      </c>
      <c r="R259" s="177">
        <f t="shared" si="78"/>
        <v>0.48389762343612813</v>
      </c>
      <c r="S259" s="799">
        <f t="shared" si="79"/>
        <v>0</v>
      </c>
      <c r="T259" s="176">
        <f t="shared" si="80"/>
        <v>6</v>
      </c>
      <c r="U259" s="250">
        <f t="shared" si="81"/>
        <v>0.48389762343612813</v>
      </c>
      <c r="V259" s="382">
        <f t="shared" si="82"/>
        <v>51.67440446747262</v>
      </c>
      <c r="W259" s="400"/>
      <c r="X259" s="157">
        <f t="shared" si="83"/>
        <v>44806</v>
      </c>
      <c r="Y259" s="383">
        <f t="shared" si="84"/>
        <v>34.801001461108733</v>
      </c>
      <c r="Z259" s="383">
        <f t="shared" si="85"/>
        <v>35.685778772222989</v>
      </c>
      <c r="AA259" s="384">
        <f t="shared" si="86"/>
        <v>40.519811304573622</v>
      </c>
      <c r="AB259" s="197">
        <f t="shared" si="87"/>
        <v>44806</v>
      </c>
      <c r="AC259" s="119">
        <f>IF(OR(t&lt;Tnet,NoTnet),'2021'!Resal_s+('2021'!Salim-'2021'!Resal_s)*(1-EXP(('2021'!Tnet_s-t)/'2021'!Tau_j)),Resal_s+(Salim-Resal_s)*(1-EXP((Tnet_s-t)/Tau_j)))*Salcycl</f>
        <v>0.1193004699852834</v>
      </c>
      <c r="AD259" s="230">
        <f>(INDEX(Models!$BJ259:$BT259,,AH259)*(1-AF259)+INDEX(Models!$BJ259:$BT259,,AH259+1)*AF259-ERP_i)*AE259*Ramure*Pc/MaxiM</f>
        <v>4.6643184917690566E-6</v>
      </c>
      <c r="AE259" s="304">
        <f t="shared" si="88"/>
        <v>0.6</v>
      </c>
      <c r="AF259" s="177">
        <f t="shared" si="89"/>
        <v>0.48389762343612813</v>
      </c>
      <c r="AG259" s="799">
        <f t="shared" si="95"/>
        <v>0</v>
      </c>
      <c r="AH259" s="176">
        <f t="shared" si="90"/>
        <v>6</v>
      </c>
      <c r="AI259" s="224">
        <f t="shared" si="91"/>
        <v>0.48389762343612813</v>
      </c>
      <c r="AJ259" s="264" t="b">
        <f t="shared" si="92"/>
        <v>0</v>
      </c>
      <c r="AK259" s="264" t="b">
        <f t="shared" si="93"/>
        <v>0</v>
      </c>
      <c r="AL259" s="264"/>
      <c r="AM259" s="264"/>
      <c r="AN259" s="75"/>
    </row>
    <row r="260" spans="1:40" s="6" customFormat="1" ht="11.25" x14ac:dyDescent="0.2">
      <c r="A260" s="56">
        <f t="shared" si="94"/>
        <v>44807</v>
      </c>
      <c r="B260" s="607">
        <v>40.301000000000002</v>
      </c>
      <c r="C260" s="388"/>
      <c r="D260" s="391">
        <f t="shared" si="74"/>
        <v>41.326400755565587</v>
      </c>
      <c r="E260" s="383">
        <f t="shared" si="96"/>
        <v>42.154408307923468</v>
      </c>
      <c r="F260" s="383">
        <f t="shared" si="75"/>
        <v>42.154561949851995</v>
      </c>
      <c r="G260" s="110">
        <f t="shared" si="97"/>
        <v>0.78238591578282335</v>
      </c>
      <c r="H260" s="412" t="b">
        <f>Wh_hp&gt;='2021'!Maxi_hp</f>
        <v>0</v>
      </c>
      <c r="I260" s="379">
        <f>IF(H260,Wh_hp,'2021'!Maxi_hp)</f>
        <v>55.63834028982383</v>
      </c>
      <c r="J260" s="85">
        <f>IF(H260,An,'2021'!An_max)</f>
        <v>2020</v>
      </c>
      <c r="K260" s="197">
        <f t="shared" si="76"/>
        <v>44807</v>
      </c>
      <c r="L260" s="147">
        <f>IF(t&lt;Tvie,1-EXP((T0-t)*PertePVj)+'2021'!Pspv,1-EXP((T0-t)*PertePVj)+Pspv)</f>
        <v>2.4812244396277161E-2</v>
      </c>
      <c r="M260" s="832"/>
      <c r="N260" s="832"/>
      <c r="O260" s="48">
        <f>IF(t&lt;Tnet,'2021'!Resal+('2021'!Salim-'2021'!Resal)*(1-EXP(('2021'!Tnet-t)/('2021'!Tau_j))),Resal+(Salim-Resal)*(1-EXP((Tnet-t)/(Tau_j))))*Salcycl</f>
        <v>1.9642252983592307E-2</v>
      </c>
      <c r="P260" s="169">
        <f>(INDEX(Models!$BJ260:$BT260,,T260)*(1-R260)+INDEX(Models!$BJ260:$BT260,,T260+1)*R260-ERP_i)*Q260*Ramure*Pc/MaxiM</f>
        <v>5.2889252833374399E-6</v>
      </c>
      <c r="Q260" s="304">
        <f t="shared" si="77"/>
        <v>0.6</v>
      </c>
      <c r="R260" s="177">
        <f t="shared" si="78"/>
        <v>0.4844986055147536</v>
      </c>
      <c r="S260" s="799">
        <f t="shared" si="79"/>
        <v>0</v>
      </c>
      <c r="T260" s="176">
        <f t="shared" si="80"/>
        <v>6</v>
      </c>
      <c r="U260" s="250">
        <f t="shared" si="81"/>
        <v>0.4844986055147536</v>
      </c>
      <c r="V260" s="382">
        <f t="shared" si="82"/>
        <v>51.510300638088374</v>
      </c>
      <c r="W260" s="400"/>
      <c r="X260" s="157">
        <f t="shared" si="83"/>
        <v>44807</v>
      </c>
      <c r="Y260" s="383">
        <f t="shared" si="84"/>
        <v>36.205308124113067</v>
      </c>
      <c r="Z260" s="383">
        <f t="shared" si="85"/>
        <v>37.12649991354634</v>
      </c>
      <c r="AA260" s="384">
        <f t="shared" si="86"/>
        <v>42.154408307923468</v>
      </c>
      <c r="AB260" s="197">
        <f t="shared" si="87"/>
        <v>44807</v>
      </c>
      <c r="AC260" s="119">
        <f>IF(OR(t&lt;Tnet,NoTnet),'2021'!Resal_s+('2021'!Salim-'2021'!Resal_s)*(1-EXP(('2021'!Tnet_s-t)/'2021'!Tau_j)),Resal_s+(Salim-Resal_s)*(1-EXP((Tnet_s-t)/Tau_j)))*Salcycl</f>
        <v>0.11927360853104589</v>
      </c>
      <c r="AD260" s="230">
        <f>(INDEX(Models!$BJ260:$BT260,,AH260)*(1-AF260)+INDEX(Models!$BJ260:$BT260,,AH260+1)*AF260-ERP_i)*AE260*Ramure*Pc/MaxiM</f>
        <v>5.2889252833374399E-6</v>
      </c>
      <c r="AE260" s="304">
        <f t="shared" si="88"/>
        <v>0.6</v>
      </c>
      <c r="AF260" s="177">
        <f t="shared" si="89"/>
        <v>0.4844986055147536</v>
      </c>
      <c r="AG260" s="799">
        <f t="shared" si="95"/>
        <v>0</v>
      </c>
      <c r="AH260" s="176">
        <f t="shared" si="90"/>
        <v>6</v>
      </c>
      <c r="AI260" s="224">
        <f t="shared" si="91"/>
        <v>0.4844986055147536</v>
      </c>
      <c r="AJ260" s="264" t="b">
        <f t="shared" si="92"/>
        <v>0</v>
      </c>
      <c r="AK260" s="264" t="b">
        <f t="shared" si="93"/>
        <v>0</v>
      </c>
      <c r="AL260" s="264"/>
      <c r="AM260" s="264"/>
      <c r="AN260" s="75"/>
    </row>
    <row r="261" spans="1:40" s="6" customFormat="1" ht="11.25" x14ac:dyDescent="0.2">
      <c r="A261" s="56">
        <f t="shared" si="94"/>
        <v>44808</v>
      </c>
      <c r="B261" s="607">
        <v>50.114000000000004</v>
      </c>
      <c r="C261" s="388"/>
      <c r="D261" s="391">
        <f t="shared" si="74"/>
        <v>51.390063250700329</v>
      </c>
      <c r="E261" s="383">
        <f t="shared" si="96"/>
        <v>52.423734950140528</v>
      </c>
      <c r="F261" s="383">
        <f t="shared" si="75"/>
        <v>52.424036510392575</v>
      </c>
      <c r="G261" s="110">
        <f t="shared" si="97"/>
        <v>0.97606027516550842</v>
      </c>
      <c r="H261" s="412" t="b">
        <f>Wh_hp&gt;='2021'!Maxi_hp</f>
        <v>0</v>
      </c>
      <c r="I261" s="379">
        <f>IF(H261,Wh_hp,'2021'!Maxi_hp)</f>
        <v>54.520522140500951</v>
      </c>
      <c r="J261" s="85">
        <f>IF(H261,An,'2021'!An_max)</f>
        <v>2018</v>
      </c>
      <c r="K261" s="197">
        <f t="shared" si="76"/>
        <v>44808</v>
      </c>
      <c r="L261" s="147">
        <f>IF(t&lt;Tvie,1-EXP((T0-t)*PertePVj)+'2021'!Pspv,1-EXP((T0-t)*PertePVj)+Pspv)</f>
        <v>2.4830933647137288E-2</v>
      </c>
      <c r="M261" s="832"/>
      <c r="N261" s="832"/>
      <c r="O261" s="48">
        <f>IF(t&lt;Tnet,'2021'!Resal+('2021'!Salim-'2021'!Resal)*(1-EXP(('2021'!Tnet-t)/('2021'!Tau_j))),Resal+(Salim-Resal)*(1-EXP((Tnet-t)/(Tau_j))))*Salcycl</f>
        <v>1.9717627910779488E-2</v>
      </c>
      <c r="P261" s="169">
        <f>(INDEX(Models!$BJ261:$BT261,,T261)*(1-R261)+INDEX(Models!$BJ261:$BT261,,T261+1)*R261-ERP_i)*Q261*Ramure*Pc/MaxiM</f>
        <v>5.9560198251538225E-6</v>
      </c>
      <c r="Q261" s="304">
        <f t="shared" si="77"/>
        <v>0.6</v>
      </c>
      <c r="R261" s="177">
        <f t="shared" si="78"/>
        <v>0.48507679124051784</v>
      </c>
      <c r="S261" s="799">
        <f t="shared" si="79"/>
        <v>0</v>
      </c>
      <c r="T261" s="176">
        <f t="shared" si="80"/>
        <v>6</v>
      </c>
      <c r="U261" s="250">
        <f t="shared" si="81"/>
        <v>0.48507679124051784</v>
      </c>
      <c r="V261" s="382">
        <f t="shared" si="82"/>
        <v>51.343130201288481</v>
      </c>
      <c r="W261" s="400"/>
      <c r="X261" s="157">
        <f t="shared" si="83"/>
        <v>44808</v>
      </c>
      <c r="Y261" s="383">
        <f t="shared" si="84"/>
        <v>45.02590304693188</v>
      </c>
      <c r="Z261" s="383">
        <f t="shared" si="85"/>
        <v>46.17240702202438</v>
      </c>
      <c r="AA261" s="384">
        <f t="shared" si="86"/>
        <v>52.423734950140528</v>
      </c>
      <c r="AB261" s="197">
        <f t="shared" si="87"/>
        <v>44808</v>
      </c>
      <c r="AC261" s="119">
        <f>IF(OR(t&lt;Tnet,NoTnet),'2021'!Resal_s+('2021'!Salim-'2021'!Resal_s)*(1-EXP(('2021'!Tnet_s-t)/'2021'!Tau_j)),Resal_s+(Salim-Resal_s)*(1-EXP((Tnet_s-t)/Tau_j)))*Salcycl</f>
        <v>0.11924613791943099</v>
      </c>
      <c r="AD261" s="230">
        <f>(INDEX(Models!$BJ261:$BT261,,AH261)*(1-AF261)+INDEX(Models!$BJ261:$BT261,,AH261+1)*AF261-ERP_i)*AE261*Ramure*Pc/MaxiM</f>
        <v>5.9560198251538225E-6</v>
      </c>
      <c r="AE261" s="304">
        <f t="shared" si="88"/>
        <v>0.6</v>
      </c>
      <c r="AF261" s="177">
        <f t="shared" si="89"/>
        <v>0.48507679124051784</v>
      </c>
      <c r="AG261" s="799">
        <f t="shared" si="95"/>
        <v>0</v>
      </c>
      <c r="AH261" s="176">
        <f t="shared" si="90"/>
        <v>6</v>
      </c>
      <c r="AI261" s="224">
        <f t="shared" si="91"/>
        <v>0.48507679124051784</v>
      </c>
      <c r="AJ261" s="264" t="b">
        <f t="shared" si="92"/>
        <v>0</v>
      </c>
      <c r="AK261" s="264" t="b">
        <f t="shared" si="93"/>
        <v>0</v>
      </c>
      <c r="AL261" s="264"/>
      <c r="AM261" s="264"/>
      <c r="AN261" s="75"/>
    </row>
    <row r="262" spans="1:40" s="6" customFormat="1" ht="11.25" x14ac:dyDescent="0.2">
      <c r="A262" s="56">
        <f t="shared" si="94"/>
        <v>44809</v>
      </c>
      <c r="B262" s="607">
        <v>44.277000000000001</v>
      </c>
      <c r="C262" s="388"/>
      <c r="D262" s="391">
        <f t="shared" si="74"/>
        <v>45.405304682669964</v>
      </c>
      <c r="E262" s="383">
        <f t="shared" si="96"/>
        <v>46.322149995621992</v>
      </c>
      <c r="F262" s="383">
        <f t="shared" si="75"/>
        <v>46.322398832064778</v>
      </c>
      <c r="G262" s="110">
        <f t="shared" si="97"/>
        <v>0.86521918936436859</v>
      </c>
      <c r="H262" s="412" t="b">
        <f>Wh_hp&gt;='2021'!Maxi_hp</f>
        <v>0</v>
      </c>
      <c r="I262" s="379">
        <f>IF(H262,Wh_hp,'2021'!Maxi_hp)</f>
        <v>54.53002186266891</v>
      </c>
      <c r="J262" s="85">
        <f>IF(H262,An,'2021'!An_max)</f>
        <v>2020</v>
      </c>
      <c r="K262" s="197">
        <f t="shared" si="76"/>
        <v>44809</v>
      </c>
      <c r="L262" s="147">
        <f>IF(t&lt;Tvie,1-EXP((T0-t)*PertePVj)+'2021'!Pspv,1-EXP((T0-t)*PertePVj)+Pspv)</f>
        <v>2.4849622539822036E-2</v>
      </c>
      <c r="M262" s="832"/>
      <c r="N262" s="832"/>
      <c r="O262" s="48">
        <f>IF(t&lt;Tnet,'2021'!Resal+('2021'!Salim-'2021'!Resal)*(1-EXP(('2021'!Tnet-t)/('2021'!Tau_j))),Resal+(Salim-Resal)*(1-EXP((Tnet-t)/(Tau_j))))*Salcycl</f>
        <v>1.9792805667238702E-2</v>
      </c>
      <c r="P262" s="169">
        <f>(INDEX(Models!$BJ262:$BT262,,T262)*(1-R262)+INDEX(Models!$BJ262:$BT262,,T262+1)*R262-ERP_i)*Q262*Ramure*Pc/MaxiM</f>
        <v>6.6527810928645721E-6</v>
      </c>
      <c r="Q262" s="304">
        <f t="shared" si="77"/>
        <v>0.6</v>
      </c>
      <c r="R262" s="177">
        <f t="shared" si="78"/>
        <v>0.48563299253328973</v>
      </c>
      <c r="S262" s="799">
        <f t="shared" si="79"/>
        <v>0</v>
      </c>
      <c r="T262" s="176">
        <f t="shared" si="80"/>
        <v>6</v>
      </c>
      <c r="U262" s="250">
        <f t="shared" si="81"/>
        <v>0.48563299253328973</v>
      </c>
      <c r="V262" s="382">
        <f t="shared" si="82"/>
        <v>51.174250210429967</v>
      </c>
      <c r="W262" s="400"/>
      <c r="X262" s="157">
        <f t="shared" si="83"/>
        <v>44809</v>
      </c>
      <c r="Y262" s="383">
        <f t="shared" si="84"/>
        <v>39.785856835130097</v>
      </c>
      <c r="Z262" s="383">
        <f t="shared" si="85"/>
        <v>40.799714336115123</v>
      </c>
      <c r="AA262" s="384">
        <f t="shared" si="86"/>
        <v>46.322149995621992</v>
      </c>
      <c r="AB262" s="197">
        <f t="shared" si="87"/>
        <v>44809</v>
      </c>
      <c r="AC262" s="119">
        <f>IF(OR(t&lt;Tnet,NoTnet),'2021'!Resal_s+('2021'!Salim-'2021'!Resal_s)*(1-EXP(('2021'!Tnet_s-t)/'2021'!Tau_j)),Resal_s+(Salim-Resal_s)*(1-EXP((Tnet_s-t)/Tau_j)))*Salcycl</f>
        <v>0.11921803413763829</v>
      </c>
      <c r="AD262" s="230">
        <f>(INDEX(Models!$BJ262:$BT262,,AH262)*(1-AF262)+INDEX(Models!$BJ262:$BT262,,AH262+1)*AF262-ERP_i)*AE262*Ramure*Pc/MaxiM</f>
        <v>6.6527810928645721E-6</v>
      </c>
      <c r="AE262" s="304">
        <f t="shared" si="88"/>
        <v>0.6</v>
      </c>
      <c r="AF262" s="177">
        <f t="shared" si="89"/>
        <v>0.48563299253328973</v>
      </c>
      <c r="AG262" s="799">
        <f t="shared" si="95"/>
        <v>0</v>
      </c>
      <c r="AH262" s="176">
        <f t="shared" si="90"/>
        <v>6</v>
      </c>
      <c r="AI262" s="224">
        <f t="shared" si="91"/>
        <v>0.48563299253328973</v>
      </c>
      <c r="AJ262" s="264" t="b">
        <f t="shared" si="92"/>
        <v>0</v>
      </c>
      <c r="AK262" s="264" t="b">
        <f t="shared" si="93"/>
        <v>0</v>
      </c>
      <c r="AL262" s="264"/>
      <c r="AM262" s="264"/>
      <c r="AN262" s="75"/>
    </row>
    <row r="263" spans="1:40" s="6" customFormat="1" ht="11.25" x14ac:dyDescent="0.2">
      <c r="A263" s="56">
        <f t="shared" si="94"/>
        <v>44810</v>
      </c>
      <c r="B263" s="607">
        <v>45.563000000000002</v>
      </c>
      <c r="C263" s="388"/>
      <c r="D263" s="391">
        <f t="shared" si="74"/>
        <v>46.724971116668804</v>
      </c>
      <c r="E263" s="383">
        <f t="shared" si="96"/>
        <v>47.672110155116719</v>
      </c>
      <c r="F263" s="383">
        <f t="shared" si="75"/>
        <v>47.672407293417116</v>
      </c>
      <c r="G263" s="110">
        <f t="shared" si="97"/>
        <v>0.89333240769902367</v>
      </c>
      <c r="H263" s="412" t="b">
        <f>Wh_hp&gt;='2021'!Maxi_hp</f>
        <v>0</v>
      </c>
      <c r="I263" s="379">
        <f>IF(H263,Wh_hp,'2021'!Maxi_hp)</f>
        <v>55.510997901314788</v>
      </c>
      <c r="J263" s="85">
        <f>IF(H263,An,'2021'!An_max)</f>
        <v>2018</v>
      </c>
      <c r="K263" s="197">
        <f t="shared" si="76"/>
        <v>44810</v>
      </c>
      <c r="L263" s="147">
        <f>IF(t&lt;Tvie,1-EXP((T0-t)*PertePVj)+'2021'!Pspv,1-EXP((T0-t)*PertePVj)+Pspv)</f>
        <v>2.4868311074338512E-2</v>
      </c>
      <c r="M263" s="832"/>
      <c r="N263" s="832"/>
      <c r="O263" s="48">
        <f>IF(t&lt;Tnet,'2021'!Resal+('2021'!Salim-'2021'!Resal)*(1-EXP(('2021'!Tnet-t)/('2021'!Tau_j))),Resal+(Salim-Resal)*(1-EXP((Tnet-t)/(Tau_j))))*Salcycl</f>
        <v>1.9867780875780179E-2</v>
      </c>
      <c r="P263" s="169">
        <f>(INDEX(Models!$BJ263:$BT263,,T263)*(1-R263)+INDEX(Models!$BJ263:$BT263,,T263+1)*R263-ERP_i)*Q263*Ramure*Pc/MaxiM</f>
        <v>7.3534439980099962E-6</v>
      </c>
      <c r="Q263" s="304">
        <f t="shared" si="77"/>
        <v>0.6</v>
      </c>
      <c r="R263" s="177">
        <f t="shared" si="78"/>
        <v>0.48616799646492137</v>
      </c>
      <c r="S263" s="799">
        <f t="shared" si="79"/>
        <v>0</v>
      </c>
      <c r="T263" s="176">
        <f t="shared" si="80"/>
        <v>6</v>
      </c>
      <c r="U263" s="250">
        <f t="shared" si="81"/>
        <v>0.48616799646492137</v>
      </c>
      <c r="V263" s="382">
        <f t="shared" si="82"/>
        <v>51.003353905635109</v>
      </c>
      <c r="W263" s="400"/>
      <c r="X263" s="157">
        <f t="shared" si="83"/>
        <v>44810</v>
      </c>
      <c r="Y263" s="383">
        <f t="shared" si="84"/>
        <v>40.945883023390621</v>
      </c>
      <c r="Z263" s="383">
        <f t="shared" si="85"/>
        <v>41.990106042499974</v>
      </c>
      <c r="AA263" s="384">
        <f t="shared" si="86"/>
        <v>47.672110155116719</v>
      </c>
      <c r="AB263" s="197">
        <f t="shared" si="87"/>
        <v>44810</v>
      </c>
      <c r="AC263" s="119">
        <f>IF(OR(t&lt;Tnet,NoTnet),'2021'!Resal_s+('2021'!Salim-'2021'!Resal_s)*(1-EXP(('2021'!Tnet_s-t)/'2021'!Tau_j)),Resal_s+(Salim-Resal_s)*(1-EXP((Tnet_s-t)/Tau_j)))*Salcycl</f>
        <v>0.11918927217881684</v>
      </c>
      <c r="AD263" s="230">
        <f>(INDEX(Models!$BJ263:$BT263,,AH263)*(1-AF263)+INDEX(Models!$BJ263:$BT263,,AH263+1)*AF263-ERP_i)*AE263*Ramure*Pc/MaxiM</f>
        <v>7.3534439980099962E-6</v>
      </c>
      <c r="AE263" s="304">
        <f t="shared" si="88"/>
        <v>0.6</v>
      </c>
      <c r="AF263" s="177">
        <f t="shared" si="89"/>
        <v>0.48616799646492137</v>
      </c>
      <c r="AG263" s="799">
        <f t="shared" si="95"/>
        <v>0</v>
      </c>
      <c r="AH263" s="176">
        <f t="shared" si="90"/>
        <v>6</v>
      </c>
      <c r="AI263" s="224">
        <f t="shared" si="91"/>
        <v>0.48616799646492137</v>
      </c>
      <c r="AJ263" s="264" t="b">
        <f t="shared" si="92"/>
        <v>0</v>
      </c>
      <c r="AK263" s="264" t="b">
        <f t="shared" si="93"/>
        <v>0</v>
      </c>
      <c r="AL263" s="264"/>
      <c r="AM263" s="264"/>
      <c r="AN263" s="75"/>
    </row>
    <row r="264" spans="1:40" s="6" customFormat="1" ht="11.25" x14ac:dyDescent="0.2">
      <c r="A264" s="56">
        <f t="shared" si="94"/>
        <v>44811</v>
      </c>
      <c r="B264" s="607">
        <v>38.118000000000002</v>
      </c>
      <c r="C264" s="388"/>
      <c r="D264" s="391">
        <f t="shared" si="74"/>
        <v>39.090854055590448</v>
      </c>
      <c r="E264" s="383">
        <f t="shared" si="96"/>
        <v>39.8862882707624</v>
      </c>
      <c r="F264" s="383">
        <f t="shared" si="75"/>
        <v>39.886494847761952</v>
      </c>
      <c r="G264" s="110">
        <f t="shared" si="97"/>
        <v>0.74990734367094081</v>
      </c>
      <c r="H264" s="412" t="b">
        <f>Wh_hp&gt;='2021'!Maxi_hp</f>
        <v>0</v>
      </c>
      <c r="I264" s="379">
        <f>IF(H264,Wh_hp,'2021'!Maxi_hp)</f>
        <v>52.173352901498127</v>
      </c>
      <c r="J264" s="85">
        <f>IF(H264,An,'2021'!An_max)</f>
        <v>2018</v>
      </c>
      <c r="K264" s="197">
        <f t="shared" si="76"/>
        <v>44811</v>
      </c>
      <c r="L264" s="147">
        <f>IF(t&lt;Tvie,1-EXP((T0-t)*PertePVj)+'2021'!Pspv,1-EXP((T0-t)*PertePVj)+Pspv)</f>
        <v>2.4886999250693487E-2</v>
      </c>
      <c r="M264" s="832"/>
      <c r="N264" s="832"/>
      <c r="O264" s="48">
        <f>IF(t&lt;Tnet,'2021'!Resal+('2021'!Salim-'2021'!Resal)*(1-EXP(('2021'!Tnet-t)/('2021'!Tau_j))),Resal+(Salim-Resal)*(1-EXP((Tnet-t)/(Tau_j))))*Salcycl</f>
        <v>1.994254791953207E-2</v>
      </c>
      <c r="P264" s="169">
        <f>(INDEX(Models!$BJ264:$BT264,,T264)*(1-R264)+INDEX(Models!$BJ264:$BT264,,T264+1)*R264-ERP_i)*Q264*Ramure*Pc/MaxiM</f>
        <v>8.058031599736145E-6</v>
      </c>
      <c r="Q264" s="304">
        <f t="shared" si="77"/>
        <v>0.6</v>
      </c>
      <c r="R264" s="177">
        <f t="shared" si="78"/>
        <v>0.48668256569795898</v>
      </c>
      <c r="S264" s="799">
        <f t="shared" si="79"/>
        <v>0</v>
      </c>
      <c r="T264" s="176">
        <f t="shared" si="80"/>
        <v>6</v>
      </c>
      <c r="U264" s="250">
        <f t="shared" si="81"/>
        <v>0.48668256569795898</v>
      </c>
      <c r="V264" s="382">
        <f t="shared" si="82"/>
        <v>50.830133326257005</v>
      </c>
      <c r="W264" s="400"/>
      <c r="X264" s="157">
        <f t="shared" si="83"/>
        <v>44811</v>
      </c>
      <c r="Y264" s="383">
        <f t="shared" si="84"/>
        <v>34.259079079004827</v>
      </c>
      <c r="Z264" s="383">
        <f t="shared" si="85"/>
        <v>35.133445100905341</v>
      </c>
      <c r="AA264" s="384">
        <f t="shared" si="86"/>
        <v>39.8862882707624</v>
      </c>
      <c r="AB264" s="197">
        <f t="shared" si="87"/>
        <v>44811</v>
      </c>
      <c r="AC264" s="119">
        <f>IF(OR(t&lt;Tnet,NoTnet),'2021'!Resal_s+('2021'!Salim-'2021'!Resal_s)*(1-EXP(('2021'!Tnet_s-t)/'2021'!Tau_j)),Resal_s+(Salim-Resal_s)*(1-EXP((Tnet_s-t)/Tau_j)))*Salcycl</f>
        <v>0.11915982599315979</v>
      </c>
      <c r="AD264" s="230">
        <f>(INDEX(Models!$BJ264:$BT264,,AH264)*(1-AF264)+INDEX(Models!$BJ264:$BT264,,AH264+1)*AF264-ERP_i)*AE264*Ramure*Pc/MaxiM</f>
        <v>8.058031599736145E-6</v>
      </c>
      <c r="AE264" s="304">
        <f t="shared" si="88"/>
        <v>0.6</v>
      </c>
      <c r="AF264" s="177">
        <f t="shared" si="89"/>
        <v>0.48668256569795898</v>
      </c>
      <c r="AG264" s="799">
        <f t="shared" si="95"/>
        <v>0</v>
      </c>
      <c r="AH264" s="176">
        <f t="shared" si="90"/>
        <v>6</v>
      </c>
      <c r="AI264" s="224">
        <f t="shared" si="91"/>
        <v>0.48668256569795898</v>
      </c>
      <c r="AJ264" s="264" t="b">
        <f t="shared" si="92"/>
        <v>0</v>
      </c>
      <c r="AK264" s="264" t="b">
        <f t="shared" si="93"/>
        <v>0</v>
      </c>
      <c r="AL264" s="264"/>
      <c r="AM264" s="264"/>
      <c r="AN264" s="75"/>
    </row>
    <row r="265" spans="1:40" s="6" customFormat="1" ht="11.25" x14ac:dyDescent="0.2">
      <c r="A265" s="56">
        <f t="shared" si="94"/>
        <v>44812</v>
      </c>
      <c r="B265" s="607">
        <v>37.914999999999999</v>
      </c>
      <c r="C265" s="388"/>
      <c r="D265" s="391">
        <f t="shared" si="74"/>
        <v>38.883418247029432</v>
      </c>
      <c r="E265" s="383">
        <f t="shared" si="96"/>
        <v>39.67764976713832</v>
      </c>
      <c r="F265" s="383">
        <f t="shared" si="75"/>
        <v>39.677872635341608</v>
      </c>
      <c r="G265" s="110">
        <f t="shared" si="97"/>
        <v>0.74850299136732479</v>
      </c>
      <c r="H265" s="412" t="b">
        <f>Wh_hp&gt;='2021'!Maxi_hp</f>
        <v>0</v>
      </c>
      <c r="I265" s="379">
        <f>IF(H265,Wh_hp,'2021'!Maxi_hp)</f>
        <v>51.203240442877672</v>
      </c>
      <c r="J265" s="85">
        <f>IF(H265,An,'2021'!An_max)</f>
        <v>2020</v>
      </c>
      <c r="K265" s="197">
        <f t="shared" si="76"/>
        <v>44812</v>
      </c>
      <c r="L265" s="147">
        <f>IF(t&lt;Tvie,1-EXP((T0-t)*PertePVj)+'2021'!Pspv,1-EXP((T0-t)*PertePVj)+Pspv)</f>
        <v>2.4905687068893845E-2</v>
      </c>
      <c r="M265" s="832"/>
      <c r="N265" s="832"/>
      <c r="O265" s="48">
        <f>IF(t&lt;Tnet,'2021'!Resal+('2021'!Salim-'2021'!Resal)*(1-EXP(('2021'!Tnet-t)/('2021'!Tau_j))),Resal+(Salim-Resal)*(1-EXP((Tnet-t)/(Tau_j))))*Salcycl</f>
        <v>2.0017100931383335E-2</v>
      </c>
      <c r="P265" s="169">
        <f>(INDEX(Models!$BJ265:$BT265,,T265)*(1-R265)+INDEX(Models!$BJ265:$BT265,,T265+1)*R265-ERP_i)*Q265*Ramure*Pc/MaxiM</f>
        <v>8.7665789042326924E-6</v>
      </c>
      <c r="Q265" s="304">
        <f t="shared" si="77"/>
        <v>0.6</v>
      </c>
      <c r="R265" s="177">
        <f t="shared" si="78"/>
        <v>0.48717743894480481</v>
      </c>
      <c r="S265" s="799">
        <f t="shared" si="79"/>
        <v>0</v>
      </c>
      <c r="T265" s="176">
        <f t="shared" si="80"/>
        <v>6</v>
      </c>
      <c r="U265" s="250">
        <f t="shared" si="81"/>
        <v>0.48717743894480481</v>
      </c>
      <c r="V265" s="382">
        <f t="shared" si="82"/>
        <v>50.654280634849407</v>
      </c>
      <c r="W265" s="400"/>
      <c r="X265" s="157">
        <f t="shared" si="83"/>
        <v>44812</v>
      </c>
      <c r="Y265" s="383">
        <f t="shared" si="84"/>
        <v>34.080389211530878</v>
      </c>
      <c r="Z265" s="383">
        <f t="shared" si="85"/>
        <v>34.950864505697076</v>
      </c>
      <c r="AA265" s="384">
        <f t="shared" si="86"/>
        <v>39.67764976713832</v>
      </c>
      <c r="AB265" s="197">
        <f t="shared" si="87"/>
        <v>44812</v>
      </c>
      <c r="AC265" s="119">
        <f>IF(OR(t&lt;Tnet,NoTnet),'2021'!Resal_s+('2021'!Salim-'2021'!Resal_s)*(1-EXP(('2021'!Tnet_s-t)/'2021'!Tau_j)),Resal_s+(Salim-Resal_s)*(1-EXP((Tnet_s-t)/Tau_j)))*Salcycl</f>
        <v>0.11912966844513166</v>
      </c>
      <c r="AD265" s="230">
        <f>(INDEX(Models!$BJ265:$BT265,,AH265)*(1-AF265)+INDEX(Models!$BJ265:$BT265,,AH265+1)*AF265-ERP_i)*AE265*Ramure*Pc/MaxiM</f>
        <v>8.7665789042326924E-6</v>
      </c>
      <c r="AE265" s="304">
        <f t="shared" si="88"/>
        <v>0.6</v>
      </c>
      <c r="AF265" s="177">
        <f t="shared" si="89"/>
        <v>0.48717743894480481</v>
      </c>
      <c r="AG265" s="799">
        <f t="shared" si="95"/>
        <v>0</v>
      </c>
      <c r="AH265" s="176">
        <f t="shared" si="90"/>
        <v>6</v>
      </c>
      <c r="AI265" s="224">
        <f t="shared" si="91"/>
        <v>0.48717743894480481</v>
      </c>
      <c r="AJ265" s="264" t="b">
        <f t="shared" si="92"/>
        <v>0</v>
      </c>
      <c r="AK265" s="264" t="b">
        <f t="shared" si="93"/>
        <v>0</v>
      </c>
      <c r="AL265" s="264"/>
      <c r="AM265" s="264"/>
      <c r="AN265" s="75"/>
    </row>
    <row r="266" spans="1:40" s="6" customFormat="1" ht="11.25" x14ac:dyDescent="0.2">
      <c r="A266" s="56">
        <f t="shared" si="94"/>
        <v>44813</v>
      </c>
      <c r="B266" s="607">
        <v>20.937000000000001</v>
      </c>
      <c r="C266" s="388"/>
      <c r="D266" s="391">
        <f t="shared" si="74"/>
        <v>21.472180673048261</v>
      </c>
      <c r="E266" s="383">
        <f t="shared" si="96"/>
        <v>21.912432867056552</v>
      </c>
      <c r="F266" s="383">
        <f t="shared" si="75"/>
        <v>21.912466930324349</v>
      </c>
      <c r="G266" s="110">
        <f t="shared" si="97"/>
        <v>0.4147921072656981</v>
      </c>
      <c r="H266" s="412" t="b">
        <f>Wh_hp&gt;='2021'!Maxi_hp</f>
        <v>0</v>
      </c>
      <c r="I266" s="379">
        <f>IF(H266,Wh_hp,'2021'!Maxi_hp)</f>
        <v>51.228956112547721</v>
      </c>
      <c r="J266" s="85">
        <f>IF(H266,An,'2021'!An_max)</f>
        <v>2020</v>
      </c>
      <c r="K266" s="197">
        <f t="shared" si="76"/>
        <v>44813</v>
      </c>
      <c r="L266" s="147">
        <f>IF(t&lt;Tvie,1-EXP((T0-t)*PertePVj)+'2021'!Pspv,1-EXP((T0-t)*PertePVj)+Pspv)</f>
        <v>2.4924374528946469E-2</v>
      </c>
      <c r="M266" s="832"/>
      <c r="N266" s="832"/>
      <c r="O266" s="48">
        <f>IF(t&lt;Tnet,'2021'!Resal+('2021'!Salim-'2021'!Resal)*(1-EXP(('2021'!Tnet-t)/('2021'!Tau_j))),Resal+(Salim-Resal)*(1-EXP((Tnet-t)/(Tau_j))))*Salcycl</f>
        <v>2.009143378461525E-2</v>
      </c>
      <c r="P266" s="169">
        <f>(INDEX(Models!$BJ266:$BT266,,T266)*(1-R266)+INDEX(Models!$BJ266:$BT266,,T266+1)*R266-ERP_i)*Q266*Ramure*Pc/MaxiM</f>
        <v>9.4791328702676519E-6</v>
      </c>
      <c r="Q266" s="304">
        <f t="shared" si="77"/>
        <v>0.6</v>
      </c>
      <c r="R266" s="177">
        <f t="shared" si="78"/>
        <v>0.48765333144416001</v>
      </c>
      <c r="S266" s="799">
        <f t="shared" si="79"/>
        <v>0</v>
      </c>
      <c r="T266" s="176">
        <f t="shared" si="80"/>
        <v>6</v>
      </c>
      <c r="U266" s="250">
        <f t="shared" si="81"/>
        <v>0.48765333144416001</v>
      </c>
      <c r="V266" s="382">
        <f t="shared" si="82"/>
        <v>50.475488118715191</v>
      </c>
      <c r="W266" s="400"/>
      <c r="X266" s="157">
        <f t="shared" si="83"/>
        <v>44813</v>
      </c>
      <c r="Y266" s="383">
        <f t="shared" si="84"/>
        <v>18.821581585892247</v>
      </c>
      <c r="Z266" s="383">
        <f t="shared" si="85"/>
        <v>19.302689036862805</v>
      </c>
      <c r="AA266" s="384">
        <f t="shared" si="86"/>
        <v>21.912432867056552</v>
      </c>
      <c r="AB266" s="197">
        <f t="shared" si="87"/>
        <v>44813</v>
      </c>
      <c r="AC266" s="119">
        <f>IF(OR(t&lt;Tnet,NoTnet),'2021'!Resal_s+('2021'!Salim-'2021'!Resal_s)*(1-EXP(('2021'!Tnet_s-t)/'2021'!Tau_j)),Resal_s+(Salim-Resal_s)*(1-EXP((Tnet_s-t)/Tau_j)))*Salcycl</f>
        <v>0.11909877127871413</v>
      </c>
      <c r="AD266" s="230">
        <f>(INDEX(Models!$BJ266:$BT266,,AH266)*(1-AF266)+INDEX(Models!$BJ266:$BT266,,AH266+1)*AF266-ERP_i)*AE266*Ramure*Pc/MaxiM</f>
        <v>9.4791328702676519E-6</v>
      </c>
      <c r="AE266" s="304">
        <f t="shared" si="88"/>
        <v>0.6</v>
      </c>
      <c r="AF266" s="177">
        <f t="shared" si="89"/>
        <v>0.48765333144416001</v>
      </c>
      <c r="AG266" s="799">
        <f t="shared" si="95"/>
        <v>0</v>
      </c>
      <c r="AH266" s="176">
        <f t="shared" si="90"/>
        <v>6</v>
      </c>
      <c r="AI266" s="224">
        <f t="shared" si="91"/>
        <v>0.48765333144416001</v>
      </c>
      <c r="AJ266" s="264" t="b">
        <f t="shared" si="92"/>
        <v>0</v>
      </c>
      <c r="AK266" s="264" t="b">
        <f t="shared" si="93"/>
        <v>0</v>
      </c>
      <c r="AL266" s="264"/>
      <c r="AM266" s="264"/>
      <c r="AN266" s="75"/>
    </row>
    <row r="267" spans="1:40" s="6" customFormat="1" ht="11.25" x14ac:dyDescent="0.2">
      <c r="A267" s="56">
        <f t="shared" si="94"/>
        <v>44814</v>
      </c>
      <c r="B267" s="607">
        <v>48.631999999999998</v>
      </c>
      <c r="C267" s="388"/>
      <c r="D267" s="391">
        <f t="shared" si="74"/>
        <v>49.876061680398664</v>
      </c>
      <c r="E267" s="383">
        <f t="shared" si="96"/>
        <v>50.90253886838083</v>
      </c>
      <c r="F267" s="383">
        <f t="shared" si="75"/>
        <v>50.90303337020184</v>
      </c>
      <c r="G267" s="110">
        <f t="shared" si="97"/>
        <v>0.96696445267197617</v>
      </c>
      <c r="H267" s="412" t="b">
        <f>Wh_hp&gt;='2021'!Maxi_hp</f>
        <v>1</v>
      </c>
      <c r="I267" s="379">
        <f>IF(H267,Wh_hp,'2021'!Maxi_hp)</f>
        <v>50.90303337020184</v>
      </c>
      <c r="J267" s="85">
        <f>IF(H267,An,'2021'!An_max)</f>
        <v>2022</v>
      </c>
      <c r="K267" s="197">
        <f t="shared" si="76"/>
        <v>44814</v>
      </c>
      <c r="L267" s="147">
        <f>IF(t&lt;Tvie,1-EXP((T0-t)*PertePVj)+'2021'!Pspv,1-EXP((T0-t)*PertePVj)+Pspv)</f>
        <v>2.4943061630858132E-2</v>
      </c>
      <c r="M267" s="832"/>
      <c r="N267" s="832"/>
      <c r="O267" s="48">
        <f>IF(t&lt;Tnet,'2021'!Resal+('2021'!Salim-'2021'!Resal)*(1-EXP(('2021'!Tnet-t)/('2021'!Tau_j))),Resal+(Salim-Resal)*(1-EXP((Tnet-t)/(Tau_j))))*Salcycl</f>
        <v>2.0165540085070027E-2</v>
      </c>
      <c r="P267" s="169">
        <f>(INDEX(Models!$BJ267:$BT267,,T267)*(1-R267)+INDEX(Models!$BJ267:$BT267,,T267+1)*R267-ERP_i)*Q267*Ramure*Pc/MaxiM</f>
        <v>1.0195752422531903E-5</v>
      </c>
      <c r="Q267" s="304">
        <f t="shared" si="77"/>
        <v>0.6</v>
      </c>
      <c r="R267" s="177">
        <f t="shared" si="78"/>
        <v>0.48811093545182488</v>
      </c>
      <c r="S267" s="799">
        <f t="shared" si="79"/>
        <v>0</v>
      </c>
      <c r="T267" s="176">
        <f t="shared" si="80"/>
        <v>6</v>
      </c>
      <c r="U267" s="250">
        <f t="shared" si="81"/>
        <v>0.48811093545182488</v>
      </c>
      <c r="V267" s="382">
        <f t="shared" si="82"/>
        <v>50.293448187504005</v>
      </c>
      <c r="W267" s="400"/>
      <c r="X267" s="157">
        <f t="shared" si="83"/>
        <v>44814</v>
      </c>
      <c r="Y267" s="383">
        <f t="shared" si="84"/>
        <v>43.723231114836246</v>
      </c>
      <c r="Z267" s="383">
        <f t="shared" si="85"/>
        <v>44.841720923463946</v>
      </c>
      <c r="AA267" s="384">
        <f t="shared" si="86"/>
        <v>50.90253886838083</v>
      </c>
      <c r="AB267" s="197">
        <f t="shared" si="87"/>
        <v>44814</v>
      </c>
      <c r="AC267" s="119">
        <f>IF(OR(t&lt;Tnet,NoTnet),'2021'!Resal_s+('2021'!Salim-'2021'!Resal_s)*(1-EXP(('2021'!Tnet_s-t)/'2021'!Tau_j)),Resal_s+(Salim-Resal_s)*(1-EXP((Tnet_s-t)/Tau_j)))*Salcycl</f>
        <v>0.1190671050925063</v>
      </c>
      <c r="AD267" s="230">
        <f>(INDEX(Models!$BJ267:$BT267,,AH267)*(1-AF267)+INDEX(Models!$BJ267:$BT267,,AH267+1)*AF267-ERP_i)*AE267*Ramure*Pc/MaxiM</f>
        <v>1.0195752422531903E-5</v>
      </c>
      <c r="AE267" s="304">
        <f t="shared" si="88"/>
        <v>0.6</v>
      </c>
      <c r="AF267" s="177">
        <f t="shared" si="89"/>
        <v>0.48811093545182488</v>
      </c>
      <c r="AG267" s="799">
        <f t="shared" si="95"/>
        <v>0</v>
      </c>
      <c r="AH267" s="176">
        <f t="shared" si="90"/>
        <v>6</v>
      </c>
      <c r="AI267" s="224">
        <f t="shared" si="91"/>
        <v>0.48811093545182488</v>
      </c>
      <c r="AJ267" s="264" t="b">
        <f t="shared" si="92"/>
        <v>0</v>
      </c>
      <c r="AK267" s="264" t="b">
        <f t="shared" si="93"/>
        <v>0</v>
      </c>
      <c r="AL267" s="264"/>
      <c r="AM267" s="264"/>
      <c r="AN267" s="75"/>
    </row>
    <row r="268" spans="1:40" s="6" customFormat="1" ht="11.25" x14ac:dyDescent="0.2">
      <c r="A268" s="56">
        <f t="shared" si="94"/>
        <v>44815</v>
      </c>
      <c r="B268" s="607">
        <v>49.053000000000004</v>
      </c>
      <c r="C268" s="388"/>
      <c r="D268" s="391">
        <f t="shared" si="74"/>
        <v>50.308795494156136</v>
      </c>
      <c r="E268" s="383">
        <f t="shared" si="96"/>
        <v>51.348049891130159</v>
      </c>
      <c r="F268" s="383">
        <f t="shared" si="75"/>
        <v>51.348594776222477</v>
      </c>
      <c r="G268" s="110">
        <f t="shared" si="97"/>
        <v>0.97894804377318489</v>
      </c>
      <c r="H268" s="412" t="b">
        <f>Wh_hp&gt;='2021'!Maxi_hp</f>
        <v>1</v>
      </c>
      <c r="I268" s="379">
        <f>IF(H268,Wh_hp,'2021'!Maxi_hp)</f>
        <v>51.348594776222477</v>
      </c>
      <c r="J268" s="85">
        <f>IF(H268,An,'2021'!An_max)</f>
        <v>2022</v>
      </c>
      <c r="K268" s="197">
        <f t="shared" si="76"/>
        <v>44815</v>
      </c>
      <c r="L268" s="147">
        <f>IF(t&lt;Tvie,1-EXP((T0-t)*PertePVj)+'2021'!Pspv,1-EXP((T0-t)*PertePVj)+Pspv)</f>
        <v>2.4961748374635717E-2</v>
      </c>
      <c r="M268" s="832"/>
      <c r="N268" s="832"/>
      <c r="O268" s="48">
        <f>IF(t&lt;Tnet,'2021'!Resal+('2021'!Salim-'2021'!Resal)*(1-EXP(('2021'!Tnet-t)/('2021'!Tau_j))),Resal+(Salim-Resal)*(1-EXP((Tnet-t)/(Tau_j))))*Salcycl</f>
        <v>2.0239413165202738E-2</v>
      </c>
      <c r="P268" s="169">
        <f>(INDEX(Models!$BJ268:$BT268,,T268)*(1-R268)+INDEX(Models!$BJ268:$BT268,,T268+1)*R268-ERP_i)*Q268*Ramure*Pc/MaxiM</f>
        <v>1.0940512222820583E-5</v>
      </c>
      <c r="Q268" s="304">
        <f t="shared" si="77"/>
        <v>0.6</v>
      </c>
      <c r="R268" s="177">
        <f t="shared" si="78"/>
        <v>0.48855092074316159</v>
      </c>
      <c r="S268" s="799">
        <f t="shared" si="79"/>
        <v>0</v>
      </c>
      <c r="T268" s="176">
        <f t="shared" si="80"/>
        <v>6</v>
      </c>
      <c r="U268" s="250">
        <f t="shared" si="81"/>
        <v>0.48855092074316159</v>
      </c>
      <c r="V268" s="382">
        <f t="shared" si="82"/>
        <v>50.10785217081402</v>
      </c>
      <c r="W268" s="400"/>
      <c r="X268" s="157">
        <f t="shared" si="83"/>
        <v>44815</v>
      </c>
      <c r="Y268" s="383">
        <f t="shared" si="84"/>
        <v>44.106687304830913</v>
      </c>
      <c r="Z268" s="383">
        <f t="shared" si="85"/>
        <v>45.235853292223332</v>
      </c>
      <c r="AA268" s="384">
        <f t="shared" si="86"/>
        <v>51.348049891130159</v>
      </c>
      <c r="AB268" s="197">
        <f t="shared" si="87"/>
        <v>44815</v>
      </c>
      <c r="AC268" s="119">
        <f>IF(OR(t&lt;Tnet,NoTnet),'2021'!Resal_s+('2021'!Salim-'2021'!Resal_s)*(1-EXP(('2021'!Tnet_s-t)/'2021'!Tau_j)),Resal_s+(Salim-Resal_s)*(1-EXP((Tnet_s-t)/Tau_j)))*Salcycl</f>
        <v>0.11903463932644202</v>
      </c>
      <c r="AD268" s="230">
        <f>(INDEX(Models!$BJ268:$BT268,,AH268)*(1-AF268)+INDEX(Models!$BJ268:$BT268,,AH268+1)*AF268-ERP_i)*AE268*Ramure*Pc/MaxiM</f>
        <v>1.0940512222820583E-5</v>
      </c>
      <c r="AE268" s="304">
        <f t="shared" si="88"/>
        <v>0.6</v>
      </c>
      <c r="AF268" s="177">
        <f t="shared" si="89"/>
        <v>0.48855092074316159</v>
      </c>
      <c r="AG268" s="799">
        <f t="shared" si="95"/>
        <v>0</v>
      </c>
      <c r="AH268" s="176">
        <f t="shared" si="90"/>
        <v>6</v>
      </c>
      <c r="AI268" s="224">
        <f t="shared" si="91"/>
        <v>0.48855092074316159</v>
      </c>
      <c r="AJ268" s="264" t="b">
        <f t="shared" si="92"/>
        <v>0</v>
      </c>
      <c r="AK268" s="264" t="b">
        <f t="shared" si="93"/>
        <v>0</v>
      </c>
      <c r="AL268" s="264"/>
      <c r="AM268" s="264"/>
      <c r="AN268" s="75"/>
    </row>
    <row r="269" spans="1:40" s="6" customFormat="1" ht="11.25" x14ac:dyDescent="0.2">
      <c r="A269" s="56">
        <f t="shared" si="94"/>
        <v>44816</v>
      </c>
      <c r="B269" s="607">
        <v>38.457999999999998</v>
      </c>
      <c r="C269" s="388"/>
      <c r="D269" s="391">
        <f t="shared" si="74"/>
        <v>39.443311058629774</v>
      </c>
      <c r="E269" s="383">
        <f t="shared" si="96"/>
        <v>40.261137397839597</v>
      </c>
      <c r="F269" s="383">
        <f t="shared" si="75"/>
        <v>40.261453952754209</v>
      </c>
      <c r="G269" s="110">
        <f t="shared" si="97"/>
        <v>0.77041446625472743</v>
      </c>
      <c r="H269" s="412" t="b">
        <f>Wh_hp&gt;='2021'!Maxi_hp</f>
        <v>0</v>
      </c>
      <c r="I269" s="379">
        <f>IF(H269,Wh_hp,'2021'!Maxi_hp)</f>
        <v>51.806611892360216</v>
      </c>
      <c r="J269" s="85">
        <f>IF(H269,An,'2021'!An_max)</f>
        <v>2018</v>
      </c>
      <c r="K269" s="197">
        <f t="shared" si="76"/>
        <v>44816</v>
      </c>
      <c r="L269" s="147">
        <f>IF(t&lt;Tvie,1-EXP((T0-t)*PertePVj)+'2021'!Pspv,1-EXP((T0-t)*PertePVj)+Pspv)</f>
        <v>2.4980434760286108E-2</v>
      </c>
      <c r="M269" s="832"/>
      <c r="N269" s="832"/>
      <c r="O269" s="48">
        <f>IF(t&lt;Tnet,'2021'!Resal+('2021'!Salim-'2021'!Resal)*(1-EXP(('2021'!Tnet-t)/('2021'!Tau_j))),Resal+(Salim-Resal)*(1-EXP((Tnet-t)/(Tau_j))))*Salcycl</f>
        <v>2.0313046080355134E-2</v>
      </c>
      <c r="P269" s="169">
        <f>(INDEX(Models!$BJ269:$BT269,,T269)*(1-R269)+INDEX(Models!$BJ269:$BT269,,T269+1)*R269-ERP_i)*Q269*Ramure*Pc/MaxiM</f>
        <v>1.1699687127711107E-5</v>
      </c>
      <c r="Q269" s="304">
        <f t="shared" si="77"/>
        <v>0.6</v>
      </c>
      <c r="R269" s="177">
        <f t="shared" si="78"/>
        <v>0.48897393512474857</v>
      </c>
      <c r="S269" s="799">
        <f t="shared" si="79"/>
        <v>0</v>
      </c>
      <c r="T269" s="176">
        <f t="shared" si="80"/>
        <v>6</v>
      </c>
      <c r="U269" s="250">
        <f t="shared" si="81"/>
        <v>0.48897393512474857</v>
      </c>
      <c r="V269" s="382">
        <f t="shared" si="82"/>
        <v>49.918393425972923</v>
      </c>
      <c r="W269" s="400"/>
      <c r="X269" s="157">
        <f t="shared" si="83"/>
        <v>44816</v>
      </c>
      <c r="Y269" s="383">
        <f t="shared" si="84"/>
        <v>34.583951785556941</v>
      </c>
      <c r="Z269" s="383">
        <f t="shared" si="85"/>
        <v>35.470008006510398</v>
      </c>
      <c r="AA269" s="384">
        <f t="shared" si="86"/>
        <v>40.261137397839597</v>
      </c>
      <c r="AB269" s="197">
        <f t="shared" si="87"/>
        <v>44816</v>
      </c>
      <c r="AC269" s="119">
        <f>IF(OR(t&lt;Tnet,NoTnet),'2021'!Resal_s+('2021'!Salim-'2021'!Resal_s)*(1-EXP(('2021'!Tnet_s-t)/'2021'!Tau_j)),Resal_s+(Salim-Resal_s)*(1-EXP((Tnet_s-t)/Tau_j)))*Salcycl</f>
        <v>0.11900134226178834</v>
      </c>
      <c r="AD269" s="230">
        <f>(INDEX(Models!$BJ269:$BT269,,AH269)*(1-AF269)+INDEX(Models!$BJ269:$BT269,,AH269+1)*AF269-ERP_i)*AE269*Ramure*Pc/MaxiM</f>
        <v>1.1699687127711107E-5</v>
      </c>
      <c r="AE269" s="304">
        <f t="shared" si="88"/>
        <v>0.6</v>
      </c>
      <c r="AF269" s="177">
        <f t="shared" si="89"/>
        <v>0.48897393512474857</v>
      </c>
      <c r="AG269" s="799">
        <f t="shared" si="95"/>
        <v>0</v>
      </c>
      <c r="AH269" s="176">
        <f t="shared" si="90"/>
        <v>6</v>
      </c>
      <c r="AI269" s="224">
        <f t="shared" si="91"/>
        <v>0.48897393512474857</v>
      </c>
      <c r="AJ269" s="264" t="b">
        <f t="shared" si="92"/>
        <v>0</v>
      </c>
      <c r="AK269" s="264" t="b">
        <f t="shared" si="93"/>
        <v>0</v>
      </c>
      <c r="AL269" s="264"/>
      <c r="AM269" s="264"/>
      <c r="AN269" s="75"/>
    </row>
    <row r="270" spans="1:40" s="6" customFormat="1" ht="11.25" x14ac:dyDescent="0.2">
      <c r="A270" s="56">
        <f t="shared" si="94"/>
        <v>44817</v>
      </c>
      <c r="B270" s="607">
        <v>15.289</v>
      </c>
      <c r="C270" s="388"/>
      <c r="D270" s="391">
        <f t="shared" si="74"/>
        <v>15.681011500578085</v>
      </c>
      <c r="E270" s="383">
        <f t="shared" si="96"/>
        <v>16.007344126838845</v>
      </c>
      <c r="F270" s="383">
        <f t="shared" si="75"/>
        <v>16.007346258294085</v>
      </c>
      <c r="G270" s="110">
        <f t="shared" si="97"/>
        <v>0.30746875149529851</v>
      </c>
      <c r="H270" s="412" t="b">
        <f>Wh_hp&gt;='2021'!Maxi_hp</f>
        <v>0</v>
      </c>
      <c r="I270" s="379">
        <f>IF(H270,Wh_hp,'2021'!Maxi_hp)</f>
        <v>49.476808548086147</v>
      </c>
      <c r="J270" s="85">
        <f>IF(H270,An,'2021'!An_max)</f>
        <v>2020</v>
      </c>
      <c r="K270" s="197">
        <f t="shared" si="76"/>
        <v>44817</v>
      </c>
      <c r="L270" s="147">
        <f>IF(t&lt;Tvie,1-EXP((T0-t)*PertePVj)+'2021'!Pspv,1-EXP((T0-t)*PertePVj)+Pspv)</f>
        <v>2.4999120787816187E-2</v>
      </c>
      <c r="M270" s="832"/>
      <c r="N270" s="832"/>
      <c r="O270" s="48">
        <f>IF(t&lt;Tnet,'2021'!Resal+('2021'!Salim-'2021'!Resal)*(1-EXP(('2021'!Tnet-t)/('2021'!Tau_j))),Resal+(Salim-Resal)*(1-EXP((Tnet-t)/(Tau_j))))*Salcycl</f>
        <v>2.0386431607577599E-2</v>
      </c>
      <c r="P270" s="169">
        <f>(INDEX(Models!$BJ270:$BT270,,T270)*(1-R270)+INDEX(Models!$BJ270:$BT270,,T270+1)*R270-ERP_i)*Q270*Ramure*Pc/MaxiM</f>
        <v>1.2473442581374485E-5</v>
      </c>
      <c r="Q270" s="304">
        <f t="shared" si="77"/>
        <v>0.6</v>
      </c>
      <c r="R270" s="177">
        <f t="shared" si="78"/>
        <v>0.48938060495295865</v>
      </c>
      <c r="S270" s="799">
        <f t="shared" si="79"/>
        <v>0</v>
      </c>
      <c r="T270" s="176">
        <f t="shared" si="80"/>
        <v>6</v>
      </c>
      <c r="U270" s="250">
        <f t="shared" si="81"/>
        <v>0.48938060495295865</v>
      </c>
      <c r="V270" s="382">
        <f t="shared" si="82"/>
        <v>49.724764727998732</v>
      </c>
      <c r="W270" s="400"/>
      <c r="X270" s="157">
        <f t="shared" si="83"/>
        <v>44817</v>
      </c>
      <c r="Y270" s="383">
        <f t="shared" si="84"/>
        <v>13.750433031716737</v>
      </c>
      <c r="Z270" s="383">
        <f t="shared" si="85"/>
        <v>14.102995520196151</v>
      </c>
      <c r="AA270" s="384">
        <f t="shared" si="86"/>
        <v>16.007344126838845</v>
      </c>
      <c r="AB270" s="197">
        <f t="shared" si="87"/>
        <v>44817</v>
      </c>
      <c r="AC270" s="119">
        <f>IF(OR(t&lt;Tnet,NoTnet),'2021'!Resal_s+('2021'!Salim-'2021'!Resal_s)*(1-EXP(('2021'!Tnet_s-t)/'2021'!Tau_j)),Resal_s+(Salim-Resal_s)*(1-EXP((Tnet_s-t)/Tau_j)))*Salcycl</f>
        <v>0.11896718103596915</v>
      </c>
      <c r="AD270" s="230">
        <f>(INDEX(Models!$BJ270:$BT270,,AH270)*(1-AF270)+INDEX(Models!$BJ270:$BT270,,AH270+1)*AF270-ERP_i)*AE270*Ramure*Pc/MaxiM</f>
        <v>1.2473442581374485E-5</v>
      </c>
      <c r="AE270" s="304">
        <f t="shared" si="88"/>
        <v>0.6</v>
      </c>
      <c r="AF270" s="177">
        <f t="shared" si="89"/>
        <v>0.48938060495295865</v>
      </c>
      <c r="AG270" s="799">
        <f t="shared" si="95"/>
        <v>0</v>
      </c>
      <c r="AH270" s="176">
        <f t="shared" si="90"/>
        <v>6</v>
      </c>
      <c r="AI270" s="224">
        <f t="shared" si="91"/>
        <v>0.48938060495295865</v>
      </c>
      <c r="AJ270" s="264" t="b">
        <f t="shared" si="92"/>
        <v>0</v>
      </c>
      <c r="AK270" s="264" t="b">
        <f t="shared" si="93"/>
        <v>0</v>
      </c>
      <c r="AL270" s="264"/>
      <c r="AM270" s="264"/>
      <c r="AN270" s="75"/>
    </row>
    <row r="271" spans="1:40" s="6" customFormat="1" ht="11.25" x14ac:dyDescent="0.2">
      <c r="A271" s="56">
        <f t="shared" si="94"/>
        <v>44818</v>
      </c>
      <c r="B271" s="607">
        <v>38.506</v>
      </c>
      <c r="C271" s="388"/>
      <c r="D271" s="391">
        <f t="shared" ref="D271:D334" si="98">Wh/(1-Ppv)</f>
        <v>39.494054614558408</v>
      </c>
      <c r="E271" s="383">
        <f t="shared" si="96"/>
        <v>40.31896294671369</v>
      </c>
      <c r="F271" s="383">
        <f t="shared" ref="F271:F334" si="99">Wh_sa/(1-Pvg*MEDIAN((-Sdif+Wh/Env_an)/Csdif,0,1))</f>
        <v>40.319327682459942</v>
      </c>
      <c r="G271" s="110">
        <f t="shared" si="97"/>
        <v>0.77747698842683166</v>
      </c>
      <c r="H271" s="412" t="b">
        <f>Wh_hp&gt;='2021'!Maxi_hp</f>
        <v>0</v>
      </c>
      <c r="I271" s="379">
        <f>IF(H271,Wh_hp,'2021'!Maxi_hp)</f>
        <v>49.421570563132221</v>
      </c>
      <c r="J271" s="85">
        <f>IF(H271,An,'2021'!An_max)</f>
        <v>2020</v>
      </c>
      <c r="K271" s="197">
        <f t="shared" ref="K271:K334" si="100">t</f>
        <v>44818</v>
      </c>
      <c r="L271" s="147">
        <f>IF(t&lt;Tvie,1-EXP((T0-t)*PertePVj)+'2021'!Pspv,1-EXP((T0-t)*PertePVj)+Pspv)</f>
        <v>2.5017806457232838E-2</v>
      </c>
      <c r="M271" s="832"/>
      <c r="N271" s="832"/>
      <c r="O271" s="48">
        <f>IF(t&lt;Tnet,'2021'!Resal+('2021'!Salim-'2021'!Resal)*(1-EXP(('2021'!Tnet-t)/('2021'!Tau_j))),Resal+(Salim-Resal)*(1-EXP((Tnet-t)/(Tau_j))))*Salcycl</f>
        <v>2.045956224731011E-2</v>
      </c>
      <c r="P271" s="169">
        <f>(INDEX(Models!$BJ271:$BT271,,T271)*(1-R271)+INDEX(Models!$BJ271:$BT271,,T271+1)*R271-ERP_i)*Q271*Ramure*Pc/MaxiM</f>
        <v>1.3261958356208553E-5</v>
      </c>
      <c r="Q271" s="304">
        <f t="shared" ref="Q271:Q334" si="101">IF(OR(t&lt;Ttai,Notai),Dd+PousD*Croivg,Dens+PousD*(Croivg-Croi_tai))</f>
        <v>0.6</v>
      </c>
      <c r="R271" s="177">
        <f t="shared" ref="R271:R334" si="102">(Hp_vg-S271)/(INDEX(Echel_vg,T271+1)-S271)</f>
        <v>0.48977153565739423</v>
      </c>
      <c r="S271" s="799">
        <f t="shared" ref="S271:S334" si="103">INDEX(Echel_vg,T271)</f>
        <v>0</v>
      </c>
      <c r="T271" s="176">
        <f t="shared" ref="T271:T334" si="104">MIN(MATCH(Hp_vg,Echel_vg),10)</f>
        <v>6</v>
      </c>
      <c r="U271" s="250">
        <f t="shared" ref="U271:U334" si="105">IF(OR(t&lt;Ttai,Notai),Hdd+PousH*Croivg,Hdtf+PousH*(Croivg-Croi_tai))</f>
        <v>0.48977153565739423</v>
      </c>
      <c r="V271" s="382">
        <f t="shared" ref="V271:V334" si="106">MaxiM*(1-Ppv)*(1-Pvg)*(1-Psa)</f>
        <v>49.526658973587331</v>
      </c>
      <c r="W271" s="400"/>
      <c r="X271" s="157">
        <f t="shared" ref="X271:X334" si="107">t</f>
        <v>44818</v>
      </c>
      <c r="Y271" s="383">
        <f t="shared" ref="Y271:Y334" si="108">Wh_pvt_s*(1-Ppv)</f>
        <v>34.635017009273589</v>
      </c>
      <c r="Z271" s="383">
        <f t="shared" ref="Z271:Z334" si="109">Wh_sa_s*(1-Psa_s)</f>
        <v>35.523743139781082</v>
      </c>
      <c r="AA271" s="384">
        <f t="shared" ref="AA271:AA334" si="110">Wh_hp*(1-Pvg_s*MEDIAN((-Sdif+Wh/Env_an)/Csdif,0,1))</f>
        <v>40.31896294671369</v>
      </c>
      <c r="AB271" s="197">
        <f t="shared" ref="AB271:AB334" si="111">t</f>
        <v>44818</v>
      </c>
      <c r="AC271" s="119">
        <f>IF(OR(t&lt;Tnet,NoTnet),'2021'!Resal_s+('2021'!Salim-'2021'!Resal_s)*(1-EXP(('2021'!Tnet_s-t)/'2021'!Tau_j)),Resal_s+(Salim-Resal_s)*(1-EXP((Tnet_s-t)/Tau_j)))*Salcycl</f>
        <v>0.11893212167361694</v>
      </c>
      <c r="AD271" s="230">
        <f>(INDEX(Models!$BJ271:$BT271,,AH271)*(1-AF271)+INDEX(Models!$BJ271:$BT271,,AH271+1)*AF271-ERP_i)*AE271*Ramure*Pc/MaxiM</f>
        <v>1.3261958356208553E-5</v>
      </c>
      <c r="AE271" s="304">
        <f t="shared" ref="AE271:AE334" si="112">IF(OR(t&lt;Ttai,Notai),Dd_s+PousD*Croivg,Dens_s+PousD*(Croivg-Croi_tai))</f>
        <v>0.6</v>
      </c>
      <c r="AF271" s="177">
        <f t="shared" ref="AF271:AF334" si="113">(Hp_vg_s-AG271)/(INDEX(Echel_vg,AH271+1)-AG271)</f>
        <v>0.48977153565739423</v>
      </c>
      <c r="AG271" s="799">
        <f t="shared" si="95"/>
        <v>0</v>
      </c>
      <c r="AH271" s="176">
        <f t="shared" ref="AH271:AH334" si="114">MIN(MATCH(Hp_vg_s,Echel_vg),10)</f>
        <v>6</v>
      </c>
      <c r="AI271" s="224">
        <f t="shared" ref="AI271:AI334" si="115">IF(OR(t&lt;Ttai,Notai),Hdd_s+PousH*Croivg,Hdtai_s+PousH*(Croivg-Croi_tai))</f>
        <v>0.48977153565739423</v>
      </c>
      <c r="AJ271" s="264" t="b">
        <f t="shared" ref="AJ271:AJ334" si="116">t&lt;Tnet</f>
        <v>0</v>
      </c>
      <c r="AK271" s="264" t="b">
        <f t="shared" ref="AK271:AK334" si="117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18">A271+1</f>
        <v>44819</v>
      </c>
      <c r="B272" s="607">
        <v>42.337000000000003</v>
      </c>
      <c r="C272" s="388"/>
      <c r="D272" s="391">
        <f t="shared" si="98"/>
        <v>43.424189359453614</v>
      </c>
      <c r="E272" s="383">
        <f t="shared" si="96"/>
        <v>44.334484060121802</v>
      </c>
      <c r="F272" s="383">
        <f t="shared" si="99"/>
        <v>44.334981461629496</v>
      </c>
      <c r="G272" s="110">
        <f t="shared" si="97"/>
        <v>0.85834639575592164</v>
      </c>
      <c r="H272" s="412" t="b">
        <f>Wh_hp&gt;='2021'!Maxi_hp</f>
        <v>0</v>
      </c>
      <c r="I272" s="379">
        <f>IF(H272,Wh_hp,'2021'!Maxi_hp)</f>
        <v>51.00676090295368</v>
      </c>
      <c r="J272" s="85">
        <f>IF(H272,An,'2021'!An_max)</f>
        <v>2020</v>
      </c>
      <c r="K272" s="197">
        <f t="shared" si="100"/>
        <v>44819</v>
      </c>
      <c r="L272" s="147">
        <f>IF(t&lt;Tvie,1-EXP((T0-t)*PertePVj)+'2021'!Pspv,1-EXP((T0-t)*PertePVj)+Pspv)</f>
        <v>2.5036491768542946E-2</v>
      </c>
      <c r="M272" s="832"/>
      <c r="N272" s="832"/>
      <c r="O272" s="48">
        <f>IF(t&lt;Tnet,'2021'!Resal+('2021'!Salim-'2021'!Resal)*(1-EXP(('2021'!Tnet-t)/('2021'!Tau_j))),Resal+(Salim-Resal)*(1-EXP((Tnet-t)/(Tau_j))))*Salcycl</f>
        <v>2.0532430228211117E-2</v>
      </c>
      <c r="P272" s="169">
        <f>(INDEX(Models!$BJ272:$BT272,,T272)*(1-R272)+INDEX(Models!$BJ272:$BT272,,T272+1)*R272-ERP_i)*Q272*Ramure*Pc/MaxiM</f>
        <v>1.4065429194557851E-5</v>
      </c>
      <c r="Q272" s="304">
        <f t="shared" si="101"/>
        <v>0.6</v>
      </c>
      <c r="R272" s="177">
        <f t="shared" si="102"/>
        <v>0.4901473122672923</v>
      </c>
      <c r="S272" s="799">
        <f t="shared" si="103"/>
        <v>0</v>
      </c>
      <c r="T272" s="176">
        <f t="shared" si="104"/>
        <v>6</v>
      </c>
      <c r="U272" s="250">
        <f t="shared" si="105"/>
        <v>0.4901473122672923</v>
      </c>
      <c r="V272" s="382">
        <f t="shared" si="106"/>
        <v>49.323769174925879</v>
      </c>
      <c r="W272" s="400"/>
      <c r="X272" s="157">
        <f t="shared" si="107"/>
        <v>44819</v>
      </c>
      <c r="Y272" s="383">
        <f t="shared" si="108"/>
        <v>38.085277891843937</v>
      </c>
      <c r="Z272" s="383">
        <f t="shared" si="109"/>
        <v>39.063285518171888</v>
      </c>
      <c r="AA272" s="384">
        <f t="shared" si="110"/>
        <v>44.334484060121802</v>
      </c>
      <c r="AB272" s="197">
        <f t="shared" si="111"/>
        <v>44819</v>
      </c>
      <c r="AC272" s="119">
        <f>IF(OR(t&lt;Tnet,NoTnet),'2021'!Resal_s+('2021'!Salim-'2021'!Resal_s)*(1-EXP(('2021'!Tnet_s-t)/'2021'!Tau_j)),Resal_s+(Salim-Resal_s)*(1-EXP((Tnet_s-t)/Tau_j)))*Salcycl</f>
        <v>0.1188961291350918</v>
      </c>
      <c r="AD272" s="230">
        <f>(INDEX(Models!$BJ272:$BT272,,AH272)*(1-AF272)+INDEX(Models!$BJ272:$BT272,,AH272+1)*AF272-ERP_i)*AE272*Ramure*Pc/MaxiM</f>
        <v>1.4065429194557851E-5</v>
      </c>
      <c r="AE272" s="304">
        <f t="shared" si="112"/>
        <v>0.6</v>
      </c>
      <c r="AF272" s="177">
        <f t="shared" si="113"/>
        <v>0.4901473122672923</v>
      </c>
      <c r="AG272" s="799">
        <f t="shared" ref="AG272:AG335" si="119">INDEX(Echel_vg,AH272)</f>
        <v>0</v>
      </c>
      <c r="AH272" s="176">
        <f t="shared" si="114"/>
        <v>6</v>
      </c>
      <c r="AI272" s="224">
        <f t="shared" si="115"/>
        <v>0.4901473122672923</v>
      </c>
      <c r="AJ272" s="264" t="b">
        <f t="shared" si="116"/>
        <v>0</v>
      </c>
      <c r="AK272" s="264" t="b">
        <f t="shared" si="117"/>
        <v>0</v>
      </c>
      <c r="AL272" s="264"/>
      <c r="AM272" s="264"/>
      <c r="AN272" s="75"/>
    </row>
    <row r="273" spans="1:40" s="6" customFormat="1" ht="11.25" x14ac:dyDescent="0.2">
      <c r="A273" s="56">
        <f t="shared" si="118"/>
        <v>44820</v>
      </c>
      <c r="B273" s="607">
        <v>30.624000000000002</v>
      </c>
      <c r="C273" s="388"/>
      <c r="D273" s="391">
        <f t="shared" si="98"/>
        <v>31.411008365608801</v>
      </c>
      <c r="E273" s="383">
        <f t="shared" si="96"/>
        <v>32.071849711381567</v>
      </c>
      <c r="F273" s="383">
        <f t="shared" si="99"/>
        <v>32.072070325435405</v>
      </c>
      <c r="G273" s="110">
        <f t="shared" si="97"/>
        <v>0.62350123659841628</v>
      </c>
      <c r="H273" s="412" t="b">
        <f>Wh_hp&gt;='2021'!Maxi_hp</f>
        <v>0</v>
      </c>
      <c r="I273" s="379">
        <f>IF(H273,Wh_hp,'2021'!Maxi_hp)</f>
        <v>45.030086079266795</v>
      </c>
      <c r="J273" s="85">
        <f>IF(H273,An,'2021'!An_max)</f>
        <v>2018</v>
      </c>
      <c r="K273" s="197">
        <f t="shared" si="100"/>
        <v>44820</v>
      </c>
      <c r="L273" s="147">
        <f>IF(t&lt;Tvie,1-EXP((T0-t)*PertePVj)+'2021'!Pspv,1-EXP((T0-t)*PertePVj)+Pspv)</f>
        <v>2.5055176721753281E-2</v>
      </c>
      <c r="M273" s="832"/>
      <c r="N273" s="832"/>
      <c r="O273" s="48">
        <f>IF(t&lt;Tnet,'2021'!Resal+('2021'!Salim-'2021'!Resal)*(1-EXP(('2021'!Tnet-t)/('2021'!Tau_j))),Resal+(Salim-Resal)*(1-EXP((Tnet-t)/(Tau_j))))*Salcycl</f>
        <v>2.0605027515399266E-2</v>
      </c>
      <c r="P273" s="169">
        <f>(INDEX(Models!$BJ273:$BT273,,T273)*(1-R273)+INDEX(Models!$BJ273:$BT273,,T273+1)*R273-ERP_i)*Q273*Ramure*Pc/MaxiM</f>
        <v>1.4884065531813388E-5</v>
      </c>
      <c r="Q273" s="304">
        <f t="shared" si="101"/>
        <v>0.6</v>
      </c>
      <c r="R273" s="177">
        <f t="shared" si="102"/>
        <v>0.49050849993918794</v>
      </c>
      <c r="S273" s="799">
        <f t="shared" si="103"/>
        <v>0</v>
      </c>
      <c r="T273" s="176">
        <f t="shared" si="104"/>
        <v>6</v>
      </c>
      <c r="U273" s="250">
        <f t="shared" si="105"/>
        <v>0.49050849993918794</v>
      </c>
      <c r="V273" s="382">
        <f t="shared" si="106"/>
        <v>49.115788460948515</v>
      </c>
      <c r="W273" s="400"/>
      <c r="X273" s="157">
        <f t="shared" si="107"/>
        <v>44820</v>
      </c>
      <c r="Y273" s="383">
        <f t="shared" si="108"/>
        <v>27.551761665257214</v>
      </c>
      <c r="Z273" s="383">
        <f t="shared" si="109"/>
        <v>28.259816358237138</v>
      </c>
      <c r="AA273" s="384">
        <f t="shared" si="110"/>
        <v>32.071849711381567</v>
      </c>
      <c r="AB273" s="197">
        <f t="shared" si="111"/>
        <v>44820</v>
      </c>
      <c r="AC273" s="119">
        <f>IF(OR(t&lt;Tnet,NoTnet),'2021'!Resal_s+('2021'!Salim-'2021'!Resal_s)*(1-EXP(('2021'!Tnet_s-t)/'2021'!Tau_j)),Resal_s+(Salim-Resal_s)*(1-EXP((Tnet_s-t)/Tau_j)))*Salcycl</f>
        <v>0.11885916738352718</v>
      </c>
      <c r="AD273" s="230">
        <f>(INDEX(Models!$BJ273:$BT273,,AH273)*(1-AF273)+INDEX(Models!$BJ273:$BT273,,AH273+1)*AF273-ERP_i)*AE273*Ramure*Pc/MaxiM</f>
        <v>1.4884065531813388E-5</v>
      </c>
      <c r="AE273" s="304">
        <f t="shared" si="112"/>
        <v>0.6</v>
      </c>
      <c r="AF273" s="177">
        <f t="shared" si="113"/>
        <v>0.49050849993918794</v>
      </c>
      <c r="AG273" s="799">
        <f t="shared" si="119"/>
        <v>0</v>
      </c>
      <c r="AH273" s="176">
        <f t="shared" si="114"/>
        <v>6</v>
      </c>
      <c r="AI273" s="224">
        <f t="shared" si="115"/>
        <v>0.49050849993918794</v>
      </c>
      <c r="AJ273" s="264" t="b">
        <f t="shared" si="116"/>
        <v>0</v>
      </c>
      <c r="AK273" s="264" t="b">
        <f t="shared" si="117"/>
        <v>0</v>
      </c>
      <c r="AL273" s="264"/>
      <c r="AM273" s="264"/>
      <c r="AN273" s="75"/>
    </row>
    <row r="274" spans="1:40" s="6" customFormat="1" ht="11.25" x14ac:dyDescent="0.2">
      <c r="A274" s="56">
        <f t="shared" si="118"/>
        <v>44821</v>
      </c>
      <c r="B274" s="607">
        <v>49.414000000000001</v>
      </c>
      <c r="C274" s="388"/>
      <c r="D274" s="391">
        <f t="shared" si="98"/>
        <v>50.684865282969454</v>
      </c>
      <c r="E274" s="383">
        <f t="shared" si="96"/>
        <v>51.755021766069376</v>
      </c>
      <c r="F274" s="383">
        <f t="shared" si="99"/>
        <v>51.755835269169907</v>
      </c>
      <c r="G274" s="110">
        <f t="shared" si="97"/>
        <v>1.010461446092713</v>
      </c>
      <c r="H274" s="412" t="b">
        <f>Wh_hp&gt;='2021'!Maxi_hp</f>
        <v>1</v>
      </c>
      <c r="I274" s="379">
        <f>IF(H274,Wh_hp,'2021'!Maxi_hp)</f>
        <v>51.755835269169907</v>
      </c>
      <c r="J274" s="85">
        <f>IF(H274,An,'2021'!An_max)</f>
        <v>2022</v>
      </c>
      <c r="K274" s="197">
        <f t="shared" si="100"/>
        <v>44821</v>
      </c>
      <c r="L274" s="147">
        <f>IF(t&lt;Tvie,1-EXP((T0-t)*PertePVj)+'2021'!Pspv,1-EXP((T0-t)*PertePVj)+Pspv)</f>
        <v>2.5073861316870727E-2</v>
      </c>
      <c r="M274" s="832"/>
      <c r="N274" s="832"/>
      <c r="O274" s="48">
        <f>IF(t&lt;Tnet,'2021'!Resal+('2021'!Salim-'2021'!Resal)*(1-EXP(('2021'!Tnet-t)/('2021'!Tau_j))),Resal+(Salim-Resal)*(1-EXP((Tnet-t)/(Tau_j))))*Salcycl</f>
        <v>2.0677345822343346E-2</v>
      </c>
      <c r="P274" s="169">
        <f>(INDEX(Models!$BJ274:$BT274,,T274)*(1-R274)+INDEX(Models!$BJ274:$BT274,,T274+1)*R274-ERP_i)*Q274*Ramure*Pc/MaxiM</f>
        <v>1.5718094323090392E-5</v>
      </c>
      <c r="Q274" s="304">
        <f t="shared" si="101"/>
        <v>0.6</v>
      </c>
      <c r="R274" s="177">
        <f t="shared" si="102"/>
        <v>0.49085564448428626</v>
      </c>
      <c r="S274" s="799">
        <f t="shared" si="103"/>
        <v>0</v>
      </c>
      <c r="T274" s="176">
        <f t="shared" si="104"/>
        <v>6</v>
      </c>
      <c r="U274" s="250">
        <f t="shared" si="105"/>
        <v>0.49085564448428626</v>
      </c>
      <c r="V274" s="382">
        <f t="shared" si="106"/>
        <v>48.902410073215307</v>
      </c>
      <c r="W274" s="400"/>
      <c r="X274" s="157">
        <f t="shared" si="107"/>
        <v>44821</v>
      </c>
      <c r="Y274" s="383">
        <f t="shared" si="108"/>
        <v>44.461923824165964</v>
      </c>
      <c r="Z274" s="383">
        <f t="shared" si="109"/>
        <v>45.605428001163673</v>
      </c>
      <c r="AA274" s="384">
        <f t="shared" si="110"/>
        <v>51.755021766069376</v>
      </c>
      <c r="AB274" s="197">
        <f t="shared" si="111"/>
        <v>44821</v>
      </c>
      <c r="AC274" s="119">
        <f>IF(OR(t&lt;Tnet,NoTnet),'2021'!Resal_s+('2021'!Salim-'2021'!Resal_s)*(1-EXP(('2021'!Tnet_s-t)/'2021'!Tau_j)),Resal_s+(Salim-Resal_s)*(1-EXP((Tnet_s-t)/Tau_j)))*Salcycl</f>
        <v>0.11882119947126325</v>
      </c>
      <c r="AD274" s="230">
        <f>(INDEX(Models!$BJ274:$BT274,,AH274)*(1-AF274)+INDEX(Models!$BJ274:$BT274,,AH274+1)*AF274-ERP_i)*AE274*Ramure*Pc/MaxiM</f>
        <v>1.5718094323090392E-5</v>
      </c>
      <c r="AE274" s="304">
        <f t="shared" si="112"/>
        <v>0.6</v>
      </c>
      <c r="AF274" s="177">
        <f t="shared" si="113"/>
        <v>0.49085564448428626</v>
      </c>
      <c r="AG274" s="799">
        <f t="shared" si="119"/>
        <v>0</v>
      </c>
      <c r="AH274" s="176">
        <f t="shared" si="114"/>
        <v>6</v>
      </c>
      <c r="AI274" s="224">
        <f t="shared" si="115"/>
        <v>0.49085564448428626</v>
      </c>
      <c r="AJ274" s="264" t="b">
        <f t="shared" si="116"/>
        <v>0</v>
      </c>
      <c r="AK274" s="264" t="b">
        <f t="shared" si="117"/>
        <v>0</v>
      </c>
      <c r="AL274" s="264"/>
      <c r="AM274" s="264"/>
      <c r="AN274" s="75"/>
    </row>
    <row r="275" spans="1:40" s="6" customFormat="1" ht="11.25" x14ac:dyDescent="0.2">
      <c r="A275" s="56">
        <f t="shared" si="118"/>
        <v>44822</v>
      </c>
      <c r="B275" s="607">
        <v>47.764000000000003</v>
      </c>
      <c r="C275" s="388"/>
      <c r="D275" s="391">
        <f t="shared" si="98"/>
        <v>48.993368326573666</v>
      </c>
      <c r="E275" s="383">
        <f t="shared" si="96"/>
        <v>50.031490567550094</v>
      </c>
      <c r="F275" s="383">
        <f t="shared" si="99"/>
        <v>50.032297106703666</v>
      </c>
      <c r="G275" s="110">
        <f t="shared" si="97"/>
        <v>0.98110468760861969</v>
      </c>
      <c r="H275" s="412" t="b">
        <f>Wh_hp&gt;='2021'!Maxi_hp</f>
        <v>1</v>
      </c>
      <c r="I275" s="379">
        <f>IF(H275,Wh_hp,'2021'!Maxi_hp)</f>
        <v>50.032297106703666</v>
      </c>
      <c r="J275" s="85">
        <f>IF(H275,An,'2021'!An_max)</f>
        <v>2022</v>
      </c>
      <c r="K275" s="197">
        <f t="shared" si="100"/>
        <v>44822</v>
      </c>
      <c r="L275" s="147">
        <f>IF(t&lt;Tvie,1-EXP((T0-t)*PertePVj)+'2021'!Pspv,1-EXP((T0-t)*PertePVj)+Pspv)</f>
        <v>2.5092545553902279E-2</v>
      </c>
      <c r="M275" s="832"/>
      <c r="N275" s="832"/>
      <c r="O275" s="48">
        <f>IF(t&lt;Tnet,'2021'!Resal+('2021'!Salim-'2021'!Resal)*(1-EXP(('2021'!Tnet-t)/('2021'!Tau_j))),Resal+(Salim-Resal)*(1-EXP((Tnet-t)/(Tau_j))))*Salcycl</f>
        <v>2.0749376626602922E-2</v>
      </c>
      <c r="P275" s="169">
        <f>(INDEX(Models!$BJ275:$BT275,,T275)*(1-R275)+INDEX(Models!$BJ275:$BT275,,T275+1)*R275-ERP_i)*Q275*Ramure*Pc/MaxiM</f>
        <v>1.656757339611018E-5</v>
      </c>
      <c r="Q275" s="304">
        <f t="shared" si="101"/>
        <v>0.6</v>
      </c>
      <c r="R275" s="177">
        <f t="shared" si="102"/>
        <v>0.4911892728941441</v>
      </c>
      <c r="S275" s="799">
        <f t="shared" si="103"/>
        <v>0</v>
      </c>
      <c r="T275" s="176">
        <f t="shared" si="104"/>
        <v>6</v>
      </c>
      <c r="U275" s="250">
        <f t="shared" si="105"/>
        <v>0.4911892728941441</v>
      </c>
      <c r="V275" s="382">
        <f t="shared" si="106"/>
        <v>48.683875678818765</v>
      </c>
      <c r="W275" s="400"/>
      <c r="X275" s="157">
        <f t="shared" si="107"/>
        <v>44822</v>
      </c>
      <c r="Y275" s="383">
        <f t="shared" si="108"/>
        <v>42.982344442390897</v>
      </c>
      <c r="Z275" s="383">
        <f t="shared" si="109"/>
        <v>44.088640666730463</v>
      </c>
      <c r="AA275" s="384">
        <f t="shared" si="110"/>
        <v>50.031490567550094</v>
      </c>
      <c r="AB275" s="197">
        <f t="shared" si="111"/>
        <v>44822</v>
      </c>
      <c r="AC275" s="119">
        <f>IF(OR(t&lt;Tnet,NoTnet),'2021'!Resal_s+('2021'!Salim-'2021'!Resal_s)*(1-EXP(('2021'!Tnet_s-t)/'2021'!Tau_j)),Resal_s+(Salim-Resal_s)*(1-EXP((Tnet_s-t)/Tau_j)))*Salcycl</f>
        <v>0.11878218764631621</v>
      </c>
      <c r="AD275" s="230">
        <f>(INDEX(Models!$BJ275:$BT275,,AH275)*(1-AF275)+INDEX(Models!$BJ275:$BT275,,AH275+1)*AF275-ERP_i)*AE275*Ramure*Pc/MaxiM</f>
        <v>1.656757339611018E-5</v>
      </c>
      <c r="AE275" s="304">
        <f t="shared" si="112"/>
        <v>0.6</v>
      </c>
      <c r="AF275" s="177">
        <f t="shared" si="113"/>
        <v>0.4911892728941441</v>
      </c>
      <c r="AG275" s="799">
        <f t="shared" si="119"/>
        <v>0</v>
      </c>
      <c r="AH275" s="176">
        <f t="shared" si="114"/>
        <v>6</v>
      </c>
      <c r="AI275" s="224">
        <f t="shared" si="115"/>
        <v>0.4911892728941441</v>
      </c>
      <c r="AJ275" s="264" t="b">
        <f t="shared" si="116"/>
        <v>0</v>
      </c>
      <c r="AK275" s="264" t="b">
        <f t="shared" si="117"/>
        <v>0</v>
      </c>
      <c r="AL275" s="264"/>
      <c r="AM275" s="264"/>
      <c r="AN275" s="75"/>
    </row>
    <row r="276" spans="1:40" s="6" customFormat="1" ht="11.25" x14ac:dyDescent="0.2">
      <c r="A276" s="56">
        <f t="shared" si="118"/>
        <v>44823</v>
      </c>
      <c r="B276" s="607">
        <v>48.34</v>
      </c>
      <c r="C276" s="388"/>
      <c r="D276" s="391">
        <f t="shared" si="98"/>
        <v>49.585143925576268</v>
      </c>
      <c r="E276" s="383">
        <f t="shared" si="96"/>
        <v>50.63951489580861</v>
      </c>
      <c r="F276" s="383">
        <f t="shared" si="99"/>
        <v>50.64039652855579</v>
      </c>
      <c r="G276" s="110">
        <f t="shared" si="97"/>
        <v>0.99750927906554754</v>
      </c>
      <c r="H276" s="412" t="b">
        <f>Wh_hp&gt;='2021'!Maxi_hp</f>
        <v>1</v>
      </c>
      <c r="I276" s="379">
        <f>IF(H276,Wh_hp,'2021'!Maxi_hp)</f>
        <v>50.64039652855579</v>
      </c>
      <c r="J276" s="85">
        <f>IF(H276,An,'2021'!An_max)</f>
        <v>2022</v>
      </c>
      <c r="K276" s="197">
        <f t="shared" si="100"/>
        <v>44823</v>
      </c>
      <c r="L276" s="147">
        <f>IF(t&lt;Tvie,1-EXP((T0-t)*PertePVj)+'2021'!Pspv,1-EXP((T0-t)*PertePVj)+Pspv)</f>
        <v>2.5111229432854598E-2</v>
      </c>
      <c r="M276" s="832"/>
      <c r="N276" s="832"/>
      <c r="O276" s="48">
        <f>IF(t&lt;Tnet,'2021'!Resal+('2021'!Salim-'2021'!Resal)*(1-EXP(('2021'!Tnet-t)/('2021'!Tau_j))),Resal+(Salim-Resal)*(1-EXP((Tnet-t)/(Tau_j))))*Salcycl</f>
        <v>2.0821111189586263E-2</v>
      </c>
      <c r="P276" s="169">
        <f>(INDEX(Models!$BJ276:$BT276,,T276)*(1-R276)+INDEX(Models!$BJ276:$BT276,,T276+1)*R276-ERP_i)*Q276*Ramure*Pc/MaxiM</f>
        <v>1.7471839334933657E-5</v>
      </c>
      <c r="Q276" s="304">
        <f t="shared" si="101"/>
        <v>0.6</v>
      </c>
      <c r="R276" s="177">
        <f t="shared" si="102"/>
        <v>0.49150989386340571</v>
      </c>
      <c r="S276" s="799">
        <f t="shared" si="103"/>
        <v>0</v>
      </c>
      <c r="T276" s="176">
        <f t="shared" si="104"/>
        <v>6</v>
      </c>
      <c r="U276" s="250">
        <f t="shared" si="105"/>
        <v>0.49150989386340571</v>
      </c>
      <c r="V276" s="382">
        <f t="shared" si="106"/>
        <v>48.460699072508049</v>
      </c>
      <c r="W276" s="400"/>
      <c r="X276" s="157">
        <f t="shared" si="107"/>
        <v>44823</v>
      </c>
      <c r="Y276" s="383">
        <f t="shared" si="108"/>
        <v>43.505847284926972</v>
      </c>
      <c r="Z276" s="383">
        <f t="shared" si="109"/>
        <v>44.626472884303787</v>
      </c>
      <c r="AA276" s="384">
        <f t="shared" si="110"/>
        <v>50.63951489580861</v>
      </c>
      <c r="AB276" s="197">
        <f t="shared" si="111"/>
        <v>44823</v>
      </c>
      <c r="AC276" s="119">
        <f>IF(OR(t&lt;Tnet,NoTnet),'2021'!Resal_s+('2021'!Salim-'2021'!Resal_s)*(1-EXP(('2021'!Tnet_s-t)/'2021'!Tau_j)),Resal_s+(Salim-Resal_s)*(1-EXP((Tnet_s-t)/Tau_j)))*Salcycl</f>
        <v>0.11874209347930621</v>
      </c>
      <c r="AD276" s="230">
        <f>(INDEX(Models!$BJ276:$BT276,,AH276)*(1-AF276)+INDEX(Models!$BJ276:$BT276,,AH276+1)*AF276-ERP_i)*AE276*Ramure*Pc/MaxiM</f>
        <v>1.7471839334933657E-5</v>
      </c>
      <c r="AE276" s="304">
        <f t="shared" si="112"/>
        <v>0.6</v>
      </c>
      <c r="AF276" s="177">
        <f t="shared" si="113"/>
        <v>0.49150989386340571</v>
      </c>
      <c r="AG276" s="799">
        <f t="shared" si="119"/>
        <v>0</v>
      </c>
      <c r="AH276" s="176">
        <f t="shared" si="114"/>
        <v>6</v>
      </c>
      <c r="AI276" s="224">
        <f t="shared" si="115"/>
        <v>0.49150989386340571</v>
      </c>
      <c r="AJ276" s="264" t="b">
        <f t="shared" si="116"/>
        <v>0</v>
      </c>
      <c r="AK276" s="264" t="b">
        <f t="shared" si="117"/>
        <v>0</v>
      </c>
      <c r="AL276" s="264"/>
      <c r="AM276" s="264"/>
      <c r="AN276" s="75"/>
    </row>
    <row r="277" spans="1:40" s="6" customFormat="1" ht="11.25" x14ac:dyDescent="0.2">
      <c r="A277" s="56">
        <f t="shared" si="118"/>
        <v>44824</v>
      </c>
      <c r="B277" s="607">
        <v>49.869</v>
      </c>
      <c r="C277" s="388"/>
      <c r="D277" s="391">
        <f t="shared" si="98"/>
        <v>51.15450834182105</v>
      </c>
      <c r="E277" s="383">
        <f t="shared" si="96"/>
        <v>52.246061297651003</v>
      </c>
      <c r="F277" s="383">
        <f t="shared" si="99"/>
        <v>52.247024974226626</v>
      </c>
      <c r="G277" s="110">
        <f t="shared" si="97"/>
        <v>1.0339190299948386</v>
      </c>
      <c r="H277" s="412" t="b">
        <f>Wh_hp&gt;='2021'!Maxi_hp</f>
        <v>1</v>
      </c>
      <c r="I277" s="379">
        <f>IF(H277,Wh_hp,'2021'!Maxi_hp)</f>
        <v>52.247024974226626</v>
      </c>
      <c r="J277" s="85">
        <f>IF(H277,An,'2021'!An_max)</f>
        <v>2022</v>
      </c>
      <c r="K277" s="197">
        <f t="shared" si="100"/>
        <v>44824</v>
      </c>
      <c r="L277" s="147">
        <f>IF(t&lt;Tvie,1-EXP((T0-t)*PertePVj)+'2021'!Pspv,1-EXP((T0-t)*PertePVj)+Pspv)</f>
        <v>2.5129912953734568E-2</v>
      </c>
      <c r="M277" s="832"/>
      <c r="N277" s="832"/>
      <c r="O277" s="48">
        <f>IF(t&lt;Tnet,'2021'!Resal+('2021'!Salim-'2021'!Resal)*(1-EXP(('2021'!Tnet-t)/('2021'!Tau_j))),Resal+(Salim-Resal)*(1-EXP((Tnet-t)/(Tau_j))))*Salcycl</f>
        <v>2.0892540580451962E-2</v>
      </c>
      <c r="P277" s="169">
        <f>(INDEX(Models!$BJ277:$BT277,,T277)*(1-R277)+INDEX(Models!$BJ277:$BT277,,T277+1)*R277-ERP_i)*Q277*Ramure*Pc/MaxiM</f>
        <v>1.8444621030552018E-5</v>
      </c>
      <c r="Q277" s="304">
        <f t="shared" si="101"/>
        <v>0.6</v>
      </c>
      <c r="R277" s="177">
        <f t="shared" si="102"/>
        <v>0.49181799830846445</v>
      </c>
      <c r="S277" s="799">
        <f t="shared" si="103"/>
        <v>0</v>
      </c>
      <c r="T277" s="176">
        <f t="shared" si="104"/>
        <v>6</v>
      </c>
      <c r="U277" s="250">
        <f t="shared" si="105"/>
        <v>0.49181799830846445</v>
      </c>
      <c r="V277" s="382">
        <f t="shared" si="106"/>
        <v>48.232983969981618</v>
      </c>
      <c r="W277" s="400"/>
      <c r="X277" s="157">
        <f t="shared" si="107"/>
        <v>44824</v>
      </c>
      <c r="Y277" s="383">
        <f t="shared" si="108"/>
        <v>44.887315985237045</v>
      </c>
      <c r="Z277" s="383">
        <f t="shared" si="109"/>
        <v>46.044407949001702</v>
      </c>
      <c r="AA277" s="384">
        <f t="shared" si="110"/>
        <v>52.246061297651003</v>
      </c>
      <c r="AB277" s="197">
        <f t="shared" si="111"/>
        <v>44824</v>
      </c>
      <c r="AC277" s="119">
        <f>IF(OR(t&lt;Tnet,NoTnet),'2021'!Resal_s+('2021'!Salim-'2021'!Resal_s)*(1-EXP(('2021'!Tnet_s-t)/'2021'!Tau_j)),Resal_s+(Salim-Resal_s)*(1-EXP((Tnet_s-t)/Tau_j)))*Salcycl</f>
        <v>0.11870087801103071</v>
      </c>
      <c r="AD277" s="230">
        <f>(INDEX(Models!$BJ277:$BT277,,AH277)*(1-AF277)+INDEX(Models!$BJ277:$BT277,,AH277+1)*AF277-ERP_i)*AE277*Ramure*Pc/MaxiM</f>
        <v>1.8444621030552018E-5</v>
      </c>
      <c r="AE277" s="304">
        <f t="shared" si="112"/>
        <v>0.6</v>
      </c>
      <c r="AF277" s="177">
        <f t="shared" si="113"/>
        <v>0.49181799830846445</v>
      </c>
      <c r="AG277" s="799">
        <f t="shared" si="119"/>
        <v>0</v>
      </c>
      <c r="AH277" s="176">
        <f t="shared" si="114"/>
        <v>6</v>
      </c>
      <c r="AI277" s="224">
        <f t="shared" si="115"/>
        <v>0.49181799830846445</v>
      </c>
      <c r="AJ277" s="264" t="b">
        <f t="shared" si="116"/>
        <v>0</v>
      </c>
      <c r="AK277" s="264" t="b">
        <f t="shared" si="117"/>
        <v>0</v>
      </c>
      <c r="AL277" s="264"/>
      <c r="AM277" s="264"/>
      <c r="AN277" s="75"/>
    </row>
    <row r="278" spans="1:40" s="6" customFormat="1" ht="11.25" x14ac:dyDescent="0.2">
      <c r="A278" s="56">
        <f t="shared" si="118"/>
        <v>44825</v>
      </c>
      <c r="B278" s="607">
        <v>48.599000000000004</v>
      </c>
      <c r="C278" s="388"/>
      <c r="D278" s="391">
        <f t="shared" si="98"/>
        <v>49.852726073327069</v>
      </c>
      <c r="E278" s="383">
        <f t="shared" si="96"/>
        <v>50.9201996062639</v>
      </c>
      <c r="F278" s="383">
        <f t="shared" si="99"/>
        <v>50.921191873462099</v>
      </c>
      <c r="G278" s="110">
        <f t="shared" si="97"/>
        <v>1.0124615605457437</v>
      </c>
      <c r="H278" s="412" t="b">
        <f>Wh_hp&gt;='2021'!Maxi_hp</f>
        <v>1</v>
      </c>
      <c r="I278" s="379">
        <f>IF(H278,Wh_hp,'2021'!Maxi_hp)</f>
        <v>50.921191873462099</v>
      </c>
      <c r="J278" s="85">
        <f>IF(H278,An,'2021'!An_max)</f>
        <v>2022</v>
      </c>
      <c r="K278" s="197">
        <f t="shared" si="100"/>
        <v>44825</v>
      </c>
      <c r="L278" s="147">
        <f>IF(t&lt;Tvie,1-EXP((T0-t)*PertePVj)+'2021'!Pspv,1-EXP((T0-t)*PertePVj)+Pspv)</f>
        <v>2.5148596116549182E-2</v>
      </c>
      <c r="M278" s="832"/>
      <c r="N278" s="832"/>
      <c r="O278" s="48">
        <f>IF(t&lt;Tnet,'2021'!Resal+('2021'!Salim-'2021'!Resal)*(1-EXP(('2021'!Tnet-t)/('2021'!Tau_j))),Resal+(Salim-Resal)*(1-EXP((Tnet-t)/(Tau_j))))*Salcycl</f>
        <v>2.0963655704238752E-2</v>
      </c>
      <c r="P278" s="169">
        <f>(INDEX(Models!$BJ278:$BT278,,T278)*(1-R278)+INDEX(Models!$BJ278:$BT278,,T278+1)*R278-ERP_i)*Q278*Ramure*Pc/MaxiM</f>
        <v>1.948633096933378E-5</v>
      </c>
      <c r="Q278" s="304">
        <f t="shared" si="101"/>
        <v>0.6</v>
      </c>
      <c r="R278" s="177">
        <f t="shared" si="102"/>
        <v>0.49211405988105211</v>
      </c>
      <c r="S278" s="799">
        <f t="shared" si="103"/>
        <v>0</v>
      </c>
      <c r="T278" s="176">
        <f t="shared" si="104"/>
        <v>6</v>
      </c>
      <c r="U278" s="250">
        <f t="shared" si="105"/>
        <v>0.49211405988105211</v>
      </c>
      <c r="V278" s="382">
        <f t="shared" si="106"/>
        <v>48.000834692236467</v>
      </c>
      <c r="W278" s="400"/>
      <c r="X278" s="157">
        <f t="shared" si="107"/>
        <v>44825</v>
      </c>
      <c r="Y278" s="383">
        <f t="shared" si="108"/>
        <v>43.749464169248597</v>
      </c>
      <c r="Z278" s="383">
        <f t="shared" si="109"/>
        <v>44.878085003485417</v>
      </c>
      <c r="AA278" s="384">
        <f t="shared" si="110"/>
        <v>50.9201996062639</v>
      </c>
      <c r="AB278" s="197">
        <f t="shared" si="111"/>
        <v>44825</v>
      </c>
      <c r="AC278" s="119">
        <f>IF(OR(t&lt;Tnet,NoTnet),'2021'!Resal_s+('2021'!Salim-'2021'!Resal_s)*(1-EXP(('2021'!Tnet_s-t)/'2021'!Tau_j)),Resal_s+(Salim-Resal_s)*(1-EXP((Tnet_s-t)/Tau_j)))*Salcycl</f>
        <v>0.11865850192062521</v>
      </c>
      <c r="AD278" s="230">
        <f>(INDEX(Models!$BJ278:$BT278,,AH278)*(1-AF278)+INDEX(Models!$BJ278:$BT278,,AH278+1)*AF278-ERP_i)*AE278*Ramure*Pc/MaxiM</f>
        <v>1.948633096933378E-5</v>
      </c>
      <c r="AE278" s="304">
        <f t="shared" si="112"/>
        <v>0.6</v>
      </c>
      <c r="AF278" s="177">
        <f t="shared" si="113"/>
        <v>0.49211405988105211</v>
      </c>
      <c r="AG278" s="799">
        <f t="shared" si="119"/>
        <v>0</v>
      </c>
      <c r="AH278" s="176">
        <f t="shared" si="114"/>
        <v>6</v>
      </c>
      <c r="AI278" s="224">
        <f t="shared" si="115"/>
        <v>0.49211405988105211</v>
      </c>
      <c r="AJ278" s="264" t="b">
        <f t="shared" si="116"/>
        <v>0</v>
      </c>
      <c r="AK278" s="264" t="b">
        <f t="shared" si="117"/>
        <v>0</v>
      </c>
      <c r="AL278" s="264"/>
      <c r="AM278" s="264"/>
      <c r="AN278" s="75"/>
    </row>
    <row r="279" spans="1:40" s="6" customFormat="1" ht="11.25" x14ac:dyDescent="0.2">
      <c r="A279" s="56">
        <f t="shared" si="118"/>
        <v>44826</v>
      </c>
      <c r="B279" s="607">
        <v>47.271999999999998</v>
      </c>
      <c r="C279" s="388"/>
      <c r="D279" s="391">
        <f t="shared" si="98"/>
        <v>48.492422318048042</v>
      </c>
      <c r="E279" s="383">
        <f t="shared" si="96"/>
        <v>49.534349994238809</v>
      </c>
      <c r="F279" s="383">
        <f t="shared" si="99"/>
        <v>49.535355267430838</v>
      </c>
      <c r="G279" s="110">
        <f t="shared" si="97"/>
        <v>0.98969168852168854</v>
      </c>
      <c r="H279" s="412" t="b">
        <f>Wh_hp&gt;='2021'!Maxi_hp</f>
        <v>1</v>
      </c>
      <c r="I279" s="379">
        <f>IF(H279,Wh_hp,'2021'!Maxi_hp)</f>
        <v>49.535355267430838</v>
      </c>
      <c r="J279" s="85">
        <f>IF(H279,An,'2021'!An_max)</f>
        <v>2022</v>
      </c>
      <c r="K279" s="197">
        <f t="shared" si="100"/>
        <v>44826</v>
      </c>
      <c r="L279" s="147">
        <f>IF(t&lt;Tvie,1-EXP((T0-t)*PertePVj)+'2021'!Pspv,1-EXP((T0-t)*PertePVj)+Pspv)</f>
        <v>2.5167278921305325E-2</v>
      </c>
      <c r="M279" s="832"/>
      <c r="N279" s="832"/>
      <c r="O279" s="48">
        <f>IF(t&lt;Tnet,'2021'!Resal+('2021'!Salim-'2021'!Resal)*(1-EXP(('2021'!Tnet-t)/('2021'!Tau_j))),Resal+(Salim-Resal)*(1-EXP((Tnet-t)/(Tau_j))))*Salcycl</f>
        <v>2.1034447334263007E-2</v>
      </c>
      <c r="P279" s="169">
        <f>(INDEX(Models!$BJ279:$BT279,,T279)*(1-R279)+INDEX(Models!$BJ279:$BT279,,T279+1)*R279-ERP_i)*Q279*Ramure*Pc/MaxiM</f>
        <v>2.0597365602698977E-5</v>
      </c>
      <c r="Q279" s="304">
        <f t="shared" si="101"/>
        <v>0.6</v>
      </c>
      <c r="R279" s="177">
        <f t="shared" si="102"/>
        <v>0.49239853547586226</v>
      </c>
      <c r="S279" s="799">
        <f t="shared" si="103"/>
        <v>0</v>
      </c>
      <c r="T279" s="176">
        <f t="shared" si="104"/>
        <v>6</v>
      </c>
      <c r="U279" s="250">
        <f t="shared" si="105"/>
        <v>0.49239853547586226</v>
      </c>
      <c r="V279" s="382">
        <f t="shared" si="106"/>
        <v>47.764355515797106</v>
      </c>
      <c r="W279" s="400"/>
      <c r="X279" s="157">
        <f t="shared" si="107"/>
        <v>44826</v>
      </c>
      <c r="Y279" s="383">
        <f t="shared" si="108"/>
        <v>42.560062627529206</v>
      </c>
      <c r="Z279" s="383">
        <f t="shared" si="109"/>
        <v>43.658836749380605</v>
      </c>
      <c r="AA279" s="384">
        <f t="shared" si="110"/>
        <v>49.534349994238809</v>
      </c>
      <c r="AB279" s="197">
        <f t="shared" si="111"/>
        <v>44826</v>
      </c>
      <c r="AC279" s="119">
        <f>IF(OR(t&lt;Tnet,NoTnet),'2021'!Resal_s+('2021'!Salim-'2021'!Resal_s)*(1-EXP(('2021'!Tnet_s-t)/'2021'!Tau_j)),Resal_s+(Salim-Resal_s)*(1-EXP((Tnet_s-t)/Tau_j)))*Salcycl</f>
        <v>0.11861492571400592</v>
      </c>
      <c r="AD279" s="230">
        <f>(INDEX(Models!$BJ279:$BT279,,AH279)*(1-AF279)+INDEX(Models!$BJ279:$BT279,,AH279+1)*AF279-ERP_i)*AE279*Ramure*Pc/MaxiM</f>
        <v>2.0597365602698977E-5</v>
      </c>
      <c r="AE279" s="304">
        <f t="shared" si="112"/>
        <v>0.6</v>
      </c>
      <c r="AF279" s="177">
        <f t="shared" si="113"/>
        <v>0.49239853547586226</v>
      </c>
      <c r="AG279" s="799">
        <f t="shared" si="119"/>
        <v>0</v>
      </c>
      <c r="AH279" s="176">
        <f t="shared" si="114"/>
        <v>6</v>
      </c>
      <c r="AI279" s="224">
        <f t="shared" si="115"/>
        <v>0.49239853547586226</v>
      </c>
      <c r="AJ279" s="264" t="b">
        <f t="shared" si="116"/>
        <v>0</v>
      </c>
      <c r="AK279" s="264" t="b">
        <f t="shared" si="117"/>
        <v>0</v>
      </c>
      <c r="AL279" s="264"/>
      <c r="AM279" s="264"/>
      <c r="AN279" s="75"/>
    </row>
    <row r="280" spans="1:40" s="6" customFormat="1" ht="11.25" x14ac:dyDescent="0.2">
      <c r="A280" s="56">
        <f t="shared" si="118"/>
        <v>44827</v>
      </c>
      <c r="B280" s="607">
        <v>33.46</v>
      </c>
      <c r="C280" s="388"/>
      <c r="D280" s="391">
        <f t="shared" si="98"/>
        <v>34.3244954155115</v>
      </c>
      <c r="E280" s="383">
        <f t="shared" si="96"/>
        <v>35.064529009406073</v>
      </c>
      <c r="F280" s="383">
        <f t="shared" si="99"/>
        <v>35.064969822917547</v>
      </c>
      <c r="G280" s="110">
        <f t="shared" si="97"/>
        <v>0.70406400744060471</v>
      </c>
      <c r="H280" s="412" t="b">
        <f>Wh_hp&gt;='2021'!Maxi_hp</f>
        <v>0</v>
      </c>
      <c r="I280" s="379">
        <f>IF(H280,Wh_hp,'2021'!Maxi_hp)</f>
        <v>43.314137814675796</v>
      </c>
      <c r="J280" s="85">
        <f>IF(H280,An,'2021'!An_max)</f>
        <v>2021</v>
      </c>
      <c r="K280" s="197">
        <f t="shared" si="100"/>
        <v>44827</v>
      </c>
      <c r="L280" s="147">
        <f>IF(t&lt;Tvie,1-EXP((T0-t)*PertePVj)+'2021'!Pspv,1-EXP((T0-t)*PertePVj)+Pspv)</f>
        <v>2.5185961368009657E-2</v>
      </c>
      <c r="M280" s="832"/>
      <c r="N280" s="832"/>
      <c r="O280" s="48">
        <f>IF(t&lt;Tnet,'2021'!Resal+('2021'!Salim-'2021'!Resal)*(1-EXP(('2021'!Tnet-t)/('2021'!Tau_j))),Resal+(Salim-Resal)*(1-EXP((Tnet-t)/(Tau_j))))*Salcycl</f>
        <v>2.110490614877673E-2</v>
      </c>
      <c r="P280" s="169">
        <f>(INDEX(Models!$BJ280:$BT280,,T280)*(1-R280)+INDEX(Models!$BJ280:$BT280,,T280+1)*R280-ERP_i)*Q280*Ramure*Pc/MaxiM</f>
        <v>2.1778217667510427E-5</v>
      </c>
      <c r="Q280" s="304">
        <f t="shared" si="101"/>
        <v>0.6</v>
      </c>
      <c r="R280" s="177">
        <f t="shared" si="102"/>
        <v>0.49267186573142752</v>
      </c>
      <c r="S280" s="799">
        <f t="shared" si="103"/>
        <v>0</v>
      </c>
      <c r="T280" s="176">
        <f t="shared" si="104"/>
        <v>6</v>
      </c>
      <c r="U280" s="250">
        <f t="shared" si="105"/>
        <v>0.49267186573142752</v>
      </c>
      <c r="V280" s="382">
        <f t="shared" si="106"/>
        <v>47.523650662803639</v>
      </c>
      <c r="W280" s="400"/>
      <c r="X280" s="157">
        <f t="shared" si="107"/>
        <v>44827</v>
      </c>
      <c r="Y280" s="383">
        <f t="shared" si="108"/>
        <v>30.128503357435935</v>
      </c>
      <c r="Z280" s="383">
        <f t="shared" si="109"/>
        <v>30.906923950045801</v>
      </c>
      <c r="AA280" s="384">
        <f t="shared" si="110"/>
        <v>35.064529009406073</v>
      </c>
      <c r="AB280" s="197">
        <f t="shared" si="111"/>
        <v>44827</v>
      </c>
      <c r="AC280" s="119">
        <f>IF(OR(t&lt;Tnet,NoTnet),'2021'!Resal_s+('2021'!Salim-'2021'!Resal_s)*(1-EXP(('2021'!Tnet_s-t)/'2021'!Tau_j)),Resal_s+(Salim-Resal_s)*(1-EXP((Tnet_s-t)/Tau_j)))*Salcycl</f>
        <v>0.118570109932034</v>
      </c>
      <c r="AD280" s="230">
        <f>(INDEX(Models!$BJ280:$BT280,,AH280)*(1-AF280)+INDEX(Models!$BJ280:$BT280,,AH280+1)*AF280-ERP_i)*AE280*Ramure*Pc/MaxiM</f>
        <v>2.1778217667510427E-5</v>
      </c>
      <c r="AE280" s="304">
        <f t="shared" si="112"/>
        <v>0.6</v>
      </c>
      <c r="AF280" s="177">
        <f t="shared" si="113"/>
        <v>0.49267186573142752</v>
      </c>
      <c r="AG280" s="799">
        <f t="shared" si="119"/>
        <v>0</v>
      </c>
      <c r="AH280" s="176">
        <f t="shared" si="114"/>
        <v>6</v>
      </c>
      <c r="AI280" s="224">
        <f t="shared" si="115"/>
        <v>0.49267186573142752</v>
      </c>
      <c r="AJ280" s="264" t="b">
        <f t="shared" si="116"/>
        <v>0</v>
      </c>
      <c r="AK280" s="264" t="b">
        <f t="shared" si="117"/>
        <v>0</v>
      </c>
      <c r="AL280" s="264"/>
      <c r="AM280" s="264"/>
      <c r="AN280" s="75"/>
    </row>
    <row r="281" spans="1:40" s="6" customFormat="1" ht="11.25" x14ac:dyDescent="0.2">
      <c r="A281" s="56">
        <f t="shared" si="118"/>
        <v>44828</v>
      </c>
      <c r="B281" s="607">
        <v>19.021000000000001</v>
      </c>
      <c r="C281" s="388"/>
      <c r="D281" s="391">
        <f t="shared" si="98"/>
        <v>19.512813507287667</v>
      </c>
      <c r="E281" s="383">
        <f t="shared" si="96"/>
        <v>19.934936236040823</v>
      </c>
      <c r="F281" s="383">
        <f t="shared" si="99"/>
        <v>19.935003338820913</v>
      </c>
      <c r="G281" s="110">
        <f t="shared" si="97"/>
        <v>0.40230750791517195</v>
      </c>
      <c r="H281" s="412" t="b">
        <f>Wh_hp&gt;='2021'!Maxi_hp</f>
        <v>0</v>
      </c>
      <c r="I281" s="379">
        <f>IF(H281,Wh_hp,'2021'!Maxi_hp)</f>
        <v>43.384541721518524</v>
      </c>
      <c r="J281" s="85">
        <f>IF(H281,An,'2021'!An_max)</f>
        <v>2021</v>
      </c>
      <c r="K281" s="197">
        <f t="shared" si="100"/>
        <v>44828</v>
      </c>
      <c r="L281" s="147">
        <f>IF(t&lt;Tvie,1-EXP((T0-t)*PertePVj)+'2021'!Pspv,1-EXP((T0-t)*PertePVj)+Pspv)</f>
        <v>2.5204643456669285E-2</v>
      </c>
      <c r="M281" s="832"/>
      <c r="N281" s="832"/>
      <c r="O281" s="48">
        <f>IF(t&lt;Tnet,'2021'!Resal+('2021'!Salim-'2021'!Resal)*(1-EXP(('2021'!Tnet-t)/('2021'!Tau_j))),Resal+(Salim-Resal)*(1-EXP((Tnet-t)/(Tau_j))))*Salcycl</f>
        <v>2.1175022771830532E-2</v>
      </c>
      <c r="P281" s="169">
        <f>(INDEX(Models!$BJ281:$BT281,,T281)*(1-R281)+INDEX(Models!$BJ281:$BT281,,T281+1)*R281-ERP_i)*Q281*Ramure*Pc/MaxiM</f>
        <v>2.3029322129540137E-5</v>
      </c>
      <c r="Q281" s="304">
        <f t="shared" si="101"/>
        <v>0.6</v>
      </c>
      <c r="R281" s="177">
        <f t="shared" si="102"/>
        <v>0.49293447552356356</v>
      </c>
      <c r="S281" s="799">
        <f t="shared" si="103"/>
        <v>0</v>
      </c>
      <c r="T281" s="176">
        <f t="shared" si="104"/>
        <v>6</v>
      </c>
      <c r="U281" s="250">
        <f t="shared" si="105"/>
        <v>0.49293447552356356</v>
      </c>
      <c r="V281" s="382">
        <f t="shared" si="106"/>
        <v>47.278824307173409</v>
      </c>
      <c r="W281" s="400"/>
      <c r="X281" s="157">
        <f t="shared" si="107"/>
        <v>44828</v>
      </c>
      <c r="Y281" s="383">
        <f t="shared" si="108"/>
        <v>17.129267329264788</v>
      </c>
      <c r="Z281" s="383">
        <f t="shared" si="109"/>
        <v>17.572167547049013</v>
      </c>
      <c r="AA281" s="384">
        <f t="shared" si="110"/>
        <v>19.934936236040823</v>
      </c>
      <c r="AB281" s="197">
        <f t="shared" si="111"/>
        <v>44828</v>
      </c>
      <c r="AC281" s="119">
        <f>IF(OR(t&lt;Tnet,NoTnet),'2021'!Resal_s+('2021'!Salim-'2021'!Resal_s)*(1-EXP(('2021'!Tnet_s-t)/'2021'!Tau_j)),Resal_s+(Salim-Resal_s)*(1-EXP((Tnet_s-t)/Tau_j)))*Salcycl</f>
        <v>0.11852401537759165</v>
      </c>
      <c r="AD281" s="230">
        <f>(INDEX(Models!$BJ281:$BT281,,AH281)*(1-AF281)+INDEX(Models!$BJ281:$BT281,,AH281+1)*AF281-ERP_i)*AE281*Ramure*Pc/MaxiM</f>
        <v>2.3029322129540137E-5</v>
      </c>
      <c r="AE281" s="304">
        <f t="shared" si="112"/>
        <v>0.6</v>
      </c>
      <c r="AF281" s="177">
        <f t="shared" si="113"/>
        <v>0.49293447552356356</v>
      </c>
      <c r="AG281" s="799">
        <f t="shared" si="119"/>
        <v>0</v>
      </c>
      <c r="AH281" s="176">
        <f t="shared" si="114"/>
        <v>6</v>
      </c>
      <c r="AI281" s="224">
        <f t="shared" si="115"/>
        <v>0.49293447552356356</v>
      </c>
      <c r="AJ281" s="264" t="b">
        <f t="shared" si="116"/>
        <v>0</v>
      </c>
      <c r="AK281" s="264" t="b">
        <f t="shared" si="117"/>
        <v>0</v>
      </c>
      <c r="AL281" s="264"/>
      <c r="AM281" s="264"/>
      <c r="AN281" s="75"/>
    </row>
    <row r="282" spans="1:40" s="6" customFormat="1" ht="11.25" x14ac:dyDescent="0.2">
      <c r="A282" s="56">
        <f t="shared" si="118"/>
        <v>44829</v>
      </c>
      <c r="B282" s="607">
        <v>37.180999999999997</v>
      </c>
      <c r="C282" s="388"/>
      <c r="D282" s="391">
        <f t="shared" si="98"/>
        <v>38.143095706659018</v>
      </c>
      <c r="E282" s="383">
        <f t="shared" si="96"/>
        <v>38.971026904299663</v>
      </c>
      <c r="F282" s="383">
        <f t="shared" si="99"/>
        <v>38.971690131300377</v>
      </c>
      <c r="G282" s="110">
        <f t="shared" si="97"/>
        <v>0.79057500975691986</v>
      </c>
      <c r="H282" s="412" t="b">
        <f>Wh_hp&gt;='2021'!Maxi_hp</f>
        <v>1</v>
      </c>
      <c r="I282" s="379">
        <f>IF(H282,Wh_hp,'2021'!Maxi_hp)</f>
        <v>38.971690131300377</v>
      </c>
      <c r="J282" s="85">
        <f>IF(H282,An,'2021'!An_max)</f>
        <v>2022</v>
      </c>
      <c r="K282" s="197">
        <f t="shared" si="100"/>
        <v>44829</v>
      </c>
      <c r="L282" s="147">
        <f>IF(t&lt;Tvie,1-EXP((T0-t)*PertePVj)+'2021'!Pspv,1-EXP((T0-t)*PertePVj)+Pspv)</f>
        <v>2.5223325187290868E-2</v>
      </c>
      <c r="M282" s="832"/>
      <c r="N282" s="832"/>
      <c r="O282" s="48">
        <f>IF(t&lt;Tnet,'2021'!Resal+('2021'!Salim-'2021'!Resal)*(1-EXP(('2021'!Tnet-t)/('2021'!Tau_j))),Resal+(Salim-Resal)*(1-EXP((Tnet-t)/(Tau_j))))*Salcycl</f>
        <v>2.1244787818236747E-2</v>
      </c>
      <c r="P282" s="169">
        <f>(INDEX(Models!$BJ282:$BT282,,T282)*(1-R282)+INDEX(Models!$BJ282:$BT282,,T282+1)*R282-ERP_i)*Q282*Ramure*Pc/MaxiM</f>
        <v>2.4282896685487105E-5</v>
      </c>
      <c r="Q282" s="304">
        <f t="shared" si="101"/>
        <v>0.6</v>
      </c>
      <c r="R282" s="177">
        <f t="shared" si="102"/>
        <v>0.49318677445078185</v>
      </c>
      <c r="S282" s="799">
        <f t="shared" si="103"/>
        <v>0</v>
      </c>
      <c r="T282" s="176">
        <f t="shared" si="104"/>
        <v>6</v>
      </c>
      <c r="U282" s="250">
        <f t="shared" si="105"/>
        <v>0.49318677445078185</v>
      </c>
      <c r="V282" s="382">
        <f t="shared" si="106"/>
        <v>47.029983780006106</v>
      </c>
      <c r="W282" s="400"/>
      <c r="X282" s="157">
        <f t="shared" si="107"/>
        <v>44829</v>
      </c>
      <c r="Y282" s="383">
        <f t="shared" si="108"/>
        <v>33.487353122126883</v>
      </c>
      <c r="Z282" s="383">
        <f t="shared" si="109"/>
        <v>34.353872007207244</v>
      </c>
      <c r="AA282" s="384">
        <f t="shared" si="110"/>
        <v>38.971026904299663</v>
      </c>
      <c r="AB282" s="197">
        <f t="shared" si="111"/>
        <v>44829</v>
      </c>
      <c r="AC282" s="119">
        <f>IF(OR(t&lt;Tnet,NoTnet),'2021'!Resal_s+('2021'!Salim-'2021'!Resal_s)*(1-EXP(('2021'!Tnet_s-t)/'2021'!Tau_j)),Resal_s+(Salim-Resal_s)*(1-EXP((Tnet_s-t)/Tau_j)))*Salcycl</f>
        <v>0.11847660336050855</v>
      </c>
      <c r="AD282" s="230">
        <f>(INDEX(Models!$BJ282:$BT282,,AH282)*(1-AF282)+INDEX(Models!$BJ282:$BT282,,AH282+1)*AF282-ERP_i)*AE282*Ramure*Pc/MaxiM</f>
        <v>2.4282896685487105E-5</v>
      </c>
      <c r="AE282" s="304">
        <f t="shared" si="112"/>
        <v>0.6</v>
      </c>
      <c r="AF282" s="177">
        <f t="shared" si="113"/>
        <v>0.49318677445078185</v>
      </c>
      <c r="AG282" s="799">
        <f t="shared" si="119"/>
        <v>0</v>
      </c>
      <c r="AH282" s="176">
        <f t="shared" si="114"/>
        <v>6</v>
      </c>
      <c r="AI282" s="224">
        <f t="shared" si="115"/>
        <v>0.49318677445078185</v>
      </c>
      <c r="AJ282" s="264" t="b">
        <f t="shared" si="116"/>
        <v>0</v>
      </c>
      <c r="AK282" s="264" t="b">
        <f t="shared" si="117"/>
        <v>0</v>
      </c>
      <c r="AL282" s="264"/>
      <c r="AM282" s="264"/>
      <c r="AN282" s="75"/>
    </row>
    <row r="283" spans="1:40" s="6" customFormat="1" ht="11.25" x14ac:dyDescent="0.2">
      <c r="A283" s="56">
        <f t="shared" si="118"/>
        <v>44830</v>
      </c>
      <c r="B283" s="607">
        <v>37.04</v>
      </c>
      <c r="C283" s="388"/>
      <c r="D283" s="391">
        <f t="shared" si="98"/>
        <v>37.999175435615903</v>
      </c>
      <c r="E283" s="383">
        <f t="shared" si="96"/>
        <v>38.826735937896139</v>
      </c>
      <c r="F283" s="383">
        <f t="shared" si="99"/>
        <v>38.827431985342258</v>
      </c>
      <c r="G283" s="110">
        <f t="shared" si="97"/>
        <v>0.79183217075556733</v>
      </c>
      <c r="H283" s="412" t="b">
        <f>Wh_hp&gt;='2021'!Maxi_hp</f>
        <v>0</v>
      </c>
      <c r="I283" s="379">
        <f>IF(H283,Wh_hp,'2021'!Maxi_hp)</f>
        <v>41.572893006475333</v>
      </c>
      <c r="J283" s="85">
        <f>IF(H283,An,'2021'!An_max)</f>
        <v>2021</v>
      </c>
      <c r="K283" s="197">
        <f t="shared" si="100"/>
        <v>44830</v>
      </c>
      <c r="L283" s="147">
        <f>IF(t&lt;Tvie,1-EXP((T0-t)*PertePVj)+'2021'!Pspv,1-EXP((T0-t)*PertePVj)+Pspv)</f>
        <v>2.5242006559881403E-2</v>
      </c>
      <c r="M283" s="832"/>
      <c r="N283" s="832"/>
      <c r="O283" s="48">
        <f>IF(t&lt;Tnet,'2021'!Resal+('2021'!Salim-'2021'!Resal)*(1-EXP(('2021'!Tnet-t)/('2021'!Tau_j))),Resal+(Salim-Resal)*(1-EXP((Tnet-t)/(Tau_j))))*Salcycl</f>
        <v>2.1314191942478317E-2</v>
      </c>
      <c r="P283" s="169">
        <f>(INDEX(Models!$BJ283:$BT283,,T283)*(1-R283)+INDEX(Models!$BJ283:$BT283,,T283+1)*R283-ERP_i)*Q283*Ramure*Pc/MaxiM</f>
        <v>2.5513848898154968E-5</v>
      </c>
      <c r="Q283" s="304">
        <f t="shared" si="101"/>
        <v>0.6</v>
      </c>
      <c r="R283" s="177">
        <f t="shared" si="102"/>
        <v>0.49342915731115977</v>
      </c>
      <c r="S283" s="799">
        <f t="shared" si="103"/>
        <v>0</v>
      </c>
      <c r="T283" s="176">
        <f t="shared" si="104"/>
        <v>6</v>
      </c>
      <c r="U283" s="250">
        <f t="shared" si="105"/>
        <v>0.49342915731115977</v>
      </c>
      <c r="V283" s="382">
        <f t="shared" si="106"/>
        <v>46.777234286095563</v>
      </c>
      <c r="W283" s="400"/>
      <c r="X283" s="157">
        <f t="shared" si="107"/>
        <v>44830</v>
      </c>
      <c r="Y283" s="383">
        <f t="shared" si="108"/>
        <v>33.364571844448548</v>
      </c>
      <c r="Z283" s="383">
        <f t="shared" si="109"/>
        <v>34.228569623418231</v>
      </c>
      <c r="AA283" s="384">
        <f t="shared" si="110"/>
        <v>38.826735937896139</v>
      </c>
      <c r="AB283" s="197">
        <f t="shared" si="111"/>
        <v>44830</v>
      </c>
      <c r="AC283" s="119">
        <f>IF(OR(t&lt;Tnet,NoTnet),'2021'!Resal_s+('2021'!Salim-'2021'!Resal_s)*(1-EXP(('2021'!Tnet_s-t)/'2021'!Tau_j)),Resal_s+(Salim-Resal_s)*(1-EXP((Tnet_s-t)/Tau_j)))*Salcycl</f>
        <v>0.11842783595903436</v>
      </c>
      <c r="AD283" s="230">
        <f>(INDEX(Models!$BJ283:$BT283,,AH283)*(1-AF283)+INDEX(Models!$BJ283:$BT283,,AH283+1)*AF283-ERP_i)*AE283*Ramure*Pc/MaxiM</f>
        <v>2.5513848898154968E-5</v>
      </c>
      <c r="AE283" s="304">
        <f t="shared" si="112"/>
        <v>0.6</v>
      </c>
      <c r="AF283" s="177">
        <f t="shared" si="113"/>
        <v>0.49342915731115977</v>
      </c>
      <c r="AG283" s="799">
        <f t="shared" si="119"/>
        <v>0</v>
      </c>
      <c r="AH283" s="176">
        <f t="shared" si="114"/>
        <v>6</v>
      </c>
      <c r="AI283" s="224">
        <f t="shared" si="115"/>
        <v>0.49342915731115977</v>
      </c>
      <c r="AJ283" s="264" t="b">
        <f t="shared" si="116"/>
        <v>0</v>
      </c>
      <c r="AK283" s="264" t="b">
        <f t="shared" si="117"/>
        <v>0</v>
      </c>
      <c r="AL283" s="264"/>
      <c r="AM283" s="264"/>
      <c r="AN283" s="75"/>
    </row>
    <row r="284" spans="1:40" s="6" customFormat="1" ht="11.25" x14ac:dyDescent="0.2">
      <c r="A284" s="56">
        <f t="shared" si="118"/>
        <v>44831</v>
      </c>
      <c r="B284" s="607">
        <v>17.676000000000002</v>
      </c>
      <c r="C284" s="388"/>
      <c r="D284" s="391">
        <f t="shared" si="98"/>
        <v>18.13407931194941</v>
      </c>
      <c r="E284" s="383">
        <f t="shared" si="96"/>
        <v>18.53031727201547</v>
      </c>
      <c r="F284" s="383">
        <f t="shared" si="99"/>
        <v>18.530373833954854</v>
      </c>
      <c r="G284" s="110">
        <f t="shared" si="97"/>
        <v>0.37995106035055437</v>
      </c>
      <c r="H284" s="412" t="b">
        <f>Wh_hp&gt;='2021'!Maxi_hp</f>
        <v>0</v>
      </c>
      <c r="I284" s="379">
        <f>IF(H284,Wh_hp,'2021'!Maxi_hp)</f>
        <v>41.366659117573256</v>
      </c>
      <c r="J284" s="85">
        <f>IF(H284,An,'2021'!An_max)</f>
        <v>2018</v>
      </c>
      <c r="K284" s="197">
        <f t="shared" si="100"/>
        <v>44831</v>
      </c>
      <c r="L284" s="147">
        <f>IF(t&lt;Tvie,1-EXP((T0-t)*PertePVj)+'2021'!Pspv,1-EXP((T0-t)*PertePVj)+Pspv)</f>
        <v>2.5260687574447549E-2</v>
      </c>
      <c r="M284" s="832"/>
      <c r="N284" s="832"/>
      <c r="O284" s="48">
        <f>IF(t&lt;Tnet,'2021'!Resal+('2021'!Salim-'2021'!Resal)*(1-EXP(('2021'!Tnet-t)/('2021'!Tau_j))),Resal+(Salim-Resal)*(1-EXP((Tnet-t)/(Tau_j))))*Salcycl</f>
        <v>2.1383225891359069E-2</v>
      </c>
      <c r="P284" s="169">
        <f>(INDEX(Models!$BJ284:$BT284,,T284)*(1-R284)+INDEX(Models!$BJ284:$BT284,,T284+1)*R284-ERP_i)*Q284*Ramure*Pc/MaxiM</f>
        <v>2.6721760888128092E-5</v>
      </c>
      <c r="Q284" s="304">
        <f t="shared" si="101"/>
        <v>0.6</v>
      </c>
      <c r="R284" s="177">
        <f t="shared" si="102"/>
        <v>0.49366200457022902</v>
      </c>
      <c r="S284" s="799">
        <f t="shared" si="103"/>
        <v>0</v>
      </c>
      <c r="T284" s="176">
        <f t="shared" si="104"/>
        <v>6</v>
      </c>
      <c r="U284" s="250">
        <f t="shared" si="105"/>
        <v>0.49366200457022902</v>
      </c>
      <c r="V284" s="382">
        <f t="shared" si="106"/>
        <v>46.520679801830674</v>
      </c>
      <c r="W284" s="400"/>
      <c r="X284" s="157">
        <f t="shared" si="107"/>
        <v>44831</v>
      </c>
      <c r="Y284" s="383">
        <f t="shared" si="108"/>
        <v>15.924064052530019</v>
      </c>
      <c r="Z284" s="383">
        <f t="shared" si="109"/>
        <v>16.336741372320766</v>
      </c>
      <c r="AA284" s="384">
        <f t="shared" si="110"/>
        <v>18.53031727201547</v>
      </c>
      <c r="AB284" s="197">
        <f t="shared" si="111"/>
        <v>44831</v>
      </c>
      <c r="AC284" s="119">
        <f>IF(OR(t&lt;Tnet,NoTnet),'2021'!Resal_s+('2021'!Salim-'2021'!Resal_s)*(1-EXP(('2021'!Tnet_s-t)/'2021'!Tau_j)),Resal_s+(Salim-Resal_s)*(1-EXP((Tnet_s-t)/Tau_j)))*Salcycl</f>
        <v>0.11837767629631728</v>
      </c>
      <c r="AD284" s="230">
        <f>(INDEX(Models!$BJ284:$BT284,,AH284)*(1-AF284)+INDEX(Models!$BJ284:$BT284,,AH284+1)*AF284-ERP_i)*AE284*Ramure*Pc/MaxiM</f>
        <v>2.6721760888128092E-5</v>
      </c>
      <c r="AE284" s="304">
        <f t="shared" si="112"/>
        <v>0.6</v>
      </c>
      <c r="AF284" s="177">
        <f t="shared" si="113"/>
        <v>0.49366200457022902</v>
      </c>
      <c r="AG284" s="799">
        <f t="shared" si="119"/>
        <v>0</v>
      </c>
      <c r="AH284" s="176">
        <f t="shared" si="114"/>
        <v>6</v>
      </c>
      <c r="AI284" s="224">
        <f t="shared" si="115"/>
        <v>0.49366200457022902</v>
      </c>
      <c r="AJ284" s="264" t="b">
        <f t="shared" si="116"/>
        <v>0</v>
      </c>
      <c r="AK284" s="264" t="b">
        <f t="shared" si="117"/>
        <v>0</v>
      </c>
      <c r="AL284" s="264"/>
      <c r="AM284" s="264"/>
      <c r="AN284" s="75"/>
    </row>
    <row r="285" spans="1:40" s="6" customFormat="1" ht="11.25" x14ac:dyDescent="0.2">
      <c r="A285" s="56">
        <f t="shared" si="118"/>
        <v>44832</v>
      </c>
      <c r="B285" s="607">
        <v>20.166</v>
      </c>
      <c r="C285" s="388"/>
      <c r="D285" s="391">
        <f t="shared" si="98"/>
        <v>20.689004975098431</v>
      </c>
      <c r="E285" s="383">
        <f t="shared" si="96"/>
        <v>21.142552485759477</v>
      </c>
      <c r="F285" s="383">
        <f t="shared" si="99"/>
        <v>21.142667051916533</v>
      </c>
      <c r="G285" s="110">
        <f t="shared" si="97"/>
        <v>0.43591356645622314</v>
      </c>
      <c r="H285" s="412" t="b">
        <f>Wh_hp&gt;='2021'!Maxi_hp</f>
        <v>0</v>
      </c>
      <c r="I285" s="379">
        <f>IF(H285,Wh_hp,'2021'!Maxi_hp)</f>
        <v>36.836006686533622</v>
      </c>
      <c r="J285" s="85">
        <f>IF(H285,An,'2021'!An_max)</f>
        <v>2018</v>
      </c>
      <c r="K285" s="197">
        <f t="shared" si="100"/>
        <v>44832</v>
      </c>
      <c r="L285" s="147">
        <f>IF(t&lt;Tvie,1-EXP((T0-t)*PertePVj)+'2021'!Pspv,1-EXP((T0-t)*PertePVj)+Pspv)</f>
        <v>2.5279368230996413E-2</v>
      </c>
      <c r="M285" s="832"/>
      <c r="N285" s="832"/>
      <c r="O285" s="48">
        <f>IF(t&lt;Tnet,'2021'!Resal+('2021'!Salim-'2021'!Resal)*(1-EXP(('2021'!Tnet-t)/('2021'!Tau_j))),Resal+(Salim-Resal)*(1-EXP((Tnet-t)/(Tau_j))))*Salcycl</f>
        <v>2.1451880560141984E-2</v>
      </c>
      <c r="P285" s="169">
        <f>(INDEX(Models!$BJ285:$BT285,,T285)*(1-R285)+INDEX(Models!$BJ285:$BT285,,T285+1)*R285-ERP_i)*Q285*Ramure*Pc/MaxiM</f>
        <v>2.7906185928390732E-5</v>
      </c>
      <c r="Q285" s="304">
        <f t="shared" si="101"/>
        <v>0.6</v>
      </c>
      <c r="R285" s="177">
        <f t="shared" si="102"/>
        <v>0.49388568281951567</v>
      </c>
      <c r="S285" s="799">
        <f t="shared" si="103"/>
        <v>0</v>
      </c>
      <c r="T285" s="176">
        <f t="shared" si="104"/>
        <v>6</v>
      </c>
      <c r="U285" s="250">
        <f t="shared" si="105"/>
        <v>0.49388568281951567</v>
      </c>
      <c r="V285" s="382">
        <f t="shared" si="106"/>
        <v>46.260424237784804</v>
      </c>
      <c r="W285" s="400"/>
      <c r="X285" s="157">
        <f t="shared" si="107"/>
        <v>44832</v>
      </c>
      <c r="Y285" s="383">
        <f t="shared" si="108"/>
        <v>18.169608361037294</v>
      </c>
      <c r="Z285" s="383">
        <f t="shared" si="109"/>
        <v>18.640836942233989</v>
      </c>
      <c r="AA285" s="384">
        <f t="shared" si="110"/>
        <v>21.142552485759477</v>
      </c>
      <c r="AB285" s="197">
        <f t="shared" si="111"/>
        <v>44832</v>
      </c>
      <c r="AC285" s="119">
        <f>IF(OR(t&lt;Tnet,NoTnet),'2021'!Resal_s+('2021'!Salim-'2021'!Resal_s)*(1-EXP(('2021'!Tnet_s-t)/'2021'!Tau_j)),Resal_s+(Salim-Resal_s)*(1-EXP((Tnet_s-t)/Tau_j)))*Salcycl</f>
        <v>0.1183260888301218</v>
      </c>
      <c r="AD285" s="230">
        <f>(INDEX(Models!$BJ285:$BT285,,AH285)*(1-AF285)+INDEX(Models!$BJ285:$BT285,,AH285+1)*AF285-ERP_i)*AE285*Ramure*Pc/MaxiM</f>
        <v>2.7906185928390732E-5</v>
      </c>
      <c r="AE285" s="304">
        <f t="shared" si="112"/>
        <v>0.6</v>
      </c>
      <c r="AF285" s="177">
        <f t="shared" si="113"/>
        <v>0.49388568281951567</v>
      </c>
      <c r="AG285" s="799">
        <f t="shared" si="119"/>
        <v>0</v>
      </c>
      <c r="AH285" s="176">
        <f t="shared" si="114"/>
        <v>6</v>
      </c>
      <c r="AI285" s="224">
        <f t="shared" si="115"/>
        <v>0.49388568281951567</v>
      </c>
      <c r="AJ285" s="264" t="b">
        <f t="shared" si="116"/>
        <v>0</v>
      </c>
      <c r="AK285" s="264" t="b">
        <f t="shared" si="117"/>
        <v>0</v>
      </c>
      <c r="AL285" s="264"/>
      <c r="AM285" s="264"/>
      <c r="AN285" s="75"/>
    </row>
    <row r="286" spans="1:40" s="6" customFormat="1" ht="11.25" x14ac:dyDescent="0.2">
      <c r="A286" s="56">
        <f t="shared" si="118"/>
        <v>44833</v>
      </c>
      <c r="B286" s="607">
        <v>24.253</v>
      </c>
      <c r="C286" s="388"/>
      <c r="D286" s="391">
        <f t="shared" si="98"/>
        <v>24.882478139508372</v>
      </c>
      <c r="E286" s="383">
        <f t="shared" si="96"/>
        <v>25.429729661309146</v>
      </c>
      <c r="F286" s="383">
        <f t="shared" si="99"/>
        <v>25.429969655657565</v>
      </c>
      <c r="G286" s="110">
        <f t="shared" si="97"/>
        <v>0.52726808041884832</v>
      </c>
      <c r="H286" s="412" t="b">
        <f>Wh_hp&gt;='2021'!Maxi_hp</f>
        <v>0</v>
      </c>
      <c r="I286" s="379">
        <f>IF(H286,Wh_hp,'2021'!Maxi_hp)</f>
        <v>46.051965901147405</v>
      </c>
      <c r="J286" s="85">
        <f>IF(H286,An,'2021'!An_max)</f>
        <v>2018</v>
      </c>
      <c r="K286" s="197">
        <f t="shared" si="100"/>
        <v>44833</v>
      </c>
      <c r="L286" s="147">
        <f>IF(t&lt;Tvie,1-EXP((T0-t)*PertePVj)+'2021'!Pspv,1-EXP((T0-t)*PertePVj)+Pspv)</f>
        <v>2.5298048529534767E-2</v>
      </c>
      <c r="M286" s="832"/>
      <c r="N286" s="832"/>
      <c r="O286" s="48">
        <f>IF(t&lt;Tnet,'2021'!Resal+('2021'!Salim-'2021'!Resal)*(1-EXP(('2021'!Tnet-t)/('2021'!Tau_j))),Resal+(Salim-Resal)*(1-EXP((Tnet-t)/(Tau_j))))*Salcycl</f>
        <v>2.1520147051874047E-2</v>
      </c>
      <c r="P286" s="169">
        <f>(INDEX(Models!$BJ286:$BT286,,T286)*(1-R286)+INDEX(Models!$BJ286:$BT286,,T286+1)*R286-ERP_i)*Q286*Ramure*Pc/MaxiM</f>
        <v>2.9066650656391097E-5</v>
      </c>
      <c r="Q286" s="304">
        <f t="shared" si="101"/>
        <v>0.6</v>
      </c>
      <c r="R286" s="177">
        <f t="shared" si="102"/>
        <v>0.4941005452254259</v>
      </c>
      <c r="S286" s="799">
        <f t="shared" si="103"/>
        <v>0</v>
      </c>
      <c r="T286" s="176">
        <f t="shared" si="104"/>
        <v>6</v>
      </c>
      <c r="U286" s="250">
        <f t="shared" si="105"/>
        <v>0.4941005452254259</v>
      </c>
      <c r="V286" s="382">
        <f t="shared" si="106"/>
        <v>45.996571439534634</v>
      </c>
      <c r="W286" s="400"/>
      <c r="X286" s="157">
        <f t="shared" si="107"/>
        <v>44833</v>
      </c>
      <c r="Y286" s="383">
        <f t="shared" si="108"/>
        <v>21.854843413326634</v>
      </c>
      <c r="Z286" s="383">
        <f t="shared" si="109"/>
        <v>22.42207823669148</v>
      </c>
      <c r="AA286" s="384">
        <f t="shared" si="110"/>
        <v>25.429729661309146</v>
      </c>
      <c r="AB286" s="197">
        <f t="shared" si="111"/>
        <v>44833</v>
      </c>
      <c r="AC286" s="119">
        <f>IF(OR(t&lt;Tnet,NoTnet),'2021'!Resal_s+('2021'!Salim-'2021'!Resal_s)*(1-EXP(('2021'!Tnet_s-t)/'2021'!Tau_j)),Resal_s+(Salim-Resal_s)*(1-EXP((Tnet_s-t)/Tau_j)))*Salcycl</f>
        <v>0.11827303965380934</v>
      </c>
      <c r="AD286" s="230">
        <f>(INDEX(Models!$BJ286:$BT286,,AH286)*(1-AF286)+INDEX(Models!$BJ286:$BT286,,AH286+1)*AF286-ERP_i)*AE286*Ramure*Pc/MaxiM</f>
        <v>2.9066650656391097E-5</v>
      </c>
      <c r="AE286" s="304">
        <f t="shared" si="112"/>
        <v>0.6</v>
      </c>
      <c r="AF286" s="177">
        <f t="shared" si="113"/>
        <v>0.4941005452254259</v>
      </c>
      <c r="AG286" s="799">
        <f t="shared" si="119"/>
        <v>0</v>
      </c>
      <c r="AH286" s="176">
        <f t="shared" si="114"/>
        <v>6</v>
      </c>
      <c r="AI286" s="224">
        <f t="shared" si="115"/>
        <v>0.4941005452254259</v>
      </c>
      <c r="AJ286" s="264" t="b">
        <f t="shared" si="116"/>
        <v>0</v>
      </c>
      <c r="AK286" s="264" t="b">
        <f t="shared" si="117"/>
        <v>0</v>
      </c>
      <c r="AL286" s="264"/>
      <c r="AM286" s="264"/>
      <c r="AN286" s="75"/>
    </row>
    <row r="287" spans="1:40" s="6" customFormat="1" ht="11.25" x14ac:dyDescent="0.2">
      <c r="A287" s="56">
        <f t="shared" si="118"/>
        <v>44834</v>
      </c>
      <c r="B287" s="607">
        <v>26.801000000000002</v>
      </c>
      <c r="C287" s="388"/>
      <c r="D287" s="391">
        <f t="shared" si="98"/>
        <v>27.497137565448611</v>
      </c>
      <c r="E287" s="383">
        <f t="shared" si="96"/>
        <v>28.103843816198399</v>
      </c>
      <c r="F287" s="383">
        <f t="shared" si="99"/>
        <v>28.104190717732614</v>
      </c>
      <c r="G287" s="110">
        <f t="shared" si="97"/>
        <v>0.58606987631929164</v>
      </c>
      <c r="H287" s="412" t="b">
        <f>Wh_hp&gt;='2021'!Maxi_hp</f>
        <v>0</v>
      </c>
      <c r="I287" s="379">
        <f>IF(H287,Wh_hp,'2021'!Maxi_hp)</f>
        <v>37.058781916389229</v>
      </c>
      <c r="J287" s="85">
        <f>IF(H287,An,'2021'!An_max)</f>
        <v>2020</v>
      </c>
      <c r="K287" s="197">
        <f t="shared" si="100"/>
        <v>44834</v>
      </c>
      <c r="L287" s="147">
        <f>IF(t&lt;Tvie,1-EXP((T0-t)*PertePVj)+'2021'!Pspv,1-EXP((T0-t)*PertePVj)+Pspv)</f>
        <v>2.5316728470069494E-2</v>
      </c>
      <c r="M287" s="832"/>
      <c r="N287" s="832"/>
      <c r="O287" s="48">
        <f>IF(t&lt;Tnet,'2021'!Resal+('2021'!Salim-'2021'!Resal)*(1-EXP(('2021'!Tnet-t)/('2021'!Tau_j))),Resal+(Salim-Resal)*(1-EXP((Tnet-t)/(Tau_j))))*Salcycl</f>
        <v>2.1588016739549878E-2</v>
      </c>
      <c r="P287" s="169">
        <f>(INDEX(Models!$BJ287:$BT287,,T287)*(1-R287)+INDEX(Models!$BJ287:$BT287,,T287+1)*R287-ERP_i)*Q287*Ramure*Pc/MaxiM</f>
        <v>3.0202657530795396E-5</v>
      </c>
      <c r="Q287" s="304">
        <f t="shared" si="101"/>
        <v>0.6</v>
      </c>
      <c r="R287" s="177">
        <f t="shared" si="102"/>
        <v>0.49430693196823489</v>
      </c>
      <c r="S287" s="799">
        <f t="shared" si="103"/>
        <v>0</v>
      </c>
      <c r="T287" s="176">
        <f t="shared" si="104"/>
        <v>6</v>
      </c>
      <c r="U287" s="250">
        <f t="shared" si="105"/>
        <v>0.49430693196823489</v>
      </c>
      <c r="V287" s="382">
        <f t="shared" si="106"/>
        <v>45.729225185059533</v>
      </c>
      <c r="W287" s="400"/>
      <c r="X287" s="157">
        <f t="shared" si="107"/>
        <v>44834</v>
      </c>
      <c r="Y287" s="383">
        <f t="shared" si="108"/>
        <v>24.154064413988834</v>
      </c>
      <c r="Z287" s="383">
        <f t="shared" si="109"/>
        <v>24.781449645765377</v>
      </c>
      <c r="AA287" s="384">
        <f t="shared" si="110"/>
        <v>28.103843816198399</v>
      </c>
      <c r="AB287" s="197">
        <f t="shared" si="111"/>
        <v>44834</v>
      </c>
      <c r="AC287" s="119">
        <f>IF(OR(t&lt;Tnet,NoTnet),'2021'!Resal_s+('2021'!Salim-'2021'!Resal_s)*(1-EXP(('2021'!Tnet_s-t)/'2021'!Tau_j)),Resal_s+(Salim-Resal_s)*(1-EXP((Tnet_s-t)/Tau_j)))*Salcycl</f>
        <v>0.11821849680640739</v>
      </c>
      <c r="AD287" s="230">
        <f>(INDEX(Models!$BJ287:$BT287,,AH287)*(1-AF287)+INDEX(Models!$BJ287:$BT287,,AH287+1)*AF287-ERP_i)*AE287*Ramure*Pc/MaxiM</f>
        <v>3.0202657530795396E-5</v>
      </c>
      <c r="AE287" s="304">
        <f t="shared" si="112"/>
        <v>0.6</v>
      </c>
      <c r="AF287" s="177">
        <f t="shared" si="113"/>
        <v>0.49430693196823489</v>
      </c>
      <c r="AG287" s="799">
        <f t="shared" si="119"/>
        <v>0</v>
      </c>
      <c r="AH287" s="176">
        <f t="shared" si="114"/>
        <v>6</v>
      </c>
      <c r="AI287" s="224">
        <f t="shared" si="115"/>
        <v>0.49430693196823489</v>
      </c>
      <c r="AJ287" s="264" t="b">
        <f t="shared" si="116"/>
        <v>0</v>
      </c>
      <c r="AK287" s="264" t="b">
        <f t="shared" si="117"/>
        <v>0</v>
      </c>
      <c r="AL287" s="264"/>
      <c r="AM287" s="264"/>
      <c r="AN287" s="75"/>
    </row>
    <row r="288" spans="1:40" s="6" customFormat="1" ht="11.25" x14ac:dyDescent="0.2">
      <c r="A288" s="56">
        <f t="shared" si="118"/>
        <v>44835</v>
      </c>
      <c r="B288" s="607">
        <v>38.718000000000004</v>
      </c>
      <c r="C288" s="388"/>
      <c r="D288" s="391">
        <f t="shared" si="98"/>
        <v>39.724434764415655</v>
      </c>
      <c r="E288" s="383">
        <f t="shared" si="96"/>
        <v>40.60372803892021</v>
      </c>
      <c r="F288" s="383">
        <f t="shared" si="99"/>
        <v>40.604730189969118</v>
      </c>
      <c r="G288" s="110">
        <f t="shared" si="97"/>
        <v>0.85171645319862899</v>
      </c>
      <c r="H288" s="412" t="b">
        <f>Wh_hp&gt;='2021'!Maxi_hp</f>
        <v>0</v>
      </c>
      <c r="I288" s="379">
        <f>IF(H288,Wh_hp,'2021'!Maxi_hp)</f>
        <v>45.618686630492995</v>
      </c>
      <c r="J288" s="85">
        <f>IF(H288,An,'2021'!An_max)</f>
        <v>2020</v>
      </c>
      <c r="K288" s="197">
        <f t="shared" si="100"/>
        <v>44835</v>
      </c>
      <c r="L288" s="147">
        <f>IF(t&lt;Tvie,1-EXP((T0-t)*PertePVj)+'2021'!Pspv,1-EXP((T0-t)*PertePVj)+Pspv)</f>
        <v>2.5335408052607367E-2</v>
      </c>
      <c r="M288" s="832"/>
      <c r="N288" s="832"/>
      <c r="O288" s="48">
        <f>IF(t&lt;Tnet,'2021'!Resal+('2021'!Salim-'2021'!Resal)*(1-EXP(('2021'!Tnet-t)/('2021'!Tau_j))),Resal+(Salim-Resal)*(1-EXP((Tnet-t)/(Tau_j))))*Salcycl</f>
        <v>2.1655481330722006E-2</v>
      </c>
      <c r="P288" s="169">
        <f>(INDEX(Models!$BJ288:$BT288,,T288)*(1-R288)+INDEX(Models!$BJ288:$BT288,,T288+1)*R288-ERP_i)*Q288*Ramure*Pc/MaxiM</f>
        <v>3.1313687527114359E-5</v>
      </c>
      <c r="Q288" s="304">
        <f t="shared" si="101"/>
        <v>0.6</v>
      </c>
      <c r="R288" s="177">
        <f t="shared" si="102"/>
        <v>0.49450517067098315</v>
      </c>
      <c r="S288" s="799">
        <f t="shared" si="103"/>
        <v>0</v>
      </c>
      <c r="T288" s="176">
        <f t="shared" si="104"/>
        <v>6</v>
      </c>
      <c r="U288" s="250">
        <f t="shared" si="105"/>
        <v>0.49450517067098315</v>
      </c>
      <c r="V288" s="382">
        <f t="shared" si="106"/>
        <v>45.458489184080342</v>
      </c>
      <c r="W288" s="400"/>
      <c r="X288" s="157">
        <f t="shared" si="107"/>
        <v>44835</v>
      </c>
      <c r="Y288" s="383">
        <f t="shared" si="108"/>
        <v>34.898735936988253</v>
      </c>
      <c r="Z288" s="383">
        <f t="shared" si="109"/>
        <v>35.805892842849786</v>
      </c>
      <c r="AA288" s="384">
        <f t="shared" si="110"/>
        <v>40.60372803892021</v>
      </c>
      <c r="AB288" s="197">
        <f t="shared" si="111"/>
        <v>44835</v>
      </c>
      <c r="AC288" s="119">
        <f>IF(OR(t&lt;Tnet,NoTnet),'2021'!Resal_s+('2021'!Salim-'2021'!Resal_s)*(1-EXP(('2021'!Tnet_s-t)/'2021'!Tau_j)),Resal_s+(Salim-Resal_s)*(1-EXP((Tnet_s-t)/Tau_j)))*Salcycl</f>
        <v>0.11816243058941565</v>
      </c>
      <c r="AD288" s="230">
        <f>(INDEX(Models!$BJ288:$BT288,,AH288)*(1-AF288)+INDEX(Models!$BJ288:$BT288,,AH288+1)*AF288-ERP_i)*AE288*Ramure*Pc/MaxiM</f>
        <v>3.1313687527114359E-5</v>
      </c>
      <c r="AE288" s="304">
        <f t="shared" si="112"/>
        <v>0.6</v>
      </c>
      <c r="AF288" s="177">
        <f t="shared" si="113"/>
        <v>0.49450517067098315</v>
      </c>
      <c r="AG288" s="799">
        <f t="shared" si="119"/>
        <v>0</v>
      </c>
      <c r="AH288" s="176">
        <f t="shared" si="114"/>
        <v>6</v>
      </c>
      <c r="AI288" s="224">
        <f t="shared" si="115"/>
        <v>0.49450517067098315</v>
      </c>
      <c r="AJ288" s="264" t="b">
        <f t="shared" si="116"/>
        <v>0</v>
      </c>
      <c r="AK288" s="264" t="b">
        <f t="shared" si="117"/>
        <v>0</v>
      </c>
      <c r="AL288" s="264"/>
      <c r="AM288" s="264"/>
      <c r="AN288" s="75"/>
    </row>
    <row r="289" spans="1:40" s="6" customFormat="1" ht="11.25" x14ac:dyDescent="0.2">
      <c r="A289" s="56">
        <f t="shared" si="118"/>
        <v>44836</v>
      </c>
      <c r="B289" s="607">
        <v>41.920999999999999</v>
      </c>
      <c r="C289" s="388"/>
      <c r="D289" s="391">
        <f t="shared" si="98"/>
        <v>43.011517775605618</v>
      </c>
      <c r="E289" s="383">
        <f t="shared" si="96"/>
        <v>43.966583329992304</v>
      </c>
      <c r="F289" s="383">
        <f t="shared" si="99"/>
        <v>43.967860921635577</v>
      </c>
      <c r="G289" s="110">
        <f t="shared" si="97"/>
        <v>0.92778588690158958</v>
      </c>
      <c r="H289" s="412" t="b">
        <f>Wh_hp&gt;='2021'!Maxi_hp</f>
        <v>1</v>
      </c>
      <c r="I289" s="379">
        <f>IF(H289,Wh_hp,'2021'!Maxi_hp)</f>
        <v>43.967860921635577</v>
      </c>
      <c r="J289" s="85">
        <f>IF(H289,An,'2021'!An_max)</f>
        <v>2022</v>
      </c>
      <c r="K289" s="197">
        <f t="shared" si="100"/>
        <v>44836</v>
      </c>
      <c r="L289" s="147">
        <f>IF(t&lt;Tvie,1-EXP((T0-t)*PertePVj)+'2021'!Pspv,1-EXP((T0-t)*PertePVj)+Pspv)</f>
        <v>2.5354087277155268E-2</v>
      </c>
      <c r="M289" s="832"/>
      <c r="N289" s="832"/>
      <c r="O289" s="48">
        <f>IF(t&lt;Tnet,'2021'!Resal+('2021'!Salim-'2021'!Resal)*(1-EXP(('2021'!Tnet-t)/('2021'!Tau_j))),Resal+(Salim-Resal)*(1-EXP((Tnet-t)/(Tau_j))))*Salcycl</f>
        <v>2.1722532934124392E-2</v>
      </c>
      <c r="P289" s="169">
        <f>(INDEX(Models!$BJ289:$BT289,,T289)*(1-R289)+INDEX(Models!$BJ289:$BT289,,T289+1)*R289-ERP_i)*Q289*Ramure*Pc/MaxiM</f>
        <v>3.2399706171878771E-5</v>
      </c>
      <c r="Q289" s="304">
        <f t="shared" si="101"/>
        <v>0.6</v>
      </c>
      <c r="R289" s="177">
        <f t="shared" si="102"/>
        <v>0.49469557681813953</v>
      </c>
      <c r="S289" s="799">
        <f t="shared" si="103"/>
        <v>0</v>
      </c>
      <c r="T289" s="176">
        <f t="shared" si="104"/>
        <v>6</v>
      </c>
      <c r="U289" s="250">
        <f t="shared" si="105"/>
        <v>0.49469557681813953</v>
      </c>
      <c r="V289" s="382">
        <f t="shared" si="106"/>
        <v>45.18376543001142</v>
      </c>
      <c r="W289" s="400"/>
      <c r="X289" s="157">
        <f t="shared" si="107"/>
        <v>44836</v>
      </c>
      <c r="Y289" s="383">
        <f t="shared" si="108"/>
        <v>37.790840882690347</v>
      </c>
      <c r="Z289" s="383">
        <f t="shared" si="109"/>
        <v>38.773918188519346</v>
      </c>
      <c r="AA289" s="384">
        <f t="shared" si="110"/>
        <v>43.966583329992304</v>
      </c>
      <c r="AB289" s="197">
        <f t="shared" si="111"/>
        <v>44836</v>
      </c>
      <c r="AC289" s="119">
        <f>IF(OR(t&lt;Tnet,NoTnet),'2021'!Resal_s+('2021'!Salim-'2021'!Resal_s)*(1-EXP(('2021'!Tnet_s-t)/'2021'!Tau_j)),Resal_s+(Salim-Resal_s)*(1-EXP((Tnet_s-t)/Tau_j)))*Salcycl</f>
        <v>0.11810481388784021</v>
      </c>
      <c r="AD289" s="230">
        <f>(INDEX(Models!$BJ289:$BT289,,AH289)*(1-AF289)+INDEX(Models!$BJ289:$BT289,,AH289+1)*AF289-ERP_i)*AE289*Ramure*Pc/MaxiM</f>
        <v>3.2399706171878771E-5</v>
      </c>
      <c r="AE289" s="304">
        <f t="shared" si="112"/>
        <v>0.6</v>
      </c>
      <c r="AF289" s="177">
        <f t="shared" si="113"/>
        <v>0.49469557681813953</v>
      </c>
      <c r="AG289" s="799">
        <f t="shared" si="119"/>
        <v>0</v>
      </c>
      <c r="AH289" s="176">
        <f t="shared" si="114"/>
        <v>6</v>
      </c>
      <c r="AI289" s="224">
        <f t="shared" si="115"/>
        <v>0.49469557681813953</v>
      </c>
      <c r="AJ289" s="264" t="b">
        <f t="shared" si="116"/>
        <v>0</v>
      </c>
      <c r="AK289" s="264" t="b">
        <f t="shared" si="117"/>
        <v>0</v>
      </c>
      <c r="AL289" s="264"/>
      <c r="AM289" s="264"/>
      <c r="AN289" s="75"/>
    </row>
    <row r="290" spans="1:40" s="6" customFormat="1" ht="11.25" x14ac:dyDescent="0.2">
      <c r="A290" s="56">
        <f t="shared" si="118"/>
        <v>44837</v>
      </c>
      <c r="B290" s="607">
        <v>37.993000000000002</v>
      </c>
      <c r="C290" s="388"/>
      <c r="D290" s="391">
        <f t="shared" si="98"/>
        <v>38.982083282932884</v>
      </c>
      <c r="E290" s="383">
        <f t="shared" si="96"/>
        <v>39.850389970559732</v>
      </c>
      <c r="F290" s="383">
        <f t="shared" si="99"/>
        <v>39.851429653028248</v>
      </c>
      <c r="G290" s="110">
        <f t="shared" si="97"/>
        <v>0.84607776865426609</v>
      </c>
      <c r="H290" s="412" t="b">
        <f>Wh_hp&gt;='2021'!Maxi_hp</f>
        <v>1</v>
      </c>
      <c r="I290" s="379">
        <f>IF(H290,Wh_hp,'2021'!Maxi_hp)</f>
        <v>39.851429653028248</v>
      </c>
      <c r="J290" s="85">
        <f>IF(H290,An,'2021'!An_max)</f>
        <v>2022</v>
      </c>
      <c r="K290" s="197">
        <f t="shared" si="100"/>
        <v>44837</v>
      </c>
      <c r="L290" s="147">
        <f>IF(t&lt;Tvie,1-EXP((T0-t)*PertePVj)+'2021'!Pspv,1-EXP((T0-t)*PertePVj)+Pspv)</f>
        <v>2.5372766143720193E-2</v>
      </c>
      <c r="M290" s="832"/>
      <c r="N290" s="832"/>
      <c r="O290" s="48">
        <f>IF(t&lt;Tnet,'2021'!Resal+('2021'!Salim-'2021'!Resal)*(1-EXP(('2021'!Tnet-t)/('2021'!Tau_j))),Resal+(Salim-Resal)*(1-EXP((Tnet-t)/(Tau_j))))*Salcycl</f>
        <v>2.1789164127837348E-2</v>
      </c>
      <c r="P290" s="169">
        <f>(INDEX(Models!$BJ290:$BT290,,T290)*(1-R290)+INDEX(Models!$BJ290:$BT290,,T290+1)*R290-ERP_i)*Q290*Ramure*Pc/MaxiM</f>
        <v>3.3442243927099273E-5</v>
      </c>
      <c r="Q290" s="304">
        <f t="shared" si="101"/>
        <v>0.6</v>
      </c>
      <c r="R290" s="177">
        <f t="shared" si="102"/>
        <v>0.49487845416392762</v>
      </c>
      <c r="S290" s="799">
        <f t="shared" si="103"/>
        <v>0</v>
      </c>
      <c r="T290" s="176">
        <f t="shared" si="104"/>
        <v>6</v>
      </c>
      <c r="U290" s="250">
        <f t="shared" si="105"/>
        <v>0.49487845416392762</v>
      </c>
      <c r="V290" s="382">
        <f t="shared" si="106"/>
        <v>44.904525360515706</v>
      </c>
      <c r="W290" s="400"/>
      <c r="X290" s="157">
        <f t="shared" si="107"/>
        <v>44837</v>
      </c>
      <c r="Y290" s="383">
        <f t="shared" si="108"/>
        <v>34.254468909818605</v>
      </c>
      <c r="Z290" s="383">
        <f t="shared" si="109"/>
        <v>35.146225879903767</v>
      </c>
      <c r="AA290" s="384">
        <f t="shared" si="110"/>
        <v>39.850389970559732</v>
      </c>
      <c r="AB290" s="197">
        <f t="shared" si="111"/>
        <v>44837</v>
      </c>
      <c r="AC290" s="119">
        <f>IF(OR(t&lt;Tnet,NoTnet),'2021'!Resal_s+('2021'!Salim-'2021'!Resal_s)*(1-EXP(('2021'!Tnet_s-t)/'2021'!Tau_j)),Resal_s+(Salim-Resal_s)*(1-EXP((Tnet_s-t)/Tau_j)))*Salcycl</f>
        <v>0.11804562249281018</v>
      </c>
      <c r="AD290" s="230">
        <f>(INDEX(Models!$BJ290:$BT290,,AH290)*(1-AF290)+INDEX(Models!$BJ290:$BT290,,AH290+1)*AF290-ERP_i)*AE290*Ramure*Pc/MaxiM</f>
        <v>3.3442243927099273E-5</v>
      </c>
      <c r="AE290" s="304">
        <f t="shared" si="112"/>
        <v>0.6</v>
      </c>
      <c r="AF290" s="177">
        <f t="shared" si="113"/>
        <v>0.49487845416392762</v>
      </c>
      <c r="AG290" s="799">
        <f t="shared" si="119"/>
        <v>0</v>
      </c>
      <c r="AH290" s="176">
        <f t="shared" si="114"/>
        <v>6</v>
      </c>
      <c r="AI290" s="224">
        <f t="shared" si="115"/>
        <v>0.49487845416392762</v>
      </c>
      <c r="AJ290" s="264" t="b">
        <f t="shared" si="116"/>
        <v>0</v>
      </c>
      <c r="AK290" s="264" t="b">
        <f t="shared" si="117"/>
        <v>0</v>
      </c>
      <c r="AL290" s="264"/>
      <c r="AM290" s="264"/>
      <c r="AN290" s="75"/>
    </row>
    <row r="291" spans="1:40" s="6" customFormat="1" ht="11.25" x14ac:dyDescent="0.2">
      <c r="A291" s="56">
        <f t="shared" si="118"/>
        <v>44838</v>
      </c>
      <c r="B291" s="607">
        <v>44.624000000000002</v>
      </c>
      <c r="C291" s="388"/>
      <c r="D291" s="391">
        <f t="shared" si="98"/>
        <v>45.786587604990203</v>
      </c>
      <c r="E291" s="383">
        <f t="shared" si="96"/>
        <v>46.80962928018571</v>
      </c>
      <c r="F291" s="383">
        <f t="shared" si="99"/>
        <v>46.811239580800574</v>
      </c>
      <c r="G291" s="110">
        <f t="shared" si="97"/>
        <v>1.0000677422919388</v>
      </c>
      <c r="H291" s="412" t="b">
        <f>Wh_hp&gt;='2021'!Maxi_hp</f>
        <v>1</v>
      </c>
      <c r="I291" s="379">
        <f>IF(H291,Wh_hp,'2021'!Maxi_hp)</f>
        <v>46.811239580800574</v>
      </c>
      <c r="J291" s="85">
        <f>IF(H291,An,'2021'!An_max)</f>
        <v>2022</v>
      </c>
      <c r="K291" s="197">
        <f t="shared" si="100"/>
        <v>44838</v>
      </c>
      <c r="L291" s="147">
        <f>IF(t&lt;Tvie,1-EXP((T0-t)*PertePVj)+'2021'!Pspv,1-EXP((T0-t)*PertePVj)+Pspv)</f>
        <v>2.5391444652308803E-2</v>
      </c>
      <c r="M291" s="832"/>
      <c r="N291" s="832"/>
      <c r="O291" s="48">
        <f>IF(t&lt;Tnet,'2021'!Resal+('2021'!Salim-'2021'!Resal)*(1-EXP(('2021'!Tnet-t)/('2021'!Tau_j))),Resal+(Salim-Resal)*(1-EXP((Tnet-t)/(Tau_j))))*Salcycl</f>
        <v>2.1855368028487223E-2</v>
      </c>
      <c r="P291" s="169">
        <f>(INDEX(Models!$BJ291:$BT291,,T291)*(1-R291)+INDEX(Models!$BJ291:$BT291,,T291+1)*R291-ERP_i)*Q291*Ramure*Pc/MaxiM</f>
        <v>3.4399871254990578E-5</v>
      </c>
      <c r="Q291" s="304">
        <f t="shared" si="101"/>
        <v>0.6</v>
      </c>
      <c r="R291" s="177">
        <f t="shared" si="102"/>
        <v>0.49505409513025805</v>
      </c>
      <c r="S291" s="799">
        <f t="shared" si="103"/>
        <v>0</v>
      </c>
      <c r="T291" s="176">
        <f t="shared" si="104"/>
        <v>6</v>
      </c>
      <c r="U291" s="250">
        <f t="shared" si="105"/>
        <v>0.49505409513025805</v>
      </c>
      <c r="V291" s="382">
        <f t="shared" si="106"/>
        <v>44.620977272731004</v>
      </c>
      <c r="W291" s="400"/>
      <c r="X291" s="157">
        <f t="shared" si="107"/>
        <v>44838</v>
      </c>
      <c r="Y291" s="383">
        <f t="shared" si="108"/>
        <v>40.238471303320949</v>
      </c>
      <c r="Z291" s="383">
        <f t="shared" si="109"/>
        <v>41.28680287335041</v>
      </c>
      <c r="AA291" s="384">
        <f t="shared" si="110"/>
        <v>46.80962928018571</v>
      </c>
      <c r="AB291" s="197">
        <f t="shared" si="111"/>
        <v>44838</v>
      </c>
      <c r="AC291" s="119">
        <f>IF(OR(t&lt;Tnet,NoTnet),'2021'!Resal_s+('2021'!Salim-'2021'!Resal_s)*(1-EXP(('2021'!Tnet_s-t)/'2021'!Tau_j)),Resal_s+(Salim-Resal_s)*(1-EXP((Tnet_s-t)/Tau_j)))*Salcycl</f>
        <v>0.11798483542302017</v>
      </c>
      <c r="AD291" s="230">
        <f>(INDEX(Models!$BJ291:$BT291,,AH291)*(1-AF291)+INDEX(Models!$BJ291:$BT291,,AH291+1)*AF291-ERP_i)*AE291*Ramure*Pc/MaxiM</f>
        <v>3.4399871254990578E-5</v>
      </c>
      <c r="AE291" s="304">
        <f t="shared" si="112"/>
        <v>0.6</v>
      </c>
      <c r="AF291" s="177">
        <f t="shared" si="113"/>
        <v>0.49505409513025805</v>
      </c>
      <c r="AG291" s="799">
        <f t="shared" si="119"/>
        <v>0</v>
      </c>
      <c r="AH291" s="176">
        <f t="shared" si="114"/>
        <v>6</v>
      </c>
      <c r="AI291" s="224">
        <f t="shared" si="115"/>
        <v>0.49505409513025805</v>
      </c>
      <c r="AJ291" s="264" t="b">
        <f t="shared" si="116"/>
        <v>0</v>
      </c>
      <c r="AK291" s="264" t="b">
        <f t="shared" si="117"/>
        <v>0</v>
      </c>
      <c r="AL291" s="264"/>
      <c r="AM291" s="264"/>
      <c r="AN291" s="75"/>
    </row>
    <row r="292" spans="1:40" s="6" customFormat="1" ht="11.25" x14ac:dyDescent="0.2">
      <c r="A292" s="56">
        <f t="shared" si="118"/>
        <v>44839</v>
      </c>
      <c r="B292" s="607">
        <v>46.456000000000003</v>
      </c>
      <c r="C292" s="388"/>
      <c r="D292" s="391">
        <f t="shared" si="98"/>
        <v>47.667230172354984</v>
      </c>
      <c r="E292" s="383">
        <f t="shared" si="96"/>
        <v>48.735569330753826</v>
      </c>
      <c r="F292" s="383">
        <f t="shared" si="99"/>
        <v>48.737288376896331</v>
      </c>
      <c r="G292" s="110">
        <f t="shared" si="97"/>
        <v>1.0478798370423081</v>
      </c>
      <c r="H292" s="412" t="b">
        <f>Wh_hp&gt;='2021'!Maxi_hp</f>
        <v>1</v>
      </c>
      <c r="I292" s="379">
        <f>IF(H292,Wh_hp,'2021'!Maxi_hp)</f>
        <v>48.737288376896331</v>
      </c>
      <c r="J292" s="85">
        <f>IF(H292,An,'2021'!An_max)</f>
        <v>2022</v>
      </c>
      <c r="K292" s="197">
        <f t="shared" si="100"/>
        <v>44839</v>
      </c>
      <c r="L292" s="147">
        <f>IF(t&lt;Tvie,1-EXP((T0-t)*PertePVj)+'2021'!Pspv,1-EXP((T0-t)*PertePVj)+Pspv)</f>
        <v>2.5410122802928092E-2</v>
      </c>
      <c r="M292" s="832"/>
      <c r="N292" s="832"/>
      <c r="O292" s="48">
        <f>IF(t&lt;Tnet,'2021'!Resal+('2021'!Salim-'2021'!Resal)*(1-EXP(('2021'!Tnet-t)/('2021'!Tau_j))),Resal+(Salim-Resal)*(1-EXP((Tnet-t)/(Tau_j))))*Salcycl</f>
        <v>2.1921138360944229E-2</v>
      </c>
      <c r="P292" s="169">
        <f>(INDEX(Models!$BJ292:$BT292,,T292)*(1-R292)+INDEX(Models!$BJ292:$BT292,,T292+1)*R292-ERP_i)*Q292*Ramure*Pc/MaxiM</f>
        <v>3.527168210942219E-5</v>
      </c>
      <c r="Q292" s="304">
        <f t="shared" si="101"/>
        <v>0.6</v>
      </c>
      <c r="R292" s="177">
        <f t="shared" si="102"/>
        <v>0.49522278119423974</v>
      </c>
      <c r="S292" s="799">
        <f t="shared" si="103"/>
        <v>0</v>
      </c>
      <c r="T292" s="176">
        <f t="shared" si="104"/>
        <v>6</v>
      </c>
      <c r="U292" s="250">
        <f t="shared" si="105"/>
        <v>0.49522278119423974</v>
      </c>
      <c r="V292" s="382">
        <f t="shared" si="106"/>
        <v>44.333327503585075</v>
      </c>
      <c r="W292" s="400"/>
      <c r="X292" s="157">
        <f t="shared" si="107"/>
        <v>44839</v>
      </c>
      <c r="Y292" s="383">
        <f t="shared" si="108"/>
        <v>41.896207918981283</v>
      </c>
      <c r="Z292" s="383">
        <f t="shared" si="109"/>
        <v>42.988552312358408</v>
      </c>
      <c r="AA292" s="384">
        <f t="shared" si="110"/>
        <v>48.735569330753826</v>
      </c>
      <c r="AB292" s="197">
        <f t="shared" si="111"/>
        <v>44839</v>
      </c>
      <c r="AC292" s="119">
        <f>IF(OR(t&lt;Tnet,NoTnet),'2021'!Resal_s+('2021'!Salim-'2021'!Resal_s)*(1-EXP(('2021'!Tnet_s-t)/'2021'!Tau_j)),Resal_s+(Salim-Resal_s)*(1-EXP((Tnet_s-t)/Tau_j)))*Salcycl</f>
        <v>0.11792243524215593</v>
      </c>
      <c r="AD292" s="230">
        <f>(INDEX(Models!$BJ292:$BT292,,AH292)*(1-AF292)+INDEX(Models!$BJ292:$BT292,,AH292+1)*AF292-ERP_i)*AE292*Ramure*Pc/MaxiM</f>
        <v>3.527168210942219E-5</v>
      </c>
      <c r="AE292" s="304">
        <f t="shared" si="112"/>
        <v>0.6</v>
      </c>
      <c r="AF292" s="177">
        <f t="shared" si="113"/>
        <v>0.49522278119423974</v>
      </c>
      <c r="AG292" s="799">
        <f t="shared" si="119"/>
        <v>0</v>
      </c>
      <c r="AH292" s="176">
        <f t="shared" si="114"/>
        <v>6</v>
      </c>
      <c r="AI292" s="224">
        <f t="shared" si="115"/>
        <v>0.49522278119423974</v>
      </c>
      <c r="AJ292" s="264" t="b">
        <f t="shared" si="116"/>
        <v>0</v>
      </c>
      <c r="AK292" s="264" t="b">
        <f t="shared" si="117"/>
        <v>0</v>
      </c>
      <c r="AL292" s="264"/>
      <c r="AM292" s="264"/>
      <c r="AN292" s="75"/>
    </row>
    <row r="293" spans="1:40" s="6" customFormat="1" ht="11.25" x14ac:dyDescent="0.2">
      <c r="A293" s="56">
        <f t="shared" si="118"/>
        <v>44840</v>
      </c>
      <c r="B293" s="607">
        <v>12.444000000000001</v>
      </c>
      <c r="C293" s="388"/>
      <c r="D293" s="391">
        <f t="shared" si="98"/>
        <v>12.768692536373784</v>
      </c>
      <c r="E293" s="383">
        <f t="shared" si="96"/>
        <v>13.055742214743066</v>
      </c>
      <c r="F293" s="383">
        <f t="shared" si="99"/>
        <v>13.055742214743066</v>
      </c>
      <c r="G293" s="110">
        <f t="shared" si="97"/>
        <v>0.28253968552072967</v>
      </c>
      <c r="H293" s="412" t="b">
        <f>Wh_hp&gt;='2021'!Maxi_hp</f>
        <v>0</v>
      </c>
      <c r="I293" s="379">
        <f>IF(H293,Wh_hp,'2021'!Maxi_hp)</f>
        <v>32.037742700397558</v>
      </c>
      <c r="J293" s="85">
        <f>IF(H293,An,'2021'!An_max)</f>
        <v>2020</v>
      </c>
      <c r="K293" s="197">
        <f t="shared" si="100"/>
        <v>44840</v>
      </c>
      <c r="L293" s="147">
        <f>IF(t&lt;Tvie,1-EXP((T0-t)*PertePVj)+'2021'!Pspv,1-EXP((T0-t)*PertePVj)+Pspv)</f>
        <v>2.5428800595584944E-2</v>
      </c>
      <c r="M293" s="832"/>
      <c r="N293" s="832"/>
      <c r="O293" s="48">
        <f>IF(t&lt;Tnet,'2021'!Resal+('2021'!Salim-'2021'!Resal)*(1-EXP(('2021'!Tnet-t)/('2021'!Tau_j))),Resal+(Salim-Resal)*(1-EXP((Tnet-t)/(Tau_j))))*Salcycl</f>
        <v>2.1986469527954956E-2</v>
      </c>
      <c r="P293" s="169">
        <f>(INDEX(Models!$BJ293:$BT293,,T293)*(1-R293)+INDEX(Models!$BJ293:$BT293,,T293+1)*R293-ERP_i)*Q293*Ramure*Pc/MaxiM</f>
        <v>3.6056769180239123E-5</v>
      </c>
      <c r="Q293" s="304">
        <f t="shared" si="101"/>
        <v>0.6</v>
      </c>
      <c r="R293" s="177">
        <f t="shared" si="102"/>
        <v>0.49538478326527891</v>
      </c>
      <c r="S293" s="799">
        <f t="shared" si="103"/>
        <v>0</v>
      </c>
      <c r="T293" s="176">
        <f t="shared" si="104"/>
        <v>6</v>
      </c>
      <c r="U293" s="250">
        <f t="shared" si="105"/>
        <v>0.49538478326527891</v>
      </c>
      <c r="V293" s="382">
        <f t="shared" si="106"/>
        <v>44.041782260182167</v>
      </c>
      <c r="W293" s="400"/>
      <c r="X293" s="157">
        <f t="shared" si="107"/>
        <v>44840</v>
      </c>
      <c r="Y293" s="383">
        <f t="shared" si="108"/>
        <v>11.224149384674556</v>
      </c>
      <c r="Z293" s="383">
        <f t="shared" si="109"/>
        <v>11.517013217232272</v>
      </c>
      <c r="AA293" s="384">
        <f t="shared" si="110"/>
        <v>13.055742214743066</v>
      </c>
      <c r="AB293" s="197">
        <f t="shared" si="111"/>
        <v>44840</v>
      </c>
      <c r="AC293" s="119">
        <f>IF(OR(t&lt;Tnet,NoTnet),'2021'!Resal_s+('2021'!Salim-'2021'!Resal_s)*(1-EXP(('2021'!Tnet_s-t)/'2021'!Tau_j)),Resal_s+(Salim-Resal_s)*(1-EXP((Tnet_s-t)/Tau_j)))*Salcycl</f>
        <v>0.11785840836939947</v>
      </c>
      <c r="AD293" s="230">
        <f>(INDEX(Models!$BJ293:$BT293,,AH293)*(1-AF293)+INDEX(Models!$BJ293:$BT293,,AH293+1)*AF293-ERP_i)*AE293*Ramure*Pc/MaxiM</f>
        <v>3.6056769180239123E-5</v>
      </c>
      <c r="AE293" s="304">
        <f t="shared" si="112"/>
        <v>0.6</v>
      </c>
      <c r="AF293" s="177">
        <f t="shared" si="113"/>
        <v>0.49538478326527891</v>
      </c>
      <c r="AG293" s="799">
        <f t="shared" si="119"/>
        <v>0</v>
      </c>
      <c r="AH293" s="176">
        <f t="shared" si="114"/>
        <v>6</v>
      </c>
      <c r="AI293" s="224">
        <f t="shared" si="115"/>
        <v>0.49538478326527891</v>
      </c>
      <c r="AJ293" s="264" t="b">
        <f t="shared" si="116"/>
        <v>0</v>
      </c>
      <c r="AK293" s="264" t="b">
        <f t="shared" si="117"/>
        <v>0</v>
      </c>
      <c r="AL293" s="264"/>
      <c r="AM293" s="264"/>
      <c r="AN293" s="75"/>
    </row>
    <row r="294" spans="1:40" s="6" customFormat="1" ht="11.25" x14ac:dyDescent="0.2">
      <c r="A294" s="56">
        <f t="shared" si="118"/>
        <v>44841</v>
      </c>
      <c r="B294" s="607">
        <v>33.971000000000004</v>
      </c>
      <c r="C294" s="388"/>
      <c r="D294" s="391">
        <f t="shared" si="98"/>
        <v>34.858049447493727</v>
      </c>
      <c r="E294" s="383">
        <f t="shared" si="96"/>
        <v>35.64404908740844</v>
      </c>
      <c r="F294" s="383">
        <f t="shared" si="99"/>
        <v>35.644940970110738</v>
      </c>
      <c r="G294" s="110">
        <f t="shared" si="97"/>
        <v>0.77653216661294344</v>
      </c>
      <c r="H294" s="412" t="b">
        <f>Wh_hp&gt;='2021'!Maxi_hp</f>
        <v>0</v>
      </c>
      <c r="I294" s="379">
        <f>IF(H294,Wh_hp,'2021'!Maxi_hp)</f>
        <v>45.95674728395548</v>
      </c>
      <c r="J294" s="85">
        <f>IF(H294,An,'2021'!An_max)</f>
        <v>2021</v>
      </c>
      <c r="K294" s="197">
        <f t="shared" si="100"/>
        <v>44841</v>
      </c>
      <c r="L294" s="147">
        <f>IF(t&lt;Tvie,1-EXP((T0-t)*PertePVj)+'2021'!Pspv,1-EXP((T0-t)*PertePVj)+Pspv)</f>
        <v>2.544747803028613E-2</v>
      </c>
      <c r="M294" s="832"/>
      <c r="N294" s="832"/>
      <c r="O294" s="48">
        <f>IF(t&lt;Tnet,'2021'!Resal+('2021'!Salim-'2021'!Resal)*(1-EXP(('2021'!Tnet-t)/('2021'!Tau_j))),Resal+(Salim-Resal)*(1-EXP((Tnet-t)/(Tau_j))))*Salcycl</f>
        <v>2.2051356679125864E-2</v>
      </c>
      <c r="P294" s="169">
        <f>(INDEX(Models!$BJ294:$BT294,,T294)*(1-R294)+INDEX(Models!$BJ294:$BT294,,T294+1)*R294-ERP_i)*Q294*Ramure*Pc/MaxiM</f>
        <v>3.6754232315168209E-5</v>
      </c>
      <c r="Q294" s="304">
        <f t="shared" si="101"/>
        <v>0.6</v>
      </c>
      <c r="R294" s="177">
        <f t="shared" si="102"/>
        <v>0.49554036205180174</v>
      </c>
      <c r="S294" s="799">
        <f t="shared" si="103"/>
        <v>0</v>
      </c>
      <c r="T294" s="176">
        <f t="shared" si="104"/>
        <v>6</v>
      </c>
      <c r="U294" s="250">
        <f t="shared" si="105"/>
        <v>0.49554036205180174</v>
      </c>
      <c r="V294" s="382">
        <f t="shared" si="106"/>
        <v>43.746547626866139</v>
      </c>
      <c r="W294" s="400"/>
      <c r="X294" s="157">
        <f t="shared" si="107"/>
        <v>44841</v>
      </c>
      <c r="Y294" s="383">
        <f t="shared" si="108"/>
        <v>30.645231578750746</v>
      </c>
      <c r="Z294" s="383">
        <f t="shared" si="109"/>
        <v>31.445438688940264</v>
      </c>
      <c r="AA294" s="384">
        <f t="shared" si="110"/>
        <v>35.64404908740844</v>
      </c>
      <c r="AB294" s="197">
        <f t="shared" si="111"/>
        <v>44841</v>
      </c>
      <c r="AC294" s="119">
        <f>IF(OR(t&lt;Tnet,NoTnet),'2021'!Resal_s+('2021'!Salim-'2021'!Resal_s)*(1-EXP(('2021'!Tnet_s-t)/'2021'!Tau_j)),Resal_s+(Salim-Resal_s)*(1-EXP((Tnet_s-t)/Tau_j)))*Salcycl</f>
        <v>0.11779274538007997</v>
      </c>
      <c r="AD294" s="230">
        <f>(INDEX(Models!$BJ294:$BT294,,AH294)*(1-AF294)+INDEX(Models!$BJ294:$BT294,,AH294+1)*AF294-ERP_i)*AE294*Ramure*Pc/MaxiM</f>
        <v>3.6754232315168209E-5</v>
      </c>
      <c r="AE294" s="304">
        <f t="shared" si="112"/>
        <v>0.6</v>
      </c>
      <c r="AF294" s="177">
        <f t="shared" si="113"/>
        <v>0.49554036205180174</v>
      </c>
      <c r="AG294" s="799">
        <f t="shared" si="119"/>
        <v>0</v>
      </c>
      <c r="AH294" s="176">
        <f t="shared" si="114"/>
        <v>6</v>
      </c>
      <c r="AI294" s="224">
        <f t="shared" si="115"/>
        <v>0.49554036205180174</v>
      </c>
      <c r="AJ294" s="264" t="b">
        <f t="shared" si="116"/>
        <v>0</v>
      </c>
      <c r="AK294" s="264" t="b">
        <f t="shared" si="117"/>
        <v>0</v>
      </c>
      <c r="AL294" s="264"/>
      <c r="AM294" s="264"/>
      <c r="AN294" s="75"/>
    </row>
    <row r="295" spans="1:40" s="6" customFormat="1" ht="11.25" x14ac:dyDescent="0.2">
      <c r="A295" s="56">
        <f t="shared" si="118"/>
        <v>44842</v>
      </c>
      <c r="B295" s="607">
        <v>15.919</v>
      </c>
      <c r="C295" s="388"/>
      <c r="D295" s="391">
        <f t="shared" si="98"/>
        <v>16.334989373045811</v>
      </c>
      <c r="E295" s="383">
        <f t="shared" si="96"/>
        <v>16.704420935046016</v>
      </c>
      <c r="F295" s="383">
        <f t="shared" si="99"/>
        <v>16.704480132638974</v>
      </c>
      <c r="G295" s="110">
        <f t="shared" si="97"/>
        <v>0.36638105490165429</v>
      </c>
      <c r="H295" s="412" t="b">
        <f>Wh_hp&gt;='2021'!Maxi_hp</f>
        <v>0</v>
      </c>
      <c r="I295" s="379">
        <f>IF(H295,Wh_hp,'2021'!Maxi_hp)</f>
        <v>44.08585911576052</v>
      </c>
      <c r="J295" s="85">
        <f>IF(H295,An,'2021'!An_max)</f>
        <v>2021</v>
      </c>
      <c r="K295" s="197">
        <f t="shared" si="100"/>
        <v>44842</v>
      </c>
      <c r="L295" s="147">
        <f>IF(t&lt;Tvie,1-EXP((T0-t)*PertePVj)+'2021'!Pspv,1-EXP((T0-t)*PertePVj)+Pspv)</f>
        <v>2.5466155107038535E-2</v>
      </c>
      <c r="M295" s="832"/>
      <c r="N295" s="832"/>
      <c r="O295" s="48">
        <f>IF(t&lt;Tnet,'2021'!Resal+('2021'!Salim-'2021'!Resal)*(1-EXP(('2021'!Tnet-t)/('2021'!Tau_j))),Resal+(Salim-Resal)*(1-EXP((Tnet-t)/(Tau_j))))*Salcycl</f>
        <v>2.2115795778657268E-2</v>
      </c>
      <c r="P295" s="169">
        <f>(INDEX(Models!$BJ295:$BT295,,T295)*(1-R295)+INDEX(Models!$BJ295:$BT295,,T295+1)*R295-ERP_i)*Q295*Ramure*Pc/MaxiM</f>
        <v>3.7363186922831009E-5</v>
      </c>
      <c r="Q295" s="304">
        <f t="shared" si="101"/>
        <v>0.6</v>
      </c>
      <c r="R295" s="177">
        <f t="shared" si="102"/>
        <v>0.49568976841766293</v>
      </c>
      <c r="S295" s="799">
        <f t="shared" si="103"/>
        <v>0</v>
      </c>
      <c r="T295" s="176">
        <f t="shared" si="104"/>
        <v>6</v>
      </c>
      <c r="U295" s="250">
        <f t="shared" si="105"/>
        <v>0.49568976841766293</v>
      </c>
      <c r="V295" s="382">
        <f t="shared" si="106"/>
        <v>43.4478295603707</v>
      </c>
      <c r="W295" s="400"/>
      <c r="X295" s="157">
        <f t="shared" si="107"/>
        <v>44842</v>
      </c>
      <c r="Y295" s="383">
        <f t="shared" si="108"/>
        <v>14.362568328048408</v>
      </c>
      <c r="Z295" s="383">
        <f t="shared" si="109"/>
        <v>14.737885608914823</v>
      </c>
      <c r="AA295" s="384">
        <f t="shared" si="110"/>
        <v>16.704420935046016</v>
      </c>
      <c r="AB295" s="197">
        <f t="shared" si="111"/>
        <v>44842</v>
      </c>
      <c r="AC295" s="119">
        <f>IF(OR(t&lt;Tnet,NoTnet),'2021'!Resal_s+('2021'!Salim-'2021'!Resal_s)*(1-EXP(('2021'!Tnet_s-t)/'2021'!Tau_j)),Resal_s+(Salim-Resal_s)*(1-EXP((Tnet_s-t)/Tau_j)))*Salcycl</f>
        <v>0.11772544129353121</v>
      </c>
      <c r="AD295" s="230">
        <f>(INDEX(Models!$BJ295:$BT295,,AH295)*(1-AF295)+INDEX(Models!$BJ295:$BT295,,AH295+1)*AF295-ERP_i)*AE295*Ramure*Pc/MaxiM</f>
        <v>3.7363186922831009E-5</v>
      </c>
      <c r="AE295" s="304">
        <f t="shared" si="112"/>
        <v>0.6</v>
      </c>
      <c r="AF295" s="177">
        <f t="shared" si="113"/>
        <v>0.49568976841766293</v>
      </c>
      <c r="AG295" s="799">
        <f t="shared" si="119"/>
        <v>0</v>
      </c>
      <c r="AH295" s="176">
        <f t="shared" si="114"/>
        <v>6</v>
      </c>
      <c r="AI295" s="224">
        <f t="shared" si="115"/>
        <v>0.49568976841766293</v>
      </c>
      <c r="AJ295" s="264" t="b">
        <f t="shared" si="116"/>
        <v>0</v>
      </c>
      <c r="AK295" s="264" t="b">
        <f t="shared" si="117"/>
        <v>0</v>
      </c>
      <c r="AL295" s="264"/>
      <c r="AM295" s="264"/>
      <c r="AN295" s="75"/>
    </row>
    <row r="296" spans="1:40" s="6" customFormat="1" ht="11.25" x14ac:dyDescent="0.2">
      <c r="A296" s="56">
        <f t="shared" si="118"/>
        <v>44843</v>
      </c>
      <c r="B296" s="607">
        <v>42.411000000000001</v>
      </c>
      <c r="C296" s="388"/>
      <c r="D296" s="391">
        <f t="shared" si="98"/>
        <v>43.520102493079847</v>
      </c>
      <c r="E296" s="383">
        <f t="shared" si="96"/>
        <v>44.507263979952981</v>
      </c>
      <c r="F296" s="383">
        <f t="shared" si="99"/>
        <v>44.50891239902672</v>
      </c>
      <c r="G296" s="110">
        <f t="shared" si="97"/>
        <v>0.98296776880982795</v>
      </c>
      <c r="H296" s="412" t="b">
        <f>Wh_hp&gt;='2021'!Maxi_hp</f>
        <v>1</v>
      </c>
      <c r="I296" s="379">
        <f>IF(H296,Wh_hp,'2021'!Maxi_hp)</f>
        <v>44.50891239902672</v>
      </c>
      <c r="J296" s="85">
        <f>IF(H296,An,'2021'!An_max)</f>
        <v>2022</v>
      </c>
      <c r="K296" s="197">
        <f t="shared" si="100"/>
        <v>44843</v>
      </c>
      <c r="L296" s="147">
        <f>IF(t&lt;Tvie,1-EXP((T0-t)*PertePVj)+'2021'!Pspv,1-EXP((T0-t)*PertePVj)+Pspv)</f>
        <v>2.548483182584893E-2</v>
      </c>
      <c r="M296" s="832"/>
      <c r="N296" s="832"/>
      <c r="O296" s="48">
        <f>IF(t&lt;Tnet,'2021'!Resal+('2021'!Salim-'2021'!Resal)*(1-EXP(('2021'!Tnet-t)/('2021'!Tau_j))),Resal+(Salim-Resal)*(1-EXP((Tnet-t)/(Tau_j))))*Salcycl</f>
        <v>2.2179783671217611E-2</v>
      </c>
      <c r="P296" s="169">
        <f>(INDEX(Models!$BJ296:$BT296,,T296)*(1-R296)+INDEX(Models!$BJ296:$BT296,,T296+1)*R296-ERP_i)*Q296*Ramure*Pc/MaxiM</f>
        <v>3.7959274472415763E-5</v>
      </c>
      <c r="Q296" s="304">
        <f t="shared" si="101"/>
        <v>0.6</v>
      </c>
      <c r="R296" s="177">
        <f t="shared" si="102"/>
        <v>0.49583324372832549</v>
      </c>
      <c r="S296" s="799">
        <f t="shared" si="103"/>
        <v>0</v>
      </c>
      <c r="T296" s="176">
        <f t="shared" si="104"/>
        <v>6</v>
      </c>
      <c r="U296" s="250">
        <f t="shared" si="105"/>
        <v>0.49583324372832549</v>
      </c>
      <c r="V296" s="382">
        <f t="shared" si="106"/>
        <v>43.145830590675168</v>
      </c>
      <c r="W296" s="400"/>
      <c r="X296" s="157">
        <f t="shared" si="107"/>
        <v>44843</v>
      </c>
      <c r="Y296" s="383">
        <f t="shared" si="108"/>
        <v>38.269888196016737</v>
      </c>
      <c r="Z296" s="383">
        <f t="shared" si="109"/>
        <v>39.270695260412509</v>
      </c>
      <c r="AA296" s="384">
        <f t="shared" si="110"/>
        <v>44.507263979952981</v>
      </c>
      <c r="AB296" s="197">
        <f t="shared" si="111"/>
        <v>44843</v>
      </c>
      <c r="AC296" s="119">
        <f>IF(OR(t&lt;Tnet,NoTnet),'2021'!Resal_s+('2021'!Salim-'2021'!Resal_s)*(1-EXP(('2021'!Tnet_s-t)/'2021'!Tau_j)),Resal_s+(Salim-Resal_s)*(1-EXP((Tnet_s-t)/Tau_j)))*Salcycl</f>
        <v>0.11765649584524299</v>
      </c>
      <c r="AD296" s="230">
        <f>(INDEX(Models!$BJ296:$BT296,,AH296)*(1-AF296)+INDEX(Models!$BJ296:$BT296,,AH296+1)*AF296-ERP_i)*AE296*Ramure*Pc/MaxiM</f>
        <v>3.7959274472415763E-5</v>
      </c>
      <c r="AE296" s="304">
        <f t="shared" si="112"/>
        <v>0.6</v>
      </c>
      <c r="AF296" s="177">
        <f t="shared" si="113"/>
        <v>0.49583324372832549</v>
      </c>
      <c r="AG296" s="799">
        <f t="shared" si="119"/>
        <v>0</v>
      </c>
      <c r="AH296" s="176">
        <f t="shared" si="114"/>
        <v>6</v>
      </c>
      <c r="AI296" s="224">
        <f t="shared" si="115"/>
        <v>0.49583324372832549</v>
      </c>
      <c r="AJ296" s="264" t="b">
        <f t="shared" si="116"/>
        <v>0</v>
      </c>
      <c r="AK296" s="264" t="b">
        <f t="shared" si="117"/>
        <v>0</v>
      </c>
      <c r="AL296" s="264"/>
      <c r="AM296" s="264"/>
      <c r="AN296" s="75"/>
    </row>
    <row r="297" spans="1:40" s="6" customFormat="1" ht="11.25" x14ac:dyDescent="0.2">
      <c r="A297" s="56">
        <f t="shared" si="118"/>
        <v>44844</v>
      </c>
      <c r="B297" s="607">
        <v>35.969000000000001</v>
      </c>
      <c r="C297" s="388"/>
      <c r="D297" s="391">
        <f t="shared" si="98"/>
        <v>36.910343241022218</v>
      </c>
      <c r="E297" s="383">
        <f t="shared" ref="E297:E360" si="120">Wh_pvt/(1-Psa)</f>
        <v>37.750029149387998</v>
      </c>
      <c r="F297" s="383">
        <f t="shared" si="99"/>
        <v>37.751152794670539</v>
      </c>
      <c r="G297" s="110">
        <f t="shared" ref="G297:G360" si="121">+Wh_hp/MaxiM</f>
        <v>0.83959031622346225</v>
      </c>
      <c r="H297" s="412" t="b">
        <f>Wh_hp&gt;='2021'!Maxi_hp</f>
        <v>1</v>
      </c>
      <c r="I297" s="379">
        <f>IF(H297,Wh_hp,'2021'!Maxi_hp)</f>
        <v>37.751152794670539</v>
      </c>
      <c r="J297" s="85">
        <f>IF(H297,An,'2021'!An_max)</f>
        <v>2022</v>
      </c>
      <c r="K297" s="197">
        <f t="shared" si="100"/>
        <v>44844</v>
      </c>
      <c r="L297" s="147">
        <f>IF(t&lt;Tvie,1-EXP((T0-t)*PertePVj)+'2021'!Pspv,1-EXP((T0-t)*PertePVj)+Pspv)</f>
        <v>2.5503508186724422E-2</v>
      </c>
      <c r="M297" s="832"/>
      <c r="N297" s="832"/>
      <c r="O297" s="48">
        <f>IF(t&lt;Tnet,'2021'!Resal+('2021'!Salim-'2021'!Resal)*(1-EXP(('2021'!Tnet-t)/('2021'!Tau_j))),Resal+(Salim-Resal)*(1-EXP((Tnet-t)/(Tau_j))))*Salcycl</f>
        <v>2.2243318145342323E-2</v>
      </c>
      <c r="P297" s="169">
        <f>(INDEX(Models!$BJ297:$BT297,,T297)*(1-R297)+INDEX(Models!$BJ297:$BT297,,T297+1)*R297-ERP_i)*Q297*Ramure*Pc/MaxiM</f>
        <v>3.8612411738780998E-5</v>
      </c>
      <c r="Q297" s="304">
        <f t="shared" si="101"/>
        <v>0.6</v>
      </c>
      <c r="R297" s="177">
        <f t="shared" si="102"/>
        <v>0.49597102018691658</v>
      </c>
      <c r="S297" s="799">
        <f t="shared" si="103"/>
        <v>0</v>
      </c>
      <c r="T297" s="176">
        <f t="shared" si="104"/>
        <v>6</v>
      </c>
      <c r="U297" s="250">
        <f t="shared" si="105"/>
        <v>0.49597102018691658</v>
      </c>
      <c r="V297" s="382">
        <f t="shared" si="106"/>
        <v>42.840753455593727</v>
      </c>
      <c r="W297" s="400"/>
      <c r="X297" s="157">
        <f t="shared" si="107"/>
        <v>44844</v>
      </c>
      <c r="Y297" s="383">
        <f t="shared" si="108"/>
        <v>32.461606100675965</v>
      </c>
      <c r="Z297" s="383">
        <f t="shared" si="109"/>
        <v>33.311157478128685</v>
      </c>
      <c r="AA297" s="384">
        <f t="shared" si="110"/>
        <v>37.750029149387998</v>
      </c>
      <c r="AB297" s="197">
        <f t="shared" si="111"/>
        <v>44844</v>
      </c>
      <c r="AC297" s="119">
        <f>IF(OR(t&lt;Tnet,NoTnet),'2021'!Resal_s+('2021'!Salim-'2021'!Resal_s)*(1-EXP(('2021'!Tnet_s-t)/'2021'!Tau_j)),Resal_s+(Salim-Resal_s)*(1-EXP((Tnet_s-t)/Tau_j)))*Salcycl</f>
        <v>0.1175859137404475</v>
      </c>
      <c r="AD297" s="230">
        <f>(INDEX(Models!$BJ297:$BT297,,AH297)*(1-AF297)+INDEX(Models!$BJ297:$BT297,,AH297+1)*AF297-ERP_i)*AE297*Ramure*Pc/MaxiM</f>
        <v>3.8612411738780998E-5</v>
      </c>
      <c r="AE297" s="304">
        <f t="shared" si="112"/>
        <v>0.6</v>
      </c>
      <c r="AF297" s="177">
        <f t="shared" si="113"/>
        <v>0.49597102018691658</v>
      </c>
      <c r="AG297" s="799">
        <f t="shared" si="119"/>
        <v>0</v>
      </c>
      <c r="AH297" s="176">
        <f t="shared" si="114"/>
        <v>6</v>
      </c>
      <c r="AI297" s="224">
        <f t="shared" si="115"/>
        <v>0.49597102018691658</v>
      </c>
      <c r="AJ297" s="264" t="b">
        <f t="shared" si="116"/>
        <v>0</v>
      </c>
      <c r="AK297" s="264" t="b">
        <f t="shared" si="117"/>
        <v>0</v>
      </c>
      <c r="AL297" s="264"/>
      <c r="AM297" s="264"/>
      <c r="AN297" s="75"/>
    </row>
    <row r="298" spans="1:40" s="6" customFormat="1" ht="11.25" x14ac:dyDescent="0.2">
      <c r="A298" s="56">
        <f t="shared" si="118"/>
        <v>44845</v>
      </c>
      <c r="B298" s="607">
        <v>24.574999999999999</v>
      </c>
      <c r="C298" s="388"/>
      <c r="D298" s="391">
        <f t="shared" si="98"/>
        <v>25.218634638249434</v>
      </c>
      <c r="E298" s="383">
        <f t="shared" si="120"/>
        <v>25.794006001982659</v>
      </c>
      <c r="F298" s="383">
        <f t="shared" si="99"/>
        <v>25.794408519304085</v>
      </c>
      <c r="G298" s="110">
        <f t="shared" si="121"/>
        <v>0.57777562055907572</v>
      </c>
      <c r="H298" s="412" t="b">
        <f>Wh_hp&gt;='2021'!Maxi_hp</f>
        <v>0</v>
      </c>
      <c r="I298" s="379">
        <f>IF(H298,Wh_hp,'2021'!Maxi_hp)</f>
        <v>44.857995782913029</v>
      </c>
      <c r="J298" s="85">
        <f>IF(H298,An,'2021'!An_max)</f>
        <v>2021</v>
      </c>
      <c r="K298" s="197">
        <f t="shared" si="100"/>
        <v>44845</v>
      </c>
      <c r="L298" s="147">
        <f>IF(t&lt;Tvie,1-EXP((T0-t)*PertePVj)+'2021'!Pspv,1-EXP((T0-t)*PertePVj)+Pspv)</f>
        <v>2.552218418967156E-2</v>
      </c>
      <c r="M298" s="832"/>
      <c r="N298" s="832"/>
      <c r="O298" s="48">
        <f>IF(t&lt;Tnet,'2021'!Resal+('2021'!Salim-'2021'!Resal)*(1-EXP(('2021'!Tnet-t)/('2021'!Tau_j))),Resal+(Salim-Resal)*(1-EXP((Tnet-t)/(Tau_j))))*Salcycl</f>
        <v>2.2306397993743243E-2</v>
      </c>
      <c r="P298" s="169">
        <f>(INDEX(Models!$BJ298:$BT298,,T298)*(1-R298)+INDEX(Models!$BJ298:$BT298,,T298+1)*R298-ERP_i)*Q298*Ramure*Pc/MaxiM</f>
        <v>3.9322533259638704E-5</v>
      </c>
      <c r="Q298" s="304">
        <f t="shared" si="101"/>
        <v>0.6</v>
      </c>
      <c r="R298" s="177">
        <f t="shared" si="102"/>
        <v>0.49610332116028288</v>
      </c>
      <c r="S298" s="799">
        <f t="shared" si="103"/>
        <v>0</v>
      </c>
      <c r="T298" s="176">
        <f t="shared" si="104"/>
        <v>6</v>
      </c>
      <c r="U298" s="250">
        <f t="shared" si="105"/>
        <v>0.49610332116028288</v>
      </c>
      <c r="V298" s="382">
        <f t="shared" si="106"/>
        <v>42.532803832275015</v>
      </c>
      <c r="W298" s="400"/>
      <c r="X298" s="157">
        <f t="shared" si="107"/>
        <v>44845</v>
      </c>
      <c r="Y298" s="383">
        <f t="shared" si="108"/>
        <v>22.181898969078855</v>
      </c>
      <c r="Z298" s="383">
        <f t="shared" si="109"/>
        <v>22.76285679282854</v>
      </c>
      <c r="AA298" s="384">
        <f t="shared" si="110"/>
        <v>25.794006001982659</v>
      </c>
      <c r="AB298" s="197">
        <f t="shared" si="111"/>
        <v>44845</v>
      </c>
      <c r="AC298" s="119">
        <f>IF(OR(t&lt;Tnet,NoTnet),'2021'!Resal_s+('2021'!Salim-'2021'!Resal_s)*(1-EXP(('2021'!Tnet_s-t)/'2021'!Tau_j)),Resal_s+(Salim-Resal_s)*(1-EXP((Tnet_s-t)/Tau_j)))*Salcycl</f>
        <v>0.11751370488636506</v>
      </c>
      <c r="AD298" s="230">
        <f>(INDEX(Models!$BJ298:$BT298,,AH298)*(1-AF298)+INDEX(Models!$BJ298:$BT298,,AH298+1)*AF298-ERP_i)*AE298*Ramure*Pc/MaxiM</f>
        <v>3.9322533259638704E-5</v>
      </c>
      <c r="AE298" s="304">
        <f t="shared" si="112"/>
        <v>0.6</v>
      </c>
      <c r="AF298" s="177">
        <f t="shared" si="113"/>
        <v>0.49610332116028288</v>
      </c>
      <c r="AG298" s="799">
        <f t="shared" si="119"/>
        <v>0</v>
      </c>
      <c r="AH298" s="176">
        <f t="shared" si="114"/>
        <v>6</v>
      </c>
      <c r="AI298" s="224">
        <f t="shared" si="115"/>
        <v>0.49610332116028288</v>
      </c>
      <c r="AJ298" s="264" t="b">
        <f t="shared" si="116"/>
        <v>0</v>
      </c>
      <c r="AK298" s="264" t="b">
        <f t="shared" si="117"/>
        <v>0</v>
      </c>
      <c r="AL298" s="264"/>
      <c r="AM298" s="264"/>
      <c r="AN298" s="75"/>
    </row>
    <row r="299" spans="1:40" s="6" customFormat="1" ht="11.25" x14ac:dyDescent="0.2">
      <c r="A299" s="56">
        <f t="shared" si="118"/>
        <v>44846</v>
      </c>
      <c r="B299" s="607">
        <v>28.978000000000002</v>
      </c>
      <c r="C299" s="388"/>
      <c r="D299" s="391">
        <f t="shared" si="98"/>
        <v>29.737521878120322</v>
      </c>
      <c r="E299" s="383">
        <f t="shared" si="120"/>
        <v>30.417941513577041</v>
      </c>
      <c r="F299" s="383">
        <f t="shared" si="99"/>
        <v>30.418614523541287</v>
      </c>
      <c r="G299" s="110">
        <f t="shared" si="121"/>
        <v>0.68630929091368742</v>
      </c>
      <c r="H299" s="412" t="b">
        <f>Wh_hp&gt;='2021'!Maxi_hp</f>
        <v>0</v>
      </c>
      <c r="I299" s="379">
        <f>IF(H299,Wh_hp,'2021'!Maxi_hp)</f>
        <v>43.06156480177809</v>
      </c>
      <c r="J299" s="85">
        <f>IF(H299,An,'2021'!An_max)</f>
        <v>2021</v>
      </c>
      <c r="K299" s="197">
        <f t="shared" si="100"/>
        <v>44846</v>
      </c>
      <c r="L299" s="147">
        <f>IF(t&lt;Tvie,1-EXP((T0-t)*PertePVj)+'2021'!Pspv,1-EXP((T0-t)*PertePVj)+Pspv)</f>
        <v>2.5540859834697449E-2</v>
      </c>
      <c r="M299" s="832"/>
      <c r="N299" s="832"/>
      <c r="O299" s="48">
        <f>IF(t&lt;Tnet,'2021'!Resal+('2021'!Salim-'2021'!Resal)*(1-EXP(('2021'!Tnet-t)/('2021'!Tau_j))),Resal+(Salim-Resal)*(1-EXP((Tnet-t)/(Tau_j))))*Salcycl</f>
        <v>2.2369023069921126E-2</v>
      </c>
      <c r="P299" s="169">
        <f>(INDEX(Models!$BJ299:$BT299,,T299)*(1-R299)+INDEX(Models!$BJ299:$BT299,,T299+1)*R299-ERP_i)*Q299*Ramure*Pc/MaxiM</f>
        <v>4.0089541614697402E-5</v>
      </c>
      <c r="Q299" s="304">
        <f t="shared" si="101"/>
        <v>0.6</v>
      </c>
      <c r="R299" s="177">
        <f t="shared" si="102"/>
        <v>0.49623036149518435</v>
      </c>
      <c r="S299" s="799">
        <f t="shared" si="103"/>
        <v>0</v>
      </c>
      <c r="T299" s="176">
        <f t="shared" si="104"/>
        <v>6</v>
      </c>
      <c r="U299" s="250">
        <f t="shared" si="105"/>
        <v>0.49623036149518435</v>
      </c>
      <c r="V299" s="382">
        <f t="shared" si="106"/>
        <v>42.222187275979095</v>
      </c>
      <c r="W299" s="400"/>
      <c r="X299" s="157">
        <f t="shared" si="107"/>
        <v>44846</v>
      </c>
      <c r="Y299" s="383">
        <f t="shared" si="108"/>
        <v>26.160000682831711</v>
      </c>
      <c r="Z299" s="383">
        <f t="shared" si="109"/>
        <v>26.845661972439455</v>
      </c>
      <c r="AA299" s="384">
        <f t="shared" si="110"/>
        <v>30.417941513577041</v>
      </c>
      <c r="AB299" s="197">
        <f t="shared" si="111"/>
        <v>44846</v>
      </c>
      <c r="AC299" s="119">
        <f>IF(OR(t&lt;Tnet,NoTnet),'2021'!Resal_s+('2021'!Salim-'2021'!Resal_s)*(1-EXP(('2021'!Tnet_s-t)/'2021'!Tau_j)),Resal_s+(Salim-Resal_s)*(1-EXP((Tnet_s-t)/Tau_j)))*Salcycl</f>
        <v>0.11743988460044538</v>
      </c>
      <c r="AD299" s="230">
        <f>(INDEX(Models!$BJ299:$BT299,,AH299)*(1-AF299)+INDEX(Models!$BJ299:$BT299,,AH299+1)*AF299-ERP_i)*AE299*Ramure*Pc/MaxiM</f>
        <v>4.0089541614697402E-5</v>
      </c>
      <c r="AE299" s="304">
        <f t="shared" si="112"/>
        <v>0.6</v>
      </c>
      <c r="AF299" s="177">
        <f t="shared" si="113"/>
        <v>0.49623036149518435</v>
      </c>
      <c r="AG299" s="799">
        <f t="shared" si="119"/>
        <v>0</v>
      </c>
      <c r="AH299" s="176">
        <f t="shared" si="114"/>
        <v>6</v>
      </c>
      <c r="AI299" s="224">
        <f t="shared" si="115"/>
        <v>0.49623036149518435</v>
      </c>
      <c r="AJ299" s="264" t="b">
        <f t="shared" si="116"/>
        <v>0</v>
      </c>
      <c r="AK299" s="264" t="b">
        <f t="shared" si="117"/>
        <v>0</v>
      </c>
      <c r="AL299" s="264"/>
      <c r="AM299" s="264"/>
      <c r="AN299" s="75"/>
    </row>
    <row r="300" spans="1:40" s="6" customFormat="1" ht="11.25" x14ac:dyDescent="0.2">
      <c r="A300" s="56">
        <f t="shared" si="118"/>
        <v>44847</v>
      </c>
      <c r="B300" s="607">
        <v>25.494</v>
      </c>
      <c r="C300" s="388"/>
      <c r="D300" s="391">
        <f t="shared" si="98"/>
        <v>26.162706618702302</v>
      </c>
      <c r="E300" s="383">
        <f t="shared" si="120"/>
        <v>26.763033422544343</v>
      </c>
      <c r="F300" s="383">
        <f t="shared" si="99"/>
        <v>26.763515710459643</v>
      </c>
      <c r="G300" s="110">
        <f t="shared" si="121"/>
        <v>0.60830251064838636</v>
      </c>
      <c r="H300" s="412" t="b">
        <f>Wh_hp&gt;='2021'!Maxi_hp</f>
        <v>0</v>
      </c>
      <c r="I300" s="379">
        <f>IF(H300,Wh_hp,'2021'!Maxi_hp)</f>
        <v>42.186291422825811</v>
      </c>
      <c r="J300" s="85">
        <f>IF(H300,An,'2021'!An_max)</f>
        <v>2021</v>
      </c>
      <c r="K300" s="197">
        <f t="shared" si="100"/>
        <v>44847</v>
      </c>
      <c r="L300" s="147">
        <f>IF(t&lt;Tvie,1-EXP((T0-t)*PertePVj)+'2021'!Pspv,1-EXP((T0-t)*PertePVj)+Pspv)</f>
        <v>2.5559535121808863E-2</v>
      </c>
      <c r="M300" s="832"/>
      <c r="N300" s="832"/>
      <c r="O300" s="48">
        <f>IF(t&lt;Tnet,'2021'!Resal+('2021'!Salim-'2021'!Resal)*(1-EXP(('2021'!Tnet-t)/('2021'!Tau_j))),Resal+(Salim-Resal)*(1-EXP((Tnet-t)/(Tau_j))))*Salcycl</f>
        <v>2.2431194340487005E-2</v>
      </c>
      <c r="P300" s="169">
        <f>(INDEX(Models!$BJ300:$BT300,,T300)*(1-R300)+INDEX(Models!$BJ300:$BT300,,T300+1)*R300-ERP_i)*Q300*Ramure*Pc/MaxiM</f>
        <v>4.0913306434738539E-5</v>
      </c>
      <c r="Q300" s="304">
        <f t="shared" si="101"/>
        <v>0.6</v>
      </c>
      <c r="R300" s="177">
        <f t="shared" si="102"/>
        <v>0.49635234782477849</v>
      </c>
      <c r="S300" s="799">
        <f t="shared" si="103"/>
        <v>0</v>
      </c>
      <c r="T300" s="176">
        <f t="shared" si="104"/>
        <v>6</v>
      </c>
      <c r="U300" s="250">
        <f t="shared" si="105"/>
        <v>0.49635234782477849</v>
      </c>
      <c r="V300" s="382">
        <f t="shared" si="106"/>
        <v>41.909109218163678</v>
      </c>
      <c r="W300" s="400"/>
      <c r="X300" s="157">
        <f t="shared" si="107"/>
        <v>44847</v>
      </c>
      <c r="Y300" s="383">
        <f t="shared" si="108"/>
        <v>23.018236644697254</v>
      </c>
      <c r="Z300" s="383">
        <f t="shared" si="109"/>
        <v>23.622004087827595</v>
      </c>
      <c r="AA300" s="384">
        <f t="shared" si="110"/>
        <v>26.763033422544343</v>
      </c>
      <c r="AB300" s="197">
        <f t="shared" si="111"/>
        <v>44847</v>
      </c>
      <c r="AC300" s="119">
        <f>IF(OR(t&lt;Tnet,NoTnet),'2021'!Resal_s+('2021'!Salim-'2021'!Resal_s)*(1-EXP(('2021'!Tnet_s-t)/'2021'!Tau_j)),Resal_s+(Salim-Resal_s)*(1-EXP((Tnet_s-t)/Tau_j)))*Salcycl</f>
        <v>0.11736447379207932</v>
      </c>
      <c r="AD300" s="230">
        <f>(INDEX(Models!$BJ300:$BT300,,AH300)*(1-AF300)+INDEX(Models!$BJ300:$BT300,,AH300+1)*AF300-ERP_i)*AE300*Ramure*Pc/MaxiM</f>
        <v>4.0913306434738539E-5</v>
      </c>
      <c r="AE300" s="304">
        <f t="shared" si="112"/>
        <v>0.6</v>
      </c>
      <c r="AF300" s="177">
        <f t="shared" si="113"/>
        <v>0.49635234782477849</v>
      </c>
      <c r="AG300" s="799">
        <f t="shared" si="119"/>
        <v>0</v>
      </c>
      <c r="AH300" s="176">
        <f t="shared" si="114"/>
        <v>6</v>
      </c>
      <c r="AI300" s="224">
        <f t="shared" si="115"/>
        <v>0.49635234782477849</v>
      </c>
      <c r="AJ300" s="264" t="b">
        <f t="shared" si="116"/>
        <v>0</v>
      </c>
      <c r="AK300" s="264" t="b">
        <f t="shared" si="117"/>
        <v>0</v>
      </c>
      <c r="AL300" s="264"/>
      <c r="AM300" s="264"/>
      <c r="AN300" s="75"/>
    </row>
    <row r="301" spans="1:40" s="6" customFormat="1" ht="11.25" x14ac:dyDescent="0.2">
      <c r="A301" s="56">
        <f t="shared" si="118"/>
        <v>44848</v>
      </c>
      <c r="B301" s="607">
        <v>18.277000000000001</v>
      </c>
      <c r="C301" s="388"/>
      <c r="D301" s="391">
        <f t="shared" si="98"/>
        <v>18.756764461267675</v>
      </c>
      <c r="E301" s="383">
        <f t="shared" si="120"/>
        <v>19.188366742923755</v>
      </c>
      <c r="F301" s="383">
        <f t="shared" si="99"/>
        <v>19.188526466446117</v>
      </c>
      <c r="G301" s="110">
        <f t="shared" si="121"/>
        <v>0.43940200864094903</v>
      </c>
      <c r="H301" s="412" t="b">
        <f>Wh_hp&gt;='2021'!Maxi_hp</f>
        <v>0</v>
      </c>
      <c r="I301" s="379">
        <f>IF(H301,Wh_hp,'2021'!Maxi_hp)</f>
        <v>45.549482417186574</v>
      </c>
      <c r="J301" s="85">
        <f>IF(H301,An,'2021'!An_max)</f>
        <v>2021</v>
      </c>
      <c r="K301" s="197">
        <f t="shared" si="100"/>
        <v>44848</v>
      </c>
      <c r="L301" s="147">
        <f>IF(t&lt;Tvie,1-EXP((T0-t)*PertePVj)+'2021'!Pspv,1-EXP((T0-t)*PertePVj)+Pspv)</f>
        <v>2.5578210051012684E-2</v>
      </c>
      <c r="M301" s="832"/>
      <c r="N301" s="832"/>
      <c r="O301" s="48">
        <f>IF(t&lt;Tnet,'2021'!Resal+('2021'!Salim-'2021'!Resal)*(1-EXP(('2021'!Tnet-t)/('2021'!Tau_j))),Resal+(Salim-Resal)*(1-EXP((Tnet-t)/(Tau_j))))*Salcycl</f>
        <v>2.2492913932617219E-2</v>
      </c>
      <c r="P301" s="169">
        <f>(INDEX(Models!$BJ301:$BT301,,T301)*(1-R301)+INDEX(Models!$BJ301:$BT301,,T301+1)*R301-ERP_i)*Q301*Ramure*Pc/MaxiM</f>
        <v>4.1793663838489947E-5</v>
      </c>
      <c r="Q301" s="304">
        <f t="shared" si="101"/>
        <v>0.6</v>
      </c>
      <c r="R301" s="177">
        <f t="shared" si="102"/>
        <v>0.49646947886555931</v>
      </c>
      <c r="S301" s="799">
        <f t="shared" si="103"/>
        <v>0</v>
      </c>
      <c r="T301" s="176">
        <f t="shared" si="104"/>
        <v>6</v>
      </c>
      <c r="U301" s="250">
        <f t="shared" si="105"/>
        <v>0.49646947886555931</v>
      </c>
      <c r="V301" s="382">
        <f t="shared" si="106"/>
        <v>41.593774968626832</v>
      </c>
      <c r="W301" s="400"/>
      <c r="X301" s="157">
        <f t="shared" si="107"/>
        <v>44848</v>
      </c>
      <c r="Y301" s="383">
        <f t="shared" si="108"/>
        <v>16.504572302972836</v>
      </c>
      <c r="Z301" s="383">
        <f t="shared" si="109"/>
        <v>16.937811195536668</v>
      </c>
      <c r="AA301" s="384">
        <f t="shared" si="110"/>
        <v>19.188366742923755</v>
      </c>
      <c r="AB301" s="197">
        <f t="shared" si="111"/>
        <v>44848</v>
      </c>
      <c r="AC301" s="119">
        <f>IF(OR(t&lt;Tnet,NoTnet),'2021'!Resal_s+('2021'!Salim-'2021'!Resal_s)*(1-EXP(('2021'!Tnet_s-t)/'2021'!Tau_j)),Resal_s+(Salim-Resal_s)*(1-EXP((Tnet_s-t)/Tau_j)))*Salcycl</f>
        <v>0.11728749911542326</v>
      </c>
      <c r="AD301" s="230">
        <f>(INDEX(Models!$BJ301:$BT301,,AH301)*(1-AF301)+INDEX(Models!$BJ301:$BT301,,AH301+1)*AF301-ERP_i)*AE301*Ramure*Pc/MaxiM</f>
        <v>4.1793663838489947E-5</v>
      </c>
      <c r="AE301" s="304">
        <f t="shared" si="112"/>
        <v>0.6</v>
      </c>
      <c r="AF301" s="177">
        <f t="shared" si="113"/>
        <v>0.49646947886555931</v>
      </c>
      <c r="AG301" s="799">
        <f t="shared" si="119"/>
        <v>0</v>
      </c>
      <c r="AH301" s="176">
        <f t="shared" si="114"/>
        <v>6</v>
      </c>
      <c r="AI301" s="224">
        <f t="shared" si="115"/>
        <v>0.49646947886555931</v>
      </c>
      <c r="AJ301" s="264" t="b">
        <f t="shared" si="116"/>
        <v>0</v>
      </c>
      <c r="AK301" s="264" t="b">
        <f t="shared" si="117"/>
        <v>0</v>
      </c>
      <c r="AL301" s="264"/>
      <c r="AM301" s="264"/>
      <c r="AN301" s="75"/>
    </row>
    <row r="302" spans="1:40" s="6" customFormat="1" ht="11.25" x14ac:dyDescent="0.2">
      <c r="A302" s="56">
        <f t="shared" si="118"/>
        <v>44849</v>
      </c>
      <c r="B302" s="607">
        <v>41.710999999999999</v>
      </c>
      <c r="C302" s="388"/>
      <c r="D302" s="391">
        <f t="shared" si="98"/>
        <v>42.806718638037779</v>
      </c>
      <c r="E302" s="383">
        <f t="shared" si="120"/>
        <v>43.794467160053898</v>
      </c>
      <c r="F302" s="383">
        <f t="shared" si="99"/>
        <v>43.796338595835707</v>
      </c>
      <c r="G302" s="110">
        <f t="shared" si="121"/>
        <v>1.0105292707627349</v>
      </c>
      <c r="H302" s="412" t="b">
        <f>Wh_hp&gt;='2021'!Maxi_hp</f>
        <v>1</v>
      </c>
      <c r="I302" s="379">
        <f>IF(H302,Wh_hp,'2021'!Maxi_hp)</f>
        <v>43.796338595835707</v>
      </c>
      <c r="J302" s="85">
        <f>IF(H302,An,'2021'!An_max)</f>
        <v>2022</v>
      </c>
      <c r="K302" s="197">
        <f t="shared" si="100"/>
        <v>44849</v>
      </c>
      <c r="L302" s="147">
        <f>IF(t&lt;Tvie,1-EXP((T0-t)*PertePVj)+'2021'!Pspv,1-EXP((T0-t)*PertePVj)+Pspv)</f>
        <v>2.5596884622315685E-2</v>
      </c>
      <c r="M302" s="832"/>
      <c r="N302" s="832"/>
      <c r="O302" s="48">
        <f>IF(t&lt;Tnet,'2021'!Resal+('2021'!Salim-'2021'!Resal)*(1-EXP(('2021'!Tnet-t)/('2021'!Tau_j))),Resal+(Salim-Resal)*(1-EXP((Tnet-t)/(Tau_j))))*Salcycl</f>
        <v>2.2554185176091656E-2</v>
      </c>
      <c r="P302" s="169">
        <f>(INDEX(Models!$BJ302:$BT302,,T302)*(1-R302)+INDEX(Models!$BJ302:$BT302,,T302+1)*R302-ERP_i)*Q302*Ramure*Pc/MaxiM</f>
        <v>4.2730416327231274E-5</v>
      </c>
      <c r="Q302" s="304">
        <f t="shared" si="101"/>
        <v>0.6</v>
      </c>
      <c r="R302" s="177">
        <f t="shared" si="102"/>
        <v>0.49658194570492531</v>
      </c>
      <c r="S302" s="799">
        <f t="shared" si="103"/>
        <v>0</v>
      </c>
      <c r="T302" s="176">
        <f t="shared" si="104"/>
        <v>6</v>
      </c>
      <c r="U302" s="250">
        <f t="shared" si="105"/>
        <v>0.49658194570492531</v>
      </c>
      <c r="V302" s="382">
        <f t="shared" si="106"/>
        <v>41.276389716566101</v>
      </c>
      <c r="W302" s="400"/>
      <c r="X302" s="157">
        <f t="shared" si="107"/>
        <v>44849</v>
      </c>
      <c r="Y302" s="383">
        <f t="shared" si="108"/>
        <v>37.671751344915151</v>
      </c>
      <c r="Z302" s="383">
        <f t="shared" si="109"/>
        <v>38.661361761259727</v>
      </c>
      <c r="AA302" s="384">
        <f t="shared" si="110"/>
        <v>43.794467160053898</v>
      </c>
      <c r="AB302" s="197">
        <f t="shared" si="111"/>
        <v>44849</v>
      </c>
      <c r="AC302" s="119">
        <f>IF(OR(t&lt;Tnet,NoTnet),'2021'!Resal_s+('2021'!Salim-'2021'!Resal_s)*(1-EXP(('2021'!Tnet_s-t)/'2021'!Tau_j)),Resal_s+(Salim-Resal_s)*(1-EXP((Tnet_s-t)/Tau_j)))*Salcycl</f>
        <v>0.11720899309116864</v>
      </c>
      <c r="AD302" s="230">
        <f>(INDEX(Models!$BJ302:$BT302,,AH302)*(1-AF302)+INDEX(Models!$BJ302:$BT302,,AH302+1)*AF302-ERP_i)*AE302*Ramure*Pc/MaxiM</f>
        <v>4.2730416327231274E-5</v>
      </c>
      <c r="AE302" s="304">
        <f t="shared" si="112"/>
        <v>0.6</v>
      </c>
      <c r="AF302" s="177">
        <f t="shared" si="113"/>
        <v>0.49658194570492531</v>
      </c>
      <c r="AG302" s="799">
        <f t="shared" si="119"/>
        <v>0</v>
      </c>
      <c r="AH302" s="176">
        <f t="shared" si="114"/>
        <v>6</v>
      </c>
      <c r="AI302" s="224">
        <f t="shared" si="115"/>
        <v>0.49658194570492531</v>
      </c>
      <c r="AJ302" s="264" t="b">
        <f t="shared" si="116"/>
        <v>0</v>
      </c>
      <c r="AK302" s="264" t="b">
        <f t="shared" si="117"/>
        <v>0</v>
      </c>
      <c r="AL302" s="264"/>
      <c r="AM302" s="264"/>
      <c r="AN302" s="75"/>
    </row>
    <row r="303" spans="1:40" s="6" customFormat="1" ht="11.25" x14ac:dyDescent="0.2">
      <c r="A303" s="56">
        <f t="shared" si="118"/>
        <v>44850</v>
      </c>
      <c r="B303" s="607">
        <v>35.892000000000003</v>
      </c>
      <c r="C303" s="388"/>
      <c r="D303" s="391">
        <f t="shared" si="98"/>
        <v>36.835563545240184</v>
      </c>
      <c r="E303" s="383">
        <f t="shared" si="120"/>
        <v>37.687875321999158</v>
      </c>
      <c r="F303" s="383">
        <f t="shared" si="99"/>
        <v>37.689232331907355</v>
      </c>
      <c r="G303" s="110">
        <f t="shared" si="121"/>
        <v>0.87638683199111855</v>
      </c>
      <c r="H303" s="412" t="b">
        <f>Wh_hp&gt;='2021'!Maxi_hp</f>
        <v>0</v>
      </c>
      <c r="I303" s="379">
        <f>IF(H303,Wh_hp,'2021'!Maxi_hp)</f>
        <v>41.812215939762069</v>
      </c>
      <c r="J303" s="85">
        <f>IF(H303,An,'2021'!An_max)</f>
        <v>2021</v>
      </c>
      <c r="K303" s="197">
        <f t="shared" si="100"/>
        <v>44850</v>
      </c>
      <c r="L303" s="147">
        <f>IF(t&lt;Tvie,1-EXP((T0-t)*PertePVj)+'2021'!Pspv,1-EXP((T0-t)*PertePVj)+Pspv)</f>
        <v>2.5615558835724861E-2</v>
      </c>
      <c r="M303" s="832"/>
      <c r="N303" s="832"/>
      <c r="O303" s="48">
        <f>IF(t&lt;Tnet,'2021'!Resal+('2021'!Salim-'2021'!Resal)*(1-EXP(('2021'!Tnet-t)/('2021'!Tau_j))),Resal+(Salim-Resal)*(1-EXP((Tnet-t)/(Tau_j))))*Salcycl</f>
        <v>2.2615012639395568E-2</v>
      </c>
      <c r="P303" s="169">
        <f>(INDEX(Models!$BJ303:$BT303,,T303)*(1-R303)+INDEX(Models!$BJ303:$BT303,,T303+1)*R303-ERP_i)*Q303*Ramure*Pc/MaxiM</f>
        <v>4.3726490054853157E-5</v>
      </c>
      <c r="Q303" s="304">
        <f t="shared" si="101"/>
        <v>0.6</v>
      </c>
      <c r="R303" s="177">
        <f t="shared" si="102"/>
        <v>0.49668993207955831</v>
      </c>
      <c r="S303" s="799">
        <f t="shared" si="103"/>
        <v>0</v>
      </c>
      <c r="T303" s="176">
        <f t="shared" si="104"/>
        <v>6</v>
      </c>
      <c r="U303" s="250">
        <f t="shared" si="105"/>
        <v>0.49668993207955831</v>
      </c>
      <c r="V303" s="382">
        <f t="shared" si="106"/>
        <v>40.954201442552481</v>
      </c>
      <c r="W303" s="400"/>
      <c r="X303" s="157">
        <f t="shared" si="107"/>
        <v>44850</v>
      </c>
      <c r="Y303" s="383">
        <f t="shared" si="108"/>
        <v>32.421212265511151</v>
      </c>
      <c r="Z303" s="383">
        <f t="shared" si="109"/>
        <v>33.273532392175312</v>
      </c>
      <c r="AA303" s="384">
        <f t="shared" si="110"/>
        <v>37.687875321999158</v>
      </c>
      <c r="AB303" s="197">
        <f t="shared" si="111"/>
        <v>44850</v>
      </c>
      <c r="AC303" s="119">
        <f>IF(OR(t&lt;Tnet,NoTnet),'2021'!Resal_s+('2021'!Salim-'2021'!Resal_s)*(1-EXP(('2021'!Tnet_s-t)/'2021'!Tau_j)),Resal_s+(Salim-Resal_s)*(1-EXP((Tnet_s-t)/Tau_j)))*Salcycl</f>
        <v>0.11712899419530581</v>
      </c>
      <c r="AD303" s="230">
        <f>(INDEX(Models!$BJ303:$BT303,,AH303)*(1-AF303)+INDEX(Models!$BJ303:$BT303,,AH303+1)*AF303-ERP_i)*AE303*Ramure*Pc/MaxiM</f>
        <v>4.3726490054853157E-5</v>
      </c>
      <c r="AE303" s="304">
        <f t="shared" si="112"/>
        <v>0.6</v>
      </c>
      <c r="AF303" s="177">
        <f t="shared" si="113"/>
        <v>0.49668993207955831</v>
      </c>
      <c r="AG303" s="799">
        <f t="shared" si="119"/>
        <v>0</v>
      </c>
      <c r="AH303" s="176">
        <f t="shared" si="114"/>
        <v>6</v>
      </c>
      <c r="AI303" s="224">
        <f t="shared" si="115"/>
        <v>0.49668993207955831</v>
      </c>
      <c r="AJ303" s="264" t="b">
        <f t="shared" si="116"/>
        <v>0</v>
      </c>
      <c r="AK303" s="264" t="b">
        <f t="shared" si="117"/>
        <v>0</v>
      </c>
      <c r="AL303" s="264"/>
      <c r="AM303" s="264"/>
      <c r="AN303" s="75"/>
    </row>
    <row r="304" spans="1:40" s="6" customFormat="1" ht="11.25" x14ac:dyDescent="0.2">
      <c r="A304" s="56">
        <f t="shared" si="118"/>
        <v>44851</v>
      </c>
      <c r="B304" s="607">
        <v>20.064</v>
      </c>
      <c r="C304" s="388"/>
      <c r="D304" s="391">
        <f t="shared" si="98"/>
        <v>20.591856439515286</v>
      </c>
      <c r="E304" s="383">
        <f t="shared" si="120"/>
        <v>21.069618512634449</v>
      </c>
      <c r="F304" s="383">
        <f t="shared" si="99"/>
        <v>21.069879520217292</v>
      </c>
      <c r="G304" s="110">
        <f t="shared" si="121"/>
        <v>0.49386617366596652</v>
      </c>
      <c r="H304" s="412" t="b">
        <f>Wh_hp&gt;='2021'!Maxi_hp</f>
        <v>0</v>
      </c>
      <c r="I304" s="379">
        <f>IF(H304,Wh_hp,'2021'!Maxi_hp)</f>
        <v>39.356868501239063</v>
      </c>
      <c r="J304" s="85">
        <f>IF(H304,An,'2021'!An_max)</f>
        <v>2021</v>
      </c>
      <c r="K304" s="197">
        <f t="shared" si="100"/>
        <v>44851</v>
      </c>
      <c r="L304" s="147">
        <f>IF(t&lt;Tvie,1-EXP((T0-t)*PertePVj)+'2021'!Pspv,1-EXP((T0-t)*PertePVj)+Pspv)</f>
        <v>2.5634232691246983E-2</v>
      </c>
      <c r="M304" s="832"/>
      <c r="N304" s="832"/>
      <c r="O304" s="48">
        <f>IF(t&lt;Tnet,'2021'!Resal+('2021'!Salim-'2021'!Resal)*(1-EXP(('2021'!Tnet-t)/('2021'!Tau_j))),Resal+(Salim-Resal)*(1-EXP((Tnet-t)/(Tau_j))))*Salcycl</f>
        <v>2.2675402159401795E-2</v>
      </c>
      <c r="P304" s="169">
        <f>(INDEX(Models!$BJ304:$BT304,,T304)*(1-R304)+INDEX(Models!$BJ304:$BT304,,T304+1)*R304-ERP_i)*Q304*Ramure*Pc/MaxiM</f>
        <v>4.4725097627488772E-5</v>
      </c>
      <c r="Q304" s="304">
        <f t="shared" si="101"/>
        <v>0.6</v>
      </c>
      <c r="R304" s="177">
        <f t="shared" si="102"/>
        <v>0.49679361464480315</v>
      </c>
      <c r="S304" s="799">
        <f t="shared" si="103"/>
        <v>0</v>
      </c>
      <c r="T304" s="176">
        <f t="shared" si="104"/>
        <v>6</v>
      </c>
      <c r="U304" s="250">
        <f t="shared" si="105"/>
        <v>0.49679361464480315</v>
      </c>
      <c r="V304" s="382">
        <f t="shared" si="106"/>
        <v>40.625076679602081</v>
      </c>
      <c r="W304" s="400"/>
      <c r="X304" s="157">
        <f t="shared" si="107"/>
        <v>44851</v>
      </c>
      <c r="Y304" s="383">
        <f t="shared" si="108"/>
        <v>18.12658563784926</v>
      </c>
      <c r="Z304" s="383">
        <f t="shared" si="109"/>
        <v>18.60347135133431</v>
      </c>
      <c r="AA304" s="384">
        <f t="shared" si="110"/>
        <v>21.069618512634449</v>
      </c>
      <c r="AB304" s="197">
        <f t="shared" si="111"/>
        <v>44851</v>
      </c>
      <c r="AC304" s="119">
        <f>IF(OR(t&lt;Tnet,NoTnet),'2021'!Resal_s+('2021'!Salim-'2021'!Resal_s)*(1-EXP(('2021'!Tnet_s-t)/'2021'!Tau_j)),Resal_s+(Salim-Resal_s)*(1-EXP((Tnet_s-t)/Tau_j)))*Salcycl</f>
        <v>0.11704754691316829</v>
      </c>
      <c r="AD304" s="230">
        <f>(INDEX(Models!$BJ304:$BT304,,AH304)*(1-AF304)+INDEX(Models!$BJ304:$BT304,,AH304+1)*AF304-ERP_i)*AE304*Ramure*Pc/MaxiM</f>
        <v>4.4725097627488772E-5</v>
      </c>
      <c r="AE304" s="304">
        <f t="shared" si="112"/>
        <v>0.6</v>
      </c>
      <c r="AF304" s="177">
        <f t="shared" si="113"/>
        <v>0.49679361464480315</v>
      </c>
      <c r="AG304" s="799">
        <f t="shared" si="119"/>
        <v>0</v>
      </c>
      <c r="AH304" s="176">
        <f t="shared" si="114"/>
        <v>6</v>
      </c>
      <c r="AI304" s="224">
        <f t="shared" si="115"/>
        <v>0.49679361464480315</v>
      </c>
      <c r="AJ304" s="264" t="b">
        <f t="shared" si="116"/>
        <v>0</v>
      </c>
      <c r="AK304" s="264" t="b">
        <f t="shared" si="117"/>
        <v>0</v>
      </c>
      <c r="AL304" s="264"/>
      <c r="AM304" s="264"/>
      <c r="AN304" s="75"/>
    </row>
    <row r="305" spans="1:40" s="6" customFormat="1" ht="11.25" x14ac:dyDescent="0.2">
      <c r="A305" s="56">
        <f t="shared" si="118"/>
        <v>44852</v>
      </c>
      <c r="B305" s="607">
        <v>38.683</v>
      </c>
      <c r="C305" s="388"/>
      <c r="D305" s="391">
        <f t="shared" si="98"/>
        <v>39.701457771781648</v>
      </c>
      <c r="E305" s="383">
        <f t="shared" si="120"/>
        <v>40.625083710068033</v>
      </c>
      <c r="F305" s="383">
        <f t="shared" si="99"/>
        <v>40.626836245820606</v>
      </c>
      <c r="G305" s="110">
        <f t="shared" si="121"/>
        <v>0.96010824741115863</v>
      </c>
      <c r="H305" s="412" t="b">
        <f>Wh_hp&gt;='2021'!Maxi_hp</f>
        <v>1</v>
      </c>
      <c r="I305" s="379">
        <f>IF(H305,Wh_hp,'2021'!Maxi_hp)</f>
        <v>40.626836245820606</v>
      </c>
      <c r="J305" s="85">
        <f>IF(H305,An,'2021'!An_max)</f>
        <v>2022</v>
      </c>
      <c r="K305" s="197">
        <f t="shared" si="100"/>
        <v>44852</v>
      </c>
      <c r="L305" s="147">
        <f>IF(t&lt;Tvie,1-EXP((T0-t)*PertePVj)+'2021'!Pspv,1-EXP((T0-t)*PertePVj)+Pspv)</f>
        <v>2.5652906188888935E-2</v>
      </c>
      <c r="M305" s="832"/>
      <c r="N305" s="832"/>
      <c r="O305" s="48">
        <f>IF(t&lt;Tnet,'2021'!Resal+('2021'!Salim-'2021'!Resal)*(1-EXP(('2021'!Tnet-t)/('2021'!Tau_j))),Resal+(Salim-Resal)*(1-EXP((Tnet-t)/(Tau_j))))*Salcycl</f>
        <v>2.273536086419143E-2</v>
      </c>
      <c r="P305" s="169">
        <f>(INDEX(Models!$BJ305:$BT305,,T305)*(1-R305)+INDEX(Models!$BJ305:$BT305,,T305+1)*R305-ERP_i)*Q305*Ramure*Pc/MaxiM</f>
        <v>4.5744103161266531E-5</v>
      </c>
      <c r="Q305" s="304">
        <f t="shared" si="101"/>
        <v>0.6</v>
      </c>
      <c r="R305" s="177">
        <f t="shared" si="102"/>
        <v>0.49689316323524363</v>
      </c>
      <c r="S305" s="799">
        <f t="shared" si="103"/>
        <v>0</v>
      </c>
      <c r="T305" s="176">
        <f t="shared" si="104"/>
        <v>6</v>
      </c>
      <c r="U305" s="250">
        <f t="shared" si="105"/>
        <v>0.49689316323524363</v>
      </c>
      <c r="V305" s="382">
        <f t="shared" si="106"/>
        <v>40.290143600514938</v>
      </c>
      <c r="W305" s="400"/>
      <c r="X305" s="157">
        <f t="shared" si="107"/>
        <v>44852</v>
      </c>
      <c r="Y305" s="383">
        <f t="shared" si="108"/>
        <v>34.953126383584788</v>
      </c>
      <c r="Z305" s="383">
        <f t="shared" si="109"/>
        <v>35.873382910054509</v>
      </c>
      <c r="AA305" s="384">
        <f t="shared" si="110"/>
        <v>40.625083710068033</v>
      </c>
      <c r="AB305" s="197">
        <f t="shared" si="111"/>
        <v>44852</v>
      </c>
      <c r="AC305" s="119">
        <f>IF(OR(t&lt;Tnet,NoTnet),'2021'!Resal_s+('2021'!Salim-'2021'!Resal_s)*(1-EXP(('2021'!Tnet_s-t)/'2021'!Tau_j)),Resal_s+(Salim-Resal_s)*(1-EXP((Tnet_s-t)/Tau_j)))*Salcycl</f>
        <v>0.11696470175730179</v>
      </c>
      <c r="AD305" s="230">
        <f>(INDEX(Models!$BJ305:$BT305,,AH305)*(1-AF305)+INDEX(Models!$BJ305:$BT305,,AH305+1)*AF305-ERP_i)*AE305*Ramure*Pc/MaxiM</f>
        <v>4.5744103161266531E-5</v>
      </c>
      <c r="AE305" s="304">
        <f t="shared" si="112"/>
        <v>0.6</v>
      </c>
      <c r="AF305" s="177">
        <f t="shared" si="113"/>
        <v>0.49689316323524363</v>
      </c>
      <c r="AG305" s="799">
        <f t="shared" si="119"/>
        <v>0</v>
      </c>
      <c r="AH305" s="176">
        <f t="shared" si="114"/>
        <v>6</v>
      </c>
      <c r="AI305" s="224">
        <f t="shared" si="115"/>
        <v>0.49689316323524363</v>
      </c>
      <c r="AJ305" s="264" t="b">
        <f t="shared" si="116"/>
        <v>0</v>
      </c>
      <c r="AK305" s="264" t="b">
        <f t="shared" si="117"/>
        <v>0</v>
      </c>
      <c r="AL305" s="264"/>
      <c r="AM305" s="264"/>
      <c r="AN305" s="75"/>
    </row>
    <row r="306" spans="1:40" s="6" customFormat="1" ht="11.25" x14ac:dyDescent="0.2">
      <c r="A306" s="56">
        <f t="shared" si="118"/>
        <v>44853</v>
      </c>
      <c r="B306" s="607">
        <v>18.170000000000002</v>
      </c>
      <c r="C306" s="388"/>
      <c r="D306" s="391">
        <f t="shared" si="98"/>
        <v>18.648742677012653</v>
      </c>
      <c r="E306" s="383">
        <f t="shared" si="120"/>
        <v>19.083754908115942</v>
      </c>
      <c r="F306" s="383">
        <f t="shared" si="99"/>
        <v>19.083952359236996</v>
      </c>
      <c r="G306" s="110">
        <f t="shared" si="121"/>
        <v>0.45479590929326325</v>
      </c>
      <c r="H306" s="412" t="b">
        <f>Wh_hp&gt;='2021'!Maxi_hp</f>
        <v>0</v>
      </c>
      <c r="I306" s="379">
        <f>IF(H306,Wh_hp,'2021'!Maxi_hp)</f>
        <v>40.405295591154072</v>
      </c>
      <c r="J306" s="85">
        <f>IF(H306,An,'2021'!An_max)</f>
        <v>2020</v>
      </c>
      <c r="K306" s="197">
        <f t="shared" si="100"/>
        <v>44853</v>
      </c>
      <c r="L306" s="147">
        <f>IF(t&lt;Tvie,1-EXP((T0-t)*PertePVj)+'2021'!Pspv,1-EXP((T0-t)*PertePVj)+Pspv)</f>
        <v>2.567157932865749E-2</v>
      </c>
      <c r="M306" s="832"/>
      <c r="N306" s="832"/>
      <c r="O306" s="48">
        <f>IF(t&lt;Tnet,'2021'!Resal+('2021'!Salim-'2021'!Resal)*(1-EXP(('2021'!Tnet-t)/('2021'!Tau_j))),Resal+(Salim-Resal)*(1-EXP((Tnet-t)/(Tau_j))))*Salcycl</f>
        <v>2.2794897188618119E-2</v>
      </c>
      <c r="P306" s="169">
        <f>(INDEX(Models!$BJ306:$BT306,,T306)*(1-R306)+INDEX(Models!$BJ306:$BT306,,T306+1)*R306-ERP_i)*Q306*Ramure*Pc/MaxiM</f>
        <v>4.6782491721876182E-5</v>
      </c>
      <c r="Q306" s="304">
        <f t="shared" si="101"/>
        <v>0.6</v>
      </c>
      <c r="R306" s="177">
        <f t="shared" si="102"/>
        <v>0.49698874111667374</v>
      </c>
      <c r="S306" s="799">
        <f t="shared" si="103"/>
        <v>0</v>
      </c>
      <c r="T306" s="176">
        <f t="shared" si="104"/>
        <v>6</v>
      </c>
      <c r="U306" s="250">
        <f t="shared" si="105"/>
        <v>0.49698874111667374</v>
      </c>
      <c r="V306" s="382">
        <f t="shared" si="106"/>
        <v>39.950530730301729</v>
      </c>
      <c r="W306" s="400"/>
      <c r="X306" s="157">
        <f t="shared" si="107"/>
        <v>44853</v>
      </c>
      <c r="Y306" s="383">
        <f t="shared" si="108"/>
        <v>16.420586621764151</v>
      </c>
      <c r="Z306" s="383">
        <f t="shared" si="109"/>
        <v>16.853235801589218</v>
      </c>
      <c r="AA306" s="384">
        <f t="shared" si="110"/>
        <v>19.083754908115942</v>
      </c>
      <c r="AB306" s="197">
        <f t="shared" si="111"/>
        <v>44853</v>
      </c>
      <c r="AC306" s="119">
        <f>IF(OR(t&lt;Tnet,NoTnet),'2021'!Resal_s+('2021'!Salim-'2021'!Resal_s)*(1-EXP(('2021'!Tnet_s-t)/'2021'!Tau_j)),Resal_s+(Salim-Resal_s)*(1-EXP((Tnet_s-t)/Tau_j)))*Salcycl</f>
        <v>0.11688051524797811</v>
      </c>
      <c r="AD306" s="230">
        <f>(INDEX(Models!$BJ306:$BT306,,AH306)*(1-AF306)+INDEX(Models!$BJ306:$BT306,,AH306+1)*AF306-ERP_i)*AE306*Ramure*Pc/MaxiM</f>
        <v>4.6782491721876182E-5</v>
      </c>
      <c r="AE306" s="304">
        <f t="shared" si="112"/>
        <v>0.6</v>
      </c>
      <c r="AF306" s="177">
        <f t="shared" si="113"/>
        <v>0.49698874111667374</v>
      </c>
      <c r="AG306" s="799">
        <f t="shared" si="119"/>
        <v>0</v>
      </c>
      <c r="AH306" s="176">
        <f t="shared" si="114"/>
        <v>6</v>
      </c>
      <c r="AI306" s="224">
        <f t="shared" si="115"/>
        <v>0.49698874111667374</v>
      </c>
      <c r="AJ306" s="264" t="b">
        <f t="shared" si="116"/>
        <v>0</v>
      </c>
      <c r="AK306" s="264" t="b">
        <f t="shared" si="117"/>
        <v>0</v>
      </c>
      <c r="AL306" s="264"/>
      <c r="AM306" s="264"/>
      <c r="AN306" s="75"/>
    </row>
    <row r="307" spans="1:40" s="6" customFormat="1" ht="11.25" x14ac:dyDescent="0.2">
      <c r="A307" s="56">
        <f t="shared" si="118"/>
        <v>44854</v>
      </c>
      <c r="B307" s="607">
        <v>7.2880000000000003</v>
      </c>
      <c r="C307" s="388"/>
      <c r="D307" s="391">
        <f t="shared" si="98"/>
        <v>7.4801673859748812</v>
      </c>
      <c r="E307" s="383">
        <f t="shared" si="120"/>
        <v>7.6551176035424886</v>
      </c>
      <c r="F307" s="383">
        <f t="shared" si="99"/>
        <v>7.6551176035424886</v>
      </c>
      <c r="G307" s="110">
        <f t="shared" si="121"/>
        <v>0.1839973735194364</v>
      </c>
      <c r="H307" s="412" t="b">
        <f>Wh_hp&gt;='2021'!Maxi_hp</f>
        <v>0</v>
      </c>
      <c r="I307" s="379">
        <f>IF(H307,Wh_hp,'2021'!Maxi_hp)</f>
        <v>35.276334723455363</v>
      </c>
      <c r="J307" s="85">
        <f>IF(H307,An,'2021'!An_max)</f>
        <v>2020</v>
      </c>
      <c r="K307" s="197">
        <f t="shared" si="100"/>
        <v>44854</v>
      </c>
      <c r="L307" s="147">
        <f>IF(t&lt;Tvie,1-EXP((T0-t)*PertePVj)+'2021'!Pspv,1-EXP((T0-t)*PertePVj)+Pspv)</f>
        <v>2.5690252110559642E-2</v>
      </c>
      <c r="M307" s="832"/>
      <c r="N307" s="832"/>
      <c r="O307" s="48">
        <f>IF(t&lt;Tnet,'2021'!Resal+('2021'!Salim-'2021'!Resal)*(1-EXP(('2021'!Tnet-t)/('2021'!Tau_j))),Resal+(Salim-Resal)*(1-EXP((Tnet-t)/(Tau_j))))*Salcycl</f>
        <v>2.2854020882272005E-2</v>
      </c>
      <c r="P307" s="169">
        <f>(INDEX(Models!$BJ307:$BT307,,T307)*(1-R307)+INDEX(Models!$BJ307:$BT307,,T307+1)*R307-ERP_i)*Q307*Ramure*Pc/MaxiM</f>
        <v>4.7839147049563241E-5</v>
      </c>
      <c r="Q307" s="304">
        <f t="shared" si="101"/>
        <v>0.6</v>
      </c>
      <c r="R307" s="177">
        <f t="shared" si="102"/>
        <v>0.49708050522966712</v>
      </c>
      <c r="S307" s="799">
        <f t="shared" si="103"/>
        <v>0</v>
      </c>
      <c r="T307" s="176">
        <f t="shared" si="104"/>
        <v>6</v>
      </c>
      <c r="U307" s="250">
        <f t="shared" si="105"/>
        <v>0.49708050522966712</v>
      </c>
      <c r="V307" s="382">
        <f t="shared" si="106"/>
        <v>39.607366175400756</v>
      </c>
      <c r="W307" s="400"/>
      <c r="X307" s="157">
        <f t="shared" si="107"/>
        <v>44854</v>
      </c>
      <c r="Y307" s="383">
        <f t="shared" si="108"/>
        <v>6.5873449967682465</v>
      </c>
      <c r="Z307" s="383">
        <f t="shared" si="109"/>
        <v>6.7610377613872998</v>
      </c>
      <c r="AA307" s="384">
        <f t="shared" si="110"/>
        <v>7.6551176035424886</v>
      </c>
      <c r="AB307" s="197">
        <f t="shared" si="111"/>
        <v>44854</v>
      </c>
      <c r="AC307" s="119">
        <f>IF(OR(t&lt;Tnet,NoTnet),'2021'!Resal_s+('2021'!Salim-'2021'!Resal_s)*(1-EXP(('2021'!Tnet_s-t)/'2021'!Tau_j)),Resal_s+(Salim-Resal_s)*(1-EXP((Tnet_s-t)/Tau_j)))*Salcycl</f>
        <v>0.11679504985546452</v>
      </c>
      <c r="AD307" s="230">
        <f>(INDEX(Models!$BJ307:$BT307,,AH307)*(1-AF307)+INDEX(Models!$BJ307:$BT307,,AH307+1)*AF307-ERP_i)*AE307*Ramure*Pc/MaxiM</f>
        <v>4.7839147049563241E-5</v>
      </c>
      <c r="AE307" s="304">
        <f t="shared" si="112"/>
        <v>0.6</v>
      </c>
      <c r="AF307" s="177">
        <f t="shared" si="113"/>
        <v>0.49708050522966712</v>
      </c>
      <c r="AG307" s="799">
        <f t="shared" si="119"/>
        <v>0</v>
      </c>
      <c r="AH307" s="176">
        <f t="shared" si="114"/>
        <v>6</v>
      </c>
      <c r="AI307" s="224">
        <f t="shared" si="115"/>
        <v>0.49708050522966712</v>
      </c>
      <c r="AJ307" s="264" t="b">
        <f t="shared" si="116"/>
        <v>0</v>
      </c>
      <c r="AK307" s="264" t="b">
        <f t="shared" si="117"/>
        <v>0</v>
      </c>
      <c r="AL307" s="264"/>
      <c r="AM307" s="264"/>
      <c r="AN307" s="75"/>
    </row>
    <row r="308" spans="1:40" s="6" customFormat="1" ht="11.25" x14ac:dyDescent="0.2">
      <c r="A308" s="56">
        <f t="shared" si="118"/>
        <v>44855</v>
      </c>
      <c r="B308" s="607">
        <v>18.821999999999999</v>
      </c>
      <c r="C308" s="388"/>
      <c r="D308" s="391">
        <f t="shared" si="98"/>
        <v>19.318662024086731</v>
      </c>
      <c r="E308" s="383">
        <f t="shared" si="120"/>
        <v>19.771685574521474</v>
      </c>
      <c r="F308" s="383">
        <f t="shared" si="99"/>
        <v>19.771933425437503</v>
      </c>
      <c r="G308" s="110">
        <f t="shared" si="121"/>
        <v>0.47938011045046697</v>
      </c>
      <c r="H308" s="412" t="b">
        <f>Wh_hp&gt;='2021'!Maxi_hp</f>
        <v>0</v>
      </c>
      <c r="I308" s="379">
        <f>IF(H308,Wh_hp,'2021'!Maxi_hp)</f>
        <v>23.212774519208907</v>
      </c>
      <c r="J308" s="85">
        <f>IF(H308,An,'2021'!An_max)</f>
        <v>2018</v>
      </c>
      <c r="K308" s="197">
        <f t="shared" si="100"/>
        <v>44855</v>
      </c>
      <c r="L308" s="147">
        <f>IF(t&lt;Tvie,1-EXP((T0-t)*PertePVj)+'2021'!Pspv,1-EXP((T0-t)*PertePVj)+Pspv)</f>
        <v>2.5708924534602162E-2</v>
      </c>
      <c r="M308" s="832"/>
      <c r="N308" s="832"/>
      <c r="O308" s="48">
        <f>IF(t&lt;Tnet,'2021'!Resal+('2021'!Salim-'2021'!Resal)*(1-EXP(('2021'!Tnet-t)/('2021'!Tau_j))),Resal+(Salim-Resal)*(1-EXP((Tnet-t)/(Tau_j))))*Salcycl</f>
        <v>2.2912743009555397E-2</v>
      </c>
      <c r="P308" s="169">
        <f>(INDEX(Models!$BJ308:$BT308,,T308)*(1-R308)+INDEX(Models!$BJ308:$BT308,,T308+1)*R308-ERP_i)*Q308*Ramure*Pc/MaxiM</f>
        <v>4.8912844702130436E-5</v>
      </c>
      <c r="Q308" s="304">
        <f t="shared" si="101"/>
        <v>0.6</v>
      </c>
      <c r="R308" s="177">
        <f t="shared" si="102"/>
        <v>0.49716860642495242</v>
      </c>
      <c r="S308" s="799">
        <f t="shared" si="103"/>
        <v>0</v>
      </c>
      <c r="T308" s="176">
        <f t="shared" si="104"/>
        <v>6</v>
      </c>
      <c r="U308" s="250">
        <f t="shared" si="105"/>
        <v>0.49716860642495242</v>
      </c>
      <c r="V308" s="382">
        <f t="shared" si="106"/>
        <v>39.261777630283483</v>
      </c>
      <c r="W308" s="400"/>
      <c r="X308" s="157">
        <f t="shared" si="107"/>
        <v>44855</v>
      </c>
      <c r="Y308" s="383">
        <f t="shared" si="108"/>
        <v>17.015179419693911</v>
      </c>
      <c r="Z308" s="383">
        <f t="shared" si="109"/>
        <v>17.464164301788486</v>
      </c>
      <c r="AA308" s="384">
        <f t="shared" si="110"/>
        <v>19.771685574521474</v>
      </c>
      <c r="AB308" s="197">
        <f t="shared" si="111"/>
        <v>44855</v>
      </c>
      <c r="AC308" s="119">
        <f>IF(OR(t&lt;Tnet,NoTnet),'2021'!Resal_s+('2021'!Salim-'2021'!Resal_s)*(1-EXP(('2021'!Tnet_s-t)/'2021'!Tau_j)),Resal_s+(Salim-Resal_s)*(1-EXP((Tnet_s-t)/Tau_j)))*Salcycl</f>
        <v>0.11670837390346456</v>
      </c>
      <c r="AD308" s="230">
        <f>(INDEX(Models!$BJ308:$BT308,,AH308)*(1-AF308)+INDEX(Models!$BJ308:$BT308,,AH308+1)*AF308-ERP_i)*AE308*Ramure*Pc/MaxiM</f>
        <v>4.8912844702130436E-5</v>
      </c>
      <c r="AE308" s="304">
        <f t="shared" si="112"/>
        <v>0.6</v>
      </c>
      <c r="AF308" s="177">
        <f t="shared" si="113"/>
        <v>0.49716860642495242</v>
      </c>
      <c r="AG308" s="799">
        <f t="shared" si="119"/>
        <v>0</v>
      </c>
      <c r="AH308" s="176">
        <f t="shared" si="114"/>
        <v>6</v>
      </c>
      <c r="AI308" s="224">
        <f t="shared" si="115"/>
        <v>0.49716860642495242</v>
      </c>
      <c r="AJ308" s="264" t="b">
        <f t="shared" si="116"/>
        <v>0</v>
      </c>
      <c r="AK308" s="264" t="b">
        <f t="shared" si="117"/>
        <v>0</v>
      </c>
      <c r="AL308" s="264"/>
      <c r="AM308" s="264"/>
      <c r="AN308" s="75"/>
    </row>
    <row r="309" spans="1:40" s="6" customFormat="1" ht="11.25" x14ac:dyDescent="0.2">
      <c r="A309" s="56">
        <f t="shared" si="118"/>
        <v>44856</v>
      </c>
      <c r="B309" s="607">
        <v>36.683999999999997</v>
      </c>
      <c r="C309" s="388"/>
      <c r="D309" s="391">
        <f t="shared" si="98"/>
        <v>37.652713832405176</v>
      </c>
      <c r="E309" s="383">
        <f t="shared" si="120"/>
        <v>38.537972525935309</v>
      </c>
      <c r="F309" s="383">
        <f t="shared" si="99"/>
        <v>38.539741779187835</v>
      </c>
      <c r="G309" s="110">
        <f t="shared" si="121"/>
        <v>0.94266866796907023</v>
      </c>
      <c r="H309" s="412" t="b">
        <f>Wh_hp&gt;='2021'!Maxi_hp</f>
        <v>1</v>
      </c>
      <c r="I309" s="379">
        <f>IF(H309,Wh_hp,'2021'!Maxi_hp)</f>
        <v>38.539741779187835</v>
      </c>
      <c r="J309" s="85">
        <f>IF(H309,An,'2021'!An_max)</f>
        <v>2022</v>
      </c>
      <c r="K309" s="197">
        <f t="shared" si="100"/>
        <v>44856</v>
      </c>
      <c r="L309" s="147">
        <f>IF(t&lt;Tvie,1-EXP((T0-t)*PertePVj)+'2021'!Pspv,1-EXP((T0-t)*PertePVj)+Pspv)</f>
        <v>2.5727596600791935E-2</v>
      </c>
      <c r="M309" s="832"/>
      <c r="N309" s="832"/>
      <c r="O309" s="48">
        <f>IF(t&lt;Tnet,'2021'!Resal+('2021'!Salim-'2021'!Resal)*(1-EXP(('2021'!Tnet-t)/('2021'!Tau_j))),Resal+(Salim-Resal)*(1-EXP((Tnet-t)/(Tau_j))))*Salcycl</f>
        <v>2.2971075941641043E-2</v>
      </c>
      <c r="P309" s="169">
        <f>(INDEX(Models!$BJ309:$BT309,,T309)*(1-R309)+INDEX(Models!$BJ309:$BT309,,T309+1)*R309-ERP_i)*Q309*Ramure*Pc/MaxiM</f>
        <v>5.0002245282203558E-5</v>
      </c>
      <c r="Q309" s="304">
        <f t="shared" si="101"/>
        <v>0.6</v>
      </c>
      <c r="R309" s="177">
        <f t="shared" si="102"/>
        <v>0.49725318969079835</v>
      </c>
      <c r="S309" s="799">
        <f t="shared" si="103"/>
        <v>0</v>
      </c>
      <c r="T309" s="176">
        <f t="shared" si="104"/>
        <v>6</v>
      </c>
      <c r="U309" s="250">
        <f t="shared" si="105"/>
        <v>0.49725318969079835</v>
      </c>
      <c r="V309" s="382">
        <f t="shared" si="106"/>
        <v>38.914892388474627</v>
      </c>
      <c r="W309" s="400"/>
      <c r="X309" s="157">
        <f t="shared" si="107"/>
        <v>44856</v>
      </c>
      <c r="Y309" s="383">
        <f t="shared" si="108"/>
        <v>33.167791174255306</v>
      </c>
      <c r="Z309" s="383">
        <f t="shared" si="109"/>
        <v>34.043652533453525</v>
      </c>
      <c r="AA309" s="384">
        <f t="shared" si="110"/>
        <v>38.537972525935309</v>
      </c>
      <c r="AB309" s="197">
        <f t="shared" si="111"/>
        <v>44856</v>
      </c>
      <c r="AC309" s="119">
        <f>IF(OR(t&lt;Tnet,NoTnet),'2021'!Resal_s+('2021'!Salim-'2021'!Resal_s)*(1-EXP(('2021'!Tnet_s-t)/'2021'!Tau_j)),Resal_s+(Salim-Resal_s)*(1-EXP((Tnet_s-t)/Tau_j)))*Salcycl</f>
        <v>0.11662056143345877</v>
      </c>
      <c r="AD309" s="230">
        <f>(INDEX(Models!$BJ309:$BT309,,AH309)*(1-AF309)+INDEX(Models!$BJ309:$BT309,,AH309+1)*AF309-ERP_i)*AE309*Ramure*Pc/MaxiM</f>
        <v>5.0002245282203558E-5</v>
      </c>
      <c r="AE309" s="304">
        <f t="shared" si="112"/>
        <v>0.6</v>
      </c>
      <c r="AF309" s="177">
        <f t="shared" si="113"/>
        <v>0.49725318969079835</v>
      </c>
      <c r="AG309" s="799">
        <f t="shared" si="119"/>
        <v>0</v>
      </c>
      <c r="AH309" s="176">
        <f t="shared" si="114"/>
        <v>6</v>
      </c>
      <c r="AI309" s="224">
        <f t="shared" si="115"/>
        <v>0.49725318969079835</v>
      </c>
      <c r="AJ309" s="264" t="b">
        <f t="shared" si="116"/>
        <v>0</v>
      </c>
      <c r="AK309" s="264" t="b">
        <f t="shared" si="117"/>
        <v>0</v>
      </c>
      <c r="AL309" s="264"/>
      <c r="AM309" s="264"/>
      <c r="AN309" s="75"/>
    </row>
    <row r="310" spans="1:40" s="6" customFormat="1" ht="11.25" x14ac:dyDescent="0.2">
      <c r="A310" s="56">
        <f t="shared" si="118"/>
        <v>44857</v>
      </c>
      <c r="B310" s="607">
        <v>17.834</v>
      </c>
      <c r="C310" s="388"/>
      <c r="D310" s="391">
        <f t="shared" si="98"/>
        <v>18.305292984660408</v>
      </c>
      <c r="E310" s="383">
        <f t="shared" si="120"/>
        <v>18.736782984702213</v>
      </c>
      <c r="F310" s="383">
        <f t="shared" si="99"/>
        <v>18.737005071688571</v>
      </c>
      <c r="G310" s="110">
        <f t="shared" si="121"/>
        <v>0.46238786459545567</v>
      </c>
      <c r="H310" s="412" t="b">
        <f>Wh_hp&gt;='2021'!Maxi_hp</f>
        <v>0</v>
      </c>
      <c r="I310" s="379">
        <f>IF(H310,Wh_hp,'2021'!Maxi_hp)</f>
        <v>37.731513799556055</v>
      </c>
      <c r="J310" s="85">
        <f>IF(H310,An,'2021'!An_max)</f>
        <v>2021</v>
      </c>
      <c r="K310" s="197">
        <f t="shared" si="100"/>
        <v>44857</v>
      </c>
      <c r="L310" s="147">
        <f>IF(t&lt;Tvie,1-EXP((T0-t)*PertePVj)+'2021'!Pspv,1-EXP((T0-t)*PertePVj)+Pspv)</f>
        <v>2.5746268309135845E-2</v>
      </c>
      <c r="M310" s="832"/>
      <c r="N310" s="832"/>
      <c r="O310" s="48">
        <f>IF(t&lt;Tnet,'2021'!Resal+('2021'!Salim-'2021'!Resal)*(1-EXP(('2021'!Tnet-t)/('2021'!Tau_j))),Resal+(Salim-Resal)*(1-EXP((Tnet-t)/(Tau_j))))*Salcycl</f>
        <v>2.3029033340146922E-2</v>
      </c>
      <c r="P310" s="169">
        <f>(INDEX(Models!$BJ310:$BT310,,T310)*(1-R310)+INDEX(Models!$BJ310:$BT310,,T310+1)*R310-ERP_i)*Q310*Ramure*Pc/MaxiM</f>
        <v>5.1087998317581211E-5</v>
      </c>
      <c r="Q310" s="304">
        <f t="shared" si="101"/>
        <v>0.6</v>
      </c>
      <c r="R310" s="177">
        <f t="shared" si="102"/>
        <v>0.49733439437262011</v>
      </c>
      <c r="S310" s="799">
        <f t="shared" si="103"/>
        <v>0</v>
      </c>
      <c r="T310" s="176">
        <f t="shared" si="104"/>
        <v>6</v>
      </c>
      <c r="U310" s="250">
        <f t="shared" si="105"/>
        <v>0.49733439437262011</v>
      </c>
      <c r="V310" s="382">
        <f t="shared" si="106"/>
        <v>38.56783803732754</v>
      </c>
      <c r="W310" s="400"/>
      <c r="X310" s="157">
        <f t="shared" si="107"/>
        <v>44857</v>
      </c>
      <c r="Y310" s="383">
        <f t="shared" si="108"/>
        <v>16.12716686781814</v>
      </c>
      <c r="Z310" s="383">
        <f t="shared" si="109"/>
        <v>16.553353960296018</v>
      </c>
      <c r="AA310" s="384">
        <f t="shared" si="110"/>
        <v>18.736782984702213</v>
      </c>
      <c r="AB310" s="197">
        <f t="shared" si="111"/>
        <v>44857</v>
      </c>
      <c r="AC310" s="119">
        <f>IF(OR(t&lt;Tnet,NoTnet),'2021'!Resal_s+('2021'!Salim-'2021'!Resal_s)*(1-EXP(('2021'!Tnet_s-t)/'2021'!Tau_j)),Resal_s+(Salim-Resal_s)*(1-EXP((Tnet_s-t)/Tau_j)))*Salcycl</f>
        <v>0.11653169202999647</v>
      </c>
      <c r="AD310" s="230">
        <f>(INDEX(Models!$BJ310:$BT310,,AH310)*(1-AF310)+INDEX(Models!$BJ310:$BT310,,AH310+1)*AF310-ERP_i)*AE310*Ramure*Pc/MaxiM</f>
        <v>5.1087998317581211E-5</v>
      </c>
      <c r="AE310" s="304">
        <f t="shared" si="112"/>
        <v>0.6</v>
      </c>
      <c r="AF310" s="177">
        <f t="shared" si="113"/>
        <v>0.49733439437262011</v>
      </c>
      <c r="AG310" s="799">
        <f t="shared" si="119"/>
        <v>0</v>
      </c>
      <c r="AH310" s="176">
        <f t="shared" si="114"/>
        <v>6</v>
      </c>
      <c r="AI310" s="224">
        <f t="shared" si="115"/>
        <v>0.49733439437262011</v>
      </c>
      <c r="AJ310" s="264" t="b">
        <f t="shared" si="116"/>
        <v>0</v>
      </c>
      <c r="AK310" s="264" t="b">
        <f t="shared" si="117"/>
        <v>0</v>
      </c>
      <c r="AL310" s="264"/>
      <c r="AM310" s="264"/>
      <c r="AN310" s="75"/>
    </row>
    <row r="311" spans="1:40" s="6" customFormat="1" ht="11.25" x14ac:dyDescent="0.2">
      <c r="A311" s="56">
        <f t="shared" si="118"/>
        <v>44858</v>
      </c>
      <c r="B311" s="607">
        <v>30.288</v>
      </c>
      <c r="C311" s="388"/>
      <c r="D311" s="391">
        <f t="shared" si="98"/>
        <v>31.089006373285894</v>
      </c>
      <c r="E311" s="383">
        <f t="shared" si="120"/>
        <v>31.823708562305985</v>
      </c>
      <c r="F311" s="383">
        <f t="shared" si="99"/>
        <v>31.824874769303964</v>
      </c>
      <c r="G311" s="110">
        <f t="shared" si="121"/>
        <v>0.79241627790545022</v>
      </c>
      <c r="H311" s="412" t="b">
        <f>Wh_hp&gt;='2021'!Maxi_hp</f>
        <v>0</v>
      </c>
      <c r="I311" s="379">
        <f>IF(H311,Wh_hp,'2021'!Maxi_hp)</f>
        <v>41.981963629803325</v>
      </c>
      <c r="J311" s="85">
        <f>IF(H311,An,'2021'!An_max)</f>
        <v>2021</v>
      </c>
      <c r="K311" s="197">
        <f t="shared" si="100"/>
        <v>44858</v>
      </c>
      <c r="L311" s="147">
        <f>IF(t&lt;Tvie,1-EXP((T0-t)*PertePVj)+'2021'!Pspv,1-EXP((T0-t)*PertePVj)+Pspv)</f>
        <v>2.5764939659640662E-2</v>
      </c>
      <c r="M311" s="832"/>
      <c r="N311" s="832"/>
      <c r="O311" s="48">
        <f>IF(t&lt;Tnet,'2021'!Resal+('2021'!Salim-'2021'!Resal)*(1-EXP(('2021'!Tnet-t)/('2021'!Tau_j))),Resal+(Salim-Resal)*(1-EXP((Tnet-t)/(Tau_j))))*Salcycl</f>
        <v>2.3086630132426414E-2</v>
      </c>
      <c r="P311" s="169">
        <f>(INDEX(Models!$BJ311:$BT311,,T311)*(1-R311)+INDEX(Models!$BJ311:$BT311,,T311+1)*R311-ERP_i)*Q311*Ramure*Pc/MaxiM</f>
        <v>5.2091130516069177E-5</v>
      </c>
      <c r="Q311" s="304">
        <f t="shared" si="101"/>
        <v>0.6</v>
      </c>
      <c r="R311" s="177">
        <f t="shared" si="102"/>
        <v>0.4974123543850128</v>
      </c>
      <c r="S311" s="799">
        <f t="shared" si="103"/>
        <v>0</v>
      </c>
      <c r="T311" s="176">
        <f t="shared" si="104"/>
        <v>6</v>
      </c>
      <c r="U311" s="250">
        <f t="shared" si="105"/>
        <v>0.4974123543850128</v>
      </c>
      <c r="V311" s="382">
        <f t="shared" si="106"/>
        <v>38.221744025405471</v>
      </c>
      <c r="W311" s="400"/>
      <c r="X311" s="157">
        <f t="shared" si="107"/>
        <v>44858</v>
      </c>
      <c r="Y311" s="383">
        <f t="shared" si="108"/>
        <v>27.393635970437476</v>
      </c>
      <c r="Z311" s="383">
        <f t="shared" si="109"/>
        <v>28.118097044123232</v>
      </c>
      <c r="AA311" s="384">
        <f t="shared" si="110"/>
        <v>31.823708562305985</v>
      </c>
      <c r="AB311" s="197">
        <f t="shared" si="111"/>
        <v>44858</v>
      </c>
      <c r="AC311" s="119">
        <f>IF(OR(t&lt;Tnet,NoTnet),'2021'!Resal_s+('2021'!Salim-'2021'!Resal_s)*(1-EXP(('2021'!Tnet_s-t)/'2021'!Tau_j)),Resal_s+(Salim-Resal_s)*(1-EXP((Tnet_s-t)/Tau_j)))*Salcycl</f>
        <v>0.11644185060731459</v>
      </c>
      <c r="AD311" s="230">
        <f>(INDEX(Models!$BJ311:$BT311,,AH311)*(1-AF311)+INDEX(Models!$BJ311:$BT311,,AH311+1)*AF311-ERP_i)*AE311*Ramure*Pc/MaxiM</f>
        <v>5.2091130516069177E-5</v>
      </c>
      <c r="AE311" s="304">
        <f t="shared" si="112"/>
        <v>0.6</v>
      </c>
      <c r="AF311" s="177">
        <f t="shared" si="113"/>
        <v>0.4974123543850128</v>
      </c>
      <c r="AG311" s="799">
        <f t="shared" si="119"/>
        <v>0</v>
      </c>
      <c r="AH311" s="176">
        <f t="shared" si="114"/>
        <v>6</v>
      </c>
      <c r="AI311" s="224">
        <f t="shared" si="115"/>
        <v>0.4974123543850128</v>
      </c>
      <c r="AJ311" s="264" t="b">
        <f t="shared" si="116"/>
        <v>0</v>
      </c>
      <c r="AK311" s="264" t="b">
        <f t="shared" si="117"/>
        <v>0</v>
      </c>
      <c r="AL311" s="264"/>
      <c r="AM311" s="264"/>
      <c r="AN311" s="75"/>
    </row>
    <row r="312" spans="1:40" s="6" customFormat="1" ht="11.25" x14ac:dyDescent="0.2">
      <c r="A312" s="56">
        <f t="shared" si="118"/>
        <v>44859</v>
      </c>
      <c r="B312" s="607">
        <v>24.652000000000001</v>
      </c>
      <c r="C312" s="388"/>
      <c r="D312" s="391">
        <f t="shared" si="98"/>
        <v>25.30443982420212</v>
      </c>
      <c r="E312" s="383">
        <f t="shared" si="120"/>
        <v>25.903957983498675</v>
      </c>
      <c r="F312" s="383">
        <f t="shared" si="99"/>
        <v>25.904646219326629</v>
      </c>
      <c r="G312" s="110">
        <f t="shared" si="121"/>
        <v>0.6508136570485904</v>
      </c>
      <c r="H312" s="412" t="b">
        <f>Wh_hp&gt;='2021'!Maxi_hp</f>
        <v>0</v>
      </c>
      <c r="I312" s="379">
        <f>IF(H312,Wh_hp,'2021'!Maxi_hp)</f>
        <v>38.701357747255933</v>
      </c>
      <c r="J312" s="85">
        <f>IF(H312,An,'2021'!An_max)</f>
        <v>2021</v>
      </c>
      <c r="K312" s="197">
        <f t="shared" si="100"/>
        <v>44859</v>
      </c>
      <c r="L312" s="147">
        <f>IF(t&lt;Tvie,1-EXP((T0-t)*PertePVj)+'2021'!Pspv,1-EXP((T0-t)*PertePVj)+Pspv)</f>
        <v>2.5783610652313382E-2</v>
      </c>
      <c r="M312" s="832"/>
      <c r="N312" s="832"/>
      <c r="O312" s="48">
        <f>IF(t&lt;Tnet,'2021'!Resal+('2021'!Salim-'2021'!Resal)*(1-EXP(('2021'!Tnet-t)/('2021'!Tau_j))),Resal+(Salim-Resal)*(1-EXP((Tnet-t)/(Tau_j))))*Salcycl</f>
        <v>2.3143882478440594E-2</v>
      </c>
      <c r="P312" s="169">
        <f>(INDEX(Models!$BJ312:$BT312,,T312)*(1-R312)+INDEX(Models!$BJ312:$BT312,,T312+1)*R312-ERP_i)*Q312*Ramure*Pc/MaxiM</f>
        <v>5.3010250336773659E-5</v>
      </c>
      <c r="Q312" s="304">
        <f t="shared" si="101"/>
        <v>0.6</v>
      </c>
      <c r="R312" s="177">
        <f t="shared" si="102"/>
        <v>0.49748719841642103</v>
      </c>
      <c r="S312" s="799">
        <f t="shared" si="103"/>
        <v>0</v>
      </c>
      <c r="T312" s="176">
        <f t="shared" si="104"/>
        <v>6</v>
      </c>
      <c r="U312" s="250">
        <f t="shared" si="105"/>
        <v>0.49748719841642103</v>
      </c>
      <c r="V312" s="382">
        <f t="shared" si="106"/>
        <v>37.877736372724996</v>
      </c>
      <c r="W312" s="400"/>
      <c r="X312" s="157">
        <f t="shared" si="107"/>
        <v>44859</v>
      </c>
      <c r="Y312" s="383">
        <f t="shared" si="108"/>
        <v>22.299816342011638</v>
      </c>
      <c r="Z312" s="383">
        <f t="shared" si="109"/>
        <v>22.890003274265478</v>
      </c>
      <c r="AA312" s="384">
        <f t="shared" si="110"/>
        <v>25.903957983498675</v>
      </c>
      <c r="AB312" s="197">
        <f t="shared" si="111"/>
        <v>44859</v>
      </c>
      <c r="AC312" s="119">
        <f>IF(OR(t&lt;Tnet,NoTnet),'2021'!Resal_s+('2021'!Salim-'2021'!Resal_s)*(1-EXP(('2021'!Tnet_s-t)/'2021'!Tau_j)),Resal_s+(Salim-Resal_s)*(1-EXP((Tnet_s-t)/Tau_j)))*Salcycl</f>
        <v>0.11635112715798661</v>
      </c>
      <c r="AD312" s="230">
        <f>(INDEX(Models!$BJ312:$BT312,,AH312)*(1-AF312)+INDEX(Models!$BJ312:$BT312,,AH312+1)*AF312-ERP_i)*AE312*Ramure*Pc/MaxiM</f>
        <v>5.3010250336773659E-5</v>
      </c>
      <c r="AE312" s="304">
        <f t="shared" si="112"/>
        <v>0.6</v>
      </c>
      <c r="AF312" s="177">
        <f t="shared" si="113"/>
        <v>0.49748719841642103</v>
      </c>
      <c r="AG312" s="799">
        <f t="shared" si="119"/>
        <v>0</v>
      </c>
      <c r="AH312" s="176">
        <f t="shared" si="114"/>
        <v>6</v>
      </c>
      <c r="AI312" s="224">
        <f t="shared" si="115"/>
        <v>0.49748719841642103</v>
      </c>
      <c r="AJ312" s="264" t="b">
        <f t="shared" si="116"/>
        <v>0</v>
      </c>
      <c r="AK312" s="264" t="b">
        <f t="shared" si="117"/>
        <v>0</v>
      </c>
      <c r="AL312" s="264"/>
      <c r="AM312" s="264"/>
      <c r="AN312" s="75"/>
    </row>
    <row r="313" spans="1:40" s="6" customFormat="1" ht="11.25" x14ac:dyDescent="0.2">
      <c r="A313" s="56">
        <f t="shared" si="118"/>
        <v>44860</v>
      </c>
      <c r="B313" s="607">
        <v>13.611000000000001</v>
      </c>
      <c r="C313" s="388"/>
      <c r="D313" s="391">
        <f t="shared" si="98"/>
        <v>13.971496482237264</v>
      </c>
      <c r="E313" s="383">
        <f t="shared" si="120"/>
        <v>14.303345654655908</v>
      </c>
      <c r="F313" s="383">
        <f t="shared" si="99"/>
        <v>14.303414530806471</v>
      </c>
      <c r="G313" s="110">
        <f t="shared" si="121"/>
        <v>0.36258502710303447</v>
      </c>
      <c r="H313" s="412" t="b">
        <f>Wh_hp&gt;='2021'!Maxi_hp</f>
        <v>0</v>
      </c>
      <c r="I313" s="379">
        <f>IF(H313,Wh_hp,'2021'!Maxi_hp)</f>
        <v>38.488384875395617</v>
      </c>
      <c r="J313" s="85">
        <f>IF(H313,An,'2021'!An_max)</f>
        <v>2018</v>
      </c>
      <c r="K313" s="197">
        <f t="shared" si="100"/>
        <v>44860</v>
      </c>
      <c r="L313" s="147">
        <f>IF(t&lt;Tvie,1-EXP((T0-t)*PertePVj)+'2021'!Pspv,1-EXP((T0-t)*PertePVj)+Pspv)</f>
        <v>2.5802281287160778E-2</v>
      </c>
      <c r="M313" s="832"/>
      <c r="N313" s="832"/>
      <c r="O313" s="48">
        <f>IF(t&lt;Tnet,'2021'!Resal+('2021'!Salim-'2021'!Resal)*(1-EXP(('2021'!Tnet-t)/('2021'!Tau_j))),Resal+(Salim-Resal)*(1-EXP((Tnet-t)/(Tau_j))))*Salcycl</f>
        <v>2.320080772924784E-2</v>
      </c>
      <c r="P313" s="169">
        <f>(INDEX(Models!$BJ313:$BT313,,T313)*(1-R313)+INDEX(Models!$BJ313:$BT313,,T313+1)*R313-ERP_i)*Q313*Ramure*Pc/MaxiM</f>
        <v>5.3843513208682947E-5</v>
      </c>
      <c r="Q313" s="304">
        <f t="shared" si="101"/>
        <v>0.6</v>
      </c>
      <c r="R313" s="177">
        <f t="shared" si="102"/>
        <v>0.49755905012665053</v>
      </c>
      <c r="S313" s="799">
        <f t="shared" si="103"/>
        <v>0</v>
      </c>
      <c r="T313" s="176">
        <f t="shared" si="104"/>
        <v>6</v>
      </c>
      <c r="U313" s="250">
        <f t="shared" si="105"/>
        <v>0.49755905012665053</v>
      </c>
      <c r="V313" s="382">
        <f t="shared" si="106"/>
        <v>37.536940737442833</v>
      </c>
      <c r="W313" s="400"/>
      <c r="X313" s="157">
        <f t="shared" si="107"/>
        <v>44860</v>
      </c>
      <c r="Y313" s="383">
        <f t="shared" si="108"/>
        <v>12.31429187849472</v>
      </c>
      <c r="Z313" s="383">
        <f t="shared" si="109"/>
        <v>12.640444174684584</v>
      </c>
      <c r="AA313" s="384">
        <f t="shared" si="110"/>
        <v>14.303345654655908</v>
      </c>
      <c r="AB313" s="197">
        <f t="shared" si="111"/>
        <v>44860</v>
      </c>
      <c r="AC313" s="119">
        <f>IF(OR(t&lt;Tnet,NoTnet),'2021'!Resal_s+('2021'!Salim-'2021'!Resal_s)*(1-EXP(('2021'!Tnet_s-t)/'2021'!Tau_j)),Resal_s+(Salim-Resal_s)*(1-EXP((Tnet_s-t)/Tau_j)))*Salcycl</f>
        <v>0.11625961646462976</v>
      </c>
      <c r="AD313" s="230">
        <f>(INDEX(Models!$BJ313:$BT313,,AH313)*(1-AF313)+INDEX(Models!$BJ313:$BT313,,AH313+1)*AF313-ERP_i)*AE313*Ramure*Pc/MaxiM</f>
        <v>5.3843513208682947E-5</v>
      </c>
      <c r="AE313" s="304">
        <f t="shared" si="112"/>
        <v>0.6</v>
      </c>
      <c r="AF313" s="177">
        <f t="shared" si="113"/>
        <v>0.49755905012665053</v>
      </c>
      <c r="AG313" s="799">
        <f t="shared" si="119"/>
        <v>0</v>
      </c>
      <c r="AH313" s="176">
        <f t="shared" si="114"/>
        <v>6</v>
      </c>
      <c r="AI313" s="224">
        <f t="shared" si="115"/>
        <v>0.49755905012665053</v>
      </c>
      <c r="AJ313" s="264" t="b">
        <f t="shared" si="116"/>
        <v>0</v>
      </c>
      <c r="AK313" s="264" t="b">
        <f t="shared" si="117"/>
        <v>0</v>
      </c>
      <c r="AL313" s="264"/>
      <c r="AM313" s="264"/>
      <c r="AN313" s="75"/>
    </row>
    <row r="314" spans="1:40" s="6" customFormat="1" ht="11.25" x14ac:dyDescent="0.2">
      <c r="A314" s="56">
        <f t="shared" si="118"/>
        <v>44861</v>
      </c>
      <c r="B314" s="607">
        <v>17.559000000000001</v>
      </c>
      <c r="C314" s="388"/>
      <c r="D314" s="391">
        <f t="shared" si="98"/>
        <v>18.024407349135245</v>
      </c>
      <c r="E314" s="383">
        <f t="shared" si="120"/>
        <v>18.453590330740575</v>
      </c>
      <c r="F314" s="383">
        <f t="shared" si="99"/>
        <v>18.453837872197962</v>
      </c>
      <c r="G314" s="110">
        <f t="shared" si="121"/>
        <v>0.47199057267954547</v>
      </c>
      <c r="H314" s="412" t="b">
        <f>Wh_hp&gt;='2021'!Maxi_hp</f>
        <v>0</v>
      </c>
      <c r="I314" s="379">
        <f>IF(H314,Wh_hp,'2021'!Maxi_hp)</f>
        <v>29.983519029323368</v>
      </c>
      <c r="J314" s="85">
        <f>IF(H314,An,'2021'!An_max)</f>
        <v>2021</v>
      </c>
      <c r="K314" s="197">
        <f t="shared" si="100"/>
        <v>44861</v>
      </c>
      <c r="L314" s="147">
        <f>IF(t&lt;Tvie,1-EXP((T0-t)*PertePVj)+'2021'!Pspv,1-EXP((T0-t)*PertePVj)+Pspv)</f>
        <v>2.582095156418962E-2</v>
      </c>
      <c r="M314" s="832"/>
      <c r="N314" s="832"/>
      <c r="O314" s="48">
        <f>IF(t&lt;Tnet,'2021'!Resal+('2021'!Salim-'2021'!Resal)*(1-EXP(('2021'!Tnet-t)/('2021'!Tau_j))),Resal+(Salim-Resal)*(1-EXP((Tnet-t)/(Tau_j))))*Salcycl</f>
        <v>2.3257424377216306E-2</v>
      </c>
      <c r="P314" s="169">
        <f>(INDEX(Models!$BJ314:$BT314,,T314)*(1-R314)+INDEX(Models!$BJ314:$BT314,,T314+1)*R314-ERP_i)*Q314*Ramure*Pc/MaxiM</f>
        <v>5.4589053823197074E-5</v>
      </c>
      <c r="Q314" s="304">
        <f t="shared" si="101"/>
        <v>0.6</v>
      </c>
      <c r="R314" s="177">
        <f t="shared" si="102"/>
        <v>0.49762802833742781</v>
      </c>
      <c r="S314" s="799">
        <f t="shared" si="103"/>
        <v>0</v>
      </c>
      <c r="T314" s="176">
        <f t="shared" si="104"/>
        <v>6</v>
      </c>
      <c r="U314" s="250">
        <f t="shared" si="105"/>
        <v>0.49762802833742781</v>
      </c>
      <c r="V314" s="382">
        <f t="shared" si="106"/>
        <v>37.200482415244082</v>
      </c>
      <c r="W314" s="400"/>
      <c r="X314" s="157">
        <f t="shared" si="107"/>
        <v>44861</v>
      </c>
      <c r="Y314" s="383">
        <f t="shared" si="108"/>
        <v>15.888747658384439</v>
      </c>
      <c r="Z314" s="383">
        <f t="shared" si="109"/>
        <v>16.309884393321937</v>
      </c>
      <c r="AA314" s="384">
        <f t="shared" si="110"/>
        <v>18.453590330740575</v>
      </c>
      <c r="AB314" s="197">
        <f t="shared" si="111"/>
        <v>44861</v>
      </c>
      <c r="AC314" s="119">
        <f>IF(OR(t&lt;Tnet,NoTnet),'2021'!Resal_s+('2021'!Salim-'2021'!Resal_s)*(1-EXP(('2021'!Tnet_s-t)/'2021'!Tau_j)),Resal_s+(Salim-Resal_s)*(1-EXP((Tnet_s-t)/Tau_j)))*Salcycl</f>
        <v>0.11616741777601869</v>
      </c>
      <c r="AD314" s="230">
        <f>(INDEX(Models!$BJ314:$BT314,,AH314)*(1-AF314)+INDEX(Models!$BJ314:$BT314,,AH314+1)*AF314-ERP_i)*AE314*Ramure*Pc/MaxiM</f>
        <v>5.4589053823197074E-5</v>
      </c>
      <c r="AE314" s="304">
        <f t="shared" si="112"/>
        <v>0.6</v>
      </c>
      <c r="AF314" s="177">
        <f t="shared" si="113"/>
        <v>0.49762802833742781</v>
      </c>
      <c r="AG314" s="799">
        <f t="shared" si="119"/>
        <v>0</v>
      </c>
      <c r="AH314" s="176">
        <f t="shared" si="114"/>
        <v>6</v>
      </c>
      <c r="AI314" s="224">
        <f t="shared" si="115"/>
        <v>0.49762802833742781</v>
      </c>
      <c r="AJ314" s="264" t="b">
        <f t="shared" si="116"/>
        <v>0</v>
      </c>
      <c r="AK314" s="264" t="b">
        <f t="shared" si="117"/>
        <v>0</v>
      </c>
      <c r="AL314" s="264"/>
      <c r="AM314" s="264"/>
      <c r="AN314" s="75"/>
    </row>
    <row r="315" spans="1:40" s="6" customFormat="1" ht="11.25" x14ac:dyDescent="0.2">
      <c r="A315" s="56">
        <f t="shared" si="118"/>
        <v>44862</v>
      </c>
      <c r="B315" s="607">
        <v>18.304000000000002</v>
      </c>
      <c r="C315" s="388"/>
      <c r="D315" s="391">
        <f t="shared" si="98"/>
        <v>18.789513927750274</v>
      </c>
      <c r="E315" s="383">
        <f t="shared" si="120"/>
        <v>19.238024458919575</v>
      </c>
      <c r="F315" s="383">
        <f t="shared" si="99"/>
        <v>19.238322738021694</v>
      </c>
      <c r="G315" s="110">
        <f t="shared" si="121"/>
        <v>0.49643416262593465</v>
      </c>
      <c r="H315" s="412" t="b">
        <f>Wh_hp&gt;='2021'!Maxi_hp</f>
        <v>0</v>
      </c>
      <c r="I315" s="379">
        <f>IF(H315,Wh_hp,'2021'!Maxi_hp)</f>
        <v>39.257780539476109</v>
      </c>
      <c r="J315" s="85">
        <f>IF(H315,An,'2021'!An_max)</f>
        <v>2021</v>
      </c>
      <c r="K315" s="197">
        <f t="shared" si="100"/>
        <v>44862</v>
      </c>
      <c r="L315" s="147">
        <f>IF(t&lt;Tvie,1-EXP((T0-t)*PertePVj)+'2021'!Pspv,1-EXP((T0-t)*PertePVj)+Pspv)</f>
        <v>2.5839621483407016E-2</v>
      </c>
      <c r="M315" s="832"/>
      <c r="N315" s="832"/>
      <c r="O315" s="48">
        <f>IF(t&lt;Tnet,'2021'!Resal+('2021'!Salim-'2021'!Resal)*(1-EXP(('2021'!Tnet-t)/('2021'!Tau_j))),Resal+(Salim-Resal)*(1-EXP((Tnet-t)/(Tau_j))))*Salcycl</f>
        <v>2.3313751998134759E-2</v>
      </c>
      <c r="P315" s="169">
        <f>(INDEX(Models!$BJ315:$BT315,,T315)*(1-R315)+INDEX(Models!$BJ315:$BT315,,T315+1)*R315-ERP_i)*Q315*Ramure*Pc/MaxiM</f>
        <v>5.5245005762665068E-5</v>
      </c>
      <c r="Q315" s="304">
        <f t="shared" si="101"/>
        <v>0.6</v>
      </c>
      <c r="R315" s="177">
        <f t="shared" si="102"/>
        <v>0.49769424721620992</v>
      </c>
      <c r="S315" s="799">
        <f t="shared" si="103"/>
        <v>0</v>
      </c>
      <c r="T315" s="176">
        <f t="shared" si="104"/>
        <v>6</v>
      </c>
      <c r="U315" s="250">
        <f t="shared" si="105"/>
        <v>0.49769424721620992</v>
      </c>
      <c r="V315" s="382">
        <f t="shared" si="106"/>
        <v>36.86948633890573</v>
      </c>
      <c r="W315" s="400"/>
      <c r="X315" s="157">
        <f t="shared" si="107"/>
        <v>44862</v>
      </c>
      <c r="Y315" s="383">
        <f t="shared" si="108"/>
        <v>16.565575612578645</v>
      </c>
      <c r="Z315" s="383">
        <f t="shared" si="109"/>
        <v>17.004977802324447</v>
      </c>
      <c r="AA315" s="384">
        <f t="shared" si="110"/>
        <v>19.238024458919575</v>
      </c>
      <c r="AB315" s="197">
        <f t="shared" si="111"/>
        <v>44862</v>
      </c>
      <c r="AC315" s="119">
        <f>IF(OR(t&lt;Tnet,NoTnet),'2021'!Resal_s+('2021'!Salim-'2021'!Resal_s)*(1-EXP(('2021'!Tnet_s-t)/'2021'!Tau_j)),Resal_s+(Salim-Resal_s)*(1-EXP((Tnet_s-t)/Tau_j)))*Salcycl</f>
        <v>0.11607463444926598</v>
      </c>
      <c r="AD315" s="230">
        <f>(INDEX(Models!$BJ315:$BT315,,AH315)*(1-AF315)+INDEX(Models!$BJ315:$BT315,,AH315+1)*AF315-ERP_i)*AE315*Ramure*Pc/MaxiM</f>
        <v>5.5245005762665068E-5</v>
      </c>
      <c r="AE315" s="304">
        <f t="shared" si="112"/>
        <v>0.6</v>
      </c>
      <c r="AF315" s="177">
        <f t="shared" si="113"/>
        <v>0.49769424721620992</v>
      </c>
      <c r="AG315" s="799">
        <f t="shared" si="119"/>
        <v>0</v>
      </c>
      <c r="AH315" s="176">
        <f t="shared" si="114"/>
        <v>6</v>
      </c>
      <c r="AI315" s="224">
        <f t="shared" si="115"/>
        <v>0.49769424721620992</v>
      </c>
      <c r="AJ315" s="264" t="b">
        <f t="shared" si="116"/>
        <v>0</v>
      </c>
      <c r="AK315" s="264" t="b">
        <f t="shared" si="117"/>
        <v>0</v>
      </c>
      <c r="AL315" s="264"/>
      <c r="AM315" s="264"/>
      <c r="AN315" s="75"/>
    </row>
    <row r="316" spans="1:40" s="6" customFormat="1" ht="11.25" x14ac:dyDescent="0.2">
      <c r="A316" s="56">
        <f t="shared" si="118"/>
        <v>44863</v>
      </c>
      <c r="B316" s="607">
        <v>30</v>
      </c>
      <c r="C316" s="388"/>
      <c r="D316" s="391">
        <f t="shared" si="98"/>
        <v>30.796340742022654</v>
      </c>
      <c r="E316" s="383">
        <f t="shared" si="120"/>
        <v>31.533267243565646</v>
      </c>
      <c r="F316" s="383">
        <f t="shared" si="99"/>
        <v>31.534576892719645</v>
      </c>
      <c r="G316" s="110">
        <f t="shared" si="121"/>
        <v>0.82089227887132543</v>
      </c>
      <c r="H316" s="412" t="b">
        <f>Wh_hp&gt;='2021'!Maxi_hp</f>
        <v>1</v>
      </c>
      <c r="I316" s="379">
        <f>IF(H316,Wh_hp,'2021'!Maxi_hp)</f>
        <v>31.534576892719645</v>
      </c>
      <c r="J316" s="85">
        <f>IF(H316,An,'2021'!An_max)</f>
        <v>2022</v>
      </c>
      <c r="K316" s="197">
        <f t="shared" si="100"/>
        <v>44863</v>
      </c>
      <c r="L316" s="147">
        <f>IF(t&lt;Tvie,1-EXP((T0-t)*PertePVj)+'2021'!Pspv,1-EXP((T0-t)*PertePVj)+Pspv)</f>
        <v>2.5858291044819515E-2</v>
      </c>
      <c r="M316" s="832"/>
      <c r="N316" s="832"/>
      <c r="O316" s="48">
        <f>IF(t&lt;Tnet,'2021'!Resal+('2021'!Salim-'2021'!Resal)*(1-EXP(('2021'!Tnet-t)/('2021'!Tau_j))),Resal+(Salim-Resal)*(1-EXP((Tnet-t)/(Tau_j))))*Salcycl</f>
        <v>2.3369811185466823E-2</v>
      </c>
      <c r="P316" s="169">
        <f>(INDEX(Models!$BJ316:$BT316,,T316)*(1-R316)+INDEX(Models!$BJ316:$BT316,,T316+1)*R316-ERP_i)*Q316*Ramure*Pc/MaxiM</f>
        <v>5.5809522300507532E-5</v>
      </c>
      <c r="Q316" s="304">
        <f t="shared" si="101"/>
        <v>0.6</v>
      </c>
      <c r="R316" s="177">
        <f t="shared" si="102"/>
        <v>0.49775781645344608</v>
      </c>
      <c r="S316" s="799">
        <f t="shared" si="103"/>
        <v>0</v>
      </c>
      <c r="T316" s="176">
        <f t="shared" si="104"/>
        <v>6</v>
      </c>
      <c r="U316" s="250">
        <f t="shared" si="105"/>
        <v>0.49775781645344608</v>
      </c>
      <c r="V316" s="382">
        <f t="shared" si="106"/>
        <v>36.545077089869231</v>
      </c>
      <c r="W316" s="400"/>
      <c r="X316" s="157">
        <f t="shared" si="107"/>
        <v>44863</v>
      </c>
      <c r="Y316" s="383">
        <f t="shared" si="108"/>
        <v>27.155169988540511</v>
      </c>
      <c r="Z316" s="383">
        <f t="shared" si="109"/>
        <v>27.875995595821365</v>
      </c>
      <c r="AA316" s="384">
        <f t="shared" si="110"/>
        <v>31.533267243565646</v>
      </c>
      <c r="AB316" s="197">
        <f t="shared" si="111"/>
        <v>44863</v>
      </c>
      <c r="AC316" s="119">
        <f>IF(OR(t&lt;Tnet,NoTnet),'2021'!Resal_s+('2021'!Salim-'2021'!Resal_s)*(1-EXP(('2021'!Tnet_s-t)/'2021'!Tau_j)),Resal_s+(Salim-Resal_s)*(1-EXP((Tnet_s-t)/Tau_j)))*Salcycl</f>
        <v>0.11598137356003109</v>
      </c>
      <c r="AD316" s="230">
        <f>(INDEX(Models!$BJ316:$BT316,,AH316)*(1-AF316)+INDEX(Models!$BJ316:$BT316,,AH316+1)*AF316-ERP_i)*AE316*Ramure*Pc/MaxiM</f>
        <v>5.5809522300507532E-5</v>
      </c>
      <c r="AE316" s="304">
        <f t="shared" si="112"/>
        <v>0.6</v>
      </c>
      <c r="AF316" s="177">
        <f t="shared" si="113"/>
        <v>0.49775781645344608</v>
      </c>
      <c r="AG316" s="799">
        <f t="shared" si="119"/>
        <v>0</v>
      </c>
      <c r="AH316" s="176">
        <f t="shared" si="114"/>
        <v>6</v>
      </c>
      <c r="AI316" s="224">
        <f t="shared" si="115"/>
        <v>0.49775781645344608</v>
      </c>
      <c r="AJ316" s="264" t="b">
        <f t="shared" si="116"/>
        <v>0</v>
      </c>
      <c r="AK316" s="264" t="b">
        <f t="shared" si="117"/>
        <v>0</v>
      </c>
      <c r="AL316" s="264"/>
      <c r="AM316" s="264"/>
      <c r="AN316" s="75"/>
    </row>
    <row r="317" spans="1:40" s="6" customFormat="1" ht="11.25" x14ac:dyDescent="0.2">
      <c r="A317" s="56">
        <f t="shared" si="118"/>
        <v>44864</v>
      </c>
      <c r="B317" s="607">
        <v>27.535</v>
      </c>
      <c r="C317" s="388"/>
      <c r="D317" s="391">
        <f t="shared" si="98"/>
        <v>28.266449797781554</v>
      </c>
      <c r="E317" s="383">
        <f t="shared" si="120"/>
        <v>28.944492582759924</v>
      </c>
      <c r="F317" s="383">
        <f t="shared" si="99"/>
        <v>28.945563468288999</v>
      </c>
      <c r="G317" s="110">
        <f t="shared" si="121"/>
        <v>0.76009328823314426</v>
      </c>
      <c r="H317" s="412" t="b">
        <f>Wh_hp&gt;='2021'!Maxi_hp</f>
        <v>0</v>
      </c>
      <c r="I317" s="379">
        <f>IF(H317,Wh_hp,'2021'!Maxi_hp)</f>
        <v>30.400555520503801</v>
      </c>
      <c r="J317" s="85">
        <f>IF(H317,An,'2021'!An_max)</f>
        <v>2020</v>
      </c>
      <c r="K317" s="197">
        <f t="shared" si="100"/>
        <v>44864</v>
      </c>
      <c r="L317" s="147">
        <f>IF(t&lt;Tvie,1-EXP((T0-t)*PertePVj)+'2021'!Pspv,1-EXP((T0-t)*PertePVj)+Pspv)</f>
        <v>2.5876960248434222E-2</v>
      </c>
      <c r="M317" s="832"/>
      <c r="N317" s="832"/>
      <c r="O317" s="48">
        <f>IF(t&lt;Tnet,'2021'!Resal+('2021'!Salim-'2021'!Resal)*(1-EXP(('2021'!Tnet-t)/('2021'!Tau_j))),Resal+(Salim-Resal)*(1-EXP((Tnet-t)/(Tau_j))))*Salcycl</f>
        <v>2.3425623477062785E-2</v>
      </c>
      <c r="P317" s="169">
        <f>(INDEX(Models!$BJ317:$BT317,,T317)*(1-R317)+INDEX(Models!$BJ317:$BT317,,T317+1)*R317-ERP_i)*Q317*Ramure*Pc/MaxiM</f>
        <v>5.6285864881648823E-5</v>
      </c>
      <c r="Q317" s="304">
        <f t="shared" si="101"/>
        <v>0.6</v>
      </c>
      <c r="R317" s="177">
        <f t="shared" si="102"/>
        <v>0.49781884143348876</v>
      </c>
      <c r="S317" s="799">
        <f t="shared" si="103"/>
        <v>0</v>
      </c>
      <c r="T317" s="176">
        <f t="shared" si="104"/>
        <v>6</v>
      </c>
      <c r="U317" s="250">
        <f t="shared" si="105"/>
        <v>0.49781884143348876</v>
      </c>
      <c r="V317" s="382">
        <f t="shared" si="106"/>
        <v>36.225117725527802</v>
      </c>
      <c r="W317" s="400"/>
      <c r="X317" s="157">
        <f t="shared" si="107"/>
        <v>44864</v>
      </c>
      <c r="Y317" s="383">
        <f t="shared" si="108"/>
        <v>24.927984507233905</v>
      </c>
      <c r="Z317" s="383">
        <f t="shared" si="109"/>
        <v>25.590180593194244</v>
      </c>
      <c r="AA317" s="384">
        <f t="shared" si="110"/>
        <v>28.944492582759924</v>
      </c>
      <c r="AB317" s="197">
        <f t="shared" si="111"/>
        <v>44864</v>
      </c>
      <c r="AC317" s="119">
        <f>IF(OR(t&lt;Tnet,NoTnet),'2021'!Resal_s+('2021'!Salim-'2021'!Resal_s)*(1-EXP(('2021'!Tnet_s-t)/'2021'!Tau_j)),Resal_s+(Salim-Resal_s)*(1-EXP((Tnet_s-t)/Tau_j)))*Salcycl</f>
        <v>0.11588774548300751</v>
      </c>
      <c r="AD317" s="230">
        <f>(INDEX(Models!$BJ317:$BT317,,AH317)*(1-AF317)+INDEX(Models!$BJ317:$BT317,,AH317+1)*AF317-ERP_i)*AE317*Ramure*Pc/MaxiM</f>
        <v>5.6285864881648823E-5</v>
      </c>
      <c r="AE317" s="304">
        <f t="shared" si="112"/>
        <v>0.6</v>
      </c>
      <c r="AF317" s="177">
        <f t="shared" si="113"/>
        <v>0.49781884143348876</v>
      </c>
      <c r="AG317" s="799">
        <f t="shared" si="119"/>
        <v>0</v>
      </c>
      <c r="AH317" s="176">
        <f t="shared" si="114"/>
        <v>6</v>
      </c>
      <c r="AI317" s="224">
        <f t="shared" si="115"/>
        <v>0.49781884143348876</v>
      </c>
      <c r="AJ317" s="264" t="b">
        <f t="shared" si="116"/>
        <v>0</v>
      </c>
      <c r="AK317" s="264" t="b">
        <f t="shared" si="117"/>
        <v>0</v>
      </c>
      <c r="AL317" s="264"/>
      <c r="AM317" s="264"/>
      <c r="AN317" s="75"/>
    </row>
    <row r="318" spans="1:40" s="6" customFormat="1" ht="11.25" x14ac:dyDescent="0.2">
      <c r="A318" s="56">
        <f t="shared" si="118"/>
        <v>44865</v>
      </c>
      <c r="B318" s="607">
        <v>25.919</v>
      </c>
      <c r="C318" s="388"/>
      <c r="D318" s="391">
        <f t="shared" si="98"/>
        <v>26.608031720358657</v>
      </c>
      <c r="E318" s="383">
        <f t="shared" si="120"/>
        <v>27.247844104558133</v>
      </c>
      <c r="F318" s="383">
        <f t="shared" si="99"/>
        <v>27.248779762770805</v>
      </c>
      <c r="G318" s="110">
        <f t="shared" si="121"/>
        <v>0.72182370861275136</v>
      </c>
      <c r="H318" s="412" t="b">
        <f>Wh_hp&gt;='2021'!Maxi_hp</f>
        <v>0</v>
      </c>
      <c r="I318" s="379">
        <f>IF(H318,Wh_hp,'2021'!Maxi_hp)</f>
        <v>35.917509171902125</v>
      </c>
      <c r="J318" s="85">
        <f>IF(H318,An,'2021'!An_max)</f>
        <v>2020</v>
      </c>
      <c r="K318" s="197">
        <f t="shared" si="100"/>
        <v>44865</v>
      </c>
      <c r="L318" s="147">
        <f>IF(t&lt;Tvie,1-EXP((T0-t)*PertePVj)+'2021'!Pspv,1-EXP((T0-t)*PertePVj)+Pspv)</f>
        <v>2.589562909425791E-2</v>
      </c>
      <c r="M318" s="832"/>
      <c r="N318" s="832"/>
      <c r="O318" s="48">
        <f>IF(t&lt;Tnet,'2021'!Resal+('2021'!Salim-'2021'!Resal)*(1-EXP(('2021'!Tnet-t)/('2021'!Tau_j))),Resal+(Salim-Resal)*(1-EXP((Tnet-t)/(Tau_j))))*Salcycl</f>
        <v>2.34812112747095E-2</v>
      </c>
      <c r="P318" s="169">
        <f>(INDEX(Models!$BJ318:$BT318,,T318)*(1-R318)+INDEX(Models!$BJ318:$BT318,,T318+1)*R318-ERP_i)*Q318*Ramure*Pc/MaxiM</f>
        <v>5.6979731987502991E-5</v>
      </c>
      <c r="Q318" s="304">
        <f t="shared" si="101"/>
        <v>0.6</v>
      </c>
      <c r="R318" s="177">
        <f t="shared" si="102"/>
        <v>0.49787742339934965</v>
      </c>
      <c r="S318" s="799">
        <f t="shared" si="103"/>
        <v>0</v>
      </c>
      <c r="T318" s="176">
        <f t="shared" si="104"/>
        <v>6</v>
      </c>
      <c r="U318" s="250">
        <f t="shared" si="105"/>
        <v>0.49787742339934965</v>
      </c>
      <c r="V318" s="382">
        <f t="shared" si="106"/>
        <v>35.90684651897665</v>
      </c>
      <c r="W318" s="400"/>
      <c r="X318" s="157">
        <f t="shared" si="107"/>
        <v>44865</v>
      </c>
      <c r="Y318" s="383">
        <f t="shared" si="108"/>
        <v>23.468815058110231</v>
      </c>
      <c r="Z318" s="383">
        <f t="shared" si="109"/>
        <v>24.092710965138622</v>
      </c>
      <c r="AA318" s="384">
        <f t="shared" si="110"/>
        <v>27.247844104558133</v>
      </c>
      <c r="AB318" s="197">
        <f t="shared" si="111"/>
        <v>44865</v>
      </c>
      <c r="AC318" s="119">
        <f>IF(OR(t&lt;Tnet,NoTnet),'2021'!Resal_s+('2021'!Salim-'2021'!Resal_s)*(1-EXP(('2021'!Tnet_s-t)/'2021'!Tau_j)),Resal_s+(Salim-Resal_s)*(1-EXP((Tnet_s-t)/Tau_j)))*Salcycl</f>
        <v>0.11579386344520769</v>
      </c>
      <c r="AD318" s="230">
        <f>(INDEX(Models!$BJ318:$BT318,,AH318)*(1-AF318)+INDEX(Models!$BJ318:$BT318,,AH318+1)*AF318-ERP_i)*AE318*Ramure*Pc/MaxiM</f>
        <v>5.6979731987502991E-5</v>
      </c>
      <c r="AE318" s="304">
        <f t="shared" si="112"/>
        <v>0.6</v>
      </c>
      <c r="AF318" s="177">
        <f t="shared" si="113"/>
        <v>0.49787742339934965</v>
      </c>
      <c r="AG318" s="799">
        <f t="shared" si="119"/>
        <v>0</v>
      </c>
      <c r="AH318" s="176">
        <f t="shared" si="114"/>
        <v>6</v>
      </c>
      <c r="AI318" s="224">
        <f t="shared" si="115"/>
        <v>0.49787742339934965</v>
      </c>
      <c r="AJ318" s="264" t="b">
        <f t="shared" si="116"/>
        <v>0</v>
      </c>
      <c r="AK318" s="264" t="b">
        <f t="shared" si="117"/>
        <v>0</v>
      </c>
      <c r="AL318" s="264"/>
      <c r="AM318" s="264"/>
      <c r="AN318" s="75"/>
    </row>
    <row r="319" spans="1:40" s="6" customFormat="1" ht="11.25" x14ac:dyDescent="0.2">
      <c r="A319" s="56">
        <f t="shared" si="118"/>
        <v>44866</v>
      </c>
      <c r="B319" s="607">
        <v>20.513000000000002</v>
      </c>
      <c r="C319" s="388"/>
      <c r="D319" s="391">
        <f t="shared" si="98"/>
        <v>21.05872198830788</v>
      </c>
      <c r="E319" s="383">
        <f t="shared" si="120"/>
        <v>21.566319782117638</v>
      </c>
      <c r="F319" s="383">
        <f t="shared" si="99"/>
        <v>21.566813212577582</v>
      </c>
      <c r="G319" s="110">
        <f t="shared" si="121"/>
        <v>0.57634202260043998</v>
      </c>
      <c r="H319" s="412" t="b">
        <f>Wh_hp&gt;='2021'!Maxi_hp</f>
        <v>0</v>
      </c>
      <c r="I319" s="379">
        <f>IF(H319,Wh_hp,'2021'!Maxi_hp)</f>
        <v>33.217100495865481</v>
      </c>
      <c r="J319" s="85">
        <f>IF(H319,An,'2021'!An_max)</f>
        <v>2020</v>
      </c>
      <c r="K319" s="197">
        <f t="shared" si="100"/>
        <v>44866</v>
      </c>
      <c r="L319" s="147">
        <f>IF(t&lt;Tvie,1-EXP((T0-t)*PertePVj)+'2021'!Pspv,1-EXP((T0-t)*PertePVj)+Pspv)</f>
        <v>2.5914297582297352E-2</v>
      </c>
      <c r="M319" s="832"/>
      <c r="N319" s="832"/>
      <c r="O319" s="48">
        <f>IF(t&lt;Tnet,'2021'!Resal+('2021'!Salim-'2021'!Resal)*(1-EXP(('2021'!Tnet-t)/('2021'!Tau_j))),Resal+(Salim-Resal)*(1-EXP((Tnet-t)/(Tau_j))))*Salcycl</f>
        <v>2.3536597756963901E-2</v>
      </c>
      <c r="P319" s="169">
        <f>(INDEX(Models!$BJ319:$BT319,,T319)*(1-R319)+INDEX(Models!$BJ319:$BT319,,T319+1)*R319-ERP_i)*Q319*Ramure*Pc/MaxiM</f>
        <v>5.7950784428508137E-5</v>
      </c>
      <c r="Q319" s="304">
        <f t="shared" si="101"/>
        <v>0.6</v>
      </c>
      <c r="R319" s="177">
        <f t="shared" si="102"/>
        <v>0.49793365961149133</v>
      </c>
      <c r="S319" s="799">
        <f t="shared" si="103"/>
        <v>0</v>
      </c>
      <c r="T319" s="176">
        <f t="shared" si="104"/>
        <v>6</v>
      </c>
      <c r="U319" s="250">
        <f t="shared" si="105"/>
        <v>0.49793365961149133</v>
      </c>
      <c r="V319" s="382">
        <f t="shared" si="106"/>
        <v>35.590464958033394</v>
      </c>
      <c r="W319" s="400"/>
      <c r="X319" s="157">
        <f t="shared" si="107"/>
        <v>44866</v>
      </c>
      <c r="Y319" s="383">
        <f t="shared" si="108"/>
        <v>18.576885808262649</v>
      </c>
      <c r="Z319" s="383">
        <f t="shared" si="109"/>
        <v>19.071099968056608</v>
      </c>
      <c r="AA319" s="384">
        <f t="shared" si="110"/>
        <v>21.566319782117638</v>
      </c>
      <c r="AB319" s="197">
        <f t="shared" si="111"/>
        <v>44866</v>
      </c>
      <c r="AC319" s="119">
        <f>IF(OR(t&lt;Tnet,NoTnet),'2021'!Resal_s+('2021'!Salim-'2021'!Resal_s)*(1-EXP(('2021'!Tnet_s-t)/'2021'!Tau_j)),Resal_s+(Salim-Resal_s)*(1-EXP((Tnet_s-t)/Tau_j)))*Salcycl</f>
        <v>0.11569984305481816</v>
      </c>
      <c r="AD319" s="230">
        <f>(INDEX(Models!$BJ319:$BT319,,AH319)*(1-AF319)+INDEX(Models!$BJ319:$BT319,,AH319+1)*AF319-ERP_i)*AE319*Ramure*Pc/MaxiM</f>
        <v>5.7950784428508137E-5</v>
      </c>
      <c r="AE319" s="304">
        <f t="shared" si="112"/>
        <v>0.6</v>
      </c>
      <c r="AF319" s="177">
        <f t="shared" si="113"/>
        <v>0.49793365961149133</v>
      </c>
      <c r="AG319" s="799">
        <f t="shared" si="119"/>
        <v>0</v>
      </c>
      <c r="AH319" s="176">
        <f t="shared" si="114"/>
        <v>6</v>
      </c>
      <c r="AI319" s="224">
        <f t="shared" si="115"/>
        <v>0.49793365961149133</v>
      </c>
      <c r="AJ319" s="264" t="b">
        <f t="shared" si="116"/>
        <v>0</v>
      </c>
      <c r="AK319" s="264" t="b">
        <f t="shared" si="117"/>
        <v>0</v>
      </c>
      <c r="AL319" s="264"/>
      <c r="AM319" s="264"/>
      <c r="AN319" s="75"/>
    </row>
    <row r="320" spans="1:40" s="6" customFormat="1" ht="11.25" x14ac:dyDescent="0.2">
      <c r="A320" s="56">
        <f t="shared" si="118"/>
        <v>44867</v>
      </c>
      <c r="B320" s="607">
        <v>31.67</v>
      </c>
      <c r="C320" s="388"/>
      <c r="D320" s="391">
        <f t="shared" si="98"/>
        <v>32.513162734398016</v>
      </c>
      <c r="E320" s="383">
        <f t="shared" si="120"/>
        <v>33.298740178908623</v>
      </c>
      <c r="F320" s="383">
        <f t="shared" si="99"/>
        <v>33.300423626379668</v>
      </c>
      <c r="G320" s="110">
        <f t="shared" si="121"/>
        <v>0.8977652676772615</v>
      </c>
      <c r="H320" s="412" t="b">
        <f>Wh_hp&gt;='2021'!Maxi_hp</f>
        <v>1</v>
      </c>
      <c r="I320" s="379">
        <f>IF(H320,Wh_hp,'2021'!Maxi_hp)</f>
        <v>33.300423626379668</v>
      </c>
      <c r="J320" s="85">
        <f>IF(H320,An,'2021'!An_max)</f>
        <v>2022</v>
      </c>
      <c r="K320" s="197">
        <f t="shared" si="100"/>
        <v>44867</v>
      </c>
      <c r="L320" s="147">
        <f>IF(t&lt;Tvie,1-EXP((T0-t)*PertePVj)+'2021'!Pspv,1-EXP((T0-t)*PertePVj)+Pspv)</f>
        <v>2.5932965712559541E-2</v>
      </c>
      <c r="M320" s="832"/>
      <c r="N320" s="832"/>
      <c r="O320" s="48">
        <f>IF(t&lt;Tnet,'2021'!Resal+('2021'!Salim-'2021'!Resal)*(1-EXP(('2021'!Tnet-t)/('2021'!Tau_j))),Resal+(Salim-Resal)*(1-EXP((Tnet-t)/(Tau_j))))*Salcycl</f>
        <v>2.3591806785777217E-2</v>
      </c>
      <c r="P320" s="169">
        <f>(INDEX(Models!$BJ320:$BT320,,T320)*(1-R320)+INDEX(Models!$BJ320:$BT320,,T320+1)*R320-ERP_i)*Q320*Ramure*Pc/MaxiM</f>
        <v>5.9198613429896144E-5</v>
      </c>
      <c r="Q320" s="304">
        <f t="shared" si="101"/>
        <v>0.6</v>
      </c>
      <c r="R320" s="177">
        <f t="shared" si="102"/>
        <v>0.49798764350084546</v>
      </c>
      <c r="S320" s="799">
        <f t="shared" si="103"/>
        <v>0</v>
      </c>
      <c r="T320" s="176">
        <f t="shared" si="104"/>
        <v>6</v>
      </c>
      <c r="U320" s="250">
        <f t="shared" si="105"/>
        <v>0.49798764350084546</v>
      </c>
      <c r="V320" s="382">
        <f t="shared" si="106"/>
        <v>35.276176669350654</v>
      </c>
      <c r="W320" s="400"/>
      <c r="X320" s="157">
        <f t="shared" si="107"/>
        <v>44867</v>
      </c>
      <c r="Y320" s="383">
        <f t="shared" si="108"/>
        <v>28.685507200138478</v>
      </c>
      <c r="Z320" s="383">
        <f t="shared" si="109"/>
        <v>29.449212621308753</v>
      </c>
      <c r="AA320" s="384">
        <f t="shared" si="110"/>
        <v>33.298740178908623</v>
      </c>
      <c r="AB320" s="197">
        <f t="shared" si="111"/>
        <v>44867</v>
      </c>
      <c r="AC320" s="119">
        <f>IF(OR(t&lt;Tnet,NoTnet),'2021'!Resal_s+('2021'!Salim-'2021'!Resal_s)*(1-EXP(('2021'!Tnet_s-t)/'2021'!Tau_j)),Resal_s+(Salim-Resal_s)*(1-EXP((Tnet_s-t)/Tau_j)))*Salcycl</f>
        <v>0.11560580180862694</v>
      </c>
      <c r="AD320" s="230">
        <f>(INDEX(Models!$BJ320:$BT320,,AH320)*(1-AF320)+INDEX(Models!$BJ320:$BT320,,AH320+1)*AF320-ERP_i)*AE320*Ramure*Pc/MaxiM</f>
        <v>5.9198613429896144E-5</v>
      </c>
      <c r="AE320" s="304">
        <f t="shared" si="112"/>
        <v>0.6</v>
      </c>
      <c r="AF320" s="177">
        <f t="shared" si="113"/>
        <v>0.49798764350084546</v>
      </c>
      <c r="AG320" s="799">
        <f t="shared" si="119"/>
        <v>0</v>
      </c>
      <c r="AH320" s="176">
        <f t="shared" si="114"/>
        <v>6</v>
      </c>
      <c r="AI320" s="224">
        <f t="shared" si="115"/>
        <v>0.49798764350084546</v>
      </c>
      <c r="AJ320" s="264" t="b">
        <f t="shared" si="116"/>
        <v>0</v>
      </c>
      <c r="AK320" s="264" t="b">
        <f t="shared" si="117"/>
        <v>0</v>
      </c>
      <c r="AL320" s="264"/>
      <c r="AM320" s="264"/>
      <c r="AN320" s="75"/>
    </row>
    <row r="321" spans="1:40" s="6" customFormat="1" ht="11.25" x14ac:dyDescent="0.2">
      <c r="A321" s="56">
        <f t="shared" si="118"/>
        <v>44868</v>
      </c>
      <c r="B321" s="607">
        <v>10.013999999999999</v>
      </c>
      <c r="C321" s="388"/>
      <c r="D321" s="391">
        <f t="shared" si="98"/>
        <v>10.280803648210126</v>
      </c>
      <c r="E321" s="383">
        <f t="shared" si="120"/>
        <v>10.52980039350544</v>
      </c>
      <c r="F321" s="383">
        <f t="shared" si="99"/>
        <v>10.52980039350544</v>
      </c>
      <c r="G321" s="110">
        <f t="shared" si="121"/>
        <v>0.28638996899704589</v>
      </c>
      <c r="H321" s="412" t="b">
        <f>Wh_hp&gt;='2021'!Maxi_hp</f>
        <v>0</v>
      </c>
      <c r="I321" s="379">
        <f>IF(H321,Wh_hp,'2021'!Maxi_hp)</f>
        <v>31.680473871325951</v>
      </c>
      <c r="J321" s="85">
        <f>IF(H321,An,'2021'!An_max)</f>
        <v>2020</v>
      </c>
      <c r="K321" s="197">
        <f t="shared" si="100"/>
        <v>44868</v>
      </c>
      <c r="L321" s="147">
        <f>IF(t&lt;Tvie,1-EXP((T0-t)*PertePVj)+'2021'!Pspv,1-EXP((T0-t)*PertePVj)+Pspv)</f>
        <v>2.5951633485051251E-2</v>
      </c>
      <c r="M321" s="832"/>
      <c r="N321" s="832"/>
      <c r="O321" s="48">
        <f>IF(t&lt;Tnet,'2021'!Resal+('2021'!Salim-'2021'!Resal)*(1-EXP(('2021'!Tnet-t)/('2021'!Tau_j))),Resal+(Salim-Resal)*(1-EXP((Tnet-t)/(Tau_j))))*Salcycl</f>
        <v>2.3646862807474363E-2</v>
      </c>
      <c r="P321" s="169">
        <f>(INDEX(Models!$BJ321:$BT321,,T321)*(1-R321)+INDEX(Models!$BJ321:$BT321,,T321+1)*R321-ERP_i)*Q321*Ramure*Pc/MaxiM</f>
        <v>6.0722714612280164E-5</v>
      </c>
      <c r="Q321" s="304">
        <f t="shared" si="101"/>
        <v>0.6</v>
      </c>
      <c r="R321" s="177">
        <f t="shared" si="102"/>
        <v>0.49803946481623868</v>
      </c>
      <c r="S321" s="799">
        <f t="shared" si="103"/>
        <v>0</v>
      </c>
      <c r="T321" s="176">
        <f t="shared" si="104"/>
        <v>6</v>
      </c>
      <c r="U321" s="250">
        <f t="shared" si="105"/>
        <v>0.49803946481623868</v>
      </c>
      <c r="V321" s="382">
        <f t="shared" si="106"/>
        <v>34.964185225492862</v>
      </c>
      <c r="W321" s="400"/>
      <c r="X321" s="157">
        <f t="shared" si="107"/>
        <v>44868</v>
      </c>
      <c r="Y321" s="383">
        <f t="shared" si="108"/>
        <v>9.0717834672364042</v>
      </c>
      <c r="Z321" s="383">
        <f t="shared" si="109"/>
        <v>9.3134835795622468</v>
      </c>
      <c r="AA321" s="384">
        <f t="shared" si="110"/>
        <v>10.52980039350544</v>
      </c>
      <c r="AB321" s="197">
        <f t="shared" si="111"/>
        <v>44868</v>
      </c>
      <c r="AC321" s="119">
        <f>IF(OR(t&lt;Tnet,NoTnet),'2021'!Resal_s+('2021'!Salim-'2021'!Resal_s)*(1-EXP(('2021'!Tnet_s-t)/'2021'!Tau_j)),Resal_s+(Salim-Resal_s)*(1-EXP((Tnet_s-t)/Tau_j)))*Salcycl</f>
        <v>0.11551185858123114</v>
      </c>
      <c r="AD321" s="230">
        <f>(INDEX(Models!$BJ321:$BT321,,AH321)*(1-AF321)+INDEX(Models!$BJ321:$BT321,,AH321+1)*AF321-ERP_i)*AE321*Ramure*Pc/MaxiM</f>
        <v>6.0722714612280164E-5</v>
      </c>
      <c r="AE321" s="304">
        <f t="shared" si="112"/>
        <v>0.6</v>
      </c>
      <c r="AF321" s="177">
        <f t="shared" si="113"/>
        <v>0.49803946481623868</v>
      </c>
      <c r="AG321" s="799">
        <f t="shared" si="119"/>
        <v>0</v>
      </c>
      <c r="AH321" s="176">
        <f t="shared" si="114"/>
        <v>6</v>
      </c>
      <c r="AI321" s="224">
        <f t="shared" si="115"/>
        <v>0.49803946481623868</v>
      </c>
      <c r="AJ321" s="264" t="b">
        <f t="shared" si="116"/>
        <v>0</v>
      </c>
      <c r="AK321" s="264" t="b">
        <f t="shared" si="117"/>
        <v>0</v>
      </c>
      <c r="AL321" s="264"/>
      <c r="AM321" s="264"/>
      <c r="AN321" s="75"/>
    </row>
    <row r="322" spans="1:40" s="6" customFormat="1" ht="11.25" x14ac:dyDescent="0.2">
      <c r="A322" s="56">
        <f t="shared" si="118"/>
        <v>44869</v>
      </c>
      <c r="B322" s="607">
        <v>17.96</v>
      </c>
      <c r="C322" s="388"/>
      <c r="D322" s="391">
        <f t="shared" si="98"/>
        <v>18.438862815570108</v>
      </c>
      <c r="E322" s="383">
        <f t="shared" si="120"/>
        <v>18.886506848876206</v>
      </c>
      <c r="F322" s="383">
        <f t="shared" si="99"/>
        <v>18.886875032481147</v>
      </c>
      <c r="G322" s="110">
        <f t="shared" si="121"/>
        <v>0.51823360830625742</v>
      </c>
      <c r="H322" s="412" t="b">
        <f>Wh_hp&gt;='2021'!Maxi_hp</f>
        <v>1</v>
      </c>
      <c r="I322" s="379">
        <f>IF(H322,Wh_hp,'2021'!Maxi_hp)</f>
        <v>18.886875032481147</v>
      </c>
      <c r="J322" s="85">
        <f>IF(H322,An,'2021'!An_max)</f>
        <v>2022</v>
      </c>
      <c r="K322" s="197">
        <f t="shared" si="100"/>
        <v>44869</v>
      </c>
      <c r="L322" s="147">
        <f>IF(t&lt;Tvie,1-EXP((T0-t)*PertePVj)+'2021'!Pspv,1-EXP((T0-t)*PertePVj)+Pspv)</f>
        <v>2.5970300899779364E-2</v>
      </c>
      <c r="M322" s="832"/>
      <c r="N322" s="832"/>
      <c r="O322" s="48">
        <f>IF(t&lt;Tnet,'2021'!Resal+('2021'!Salim-'2021'!Resal)*(1-EXP(('2021'!Tnet-t)/('2021'!Tau_j))),Resal+(Salim-Resal)*(1-EXP((Tnet-t)/(Tau_j))))*Salcycl</f>
        <v>2.3701790748707572E-2</v>
      </c>
      <c r="P322" s="169">
        <f>(INDEX(Models!$BJ322:$BT322,,T322)*(1-R322)+INDEX(Models!$BJ322:$BT322,,T322+1)*R322-ERP_i)*Q322*Ramure*Pc/MaxiM</f>
        <v>6.2522504936781103E-5</v>
      </c>
      <c r="Q322" s="304">
        <f t="shared" si="101"/>
        <v>0.6</v>
      </c>
      <c r="R322" s="177">
        <f t="shared" si="102"/>
        <v>0.49808920976641102</v>
      </c>
      <c r="S322" s="799">
        <f t="shared" si="103"/>
        <v>0</v>
      </c>
      <c r="T322" s="176">
        <f t="shared" si="104"/>
        <v>6</v>
      </c>
      <c r="U322" s="250">
        <f t="shared" si="105"/>
        <v>0.49808920976641102</v>
      </c>
      <c r="V322" s="382">
        <f t="shared" si="106"/>
        <v>34.654694153096052</v>
      </c>
      <c r="W322" s="400"/>
      <c r="X322" s="157">
        <f t="shared" si="107"/>
        <v>44869</v>
      </c>
      <c r="Y322" s="383">
        <f t="shared" si="108"/>
        <v>16.272784461745641</v>
      </c>
      <c r="Z322" s="383">
        <f t="shared" si="109"/>
        <v>16.706661487609619</v>
      </c>
      <c r="AA322" s="384">
        <f t="shared" si="110"/>
        <v>18.886506848876206</v>
      </c>
      <c r="AB322" s="197">
        <f t="shared" si="111"/>
        <v>44869</v>
      </c>
      <c r="AC322" s="119">
        <f>IF(OR(t&lt;Tnet,NoTnet),'2021'!Resal_s+('2021'!Salim-'2021'!Resal_s)*(1-EXP(('2021'!Tnet_s-t)/'2021'!Tau_j)),Resal_s+(Salim-Resal_s)*(1-EXP((Tnet_s-t)/Tau_j)))*Salcycl</f>
        <v>0.1154181330994139</v>
      </c>
      <c r="AD322" s="230">
        <f>(INDEX(Models!$BJ322:$BT322,,AH322)*(1-AF322)+INDEX(Models!$BJ322:$BT322,,AH322+1)*AF322-ERP_i)*AE322*Ramure*Pc/MaxiM</f>
        <v>6.2522504936781103E-5</v>
      </c>
      <c r="AE322" s="304">
        <f t="shared" si="112"/>
        <v>0.6</v>
      </c>
      <c r="AF322" s="177">
        <f t="shared" si="113"/>
        <v>0.49808920976641102</v>
      </c>
      <c r="AG322" s="799">
        <f t="shared" si="119"/>
        <v>0</v>
      </c>
      <c r="AH322" s="176">
        <f t="shared" si="114"/>
        <v>6</v>
      </c>
      <c r="AI322" s="224">
        <f t="shared" si="115"/>
        <v>0.49808920976641102</v>
      </c>
      <c r="AJ322" s="264" t="b">
        <f t="shared" si="116"/>
        <v>0</v>
      </c>
      <c r="AK322" s="264" t="b">
        <f t="shared" si="117"/>
        <v>0</v>
      </c>
      <c r="AL322" s="264"/>
      <c r="AM322" s="264"/>
      <c r="AN322" s="75"/>
    </row>
    <row r="323" spans="1:40" s="6" customFormat="1" ht="11.25" x14ac:dyDescent="0.2">
      <c r="A323" s="56">
        <f t="shared" si="118"/>
        <v>44870</v>
      </c>
      <c r="B323" s="607">
        <v>33.590000000000003</v>
      </c>
      <c r="C323" s="388"/>
      <c r="D323" s="391">
        <f t="shared" si="98"/>
        <v>34.486262367620185</v>
      </c>
      <c r="E323" s="383">
        <f t="shared" si="120"/>
        <v>35.325476135951021</v>
      </c>
      <c r="F323" s="383">
        <f t="shared" si="99"/>
        <v>35.327686274356154</v>
      </c>
      <c r="G323" s="110">
        <f t="shared" si="121"/>
        <v>0.97793241566204936</v>
      </c>
      <c r="H323" s="412" t="b">
        <f>Wh_hp&gt;='2021'!Maxi_hp</f>
        <v>1</v>
      </c>
      <c r="I323" s="379">
        <f>IF(H323,Wh_hp,'2021'!Maxi_hp)</f>
        <v>35.327686274356154</v>
      </c>
      <c r="J323" s="85">
        <f>IF(H323,An,'2021'!An_max)</f>
        <v>2022</v>
      </c>
      <c r="K323" s="197">
        <f t="shared" si="100"/>
        <v>44870</v>
      </c>
      <c r="L323" s="147">
        <f>IF(t&lt;Tvie,1-EXP((T0-t)*PertePVj)+'2021'!Pspv,1-EXP((T0-t)*PertePVj)+Pspv)</f>
        <v>2.5988967956750764E-2</v>
      </c>
      <c r="M323" s="832"/>
      <c r="N323" s="832"/>
      <c r="O323" s="48">
        <f>IF(t&lt;Tnet,'2021'!Resal+('2021'!Salim-'2021'!Resal)*(1-EXP(('2021'!Tnet-t)/('2021'!Tau_j))),Resal+(Salim-Resal)*(1-EXP((Tnet-t)/(Tau_j))))*Salcycl</f>
        <v>2.3756615908051636E-2</v>
      </c>
      <c r="P323" s="169">
        <f>(INDEX(Models!$BJ323:$BT323,,T323)*(1-R323)+INDEX(Models!$BJ323:$BT323,,T323+1)*R323-ERP_i)*Q323*Ramure*Pc/MaxiM</f>
        <v>6.4597340778356968E-5</v>
      </c>
      <c r="Q323" s="304">
        <f t="shared" si="101"/>
        <v>0.6</v>
      </c>
      <c r="R323" s="177">
        <f t="shared" si="102"/>
        <v>0.49813696115680045</v>
      </c>
      <c r="S323" s="799">
        <f t="shared" si="103"/>
        <v>0</v>
      </c>
      <c r="T323" s="176">
        <f t="shared" si="104"/>
        <v>6</v>
      </c>
      <c r="U323" s="250">
        <f t="shared" si="105"/>
        <v>0.49813696115680045</v>
      </c>
      <c r="V323" s="382">
        <f t="shared" si="106"/>
        <v>34.347906930939928</v>
      </c>
      <c r="W323" s="400"/>
      <c r="X323" s="157">
        <f t="shared" si="107"/>
        <v>44870</v>
      </c>
      <c r="Y323" s="383">
        <f t="shared" si="108"/>
        <v>30.439378423525849</v>
      </c>
      <c r="Z323" s="383">
        <f t="shared" si="109"/>
        <v>31.25157459425392</v>
      </c>
      <c r="AA323" s="384">
        <f t="shared" si="110"/>
        <v>35.325476135951021</v>
      </c>
      <c r="AB323" s="197">
        <f t="shared" si="111"/>
        <v>44870</v>
      </c>
      <c r="AC323" s="119">
        <f>IF(OR(t&lt;Tnet,NoTnet),'2021'!Resal_s+('2021'!Salim-'2021'!Resal_s)*(1-EXP(('2021'!Tnet_s-t)/'2021'!Tau_j)),Resal_s+(Salim-Resal_s)*(1-EXP((Tnet_s-t)/Tau_j)))*Salcycl</f>
        <v>0.11532474540523065</v>
      </c>
      <c r="AD323" s="230">
        <f>(INDEX(Models!$BJ323:$BT323,,AH323)*(1-AF323)+INDEX(Models!$BJ323:$BT323,,AH323+1)*AF323-ERP_i)*AE323*Ramure*Pc/MaxiM</f>
        <v>6.4597340778356968E-5</v>
      </c>
      <c r="AE323" s="304">
        <f t="shared" si="112"/>
        <v>0.6</v>
      </c>
      <c r="AF323" s="177">
        <f t="shared" si="113"/>
        <v>0.49813696115680045</v>
      </c>
      <c r="AG323" s="799">
        <f t="shared" si="119"/>
        <v>0</v>
      </c>
      <c r="AH323" s="176">
        <f t="shared" si="114"/>
        <v>6</v>
      </c>
      <c r="AI323" s="224">
        <f t="shared" si="115"/>
        <v>0.49813696115680045</v>
      </c>
      <c r="AJ323" s="264" t="b">
        <f t="shared" si="116"/>
        <v>0</v>
      </c>
      <c r="AK323" s="264" t="b">
        <f t="shared" si="117"/>
        <v>0</v>
      </c>
      <c r="AL323" s="264"/>
      <c r="AM323" s="264"/>
      <c r="AN323" s="75"/>
    </row>
    <row r="324" spans="1:40" s="6" customFormat="1" ht="11.25" x14ac:dyDescent="0.2">
      <c r="A324" s="56">
        <f t="shared" si="118"/>
        <v>44871</v>
      </c>
      <c r="B324" s="607">
        <v>34.987000000000002</v>
      </c>
      <c r="C324" s="388"/>
      <c r="D324" s="391">
        <f t="shared" si="98"/>
        <v>35.92122612546568</v>
      </c>
      <c r="E324" s="383">
        <f t="shared" si="120"/>
        <v>36.797422951893004</v>
      </c>
      <c r="F324" s="383">
        <f t="shared" si="99"/>
        <v>36.799919621138898</v>
      </c>
      <c r="G324" s="110">
        <f t="shared" si="121"/>
        <v>1.0276995556652961</v>
      </c>
      <c r="H324" s="412" t="b">
        <f>Wh_hp&gt;='2021'!Maxi_hp</f>
        <v>1</v>
      </c>
      <c r="I324" s="379">
        <f>IF(H324,Wh_hp,'2021'!Maxi_hp)</f>
        <v>36.799919621138898</v>
      </c>
      <c r="J324" s="85">
        <f>IF(H324,An,'2021'!An_max)</f>
        <v>2022</v>
      </c>
      <c r="K324" s="197">
        <f t="shared" si="100"/>
        <v>44871</v>
      </c>
      <c r="L324" s="147">
        <f>IF(t&lt;Tvie,1-EXP((T0-t)*PertePVj)+'2021'!Pspv,1-EXP((T0-t)*PertePVj)+Pspv)</f>
        <v>2.6007634655972223E-2</v>
      </c>
      <c r="M324" s="832"/>
      <c r="N324" s="832"/>
      <c r="O324" s="48">
        <f>IF(t&lt;Tnet,'2021'!Resal+('2021'!Salim-'2021'!Resal)*(1-EXP(('2021'!Tnet-t)/('2021'!Tau_j))),Resal+(Salim-Resal)*(1-EXP((Tnet-t)/(Tau_j))))*Salcycl</f>
        <v>2.381136384395223E-2</v>
      </c>
      <c r="P324" s="169">
        <f>(INDEX(Models!$BJ324:$BT324,,T324)*(1-R324)+INDEX(Models!$BJ324:$BT324,,T324+1)*R324-ERP_i)*Q324*Ramure*Pc/MaxiM</f>
        <v>6.7844421172579461E-5</v>
      </c>
      <c r="Q324" s="304">
        <f t="shared" si="101"/>
        <v>0.6</v>
      </c>
      <c r="R324" s="177">
        <f t="shared" si="102"/>
        <v>0.49818279852126962</v>
      </c>
      <c r="S324" s="799">
        <f t="shared" si="103"/>
        <v>0</v>
      </c>
      <c r="T324" s="176">
        <f t="shared" si="104"/>
        <v>6</v>
      </c>
      <c r="U324" s="250">
        <f t="shared" si="105"/>
        <v>0.49818279852126962</v>
      </c>
      <c r="V324" s="382">
        <f t="shared" si="106"/>
        <v>34.043996425930793</v>
      </c>
      <c r="W324" s="400"/>
      <c r="X324" s="157">
        <f t="shared" si="107"/>
        <v>44871</v>
      </c>
      <c r="Y324" s="383">
        <f t="shared" si="108"/>
        <v>31.710453626658765</v>
      </c>
      <c r="Z324" s="383">
        <f t="shared" si="109"/>
        <v>32.557189106362436</v>
      </c>
      <c r="AA324" s="384">
        <f t="shared" si="110"/>
        <v>36.797422951893004</v>
      </c>
      <c r="AB324" s="197">
        <f t="shared" si="111"/>
        <v>44871</v>
      </c>
      <c r="AC324" s="119">
        <f>IF(OR(t&lt;Tnet,NoTnet),'2021'!Resal_s+('2021'!Salim-'2021'!Resal_s)*(1-EXP(('2021'!Tnet_s-t)/'2021'!Tau_j)),Resal_s+(Salim-Resal_s)*(1-EXP((Tnet_s-t)/Tau_j)))*Salcycl</f>
        <v>0.1152318153114696</v>
      </c>
      <c r="AD324" s="230">
        <f>(INDEX(Models!$BJ324:$BT324,,AH324)*(1-AF324)+INDEX(Models!$BJ324:$BT324,,AH324+1)*AF324-ERP_i)*AE324*Ramure*Pc/MaxiM</f>
        <v>6.7844421172579461E-5</v>
      </c>
      <c r="AE324" s="304">
        <f t="shared" si="112"/>
        <v>0.6</v>
      </c>
      <c r="AF324" s="177">
        <f t="shared" si="113"/>
        <v>0.49818279852126962</v>
      </c>
      <c r="AG324" s="799">
        <f t="shared" si="119"/>
        <v>0</v>
      </c>
      <c r="AH324" s="176">
        <f t="shared" si="114"/>
        <v>6</v>
      </c>
      <c r="AI324" s="224">
        <f t="shared" si="115"/>
        <v>0.49818279852126962</v>
      </c>
      <c r="AJ324" s="264" t="b">
        <f t="shared" si="116"/>
        <v>0</v>
      </c>
      <c r="AK324" s="264" t="b">
        <f t="shared" si="117"/>
        <v>0</v>
      </c>
      <c r="AL324" s="264"/>
      <c r="AM324" s="264"/>
      <c r="AN324" s="75"/>
    </row>
    <row r="325" spans="1:40" s="6" customFormat="1" ht="11.25" x14ac:dyDescent="0.2">
      <c r="A325" s="56">
        <f t="shared" si="118"/>
        <v>44872</v>
      </c>
      <c r="B325" s="607">
        <v>33.484000000000002</v>
      </c>
      <c r="C325" s="388"/>
      <c r="D325" s="391">
        <f t="shared" si="98"/>
        <v>34.378751740720631</v>
      </c>
      <c r="E325" s="383">
        <f t="shared" si="120"/>
        <v>35.21929762002722</v>
      </c>
      <c r="F325" s="383">
        <f t="shared" si="99"/>
        <v>35.221815454766798</v>
      </c>
      <c r="G325" s="110">
        <f t="shared" si="121"/>
        <v>0.99231865531819952</v>
      </c>
      <c r="H325" s="412" t="b">
        <f>Wh_hp&gt;='2021'!Maxi_hp</f>
        <v>1</v>
      </c>
      <c r="I325" s="379">
        <f>IF(H325,Wh_hp,'2021'!Maxi_hp)</f>
        <v>35.221815454766798</v>
      </c>
      <c r="J325" s="85">
        <f>IF(H325,An,'2021'!An_max)</f>
        <v>2022</v>
      </c>
      <c r="K325" s="197">
        <f t="shared" si="100"/>
        <v>44872</v>
      </c>
      <c r="L325" s="147">
        <f>IF(t&lt;Tvie,1-EXP((T0-t)*PertePVj)+'2021'!Pspv,1-EXP((T0-t)*PertePVj)+Pspv)</f>
        <v>2.6026300997450735E-2</v>
      </c>
      <c r="M325" s="832"/>
      <c r="N325" s="832"/>
      <c r="O325" s="48">
        <f>IF(t&lt;Tnet,'2021'!Resal+('2021'!Salim-'2021'!Resal)*(1-EXP(('2021'!Tnet-t)/('2021'!Tau_j))),Resal+(Salim-Resal)*(1-EXP((Tnet-t)/(Tau_j))))*Salcycl</f>
        <v>2.3866060259776896E-2</v>
      </c>
      <c r="P325" s="169">
        <f>(INDEX(Models!$BJ325:$BT325,,T325)*(1-R325)+INDEX(Models!$BJ325:$BT325,,T325+1)*R325-ERP_i)*Q325*Ramure*Pc/MaxiM</f>
        <v>7.2278144690333989E-5</v>
      </c>
      <c r="Q325" s="304">
        <f t="shared" si="101"/>
        <v>0.6</v>
      </c>
      <c r="R325" s="177">
        <f t="shared" si="102"/>
        <v>0.49822679824894073</v>
      </c>
      <c r="S325" s="799">
        <f t="shared" si="103"/>
        <v>0</v>
      </c>
      <c r="T325" s="176">
        <f t="shared" si="104"/>
        <v>6</v>
      </c>
      <c r="U325" s="250">
        <f t="shared" si="105"/>
        <v>0.49822679824894073</v>
      </c>
      <c r="V325" s="382">
        <f t="shared" si="106"/>
        <v>33.743166334818731</v>
      </c>
      <c r="W325" s="400"/>
      <c r="X325" s="157">
        <f t="shared" si="107"/>
        <v>44872</v>
      </c>
      <c r="Y325" s="383">
        <f t="shared" si="108"/>
        <v>30.353078663765221</v>
      </c>
      <c r="Z325" s="383">
        <f t="shared" si="109"/>
        <v>31.164166645208123</v>
      </c>
      <c r="AA325" s="384">
        <f t="shared" si="110"/>
        <v>35.21929762002722</v>
      </c>
      <c r="AB325" s="197">
        <f t="shared" si="111"/>
        <v>44872</v>
      </c>
      <c r="AC325" s="119">
        <f>IF(OR(t&lt;Tnet,NoTnet),'2021'!Resal_s+('2021'!Salim-'2021'!Resal_s)*(1-EXP(('2021'!Tnet_s-t)/'2021'!Tau_j)),Resal_s+(Salim-Resal_s)*(1-EXP((Tnet_s-t)/Tau_j)))*Salcycl</f>
        <v>0.11513946185324185</v>
      </c>
      <c r="AD325" s="230">
        <f>(INDEX(Models!$BJ325:$BT325,,AH325)*(1-AF325)+INDEX(Models!$BJ325:$BT325,,AH325+1)*AF325-ERP_i)*AE325*Ramure*Pc/MaxiM</f>
        <v>7.2278144690333989E-5</v>
      </c>
      <c r="AE325" s="304">
        <f t="shared" si="112"/>
        <v>0.6</v>
      </c>
      <c r="AF325" s="177">
        <f t="shared" si="113"/>
        <v>0.49822679824894073</v>
      </c>
      <c r="AG325" s="799">
        <f t="shared" si="119"/>
        <v>0</v>
      </c>
      <c r="AH325" s="176">
        <f t="shared" si="114"/>
        <v>6</v>
      </c>
      <c r="AI325" s="224">
        <f t="shared" si="115"/>
        <v>0.49822679824894073</v>
      </c>
      <c r="AJ325" s="264" t="b">
        <f t="shared" si="116"/>
        <v>0</v>
      </c>
      <c r="AK325" s="264" t="b">
        <f t="shared" si="117"/>
        <v>0</v>
      </c>
      <c r="AL325" s="264"/>
      <c r="AM325" s="264"/>
      <c r="AN325" s="75"/>
    </row>
    <row r="326" spans="1:40" s="6" customFormat="1" ht="11.25" x14ac:dyDescent="0.2">
      <c r="A326" s="56">
        <f t="shared" si="118"/>
        <v>44873</v>
      </c>
      <c r="B326" s="607">
        <v>24.810000000000002</v>
      </c>
      <c r="C326" s="388"/>
      <c r="D326" s="391">
        <f t="shared" si="98"/>
        <v>25.473455302243838</v>
      </c>
      <c r="E326" s="383">
        <f t="shared" si="120"/>
        <v>26.097732129262411</v>
      </c>
      <c r="F326" s="383">
        <f t="shared" si="99"/>
        <v>26.09901523251013</v>
      </c>
      <c r="G326" s="110">
        <f t="shared" si="121"/>
        <v>0.7417798337044299</v>
      </c>
      <c r="H326" s="412" t="b">
        <f>Wh_hp&gt;='2021'!Maxi_hp</f>
        <v>0</v>
      </c>
      <c r="I326" s="379">
        <f>IF(H326,Wh_hp,'2021'!Maxi_hp)</f>
        <v>28.580031803596686</v>
      </c>
      <c r="J326" s="85">
        <f>IF(H326,An,'2021'!An_max)</f>
        <v>2021</v>
      </c>
      <c r="K326" s="197">
        <f t="shared" si="100"/>
        <v>44873</v>
      </c>
      <c r="L326" s="147">
        <f>IF(t&lt;Tvie,1-EXP((T0-t)*PertePVj)+'2021'!Pspv,1-EXP((T0-t)*PertePVj)+Pspv)</f>
        <v>2.6044966981192963E-2</v>
      </c>
      <c r="M326" s="832"/>
      <c r="N326" s="832"/>
      <c r="O326" s="48">
        <f>IF(t&lt;Tnet,'2021'!Resal+('2021'!Salim-'2021'!Resal)*(1-EXP(('2021'!Tnet-t)/('2021'!Tau_j))),Resal+(Salim-Resal)*(1-EXP((Tnet-t)/(Tau_j))))*Salcycl</f>
        <v>2.3920730886750004E-2</v>
      </c>
      <c r="P326" s="169">
        <f>(INDEX(Models!$BJ326:$BT326,,T326)*(1-R326)+INDEX(Models!$BJ326:$BT326,,T326+1)*R326-ERP_i)*Q326*Ramure*Pc/MaxiM</f>
        <v>7.7894838859526977E-5</v>
      </c>
      <c r="Q326" s="304">
        <f t="shared" si="101"/>
        <v>0.6</v>
      </c>
      <c r="R326" s="177">
        <f t="shared" si="102"/>
        <v>0.49826903370630676</v>
      </c>
      <c r="S326" s="799">
        <f t="shared" si="103"/>
        <v>0</v>
      </c>
      <c r="T326" s="176">
        <f t="shared" si="104"/>
        <v>6</v>
      </c>
      <c r="U326" s="250">
        <f t="shared" si="105"/>
        <v>0.49826903370630676</v>
      </c>
      <c r="V326" s="382">
        <f t="shared" si="106"/>
        <v>33.445620921811937</v>
      </c>
      <c r="W326" s="400"/>
      <c r="X326" s="157">
        <f t="shared" si="107"/>
        <v>44873</v>
      </c>
      <c r="Y326" s="383">
        <f t="shared" si="108"/>
        <v>22.493730487667104</v>
      </c>
      <c r="Z326" s="383">
        <f t="shared" si="109"/>
        <v>23.095245391306225</v>
      </c>
      <c r="AA326" s="384">
        <f t="shared" si="110"/>
        <v>26.097732129262411</v>
      </c>
      <c r="AB326" s="197">
        <f t="shared" si="111"/>
        <v>44873</v>
      </c>
      <c r="AC326" s="119">
        <f>IF(OR(t&lt;Tnet,NoTnet),'2021'!Resal_s+('2021'!Salim-'2021'!Resal_s)*(1-EXP(('2021'!Tnet_s-t)/'2021'!Tau_j)),Resal_s+(Salim-Resal_s)*(1-EXP((Tnet_s-t)/Tau_j)))*Salcycl</f>
        <v>0.11504780273951885</v>
      </c>
      <c r="AD326" s="230">
        <f>(INDEX(Models!$BJ326:$BT326,,AH326)*(1-AF326)+INDEX(Models!$BJ326:$BT326,,AH326+1)*AF326-ERP_i)*AE326*Ramure*Pc/MaxiM</f>
        <v>7.7894838859526977E-5</v>
      </c>
      <c r="AE326" s="304">
        <f t="shared" si="112"/>
        <v>0.6</v>
      </c>
      <c r="AF326" s="177">
        <f t="shared" si="113"/>
        <v>0.49826903370630676</v>
      </c>
      <c r="AG326" s="799">
        <f t="shared" si="119"/>
        <v>0</v>
      </c>
      <c r="AH326" s="176">
        <f t="shared" si="114"/>
        <v>6</v>
      </c>
      <c r="AI326" s="224">
        <f t="shared" si="115"/>
        <v>0.49826903370630676</v>
      </c>
      <c r="AJ326" s="264" t="b">
        <f t="shared" si="116"/>
        <v>0</v>
      </c>
      <c r="AK326" s="264" t="b">
        <f t="shared" si="117"/>
        <v>0</v>
      </c>
      <c r="AL326" s="264"/>
      <c r="AM326" s="264"/>
      <c r="AN326" s="75"/>
    </row>
    <row r="327" spans="1:40" s="6" customFormat="1" ht="11.25" x14ac:dyDescent="0.2">
      <c r="A327" s="56">
        <f t="shared" si="118"/>
        <v>44874</v>
      </c>
      <c r="B327" s="607">
        <v>11.075000000000001</v>
      </c>
      <c r="C327" s="388"/>
      <c r="D327" s="391">
        <f t="shared" si="98"/>
        <v>11.371379456388437</v>
      </c>
      <c r="E327" s="383">
        <f t="shared" si="120"/>
        <v>11.65070990249467</v>
      </c>
      <c r="F327" s="383">
        <f t="shared" si="99"/>
        <v>11.650757929518294</v>
      </c>
      <c r="G327" s="110">
        <f t="shared" si="121"/>
        <v>0.33404480007232196</v>
      </c>
      <c r="H327" s="412" t="b">
        <f>Wh_hp&gt;='2021'!Maxi_hp</f>
        <v>0</v>
      </c>
      <c r="I327" s="379">
        <f>IF(H327,Wh_hp,'2021'!Maxi_hp)</f>
        <v>26.22479613054475</v>
      </c>
      <c r="J327" s="85">
        <f>IF(H327,An,'2021'!An_max)</f>
        <v>2020</v>
      </c>
      <c r="K327" s="197">
        <f t="shared" si="100"/>
        <v>44874</v>
      </c>
      <c r="L327" s="147">
        <f>IF(t&lt;Tvie,1-EXP((T0-t)*PertePVj)+'2021'!Pspv,1-EXP((T0-t)*PertePVj)+Pspv)</f>
        <v>2.60636326072059E-2</v>
      </c>
      <c r="M327" s="832"/>
      <c r="N327" s="832"/>
      <c r="O327" s="48">
        <f>IF(t&lt;Tnet,'2021'!Resal+('2021'!Salim-'2021'!Resal)*(1-EXP(('2021'!Tnet-t)/('2021'!Tau_j))),Resal+(Salim-Resal)*(1-EXP((Tnet-t)/(Tau_j))))*Salcycl</f>
        <v>2.397540136557879E-2</v>
      </c>
      <c r="P327" s="169">
        <f>(INDEX(Models!$BJ327:$BT327,,T327)*(1-R327)+INDEX(Models!$BJ327:$BT327,,T327+1)*R327-ERP_i)*Q327*Ramure*Pc/MaxiM</f>
        <v>8.4690662321158208E-5</v>
      </c>
      <c r="Q327" s="304">
        <f t="shared" si="101"/>
        <v>0.6</v>
      </c>
      <c r="R327" s="177">
        <f t="shared" si="102"/>
        <v>0.49830957535477627</v>
      </c>
      <c r="S327" s="799">
        <f t="shared" si="103"/>
        <v>0</v>
      </c>
      <c r="T327" s="176">
        <f t="shared" si="104"/>
        <v>6</v>
      </c>
      <c r="U327" s="250">
        <f t="shared" si="105"/>
        <v>0.49830957535477627</v>
      </c>
      <c r="V327" s="382">
        <f t="shared" si="106"/>
        <v>33.151564396332255</v>
      </c>
      <c r="W327" s="400"/>
      <c r="X327" s="157">
        <f t="shared" si="107"/>
        <v>44874</v>
      </c>
      <c r="Y327" s="383">
        <f t="shared" si="108"/>
        <v>10.042627768076006</v>
      </c>
      <c r="Z327" s="383">
        <f t="shared" si="109"/>
        <v>10.311379782397793</v>
      </c>
      <c r="AA327" s="384">
        <f t="shared" si="110"/>
        <v>11.65070990249467</v>
      </c>
      <c r="AB327" s="197">
        <f t="shared" si="111"/>
        <v>44874</v>
      </c>
      <c r="AC327" s="119">
        <f>IF(OR(t&lt;Tnet,NoTnet),'2021'!Resal_s+('2021'!Salim-'2021'!Resal_s)*(1-EXP(('2021'!Tnet_s-t)/'2021'!Tau_j)),Resal_s+(Salim-Resal_s)*(1-EXP((Tnet_s-t)/Tau_j)))*Salcycl</f>
        <v>0.11495695380846255</v>
      </c>
      <c r="AD327" s="230">
        <f>(INDEX(Models!$BJ327:$BT327,,AH327)*(1-AF327)+INDEX(Models!$BJ327:$BT327,,AH327+1)*AF327-ERP_i)*AE327*Ramure*Pc/MaxiM</f>
        <v>8.4690662321158208E-5</v>
      </c>
      <c r="AE327" s="304">
        <f t="shared" si="112"/>
        <v>0.6</v>
      </c>
      <c r="AF327" s="177">
        <f t="shared" si="113"/>
        <v>0.49830957535477627</v>
      </c>
      <c r="AG327" s="799">
        <f t="shared" si="119"/>
        <v>0</v>
      </c>
      <c r="AH327" s="176">
        <f t="shared" si="114"/>
        <v>6</v>
      </c>
      <c r="AI327" s="224">
        <f t="shared" si="115"/>
        <v>0.49830957535477627</v>
      </c>
      <c r="AJ327" s="264" t="b">
        <f t="shared" si="116"/>
        <v>0</v>
      </c>
      <c r="AK327" s="264" t="b">
        <f t="shared" si="117"/>
        <v>0</v>
      </c>
      <c r="AL327" s="264"/>
      <c r="AM327" s="264"/>
      <c r="AN327" s="75"/>
    </row>
    <row r="328" spans="1:40" s="6" customFormat="1" ht="11.25" x14ac:dyDescent="0.2">
      <c r="A328" s="56">
        <f t="shared" si="118"/>
        <v>44875</v>
      </c>
      <c r="B328" s="607">
        <v>20.775000000000002</v>
      </c>
      <c r="C328" s="388"/>
      <c r="D328" s="391">
        <f t="shared" si="98"/>
        <v>21.331371177134812</v>
      </c>
      <c r="E328" s="383">
        <f t="shared" si="120"/>
        <v>21.856587087730741</v>
      </c>
      <c r="F328" s="383">
        <f t="shared" si="99"/>
        <v>21.857548277600785</v>
      </c>
      <c r="G328" s="110">
        <f t="shared" si="121"/>
        <v>0.63217374641742063</v>
      </c>
      <c r="H328" s="412" t="b">
        <f>Wh_hp&gt;='2021'!Maxi_hp</f>
        <v>1</v>
      </c>
      <c r="I328" s="379">
        <f>IF(H328,Wh_hp,'2021'!Maxi_hp)</f>
        <v>21.857548277600785</v>
      </c>
      <c r="J328" s="85">
        <f>IF(H328,An,'2021'!An_max)</f>
        <v>2022</v>
      </c>
      <c r="K328" s="197">
        <f t="shared" si="100"/>
        <v>44875</v>
      </c>
      <c r="L328" s="147">
        <f>IF(t&lt;Tvie,1-EXP((T0-t)*PertePVj)+'2021'!Pspv,1-EXP((T0-t)*PertePVj)+Pspv)</f>
        <v>2.608229787549643E-2</v>
      </c>
      <c r="M328" s="832"/>
      <c r="N328" s="832"/>
      <c r="O328" s="48">
        <f>IF(t&lt;Tnet,'2021'!Resal+('2021'!Salim-'2021'!Resal)*(1-EXP(('2021'!Tnet-t)/('2021'!Tau_j))),Resal+(Salim-Resal)*(1-EXP((Tnet-t)/(Tau_j))))*Salcycl</f>
        <v>2.4030097127595938E-2</v>
      </c>
      <c r="P328" s="169">
        <f>(INDEX(Models!$BJ328:$BT328,,T328)*(1-R328)+INDEX(Models!$BJ328:$BT328,,T328+1)*R328-ERP_i)*Q328*Ramure*Pc/MaxiM</f>
        <v>9.266169318846694E-5</v>
      </c>
      <c r="Q328" s="304">
        <f t="shared" si="101"/>
        <v>0.6</v>
      </c>
      <c r="R328" s="177">
        <f t="shared" si="102"/>
        <v>0.49834849086381144</v>
      </c>
      <c r="S328" s="799">
        <f t="shared" si="103"/>
        <v>0</v>
      </c>
      <c r="T328" s="176">
        <f t="shared" si="104"/>
        <v>6</v>
      </c>
      <c r="U328" s="250">
        <f t="shared" si="105"/>
        <v>0.49834849086381144</v>
      </c>
      <c r="V328" s="382">
        <f t="shared" si="106"/>
        <v>32.861200913788281</v>
      </c>
      <c r="W328" s="400"/>
      <c r="X328" s="157">
        <f t="shared" si="107"/>
        <v>44875</v>
      </c>
      <c r="Y328" s="383">
        <f t="shared" si="108"/>
        <v>18.841398109708162</v>
      </c>
      <c r="Z328" s="383">
        <f t="shared" si="109"/>
        <v>19.345985876021707</v>
      </c>
      <c r="AA328" s="384">
        <f t="shared" si="110"/>
        <v>21.856587087730741</v>
      </c>
      <c r="AB328" s="197">
        <f t="shared" si="111"/>
        <v>44875</v>
      </c>
      <c r="AC328" s="119">
        <f>IF(OR(t&lt;Tnet,NoTnet),'2021'!Resal_s+('2021'!Salim-'2021'!Resal_s)*(1-EXP(('2021'!Tnet_s-t)/'2021'!Tau_j)),Resal_s+(Salim-Resal_s)*(1-EXP((Tnet_s-t)/Tau_j)))*Salcycl</f>
        <v>0.11486702849038886</v>
      </c>
      <c r="AD328" s="230">
        <f>(INDEX(Models!$BJ328:$BT328,,AH328)*(1-AF328)+INDEX(Models!$BJ328:$BT328,,AH328+1)*AF328-ERP_i)*AE328*Ramure*Pc/MaxiM</f>
        <v>9.266169318846694E-5</v>
      </c>
      <c r="AE328" s="304">
        <f t="shared" si="112"/>
        <v>0.6</v>
      </c>
      <c r="AF328" s="177">
        <f t="shared" si="113"/>
        <v>0.49834849086381144</v>
      </c>
      <c r="AG328" s="799">
        <f t="shared" si="119"/>
        <v>0</v>
      </c>
      <c r="AH328" s="176">
        <f t="shared" si="114"/>
        <v>6</v>
      </c>
      <c r="AI328" s="224">
        <f t="shared" si="115"/>
        <v>0.49834849086381144</v>
      </c>
      <c r="AJ328" s="264" t="b">
        <f t="shared" si="116"/>
        <v>0</v>
      </c>
      <c r="AK328" s="264" t="b">
        <f t="shared" si="117"/>
        <v>0</v>
      </c>
      <c r="AL328" s="264"/>
      <c r="AM328" s="264"/>
      <c r="AN328" s="75"/>
    </row>
    <row r="329" spans="1:40" s="6" customFormat="1" ht="11.25" x14ac:dyDescent="0.2">
      <c r="A329" s="56">
        <f t="shared" si="118"/>
        <v>44876</v>
      </c>
      <c r="B329" s="607">
        <v>32.777000000000001</v>
      </c>
      <c r="C329" s="388"/>
      <c r="D329" s="391">
        <f t="shared" si="98"/>
        <v>33.655439370559861</v>
      </c>
      <c r="E329" s="383">
        <f t="shared" si="120"/>
        <v>34.486029998288934</v>
      </c>
      <c r="F329" s="383">
        <f t="shared" si="99"/>
        <v>34.489541172073224</v>
      </c>
      <c r="G329" s="110">
        <f t="shared" si="121"/>
        <v>1.0062092732884731</v>
      </c>
      <c r="H329" s="412" t="b">
        <f>Wh_hp&gt;='2021'!Maxi_hp</f>
        <v>1</v>
      </c>
      <c r="I329" s="379">
        <f>IF(H329,Wh_hp,'2021'!Maxi_hp)</f>
        <v>34.489541172073224</v>
      </c>
      <c r="J329" s="85">
        <f>IF(H329,An,'2021'!An_max)</f>
        <v>2022</v>
      </c>
      <c r="K329" s="197">
        <f t="shared" si="100"/>
        <v>44876</v>
      </c>
      <c r="L329" s="147">
        <f>IF(t&lt;Tvie,1-EXP((T0-t)*PertePVj)+'2021'!Pspv,1-EXP((T0-t)*PertePVj)+Pspv)</f>
        <v>2.6100962786071324E-2</v>
      </c>
      <c r="M329" s="832"/>
      <c r="N329" s="832"/>
      <c r="O329" s="48">
        <f>IF(t&lt;Tnet,'2021'!Resal+('2021'!Salim-'2021'!Resal)*(1-EXP(('2021'!Tnet-t)/('2021'!Tau_j))),Resal+(Salim-Resal)*(1-EXP((Tnet-t)/(Tau_j))))*Salcycl</f>
        <v>2.4084843276256648E-2</v>
      </c>
      <c r="P329" s="169">
        <f>(INDEX(Models!$BJ329:$BT329,,T329)*(1-R329)+INDEX(Models!$BJ329:$BT329,,T329+1)*R329-ERP_i)*Q329*Ramure*Pc/MaxiM</f>
        <v>1.0180401550639965E-4</v>
      </c>
      <c r="Q329" s="304">
        <f t="shared" si="101"/>
        <v>0.6</v>
      </c>
      <c r="R329" s="177">
        <f t="shared" si="102"/>
        <v>0.49838584521980855</v>
      </c>
      <c r="S329" s="799">
        <f t="shared" si="103"/>
        <v>0</v>
      </c>
      <c r="T329" s="176">
        <f t="shared" si="104"/>
        <v>6</v>
      </c>
      <c r="U329" s="250">
        <f t="shared" si="105"/>
        <v>0.49838584521980855</v>
      </c>
      <c r="V329" s="382">
        <f t="shared" si="106"/>
        <v>32.574734570750735</v>
      </c>
      <c r="W329" s="400"/>
      <c r="X329" s="157">
        <f t="shared" si="107"/>
        <v>44876</v>
      </c>
      <c r="Y329" s="383">
        <f t="shared" si="108"/>
        <v>29.730983061794696</v>
      </c>
      <c r="Z329" s="383">
        <f t="shared" si="109"/>
        <v>30.527787712828314</v>
      </c>
      <c r="AA329" s="384">
        <f t="shared" si="110"/>
        <v>34.486029998288934</v>
      </c>
      <c r="AB329" s="197">
        <f t="shared" si="111"/>
        <v>44876</v>
      </c>
      <c r="AC329" s="119">
        <f>IF(OR(t&lt;Tnet,NoTnet),'2021'!Resal_s+('2021'!Salim-'2021'!Resal_s)*(1-EXP(('2021'!Tnet_s-t)/'2021'!Tau_j)),Resal_s+(Salim-Resal_s)*(1-EXP((Tnet_s-t)/Tau_j)))*Salcycl</f>
        <v>0.11477813728216947</v>
      </c>
      <c r="AD329" s="230">
        <f>(INDEX(Models!$BJ329:$BT329,,AH329)*(1-AF329)+INDEX(Models!$BJ329:$BT329,,AH329+1)*AF329-ERP_i)*AE329*Ramure*Pc/MaxiM</f>
        <v>1.0180401550639965E-4</v>
      </c>
      <c r="AE329" s="304">
        <f t="shared" si="112"/>
        <v>0.6</v>
      </c>
      <c r="AF329" s="177">
        <f t="shared" si="113"/>
        <v>0.49838584521980855</v>
      </c>
      <c r="AG329" s="799">
        <f t="shared" si="119"/>
        <v>0</v>
      </c>
      <c r="AH329" s="176">
        <f t="shared" si="114"/>
        <v>6</v>
      </c>
      <c r="AI329" s="224">
        <f t="shared" si="115"/>
        <v>0.49838584521980855</v>
      </c>
      <c r="AJ329" s="264" t="b">
        <f t="shared" si="116"/>
        <v>0</v>
      </c>
      <c r="AK329" s="264" t="b">
        <f t="shared" si="117"/>
        <v>0</v>
      </c>
      <c r="AL329" s="264"/>
      <c r="AM329" s="264"/>
      <c r="AN329" s="75"/>
    </row>
    <row r="330" spans="1:40" s="6" customFormat="1" ht="11.25" x14ac:dyDescent="0.2">
      <c r="A330" s="56">
        <f t="shared" si="118"/>
        <v>44877</v>
      </c>
      <c r="B330" s="607">
        <v>32.011000000000003</v>
      </c>
      <c r="C330" s="388"/>
      <c r="D330" s="391">
        <f t="shared" si="98"/>
        <v>32.869540139239177</v>
      </c>
      <c r="E330" s="383">
        <f t="shared" si="120"/>
        <v>33.682627464699358</v>
      </c>
      <c r="F330" s="383">
        <f t="shared" si="99"/>
        <v>33.686357160072951</v>
      </c>
      <c r="G330" s="110">
        <f t="shared" si="121"/>
        <v>0.99128543103499767</v>
      </c>
      <c r="H330" s="412" t="b">
        <f>Wh_hp&gt;='2021'!Maxi_hp</f>
        <v>1</v>
      </c>
      <c r="I330" s="379">
        <f>IF(H330,Wh_hp,'2021'!Maxi_hp)</f>
        <v>33.686357160072951</v>
      </c>
      <c r="J330" s="85">
        <f>IF(H330,An,'2021'!An_max)</f>
        <v>2022</v>
      </c>
      <c r="K330" s="197">
        <f t="shared" si="100"/>
        <v>44877</v>
      </c>
      <c r="L330" s="147">
        <f>IF(t&lt;Tvie,1-EXP((T0-t)*PertePVj)+'2021'!Pspv,1-EXP((T0-t)*PertePVj)+Pspv)</f>
        <v>2.6119627338937468E-2</v>
      </c>
      <c r="M330" s="832"/>
      <c r="N330" s="832"/>
      <c r="O330" s="48">
        <f>IF(t&lt;Tnet,'2021'!Resal+('2021'!Salim-'2021'!Resal)*(1-EXP(('2021'!Tnet-t)/('2021'!Tau_j))),Resal+(Salim-Resal)*(1-EXP((Tnet-t)/(Tau_j))))*Salcycl</f>
        <v>2.4139664469831748E-2</v>
      </c>
      <c r="P330" s="169">
        <f>(INDEX(Models!$BJ330:$BT330,,T330)*(1-R330)+INDEX(Models!$BJ330:$BT330,,T330+1)*R330-ERP_i)*Q330*Ramure*Pc/MaxiM</f>
        <v>1.1211380173611466E-4</v>
      </c>
      <c r="Q330" s="304">
        <f t="shared" si="101"/>
        <v>0.6</v>
      </c>
      <c r="R330" s="177">
        <f t="shared" si="102"/>
        <v>0.49842170083087178</v>
      </c>
      <c r="S330" s="799">
        <f t="shared" si="103"/>
        <v>0</v>
      </c>
      <c r="T330" s="176">
        <f t="shared" si="104"/>
        <v>6</v>
      </c>
      <c r="U330" s="250">
        <f t="shared" si="105"/>
        <v>0.49842170083087178</v>
      </c>
      <c r="V330" s="382">
        <f t="shared" si="106"/>
        <v>32.292369403070374</v>
      </c>
      <c r="W330" s="400"/>
      <c r="X330" s="157">
        <f t="shared" si="107"/>
        <v>44877</v>
      </c>
      <c r="Y330" s="383">
        <f t="shared" si="108"/>
        <v>29.040678242923153</v>
      </c>
      <c r="Z330" s="383">
        <f t="shared" si="109"/>
        <v>29.819553877619953</v>
      </c>
      <c r="AA330" s="384">
        <f t="shared" si="110"/>
        <v>33.682627464699358</v>
      </c>
      <c r="AB330" s="197">
        <f t="shared" si="111"/>
        <v>44877</v>
      </c>
      <c r="AC330" s="119">
        <f>IF(OR(t&lt;Tnet,NoTnet),'2021'!Resal_s+('2021'!Salim-'2021'!Resal_s)*(1-EXP(('2021'!Tnet_s-t)/'2021'!Tau_j)),Resal_s+(Salim-Resal_s)*(1-EXP((Tnet_s-t)/Tau_j)))*Salcycl</f>
        <v>0.11469038723680486</v>
      </c>
      <c r="AD330" s="230">
        <f>(INDEX(Models!$BJ330:$BT330,,AH330)*(1-AF330)+INDEX(Models!$BJ330:$BT330,,AH330+1)*AF330-ERP_i)*AE330*Ramure*Pc/MaxiM</f>
        <v>1.1211380173611466E-4</v>
      </c>
      <c r="AE330" s="304">
        <f t="shared" si="112"/>
        <v>0.6</v>
      </c>
      <c r="AF330" s="177">
        <f t="shared" si="113"/>
        <v>0.49842170083087178</v>
      </c>
      <c r="AG330" s="799">
        <f t="shared" si="119"/>
        <v>0</v>
      </c>
      <c r="AH330" s="176">
        <f t="shared" si="114"/>
        <v>6</v>
      </c>
      <c r="AI330" s="224">
        <f t="shared" si="115"/>
        <v>0.49842170083087178</v>
      </c>
      <c r="AJ330" s="264" t="b">
        <f t="shared" si="116"/>
        <v>0</v>
      </c>
      <c r="AK330" s="264" t="b">
        <f t="shared" si="117"/>
        <v>0</v>
      </c>
      <c r="AL330" s="264"/>
      <c r="AM330" s="264"/>
      <c r="AN330" s="75"/>
    </row>
    <row r="331" spans="1:40" s="6" customFormat="1" ht="11.25" x14ac:dyDescent="0.2">
      <c r="A331" s="56">
        <f t="shared" si="118"/>
        <v>44878</v>
      </c>
      <c r="B331" s="607">
        <v>30.998000000000001</v>
      </c>
      <c r="C331" s="388"/>
      <c r="D331" s="391">
        <f t="shared" si="98"/>
        <v>31.829981331569581</v>
      </c>
      <c r="E331" s="383">
        <f t="shared" si="120"/>
        <v>32.619189067777327</v>
      </c>
      <c r="F331" s="383">
        <f t="shared" si="99"/>
        <v>32.623038757538794</v>
      </c>
      <c r="G331" s="110">
        <f t="shared" si="121"/>
        <v>0.96832494859337848</v>
      </c>
      <c r="H331" s="412" t="b">
        <f>Wh_hp&gt;='2021'!Maxi_hp</f>
        <v>1</v>
      </c>
      <c r="I331" s="379">
        <f>IF(H331,Wh_hp,'2021'!Maxi_hp)</f>
        <v>32.623038757538794</v>
      </c>
      <c r="J331" s="85">
        <f>IF(H331,An,'2021'!An_max)</f>
        <v>2022</v>
      </c>
      <c r="K331" s="197">
        <f t="shared" si="100"/>
        <v>44878</v>
      </c>
      <c r="L331" s="147">
        <f>IF(t&lt;Tvie,1-EXP((T0-t)*PertePVj)+'2021'!Pspv,1-EXP((T0-t)*PertePVj)+Pspv)</f>
        <v>2.6138291534101632E-2</v>
      </c>
      <c r="M331" s="832"/>
      <c r="N331" s="832"/>
      <c r="O331" s="48">
        <f>IF(t&lt;Tnet,'2021'!Resal+('2021'!Salim-'2021'!Resal)*(1-EXP(('2021'!Tnet-t)/('2021'!Tau_j))),Resal+(Salim-Resal)*(1-EXP((Tnet-t)/(Tau_j))))*Salcycl</f>
        <v>2.4194584806136826E-2</v>
      </c>
      <c r="P331" s="169">
        <f>(INDEX(Models!$BJ331:$BT331,,T331)*(1-R331)+INDEX(Models!$BJ331:$BT331,,T331+1)*R331-ERP_i)*Q331*Ramure*Pc/MaxiM</f>
        <v>1.2359706767190411E-4</v>
      </c>
      <c r="Q331" s="304">
        <f t="shared" si="101"/>
        <v>0.6</v>
      </c>
      <c r="R331" s="177">
        <f t="shared" si="102"/>
        <v>0.49845611762762249</v>
      </c>
      <c r="S331" s="799">
        <f t="shared" si="103"/>
        <v>0</v>
      </c>
      <c r="T331" s="176">
        <f t="shared" si="104"/>
        <v>6</v>
      </c>
      <c r="U331" s="250">
        <f t="shared" si="105"/>
        <v>0.49845611762762249</v>
      </c>
      <c r="V331" s="382">
        <f t="shared" si="106"/>
        <v>32.011802122137475</v>
      </c>
      <c r="W331" s="400"/>
      <c r="X331" s="157">
        <f t="shared" si="107"/>
        <v>44878</v>
      </c>
      <c r="Y331" s="383">
        <f t="shared" si="108"/>
        <v>28.126005917567589</v>
      </c>
      <c r="Z331" s="383">
        <f t="shared" si="109"/>
        <v>28.880903390147488</v>
      </c>
      <c r="AA331" s="384">
        <f t="shared" si="110"/>
        <v>32.619189067777327</v>
      </c>
      <c r="AB331" s="197">
        <f t="shared" si="111"/>
        <v>44878</v>
      </c>
      <c r="AC331" s="119">
        <f>IF(OR(t&lt;Tnet,NoTnet),'2021'!Resal_s+('2021'!Salim-'2021'!Resal_s)*(1-EXP(('2021'!Tnet_s-t)/'2021'!Tau_j)),Resal_s+(Salim-Resal_s)*(1-EXP((Tnet_s-t)/Tau_j)))*Salcycl</f>
        <v>0.11460388147180153</v>
      </c>
      <c r="AD331" s="230">
        <f>(INDEX(Models!$BJ331:$BT331,,AH331)*(1-AF331)+INDEX(Models!$BJ331:$BT331,,AH331+1)*AF331-ERP_i)*AE331*Ramure*Pc/MaxiM</f>
        <v>1.2359706767190411E-4</v>
      </c>
      <c r="AE331" s="304">
        <f t="shared" si="112"/>
        <v>0.6</v>
      </c>
      <c r="AF331" s="177">
        <f t="shared" si="113"/>
        <v>0.49845611762762249</v>
      </c>
      <c r="AG331" s="799">
        <f t="shared" si="119"/>
        <v>0</v>
      </c>
      <c r="AH331" s="176">
        <f t="shared" si="114"/>
        <v>6</v>
      </c>
      <c r="AI331" s="224">
        <f t="shared" si="115"/>
        <v>0.49845611762762249</v>
      </c>
      <c r="AJ331" s="264" t="b">
        <f t="shared" si="116"/>
        <v>0</v>
      </c>
      <c r="AK331" s="264" t="b">
        <f t="shared" si="117"/>
        <v>0</v>
      </c>
      <c r="AL331" s="264"/>
      <c r="AM331" s="264"/>
      <c r="AN331" s="75"/>
    </row>
    <row r="332" spans="1:40" s="6" customFormat="1" ht="11.25" x14ac:dyDescent="0.2">
      <c r="A332" s="56">
        <f t="shared" si="118"/>
        <v>44879</v>
      </c>
      <c r="B332" s="607">
        <v>11.741</v>
      </c>
      <c r="C332" s="388"/>
      <c r="D332" s="391">
        <f t="shared" si="98"/>
        <v>12.056357607893364</v>
      </c>
      <c r="E332" s="383">
        <f t="shared" si="120"/>
        <v>12.355985660143508</v>
      </c>
      <c r="F332" s="383">
        <f t="shared" si="99"/>
        <v>12.356155087308435</v>
      </c>
      <c r="G332" s="110">
        <f t="shared" si="121"/>
        <v>0.36996893530764297</v>
      </c>
      <c r="H332" s="412" t="b">
        <f>Wh_hp&gt;='2021'!Maxi_hp</f>
        <v>0</v>
      </c>
      <c r="I332" s="379">
        <f>IF(H332,Wh_hp,'2021'!Maxi_hp)</f>
        <v>19.58493615154913</v>
      </c>
      <c r="J332" s="85">
        <f>IF(H332,An,'2021'!An_max)</f>
        <v>2020</v>
      </c>
      <c r="K332" s="197">
        <f t="shared" si="100"/>
        <v>44879</v>
      </c>
      <c r="L332" s="147">
        <f>IF(t&lt;Tvie,1-EXP((T0-t)*PertePVj)+'2021'!Pspv,1-EXP((T0-t)*PertePVj)+Pspv)</f>
        <v>2.6156955371570811E-2</v>
      </c>
      <c r="M332" s="832"/>
      <c r="N332" s="832"/>
      <c r="O332" s="48">
        <f>IF(t&lt;Tnet,'2021'!Resal+('2021'!Salim-'2021'!Resal)*(1-EXP(('2021'!Tnet-t)/('2021'!Tau_j))),Resal+(Salim-Resal)*(1-EXP((Tnet-t)/(Tau_j))))*Salcycl</f>
        <v>2.4249627710126759E-2</v>
      </c>
      <c r="P332" s="169">
        <f>(INDEX(Models!$BJ332:$BT332,,T332)*(1-R332)+INDEX(Models!$BJ332:$BT332,,T332+1)*R332-ERP_i)*Q332*Ramure*Pc/MaxiM</f>
        <v>1.3709107926482571E-4</v>
      </c>
      <c r="Q332" s="304">
        <f t="shared" si="101"/>
        <v>0.6</v>
      </c>
      <c r="R332" s="177">
        <f t="shared" si="102"/>
        <v>0.49848915316018416</v>
      </c>
      <c r="S332" s="799">
        <f t="shared" si="103"/>
        <v>0</v>
      </c>
      <c r="T332" s="176">
        <f t="shared" si="104"/>
        <v>6</v>
      </c>
      <c r="U332" s="250">
        <f t="shared" si="105"/>
        <v>0.49848915316018416</v>
      </c>
      <c r="V332" s="382">
        <f t="shared" si="106"/>
        <v>31.731181365789777</v>
      </c>
      <c r="W332" s="400"/>
      <c r="X332" s="157">
        <f t="shared" si="107"/>
        <v>44879</v>
      </c>
      <c r="Y332" s="383">
        <f t="shared" si="108"/>
        <v>10.65481092192347</v>
      </c>
      <c r="Z332" s="383">
        <f t="shared" si="109"/>
        <v>10.940994014070126</v>
      </c>
      <c r="AA332" s="384">
        <f t="shared" si="110"/>
        <v>12.355985660143508</v>
      </c>
      <c r="AB332" s="197">
        <f t="shared" si="111"/>
        <v>44879</v>
      </c>
      <c r="AC332" s="119">
        <f>IF(OR(t&lt;Tnet,NoTnet),'2021'!Resal_s+('2021'!Salim-'2021'!Resal_s)*(1-EXP(('2021'!Tnet_s-t)/'2021'!Tau_j)),Resal_s+(Salim-Resal_s)*(1-EXP((Tnet_s-t)/Tau_j)))*Salcycl</f>
        <v>0.1145187186998522</v>
      </c>
      <c r="AD332" s="230">
        <f>(INDEX(Models!$BJ332:$BT332,,AH332)*(1-AF332)+INDEX(Models!$BJ332:$BT332,,AH332+1)*AF332-ERP_i)*AE332*Ramure*Pc/MaxiM</f>
        <v>1.3709107926482571E-4</v>
      </c>
      <c r="AE332" s="304">
        <f t="shared" si="112"/>
        <v>0.6</v>
      </c>
      <c r="AF332" s="177">
        <f t="shared" si="113"/>
        <v>0.49848915316018416</v>
      </c>
      <c r="AG332" s="799">
        <f t="shared" si="119"/>
        <v>0</v>
      </c>
      <c r="AH332" s="176">
        <f t="shared" si="114"/>
        <v>6</v>
      </c>
      <c r="AI332" s="224">
        <f t="shared" si="115"/>
        <v>0.49848915316018416</v>
      </c>
      <c r="AJ332" s="264" t="b">
        <f t="shared" si="116"/>
        <v>0</v>
      </c>
      <c r="AK332" s="264" t="b">
        <f t="shared" si="117"/>
        <v>0</v>
      </c>
      <c r="AL332" s="264"/>
      <c r="AM332" s="264"/>
      <c r="AN332" s="75"/>
    </row>
    <row r="333" spans="1:40" s="6" customFormat="1" ht="11.25" x14ac:dyDescent="0.2">
      <c r="A333" s="56">
        <f t="shared" si="118"/>
        <v>44880</v>
      </c>
      <c r="B333" s="607">
        <v>13.471</v>
      </c>
      <c r="C333" s="388"/>
      <c r="D333" s="391">
        <f t="shared" si="98"/>
        <v>13.833089683080894</v>
      </c>
      <c r="E333" s="383">
        <f t="shared" si="120"/>
        <v>14.177675474313078</v>
      </c>
      <c r="F333" s="383">
        <f t="shared" si="99"/>
        <v>14.17807127352037</v>
      </c>
      <c r="G333" s="110">
        <f t="shared" si="121"/>
        <v>0.42825781974427785</v>
      </c>
      <c r="H333" s="412" t="b">
        <f>Wh_hp&gt;='2021'!Maxi_hp</f>
        <v>0</v>
      </c>
      <c r="I333" s="379">
        <f>IF(H333,Wh_hp,'2021'!Maxi_hp)</f>
        <v>27.924813714733766</v>
      </c>
      <c r="J333" s="85">
        <f>IF(H333,An,'2021'!An_max)</f>
        <v>2020</v>
      </c>
      <c r="K333" s="197">
        <f t="shared" si="100"/>
        <v>44880</v>
      </c>
      <c r="L333" s="147">
        <f>IF(t&lt;Tvie,1-EXP((T0-t)*PertePVj)+'2021'!Pspv,1-EXP((T0-t)*PertePVj)+Pspv)</f>
        <v>2.6175618851351889E-2</v>
      </c>
      <c r="M333" s="832"/>
      <c r="N333" s="832"/>
      <c r="O333" s="48">
        <f>IF(t&lt;Tnet,'2021'!Resal+('2021'!Salim-'2021'!Resal)*(1-EXP(('2021'!Tnet-t)/('2021'!Tau_j))),Resal+(Salim-Resal)*(1-EXP((Tnet-t)/(Tau_j))))*Salcycl</f>
        <v>2.4304815825168209E-2</v>
      </c>
      <c r="P333" s="169">
        <f>(INDEX(Models!$BJ333:$BT333,,T333)*(1-R333)+INDEX(Models!$BJ333:$BT333,,T333+1)*R333-ERP_i)*Q333*Ramure*Pc/MaxiM</f>
        <v>1.522970860553057E-4</v>
      </c>
      <c r="Q333" s="304">
        <f t="shared" si="101"/>
        <v>0.6</v>
      </c>
      <c r="R333" s="177">
        <f t="shared" si="102"/>
        <v>0.49852086269147927</v>
      </c>
      <c r="S333" s="799">
        <f t="shared" si="103"/>
        <v>0</v>
      </c>
      <c r="T333" s="176">
        <f t="shared" si="104"/>
        <v>6</v>
      </c>
      <c r="U333" s="250">
        <f t="shared" si="105"/>
        <v>0.49852086269147927</v>
      </c>
      <c r="V333" s="382">
        <f t="shared" si="106"/>
        <v>31.451438359300152</v>
      </c>
      <c r="W333" s="400"/>
      <c r="X333" s="157">
        <f t="shared" si="107"/>
        <v>44880</v>
      </c>
      <c r="Y333" s="383">
        <f t="shared" si="108"/>
        <v>12.226611759163495</v>
      </c>
      <c r="Z333" s="383">
        <f t="shared" si="109"/>
        <v>12.555253283699805</v>
      </c>
      <c r="AA333" s="384">
        <f t="shared" si="110"/>
        <v>14.177675474313078</v>
      </c>
      <c r="AB333" s="197">
        <f t="shared" si="111"/>
        <v>44880</v>
      </c>
      <c r="AC333" s="119">
        <f>IF(OR(t&lt;Tnet,NoTnet),'2021'!Resal_s+('2021'!Salim-'2021'!Resal_s)*(1-EXP(('2021'!Tnet_s-t)/'2021'!Tau_j)),Resal_s+(Salim-Resal_s)*(1-EXP((Tnet_s-t)/Tau_j)))*Salcycl</f>
        <v>0.11443499278515408</v>
      </c>
      <c r="AD333" s="230">
        <f>(INDEX(Models!$BJ333:$BT333,,AH333)*(1-AF333)+INDEX(Models!$BJ333:$BT333,,AH333+1)*AF333-ERP_i)*AE333*Ramure*Pc/MaxiM</f>
        <v>1.522970860553057E-4</v>
      </c>
      <c r="AE333" s="304">
        <f t="shared" si="112"/>
        <v>0.6</v>
      </c>
      <c r="AF333" s="177">
        <f t="shared" si="113"/>
        <v>0.49852086269147927</v>
      </c>
      <c r="AG333" s="799">
        <f t="shared" si="119"/>
        <v>0</v>
      </c>
      <c r="AH333" s="176">
        <f t="shared" si="114"/>
        <v>6</v>
      </c>
      <c r="AI333" s="224">
        <f t="shared" si="115"/>
        <v>0.49852086269147927</v>
      </c>
      <c r="AJ333" s="264" t="b">
        <f t="shared" si="116"/>
        <v>0</v>
      </c>
      <c r="AK333" s="264" t="b">
        <f t="shared" si="117"/>
        <v>0</v>
      </c>
      <c r="AL333" s="264"/>
      <c r="AM333" s="264"/>
      <c r="AN333" s="75"/>
    </row>
    <row r="334" spans="1:40" s="6" customFormat="1" ht="11.25" x14ac:dyDescent="0.2">
      <c r="A334" s="56">
        <f t="shared" si="118"/>
        <v>44881</v>
      </c>
      <c r="B334" s="607">
        <v>31.574999999999999</v>
      </c>
      <c r="C334" s="388"/>
      <c r="D334" s="391">
        <f t="shared" si="98"/>
        <v>32.42433209776982</v>
      </c>
      <c r="E334" s="383">
        <f t="shared" si="120"/>
        <v>33.23391597078615</v>
      </c>
      <c r="F334" s="383">
        <f t="shared" si="99"/>
        <v>33.239540587277787</v>
      </c>
      <c r="G334" s="110">
        <f t="shared" si="121"/>
        <v>1.0128797109208916</v>
      </c>
      <c r="H334" s="412" t="b">
        <f>Wh_hp&gt;='2021'!Maxi_hp</f>
        <v>1</v>
      </c>
      <c r="I334" s="379">
        <f>IF(H334,Wh_hp,'2021'!Maxi_hp)</f>
        <v>33.239540587277787</v>
      </c>
      <c r="J334" s="85">
        <f>IF(H334,An,'2021'!An_max)</f>
        <v>2022</v>
      </c>
      <c r="K334" s="197">
        <f t="shared" si="100"/>
        <v>44881</v>
      </c>
      <c r="L334" s="147">
        <f>IF(t&lt;Tvie,1-EXP((T0-t)*PertePVj)+'2021'!Pspv,1-EXP((T0-t)*PertePVj)+Pspv)</f>
        <v>2.6194281973451528E-2</v>
      </c>
      <c r="M334" s="832"/>
      <c r="N334" s="832"/>
      <c r="O334" s="48">
        <f>IF(t&lt;Tnet,'2021'!Resal+('2021'!Salim-'2021'!Resal)*(1-EXP(('2021'!Tnet-t)/('2021'!Tau_j))),Resal+(Salim-Resal)*(1-EXP((Tnet-t)/(Tau_j))))*Salcycl</f>
        <v>2.4360170908778411E-2</v>
      </c>
      <c r="P334" s="169">
        <f>(INDEX(Models!$BJ334:$BT334,,T334)*(1-R334)+INDEX(Models!$BJ334:$BT334,,T334+1)*R334-ERP_i)*Q334*Ramure*Pc/MaxiM</f>
        <v>1.6921462788778023E-4</v>
      </c>
      <c r="Q334" s="304">
        <f t="shared" si="101"/>
        <v>0.6</v>
      </c>
      <c r="R334" s="177">
        <f t="shared" si="102"/>
        <v>0.49855129928696884</v>
      </c>
      <c r="S334" s="799">
        <f t="shared" si="103"/>
        <v>0</v>
      </c>
      <c r="T334" s="176">
        <f t="shared" si="104"/>
        <v>6</v>
      </c>
      <c r="U334" s="250">
        <f t="shared" si="105"/>
        <v>0.49855129928696884</v>
      </c>
      <c r="V334" s="382">
        <f t="shared" si="106"/>
        <v>31.17349440368649</v>
      </c>
      <c r="W334" s="400"/>
      <c r="X334" s="157">
        <f t="shared" si="107"/>
        <v>44881</v>
      </c>
      <c r="Y334" s="383">
        <f t="shared" si="108"/>
        <v>28.662534829349088</v>
      </c>
      <c r="Z334" s="383">
        <f t="shared" si="109"/>
        <v>29.433524879515723</v>
      </c>
      <c r="AA334" s="384">
        <f t="shared" si="110"/>
        <v>33.23391597078615</v>
      </c>
      <c r="AB334" s="197">
        <f t="shared" si="111"/>
        <v>44881</v>
      </c>
      <c r="AC334" s="119">
        <f>IF(OR(t&lt;Tnet,NoTnet),'2021'!Resal_s+('2021'!Salim-'2021'!Resal_s)*(1-EXP(('2021'!Tnet_s-t)/'2021'!Tau_j)),Resal_s+(Salim-Resal_s)*(1-EXP((Tnet_s-t)/Tau_j)))*Salcycl</f>
        <v>0.11435279232850905</v>
      </c>
      <c r="AD334" s="230">
        <f>(INDEX(Models!$BJ334:$BT334,,AH334)*(1-AF334)+INDEX(Models!$BJ334:$BT334,,AH334+1)*AF334-ERP_i)*AE334*Ramure*Pc/MaxiM</f>
        <v>1.6921462788778023E-4</v>
      </c>
      <c r="AE334" s="304">
        <f t="shared" si="112"/>
        <v>0.6</v>
      </c>
      <c r="AF334" s="177">
        <f t="shared" si="113"/>
        <v>0.49855129928696884</v>
      </c>
      <c r="AG334" s="799">
        <f t="shared" si="119"/>
        <v>0</v>
      </c>
      <c r="AH334" s="176">
        <f t="shared" si="114"/>
        <v>6</v>
      </c>
      <c r="AI334" s="224">
        <f t="shared" si="115"/>
        <v>0.49855129928696884</v>
      </c>
      <c r="AJ334" s="264" t="b">
        <f t="shared" si="116"/>
        <v>0</v>
      </c>
      <c r="AK334" s="264" t="b">
        <f t="shared" si="117"/>
        <v>0</v>
      </c>
      <c r="AL334" s="264"/>
      <c r="AM334" s="264"/>
      <c r="AN334" s="75"/>
    </row>
    <row r="335" spans="1:40" s="6" customFormat="1" ht="11.25" x14ac:dyDescent="0.2">
      <c r="A335" s="56">
        <f t="shared" si="118"/>
        <v>44882</v>
      </c>
      <c r="B335" s="607">
        <v>14.194000000000001</v>
      </c>
      <c r="C335" s="388"/>
      <c r="D335" s="391">
        <f t="shared" ref="D335:D379" si="122">Wh/(1-Ppv)</f>
        <v>14.576082032821098</v>
      </c>
      <c r="E335" s="383">
        <f t="shared" si="120"/>
        <v>14.940874138721684</v>
      </c>
      <c r="F335" s="383">
        <f t="shared" ref="F335:F379" si="123">Wh_sa/(1-Pvg*MEDIAN((-Sdif+Wh/Env_an)/Csdif,0,1))</f>
        <v>14.941513169789804</v>
      </c>
      <c r="G335" s="110">
        <f t="shared" si="121"/>
        <v>0.45931181570089219</v>
      </c>
      <c r="H335" s="412" t="b">
        <f>Wh_hp&gt;='2021'!Maxi_hp</f>
        <v>0</v>
      </c>
      <c r="I335" s="379">
        <f>IF(H335,Wh_hp,'2021'!Maxi_hp)</f>
        <v>24.838157791635798</v>
      </c>
      <c r="J335" s="85">
        <f>IF(H335,An,'2021'!An_max)</f>
        <v>2020</v>
      </c>
      <c r="K335" s="197">
        <f t="shared" ref="K335:K379" si="124">t</f>
        <v>44882</v>
      </c>
      <c r="L335" s="147">
        <f>IF(t&lt;Tvie,1-EXP((T0-t)*PertePVj)+'2021'!Pspv,1-EXP((T0-t)*PertePVj)+Pspv)</f>
        <v>2.621294473787672E-2</v>
      </c>
      <c r="M335" s="832"/>
      <c r="N335" s="832"/>
      <c r="O335" s="48">
        <f>IF(t&lt;Tnet,'2021'!Resal+('2021'!Salim-'2021'!Resal)*(1-EXP(('2021'!Tnet-t)/('2021'!Tau_j))),Resal+(Salim-Resal)*(1-EXP((Tnet-t)/(Tau_j))))*Salcycl</f>
        <v>2.4415713733587262E-2</v>
      </c>
      <c r="P335" s="169">
        <f>(INDEX(Models!$BJ335:$BT335,,T335)*(1-R335)+INDEX(Models!$BJ335:$BT335,,T335+1)*R335-ERP_i)*Q335*Ramure*Pc/MaxiM</f>
        <v>1.87843338260613E-4</v>
      </c>
      <c r="Q335" s="304">
        <f t="shared" ref="Q335:Q379" si="125">IF(OR(t&lt;Ttai,Notai),Dd+PousD*Croivg,Dens+PousD*(Croivg-Croi_tai))</f>
        <v>0.6</v>
      </c>
      <c r="R335" s="177">
        <f t="shared" ref="R335:R379" si="126">(Hp_vg-S335)/(INDEX(Echel_vg,T335+1)-S335)</f>
        <v>0.49858051390096308</v>
      </c>
      <c r="S335" s="799">
        <f t="shared" ref="S335:S379" si="127">INDEX(Echel_vg,T335)</f>
        <v>0</v>
      </c>
      <c r="T335" s="176">
        <f t="shared" ref="T335:T379" si="128">MIN(MATCH(Hp_vg,Echel_vg),10)</f>
        <v>6</v>
      </c>
      <c r="U335" s="250">
        <f t="shared" ref="U335:U379" si="129">IF(OR(t&lt;Ttai,Notai),Hdd+PousH*Croivg,Hdtf+PousH*(Croivg-Croi_tai))</f>
        <v>0.49858051390096308</v>
      </c>
      <c r="V335" s="382">
        <f t="shared" ref="V335:V379" si="130">MaxiM*(1-Ppv)*(1-Pvg)*(1-Psa)</f>
        <v>30.89827049785433</v>
      </c>
      <c r="W335" s="400"/>
      <c r="X335" s="157">
        <f t="shared" ref="X335:X379" si="131">t</f>
        <v>44882</v>
      </c>
      <c r="Y335" s="383">
        <f t="shared" ref="Y335:Y379" si="132">Wh_pvt_s*(1-Ppv)</f>
        <v>12.886657325407045</v>
      </c>
      <c r="Z335" s="383">
        <f t="shared" ref="Z335:Z379" si="133">Wh_sa_s*(1-Psa_s)</f>
        <v>13.233547576721714</v>
      </c>
      <c r="AA335" s="384">
        <f t="shared" ref="AA335:AA379" si="134">Wh_hp*(1-Pvg_s*MEDIAN((-Sdif+Wh/Env_an)/Csdif,0,1))</f>
        <v>14.940874138721684</v>
      </c>
      <c r="AB335" s="197">
        <f t="shared" ref="AB335:AB379" si="135">t</f>
        <v>44882</v>
      </c>
      <c r="AC335" s="119">
        <f>IF(OR(t&lt;Tnet,NoTnet),'2021'!Resal_s+('2021'!Salim-'2021'!Resal_s)*(1-EXP(('2021'!Tnet_s-t)/'2021'!Tau_j)),Resal_s+(Salim-Resal_s)*(1-EXP((Tnet_s-t)/Tau_j)))*Salcycl</f>
        <v>0.1142722002841292</v>
      </c>
      <c r="AD335" s="230">
        <f>(INDEX(Models!$BJ335:$BT335,,AH335)*(1-AF335)+INDEX(Models!$BJ335:$BT335,,AH335+1)*AF335-ERP_i)*AE335*Ramure*Pc/MaxiM</f>
        <v>1.87843338260613E-4</v>
      </c>
      <c r="AE335" s="304">
        <f t="shared" ref="AE335:AE379" si="136">IF(OR(t&lt;Ttai,Notai),Dd_s+PousD*Croivg,Dens_s+PousD*(Croivg-Croi_tai))</f>
        <v>0.6</v>
      </c>
      <c r="AF335" s="177">
        <f t="shared" ref="AF335:AF379" si="137">(Hp_vg_s-AG335)/(INDEX(Echel_vg,AH335+1)-AG335)</f>
        <v>0.49858051390096308</v>
      </c>
      <c r="AG335" s="799">
        <f t="shared" si="119"/>
        <v>0</v>
      </c>
      <c r="AH335" s="176">
        <f t="shared" ref="AH335:AH379" si="138">MIN(MATCH(Hp_vg_s,Echel_vg),10)</f>
        <v>6</v>
      </c>
      <c r="AI335" s="224">
        <f t="shared" ref="AI335:AI379" si="139">IF(OR(t&lt;Ttai,Notai),Hdd_s+PousH*Croivg,Hdtai_s+PousH*(Croivg-Croi_tai))</f>
        <v>0.49858051390096308</v>
      </c>
      <c r="AJ335" s="264" t="b">
        <f t="shared" ref="AJ335:AJ380" si="140">t&lt;Tnet</f>
        <v>0</v>
      </c>
      <c r="AK335" s="264" t="b">
        <f t="shared" ref="AK335:AK380" si="141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2">A335+1</f>
        <v>44883</v>
      </c>
      <c r="B336" s="607">
        <v>18.097000000000001</v>
      </c>
      <c r="C336" s="388"/>
      <c r="D336" s="391">
        <f t="shared" si="122"/>
        <v>18.584501338079434</v>
      </c>
      <c r="E336" s="383">
        <f t="shared" si="120"/>
        <v>19.050699853612215</v>
      </c>
      <c r="F336" s="383">
        <f t="shared" si="123"/>
        <v>19.05234810497808</v>
      </c>
      <c r="G336" s="110">
        <f t="shared" si="121"/>
        <v>0.59081799287165138</v>
      </c>
      <c r="H336" s="412" t="b">
        <f>Wh_hp&gt;='2021'!Maxi_hp</f>
        <v>0</v>
      </c>
      <c r="I336" s="379">
        <f>IF(H336,Wh_hp,'2021'!Maxi_hp)</f>
        <v>29.745287536442678</v>
      </c>
      <c r="J336" s="85">
        <f>IF(H336,An,'2021'!An_max)</f>
        <v>2020</v>
      </c>
      <c r="K336" s="197">
        <f t="shared" si="124"/>
        <v>44883</v>
      </c>
      <c r="L336" s="147">
        <f>IF(t&lt;Tvie,1-EXP((T0-t)*PertePVj)+'2021'!Pspv,1-EXP((T0-t)*PertePVj)+Pspv)</f>
        <v>2.623160714463435E-2</v>
      </c>
      <c r="M336" s="832"/>
      <c r="N336" s="832"/>
      <c r="O336" s="48">
        <f>IF(t&lt;Tnet,'2021'!Resal+('2021'!Salim-'2021'!Resal)*(1-EXP(('2021'!Tnet-t)/('2021'!Tau_j))),Resal+(Salim-Resal)*(1-EXP((Tnet-t)/(Tau_j))))*Salcycl</f>
        <v>2.4471463994241938E-2</v>
      </c>
      <c r="P336" s="169">
        <f>(INDEX(Models!$BJ336:$BT336,,T336)*(1-R336)+INDEX(Models!$BJ336:$BT336,,T336+1)*R336-ERP_i)*Q336*Ramure*Pc/MaxiM</f>
        <v>2.0818255979425089E-4</v>
      </c>
      <c r="Q336" s="304">
        <f t="shared" si="125"/>
        <v>0.6</v>
      </c>
      <c r="R336" s="177">
        <f t="shared" si="126"/>
        <v>0.49860855545962646</v>
      </c>
      <c r="S336" s="799">
        <f t="shared" si="127"/>
        <v>0</v>
      </c>
      <c r="T336" s="176">
        <f t="shared" si="128"/>
        <v>6</v>
      </c>
      <c r="U336" s="250">
        <f t="shared" si="129"/>
        <v>0.49860855545962646</v>
      </c>
      <c r="V336" s="382">
        <f t="shared" si="130"/>
        <v>30.626687322641651</v>
      </c>
      <c r="W336" s="400"/>
      <c r="X336" s="157">
        <f t="shared" si="131"/>
        <v>44883</v>
      </c>
      <c r="Y336" s="383">
        <f t="shared" si="132"/>
        <v>16.432573086134951</v>
      </c>
      <c r="Z336" s="383">
        <f t="shared" si="133"/>
        <v>16.87523769173692</v>
      </c>
      <c r="AA336" s="384">
        <f t="shared" si="134"/>
        <v>19.050699853612215</v>
      </c>
      <c r="AB336" s="197">
        <f t="shared" si="135"/>
        <v>44883</v>
      </c>
      <c r="AC336" s="119">
        <f>IF(OR(t&lt;Tnet,NoTnet),'2021'!Resal_s+('2021'!Salim-'2021'!Resal_s)*(1-EXP(('2021'!Tnet_s-t)/'2021'!Tau_j)),Resal_s+(Salim-Resal_s)*(1-EXP((Tnet_s-t)/Tau_j)))*Salcycl</f>
        <v>0.11419329361082788</v>
      </c>
      <c r="AD336" s="230">
        <f>(INDEX(Models!$BJ336:$BT336,,AH336)*(1-AF336)+INDEX(Models!$BJ336:$BT336,,AH336+1)*AF336-ERP_i)*AE336*Ramure*Pc/MaxiM</f>
        <v>2.0818255979425089E-4</v>
      </c>
      <c r="AE336" s="304">
        <f t="shared" si="136"/>
        <v>0.6</v>
      </c>
      <c r="AF336" s="177">
        <f t="shared" si="137"/>
        <v>0.49860855545962646</v>
      </c>
      <c r="AG336" s="799">
        <f t="shared" ref="AG336:AG379" si="143">INDEX(Echel_vg,AH336)</f>
        <v>0</v>
      </c>
      <c r="AH336" s="176">
        <f t="shared" si="138"/>
        <v>6</v>
      </c>
      <c r="AI336" s="224">
        <f t="shared" si="139"/>
        <v>0.49860855545962646</v>
      </c>
      <c r="AJ336" s="264" t="b">
        <f t="shared" si="140"/>
        <v>0</v>
      </c>
      <c r="AK336" s="264" t="b">
        <f t="shared" si="141"/>
        <v>0</v>
      </c>
      <c r="AL336" s="264"/>
      <c r="AM336" s="264"/>
      <c r="AN336" s="75"/>
    </row>
    <row r="337" spans="1:40" s="6" customFormat="1" ht="11.25" x14ac:dyDescent="0.2">
      <c r="A337" s="56">
        <f t="shared" si="142"/>
        <v>44884</v>
      </c>
      <c r="B337" s="607">
        <v>7.141</v>
      </c>
      <c r="C337" s="388"/>
      <c r="D337" s="391">
        <f t="shared" si="122"/>
        <v>7.3335065202916372</v>
      </c>
      <c r="E337" s="383">
        <f t="shared" si="120"/>
        <v>7.5179013974032856</v>
      </c>
      <c r="F337" s="383">
        <f t="shared" si="123"/>
        <v>7.5179013974032856</v>
      </c>
      <c r="G337" s="110">
        <f t="shared" si="121"/>
        <v>0.23515924376939776</v>
      </c>
      <c r="H337" s="412" t="b">
        <f>Wh_hp&gt;='2021'!Maxi_hp</f>
        <v>0</v>
      </c>
      <c r="I337" s="379">
        <f>IF(H337,Wh_hp,'2021'!Maxi_hp)</f>
        <v>31.924931644225545</v>
      </c>
      <c r="J337" s="85">
        <f>IF(H337,An,'2021'!An_max)</f>
        <v>2020</v>
      </c>
      <c r="K337" s="197">
        <f t="shared" si="124"/>
        <v>44884</v>
      </c>
      <c r="L337" s="147">
        <f>IF(t&lt;Tvie,1-EXP((T0-t)*PertePVj)+'2021'!Pspv,1-EXP((T0-t)*PertePVj)+Pspv)</f>
        <v>2.6250269193731079E-2</v>
      </c>
      <c r="M337" s="832"/>
      <c r="N337" s="832"/>
      <c r="O337" s="48">
        <f>IF(t&lt;Tnet,'2021'!Resal+('2021'!Salim-'2021'!Resal)*(1-EXP(('2021'!Tnet-t)/('2021'!Tau_j))),Resal+(Salim-Resal)*(1-EXP((Tnet-t)/(Tau_j))))*Salcycl</f>
        <v>2.4527440220929071E-2</v>
      </c>
      <c r="P337" s="169">
        <f>(INDEX(Models!$BJ337:$BT337,,T337)*(1-R337)+INDEX(Models!$BJ337:$BT337,,T337+1)*R337-ERP_i)*Q337*Ramure*Pc/MaxiM</f>
        <v>2.3023091328641668E-4</v>
      </c>
      <c r="Q337" s="304">
        <f t="shared" si="125"/>
        <v>0.6</v>
      </c>
      <c r="R337" s="177">
        <f t="shared" si="126"/>
        <v>0.49863547094079697</v>
      </c>
      <c r="S337" s="799">
        <f t="shared" si="127"/>
        <v>0</v>
      </c>
      <c r="T337" s="176">
        <f t="shared" si="128"/>
        <v>6</v>
      </c>
      <c r="U337" s="250">
        <f t="shared" si="129"/>
        <v>0.49863547094079697</v>
      </c>
      <c r="V337" s="382">
        <f t="shared" si="130"/>
        <v>30.359665249005598</v>
      </c>
      <c r="W337" s="400"/>
      <c r="X337" s="157">
        <f t="shared" si="131"/>
        <v>44884</v>
      </c>
      <c r="Y337" s="383">
        <f t="shared" si="132"/>
        <v>6.4851610224231688</v>
      </c>
      <c r="Z337" s="383">
        <f t="shared" si="133"/>
        <v>6.6599874867779709</v>
      </c>
      <c r="AA337" s="384">
        <f t="shared" si="134"/>
        <v>7.5179013974032856</v>
      </c>
      <c r="AB337" s="197">
        <f t="shared" si="135"/>
        <v>44884</v>
      </c>
      <c r="AC337" s="119">
        <f>IF(OR(t&lt;Tnet,NoTnet),'2021'!Resal_s+('2021'!Salim-'2021'!Resal_s)*(1-EXP(('2021'!Tnet_s-t)/'2021'!Tau_j)),Resal_s+(Salim-Resal_s)*(1-EXP((Tnet_s-t)/Tau_j)))*Salcycl</f>
        <v>0.1141161429600076</v>
      </c>
      <c r="AD337" s="230">
        <f>(INDEX(Models!$BJ337:$BT337,,AH337)*(1-AF337)+INDEX(Models!$BJ337:$BT337,,AH337+1)*AF337-ERP_i)*AE337*Ramure*Pc/MaxiM</f>
        <v>2.3023091328641668E-4</v>
      </c>
      <c r="AE337" s="304">
        <f t="shared" si="136"/>
        <v>0.6</v>
      </c>
      <c r="AF337" s="177">
        <f t="shared" si="137"/>
        <v>0.49863547094079697</v>
      </c>
      <c r="AG337" s="799">
        <f t="shared" si="143"/>
        <v>0</v>
      </c>
      <c r="AH337" s="176">
        <f t="shared" si="138"/>
        <v>6</v>
      </c>
      <c r="AI337" s="224">
        <f t="shared" si="139"/>
        <v>0.49863547094079697</v>
      </c>
      <c r="AJ337" s="264" t="b">
        <f t="shared" si="140"/>
        <v>0</v>
      </c>
      <c r="AK337" s="264" t="b">
        <f t="shared" si="141"/>
        <v>0</v>
      </c>
      <c r="AL337" s="264"/>
      <c r="AM337" s="264"/>
      <c r="AN337" s="75"/>
    </row>
    <row r="338" spans="1:40" s="6" customFormat="1" ht="11.25" x14ac:dyDescent="0.2">
      <c r="A338" s="56">
        <f t="shared" si="142"/>
        <v>44885</v>
      </c>
      <c r="B338" s="607">
        <v>18.372</v>
      </c>
      <c r="C338" s="388"/>
      <c r="D338" s="391">
        <f t="shared" si="122"/>
        <v>18.867632535029554</v>
      </c>
      <c r="E338" s="383">
        <f t="shared" si="120"/>
        <v>19.343158152578514</v>
      </c>
      <c r="F338" s="383">
        <f t="shared" si="123"/>
        <v>19.345334551067953</v>
      </c>
      <c r="G338" s="110">
        <f t="shared" si="121"/>
        <v>0.61031711402532229</v>
      </c>
      <c r="H338" s="412" t="b">
        <f>Wh_hp&gt;='2021'!Maxi_hp</f>
        <v>0</v>
      </c>
      <c r="I338" s="379">
        <f>IF(H338,Wh_hp,'2021'!Maxi_hp)</f>
        <v>32.554516773217912</v>
      </c>
      <c r="J338" s="85">
        <f>IF(H338,An,'2021'!An_max)</f>
        <v>2018</v>
      </c>
      <c r="K338" s="197">
        <f t="shared" si="124"/>
        <v>44885</v>
      </c>
      <c r="L338" s="147">
        <f>IF(t&lt;Tvie,1-EXP((T0-t)*PertePVj)+'2021'!Pspv,1-EXP((T0-t)*PertePVj)+Pspv)</f>
        <v>2.6268930885174013E-2</v>
      </c>
      <c r="M338" s="832"/>
      <c r="N338" s="832"/>
      <c r="O338" s="48">
        <f>IF(t&lt;Tnet,'2021'!Resal+('2021'!Salim-'2021'!Resal)*(1-EXP(('2021'!Tnet-t)/('2021'!Tau_j))),Resal+(Salim-Resal)*(1-EXP((Tnet-t)/(Tau_j))))*Salcycl</f>
        <v>2.4583659700138955E-2</v>
      </c>
      <c r="P338" s="169">
        <f>(INDEX(Models!$BJ338:$BT338,,T338)*(1-R338)+INDEX(Models!$BJ338:$BT338,,T338+1)*R338-ERP_i)*Q338*Ramure*Pc/MaxiM</f>
        <v>2.5370782323041682E-4</v>
      </c>
      <c r="Q338" s="304">
        <f t="shared" si="125"/>
        <v>0.6</v>
      </c>
      <c r="R338" s="177">
        <f t="shared" si="126"/>
        <v>0.498661305450736</v>
      </c>
      <c r="S338" s="799">
        <f t="shared" si="127"/>
        <v>0</v>
      </c>
      <c r="T338" s="176">
        <f t="shared" si="128"/>
        <v>6</v>
      </c>
      <c r="U338" s="250">
        <f t="shared" si="129"/>
        <v>0.498661305450736</v>
      </c>
      <c r="V338" s="382">
        <f t="shared" si="130"/>
        <v>30.09813269489862</v>
      </c>
      <c r="W338" s="400"/>
      <c r="X338" s="157">
        <f t="shared" si="131"/>
        <v>44885</v>
      </c>
      <c r="Y338" s="383">
        <f t="shared" si="132"/>
        <v>16.687071481226361</v>
      </c>
      <c r="Z338" s="383">
        <f t="shared" si="133"/>
        <v>17.137248682427078</v>
      </c>
      <c r="AA338" s="384">
        <f t="shared" si="134"/>
        <v>19.343158152578514</v>
      </c>
      <c r="AB338" s="197">
        <f t="shared" si="135"/>
        <v>44885</v>
      </c>
      <c r="AC338" s="119">
        <f>IF(OR(t&lt;Tnet,NoTnet),'2021'!Resal_s+('2021'!Salim-'2021'!Resal_s)*(1-EXP(('2021'!Tnet_s-t)/'2021'!Tau_j)),Resal_s+(Salim-Resal_s)*(1-EXP((Tnet_s-t)/Tau_j)))*Salcycl</f>
        <v>0.11404081240256937</v>
      </c>
      <c r="AD338" s="230">
        <f>(INDEX(Models!$BJ338:$BT338,,AH338)*(1-AF338)+INDEX(Models!$BJ338:$BT338,,AH338+1)*AF338-ERP_i)*AE338*Ramure*Pc/MaxiM</f>
        <v>2.5370782323041682E-4</v>
      </c>
      <c r="AE338" s="304">
        <f t="shared" si="136"/>
        <v>0.6</v>
      </c>
      <c r="AF338" s="177">
        <f t="shared" si="137"/>
        <v>0.498661305450736</v>
      </c>
      <c r="AG338" s="799">
        <f t="shared" si="143"/>
        <v>0</v>
      </c>
      <c r="AH338" s="176">
        <f t="shared" si="138"/>
        <v>6</v>
      </c>
      <c r="AI338" s="224">
        <f t="shared" si="139"/>
        <v>0.498661305450736</v>
      </c>
      <c r="AJ338" s="264" t="b">
        <f t="shared" si="140"/>
        <v>0</v>
      </c>
      <c r="AK338" s="264" t="b">
        <f t="shared" si="141"/>
        <v>0</v>
      </c>
      <c r="AL338" s="264"/>
      <c r="AM338" s="264"/>
      <c r="AN338" s="75"/>
    </row>
    <row r="339" spans="1:40" s="6" customFormat="1" ht="11.25" x14ac:dyDescent="0.2">
      <c r="A339" s="56">
        <f t="shared" si="142"/>
        <v>44886</v>
      </c>
      <c r="B339" s="607">
        <v>3.2829999999999999</v>
      </c>
      <c r="C339" s="388"/>
      <c r="D339" s="391">
        <f t="shared" si="122"/>
        <v>3.3716320894806606</v>
      </c>
      <c r="E339" s="383">
        <f t="shared" si="120"/>
        <v>3.4568083250432</v>
      </c>
      <c r="F339" s="383">
        <f t="shared" si="123"/>
        <v>3.4568083250432</v>
      </c>
      <c r="G339" s="110">
        <f t="shared" si="121"/>
        <v>0.10997836401847973</v>
      </c>
      <c r="H339" s="412" t="b">
        <f>Wh_hp&gt;='2021'!Maxi_hp</f>
        <v>0</v>
      </c>
      <c r="I339" s="379">
        <f>IF(H339,Wh_hp,'2021'!Maxi_hp)</f>
        <v>29.917682231011785</v>
      </c>
      <c r="J339" s="85">
        <f>IF(H339,An,'2021'!An_max)</f>
        <v>2018</v>
      </c>
      <c r="K339" s="197">
        <f t="shared" si="124"/>
        <v>44886</v>
      </c>
      <c r="L339" s="147">
        <f>IF(t&lt;Tvie,1-EXP((T0-t)*PertePVj)+'2021'!Pspv,1-EXP((T0-t)*PertePVj)+Pspv)</f>
        <v>2.6287592218969813E-2</v>
      </c>
      <c r="M339" s="832"/>
      <c r="N339" s="832"/>
      <c r="O339" s="48">
        <f>IF(t&lt;Tnet,'2021'!Resal+('2021'!Salim-'2021'!Resal)*(1-EXP(('2021'!Tnet-t)/('2021'!Tau_j))),Resal+(Salim-Resal)*(1-EXP((Tnet-t)/(Tau_j))))*Salcycl</f>
        <v>2.4640138403240738E-2</v>
      </c>
      <c r="P339" s="169">
        <f>(INDEX(Models!$BJ339:$BT339,,T339)*(1-R339)+INDEX(Models!$BJ339:$BT339,,T339+1)*R339-ERP_i)*Q339*Ramure*Pc/MaxiM</f>
        <v>2.7772230561231729E-4</v>
      </c>
      <c r="Q339" s="304">
        <f t="shared" si="125"/>
        <v>0.6</v>
      </c>
      <c r="R339" s="177">
        <f t="shared" si="126"/>
        <v>0.4986861022979211</v>
      </c>
      <c r="S339" s="799">
        <f t="shared" si="127"/>
        <v>0</v>
      </c>
      <c r="T339" s="176">
        <f t="shared" si="128"/>
        <v>6</v>
      </c>
      <c r="U339" s="250">
        <f t="shared" si="129"/>
        <v>0.4986861022979211</v>
      </c>
      <c r="V339" s="382">
        <f t="shared" si="130"/>
        <v>29.843035645803784</v>
      </c>
      <c r="W339" s="400"/>
      <c r="X339" s="157">
        <f t="shared" si="131"/>
        <v>44886</v>
      </c>
      <c r="Y339" s="383">
        <f t="shared" si="132"/>
        <v>2.9823301883631212</v>
      </c>
      <c r="Z339" s="383">
        <f t="shared" si="133"/>
        <v>3.0628450089893398</v>
      </c>
      <c r="AA339" s="384">
        <f t="shared" si="134"/>
        <v>3.4568083250432</v>
      </c>
      <c r="AB339" s="197">
        <f t="shared" si="135"/>
        <v>44886</v>
      </c>
      <c r="AC339" s="119">
        <f>IF(OR(t&lt;Tnet,NoTnet),'2021'!Resal_s+('2021'!Salim-'2021'!Resal_s)*(1-EXP(('2021'!Tnet_s-t)/'2021'!Tau_j)),Resal_s+(Salim-Resal_s)*(1-EXP((Tnet_s-t)/Tau_j)))*Salcycl</f>
        <v>0.11396735919656086</v>
      </c>
      <c r="AD339" s="230">
        <f>(INDEX(Models!$BJ339:$BT339,,AH339)*(1-AF339)+INDEX(Models!$BJ339:$BT339,,AH339+1)*AF339-ERP_i)*AE339*Ramure*Pc/MaxiM</f>
        <v>2.7772230561231729E-4</v>
      </c>
      <c r="AE339" s="304">
        <f t="shared" si="136"/>
        <v>0.6</v>
      </c>
      <c r="AF339" s="177">
        <f t="shared" si="137"/>
        <v>0.4986861022979211</v>
      </c>
      <c r="AG339" s="799">
        <f t="shared" si="143"/>
        <v>0</v>
      </c>
      <c r="AH339" s="176">
        <f t="shared" si="138"/>
        <v>6</v>
      </c>
      <c r="AI339" s="224">
        <f t="shared" si="139"/>
        <v>0.4986861022979211</v>
      </c>
      <c r="AJ339" s="264" t="b">
        <f t="shared" si="140"/>
        <v>0</v>
      </c>
      <c r="AK339" s="264" t="b">
        <f t="shared" si="141"/>
        <v>0</v>
      </c>
      <c r="AL339" s="264"/>
      <c r="AM339" s="264"/>
      <c r="AN339" s="75"/>
    </row>
    <row r="340" spans="1:40" s="6" customFormat="1" ht="11.25" x14ac:dyDescent="0.2">
      <c r="A340" s="56">
        <f t="shared" si="142"/>
        <v>44887</v>
      </c>
      <c r="B340" s="607">
        <v>8.4120000000000008</v>
      </c>
      <c r="C340" s="388"/>
      <c r="D340" s="391">
        <f t="shared" si="122"/>
        <v>8.6392667382362696</v>
      </c>
      <c r="E340" s="383">
        <f t="shared" si="120"/>
        <v>8.8580326032340526</v>
      </c>
      <c r="F340" s="383">
        <f t="shared" si="123"/>
        <v>8.8580326032340526</v>
      </c>
      <c r="G340" s="110">
        <f t="shared" si="121"/>
        <v>0.28414847678563476</v>
      </c>
      <c r="H340" s="412" t="b">
        <f>Wh_hp&gt;='2021'!Maxi_hp</f>
        <v>0</v>
      </c>
      <c r="I340" s="379">
        <f>IF(H340,Wh_hp,'2021'!Maxi_hp)</f>
        <v>32.069171926586371</v>
      </c>
      <c r="J340" s="85">
        <f>IF(H340,An,'2021'!An_max)</f>
        <v>2020</v>
      </c>
      <c r="K340" s="197">
        <f t="shared" si="124"/>
        <v>44887</v>
      </c>
      <c r="L340" s="147">
        <f>IF(t&lt;Tvie,1-EXP((T0-t)*PertePVj)+'2021'!Pspv,1-EXP((T0-t)*PertePVj)+Pspv)</f>
        <v>2.6306253195125473E-2</v>
      </c>
      <c r="M340" s="832"/>
      <c r="N340" s="832"/>
      <c r="O340" s="48">
        <f>IF(t&lt;Tnet,'2021'!Resal+('2021'!Salim-'2021'!Resal)*(1-EXP(('2021'!Tnet-t)/('2021'!Tau_j))),Resal+(Salim-Resal)*(1-EXP((Tnet-t)/(Tau_j))))*Salcycl</f>
        <v>2.4696890923376371E-2</v>
      </c>
      <c r="P340" s="169">
        <f>(INDEX(Models!$BJ340:$BT340,,T340)*(1-R340)+INDEX(Models!$BJ340:$BT340,,T340+1)*R340-ERP_i)*Q340*Ramure*Pc/MaxiM</f>
        <v>3.0226894365148677E-4</v>
      </c>
      <c r="Q340" s="304">
        <f t="shared" si="125"/>
        <v>0.6</v>
      </c>
      <c r="R340" s="177">
        <f t="shared" si="126"/>
        <v>0.49870990306398971</v>
      </c>
      <c r="S340" s="799">
        <f t="shared" si="127"/>
        <v>0</v>
      </c>
      <c r="T340" s="176">
        <f t="shared" si="128"/>
        <v>6</v>
      </c>
      <c r="U340" s="250">
        <f t="shared" si="129"/>
        <v>0.49870990306398971</v>
      </c>
      <c r="V340" s="382">
        <f t="shared" si="130"/>
        <v>29.595292604683593</v>
      </c>
      <c r="W340" s="400"/>
      <c r="X340" s="157">
        <f t="shared" si="131"/>
        <v>44887</v>
      </c>
      <c r="Y340" s="383">
        <f t="shared" si="132"/>
        <v>7.6426581422862272</v>
      </c>
      <c r="Z340" s="383">
        <f t="shared" si="133"/>
        <v>7.8491395958587731</v>
      </c>
      <c r="AA340" s="384">
        <f t="shared" si="134"/>
        <v>8.8580326032340526</v>
      </c>
      <c r="AB340" s="197">
        <f t="shared" si="135"/>
        <v>44887</v>
      </c>
      <c r="AC340" s="119">
        <f>IF(OR(t&lt;Tnet,NoTnet),'2021'!Resal_s+('2021'!Salim-'2021'!Resal_s)*(1-EXP(('2021'!Tnet_s-t)/'2021'!Tau_j)),Resal_s+(Salim-Resal_s)*(1-EXP((Tnet_s-t)/Tau_j)))*Salcycl</f>
        <v>0.11389583359706021</v>
      </c>
      <c r="AD340" s="230">
        <f>(INDEX(Models!$BJ340:$BT340,,AH340)*(1-AF340)+INDEX(Models!$BJ340:$BT340,,AH340+1)*AF340-ERP_i)*AE340*Ramure*Pc/MaxiM</f>
        <v>3.0226894365148677E-4</v>
      </c>
      <c r="AE340" s="304">
        <f t="shared" si="136"/>
        <v>0.6</v>
      </c>
      <c r="AF340" s="177">
        <f t="shared" si="137"/>
        <v>0.49870990306398971</v>
      </c>
      <c r="AG340" s="799">
        <f t="shared" si="143"/>
        <v>0</v>
      </c>
      <c r="AH340" s="176">
        <f t="shared" si="138"/>
        <v>6</v>
      </c>
      <c r="AI340" s="224">
        <f t="shared" si="139"/>
        <v>0.49870990306398971</v>
      </c>
      <c r="AJ340" s="264" t="b">
        <f t="shared" si="140"/>
        <v>0</v>
      </c>
      <c r="AK340" s="264" t="b">
        <f t="shared" si="141"/>
        <v>0</v>
      </c>
      <c r="AL340" s="264"/>
      <c r="AM340" s="264"/>
      <c r="AN340" s="75"/>
    </row>
    <row r="341" spans="1:40" s="6" customFormat="1" ht="11.25" x14ac:dyDescent="0.2">
      <c r="A341" s="56">
        <f t="shared" si="142"/>
        <v>44888</v>
      </c>
      <c r="B341" s="607">
        <v>13.866</v>
      </c>
      <c r="C341" s="388"/>
      <c r="D341" s="391">
        <f t="shared" si="122"/>
        <v>14.240890207337788</v>
      </c>
      <c r="E341" s="383">
        <f t="shared" si="120"/>
        <v>14.602355909506064</v>
      </c>
      <c r="F341" s="383">
        <f t="shared" si="123"/>
        <v>14.603532831944131</v>
      </c>
      <c r="G341" s="110">
        <f t="shared" si="121"/>
        <v>0.47222586410655809</v>
      </c>
      <c r="H341" s="412" t="b">
        <f>Wh_hp&gt;='2021'!Maxi_hp</f>
        <v>0</v>
      </c>
      <c r="I341" s="379">
        <f>IF(H341,Wh_hp,'2021'!Maxi_hp)</f>
        <v>32.348955390885784</v>
      </c>
      <c r="J341" s="85">
        <f>IF(H341,An,'2021'!An_max)</f>
        <v>2020</v>
      </c>
      <c r="K341" s="197">
        <f t="shared" si="124"/>
        <v>44888</v>
      </c>
      <c r="L341" s="147">
        <f>IF(t&lt;Tvie,1-EXP((T0-t)*PertePVj)+'2021'!Pspv,1-EXP((T0-t)*PertePVj)+Pspv)</f>
        <v>2.6324913813647766E-2</v>
      </c>
      <c r="M341" s="832"/>
      <c r="N341" s="832"/>
      <c r="O341" s="48">
        <f>IF(t&lt;Tnet,'2021'!Resal+('2021'!Salim-'2021'!Resal)*(1-EXP(('2021'!Tnet-t)/('2021'!Tau_j))),Resal+(Salim-Resal)*(1-EXP((Tnet-t)/(Tau_j))))*Salcycl</f>
        <v>2.4753930421115424E-2</v>
      </c>
      <c r="P341" s="169">
        <f>(INDEX(Models!$BJ341:$BT341,,T341)*(1-R341)+INDEX(Models!$BJ341:$BT341,,T341+1)*R341-ERP_i)*Q341*Ramure*Pc/MaxiM</f>
        <v>3.2733749855917937E-4</v>
      </c>
      <c r="Q341" s="304">
        <f t="shared" si="125"/>
        <v>0.6</v>
      </c>
      <c r="R341" s="177">
        <f t="shared" si="126"/>
        <v>0.49873274767193942</v>
      </c>
      <c r="S341" s="799">
        <f t="shared" si="127"/>
        <v>0</v>
      </c>
      <c r="T341" s="176">
        <f t="shared" si="128"/>
        <v>6</v>
      </c>
      <c r="U341" s="250">
        <f t="shared" si="129"/>
        <v>0.49873274767193942</v>
      </c>
      <c r="V341" s="382">
        <f t="shared" si="130"/>
        <v>29.355821863304485</v>
      </c>
      <c r="W341" s="400"/>
      <c r="X341" s="157">
        <f t="shared" si="131"/>
        <v>44888</v>
      </c>
      <c r="Y341" s="383">
        <f t="shared" si="132"/>
        <v>12.599573792407631</v>
      </c>
      <c r="Z341" s="383">
        <f t="shared" si="133"/>
        <v>12.940224075935934</v>
      </c>
      <c r="AA341" s="384">
        <f t="shared" si="134"/>
        <v>14.602355909506064</v>
      </c>
      <c r="AB341" s="197">
        <f t="shared" si="135"/>
        <v>44888</v>
      </c>
      <c r="AC341" s="119">
        <f>IF(OR(t&lt;Tnet,NoTnet),'2021'!Resal_s+('2021'!Salim-'2021'!Resal_s)*(1-EXP(('2021'!Tnet_s-t)/'2021'!Tau_j)),Resal_s+(Salim-Resal_s)*(1-EXP((Tnet_s-t)/Tau_j)))*Salcycl</f>
        <v>0.11382627870945754</v>
      </c>
      <c r="AD341" s="230">
        <f>(INDEX(Models!$BJ341:$BT341,,AH341)*(1-AF341)+INDEX(Models!$BJ341:$BT341,,AH341+1)*AF341-ERP_i)*AE341*Ramure*Pc/MaxiM</f>
        <v>3.2733749855917937E-4</v>
      </c>
      <c r="AE341" s="304">
        <f t="shared" si="136"/>
        <v>0.6</v>
      </c>
      <c r="AF341" s="177">
        <f t="shared" si="137"/>
        <v>0.49873274767193942</v>
      </c>
      <c r="AG341" s="799">
        <f t="shared" si="143"/>
        <v>0</v>
      </c>
      <c r="AH341" s="176">
        <f t="shared" si="138"/>
        <v>6</v>
      </c>
      <c r="AI341" s="224">
        <f t="shared" si="139"/>
        <v>0.49873274767193942</v>
      </c>
      <c r="AJ341" s="264" t="b">
        <f t="shared" si="140"/>
        <v>0</v>
      </c>
      <c r="AK341" s="264" t="b">
        <f t="shared" si="141"/>
        <v>0</v>
      </c>
      <c r="AL341" s="264"/>
      <c r="AM341" s="264"/>
      <c r="AN341" s="75"/>
    </row>
    <row r="342" spans="1:40" s="6" customFormat="1" ht="11.25" x14ac:dyDescent="0.2">
      <c r="A342" s="56">
        <f t="shared" si="142"/>
        <v>44889</v>
      </c>
      <c r="B342" s="607">
        <v>14.868</v>
      </c>
      <c r="C342" s="388"/>
      <c r="D342" s="391">
        <f t="shared" si="122"/>
        <v>15.270273583279673</v>
      </c>
      <c r="E342" s="383">
        <f t="shared" si="120"/>
        <v>15.658787977412695</v>
      </c>
      <c r="F342" s="383">
        <f t="shared" si="123"/>
        <v>15.660449809705749</v>
      </c>
      <c r="G342" s="110">
        <f t="shared" si="121"/>
        <v>0.510353781745987</v>
      </c>
      <c r="H342" s="412" t="b">
        <f>Wh_hp&gt;='2021'!Maxi_hp</f>
        <v>0</v>
      </c>
      <c r="I342" s="379">
        <f>IF(H342,Wh_hp,'2021'!Maxi_hp)</f>
        <v>29.959800379951087</v>
      </c>
      <c r="J342" s="85">
        <f>IF(H342,An,'2021'!An_max)</f>
        <v>2020</v>
      </c>
      <c r="K342" s="197">
        <f t="shared" si="124"/>
        <v>44889</v>
      </c>
      <c r="L342" s="147">
        <f>IF(t&lt;Tvie,1-EXP((T0-t)*PertePVj)+'2021'!Pspv,1-EXP((T0-t)*PertePVj)+Pspv)</f>
        <v>2.6343574074543463E-2</v>
      </c>
      <c r="M342" s="832"/>
      <c r="N342" s="832"/>
      <c r="O342" s="48">
        <f>IF(t&lt;Tnet,'2021'!Resal+('2021'!Salim-'2021'!Resal)*(1-EXP(('2021'!Tnet-t)/('2021'!Tau_j))),Resal+(Salim-Resal)*(1-EXP((Tnet-t)/(Tau_j))))*Salcycl</f>
        <v>2.4811268579243845E-2</v>
      </c>
      <c r="P342" s="169">
        <f>(INDEX(Models!$BJ342:$BT342,,T342)*(1-R342)+INDEX(Models!$BJ342:$BT342,,T342+1)*R342-ERP_i)*Q342*Ramure*Pc/MaxiM</f>
        <v>3.5291540734012526E-4</v>
      </c>
      <c r="Q342" s="304">
        <f t="shared" si="125"/>
        <v>0.6</v>
      </c>
      <c r="R342" s="177">
        <f t="shared" si="126"/>
        <v>0.49875467445168742</v>
      </c>
      <c r="S342" s="799">
        <f t="shared" si="127"/>
        <v>0</v>
      </c>
      <c r="T342" s="176">
        <f t="shared" si="128"/>
        <v>6</v>
      </c>
      <c r="U342" s="250">
        <f t="shared" si="129"/>
        <v>0.49875467445168742</v>
      </c>
      <c r="V342" s="382">
        <f t="shared" si="130"/>
        <v>29.125541411154323</v>
      </c>
      <c r="W342" s="400"/>
      <c r="X342" s="157">
        <f t="shared" si="131"/>
        <v>44889</v>
      </c>
      <c r="Y342" s="383">
        <f t="shared" si="132"/>
        <v>13.511882133225312</v>
      </c>
      <c r="Z342" s="383">
        <f t="shared" si="133"/>
        <v>13.877464137703731</v>
      </c>
      <c r="AA342" s="384">
        <f t="shared" si="134"/>
        <v>15.658787977412695</v>
      </c>
      <c r="AB342" s="197">
        <f t="shared" si="135"/>
        <v>44889</v>
      </c>
      <c r="AC342" s="119">
        <f>IF(OR(t&lt;Tnet,NoTnet),'2021'!Resal_s+('2021'!Salim-'2021'!Resal_s)*(1-EXP(('2021'!Tnet_s-t)/'2021'!Tau_j)),Resal_s+(Salim-Resal_s)*(1-EXP((Tnet_s-t)/Tau_j)))*Salcycl</f>
        <v>0.11375873038695383</v>
      </c>
      <c r="AD342" s="230">
        <f>(INDEX(Models!$BJ342:$BT342,,AH342)*(1-AF342)+INDEX(Models!$BJ342:$BT342,,AH342+1)*AF342-ERP_i)*AE342*Ramure*Pc/MaxiM</f>
        <v>3.5291540734012526E-4</v>
      </c>
      <c r="AE342" s="304">
        <f t="shared" si="136"/>
        <v>0.6</v>
      </c>
      <c r="AF342" s="177">
        <f t="shared" si="137"/>
        <v>0.49875467445168742</v>
      </c>
      <c r="AG342" s="799">
        <f t="shared" si="143"/>
        <v>0</v>
      </c>
      <c r="AH342" s="176">
        <f t="shared" si="138"/>
        <v>6</v>
      </c>
      <c r="AI342" s="224">
        <f t="shared" si="139"/>
        <v>0.49875467445168742</v>
      </c>
      <c r="AJ342" s="264" t="b">
        <f t="shared" si="140"/>
        <v>0</v>
      </c>
      <c r="AK342" s="264" t="b">
        <f t="shared" si="141"/>
        <v>0</v>
      </c>
      <c r="AL342" s="264"/>
      <c r="AM342" s="264"/>
      <c r="AN342" s="75"/>
    </row>
    <row r="343" spans="1:40" s="6" customFormat="1" ht="11.25" x14ac:dyDescent="0.2">
      <c r="A343" s="56">
        <f t="shared" si="142"/>
        <v>44890</v>
      </c>
      <c r="B343" s="607">
        <v>4.7389999999999999</v>
      </c>
      <c r="C343" s="388"/>
      <c r="D343" s="391">
        <f t="shared" si="122"/>
        <v>4.8673132507598735</v>
      </c>
      <c r="E343" s="383">
        <f t="shared" si="120"/>
        <v>4.9914450769354302</v>
      </c>
      <c r="F343" s="383">
        <f t="shared" si="123"/>
        <v>4.9914450769354302</v>
      </c>
      <c r="G343" s="110">
        <f t="shared" si="121"/>
        <v>0.16388664640708495</v>
      </c>
      <c r="H343" s="412" t="b">
        <f>Wh_hp&gt;='2021'!Maxi_hp</f>
        <v>0</v>
      </c>
      <c r="I343" s="379">
        <f>IF(H343,Wh_hp,'2021'!Maxi_hp)</f>
        <v>29.033907399331543</v>
      </c>
      <c r="J343" s="85">
        <f>IF(H343,An,'2021'!An_max)</f>
        <v>2020</v>
      </c>
      <c r="K343" s="197">
        <f t="shared" si="124"/>
        <v>44890</v>
      </c>
      <c r="L343" s="147">
        <f>IF(t&lt;Tvie,1-EXP((T0-t)*PertePVj)+'2021'!Pspv,1-EXP((T0-t)*PertePVj)+Pspv)</f>
        <v>2.6362233977819671E-2</v>
      </c>
      <c r="M343" s="832"/>
      <c r="N343" s="832"/>
      <c r="O343" s="48">
        <f>IF(t&lt;Tnet,'2021'!Resal+('2021'!Salim-'2021'!Resal)*(1-EXP(('2021'!Tnet-t)/('2021'!Tau_j))),Resal+(Salim-Resal)*(1-EXP((Tnet-t)/(Tau_j))))*Salcycl</f>
        <v>2.4868915566986234E-2</v>
      </c>
      <c r="P343" s="169">
        <f>(INDEX(Models!$BJ343:$BT343,,T343)*(1-R343)+INDEX(Models!$BJ343:$BT343,,T343+1)*R343-ERP_i)*Q343*Ramure*Pc/MaxiM</f>
        <v>3.7898828955385753E-4</v>
      </c>
      <c r="Q343" s="304">
        <f t="shared" si="125"/>
        <v>0.6</v>
      </c>
      <c r="R343" s="177">
        <f t="shared" si="126"/>
        <v>0.49877572020308475</v>
      </c>
      <c r="S343" s="799">
        <f t="shared" si="127"/>
        <v>0</v>
      </c>
      <c r="T343" s="176">
        <f t="shared" si="128"/>
        <v>6</v>
      </c>
      <c r="U343" s="250">
        <f t="shared" si="129"/>
        <v>0.49877572020308475</v>
      </c>
      <c r="V343" s="382">
        <f t="shared" si="130"/>
        <v>28.905368914126562</v>
      </c>
      <c r="W343" s="400"/>
      <c r="X343" s="157">
        <f t="shared" si="131"/>
        <v>44890</v>
      </c>
      <c r="Y343" s="383">
        <f t="shared" si="132"/>
        <v>4.3073263798790178</v>
      </c>
      <c r="Z343" s="383">
        <f t="shared" si="133"/>
        <v>4.4239516277975737</v>
      </c>
      <c r="AA343" s="384">
        <f t="shared" si="134"/>
        <v>4.9914450769354302</v>
      </c>
      <c r="AB343" s="197">
        <f t="shared" si="135"/>
        <v>44890</v>
      </c>
      <c r="AC343" s="119">
        <f>IF(OR(t&lt;Tnet,NoTnet),'2021'!Resal_s+('2021'!Salim-'2021'!Resal_s)*(1-EXP(('2021'!Tnet_s-t)/'2021'!Tau_j)),Resal_s+(Salim-Resal_s)*(1-EXP((Tnet_s-t)/Tau_j)))*Salcycl</f>
        <v>0.11369321717274654</v>
      </c>
      <c r="AD343" s="230">
        <f>(INDEX(Models!$BJ343:$BT343,,AH343)*(1-AF343)+INDEX(Models!$BJ343:$BT343,,AH343+1)*AF343-ERP_i)*AE343*Ramure*Pc/MaxiM</f>
        <v>3.7898828955385753E-4</v>
      </c>
      <c r="AE343" s="304">
        <f t="shared" si="136"/>
        <v>0.6</v>
      </c>
      <c r="AF343" s="177">
        <f t="shared" si="137"/>
        <v>0.49877572020308475</v>
      </c>
      <c r="AG343" s="799">
        <f t="shared" si="143"/>
        <v>0</v>
      </c>
      <c r="AH343" s="176">
        <f t="shared" si="138"/>
        <v>6</v>
      </c>
      <c r="AI343" s="224">
        <f t="shared" si="139"/>
        <v>0.49877572020308475</v>
      </c>
      <c r="AJ343" s="264" t="b">
        <f t="shared" si="140"/>
        <v>0</v>
      </c>
      <c r="AK343" s="264" t="b">
        <f t="shared" si="141"/>
        <v>0</v>
      </c>
      <c r="AL343" s="264"/>
      <c r="AM343" s="264"/>
      <c r="AN343" s="75"/>
    </row>
    <row r="344" spans="1:40" s="6" customFormat="1" ht="11.25" x14ac:dyDescent="0.2">
      <c r="A344" s="56">
        <f t="shared" si="142"/>
        <v>44891</v>
      </c>
      <c r="B344" s="607">
        <v>11.032999999999999</v>
      </c>
      <c r="C344" s="388"/>
      <c r="D344" s="391">
        <f t="shared" si="122"/>
        <v>11.331946884164918</v>
      </c>
      <c r="E344" s="383">
        <f t="shared" si="120"/>
        <v>11.621638061693567</v>
      </c>
      <c r="F344" s="383">
        <f t="shared" si="123"/>
        <v>11.622206854507265</v>
      </c>
      <c r="G344" s="110">
        <f t="shared" si="121"/>
        <v>0.38433859206229015</v>
      </c>
      <c r="H344" s="412" t="b">
        <f>Wh_hp&gt;='2021'!Maxi_hp</f>
        <v>0</v>
      </c>
      <c r="I344" s="379">
        <f>IF(H344,Wh_hp,'2021'!Maxi_hp)</f>
        <v>28.857430187211506</v>
      </c>
      <c r="J344" s="85">
        <f>IF(H344,An,'2021'!An_max)</f>
        <v>2020</v>
      </c>
      <c r="K344" s="197">
        <f t="shared" si="124"/>
        <v>44891</v>
      </c>
      <c r="L344" s="147">
        <f>IF(t&lt;Tvie,1-EXP((T0-t)*PertePVj)+'2021'!Pspv,1-EXP((T0-t)*PertePVj)+Pspv)</f>
        <v>2.638089352348294E-2</v>
      </c>
      <c r="M344" s="832"/>
      <c r="N344" s="832"/>
      <c r="O344" s="48">
        <f>IF(t&lt;Tnet,'2021'!Resal+('2021'!Salim-'2021'!Resal)*(1-EXP(('2021'!Tnet-t)/('2021'!Tau_j))),Resal+(Salim-Resal)*(1-EXP((Tnet-t)/(Tau_j))))*Salcycl</f>
        <v>2.4926880013886234E-2</v>
      </c>
      <c r="P344" s="169">
        <f>(INDEX(Models!$BJ344:$BT344,,T344)*(1-R344)+INDEX(Models!$BJ344:$BT344,,T344+1)*R344-ERP_i)*Q344*Ramure*Pc/MaxiM</f>
        <v>4.0553816364191338E-4</v>
      </c>
      <c r="Q344" s="304">
        <f t="shared" si="125"/>
        <v>0.6</v>
      </c>
      <c r="R344" s="177">
        <f t="shared" si="126"/>
        <v>0.49879592025648312</v>
      </c>
      <c r="S344" s="799">
        <f t="shared" si="127"/>
        <v>0</v>
      </c>
      <c r="T344" s="176">
        <f t="shared" si="128"/>
        <v>6</v>
      </c>
      <c r="U344" s="250">
        <f t="shared" si="129"/>
        <v>0.49879592025648312</v>
      </c>
      <c r="V344" s="382">
        <f t="shared" si="130"/>
        <v>28.696221741959221</v>
      </c>
      <c r="W344" s="400"/>
      <c r="X344" s="157">
        <f t="shared" si="131"/>
        <v>44891</v>
      </c>
      <c r="Y344" s="383">
        <f t="shared" si="132"/>
        <v>10.029322575206038</v>
      </c>
      <c r="Z344" s="383">
        <f t="shared" si="133"/>
        <v>10.301074114600828</v>
      </c>
      <c r="AA344" s="384">
        <f t="shared" si="134"/>
        <v>11.621638061693567</v>
      </c>
      <c r="AB344" s="197">
        <f t="shared" si="135"/>
        <v>44891</v>
      </c>
      <c r="AC344" s="119">
        <f>IF(OR(t&lt;Tnet,NoTnet),'2021'!Resal_s+('2021'!Salim-'2021'!Resal_s)*(1-EXP(('2021'!Tnet_s-t)/'2021'!Tau_j)),Resal_s+(Salim-Resal_s)*(1-EXP((Tnet_s-t)/Tau_j)))*Salcycl</f>
        <v>0.11362976028701922</v>
      </c>
      <c r="AD344" s="230">
        <f>(INDEX(Models!$BJ344:$BT344,,AH344)*(1-AF344)+INDEX(Models!$BJ344:$BT344,,AH344+1)*AF344-ERP_i)*AE344*Ramure*Pc/MaxiM</f>
        <v>4.0553816364191338E-4</v>
      </c>
      <c r="AE344" s="304">
        <f t="shared" si="136"/>
        <v>0.6</v>
      </c>
      <c r="AF344" s="177">
        <f t="shared" si="137"/>
        <v>0.49879592025648312</v>
      </c>
      <c r="AG344" s="799">
        <f t="shared" si="143"/>
        <v>0</v>
      </c>
      <c r="AH344" s="176">
        <f t="shared" si="138"/>
        <v>6</v>
      </c>
      <c r="AI344" s="224">
        <f t="shared" si="139"/>
        <v>0.49879592025648312</v>
      </c>
      <c r="AJ344" s="264" t="b">
        <f t="shared" si="140"/>
        <v>0</v>
      </c>
      <c r="AK344" s="264" t="b">
        <f t="shared" si="141"/>
        <v>0</v>
      </c>
      <c r="AL344" s="264"/>
      <c r="AM344" s="264"/>
      <c r="AN344" s="75"/>
    </row>
    <row r="345" spans="1:40" s="6" customFormat="1" ht="11.25" x14ac:dyDescent="0.2">
      <c r="A345" s="56">
        <f t="shared" si="142"/>
        <v>44892</v>
      </c>
      <c r="B345" s="607">
        <v>17.158999999999999</v>
      </c>
      <c r="C345" s="388"/>
      <c r="D345" s="391">
        <f t="shared" si="122"/>
        <v>17.624272922007098</v>
      </c>
      <c r="E345" s="383">
        <f t="shared" si="120"/>
        <v>18.075902398134343</v>
      </c>
      <c r="F345" s="383">
        <f t="shared" si="123"/>
        <v>18.0792782652019</v>
      </c>
      <c r="G345" s="110">
        <f t="shared" si="121"/>
        <v>0.60200550647287743</v>
      </c>
      <c r="H345" s="412" t="b">
        <f>Wh_hp&gt;='2021'!Maxi_hp</f>
        <v>0</v>
      </c>
      <c r="I345" s="379">
        <f>IF(H345,Wh_hp,'2021'!Maxi_hp)</f>
        <v>26.802315744867702</v>
      </c>
      <c r="J345" s="85">
        <f>IF(H345,An,'2021'!An_max)</f>
        <v>2020</v>
      </c>
      <c r="K345" s="197">
        <f t="shared" si="124"/>
        <v>44892</v>
      </c>
      <c r="L345" s="147">
        <f>IF(t&lt;Tvie,1-EXP((T0-t)*PertePVj)+'2021'!Pspv,1-EXP((T0-t)*PertePVj)+Pspv)</f>
        <v>2.6399552711540375E-2</v>
      </c>
      <c r="M345" s="832"/>
      <c r="N345" s="832"/>
      <c r="O345" s="48">
        <f>IF(t&lt;Tnet,'2021'!Resal+('2021'!Salim-'2021'!Resal)*(1-EXP(('2021'!Tnet-t)/('2021'!Tau_j))),Resal+(Salim-Resal)*(1-EXP((Tnet-t)/(Tau_j))))*Salcycl</f>
        <v>2.498516899349159E-2</v>
      </c>
      <c r="P345" s="169">
        <f>(INDEX(Models!$BJ345:$BT345,,T345)*(1-R345)+INDEX(Models!$BJ345:$BT345,,T345+1)*R345-ERP_i)*Q345*Ramure*Pc/MaxiM</f>
        <v>4.3258807385598673E-4</v>
      </c>
      <c r="Q345" s="304">
        <f t="shared" si="125"/>
        <v>0.6</v>
      </c>
      <c r="R345" s="177">
        <f t="shared" si="126"/>
        <v>0.49881530853094369</v>
      </c>
      <c r="S345" s="799">
        <f t="shared" si="127"/>
        <v>0</v>
      </c>
      <c r="T345" s="176">
        <f t="shared" si="128"/>
        <v>6</v>
      </c>
      <c r="U345" s="250">
        <f t="shared" si="129"/>
        <v>0.49881530853094369</v>
      </c>
      <c r="V345" s="382">
        <f t="shared" si="130"/>
        <v>28.496052405329987</v>
      </c>
      <c r="W345" s="400"/>
      <c r="X345" s="157">
        <f t="shared" si="131"/>
        <v>44892</v>
      </c>
      <c r="Y345" s="383">
        <f t="shared" si="132"/>
        <v>15.600050166100791</v>
      </c>
      <c r="Z345" s="383">
        <f t="shared" si="133"/>
        <v>16.023051560368469</v>
      </c>
      <c r="AA345" s="384">
        <f t="shared" si="134"/>
        <v>18.075902398134343</v>
      </c>
      <c r="AB345" s="197">
        <f t="shared" si="135"/>
        <v>44892</v>
      </c>
      <c r="AC345" s="119">
        <f>IF(OR(t&lt;Tnet,NoTnet),'2021'!Resal_s+('2021'!Salim-'2021'!Resal_s)*(1-EXP(('2021'!Tnet_s-t)/'2021'!Tau_j)),Resal_s+(Salim-Resal_s)*(1-EXP((Tnet_s-t)/Tau_j)))*Salcycl</f>
        <v>0.11356837365849876</v>
      </c>
      <c r="AD345" s="230">
        <f>(INDEX(Models!$BJ345:$BT345,,AH345)*(1-AF345)+INDEX(Models!$BJ345:$BT345,,AH345+1)*AF345-ERP_i)*AE345*Ramure*Pc/MaxiM</f>
        <v>4.3258807385598673E-4</v>
      </c>
      <c r="AE345" s="304">
        <f t="shared" si="136"/>
        <v>0.6</v>
      </c>
      <c r="AF345" s="177">
        <f t="shared" si="137"/>
        <v>0.49881530853094369</v>
      </c>
      <c r="AG345" s="799">
        <f t="shared" si="143"/>
        <v>0</v>
      </c>
      <c r="AH345" s="176">
        <f t="shared" si="138"/>
        <v>6</v>
      </c>
      <c r="AI345" s="224">
        <f t="shared" si="139"/>
        <v>0.49881530853094369</v>
      </c>
      <c r="AJ345" s="264" t="b">
        <f t="shared" si="140"/>
        <v>0</v>
      </c>
      <c r="AK345" s="264" t="b">
        <f t="shared" si="141"/>
        <v>0</v>
      </c>
      <c r="AL345" s="264"/>
      <c r="AM345" s="264"/>
      <c r="AN345" s="75"/>
    </row>
    <row r="346" spans="1:40" s="6" customFormat="1" ht="11.25" x14ac:dyDescent="0.2">
      <c r="A346" s="56">
        <f t="shared" si="142"/>
        <v>44893</v>
      </c>
      <c r="B346" s="607">
        <v>10.652000000000001</v>
      </c>
      <c r="C346" s="388"/>
      <c r="D346" s="391">
        <f t="shared" si="122"/>
        <v>10.941042782724065</v>
      </c>
      <c r="E346" s="383">
        <f t="shared" si="120"/>
        <v>11.222086333979735</v>
      </c>
      <c r="F346" s="383">
        <f t="shared" si="123"/>
        <v>11.222649213316673</v>
      </c>
      <c r="G346" s="110">
        <f t="shared" si="121"/>
        <v>0.3762094483801654</v>
      </c>
      <c r="H346" s="412" t="b">
        <f>Wh_hp&gt;='2021'!Maxi_hp</f>
        <v>0</v>
      </c>
      <c r="I346" s="379">
        <f>IF(H346,Wh_hp,'2021'!Maxi_hp)</f>
        <v>18.703888708428419</v>
      </c>
      <c r="J346" s="85">
        <f>IF(H346,An,'2021'!An_max)</f>
        <v>2020</v>
      </c>
      <c r="K346" s="197">
        <f t="shared" si="124"/>
        <v>44893</v>
      </c>
      <c r="L346" s="147">
        <f>IF(t&lt;Tvie,1-EXP((T0-t)*PertePVj)+'2021'!Pspv,1-EXP((T0-t)*PertePVj)+Pspv)</f>
        <v>2.6418211541998748E-2</v>
      </c>
      <c r="M346" s="832"/>
      <c r="N346" s="832"/>
      <c r="O346" s="48">
        <f>IF(t&lt;Tnet,'2021'!Resal+('2021'!Salim-'2021'!Resal)*(1-EXP(('2021'!Tnet-t)/('2021'!Tau_j))),Resal+(Salim-Resal)*(1-EXP((Tnet-t)/(Tau_j))))*Salcycl</f>
        <v>2.5043788016911792E-2</v>
      </c>
      <c r="P346" s="169">
        <f>(INDEX(Models!$BJ346:$BT346,,T346)*(1-R346)+INDEX(Models!$BJ346:$BT346,,T346+1)*R346-ERP_i)*Q346*Ramure*Pc/MaxiM</f>
        <v>4.5976030313110147E-4</v>
      </c>
      <c r="Q346" s="304">
        <f t="shared" si="125"/>
        <v>0.6</v>
      </c>
      <c r="R346" s="177">
        <f t="shared" si="126"/>
        <v>0.49883391759017842</v>
      </c>
      <c r="S346" s="799">
        <f t="shared" si="127"/>
        <v>0</v>
      </c>
      <c r="T346" s="176">
        <f t="shared" si="128"/>
        <v>6</v>
      </c>
      <c r="U346" s="250">
        <f t="shared" si="129"/>
        <v>0.49883391759017842</v>
      </c>
      <c r="V346" s="382">
        <f t="shared" si="130"/>
        <v>28.302416960291247</v>
      </c>
      <c r="W346" s="400"/>
      <c r="X346" s="157">
        <f t="shared" si="131"/>
        <v>44893</v>
      </c>
      <c r="Y346" s="383">
        <f t="shared" si="132"/>
        <v>9.6854621102058829</v>
      </c>
      <c r="Z346" s="383">
        <f t="shared" si="133"/>
        <v>9.9482778180825608</v>
      </c>
      <c r="AA346" s="384">
        <f t="shared" si="134"/>
        <v>11.222086333979735</v>
      </c>
      <c r="AB346" s="197">
        <f t="shared" si="135"/>
        <v>44893</v>
      </c>
      <c r="AC346" s="119">
        <f>IF(OR(t&lt;Tnet,NoTnet),'2021'!Resal_s+('2021'!Salim-'2021'!Resal_s)*(1-EXP(('2021'!Tnet_s-t)/'2021'!Tau_j)),Resal_s+(Salim-Resal_s)*(1-EXP((Tnet_s-t)/Tau_j)))*Salcycl</f>
        <v>0.11350906399999493</v>
      </c>
      <c r="AD346" s="230">
        <f>(INDEX(Models!$BJ346:$BT346,,AH346)*(1-AF346)+INDEX(Models!$BJ346:$BT346,,AH346+1)*AF346-ERP_i)*AE346*Ramure*Pc/MaxiM</f>
        <v>4.5976030313110147E-4</v>
      </c>
      <c r="AE346" s="304">
        <f t="shared" si="136"/>
        <v>0.6</v>
      </c>
      <c r="AF346" s="177">
        <f t="shared" si="137"/>
        <v>0.49883391759017842</v>
      </c>
      <c r="AG346" s="799">
        <f t="shared" si="143"/>
        <v>0</v>
      </c>
      <c r="AH346" s="176">
        <f t="shared" si="138"/>
        <v>6</v>
      </c>
      <c r="AI346" s="224">
        <f t="shared" si="139"/>
        <v>0.49883391759017842</v>
      </c>
      <c r="AJ346" s="264" t="b">
        <f t="shared" si="140"/>
        <v>0</v>
      </c>
      <c r="AK346" s="264" t="b">
        <f t="shared" si="141"/>
        <v>0</v>
      </c>
      <c r="AL346" s="264"/>
      <c r="AM346" s="264"/>
      <c r="AN346" s="75"/>
    </row>
    <row r="347" spans="1:40" s="6" customFormat="1" ht="11.25" x14ac:dyDescent="0.2">
      <c r="A347" s="56">
        <f t="shared" si="142"/>
        <v>44894</v>
      </c>
      <c r="B347" s="607">
        <v>15.847</v>
      </c>
      <c r="C347" s="388"/>
      <c r="D347" s="391">
        <f t="shared" si="122"/>
        <v>16.277321430857761</v>
      </c>
      <c r="E347" s="383">
        <f t="shared" si="120"/>
        <v>16.696448042288306</v>
      </c>
      <c r="F347" s="383">
        <f t="shared" si="123"/>
        <v>16.699506174583952</v>
      </c>
      <c r="G347" s="110">
        <f t="shared" si="121"/>
        <v>0.56346553264077859</v>
      </c>
      <c r="H347" s="412" t="b">
        <f>Wh_hp&gt;='2021'!Maxi_hp</f>
        <v>0</v>
      </c>
      <c r="I347" s="379">
        <f>IF(H347,Wh_hp,'2021'!Maxi_hp)</f>
        <v>16.758916593732387</v>
      </c>
      <c r="J347" s="85">
        <f>IF(H347,An,'2021'!An_max)</f>
        <v>2018</v>
      </c>
      <c r="K347" s="197">
        <f t="shared" si="124"/>
        <v>44894</v>
      </c>
      <c r="L347" s="147">
        <f>IF(t&lt;Tvie,1-EXP((T0-t)*PertePVj)+'2021'!Pspv,1-EXP((T0-t)*PertePVj)+Pspv)</f>
        <v>2.6436870014864833E-2</v>
      </c>
      <c r="M347" s="832"/>
      <c r="N347" s="832"/>
      <c r="O347" s="48">
        <f>IF(t&lt;Tnet,'2021'!Resal+('2021'!Salim-'2021'!Resal)*(1-EXP(('2021'!Tnet-t)/('2021'!Tau_j))),Resal+(Salim-Resal)*(1-EXP((Tnet-t)/(Tau_j))))*Salcycl</f>
        <v>2.5102741036236689E-2</v>
      </c>
      <c r="P347" s="169">
        <f>(INDEX(Models!$BJ347:$BT347,,T347)*(1-R347)+INDEX(Models!$BJ347:$BT347,,T347+1)*R347-ERP_i)*Q347*Ramure*Pc/MaxiM</f>
        <v>4.8623397121024214E-4</v>
      </c>
      <c r="Q347" s="304">
        <f t="shared" si="125"/>
        <v>0.6</v>
      </c>
      <c r="R347" s="177">
        <f t="shared" si="126"/>
        <v>0.49885177869630759</v>
      </c>
      <c r="S347" s="799">
        <f t="shared" si="127"/>
        <v>0</v>
      </c>
      <c r="T347" s="176">
        <f t="shared" si="128"/>
        <v>6</v>
      </c>
      <c r="U347" s="250">
        <f t="shared" si="129"/>
        <v>0.49885177869630759</v>
      </c>
      <c r="V347" s="382">
        <f t="shared" si="130"/>
        <v>28.11564304835693</v>
      </c>
      <c r="W347" s="400"/>
      <c r="X347" s="157">
        <f t="shared" si="131"/>
        <v>44894</v>
      </c>
      <c r="Y347" s="383">
        <f t="shared" si="132"/>
        <v>14.410881460712103</v>
      </c>
      <c r="Z347" s="383">
        <f t="shared" si="133"/>
        <v>14.802205441913289</v>
      </c>
      <c r="AA347" s="384">
        <f t="shared" si="134"/>
        <v>16.696448042288306</v>
      </c>
      <c r="AB347" s="197">
        <f t="shared" si="135"/>
        <v>44894</v>
      </c>
      <c r="AC347" s="119">
        <f>IF(OR(t&lt;Tnet,NoTnet),'2021'!Resal_s+('2021'!Salim-'2021'!Resal_s)*(1-EXP(('2021'!Tnet_s-t)/'2021'!Tau_j)),Resal_s+(Salim-Resal_s)*(1-EXP((Tnet_s-t)/Tau_j)))*Salcycl</f>
        <v>0.11345183092699308</v>
      </c>
      <c r="AD347" s="230">
        <f>(INDEX(Models!$BJ347:$BT347,,AH347)*(1-AF347)+INDEX(Models!$BJ347:$BT347,,AH347+1)*AF347-ERP_i)*AE347*Ramure*Pc/MaxiM</f>
        <v>4.8623397121024214E-4</v>
      </c>
      <c r="AE347" s="304">
        <f t="shared" si="136"/>
        <v>0.6</v>
      </c>
      <c r="AF347" s="177">
        <f t="shared" si="137"/>
        <v>0.49885177869630759</v>
      </c>
      <c r="AG347" s="799">
        <f t="shared" si="143"/>
        <v>0</v>
      </c>
      <c r="AH347" s="176">
        <f t="shared" si="138"/>
        <v>6</v>
      </c>
      <c r="AI347" s="224">
        <f t="shared" si="139"/>
        <v>0.49885177869630759</v>
      </c>
      <c r="AJ347" s="264" t="b">
        <f t="shared" si="140"/>
        <v>0</v>
      </c>
      <c r="AK347" s="264" t="b">
        <f t="shared" si="141"/>
        <v>0</v>
      </c>
      <c r="AL347" s="264"/>
      <c r="AM347" s="264"/>
      <c r="AN347" s="75"/>
    </row>
    <row r="348" spans="1:40" s="6" customFormat="1" ht="11.25" x14ac:dyDescent="0.2">
      <c r="A348" s="56">
        <f t="shared" si="142"/>
        <v>44895</v>
      </c>
      <c r="B348" s="607">
        <v>4.0600000000000005</v>
      </c>
      <c r="C348" s="388"/>
      <c r="D348" s="391">
        <f t="shared" si="122"/>
        <v>4.170328235958336</v>
      </c>
      <c r="E348" s="383">
        <f t="shared" si="120"/>
        <v>4.2779706641058199</v>
      </c>
      <c r="F348" s="383">
        <f t="shared" si="123"/>
        <v>4.2779706641058199</v>
      </c>
      <c r="G348" s="110">
        <f t="shared" si="121"/>
        <v>0.14525759611403938</v>
      </c>
      <c r="H348" s="412" t="b">
        <f>Wh_hp&gt;='2021'!Maxi_hp</f>
        <v>0</v>
      </c>
      <c r="I348" s="379">
        <f>IF(H348,Wh_hp,'2021'!Maxi_hp)</f>
        <v>27.894604255922708</v>
      </c>
      <c r="J348" s="85">
        <f>IF(H348,An,'2021'!An_max)</f>
        <v>2020</v>
      </c>
      <c r="K348" s="197">
        <f t="shared" si="124"/>
        <v>44895</v>
      </c>
      <c r="L348" s="147">
        <f>IF(t&lt;Tvie,1-EXP((T0-t)*PertePVj)+'2021'!Pspv,1-EXP((T0-t)*PertePVj)+Pspv)</f>
        <v>2.6455528130145511E-2</v>
      </c>
      <c r="M348" s="832"/>
      <c r="N348" s="832"/>
      <c r="O348" s="48">
        <f>IF(t&lt;Tnet,'2021'!Resal+('2021'!Salim-'2021'!Resal)*(1-EXP(('2021'!Tnet-t)/('2021'!Tau_j))),Resal+(Salim-Resal)*(1-EXP((Tnet-t)/(Tau_j))))*Salcycl</f>
        <v>2.5162030457724922E-2</v>
      </c>
      <c r="P348" s="169">
        <f>(INDEX(Models!$BJ348:$BT348,,T348)*(1-R348)+INDEX(Models!$BJ348:$BT348,,T348+1)*R348-ERP_i)*Q348*Ramure*Pc/MaxiM</f>
        <v>5.1201034317613706E-4</v>
      </c>
      <c r="Q348" s="304">
        <f t="shared" si="125"/>
        <v>0.6</v>
      </c>
      <c r="R348" s="177">
        <f t="shared" si="126"/>
        <v>0.49886892186151666</v>
      </c>
      <c r="S348" s="799">
        <f t="shared" si="127"/>
        <v>0</v>
      </c>
      <c r="T348" s="176">
        <f t="shared" si="128"/>
        <v>6</v>
      </c>
      <c r="U348" s="250">
        <f t="shared" si="129"/>
        <v>0.49886892186151666</v>
      </c>
      <c r="V348" s="382">
        <f t="shared" si="130"/>
        <v>27.936034648548748</v>
      </c>
      <c r="W348" s="400"/>
      <c r="X348" s="157">
        <f t="shared" si="131"/>
        <v>44895</v>
      </c>
      <c r="Y348" s="383">
        <f t="shared" si="132"/>
        <v>3.692520853687026</v>
      </c>
      <c r="Z348" s="383">
        <f t="shared" si="133"/>
        <v>3.7928630487674835</v>
      </c>
      <c r="AA348" s="384">
        <f t="shared" si="134"/>
        <v>4.2779706641058199</v>
      </c>
      <c r="AB348" s="197">
        <f t="shared" si="135"/>
        <v>44895</v>
      </c>
      <c r="AC348" s="119">
        <f>IF(OR(t&lt;Tnet,NoTnet),'2021'!Resal_s+('2021'!Salim-'2021'!Resal_s)*(1-EXP(('2021'!Tnet_s-t)/'2021'!Tau_j)),Resal_s+(Salim-Resal_s)*(1-EXP((Tnet_s-t)/Tau_j)))*Salcycl</f>
        <v>0.11339666711803727</v>
      </c>
      <c r="AD348" s="230">
        <f>(INDEX(Models!$BJ348:$BT348,,AH348)*(1-AF348)+INDEX(Models!$BJ348:$BT348,,AH348+1)*AF348-ERP_i)*AE348*Ramure*Pc/MaxiM</f>
        <v>5.1201034317613706E-4</v>
      </c>
      <c r="AE348" s="304">
        <f t="shared" si="136"/>
        <v>0.6</v>
      </c>
      <c r="AF348" s="177">
        <f t="shared" si="137"/>
        <v>0.49886892186151666</v>
      </c>
      <c r="AG348" s="799">
        <f t="shared" si="143"/>
        <v>0</v>
      </c>
      <c r="AH348" s="176">
        <f t="shared" si="138"/>
        <v>6</v>
      </c>
      <c r="AI348" s="224">
        <f t="shared" si="139"/>
        <v>0.49886892186151666</v>
      </c>
      <c r="AJ348" s="264" t="b">
        <f t="shared" si="140"/>
        <v>0</v>
      </c>
      <c r="AK348" s="264" t="b">
        <f t="shared" si="141"/>
        <v>0</v>
      </c>
      <c r="AL348" s="264"/>
      <c r="AM348" s="264"/>
      <c r="AN348" s="75"/>
    </row>
    <row r="349" spans="1:40" s="6" customFormat="1" ht="11.25" x14ac:dyDescent="0.2">
      <c r="A349" s="56">
        <f t="shared" si="142"/>
        <v>44896</v>
      </c>
      <c r="B349" s="607">
        <v>3.863</v>
      </c>
      <c r="C349" s="388"/>
      <c r="D349" s="391">
        <f t="shared" si="122"/>
        <v>3.9680509176051229</v>
      </c>
      <c r="E349" s="383">
        <f t="shared" si="120"/>
        <v>4.0707212534728363</v>
      </c>
      <c r="F349" s="383">
        <f t="shared" si="123"/>
        <v>4.0707212534728363</v>
      </c>
      <c r="G349" s="110">
        <f t="shared" si="121"/>
        <v>0.13906280537554186</v>
      </c>
      <c r="H349" s="412" t="b">
        <f>Wh_hp&gt;='2021'!Maxi_hp</f>
        <v>0</v>
      </c>
      <c r="I349" s="379">
        <f>IF(H349,Wh_hp,'2021'!Maxi_hp)</f>
        <v>28.876381708820084</v>
      </c>
      <c r="J349" s="85">
        <f>IF(H349,An,'2021'!An_max)</f>
        <v>2020</v>
      </c>
      <c r="K349" s="197">
        <f t="shared" si="124"/>
        <v>44896</v>
      </c>
      <c r="L349" s="147">
        <f>IF(t&lt;Tvie,1-EXP((T0-t)*PertePVj)+'2021'!Pspv,1-EXP((T0-t)*PertePVj)+Pspv)</f>
        <v>2.6474185887847779E-2</v>
      </c>
      <c r="M349" s="832"/>
      <c r="N349" s="832"/>
      <c r="O349" s="48">
        <f>IF(t&lt;Tnet,'2021'!Resal+('2021'!Salim-'2021'!Resal)*(1-EXP(('2021'!Tnet-t)/('2021'!Tau_j))),Resal+(Salim-Resal)*(1-EXP((Tnet-t)/(Tau_j))))*Salcycl</f>
        <v>2.5221657164592789E-2</v>
      </c>
      <c r="P349" s="169">
        <f>(INDEX(Models!$BJ349:$BT349,,T349)*(1-R349)+INDEX(Models!$BJ349:$BT349,,T349+1)*R349-ERP_i)*Q349*Ramure*Pc/MaxiM</f>
        <v>5.3708889341930242E-4</v>
      </c>
      <c r="Q349" s="304">
        <f t="shared" si="125"/>
        <v>0.6</v>
      </c>
      <c r="R349" s="177">
        <f t="shared" si="126"/>
        <v>0.49888537589769216</v>
      </c>
      <c r="S349" s="799">
        <f t="shared" si="127"/>
        <v>0</v>
      </c>
      <c r="T349" s="176">
        <f t="shared" si="128"/>
        <v>6</v>
      </c>
      <c r="U349" s="250">
        <f t="shared" si="129"/>
        <v>0.49888537589769216</v>
      </c>
      <c r="V349" s="382">
        <f t="shared" si="130"/>
        <v>27.763895710130512</v>
      </c>
      <c r="W349" s="400"/>
      <c r="X349" s="157">
        <f t="shared" si="131"/>
        <v>44896</v>
      </c>
      <c r="Y349" s="383">
        <f t="shared" si="132"/>
        <v>3.5137771152078918</v>
      </c>
      <c r="Z349" s="383">
        <f t="shared" si="133"/>
        <v>3.6093312208802892</v>
      </c>
      <c r="AA349" s="384">
        <f t="shared" si="134"/>
        <v>4.0707212534728363</v>
      </c>
      <c r="AB349" s="197">
        <f t="shared" si="135"/>
        <v>44896</v>
      </c>
      <c r="AC349" s="119">
        <f>IF(OR(t&lt;Tnet,NoTnet),'2021'!Resal_s+('2021'!Salim-'2021'!Resal_s)*(1-EXP(('2021'!Tnet_s-t)/'2021'!Tau_j)),Resal_s+(Salim-Resal_s)*(1-EXP((Tnet_s-t)/Tau_j)))*Salcycl</f>
        <v>0.11334355851531797</v>
      </c>
      <c r="AD349" s="230">
        <f>(INDEX(Models!$BJ349:$BT349,,AH349)*(1-AF349)+INDEX(Models!$BJ349:$BT349,,AH349+1)*AF349-ERP_i)*AE349*Ramure*Pc/MaxiM</f>
        <v>5.3708889341930242E-4</v>
      </c>
      <c r="AE349" s="304">
        <f t="shared" si="136"/>
        <v>0.6</v>
      </c>
      <c r="AF349" s="177">
        <f t="shared" si="137"/>
        <v>0.49888537589769216</v>
      </c>
      <c r="AG349" s="799">
        <f t="shared" si="143"/>
        <v>0</v>
      </c>
      <c r="AH349" s="176">
        <f t="shared" si="138"/>
        <v>6</v>
      </c>
      <c r="AI349" s="224">
        <f t="shared" si="139"/>
        <v>0.49888537589769216</v>
      </c>
      <c r="AJ349" s="264" t="b">
        <f t="shared" si="140"/>
        <v>0</v>
      </c>
      <c r="AK349" s="264" t="b">
        <f t="shared" si="141"/>
        <v>0</v>
      </c>
      <c r="AL349" s="264"/>
      <c r="AM349" s="264"/>
      <c r="AN349" s="75"/>
    </row>
    <row r="350" spans="1:40" s="6" customFormat="1" ht="11.25" x14ac:dyDescent="0.2">
      <c r="A350" s="56">
        <f t="shared" si="142"/>
        <v>44897</v>
      </c>
      <c r="B350" s="607">
        <v>5.79</v>
      </c>
      <c r="C350" s="388"/>
      <c r="D350" s="391">
        <f t="shared" si="122"/>
        <v>5.9475679866139606</v>
      </c>
      <c r="E350" s="383">
        <f t="shared" si="120"/>
        <v>6.1018321927661026</v>
      </c>
      <c r="F350" s="383">
        <f t="shared" si="123"/>
        <v>6.1018321927661026</v>
      </c>
      <c r="G350" s="110">
        <f t="shared" si="121"/>
        <v>0.20966839176070376</v>
      </c>
      <c r="H350" s="412" t="b">
        <f>Wh_hp&gt;='2021'!Maxi_hp</f>
        <v>0</v>
      </c>
      <c r="I350" s="379">
        <f>IF(H350,Wh_hp,'2021'!Maxi_hp)</f>
        <v>10.012976509324043</v>
      </c>
      <c r="J350" s="85">
        <f>IF(H350,An,'2021'!An_max)</f>
        <v>2021</v>
      </c>
      <c r="K350" s="197">
        <f t="shared" si="124"/>
        <v>44897</v>
      </c>
      <c r="L350" s="147">
        <f>IF(t&lt;Tvie,1-EXP((T0-t)*PertePVj)+'2021'!Pspv,1-EXP((T0-t)*PertePVj)+Pspv)</f>
        <v>2.6492843287978296E-2</v>
      </c>
      <c r="M350" s="832"/>
      <c r="N350" s="832"/>
      <c r="O350" s="48">
        <f>IF(t&lt;Tnet,'2021'!Resal+('2021'!Salim-'2021'!Resal)*(1-EXP(('2021'!Tnet-t)/('2021'!Tau_j))),Resal+(Salim-Resal)*(1-EXP((Tnet-t)/(Tau_j))))*Salcycl</f>
        <v>2.5281620549156874E-2</v>
      </c>
      <c r="P350" s="169">
        <f>(INDEX(Models!$BJ350:$BT350,,T350)*(1-R350)+INDEX(Models!$BJ350:$BT350,,T350+1)*R350-ERP_i)*Q350*Ramure*Pc/MaxiM</f>
        <v>5.6146719522219785E-4</v>
      </c>
      <c r="Q350" s="304">
        <f t="shared" si="125"/>
        <v>0.6</v>
      </c>
      <c r="R350" s="177">
        <f t="shared" si="126"/>
        <v>0.49890116846411409</v>
      </c>
      <c r="S350" s="799">
        <f t="shared" si="127"/>
        <v>0</v>
      </c>
      <c r="T350" s="176">
        <f t="shared" si="128"/>
        <v>6</v>
      </c>
      <c r="U350" s="250">
        <f t="shared" si="129"/>
        <v>0.49890116846411409</v>
      </c>
      <c r="V350" s="382">
        <f t="shared" si="130"/>
        <v>27.599530174028935</v>
      </c>
      <c r="W350" s="400"/>
      <c r="X350" s="157">
        <f t="shared" si="131"/>
        <v>44897</v>
      </c>
      <c r="Y350" s="383">
        <f t="shared" si="132"/>
        <v>5.2671998626612817</v>
      </c>
      <c r="Z350" s="383">
        <f t="shared" si="133"/>
        <v>5.4105404632576315</v>
      </c>
      <c r="AA350" s="384">
        <f t="shared" si="134"/>
        <v>6.1018321927661026</v>
      </c>
      <c r="AB350" s="197">
        <f t="shared" si="135"/>
        <v>44897</v>
      </c>
      <c r="AC350" s="119">
        <f>IF(OR(t&lt;Tnet,NoTnet),'2021'!Resal_s+('2021'!Salim-'2021'!Resal_s)*(1-EXP(('2021'!Tnet_s-t)/'2021'!Tau_j)),Resal_s+(Salim-Resal_s)*(1-EXP((Tnet_s-t)/Tau_j)))*Salcycl</f>
        <v>0.1132924845635738</v>
      </c>
      <c r="AD350" s="230">
        <f>(INDEX(Models!$BJ350:$BT350,,AH350)*(1-AF350)+INDEX(Models!$BJ350:$BT350,,AH350+1)*AF350-ERP_i)*AE350*Ramure*Pc/MaxiM</f>
        <v>5.6146719522219785E-4</v>
      </c>
      <c r="AE350" s="304">
        <f t="shared" si="136"/>
        <v>0.6</v>
      </c>
      <c r="AF350" s="177">
        <f t="shared" si="137"/>
        <v>0.49890116846411409</v>
      </c>
      <c r="AG350" s="799">
        <f t="shared" si="143"/>
        <v>0</v>
      </c>
      <c r="AH350" s="176">
        <f t="shared" si="138"/>
        <v>6</v>
      </c>
      <c r="AI350" s="224">
        <f t="shared" si="139"/>
        <v>0.49890116846411409</v>
      </c>
      <c r="AJ350" s="264" t="b">
        <f t="shared" si="140"/>
        <v>0</v>
      </c>
      <c r="AK350" s="264" t="b">
        <f t="shared" si="141"/>
        <v>0</v>
      </c>
      <c r="AL350" s="264"/>
      <c r="AM350" s="264"/>
      <c r="AN350" s="75"/>
    </row>
    <row r="351" spans="1:40" s="6" customFormat="1" ht="11.25" x14ac:dyDescent="0.2">
      <c r="A351" s="56">
        <f t="shared" si="142"/>
        <v>44898</v>
      </c>
      <c r="B351" s="607">
        <v>11.216000000000001</v>
      </c>
      <c r="C351" s="388"/>
      <c r="D351" s="391">
        <f t="shared" si="122"/>
        <v>11.521450950687498</v>
      </c>
      <c r="E351" s="383">
        <f t="shared" si="120"/>
        <v>11.82101823194696</v>
      </c>
      <c r="F351" s="383">
        <f t="shared" si="123"/>
        <v>11.822092415623212</v>
      </c>
      <c r="G351" s="110">
        <f t="shared" si="121"/>
        <v>0.40849604016481356</v>
      </c>
      <c r="H351" s="412" t="b">
        <f>Wh_hp&gt;='2021'!Maxi_hp</f>
        <v>0</v>
      </c>
      <c r="I351" s="379">
        <f>IF(H351,Wh_hp,'2021'!Maxi_hp)</f>
        <v>19.179192393399582</v>
      </c>
      <c r="J351" s="85">
        <f>IF(H351,An,'2021'!An_max)</f>
        <v>2021</v>
      </c>
      <c r="K351" s="197">
        <f t="shared" si="124"/>
        <v>44898</v>
      </c>
      <c r="L351" s="147">
        <f>IF(t&lt;Tvie,1-EXP((T0-t)*PertePVj)+'2021'!Pspv,1-EXP((T0-t)*PertePVj)+Pspv)</f>
        <v>2.6511500330543947E-2</v>
      </c>
      <c r="M351" s="832"/>
      <c r="N351" s="832"/>
      <c r="O351" s="48">
        <f>IF(t&lt;Tnet,'2021'!Resal+('2021'!Salim-'2021'!Resal)*(1-EXP(('2021'!Tnet-t)/('2021'!Tau_j))),Resal+(Salim-Resal)*(1-EXP((Tnet-t)/(Tau_j))))*Salcycl</f>
        <v>2.5341918554009552E-2</v>
      </c>
      <c r="P351" s="169">
        <f>(INDEX(Models!$BJ351:$BT351,,T351)*(1-R351)+INDEX(Models!$BJ351:$BT351,,T351+1)*R351-ERP_i)*Q351*Ramure*Pc/MaxiM</f>
        <v>5.8514083718516283E-4</v>
      </c>
      <c r="Q351" s="304">
        <f t="shared" si="125"/>
        <v>0.6</v>
      </c>
      <c r="R351" s="177">
        <f t="shared" si="126"/>
        <v>0.49891632611327669</v>
      </c>
      <c r="S351" s="799">
        <f t="shared" si="127"/>
        <v>0</v>
      </c>
      <c r="T351" s="176">
        <f t="shared" si="128"/>
        <v>6</v>
      </c>
      <c r="U351" s="250">
        <f t="shared" si="129"/>
        <v>0.49891632611327669</v>
      </c>
      <c r="V351" s="382">
        <f t="shared" si="130"/>
        <v>27.443241958334205</v>
      </c>
      <c r="W351" s="400"/>
      <c r="X351" s="157">
        <f t="shared" si="131"/>
        <v>44898</v>
      </c>
      <c r="Y351" s="383">
        <f t="shared" si="132"/>
        <v>10.204462475204915</v>
      </c>
      <c r="Z351" s="383">
        <f t="shared" si="133"/>
        <v>10.482365717386283</v>
      </c>
      <c r="AA351" s="384">
        <f t="shared" si="134"/>
        <v>11.82101823194696</v>
      </c>
      <c r="AB351" s="197">
        <f t="shared" si="135"/>
        <v>44898</v>
      </c>
      <c r="AC351" s="119">
        <f>IF(OR(t&lt;Tnet,NoTnet),'2021'!Resal_s+('2021'!Salim-'2021'!Resal_s)*(1-EXP(('2021'!Tnet_s-t)/'2021'!Tau_j)),Resal_s+(Salim-Resal_s)*(1-EXP((Tnet_s-t)/Tau_j)))*Salcycl</f>
        <v>0.1132434184851262</v>
      </c>
      <c r="AD351" s="230">
        <f>(INDEX(Models!$BJ351:$BT351,,AH351)*(1-AF351)+INDEX(Models!$BJ351:$BT351,,AH351+1)*AF351-ERP_i)*AE351*Ramure*Pc/MaxiM</f>
        <v>5.8514083718516283E-4</v>
      </c>
      <c r="AE351" s="304">
        <f t="shared" si="136"/>
        <v>0.6</v>
      </c>
      <c r="AF351" s="177">
        <f t="shared" si="137"/>
        <v>0.49891632611327669</v>
      </c>
      <c r="AG351" s="799">
        <f t="shared" si="143"/>
        <v>0</v>
      </c>
      <c r="AH351" s="176">
        <f t="shared" si="138"/>
        <v>6</v>
      </c>
      <c r="AI351" s="224">
        <f t="shared" si="139"/>
        <v>0.49891632611327669</v>
      </c>
      <c r="AJ351" s="264" t="b">
        <f t="shared" si="140"/>
        <v>0</v>
      </c>
      <c r="AK351" s="264" t="b">
        <f t="shared" si="141"/>
        <v>0</v>
      </c>
      <c r="AL351" s="264"/>
      <c r="AM351" s="264"/>
      <c r="AN351" s="75"/>
    </row>
    <row r="352" spans="1:40" s="6" customFormat="1" ht="11.25" x14ac:dyDescent="0.2">
      <c r="A352" s="56">
        <f t="shared" si="142"/>
        <v>44899</v>
      </c>
      <c r="B352" s="607">
        <v>18.170999999999999</v>
      </c>
      <c r="C352" s="388"/>
      <c r="D352" s="391">
        <f t="shared" si="122"/>
        <v>18.666217686098665</v>
      </c>
      <c r="E352" s="383">
        <f t="shared" si="120"/>
        <v>19.152746236372295</v>
      </c>
      <c r="F352" s="383">
        <f t="shared" si="123"/>
        <v>19.158831148998573</v>
      </c>
      <c r="G352" s="110">
        <f t="shared" si="121"/>
        <v>0.66552470148462861</v>
      </c>
      <c r="H352" s="412" t="b">
        <f>Wh_hp&gt;='2021'!Maxi_hp</f>
        <v>1</v>
      </c>
      <c r="I352" s="379">
        <f>IF(H352,Wh_hp,'2021'!Maxi_hp)</f>
        <v>19.158831148998573</v>
      </c>
      <c r="J352" s="85">
        <f>IF(H352,An,'2021'!An_max)</f>
        <v>2022</v>
      </c>
      <c r="K352" s="197">
        <f t="shared" si="124"/>
        <v>44899</v>
      </c>
      <c r="L352" s="147">
        <f>IF(t&lt;Tvie,1-EXP((T0-t)*PertePVj)+'2021'!Pspv,1-EXP((T0-t)*PertePVj)+Pspv)</f>
        <v>2.6530157015551725E-2</v>
      </c>
      <c r="M352" s="832"/>
      <c r="N352" s="832"/>
      <c r="O352" s="48">
        <f>IF(t&lt;Tnet,'2021'!Resal+('2021'!Salim-'2021'!Resal)*(1-EXP(('2021'!Tnet-t)/('2021'!Tau_j))),Resal+(Salim-Resal)*(1-EXP((Tnet-t)/(Tau_j))))*Salcycl</f>
        <v>2.5402547721834232E-2</v>
      </c>
      <c r="P352" s="169">
        <f>(INDEX(Models!$BJ352:$BT352,,T352)*(1-R352)+INDEX(Models!$BJ352:$BT352,,T352+1)*R352-ERP_i)*Q352*Ramure*Pc/MaxiM</f>
        <v>6.0790681659154033E-4</v>
      </c>
      <c r="Q352" s="304">
        <f t="shared" si="125"/>
        <v>0.6</v>
      </c>
      <c r="R352" s="177">
        <f t="shared" si="126"/>
        <v>0.49893087433491168</v>
      </c>
      <c r="S352" s="799">
        <f t="shared" si="127"/>
        <v>0</v>
      </c>
      <c r="T352" s="176">
        <f t="shared" si="128"/>
        <v>6</v>
      </c>
      <c r="U352" s="250">
        <f t="shared" si="129"/>
        <v>0.49893087433491168</v>
      </c>
      <c r="V352" s="382">
        <f t="shared" si="130"/>
        <v>27.295340327329889</v>
      </c>
      <c r="W352" s="400"/>
      <c r="X352" s="157">
        <f t="shared" si="131"/>
        <v>44899</v>
      </c>
      <c r="Y352" s="383">
        <f t="shared" si="132"/>
        <v>16.534118259513324</v>
      </c>
      <c r="Z352" s="383">
        <f t="shared" si="133"/>
        <v>16.984725699178608</v>
      </c>
      <c r="AA352" s="384">
        <f t="shared" si="134"/>
        <v>19.152746236372295</v>
      </c>
      <c r="AB352" s="197">
        <f t="shared" si="135"/>
        <v>44899</v>
      </c>
      <c r="AC352" s="119">
        <f>IF(OR(t&lt;Tnet,NoTnet),'2021'!Resal_s+('2021'!Salim-'2021'!Resal_s)*(1-EXP(('2021'!Tnet_s-t)/'2021'!Tau_j)),Resal_s+(Salim-Resal_s)*(1-EXP((Tnet_s-t)/Tau_j)))*Salcycl</f>
        <v>0.11319632758859811</v>
      </c>
      <c r="AD352" s="230">
        <f>(INDEX(Models!$BJ352:$BT352,,AH352)*(1-AF352)+INDEX(Models!$BJ352:$BT352,,AH352+1)*AF352-ERP_i)*AE352*Ramure*Pc/MaxiM</f>
        <v>6.0790681659154033E-4</v>
      </c>
      <c r="AE352" s="304">
        <f t="shared" si="136"/>
        <v>0.6</v>
      </c>
      <c r="AF352" s="177">
        <f t="shared" si="137"/>
        <v>0.49893087433491168</v>
      </c>
      <c r="AG352" s="799">
        <f t="shared" si="143"/>
        <v>0</v>
      </c>
      <c r="AH352" s="176">
        <f t="shared" si="138"/>
        <v>6</v>
      </c>
      <c r="AI352" s="224">
        <f t="shared" si="139"/>
        <v>0.49893087433491168</v>
      </c>
      <c r="AJ352" s="264" t="b">
        <f t="shared" si="140"/>
        <v>0</v>
      </c>
      <c r="AK352" s="264" t="b">
        <f t="shared" si="141"/>
        <v>0</v>
      </c>
      <c r="AL352" s="264"/>
      <c r="AM352" s="264"/>
      <c r="AN352" s="75"/>
    </row>
    <row r="353" spans="1:40" s="6" customFormat="1" ht="11.25" x14ac:dyDescent="0.2">
      <c r="A353" s="56">
        <f t="shared" si="142"/>
        <v>44900</v>
      </c>
      <c r="B353" s="607">
        <v>28.134</v>
      </c>
      <c r="C353" s="388"/>
      <c r="D353" s="391">
        <f t="shared" si="122"/>
        <v>28.901295088680587</v>
      </c>
      <c r="E353" s="383">
        <f t="shared" si="120"/>
        <v>29.656452257216511</v>
      </c>
      <c r="F353" s="383">
        <f t="shared" si="123"/>
        <v>29.675148577196847</v>
      </c>
      <c r="G353" s="110">
        <f t="shared" si="121"/>
        <v>1.0360095025616596</v>
      </c>
      <c r="H353" s="412" t="b">
        <f>Wh_hp&gt;='2021'!Maxi_hp</f>
        <v>1</v>
      </c>
      <c r="I353" s="379">
        <f>IF(H353,Wh_hp,'2021'!Maxi_hp)</f>
        <v>29.675148577196847</v>
      </c>
      <c r="J353" s="85">
        <f>IF(H353,An,'2021'!An_max)</f>
        <v>2022</v>
      </c>
      <c r="K353" s="197">
        <f t="shared" si="124"/>
        <v>44900</v>
      </c>
      <c r="L353" s="147">
        <f>IF(t&lt;Tvie,1-EXP((T0-t)*PertePVj)+'2021'!Pspv,1-EXP((T0-t)*PertePVj)+Pspv)</f>
        <v>2.6548813343008404E-2</v>
      </c>
      <c r="M353" s="832"/>
      <c r="N353" s="832"/>
      <c r="O353" s="48">
        <f>IF(t&lt;Tnet,'2021'!Resal+('2021'!Salim-'2021'!Resal)*(1-EXP(('2021'!Tnet-t)/('2021'!Tau_j))),Resal+(Salim-Resal)*(1-EXP((Tnet-t)/(Tau_j))))*Salcycl</f>
        <v>2.5463503253399657E-2</v>
      </c>
      <c r="P353" s="169">
        <f>(INDEX(Models!$BJ353:$BT353,,T353)*(1-R353)+INDEX(Models!$BJ353:$BT353,,T353+1)*R353-ERP_i)*Q353*Ramure*Pc/MaxiM</f>
        <v>6.3003290216720118E-4</v>
      </c>
      <c r="Q353" s="304">
        <f t="shared" si="125"/>
        <v>0.6</v>
      </c>
      <c r="R353" s="177">
        <f t="shared" si="126"/>
        <v>0.49894483759828062</v>
      </c>
      <c r="S353" s="799">
        <f t="shared" si="127"/>
        <v>0</v>
      </c>
      <c r="T353" s="176">
        <f t="shared" si="128"/>
        <v>6</v>
      </c>
      <c r="U353" s="250">
        <f t="shared" si="129"/>
        <v>0.49894483759828062</v>
      </c>
      <c r="V353" s="382">
        <f t="shared" si="130"/>
        <v>27.156121570733927</v>
      </c>
      <c r="W353" s="400"/>
      <c r="X353" s="157">
        <f t="shared" si="131"/>
        <v>44900</v>
      </c>
      <c r="Y353" s="383">
        <f t="shared" si="132"/>
        <v>25.602535117966653</v>
      </c>
      <c r="Z353" s="383">
        <f t="shared" si="133"/>
        <v>26.300789879244398</v>
      </c>
      <c r="AA353" s="384">
        <f t="shared" si="134"/>
        <v>29.656452257216511</v>
      </c>
      <c r="AB353" s="197">
        <f t="shared" si="135"/>
        <v>44900</v>
      </c>
      <c r="AC353" s="119">
        <f>IF(OR(t&lt;Tnet,NoTnet),'2021'!Resal_s+('2021'!Salim-'2021'!Resal_s)*(1-EXP(('2021'!Tnet_s-t)/'2021'!Tau_j)),Resal_s+(Salim-Resal_s)*(1-EXP((Tnet_s-t)/Tau_j)))*Salcycl</f>
        <v>0.11315117360862194</v>
      </c>
      <c r="AD353" s="230">
        <f>(INDEX(Models!$BJ353:$BT353,,AH353)*(1-AF353)+INDEX(Models!$BJ353:$BT353,,AH353+1)*AF353-ERP_i)*AE353*Ramure*Pc/MaxiM</f>
        <v>6.3003290216720118E-4</v>
      </c>
      <c r="AE353" s="304">
        <f t="shared" si="136"/>
        <v>0.6</v>
      </c>
      <c r="AF353" s="177">
        <f t="shared" si="137"/>
        <v>0.49894483759828062</v>
      </c>
      <c r="AG353" s="799">
        <f t="shared" si="143"/>
        <v>0</v>
      </c>
      <c r="AH353" s="176">
        <f t="shared" si="138"/>
        <v>6</v>
      </c>
      <c r="AI353" s="224">
        <f t="shared" si="139"/>
        <v>0.49894483759828062</v>
      </c>
      <c r="AJ353" s="264" t="b">
        <f t="shared" si="140"/>
        <v>0</v>
      </c>
      <c r="AK353" s="264" t="b">
        <f t="shared" si="141"/>
        <v>0</v>
      </c>
      <c r="AL353" s="264"/>
      <c r="AM353" s="264"/>
      <c r="AN353" s="75"/>
    </row>
    <row r="354" spans="1:40" s="6" customFormat="1" ht="11.25" x14ac:dyDescent="0.2">
      <c r="A354" s="56">
        <f t="shared" si="142"/>
        <v>44901</v>
      </c>
      <c r="B354" s="607">
        <v>12.652000000000001</v>
      </c>
      <c r="C354" s="388"/>
      <c r="D354" s="391">
        <f t="shared" si="122"/>
        <v>12.997305515431893</v>
      </c>
      <c r="E354" s="383">
        <f t="shared" si="120"/>
        <v>13.337748601827533</v>
      </c>
      <c r="F354" s="383">
        <f t="shared" si="123"/>
        <v>13.339836229743399</v>
      </c>
      <c r="G354" s="110">
        <f t="shared" si="121"/>
        <v>0.46791192878982762</v>
      </c>
      <c r="H354" s="412" t="b">
        <f>Wh_hp&gt;='2021'!Maxi_hp</f>
        <v>0</v>
      </c>
      <c r="I354" s="379">
        <f>IF(H354,Wh_hp,'2021'!Maxi_hp)</f>
        <v>22.171647596043584</v>
      </c>
      <c r="J354" s="85">
        <f>IF(H354,An,'2021'!An_max)</f>
        <v>2020</v>
      </c>
      <c r="K354" s="197">
        <f t="shared" si="124"/>
        <v>44901</v>
      </c>
      <c r="L354" s="147">
        <f>IF(t&lt;Tvie,1-EXP((T0-t)*PertePVj)+'2021'!Pspv,1-EXP((T0-t)*PertePVj)+Pspv)</f>
        <v>2.6567469312920755E-2</v>
      </c>
      <c r="M354" s="832"/>
      <c r="N354" s="832"/>
      <c r="O354" s="48">
        <f>IF(t&lt;Tnet,'2021'!Resal+('2021'!Salim-'2021'!Resal)*(1-EXP(('2021'!Tnet-t)/('2021'!Tau_j))),Resal+(Salim-Resal)*(1-EXP((Tnet-t)/(Tau_j))))*Salcycl</f>
        <v>2.5524779073208326E-2</v>
      </c>
      <c r="P354" s="169">
        <f>(INDEX(Models!$BJ354:$BT354,,T354)*(1-R354)+INDEX(Models!$BJ354:$BT354,,T354+1)*R354-ERP_i)*Q354*Ramure*Pc/MaxiM</f>
        <v>6.5150841944228296E-4</v>
      </c>
      <c r="Q354" s="304">
        <f t="shared" si="125"/>
        <v>0.6</v>
      </c>
      <c r="R354" s="177">
        <f t="shared" si="126"/>
        <v>0.49895823939280359</v>
      </c>
      <c r="S354" s="799">
        <f t="shared" si="127"/>
        <v>0</v>
      </c>
      <c r="T354" s="176">
        <f t="shared" si="128"/>
        <v>6</v>
      </c>
      <c r="U354" s="250">
        <f t="shared" si="129"/>
        <v>0.49895823939280359</v>
      </c>
      <c r="V354" s="382">
        <f t="shared" si="130"/>
        <v>27.025889577915375</v>
      </c>
      <c r="W354" s="400"/>
      <c r="X354" s="157">
        <f t="shared" si="131"/>
        <v>44901</v>
      </c>
      <c r="Y354" s="383">
        <f t="shared" si="132"/>
        <v>11.514873280328937</v>
      </c>
      <c r="Z354" s="383">
        <f t="shared" si="133"/>
        <v>11.829143692374219</v>
      </c>
      <c r="AA354" s="384">
        <f t="shared" si="134"/>
        <v>13.337748601827533</v>
      </c>
      <c r="AB354" s="197">
        <f t="shared" si="135"/>
        <v>44901</v>
      </c>
      <c r="AC354" s="119">
        <f>IF(OR(t&lt;Tnet,NoTnet),'2021'!Resal_s+('2021'!Salim-'2021'!Resal_s)*(1-EXP(('2021'!Tnet_s-t)/'2021'!Tau_j)),Resal_s+(Salim-Resal_s)*(1-EXP((Tnet_s-t)/Tau_j)))*Salcycl</f>
        <v>0.11310791307362067</v>
      </c>
      <c r="AD354" s="230">
        <f>(INDEX(Models!$BJ354:$BT354,,AH354)*(1-AF354)+INDEX(Models!$BJ354:$BT354,,AH354+1)*AF354-ERP_i)*AE354*Ramure*Pc/MaxiM</f>
        <v>6.5150841944228296E-4</v>
      </c>
      <c r="AE354" s="304">
        <f t="shared" si="136"/>
        <v>0.6</v>
      </c>
      <c r="AF354" s="177">
        <f t="shared" si="137"/>
        <v>0.49895823939280359</v>
      </c>
      <c r="AG354" s="799">
        <f t="shared" si="143"/>
        <v>0</v>
      </c>
      <c r="AH354" s="176">
        <f t="shared" si="138"/>
        <v>6</v>
      </c>
      <c r="AI354" s="224">
        <f t="shared" si="139"/>
        <v>0.49895823939280359</v>
      </c>
      <c r="AJ354" s="264" t="b">
        <f t="shared" si="140"/>
        <v>0</v>
      </c>
      <c r="AK354" s="264" t="b">
        <f t="shared" si="141"/>
        <v>0</v>
      </c>
      <c r="AL354" s="264"/>
      <c r="AM354" s="264"/>
      <c r="AN354" s="75"/>
    </row>
    <row r="355" spans="1:40" s="6" customFormat="1" ht="11.25" x14ac:dyDescent="0.2">
      <c r="A355" s="56">
        <f t="shared" si="142"/>
        <v>44902</v>
      </c>
      <c r="B355" s="607">
        <v>23.240000000000002</v>
      </c>
      <c r="C355" s="388"/>
      <c r="D355" s="391">
        <f t="shared" si="122"/>
        <v>23.87473673335143</v>
      </c>
      <c r="E355" s="383">
        <f t="shared" si="120"/>
        <v>24.50164483223849</v>
      </c>
      <c r="F355" s="383">
        <f t="shared" si="123"/>
        <v>24.51491938242404</v>
      </c>
      <c r="G355" s="110">
        <f t="shared" si="121"/>
        <v>0.8636685576168478</v>
      </c>
      <c r="H355" s="412" t="b">
        <f>Wh_hp&gt;='2021'!Maxi_hp</f>
        <v>1</v>
      </c>
      <c r="I355" s="379">
        <f>IF(H355,Wh_hp,'2021'!Maxi_hp)</f>
        <v>24.51491938242404</v>
      </c>
      <c r="J355" s="85">
        <f>IF(H355,An,'2021'!An_max)</f>
        <v>2022</v>
      </c>
      <c r="K355" s="197">
        <f t="shared" si="124"/>
        <v>44902</v>
      </c>
      <c r="L355" s="147">
        <f>IF(t&lt;Tvie,1-EXP((T0-t)*PertePVj)+'2021'!Pspv,1-EXP((T0-t)*PertePVj)+Pspv)</f>
        <v>2.6586124925295662E-2</v>
      </c>
      <c r="M355" s="832"/>
      <c r="N355" s="832"/>
      <c r="O355" s="48">
        <f>IF(t&lt;Tnet,'2021'!Resal+('2021'!Salim-'2021'!Resal)*(1-EXP(('2021'!Tnet-t)/('2021'!Tau_j))),Resal+(Salim-Resal)*(1-EXP((Tnet-t)/(Tau_j))))*Salcycl</f>
        <v>2.5586367902215162E-2</v>
      </c>
      <c r="P355" s="169">
        <f>(INDEX(Models!$BJ355:$BT355,,T355)*(1-R355)+INDEX(Models!$BJ355:$BT355,,T355+1)*R355-ERP_i)*Q355*Ramure*Pc/MaxiM</f>
        <v>6.7232067085715348E-4</v>
      </c>
      <c r="Q355" s="304">
        <f t="shared" si="125"/>
        <v>0.6</v>
      </c>
      <c r="R355" s="177">
        <f t="shared" si="126"/>
        <v>0.49897110226708863</v>
      </c>
      <c r="S355" s="799">
        <f t="shared" si="127"/>
        <v>0</v>
      </c>
      <c r="T355" s="176">
        <f t="shared" si="128"/>
        <v>6</v>
      </c>
      <c r="U355" s="250">
        <f t="shared" si="129"/>
        <v>0.49897110226708863</v>
      </c>
      <c r="V355" s="382">
        <f t="shared" si="130"/>
        <v>26.904948213295853</v>
      </c>
      <c r="W355" s="400"/>
      <c r="X355" s="157">
        <f t="shared" si="131"/>
        <v>44902</v>
      </c>
      <c r="Y355" s="383">
        <f t="shared" si="132"/>
        <v>21.153577817984761</v>
      </c>
      <c r="Z355" s="383">
        <f t="shared" si="133"/>
        <v>21.731329663203471</v>
      </c>
      <c r="AA355" s="384">
        <f t="shared" si="134"/>
        <v>24.50164483223849</v>
      </c>
      <c r="AB355" s="197">
        <f t="shared" si="135"/>
        <v>44902</v>
      </c>
      <c r="AC355" s="119">
        <f>IF(OR(t&lt;Tnet,NoTnet),'2021'!Resal_s+('2021'!Salim-'2021'!Resal_s)*(1-EXP(('2021'!Tnet_s-t)/'2021'!Tau_j)),Resal_s+(Salim-Resal_s)*(1-EXP((Tnet_s-t)/Tau_j)))*Salcycl</f>
        <v>0.11306649769855147</v>
      </c>
      <c r="AD355" s="230">
        <f>(INDEX(Models!$BJ355:$BT355,,AH355)*(1-AF355)+INDEX(Models!$BJ355:$BT355,,AH355+1)*AF355-ERP_i)*AE355*Ramure*Pc/MaxiM</f>
        <v>6.7232067085715348E-4</v>
      </c>
      <c r="AE355" s="304">
        <f t="shared" si="136"/>
        <v>0.6</v>
      </c>
      <c r="AF355" s="177">
        <f t="shared" si="137"/>
        <v>0.49897110226708863</v>
      </c>
      <c r="AG355" s="799">
        <f t="shared" si="143"/>
        <v>0</v>
      </c>
      <c r="AH355" s="176">
        <f t="shared" si="138"/>
        <v>6</v>
      </c>
      <c r="AI355" s="224">
        <f t="shared" si="139"/>
        <v>0.49897110226708863</v>
      </c>
      <c r="AJ355" s="264" t="b">
        <f t="shared" si="140"/>
        <v>0</v>
      </c>
      <c r="AK355" s="264" t="b">
        <f t="shared" si="141"/>
        <v>0</v>
      </c>
      <c r="AL355" s="264"/>
      <c r="AM355" s="264"/>
      <c r="AN355" s="75"/>
    </row>
    <row r="356" spans="1:40" s="6" customFormat="1" ht="11.25" x14ac:dyDescent="0.2">
      <c r="A356" s="56">
        <f t="shared" si="142"/>
        <v>44903</v>
      </c>
      <c r="B356" s="607">
        <v>4.2709999999999999</v>
      </c>
      <c r="C356" s="388"/>
      <c r="D356" s="391">
        <f t="shared" si="122"/>
        <v>4.3877347176518979</v>
      </c>
      <c r="E356" s="383">
        <f t="shared" si="120"/>
        <v>4.5032348622609621</v>
      </c>
      <c r="F356" s="383">
        <f t="shared" si="123"/>
        <v>4.5032348622609621</v>
      </c>
      <c r="G356" s="110">
        <f t="shared" si="121"/>
        <v>0.15929335055824551</v>
      </c>
      <c r="H356" s="412" t="b">
        <f>Wh_hp&gt;='2021'!Maxi_hp</f>
        <v>0</v>
      </c>
      <c r="I356" s="379">
        <f>IF(H356,Wh_hp,'2021'!Maxi_hp)</f>
        <v>18.001380759086484</v>
      </c>
      <c r="J356" s="85">
        <f>IF(H356,An,'2021'!An_max)</f>
        <v>2018</v>
      </c>
      <c r="K356" s="197">
        <f t="shared" si="124"/>
        <v>44903</v>
      </c>
      <c r="L356" s="147">
        <f>IF(t&lt;Tvie,1-EXP((T0-t)*PertePVj)+'2021'!Pspv,1-EXP((T0-t)*PertePVj)+Pspv)</f>
        <v>2.660478018014012E-2</v>
      </c>
      <c r="M356" s="832"/>
      <c r="N356" s="832"/>
      <c r="O356" s="48">
        <f>IF(t&lt;Tnet,'2021'!Resal+('2021'!Salim-'2021'!Resal)*(1-EXP(('2021'!Tnet-t)/('2021'!Tau_j))),Resal+(Salim-Resal)*(1-EXP((Tnet-t)/(Tau_j))))*Salcycl</f>
        <v>2.564826133697921E-2</v>
      </c>
      <c r="P356" s="169">
        <f>(INDEX(Models!$BJ356:$BT356,,T356)*(1-R356)+INDEX(Models!$BJ356:$BT356,,T356+1)*R356-ERP_i)*Q356*Ramure*Pc/MaxiM</f>
        <v>6.9245499944016551E-4</v>
      </c>
      <c r="Q356" s="304">
        <f t="shared" si="125"/>
        <v>0.6</v>
      </c>
      <c r="R356" s="177">
        <f t="shared" si="126"/>
        <v>0.49898344786642268</v>
      </c>
      <c r="S356" s="799">
        <f t="shared" si="127"/>
        <v>0</v>
      </c>
      <c r="T356" s="176">
        <f t="shared" si="128"/>
        <v>6</v>
      </c>
      <c r="U356" s="250">
        <f t="shared" si="129"/>
        <v>0.49898344786642268</v>
      </c>
      <c r="V356" s="382">
        <f t="shared" si="130"/>
        <v>26.793601300619159</v>
      </c>
      <c r="W356" s="400"/>
      <c r="X356" s="157">
        <f t="shared" si="131"/>
        <v>44903</v>
      </c>
      <c r="Y356" s="383">
        <f t="shared" si="132"/>
        <v>3.8879822013046228</v>
      </c>
      <c r="Z356" s="383">
        <f t="shared" si="133"/>
        <v>3.9942482992921899</v>
      </c>
      <c r="AA356" s="384">
        <f t="shared" si="134"/>
        <v>4.5032348622609621</v>
      </c>
      <c r="AB356" s="197">
        <f t="shared" si="135"/>
        <v>44903</v>
      </c>
      <c r="AC356" s="119">
        <f>IF(OR(t&lt;Tnet,NoTnet),'2021'!Resal_s+('2021'!Salim-'2021'!Resal_s)*(1-EXP(('2021'!Tnet_s-t)/'2021'!Tau_j)),Resal_s+(Salim-Resal_s)*(1-EXP((Tnet_s-t)/Tau_j)))*Salcycl</f>
        <v>0.11302687479933542</v>
      </c>
      <c r="AD356" s="230">
        <f>(INDEX(Models!$BJ356:$BT356,,AH356)*(1-AF356)+INDEX(Models!$BJ356:$BT356,,AH356+1)*AF356-ERP_i)*AE356*Ramure*Pc/MaxiM</f>
        <v>6.9245499944016551E-4</v>
      </c>
      <c r="AE356" s="304">
        <f t="shared" si="136"/>
        <v>0.6</v>
      </c>
      <c r="AF356" s="177">
        <f t="shared" si="137"/>
        <v>0.49898344786642268</v>
      </c>
      <c r="AG356" s="799">
        <f t="shared" si="143"/>
        <v>0</v>
      </c>
      <c r="AH356" s="176">
        <f t="shared" si="138"/>
        <v>6</v>
      </c>
      <c r="AI356" s="224">
        <f t="shared" si="139"/>
        <v>0.49898344786642268</v>
      </c>
      <c r="AJ356" s="264" t="b">
        <f t="shared" si="140"/>
        <v>0</v>
      </c>
      <c r="AK356" s="264" t="b">
        <f t="shared" si="141"/>
        <v>0</v>
      </c>
      <c r="AL356" s="264"/>
      <c r="AM356" s="264"/>
      <c r="AN356" s="75"/>
    </row>
    <row r="357" spans="1:40" s="6" customFormat="1" ht="11.25" x14ac:dyDescent="0.2">
      <c r="A357" s="56">
        <f t="shared" si="142"/>
        <v>44904</v>
      </c>
      <c r="B357" s="607">
        <v>5.1610000000000005</v>
      </c>
      <c r="C357" s="388"/>
      <c r="D357" s="391">
        <f t="shared" si="122"/>
        <v>5.3021617593708044</v>
      </c>
      <c r="E357" s="383">
        <f t="shared" si="120"/>
        <v>5.4420800869871684</v>
      </c>
      <c r="F357" s="383">
        <f t="shared" si="123"/>
        <v>5.4420800869871684</v>
      </c>
      <c r="G357" s="110">
        <f t="shared" si="121"/>
        <v>0.19321506141793973</v>
      </c>
      <c r="H357" s="412" t="b">
        <f>Wh_hp&gt;='2021'!Maxi_hp</f>
        <v>0</v>
      </c>
      <c r="I357" s="379">
        <f>IF(H357,Wh_hp,'2021'!Maxi_hp)</f>
        <v>12.508888202524682</v>
      </c>
      <c r="J357" s="85">
        <f>IF(H357,An,'2021'!An_max)</f>
        <v>2018</v>
      </c>
      <c r="K357" s="197">
        <f t="shared" si="124"/>
        <v>44904</v>
      </c>
      <c r="L357" s="147">
        <f>IF(t&lt;Tvie,1-EXP((T0-t)*PertePVj)+'2021'!Pspv,1-EXP((T0-t)*PertePVj)+Pspv)</f>
        <v>2.6623435077460789E-2</v>
      </c>
      <c r="M357" s="832"/>
      <c r="N357" s="832"/>
      <c r="O357" s="48">
        <f>IF(t&lt;Tnet,'2021'!Resal+('2021'!Salim-'2021'!Resal)*(1-EXP(('2021'!Tnet-t)/('2021'!Tau_j))),Resal+(Salim-Resal)*(1-EXP((Tnet-t)/(Tau_j))))*Salcycl</f>
        <v>2.5710449934562625E-2</v>
      </c>
      <c r="P357" s="169">
        <f>(INDEX(Models!$BJ357:$BT357,,T357)*(1-R357)+INDEX(Models!$BJ357:$BT357,,T357+1)*R357-ERP_i)*Q357*Ramure*Pc/MaxiM</f>
        <v>7.1189488584767302E-4</v>
      </c>
      <c r="Q357" s="304">
        <f t="shared" si="125"/>
        <v>0.6</v>
      </c>
      <c r="R357" s="177">
        <f t="shared" si="126"/>
        <v>0.49899529696878275</v>
      </c>
      <c r="S357" s="799">
        <f t="shared" si="127"/>
        <v>0</v>
      </c>
      <c r="T357" s="176">
        <f t="shared" si="128"/>
        <v>6</v>
      </c>
      <c r="U357" s="250">
        <f t="shared" si="129"/>
        <v>0.49899529696878275</v>
      </c>
      <c r="V357" s="382">
        <f t="shared" si="130"/>
        <v>26.6921526336833</v>
      </c>
      <c r="W357" s="400"/>
      <c r="X357" s="157">
        <f t="shared" si="131"/>
        <v>44904</v>
      </c>
      <c r="Y357" s="383">
        <f t="shared" si="132"/>
        <v>4.6986687212655847</v>
      </c>
      <c r="Z357" s="383">
        <f t="shared" si="133"/>
        <v>4.8271849668370663</v>
      </c>
      <c r="AA357" s="384">
        <f t="shared" si="134"/>
        <v>5.4420800869871684</v>
      </c>
      <c r="AB357" s="197">
        <f t="shared" si="135"/>
        <v>44904</v>
      </c>
      <c r="AC357" s="119">
        <f>IF(OR(t&lt;Tnet,NoTnet),'2021'!Resal_s+('2021'!Salim-'2021'!Resal_s)*(1-EXP(('2021'!Tnet_s-t)/'2021'!Tau_j)),Resal_s+(Salim-Resal_s)*(1-EXP((Tnet_s-t)/Tau_j)))*Salcycl</f>
        <v>0.11298898772555893</v>
      </c>
      <c r="AD357" s="230">
        <f>(INDEX(Models!$BJ357:$BT357,,AH357)*(1-AF357)+INDEX(Models!$BJ357:$BT357,,AH357+1)*AF357-ERP_i)*AE357*Ramure*Pc/MaxiM</f>
        <v>7.1189488584767302E-4</v>
      </c>
      <c r="AE357" s="304">
        <f t="shared" si="136"/>
        <v>0.6</v>
      </c>
      <c r="AF357" s="177">
        <f t="shared" si="137"/>
        <v>0.49899529696878275</v>
      </c>
      <c r="AG357" s="799">
        <f t="shared" si="143"/>
        <v>0</v>
      </c>
      <c r="AH357" s="176">
        <f t="shared" si="138"/>
        <v>6</v>
      </c>
      <c r="AI357" s="224">
        <f t="shared" si="139"/>
        <v>0.49899529696878275</v>
      </c>
      <c r="AJ357" s="264" t="b">
        <f t="shared" si="140"/>
        <v>0</v>
      </c>
      <c r="AK357" s="264" t="b">
        <f t="shared" si="141"/>
        <v>0</v>
      </c>
      <c r="AL357" s="264"/>
      <c r="AM357" s="264"/>
      <c r="AN357" s="75"/>
    </row>
    <row r="358" spans="1:40" s="6" customFormat="1" ht="11.25" x14ac:dyDescent="0.2">
      <c r="A358" s="56">
        <f t="shared" si="142"/>
        <v>44905</v>
      </c>
      <c r="B358" s="607">
        <v>11.931000000000001</v>
      </c>
      <c r="C358" s="388"/>
      <c r="D358" s="391">
        <f t="shared" si="122"/>
        <v>12.257567203936933</v>
      </c>
      <c r="E358" s="383">
        <f t="shared" si="120"/>
        <v>12.581837948384504</v>
      </c>
      <c r="F358" s="383">
        <f t="shared" si="123"/>
        <v>12.583788632259081</v>
      </c>
      <c r="G358" s="110">
        <f t="shared" si="121"/>
        <v>0.44826034852122837</v>
      </c>
      <c r="H358" s="412" t="b">
        <f>Wh_hp&gt;='2021'!Maxi_hp</f>
        <v>0</v>
      </c>
      <c r="I358" s="379">
        <f>IF(H358,Wh_hp,'2021'!Maxi_hp)</f>
        <v>24.237624658257118</v>
      </c>
      <c r="J358" s="85">
        <f>IF(H358,An,'2021'!An_max)</f>
        <v>2018</v>
      </c>
      <c r="K358" s="197">
        <f t="shared" si="124"/>
        <v>44905</v>
      </c>
      <c r="L358" s="147">
        <f>IF(t&lt;Tvie,1-EXP((T0-t)*PertePVj)+'2021'!Pspv,1-EXP((T0-t)*PertePVj)+Pspv)</f>
        <v>2.6642089617264664E-2</v>
      </c>
      <c r="M358" s="832"/>
      <c r="N358" s="832"/>
      <c r="O358" s="48">
        <f>IF(t&lt;Tnet,'2021'!Resal+('2021'!Salim-'2021'!Resal)*(1-EXP(('2021'!Tnet-t)/('2021'!Tau_j))),Resal+(Salim-Resal)*(1-EXP((Tnet-t)/(Tau_j))))*Salcycl</f>
        <v>2.5772923302450162E-2</v>
      </c>
      <c r="P358" s="169">
        <f>(INDEX(Models!$BJ358:$BT358,,T358)*(1-R358)+INDEX(Models!$BJ358:$BT358,,T358+1)*R358-ERP_i)*Q358*Ramure*Pc/MaxiM</f>
        <v>7.3062208022552934E-4</v>
      </c>
      <c r="Q358" s="304">
        <f t="shared" si="125"/>
        <v>0.6</v>
      </c>
      <c r="R358" s="177">
        <f t="shared" si="126"/>
        <v>0.49900666951942729</v>
      </c>
      <c r="S358" s="799">
        <f t="shared" si="127"/>
        <v>0</v>
      </c>
      <c r="T358" s="176">
        <f t="shared" si="128"/>
        <v>6</v>
      </c>
      <c r="U358" s="250">
        <f t="shared" si="129"/>
        <v>0.49900666951942729</v>
      </c>
      <c r="V358" s="382">
        <f t="shared" si="130"/>
        <v>26.600905955633191</v>
      </c>
      <c r="W358" s="400"/>
      <c r="X358" s="157">
        <f t="shared" si="131"/>
        <v>44905</v>
      </c>
      <c r="Y358" s="383">
        <f t="shared" si="132"/>
        <v>10.863340466522192</v>
      </c>
      <c r="Z358" s="383">
        <f t="shared" si="133"/>
        <v>11.160684421058031</v>
      </c>
      <c r="AA358" s="384">
        <f t="shared" si="134"/>
        <v>12.581837948384504</v>
      </c>
      <c r="AB358" s="197">
        <f t="shared" si="135"/>
        <v>44905</v>
      </c>
      <c r="AC358" s="119">
        <f>IF(OR(t&lt;Tnet,NoTnet),'2021'!Resal_s+('2021'!Salim-'2021'!Resal_s)*(1-EXP(('2021'!Tnet_s-t)/'2021'!Tau_j)),Resal_s+(Salim-Resal_s)*(1-EXP((Tnet_s-t)/Tau_j)))*Salcycl</f>
        <v>0.11295277630792784</v>
      </c>
      <c r="AD358" s="230">
        <f>(INDEX(Models!$BJ358:$BT358,,AH358)*(1-AF358)+INDEX(Models!$BJ358:$BT358,,AH358+1)*AF358-ERP_i)*AE358*Ramure*Pc/MaxiM</f>
        <v>7.3062208022552934E-4</v>
      </c>
      <c r="AE358" s="304">
        <f t="shared" si="136"/>
        <v>0.6</v>
      </c>
      <c r="AF358" s="177">
        <f t="shared" si="137"/>
        <v>0.49900666951942729</v>
      </c>
      <c r="AG358" s="799">
        <f t="shared" si="143"/>
        <v>0</v>
      </c>
      <c r="AH358" s="176">
        <f t="shared" si="138"/>
        <v>6</v>
      </c>
      <c r="AI358" s="224">
        <f t="shared" si="139"/>
        <v>0.49900666951942729</v>
      </c>
      <c r="AJ358" s="264" t="b">
        <f t="shared" si="140"/>
        <v>0</v>
      </c>
      <c r="AK358" s="264" t="b">
        <f t="shared" si="141"/>
        <v>0</v>
      </c>
      <c r="AL358" s="264"/>
      <c r="AM358" s="264"/>
      <c r="AN358" s="75"/>
    </row>
    <row r="359" spans="1:40" s="6" customFormat="1" ht="11.25" x14ac:dyDescent="0.2">
      <c r="A359" s="56">
        <f t="shared" si="142"/>
        <v>44906</v>
      </c>
      <c r="B359" s="607">
        <v>18.772000000000002</v>
      </c>
      <c r="C359" s="388"/>
      <c r="D359" s="391">
        <f t="shared" si="122"/>
        <v>19.28618401078262</v>
      </c>
      <c r="E359" s="383">
        <f t="shared" si="120"/>
        <v>19.79767008570122</v>
      </c>
      <c r="F359" s="383">
        <f t="shared" si="123"/>
        <v>19.806310126672773</v>
      </c>
      <c r="G359" s="110">
        <f t="shared" si="121"/>
        <v>0.70765457478122606</v>
      </c>
      <c r="H359" s="412" t="b">
        <f>Wh_hp&gt;='2021'!Maxi_hp</f>
        <v>1</v>
      </c>
      <c r="I359" s="379">
        <f>IF(H359,Wh_hp,'2021'!Maxi_hp)</f>
        <v>19.806310126672773</v>
      </c>
      <c r="J359" s="85">
        <f>IF(H359,An,'2021'!An_max)</f>
        <v>2022</v>
      </c>
      <c r="K359" s="197">
        <f t="shared" si="124"/>
        <v>44906</v>
      </c>
      <c r="L359" s="147">
        <f>IF(t&lt;Tvie,1-EXP((T0-t)*PertePVj)+'2021'!Pspv,1-EXP((T0-t)*PertePVj)+Pspv)</f>
        <v>2.6660743799558517E-2</v>
      </c>
      <c r="M359" s="832"/>
      <c r="N359" s="832"/>
      <c r="O359" s="48">
        <f>IF(t&lt;Tnet,'2021'!Resal+('2021'!Salim-'2021'!Resal)*(1-EXP(('2021'!Tnet-t)/('2021'!Tau_j))),Resal+(Salim-Resal)*(1-EXP((Tnet-t)/(Tau_j))))*Salcycl</f>
        <v>2.5835670192727374E-2</v>
      </c>
      <c r="P359" s="169">
        <f>(INDEX(Models!$BJ359:$BT359,,T359)*(1-R359)+INDEX(Models!$BJ359:$BT359,,T359+1)*R359-ERP_i)*Q359*Ramure*Pc/MaxiM</f>
        <v>7.4865597297100572E-4</v>
      </c>
      <c r="Q359" s="304">
        <f t="shared" si="125"/>
        <v>0.6</v>
      </c>
      <c r="R359" s="177">
        <f t="shared" si="126"/>
        <v>0.49901758466411861</v>
      </c>
      <c r="S359" s="799">
        <f t="shared" si="127"/>
        <v>0</v>
      </c>
      <c r="T359" s="176">
        <f t="shared" si="128"/>
        <v>6</v>
      </c>
      <c r="U359" s="250">
        <f t="shared" si="129"/>
        <v>0.49901758466411861</v>
      </c>
      <c r="V359" s="382">
        <f t="shared" si="130"/>
        <v>26.518775101002326</v>
      </c>
      <c r="W359" s="400"/>
      <c r="X359" s="157">
        <f t="shared" si="131"/>
        <v>44906</v>
      </c>
      <c r="Y359" s="383">
        <f t="shared" si="132"/>
        <v>17.093933195749447</v>
      </c>
      <c r="Z359" s="383">
        <f t="shared" si="133"/>
        <v>17.562153264502939</v>
      </c>
      <c r="AA359" s="384">
        <f t="shared" si="134"/>
        <v>19.79767008570122</v>
      </c>
      <c r="AB359" s="197">
        <f t="shared" si="135"/>
        <v>44906</v>
      </c>
      <c r="AC359" s="119">
        <f>IF(OR(t&lt;Tnet,NoTnet),'2021'!Resal_s+('2021'!Salim-'2021'!Resal_s)*(1-EXP(('2021'!Tnet_s-t)/'2021'!Tau_j)),Resal_s+(Salim-Resal_s)*(1-EXP((Tnet_s-t)/Tau_j)))*Salcycl</f>
        <v>0.11291817731687892</v>
      </c>
      <c r="AD359" s="230">
        <f>(INDEX(Models!$BJ359:$BT359,,AH359)*(1-AF359)+INDEX(Models!$BJ359:$BT359,,AH359+1)*AF359-ERP_i)*AE359*Ramure*Pc/MaxiM</f>
        <v>7.4865597297100572E-4</v>
      </c>
      <c r="AE359" s="304">
        <f t="shared" si="136"/>
        <v>0.6</v>
      </c>
      <c r="AF359" s="177">
        <f t="shared" si="137"/>
        <v>0.49901758466411861</v>
      </c>
      <c r="AG359" s="799">
        <f t="shared" si="143"/>
        <v>0</v>
      </c>
      <c r="AH359" s="176">
        <f t="shared" si="138"/>
        <v>6</v>
      </c>
      <c r="AI359" s="224">
        <f t="shared" si="139"/>
        <v>0.49901758466411861</v>
      </c>
      <c r="AJ359" s="264" t="b">
        <f t="shared" si="140"/>
        <v>0</v>
      </c>
      <c r="AK359" s="264" t="b">
        <f t="shared" si="141"/>
        <v>0</v>
      </c>
      <c r="AL359" s="264"/>
      <c r="AM359" s="264"/>
      <c r="AN359" s="75"/>
    </row>
    <row r="360" spans="1:40" s="6" customFormat="1" ht="11.25" x14ac:dyDescent="0.2">
      <c r="A360" s="56">
        <f t="shared" si="142"/>
        <v>44907</v>
      </c>
      <c r="B360" s="607">
        <v>7.2370000000000001</v>
      </c>
      <c r="C360" s="388"/>
      <c r="D360" s="391">
        <f t="shared" si="122"/>
        <v>7.4353712254072857</v>
      </c>
      <c r="E360" s="383">
        <f t="shared" si="120"/>
        <v>7.6330573237688704</v>
      </c>
      <c r="F360" s="383">
        <f t="shared" si="123"/>
        <v>7.6330573237688704</v>
      </c>
      <c r="G360" s="110">
        <f t="shared" si="121"/>
        <v>0.27345618150902135</v>
      </c>
      <c r="H360" s="412" t="b">
        <f>Wh_hp&gt;='2021'!Maxi_hp</f>
        <v>0</v>
      </c>
      <c r="I360" s="379">
        <f>IF(H360,Wh_hp,'2021'!Maxi_hp)</f>
        <v>26.814406326002654</v>
      </c>
      <c r="J360" s="85">
        <f>IF(H360,An,'2021'!An_max)</f>
        <v>2021</v>
      </c>
      <c r="K360" s="197">
        <f t="shared" si="124"/>
        <v>44907</v>
      </c>
      <c r="L360" s="147">
        <f>IF(t&lt;Tvie,1-EXP((T0-t)*PertePVj)+'2021'!Pspv,1-EXP((T0-t)*PertePVj)+Pspv)</f>
        <v>2.6679397624349233E-2</v>
      </c>
      <c r="M360" s="832"/>
      <c r="N360" s="832"/>
      <c r="O360" s="48">
        <f>IF(t&lt;Tnet,'2021'!Resal+('2021'!Salim-'2021'!Resal)*(1-EXP(('2021'!Tnet-t)/('2021'!Tau_j))),Resal+(Salim-Resal)*(1-EXP((Tnet-t)/(Tau_j))))*Salcycl</f>
        <v>2.5898678599727276E-2</v>
      </c>
      <c r="P360" s="169">
        <f>(INDEX(Models!$BJ360:$BT360,,T360)*(1-R360)+INDEX(Models!$BJ360:$BT360,,T360+1)*R360-ERP_i)*Q360*Ramure*Pc/MaxiM</f>
        <v>7.6601898462173108E-4</v>
      </c>
      <c r="Q360" s="304">
        <f t="shared" si="125"/>
        <v>0.6</v>
      </c>
      <c r="R360" s="177">
        <f t="shared" si="126"/>
        <v>0.49902806078103334</v>
      </c>
      <c r="S360" s="799">
        <f t="shared" si="127"/>
        <v>0</v>
      </c>
      <c r="T360" s="176">
        <f t="shared" si="128"/>
        <v>6</v>
      </c>
      <c r="U360" s="250">
        <f t="shared" si="129"/>
        <v>0.49902806078103334</v>
      </c>
      <c r="V360" s="382">
        <f t="shared" si="130"/>
        <v>26.444662105287705</v>
      </c>
      <c r="W360" s="400"/>
      <c r="X360" s="157">
        <f t="shared" si="131"/>
        <v>44907</v>
      </c>
      <c r="Y360" s="383">
        <f t="shared" si="132"/>
        <v>6.5907418559519879</v>
      </c>
      <c r="Z360" s="383">
        <f t="shared" si="133"/>
        <v>6.7713986941872077</v>
      </c>
      <c r="AA360" s="384">
        <f t="shared" si="134"/>
        <v>7.6330573237688704</v>
      </c>
      <c r="AB360" s="197">
        <f t="shared" si="135"/>
        <v>44907</v>
      </c>
      <c r="AC360" s="119">
        <f>IF(OR(t&lt;Tnet,NoTnet),'2021'!Resal_s+('2021'!Salim-'2021'!Resal_s)*(1-EXP(('2021'!Tnet_s-t)/'2021'!Tau_j)),Resal_s+(Salim-Resal_s)*(1-EXP((Tnet_s-t)/Tau_j)))*Salcycl</f>
        <v>0.11288512492871119</v>
      </c>
      <c r="AD360" s="230">
        <f>(INDEX(Models!$BJ360:$BT360,,AH360)*(1-AF360)+INDEX(Models!$BJ360:$BT360,,AH360+1)*AF360-ERP_i)*AE360*Ramure*Pc/MaxiM</f>
        <v>7.6601898462173108E-4</v>
      </c>
      <c r="AE360" s="304">
        <f t="shared" si="136"/>
        <v>0.6</v>
      </c>
      <c r="AF360" s="177">
        <f t="shared" si="137"/>
        <v>0.49902806078103334</v>
      </c>
      <c r="AG360" s="799">
        <f t="shared" si="143"/>
        <v>0</v>
      </c>
      <c r="AH360" s="176">
        <f t="shared" si="138"/>
        <v>6</v>
      </c>
      <c r="AI360" s="224">
        <f t="shared" si="139"/>
        <v>0.49902806078103334</v>
      </c>
      <c r="AJ360" s="264" t="b">
        <f t="shared" si="140"/>
        <v>0</v>
      </c>
      <c r="AK360" s="264" t="b">
        <f t="shared" si="141"/>
        <v>0</v>
      </c>
      <c r="AL360" s="264"/>
      <c r="AM360" s="264"/>
      <c r="AN360" s="75"/>
    </row>
    <row r="361" spans="1:40" s="6" customFormat="1" ht="11.25" x14ac:dyDescent="0.2">
      <c r="A361" s="56">
        <f t="shared" si="142"/>
        <v>44908</v>
      </c>
      <c r="B361" s="607">
        <v>5.617</v>
      </c>
      <c r="C361" s="388"/>
      <c r="D361" s="391">
        <f t="shared" si="122"/>
        <v>5.7710764951205116</v>
      </c>
      <c r="E361" s="383">
        <f t="shared" ref="E361:E379" si="144">Wh_pvt/(1-Psa)</f>
        <v>5.9248983254241798</v>
      </c>
      <c r="F361" s="383">
        <f t="shared" si="123"/>
        <v>5.9248983254241798</v>
      </c>
      <c r="G361" s="110">
        <f t="shared" ref="G361:G379" si="145">+Wh_hp/MaxiM</f>
        <v>0.21276905438002894</v>
      </c>
      <c r="H361" s="412" t="b">
        <f>Wh_hp&gt;='2021'!Maxi_hp</f>
        <v>0</v>
      </c>
      <c r="I361" s="379">
        <f>IF(H361,Wh_hp,'2021'!Maxi_hp)</f>
        <v>28.151976192045886</v>
      </c>
      <c r="J361" s="85">
        <f>IF(H361,An,'2021'!An_max)</f>
        <v>2021</v>
      </c>
      <c r="K361" s="197">
        <f t="shared" si="124"/>
        <v>44908</v>
      </c>
      <c r="L361" s="147">
        <f>IF(t&lt;Tvie,1-EXP((T0-t)*PertePVj)+'2021'!Pspv,1-EXP((T0-t)*PertePVj)+Pspv)</f>
        <v>2.6698051091643693E-2</v>
      </c>
      <c r="M361" s="832"/>
      <c r="N361" s="832"/>
      <c r="O361" s="48">
        <f>IF(t&lt;Tnet,'2021'!Resal+('2021'!Salim-'2021'!Resal)*(1-EXP(('2021'!Tnet-t)/('2021'!Tau_j))),Resal+(Salim-Resal)*(1-EXP((Tnet-t)/(Tau_j))))*Salcycl</f>
        <v>2.5961935860334854E-2</v>
      </c>
      <c r="P361" s="169">
        <f>(INDEX(Models!$BJ361:$BT361,,T361)*(1-R361)+INDEX(Models!$BJ361:$BT361,,T361+1)*R361-ERP_i)*Q361*Ramure*Pc/MaxiM</f>
        <v>7.8198496750900705E-4</v>
      </c>
      <c r="Q361" s="304">
        <f t="shared" si="125"/>
        <v>0.6</v>
      </c>
      <c r="R361" s="177">
        <f t="shared" si="126"/>
        <v>0.49903811551140925</v>
      </c>
      <c r="S361" s="799">
        <f t="shared" si="127"/>
        <v>0</v>
      </c>
      <c r="T361" s="176">
        <f t="shared" si="128"/>
        <v>6</v>
      </c>
      <c r="U361" s="250">
        <f t="shared" si="129"/>
        <v>0.49903811551140925</v>
      </c>
      <c r="V361" s="382">
        <f t="shared" si="130"/>
        <v>26.378871715116841</v>
      </c>
      <c r="W361" s="400"/>
      <c r="X361" s="157">
        <f t="shared" si="131"/>
        <v>44908</v>
      </c>
      <c r="Y361" s="383">
        <f t="shared" si="132"/>
        <v>5.1159208108933472</v>
      </c>
      <c r="Z361" s="383">
        <f t="shared" si="133"/>
        <v>5.2562525089272674</v>
      </c>
      <c r="AA361" s="384">
        <f t="shared" si="134"/>
        <v>5.9248983254241798</v>
      </c>
      <c r="AB361" s="197">
        <f t="shared" si="135"/>
        <v>44908</v>
      </c>
      <c r="AC361" s="119">
        <f>IF(OR(t&lt;Tnet,NoTnet),'2021'!Resal_s+('2021'!Salim-'2021'!Resal_s)*(1-EXP(('2021'!Tnet_s-t)/'2021'!Tau_j)),Resal_s+(Salim-Resal_s)*(1-EXP((Tnet_s-t)/Tau_j)))*Salcycl</f>
        <v>0.11285355119558815</v>
      </c>
      <c r="AD361" s="230">
        <f>(INDEX(Models!$BJ361:$BT361,,AH361)*(1-AF361)+INDEX(Models!$BJ361:$BT361,,AH361+1)*AF361-ERP_i)*AE361*Ramure*Pc/MaxiM</f>
        <v>7.8198496750900705E-4</v>
      </c>
      <c r="AE361" s="304">
        <f t="shared" si="136"/>
        <v>0.6</v>
      </c>
      <c r="AF361" s="177">
        <f t="shared" si="137"/>
        <v>0.49903811551140925</v>
      </c>
      <c r="AG361" s="799">
        <f t="shared" si="143"/>
        <v>0</v>
      </c>
      <c r="AH361" s="176">
        <f t="shared" si="138"/>
        <v>6</v>
      </c>
      <c r="AI361" s="224">
        <f t="shared" si="139"/>
        <v>0.49903811551140925</v>
      </c>
      <c r="AJ361" s="264" t="b">
        <f t="shared" si="140"/>
        <v>0</v>
      </c>
      <c r="AK361" s="264" t="b">
        <f t="shared" si="141"/>
        <v>0</v>
      </c>
      <c r="AL361" s="264"/>
      <c r="AM361" s="264"/>
      <c r="AN361" s="75"/>
    </row>
    <row r="362" spans="1:40" s="6" customFormat="1" ht="11.25" x14ac:dyDescent="0.2">
      <c r="A362" s="56">
        <f t="shared" si="142"/>
        <v>44909</v>
      </c>
      <c r="B362" s="607">
        <v>18.245999999999999</v>
      </c>
      <c r="C362" s="388"/>
      <c r="D362" s="391">
        <f t="shared" si="122"/>
        <v>18.746854157226313</v>
      </c>
      <c r="E362" s="383">
        <f t="shared" si="144"/>
        <v>19.247786041564176</v>
      </c>
      <c r="F362" s="383">
        <f t="shared" si="123"/>
        <v>19.256401714708687</v>
      </c>
      <c r="G362" s="110">
        <f t="shared" si="145"/>
        <v>0.69295046461790033</v>
      </c>
      <c r="H362" s="412" t="b">
        <f>Wh_hp&gt;='2021'!Maxi_hp</f>
        <v>0</v>
      </c>
      <c r="I362" s="379">
        <f>IF(H362,Wh_hp,'2021'!Maxi_hp)</f>
        <v>27.05277642016825</v>
      </c>
      <c r="J362" s="85">
        <f>IF(H362,An,'2021'!An_max)</f>
        <v>2021</v>
      </c>
      <c r="K362" s="197">
        <f t="shared" si="124"/>
        <v>44909</v>
      </c>
      <c r="L362" s="147">
        <f>IF(t&lt;Tvie,1-EXP((T0-t)*PertePVj)+'2021'!Pspv,1-EXP((T0-t)*PertePVj)+Pspv)</f>
        <v>2.6716704201448671E-2</v>
      </c>
      <c r="M362" s="832"/>
      <c r="N362" s="832"/>
      <c r="O362" s="48">
        <f>IF(t&lt;Tnet,'2021'!Resal+('2021'!Salim-'2021'!Resal)*(1-EXP(('2021'!Tnet-t)/('2021'!Tau_j))),Resal+(Salim-Resal)*(1-EXP((Tnet-t)/(Tau_j))))*Salcycl</f>
        <v>2.6025428756124909E-2</v>
      </c>
      <c r="P362" s="169">
        <f>(INDEX(Models!$BJ362:$BT362,,T362)*(1-R362)+INDEX(Models!$BJ362:$BT362,,T362+1)*R362-ERP_i)*Q362*Ramure*Pc/MaxiM</f>
        <v>7.9653855780850789E-4</v>
      </c>
      <c r="Q362" s="304">
        <f t="shared" si="125"/>
        <v>0.6</v>
      </c>
      <c r="R362" s="177">
        <f t="shared" si="126"/>
        <v>0.49904776578897858</v>
      </c>
      <c r="S362" s="799">
        <f t="shared" si="127"/>
        <v>0</v>
      </c>
      <c r="T362" s="176">
        <f t="shared" si="128"/>
        <v>6</v>
      </c>
      <c r="U362" s="250">
        <f t="shared" si="129"/>
        <v>0.49904776578897858</v>
      </c>
      <c r="V362" s="382">
        <f t="shared" si="130"/>
        <v>26.321689699363755</v>
      </c>
      <c r="W362" s="400"/>
      <c r="X362" s="157">
        <f t="shared" si="131"/>
        <v>44909</v>
      </c>
      <c r="Y362" s="383">
        <f t="shared" si="132"/>
        <v>16.619966236859621</v>
      </c>
      <c r="Z362" s="383">
        <f t="shared" si="133"/>
        <v>17.076185637423695</v>
      </c>
      <c r="AA362" s="384">
        <f t="shared" si="134"/>
        <v>19.247786041564176</v>
      </c>
      <c r="AB362" s="197">
        <f t="shared" si="135"/>
        <v>44909</v>
      </c>
      <c r="AC362" s="119">
        <f>IF(OR(t&lt;Tnet,NoTnet),'2021'!Resal_s+('2021'!Salim-'2021'!Resal_s)*(1-EXP(('2021'!Tnet_s-t)/'2021'!Tau_j)),Resal_s+(Salim-Resal_s)*(1-EXP((Tnet_s-t)/Tau_j)))*Salcycl</f>
        <v>0.11282338651578264</v>
      </c>
      <c r="AD362" s="230">
        <f>(INDEX(Models!$BJ362:$BT362,,AH362)*(1-AF362)+INDEX(Models!$BJ362:$BT362,,AH362+1)*AF362-ERP_i)*AE362*Ramure*Pc/MaxiM</f>
        <v>7.9653855780850789E-4</v>
      </c>
      <c r="AE362" s="304">
        <f t="shared" si="136"/>
        <v>0.6</v>
      </c>
      <c r="AF362" s="177">
        <f t="shared" si="137"/>
        <v>0.49904776578897858</v>
      </c>
      <c r="AG362" s="799">
        <f t="shared" si="143"/>
        <v>0</v>
      </c>
      <c r="AH362" s="176">
        <f t="shared" si="138"/>
        <v>6</v>
      </c>
      <c r="AI362" s="224">
        <f t="shared" si="139"/>
        <v>0.49904776578897858</v>
      </c>
      <c r="AJ362" s="264" t="b">
        <f t="shared" si="140"/>
        <v>0</v>
      </c>
      <c r="AK362" s="264" t="b">
        <f t="shared" si="141"/>
        <v>0</v>
      </c>
      <c r="AL362" s="264"/>
      <c r="AM362" s="264"/>
      <c r="AN362" s="75"/>
    </row>
    <row r="363" spans="1:40" s="6" customFormat="1" ht="11.25" x14ac:dyDescent="0.2">
      <c r="A363" s="56">
        <f t="shared" si="142"/>
        <v>44910</v>
      </c>
      <c r="B363" s="607">
        <v>6.1109999999999998</v>
      </c>
      <c r="C363" s="388"/>
      <c r="D363" s="391">
        <f t="shared" si="122"/>
        <v>6.2788677711265981</v>
      </c>
      <c r="E363" s="383">
        <f t="shared" si="144"/>
        <v>6.4470662073143234</v>
      </c>
      <c r="F363" s="383">
        <f t="shared" si="123"/>
        <v>6.4470662073143234</v>
      </c>
      <c r="G363" s="110">
        <f t="shared" si="145"/>
        <v>0.23240432256066579</v>
      </c>
      <c r="H363" s="412" t="b">
        <f>Wh_hp&gt;='2021'!Maxi_hp</f>
        <v>0</v>
      </c>
      <c r="I363" s="379">
        <f>IF(H363,Wh_hp,'2021'!Maxi_hp)</f>
        <v>28.710535852153466</v>
      </c>
      <c r="J363" s="85">
        <f>IF(H363,An,'2021'!An_max)</f>
        <v>2018</v>
      </c>
      <c r="K363" s="197">
        <f t="shared" si="124"/>
        <v>44910</v>
      </c>
      <c r="L363" s="147">
        <f>IF(t&lt;Tvie,1-EXP((T0-t)*PertePVj)+'2021'!Pspv,1-EXP((T0-t)*PertePVj)+Pspv)</f>
        <v>2.673535695377105E-2</v>
      </c>
      <c r="M363" s="832"/>
      <c r="N363" s="832"/>
      <c r="O363" s="48">
        <f>IF(t&lt;Tnet,'2021'!Resal+('2021'!Salim-'2021'!Resal)*(1-EXP(('2021'!Tnet-t)/('2021'!Tau_j))),Resal+(Salim-Resal)*(1-EXP((Tnet-t)/(Tau_j))))*Salcycl</f>
        <v>2.6089143616502875E-2</v>
      </c>
      <c r="P363" s="169">
        <f>(INDEX(Models!$BJ363:$BT363,,T363)*(1-R363)+INDEX(Models!$BJ363:$BT363,,T363+1)*R363-ERP_i)*Q363*Ramure*Pc/MaxiM</f>
        <v>8.0966356829874277E-4</v>
      </c>
      <c r="Q363" s="304">
        <f t="shared" si="125"/>
        <v>0.6</v>
      </c>
      <c r="R363" s="177">
        <f t="shared" si="126"/>
        <v>0.49905702786823508</v>
      </c>
      <c r="S363" s="799">
        <f t="shared" si="127"/>
        <v>0</v>
      </c>
      <c r="T363" s="176">
        <f t="shared" si="128"/>
        <v>6</v>
      </c>
      <c r="U363" s="250">
        <f t="shared" si="129"/>
        <v>0.49905702786823508</v>
      </c>
      <c r="V363" s="382">
        <f t="shared" si="130"/>
        <v>26.273401796733921</v>
      </c>
      <c r="W363" s="400"/>
      <c r="X363" s="157">
        <f t="shared" si="131"/>
        <v>44910</v>
      </c>
      <c r="Y363" s="383">
        <f t="shared" si="132"/>
        <v>5.5669493852427046</v>
      </c>
      <c r="Z363" s="383">
        <f t="shared" si="133"/>
        <v>5.7198722105209372</v>
      </c>
      <c r="AA363" s="384">
        <f t="shared" si="134"/>
        <v>6.4470662073143234</v>
      </c>
      <c r="AB363" s="197">
        <f t="shared" si="135"/>
        <v>44910</v>
      </c>
      <c r="AC363" s="119">
        <f>IF(OR(t&lt;Tnet,NoTnet),'2021'!Resal_s+('2021'!Salim-'2021'!Resal_s)*(1-EXP(('2021'!Tnet_s-t)/'2021'!Tau_j)),Resal_s+(Salim-Resal_s)*(1-EXP((Tnet_s-t)/Tau_j)))*Salcycl</f>
        <v>0.11279456010058823</v>
      </c>
      <c r="AD363" s="230">
        <f>(INDEX(Models!$BJ363:$BT363,,AH363)*(1-AF363)+INDEX(Models!$BJ363:$BT363,,AH363+1)*AF363-ERP_i)*AE363*Ramure*Pc/MaxiM</f>
        <v>8.0966356829874277E-4</v>
      </c>
      <c r="AE363" s="304">
        <f t="shared" si="136"/>
        <v>0.6</v>
      </c>
      <c r="AF363" s="177">
        <f t="shared" si="137"/>
        <v>0.49905702786823508</v>
      </c>
      <c r="AG363" s="799">
        <f t="shared" si="143"/>
        <v>0</v>
      </c>
      <c r="AH363" s="176">
        <f t="shared" si="138"/>
        <v>6</v>
      </c>
      <c r="AI363" s="224">
        <f t="shared" si="139"/>
        <v>0.49905702786823508</v>
      </c>
      <c r="AJ363" s="264" t="b">
        <f t="shared" si="140"/>
        <v>0</v>
      </c>
      <c r="AK363" s="264" t="b">
        <f t="shared" si="141"/>
        <v>0</v>
      </c>
      <c r="AL363" s="264"/>
      <c r="AM363" s="264"/>
      <c r="AN363" s="75"/>
    </row>
    <row r="364" spans="1:40" s="6" customFormat="1" ht="11.25" x14ac:dyDescent="0.2">
      <c r="A364" s="56">
        <f t="shared" si="142"/>
        <v>44911</v>
      </c>
      <c r="B364" s="607">
        <v>5.4560000000000004</v>
      </c>
      <c r="C364" s="388"/>
      <c r="D364" s="391">
        <f t="shared" si="122"/>
        <v>5.6059825084389638</v>
      </c>
      <c r="E364" s="383">
        <f t="shared" si="144"/>
        <v>5.7565335117318668</v>
      </c>
      <c r="F364" s="383">
        <f t="shared" si="123"/>
        <v>5.7565335117318668</v>
      </c>
      <c r="G364" s="110">
        <f t="shared" si="145"/>
        <v>0.20780123942684073</v>
      </c>
      <c r="H364" s="412" t="b">
        <f>Wh_hp&gt;='2021'!Maxi_hp</f>
        <v>0</v>
      </c>
      <c r="I364" s="379">
        <f>IF(H364,Wh_hp,'2021'!Maxi_hp)</f>
        <v>28.36247847047073</v>
      </c>
      <c r="J364" s="85">
        <f>IF(H364,An,'2021'!An_max)</f>
        <v>2021</v>
      </c>
      <c r="K364" s="197">
        <f t="shared" si="124"/>
        <v>44911</v>
      </c>
      <c r="L364" s="147">
        <f>IF(t&lt;Tvie,1-EXP((T0-t)*PertePVj)+'2021'!Pspv,1-EXP((T0-t)*PertePVj)+Pspv)</f>
        <v>2.6754009348617713E-2</v>
      </c>
      <c r="M364" s="832"/>
      <c r="N364" s="832"/>
      <c r="O364" s="48">
        <f>IF(t&lt;Tnet,'2021'!Resal+('2021'!Salim-'2021'!Resal)*(1-EXP(('2021'!Tnet-t)/('2021'!Tau_j))),Resal+(Salim-Resal)*(1-EXP((Tnet-t)/(Tau_j))))*Salcycl</f>
        <v>2.6153066422019242E-2</v>
      </c>
      <c r="P364" s="169">
        <f>(INDEX(Models!$BJ364:$BT364,,T364)*(1-R364)+INDEX(Models!$BJ364:$BT364,,T364+1)*R364-ERP_i)*Q364*Ramure*Pc/MaxiM</f>
        <v>8.2134337108833008E-4</v>
      </c>
      <c r="Q364" s="304">
        <f t="shared" si="125"/>
        <v>0.6</v>
      </c>
      <c r="R364" s="177">
        <f t="shared" si="126"/>
        <v>0.49906591735158029</v>
      </c>
      <c r="S364" s="799">
        <f t="shared" si="127"/>
        <v>0</v>
      </c>
      <c r="T364" s="176">
        <f t="shared" si="128"/>
        <v>6</v>
      </c>
      <c r="U364" s="250">
        <f t="shared" si="129"/>
        <v>0.49906591735158029</v>
      </c>
      <c r="V364" s="382">
        <f t="shared" si="130"/>
        <v>26.234293720305864</v>
      </c>
      <c r="W364" s="400"/>
      <c r="X364" s="157">
        <f t="shared" si="131"/>
        <v>44911</v>
      </c>
      <c r="Y364" s="383">
        <f t="shared" si="132"/>
        <v>4.9707434286871672</v>
      </c>
      <c r="Z364" s="383">
        <f t="shared" si="133"/>
        <v>5.1073864947137428</v>
      </c>
      <c r="AA364" s="384">
        <f t="shared" si="134"/>
        <v>5.7565335117318668</v>
      </c>
      <c r="AB364" s="197">
        <f t="shared" si="135"/>
        <v>44911</v>
      </c>
      <c r="AC364" s="119">
        <f>IF(OR(t&lt;Tnet,NoTnet),'2021'!Resal_s+('2021'!Salim-'2021'!Resal_s)*(1-EXP(('2021'!Tnet_s-t)/'2021'!Tau_j)),Resal_s+(Salim-Resal_s)*(1-EXP((Tnet_s-t)/Tau_j)))*Salcycl</f>
        <v>0.1127670004344033</v>
      </c>
      <c r="AD364" s="230">
        <f>(INDEX(Models!$BJ364:$BT364,,AH364)*(1-AF364)+INDEX(Models!$BJ364:$BT364,,AH364+1)*AF364-ERP_i)*AE364*Ramure*Pc/MaxiM</f>
        <v>8.2134337108833008E-4</v>
      </c>
      <c r="AE364" s="304">
        <f t="shared" si="136"/>
        <v>0.6</v>
      </c>
      <c r="AF364" s="177">
        <f t="shared" si="137"/>
        <v>0.49906591735158029</v>
      </c>
      <c r="AG364" s="799">
        <f t="shared" si="143"/>
        <v>0</v>
      </c>
      <c r="AH364" s="176">
        <f t="shared" si="138"/>
        <v>6</v>
      </c>
      <c r="AI364" s="224">
        <f t="shared" si="139"/>
        <v>0.49906591735158029</v>
      </c>
      <c r="AJ364" s="264" t="b">
        <f t="shared" si="140"/>
        <v>0</v>
      </c>
      <c r="AK364" s="264" t="b">
        <f t="shared" si="141"/>
        <v>0</v>
      </c>
      <c r="AL364" s="264"/>
      <c r="AM364" s="264"/>
      <c r="AN364" s="75"/>
    </row>
    <row r="365" spans="1:40" s="6" customFormat="1" ht="11.25" x14ac:dyDescent="0.2">
      <c r="A365" s="56">
        <f t="shared" si="142"/>
        <v>44912</v>
      </c>
      <c r="B365" s="607">
        <v>3.6</v>
      </c>
      <c r="C365" s="388"/>
      <c r="D365" s="391">
        <f t="shared" si="122"/>
        <v>3.6990329568082654</v>
      </c>
      <c r="E365" s="383">
        <f t="shared" si="144"/>
        <v>3.7986221279309511</v>
      </c>
      <c r="F365" s="383">
        <f t="shared" si="123"/>
        <v>3.7986221279309511</v>
      </c>
      <c r="G365" s="110">
        <f t="shared" si="145"/>
        <v>0.13726595178707263</v>
      </c>
      <c r="H365" s="412" t="b">
        <f>Wh_hp&gt;='2021'!Maxi_hp</f>
        <v>0</v>
      </c>
      <c r="I365" s="379">
        <f>IF(H365,Wh_hp,'2021'!Maxi_hp)</f>
        <v>28.942207486281909</v>
      </c>
      <c r="J365" s="85">
        <f>IF(H365,An,'2021'!An_max)</f>
        <v>2021</v>
      </c>
      <c r="K365" s="197">
        <f t="shared" si="124"/>
        <v>44912</v>
      </c>
      <c r="L365" s="147">
        <f>IF(t&lt;Tvie,1-EXP((T0-t)*PertePVj)+'2021'!Pspv,1-EXP((T0-t)*PertePVj)+Pspv)</f>
        <v>2.6772661385995433E-2</v>
      </c>
      <c r="M365" s="832"/>
      <c r="N365" s="832"/>
      <c r="O365" s="48">
        <f>IF(t&lt;Tnet,'2021'!Resal+('2021'!Salim-'2021'!Resal)*(1-EXP(('2021'!Tnet-t)/('2021'!Tau_j))),Resal+(Salim-Resal)*(1-EXP((Tnet-t)/(Tau_j))))*Salcycl</f>
        <v>2.6217182907037395E-2</v>
      </c>
      <c r="P365" s="169">
        <f>(INDEX(Models!$BJ365:$BT365,,T365)*(1-R365)+INDEX(Models!$BJ365:$BT365,,T365+1)*R365-ERP_i)*Q365*Ramure*Pc/MaxiM</f>
        <v>8.3156129951719325E-4</v>
      </c>
      <c r="Q365" s="304">
        <f t="shared" si="125"/>
        <v>0.6</v>
      </c>
      <c r="R365" s="177">
        <f t="shared" si="126"/>
        <v>0.49907444921539273</v>
      </c>
      <c r="S365" s="799">
        <f t="shared" si="127"/>
        <v>0</v>
      </c>
      <c r="T365" s="176">
        <f t="shared" si="128"/>
        <v>6</v>
      </c>
      <c r="U365" s="250">
        <f t="shared" si="129"/>
        <v>0.49907444921539273</v>
      </c>
      <c r="V365" s="382">
        <f t="shared" si="130"/>
        <v>26.204651135202312</v>
      </c>
      <c r="W365" s="400"/>
      <c r="X365" s="157">
        <f t="shared" si="131"/>
        <v>44912</v>
      </c>
      <c r="Y365" s="383">
        <f t="shared" si="132"/>
        <v>3.280129465548463</v>
      </c>
      <c r="Z365" s="383">
        <f t="shared" si="133"/>
        <v>3.3703630543504572</v>
      </c>
      <c r="AA365" s="384">
        <f t="shared" si="134"/>
        <v>3.7986221279309511</v>
      </c>
      <c r="AB365" s="197">
        <f t="shared" si="135"/>
        <v>44912</v>
      </c>
      <c r="AC365" s="119">
        <f>IF(OR(t&lt;Tnet,NoTnet),'2021'!Resal_s+('2021'!Salim-'2021'!Resal_s)*(1-EXP(('2021'!Tnet_s-t)/'2021'!Tau_j)),Resal_s+(Salim-Resal_s)*(1-EXP((Tnet_s-t)/Tau_j)))*Salcycl</f>
        <v>0.11274063572460684</v>
      </c>
      <c r="AD365" s="230">
        <f>(INDEX(Models!$BJ365:$BT365,,AH365)*(1-AF365)+INDEX(Models!$BJ365:$BT365,,AH365+1)*AF365-ERP_i)*AE365*Ramure*Pc/MaxiM</f>
        <v>8.3156129951719325E-4</v>
      </c>
      <c r="AE365" s="304">
        <f t="shared" si="136"/>
        <v>0.6</v>
      </c>
      <c r="AF365" s="177">
        <f t="shared" si="137"/>
        <v>0.49907444921539273</v>
      </c>
      <c r="AG365" s="799">
        <f t="shared" si="143"/>
        <v>0</v>
      </c>
      <c r="AH365" s="176">
        <f t="shared" si="138"/>
        <v>6</v>
      </c>
      <c r="AI365" s="224">
        <f t="shared" si="139"/>
        <v>0.49907444921539273</v>
      </c>
      <c r="AJ365" s="264" t="b">
        <f t="shared" si="140"/>
        <v>0</v>
      </c>
      <c r="AK365" s="264" t="b">
        <f t="shared" si="141"/>
        <v>0</v>
      </c>
      <c r="AL365" s="264"/>
      <c r="AM365" s="264"/>
      <c r="AN365" s="75"/>
    </row>
    <row r="366" spans="1:40" s="6" customFormat="1" ht="11.25" x14ac:dyDescent="0.2">
      <c r="A366" s="56">
        <f t="shared" si="142"/>
        <v>44913</v>
      </c>
      <c r="B366" s="607">
        <v>25.487000000000002</v>
      </c>
      <c r="C366" s="388"/>
      <c r="D366" s="391">
        <f t="shared" si="122"/>
        <v>26.188627724123595</v>
      </c>
      <c r="E366" s="383">
        <f t="shared" si="144"/>
        <v>26.895480726924255</v>
      </c>
      <c r="F366" s="383">
        <f t="shared" si="123"/>
        <v>26.917209335131325</v>
      </c>
      <c r="G366" s="110">
        <f t="shared" si="145"/>
        <v>0.97332024375184334</v>
      </c>
      <c r="H366" s="412" t="b">
        <f>Wh_hp&gt;='2021'!Maxi_hp</f>
        <v>0</v>
      </c>
      <c r="I366" s="379">
        <f>IF(H366,Wh_hp,'2021'!Maxi_hp)</f>
        <v>28.845869606100038</v>
      </c>
      <c r="J366" s="85">
        <f>IF(H366,An,'2021'!An_max)</f>
        <v>2021</v>
      </c>
      <c r="K366" s="197">
        <f t="shared" si="124"/>
        <v>44913</v>
      </c>
      <c r="L366" s="147">
        <f>IF(t&lt;Tvie,1-EXP((T0-t)*PertePVj)+'2021'!Pspv,1-EXP((T0-t)*PertePVj)+Pspv)</f>
        <v>2.6791313065911093E-2</v>
      </c>
      <c r="M366" s="832"/>
      <c r="N366" s="832"/>
      <c r="O366" s="48">
        <f>IF(t&lt;Tnet,'2021'!Resal+('2021'!Salim-'2021'!Resal)*(1-EXP(('2021'!Tnet-t)/('2021'!Tau_j))),Resal+(Salim-Resal)*(1-EXP((Tnet-t)/(Tau_j))))*Salcycl</f>
        <v>2.6281478660950302E-2</v>
      </c>
      <c r="P366" s="169">
        <f>(INDEX(Models!$BJ366:$BT366,,T366)*(1-R366)+INDEX(Models!$BJ366:$BT366,,T366+1)*R366-ERP_i)*Q366*Ramure*Pc/MaxiM</f>
        <v>8.3918588862542823E-4</v>
      </c>
      <c r="Q366" s="304">
        <f t="shared" si="125"/>
        <v>0.6</v>
      </c>
      <c r="R366" s="177">
        <f t="shared" si="126"/>
        <v>0.49908263783506202</v>
      </c>
      <c r="S366" s="799">
        <f t="shared" si="127"/>
        <v>0</v>
      </c>
      <c r="T366" s="176">
        <f t="shared" si="128"/>
        <v>6</v>
      </c>
      <c r="U366" s="250">
        <f t="shared" si="129"/>
        <v>0.49908263783506202</v>
      </c>
      <c r="V366" s="382">
        <f t="shared" si="130"/>
        <v>26.184788884424592</v>
      </c>
      <c r="W366" s="400"/>
      <c r="X366" s="157">
        <f t="shared" si="131"/>
        <v>44913</v>
      </c>
      <c r="Y366" s="383">
        <f t="shared" si="132"/>
        <v>23.224599562313838</v>
      </c>
      <c r="Z366" s="383">
        <f t="shared" si="133"/>
        <v>23.863946010879307</v>
      </c>
      <c r="AA366" s="384">
        <f t="shared" si="134"/>
        <v>26.895480726924255</v>
      </c>
      <c r="AB366" s="197">
        <f t="shared" si="135"/>
        <v>44913</v>
      </c>
      <c r="AC366" s="119">
        <f>IF(OR(t&lt;Tnet,NoTnet),'2021'!Resal_s+('2021'!Salim-'2021'!Resal_s)*(1-EXP(('2021'!Tnet_s-t)/'2021'!Tau_j)),Resal_s+(Salim-Resal_s)*(1-EXP((Tnet_s-t)/Tau_j)))*Salcycl</f>
        <v>0.11271539433798512</v>
      </c>
      <c r="AD366" s="230">
        <f>(INDEX(Models!$BJ366:$BT366,,AH366)*(1-AF366)+INDEX(Models!$BJ366:$BT366,,AH366+1)*AF366-ERP_i)*AE366*Ramure*Pc/MaxiM</f>
        <v>8.3918588862542823E-4</v>
      </c>
      <c r="AE366" s="304">
        <f t="shared" si="136"/>
        <v>0.6</v>
      </c>
      <c r="AF366" s="177">
        <f t="shared" si="137"/>
        <v>0.49908263783506202</v>
      </c>
      <c r="AG366" s="799">
        <f t="shared" si="143"/>
        <v>0</v>
      </c>
      <c r="AH366" s="176">
        <f t="shared" si="138"/>
        <v>6</v>
      </c>
      <c r="AI366" s="224">
        <f t="shared" si="139"/>
        <v>0.49908263783506202</v>
      </c>
      <c r="AJ366" s="264" t="b">
        <f t="shared" si="140"/>
        <v>0</v>
      </c>
      <c r="AK366" s="264" t="b">
        <f t="shared" si="141"/>
        <v>0</v>
      </c>
      <c r="AL366" s="264"/>
      <c r="AM366" s="264"/>
      <c r="AN366" s="75"/>
    </row>
    <row r="367" spans="1:40" s="6" customFormat="1" ht="11.25" x14ac:dyDescent="0.2">
      <c r="A367" s="56">
        <f t="shared" si="142"/>
        <v>44914</v>
      </c>
      <c r="B367" s="607">
        <v>20.527999999999999</v>
      </c>
      <c r="C367" s="388"/>
      <c r="D367" s="391">
        <f t="shared" si="122"/>
        <v>21.093516424157183</v>
      </c>
      <c r="E367" s="383">
        <f t="shared" si="144"/>
        <v>21.664282288736377</v>
      </c>
      <c r="F367" s="383">
        <f t="shared" si="123"/>
        <v>21.676945028717213</v>
      </c>
      <c r="G367" s="110">
        <f t="shared" si="145"/>
        <v>0.78405595286285534</v>
      </c>
      <c r="H367" s="412" t="b">
        <f>Wh_hp&gt;='2021'!Maxi_hp</f>
        <v>0</v>
      </c>
      <c r="I367" s="379">
        <f>IF(H367,Wh_hp,'2021'!Maxi_hp)</f>
        <v>28.572996708311734</v>
      </c>
      <c r="J367" s="85">
        <f>IF(H367,An,'2021'!An_max)</f>
        <v>2021</v>
      </c>
      <c r="K367" s="197">
        <f t="shared" si="124"/>
        <v>44914</v>
      </c>
      <c r="L367" s="147">
        <f>IF(t&lt;Tvie,1-EXP((T0-t)*PertePVj)+'2021'!Pspv,1-EXP((T0-t)*PertePVj)+Pspv)</f>
        <v>2.6809964388371577E-2</v>
      </c>
      <c r="M367" s="832"/>
      <c r="N367" s="832"/>
      <c r="O367" s="48">
        <f>IF(t&lt;Tnet,'2021'!Resal+('2021'!Salim-'2021'!Resal)*(1-EXP(('2021'!Tnet-t)/('2021'!Tau_j))),Resal+(Salim-Resal)*(1-EXP((Tnet-t)/(Tau_j))))*Salcycl</f>
        <v>2.634593922716489E-2</v>
      </c>
      <c r="P367" s="169">
        <f>(INDEX(Models!$BJ367:$BT367,,T367)*(1-R367)+INDEX(Models!$BJ367:$BT367,,T367+1)*R367-ERP_i)*Q367*Ramure*Pc/MaxiM</f>
        <v>8.4440131590192056E-4</v>
      </c>
      <c r="Q367" s="304">
        <f t="shared" si="125"/>
        <v>0.6</v>
      </c>
      <c r="R367" s="177">
        <f t="shared" si="126"/>
        <v>0.49909049700902824</v>
      </c>
      <c r="S367" s="799">
        <f t="shared" si="127"/>
        <v>0</v>
      </c>
      <c r="T367" s="176">
        <f t="shared" si="128"/>
        <v>6</v>
      </c>
      <c r="U367" s="250">
        <f t="shared" si="129"/>
        <v>0.49909049700902824</v>
      </c>
      <c r="V367" s="382">
        <f t="shared" si="130"/>
        <v>26.174987267102598</v>
      </c>
      <c r="W367" s="400"/>
      <c r="X367" s="157">
        <f t="shared" si="131"/>
        <v>44914</v>
      </c>
      <c r="Y367" s="383">
        <f t="shared" si="132"/>
        <v>18.707542722897845</v>
      </c>
      <c r="Z367" s="383">
        <f t="shared" si="133"/>
        <v>19.222908207378602</v>
      </c>
      <c r="AA367" s="384">
        <f t="shared" si="134"/>
        <v>21.664282288736377</v>
      </c>
      <c r="AB367" s="197">
        <f t="shared" si="135"/>
        <v>44914</v>
      </c>
      <c r="AC367" s="119">
        <f>IF(OR(t&lt;Tnet,NoTnet),'2021'!Resal_s+('2021'!Salim-'2021'!Resal_s)*(1-EXP(('2021'!Tnet_s-t)/'2021'!Tau_j)),Resal_s+(Salim-Resal_s)*(1-EXP((Tnet_s-t)/Tau_j)))*Salcycl</f>
        <v>0.11269120522063568</v>
      </c>
      <c r="AD367" s="230">
        <f>(INDEX(Models!$BJ367:$BT367,,AH367)*(1-AF367)+INDEX(Models!$BJ367:$BT367,,AH367+1)*AF367-ERP_i)*AE367*Ramure*Pc/MaxiM</f>
        <v>8.4440131590192056E-4</v>
      </c>
      <c r="AE367" s="304">
        <f t="shared" si="136"/>
        <v>0.6</v>
      </c>
      <c r="AF367" s="177">
        <f t="shared" si="137"/>
        <v>0.49909049700902824</v>
      </c>
      <c r="AG367" s="799">
        <f t="shared" si="143"/>
        <v>0</v>
      </c>
      <c r="AH367" s="176">
        <f t="shared" si="138"/>
        <v>6</v>
      </c>
      <c r="AI367" s="224">
        <f t="shared" si="139"/>
        <v>0.49909049700902824</v>
      </c>
      <c r="AJ367" s="264" t="b">
        <f t="shared" si="140"/>
        <v>0</v>
      </c>
      <c r="AK367" s="264" t="b">
        <f t="shared" si="141"/>
        <v>0</v>
      </c>
      <c r="AL367" s="264"/>
      <c r="AM367" s="264"/>
      <c r="AN367" s="75"/>
    </row>
    <row r="368" spans="1:40" s="6" customFormat="1" ht="11.25" x14ac:dyDescent="0.2">
      <c r="A368" s="56">
        <f t="shared" si="142"/>
        <v>44915</v>
      </c>
      <c r="B368" s="607">
        <v>4.5259999999999998</v>
      </c>
      <c r="C368" s="388"/>
      <c r="D368" s="391">
        <f t="shared" si="122"/>
        <v>4.650773821965088</v>
      </c>
      <c r="E368" s="383">
        <f t="shared" si="144"/>
        <v>4.7769353118156621</v>
      </c>
      <c r="F368" s="383">
        <f t="shared" si="123"/>
        <v>4.7769353118156621</v>
      </c>
      <c r="G368" s="110">
        <f t="shared" si="145"/>
        <v>0.17276308401512705</v>
      </c>
      <c r="H368" s="412" t="b">
        <f>Wh_hp&gt;='2021'!Maxi_hp</f>
        <v>0</v>
      </c>
      <c r="I368" s="379">
        <f>IF(H368,Wh_hp,'2021'!Maxi_hp)</f>
        <v>25.354958891522763</v>
      </c>
      <c r="J368" s="85">
        <f>IF(H368,An,'2021'!An_max)</f>
        <v>2021</v>
      </c>
      <c r="K368" s="197">
        <f t="shared" si="124"/>
        <v>44915</v>
      </c>
      <c r="L368" s="147">
        <f>IF(t&lt;Tvie,1-EXP((T0-t)*PertePVj)+'2021'!Pspv,1-EXP((T0-t)*PertePVj)+Pspv)</f>
        <v>2.6828615353383767E-2</v>
      </c>
      <c r="M368" s="832"/>
      <c r="N368" s="832"/>
      <c r="O368" s="48">
        <f>IF(t&lt;Tnet,'2021'!Resal+('2021'!Salim-'2021'!Resal)*(1-EXP(('2021'!Tnet-t)/('2021'!Tau_j))),Resal+(Salim-Resal)*(1-EXP((Tnet-t)/(Tau_j))))*Salcycl</f>
        <v>2.6410550199102802E-2</v>
      </c>
      <c r="P368" s="169">
        <f>(INDEX(Models!$BJ368:$BT368,,T368)*(1-R368)+INDEX(Models!$BJ368:$BT368,,T368+1)*R368-ERP_i)*Q368*Ramure*Pc/MaxiM</f>
        <v>8.4719937679087799E-4</v>
      </c>
      <c r="Q368" s="304">
        <f t="shared" si="125"/>
        <v>0.6</v>
      </c>
      <c r="R368" s="177">
        <f t="shared" si="126"/>
        <v>0.49909803998186658</v>
      </c>
      <c r="S368" s="799">
        <f t="shared" si="127"/>
        <v>0</v>
      </c>
      <c r="T368" s="176">
        <f t="shared" si="128"/>
        <v>6</v>
      </c>
      <c r="U368" s="250">
        <f t="shared" si="129"/>
        <v>0.49909803998186658</v>
      </c>
      <c r="V368" s="382">
        <f t="shared" si="130"/>
        <v>26.17553166175643</v>
      </c>
      <c r="W368" s="400"/>
      <c r="X368" s="157">
        <f t="shared" si="131"/>
        <v>44915</v>
      </c>
      <c r="Y368" s="383">
        <f t="shared" si="132"/>
        <v>4.1250083806089259</v>
      </c>
      <c r="Z368" s="383">
        <f t="shared" si="133"/>
        <v>4.2387275722321238</v>
      </c>
      <c r="AA368" s="384">
        <f t="shared" si="134"/>
        <v>4.7769353118156621</v>
      </c>
      <c r="AB368" s="197">
        <f t="shared" si="135"/>
        <v>44915</v>
      </c>
      <c r="AC368" s="119">
        <f>IF(OR(t&lt;Tnet,NoTnet),'2021'!Resal_s+('2021'!Salim-'2021'!Resal_s)*(1-EXP(('2021'!Tnet_s-t)/'2021'!Tau_j)),Resal_s+(Salim-Resal_s)*(1-EXP((Tnet_s-t)/Tau_j)))*Salcycl</f>
        <v>0.11266799829846792</v>
      </c>
      <c r="AD368" s="230">
        <f>(INDEX(Models!$BJ368:$BT368,,AH368)*(1-AF368)+INDEX(Models!$BJ368:$BT368,,AH368+1)*AF368-ERP_i)*AE368*Ramure*Pc/MaxiM</f>
        <v>8.4719937679087799E-4</v>
      </c>
      <c r="AE368" s="304">
        <f t="shared" si="136"/>
        <v>0.6</v>
      </c>
      <c r="AF368" s="177">
        <f t="shared" si="137"/>
        <v>0.49909803998186658</v>
      </c>
      <c r="AG368" s="799">
        <f t="shared" si="143"/>
        <v>0</v>
      </c>
      <c r="AH368" s="176">
        <f t="shared" si="138"/>
        <v>6</v>
      </c>
      <c r="AI368" s="224">
        <f t="shared" si="139"/>
        <v>0.49909803998186658</v>
      </c>
      <c r="AJ368" s="264" t="b">
        <f t="shared" si="140"/>
        <v>0</v>
      </c>
      <c r="AK368" s="264" t="b">
        <f t="shared" si="141"/>
        <v>0</v>
      </c>
      <c r="AL368" s="264"/>
      <c r="AM368" s="264"/>
      <c r="AN368" s="75"/>
    </row>
    <row r="369" spans="1:40" s="18" customFormat="1" ht="11.25" x14ac:dyDescent="0.2">
      <c r="A369" s="56">
        <f t="shared" si="142"/>
        <v>44916</v>
      </c>
      <c r="B369" s="607">
        <v>23.333000000000002</v>
      </c>
      <c r="C369" s="388"/>
      <c r="D369" s="391">
        <f t="shared" si="122"/>
        <v>23.976709085692008</v>
      </c>
      <c r="E369" s="383">
        <f t="shared" si="144"/>
        <v>24.62876290606933</v>
      </c>
      <c r="F369" s="383">
        <f t="shared" si="123"/>
        <v>24.6464004878308</v>
      </c>
      <c r="G369" s="110">
        <f t="shared" si="145"/>
        <v>0.8909069266577776</v>
      </c>
      <c r="H369" s="412" t="b">
        <f>Wh_hp&gt;='2021'!Maxi_hp</f>
        <v>1</v>
      </c>
      <c r="I369" s="379">
        <f>IF(H369,Wh_hp,'2021'!Maxi_hp)</f>
        <v>24.6464004878308</v>
      </c>
      <c r="J369" s="85">
        <f>IF(H369,An,'2021'!An_max)</f>
        <v>2022</v>
      </c>
      <c r="K369" s="197">
        <f t="shared" si="124"/>
        <v>44916</v>
      </c>
      <c r="L369" s="147">
        <f>IF(t&lt;Tvie,1-EXP((T0-t)*PertePVj)+'2021'!Pspv,1-EXP((T0-t)*PertePVj)+Pspv)</f>
        <v>2.6847265960954436E-2</v>
      </c>
      <c r="M369" s="832"/>
      <c r="N369" s="832"/>
      <c r="O369" s="48">
        <f>IF(t&lt;Tnet,'2021'!Resal+('2021'!Salim-'2021'!Resal)*(1-EXP(('2021'!Tnet-t)/('2021'!Tau_j))),Resal+(Salim-Resal)*(1-EXP((Tnet-t)/(Tau_j))))*Salcycl</f>
        <v>2.6475297312502699E-2</v>
      </c>
      <c r="P369" s="169">
        <f>(INDEX(Models!$BJ369:$BT369,,T369)*(1-R369)+INDEX(Models!$BJ369:$BT369,,T369+1)*R369-ERP_i)*Q369*Ramure*Pc/MaxiM</f>
        <v>8.4757479798464215E-4</v>
      </c>
      <c r="Q369" s="304">
        <f t="shared" si="125"/>
        <v>0.6</v>
      </c>
      <c r="R369" s="177">
        <f t="shared" si="126"/>
        <v>0.4991052794664535</v>
      </c>
      <c r="S369" s="799">
        <f t="shared" si="127"/>
        <v>0</v>
      </c>
      <c r="T369" s="176">
        <f t="shared" si="128"/>
        <v>6</v>
      </c>
      <c r="U369" s="250">
        <f t="shared" si="129"/>
        <v>0.4991052794664535</v>
      </c>
      <c r="V369" s="382">
        <f t="shared" si="130"/>
        <v>26.186707403196667</v>
      </c>
      <c r="W369" s="400"/>
      <c r="X369" s="157">
        <f t="shared" si="131"/>
        <v>44916</v>
      </c>
      <c r="Y369" s="383">
        <f t="shared" si="132"/>
        <v>21.26770662464607</v>
      </c>
      <c r="Z369" s="383">
        <f t="shared" si="133"/>
        <v>21.854438548792846</v>
      </c>
      <c r="AA369" s="384">
        <f t="shared" si="134"/>
        <v>24.62876290606933</v>
      </c>
      <c r="AB369" s="197">
        <f t="shared" si="135"/>
        <v>44916</v>
      </c>
      <c r="AC369" s="119">
        <f>IF(OR(t&lt;Tnet,NoTnet),'2021'!Resal_s+('2021'!Salim-'2021'!Resal_s)*(1-EXP(('2021'!Tnet_s-t)/'2021'!Tau_j)),Resal_s+(Salim-Resal_s)*(1-EXP((Tnet_s-t)/Tau_j)))*Salcycl</f>
        <v>0.11264570485563444</v>
      </c>
      <c r="AD369" s="230">
        <f>(INDEX(Models!$BJ369:$BT369,,AH369)*(1-AF369)+INDEX(Models!$BJ369:$BT369,,AH369+1)*AF369-ERP_i)*AE369*Ramure*Pc/MaxiM</f>
        <v>8.4757479798464215E-4</v>
      </c>
      <c r="AE369" s="304">
        <f t="shared" si="136"/>
        <v>0.6</v>
      </c>
      <c r="AF369" s="177">
        <f t="shared" si="137"/>
        <v>0.4991052794664535</v>
      </c>
      <c r="AG369" s="799">
        <f t="shared" si="143"/>
        <v>0</v>
      </c>
      <c r="AH369" s="176">
        <f t="shared" si="138"/>
        <v>6</v>
      </c>
      <c r="AI369" s="224">
        <f t="shared" si="139"/>
        <v>0.4991052794664535</v>
      </c>
      <c r="AJ369" s="264" t="b">
        <f t="shared" si="140"/>
        <v>0</v>
      </c>
      <c r="AK369" s="264" t="b">
        <f t="shared" si="141"/>
        <v>0</v>
      </c>
      <c r="AL369" s="264"/>
      <c r="AM369" s="264"/>
      <c r="AN369" s="264"/>
    </row>
    <row r="370" spans="1:40" s="18" customFormat="1" ht="11.25" x14ac:dyDescent="0.2">
      <c r="A370" s="56">
        <f t="shared" si="142"/>
        <v>44917</v>
      </c>
      <c r="B370" s="607">
        <v>20.885999999999999</v>
      </c>
      <c r="C370" s="388"/>
      <c r="D370" s="391">
        <f t="shared" si="122"/>
        <v>21.462612755973051</v>
      </c>
      <c r="E370" s="383">
        <f t="shared" si="144"/>
        <v>22.047764086517276</v>
      </c>
      <c r="F370" s="383">
        <f t="shared" si="123"/>
        <v>22.061005368624308</v>
      </c>
      <c r="G370" s="110">
        <f t="shared" si="145"/>
        <v>0.7967123059313338</v>
      </c>
      <c r="H370" s="412" t="b">
        <f>Wh_hp&gt;='2021'!Maxi_hp</f>
        <v>0</v>
      </c>
      <c r="I370" s="379">
        <f>IF(H370,Wh_hp,'2021'!Maxi_hp)</f>
        <v>28.339103776749631</v>
      </c>
      <c r="J370" s="85">
        <f>IF(H370,An,'2021'!An_max)</f>
        <v>2021</v>
      </c>
      <c r="K370" s="197">
        <f t="shared" si="124"/>
        <v>44917</v>
      </c>
      <c r="L370" s="147">
        <f>IF(t&lt;Tvie,1-EXP((T0-t)*PertePVj)+'2021'!Pspv,1-EXP((T0-t)*PertePVj)+Pspv)</f>
        <v>2.6865916211090468E-2</v>
      </c>
      <c r="M370" s="832"/>
      <c r="N370" s="832"/>
      <c r="O370" s="48">
        <f>IF(t&lt;Tnet,'2021'!Resal+('2021'!Salim-'2021'!Resal)*(1-EXP(('2021'!Tnet-t)/('2021'!Tau_j))),Resal+(Salim-Resal)*(1-EXP((Tnet-t)/(Tau_j))))*Salcycl</f>
        <v>2.654016653335196E-2</v>
      </c>
      <c r="P370" s="169">
        <f>(INDEX(Models!$BJ370:$BT370,,T370)*(1-R370)+INDEX(Models!$BJ370:$BT370,,T370+1)*R370-ERP_i)*Q370*Ramure*Pc/MaxiM</f>
        <v>8.4552579788223171E-4</v>
      </c>
      <c r="Q370" s="304">
        <f t="shared" si="125"/>
        <v>0.6</v>
      </c>
      <c r="R370" s="177">
        <f t="shared" si="126"/>
        <v>0.49911222766525076</v>
      </c>
      <c r="S370" s="799">
        <f t="shared" si="127"/>
        <v>0</v>
      </c>
      <c r="T370" s="176">
        <f t="shared" si="128"/>
        <v>6</v>
      </c>
      <c r="U370" s="250">
        <f t="shared" si="129"/>
        <v>0.49911222766525076</v>
      </c>
      <c r="V370" s="382">
        <f t="shared" si="130"/>
        <v>26.208799770389064</v>
      </c>
      <c r="W370" s="400"/>
      <c r="X370" s="157">
        <f t="shared" si="131"/>
        <v>44917</v>
      </c>
      <c r="Y370" s="383">
        <f t="shared" si="132"/>
        <v>19.039028743219887</v>
      </c>
      <c r="Z370" s="383">
        <f t="shared" si="133"/>
        <v>19.564651018173357</v>
      </c>
      <c r="AA370" s="384">
        <f t="shared" si="134"/>
        <v>22.047764086517276</v>
      </c>
      <c r="AB370" s="197">
        <f t="shared" si="135"/>
        <v>44917</v>
      </c>
      <c r="AC370" s="119">
        <f>IF(OR(t&lt;Tnet,NoTnet),'2021'!Resal_s+('2021'!Salim-'2021'!Resal_s)*(1-EXP(('2021'!Tnet_s-t)/'2021'!Tau_j)),Resal_s+(Salim-Resal_s)*(1-EXP((Tnet_s-t)/Tau_j)))*Salcycl</f>
        <v>0.11262425788846324</v>
      </c>
      <c r="AD370" s="230">
        <f>(INDEX(Models!$BJ370:$BT370,,AH370)*(1-AF370)+INDEX(Models!$BJ370:$BT370,,AH370+1)*AF370-ERP_i)*AE370*Ramure*Pc/MaxiM</f>
        <v>8.4552579788223171E-4</v>
      </c>
      <c r="AE370" s="304">
        <f t="shared" si="136"/>
        <v>0.6</v>
      </c>
      <c r="AF370" s="177">
        <f t="shared" si="137"/>
        <v>0.49911222766525076</v>
      </c>
      <c r="AG370" s="799">
        <f t="shared" si="143"/>
        <v>0</v>
      </c>
      <c r="AH370" s="176">
        <f t="shared" si="138"/>
        <v>6</v>
      </c>
      <c r="AI370" s="224">
        <f t="shared" si="139"/>
        <v>0.49911222766525076</v>
      </c>
      <c r="AJ370" s="264" t="b">
        <f t="shared" si="140"/>
        <v>0</v>
      </c>
      <c r="AK370" s="264" t="b">
        <f t="shared" si="141"/>
        <v>0</v>
      </c>
      <c r="AL370" s="264"/>
      <c r="AM370" s="264"/>
      <c r="AN370" s="264"/>
    </row>
    <row r="371" spans="1:40" s="6" customFormat="1" ht="11.25" x14ac:dyDescent="0.2">
      <c r="A371" s="56">
        <f t="shared" si="142"/>
        <v>44918</v>
      </c>
      <c r="B371" s="607">
        <v>21.248999999999999</v>
      </c>
      <c r="C371" s="388"/>
      <c r="D371" s="391">
        <f t="shared" si="122"/>
        <v>21.836052805084329</v>
      </c>
      <c r="E371" s="383">
        <f t="shared" si="144"/>
        <v>22.432882887808706</v>
      </c>
      <c r="F371" s="383">
        <f t="shared" si="123"/>
        <v>22.446630123759167</v>
      </c>
      <c r="G371" s="110">
        <f t="shared" si="145"/>
        <v>0.80954436135428853</v>
      </c>
      <c r="H371" s="412" t="b">
        <f>Wh_hp&gt;='2021'!Maxi_hp</f>
        <v>1</v>
      </c>
      <c r="I371" s="379">
        <f>IF(H371,Wh_hp,'2021'!Maxi_hp)</f>
        <v>22.446630123759167</v>
      </c>
      <c r="J371" s="85">
        <f>IF(H371,An,'2021'!An_max)</f>
        <v>2022</v>
      </c>
      <c r="K371" s="197">
        <f t="shared" si="124"/>
        <v>44918</v>
      </c>
      <c r="L371" s="147">
        <f>IF(t&lt;Tvie,1-EXP((T0-t)*PertePVj)+'2021'!Pspv,1-EXP((T0-t)*PertePVj)+Pspv)</f>
        <v>2.6884566103798746E-2</v>
      </c>
      <c r="M371" s="832"/>
      <c r="N371" s="832"/>
      <c r="O371" s="48">
        <f>IF(t&lt;Tnet,'2021'!Resal+('2021'!Salim-'2021'!Resal)*(1-EXP(('2021'!Tnet-t)/('2021'!Tau_j))),Resal+(Salim-Resal)*(1-EXP((Tnet-t)/(Tau_j))))*Salcycl</f>
        <v>2.6605144140824089E-2</v>
      </c>
      <c r="P371" s="169">
        <f>(INDEX(Models!$BJ371:$BT371,,T371)*(1-R371)+INDEX(Models!$BJ371:$BT371,,T371+1)*R371-ERP_i)*Q371*Ramure*Pc/MaxiM</f>
        <v>8.4105119748189813E-4</v>
      </c>
      <c r="Q371" s="304">
        <f t="shared" si="125"/>
        <v>0.6</v>
      </c>
      <c r="R371" s="177">
        <f t="shared" si="126"/>
        <v>0.49911222766525076</v>
      </c>
      <c r="S371" s="799">
        <f t="shared" si="127"/>
        <v>0</v>
      </c>
      <c r="T371" s="176">
        <f t="shared" si="128"/>
        <v>6</v>
      </c>
      <c r="U371" s="250">
        <f t="shared" si="129"/>
        <v>0.49911222766525076</v>
      </c>
      <c r="V371" s="382">
        <f t="shared" si="130"/>
        <v>26.242094069877073</v>
      </c>
      <c r="W371" s="400"/>
      <c r="X371" s="157">
        <f t="shared" si="131"/>
        <v>44918</v>
      </c>
      <c r="Y371" s="383">
        <f t="shared" si="132"/>
        <v>19.371672400871226</v>
      </c>
      <c r="Z371" s="383">
        <f t="shared" si="133"/>
        <v>19.90685968601905</v>
      </c>
      <c r="AA371" s="384">
        <f t="shared" si="134"/>
        <v>22.432882887808706</v>
      </c>
      <c r="AB371" s="197">
        <f t="shared" si="135"/>
        <v>44918</v>
      </c>
      <c r="AC371" s="119">
        <f>IF(OR(t&lt;Tnet,NoTnet),'2021'!Resal_s+('2021'!Salim-'2021'!Resal_s)*(1-EXP(('2021'!Tnet_s-t)/'2021'!Tau_j)),Resal_s+(Salim-Resal_s)*(1-EXP((Tnet_s-t)/Tau_j)))*Salcycl</f>
        <v>0.11260359243271581</v>
      </c>
      <c r="AD371" s="230">
        <f>(INDEX(Models!$BJ371:$BT371,,AH371)*(1-AF371)+INDEX(Models!$BJ371:$BT371,,AH371+1)*AF371-ERP_i)*AE371*Ramure*Pc/MaxiM</f>
        <v>8.4105119748189813E-4</v>
      </c>
      <c r="AE371" s="304">
        <f t="shared" si="136"/>
        <v>0.6</v>
      </c>
      <c r="AF371" s="177">
        <f t="shared" si="137"/>
        <v>0.49911222766525076</v>
      </c>
      <c r="AG371" s="799">
        <f t="shared" si="143"/>
        <v>0</v>
      </c>
      <c r="AH371" s="176">
        <f t="shared" si="138"/>
        <v>6</v>
      </c>
      <c r="AI371" s="224">
        <f t="shared" si="139"/>
        <v>0.49911222766525076</v>
      </c>
      <c r="AJ371" s="264" t="b">
        <f t="shared" si="140"/>
        <v>0</v>
      </c>
      <c r="AK371" s="264" t="b">
        <f t="shared" si="141"/>
        <v>0</v>
      </c>
      <c r="AL371" s="264"/>
      <c r="AM371" s="264"/>
      <c r="AN371" s="75"/>
    </row>
    <row r="372" spans="1:40" s="6" customFormat="1" ht="11.25" x14ac:dyDescent="0.2">
      <c r="A372" s="56">
        <f t="shared" si="142"/>
        <v>44919</v>
      </c>
      <c r="B372" s="607">
        <v>23.365000000000002</v>
      </c>
      <c r="C372" s="388"/>
      <c r="D372" s="391">
        <f t="shared" si="122"/>
        <v>24.010972367301655</v>
      </c>
      <c r="E372" s="383">
        <f t="shared" si="144"/>
        <v>24.668897204065743</v>
      </c>
      <c r="F372" s="383">
        <f t="shared" si="123"/>
        <v>24.686219605998851</v>
      </c>
      <c r="G372" s="110">
        <f t="shared" si="145"/>
        <v>0.88872879023543427</v>
      </c>
      <c r="H372" s="412" t="b">
        <f>Wh_hp&gt;='2021'!Maxi_hp</f>
        <v>1</v>
      </c>
      <c r="I372" s="379">
        <f>IF(H372,Wh_hp,'2021'!Maxi_hp)</f>
        <v>24.686219605998851</v>
      </c>
      <c r="J372" s="85">
        <f>IF(H372,An,'2021'!An_max)</f>
        <v>2022</v>
      </c>
      <c r="K372" s="197">
        <f t="shared" si="124"/>
        <v>44919</v>
      </c>
      <c r="L372" s="147">
        <f>IF(t&lt;Tvie,1-EXP((T0-t)*PertePVj)+'2021'!Pspv,1-EXP((T0-t)*PertePVj)+Pspv)</f>
        <v>2.6903215639086042E-2</v>
      </c>
      <c r="M372" s="832"/>
      <c r="N372" s="832"/>
      <c r="O372" s="48">
        <f>IF(t&lt;Tnet,'2021'!Resal+('2021'!Salim-'2021'!Resal)*(1-EXP(('2021'!Tnet-t)/('2021'!Tau_j))),Resal+(Salim-Resal)*(1-EXP((Tnet-t)/(Tau_j))))*Salcycl</f>
        <v>2.6670216804651273E-2</v>
      </c>
      <c r="P372" s="169">
        <f>(INDEX(Models!$BJ372:$BT372,,T372)*(1-R372)+INDEX(Models!$BJ372:$BT372,,T372+1)*R372-ERP_i)*Q372*Ramure*Pc/MaxiM</f>
        <v>8.3416005003063981E-4</v>
      </c>
      <c r="Q372" s="304">
        <f t="shared" si="125"/>
        <v>0.6</v>
      </c>
      <c r="R372" s="177">
        <f t="shared" si="126"/>
        <v>0.49911222766525076</v>
      </c>
      <c r="S372" s="799">
        <f t="shared" si="127"/>
        <v>0</v>
      </c>
      <c r="T372" s="176">
        <f t="shared" si="128"/>
        <v>6</v>
      </c>
      <c r="U372" s="250">
        <f t="shared" si="129"/>
        <v>0.49911222766525076</v>
      </c>
      <c r="V372" s="382">
        <f t="shared" si="130"/>
        <v>26.286875401905142</v>
      </c>
      <c r="W372" s="400"/>
      <c r="X372" s="157">
        <f t="shared" si="131"/>
        <v>44919</v>
      </c>
      <c r="Y372" s="383">
        <f t="shared" si="132"/>
        <v>21.302628844212315</v>
      </c>
      <c r="Z372" s="383">
        <f t="shared" si="133"/>
        <v>21.89158281743056</v>
      </c>
      <c r="AA372" s="384">
        <f t="shared" si="134"/>
        <v>24.668897204065743</v>
      </c>
      <c r="AB372" s="197">
        <f t="shared" si="135"/>
        <v>44919</v>
      </c>
      <c r="AC372" s="119">
        <f>IF(OR(t&lt;Tnet,NoTnet),'2021'!Resal_s+('2021'!Salim-'2021'!Resal_s)*(1-EXP(('2021'!Tnet_s-t)/'2021'!Tau_j)),Resal_s+(Salim-Resal_s)*(1-EXP((Tnet_s-t)/Tau_j)))*Salcycl</f>
        <v>0.11258364586226595</v>
      </c>
      <c r="AD372" s="230">
        <f>(INDEX(Models!$BJ372:$BT372,,AH372)*(1-AF372)+INDEX(Models!$BJ372:$BT372,,AH372+1)*AF372-ERP_i)*AE372*Ramure*Pc/MaxiM</f>
        <v>8.3416005003063981E-4</v>
      </c>
      <c r="AE372" s="304">
        <f t="shared" si="136"/>
        <v>0.6</v>
      </c>
      <c r="AF372" s="177">
        <f t="shared" si="137"/>
        <v>0.49911222766525076</v>
      </c>
      <c r="AG372" s="799">
        <f t="shared" si="143"/>
        <v>0</v>
      </c>
      <c r="AH372" s="176">
        <f t="shared" si="138"/>
        <v>6</v>
      </c>
      <c r="AI372" s="224">
        <f t="shared" si="139"/>
        <v>0.49911222766525076</v>
      </c>
      <c r="AJ372" s="264" t="b">
        <f t="shared" si="140"/>
        <v>0</v>
      </c>
      <c r="AK372" s="264" t="b">
        <f t="shared" si="141"/>
        <v>0</v>
      </c>
      <c r="AL372" s="264"/>
      <c r="AM372" s="264"/>
      <c r="AN372" s="75"/>
    </row>
    <row r="373" spans="1:40" s="6" customFormat="1" ht="11.25" x14ac:dyDescent="0.2">
      <c r="A373" s="56">
        <f t="shared" si="142"/>
        <v>44920</v>
      </c>
      <c r="B373" s="607">
        <v>13.791</v>
      </c>
      <c r="C373" s="388"/>
      <c r="D373" s="391">
        <f t="shared" si="122"/>
        <v>14.172551516025841</v>
      </c>
      <c r="E373" s="383">
        <f t="shared" si="144"/>
        <v>14.561868481901387</v>
      </c>
      <c r="F373" s="383">
        <f t="shared" si="123"/>
        <v>14.565704855109912</v>
      </c>
      <c r="G373" s="110">
        <f t="shared" si="145"/>
        <v>0.52321905455384976</v>
      </c>
      <c r="H373" s="412" t="b">
        <f>Wh_hp&gt;='2021'!Maxi_hp</f>
        <v>1</v>
      </c>
      <c r="I373" s="379">
        <f>IF(H373,Wh_hp,'2021'!Maxi_hp)</f>
        <v>14.565704855109912</v>
      </c>
      <c r="J373" s="85">
        <f>IF(H373,An,'2021'!An_max)</f>
        <v>2022</v>
      </c>
      <c r="K373" s="197">
        <f t="shared" si="124"/>
        <v>44920</v>
      </c>
      <c r="L373" s="147">
        <f>IF(t&lt;Tvie,1-EXP((T0-t)*PertePVj)+'2021'!Pspv,1-EXP((T0-t)*PertePVj)+Pspv)</f>
        <v>2.6921864816959351E-2</v>
      </c>
      <c r="M373" s="832"/>
      <c r="N373" s="832"/>
      <c r="O373" s="48">
        <f>IF(t&lt;Tnet,'2021'!Resal+('2021'!Salim-'2021'!Resal)*(1-EXP(('2021'!Tnet-t)/('2021'!Tau_j))),Resal+(Salim-Resal)*(1-EXP((Tnet-t)/(Tau_j))))*Salcycl</f>
        <v>2.6735371656420308E-2</v>
      </c>
      <c r="P373" s="169">
        <f>(INDEX(Models!$BJ373:$BT373,,T373)*(1-R373)+INDEX(Models!$BJ373:$BT373,,T373+1)*R373-ERP_i)*Q373*Ramure*Pc/MaxiM</f>
        <v>8.2486798510233463E-4</v>
      </c>
      <c r="Q373" s="304">
        <f t="shared" si="125"/>
        <v>0.6</v>
      </c>
      <c r="R373" s="177">
        <f t="shared" si="126"/>
        <v>0.49911222766525076</v>
      </c>
      <c r="S373" s="799">
        <f t="shared" si="127"/>
        <v>0</v>
      </c>
      <c r="T373" s="176">
        <f t="shared" si="128"/>
        <v>6</v>
      </c>
      <c r="U373" s="250">
        <f t="shared" si="129"/>
        <v>0.49911222766525076</v>
      </c>
      <c r="V373" s="382">
        <f t="shared" si="130"/>
        <v>26.343181529780189</v>
      </c>
      <c r="W373" s="400"/>
      <c r="X373" s="157">
        <f t="shared" si="131"/>
        <v>44920</v>
      </c>
      <c r="Y373" s="383">
        <f t="shared" si="132"/>
        <v>12.574817352067981</v>
      </c>
      <c r="Z373" s="383">
        <f t="shared" si="133"/>
        <v>12.922721102661091</v>
      </c>
      <c r="AA373" s="384">
        <f t="shared" si="134"/>
        <v>14.561868481901387</v>
      </c>
      <c r="AB373" s="197">
        <f t="shared" si="135"/>
        <v>44920</v>
      </c>
      <c r="AC373" s="119">
        <f>IF(OR(t&lt;Tnet,NoTnet),'2021'!Resal_s+('2021'!Salim-'2021'!Resal_s)*(1-EXP(('2021'!Tnet_s-t)/'2021'!Tau_j)),Resal_s+(Salim-Resal_s)*(1-EXP((Tnet_s-t)/Tau_j)))*Salcycl</f>
        <v>0.11256435815757806</v>
      </c>
      <c r="AD373" s="230">
        <f>(INDEX(Models!$BJ373:$BT373,,AH373)*(1-AF373)+INDEX(Models!$BJ373:$BT373,,AH373+1)*AF373-ERP_i)*AE373*Ramure*Pc/MaxiM</f>
        <v>8.2486798510233463E-4</v>
      </c>
      <c r="AE373" s="304">
        <f t="shared" si="136"/>
        <v>0.6</v>
      </c>
      <c r="AF373" s="177">
        <f t="shared" si="137"/>
        <v>0.49911222766525076</v>
      </c>
      <c r="AG373" s="799">
        <f t="shared" si="143"/>
        <v>0</v>
      </c>
      <c r="AH373" s="176">
        <f t="shared" si="138"/>
        <v>6</v>
      </c>
      <c r="AI373" s="224">
        <f t="shared" si="139"/>
        <v>0.49911222766525076</v>
      </c>
      <c r="AJ373" s="264" t="b">
        <f t="shared" si="140"/>
        <v>0</v>
      </c>
      <c r="AK373" s="264" t="b">
        <f t="shared" si="141"/>
        <v>0</v>
      </c>
      <c r="AL373" s="264"/>
      <c r="AM373" s="264"/>
      <c r="AN373" s="75"/>
    </row>
    <row r="374" spans="1:40" s="6" customFormat="1" ht="11.25" x14ac:dyDescent="0.2">
      <c r="A374" s="56">
        <f t="shared" si="142"/>
        <v>44921</v>
      </c>
      <c r="B374" s="607">
        <v>23.091999999999999</v>
      </c>
      <c r="C374" s="388"/>
      <c r="D374" s="391">
        <f t="shared" si="122"/>
        <v>23.731334336321982</v>
      </c>
      <c r="E374" s="383">
        <f t="shared" si="144"/>
        <v>24.384863212434272</v>
      </c>
      <c r="F374" s="383">
        <f t="shared" si="123"/>
        <v>24.401144284830412</v>
      </c>
      <c r="G374" s="110">
        <f t="shared" si="145"/>
        <v>0.87421409066662048</v>
      </c>
      <c r="H374" s="412" t="b">
        <f>Wh_hp&gt;='2021'!Maxi_hp</f>
        <v>1</v>
      </c>
      <c r="I374" s="379">
        <f>IF(H374,Wh_hp,'2021'!Maxi_hp)</f>
        <v>24.401144284830412</v>
      </c>
      <c r="J374" s="85">
        <f>IF(H374,An,'2021'!An_max)</f>
        <v>2022</v>
      </c>
      <c r="K374" s="197">
        <f t="shared" si="124"/>
        <v>44921</v>
      </c>
      <c r="L374" s="147">
        <f>IF(t&lt;Tvie,1-EXP((T0-t)*PertePVj)+'2021'!Pspv,1-EXP((T0-t)*PertePVj)+Pspv)</f>
        <v>2.6940513637425334E-2</v>
      </c>
      <c r="M374" s="832"/>
      <c r="N374" s="832"/>
      <c r="O374" s="48">
        <f>IF(t&lt;Tnet,'2021'!Resal+('2021'!Salim-'2021'!Resal)*(1-EXP(('2021'!Tnet-t)/('2021'!Tau_j))),Resal+(Salim-Resal)*(1-EXP((Tnet-t)/(Tau_j))))*Salcycl</f>
        <v>2.6800596354341889E-2</v>
      </c>
      <c r="P374" s="169">
        <f>(INDEX(Models!$BJ374:$BT374,,T374)*(1-R374)+INDEX(Models!$BJ374:$BT374,,T374+1)*R374-ERP_i)*Q374*Ramure*Pc/MaxiM</f>
        <v>8.1320571173289582E-4</v>
      </c>
      <c r="Q374" s="304">
        <f t="shared" si="125"/>
        <v>0.6</v>
      </c>
      <c r="R374" s="177">
        <f t="shared" si="126"/>
        <v>0.49911222766525076</v>
      </c>
      <c r="S374" s="799">
        <f t="shared" si="127"/>
        <v>0</v>
      </c>
      <c r="T374" s="176">
        <f t="shared" si="128"/>
        <v>6</v>
      </c>
      <c r="U374" s="250">
        <f t="shared" si="129"/>
        <v>0.49911222766525076</v>
      </c>
      <c r="V374" s="382">
        <f t="shared" si="130"/>
        <v>26.41072367409047</v>
      </c>
      <c r="W374" s="400"/>
      <c r="X374" s="157">
        <f t="shared" si="131"/>
        <v>44921</v>
      </c>
      <c r="Y374" s="383">
        <f t="shared" si="132"/>
        <v>21.057447489295122</v>
      </c>
      <c r="Z374" s="383">
        <f t="shared" si="133"/>
        <v>21.640452392084118</v>
      </c>
      <c r="AA374" s="384">
        <f t="shared" si="134"/>
        <v>24.384863212434272</v>
      </c>
      <c r="AB374" s="197">
        <f t="shared" si="135"/>
        <v>44921</v>
      </c>
      <c r="AC374" s="119">
        <f>IF(OR(t&lt;Tnet,NoTnet),'2021'!Resal_s+('2021'!Salim-'2021'!Resal_s)*(1-EXP(('2021'!Tnet_s-t)/'2021'!Tau_j)),Resal_s+(Salim-Resal_s)*(1-EXP((Tnet_s-t)/Tau_j)))*Salcycl</f>
        <v>0.1125456721426565</v>
      </c>
      <c r="AD374" s="230">
        <f>(INDEX(Models!$BJ374:$BT374,,AH374)*(1-AF374)+INDEX(Models!$BJ374:$BT374,,AH374+1)*AF374-ERP_i)*AE374*Ramure*Pc/MaxiM</f>
        <v>8.1320571173289582E-4</v>
      </c>
      <c r="AE374" s="304">
        <f t="shared" si="136"/>
        <v>0.6</v>
      </c>
      <c r="AF374" s="177">
        <f t="shared" si="137"/>
        <v>0.49911222766525076</v>
      </c>
      <c r="AG374" s="799">
        <f t="shared" si="143"/>
        <v>0</v>
      </c>
      <c r="AH374" s="176">
        <f t="shared" si="138"/>
        <v>6</v>
      </c>
      <c r="AI374" s="224">
        <f t="shared" si="139"/>
        <v>0.49911222766525076</v>
      </c>
      <c r="AJ374" s="264" t="b">
        <f t="shared" si="140"/>
        <v>0</v>
      </c>
      <c r="AK374" s="264" t="b">
        <f t="shared" si="141"/>
        <v>0</v>
      </c>
      <c r="AL374" s="264"/>
      <c r="AM374" s="264"/>
      <c r="AN374" s="75"/>
    </row>
    <row r="375" spans="1:40" s="6" customFormat="1" ht="11.25" x14ac:dyDescent="0.2">
      <c r="A375" s="56">
        <f t="shared" si="142"/>
        <v>44922</v>
      </c>
      <c r="B375" s="607">
        <v>7.5460000000000003</v>
      </c>
      <c r="C375" s="388"/>
      <c r="D375" s="391">
        <f t="shared" si="122"/>
        <v>7.7550701944734968</v>
      </c>
      <c r="E375" s="383">
        <f t="shared" si="144"/>
        <v>7.9691689236308481</v>
      </c>
      <c r="F375" s="383">
        <f t="shared" si="123"/>
        <v>7.9691689236308481</v>
      </c>
      <c r="G375" s="110">
        <f t="shared" si="145"/>
        <v>0.28464209975667737</v>
      </c>
      <c r="H375" s="412" t="b">
        <f>Wh_hp&gt;='2021'!Maxi_hp</f>
        <v>0</v>
      </c>
      <c r="I375" s="379">
        <f>IF(H375,Wh_hp,'2021'!Maxi_hp)</f>
        <v>23.939485558369796</v>
      </c>
      <c r="J375" s="85">
        <f>IF(H375,An,'2021'!An_max)</f>
        <v>2018</v>
      </c>
      <c r="K375" s="197">
        <f t="shared" si="124"/>
        <v>44922</v>
      </c>
      <c r="L375" s="147">
        <f>IF(t&lt;Tvie,1-EXP((T0-t)*PertePVj)+'2021'!Pspv,1-EXP((T0-t)*PertePVj)+Pspv)</f>
        <v>2.6959162100490874E-2</v>
      </c>
      <c r="M375" s="832"/>
      <c r="N375" s="832"/>
      <c r="O375" s="48">
        <f>IF(t&lt;Tnet,'2021'!Resal+('2021'!Salim-'2021'!Resal)*(1-EXP(('2021'!Tnet-t)/('2021'!Tau_j))),Resal+(Salim-Resal)*(1-EXP((Tnet-t)/(Tau_j))))*Salcycl</f>
        <v>2.6865879141109432E-2</v>
      </c>
      <c r="P375" s="169">
        <f>(INDEX(Models!$BJ375:$BT375,,T375)*(1-R375)+INDEX(Models!$BJ375:$BT375,,T375+1)*R375-ERP_i)*Q375*Ramure*Pc/MaxiM</f>
        <v>7.990163499266926E-4</v>
      </c>
      <c r="Q375" s="304">
        <f t="shared" si="125"/>
        <v>0.6</v>
      </c>
      <c r="R375" s="177">
        <f t="shared" si="126"/>
        <v>0.49911222766525076</v>
      </c>
      <c r="S375" s="799">
        <f t="shared" si="127"/>
        <v>0</v>
      </c>
      <c r="T375" s="176">
        <f t="shared" si="128"/>
        <v>6</v>
      </c>
      <c r="U375" s="250">
        <f t="shared" si="129"/>
        <v>0.49911222766525076</v>
      </c>
      <c r="V375" s="382">
        <f t="shared" si="130"/>
        <v>26.489302281949509</v>
      </c>
      <c r="W375" s="400"/>
      <c r="X375" s="157">
        <f t="shared" si="131"/>
        <v>44922</v>
      </c>
      <c r="Y375" s="383">
        <f t="shared" si="132"/>
        <v>6.8817515358199675</v>
      </c>
      <c r="Z375" s="383">
        <f t="shared" si="133"/>
        <v>7.0724179991001375</v>
      </c>
      <c r="AA375" s="384">
        <f t="shared" si="134"/>
        <v>7.9691689236308481</v>
      </c>
      <c r="AB375" s="197">
        <f t="shared" si="135"/>
        <v>44922</v>
      </c>
      <c r="AC375" s="119">
        <f>IF(OR(t&lt;Tnet,NoTnet),'2021'!Resal_s+('2021'!Salim-'2021'!Resal_s)*(1-EXP(('2021'!Tnet_s-t)/'2021'!Tau_j)),Resal_s+(Salim-Resal_s)*(1-EXP((Tnet_s-t)/Tau_j)))*Salcycl</f>
        <v>0.11252753368944021</v>
      </c>
      <c r="AD375" s="230">
        <f>(INDEX(Models!$BJ375:$BT375,,AH375)*(1-AF375)+INDEX(Models!$BJ375:$BT375,,AH375+1)*AF375-ERP_i)*AE375*Ramure*Pc/MaxiM</f>
        <v>7.990163499266926E-4</v>
      </c>
      <c r="AE375" s="304">
        <f t="shared" si="136"/>
        <v>0.6</v>
      </c>
      <c r="AF375" s="177">
        <f t="shared" si="137"/>
        <v>0.49911222766525076</v>
      </c>
      <c r="AG375" s="799">
        <f t="shared" si="143"/>
        <v>0</v>
      </c>
      <c r="AH375" s="176">
        <f t="shared" si="138"/>
        <v>6</v>
      </c>
      <c r="AI375" s="224">
        <f t="shared" si="139"/>
        <v>0.49911222766525076</v>
      </c>
      <c r="AJ375" s="264" t="b">
        <f t="shared" si="140"/>
        <v>0</v>
      </c>
      <c r="AK375" s="264" t="b">
        <f t="shared" si="141"/>
        <v>0</v>
      </c>
      <c r="AL375" s="264"/>
      <c r="AM375" s="264"/>
      <c r="AN375" s="75"/>
    </row>
    <row r="376" spans="1:40" s="6" customFormat="1" ht="11.25" x14ac:dyDescent="0.2">
      <c r="A376" s="56">
        <f t="shared" si="142"/>
        <v>44923</v>
      </c>
      <c r="B376" s="607">
        <v>25.501999999999999</v>
      </c>
      <c r="C376" s="388"/>
      <c r="D376" s="391">
        <f t="shared" si="122"/>
        <v>26.209063130824731</v>
      </c>
      <c r="E376" s="383">
        <f t="shared" si="144"/>
        <v>26.934440165375729</v>
      </c>
      <c r="F376" s="383">
        <f t="shared" si="123"/>
        <v>26.954334776843393</v>
      </c>
      <c r="G376" s="110">
        <f t="shared" si="145"/>
        <v>0.95944716305760669</v>
      </c>
      <c r="H376" s="412" t="b">
        <f>Wh_hp&gt;='2021'!Maxi_hp</f>
        <v>1</v>
      </c>
      <c r="I376" s="379">
        <f>IF(H376,Wh_hp,'2021'!Maxi_hp)</f>
        <v>26.954334776843393</v>
      </c>
      <c r="J376" s="85">
        <f>IF(H376,An,'2021'!An_max)</f>
        <v>2022</v>
      </c>
      <c r="K376" s="197">
        <f t="shared" si="124"/>
        <v>44923</v>
      </c>
      <c r="L376" s="147">
        <f>IF(t&lt;Tvie,1-EXP((T0-t)*PertePVj)+'2021'!Pspv,1-EXP((T0-t)*PertePVj)+Pspv)</f>
        <v>2.6977810206162967E-2</v>
      </c>
      <c r="M376" s="832"/>
      <c r="N376" s="832"/>
      <c r="O376" s="48">
        <f>IF(t&lt;Tnet,'2021'!Resal+('2021'!Salim-'2021'!Resal)*(1-EXP(('2021'!Tnet-t)/('2021'!Tau_j))),Resal+(Salim-Resal)*(1-EXP((Tnet-t)/(Tau_j))))*Salcycl</f>
        <v>2.6931208894531707E-2</v>
      </c>
      <c r="P376" s="169">
        <f>(INDEX(Models!$BJ376:$BT376,,T376)*(1-R376)+INDEX(Models!$BJ376:$BT376,,T376+1)*R376-ERP_i)*Q376*Ramure*Pc/MaxiM</f>
        <v>7.8342280817393986E-4</v>
      </c>
      <c r="Q376" s="304">
        <f t="shared" si="125"/>
        <v>0.6</v>
      </c>
      <c r="R376" s="177">
        <f t="shared" si="126"/>
        <v>0.49911222766525076</v>
      </c>
      <c r="S376" s="799">
        <f t="shared" si="127"/>
        <v>0</v>
      </c>
      <c r="T376" s="176">
        <f t="shared" si="128"/>
        <v>6</v>
      </c>
      <c r="U376" s="250">
        <f t="shared" si="129"/>
        <v>0.49911222766525076</v>
      </c>
      <c r="V376" s="382">
        <f t="shared" si="130"/>
        <v>26.578683999744285</v>
      </c>
      <c r="W376" s="400"/>
      <c r="X376" s="157">
        <f t="shared" si="131"/>
        <v>44923</v>
      </c>
      <c r="Y376" s="383">
        <f t="shared" si="132"/>
        <v>23.259170311419027</v>
      </c>
      <c r="Z376" s="383">
        <f t="shared" si="133"/>
        <v>23.904049214280668</v>
      </c>
      <c r="AA376" s="384">
        <f t="shared" si="134"/>
        <v>26.934440165375729</v>
      </c>
      <c r="AB376" s="197">
        <f t="shared" si="135"/>
        <v>44923</v>
      </c>
      <c r="AC376" s="119">
        <f>IF(OR(t&lt;Tnet,NoTnet),'2021'!Resal_s+('2021'!Salim-'2021'!Resal_s)*(1-EXP(('2021'!Tnet_s-t)/'2021'!Tau_j)),Resal_s+(Salim-Resal_s)*(1-EXP((Tnet_s-t)/Tau_j)))*Salcycl</f>
        <v>0.11250989188892202</v>
      </c>
      <c r="AD376" s="230">
        <f>(INDEX(Models!$BJ376:$BT376,,AH376)*(1-AF376)+INDEX(Models!$BJ376:$BT376,,AH376+1)*AF376-ERP_i)*AE376*Ramure*Pc/MaxiM</f>
        <v>7.8342280817393986E-4</v>
      </c>
      <c r="AE376" s="304">
        <f t="shared" si="136"/>
        <v>0.6</v>
      </c>
      <c r="AF376" s="177">
        <f t="shared" si="137"/>
        <v>0.49911222766525076</v>
      </c>
      <c r="AG376" s="799">
        <f t="shared" si="143"/>
        <v>0</v>
      </c>
      <c r="AH376" s="176">
        <f t="shared" si="138"/>
        <v>6</v>
      </c>
      <c r="AI376" s="224">
        <f t="shared" si="139"/>
        <v>0.49911222766525076</v>
      </c>
      <c r="AJ376" s="264" t="b">
        <f t="shared" si="140"/>
        <v>0</v>
      </c>
      <c r="AK376" s="264" t="b">
        <f t="shared" si="141"/>
        <v>0</v>
      </c>
      <c r="AL376" s="264"/>
      <c r="AM376" s="264"/>
      <c r="AN376" s="75"/>
    </row>
    <row r="377" spans="1:40" s="6" customFormat="1" ht="11.25" x14ac:dyDescent="0.2">
      <c r="A377" s="56">
        <f t="shared" si="142"/>
        <v>44924</v>
      </c>
      <c r="B377" s="607">
        <v>11.315</v>
      </c>
      <c r="C377" s="388"/>
      <c r="D377" s="391">
        <f t="shared" si="122"/>
        <v>11.628940195029918</v>
      </c>
      <c r="E377" s="383">
        <f t="shared" si="144"/>
        <v>11.951592253716878</v>
      </c>
      <c r="F377" s="383">
        <f t="shared" si="123"/>
        <v>11.953216758040272</v>
      </c>
      <c r="G377" s="110">
        <f t="shared" si="145"/>
        <v>0.42385421472101026</v>
      </c>
      <c r="H377" s="412" t="b">
        <f>Wh_hp&gt;='2021'!Maxi_hp</f>
        <v>0</v>
      </c>
      <c r="I377" s="379">
        <f>IF(H377,Wh_hp,'2021'!Maxi_hp)</f>
        <v>26.417584370860784</v>
      </c>
      <c r="J377" s="85">
        <f>IF(H377,An,'2021'!An_max)</f>
        <v>2018</v>
      </c>
      <c r="K377" s="197">
        <f t="shared" si="124"/>
        <v>44924</v>
      </c>
      <c r="L377" s="147">
        <f>IF(t&lt;Tvie,1-EXP((T0-t)*PertePVj)+'2021'!Pspv,1-EXP((T0-t)*PertePVj)+Pspv)</f>
        <v>2.6996457954448272E-2</v>
      </c>
      <c r="M377" s="832"/>
      <c r="N377" s="832"/>
      <c r="O377" s="48">
        <f>IF(t&lt;Tnet,'2021'!Resal+('2021'!Salim-'2021'!Resal)*(1-EXP(('2021'!Tnet-t)/('2021'!Tau_j))),Resal+(Salim-Resal)*(1-EXP((Tnet-t)/(Tau_j))))*Salcycl</f>
        <v>2.6996575170694728E-2</v>
      </c>
      <c r="P377" s="169">
        <f>(INDEX(Models!$BJ377:$BT377,,T377)*(1-R377)+INDEX(Models!$BJ377:$BT377,,T377+1)*R377-ERP_i)*Q377*Ramure*Pc/MaxiM</f>
        <v>7.6645465927998137E-4</v>
      </c>
      <c r="Q377" s="304">
        <f t="shared" si="125"/>
        <v>0.6</v>
      </c>
      <c r="R377" s="177">
        <f t="shared" si="126"/>
        <v>0.49911222766525076</v>
      </c>
      <c r="S377" s="799">
        <f t="shared" si="127"/>
        <v>0</v>
      </c>
      <c r="T377" s="176">
        <f t="shared" si="128"/>
        <v>6</v>
      </c>
      <c r="U377" s="250">
        <f t="shared" si="129"/>
        <v>0.49911222766525076</v>
      </c>
      <c r="V377" s="382">
        <f t="shared" si="130"/>
        <v>26.678664433123334</v>
      </c>
      <c r="W377" s="400"/>
      <c r="X377" s="157">
        <f t="shared" si="131"/>
        <v>44924</v>
      </c>
      <c r="Y377" s="383">
        <f t="shared" si="132"/>
        <v>10.32077056711586</v>
      </c>
      <c r="Z377" s="383">
        <f t="shared" si="133"/>
        <v>10.607125381494949</v>
      </c>
      <c r="AA377" s="384">
        <f t="shared" si="134"/>
        <v>11.951592253716878</v>
      </c>
      <c r="AB377" s="197">
        <f t="shared" si="135"/>
        <v>44924</v>
      </c>
      <c r="AC377" s="119">
        <f>IF(OR(t&lt;Tnet,NoTnet),'2021'!Resal_s+('2021'!Salim-'2021'!Resal_s)*(1-EXP(('2021'!Tnet_s-t)/'2021'!Tau_j)),Resal_s+(Salim-Resal_s)*(1-EXP((Tnet_s-t)/Tau_j)))*Salcycl</f>
        <v>0.11249269918857938</v>
      </c>
      <c r="AD377" s="230">
        <f>(INDEX(Models!$BJ377:$BT377,,AH377)*(1-AF377)+INDEX(Models!$BJ377:$BT377,,AH377+1)*AF377-ERP_i)*AE377*Ramure*Pc/MaxiM</f>
        <v>7.6645465927998137E-4</v>
      </c>
      <c r="AE377" s="304">
        <f t="shared" si="136"/>
        <v>0.6</v>
      </c>
      <c r="AF377" s="177">
        <f t="shared" si="137"/>
        <v>0.49911222766525076</v>
      </c>
      <c r="AG377" s="799">
        <f t="shared" si="143"/>
        <v>0</v>
      </c>
      <c r="AH377" s="176">
        <f t="shared" si="138"/>
        <v>6</v>
      </c>
      <c r="AI377" s="224">
        <f t="shared" si="139"/>
        <v>0.49911222766525076</v>
      </c>
      <c r="AJ377" s="264" t="b">
        <f t="shared" si="140"/>
        <v>0</v>
      </c>
      <c r="AK377" s="264" t="b">
        <f t="shared" si="141"/>
        <v>0</v>
      </c>
      <c r="AL377" s="264"/>
      <c r="AM377" s="264"/>
      <c r="AN377" s="75"/>
    </row>
    <row r="378" spans="1:40" s="6" customFormat="1" ht="11.25" x14ac:dyDescent="0.2">
      <c r="A378" s="56">
        <f t="shared" si="142"/>
        <v>44925</v>
      </c>
      <c r="B378" s="607">
        <v>14.679</v>
      </c>
      <c r="C378" s="388"/>
      <c r="D378" s="391">
        <f t="shared" si="122"/>
        <v>15.086565146738689</v>
      </c>
      <c r="E378" s="383">
        <f t="shared" si="144"/>
        <v>15.506193256151914</v>
      </c>
      <c r="F378" s="383">
        <f t="shared" si="123"/>
        <v>15.510303504815523</v>
      </c>
      <c r="G378" s="110">
        <f t="shared" si="145"/>
        <v>0.54768317512064713</v>
      </c>
      <c r="H378" s="412" t="b">
        <f>Wh_hp&gt;='2021'!Maxi_hp</f>
        <v>0</v>
      </c>
      <c r="I378" s="379">
        <f>IF(H378,Wh_hp,'2021'!Maxi_hp)</f>
        <v>29.01951581106924</v>
      </c>
      <c r="J378" s="85">
        <f>IF(H378,An,'2021'!An_max)</f>
        <v>2018</v>
      </c>
      <c r="K378" s="197">
        <f t="shared" si="124"/>
        <v>44925</v>
      </c>
      <c r="L378" s="147">
        <f>IF(t&lt;Tvie,1-EXP((T0-t)*PertePVj)+'2021'!Pspv,1-EXP((T0-t)*PertePVj)+Pspv)</f>
        <v>2.7015105345353785E-2</v>
      </c>
      <c r="M378" s="832"/>
      <c r="N378" s="832"/>
      <c r="O378" s="48">
        <f>IF(t&lt;Tnet,'2021'!Resal+('2021'!Salim-'2021'!Resal)*(1-EXP(('2021'!Tnet-t)/('2021'!Tau_j))),Resal+(Salim-Resal)*(1-EXP((Tnet-t)/(Tau_j))))*Salcycl</f>
        <v>2.7061968239480101E-2</v>
      </c>
      <c r="P378" s="169">
        <f>(INDEX(Models!$BJ378:$BT378,,T378)*(1-R378)+INDEX(Models!$BJ378:$BT378,,T378+1)*R378-ERP_i)*Q378*Ramure*Pc/MaxiM</f>
        <v>7.4814411110503854E-4</v>
      </c>
      <c r="Q378" s="304">
        <f t="shared" si="125"/>
        <v>0.6</v>
      </c>
      <c r="R378" s="177">
        <f t="shared" si="126"/>
        <v>0.49911222766525076</v>
      </c>
      <c r="S378" s="799">
        <f t="shared" si="127"/>
        <v>0</v>
      </c>
      <c r="T378" s="176">
        <f t="shared" si="128"/>
        <v>6</v>
      </c>
      <c r="U378" s="250">
        <f t="shared" si="129"/>
        <v>0.49911222766525076</v>
      </c>
      <c r="V378" s="382">
        <f t="shared" si="130"/>
        <v>26.789039231883368</v>
      </c>
      <c r="W378" s="400"/>
      <c r="X378" s="157">
        <f t="shared" si="131"/>
        <v>44925</v>
      </c>
      <c r="Y378" s="383">
        <f t="shared" si="132"/>
        <v>13.390334913289497</v>
      </c>
      <c r="Z378" s="383">
        <f t="shared" si="133"/>
        <v>13.762120035832927</v>
      </c>
      <c r="AA378" s="384">
        <f t="shared" si="134"/>
        <v>15.506193256151914</v>
      </c>
      <c r="AB378" s="197">
        <f t="shared" si="135"/>
        <v>44925</v>
      </c>
      <c r="AC378" s="119">
        <f>IF(OR(t&lt;Tnet,NoTnet),'2021'!Resal_s+('2021'!Salim-'2021'!Resal_s)*(1-EXP(('2021'!Tnet_s-t)/'2021'!Tau_j)),Resal_s+(Salim-Resal_s)*(1-EXP((Tnet_s-t)/Tau_j)))*Salcycl</f>
        <v>0.11247591149601115</v>
      </c>
      <c r="AD378" s="230">
        <f>(INDEX(Models!$BJ378:$BT378,,AH378)*(1-AF378)+INDEX(Models!$BJ378:$BT378,,AH378+1)*AF378-ERP_i)*AE378*Ramure*Pc/MaxiM</f>
        <v>7.4814411110503854E-4</v>
      </c>
      <c r="AE378" s="304">
        <f t="shared" si="136"/>
        <v>0.6</v>
      </c>
      <c r="AF378" s="177">
        <f t="shared" si="137"/>
        <v>0.49911222766525076</v>
      </c>
      <c r="AG378" s="799">
        <f t="shared" si="143"/>
        <v>0</v>
      </c>
      <c r="AH378" s="176">
        <f t="shared" si="138"/>
        <v>6</v>
      </c>
      <c r="AI378" s="224">
        <f t="shared" si="139"/>
        <v>0.49911222766525076</v>
      </c>
      <c r="AJ378" s="264" t="b">
        <f t="shared" si="140"/>
        <v>0</v>
      </c>
      <c r="AK378" s="264" t="b">
        <f t="shared" si="141"/>
        <v>0</v>
      </c>
      <c r="AL378" s="264"/>
      <c r="AM378" s="264"/>
      <c r="AN378" s="75"/>
    </row>
    <row r="379" spans="1:40" s="18" customFormat="1" ht="12.75" x14ac:dyDescent="0.2">
      <c r="A379" s="56">
        <f t="shared" si="142"/>
        <v>44926</v>
      </c>
      <c r="B379" s="607">
        <v>13.748000000000001</v>
      </c>
      <c r="C379" s="388"/>
      <c r="D379" s="391">
        <f t="shared" si="122"/>
        <v>14.129986557718352</v>
      </c>
      <c r="E379" s="383">
        <f t="shared" si="144"/>
        <v>14.523984182868661</v>
      </c>
      <c r="F379" s="383">
        <f t="shared" si="123"/>
        <v>14.527172750696353</v>
      </c>
      <c r="G379" s="110">
        <f t="shared" si="145"/>
        <v>0.51063554101456532</v>
      </c>
      <c r="H379" s="412" t="b">
        <f>Wh_hp&gt;='2021'!Maxi_hp</f>
        <v>0</v>
      </c>
      <c r="I379" s="379">
        <f>IF(H379,Wh_hp,'2021'!Maxi_hp)</f>
        <v>28.959989458050305</v>
      </c>
      <c r="J379" s="85">
        <f>IF(H379,An,'2021'!An_max)</f>
        <v>2021</v>
      </c>
      <c r="K379" s="197">
        <f t="shared" si="124"/>
        <v>44926</v>
      </c>
      <c r="L379" s="147">
        <f>IF(t&lt;Tvie,1-EXP((T0-t)*PertePVj)+'2021'!Pspv,1-EXP((T0-t)*PertePVj)+Pspv)</f>
        <v>2.7033752378886389E-2</v>
      </c>
      <c r="M379" s="832"/>
      <c r="N379" s="832"/>
      <c r="O379" s="48">
        <f>IF(t&lt;Tnet,'2021'!Resal+('2021'!Salim-'2021'!Resal)*(1-EXP(('2021'!Tnet-t)/('2021'!Tau_j))),Resal+(Salim-Resal)*(1-EXP((Tnet-t)/(Tau_j))))*Salcycl</f>
        <v>2.7127379112340089E-2</v>
      </c>
      <c r="P379" s="169">
        <f>(INDEX(Models!$BJ379:$BT379,,T379)*(1-R379)+INDEX(Models!$BJ379:$BT379,,T379+1)*R379-ERP_i)*Q379*Ramure*Pc/MaxiM</f>
        <v>7.2852582511155487E-4</v>
      </c>
      <c r="Q379" s="305">
        <f t="shared" si="125"/>
        <v>0.6</v>
      </c>
      <c r="R379" s="177">
        <f t="shared" si="126"/>
        <v>0.49911222766525076</v>
      </c>
      <c r="S379" s="799">
        <f t="shared" si="127"/>
        <v>0</v>
      </c>
      <c r="T379" s="176">
        <f t="shared" si="128"/>
        <v>6</v>
      </c>
      <c r="U379" s="306">
        <f t="shared" si="129"/>
        <v>0.49911222766525076</v>
      </c>
      <c r="V379" s="382">
        <f t="shared" si="130"/>
        <v>26.909604079945286</v>
      </c>
      <c r="W379" s="400"/>
      <c r="X379" s="157">
        <f t="shared" si="131"/>
        <v>44926</v>
      </c>
      <c r="Y379" s="383">
        <f t="shared" si="132"/>
        <v>12.54214240752291</v>
      </c>
      <c r="Z379" s="383">
        <f t="shared" si="133"/>
        <v>12.890624354327029</v>
      </c>
      <c r="AA379" s="384">
        <f t="shared" si="134"/>
        <v>14.523984182868661</v>
      </c>
      <c r="AB379" s="197">
        <f t="shared" si="135"/>
        <v>44926</v>
      </c>
      <c r="AC379" s="119">
        <f>IF(OR(t&lt;Tnet,NoTnet),'2021'!Resal_s+('2021'!Salim-'2021'!Resal_s)*(1-EXP(('2021'!Tnet_s-t)/'2021'!Tau_j)),Resal_s+(Salim-Resal_s)*(1-EXP((Tnet_s-t)/Tau_j)))*Salcycl</f>
        <v>0.11245948824897599</v>
      </c>
      <c r="AD379" s="230">
        <f>(INDEX(Models!$BJ379:$BT379,,AH379)*(1-AF379)+INDEX(Models!$BJ379:$BT379,,AH379+1)*AF379-ERP_i)*AE379*Ramure*Pc/MaxiM</f>
        <v>7.2852582511155487E-4</v>
      </c>
      <c r="AE379" s="305">
        <f t="shared" si="136"/>
        <v>0.6</v>
      </c>
      <c r="AF379" s="177">
        <f t="shared" si="137"/>
        <v>0.49911222766525076</v>
      </c>
      <c r="AG379" s="799">
        <f t="shared" si="143"/>
        <v>0</v>
      </c>
      <c r="AH379" s="176">
        <f t="shared" si="138"/>
        <v>6</v>
      </c>
      <c r="AI379" s="221">
        <f t="shared" si="139"/>
        <v>0.49911222766525076</v>
      </c>
      <c r="AJ379" s="264" t="b">
        <f t="shared" si="140"/>
        <v>0</v>
      </c>
      <c r="AK379" s="264" t="b">
        <f t="shared" si="141"/>
        <v>0</v>
      </c>
      <c r="AL379" s="264"/>
      <c r="AM379" s="264"/>
      <c r="AN379" s="264"/>
    </row>
    <row r="380" spans="1:40" s="18" customFormat="1" ht="12" thickBot="1" x14ac:dyDescent="0.25">
      <c r="A380" s="121"/>
      <c r="B380" s="1211"/>
      <c r="C380" s="392"/>
      <c r="D380" s="399"/>
      <c r="E380" s="385"/>
      <c r="F380" s="385"/>
      <c r="G380" s="122"/>
      <c r="H380" s="412" t="b">
        <f>Wh_hp&gt;='2021'!Maxi_hp</f>
        <v>0</v>
      </c>
      <c r="I380" s="379">
        <f>IF(H380,Wh_hp,'2021'!Maxi_hp)</f>
        <v>16.432050764210434</v>
      </c>
      <c r="J380" s="85">
        <f>IF(H380,An,'2021'!An_max)</f>
        <v>2020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0"/>
        <v>1</v>
      </c>
      <c r="AK380" s="264" t="b">
        <f t="shared" si="141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1.679</v>
      </c>
      <c r="C381" s="374"/>
      <c r="D381" s="372">
        <f>MIN(D15:D380)</f>
        <v>1.7139500977758286</v>
      </c>
      <c r="E381" s="372">
        <f>MIN(E15:E380)</f>
        <v>1.91596304294338</v>
      </c>
      <c r="F381" s="373">
        <f>MIN(F15:F380)</f>
        <v>1.91596304294338</v>
      </c>
      <c r="G381" s="125">
        <f>+MIN(G15:G380)</f>
        <v>6.323922499712975E-2</v>
      </c>
      <c r="H381" s="94"/>
      <c r="I381" s="373">
        <f>MIN(I15:I380)</f>
        <v>9.5585505556592274</v>
      </c>
      <c r="J381" s="57">
        <f>MIN(J15:J380)</f>
        <v>2018</v>
      </c>
      <c r="K381" s="200" t="s">
        <v>7</v>
      </c>
      <c r="L381" s="146">
        <f t="shared" ref="L381:T381" si="146">MIN(L15:L380)</f>
        <v>2.0222567273544878E-2</v>
      </c>
      <c r="M381" s="833"/>
      <c r="N381" s="833"/>
      <c r="O381" s="47">
        <f t="shared" si="146"/>
        <v>9.1090438694996726E-3</v>
      </c>
      <c r="P381" s="168">
        <f t="shared" si="146"/>
        <v>-2.0493627059220515E-20</v>
      </c>
      <c r="Q381" s="309">
        <f t="shared" si="146"/>
        <v>0.6</v>
      </c>
      <c r="R381" s="310">
        <f t="shared" si="146"/>
        <v>6.5986264957097036E-5</v>
      </c>
      <c r="S381" s="799">
        <f t="shared" si="146"/>
        <v>-1</v>
      </c>
      <c r="T381" s="176">
        <f t="shared" si="146"/>
        <v>5</v>
      </c>
      <c r="U381" s="251">
        <f>+MIN(U15:U380)</f>
        <v>-8.8649929857817749E-4</v>
      </c>
      <c r="V381" s="57">
        <f>MIN(V15:V380)</f>
        <v>25.071856494718933</v>
      </c>
      <c r="W381" s="58"/>
      <c r="X381" s="112" t="s">
        <v>7</v>
      </c>
      <c r="Y381" s="372">
        <f>MIN(Y15:Y380)</f>
        <v>1.679</v>
      </c>
      <c r="Z381" s="372">
        <f>MIN(Z15:Z380)</f>
        <v>1.7139500977758286</v>
      </c>
      <c r="AA381" s="372">
        <f>MIN(AA15:AA380)</f>
        <v>1.91596304294338</v>
      </c>
      <c r="AB381" s="200" t="s">
        <v>7</v>
      </c>
      <c r="AC381" s="47">
        <f t="shared" ref="AC381:AH381" si="147">MIN(AC15:AC380)</f>
        <v>0.10454156999549982</v>
      </c>
      <c r="AD381" s="168">
        <f t="shared" si="147"/>
        <v>-2.0493627059220515E-20</v>
      </c>
      <c r="AE381" s="309">
        <f t="shared" si="147"/>
        <v>0.6</v>
      </c>
      <c r="AF381" s="310">
        <f t="shared" si="147"/>
        <v>6.5986264957097036E-5</v>
      </c>
      <c r="AG381" s="799">
        <f t="shared" si="147"/>
        <v>-1</v>
      </c>
      <c r="AH381" s="176">
        <f t="shared" si="147"/>
        <v>5</v>
      </c>
      <c r="AI381" s="225">
        <f>MIN(AI15:AI380)</f>
        <v>-8.8649929857817749E-4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31.766210958904093</v>
      </c>
      <c r="C382" s="374"/>
      <c r="D382" s="374">
        <f>AVERAGE(D15:D380)</f>
        <v>32.534504288729821</v>
      </c>
      <c r="E382" s="374">
        <f>AVERAGE(E15:E380)</f>
        <v>33.982929311823234</v>
      </c>
      <c r="F382" s="375">
        <f>AVERAGE(F15:F380)</f>
        <v>33.984000672595066</v>
      </c>
      <c r="G382" s="126">
        <f>AVERAGE(G15:G380)</f>
        <v>0.67619344458531927</v>
      </c>
      <c r="H382" s="94"/>
      <c r="I382" s="375">
        <f>AVERAGE(I15:I380)</f>
        <v>44.673553060145835</v>
      </c>
      <c r="J382" s="59">
        <f>AVERAGE(J15:J380)</f>
        <v>2020.4316939890709</v>
      </c>
      <c r="K382" s="200" t="s">
        <v>8</v>
      </c>
      <c r="L382" s="147">
        <f t="shared" ref="L382:V382" si="148">AVERAGE(L15:L380)</f>
        <v>2.3632108538813153E-2</v>
      </c>
      <c r="M382" s="832"/>
      <c r="N382" s="832"/>
      <c r="O382" s="48">
        <f t="shared" si="148"/>
        <v>4.9249379332066544E-2</v>
      </c>
      <c r="P382" s="169">
        <f t="shared" si="148"/>
        <v>1.0652906348934506E-4</v>
      </c>
      <c r="Q382" s="311">
        <f t="shared" si="148"/>
        <v>0.59999999999999631</v>
      </c>
      <c r="R382" s="177">
        <f t="shared" si="148"/>
        <v>0.33653134427590808</v>
      </c>
      <c r="S382" s="799">
        <f t="shared" si="148"/>
        <v>-5.7534246575342465E-2</v>
      </c>
      <c r="T382" s="176">
        <f t="shared" si="148"/>
        <v>5.9424657534246572</v>
      </c>
      <c r="U382" s="250">
        <f t="shared" si="148"/>
        <v>0.27899709770056558</v>
      </c>
      <c r="V382" s="59">
        <f t="shared" si="148"/>
        <v>45.385633329460241</v>
      </c>
      <c r="X382" s="112" t="s">
        <v>8</v>
      </c>
      <c r="Y382" s="374">
        <f>AVERAGE(Y15:Y380)</f>
        <v>29.318170656398589</v>
      </c>
      <c r="Z382" s="374">
        <f>AVERAGE(Z15:Z380)</f>
        <v>30.025603699572727</v>
      </c>
      <c r="AA382" s="374">
        <f>AVERAGE(AA15:AA380)</f>
        <v>33.982929311823234</v>
      </c>
      <c r="AB382" s="200" t="s">
        <v>8</v>
      </c>
      <c r="AC382" s="48">
        <f t="shared" ref="AC382:AH382" si="149">AVERAGE(AC15:AC380)</f>
        <v>0.11515499509510967</v>
      </c>
      <c r="AD382" s="169">
        <f t="shared" si="149"/>
        <v>1.0652906348934506E-4</v>
      </c>
      <c r="AE382" s="311">
        <f t="shared" si="149"/>
        <v>0.59999999999999631</v>
      </c>
      <c r="AF382" s="177">
        <f t="shared" si="149"/>
        <v>0.33653134427590808</v>
      </c>
      <c r="AG382" s="799">
        <f t="shared" si="149"/>
        <v>-5.7534246575342465E-2</v>
      </c>
      <c r="AH382" s="176">
        <f t="shared" si="149"/>
        <v>5.9424657534246572</v>
      </c>
      <c r="AI382" s="224">
        <f>AVERAGE(AI15:AI380)</f>
        <v>0.27899709770056558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61.923000000000002</v>
      </c>
      <c r="C383" s="376"/>
      <c r="D383" s="376">
        <f>MAX(D15:D380)</f>
        <v>63.380607148227504</v>
      </c>
      <c r="E383" s="376">
        <f>MAX(E15:E380)</f>
        <v>64.121433060958907</v>
      </c>
      <c r="F383" s="377">
        <f>MAX(F15:F380)</f>
        <v>64.121433060958907</v>
      </c>
      <c r="G383" s="127">
        <f>+MAX(G15:G380)</f>
        <v>1.0478798370423081</v>
      </c>
      <c r="H383" s="94"/>
      <c r="I383" s="377">
        <f>MAX(I15:I380)</f>
        <v>65.55404847482302</v>
      </c>
      <c r="J383" s="60">
        <f>MAX(J15:J380)</f>
        <v>2022</v>
      </c>
      <c r="K383" s="200" t="s">
        <v>9</v>
      </c>
      <c r="L383" s="148">
        <f t="shared" ref="L383:T383" si="150">MAX(L15:L380)</f>
        <v>2.7033752378886389E-2</v>
      </c>
      <c r="M383" s="834"/>
      <c r="N383" s="834"/>
      <c r="O383" s="49">
        <f t="shared" si="150"/>
        <v>0.11672666569897377</v>
      </c>
      <c r="P383" s="170">
        <f t="shared" si="150"/>
        <v>8.4757479798464215E-4</v>
      </c>
      <c r="Q383" s="312">
        <f t="shared" si="150"/>
        <v>0.6</v>
      </c>
      <c r="R383" s="313">
        <f t="shared" si="150"/>
        <v>0.99999976738617502</v>
      </c>
      <c r="S383" s="800">
        <f t="shared" si="150"/>
        <v>0</v>
      </c>
      <c r="T383" s="232">
        <f t="shared" si="150"/>
        <v>6</v>
      </c>
      <c r="U383" s="252">
        <f>+MAX(U15:U380)</f>
        <v>0.49911222766525076</v>
      </c>
      <c r="V383" s="60">
        <f>MAX(V15:V380)</f>
        <v>61.046076009187033</v>
      </c>
      <c r="X383" s="112" t="s">
        <v>9</v>
      </c>
      <c r="Y383" s="376">
        <f>MAX(Y15:Y380)</f>
        <v>55.219942354269634</v>
      </c>
      <c r="Z383" s="376">
        <f>MAX(Z15:Z380)</f>
        <v>56.519766049831766</v>
      </c>
      <c r="AA383" s="376">
        <f>MAX(AA15:AA380)</f>
        <v>64.121433060958907</v>
      </c>
      <c r="AB383" s="200" t="s">
        <v>9</v>
      </c>
      <c r="AC383" s="49">
        <f t="shared" ref="AC383:AH383" si="151">MAX(AC15:AC380)</f>
        <v>0.12013680845638981</v>
      </c>
      <c r="AD383" s="170">
        <f t="shared" si="151"/>
        <v>8.4757479798464215E-4</v>
      </c>
      <c r="AE383" s="312">
        <f t="shared" si="151"/>
        <v>0.6</v>
      </c>
      <c r="AF383" s="313">
        <f t="shared" si="151"/>
        <v>0.99999976738617502</v>
      </c>
      <c r="AG383" s="800">
        <f t="shared" si="151"/>
        <v>0</v>
      </c>
      <c r="AH383" s="232">
        <f t="shared" si="151"/>
        <v>6</v>
      </c>
      <c r="AI383" s="226">
        <f>MAX(AI15:AI380)</f>
        <v>0.49911222766525076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3" priority="7" stopIfTrue="1" operator="lessThan">
      <formula>0.01</formula>
    </cfRule>
    <cfRule type="cellIs" dxfId="12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7">
        <f>'2022'!An+1</f>
        <v>2023</v>
      </c>
      <c r="K1" s="1278"/>
      <c r="L1" s="113" t="str">
        <f>"Calcul pertes et enveloppes en "&amp;TEXT(An,0)</f>
        <v>Calcul pertes et enveloppes en 2023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2023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7">
        <f>Tmaj</f>
        <v>44947</v>
      </c>
      <c r="F3" s="1287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245.09365090801202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0" t="str">
        <f>Station</f>
        <v>Esp. Berjean Escalquens</v>
      </c>
      <c r="F4" s="1221"/>
      <c r="G4" s="1221"/>
      <c r="H4" s="1221"/>
      <c r="I4" s="1222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211.41726033613517</v>
      </c>
      <c r="AK4" s="822">
        <f>AM12-AK12</f>
        <v>-1.8360694764684604E-2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88">
        <f>T0</f>
        <v>43496</v>
      </c>
      <c r="F5" s="1288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456.11935643642539</v>
      </c>
      <c r="AA5" s="236">
        <f>Wh_Pvg_s-Wh_Pvg</f>
        <v>-1.8360694764684604E-2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2959.3638584245414</v>
      </c>
      <c r="AK5" s="514">
        <f>SUMIF(AK15:AK380,"VRAI",Wh)</f>
        <v>0</v>
      </c>
      <c r="AL5" s="514">
        <f>SUMIF(AJ15:AJ380,"VRAI",Wh_s)</f>
        <v>2714.2659367862334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89">
        <f>Tservice</f>
        <v>43535</v>
      </c>
      <c r="F6" s="1289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8682.5606128668805</v>
      </c>
      <c r="AK6" s="514">
        <f>SUMIF(AK15:AK380,"FAUX",Wh)</f>
        <v>11641.924471291417</v>
      </c>
      <c r="AL6" s="514">
        <f>SUMIF(AJ15:AJ380,"FAUX",Wh_s)</f>
        <v>8471.1260874444179</v>
      </c>
      <c r="AM6" s="514">
        <f>SUMIF(AK15:AK380,"FAUX",Wh_s)</f>
        <v>11185.392024230663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AND(YEAR(Tnet)=An,Resal_2023="I")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3045.6654115343326</v>
      </c>
      <c r="AK7" s="514">
        <f>SUMIF(AK15:AK380,"VRAI",Wh_sa)</f>
        <v>0</v>
      </c>
      <c r="AL7" s="514">
        <f>SUMIF(AJ15:AJ380,"VRAI",Wh_pvt_s)</f>
        <v>2793.4237995348631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AND(YEAR(Tnet)=An,Resal_2023&lt;&gt;"I")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5" t="s">
        <v>102</v>
      </c>
      <c r="Y8" s="1276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8961.2439072542857</v>
      </c>
      <c r="AK8" s="514">
        <f>SUMIF(AK15:AK380,"FAUX",Wh_sa)</f>
        <v>12298.546991380332</v>
      </c>
      <c r="AL8" s="514">
        <f>SUMIF(AJ15:AJ380,"FAUX",Wh_pvt_s)</f>
        <v>8743.0400092294403</v>
      </c>
      <c r="AM8" s="514">
        <f>SUMIF(AK15:AK380,"FAUX",Wh_sa_s)</f>
        <v>12298.546991380332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12006.909318788628</v>
      </c>
      <c r="E9" s="184">
        <f>SUM(E$15:E$380)</f>
        <v>12298.546991380332</v>
      </c>
      <c r="F9" s="184">
        <f>SUM(F$15:F$380)</f>
        <v>12299.041610916822</v>
      </c>
      <c r="H9" s="1279">
        <f>+SUM(Wh)</f>
        <v>11641.924471291417</v>
      </c>
      <c r="I9" s="1280"/>
      <c r="J9" s="1281"/>
      <c r="K9" s="191"/>
      <c r="L9" s="231"/>
      <c r="M9" s="231"/>
      <c r="N9" s="231"/>
      <c r="O9" s="222">
        <f>Tnet_2023</f>
        <v>45046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3">
        <f>+SUM(Wh_s)</f>
        <v>11185.392024230663</v>
      </c>
      <c r="Y9" s="1274"/>
      <c r="Z9" s="514">
        <f>SUM(Z$15:Z$380)</f>
        <v>11536.463808764305</v>
      </c>
      <c r="AA9" s="514">
        <f>SUM(AA$15:AA$380)</f>
        <v>12298.546991380332</v>
      </c>
      <c r="AB9" s="514">
        <f>F9</f>
        <v>12299.041610916822</v>
      </c>
      <c r="AC9" s="324">
        <f>IF(An_Tnet,Tnet,'2022'!Tnet_s)</f>
        <v>45046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3145.2510072444379</v>
      </c>
      <c r="AK9" s="514">
        <f>SUMIF(AK15:AK380,"VRAI",Wh_hp)</f>
        <v>0</v>
      </c>
      <c r="AL9" s="514">
        <f>SUMIF(AJ15:AJ380,"VRAI",Wh_sa_s)</f>
        <v>3145.2510072444379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IF(Inflex,'2022'!Resal+('2022'!Salim-'2022'!Resal)*(1-EXP(-(Tnet-'2022'!Tnet)/('2022'!Tau_j))),IF(An_Tnet,Resal_2023,'2022'!Resal))</f>
        <v>8.9999999999999993E-3</v>
      </c>
      <c r="P10" s="419" t="b">
        <f>NOT(Acti_tai)</f>
        <v>1</v>
      </c>
      <c r="Q10" s="256">
        <f>IF(Acti_tai,'2022'!PousD,Dens-Dd)</f>
        <v>0</v>
      </c>
      <c r="R10" s="273"/>
      <c r="S10" s="274"/>
      <c r="T10" s="275"/>
      <c r="U10" s="265">
        <f>IF(Acti_tai,'2022'!PousH,Hdtf-Hdd)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IF(OR(Inflex,GainD),'2022'!Resal_s+('2022'!Salim-'2022'!Resal_s)*(1-EXP(('2022'!Tnet_s-Tnet)/('2022'!Tau_j))),IF(Acti_net,'2022'!Resal+('2022'!Salim-'2022'!Resal)*(1-EXP(('2022'!Tnet-Tnet)/'2022'!Tau_j)),'2022'!Resal_s))</f>
        <v>3.4676447207403829E-2</v>
      </c>
      <c r="AD10" s="426"/>
      <c r="AE10" s="426"/>
      <c r="AF10" s="259"/>
      <c r="AG10" s="260"/>
      <c r="AH10" s="261"/>
      <c r="AI10" s="471"/>
      <c r="AJ10" s="514">
        <f>SUMIF(AJ15:AJ380,"FAUX",Wh_sa)</f>
        <v>9153.2959841358934</v>
      </c>
      <c r="AK10" s="514">
        <f>SUMIF(AK15:AK380,"FAUX",Wh_hp)</f>
        <v>12299.041610916822</v>
      </c>
      <c r="AL10" s="514">
        <f>SUMIF(AJ15:AJ380,"FAUX",Wh_sa_s)</f>
        <v>9153.2959841358934</v>
      </c>
      <c r="AM10" s="514">
        <f>SUMIF(AK15:AK380,"FAUX",Wh_hp)</f>
        <v>12299.041610916822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364.98484749721138</v>
      </c>
      <c r="E11" s="51">
        <f>(E$9-D$9)*Prod_an/D$9</f>
        <v>282.77249932944187</v>
      </c>
      <c r="F11" s="186">
        <f>(F$9-E$9)*Prod_an/E$9</f>
        <v>0.4682116749139808</v>
      </c>
      <c r="G11" s="185" t="s">
        <v>6</v>
      </c>
      <c r="K11" s="194"/>
      <c r="L11" s="211">
        <f>Tvie_2023</f>
        <v>43496</v>
      </c>
      <c r="M11" s="831"/>
      <c r="N11" s="831"/>
      <c r="O11" s="202">
        <f>IF(An_Tnet,Salim_2023,'2022'!Salim)</f>
        <v>0.11666666666666665</v>
      </c>
      <c r="P11" s="255">
        <f>Ttai_2023</f>
        <v>43466</v>
      </c>
      <c r="Q11" s="271">
        <f>Dens_2023</f>
        <v>0.6</v>
      </c>
      <c r="R11" s="276"/>
      <c r="S11" s="229"/>
      <c r="T11" s="229"/>
      <c r="U11" s="265">
        <f>Htf_2023</f>
        <v>0.99911222766525076</v>
      </c>
      <c r="V11" s="19"/>
      <c r="W11" s="824"/>
      <c r="X11" s="234" t="s">
        <v>43</v>
      </c>
      <c r="Y11" s="50">
        <f>Z$9-Prod_an_s</f>
        <v>351.07178453364213</v>
      </c>
      <c r="Z11" s="51">
        <f>(AA$9-Z$9)*Prod_an_s/Z$9</f>
        <v>738.89185576586726</v>
      </c>
      <c r="AA11" s="186">
        <f>(AB$9-AA$9)*Prod_an_s/AA$9</f>
        <v>0.4498509801492962</v>
      </c>
      <c r="AB11" s="185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96.76375206812223</v>
      </c>
      <c r="AK11" s="822">
        <f>IF($AK7=0,0,($AK9-$AK7)*$AK5/$AK7)</f>
        <v>0</v>
      </c>
      <c r="AL11" s="821">
        <f>IF($AL7=0,0,($AL9-$AL7)*$AL5/$AL7)</f>
        <v>341.85740297613427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4.7879837042308138E-2</v>
      </c>
      <c r="K12" s="191"/>
      <c r="L12" s="212">
        <f>Pspv_2023</f>
        <v>0</v>
      </c>
      <c r="M12" s="212"/>
      <c r="N12" s="212"/>
      <c r="O12" s="205">
        <f>IF(An_Tnet,Tau_2023*365,'2022'!Tau_j)</f>
        <v>876</v>
      </c>
      <c r="P12" s="280">
        <f>INDEX(Croivg,MIN(MAX(Ttai-$A$15,0)+1,366))</f>
        <v>2.3909964587625958E-6</v>
      </c>
      <c r="Q12" s="279">
        <f>'2022'!Df</f>
        <v>0.6</v>
      </c>
      <c r="R12" s="277"/>
      <c r="S12" s="278"/>
      <c r="T12" s="278"/>
      <c r="U12" s="266">
        <f>'2022'!Hdf</f>
        <v>0.49911222766525076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'2022'!Df_s</f>
        <v>0.6</v>
      </c>
      <c r="AF12" s="203"/>
      <c r="AG12" s="203"/>
      <c r="AH12" s="203"/>
      <c r="AI12" s="296">
        <f>'2022'!Hdf_s</f>
        <v>0.49911222766525076</v>
      </c>
      <c r="AJ12" s="821">
        <f>IF($AJ8=0,0,($AJ10-$AJ8)*$AJ6/$AJ8)</f>
        <v>186.07950141850901</v>
      </c>
      <c r="AK12" s="822">
        <f>IF($AK8=0,0,($AK10-$AK8)*$AK6/$AK8)</f>
        <v>0.4682116749139808</v>
      </c>
      <c r="AL12" s="821">
        <f>IF($AL8=0,0,($AL10-$AL8)*$AL6/$AL8)</f>
        <v>397.49676175464418</v>
      </c>
      <c r="AM12" s="822">
        <f>IF($AM8=0,0,($AM10-$AM8)*$AM6/$AM8)</f>
        <v>0.4498509801492962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200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282.84325348663123</v>
      </c>
      <c r="AK13" s="73">
        <f>+AK11+AK12</f>
        <v>0.4682116749139808</v>
      </c>
      <c r="AL13" s="73">
        <f>+AL11+AL12</f>
        <v>739.35416473077839</v>
      </c>
      <c r="AM13" s="73">
        <f>+AM11+AM12</f>
        <v>0.4498509801492962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1212" t="s">
        <v>364</v>
      </c>
      <c r="C14" s="414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199</v>
      </c>
      <c r="V14" s="45" t="str">
        <f>"Enveloppe "&amp; TEXT(An,0)</f>
        <v>Enveloppe 2023</v>
      </c>
      <c r="W14" s="826" t="s">
        <v>116</v>
      </c>
      <c r="X14" s="257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56">
        <f>DATE(An,1,1)</f>
        <v>44927</v>
      </c>
      <c r="B15" s="408">
        <f>IF(t&gt;Tmaj,'2022'!Wh/'2022'!Env_an*'2023'!Env_an,0.001*'[3]mon-tableau (2)'!$B$242)</f>
        <v>9.9359999999999999</v>
      </c>
      <c r="C15" s="829"/>
      <c r="D15" s="391">
        <f t="shared" ref="D15:D78" si="0">Wh/(1-Ppv)</f>
        <v>10.212266303293156</v>
      </c>
      <c r="E15" s="398">
        <f t="shared" ref="E15:E79" si="1">Wh_pvt/(1-Psa)</f>
        <v>10.497728942279958</v>
      </c>
      <c r="F15" s="398">
        <f t="shared" ref="F15:F78" si="2">Wh_sa/(1-Pvg*MEDIAN((-Sdif+Wh/Env_an)/Csdif,0,1))</f>
        <v>10.498444825705411</v>
      </c>
      <c r="G15" s="123">
        <f>+Wh_hp/MaxiM</f>
        <v>0.36721853581138486</v>
      </c>
      <c r="H15" s="412" t="b">
        <f>Wh_hp&gt;='2022'!Maxi_hp</f>
        <v>0</v>
      </c>
      <c r="I15" s="378">
        <f>IF(H15,Wh_hp,'2022'!Maxi_hp)</f>
        <v>28.767141164856003</v>
      </c>
      <c r="J15" s="84">
        <f>IF(H15,An,'2022'!An_max)</f>
        <v>2022</v>
      </c>
      <c r="K15" s="197">
        <f t="shared" ref="K15:K78" si="3">t</f>
        <v>44927</v>
      </c>
      <c r="L15" s="146">
        <f>IF(t&lt;Tvie,1-EXP((T0-t)*PertePVj)+'2022'!Pspv,1-EXP((T0-t)*PertePVj)+Pspv)</f>
        <v>2.7052399055052745E-2</v>
      </c>
      <c r="M15" s="832"/>
      <c r="N15" s="832"/>
      <c r="O15" s="48">
        <f>IF(t&lt;Tnet,'2022'!Resal+('2022'!Salim-'2022'!Resal)*(1-EXP(('2022'!Tnet-t)/('2022'!Tau_j))),Resal+(Salim-Resal)*(1-EXP((Tnet-t)/(Tau_j))))*Salcycl</f>
        <v>2.7192799562302538E-2</v>
      </c>
      <c r="P15" s="337">
        <f>(INDEX(Models!$BJ15:$BT15,,T15)*(1-R15)+INDEX(Models!$BJ15:$BT15,,T15+1)*R15-ERP_i)*Q15*Ramure*Pc/MaxiM</f>
        <v>7.0763737783172739E-4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0.49911342316348012</v>
      </c>
      <c r="S15" s="798">
        <f t="shared" ref="S15:S78" si="6">INDEX(Echel_vg,T15)</f>
        <v>0</v>
      </c>
      <c r="T15" s="248">
        <f t="shared" ref="T15:T78" si="7">MIN(MATCH(Hp_vg,Echel_vg),10)</f>
        <v>6</v>
      </c>
      <c r="U15" s="249">
        <f>IF(OR(t&lt;Ttai,Notai),Hdd+PousH*Croivg,Hdtf+PousH*(Croivg-Croi_tai))</f>
        <v>0.49911342316348012</v>
      </c>
      <c r="V15" s="381">
        <f t="shared" ref="V15:V78" si="8">MaxiM*(1-Ppv)*(1-Pvg)*(1-Psa)</f>
        <v>27.040154687202062</v>
      </c>
      <c r="W15" s="400">
        <f t="shared" ref="W15:W78" si="9">Wh*(A15&gt;Tmaj)</f>
        <v>0</v>
      </c>
      <c r="X15" s="156">
        <f t="shared" ref="X15:X78" si="10">t</f>
        <v>44927</v>
      </c>
      <c r="Y15" s="383">
        <f t="shared" ref="Y15:Y78" si="11">Wh_pvt_s*(1-Ppv)</f>
        <v>9.0652725931981681</v>
      </c>
      <c r="Z15" s="383">
        <f>Wh_sa_s*(1-Psa_s)</f>
        <v>9.3173286869650376</v>
      </c>
      <c r="AA15" s="384">
        <f t="shared" ref="AA15:AA78" si="12">Wh_hp*(1-Pvg_s*MEDIAN((-Sdif+Wh/Env_an)/Csdif,0,1))</f>
        <v>10.497728942279958</v>
      </c>
      <c r="AB15" s="197">
        <f t="shared" ref="AB15:AB78" si="13">t</f>
        <v>44927</v>
      </c>
      <c r="AC15" s="119">
        <f>IF(OR(t&lt;Tnet,NoTnet),'2022'!Resal_s+('2022'!Salim-'2022'!Resal_s)*(1-EXP(('2022'!Tnet_s-t)/'2022'!Tau_j)),Resal_s+(Salim-Resal_s)*(1-EXP((Tnet_s-t)/Tau_j)))*Salcycl</f>
        <v>0.11244339245232532</v>
      </c>
      <c r="AD15" s="230">
        <f>(INDEX(Models!$BJ15:$BT15,,AH15)*(1-AF15)+INDEX(Models!$BJ15:$BT15,,AH15+1)*AF15-ERP_i)*AE15*Ramure*Pc/MaxiM</f>
        <v>7.0763737783172739E-4</v>
      </c>
      <c r="AE15" s="302">
        <f t="shared" ref="AE15:AE78" si="14">IF(OR(t&lt;Ttai,Notai),Dd_s+PousD*Croivg,Dens_s+PousD*(Croivg-Croi_tai))</f>
        <v>0.6</v>
      </c>
      <c r="AF15" s="303">
        <f>(Hp_vg_s-AG15)/(INDEX(Echel_vg,AH15+1)-AG15)</f>
        <v>0.49911342316348012</v>
      </c>
      <c r="AG15" s="798">
        <f>INDEX(Echel_vg,AH15)</f>
        <v>0</v>
      </c>
      <c r="AH15" s="248">
        <f t="shared" ref="AH15:AH78" si="15">MIN(MATCH(Hp_vg_s,Echel_vg),10)</f>
        <v>6</v>
      </c>
      <c r="AI15" s="223">
        <f>IF(OR(t&lt;Ttai,Notai),Hdd_s+PousH*Croivg,Hdtai_s+PousH*(Croivg-Croi_tai))</f>
        <v>0.49911342316348012</v>
      </c>
      <c r="AJ15" s="264" t="b">
        <f t="shared" ref="AJ15:AJ78" si="16">t&lt;Tnet</f>
        <v>1</v>
      </c>
      <c r="AK15" s="264" t="b">
        <f t="shared" ref="AK15:AK78" si="17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18">A15+1</f>
        <v>44928</v>
      </c>
      <c r="B16" s="409">
        <f>IF(t&gt;Tmaj,'2022'!Wh/'2022'!Env_an*'2023'!Env_an,0.001*'[3]mon-tableau (2)'!$B$243)</f>
        <v>1.591</v>
      </c>
      <c r="C16" s="829"/>
      <c r="D16" s="391">
        <f t="shared" si="0"/>
        <v>1.6352684257519721</v>
      </c>
      <c r="E16" s="383">
        <f t="shared" si="1"/>
        <v>1.6810920050572995</v>
      </c>
      <c r="F16" s="383">
        <f t="shared" si="2"/>
        <v>1.6810920050572995</v>
      </c>
      <c r="G16" s="110">
        <f t="shared" ref="G16:G79" si="19">+Wh_hp/MaxiM</f>
        <v>5.849451307223217E-2</v>
      </c>
      <c r="H16" s="412" t="b">
        <f>Wh_hp&gt;='2022'!Maxi_hp</f>
        <v>0</v>
      </c>
      <c r="I16" s="379">
        <f>IF(H16,Wh_hp,'2022'!Maxi_hp)</f>
        <v>27.700774451172606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2.7071045373859848E-2</v>
      </c>
      <c r="M16" s="832"/>
      <c r="N16" s="832"/>
      <c r="O16" s="48">
        <f>IF(t&lt;Tnet,'2022'!Resal+('2022'!Salim-'2022'!Resal)*(1-EXP(('2022'!Tnet-t)/('2022'!Tau_j))),Resal+(Salim-Resal)*(1-EXP((Tnet-t)/(Tau_j))))*Salcycl</f>
        <v>2.7258222136250995E-2</v>
      </c>
      <c r="P16" s="338">
        <f>(INDEX(Models!$BJ16:$BT16,,T16)*(1-R16)+INDEX(Models!$BJ16:$BT16,,T16+1)*R16-ERP_i)*Q16*Ramure*Pc/MaxiM</f>
        <v>6.8620087553864948E-4</v>
      </c>
      <c r="Q16" s="304">
        <f t="shared" si="4"/>
        <v>0.6</v>
      </c>
      <c r="R16" s="177">
        <f t="shared" si="5"/>
        <v>0.49914263777747436</v>
      </c>
      <c r="S16" s="799">
        <f t="shared" si="6"/>
        <v>0</v>
      </c>
      <c r="T16" s="176">
        <f t="shared" si="7"/>
        <v>6</v>
      </c>
      <c r="U16" s="250">
        <f t="shared" ref="U16:U78" si="20">IF(OR(t&lt;Ttai,Notai),Hdd+PousH*Croivg,Hdtf+PousH*(Croivg-Croi_tai))</f>
        <v>0.49914263777747436</v>
      </c>
      <c r="V16" s="382">
        <f t="shared" si="8"/>
        <v>27.180468233725001</v>
      </c>
      <c r="W16" s="400">
        <f t="shared" si="9"/>
        <v>0</v>
      </c>
      <c r="X16" s="157">
        <f t="shared" si="10"/>
        <v>44928</v>
      </c>
      <c r="Y16" s="383">
        <f t="shared" si="11"/>
        <v>1.4516984212656752</v>
      </c>
      <c r="Z16" s="383">
        <f t="shared" ref="Z16:Z78" si="21">Wh_sa_s*(1-Psa_s)</f>
        <v>1.4920908812129123</v>
      </c>
      <c r="AA16" s="384">
        <f t="shared" si="12"/>
        <v>1.6810920050572995</v>
      </c>
      <c r="AB16" s="197">
        <f t="shared" si="13"/>
        <v>44928</v>
      </c>
      <c r="AC16" s="119">
        <f>IF(OR(t&lt;Tnet,NoTnet),'2022'!Resal_s+('2022'!Salim-'2022'!Resal_s)*(1-EXP(('2022'!Tnet_s-t)/'2022'!Tau_j)),Resal_s+(Salim-Resal_s)*(1-EXP((Tnet_s-t)/Tau_j)))*Salcycl</f>
        <v>0.11242759068260821</v>
      </c>
      <c r="AD16" s="230">
        <f>(INDEX(Models!$BJ16:$BT16,,AH16)*(1-AF16)+INDEX(Models!$BJ16:$BT16,,AH16+1)*AF16-ERP_i)*AE16*Ramure*Pc/MaxiM</f>
        <v>6.8620087553864948E-4</v>
      </c>
      <c r="AE16" s="304">
        <f>IF(OR(t&lt;Ttai,Notai),Dd_s+PousD*Croivg,Dens_s+PousD*(Croivg-Croi_tai))</f>
        <v>0.6</v>
      </c>
      <c r="AF16" s="177">
        <f t="shared" ref="AF16:AF78" si="22">(Hp_vg_s-AG16)/(INDEX(Echel_vg,AH16+1)-AG16)</f>
        <v>0.49914263777747436</v>
      </c>
      <c r="AG16" s="799">
        <f t="shared" ref="AG16:AG79" si="23">INDEX(Echel_vg,AH16)</f>
        <v>0</v>
      </c>
      <c r="AH16" s="176">
        <f t="shared" si="15"/>
        <v>6</v>
      </c>
      <c r="AI16" s="224">
        <f t="shared" ref="AI16:AI78" si="24">IF(OR(t&lt;Ttai,Notai),Hdd_s+PousH*Croivg,Hdtai_s+PousH*(Croivg-Croi_tai))</f>
        <v>0.49914263777747436</v>
      </c>
      <c r="AJ16" s="264" t="b">
        <f t="shared" si="16"/>
        <v>1</v>
      </c>
      <c r="AK16" s="264" t="b">
        <f t="shared" si="17"/>
        <v>0</v>
      </c>
      <c r="AL16" s="264"/>
      <c r="AM16" s="264"/>
      <c r="AN16" s="75"/>
    </row>
    <row r="17" spans="1:40" s="6" customFormat="1" ht="11.25" x14ac:dyDescent="0.2">
      <c r="A17" s="56">
        <f t="shared" si="18"/>
        <v>44929</v>
      </c>
      <c r="B17" s="409">
        <f>IF(t&gt;Tmaj,'2022'!Wh/'2022'!Env_an*'2023'!Env_an,0.001*'[3]mon-tableau (2)'!$B$244)</f>
        <v>16.375</v>
      </c>
      <c r="C17" s="829"/>
      <c r="D17" s="391">
        <f t="shared" si="0"/>
        <v>16.830945107853371</v>
      </c>
      <c r="E17" s="383">
        <f t="shared" si="1"/>
        <v>17.303746449245445</v>
      </c>
      <c r="F17" s="383">
        <f t="shared" si="2"/>
        <v>17.308659761663538</v>
      </c>
      <c r="G17" s="110">
        <f t="shared" si="19"/>
        <v>0.59892299813387651</v>
      </c>
      <c r="H17" s="412" t="b">
        <f>Wh_hp&gt;='2022'!Maxi_hp</f>
        <v>0</v>
      </c>
      <c r="I17" s="379">
        <f>IF(H17,Wh_hp,'2022'!Maxi_hp)</f>
        <v>27.58667687662351</v>
      </c>
      <c r="J17" s="85">
        <f>IF(H17,An,'2022'!An_max)</f>
        <v>2021</v>
      </c>
      <c r="K17" s="197">
        <f t="shared" si="3"/>
        <v>44929</v>
      </c>
      <c r="L17" s="147">
        <f>IF(t&lt;Tvie,1-EXP((T0-t)*PertePVj)+'2022'!Pspv,1-EXP((T0-t)*PertePVj)+Pspv)</f>
        <v>2.708969133531447E-2</v>
      </c>
      <c r="M17" s="832"/>
      <c r="N17" s="832"/>
      <c r="O17" s="48">
        <f>IF(t&lt;Tnet,'2022'!Resal+('2022'!Salim-'2022'!Resal)*(1-EXP(('2022'!Tnet-t)/('2022'!Tau_j))),Resal+(Salim-Resal)*(1-EXP((Tnet-t)/(Tau_j))))*Salcycl</f>
        <v>2.7323640159596329E-2</v>
      </c>
      <c r="P17" s="338">
        <f>(INDEX(Models!$BJ17:$BT17,,T17)*(1-R17)+INDEX(Models!$BJ17:$BT17,,T17+1)*R17-ERP_i)*Q17*Ramure*Pc/MaxiM</f>
        <v>6.6423014148071422E-4</v>
      </c>
      <c r="Q17" s="304">
        <f t="shared" si="4"/>
        <v>0.6</v>
      </c>
      <c r="R17" s="177">
        <f t="shared" si="5"/>
        <v>0.49917307437296399</v>
      </c>
      <c r="S17" s="799">
        <f t="shared" si="6"/>
        <v>0</v>
      </c>
      <c r="T17" s="176">
        <f t="shared" si="7"/>
        <v>6</v>
      </c>
      <c r="U17" s="250">
        <f t="shared" si="20"/>
        <v>0.49917307437296399</v>
      </c>
      <c r="V17" s="382">
        <f t="shared" si="8"/>
        <v>27.330340951226383</v>
      </c>
      <c r="W17" s="400">
        <f t="shared" si="9"/>
        <v>0</v>
      </c>
      <c r="X17" s="157">
        <f t="shared" si="10"/>
        <v>44929</v>
      </c>
      <c r="Y17" s="383">
        <f t="shared" si="11"/>
        <v>14.94253713897634</v>
      </c>
      <c r="Z17" s="383">
        <f t="shared" si="21"/>
        <v>15.358596785231823</v>
      </c>
      <c r="AA17" s="384">
        <f t="shared" si="12"/>
        <v>17.303746449245445</v>
      </c>
      <c r="AB17" s="197">
        <f t="shared" si="13"/>
        <v>44929</v>
      </c>
      <c r="AC17" s="119">
        <f>IF(OR(t&lt;Tnet,NoTnet),'2022'!Resal_s+('2022'!Salim-'2022'!Resal_s)*(1-EXP(('2022'!Tnet_s-t)/'2022'!Tau_j)),Resal_s+(Salim-Resal_s)*(1-EXP((Tnet_s-t)/Tau_j)))*Salcycl</f>
        <v>0.11241205306140178</v>
      </c>
      <c r="AD17" s="230">
        <f>(INDEX(Models!$BJ17:$BT17,,AH17)*(1-AF17)+INDEX(Models!$BJ17:$BT17,,AH17+1)*AF17-ERP_i)*AE17*Ramure*Pc/MaxiM</f>
        <v>6.6423014148071422E-4</v>
      </c>
      <c r="AE17" s="304">
        <f t="shared" si="14"/>
        <v>0.6</v>
      </c>
      <c r="AF17" s="177">
        <f>(Hp_vg_s-AG17)/(INDEX(Echel_vg,AH17+1)-AG17)</f>
        <v>0.49917307437296399</v>
      </c>
      <c r="AG17" s="799">
        <f>INDEX(Echel_vg,AH17)</f>
        <v>0</v>
      </c>
      <c r="AH17" s="176">
        <f t="shared" si="15"/>
        <v>6</v>
      </c>
      <c r="AI17" s="224">
        <f t="shared" si="24"/>
        <v>0.49917307437296399</v>
      </c>
      <c r="AJ17" s="264" t="b">
        <f t="shared" si="16"/>
        <v>1</v>
      </c>
      <c r="AK17" s="264" t="b">
        <f t="shared" si="17"/>
        <v>0</v>
      </c>
      <c r="AL17" s="264"/>
      <c r="AM17" s="264"/>
      <c r="AN17" s="75"/>
    </row>
    <row r="18" spans="1:40" s="6" customFormat="1" ht="11.25" x14ac:dyDescent="0.2">
      <c r="A18" s="56">
        <f t="shared" si="18"/>
        <v>44930</v>
      </c>
      <c r="B18" s="409">
        <f>IF(t&gt;Tmaj,'2022'!Wh/'2022'!Env_an*'2023'!Env_an,0.001*'[3]mon-tableau (2)'!$B$245)</f>
        <v>14.668000000000001</v>
      </c>
      <c r="C18" s="829"/>
      <c r="D18" s="391">
        <f t="shared" si="0"/>
        <v>15.076704382332348</v>
      </c>
      <c r="E18" s="383">
        <f t="shared" si="1"/>
        <v>15.501269389573608</v>
      </c>
      <c r="F18" s="383">
        <f t="shared" si="2"/>
        <v>15.504589670405064</v>
      </c>
      <c r="G18" s="110">
        <f t="shared" si="19"/>
        <v>0.53335600447315923</v>
      </c>
      <c r="H18" s="412" t="b">
        <f>Wh_hp&gt;='2022'!Maxi_hp</f>
        <v>0</v>
      </c>
      <c r="I18" s="379">
        <f>IF(H18,Wh_hp,'2022'!Maxi_hp)</f>
        <v>23.787440527034882</v>
      </c>
      <c r="J18" s="85">
        <f>IF(H18,An,'2022'!An_max)</f>
        <v>2021</v>
      </c>
      <c r="K18" s="197">
        <f t="shared" si="3"/>
        <v>44930</v>
      </c>
      <c r="L18" s="147">
        <f>IF(t&lt;Tvie,1-EXP((T0-t)*PertePVj)+'2022'!Pspv,1-EXP((T0-t)*PertePVj)+Pspv)</f>
        <v>2.7108336939423494E-2</v>
      </c>
      <c r="M18" s="832"/>
      <c r="N18" s="832"/>
      <c r="O18" s="48">
        <f>IF(t&lt;Tnet,'2022'!Resal+('2022'!Salim-'2022'!Resal)*(1-EXP(('2022'!Tnet-t)/('2022'!Tau_j))),Resal+(Salim-Resal)*(1-EXP((Tnet-t)/(Tau_j))))*Salcycl</f>
        <v>2.7389047733524897E-2</v>
      </c>
      <c r="P18" s="338">
        <f>(INDEX(Models!$BJ18:$BT18,,T18)*(1-R18)+INDEX(Models!$BJ18:$BT18,,T18+1)*R18-ERP_i)*Q18*Ramure*Pc/MaxiM</f>
        <v>6.417547408234536E-4</v>
      </c>
      <c r="Q18" s="304">
        <f t="shared" si="4"/>
        <v>0.6</v>
      </c>
      <c r="R18" s="177">
        <f t="shared" si="5"/>
        <v>0.4992047839042591</v>
      </c>
      <c r="S18" s="799">
        <f t="shared" si="6"/>
        <v>0</v>
      </c>
      <c r="T18" s="176">
        <f t="shared" si="7"/>
        <v>6</v>
      </c>
      <c r="U18" s="250">
        <f t="shared" si="20"/>
        <v>0.4992047839042591</v>
      </c>
      <c r="V18" s="382">
        <f t="shared" si="8"/>
        <v>27.489568696434411</v>
      </c>
      <c r="W18" s="400">
        <f t="shared" si="9"/>
        <v>0</v>
      </c>
      <c r="X18" s="157">
        <f t="shared" si="10"/>
        <v>44930</v>
      </c>
      <c r="Y18" s="383">
        <f t="shared" si="11"/>
        <v>13.385994054192746</v>
      </c>
      <c r="Z18" s="383">
        <f>Wh_sa_s*(1-Psa_s)</f>
        <v>13.758977039727471</v>
      </c>
      <c r="AA18" s="384">
        <f t="shared" si="12"/>
        <v>15.501269389573608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0.11239675319867871</v>
      </c>
      <c r="AD18" s="230">
        <f>(INDEX(Models!$BJ18:$BT18,,AH18)*(1-AF18)+INDEX(Models!$BJ18:$BT18,,AH18+1)*AF18-ERP_i)*AE18*Ramure*Pc/MaxiM</f>
        <v>6.417547408234536E-4</v>
      </c>
      <c r="AE18" s="304">
        <f t="shared" si="14"/>
        <v>0.6</v>
      </c>
      <c r="AF18" s="177">
        <f t="shared" si="22"/>
        <v>0.4992047839042591</v>
      </c>
      <c r="AG18" s="799">
        <f t="shared" si="23"/>
        <v>0</v>
      </c>
      <c r="AH18" s="176">
        <f t="shared" si="15"/>
        <v>6</v>
      </c>
      <c r="AI18" s="224">
        <f t="shared" si="24"/>
        <v>0.4992047839042591</v>
      </c>
      <c r="AJ18" s="264" t="b">
        <f t="shared" si="16"/>
        <v>1</v>
      </c>
      <c r="AK18" s="264" t="b">
        <f t="shared" si="17"/>
        <v>0</v>
      </c>
      <c r="AL18" s="264"/>
      <c r="AM18" s="264"/>
      <c r="AN18" s="75"/>
    </row>
    <row r="19" spans="1:40" s="6" customFormat="1" ht="11.25" x14ac:dyDescent="0.2">
      <c r="A19" s="56">
        <f t="shared" si="18"/>
        <v>44931</v>
      </c>
      <c r="B19" s="409">
        <f>IF(t&gt;Tmaj,'2022'!Wh/'2022'!Env_an*'2023'!Env_an,0.001*'[3]mon-tableau (2)'!$B$246)</f>
        <v>14.482000000000001</v>
      </c>
      <c r="C19" s="829"/>
      <c r="D19" s="391">
        <f t="shared" si="0"/>
        <v>14.885807021910486</v>
      </c>
      <c r="E19" s="383">
        <f t="shared" si="1"/>
        <v>15.306025372942397</v>
      </c>
      <c r="F19" s="383">
        <f t="shared" si="2"/>
        <v>15.309051565881965</v>
      </c>
      <c r="G19" s="110">
        <f t="shared" si="19"/>
        <v>0.52339024968782877</v>
      </c>
      <c r="H19" s="412" t="b">
        <f>Wh_hp&gt;='2022'!Maxi_hp</f>
        <v>0</v>
      </c>
      <c r="I19" s="379">
        <f>IF(H19,Wh_hp,'2022'!Maxi_hp)</f>
        <v>16.919002934899346</v>
      </c>
      <c r="J19" s="85">
        <f>IF(H19,An,'2022'!An_max)</f>
        <v>2022</v>
      </c>
      <c r="K19" s="197">
        <f t="shared" si="3"/>
        <v>44931</v>
      </c>
      <c r="L19" s="147">
        <f>IF(t&lt;Tvie,1-EXP((T0-t)*PertePVj)+'2022'!Pspv,1-EXP((T0-t)*PertePVj)+Pspv)</f>
        <v>2.7126982186193804E-2</v>
      </c>
      <c r="M19" s="832"/>
      <c r="N19" s="832"/>
      <c r="O19" s="48">
        <f>IF(t&lt;Tnet,'2022'!Resal+('2022'!Salim-'2022'!Resal)*(1-EXP(('2022'!Tnet-t)/('2022'!Tau_j))),Resal+(Salim-Resal)*(1-EXP((Tnet-t)/(Tau_j))))*Salcycl</f>
        <v>2.7454439725074647E-2</v>
      </c>
      <c r="P19" s="338">
        <f>(INDEX(Models!$BJ19:$BT19,,T19)*(1-R19)+INDEX(Models!$BJ19:$BT19,,T19+1)*R19-ERP_i)*Q19*Ramure*Pc/MaxiM</f>
        <v>6.1880467809326311E-4</v>
      </c>
      <c r="Q19" s="304">
        <f t="shared" si="4"/>
        <v>0.6</v>
      </c>
      <c r="R19" s="177">
        <f t="shared" si="5"/>
        <v>0.49923781943682077</v>
      </c>
      <c r="S19" s="799">
        <f t="shared" si="6"/>
        <v>0</v>
      </c>
      <c r="T19" s="176">
        <f t="shared" si="7"/>
        <v>6</v>
      </c>
      <c r="U19" s="250">
        <f t="shared" si="20"/>
        <v>0.49923781943682077</v>
      </c>
      <c r="V19" s="382">
        <f t="shared" si="8"/>
        <v>27.657947354351478</v>
      </c>
      <c r="W19" s="400">
        <f t="shared" si="9"/>
        <v>0</v>
      </c>
      <c r="X19" s="157">
        <f t="shared" si="10"/>
        <v>44931</v>
      </c>
      <c r="Y19" s="383">
        <f t="shared" si="11"/>
        <v>13.217364005887321</v>
      </c>
      <c r="Z19" s="383">
        <f t="shared" si="21"/>
        <v>13.585908709431319</v>
      </c>
      <c r="AA19" s="384">
        <f t="shared" si="12"/>
        <v>15.306025372942397</v>
      </c>
      <c r="AB19" s="197">
        <f t="shared" si="13"/>
        <v>44931</v>
      </c>
      <c r="AC19" s="119">
        <f>IF(OR(t&lt;Tnet,NoTnet),'2022'!Resal_s+('2022'!Salim-'2022'!Resal_s)*(1-EXP(('2022'!Tnet_s-t)/'2022'!Tau_j)),Resal_s+(Salim-Resal_s)*(1-EXP((Tnet_s-t)/Tau_j)))*Salcycl</f>
        <v>0.1123816681077673</v>
      </c>
      <c r="AD19" s="230">
        <f>(INDEX(Models!$BJ19:$BT19,,AH19)*(1-AF19)+INDEX(Models!$BJ19:$BT19,,AH19+1)*AF19-ERP_i)*AE19*Ramure*Pc/MaxiM</f>
        <v>6.1880467809326311E-4</v>
      </c>
      <c r="AE19" s="304">
        <f t="shared" si="14"/>
        <v>0.6</v>
      </c>
      <c r="AF19" s="177">
        <f t="shared" si="22"/>
        <v>0.49923781943682077</v>
      </c>
      <c r="AG19" s="799">
        <f t="shared" si="23"/>
        <v>0</v>
      </c>
      <c r="AH19" s="176">
        <f t="shared" si="15"/>
        <v>6</v>
      </c>
      <c r="AI19" s="224">
        <f t="shared" si="24"/>
        <v>0.49923781943682077</v>
      </c>
      <c r="AJ19" s="264" t="b">
        <f t="shared" si="16"/>
        <v>1</v>
      </c>
      <c r="AK19" s="264" t="b">
        <f t="shared" si="17"/>
        <v>0</v>
      </c>
      <c r="AL19" s="264"/>
      <c r="AM19" s="264"/>
      <c r="AN19" s="75"/>
    </row>
    <row r="20" spans="1:40" s="6" customFormat="1" ht="11.25" x14ac:dyDescent="0.2">
      <c r="A20" s="56">
        <f t="shared" si="18"/>
        <v>44932</v>
      </c>
      <c r="B20" s="409">
        <f>IF(t&gt;Tmaj,'2022'!Wh/'2022'!Env_an*'2023'!Env_an,0.001*'[3]mon-tableau (2)'!$B$247)</f>
        <v>4.7560000000000002</v>
      </c>
      <c r="C20" s="829"/>
      <c r="D20" s="391">
        <f t="shared" si="0"/>
        <v>4.8887070175812886</v>
      </c>
      <c r="E20" s="383">
        <f t="shared" si="1"/>
        <v>5.0270505010291293</v>
      </c>
      <c r="F20" s="383">
        <f t="shared" si="2"/>
        <v>5.0270505010291293</v>
      </c>
      <c r="G20" s="110">
        <f t="shared" si="19"/>
        <v>0.17076061208992349</v>
      </c>
      <c r="H20" s="412" t="b">
        <f>Wh_hp&gt;='2022'!Maxi_hp</f>
        <v>0</v>
      </c>
      <c r="I20" s="379">
        <f>IF(H20,Wh_hp,'2022'!Maxi_hp)</f>
        <v>29.950318368832068</v>
      </c>
      <c r="J20" s="85">
        <f>IF(H20,An,'2022'!An_max)</f>
        <v>2020</v>
      </c>
      <c r="K20" s="197">
        <f t="shared" si="3"/>
        <v>44932</v>
      </c>
      <c r="L20" s="147">
        <f>IF(t&lt;Tvie,1-EXP((T0-t)*PertePVj)+'2022'!Pspv,1-EXP((T0-t)*PertePVj)+Pspv)</f>
        <v>2.7145627075632284E-2</v>
      </c>
      <c r="M20" s="832"/>
      <c r="N20" s="832"/>
      <c r="O20" s="48">
        <f>IF(t&lt;Tnet,'2022'!Resal+('2022'!Salim-'2022'!Resal)*(1-EXP(('2022'!Tnet-t)/('2022'!Tau_j))),Resal+(Salim-Resal)*(1-EXP((Tnet-t)/(Tau_j))))*Salcycl</f>
        <v>2.7519811750353288E-2</v>
      </c>
      <c r="P20" s="338">
        <f>(INDEX(Models!$BJ20:$BT20,,T20)*(1-R20)+INDEX(Models!$BJ20:$BT20,,T20+1)*R20-ERP_i)*Q20*Ramure*Pc/MaxiM</f>
        <v>5.9541021897123545E-4</v>
      </c>
      <c r="Q20" s="304">
        <f t="shared" si="4"/>
        <v>0.6</v>
      </c>
      <c r="R20" s="177">
        <f t="shared" si="5"/>
        <v>0.49927223623357148</v>
      </c>
      <c r="S20" s="799">
        <f t="shared" si="6"/>
        <v>0</v>
      </c>
      <c r="T20" s="176">
        <f t="shared" si="7"/>
        <v>6</v>
      </c>
      <c r="U20" s="250">
        <f t="shared" si="20"/>
        <v>0.49927223623357148</v>
      </c>
      <c r="V20" s="382">
        <f t="shared" si="8"/>
        <v>27.83527284673545</v>
      </c>
      <c r="W20" s="400">
        <f t="shared" si="9"/>
        <v>0</v>
      </c>
      <c r="X20" s="157">
        <f t="shared" si="10"/>
        <v>44932</v>
      </c>
      <c r="Y20" s="383">
        <f t="shared" si="11"/>
        <v>4.3410484392333064</v>
      </c>
      <c r="Z20" s="383">
        <f t="shared" si="21"/>
        <v>4.4621770329142478</v>
      </c>
      <c r="AA20" s="384">
        <f t="shared" si="12"/>
        <v>5.0270505010291293</v>
      </c>
      <c r="AB20" s="197">
        <f t="shared" si="13"/>
        <v>44932</v>
      </c>
      <c r="AC20" s="119">
        <f>IF(OR(t&lt;Tnet,NoTnet),'2022'!Resal_s+('2022'!Salim-'2022'!Resal_s)*(1-EXP(('2022'!Tnet_s-t)/'2022'!Tau_j)),Resal_s+(Salim-Resal_s)*(1-EXP((Tnet_s-t)/Tau_j)))*Salcycl</f>
        <v>0.11236677809368362</v>
      </c>
      <c r="AD20" s="230">
        <f>(INDEX(Models!$BJ20:$BT20,,AH20)*(1-AF20)+INDEX(Models!$BJ20:$BT20,,AH20+1)*AF20-ERP_i)*AE20*Ramure*Pc/MaxiM</f>
        <v>5.9541021897123545E-4</v>
      </c>
      <c r="AE20" s="304">
        <f t="shared" si="14"/>
        <v>0.6</v>
      </c>
      <c r="AF20" s="177">
        <f t="shared" si="22"/>
        <v>0.49927223623357148</v>
      </c>
      <c r="AG20" s="799">
        <f t="shared" si="23"/>
        <v>0</v>
      </c>
      <c r="AH20" s="176">
        <f t="shared" si="15"/>
        <v>6</v>
      </c>
      <c r="AI20" s="224">
        <f t="shared" si="24"/>
        <v>0.49927223623357148</v>
      </c>
      <c r="AJ20" s="264" t="b">
        <f t="shared" si="16"/>
        <v>1</v>
      </c>
      <c r="AK20" s="264" t="b">
        <f t="shared" si="17"/>
        <v>0</v>
      </c>
      <c r="AL20" s="264"/>
      <c r="AM20" s="264"/>
      <c r="AN20" s="75"/>
    </row>
    <row r="21" spans="1:40" s="6" customFormat="1" ht="11.25" x14ac:dyDescent="0.2">
      <c r="A21" s="56">
        <f t="shared" si="18"/>
        <v>44933</v>
      </c>
      <c r="B21" s="409">
        <f>IF(t&gt;Tmaj,'2022'!Wh/'2022'!Env_an*'2023'!Env_an,0.001*'[3]mon-tableau (2)'!$B$248)</f>
        <v>18.388999999999999</v>
      </c>
      <c r="C21" s="829"/>
      <c r="D21" s="391">
        <f t="shared" si="0"/>
        <v>18.902471880211849</v>
      </c>
      <c r="E21" s="383">
        <f t="shared" si="1"/>
        <v>19.438691292650756</v>
      </c>
      <c r="F21" s="383">
        <f t="shared" si="2"/>
        <v>19.444347736940536</v>
      </c>
      <c r="G21" s="110">
        <f t="shared" si="19"/>
        <v>0.65606555623758522</v>
      </c>
      <c r="H21" s="412" t="b">
        <f>Wh_hp&gt;='2022'!Maxi_hp</f>
        <v>1</v>
      </c>
      <c r="I21" s="379">
        <f>IF(H21,Wh_hp,'2022'!Maxi_hp)</f>
        <v>19.444347736940536</v>
      </c>
      <c r="J21" s="85">
        <f>IF(H21,An,'2022'!An_max)</f>
        <v>2023</v>
      </c>
      <c r="K21" s="197">
        <f t="shared" si="3"/>
        <v>44933</v>
      </c>
      <c r="L21" s="147">
        <f>IF(t&lt;Tvie,1-EXP((T0-t)*PertePVj)+'2022'!Pspv,1-EXP((T0-t)*PertePVj)+Pspv)</f>
        <v>2.7164271607745594E-2</v>
      </c>
      <c r="M21" s="832"/>
      <c r="N21" s="832"/>
      <c r="O21" s="48">
        <f>IF(t&lt;Tnet,'2022'!Resal+('2022'!Salim-'2022'!Resal)*(1-EXP(('2022'!Tnet-t)/('2022'!Tau_j))),Resal+(Salim-Resal)*(1-EXP((Tnet-t)/(Tau_j))))*Salcycl</f>
        <v>2.7585160151271867E-2</v>
      </c>
      <c r="P21" s="338">
        <f>(INDEX(Models!$BJ21:$BT21,,T21)*(1-R21)+INDEX(Models!$BJ21:$BT21,,T21+1)*R21-ERP_i)*Q21*Ramure*Pc/MaxiM</f>
        <v>5.7160171660525271E-4</v>
      </c>
      <c r="Q21" s="304">
        <f t="shared" si="4"/>
        <v>0.6</v>
      </c>
      <c r="R21" s="177">
        <f t="shared" si="5"/>
        <v>0.49930809184463465</v>
      </c>
      <c r="S21" s="799">
        <f t="shared" si="6"/>
        <v>0</v>
      </c>
      <c r="T21" s="176">
        <f t="shared" si="7"/>
        <v>6</v>
      </c>
      <c r="U21" s="250">
        <f t="shared" si="20"/>
        <v>0.49930809184463465</v>
      </c>
      <c r="V21" s="382">
        <f t="shared" si="8"/>
        <v>28.021341127173137</v>
      </c>
      <c r="W21" s="400">
        <f t="shared" si="9"/>
        <v>0</v>
      </c>
      <c r="X21" s="157">
        <f t="shared" si="10"/>
        <v>44933</v>
      </c>
      <c r="Y21" s="383">
        <f t="shared" si="11"/>
        <v>16.786002411812824</v>
      </c>
      <c r="Z21" s="383">
        <f t="shared" si="21"/>
        <v>17.254714153595092</v>
      </c>
      <c r="AA21" s="384">
        <f t="shared" si="12"/>
        <v>19.438691292650756</v>
      </c>
      <c r="AB21" s="197">
        <f t="shared" si="13"/>
        <v>44933</v>
      </c>
      <c r="AC21" s="119">
        <f>IF(OR(t&lt;Tnet,NoTnet),'2022'!Resal_s+('2022'!Salim-'2022'!Resal_s)*(1-EXP(('2022'!Tnet_s-t)/'2022'!Tau_j)),Resal_s+(Salim-Resal_s)*(1-EXP((Tnet_s-t)/Tau_j)))*Salcycl</f>
        <v>0.11235206661681831</v>
      </c>
      <c r="AD21" s="230">
        <f>(INDEX(Models!$BJ21:$BT21,,AH21)*(1-AF21)+INDEX(Models!$BJ21:$BT21,,AH21+1)*AF21-ERP_i)*AE21*Ramure*Pc/MaxiM</f>
        <v>5.7160171660525271E-4</v>
      </c>
      <c r="AE21" s="304">
        <f t="shared" si="14"/>
        <v>0.6</v>
      </c>
      <c r="AF21" s="177">
        <f t="shared" si="22"/>
        <v>0.49930809184463465</v>
      </c>
      <c r="AG21" s="799">
        <f t="shared" si="23"/>
        <v>0</v>
      </c>
      <c r="AH21" s="176">
        <f t="shared" si="15"/>
        <v>6</v>
      </c>
      <c r="AI21" s="224">
        <f t="shared" si="24"/>
        <v>0.49930809184463465</v>
      </c>
      <c r="AJ21" s="264" t="b">
        <f t="shared" si="16"/>
        <v>1</v>
      </c>
      <c r="AK21" s="264" t="b">
        <f t="shared" si="17"/>
        <v>0</v>
      </c>
      <c r="AL21" s="264"/>
      <c r="AM21" s="264"/>
      <c r="AN21" s="75"/>
    </row>
    <row r="22" spans="1:40" s="6" customFormat="1" ht="11.25" x14ac:dyDescent="0.2">
      <c r="A22" s="56">
        <f t="shared" si="18"/>
        <v>44934</v>
      </c>
      <c r="B22" s="409">
        <f>IF(t&gt;Tmaj,'2022'!Wh/'2022'!Env_an*'2023'!Env_an,0.001*'[3]mon-tableau (2)'!$B$249)</f>
        <v>6.867</v>
      </c>
      <c r="C22" s="829"/>
      <c r="D22" s="391">
        <f t="shared" si="0"/>
        <v>7.0588809668406078</v>
      </c>
      <c r="E22" s="383">
        <f t="shared" si="1"/>
        <v>7.2596127585012997</v>
      </c>
      <c r="F22" s="383">
        <f t="shared" si="2"/>
        <v>7.2596127585012997</v>
      </c>
      <c r="G22" s="110">
        <f t="shared" si="19"/>
        <v>0.24323977678987918</v>
      </c>
      <c r="H22" s="412" t="b">
        <f>Wh_hp&gt;='2022'!Maxi_hp</f>
        <v>0</v>
      </c>
      <c r="I22" s="379">
        <f>IF(H22,Wh_hp,'2022'!Maxi_hp)</f>
        <v>23.032683038014351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2.7182915782540729E-2</v>
      </c>
      <c r="M22" s="832"/>
      <c r="N22" s="832"/>
      <c r="O22" s="48">
        <f>IF(t&lt;Tnet,'2022'!Resal+('2022'!Salim-'2022'!Resal)*(1-EXP(('2022'!Tnet-t)/('2022'!Tau_j))),Resal+(Salim-Resal)*(1-EXP((Tnet-t)/(Tau_j))))*Salcycl</f>
        <v>2.7650481966221583E-2</v>
      </c>
      <c r="P22" s="338">
        <f>(INDEX(Models!$BJ22:$BT22,,T22)*(1-R22)+INDEX(Models!$BJ22:$BT22,,T22+1)*R22-ERP_i)*Q22*Ramure*Pc/MaxiM</f>
        <v>5.474094438443789E-4</v>
      </c>
      <c r="Q22" s="304">
        <f t="shared" si="4"/>
        <v>0.6</v>
      </c>
      <c r="R22" s="177">
        <f t="shared" si="5"/>
        <v>0.49934544620063182</v>
      </c>
      <c r="S22" s="799">
        <f t="shared" si="6"/>
        <v>0</v>
      </c>
      <c r="T22" s="176">
        <f t="shared" si="7"/>
        <v>6</v>
      </c>
      <c r="U22" s="250">
        <f t="shared" si="20"/>
        <v>0.49934544620063182</v>
      </c>
      <c r="V22" s="382">
        <f t="shared" si="8"/>
        <v>28.215948188761406</v>
      </c>
      <c r="W22" s="400">
        <f t="shared" si="9"/>
        <v>0</v>
      </c>
      <c r="X22" s="157">
        <f t="shared" si="10"/>
        <v>44934</v>
      </c>
      <c r="Y22" s="383">
        <f t="shared" si="11"/>
        <v>6.2689168207384149</v>
      </c>
      <c r="Z22" s="383">
        <f t="shared" si="21"/>
        <v>6.4440858640770839</v>
      </c>
      <c r="AA22" s="384">
        <f t="shared" si="12"/>
        <v>7.2596127585012997</v>
      </c>
      <c r="AB22" s="197">
        <f t="shared" si="13"/>
        <v>44934</v>
      </c>
      <c r="AC22" s="119">
        <f>IF(OR(t&lt;Tnet,NoTnet),'2022'!Resal_s+('2022'!Salim-'2022'!Resal_s)*(1-EXP(('2022'!Tnet_s-t)/'2022'!Tau_j)),Resal_s+(Salim-Resal_s)*(1-EXP((Tnet_s-t)/Tau_j)))*Salcycl</f>
        <v>0.11233752013414219</v>
      </c>
      <c r="AD22" s="230">
        <f>(INDEX(Models!$BJ22:$BT22,,AH22)*(1-AF22)+INDEX(Models!$BJ22:$BT22,,AH22+1)*AF22-ERP_i)*AE22*Ramure*Pc/MaxiM</f>
        <v>5.474094438443789E-4</v>
      </c>
      <c r="AE22" s="304">
        <f t="shared" si="14"/>
        <v>0.6</v>
      </c>
      <c r="AF22" s="177">
        <f t="shared" si="22"/>
        <v>0.49934544620063182</v>
      </c>
      <c r="AG22" s="799">
        <f t="shared" si="23"/>
        <v>0</v>
      </c>
      <c r="AH22" s="176">
        <f t="shared" si="15"/>
        <v>6</v>
      </c>
      <c r="AI22" s="224">
        <f t="shared" si="24"/>
        <v>0.49934544620063182</v>
      </c>
      <c r="AJ22" s="264" t="b">
        <f t="shared" si="16"/>
        <v>1</v>
      </c>
      <c r="AK22" s="264" t="b">
        <f t="shared" si="17"/>
        <v>0</v>
      </c>
      <c r="AL22" s="264"/>
      <c r="AM22" s="264"/>
      <c r="AN22" s="75"/>
    </row>
    <row r="23" spans="1:40" s="6" customFormat="1" ht="11.25" x14ac:dyDescent="0.2">
      <c r="A23" s="56">
        <f t="shared" si="18"/>
        <v>44935</v>
      </c>
      <c r="B23" s="409">
        <f>IF(t&gt;Tmaj,'2022'!Wh/'2022'!Env_an*'2023'!Env_an,0.001*'[3]mon-tableau (2)'!$B$250)</f>
        <v>8.7880000000000003</v>
      </c>
      <c r="C23" s="829"/>
      <c r="D23" s="391">
        <f t="shared" si="0"/>
        <v>9.0337315882072424</v>
      </c>
      <c r="E23" s="383">
        <f t="shared" si="1"/>
        <v>9.2912456614558927</v>
      </c>
      <c r="F23" s="383">
        <f t="shared" si="2"/>
        <v>9.2913095341881693</v>
      </c>
      <c r="G23" s="110">
        <f t="shared" si="19"/>
        <v>0.30904466322293556</v>
      </c>
      <c r="H23" s="412" t="b">
        <f>Wh_hp&gt;='2022'!Maxi_hp</f>
        <v>0</v>
      </c>
      <c r="I23" s="379">
        <f>IF(H23,Wh_hp,'2022'!Maxi_hp)</f>
        <v>29.267673438612903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2.7201559600024461E-2</v>
      </c>
      <c r="M23" s="832"/>
      <c r="N23" s="832"/>
      <c r="O23" s="48">
        <f>IF(t&lt;Tnet,'2022'!Resal+('2022'!Salim-'2022'!Resal)*(1-EXP(('2022'!Tnet-t)/('2022'!Tau_j))),Resal+(Salim-Resal)*(1-EXP((Tnet-t)/(Tau_j))))*Salcycl</f>
        <v>2.7715774895171484E-2</v>
      </c>
      <c r="P23" s="338">
        <f>(INDEX(Models!$BJ23:$BT23,,T23)*(1-R23)+INDEX(Models!$BJ23:$BT23,,T23+1)*R23-ERP_i)*Q23*Ramure*Pc/MaxiM</f>
        <v>5.2281824299392845E-4</v>
      </c>
      <c r="Q23" s="304">
        <f t="shared" si="4"/>
        <v>0.6</v>
      </c>
      <c r="R23" s="177">
        <f t="shared" si="5"/>
        <v>0.49938436170966694</v>
      </c>
      <c r="S23" s="799">
        <f t="shared" si="6"/>
        <v>0</v>
      </c>
      <c r="T23" s="176">
        <f t="shared" si="7"/>
        <v>6</v>
      </c>
      <c r="U23" s="250">
        <f t="shared" si="20"/>
        <v>0.49938436170966694</v>
      </c>
      <c r="V23" s="382">
        <f t="shared" si="8"/>
        <v>28.421347785986018</v>
      </c>
      <c r="W23" s="400">
        <f t="shared" si="9"/>
        <v>0</v>
      </c>
      <c r="X23" s="157">
        <f t="shared" si="10"/>
        <v>44935</v>
      </c>
      <c r="Y23" s="383">
        <f t="shared" si="11"/>
        <v>8.0232756537788674</v>
      </c>
      <c r="Z23" s="383">
        <f t="shared" si="21"/>
        <v>8.2476238864856928</v>
      </c>
      <c r="AA23" s="384">
        <f t="shared" si="12"/>
        <v>9.2912456614558927</v>
      </c>
      <c r="AB23" s="197">
        <f t="shared" si="13"/>
        <v>44935</v>
      </c>
      <c r="AC23" s="119">
        <f>IF(OR(t&lt;Tnet,NoTnet),'2022'!Resal_s+('2022'!Salim-'2022'!Resal_s)*(1-EXP(('2022'!Tnet_s-t)/'2022'!Tau_j)),Resal_s+(Salim-Resal_s)*(1-EXP((Tnet_s-t)/Tau_j)))*Salcycl</f>
        <v>0.11232312792025234</v>
      </c>
      <c r="AD23" s="230">
        <f>(INDEX(Models!$BJ23:$BT23,,AH23)*(1-AF23)+INDEX(Models!$BJ23:$BT23,,AH23+1)*AF23-ERP_i)*AE23*Ramure*Pc/MaxiM</f>
        <v>5.2281824299392845E-4</v>
      </c>
      <c r="AE23" s="304">
        <f t="shared" si="14"/>
        <v>0.6</v>
      </c>
      <c r="AF23" s="177">
        <f t="shared" si="22"/>
        <v>0.49938436170966694</v>
      </c>
      <c r="AG23" s="799">
        <f t="shared" si="23"/>
        <v>0</v>
      </c>
      <c r="AH23" s="176">
        <f t="shared" si="15"/>
        <v>6</v>
      </c>
      <c r="AI23" s="224">
        <f t="shared" si="24"/>
        <v>0.49938436170966694</v>
      </c>
      <c r="AJ23" s="264" t="b">
        <f t="shared" si="16"/>
        <v>1</v>
      </c>
      <c r="AK23" s="264" t="b">
        <f t="shared" si="17"/>
        <v>0</v>
      </c>
      <c r="AL23" s="264"/>
      <c r="AM23" s="264"/>
      <c r="AN23" s="75"/>
    </row>
    <row r="24" spans="1:40" s="6" customFormat="1" ht="11.25" x14ac:dyDescent="0.2">
      <c r="A24" s="56">
        <f t="shared" si="18"/>
        <v>44936</v>
      </c>
      <c r="B24" s="409">
        <f>IF(t&gt;Tmaj,'2022'!Wh/'2022'!Env_an*'2023'!Env_an,0.001*'[3]mon-tableau (2)'!$B$251)</f>
        <v>25.059000000000001</v>
      </c>
      <c r="C24" s="829"/>
      <c r="D24" s="391">
        <f t="shared" si="0"/>
        <v>25.760197815406382</v>
      </c>
      <c r="E24" s="383">
        <f t="shared" si="1"/>
        <v>26.496292299009305</v>
      </c>
      <c r="F24" s="383">
        <f t="shared" si="2"/>
        <v>26.507126301272365</v>
      </c>
      <c r="G24" s="110">
        <f t="shared" si="19"/>
        <v>0.87490733726174275</v>
      </c>
      <c r="H24" s="412" t="b">
        <f>Wh_hp&gt;='2022'!Maxi_hp</f>
        <v>1</v>
      </c>
      <c r="I24" s="379">
        <f>IF(H24,Wh_hp,'2022'!Maxi_hp)</f>
        <v>26.507126301272365</v>
      </c>
      <c r="J24" s="85">
        <f>IF(H24,An,'2022'!An_max)</f>
        <v>2023</v>
      </c>
      <c r="K24" s="197">
        <f t="shared" si="3"/>
        <v>44936</v>
      </c>
      <c r="L24" s="147">
        <f>IF(t&lt;Tvie,1-EXP((T0-t)*PertePVj)+'2022'!Pspv,1-EXP((T0-t)*PertePVj)+Pspv)</f>
        <v>2.7220203060203785E-2</v>
      </c>
      <c r="M24" s="832"/>
      <c r="N24" s="832"/>
      <c r="O24" s="48">
        <f>IF(t&lt;Tnet,'2022'!Resal+('2022'!Salim-'2022'!Resal)*(1-EXP(('2022'!Tnet-t)/('2022'!Tau_j))),Resal+(Salim-Resal)*(1-EXP((Tnet-t)/(Tau_j))))*Salcycl</f>
        <v>2.7781037259709127E-2</v>
      </c>
      <c r="P24" s="338">
        <f>(INDEX(Models!$BJ24:$BT24,,T24)*(1-R24)+INDEX(Models!$BJ24:$BT24,,T24+1)*R24-ERP_i)*Q24*Ramure*Pc/MaxiM</f>
        <v>4.9758548743142914E-4</v>
      </c>
      <c r="Q24" s="304">
        <f t="shared" si="4"/>
        <v>0.6</v>
      </c>
      <c r="R24" s="177">
        <f t="shared" si="5"/>
        <v>0.4994249033581365</v>
      </c>
      <c r="S24" s="799">
        <f t="shared" si="6"/>
        <v>0</v>
      </c>
      <c r="T24" s="176">
        <f t="shared" si="7"/>
        <v>6</v>
      </c>
      <c r="U24" s="250">
        <f t="shared" si="20"/>
        <v>0.4994249033581365</v>
      </c>
      <c r="V24" s="382">
        <f t="shared" si="8"/>
        <v>28.639344020944293</v>
      </c>
      <c r="W24" s="400">
        <f t="shared" si="9"/>
        <v>0</v>
      </c>
      <c r="X24" s="157">
        <f t="shared" si="10"/>
        <v>44936</v>
      </c>
      <c r="Y24" s="383">
        <f t="shared" si="11"/>
        <v>22.880289915867504</v>
      </c>
      <c r="Z24" s="383">
        <f t="shared" si="21"/>
        <v>23.520523337188024</v>
      </c>
      <c r="AA24" s="384">
        <f t="shared" si="12"/>
        <v>26.496292299009305</v>
      </c>
      <c r="AB24" s="197">
        <f t="shared" si="13"/>
        <v>44936</v>
      </c>
      <c r="AC24" s="119">
        <f>IF(OR(t&lt;Tnet,NoTnet),'2022'!Resal_s+('2022'!Salim-'2022'!Resal_s)*(1-EXP(('2022'!Tnet_s-t)/'2022'!Tau_j)),Resal_s+(Salim-Resal_s)*(1-EXP((Tnet_s-t)/Tau_j)))*Salcycl</f>
        <v>0.1123088818707117</v>
      </c>
      <c r="AD24" s="230">
        <f>(INDEX(Models!$BJ24:$BT24,,AH24)*(1-AF24)+INDEX(Models!$BJ24:$BT24,,AH24+1)*AF24-ERP_i)*AE24*Ramure*Pc/MaxiM</f>
        <v>4.9758548743142914E-4</v>
      </c>
      <c r="AE24" s="304">
        <f t="shared" si="14"/>
        <v>0.6</v>
      </c>
      <c r="AF24" s="177">
        <f t="shared" si="22"/>
        <v>0.4994249033581365</v>
      </c>
      <c r="AG24" s="799">
        <f t="shared" si="23"/>
        <v>0</v>
      </c>
      <c r="AH24" s="176">
        <f t="shared" si="15"/>
        <v>6</v>
      </c>
      <c r="AI24" s="224">
        <f t="shared" si="24"/>
        <v>0.4994249033581365</v>
      </c>
      <c r="AJ24" s="264" t="b">
        <f t="shared" si="16"/>
        <v>1</v>
      </c>
      <c r="AK24" s="264" t="b">
        <f t="shared" si="17"/>
        <v>0</v>
      </c>
      <c r="AL24" s="264"/>
      <c r="AM24" s="264"/>
      <c r="AN24" s="75"/>
    </row>
    <row r="25" spans="1:40" s="6" customFormat="1" ht="11.25" x14ac:dyDescent="0.2">
      <c r="A25" s="56">
        <f t="shared" si="18"/>
        <v>44937</v>
      </c>
      <c r="B25" s="409">
        <f>IF(t&gt;Tmaj,'2022'!Wh/'2022'!Env_an*'2023'!Env_an,0.001*'[3]mon-tableau (2)'!$B$252)</f>
        <v>4.5570000000000004</v>
      </c>
      <c r="C25" s="829"/>
      <c r="D25" s="391">
        <f t="shared" si="0"/>
        <v>4.6846031855050727</v>
      </c>
      <c r="E25" s="383">
        <f t="shared" si="1"/>
        <v>4.818788460203641</v>
      </c>
      <c r="F25" s="383">
        <f t="shared" si="2"/>
        <v>4.818788460203641</v>
      </c>
      <c r="G25" s="110">
        <f t="shared" si="19"/>
        <v>0.15777624970392665</v>
      </c>
      <c r="H25" s="412" t="b">
        <f>Wh_hp&gt;='2022'!Maxi_hp</f>
        <v>0</v>
      </c>
      <c r="I25" s="379">
        <f>IF(H25,Wh_hp,'2022'!Maxi_hp)</f>
        <v>29.842314321550671</v>
      </c>
      <c r="J25" s="85">
        <f>IF(H25,An,'2022'!An_max)</f>
        <v>2020</v>
      </c>
      <c r="K25" s="197">
        <f t="shared" si="3"/>
        <v>44937</v>
      </c>
      <c r="L25" s="147">
        <f>IF(t&lt;Tvie,1-EXP((T0-t)*PertePVj)+'2022'!Pspv,1-EXP((T0-t)*PertePVj)+Pspv)</f>
        <v>2.7238846163085362E-2</v>
      </c>
      <c r="M25" s="832"/>
      <c r="N25" s="832"/>
      <c r="O25" s="48">
        <f>IF(t&lt;Tnet,'2022'!Resal+('2022'!Salim-'2022'!Resal)*(1-EXP(('2022'!Tnet-t)/('2022'!Tau_j))),Resal+(Salim-Resal)*(1-EXP((Tnet-t)/(Tau_j))))*Salcycl</f>
        <v>2.7846267958585094E-2</v>
      </c>
      <c r="P25" s="338">
        <f>(INDEX(Models!$BJ25:$BT25,,T25)*(1-R25)+INDEX(Models!$BJ25:$BT25,,T25+1)*R25-ERP_i)*Q25*Ramure*Pc/MaxiM</f>
        <v>4.7194398146043978E-4</v>
      </c>
      <c r="Q25" s="304">
        <f t="shared" si="4"/>
        <v>0.6</v>
      </c>
      <c r="R25" s="177">
        <f t="shared" si="5"/>
        <v>0.49946713881550248</v>
      </c>
      <c r="S25" s="799">
        <f t="shared" si="6"/>
        <v>0</v>
      </c>
      <c r="T25" s="176">
        <f t="shared" si="7"/>
        <v>6</v>
      </c>
      <c r="U25" s="250">
        <f t="shared" si="20"/>
        <v>0.49946713881550248</v>
      </c>
      <c r="V25" s="382">
        <f t="shared" si="8"/>
        <v>28.869043089969747</v>
      </c>
      <c r="W25" s="400">
        <f t="shared" si="9"/>
        <v>0</v>
      </c>
      <c r="X25" s="157">
        <f t="shared" si="10"/>
        <v>44937</v>
      </c>
      <c r="Y25" s="383">
        <f t="shared" si="11"/>
        <v>4.1611450649381689</v>
      </c>
      <c r="Z25" s="383">
        <f t="shared" si="21"/>
        <v>4.2776636880750623</v>
      </c>
      <c r="AA25" s="384">
        <f t="shared" si="12"/>
        <v>4.818788460203641</v>
      </c>
      <c r="AB25" s="197">
        <f t="shared" si="13"/>
        <v>44937</v>
      </c>
      <c r="AC25" s="119">
        <f>IF(OR(t&lt;Tnet,NoTnet),'2022'!Resal_s+('2022'!Salim-'2022'!Resal_s)*(1-EXP(('2022'!Tnet_s-t)/'2022'!Tau_j)),Resal_s+(Salim-Resal_s)*(1-EXP((Tnet_s-t)/Tau_j)))*Salcycl</f>
        <v>0.1122947762902443</v>
      </c>
      <c r="AD25" s="230">
        <f>(INDEX(Models!$BJ25:$BT25,,AH25)*(1-AF25)+INDEX(Models!$BJ25:$BT25,,AH25+1)*AF25-ERP_i)*AE25*Ramure*Pc/MaxiM</f>
        <v>4.7194398146043978E-4</v>
      </c>
      <c r="AE25" s="304">
        <f t="shared" si="14"/>
        <v>0.6</v>
      </c>
      <c r="AF25" s="177">
        <f t="shared" si="22"/>
        <v>0.49946713881550248</v>
      </c>
      <c r="AG25" s="799">
        <f t="shared" si="23"/>
        <v>0</v>
      </c>
      <c r="AH25" s="176">
        <f t="shared" si="15"/>
        <v>6</v>
      </c>
      <c r="AI25" s="224">
        <f t="shared" si="24"/>
        <v>0.49946713881550248</v>
      </c>
      <c r="AJ25" s="264" t="b">
        <f t="shared" si="16"/>
        <v>1</v>
      </c>
      <c r="AK25" s="264" t="b">
        <f t="shared" si="17"/>
        <v>0</v>
      </c>
      <c r="AL25" s="264"/>
      <c r="AM25" s="264"/>
      <c r="AN25" s="75"/>
    </row>
    <row r="26" spans="1:40" s="6" customFormat="1" ht="11.25" x14ac:dyDescent="0.2">
      <c r="A26" s="56">
        <f t="shared" si="18"/>
        <v>44938</v>
      </c>
      <c r="B26" s="409">
        <f>IF(t&gt;Tmaj,'2022'!Wh/'2022'!Env_an*'2023'!Env_an,0.001*'[3]mon-tableau (2)'!$B$253)</f>
        <v>24.36</v>
      </c>
      <c r="C26" s="829"/>
      <c r="D26" s="391">
        <f t="shared" si="0"/>
        <v>25.042598346679036</v>
      </c>
      <c r="E26" s="383">
        <f t="shared" si="1"/>
        <v>25.761643596839605</v>
      </c>
      <c r="F26" s="383">
        <f t="shared" si="2"/>
        <v>25.770457131548682</v>
      </c>
      <c r="G26" s="110">
        <f t="shared" si="19"/>
        <v>0.83675156821731356</v>
      </c>
      <c r="H26" s="412" t="b">
        <f>Wh_hp&gt;='2022'!Maxi_hp</f>
        <v>0</v>
      </c>
      <c r="I26" s="379">
        <f>IF(H26,Wh_hp,'2022'!Maxi_hp)</f>
        <v>31.06915900574295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2.7257488908676186E-2</v>
      </c>
      <c r="M26" s="832"/>
      <c r="N26" s="832"/>
      <c r="O26" s="48">
        <f>IF(t&lt;Tnet,'2022'!Resal+('2022'!Salim-'2022'!Resal)*(1-EXP(('2022'!Tnet-t)/('2022'!Tau_j))),Resal+(Salim-Resal)*(1-EXP((Tnet-t)/(Tau_j))))*Salcycl</f>
        <v>2.7911466419354651E-2</v>
      </c>
      <c r="P26" s="338">
        <f>(INDEX(Models!$BJ26:$BT26,,T26)*(1-R26)+INDEX(Models!$BJ26:$BT26,,T26+1)*R26-ERP_i)*Q26*Ramure*Pc/MaxiM</f>
        <v>4.4594604396328561E-4</v>
      </c>
      <c r="Q26" s="304">
        <f t="shared" si="4"/>
        <v>0.6</v>
      </c>
      <c r="R26" s="177">
        <f t="shared" si="5"/>
        <v>0.49951113854317358</v>
      </c>
      <c r="S26" s="799">
        <f t="shared" si="6"/>
        <v>0</v>
      </c>
      <c r="T26" s="176">
        <f t="shared" si="7"/>
        <v>6</v>
      </c>
      <c r="U26" s="250">
        <f t="shared" si="20"/>
        <v>0.49951113854317358</v>
      </c>
      <c r="V26" s="382">
        <f t="shared" si="8"/>
        <v>29.109556491489702</v>
      </c>
      <c r="W26" s="400">
        <f t="shared" si="9"/>
        <v>0</v>
      </c>
      <c r="X26" s="157">
        <f t="shared" si="10"/>
        <v>44938</v>
      </c>
      <c r="Y26" s="383">
        <f t="shared" si="11"/>
        <v>22.245751058849553</v>
      </c>
      <c r="Z26" s="383">
        <f t="shared" si="21"/>
        <v>22.869105446920329</v>
      </c>
      <c r="AA26" s="384">
        <f t="shared" si="12"/>
        <v>25.761643596839605</v>
      </c>
      <c r="AB26" s="197">
        <f t="shared" si="13"/>
        <v>44938</v>
      </c>
      <c r="AC26" s="119">
        <f>IF(OR(t&lt;Tnet,NoTnet),'2022'!Resal_s+('2022'!Salim-'2022'!Resal_s)*(1-EXP(('2022'!Tnet_s-t)/'2022'!Tau_j)),Resal_s+(Salim-Resal_s)*(1-EXP((Tnet_s-t)/Tau_j)))*Salcycl</f>
        <v>0.11228080766842569</v>
      </c>
      <c r="AD26" s="230">
        <f>(INDEX(Models!$BJ26:$BT26,,AH26)*(1-AF26)+INDEX(Models!$BJ26:$BT26,,AH26+1)*AF26-ERP_i)*AE26*Ramure*Pc/MaxiM</f>
        <v>4.4594604396328561E-4</v>
      </c>
      <c r="AE26" s="304">
        <f t="shared" si="14"/>
        <v>0.6</v>
      </c>
      <c r="AF26" s="177">
        <f t="shared" si="22"/>
        <v>0.49951113854317358</v>
      </c>
      <c r="AG26" s="799">
        <f t="shared" si="23"/>
        <v>0</v>
      </c>
      <c r="AH26" s="176">
        <f t="shared" si="15"/>
        <v>6</v>
      </c>
      <c r="AI26" s="224">
        <f t="shared" si="24"/>
        <v>0.49951113854317358</v>
      </c>
      <c r="AJ26" s="264" t="b">
        <f t="shared" si="16"/>
        <v>1</v>
      </c>
      <c r="AK26" s="264" t="b">
        <f t="shared" si="17"/>
        <v>0</v>
      </c>
      <c r="AL26" s="264"/>
      <c r="AM26" s="264"/>
      <c r="AN26" s="75"/>
    </row>
    <row r="27" spans="1:40" s="6" customFormat="1" ht="11.25" x14ac:dyDescent="0.2">
      <c r="A27" s="56">
        <f t="shared" si="18"/>
        <v>44939</v>
      </c>
      <c r="B27" s="409">
        <f>IF(t&gt;Tmaj,'2022'!Wh/'2022'!Env_an*'2023'!Env_an,0.001*'[3]mon-tableau (2)'!$B$254)</f>
        <v>13.774000000000001</v>
      </c>
      <c r="C27" s="829"/>
      <c r="D27" s="391">
        <f t="shared" si="0"/>
        <v>14.160236469128272</v>
      </c>
      <c r="E27" s="383">
        <f t="shared" si="1"/>
        <v>14.567794297197413</v>
      </c>
      <c r="F27" s="383">
        <f t="shared" si="2"/>
        <v>14.569271594429768</v>
      </c>
      <c r="G27" s="110">
        <f t="shared" si="19"/>
        <v>0.46899243764806009</v>
      </c>
      <c r="H27" s="412" t="b">
        <f>Wh_hp&gt;='2022'!Maxi_hp</f>
        <v>0</v>
      </c>
      <c r="I27" s="379">
        <f>IF(H27,Wh_hp,'2022'!Maxi_hp)</f>
        <v>16.623085463395078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2.7276131296983031E-2</v>
      </c>
      <c r="M27" s="832"/>
      <c r="N27" s="832"/>
      <c r="O27" s="48">
        <f>IF(t&lt;Tnet,'2022'!Resal+('2022'!Salim-'2022'!Resal)*(1-EXP(('2022'!Tnet-t)/('2022'!Tau_j))),Resal+(Salim-Resal)*(1-EXP((Tnet-t)/(Tau_j))))*Salcycl</f>
        <v>2.7976632546736848E-2</v>
      </c>
      <c r="P27" s="338">
        <f>(INDEX(Models!$BJ27:$BT27,,T27)*(1-R27)+INDEX(Models!$BJ27:$BT27,,T27+1)*R27-ERP_i)*Q27*Ramure*Pc/MaxiM</f>
        <v>4.1964036516306969E-4</v>
      </c>
      <c r="Q27" s="304">
        <f t="shared" si="4"/>
        <v>0.6</v>
      </c>
      <c r="R27" s="177">
        <f t="shared" si="5"/>
        <v>0.4995569759076427</v>
      </c>
      <c r="S27" s="799">
        <f t="shared" si="6"/>
        <v>0</v>
      </c>
      <c r="T27" s="176">
        <f t="shared" si="7"/>
        <v>6</v>
      </c>
      <c r="U27" s="250">
        <f t="shared" si="20"/>
        <v>0.4995569759076427</v>
      </c>
      <c r="V27" s="382">
        <f t="shared" si="8"/>
        <v>29.359995986937371</v>
      </c>
      <c r="W27" s="400">
        <f t="shared" si="9"/>
        <v>0</v>
      </c>
      <c r="X27" s="157">
        <f t="shared" si="10"/>
        <v>44939</v>
      </c>
      <c r="Y27" s="383">
        <f t="shared" si="11"/>
        <v>12.579568664098733</v>
      </c>
      <c r="Z27" s="383">
        <f t="shared" si="21"/>
        <v>12.932312107105712</v>
      </c>
      <c r="AA27" s="384">
        <f t="shared" si="12"/>
        <v>14.567794297197413</v>
      </c>
      <c r="AB27" s="197">
        <f t="shared" si="13"/>
        <v>44939</v>
      </c>
      <c r="AC27" s="119">
        <f>IF(OR(t&lt;Tnet,NoTnet),'2022'!Resal_s+('2022'!Salim-'2022'!Resal_s)*(1-EXP(('2022'!Tnet_s-t)/'2022'!Tau_j)),Resal_s+(Salim-Resal_s)*(1-EXP((Tnet_s-t)/Tau_j)))*Salcycl</f>
        <v>0.11226697444556433</v>
      </c>
      <c r="AD27" s="230">
        <f>(INDEX(Models!$BJ27:$BT27,,AH27)*(1-AF27)+INDEX(Models!$BJ27:$BT27,,AH27+1)*AF27-ERP_i)*AE27*Ramure*Pc/MaxiM</f>
        <v>4.1964036516306969E-4</v>
      </c>
      <c r="AE27" s="304">
        <f t="shared" si="14"/>
        <v>0.6</v>
      </c>
      <c r="AF27" s="177">
        <f t="shared" si="22"/>
        <v>0.4995569759076427</v>
      </c>
      <c r="AG27" s="799">
        <f t="shared" si="23"/>
        <v>0</v>
      </c>
      <c r="AH27" s="176">
        <f t="shared" si="15"/>
        <v>6</v>
      </c>
      <c r="AI27" s="224">
        <f t="shared" si="24"/>
        <v>0.4995569759076427</v>
      </c>
      <c r="AJ27" s="264" t="b">
        <f t="shared" si="16"/>
        <v>1</v>
      </c>
      <c r="AK27" s="264" t="b">
        <f t="shared" si="17"/>
        <v>0</v>
      </c>
      <c r="AL27" s="264"/>
      <c r="AM27" s="264"/>
      <c r="AN27" s="75"/>
    </row>
    <row r="28" spans="1:40" s="6" customFormat="1" ht="11.25" x14ac:dyDescent="0.2">
      <c r="A28" s="56">
        <f t="shared" si="18"/>
        <v>44940</v>
      </c>
      <c r="B28" s="409">
        <f>IF(t&gt;Tmaj,'2022'!Wh/'2022'!Env_an*'2023'!Env_an,0.001*'[3]mon-tableau (2)'!$B$255)</f>
        <v>18.599</v>
      </c>
      <c r="C28" s="829"/>
      <c r="D28" s="391">
        <f t="shared" si="0"/>
        <v>19.120900649043083</v>
      </c>
      <c r="E28" s="383">
        <f t="shared" si="1"/>
        <v>19.672553812832717</v>
      </c>
      <c r="F28" s="383">
        <f t="shared" si="2"/>
        <v>19.676177058084843</v>
      </c>
      <c r="G28" s="110">
        <f t="shared" si="19"/>
        <v>0.62780026604568817</v>
      </c>
      <c r="H28" s="412" t="b">
        <f>Wh_hp&gt;='2022'!Maxi_hp</f>
        <v>0</v>
      </c>
      <c r="I28" s="379">
        <f>IF(H28,Wh_hp,'2022'!Maxi_hp)</f>
        <v>31.753841494972857</v>
      </c>
      <c r="J28" s="85">
        <f>IF(H28,An,'2022'!An_max)</f>
        <v>2022</v>
      </c>
      <c r="K28" s="197">
        <f t="shared" si="3"/>
        <v>44940</v>
      </c>
      <c r="L28" s="147">
        <f>IF(t&lt;Tvie,1-EXP((T0-t)*PertePVj)+'2022'!Pspv,1-EXP((T0-t)*PertePVj)+Pspv)</f>
        <v>2.7294773328012778E-2</v>
      </c>
      <c r="M28" s="832"/>
      <c r="N28" s="832"/>
      <c r="O28" s="48">
        <f>IF(t&lt;Tnet,'2022'!Resal+('2022'!Salim-'2022'!Resal)*(1-EXP(('2022'!Tnet-t)/('2022'!Tau_j))),Resal+(Salim-Resal)*(1-EXP((Tnet-t)/(Tau_j))))*Salcycl</f>
        <v>2.8041766668330702E-2</v>
      </c>
      <c r="P28" s="338">
        <f>(INDEX(Models!$BJ28:$BT28,,T28)*(1-R28)+INDEX(Models!$BJ28:$BT28,,T28+1)*R28-ERP_i)*Q28*Ramure*Pc/MaxiM</f>
        <v>3.93071844947602E-4</v>
      </c>
      <c r="Q28" s="304">
        <f t="shared" si="4"/>
        <v>0.6</v>
      </c>
      <c r="R28" s="177">
        <f t="shared" si="5"/>
        <v>0.49960472729803218</v>
      </c>
      <c r="S28" s="799">
        <f t="shared" si="6"/>
        <v>0</v>
      </c>
      <c r="T28" s="176">
        <f t="shared" si="7"/>
        <v>6</v>
      </c>
      <c r="U28" s="250">
        <f t="shared" si="20"/>
        <v>0.49960472729803218</v>
      </c>
      <c r="V28" s="382">
        <f t="shared" si="8"/>
        <v>29.619473639299368</v>
      </c>
      <c r="W28" s="400">
        <f t="shared" si="9"/>
        <v>0</v>
      </c>
      <c r="X28" s="157">
        <f t="shared" si="10"/>
        <v>44940</v>
      </c>
      <c r="Y28" s="383">
        <f t="shared" si="11"/>
        <v>16.987562571212582</v>
      </c>
      <c r="Z28" s="383">
        <f t="shared" si="21"/>
        <v>17.464245184878685</v>
      </c>
      <c r="AA28" s="384">
        <f t="shared" si="12"/>
        <v>19.672553812832717</v>
      </c>
      <c r="AB28" s="197">
        <f t="shared" si="13"/>
        <v>44940</v>
      </c>
      <c r="AC28" s="119">
        <f>IF(OR(t&lt;Tnet,NoTnet),'2022'!Resal_s+('2022'!Salim-'2022'!Resal_s)*(1-EXP(('2022'!Tnet_s-t)/'2022'!Tau_j)),Resal_s+(Salim-Resal_s)*(1-EXP((Tnet_s-t)/Tau_j)))*Salcycl</f>
        <v>0.11225327677149455</v>
      </c>
      <c r="AD28" s="230">
        <f>(INDEX(Models!$BJ28:$BT28,,AH28)*(1-AF28)+INDEX(Models!$BJ28:$BT28,,AH28+1)*AF28-ERP_i)*AE28*Ramure*Pc/MaxiM</f>
        <v>3.93071844947602E-4</v>
      </c>
      <c r="AE28" s="304">
        <f t="shared" si="14"/>
        <v>0.6</v>
      </c>
      <c r="AF28" s="177">
        <f t="shared" si="22"/>
        <v>0.49960472729803218</v>
      </c>
      <c r="AG28" s="799">
        <f t="shared" si="23"/>
        <v>0</v>
      </c>
      <c r="AH28" s="176">
        <f t="shared" si="15"/>
        <v>6</v>
      </c>
      <c r="AI28" s="224">
        <f t="shared" si="24"/>
        <v>0.49960472729803218</v>
      </c>
      <c r="AJ28" s="264" t="b">
        <f t="shared" si="16"/>
        <v>1</v>
      </c>
      <c r="AK28" s="264" t="b">
        <f t="shared" si="17"/>
        <v>0</v>
      </c>
      <c r="AL28" s="264"/>
      <c r="AM28" s="264"/>
      <c r="AN28" s="75"/>
    </row>
    <row r="29" spans="1:40" s="6" customFormat="1" ht="11.25" x14ac:dyDescent="0.2">
      <c r="A29" s="56">
        <f t="shared" si="18"/>
        <v>44941</v>
      </c>
      <c r="B29" s="409">
        <f>IF(t&gt;Tmaj,'2022'!Wh/'2022'!Env_an*'2023'!Env_an,0.001*'[3]mon-tableau (2)'!$B$256)</f>
        <v>6.0609999999999999</v>
      </c>
      <c r="C29" s="829"/>
      <c r="D29" s="391">
        <f t="shared" si="0"/>
        <v>6.2311952210290258</v>
      </c>
      <c r="E29" s="383">
        <f t="shared" si="1"/>
        <v>6.4113995925503326</v>
      </c>
      <c r="F29" s="383">
        <f t="shared" si="2"/>
        <v>6.4113995925503326</v>
      </c>
      <c r="G29" s="110">
        <f t="shared" si="19"/>
        <v>0.20272223153288429</v>
      </c>
      <c r="H29" s="412" t="b">
        <f>Wh_hp&gt;='2022'!Maxi_hp</f>
        <v>0</v>
      </c>
      <c r="I29" s="379">
        <f>IF(H29,Wh_hp,'2022'!Maxi_hp)</f>
        <v>32.62432731925049</v>
      </c>
      <c r="J29" s="85">
        <f>IF(H29,An,'2022'!An_max)</f>
        <v>2022</v>
      </c>
      <c r="K29" s="197">
        <f t="shared" si="3"/>
        <v>44941</v>
      </c>
      <c r="L29" s="147">
        <f>IF(t&lt;Tvie,1-EXP((T0-t)*PertePVj)+'2022'!Pspv,1-EXP((T0-t)*PertePVj)+Pspv)</f>
        <v>2.7313415001772201E-2</v>
      </c>
      <c r="M29" s="832"/>
      <c r="N29" s="832"/>
      <c r="O29" s="48">
        <f>IF(t&lt;Tnet,'2022'!Resal+('2022'!Salim-'2022'!Resal)*(1-EXP(('2022'!Tnet-t)/('2022'!Tau_j))),Resal+(Salim-Resal)*(1-EXP((Tnet-t)/(Tau_j))))*Salcycl</f>
        <v>2.8106869478341959E-2</v>
      </c>
      <c r="P29" s="338">
        <f>(INDEX(Models!$BJ29:$BT29,,T29)*(1-R29)+INDEX(Models!$BJ29:$BT29,,T29+1)*R29-ERP_i)*Q29*Ramure*Pc/MaxiM</f>
        <v>3.662814892535013E-4</v>
      </c>
      <c r="Q29" s="304">
        <f t="shared" si="4"/>
        <v>0.6</v>
      </c>
      <c r="R29" s="177">
        <f t="shared" si="5"/>
        <v>0.49965447224820453</v>
      </c>
      <c r="S29" s="799">
        <f t="shared" si="6"/>
        <v>0</v>
      </c>
      <c r="T29" s="176">
        <f t="shared" si="7"/>
        <v>6</v>
      </c>
      <c r="U29" s="250">
        <f t="shared" si="20"/>
        <v>0.49965447224820453</v>
      </c>
      <c r="V29" s="382">
        <f t="shared" si="8"/>
        <v>29.887101784940732</v>
      </c>
      <c r="W29" s="400">
        <f t="shared" si="9"/>
        <v>0</v>
      </c>
      <c r="X29" s="157">
        <f t="shared" si="10"/>
        <v>44941</v>
      </c>
      <c r="Y29" s="383">
        <f t="shared" si="11"/>
        <v>5.5363238104790966</v>
      </c>
      <c r="Z29" s="383">
        <f t="shared" si="21"/>
        <v>5.6917859214529862</v>
      </c>
      <c r="AA29" s="384">
        <f t="shared" si="12"/>
        <v>6.4113995925503326</v>
      </c>
      <c r="AB29" s="197">
        <f t="shared" si="13"/>
        <v>44941</v>
      </c>
      <c r="AC29" s="119">
        <f>IF(OR(t&lt;Tnet,NoTnet),'2022'!Resal_s+('2022'!Salim-'2022'!Resal_s)*(1-EXP(('2022'!Tnet_s-t)/'2022'!Tau_j)),Resal_s+(Salim-Resal_s)*(1-EXP((Tnet_s-t)/Tau_j)))*Salcycl</f>
        <v>0.11223971626000273</v>
      </c>
      <c r="AD29" s="230">
        <f>(INDEX(Models!$BJ29:$BT29,,AH29)*(1-AF29)+INDEX(Models!$BJ29:$BT29,,AH29+1)*AF29-ERP_i)*AE29*Ramure*Pc/MaxiM</f>
        <v>3.662814892535013E-4</v>
      </c>
      <c r="AE29" s="304">
        <f t="shared" si="14"/>
        <v>0.6</v>
      </c>
      <c r="AF29" s="177">
        <f t="shared" si="22"/>
        <v>0.49965447224820453</v>
      </c>
      <c r="AG29" s="799">
        <f t="shared" si="23"/>
        <v>0</v>
      </c>
      <c r="AH29" s="176">
        <f t="shared" si="15"/>
        <v>6</v>
      </c>
      <c r="AI29" s="224">
        <f t="shared" si="24"/>
        <v>0.49965447224820453</v>
      </c>
      <c r="AJ29" s="264" t="b">
        <f t="shared" si="16"/>
        <v>1</v>
      </c>
      <c r="AK29" s="264" t="b">
        <f t="shared" si="17"/>
        <v>0</v>
      </c>
      <c r="AL29" s="264"/>
      <c r="AM29" s="264"/>
      <c r="AN29" s="75"/>
    </row>
    <row r="30" spans="1:40" s="6" customFormat="1" ht="11.25" x14ac:dyDescent="0.2">
      <c r="A30" s="56">
        <f t="shared" si="18"/>
        <v>44942</v>
      </c>
      <c r="B30" s="409">
        <f>IF(t&gt;Tmaj,'2022'!Wh/'2022'!Env_an*'2023'!Env_an,0.001*'[3]mon-tableau (2)'!$B$257)</f>
        <v>3.6760000000000002</v>
      </c>
      <c r="C30" s="829"/>
      <c r="D30" s="391">
        <f t="shared" si="0"/>
        <v>3.7792959291797428</v>
      </c>
      <c r="E30" s="383">
        <f t="shared" si="1"/>
        <v>3.8888524549081196</v>
      </c>
      <c r="F30" s="383">
        <f t="shared" si="2"/>
        <v>3.8888524549081196</v>
      </c>
      <c r="G30" s="110">
        <f t="shared" si="19"/>
        <v>0.12183388222090462</v>
      </c>
      <c r="H30" s="412" t="b">
        <f>Wh_hp&gt;='2022'!Maxi_hp</f>
        <v>0</v>
      </c>
      <c r="I30" s="379">
        <f>IF(H30,Wh_hp,'2022'!Maxi_hp)</f>
        <v>31.820475310957626</v>
      </c>
      <c r="J30" s="85">
        <f>IF(H30,An,'2022'!An_max)</f>
        <v>2022</v>
      </c>
      <c r="K30" s="197">
        <f t="shared" si="3"/>
        <v>44942</v>
      </c>
      <c r="L30" s="147">
        <f>IF(t&lt;Tvie,1-EXP((T0-t)*PertePVj)+'2022'!Pspv,1-EXP((T0-t)*PertePVj)+Pspv)</f>
        <v>2.7332056318268183E-2</v>
      </c>
      <c r="M30" s="832"/>
      <c r="N30" s="832"/>
      <c r="O30" s="48">
        <f>IF(t&lt;Tnet,'2022'!Resal+('2022'!Salim-'2022'!Resal)*(1-EXP(('2022'!Tnet-t)/('2022'!Tau_j))),Resal+(Salim-Resal)*(1-EXP((Tnet-t)/(Tau_j))))*Salcycl</f>
        <v>2.8171941979980582E-2</v>
      </c>
      <c r="P30" s="338">
        <f>(INDEX(Models!$BJ30:$BT30,,T30)*(1-R30)+INDEX(Models!$BJ30:$BT30,,T30+1)*R30-ERP_i)*Q30*Ramure*Pc/MaxiM</f>
        <v>3.3999705706168581E-4</v>
      </c>
      <c r="Q30" s="304">
        <f t="shared" si="4"/>
        <v>0.6</v>
      </c>
      <c r="R30" s="177">
        <f t="shared" si="5"/>
        <v>0.4997062935635978</v>
      </c>
      <c r="S30" s="799">
        <f t="shared" si="6"/>
        <v>0</v>
      </c>
      <c r="T30" s="176">
        <f t="shared" si="7"/>
        <v>6</v>
      </c>
      <c r="U30" s="250">
        <f t="shared" si="20"/>
        <v>0.4997062935635978</v>
      </c>
      <c r="V30" s="382">
        <f t="shared" si="8"/>
        <v>30.16197221849438</v>
      </c>
      <c r="W30" s="400">
        <f t="shared" si="9"/>
        <v>0</v>
      </c>
      <c r="X30" s="157">
        <f t="shared" si="10"/>
        <v>44942</v>
      </c>
      <c r="Y30" s="383">
        <f t="shared" si="11"/>
        <v>3.3580591853900965</v>
      </c>
      <c r="Z30" s="383">
        <f t="shared" si="21"/>
        <v>3.4524209492082245</v>
      </c>
      <c r="AA30" s="384">
        <f t="shared" si="12"/>
        <v>3.8888524549081196</v>
      </c>
      <c r="AB30" s="197">
        <f t="shared" si="13"/>
        <v>44942</v>
      </c>
      <c r="AC30" s="119">
        <f>IF(OR(t&lt;Tnet,NoTnet),'2022'!Resal_s+('2022'!Salim-'2022'!Resal_s)*(1-EXP(('2022'!Tnet_s-t)/'2022'!Tau_j)),Resal_s+(Salim-Resal_s)*(1-EXP((Tnet_s-t)/Tau_j)))*Salcycl</f>
        <v>0.11222629574158179</v>
      </c>
      <c r="AD30" s="230">
        <f>(INDEX(Models!$BJ30:$BT30,,AH30)*(1-AF30)+INDEX(Models!$BJ30:$BT30,,AH30+1)*AF30-ERP_i)*AE30*Ramure*Pc/MaxiM</f>
        <v>3.3999705706168581E-4</v>
      </c>
      <c r="AE30" s="304">
        <f t="shared" si="14"/>
        <v>0.6</v>
      </c>
      <c r="AF30" s="177">
        <f t="shared" si="22"/>
        <v>0.4997062935635978</v>
      </c>
      <c r="AG30" s="799">
        <f t="shared" si="23"/>
        <v>0</v>
      </c>
      <c r="AH30" s="176">
        <f t="shared" si="15"/>
        <v>6</v>
      </c>
      <c r="AI30" s="224">
        <f t="shared" si="24"/>
        <v>0.4997062935635978</v>
      </c>
      <c r="AJ30" s="264" t="b">
        <f t="shared" si="16"/>
        <v>1</v>
      </c>
      <c r="AK30" s="264" t="b">
        <f t="shared" si="17"/>
        <v>0</v>
      </c>
      <c r="AL30" s="264"/>
      <c r="AM30" s="264"/>
      <c r="AN30" s="75"/>
    </row>
    <row r="31" spans="1:40" s="6" customFormat="1" ht="11.25" x14ac:dyDescent="0.2">
      <c r="A31" s="56">
        <f t="shared" si="18"/>
        <v>44943</v>
      </c>
      <c r="B31" s="409">
        <f>IF(t&gt;Tmaj,'2022'!Wh/'2022'!Env_an*'2023'!Env_an,0.001*'[3]mon-tableau (2)'!$B$258)</f>
        <v>6.9169999999999998</v>
      </c>
      <c r="C31" s="829"/>
      <c r="D31" s="391">
        <f t="shared" si="0"/>
        <v>7.111504609769403</v>
      </c>
      <c r="E31" s="383">
        <f t="shared" si="1"/>
        <v>7.3181470205424892</v>
      </c>
      <c r="F31" s="383">
        <f t="shared" si="2"/>
        <v>7.3181470205424892</v>
      </c>
      <c r="G31" s="110">
        <f t="shared" si="19"/>
        <v>0.22713863655165345</v>
      </c>
      <c r="H31" s="412" t="b">
        <f>Wh_hp&gt;='2022'!Maxi_hp</f>
        <v>0</v>
      </c>
      <c r="I31" s="379">
        <f>IF(H31,Wh_hp,'2022'!Maxi_hp)</f>
        <v>12.614398134606729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2.7350697277507607E-2</v>
      </c>
      <c r="M31" s="832"/>
      <c r="N31" s="832"/>
      <c r="O31" s="48">
        <f>IF(t&lt;Tnet,'2022'!Resal+('2022'!Salim-'2022'!Resal)*(1-EXP(('2022'!Tnet-t)/('2022'!Tau_j))),Resal+(Salim-Resal)*(1-EXP((Tnet-t)/(Tau_j))))*Salcycl</f>
        <v>2.8236985427189217E-2</v>
      </c>
      <c r="P31" s="338">
        <f>(INDEX(Models!$BJ31:$BT31,,T31)*(1-R31)+INDEX(Models!$BJ31:$BT31,,T31+1)*R31-ERP_i)*Q31*Ramure*Pc/MaxiM</f>
        <v>3.1457859281749993E-4</v>
      </c>
      <c r="Q31" s="304">
        <f t="shared" si="4"/>
        <v>0.6</v>
      </c>
      <c r="R31" s="177">
        <f t="shared" si="5"/>
        <v>0.49976027745295193</v>
      </c>
      <c r="S31" s="799">
        <f t="shared" si="6"/>
        <v>0</v>
      </c>
      <c r="T31" s="176">
        <f t="shared" si="7"/>
        <v>6</v>
      </c>
      <c r="U31" s="250">
        <f t="shared" si="20"/>
        <v>0.49976027745295193</v>
      </c>
      <c r="V31" s="382">
        <f t="shared" si="8"/>
        <v>30.443187318776502</v>
      </c>
      <c r="W31" s="400">
        <f t="shared" si="9"/>
        <v>0</v>
      </c>
      <c r="X31" s="157">
        <f t="shared" si="10"/>
        <v>44943</v>
      </c>
      <c r="Y31" s="383">
        <f t="shared" si="11"/>
        <v>6.3192593825541348</v>
      </c>
      <c r="Z31" s="383">
        <f t="shared" si="21"/>
        <v>6.4969556497560044</v>
      </c>
      <c r="AA31" s="384">
        <f t="shared" si="12"/>
        <v>7.3181470205424892</v>
      </c>
      <c r="AB31" s="197">
        <f t="shared" si="13"/>
        <v>44943</v>
      </c>
      <c r="AC31" s="119">
        <f>IF(OR(t&lt;Tnet,NoTnet),'2022'!Resal_s+('2022'!Salim-'2022'!Resal_s)*(1-EXP(('2022'!Tnet_s-t)/'2022'!Tau_j)),Resal_s+(Salim-Resal_s)*(1-EXP((Tnet_s-t)/Tau_j)))*Salcycl</f>
        <v>0.112213019017157</v>
      </c>
      <c r="AD31" s="230">
        <f>(INDEX(Models!$BJ31:$BT31,,AH31)*(1-AF31)+INDEX(Models!$BJ31:$BT31,,AH31+1)*AF31-ERP_i)*AE31*Ramure*Pc/MaxiM</f>
        <v>3.1457859281749993E-4</v>
      </c>
      <c r="AE31" s="304">
        <f t="shared" si="14"/>
        <v>0.6</v>
      </c>
      <c r="AF31" s="177">
        <f t="shared" si="22"/>
        <v>0.49976027745295193</v>
      </c>
      <c r="AG31" s="799">
        <f t="shared" si="23"/>
        <v>0</v>
      </c>
      <c r="AH31" s="176">
        <f t="shared" si="15"/>
        <v>6</v>
      </c>
      <c r="AI31" s="224">
        <f t="shared" si="24"/>
        <v>0.49976027745295193</v>
      </c>
      <c r="AJ31" s="264" t="b">
        <f t="shared" si="16"/>
        <v>1</v>
      </c>
      <c r="AK31" s="264" t="b">
        <f t="shared" si="17"/>
        <v>0</v>
      </c>
      <c r="AL31" s="264"/>
      <c r="AM31" s="264"/>
      <c r="AN31" s="75"/>
    </row>
    <row r="32" spans="1:40" s="6" customFormat="1" ht="11.25" x14ac:dyDescent="0.2">
      <c r="A32" s="56">
        <f t="shared" si="18"/>
        <v>44944</v>
      </c>
      <c r="B32" s="409">
        <f>IF(t&gt;Tmaj,'2022'!Wh/'2022'!Env_an*'2023'!Env_an,0.001*'[3]mon-tableau (2)'!$B$259)</f>
        <v>19.811</v>
      </c>
      <c r="C32" s="829"/>
      <c r="D32" s="391">
        <f t="shared" si="0"/>
        <v>20.3684715807834</v>
      </c>
      <c r="E32" s="383">
        <f t="shared" si="1"/>
        <v>20.961730504054159</v>
      </c>
      <c r="F32" s="383">
        <f t="shared" si="2"/>
        <v>20.964724474000324</v>
      </c>
      <c r="G32" s="110">
        <f t="shared" si="19"/>
        <v>0.64458747544841488</v>
      </c>
      <c r="H32" s="412" t="b">
        <f>Wh_hp&gt;='2022'!Maxi_hp</f>
        <v>0</v>
      </c>
      <c r="I32" s="379">
        <f>IF(H32,Wh_hp,'2022'!Maxi_hp)</f>
        <v>30.661484813289494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2.7369337879497357E-2</v>
      </c>
      <c r="M32" s="832"/>
      <c r="N32" s="832"/>
      <c r="O32" s="48">
        <f>IF(t&lt;Tnet,'2022'!Resal+('2022'!Salim-'2022'!Resal)*(1-EXP(('2022'!Tnet-t)/('2022'!Tau_j))),Resal+(Salim-Resal)*(1-EXP((Tnet-t)/(Tau_j))))*Salcycl</f>
        <v>2.830200126635626E-2</v>
      </c>
      <c r="P32" s="338">
        <f>(INDEX(Models!$BJ32:$BT32,,T32)*(1-R32)+INDEX(Models!$BJ32:$BT32,,T32+1)*R32-ERP_i)*Q32*Ramure*Pc/MaxiM</f>
        <v>2.9002618722333474E-4</v>
      </c>
      <c r="Q32" s="304">
        <f t="shared" si="4"/>
        <v>0.6</v>
      </c>
      <c r="R32" s="177">
        <f t="shared" si="5"/>
        <v>0.49981651366509361</v>
      </c>
      <c r="S32" s="799">
        <f t="shared" si="6"/>
        <v>0</v>
      </c>
      <c r="T32" s="176">
        <f t="shared" si="7"/>
        <v>6</v>
      </c>
      <c r="U32" s="250">
        <f t="shared" si="20"/>
        <v>0.49981651366509361</v>
      </c>
      <c r="V32" s="382">
        <f t="shared" si="8"/>
        <v>30.729860314993008</v>
      </c>
      <c r="W32" s="400">
        <f t="shared" si="9"/>
        <v>0</v>
      </c>
      <c r="X32" s="157">
        <f t="shared" si="10"/>
        <v>44944</v>
      </c>
      <c r="Y32" s="383">
        <f t="shared" si="11"/>
        <v>18.10048800135533</v>
      </c>
      <c r="Z32" s="383">
        <f t="shared" si="21"/>
        <v>18.609826634390842</v>
      </c>
      <c r="AA32" s="384">
        <f t="shared" si="12"/>
        <v>20.961730504054159</v>
      </c>
      <c r="AB32" s="197">
        <f t="shared" si="13"/>
        <v>44944</v>
      </c>
      <c r="AC32" s="119">
        <f>IF(OR(t&lt;Tnet,NoTnet),'2022'!Resal_s+('2022'!Salim-'2022'!Resal_s)*(1-EXP(('2022'!Tnet_s-t)/'2022'!Tau_j)),Resal_s+(Salim-Resal_s)*(1-EXP((Tnet_s-t)/Tau_j)))*Salcycl</f>
        <v>0.11219989061534991</v>
      </c>
      <c r="AD32" s="230">
        <f>(INDEX(Models!$BJ32:$BT32,,AH32)*(1-AF32)+INDEX(Models!$BJ32:$BT32,,AH32+1)*AF32-ERP_i)*AE32*Ramure*Pc/MaxiM</f>
        <v>2.9002618722333474E-4</v>
      </c>
      <c r="AE32" s="304">
        <f t="shared" si="14"/>
        <v>0.6</v>
      </c>
      <c r="AF32" s="177">
        <f t="shared" si="22"/>
        <v>0.49981651366509361</v>
      </c>
      <c r="AG32" s="799">
        <f t="shared" si="23"/>
        <v>0</v>
      </c>
      <c r="AH32" s="176">
        <f t="shared" si="15"/>
        <v>6</v>
      </c>
      <c r="AI32" s="224">
        <f t="shared" si="24"/>
        <v>0.49981651366509361</v>
      </c>
      <c r="AJ32" s="264" t="b">
        <f t="shared" si="16"/>
        <v>1</v>
      </c>
      <c r="AK32" s="264" t="b">
        <f t="shared" si="17"/>
        <v>0</v>
      </c>
      <c r="AL32" s="264"/>
      <c r="AM32" s="264"/>
      <c r="AN32" s="75"/>
    </row>
    <row r="33" spans="1:40" s="6" customFormat="1" ht="11.25" x14ac:dyDescent="0.2">
      <c r="A33" s="56">
        <f t="shared" si="18"/>
        <v>44945</v>
      </c>
      <c r="B33" s="409">
        <f>IF(t&gt;Tmaj,'2022'!Wh/'2022'!Env_an*'2023'!Env_an,0.001*'[3]mon-tableau (2)'!$B$260)</f>
        <v>10.411</v>
      </c>
      <c r="C33" s="829"/>
      <c r="D33" s="391">
        <f t="shared" si="0"/>
        <v>10.704165449159881</v>
      </c>
      <c r="E33" s="383">
        <f t="shared" si="1"/>
        <v>11.016675381421091</v>
      </c>
      <c r="F33" s="383">
        <f t="shared" si="2"/>
        <v>11.016824648317245</v>
      </c>
      <c r="G33" s="110">
        <f t="shared" si="19"/>
        <v>0.33552538795294956</v>
      </c>
      <c r="H33" s="412" t="b">
        <f>Wh_hp&gt;='2022'!Maxi_hp</f>
        <v>0</v>
      </c>
      <c r="I33" s="379">
        <f>IF(H33,Wh_hp,'2022'!Maxi_hp)</f>
        <v>33.4781759439336</v>
      </c>
      <c r="J33" s="85">
        <f>IF(H33,An,'2022'!An_max)</f>
        <v>2021</v>
      </c>
      <c r="K33" s="197">
        <f t="shared" si="3"/>
        <v>44945</v>
      </c>
      <c r="L33" s="147">
        <f>IF(t&lt;Tvie,1-EXP((T0-t)*PertePVj)+'2022'!Pspv,1-EXP((T0-t)*PertePVj)+Pspv)</f>
        <v>2.7387978124244206E-2</v>
      </c>
      <c r="M33" s="832"/>
      <c r="N33" s="832"/>
      <c r="O33" s="48">
        <f>IF(t&lt;Tnet,'2022'!Resal+('2022'!Salim-'2022'!Resal)*(1-EXP(('2022'!Tnet-t)/('2022'!Tau_j))),Resal+(Salim-Resal)*(1-EXP((Tnet-t)/(Tau_j))))*Salcycl</f>
        <v>2.8366991078655004E-2</v>
      </c>
      <c r="P33" s="338">
        <f>(INDEX(Models!$BJ33:$BT33,,T33)*(1-R33)+INDEX(Models!$BJ33:$BT33,,T33+1)*R33-ERP_i)*Q33*Ramure*Pc/MaxiM</f>
        <v>2.663362998242101E-4</v>
      </c>
      <c r="Q33" s="304">
        <f t="shared" si="4"/>
        <v>0.6</v>
      </c>
      <c r="R33" s="177">
        <f t="shared" si="5"/>
        <v>0.4998750956309545</v>
      </c>
      <c r="S33" s="799">
        <f t="shared" si="6"/>
        <v>0</v>
      </c>
      <c r="T33" s="176">
        <f t="shared" si="7"/>
        <v>6</v>
      </c>
      <c r="U33" s="250">
        <f t="shared" si="20"/>
        <v>0.4998750956309545</v>
      </c>
      <c r="V33" s="382">
        <f t="shared" si="8"/>
        <v>31.02110471939945</v>
      </c>
      <c r="W33" s="400">
        <f t="shared" si="9"/>
        <v>0</v>
      </c>
      <c r="X33" s="157">
        <f t="shared" si="10"/>
        <v>44945</v>
      </c>
      <c r="Y33" s="383">
        <f t="shared" si="11"/>
        <v>9.5128736233552065</v>
      </c>
      <c r="Z33" s="383">
        <f t="shared" si="21"/>
        <v>9.7807485507005261</v>
      </c>
      <c r="AA33" s="384">
        <f t="shared" si="12"/>
        <v>11.016675381421091</v>
      </c>
      <c r="AB33" s="197">
        <f t="shared" si="13"/>
        <v>44945</v>
      </c>
      <c r="AC33" s="119">
        <f>IF(OR(t&lt;Tnet,NoTnet),'2022'!Resal_s+('2022'!Salim-'2022'!Resal_s)*(1-EXP(('2022'!Tnet_s-t)/'2022'!Tau_j)),Resal_s+(Salim-Resal_s)*(1-EXP((Tnet_s-t)/Tau_j)))*Salcycl</f>
        <v>0.11218691555574713</v>
      </c>
      <c r="AD33" s="230">
        <f>(INDEX(Models!$BJ33:$BT33,,AH33)*(1-AF33)+INDEX(Models!$BJ33:$BT33,,AH33+1)*AF33-ERP_i)*AE33*Ramure*Pc/MaxiM</f>
        <v>2.663362998242101E-4</v>
      </c>
      <c r="AE33" s="304">
        <f t="shared" si="14"/>
        <v>0.6</v>
      </c>
      <c r="AF33" s="177">
        <f t="shared" si="22"/>
        <v>0.4998750956309545</v>
      </c>
      <c r="AG33" s="799">
        <f t="shared" si="23"/>
        <v>0</v>
      </c>
      <c r="AH33" s="176">
        <f t="shared" si="15"/>
        <v>6</v>
      </c>
      <c r="AI33" s="224">
        <f t="shared" si="24"/>
        <v>0.4998750956309545</v>
      </c>
      <c r="AJ33" s="264" t="b">
        <f t="shared" si="16"/>
        <v>1</v>
      </c>
      <c r="AK33" s="264" t="b">
        <f t="shared" si="17"/>
        <v>0</v>
      </c>
      <c r="AL33" s="264"/>
      <c r="AM33" s="264"/>
      <c r="AN33" s="75"/>
    </row>
    <row r="34" spans="1:40" s="6" customFormat="1" ht="11.25" x14ac:dyDescent="0.2">
      <c r="A34" s="56">
        <f t="shared" si="18"/>
        <v>44946</v>
      </c>
      <c r="B34" s="409">
        <f>IF(t&gt;Tmaj,'2022'!Wh/'2022'!Env_an*'2023'!Env_an,0.001*'[3]mon-tableau (2)'!$B$261)</f>
        <v>18.664999999999999</v>
      </c>
      <c r="C34" s="829"/>
      <c r="D34" s="391">
        <f t="shared" si="0"/>
        <v>19.190959290555391</v>
      </c>
      <c r="E34" s="383">
        <f t="shared" si="1"/>
        <v>19.752563311868702</v>
      </c>
      <c r="F34" s="383">
        <f t="shared" si="2"/>
        <v>19.75459752863182</v>
      </c>
      <c r="G34" s="110">
        <f t="shared" si="19"/>
        <v>0.59593678332624456</v>
      </c>
      <c r="H34" s="412" t="b">
        <f>Wh_hp&gt;='2022'!Maxi_hp</f>
        <v>1</v>
      </c>
      <c r="I34" s="379">
        <f>IF(H34,Wh_hp,'2022'!Maxi_hp)</f>
        <v>19.75459752863182</v>
      </c>
      <c r="J34" s="85">
        <f>IF(H34,An,'2022'!An_max)</f>
        <v>2023</v>
      </c>
      <c r="K34" s="197">
        <f t="shared" si="3"/>
        <v>44946</v>
      </c>
      <c r="L34" s="147">
        <f>IF(t&lt;Tvie,1-EXP((T0-t)*PertePVj)+'2022'!Pspv,1-EXP((T0-t)*PertePVj)+Pspv)</f>
        <v>2.7406618011755035E-2</v>
      </c>
      <c r="M34" s="832"/>
      <c r="N34" s="832"/>
      <c r="O34" s="48">
        <f>IF(t&lt;Tnet,'2022'!Resal+('2022'!Salim-'2022'!Resal)*(1-EXP(('2022'!Tnet-t)/('2022'!Tau_j))),Resal+(Salim-Resal)*(1-EXP((Tnet-t)/(Tau_j))))*Salcycl</f>
        <v>2.8431956523630494E-2</v>
      </c>
      <c r="P34" s="338">
        <f>(INDEX(Models!$BJ34:$BT34,,T34)*(1-R34)+INDEX(Models!$BJ34:$BT34,,T34+1)*R34-ERP_i)*Q34*Ramure*Pc/MaxiM</f>
        <v>2.435035075142857E-4</v>
      </c>
      <c r="Q34" s="304">
        <f t="shared" si="4"/>
        <v>0.6</v>
      </c>
      <c r="R34" s="177">
        <f t="shared" si="5"/>
        <v>0.49993612061099713</v>
      </c>
      <c r="S34" s="799">
        <f t="shared" si="6"/>
        <v>0</v>
      </c>
      <c r="T34" s="176">
        <f t="shared" si="7"/>
        <v>6</v>
      </c>
      <c r="U34" s="250">
        <f t="shared" si="20"/>
        <v>0.49993612061099713</v>
      </c>
      <c r="V34" s="382">
        <f t="shared" si="8"/>
        <v>31.316034309730657</v>
      </c>
      <c r="W34" s="400">
        <f t="shared" si="9"/>
        <v>0</v>
      </c>
      <c r="X34" s="157">
        <f t="shared" si="10"/>
        <v>44946</v>
      </c>
      <c r="Y34" s="383">
        <f t="shared" si="11"/>
        <v>17.056211915556446</v>
      </c>
      <c r="Z34" s="383">
        <f t="shared" si="21"/>
        <v>17.53683731703882</v>
      </c>
      <c r="AA34" s="384">
        <f t="shared" si="12"/>
        <v>19.752563311868702</v>
      </c>
      <c r="AB34" s="197">
        <f t="shared" si="13"/>
        <v>44946</v>
      </c>
      <c r="AC34" s="119">
        <f>IF(OR(t&lt;Tnet,NoTnet),'2022'!Resal_s+('2022'!Salim-'2022'!Resal_s)*(1-EXP(('2022'!Tnet_s-t)/'2022'!Tau_j)),Resal_s+(Salim-Resal_s)*(1-EXP((Tnet_s-t)/Tau_j)))*Salcycl</f>
        <v>0.11217409912051869</v>
      </c>
      <c r="AD34" s="230">
        <f>(INDEX(Models!$BJ34:$BT34,,AH34)*(1-AF34)+INDEX(Models!$BJ34:$BT34,,AH34+1)*AF34-ERP_i)*AE34*Ramure*Pc/MaxiM</f>
        <v>2.435035075142857E-4</v>
      </c>
      <c r="AE34" s="304">
        <f t="shared" si="14"/>
        <v>0.6</v>
      </c>
      <c r="AF34" s="177">
        <f t="shared" si="22"/>
        <v>0.49993612061099713</v>
      </c>
      <c r="AG34" s="799">
        <f t="shared" si="23"/>
        <v>0</v>
      </c>
      <c r="AH34" s="176">
        <f t="shared" si="15"/>
        <v>6</v>
      </c>
      <c r="AI34" s="224">
        <f t="shared" si="24"/>
        <v>0.49993612061099713</v>
      </c>
      <c r="AJ34" s="264" t="b">
        <f t="shared" si="16"/>
        <v>1</v>
      </c>
      <c r="AK34" s="264" t="b">
        <f t="shared" si="17"/>
        <v>0</v>
      </c>
      <c r="AL34" s="264"/>
      <c r="AM34" s="264"/>
      <c r="AN34" s="75"/>
    </row>
    <row r="35" spans="1:40" s="6" customFormat="1" ht="11.25" x14ac:dyDescent="0.2">
      <c r="A35" s="56">
        <f t="shared" si="18"/>
        <v>44947</v>
      </c>
      <c r="B35" s="409">
        <f>IF(t&gt;Tmaj,'2022'!Wh/'2022'!Env_an*'2023'!Env_an,0.001*'[3]mon-tableau (2)'!$B$262)</f>
        <v>6.7889999999999997</v>
      </c>
      <c r="C35" s="829"/>
      <c r="D35" s="391">
        <f t="shared" si="0"/>
        <v>6.9804403750423676</v>
      </c>
      <c r="E35" s="383">
        <f t="shared" si="1"/>
        <v>7.1851961871272518</v>
      </c>
      <c r="F35" s="383">
        <f t="shared" si="2"/>
        <v>7.1851961871272518</v>
      </c>
      <c r="G35" s="110">
        <f t="shared" si="19"/>
        <v>0.21470066916288788</v>
      </c>
      <c r="H35" s="412" t="b">
        <f>Wh_hp&gt;='2022'!Maxi_hp</f>
        <v>0</v>
      </c>
      <c r="I35" s="379">
        <f>IF(H35,Wh_hp,'2022'!Maxi_hp)</f>
        <v>24.694624919253947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2.7425257542036618E-2</v>
      </c>
      <c r="M35" s="832"/>
      <c r="N35" s="832"/>
      <c r="O35" s="48">
        <f>IF(t&lt;Tnet,'2022'!Resal+('2022'!Salim-'2022'!Resal)*(1-EXP(('2022'!Tnet-t)/('2022'!Tau_j))),Resal+(Salim-Resal)*(1-EXP((Tnet-t)/(Tau_j))))*Salcycl</f>
        <v>2.8496899284631588E-2</v>
      </c>
      <c r="P35" s="338">
        <f>(INDEX(Models!$BJ35:$BT35,,T35)*(1-R35)+INDEX(Models!$BJ35:$BT35,,T35+1)*R35-ERP_i)*Q35*Ramure*Pc/MaxiM</f>
        <v>2.2151959322652771E-4</v>
      </c>
      <c r="Q35" s="304">
        <f t="shared" si="4"/>
        <v>0.6</v>
      </c>
      <c r="R35" s="177">
        <f t="shared" si="5"/>
        <v>0.49999968984823334</v>
      </c>
      <c r="S35" s="799">
        <f t="shared" si="6"/>
        <v>0</v>
      </c>
      <c r="T35" s="176">
        <f t="shared" si="7"/>
        <v>6</v>
      </c>
      <c r="U35" s="250">
        <f t="shared" si="20"/>
        <v>0.49999968984823334</v>
      </c>
      <c r="V35" s="382">
        <f t="shared" si="8"/>
        <v>31.613763151954061</v>
      </c>
      <c r="W35" s="400">
        <f t="shared" si="9"/>
        <v>0</v>
      </c>
      <c r="X35" s="157">
        <f t="shared" si="10"/>
        <v>44947</v>
      </c>
      <c r="Y35" s="383">
        <f t="shared" si="11"/>
        <v>6.204340402357766</v>
      </c>
      <c r="Z35" s="383">
        <f t="shared" si="21"/>
        <v>6.3792941884113654</v>
      </c>
      <c r="AA35" s="384">
        <f t="shared" si="12"/>
        <v>7.1851961871272518</v>
      </c>
      <c r="AB35" s="197">
        <f t="shared" si="13"/>
        <v>44947</v>
      </c>
      <c r="AC35" s="119">
        <f>IF(OR(t&lt;Tnet,NoTnet),'2022'!Resal_s+('2022'!Salim-'2022'!Resal_s)*(1-EXP(('2022'!Tnet_s-t)/'2022'!Tau_j)),Resal_s+(Salim-Resal_s)*(1-EXP((Tnet_s-t)/Tau_j)))*Salcycl</f>
        <v>0.1121614466365877</v>
      </c>
      <c r="AD35" s="230">
        <f>(INDEX(Models!$BJ35:$BT35,,AH35)*(1-AF35)+INDEX(Models!$BJ35:$BT35,,AH35+1)*AF35-ERP_i)*AE35*Ramure*Pc/MaxiM</f>
        <v>2.2151959322652771E-4</v>
      </c>
      <c r="AE35" s="304">
        <f t="shared" si="14"/>
        <v>0.6</v>
      </c>
      <c r="AF35" s="177">
        <f t="shared" si="22"/>
        <v>0.49999968984823334</v>
      </c>
      <c r="AG35" s="799">
        <f t="shared" si="23"/>
        <v>0</v>
      </c>
      <c r="AH35" s="176">
        <f t="shared" si="15"/>
        <v>6</v>
      </c>
      <c r="AI35" s="224">
        <f t="shared" si="24"/>
        <v>0.49999968984823334</v>
      </c>
      <c r="AJ35" s="264" t="b">
        <f t="shared" si="16"/>
        <v>1</v>
      </c>
      <c r="AK35" s="264" t="b">
        <f t="shared" si="17"/>
        <v>0</v>
      </c>
      <c r="AL35" s="264"/>
      <c r="AM35" s="264"/>
      <c r="AN35" s="75"/>
    </row>
    <row r="36" spans="1:40" s="6" customFormat="1" ht="11.25" x14ac:dyDescent="0.2">
      <c r="A36" s="56">
        <f t="shared" si="18"/>
        <v>44948</v>
      </c>
      <c r="B36" s="409">
        <f>IF(t&gt;Tmaj,'2022'!Wh/'2022'!Env_an*'2023'!Env_an,0.001*'[3]mon-tableau (2)'!$B$263)</f>
        <v>32.003277249954607</v>
      </c>
      <c r="C36" s="829"/>
      <c r="D36" s="391">
        <f t="shared" si="0"/>
        <v>32.906355882051827</v>
      </c>
      <c r="E36" s="383">
        <f t="shared" si="1"/>
        <v>33.873854861757472</v>
      </c>
      <c r="F36" s="383">
        <f t="shared" si="2"/>
        <v>33.880643604916138</v>
      </c>
      <c r="G36" s="110">
        <f t="shared" si="19"/>
        <v>1.0028161076790945</v>
      </c>
      <c r="H36" s="412" t="b">
        <f>Wh_hp&gt;='2022'!Maxi_hp</f>
        <v>1</v>
      </c>
      <c r="I36" s="379">
        <f>IF(H36,Wh_hp,'2022'!Maxi_hp)</f>
        <v>33.880643604916138</v>
      </c>
      <c r="J36" s="85">
        <f>IF(H36,An,'2022'!An_max)</f>
        <v>2023</v>
      </c>
      <c r="K36" s="197">
        <f t="shared" si="3"/>
        <v>44948</v>
      </c>
      <c r="L36" s="147">
        <f>IF(t&lt;Tvie,1-EXP((T0-t)*PertePVj)+'2022'!Pspv,1-EXP((T0-t)*PertePVj)+Pspv)</f>
        <v>2.7443896715095839E-2</v>
      </c>
      <c r="M36" s="832"/>
      <c r="N36" s="832"/>
      <c r="O36" s="48">
        <f>IF(t&lt;Tnet,'2022'!Resal+('2022'!Salim-'2022'!Resal)*(1-EXP(('2022'!Tnet-t)/('2022'!Tau_j))),Resal+(Salim-Resal)*(1-EXP((Tnet-t)/(Tau_j))))*Salcycl</f>
        <v>2.8561821016654543E-2</v>
      </c>
      <c r="P36" s="338">
        <f>(INDEX(Models!$BJ36:$BT36,,T36)*(1-R36)+INDEX(Models!$BJ36:$BT36,,T36+1)*R36-ERP_i)*Q36*Ramure*Pc/MaxiM</f>
        <v>2.0037231989539033E-4</v>
      </c>
      <c r="Q36" s="304">
        <f t="shared" si="4"/>
        <v>0.6</v>
      </c>
      <c r="R36" s="177">
        <f t="shared" si="5"/>
        <v>0.5000659087270154</v>
      </c>
      <c r="S36" s="799">
        <f t="shared" si="6"/>
        <v>0</v>
      </c>
      <c r="T36" s="176">
        <f t="shared" si="7"/>
        <v>6</v>
      </c>
      <c r="U36" s="250">
        <f t="shared" si="20"/>
        <v>0.5000659087270154</v>
      </c>
      <c r="V36" s="382">
        <f t="shared" si="8"/>
        <v>31.913405663200415</v>
      </c>
      <c r="W36" s="400">
        <f t="shared" si="9"/>
        <v>32.003277249954607</v>
      </c>
      <c r="X36" s="157">
        <f t="shared" si="10"/>
        <v>44948</v>
      </c>
      <c r="Y36" s="383">
        <f t="shared" si="11"/>
        <v>29.249563687988839</v>
      </c>
      <c r="Z36" s="383">
        <f t="shared" si="21"/>
        <v>30.074937157039635</v>
      </c>
      <c r="AA36" s="384">
        <f t="shared" si="12"/>
        <v>33.873854861757472</v>
      </c>
      <c r="AB36" s="197">
        <f t="shared" si="13"/>
        <v>44948</v>
      </c>
      <c r="AC36" s="119">
        <f>IF(OR(t&lt;Tnet,NoTnet),'2022'!Resal_s+('2022'!Salim-'2022'!Resal_s)*(1-EXP(('2022'!Tnet_s-t)/'2022'!Tau_j)),Resal_s+(Salim-Resal_s)*(1-EXP((Tnet_s-t)/Tau_j)))*Salcycl</f>
        <v>0.1121489632703923</v>
      </c>
      <c r="AD36" s="230">
        <f>(INDEX(Models!$BJ36:$BT36,,AH36)*(1-AF36)+INDEX(Models!$BJ36:$BT36,,AH36+1)*AF36-ERP_i)*AE36*Ramure*Pc/MaxiM</f>
        <v>2.0037231989539033E-4</v>
      </c>
      <c r="AE36" s="304">
        <f t="shared" si="14"/>
        <v>0.6</v>
      </c>
      <c r="AF36" s="177">
        <f t="shared" si="22"/>
        <v>0.5000659087270154</v>
      </c>
      <c r="AG36" s="799">
        <f t="shared" si="23"/>
        <v>0</v>
      </c>
      <c r="AH36" s="176">
        <f t="shared" si="15"/>
        <v>6</v>
      </c>
      <c r="AI36" s="224">
        <f t="shared" si="24"/>
        <v>0.5000659087270154</v>
      </c>
      <c r="AJ36" s="264" t="b">
        <f t="shared" si="16"/>
        <v>1</v>
      </c>
      <c r="AK36" s="264" t="b">
        <f t="shared" si="17"/>
        <v>0</v>
      </c>
      <c r="AL36" s="264"/>
      <c r="AM36" s="264"/>
      <c r="AN36" s="75"/>
    </row>
    <row r="37" spans="1:40" s="6" customFormat="1" ht="11.25" x14ac:dyDescent="0.2">
      <c r="A37" s="56">
        <f t="shared" si="18"/>
        <v>44949</v>
      </c>
      <c r="B37" s="409">
        <f>IF(t&gt;Tmaj,'2022'!Wh/'2022'!Env_an*'2023'!Env_an,0.001*'[3]mon-tableau (2)'!$B$264)</f>
        <v>31.899106246266054</v>
      </c>
      <c r="C37" s="829"/>
      <c r="D37" s="391">
        <f t="shared" si="0"/>
        <v>32.799873950029067</v>
      </c>
      <c r="E37" s="383">
        <f t="shared" si="1"/>
        <v>33.76649814926099</v>
      </c>
      <c r="F37" s="383">
        <f t="shared" si="2"/>
        <v>33.772492053552469</v>
      </c>
      <c r="G37" s="110">
        <f t="shared" si="19"/>
        <v>0.9900978873207561</v>
      </c>
      <c r="H37" s="412" t="b">
        <f>Wh_hp&gt;='2022'!Maxi_hp</f>
        <v>0</v>
      </c>
      <c r="I37" s="379">
        <f>IF(H37,Wh_hp,'2022'!Maxi_hp)</f>
        <v>33.772529804178184</v>
      </c>
      <c r="J37" s="85">
        <f>IF(H37,An,'2022'!An_max)</f>
        <v>2022</v>
      </c>
      <c r="K37" s="197">
        <f t="shared" si="3"/>
        <v>44949</v>
      </c>
      <c r="L37" s="147">
        <f>IF(t&lt;Tvie,1-EXP((T0-t)*PertePVj)+'2022'!Pspv,1-EXP((T0-t)*PertePVj)+Pspv)</f>
        <v>2.746253553093958E-2</v>
      </c>
      <c r="M37" s="832"/>
      <c r="N37" s="832"/>
      <c r="O37" s="48">
        <f>IF(t&lt;Tnet,'2022'!Resal+('2022'!Salim-'2022'!Resal)*(1-EXP(('2022'!Tnet-t)/('2022'!Tau_j))),Resal+(Salim-Resal)*(1-EXP((Tnet-t)/(Tau_j))))*Salcycl</f>
        <v>2.8626723297129314E-2</v>
      </c>
      <c r="P37" s="338">
        <f>(INDEX(Models!$BJ37:$BT37,,T37)*(1-R37)+INDEX(Models!$BJ37:$BT37,,T37+1)*R37-ERP_i)*Q37*Ramure*Pc/MaxiM</f>
        <v>1.8002484735618263E-4</v>
      </c>
      <c r="Q37" s="304">
        <f t="shared" si="4"/>
        <v>0.6</v>
      </c>
      <c r="R37" s="177">
        <f t="shared" si="5"/>
        <v>0.50013488693779273</v>
      </c>
      <c r="S37" s="799">
        <f t="shared" si="6"/>
        <v>0</v>
      </c>
      <c r="T37" s="176">
        <f t="shared" si="7"/>
        <v>6</v>
      </c>
      <c r="U37" s="250">
        <f t="shared" si="20"/>
        <v>0.50013488693779273</v>
      </c>
      <c r="V37" s="382">
        <f t="shared" si="8"/>
        <v>32.218051797182383</v>
      </c>
      <c r="W37" s="400">
        <f t="shared" si="9"/>
        <v>31.899106246266054</v>
      </c>
      <c r="X37" s="157">
        <f t="shared" si="10"/>
        <v>44949</v>
      </c>
      <c r="Y37" s="383">
        <f t="shared" si="11"/>
        <v>29.156708230175962</v>
      </c>
      <c r="Z37" s="383">
        <f t="shared" si="21"/>
        <v>29.980036035006169</v>
      </c>
      <c r="AA37" s="384">
        <f t="shared" si="12"/>
        <v>33.76649814926099</v>
      </c>
      <c r="AB37" s="197">
        <f t="shared" si="13"/>
        <v>44949</v>
      </c>
      <c r="AC37" s="119">
        <f>IF(OR(t&lt;Tnet,NoTnet),'2022'!Resal_s+('2022'!Salim-'2022'!Resal_s)*(1-EXP(('2022'!Tnet_s-t)/'2022'!Tau_j)),Resal_s+(Salim-Resal_s)*(1-EXP((Tnet_s-t)/Tau_j)))*Salcycl</f>
        <v>0.11213665383710188</v>
      </c>
      <c r="AD37" s="230">
        <f>(INDEX(Models!$BJ37:$BT37,,AH37)*(1-AF37)+INDEX(Models!$BJ37:$BT37,,AH37+1)*AF37-ERP_i)*AE37*Ramure*Pc/MaxiM</f>
        <v>1.8002484735618263E-4</v>
      </c>
      <c r="AE37" s="304">
        <f t="shared" si="14"/>
        <v>0.6</v>
      </c>
      <c r="AF37" s="177">
        <f t="shared" si="22"/>
        <v>0.50013488693779273</v>
      </c>
      <c r="AG37" s="799">
        <f t="shared" si="23"/>
        <v>0</v>
      </c>
      <c r="AH37" s="176">
        <f t="shared" si="15"/>
        <v>6</v>
      </c>
      <c r="AI37" s="224">
        <f t="shared" si="24"/>
        <v>0.50013488693779273</v>
      </c>
      <c r="AJ37" s="264" t="b">
        <f t="shared" si="16"/>
        <v>1</v>
      </c>
      <c r="AK37" s="264" t="b">
        <f t="shared" si="17"/>
        <v>0</v>
      </c>
      <c r="AL37" s="264"/>
      <c r="AM37" s="264"/>
      <c r="AN37" s="75"/>
    </row>
    <row r="38" spans="1:40" s="6" customFormat="1" ht="11.25" x14ac:dyDescent="0.2">
      <c r="A38" s="56">
        <f t="shared" si="18"/>
        <v>44950</v>
      </c>
      <c r="B38" s="409">
        <f>IF(t&gt;Tmaj,'2022'!Wh/'2022'!Env_an*'2023'!Env_an,0.001*'[3]mon-tableau (2)'!$B$265)</f>
        <v>32.938418550596289</v>
      </c>
      <c r="C38" s="829"/>
      <c r="D38" s="391">
        <f t="shared" si="0"/>
        <v>33.869183474545089</v>
      </c>
      <c r="E38" s="383">
        <f t="shared" si="1"/>
        <v>34.869649782563265</v>
      </c>
      <c r="F38" s="383">
        <f t="shared" si="2"/>
        <v>34.875269429553484</v>
      </c>
      <c r="G38" s="110">
        <f t="shared" si="19"/>
        <v>1.012529757282697</v>
      </c>
      <c r="H38" s="412" t="b">
        <f>Wh_hp&gt;='2022'!Maxi_hp</f>
        <v>1</v>
      </c>
      <c r="I38" s="379">
        <f>IF(H38,Wh_hp,'2022'!Maxi_hp)</f>
        <v>34.875269429553484</v>
      </c>
      <c r="J38" s="85">
        <f>IF(H38,An,'2022'!An_max)</f>
        <v>2023</v>
      </c>
      <c r="K38" s="197">
        <f t="shared" si="3"/>
        <v>44950</v>
      </c>
      <c r="L38" s="147">
        <f>IF(t&lt;Tvie,1-EXP((T0-t)*PertePVj)+'2022'!Pspv,1-EXP((T0-t)*PertePVj)+Pspv)</f>
        <v>2.7481173989574725E-2</v>
      </c>
      <c r="M38" s="832"/>
      <c r="N38" s="832"/>
      <c r="O38" s="48">
        <f>IF(t&lt;Tnet,'2022'!Resal+('2022'!Salim-'2022'!Resal)*(1-EXP(('2022'!Tnet-t)/('2022'!Tau_j))),Resal+(Salim-Resal)*(1-EXP((Tnet-t)/(Tau_j))))*Salcycl</f>
        <v>2.8691607580138799E-2</v>
      </c>
      <c r="P38" s="338">
        <f>(INDEX(Models!$BJ38:$BT38,,T38)*(1-R38)+INDEX(Models!$BJ38:$BT38,,T38+1)*R38-ERP_i)*Q38*Ramure*Pc/MaxiM</f>
        <v>1.6113558639520439E-4</v>
      </c>
      <c r="Q38" s="304">
        <f t="shared" si="4"/>
        <v>0.6</v>
      </c>
      <c r="R38" s="177">
        <f t="shared" si="5"/>
        <v>0.50020673864802223</v>
      </c>
      <c r="S38" s="799">
        <f t="shared" si="6"/>
        <v>0</v>
      </c>
      <c r="T38" s="176">
        <f t="shared" si="7"/>
        <v>6</v>
      </c>
      <c r="U38" s="250">
        <f t="shared" si="20"/>
        <v>0.50020673864802223</v>
      </c>
      <c r="V38" s="382">
        <f t="shared" si="8"/>
        <v>32.530815330299397</v>
      </c>
      <c r="W38" s="400">
        <f t="shared" si="9"/>
        <v>32.938418550596289</v>
      </c>
      <c r="X38" s="157">
        <f t="shared" si="10"/>
        <v>44950</v>
      </c>
      <c r="Y38" s="383">
        <f t="shared" si="11"/>
        <v>30.109092357059591</v>
      </c>
      <c r="Z38" s="383">
        <f t="shared" si="21"/>
        <v>30.959906946559023</v>
      </c>
      <c r="AA38" s="384">
        <f t="shared" si="12"/>
        <v>34.869649782563265</v>
      </c>
      <c r="AB38" s="197">
        <f t="shared" si="13"/>
        <v>44950</v>
      </c>
      <c r="AC38" s="119">
        <f>IF(OR(t&lt;Tnet,NoTnet),'2022'!Resal_s+('2022'!Salim-'2022'!Resal_s)*(1-EXP(('2022'!Tnet_s-t)/'2022'!Tau_j)),Resal_s+(Salim-Resal_s)*(1-EXP((Tnet_s-t)/Tau_j)))*Salcycl</f>
        <v>0.11212452262595782</v>
      </c>
      <c r="AD38" s="230">
        <f>(INDEX(Models!$BJ38:$BT38,,AH38)*(1-AF38)+INDEX(Models!$BJ38:$BT38,,AH38+1)*AF38-ERP_i)*AE38*Ramure*Pc/MaxiM</f>
        <v>1.6113558639520439E-4</v>
      </c>
      <c r="AE38" s="304">
        <f t="shared" si="14"/>
        <v>0.6</v>
      </c>
      <c r="AF38" s="177">
        <f t="shared" si="22"/>
        <v>0.50020673864802223</v>
      </c>
      <c r="AG38" s="799">
        <f t="shared" si="23"/>
        <v>0</v>
      </c>
      <c r="AH38" s="176">
        <f t="shared" si="15"/>
        <v>6</v>
      </c>
      <c r="AI38" s="224">
        <f t="shared" si="24"/>
        <v>0.50020673864802223</v>
      </c>
      <c r="AJ38" s="264" t="b">
        <f t="shared" si="16"/>
        <v>1</v>
      </c>
      <c r="AK38" s="264" t="b">
        <f t="shared" si="17"/>
        <v>0</v>
      </c>
      <c r="AL38" s="264"/>
      <c r="AM38" s="264"/>
      <c r="AN38" s="75"/>
    </row>
    <row r="39" spans="1:40" s="6" customFormat="1" ht="11.25" x14ac:dyDescent="0.2">
      <c r="A39" s="56">
        <f t="shared" si="18"/>
        <v>44951</v>
      </c>
      <c r="B39" s="409">
        <f>IF(t&gt;Tmaj,'2022'!Wh/'2022'!Env_an*'2023'!Env_an,0.001*'[3]mon-tableau (2)'!$B$266)</f>
        <v>30.493101796902614</v>
      </c>
      <c r="C39" s="829"/>
      <c r="D39" s="391">
        <f t="shared" si="0"/>
        <v>31.355368539791172</v>
      </c>
      <c r="E39" s="383">
        <f t="shared" si="1"/>
        <v>32.283734962124505</v>
      </c>
      <c r="F39" s="383">
        <f t="shared" si="2"/>
        <v>32.287904608751873</v>
      </c>
      <c r="G39" s="110">
        <f t="shared" si="19"/>
        <v>0.9282143423458934</v>
      </c>
      <c r="H39" s="412" t="b">
        <f>Wh_hp&gt;='2022'!Maxi_hp</f>
        <v>0</v>
      </c>
      <c r="I39" s="379">
        <f>IF(H39,Wh_hp,'2022'!Maxi_hp)</f>
        <v>32.288114654998978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2.7499812091007936E-2</v>
      </c>
      <c r="M39" s="832"/>
      <c r="N39" s="832"/>
      <c r="O39" s="48">
        <f>IF(t&lt;Tnet,'2022'!Resal+('2022'!Salim-'2022'!Resal)*(1-EXP(('2022'!Tnet-t)/('2022'!Tau_j))),Resal+(Salim-Resal)*(1-EXP((Tnet-t)/(Tau_j))))*Salcycl</f>
        <v>2.8756475154516768E-2</v>
      </c>
      <c r="P39" s="338">
        <f>(INDEX(Models!$BJ39:$BT39,,T39)*(1-R39)+INDEX(Models!$BJ39:$BT39,,T39+1)*R39-ERP_i)*Q39*Ramure*Pc/MaxiM</f>
        <v>1.4389314783135301E-4</v>
      </c>
      <c r="Q39" s="304">
        <f t="shared" si="4"/>
        <v>0.6</v>
      </c>
      <c r="R39" s="177">
        <f t="shared" si="5"/>
        <v>0.50028158267943046</v>
      </c>
      <c r="S39" s="799">
        <f t="shared" si="6"/>
        <v>0</v>
      </c>
      <c r="T39" s="176">
        <f t="shared" si="7"/>
        <v>6</v>
      </c>
      <c r="U39" s="250">
        <f t="shared" si="20"/>
        <v>0.50028158267943046</v>
      </c>
      <c r="V39" s="382">
        <f t="shared" si="8"/>
        <v>32.850873409113532</v>
      </c>
      <c r="W39" s="400">
        <f t="shared" si="9"/>
        <v>30.493101796902614</v>
      </c>
      <c r="X39" s="157">
        <f t="shared" si="10"/>
        <v>44951</v>
      </c>
      <c r="Y39" s="383">
        <f t="shared" si="11"/>
        <v>27.876058882958606</v>
      </c>
      <c r="Z39" s="383">
        <f t="shared" si="21"/>
        <v>28.664322361619213</v>
      </c>
      <c r="AA39" s="384">
        <f t="shared" si="12"/>
        <v>32.283734962124505</v>
      </c>
      <c r="AB39" s="197">
        <f t="shared" si="13"/>
        <v>44951</v>
      </c>
      <c r="AC39" s="119">
        <f>IF(OR(t&lt;Tnet,NoTnet),'2022'!Resal_s+('2022'!Salim-'2022'!Resal_s)*(1-EXP(('2022'!Tnet_s-t)/'2022'!Tau_j)),Resal_s+(Salim-Resal_s)*(1-EXP((Tnet_s-t)/Tau_j)))*Salcycl</f>
        <v>0.11211257324320159</v>
      </c>
      <c r="AD39" s="230">
        <f>(INDEX(Models!$BJ39:$BT39,,AH39)*(1-AF39)+INDEX(Models!$BJ39:$BT39,,AH39+1)*AF39-ERP_i)*AE39*Ramure*Pc/MaxiM</f>
        <v>1.4389314783135301E-4</v>
      </c>
      <c r="AE39" s="304">
        <f t="shared" si="14"/>
        <v>0.6</v>
      </c>
      <c r="AF39" s="177">
        <f t="shared" si="22"/>
        <v>0.50028158267943046</v>
      </c>
      <c r="AG39" s="799">
        <f t="shared" si="23"/>
        <v>0</v>
      </c>
      <c r="AH39" s="176">
        <f t="shared" si="15"/>
        <v>6</v>
      </c>
      <c r="AI39" s="224">
        <f t="shared" si="24"/>
        <v>0.50028158267943046</v>
      </c>
      <c r="AJ39" s="264" t="b">
        <f t="shared" si="16"/>
        <v>1</v>
      </c>
      <c r="AK39" s="264" t="b">
        <f t="shared" si="17"/>
        <v>0</v>
      </c>
      <c r="AL39" s="264"/>
      <c r="AM39" s="264"/>
      <c r="AN39" s="75"/>
    </row>
    <row r="40" spans="1:40" s="6" customFormat="1" ht="11.25" x14ac:dyDescent="0.2">
      <c r="A40" s="56">
        <f t="shared" si="18"/>
        <v>44952</v>
      </c>
      <c r="B40" s="409">
        <f>IF(t&gt;Tmaj,'2022'!Wh/'2022'!Env_an*'2023'!Env_an,0.001*'[3]mon-tableau (2)'!$B$267)</f>
        <v>32.152272915041863</v>
      </c>
      <c r="C40" s="829"/>
      <c r="D40" s="391">
        <f t="shared" si="0"/>
        <v>33.062090390912573</v>
      </c>
      <c r="E40" s="383">
        <f t="shared" si="1"/>
        <v>34.043262392077573</v>
      </c>
      <c r="F40" s="383">
        <f t="shared" si="2"/>
        <v>34.047436679934428</v>
      </c>
      <c r="G40" s="110">
        <f t="shared" si="19"/>
        <v>0.96909585164595446</v>
      </c>
      <c r="H40" s="412" t="b">
        <f>Wh_hp&gt;='2022'!Maxi_hp</f>
        <v>0</v>
      </c>
      <c r="I40" s="379">
        <f>IF(H40,Wh_hp,'2022'!Maxi_hp)</f>
        <v>34.047521820123769</v>
      </c>
      <c r="J40" s="85">
        <f>IF(H40,An,'2022'!An_max)</f>
        <v>2022</v>
      </c>
      <c r="K40" s="197">
        <f t="shared" si="3"/>
        <v>44952</v>
      </c>
      <c r="L40" s="147">
        <f>IF(t&lt;Tvie,1-EXP((T0-t)*PertePVj)+'2022'!Pspv,1-EXP((T0-t)*PertePVj)+Pspv)</f>
        <v>2.7518449835246317E-2</v>
      </c>
      <c r="M40" s="832"/>
      <c r="N40" s="832"/>
      <c r="O40" s="48">
        <f>IF(t&lt;Tnet,'2022'!Resal+('2022'!Salim-'2022'!Resal)*(1-EXP(('2022'!Tnet-t)/('2022'!Tau_j))),Resal+(Salim-Resal)*(1-EXP((Tnet-t)/(Tau_j))))*Salcycl</f>
        <v>2.8821327106221505E-2</v>
      </c>
      <c r="P40" s="338">
        <f>(INDEX(Models!$BJ40:$BT40,,T40)*(1-R40)+INDEX(Models!$BJ40:$BT40,,T40+1)*R40-ERP_i)*Q40*Ramure*Pc/MaxiM</f>
        <v>1.2826380361532851E-4</v>
      </c>
      <c r="Q40" s="304">
        <f t="shared" si="4"/>
        <v>0.6</v>
      </c>
      <c r="R40" s="177">
        <f t="shared" si="5"/>
        <v>0.50035954269182314</v>
      </c>
      <c r="S40" s="799">
        <f t="shared" si="6"/>
        <v>0</v>
      </c>
      <c r="T40" s="176">
        <f t="shared" si="7"/>
        <v>6</v>
      </c>
      <c r="U40" s="250">
        <f t="shared" si="20"/>
        <v>0.50035954269182314</v>
      </c>
      <c r="V40" s="382">
        <f t="shared" si="8"/>
        <v>33.177410471893531</v>
      </c>
      <c r="W40" s="400">
        <f t="shared" si="9"/>
        <v>32.152272915041863</v>
      </c>
      <c r="X40" s="157">
        <f t="shared" si="10"/>
        <v>44952</v>
      </c>
      <c r="Y40" s="383">
        <f t="shared" si="11"/>
        <v>29.395185380184454</v>
      </c>
      <c r="Z40" s="383">
        <f t="shared" si="21"/>
        <v>30.226985154838616</v>
      </c>
      <c r="AA40" s="384">
        <f t="shared" si="12"/>
        <v>34.043262392077573</v>
      </c>
      <c r="AB40" s="197">
        <f t="shared" si="13"/>
        <v>44952</v>
      </c>
      <c r="AC40" s="119">
        <f>IF(OR(t&lt;Tnet,NoTnet),'2022'!Resal_s+('2022'!Salim-'2022'!Resal_s)*(1-EXP(('2022'!Tnet_s-t)/'2022'!Tau_j)),Resal_s+(Salim-Resal_s)*(1-EXP((Tnet_s-t)/Tau_j)))*Salcycl</f>
        <v>0.1121008084738396</v>
      </c>
      <c r="AD40" s="230">
        <f>(INDEX(Models!$BJ40:$BT40,,AH40)*(1-AF40)+INDEX(Models!$BJ40:$BT40,,AH40+1)*AF40-ERP_i)*AE40*Ramure*Pc/MaxiM</f>
        <v>1.2826380361532851E-4</v>
      </c>
      <c r="AE40" s="304">
        <f t="shared" si="14"/>
        <v>0.6</v>
      </c>
      <c r="AF40" s="177">
        <f t="shared" si="22"/>
        <v>0.50035954269182314</v>
      </c>
      <c r="AG40" s="799">
        <f t="shared" si="23"/>
        <v>0</v>
      </c>
      <c r="AH40" s="176">
        <f t="shared" si="15"/>
        <v>6</v>
      </c>
      <c r="AI40" s="224">
        <f t="shared" si="24"/>
        <v>0.50035954269182314</v>
      </c>
      <c r="AJ40" s="264" t="b">
        <f t="shared" si="16"/>
        <v>1</v>
      </c>
      <c r="AK40" s="264" t="b">
        <f t="shared" si="17"/>
        <v>0</v>
      </c>
      <c r="AL40" s="264"/>
      <c r="AM40" s="264"/>
      <c r="AN40" s="75"/>
    </row>
    <row r="41" spans="1:40" s="6" customFormat="1" ht="11.25" x14ac:dyDescent="0.2">
      <c r="A41" s="56">
        <f t="shared" si="18"/>
        <v>44953</v>
      </c>
      <c r="B41" s="409">
        <f>IF(t&gt;Tmaj,'2022'!Wh/'2022'!Env_an*'2023'!Env_an,0.001*'[3]mon-tableau (2)'!$B$268)</f>
        <v>28.379353943709276</v>
      </c>
      <c r="C41" s="829"/>
      <c r="D41" s="391">
        <f t="shared" si="0"/>
        <v>29.182967875502467</v>
      </c>
      <c r="E41" s="383">
        <f t="shared" si="1"/>
        <v>30.051026771774811</v>
      </c>
      <c r="F41" s="383">
        <f t="shared" si="2"/>
        <v>30.053708530818611</v>
      </c>
      <c r="G41" s="110">
        <f t="shared" si="19"/>
        <v>0.84688075826652254</v>
      </c>
      <c r="H41" s="412" t="b">
        <f>Wh_hp&gt;='2022'!Maxi_hp</f>
        <v>0</v>
      </c>
      <c r="I41" s="379">
        <f>IF(H41,Wh_hp,'2022'!Maxi_hp)</f>
        <v>30.054040469475297</v>
      </c>
      <c r="J41" s="85">
        <f>IF(H41,An,'2022'!An_max)</f>
        <v>2022</v>
      </c>
      <c r="K41" s="197">
        <f t="shared" si="3"/>
        <v>44953</v>
      </c>
      <c r="L41" s="147">
        <f>IF(t&lt;Tvie,1-EXP((T0-t)*PertePVj)+'2022'!Pspv,1-EXP((T0-t)*PertePVj)+Pspv)</f>
        <v>2.753708722229653E-2</v>
      </c>
      <c r="M41" s="832"/>
      <c r="N41" s="832"/>
      <c r="O41" s="48">
        <f>IF(t&lt;Tnet,'2022'!Resal+('2022'!Salim-'2022'!Resal)*(1-EXP(('2022'!Tnet-t)/('2022'!Tau_j))),Resal+(Salim-Resal)*(1-EXP((Tnet-t)/(Tau_j))))*Salcycl</f>
        <v>2.8886164285330192E-2</v>
      </c>
      <c r="P41" s="338">
        <f>(INDEX(Models!$BJ41:$BT41,,T41)*(1-R41)+INDEX(Models!$BJ41:$BT41,,T41+1)*R41-ERP_i)*Q41*Ramure*Pc/MaxiM</f>
        <v>1.1421161677504623E-4</v>
      </c>
      <c r="Q41" s="304">
        <f t="shared" si="4"/>
        <v>0.6</v>
      </c>
      <c r="R41" s="177">
        <f t="shared" si="5"/>
        <v>0.50044074737364486</v>
      </c>
      <c r="S41" s="799">
        <f t="shared" si="6"/>
        <v>0</v>
      </c>
      <c r="T41" s="176">
        <f t="shared" si="7"/>
        <v>6</v>
      </c>
      <c r="U41" s="250">
        <f t="shared" si="20"/>
        <v>0.50044074737364486</v>
      </c>
      <c r="V41" s="382">
        <f t="shared" si="8"/>
        <v>33.509611245991707</v>
      </c>
      <c r="W41" s="400">
        <f t="shared" si="9"/>
        <v>28.379353943709276</v>
      </c>
      <c r="X41" s="157">
        <f t="shared" si="10"/>
        <v>44953</v>
      </c>
      <c r="Y41" s="383">
        <f t="shared" si="11"/>
        <v>25.947868396997801</v>
      </c>
      <c r="Z41" s="383">
        <f t="shared" si="21"/>
        <v>26.68263031531081</v>
      </c>
      <c r="AA41" s="384">
        <f t="shared" si="12"/>
        <v>30.051026771774811</v>
      </c>
      <c r="AB41" s="197">
        <f t="shared" si="13"/>
        <v>44953</v>
      </c>
      <c r="AC41" s="119">
        <f>IF(OR(t&lt;Tnet,NoTnet),'2022'!Resal_s+('2022'!Salim-'2022'!Resal_s)*(1-EXP(('2022'!Tnet_s-t)/'2022'!Tau_j)),Resal_s+(Salim-Resal_s)*(1-EXP((Tnet_s-t)/Tau_j)))*Salcycl</f>
        <v>0.11208923016326824</v>
      </c>
      <c r="AD41" s="230">
        <f>(INDEX(Models!$BJ41:$BT41,,AH41)*(1-AF41)+INDEX(Models!$BJ41:$BT41,,AH41+1)*AF41-ERP_i)*AE41*Ramure*Pc/MaxiM</f>
        <v>1.1421161677504623E-4</v>
      </c>
      <c r="AE41" s="304">
        <f t="shared" si="14"/>
        <v>0.6</v>
      </c>
      <c r="AF41" s="177">
        <f t="shared" si="22"/>
        <v>0.50044074737364486</v>
      </c>
      <c r="AG41" s="799">
        <f t="shared" si="23"/>
        <v>0</v>
      </c>
      <c r="AH41" s="176">
        <f t="shared" si="15"/>
        <v>6</v>
      </c>
      <c r="AI41" s="224">
        <f t="shared" si="24"/>
        <v>0.50044074737364486</v>
      </c>
      <c r="AJ41" s="264" t="b">
        <f t="shared" si="16"/>
        <v>1</v>
      </c>
      <c r="AK41" s="264" t="b">
        <f t="shared" si="17"/>
        <v>0</v>
      </c>
      <c r="AL41" s="264"/>
      <c r="AM41" s="264"/>
      <c r="AN41" s="75"/>
    </row>
    <row r="42" spans="1:40" s="6" customFormat="1" ht="11.25" x14ac:dyDescent="0.2">
      <c r="A42" s="56">
        <f t="shared" si="18"/>
        <v>44954</v>
      </c>
      <c r="B42" s="409">
        <f>IF(t&gt;Tmaj,'2022'!Wh/'2022'!Env_an*'2023'!Env_an,0.001*'[3]mon-tableau (2)'!$B$269)</f>
        <v>4.3330324697028209</v>
      </c>
      <c r="C42" s="829"/>
      <c r="D42" s="391">
        <f t="shared" si="0"/>
        <v>4.4558156984065826</v>
      </c>
      <c r="E42" s="383">
        <f t="shared" si="1"/>
        <v>4.5886619934003043</v>
      </c>
      <c r="F42" s="383">
        <f t="shared" si="2"/>
        <v>4.5886619934003043</v>
      </c>
      <c r="G42" s="110">
        <f t="shared" si="19"/>
        <v>0.128006477116029</v>
      </c>
      <c r="H42" s="412" t="b">
        <f>Wh_hp&gt;='2022'!Maxi_hp</f>
        <v>0</v>
      </c>
      <c r="I42" s="379">
        <f>IF(H42,Wh_hp,'2022'!Maxi_hp)</f>
        <v>18.140123451777548</v>
      </c>
      <c r="J42" s="85">
        <f>IF(H42,An,'2022'!An_max)</f>
        <v>2021</v>
      </c>
      <c r="K42" s="197">
        <f t="shared" si="3"/>
        <v>44954</v>
      </c>
      <c r="L42" s="147">
        <f>IF(t&lt;Tvie,1-EXP((T0-t)*PertePVj)+'2022'!Pspv,1-EXP((T0-t)*PertePVj)+Pspv)</f>
        <v>2.7555724252165459E-2</v>
      </c>
      <c r="M42" s="832"/>
      <c r="N42" s="832"/>
      <c r="O42" s="48">
        <f>IF(t&lt;Tnet,'2022'!Resal+('2022'!Salim-'2022'!Resal)*(1-EXP(('2022'!Tnet-t)/('2022'!Tau_j))),Resal+(Salim-Resal)*(1-EXP((Tnet-t)/(Tau_j))))*Salcycl</f>
        <v>2.8950987277945022E-2</v>
      </c>
      <c r="P42" s="338">
        <f>(INDEX(Models!$BJ42:$BT42,,T42)*(1-R42)+INDEX(Models!$BJ42:$BT42,,T42+1)*R42-ERP_i)*Q42*Ramure*Pc/MaxiM</f>
        <v>1.0169902894635432E-4</v>
      </c>
      <c r="Q42" s="304">
        <f t="shared" si="4"/>
        <v>0.6</v>
      </c>
      <c r="R42" s="177">
        <f t="shared" si="5"/>
        <v>0.50052533063949078</v>
      </c>
      <c r="S42" s="799">
        <f t="shared" si="6"/>
        <v>0</v>
      </c>
      <c r="T42" s="176">
        <f t="shared" si="7"/>
        <v>6</v>
      </c>
      <c r="U42" s="250">
        <f t="shared" si="20"/>
        <v>0.50052533063949078</v>
      </c>
      <c r="V42" s="382">
        <f t="shared" si="8"/>
        <v>33.846660748120307</v>
      </c>
      <c r="W42" s="400">
        <f t="shared" si="9"/>
        <v>4.3330324697028209</v>
      </c>
      <c r="X42" s="157">
        <f t="shared" si="10"/>
        <v>44954</v>
      </c>
      <c r="Y42" s="383">
        <f t="shared" si="11"/>
        <v>3.9621023277482155</v>
      </c>
      <c r="Z42" s="383">
        <f t="shared" si="21"/>
        <v>4.0743746727299692</v>
      </c>
      <c r="AA42" s="384">
        <f t="shared" si="12"/>
        <v>4.5886619934003043</v>
      </c>
      <c r="AB42" s="197">
        <f t="shared" si="13"/>
        <v>44954</v>
      </c>
      <c r="AC42" s="119">
        <f>IF(OR(t&lt;Tnet,NoTnet),'2022'!Resal_s+('2022'!Salim-'2022'!Resal_s)*(1-EXP(('2022'!Tnet_s-t)/'2022'!Tau_j)),Resal_s+(Salim-Resal_s)*(1-EXP((Tnet_s-t)/Tau_j)))*Salcycl</f>
        <v>0.11207783911955478</v>
      </c>
      <c r="AD42" s="230">
        <f>(INDEX(Models!$BJ42:$BT42,,AH42)*(1-AF42)+INDEX(Models!$BJ42:$BT42,,AH42+1)*AF42-ERP_i)*AE42*Ramure*Pc/MaxiM</f>
        <v>1.0169902894635432E-4</v>
      </c>
      <c r="AE42" s="304">
        <f t="shared" si="14"/>
        <v>0.6</v>
      </c>
      <c r="AF42" s="177">
        <f t="shared" si="22"/>
        <v>0.50052533063949078</v>
      </c>
      <c r="AG42" s="799">
        <f t="shared" si="23"/>
        <v>0</v>
      </c>
      <c r="AH42" s="176">
        <f t="shared" si="15"/>
        <v>6</v>
      </c>
      <c r="AI42" s="224">
        <f t="shared" si="24"/>
        <v>0.50052533063949078</v>
      </c>
      <c r="AJ42" s="264" t="b">
        <f t="shared" si="16"/>
        <v>1</v>
      </c>
      <c r="AK42" s="264" t="b">
        <f t="shared" si="17"/>
        <v>0</v>
      </c>
      <c r="AL42" s="264"/>
      <c r="AM42" s="264"/>
      <c r="AN42" s="75"/>
    </row>
    <row r="43" spans="1:40" s="6" customFormat="1" ht="11.25" x14ac:dyDescent="0.2">
      <c r="A43" s="56">
        <f t="shared" si="18"/>
        <v>44955</v>
      </c>
      <c r="B43" s="409">
        <f>IF(t&gt;Tmaj,'2022'!Wh/'2022'!Env_an*'2023'!Env_an,0.001*'[3]mon-tableau (2)'!$B$270)</f>
        <v>8.2430876832062712</v>
      </c>
      <c r="C43" s="829"/>
      <c r="D43" s="391">
        <f t="shared" si="0"/>
        <v>8.4768308773163916</v>
      </c>
      <c r="E43" s="383">
        <f t="shared" si="1"/>
        <v>8.7301429268793491</v>
      </c>
      <c r="F43" s="383">
        <f t="shared" si="2"/>
        <v>8.7301429268793491</v>
      </c>
      <c r="G43" s="110">
        <f t="shared" si="19"/>
        <v>0.24109049346385372</v>
      </c>
      <c r="H43" s="412" t="b">
        <f>Wh_hp&gt;='2022'!Maxi_hp</f>
        <v>0</v>
      </c>
      <c r="I43" s="379">
        <f>IF(H43,Wh_hp,'2022'!Maxi_hp)</f>
        <v>22.560776300734982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2.7574360924859986E-2</v>
      </c>
      <c r="M43" s="832"/>
      <c r="N43" s="832"/>
      <c r="O43" s="48">
        <f>IF(t&lt;Tnet,'2022'!Resal+('2022'!Salim-'2022'!Resal)*(1-EXP(('2022'!Tnet-t)/('2022'!Tau_j))),Resal+(Salim-Resal)*(1-EXP((Tnet-t)/(Tau_j))))*Salcycl</f>
        <v>2.9015796383244901E-2</v>
      </c>
      <c r="P43" s="338">
        <f>(INDEX(Models!$BJ43:$BT43,,T43)*(1-R43)+INDEX(Models!$BJ43:$BT43,,T43+1)*R43-ERP_i)*Q43*Ramure*Pc/MaxiM</f>
        <v>9.068739865068845E-5</v>
      </c>
      <c r="Q43" s="304">
        <f t="shared" si="4"/>
        <v>0.6</v>
      </c>
      <c r="R43" s="177">
        <f t="shared" si="5"/>
        <v>0.50061343183477602</v>
      </c>
      <c r="S43" s="799">
        <f t="shared" si="6"/>
        <v>0</v>
      </c>
      <c r="T43" s="176">
        <f t="shared" si="7"/>
        <v>6</v>
      </c>
      <c r="U43" s="250">
        <f t="shared" si="20"/>
        <v>0.50061343183477602</v>
      </c>
      <c r="V43" s="382">
        <f t="shared" si="8"/>
        <v>34.187744280606367</v>
      </c>
      <c r="W43" s="400">
        <f t="shared" si="9"/>
        <v>8.2430876832062712</v>
      </c>
      <c r="X43" s="157">
        <f t="shared" si="10"/>
        <v>44955</v>
      </c>
      <c r="Y43" s="383">
        <f t="shared" si="11"/>
        <v>7.53803466315075</v>
      </c>
      <c r="Z43" s="383">
        <f t="shared" si="21"/>
        <v>7.7517851856724658</v>
      </c>
      <c r="AA43" s="384">
        <f t="shared" si="12"/>
        <v>8.7301429268793491</v>
      </c>
      <c r="AB43" s="197">
        <f t="shared" si="13"/>
        <v>44955</v>
      </c>
      <c r="AC43" s="119">
        <f>IF(OR(t&lt;Tnet,NoTnet),'2022'!Resal_s+('2022'!Salim-'2022'!Resal_s)*(1-EXP(('2022'!Tnet_s-t)/'2022'!Tau_j)),Resal_s+(Salim-Resal_s)*(1-EXP((Tnet_s-t)/Tau_j)))*Salcycl</f>
        <v>0.11206663503693681</v>
      </c>
      <c r="AD43" s="230">
        <f>(INDEX(Models!$BJ43:$BT43,,AH43)*(1-AF43)+INDEX(Models!$BJ43:$BT43,,AH43+1)*AF43-ERP_i)*AE43*Ramure*Pc/MaxiM</f>
        <v>9.068739865068845E-5</v>
      </c>
      <c r="AE43" s="304">
        <f t="shared" si="14"/>
        <v>0.6</v>
      </c>
      <c r="AF43" s="177">
        <f t="shared" si="22"/>
        <v>0.50061343183477602</v>
      </c>
      <c r="AG43" s="799">
        <f t="shared" si="23"/>
        <v>0</v>
      </c>
      <c r="AH43" s="176">
        <f t="shared" si="15"/>
        <v>6</v>
      </c>
      <c r="AI43" s="224">
        <f t="shared" si="24"/>
        <v>0.50061343183477602</v>
      </c>
      <c r="AJ43" s="264" t="b">
        <f t="shared" si="16"/>
        <v>1</v>
      </c>
      <c r="AK43" s="264" t="b">
        <f t="shared" si="17"/>
        <v>0</v>
      </c>
      <c r="AL43" s="264"/>
      <c r="AM43" s="264"/>
      <c r="AN43" s="75"/>
    </row>
    <row r="44" spans="1:40" s="6" customFormat="1" ht="11.25" x14ac:dyDescent="0.2">
      <c r="A44" s="56">
        <f t="shared" si="18"/>
        <v>44956</v>
      </c>
      <c r="B44" s="409">
        <f>IF(t&gt;Tmaj,'2022'!Wh/'2022'!Env_an*'2023'!Env_an,0.001*'[3]mon-tableau (2)'!$B$271)</f>
        <v>4.7698073202994289</v>
      </c>
      <c r="C44" s="829"/>
      <c r="D44" s="391">
        <f t="shared" si="0"/>
        <v>4.9051552557345826</v>
      </c>
      <c r="E44" s="383">
        <f t="shared" si="1"/>
        <v>5.0520725132037247</v>
      </c>
      <c r="F44" s="383">
        <f t="shared" si="2"/>
        <v>5.0520725132037247</v>
      </c>
      <c r="G44" s="110">
        <f t="shared" si="19"/>
        <v>0.13811576967909664</v>
      </c>
      <c r="H44" s="412" t="b">
        <f>Wh_hp&gt;='2022'!Maxi_hp</f>
        <v>0</v>
      </c>
      <c r="I44" s="379">
        <f>IF(H44,Wh_hp,'2022'!Maxi_hp)</f>
        <v>12.305895524222464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2.7592997240386885E-2</v>
      </c>
      <c r="M44" s="832"/>
      <c r="N44" s="832"/>
      <c r="O44" s="48">
        <f>IF(t&lt;Tnet,'2022'!Resal+('2022'!Salim-'2022'!Resal)*(1-EXP(('2022'!Tnet-t)/('2022'!Tau_j))),Resal+(Salim-Resal)*(1-EXP((Tnet-t)/(Tau_j))))*Salcycl</f>
        <v>2.9080591595858987E-2</v>
      </c>
      <c r="P44" s="338">
        <f>(INDEX(Models!$BJ44:$BT44,,T44)*(1-R44)+INDEX(Models!$BJ44:$BT44,,T44+1)*R44-ERP_i)*Q44*Ramure*Pc/MaxiM</f>
        <v>8.1353695134325026E-5</v>
      </c>
      <c r="Q44" s="304">
        <f t="shared" si="4"/>
        <v>0.6</v>
      </c>
      <c r="R44" s="177">
        <f t="shared" si="5"/>
        <v>0.50070519594776952</v>
      </c>
      <c r="S44" s="799">
        <f t="shared" si="6"/>
        <v>0</v>
      </c>
      <c r="T44" s="176">
        <f t="shared" si="7"/>
        <v>6</v>
      </c>
      <c r="U44" s="250">
        <f t="shared" si="20"/>
        <v>0.50070519594776952</v>
      </c>
      <c r="V44" s="382">
        <f t="shared" si="8"/>
        <v>34.532039968573407</v>
      </c>
      <c r="W44" s="400">
        <f t="shared" si="9"/>
        <v>4.7698073202994289</v>
      </c>
      <c r="X44" s="157">
        <f t="shared" si="10"/>
        <v>44956</v>
      </c>
      <c r="Y44" s="383">
        <f t="shared" si="11"/>
        <v>4.3621783477173706</v>
      </c>
      <c r="Z44" s="383">
        <f t="shared" si="21"/>
        <v>4.485959413432707</v>
      </c>
      <c r="AA44" s="384">
        <f t="shared" si="12"/>
        <v>5.0520725132037247</v>
      </c>
      <c r="AB44" s="197">
        <f t="shared" si="13"/>
        <v>44956</v>
      </c>
      <c r="AC44" s="119">
        <f>IF(OR(t&lt;Tnet,NoTnet),'2022'!Resal_s+('2022'!Salim-'2022'!Resal_s)*(1-EXP(('2022'!Tnet_s-t)/'2022'!Tau_j)),Resal_s+(Salim-Resal_s)*(1-EXP((Tnet_s-t)/Tau_j)))*Salcycl</f>
        <v>0.11205561644086978</v>
      </c>
      <c r="AD44" s="230">
        <f>(INDEX(Models!$BJ44:$BT44,,AH44)*(1-AF44)+INDEX(Models!$BJ44:$BT44,,AH44+1)*AF44-ERP_i)*AE44*Ramure*Pc/MaxiM</f>
        <v>8.1353695134325026E-5</v>
      </c>
      <c r="AE44" s="304">
        <f t="shared" si="14"/>
        <v>0.6</v>
      </c>
      <c r="AF44" s="177">
        <f t="shared" si="22"/>
        <v>0.50070519594776952</v>
      </c>
      <c r="AG44" s="799">
        <f t="shared" si="23"/>
        <v>0</v>
      </c>
      <c r="AH44" s="176">
        <f t="shared" si="15"/>
        <v>6</v>
      </c>
      <c r="AI44" s="224">
        <f t="shared" si="24"/>
        <v>0.50070519594776952</v>
      </c>
      <c r="AJ44" s="264" t="b">
        <f t="shared" si="16"/>
        <v>1</v>
      </c>
      <c r="AK44" s="264" t="b">
        <f t="shared" si="17"/>
        <v>0</v>
      </c>
      <c r="AL44" s="264"/>
      <c r="AM44" s="264"/>
      <c r="AN44" s="75"/>
    </row>
    <row r="45" spans="1:40" s="6" customFormat="1" ht="11.25" x14ac:dyDescent="0.2">
      <c r="A45" s="56">
        <f t="shared" si="18"/>
        <v>44957</v>
      </c>
      <c r="B45" s="409">
        <f>IF(t&gt;Tmaj,'2022'!Wh/'2022'!Env_an*'2023'!Env_an,0.001*'[3]mon-tableau (2)'!$B$272)</f>
        <v>7.6065514644231973</v>
      </c>
      <c r="C45" s="829"/>
      <c r="D45" s="391">
        <f t="shared" si="0"/>
        <v>7.8225446993422869</v>
      </c>
      <c r="E45" s="383">
        <f t="shared" si="1"/>
        <v>8.0573800428191262</v>
      </c>
      <c r="F45" s="383">
        <f t="shared" si="2"/>
        <v>8.0573800428191262</v>
      </c>
      <c r="G45" s="110">
        <f t="shared" si="19"/>
        <v>0.21806959201044238</v>
      </c>
      <c r="H45" s="412" t="b">
        <f>Wh_hp&gt;='2022'!Maxi_hp</f>
        <v>0</v>
      </c>
      <c r="I45" s="379">
        <f>IF(H45,Wh_hp,'2022'!Maxi_hp)</f>
        <v>23.230245238916424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2.7611633198753149E-2</v>
      </c>
      <c r="M45" s="832"/>
      <c r="N45" s="832"/>
      <c r="O45" s="48">
        <f>IF(t&lt;Tnet,'2022'!Resal+('2022'!Salim-'2022'!Resal)*(1-EXP(('2022'!Tnet-t)/('2022'!Tau_j))),Resal+(Salim-Resal)*(1-EXP((Tnet-t)/(Tau_j))))*Salcycl</f>
        <v>2.9145372593679303E-2</v>
      </c>
      <c r="P45" s="338">
        <f>(INDEX(Models!$BJ45:$BT45,,T45)*(1-R45)+INDEX(Models!$BJ45:$BT45,,T45+1)*R45-ERP_i)*Q45*Ramure*Pc/MaxiM</f>
        <v>7.3055449080014316E-5</v>
      </c>
      <c r="Q45" s="304">
        <f t="shared" si="4"/>
        <v>0.6</v>
      </c>
      <c r="R45" s="177">
        <f t="shared" si="5"/>
        <v>0.50080077382919963</v>
      </c>
      <c r="S45" s="799">
        <f t="shared" si="6"/>
        <v>0</v>
      </c>
      <c r="T45" s="176">
        <f t="shared" si="7"/>
        <v>6</v>
      </c>
      <c r="U45" s="250">
        <f t="shared" si="20"/>
        <v>0.50080077382919963</v>
      </c>
      <c r="V45" s="382">
        <f t="shared" si="8"/>
        <v>34.878754503405482</v>
      </c>
      <c r="W45" s="400">
        <f t="shared" si="9"/>
        <v>7.6065514644231973</v>
      </c>
      <c r="X45" s="157">
        <f t="shared" si="10"/>
        <v>44957</v>
      </c>
      <c r="Y45" s="383">
        <f t="shared" si="11"/>
        <v>6.9570426749650363</v>
      </c>
      <c r="Z45" s="383">
        <f t="shared" si="21"/>
        <v>7.1545926632697308</v>
      </c>
      <c r="AA45" s="384">
        <f t="shared" si="12"/>
        <v>8.0573800428191262</v>
      </c>
      <c r="AB45" s="197">
        <f t="shared" si="13"/>
        <v>44957</v>
      </c>
      <c r="AC45" s="119">
        <f>IF(OR(t&lt;Tnet,NoTnet),'2022'!Resal_s+('2022'!Salim-'2022'!Resal_s)*(1-EXP(('2022'!Tnet_s-t)/'2022'!Tau_j)),Resal_s+(Salim-Resal_s)*(1-EXP((Tnet_s-t)/Tau_j)))*Salcycl</f>
        <v>0.11204478065472101</v>
      </c>
      <c r="AD45" s="230">
        <f>(INDEX(Models!$BJ45:$BT45,,AH45)*(1-AF45)+INDEX(Models!$BJ45:$BT45,,AH45+1)*AF45-ERP_i)*AE45*Ramure*Pc/MaxiM</f>
        <v>7.3055449080014316E-5</v>
      </c>
      <c r="AE45" s="304">
        <f t="shared" si="14"/>
        <v>0.6</v>
      </c>
      <c r="AF45" s="177">
        <f t="shared" si="22"/>
        <v>0.50080077382919963</v>
      </c>
      <c r="AG45" s="799">
        <f t="shared" si="23"/>
        <v>0</v>
      </c>
      <c r="AH45" s="176">
        <f t="shared" si="15"/>
        <v>6</v>
      </c>
      <c r="AI45" s="224">
        <f t="shared" si="24"/>
        <v>0.50080077382919963</v>
      </c>
      <c r="AJ45" s="264" t="b">
        <f t="shared" si="16"/>
        <v>1</v>
      </c>
      <c r="AK45" s="264" t="b">
        <f t="shared" si="17"/>
        <v>0</v>
      </c>
      <c r="AL45" s="264"/>
      <c r="AM45" s="264"/>
      <c r="AN45" s="75"/>
    </row>
    <row r="46" spans="1:40" s="6" customFormat="1" ht="11.25" x14ac:dyDescent="0.2">
      <c r="A46" s="56">
        <f t="shared" si="18"/>
        <v>44958</v>
      </c>
      <c r="B46" s="409">
        <f>IF(t&gt;Tmaj,'2022'!Wh/'2022'!Env_an*'2023'!Env_an,0.001*'[4]mon-tableau'!$B$221)</f>
        <v>16.691536235602147</v>
      </c>
      <c r="C46" s="829"/>
      <c r="D46" s="391">
        <f t="shared" si="0"/>
        <v>17.165832810326741</v>
      </c>
      <c r="E46" s="383">
        <f t="shared" si="1"/>
        <v>17.682336306943782</v>
      </c>
      <c r="F46" s="383">
        <f t="shared" si="2"/>
        <v>17.682625082293313</v>
      </c>
      <c r="G46" s="110">
        <f t="shared" si="19"/>
        <v>0.47380350321328935</v>
      </c>
      <c r="H46" s="412" t="b">
        <f>Wh_hp&gt;='2022'!Maxi_hp</f>
        <v>0</v>
      </c>
      <c r="I46" s="379">
        <f>IF(H46,Wh_hp,'2022'!Maxi_hp)</f>
        <v>17.683006794963966</v>
      </c>
      <c r="J46" s="85">
        <f>IF(H46,An,'2022'!An_max)</f>
        <v>2022</v>
      </c>
      <c r="K46" s="197">
        <f t="shared" si="3"/>
        <v>44958</v>
      </c>
      <c r="L46" s="147">
        <f>IF(t&lt;Tvie,1-EXP((T0-t)*PertePVj)+'2022'!Pspv,1-EXP((T0-t)*PertePVj)+Pspv)</f>
        <v>2.7630268799965441E-2</v>
      </c>
      <c r="M46" s="832"/>
      <c r="N46" s="832"/>
      <c r="O46" s="48">
        <f>IF(t&lt;Tnet,'2022'!Resal+('2022'!Salim-'2022'!Resal)*(1-EXP(('2022'!Tnet-t)/('2022'!Tau_j))),Resal+(Salim-Resal)*(1-EXP((Tnet-t)/(Tau_j))))*Salcycl</f>
        <v>2.921013873117052E-2</v>
      </c>
      <c r="P46" s="338">
        <f>(INDEX(Models!$BJ46:$BT46,,T46)*(1-R46)+INDEX(Models!$BJ46:$BT46,,T46+1)*R46-ERP_i)*Q46*Ramure*Pc/MaxiM</f>
        <v>6.5764930806719668E-5</v>
      </c>
      <c r="Q46" s="304">
        <f t="shared" si="4"/>
        <v>0.6</v>
      </c>
      <c r="R46" s="177">
        <f t="shared" si="5"/>
        <v>0.50090032241964011</v>
      </c>
      <c r="S46" s="799">
        <f t="shared" si="6"/>
        <v>0</v>
      </c>
      <c r="T46" s="176">
        <f t="shared" si="7"/>
        <v>6</v>
      </c>
      <c r="U46" s="250">
        <f t="shared" si="20"/>
        <v>0.50090032241964011</v>
      </c>
      <c r="V46" s="382">
        <f t="shared" si="8"/>
        <v>35.227074052980967</v>
      </c>
      <c r="W46" s="400">
        <f t="shared" si="9"/>
        <v>16.691536235602147</v>
      </c>
      <c r="X46" s="157">
        <f t="shared" si="10"/>
        <v>44958</v>
      </c>
      <c r="Y46" s="383">
        <f t="shared" si="11"/>
        <v>15.267479801858764</v>
      </c>
      <c r="Z46" s="383">
        <f t="shared" si="21"/>
        <v>15.701311252270932</v>
      </c>
      <c r="AA46" s="384">
        <f t="shared" si="12"/>
        <v>17.682336306943782</v>
      </c>
      <c r="AB46" s="197">
        <f t="shared" si="13"/>
        <v>44958</v>
      </c>
      <c r="AC46" s="119">
        <f>IF(OR(t&lt;Tnet,NoTnet),'2022'!Resal_s+('2022'!Salim-'2022'!Resal_s)*(1-EXP(('2022'!Tnet_s-t)/'2022'!Tau_j)),Resal_s+(Salim-Resal_s)*(1-EXP((Tnet_s-t)/Tau_j)))*Salcycl</f>
        <v>0.11203412378798093</v>
      </c>
      <c r="AD46" s="230">
        <f>(INDEX(Models!$BJ46:$BT46,,AH46)*(1-AF46)+INDEX(Models!$BJ46:$BT46,,AH46+1)*AF46-ERP_i)*AE46*Ramure*Pc/MaxiM</f>
        <v>6.5764930806719668E-5</v>
      </c>
      <c r="AE46" s="304">
        <f t="shared" si="14"/>
        <v>0.6</v>
      </c>
      <c r="AF46" s="177">
        <f t="shared" si="22"/>
        <v>0.50090032241964011</v>
      </c>
      <c r="AG46" s="799">
        <f t="shared" si="23"/>
        <v>0</v>
      </c>
      <c r="AH46" s="176">
        <f t="shared" si="15"/>
        <v>6</v>
      </c>
      <c r="AI46" s="224">
        <f t="shared" si="24"/>
        <v>0.50090032241964011</v>
      </c>
      <c r="AJ46" s="264" t="b">
        <f t="shared" si="16"/>
        <v>1</v>
      </c>
      <c r="AK46" s="264" t="b">
        <f t="shared" si="17"/>
        <v>0</v>
      </c>
      <c r="AL46" s="264"/>
      <c r="AM46" s="264"/>
      <c r="AN46" s="75"/>
    </row>
    <row r="47" spans="1:40" s="6" customFormat="1" ht="11.25" x14ac:dyDescent="0.2">
      <c r="A47" s="56">
        <f t="shared" si="18"/>
        <v>44959</v>
      </c>
      <c r="B47" s="409">
        <f>IF(t&gt;Tmaj,'2022'!Wh/'2022'!Env_an*'2023'!Env_an,0.001*'[4]mon-tableau'!$B$222)</f>
        <v>5.4801961761168707</v>
      </c>
      <c r="C47" s="829"/>
      <c r="D47" s="391">
        <f t="shared" si="0"/>
        <v>5.6360261215410086</v>
      </c>
      <c r="E47" s="383">
        <f t="shared" si="1"/>
        <v>5.8059960105046269</v>
      </c>
      <c r="F47" s="383">
        <f t="shared" si="2"/>
        <v>5.8059960105046269</v>
      </c>
      <c r="G47" s="110">
        <f t="shared" si="19"/>
        <v>0.15403198352289196</v>
      </c>
      <c r="H47" s="412" t="b">
        <f>Wh_hp&gt;='2022'!Maxi_hp</f>
        <v>0</v>
      </c>
      <c r="I47" s="379">
        <f>IF(H47,Wh_hp,'2022'!Maxi_hp)</f>
        <v>31.802968969314829</v>
      </c>
      <c r="J47" s="85">
        <f>IF(H47,An,'2022'!An_max)</f>
        <v>2021</v>
      </c>
      <c r="K47" s="197">
        <f t="shared" si="3"/>
        <v>44959</v>
      </c>
      <c r="L47" s="147">
        <f>IF(t&lt;Tvie,1-EXP((T0-t)*PertePVj)+'2022'!Pspv,1-EXP((T0-t)*PertePVj)+Pspv)</f>
        <v>2.7648904044030642E-2</v>
      </c>
      <c r="M47" s="832"/>
      <c r="N47" s="832"/>
      <c r="O47" s="48">
        <f>IF(t&lt;Tnet,'2022'!Resal+('2022'!Salim-'2022'!Resal)*(1-EXP(('2022'!Tnet-t)/('2022'!Tau_j))),Resal+(Salim-Resal)*(1-EXP((Tnet-t)/(Tau_j))))*Salcycl</f>
        <v>2.927488903817644E-2</v>
      </c>
      <c r="P47" s="338">
        <f>(INDEX(Models!$BJ47:$BT47,,T47)*(1-R47)+INDEX(Models!$BJ47:$BT47,,T47+1)*R47-ERP_i)*Q47*Ramure*Pc/MaxiM</f>
        <v>5.9454574033363185E-5</v>
      </c>
      <c r="Q47" s="304">
        <f t="shared" si="4"/>
        <v>0.6</v>
      </c>
      <c r="R47" s="177">
        <f t="shared" si="5"/>
        <v>0.50100400498488495</v>
      </c>
      <c r="S47" s="799">
        <f t="shared" si="6"/>
        <v>0</v>
      </c>
      <c r="T47" s="176">
        <f t="shared" si="7"/>
        <v>6</v>
      </c>
      <c r="U47" s="250">
        <f t="shared" si="20"/>
        <v>0.50100400498488495</v>
      </c>
      <c r="V47" s="382">
        <f t="shared" si="8"/>
        <v>35.576185075700145</v>
      </c>
      <c r="W47" s="400">
        <f t="shared" si="9"/>
        <v>5.4801961761168707</v>
      </c>
      <c r="X47" s="157">
        <f t="shared" si="10"/>
        <v>44959</v>
      </c>
      <c r="Y47" s="383">
        <f t="shared" si="11"/>
        <v>5.0130408634904455</v>
      </c>
      <c r="Z47" s="383">
        <f t="shared" si="21"/>
        <v>5.1555871992532305</v>
      </c>
      <c r="AA47" s="384">
        <f t="shared" si="12"/>
        <v>5.8059960105046269</v>
      </c>
      <c r="AB47" s="197">
        <f t="shared" si="13"/>
        <v>44959</v>
      </c>
      <c r="AC47" s="119">
        <f>IF(OR(t&lt;Tnet,NoTnet),'2022'!Resal_s+('2022'!Salim-'2022'!Resal_s)*(1-EXP(('2022'!Tnet_s-t)/'2022'!Tau_j)),Resal_s+(Salim-Resal_s)*(1-EXP((Tnet_s-t)/Tau_j)))*Salcycl</f>
        <v>0.11202364074564121</v>
      </c>
      <c r="AD47" s="230">
        <f>(INDEX(Models!$BJ47:$BT47,,AH47)*(1-AF47)+INDEX(Models!$BJ47:$BT47,,AH47+1)*AF47-ERP_i)*AE47*Ramure*Pc/MaxiM</f>
        <v>5.9454574033363185E-5</v>
      </c>
      <c r="AE47" s="304">
        <f t="shared" si="14"/>
        <v>0.6</v>
      </c>
      <c r="AF47" s="177">
        <f t="shared" si="22"/>
        <v>0.50100400498488495</v>
      </c>
      <c r="AG47" s="799">
        <f t="shared" si="23"/>
        <v>0</v>
      </c>
      <c r="AH47" s="176">
        <f t="shared" si="15"/>
        <v>6</v>
      </c>
      <c r="AI47" s="224">
        <f t="shared" si="24"/>
        <v>0.50100400498488495</v>
      </c>
      <c r="AJ47" s="264" t="b">
        <f t="shared" si="16"/>
        <v>1</v>
      </c>
      <c r="AK47" s="264" t="b">
        <f t="shared" si="17"/>
        <v>0</v>
      </c>
      <c r="AL47" s="264"/>
      <c r="AM47" s="264"/>
      <c r="AN47" s="75"/>
    </row>
    <row r="48" spans="1:40" s="6" customFormat="1" ht="11.25" x14ac:dyDescent="0.2">
      <c r="A48" s="56">
        <f t="shared" si="18"/>
        <v>44960</v>
      </c>
      <c r="B48" s="409">
        <f>IF(t&gt;Tmaj,'2022'!Wh/'2022'!Env_an*'2023'!Env_an,0.001*'[4]mon-tableau'!$B$223)</f>
        <v>11.020300482659934</v>
      </c>
      <c r="C48" s="829"/>
      <c r="D48" s="391">
        <f t="shared" si="0"/>
        <v>11.333881078642086</v>
      </c>
      <c r="E48" s="383">
        <f t="shared" si="1"/>
        <v>11.676464124983106</v>
      </c>
      <c r="F48" s="383">
        <f t="shared" si="2"/>
        <v>11.676470221624635</v>
      </c>
      <c r="G48" s="110">
        <f t="shared" si="19"/>
        <v>0.30673976128258024</v>
      </c>
      <c r="H48" s="412" t="b">
        <f>Wh_hp&gt;='2022'!Maxi_hp</f>
        <v>0</v>
      </c>
      <c r="I48" s="379">
        <f>IF(H48,Wh_hp,'2022'!Maxi_hp)</f>
        <v>29.439960485046544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2.7667538930955748E-2</v>
      </c>
      <c r="M48" s="832"/>
      <c r="N48" s="832"/>
      <c r="O48" s="48">
        <f>IF(t&lt;Tnet,'2022'!Resal+('2022'!Salim-'2022'!Resal)*(1-EXP(('2022'!Tnet-t)/('2022'!Tau_j))),Resal+(Salim-Resal)*(1-EXP((Tnet-t)/(Tau_j))))*Salcycl</f>
        <v>2.9339622224164946E-2</v>
      </c>
      <c r="P48" s="338">
        <f>(INDEX(Models!$BJ48:$BT48,,T48)*(1-R48)+INDEX(Models!$BJ48:$BT48,,T48+1)*R48-ERP_i)*Q48*Ramure*Pc/MaxiM</f>
        <v>5.4097213805135638E-5</v>
      </c>
      <c r="Q48" s="304">
        <f t="shared" si="4"/>
        <v>0.6</v>
      </c>
      <c r="R48" s="177">
        <f t="shared" si="5"/>
        <v>0.50111199135951789</v>
      </c>
      <c r="S48" s="799">
        <f t="shared" si="6"/>
        <v>0</v>
      </c>
      <c r="T48" s="176">
        <f t="shared" si="7"/>
        <v>6</v>
      </c>
      <c r="U48" s="250">
        <f t="shared" si="20"/>
        <v>0.50111199135951789</v>
      </c>
      <c r="V48" s="382">
        <f t="shared" si="8"/>
        <v>35.925274319698516</v>
      </c>
      <c r="W48" s="400">
        <f t="shared" si="9"/>
        <v>11.020300482659934</v>
      </c>
      <c r="X48" s="157">
        <f t="shared" si="10"/>
        <v>44960</v>
      </c>
      <c r="Y48" s="383">
        <f t="shared" si="11"/>
        <v>10.081672441061418</v>
      </c>
      <c r="Z48" s="383">
        <f t="shared" si="21"/>
        <v>10.368544551085938</v>
      </c>
      <c r="AA48" s="384">
        <f t="shared" si="12"/>
        <v>11.676464124983106</v>
      </c>
      <c r="AB48" s="197">
        <f t="shared" si="13"/>
        <v>44960</v>
      </c>
      <c r="AC48" s="119">
        <f>IF(OR(t&lt;Tnet,NoTnet),'2022'!Resal_s+('2022'!Salim-'2022'!Resal_s)*(1-EXP(('2022'!Tnet_s-t)/'2022'!Tau_j)),Resal_s+(Salim-Resal_s)*(1-EXP((Tnet_s-t)/Tau_j)))*Salcycl</f>
        <v>0.11201332525817692</v>
      </c>
      <c r="AD48" s="230">
        <f>(INDEX(Models!$BJ48:$BT48,,AH48)*(1-AF48)+INDEX(Models!$BJ48:$BT48,,AH48+1)*AF48-ERP_i)*AE48*Ramure*Pc/MaxiM</f>
        <v>5.4097213805135638E-5</v>
      </c>
      <c r="AE48" s="304">
        <f t="shared" si="14"/>
        <v>0.6</v>
      </c>
      <c r="AF48" s="177">
        <f t="shared" si="22"/>
        <v>0.50111199135951789</v>
      </c>
      <c r="AG48" s="799">
        <f t="shared" si="23"/>
        <v>0</v>
      </c>
      <c r="AH48" s="176">
        <f t="shared" si="15"/>
        <v>6</v>
      </c>
      <c r="AI48" s="224">
        <f t="shared" si="24"/>
        <v>0.50111199135951789</v>
      </c>
      <c r="AJ48" s="264" t="b">
        <f t="shared" si="16"/>
        <v>1</v>
      </c>
      <c r="AK48" s="264" t="b">
        <f t="shared" si="17"/>
        <v>0</v>
      </c>
      <c r="AL48" s="264"/>
      <c r="AM48" s="264"/>
      <c r="AN48" s="75"/>
    </row>
    <row r="49" spans="1:40" s="6" customFormat="1" ht="11.25" x14ac:dyDescent="0.2">
      <c r="A49" s="56">
        <f t="shared" si="18"/>
        <v>44961</v>
      </c>
      <c r="B49" s="409">
        <f>IF(t&gt;Tmaj,'2022'!Wh/'2022'!Env_an*'2023'!Env_an,0.001*'[4]mon-tableau'!$B$224)</f>
        <v>11.381630688720486</v>
      </c>
      <c r="C49" s="829"/>
      <c r="D49" s="391">
        <f t="shared" si="0"/>
        <v>11.70571720576166</v>
      </c>
      <c r="E49" s="383">
        <f t="shared" si="1"/>
        <v>12.060343609835796</v>
      </c>
      <c r="F49" s="383">
        <f t="shared" si="2"/>
        <v>12.060355394905447</v>
      </c>
      <c r="G49" s="110">
        <f t="shared" si="19"/>
        <v>0.31375708116412693</v>
      </c>
      <c r="H49" s="412" t="b">
        <f>Wh_hp&gt;='2022'!Maxi_hp</f>
        <v>0</v>
      </c>
      <c r="I49" s="379">
        <f>IF(H49,Wh_hp,'2022'!Maxi_hp)</f>
        <v>20.989724213200883</v>
      </c>
      <c r="J49" s="85">
        <f>IF(H49,An,'2022'!An_max)</f>
        <v>2020</v>
      </c>
      <c r="K49" s="197">
        <f t="shared" si="3"/>
        <v>44961</v>
      </c>
      <c r="L49" s="147">
        <f>IF(t&lt;Tvie,1-EXP((T0-t)*PertePVj)+'2022'!Pspv,1-EXP((T0-t)*PertePVj)+Pspv)</f>
        <v>2.7686173460747421E-2</v>
      </c>
      <c r="M49" s="832"/>
      <c r="N49" s="832"/>
      <c r="O49" s="48">
        <f>IF(t&lt;Tnet,'2022'!Resal+('2022'!Salim-'2022'!Resal)*(1-EXP(('2022'!Tnet-t)/('2022'!Tau_j))),Resal+(Salim-Resal)*(1-EXP((Tnet-t)/(Tau_j))))*Salcycl</f>
        <v>2.9404336687797131E-2</v>
      </c>
      <c r="P49" s="338">
        <f>(INDEX(Models!$BJ49:$BT49,,T49)*(1-R49)+INDEX(Models!$BJ49:$BT49,,T49+1)*R49-ERP_i)*Q49*Ramure*Pc/MaxiM</f>
        <v>4.9666295645627678E-5</v>
      </c>
      <c r="Q49" s="304">
        <f t="shared" si="4"/>
        <v>0.6</v>
      </c>
      <c r="R49" s="177">
        <f t="shared" si="5"/>
        <v>0.50122445819888395</v>
      </c>
      <c r="S49" s="799">
        <f t="shared" si="6"/>
        <v>0</v>
      </c>
      <c r="T49" s="176">
        <f t="shared" si="7"/>
        <v>6</v>
      </c>
      <c r="U49" s="250">
        <f t="shared" si="20"/>
        <v>0.50122445819888395</v>
      </c>
      <c r="V49" s="382">
        <f t="shared" si="8"/>
        <v>36.273528821579305</v>
      </c>
      <c r="W49" s="400">
        <f t="shared" si="9"/>
        <v>11.381630688720486</v>
      </c>
      <c r="X49" s="157">
        <f t="shared" si="10"/>
        <v>44961</v>
      </c>
      <c r="Y49" s="383">
        <f t="shared" si="11"/>
        <v>10.413040522049696</v>
      </c>
      <c r="Z49" s="383">
        <f t="shared" si="21"/>
        <v>10.709546895072688</v>
      </c>
      <c r="AA49" s="384">
        <f t="shared" si="12"/>
        <v>12.060343609835796</v>
      </c>
      <c r="AB49" s="197">
        <f t="shared" si="13"/>
        <v>44961</v>
      </c>
      <c r="AC49" s="119">
        <f>IF(OR(t&lt;Tnet,NoTnet),'2022'!Resal_s+('2022'!Salim-'2022'!Resal_s)*(1-EXP(('2022'!Tnet_s-t)/'2022'!Tau_j)),Resal_s+(Salim-Resal_s)*(1-EXP((Tnet_s-t)/Tau_j)))*Salcycl</f>
        <v>0.1120031699313665</v>
      </c>
      <c r="AD49" s="230">
        <f>(INDEX(Models!$BJ49:$BT49,,AH49)*(1-AF49)+INDEX(Models!$BJ49:$BT49,,AH49+1)*AF49-ERP_i)*AE49*Ramure*Pc/MaxiM</f>
        <v>4.9666295645627678E-5</v>
      </c>
      <c r="AE49" s="304">
        <f t="shared" si="14"/>
        <v>0.6</v>
      </c>
      <c r="AF49" s="177">
        <f t="shared" si="22"/>
        <v>0.50122445819888395</v>
      </c>
      <c r="AG49" s="799">
        <f t="shared" si="23"/>
        <v>0</v>
      </c>
      <c r="AH49" s="176">
        <f t="shared" si="15"/>
        <v>6</v>
      </c>
      <c r="AI49" s="224">
        <f t="shared" si="24"/>
        <v>0.50122445819888395</v>
      </c>
      <c r="AJ49" s="264" t="b">
        <f t="shared" si="16"/>
        <v>1</v>
      </c>
      <c r="AK49" s="264" t="b">
        <f t="shared" si="17"/>
        <v>0</v>
      </c>
      <c r="AL49" s="264"/>
      <c r="AM49" s="264"/>
      <c r="AN49" s="75"/>
    </row>
    <row r="50" spans="1:40" s="6" customFormat="1" ht="11.25" x14ac:dyDescent="0.2">
      <c r="A50" s="56">
        <f t="shared" si="18"/>
        <v>44962</v>
      </c>
      <c r="B50" s="409">
        <f>IF(t&gt;Tmaj,'2022'!Wh/'2022'!Env_an*'2023'!Env_an,0.001*'[4]mon-tableau'!$B$225)</f>
        <v>9.3909330647058749</v>
      </c>
      <c r="C50" s="829"/>
      <c r="D50" s="391">
        <f t="shared" si="0"/>
        <v>9.6585205176713274</v>
      </c>
      <c r="E50" s="383">
        <f t="shared" si="1"/>
        <v>9.9517901247007288</v>
      </c>
      <c r="F50" s="383">
        <f t="shared" si="2"/>
        <v>9.9517901247007288</v>
      </c>
      <c r="G50" s="110">
        <f t="shared" si="19"/>
        <v>0.25642995502612853</v>
      </c>
      <c r="H50" s="412" t="b">
        <f>Wh_hp&gt;='2022'!Maxi_hp</f>
        <v>0</v>
      </c>
      <c r="I50" s="379">
        <f>IF(H50,Wh_hp,'2022'!Maxi_hp)</f>
        <v>38.888374306898015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2.7704807633412654E-2</v>
      </c>
      <c r="M50" s="832"/>
      <c r="N50" s="832"/>
      <c r="O50" s="48">
        <f>IF(t&lt;Tnet,'2022'!Resal+('2022'!Salim-'2022'!Resal)*(1-EXP(('2022'!Tnet-t)/('2022'!Tau_j))),Resal+(Salim-Resal)*(1-EXP((Tnet-t)/(Tau_j))))*Salcycl</f>
        <v>2.9469030531652278E-2</v>
      </c>
      <c r="P50" s="338">
        <f>(INDEX(Models!$BJ50:$BT50,,T50)*(1-R50)+INDEX(Models!$BJ50:$BT50,,T50+1)*R50-ERP_i)*Q50*Ramure*Pc/MaxiM</f>
        <v>4.6136058208400719E-5</v>
      </c>
      <c r="Q50" s="304">
        <f t="shared" si="4"/>
        <v>0.6</v>
      </c>
      <c r="R50" s="177">
        <f t="shared" si="5"/>
        <v>0.50134158923966476</v>
      </c>
      <c r="S50" s="799">
        <f t="shared" si="6"/>
        <v>0</v>
      </c>
      <c r="T50" s="176">
        <f t="shared" si="7"/>
        <v>6</v>
      </c>
      <c r="U50" s="250">
        <f t="shared" si="20"/>
        <v>0.50134158923966476</v>
      </c>
      <c r="V50" s="382">
        <f t="shared" si="8"/>
        <v>36.620135908515607</v>
      </c>
      <c r="W50" s="400">
        <f t="shared" si="9"/>
        <v>9.3909330647058749</v>
      </c>
      <c r="X50" s="157">
        <f t="shared" si="10"/>
        <v>44962</v>
      </c>
      <c r="Y50" s="383">
        <f t="shared" si="11"/>
        <v>8.5924231152618109</v>
      </c>
      <c r="Z50" s="383">
        <f t="shared" si="21"/>
        <v>8.8372576381331971</v>
      </c>
      <c r="AA50" s="384">
        <f t="shared" si="12"/>
        <v>9.9517901247007288</v>
      </c>
      <c r="AB50" s="197">
        <f t="shared" si="13"/>
        <v>44962</v>
      </c>
      <c r="AC50" s="119">
        <f>IF(OR(t&lt;Tnet,NoTnet),'2022'!Resal_s+('2022'!Salim-'2022'!Resal_s)*(1-EXP(('2022'!Tnet_s-t)/'2022'!Tau_j)),Resal_s+(Salim-Resal_s)*(1-EXP((Tnet_s-t)/Tau_j)))*Salcycl</f>
        <v>0.11199316631499485</v>
      </c>
      <c r="AD50" s="230">
        <f>(INDEX(Models!$BJ50:$BT50,,AH50)*(1-AF50)+INDEX(Models!$BJ50:$BT50,,AH50+1)*AF50-ERP_i)*AE50*Ramure*Pc/MaxiM</f>
        <v>4.6136058208400719E-5</v>
      </c>
      <c r="AE50" s="304">
        <f t="shared" si="14"/>
        <v>0.6</v>
      </c>
      <c r="AF50" s="177">
        <f t="shared" si="22"/>
        <v>0.50134158923966476</v>
      </c>
      <c r="AG50" s="799">
        <f t="shared" si="23"/>
        <v>0</v>
      </c>
      <c r="AH50" s="176">
        <f t="shared" si="15"/>
        <v>6</v>
      </c>
      <c r="AI50" s="224">
        <f t="shared" si="24"/>
        <v>0.50134158923966476</v>
      </c>
      <c r="AJ50" s="264" t="b">
        <f t="shared" si="16"/>
        <v>1</v>
      </c>
      <c r="AK50" s="264" t="b">
        <f t="shared" si="17"/>
        <v>0</v>
      </c>
      <c r="AL50" s="264"/>
      <c r="AM50" s="264"/>
      <c r="AN50" s="75"/>
    </row>
    <row r="51" spans="1:40" s="6" customFormat="1" ht="11.25" x14ac:dyDescent="0.2">
      <c r="A51" s="56">
        <f t="shared" si="18"/>
        <v>44963</v>
      </c>
      <c r="B51" s="409">
        <f>IF(t&gt;Tmaj,'2022'!Wh/'2022'!Env_an*'2023'!Env_an,0.001*'[4]mon-tableau'!$B$226)</f>
        <v>25.691132382516358</v>
      </c>
      <c r="C51" s="829"/>
      <c r="D51" s="391">
        <f t="shared" si="0"/>
        <v>26.423687948214219</v>
      </c>
      <c r="E51" s="383">
        <f t="shared" si="1"/>
        <v>27.227826449291054</v>
      </c>
      <c r="F51" s="383">
        <f t="shared" si="2"/>
        <v>27.228494406790979</v>
      </c>
      <c r="G51" s="110">
        <f t="shared" si="19"/>
        <v>0.69494964073865684</v>
      </c>
      <c r="H51" s="412" t="b">
        <f>Wh_hp&gt;='2022'!Maxi_hp</f>
        <v>0</v>
      </c>
      <c r="I51" s="379">
        <f>IF(H51,Wh_hp,'2022'!Maxi_hp)</f>
        <v>41.004542581463518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2.7723441448958219E-2</v>
      </c>
      <c r="M51" s="832"/>
      <c r="N51" s="832"/>
      <c r="O51" s="48">
        <f>IF(t&lt;Tnet,'2022'!Resal+('2022'!Salim-'2022'!Resal)*(1-EXP(('2022'!Tnet-t)/('2022'!Tau_j))),Resal+(Salim-Resal)*(1-EXP((Tnet-t)/(Tau_j))))*Salcycl</f>
        <v>2.9533701581889289E-2</v>
      </c>
      <c r="P51" s="338">
        <f>(INDEX(Models!$BJ51:$BT51,,T51)*(1-R51)+INDEX(Models!$BJ51:$BT51,,T51+1)*R51-ERP_i)*Q51*Ramure*Pc/MaxiM</f>
        <v>4.34777479939154E-5</v>
      </c>
      <c r="Q51" s="304">
        <f t="shared" si="4"/>
        <v>0.6</v>
      </c>
      <c r="R51" s="177">
        <f t="shared" si="5"/>
        <v>0.50146357556925891</v>
      </c>
      <c r="S51" s="799">
        <f t="shared" si="6"/>
        <v>0</v>
      </c>
      <c r="T51" s="176">
        <f t="shared" si="7"/>
        <v>6</v>
      </c>
      <c r="U51" s="250">
        <f t="shared" si="20"/>
        <v>0.50146357556925891</v>
      </c>
      <c r="V51" s="382">
        <f t="shared" si="8"/>
        <v>36.967636380526208</v>
      </c>
      <c r="W51" s="400">
        <f t="shared" si="9"/>
        <v>25.691132382516358</v>
      </c>
      <c r="X51" s="157">
        <f t="shared" si="10"/>
        <v>44963</v>
      </c>
      <c r="Y51" s="383">
        <f t="shared" si="11"/>
        <v>23.508445895124975</v>
      </c>
      <c r="Z51" s="383">
        <f t="shared" si="21"/>
        <v>24.178764455824169</v>
      </c>
      <c r="AA51" s="384">
        <f t="shared" si="12"/>
        <v>27.227826449291054</v>
      </c>
      <c r="AB51" s="197">
        <f t="shared" si="13"/>
        <v>44963</v>
      </c>
      <c r="AC51" s="119">
        <f>IF(OR(t&lt;Tnet,NoTnet),'2022'!Resal_s+('2022'!Salim-'2022'!Resal_s)*(1-EXP(('2022'!Tnet_s-t)/'2022'!Tau_j)),Resal_s+(Salim-Resal_s)*(1-EXP((Tnet_s-t)/Tau_j)))*Salcycl</f>
        <v>0.1119833049893072</v>
      </c>
      <c r="AD51" s="230">
        <f>(INDEX(Models!$BJ51:$BT51,,AH51)*(1-AF51)+INDEX(Models!$BJ51:$BT51,,AH51+1)*AF51-ERP_i)*AE51*Ramure*Pc/MaxiM</f>
        <v>4.34777479939154E-5</v>
      </c>
      <c r="AE51" s="304">
        <f t="shared" si="14"/>
        <v>0.6</v>
      </c>
      <c r="AF51" s="177">
        <f t="shared" si="22"/>
        <v>0.50146357556925891</v>
      </c>
      <c r="AG51" s="799">
        <f t="shared" si="23"/>
        <v>0</v>
      </c>
      <c r="AH51" s="176">
        <f t="shared" si="15"/>
        <v>6</v>
      </c>
      <c r="AI51" s="224">
        <f t="shared" si="24"/>
        <v>0.50146357556925891</v>
      </c>
      <c r="AJ51" s="264" t="b">
        <f t="shared" si="16"/>
        <v>1</v>
      </c>
      <c r="AK51" s="264" t="b">
        <f t="shared" si="17"/>
        <v>0</v>
      </c>
      <c r="AL51" s="264"/>
      <c r="AM51" s="264"/>
      <c r="AN51" s="75"/>
    </row>
    <row r="52" spans="1:40" s="6" customFormat="1" ht="11.25" x14ac:dyDescent="0.2">
      <c r="A52" s="56">
        <f t="shared" si="18"/>
        <v>44964</v>
      </c>
      <c r="B52" s="409">
        <f>IF(t&gt;Tmaj,'2022'!Wh/'2022'!Env_an*'2023'!Env_an,0.001*'[4]mon-tableau'!$B$227)</f>
        <v>9.2167045094038453</v>
      </c>
      <c r="C52" s="829"/>
      <c r="D52" s="391">
        <f t="shared" si="0"/>
        <v>9.4796908017241819</v>
      </c>
      <c r="E52" s="383">
        <f t="shared" si="1"/>
        <v>9.7688320876701713</v>
      </c>
      <c r="F52" s="383">
        <f t="shared" si="2"/>
        <v>9.7688320876701713</v>
      </c>
      <c r="G52" s="110">
        <f t="shared" si="19"/>
        <v>0.24696249084212732</v>
      </c>
      <c r="H52" s="412" t="b">
        <f>Wh_hp&gt;='2022'!Maxi_hp</f>
        <v>0</v>
      </c>
      <c r="I52" s="379">
        <f>IF(H52,Wh_hp,'2022'!Maxi_hp)</f>
        <v>27.6544109096825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2.774207490739089E-2</v>
      </c>
      <c r="M52" s="832"/>
      <c r="N52" s="832"/>
      <c r="O52" s="48">
        <f>IF(t&lt;Tnet,'2022'!Resal+('2022'!Salim-'2022'!Resal)*(1-EXP(('2022'!Tnet-t)/('2022'!Tau_j))),Resal+(Salim-Resal)*(1-EXP((Tnet-t)/(Tau_j))))*Salcycl</f>
        <v>2.9598347412576879E-2</v>
      </c>
      <c r="P52" s="338">
        <f>(INDEX(Models!$BJ52:$BT52,,T52)*(1-R52)+INDEX(Models!$BJ52:$BT52,,T52+1)*R52-ERP_i)*Q52*Ramure*Pc/MaxiM</f>
        <v>4.1652649809285502E-5</v>
      </c>
      <c r="Q52" s="304">
        <f t="shared" si="4"/>
        <v>0.6</v>
      </c>
      <c r="R52" s="177">
        <f t="shared" si="5"/>
        <v>0.50159061590416032</v>
      </c>
      <c r="S52" s="799">
        <f t="shared" si="6"/>
        <v>0</v>
      </c>
      <c r="T52" s="176">
        <f t="shared" si="7"/>
        <v>6</v>
      </c>
      <c r="U52" s="250">
        <f t="shared" si="20"/>
        <v>0.50159061590416032</v>
      </c>
      <c r="V52" s="382">
        <f t="shared" si="8"/>
        <v>37.318706082901166</v>
      </c>
      <c r="W52" s="400">
        <f t="shared" si="9"/>
        <v>9.2167045094038453</v>
      </c>
      <c r="X52" s="157">
        <f t="shared" si="10"/>
        <v>44964</v>
      </c>
      <c r="Y52" s="383">
        <f t="shared" si="11"/>
        <v>8.4343190551954272</v>
      </c>
      <c r="Z52" s="383">
        <f t="shared" si="21"/>
        <v>8.6749810287142122</v>
      </c>
      <c r="AA52" s="384">
        <f t="shared" si="12"/>
        <v>9.7688320876701713</v>
      </c>
      <c r="AB52" s="197">
        <f t="shared" si="13"/>
        <v>44964</v>
      </c>
      <c r="AC52" s="119">
        <f>IF(OR(t&lt;Tnet,NoTnet),'2022'!Resal_s+('2022'!Salim-'2022'!Resal_s)*(1-EXP(('2022'!Tnet_s-t)/'2022'!Tau_j)),Resal_s+(Salim-Resal_s)*(1-EXP((Tnet_s-t)/Tau_j)))*Salcycl</f>
        <v>0.11197357566792188</v>
      </c>
      <c r="AD52" s="230">
        <f>(INDEX(Models!$BJ52:$BT52,,AH52)*(1-AF52)+INDEX(Models!$BJ52:$BT52,,AH52+1)*AF52-ERP_i)*AE52*Ramure*Pc/MaxiM</f>
        <v>4.1652649809285502E-5</v>
      </c>
      <c r="AE52" s="304">
        <f t="shared" si="14"/>
        <v>0.6</v>
      </c>
      <c r="AF52" s="177">
        <f t="shared" si="22"/>
        <v>0.50159061590416032</v>
      </c>
      <c r="AG52" s="799">
        <f t="shared" si="23"/>
        <v>0</v>
      </c>
      <c r="AH52" s="176">
        <f t="shared" si="15"/>
        <v>6</v>
      </c>
      <c r="AI52" s="224">
        <f t="shared" si="24"/>
        <v>0.50159061590416032</v>
      </c>
      <c r="AJ52" s="264" t="b">
        <f t="shared" si="16"/>
        <v>1</v>
      </c>
      <c r="AK52" s="264" t="b">
        <f t="shared" si="17"/>
        <v>0</v>
      </c>
      <c r="AL52" s="264"/>
      <c r="AM52" s="264"/>
      <c r="AN52" s="75"/>
    </row>
    <row r="53" spans="1:40" s="6" customFormat="1" ht="11.25" x14ac:dyDescent="0.2">
      <c r="A53" s="56">
        <f t="shared" si="18"/>
        <v>44965</v>
      </c>
      <c r="B53" s="409">
        <f>IF(t&gt;Tmaj,'2022'!Wh/'2022'!Env_an*'2023'!Env_an,0.001*'[4]mon-tableau'!$B$228)</f>
        <v>37.248751762844009</v>
      </c>
      <c r="C53" s="829"/>
      <c r="D53" s="391">
        <f t="shared" si="0"/>
        <v>38.312329145382861</v>
      </c>
      <c r="E53" s="383">
        <f t="shared" si="1"/>
        <v>39.483527659195985</v>
      </c>
      <c r="F53" s="383">
        <f t="shared" si="2"/>
        <v>39.485083430799754</v>
      </c>
      <c r="G53" s="110">
        <f t="shared" si="19"/>
        <v>0.98874440712574185</v>
      </c>
      <c r="H53" s="412" t="b">
        <f>Wh_hp&gt;='2022'!Maxi_hp</f>
        <v>0</v>
      </c>
      <c r="I53" s="379">
        <f>IF(H53,Wh_hp,'2022'!Maxi_hp)</f>
        <v>39.485093112915379</v>
      </c>
      <c r="J53" s="85">
        <f>IF(H53,An,'2022'!An_max)</f>
        <v>2022</v>
      </c>
      <c r="K53" s="197">
        <f t="shared" si="3"/>
        <v>44965</v>
      </c>
      <c r="L53" s="147">
        <f>IF(t&lt;Tvie,1-EXP((T0-t)*PertePVj)+'2022'!Pspv,1-EXP((T0-t)*PertePVj)+Pspv)</f>
        <v>2.776070800871755E-2</v>
      </c>
      <c r="M53" s="832"/>
      <c r="N53" s="832"/>
      <c r="O53" s="48">
        <f>IF(t&lt;Tnet,'2022'!Resal+('2022'!Salim-'2022'!Resal)*(1-EXP(('2022'!Tnet-t)/('2022'!Tau_j))),Resal+(Salim-Resal)*(1-EXP((Tnet-t)/(Tau_j))))*Salcycl</f>
        <v>2.9662965374380495E-2</v>
      </c>
      <c r="P53" s="338">
        <f>(INDEX(Models!$BJ53:$BT53,,T53)*(1-R53)+INDEX(Models!$BJ53:$BT53,,T53+1)*R53-ERP_i)*Q53*Ramure*Pc/MaxiM</f>
        <v>4.0045372125138782E-5</v>
      </c>
      <c r="Q53" s="304">
        <f t="shared" si="4"/>
        <v>0.6</v>
      </c>
      <c r="R53" s="177">
        <f t="shared" si="5"/>
        <v>0.50172291687752657</v>
      </c>
      <c r="S53" s="799">
        <f t="shared" si="6"/>
        <v>0</v>
      </c>
      <c r="T53" s="176">
        <f t="shared" si="7"/>
        <v>6</v>
      </c>
      <c r="U53" s="250">
        <f t="shared" si="20"/>
        <v>0.50172291687752657</v>
      </c>
      <c r="V53" s="382">
        <f t="shared" si="8"/>
        <v>37.67275699372216</v>
      </c>
      <c r="W53" s="400">
        <f t="shared" si="9"/>
        <v>37.248751762844009</v>
      </c>
      <c r="X53" s="157">
        <f t="shared" si="10"/>
        <v>44965</v>
      </c>
      <c r="Y53" s="383">
        <f t="shared" si="11"/>
        <v>34.089427237700214</v>
      </c>
      <c r="Z53" s="383">
        <f t="shared" si="21"/>
        <v>35.062795258850613</v>
      </c>
      <c r="AA53" s="384">
        <f t="shared" si="12"/>
        <v>39.483527659195985</v>
      </c>
      <c r="AB53" s="197">
        <f t="shared" si="13"/>
        <v>44965</v>
      </c>
      <c r="AC53" s="119">
        <f>IF(OR(t&lt;Tnet,NoTnet),'2022'!Resal_s+('2022'!Salim-'2022'!Resal_s)*(1-EXP(('2022'!Tnet_s-t)/'2022'!Tau_j)),Resal_s+(Salim-Resal_s)*(1-EXP((Tnet_s-t)/Tau_j)))*Salcycl</f>
        <v>0.11196396731576613</v>
      </c>
      <c r="AD53" s="230">
        <f>(INDEX(Models!$BJ53:$BT53,,AH53)*(1-AF53)+INDEX(Models!$BJ53:$BT53,,AH53+1)*AF53-ERP_i)*AE53*Ramure*Pc/MaxiM</f>
        <v>4.0045372125138782E-5</v>
      </c>
      <c r="AE53" s="304">
        <f t="shared" si="14"/>
        <v>0.6</v>
      </c>
      <c r="AF53" s="177">
        <f t="shared" si="22"/>
        <v>0.50172291687752657</v>
      </c>
      <c r="AG53" s="799">
        <f t="shared" si="23"/>
        <v>0</v>
      </c>
      <c r="AH53" s="176">
        <f t="shared" si="15"/>
        <v>6</v>
      </c>
      <c r="AI53" s="224">
        <f t="shared" si="24"/>
        <v>0.50172291687752657</v>
      </c>
      <c r="AJ53" s="264" t="b">
        <f t="shared" si="16"/>
        <v>1</v>
      </c>
      <c r="AK53" s="264" t="b">
        <f t="shared" si="17"/>
        <v>0</v>
      </c>
      <c r="AL53" s="264"/>
      <c r="AM53" s="264"/>
      <c r="AN53" s="75"/>
    </row>
    <row r="54" spans="1:40" s="6" customFormat="1" ht="11.25" x14ac:dyDescent="0.2">
      <c r="A54" s="56">
        <f t="shared" si="18"/>
        <v>44966</v>
      </c>
      <c r="B54" s="409">
        <f>IF(t&gt;Tmaj,'2022'!Wh/'2022'!Env_an*'2023'!Env_an,0.001*'[4]mon-tableau'!$B$229)</f>
        <v>38.008918328823995</v>
      </c>
      <c r="C54" s="829"/>
      <c r="D54" s="391">
        <f t="shared" si="0"/>
        <v>39.094950274210746</v>
      </c>
      <c r="E54" s="383">
        <f t="shared" si="1"/>
        <v>40.292755277211072</v>
      </c>
      <c r="F54" s="383">
        <f t="shared" si="2"/>
        <v>40.294311501222303</v>
      </c>
      <c r="G54" s="110">
        <f t="shared" si="19"/>
        <v>0.99946720519372034</v>
      </c>
      <c r="H54" s="412" t="b">
        <f>Wh_hp&gt;='2022'!Maxi_hp</f>
        <v>0</v>
      </c>
      <c r="I54" s="379">
        <f>IF(H54,Wh_hp,'2022'!Maxi_hp)</f>
        <v>40.294311941413838</v>
      </c>
      <c r="J54" s="85">
        <f>IF(H54,An,'2022'!An_max)</f>
        <v>2022</v>
      </c>
      <c r="K54" s="197">
        <f t="shared" si="3"/>
        <v>44966</v>
      </c>
      <c r="L54" s="147">
        <f>IF(t&lt;Tvie,1-EXP((T0-t)*PertePVj)+'2022'!Pspv,1-EXP((T0-t)*PertePVj)+Pspv)</f>
        <v>2.7779340752945192E-2</v>
      </c>
      <c r="M54" s="832"/>
      <c r="N54" s="832"/>
      <c r="O54" s="48">
        <f>IF(t&lt;Tnet,'2022'!Resal+('2022'!Salim-'2022'!Resal)*(1-EXP(('2022'!Tnet-t)/('2022'!Tau_j))),Resal+(Salim-Resal)*(1-EXP((Tnet-t)/(Tau_j))))*Salcycl</f>
        <v>2.9727552627253292E-2</v>
      </c>
      <c r="P54" s="338">
        <f>(INDEX(Models!$BJ54:$BT54,,T54)*(1-R54)+INDEX(Models!$BJ54:$BT54,,T54+1)*R54-ERP_i)*Q54*Ramure*Pc/MaxiM</f>
        <v>3.8650848897428139E-5</v>
      </c>
      <c r="Q54" s="304">
        <f t="shared" si="4"/>
        <v>0.6</v>
      </c>
      <c r="R54" s="177">
        <f t="shared" si="5"/>
        <v>0.50186069333611771</v>
      </c>
      <c r="S54" s="799">
        <f t="shared" si="6"/>
        <v>0</v>
      </c>
      <c r="T54" s="176">
        <f t="shared" si="7"/>
        <v>6</v>
      </c>
      <c r="U54" s="250">
        <f t="shared" si="20"/>
        <v>0.50186069333611771</v>
      </c>
      <c r="V54" s="382">
        <f t="shared" si="8"/>
        <v>38.029178959712802</v>
      </c>
      <c r="W54" s="400">
        <f t="shared" si="9"/>
        <v>38.008918328823995</v>
      </c>
      <c r="X54" s="157">
        <f t="shared" si="10"/>
        <v>44966</v>
      </c>
      <c r="Y54" s="383">
        <f t="shared" si="11"/>
        <v>34.787806433956703</v>
      </c>
      <c r="Z54" s="383">
        <f t="shared" si="21"/>
        <v>35.781801284595659</v>
      </c>
      <c r="AA54" s="384">
        <f t="shared" si="12"/>
        <v>40.292755277211072</v>
      </c>
      <c r="AB54" s="197">
        <f t="shared" si="13"/>
        <v>44966</v>
      </c>
      <c r="AC54" s="119">
        <f>IF(OR(t&lt;Tnet,NoTnet),'2022'!Resal_s+('2022'!Salim-'2022'!Resal_s)*(1-EXP(('2022'!Tnet_s-t)/'2022'!Tau_j)),Resal_s+(Salim-Resal_s)*(1-EXP((Tnet_s-t)/Tau_j)))*Salcycl</f>
        <v>0.1119544682804736</v>
      </c>
      <c r="AD54" s="230">
        <f>(INDEX(Models!$BJ54:$BT54,,AH54)*(1-AF54)+INDEX(Models!$BJ54:$BT54,,AH54+1)*AF54-ERP_i)*AE54*Ramure*Pc/MaxiM</f>
        <v>3.8650848897428139E-5</v>
      </c>
      <c r="AE54" s="304">
        <f t="shared" si="14"/>
        <v>0.6</v>
      </c>
      <c r="AF54" s="177">
        <f t="shared" si="22"/>
        <v>0.50186069333611771</v>
      </c>
      <c r="AG54" s="799">
        <f t="shared" si="23"/>
        <v>0</v>
      </c>
      <c r="AH54" s="176">
        <f t="shared" si="15"/>
        <v>6</v>
      </c>
      <c r="AI54" s="224">
        <f t="shared" si="24"/>
        <v>0.50186069333611771</v>
      </c>
      <c r="AJ54" s="264" t="b">
        <f t="shared" si="16"/>
        <v>1</v>
      </c>
      <c r="AK54" s="264" t="b">
        <f t="shared" si="17"/>
        <v>0</v>
      </c>
      <c r="AL54" s="264"/>
      <c r="AM54" s="264"/>
      <c r="AN54" s="75"/>
    </row>
    <row r="55" spans="1:40" s="6" customFormat="1" ht="11.25" x14ac:dyDescent="0.2">
      <c r="A55" s="56">
        <f t="shared" si="18"/>
        <v>44967</v>
      </c>
      <c r="B55" s="409">
        <f>IF(t&gt;Tmaj,'2022'!Wh/'2022'!Env_an*'2023'!Env_an,0.001*'[4]mon-tableau'!$B$230)</f>
        <v>35.636356945675558</v>
      </c>
      <c r="C55" s="829"/>
      <c r="D55" s="391">
        <f t="shared" si="0"/>
        <v>36.655299990246007</v>
      </c>
      <c r="E55" s="383">
        <f t="shared" si="1"/>
        <v>37.780871732345972</v>
      </c>
      <c r="F55" s="383">
        <f t="shared" si="2"/>
        <v>37.782142291766569</v>
      </c>
      <c r="G55" s="110">
        <f t="shared" si="19"/>
        <v>0.92833209572279085</v>
      </c>
      <c r="H55" s="412" t="b">
        <f>Wh_hp&gt;='2022'!Maxi_hp</f>
        <v>0</v>
      </c>
      <c r="I55" s="379">
        <f>IF(H55,Wh_hp,'2022'!Maxi_hp)</f>
        <v>37.78219486426039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2.7797973140080479E-2</v>
      </c>
      <c r="M55" s="832"/>
      <c r="N55" s="832"/>
      <c r="O55" s="48">
        <f>IF(t&lt;Tnet,'2022'!Resal+('2022'!Salim-'2022'!Resal)*(1-EXP(('2022'!Tnet-t)/('2022'!Tau_j))),Resal+(Salim-Resal)*(1-EXP((Tnet-t)/(Tau_j))))*Salcycl</f>
        <v>2.9792106176743136E-2</v>
      </c>
      <c r="P55" s="338">
        <f>(INDEX(Models!$BJ55:$BT55,,T55)*(1-R55)+INDEX(Models!$BJ55:$BT55,,T55+1)*R55-ERP_i)*Q55*Ramure*Pc/MaxiM</f>
        <v>3.7464050986574777E-5</v>
      </c>
      <c r="Q55" s="304">
        <f t="shared" si="4"/>
        <v>0.6</v>
      </c>
      <c r="R55" s="177">
        <f t="shared" si="5"/>
        <v>0.50200416864678021</v>
      </c>
      <c r="S55" s="799">
        <f t="shared" si="6"/>
        <v>0</v>
      </c>
      <c r="T55" s="176">
        <f t="shared" si="7"/>
        <v>6</v>
      </c>
      <c r="U55" s="250">
        <f t="shared" si="20"/>
        <v>0.50200416864678021</v>
      </c>
      <c r="V55" s="382">
        <f t="shared" si="8"/>
        <v>38.387362047163741</v>
      </c>
      <c r="W55" s="400">
        <f t="shared" si="9"/>
        <v>35.636356945675558</v>
      </c>
      <c r="X55" s="157">
        <f t="shared" si="10"/>
        <v>44967</v>
      </c>
      <c r="Y55" s="383">
        <f t="shared" si="11"/>
        <v>32.618826131335489</v>
      </c>
      <c r="Z55" s="383">
        <f t="shared" si="21"/>
        <v>33.551489536274538</v>
      </c>
      <c r="AA55" s="384">
        <f t="shared" si="12"/>
        <v>37.780871732345972</v>
      </c>
      <c r="AB55" s="197">
        <f t="shared" si="13"/>
        <v>44967</v>
      </c>
      <c r="AC55" s="119">
        <f>IF(OR(t&lt;Tnet,NoTnet),'2022'!Resal_s+('2022'!Salim-'2022'!Resal_s)*(1-EXP(('2022'!Tnet_s-t)/'2022'!Tau_j)),Resal_s+(Salim-Resal_s)*(1-EXP((Tnet_s-t)/Tau_j)))*Salcycl</f>
        <v>0.11194506643557577</v>
      </c>
      <c r="AD55" s="230">
        <f>(INDEX(Models!$BJ55:$BT55,,AH55)*(1-AF55)+INDEX(Models!$BJ55:$BT55,,AH55+1)*AF55-ERP_i)*AE55*Ramure*Pc/MaxiM</f>
        <v>3.7464050986574777E-5</v>
      </c>
      <c r="AE55" s="304">
        <f t="shared" si="14"/>
        <v>0.6</v>
      </c>
      <c r="AF55" s="177">
        <f t="shared" si="22"/>
        <v>0.50200416864678021</v>
      </c>
      <c r="AG55" s="799">
        <f t="shared" si="23"/>
        <v>0</v>
      </c>
      <c r="AH55" s="176">
        <f t="shared" si="15"/>
        <v>6</v>
      </c>
      <c r="AI55" s="224">
        <f t="shared" si="24"/>
        <v>0.50200416864678021</v>
      </c>
      <c r="AJ55" s="264" t="b">
        <f t="shared" si="16"/>
        <v>1</v>
      </c>
      <c r="AK55" s="264" t="b">
        <f t="shared" si="17"/>
        <v>0</v>
      </c>
      <c r="AL55" s="264"/>
      <c r="AM55" s="264"/>
      <c r="AN55" s="75"/>
    </row>
    <row r="56" spans="1:40" s="6" customFormat="1" ht="11.25" x14ac:dyDescent="0.2">
      <c r="A56" s="56">
        <f t="shared" si="18"/>
        <v>44968</v>
      </c>
      <c r="B56" s="409">
        <f>IF(t&gt;Tmaj,'2022'!Wh/'2022'!Env_an*'2023'!Env_an,0.001*'[4]mon-tableau'!$B$231)</f>
        <v>17.61413880196508</v>
      </c>
      <c r="C56" s="829"/>
      <c r="D56" s="391">
        <f t="shared" si="0"/>
        <v>18.118123489496053</v>
      </c>
      <c r="E56" s="383">
        <f t="shared" si="1"/>
        <v>18.67571733974793</v>
      </c>
      <c r="F56" s="383">
        <f t="shared" si="2"/>
        <v>18.675867806095887</v>
      </c>
      <c r="G56" s="110">
        <f t="shared" si="19"/>
        <v>0.45458425411976061</v>
      </c>
      <c r="H56" s="412" t="b">
        <f>Wh_hp&gt;='2022'!Maxi_hp</f>
        <v>0</v>
      </c>
      <c r="I56" s="379">
        <f>IF(H56,Wh_hp,'2022'!Maxi_hp)</f>
        <v>35.249540811228528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2.7816605170130293E-2</v>
      </c>
      <c r="M56" s="832"/>
      <c r="N56" s="832"/>
      <c r="O56" s="48">
        <f>IF(t&lt;Tnet,'2022'!Resal+('2022'!Salim-'2022'!Resal)*(1-EXP(('2022'!Tnet-t)/('2022'!Tau_j))),Resal+(Salim-Resal)*(1-EXP((Tnet-t)/(Tau_j))))*Salcycl</f>
        <v>2.9856622913495216E-2</v>
      </c>
      <c r="P56" s="338">
        <f>(INDEX(Models!$BJ56:$BT56,,T56)*(1-R56)+INDEX(Models!$BJ56:$BT56,,T56+1)*R56-ERP_i)*Q56*Ramure*Pc/MaxiM</f>
        <v>3.648002054404514E-5</v>
      </c>
      <c r="Q56" s="304">
        <f t="shared" si="4"/>
        <v>0.6</v>
      </c>
      <c r="R56" s="177">
        <f t="shared" si="5"/>
        <v>0.50215357501264146</v>
      </c>
      <c r="S56" s="799">
        <f t="shared" si="6"/>
        <v>0</v>
      </c>
      <c r="T56" s="176">
        <f t="shared" si="7"/>
        <v>6</v>
      </c>
      <c r="U56" s="250">
        <f t="shared" si="20"/>
        <v>0.50215357501264146</v>
      </c>
      <c r="V56" s="382">
        <f t="shared" si="8"/>
        <v>38.746696539634492</v>
      </c>
      <c r="W56" s="400">
        <f t="shared" si="9"/>
        <v>17.61413880196508</v>
      </c>
      <c r="X56" s="157">
        <f t="shared" si="10"/>
        <v>44968</v>
      </c>
      <c r="Y56" s="383">
        <f t="shared" si="11"/>
        <v>16.123891937783075</v>
      </c>
      <c r="Z56" s="383">
        <f t="shared" si="21"/>
        <v>16.585236924978261</v>
      </c>
      <c r="AA56" s="384">
        <f t="shared" si="12"/>
        <v>18.67571733974793</v>
      </c>
      <c r="AB56" s="197">
        <f t="shared" si="13"/>
        <v>44968</v>
      </c>
      <c r="AC56" s="119">
        <f>IF(OR(t&lt;Tnet,NoTnet),'2022'!Resal_s+('2022'!Salim-'2022'!Resal_s)*(1-EXP(('2022'!Tnet_s-t)/'2022'!Tau_j)),Resal_s+(Salim-Resal_s)*(1-EXP((Tnet_s-t)/Tau_j)))*Salcycl</f>
        <v>0.11193574933373264</v>
      </c>
      <c r="AD56" s="230">
        <f>(INDEX(Models!$BJ56:$BT56,,AH56)*(1-AF56)+INDEX(Models!$BJ56:$BT56,,AH56+1)*AF56-ERP_i)*AE56*Ramure*Pc/MaxiM</f>
        <v>3.648002054404514E-5</v>
      </c>
      <c r="AE56" s="304">
        <f t="shared" si="14"/>
        <v>0.6</v>
      </c>
      <c r="AF56" s="177">
        <f t="shared" si="22"/>
        <v>0.50215357501264146</v>
      </c>
      <c r="AG56" s="799">
        <f t="shared" si="23"/>
        <v>0</v>
      </c>
      <c r="AH56" s="176">
        <f t="shared" si="15"/>
        <v>6</v>
      </c>
      <c r="AI56" s="224">
        <f t="shared" si="24"/>
        <v>0.50215357501264146</v>
      </c>
      <c r="AJ56" s="264" t="b">
        <f t="shared" si="16"/>
        <v>1</v>
      </c>
      <c r="AK56" s="264" t="b">
        <f t="shared" si="17"/>
        <v>0</v>
      </c>
      <c r="AL56" s="264"/>
      <c r="AM56" s="264"/>
      <c r="AN56" s="75"/>
    </row>
    <row r="57" spans="1:40" s="6" customFormat="1" ht="11.25" x14ac:dyDescent="0.2">
      <c r="A57" s="56">
        <f t="shared" si="18"/>
        <v>44969</v>
      </c>
      <c r="B57" s="409">
        <f>IF(t&gt;Tmaj,'2022'!Wh/'2022'!Env_an*'2023'!Env_an,0.001*'[4]mon-tableau'!$B$232)</f>
        <v>28.632955344599829</v>
      </c>
      <c r="C57" s="829"/>
      <c r="D57" s="391">
        <f t="shared" si="0"/>
        <v>29.452780464517549</v>
      </c>
      <c r="E57" s="383">
        <f t="shared" si="1"/>
        <v>30.361221601725646</v>
      </c>
      <c r="F57" s="383">
        <f t="shared" si="2"/>
        <v>30.361890695537863</v>
      </c>
      <c r="G57" s="110">
        <f t="shared" si="19"/>
        <v>0.7321675656308595</v>
      </c>
      <c r="H57" s="412" t="b">
        <f>Wh_hp&gt;='2022'!Maxi_hp</f>
        <v>0</v>
      </c>
      <c r="I57" s="379">
        <f>IF(H57,Wh_hp,'2022'!Maxi_hp)</f>
        <v>30.36203542631517</v>
      </c>
      <c r="J57" s="85">
        <f>IF(H57,An,'2022'!An_max)</f>
        <v>2022</v>
      </c>
      <c r="K57" s="197">
        <f t="shared" si="3"/>
        <v>44969</v>
      </c>
      <c r="L57" s="147">
        <f>IF(t&lt;Tvie,1-EXP((T0-t)*PertePVj)+'2022'!Pspv,1-EXP((T0-t)*PertePVj)+Pspv)</f>
        <v>2.7835236843101518E-2</v>
      </c>
      <c r="M57" s="832"/>
      <c r="N57" s="832"/>
      <c r="O57" s="48">
        <f>IF(t&lt;Tnet,'2022'!Resal+('2022'!Salim-'2022'!Resal)*(1-EXP(('2022'!Tnet-t)/('2022'!Tau_j))),Resal+(Salim-Resal)*(1-EXP((Tnet-t)/(Tau_j))))*Salcycl</f>
        <v>2.9921099655504692E-2</v>
      </c>
      <c r="P57" s="338">
        <f>(INDEX(Models!$BJ57:$BT57,,T57)*(1-R57)+INDEX(Models!$BJ57:$BT57,,T57+1)*R57-ERP_i)*Q57*Ramure*Pc/MaxiM</f>
        <v>3.569390167319091E-5</v>
      </c>
      <c r="Q57" s="304">
        <f t="shared" si="4"/>
        <v>0.6</v>
      </c>
      <c r="R57" s="177">
        <f t="shared" si="5"/>
        <v>0.5023091537991643</v>
      </c>
      <c r="S57" s="799">
        <f t="shared" si="6"/>
        <v>0</v>
      </c>
      <c r="T57" s="176">
        <f t="shared" si="7"/>
        <v>6</v>
      </c>
      <c r="U57" s="250">
        <f t="shared" si="20"/>
        <v>0.5023091537991643</v>
      </c>
      <c r="V57" s="382">
        <f t="shared" si="8"/>
        <v>39.106572936183291</v>
      </c>
      <c r="W57" s="400">
        <f t="shared" si="9"/>
        <v>28.632955344599829</v>
      </c>
      <c r="X57" s="157">
        <f t="shared" si="10"/>
        <v>44969</v>
      </c>
      <c r="Y57" s="383">
        <f t="shared" si="11"/>
        <v>26.212474814284136</v>
      </c>
      <c r="Z57" s="383">
        <f t="shared" si="21"/>
        <v>26.962996199496775</v>
      </c>
      <c r="AA57" s="384">
        <f t="shared" si="12"/>
        <v>30.361221601725646</v>
      </c>
      <c r="AB57" s="197">
        <f t="shared" si="13"/>
        <v>44969</v>
      </c>
      <c r="AC57" s="119">
        <f>IF(OR(t&lt;Tnet,NoTnet),'2022'!Resal_s+('2022'!Salim-'2022'!Resal_s)*(1-EXP(('2022'!Tnet_s-t)/'2022'!Tau_j)),Resal_s+(Salim-Resal_s)*(1-EXP((Tnet_s-t)/Tau_j)))*Salcycl</f>
        <v>0.11192650436818141</v>
      </c>
      <c r="AD57" s="230">
        <f>(INDEX(Models!$BJ57:$BT57,,AH57)*(1-AF57)+INDEX(Models!$BJ57:$BT57,,AH57+1)*AF57-ERP_i)*AE57*Ramure*Pc/MaxiM</f>
        <v>3.569390167319091E-5</v>
      </c>
      <c r="AE57" s="304">
        <f t="shared" si="14"/>
        <v>0.6</v>
      </c>
      <c r="AF57" s="177">
        <f t="shared" si="22"/>
        <v>0.5023091537991643</v>
      </c>
      <c r="AG57" s="799">
        <f t="shared" si="23"/>
        <v>0</v>
      </c>
      <c r="AH57" s="176">
        <f t="shared" si="15"/>
        <v>6</v>
      </c>
      <c r="AI57" s="224">
        <f t="shared" si="24"/>
        <v>0.5023091537991643</v>
      </c>
      <c r="AJ57" s="264" t="b">
        <f t="shared" si="16"/>
        <v>1</v>
      </c>
      <c r="AK57" s="264" t="b">
        <f t="shared" si="17"/>
        <v>0</v>
      </c>
      <c r="AL57" s="264"/>
      <c r="AM57" s="264"/>
      <c r="AN57" s="75"/>
    </row>
    <row r="58" spans="1:40" s="6" customFormat="1" ht="11.25" x14ac:dyDescent="0.2">
      <c r="A58" s="56">
        <f t="shared" si="18"/>
        <v>44970</v>
      </c>
      <c r="B58" s="409">
        <f>IF(t&gt;Tmaj,'2022'!Wh/'2022'!Env_an*'2023'!Env_an,0.001*'[4]mon-tableau'!$B$233)</f>
        <v>35.654885401646958</v>
      </c>
      <c r="C58" s="829"/>
      <c r="D58" s="391">
        <f t="shared" si="0"/>
        <v>36.676466874507454</v>
      </c>
      <c r="E58" s="383">
        <f t="shared" si="1"/>
        <v>37.810226681693045</v>
      </c>
      <c r="F58" s="383">
        <f t="shared" si="2"/>
        <v>37.811369558016253</v>
      </c>
      <c r="G58" s="110">
        <f t="shared" si="19"/>
        <v>0.9034198172913197</v>
      </c>
      <c r="H58" s="412" t="b">
        <f>Wh_hp&gt;='2022'!Maxi_hp</f>
        <v>0</v>
      </c>
      <c r="I58" s="379">
        <f>IF(H58,Wh_hp,'2022'!Maxi_hp)</f>
        <v>37.811432491234164</v>
      </c>
      <c r="J58" s="85">
        <f>IF(H58,An,'2022'!An_max)</f>
        <v>2022</v>
      </c>
      <c r="K58" s="197">
        <f t="shared" si="3"/>
        <v>44970</v>
      </c>
      <c r="L58" s="147">
        <f>IF(t&lt;Tvie,1-EXP((T0-t)*PertePVj)+'2022'!Pspv,1-EXP((T0-t)*PertePVj)+Pspv)</f>
        <v>2.7853868159001038E-2</v>
      </c>
      <c r="M58" s="832"/>
      <c r="N58" s="832"/>
      <c r="O58" s="48">
        <f>IF(t&lt;Tnet,'2022'!Resal+('2022'!Salim-'2022'!Resal)*(1-EXP(('2022'!Tnet-t)/('2022'!Tau_j))),Resal+(Salim-Resal)*(1-EXP((Tnet-t)/(Tau_j))))*Salcycl</f>
        <v>2.9985533192651775E-2</v>
      </c>
      <c r="P58" s="338">
        <f>(INDEX(Models!$BJ58:$BT58,,T58)*(1-R58)+INDEX(Models!$BJ58:$BT58,,T58+1)*R58-ERP_i)*Q58*Ramure*Pc/MaxiM</f>
        <v>3.5063248767284041E-5</v>
      </c>
      <c r="Q58" s="304">
        <f t="shared" si="4"/>
        <v>0.6</v>
      </c>
      <c r="R58" s="177">
        <f t="shared" si="5"/>
        <v>0.50247115587020352</v>
      </c>
      <c r="S58" s="799">
        <f t="shared" si="6"/>
        <v>0</v>
      </c>
      <c r="T58" s="176">
        <f t="shared" si="7"/>
        <v>6</v>
      </c>
      <c r="U58" s="250">
        <f t="shared" si="20"/>
        <v>0.50247115587020352</v>
      </c>
      <c r="V58" s="382">
        <f t="shared" si="8"/>
        <v>39.466383438687075</v>
      </c>
      <c r="W58" s="400">
        <f t="shared" si="9"/>
        <v>35.654885401646958</v>
      </c>
      <c r="X58" s="157">
        <f t="shared" si="10"/>
        <v>44970</v>
      </c>
      <c r="Y58" s="383">
        <f t="shared" si="11"/>
        <v>32.643313377151259</v>
      </c>
      <c r="Z58" s="383">
        <f t="shared" si="21"/>
        <v>33.57860748294403</v>
      </c>
      <c r="AA58" s="384">
        <f t="shared" si="12"/>
        <v>37.810226681693045</v>
      </c>
      <c r="AB58" s="197">
        <f t="shared" si="13"/>
        <v>44970</v>
      </c>
      <c r="AC58" s="119">
        <f>IF(OR(t&lt;Tnet,NoTnet),'2022'!Resal_s+('2022'!Salim-'2022'!Resal_s)*(1-EXP(('2022'!Tnet_s-t)/'2022'!Tau_j)),Resal_s+(Salim-Resal_s)*(1-EXP((Tnet_s-t)/Tau_j)))*Salcycl</f>
        <v>0.11191731894053629</v>
      </c>
      <c r="AD58" s="230">
        <f>(INDEX(Models!$BJ58:$BT58,,AH58)*(1-AF58)+INDEX(Models!$BJ58:$BT58,,AH58+1)*AF58-ERP_i)*AE58*Ramure*Pc/MaxiM</f>
        <v>3.5063248767284041E-5</v>
      </c>
      <c r="AE58" s="304">
        <f t="shared" si="14"/>
        <v>0.6</v>
      </c>
      <c r="AF58" s="177">
        <f t="shared" si="22"/>
        <v>0.50247115587020352</v>
      </c>
      <c r="AG58" s="799">
        <f t="shared" si="23"/>
        <v>0</v>
      </c>
      <c r="AH58" s="176">
        <f t="shared" si="15"/>
        <v>6</v>
      </c>
      <c r="AI58" s="224">
        <f t="shared" si="24"/>
        <v>0.50247115587020352</v>
      </c>
      <c r="AJ58" s="264" t="b">
        <f t="shared" si="16"/>
        <v>1</v>
      </c>
      <c r="AK58" s="264" t="b">
        <f t="shared" si="17"/>
        <v>0</v>
      </c>
      <c r="AL58" s="264"/>
      <c r="AM58" s="264"/>
      <c r="AN58" s="75"/>
    </row>
    <row r="59" spans="1:40" s="6" customFormat="1" ht="11.25" x14ac:dyDescent="0.2">
      <c r="A59" s="56">
        <f t="shared" si="18"/>
        <v>44971</v>
      </c>
      <c r="B59" s="409">
        <f>IF(t&gt;Tmaj,'2022'!Wh/'2022'!Env_an*'2023'!Env_an,0.001*'[4]mon-tableau'!$B$234)</f>
        <v>15.691394515082296</v>
      </c>
      <c r="C59" s="829"/>
      <c r="D59" s="391">
        <f t="shared" si="0"/>
        <v>16.141292681096896</v>
      </c>
      <c r="E59" s="383">
        <f t="shared" si="1"/>
        <v>16.641364354172818</v>
      </c>
      <c r="F59" s="383">
        <f t="shared" si="2"/>
        <v>16.641441223141424</v>
      </c>
      <c r="G59" s="110">
        <f t="shared" si="19"/>
        <v>0.39399170981911946</v>
      </c>
      <c r="H59" s="412" t="b">
        <f>Wh_hp&gt;='2022'!Maxi_hp</f>
        <v>0</v>
      </c>
      <c r="I59" s="379">
        <f>IF(H59,Wh_hp,'2022'!Maxi_hp)</f>
        <v>40.693105086860676</v>
      </c>
      <c r="J59" s="85">
        <f>IF(H59,An,'2022'!An_max)</f>
        <v>2021</v>
      </c>
      <c r="K59" s="197">
        <f t="shared" si="3"/>
        <v>44971</v>
      </c>
      <c r="L59" s="147">
        <f>IF(t&lt;Tvie,1-EXP((T0-t)*PertePVj)+'2022'!Pspv,1-EXP((T0-t)*PertePVj)+Pspv)</f>
        <v>2.7872499117835625E-2</v>
      </c>
      <c r="M59" s="832"/>
      <c r="N59" s="832"/>
      <c r="O59" s="48">
        <f>IF(t&lt;Tnet,'2022'!Resal+('2022'!Salim-'2022'!Resal)*(1-EXP(('2022'!Tnet-t)/('2022'!Tau_j))),Resal+(Salim-Resal)*(1-EXP((Tnet-t)/(Tau_j))))*Salcycl</f>
        <v>3.0049920333036245E-2</v>
      </c>
      <c r="P59" s="338">
        <f>(INDEX(Models!$BJ59:$BT59,,T59)*(1-R59)+INDEX(Models!$BJ59:$BT59,,T59+1)*R59-ERP_i)*Q59*Ramure*Pc/MaxiM</f>
        <v>3.439651172545048E-5</v>
      </c>
      <c r="Q59" s="304">
        <f t="shared" si="4"/>
        <v>0.6</v>
      </c>
      <c r="R59" s="177">
        <f t="shared" si="5"/>
        <v>0.50263984193418521</v>
      </c>
      <c r="S59" s="799">
        <f t="shared" si="6"/>
        <v>0</v>
      </c>
      <c r="T59" s="176">
        <f t="shared" si="7"/>
        <v>6</v>
      </c>
      <c r="U59" s="250">
        <f t="shared" si="20"/>
        <v>0.50263984193418521</v>
      </c>
      <c r="V59" s="382">
        <f t="shared" si="8"/>
        <v>39.825526459610707</v>
      </c>
      <c r="W59" s="400">
        <f t="shared" si="9"/>
        <v>15.691394515082296</v>
      </c>
      <c r="X59" s="157">
        <f t="shared" si="10"/>
        <v>44971</v>
      </c>
      <c r="Y59" s="383">
        <f t="shared" si="11"/>
        <v>14.367130221886111</v>
      </c>
      <c r="Z59" s="383">
        <f t="shared" si="21"/>
        <v>14.77905954604571</v>
      </c>
      <c r="AA59" s="384">
        <f t="shared" si="12"/>
        <v>16.641364354172818</v>
      </c>
      <c r="AB59" s="197">
        <f t="shared" si="13"/>
        <v>44971</v>
      </c>
      <c r="AC59" s="119">
        <f>IF(OR(t&lt;Tnet,NoTnet),'2022'!Resal_s+('2022'!Salim-'2022'!Resal_s)*(1-EXP(('2022'!Tnet_s-t)/'2022'!Tau_j)),Resal_s+(Salim-Resal_s)*(1-EXP((Tnet_s-t)/Tau_j)))*Salcycl</f>
        <v>0.11190818063304622</v>
      </c>
      <c r="AD59" s="230">
        <f>(INDEX(Models!$BJ59:$BT59,,AH59)*(1-AF59)+INDEX(Models!$BJ59:$BT59,,AH59+1)*AF59-ERP_i)*AE59*Ramure*Pc/MaxiM</f>
        <v>3.439651172545048E-5</v>
      </c>
      <c r="AE59" s="304">
        <f t="shared" si="14"/>
        <v>0.6</v>
      </c>
      <c r="AF59" s="177">
        <f t="shared" si="22"/>
        <v>0.50263984193418521</v>
      </c>
      <c r="AG59" s="799">
        <f t="shared" si="23"/>
        <v>0</v>
      </c>
      <c r="AH59" s="176">
        <f t="shared" si="15"/>
        <v>6</v>
      </c>
      <c r="AI59" s="224">
        <f t="shared" si="24"/>
        <v>0.50263984193418521</v>
      </c>
      <c r="AJ59" s="264" t="b">
        <f t="shared" si="16"/>
        <v>1</v>
      </c>
      <c r="AK59" s="264" t="b">
        <f t="shared" si="17"/>
        <v>0</v>
      </c>
      <c r="AL59" s="264"/>
      <c r="AM59" s="264"/>
      <c r="AN59" s="75"/>
    </row>
    <row r="60" spans="1:40" s="6" customFormat="1" ht="11.25" x14ac:dyDescent="0.2">
      <c r="A60" s="56">
        <f t="shared" si="18"/>
        <v>44972</v>
      </c>
      <c r="B60" s="409">
        <f>IF(t&gt;Tmaj,'2022'!Wh/'2022'!Env_an*'2023'!Env_an,0.001*'[4]mon-tableau'!$B$235)</f>
        <v>19.949582565421192</v>
      </c>
      <c r="C60" s="829"/>
      <c r="D60" s="391">
        <f t="shared" si="0"/>
        <v>20.521963306092537</v>
      </c>
      <c r="E60" s="383">
        <f t="shared" si="1"/>
        <v>21.1591555750983</v>
      </c>
      <c r="F60" s="383">
        <f t="shared" si="2"/>
        <v>21.159355677511591</v>
      </c>
      <c r="G60" s="110">
        <f t="shared" si="19"/>
        <v>0.49645133126164409</v>
      </c>
      <c r="H60" s="412" t="b">
        <f>Wh_hp&gt;='2022'!Maxi_hp</f>
        <v>0</v>
      </c>
      <c r="I60" s="379">
        <f>IF(H60,Wh_hp,'2022'!Maxi_hp)</f>
        <v>42.120737329566786</v>
      </c>
      <c r="J60" s="85">
        <f>IF(H60,An,'2022'!An_max)</f>
        <v>2020</v>
      </c>
      <c r="K60" s="197">
        <f t="shared" si="3"/>
        <v>44972</v>
      </c>
      <c r="L60" s="147">
        <f>IF(t&lt;Tvie,1-EXP((T0-t)*PertePVj)+'2022'!Pspv,1-EXP((T0-t)*PertePVj)+Pspv)</f>
        <v>2.7891129719612051E-2</v>
      </c>
      <c r="M60" s="832"/>
      <c r="N60" s="832"/>
      <c r="O60" s="48">
        <f>IF(t&lt;Tnet,'2022'!Resal+('2022'!Salim-'2022'!Resal)*(1-EXP(('2022'!Tnet-t)/('2022'!Tau_j))),Resal+(Salim-Resal)*(1-EXP((Tnet-t)/(Tau_j))))*Salcycl</f>
        <v>3.0114257950617826E-2</v>
      </c>
      <c r="P60" s="338">
        <f>(INDEX(Models!$BJ60:$BT60,,T60)*(1-R60)+INDEX(Models!$BJ60:$BT60,,T60+1)*R60-ERP_i)*Q60*Ramure*Pc/MaxiM</f>
        <v>3.3695068980495661E-5</v>
      </c>
      <c r="Q60" s="304">
        <f t="shared" si="4"/>
        <v>0.6</v>
      </c>
      <c r="R60" s="177">
        <f t="shared" si="5"/>
        <v>0.50281548290051559</v>
      </c>
      <c r="S60" s="799">
        <f t="shared" si="6"/>
        <v>0</v>
      </c>
      <c r="T60" s="176">
        <f t="shared" si="7"/>
        <v>6</v>
      </c>
      <c r="U60" s="250">
        <f t="shared" si="20"/>
        <v>0.50281548290051559</v>
      </c>
      <c r="V60" s="382">
        <f t="shared" si="8"/>
        <v>40.183393142026098</v>
      </c>
      <c r="W60" s="400">
        <f t="shared" si="9"/>
        <v>19.949582565421192</v>
      </c>
      <c r="X60" s="157">
        <f t="shared" si="10"/>
        <v>44972</v>
      </c>
      <c r="Y60" s="383">
        <f t="shared" si="11"/>
        <v>18.267350383695245</v>
      </c>
      <c r="Z60" s="383">
        <f t="shared" si="21"/>
        <v>18.79146558803269</v>
      </c>
      <c r="AA60" s="384">
        <f t="shared" si="12"/>
        <v>21.1591555750983</v>
      </c>
      <c r="AB60" s="197">
        <f t="shared" si="13"/>
        <v>44972</v>
      </c>
      <c r="AC60" s="119">
        <f>IF(OR(t&lt;Tnet,NoTnet),'2022'!Resal_s+('2022'!Salim-'2022'!Resal_s)*(1-EXP(('2022'!Tnet_s-t)/'2022'!Tau_j)),Resal_s+(Salim-Resal_s)*(1-EXP((Tnet_s-t)/Tau_j)))*Salcycl</f>
        <v>0.11189907738341351</v>
      </c>
      <c r="AD60" s="230">
        <f>(INDEX(Models!$BJ60:$BT60,,AH60)*(1-AF60)+INDEX(Models!$BJ60:$BT60,,AH60+1)*AF60-ERP_i)*AE60*Ramure*Pc/MaxiM</f>
        <v>3.3695068980495661E-5</v>
      </c>
      <c r="AE60" s="304">
        <f t="shared" si="14"/>
        <v>0.6</v>
      </c>
      <c r="AF60" s="177">
        <f t="shared" si="22"/>
        <v>0.50281548290051559</v>
      </c>
      <c r="AG60" s="799">
        <f t="shared" si="23"/>
        <v>0</v>
      </c>
      <c r="AH60" s="176">
        <f t="shared" si="15"/>
        <v>6</v>
      </c>
      <c r="AI60" s="224">
        <f t="shared" si="24"/>
        <v>0.50281548290051559</v>
      </c>
      <c r="AJ60" s="264" t="b">
        <f t="shared" si="16"/>
        <v>1</v>
      </c>
      <c r="AK60" s="264" t="b">
        <f t="shared" si="17"/>
        <v>0</v>
      </c>
      <c r="AL60" s="264"/>
      <c r="AM60" s="264"/>
      <c r="AN60" s="75"/>
    </row>
    <row r="61" spans="1:40" s="6" customFormat="1" ht="11.25" x14ac:dyDescent="0.2">
      <c r="A61" s="56">
        <f t="shared" si="18"/>
        <v>44973</v>
      </c>
      <c r="B61" s="409">
        <f>IF(t&gt;Tmaj,'2022'!Wh/'2022'!Env_an*'2023'!Env_an,0.001*'[4]mon-tableau'!$B$236)</f>
        <v>8.9888691614541347</v>
      </c>
      <c r="C61" s="829"/>
      <c r="D61" s="391">
        <f t="shared" si="0"/>
        <v>9.2469492967282161</v>
      </c>
      <c r="E61" s="383">
        <f t="shared" si="1"/>
        <v>9.5346924223075717</v>
      </c>
      <c r="F61" s="383">
        <f t="shared" si="2"/>
        <v>9.5346924223075717</v>
      </c>
      <c r="G61" s="110">
        <f t="shared" si="19"/>
        <v>0.22172450667198626</v>
      </c>
      <c r="H61" s="412" t="b">
        <f>Wh_hp&gt;='2022'!Maxi_hp</f>
        <v>0</v>
      </c>
      <c r="I61" s="379">
        <f>IF(H61,Wh_hp,'2022'!Maxi_hp)</f>
        <v>34.417893598161328</v>
      </c>
      <c r="J61" s="85">
        <f>IF(H61,An,'2022'!An_max)</f>
        <v>2021</v>
      </c>
      <c r="K61" s="197">
        <f t="shared" si="3"/>
        <v>44973</v>
      </c>
      <c r="L61" s="147">
        <f>IF(t&lt;Tvie,1-EXP((T0-t)*PertePVj)+'2022'!Pspv,1-EXP((T0-t)*PertePVj)+Pspv)</f>
        <v>2.7909759964337311E-2</v>
      </c>
      <c r="M61" s="832"/>
      <c r="N61" s="832"/>
      <c r="O61" s="48">
        <f>IF(t&lt;Tnet,'2022'!Resal+('2022'!Salim-'2022'!Resal)*(1-EXP(('2022'!Tnet-t)/('2022'!Tau_j))),Resal+(Salim-Resal)*(1-EXP((Tnet-t)/(Tau_j))))*Salcycl</f>
        <v>3.0178543033663619E-2</v>
      </c>
      <c r="P61" s="338">
        <f>(INDEX(Models!$BJ61:$BT61,,T61)*(1-R61)+INDEX(Models!$BJ61:$BT61,,T61+1)*R61-ERP_i)*Q61*Ramure*Pc/MaxiM</f>
        <v>3.2960203806504526E-5</v>
      </c>
      <c r="Q61" s="304">
        <f t="shared" si="4"/>
        <v>0.6</v>
      </c>
      <c r="R61" s="177">
        <f t="shared" si="5"/>
        <v>0.50299836024630373</v>
      </c>
      <c r="S61" s="799">
        <f t="shared" si="6"/>
        <v>0</v>
      </c>
      <c r="T61" s="176">
        <f t="shared" si="7"/>
        <v>6</v>
      </c>
      <c r="U61" s="250">
        <f t="shared" si="20"/>
        <v>0.50299836024630373</v>
      </c>
      <c r="V61" s="382">
        <f t="shared" si="8"/>
        <v>40.539374836864809</v>
      </c>
      <c r="W61" s="400">
        <f t="shared" si="9"/>
        <v>8.9888691614541347</v>
      </c>
      <c r="X61" s="157">
        <f t="shared" si="10"/>
        <v>44973</v>
      </c>
      <c r="Y61" s="383">
        <f t="shared" si="11"/>
        <v>8.2315198892196495</v>
      </c>
      <c r="Z61" s="383">
        <f t="shared" si="21"/>
        <v>8.4678557094839917</v>
      </c>
      <c r="AA61" s="384">
        <f t="shared" si="12"/>
        <v>9.5346924223075717</v>
      </c>
      <c r="AB61" s="197">
        <f t="shared" si="13"/>
        <v>44973</v>
      </c>
      <c r="AC61" s="119">
        <f>IF(OR(t&lt;Tnet,NoTnet),'2022'!Resal_s+('2022'!Salim-'2022'!Resal_s)*(1-EXP(('2022'!Tnet_s-t)/'2022'!Tau_j)),Resal_s+(Salim-Resal_s)*(1-EXP((Tnet_s-t)/Tau_j)))*Salcycl</f>
        <v>0.11188999766029008</v>
      </c>
      <c r="AD61" s="230">
        <f>(INDEX(Models!$BJ61:$BT61,,AH61)*(1-AF61)+INDEX(Models!$BJ61:$BT61,,AH61+1)*AF61-ERP_i)*AE61*Ramure*Pc/MaxiM</f>
        <v>3.2960203806504526E-5</v>
      </c>
      <c r="AE61" s="304">
        <f t="shared" si="14"/>
        <v>0.6</v>
      </c>
      <c r="AF61" s="177">
        <f t="shared" si="22"/>
        <v>0.50299836024630373</v>
      </c>
      <c r="AG61" s="799">
        <f t="shared" si="23"/>
        <v>0</v>
      </c>
      <c r="AH61" s="176">
        <f t="shared" si="15"/>
        <v>6</v>
      </c>
      <c r="AI61" s="224">
        <f t="shared" si="24"/>
        <v>0.50299836024630373</v>
      </c>
      <c r="AJ61" s="264" t="b">
        <f t="shared" si="16"/>
        <v>1</v>
      </c>
      <c r="AK61" s="264" t="b">
        <f t="shared" si="17"/>
        <v>0</v>
      </c>
      <c r="AL61" s="264"/>
      <c r="AM61" s="264"/>
      <c r="AN61" s="75"/>
    </row>
    <row r="62" spans="1:40" s="6" customFormat="1" ht="11.25" x14ac:dyDescent="0.2">
      <c r="A62" s="56">
        <f t="shared" si="18"/>
        <v>44974</v>
      </c>
      <c r="B62" s="409">
        <f>IF(t&gt;Tmaj,'2022'!Wh/'2022'!Env_an*'2023'!Env_an,0.001*'[4]mon-tableau'!$B$237)</f>
        <v>11.337076006953069</v>
      </c>
      <c r="C62" s="829"/>
      <c r="D62" s="391">
        <f t="shared" si="0"/>
        <v>11.66279921005736</v>
      </c>
      <c r="E62" s="383">
        <f t="shared" si="1"/>
        <v>12.026514350330638</v>
      </c>
      <c r="F62" s="383">
        <f t="shared" si="2"/>
        <v>12.026514350330638</v>
      </c>
      <c r="G62" s="110">
        <f t="shared" si="19"/>
        <v>0.27722957434454154</v>
      </c>
      <c r="H62" s="412" t="b">
        <f>Wh_hp&gt;='2022'!Maxi_hp</f>
        <v>0</v>
      </c>
      <c r="I62" s="379">
        <f>IF(H62,Wh_hp,'2022'!Maxi_hp)</f>
        <v>38.835369308971607</v>
      </c>
      <c r="J62" s="85">
        <f>IF(H62,An,'2022'!An_max)</f>
        <v>2021</v>
      </c>
      <c r="K62" s="197">
        <f t="shared" si="3"/>
        <v>44974</v>
      </c>
      <c r="L62" s="147">
        <f>IF(t&lt;Tvie,1-EXP((T0-t)*PertePVj)+'2022'!Pspv,1-EXP((T0-t)*PertePVj)+Pspv)</f>
        <v>2.7928389852018176E-2</v>
      </c>
      <c r="M62" s="832"/>
      <c r="N62" s="832"/>
      <c r="O62" s="48">
        <f>IF(t&lt;Tnet,'2022'!Resal+('2022'!Salim-'2022'!Resal)*(1-EXP(('2022'!Tnet-t)/('2022'!Tau_j))),Resal+(Salim-Resal)*(1-EXP((Tnet-t)/(Tau_j))))*Salcycl</f>
        <v>3.0242772733504401E-2</v>
      </c>
      <c r="P62" s="338">
        <f>(INDEX(Models!$BJ62:$BT62,,T62)*(1-R62)+INDEX(Models!$BJ62:$BT62,,T62+1)*R62-ERP_i)*Q62*Ramure*Pc/MaxiM</f>
        <v>3.2193105082379249E-5</v>
      </c>
      <c r="Q62" s="304">
        <f t="shared" si="4"/>
        <v>0.6</v>
      </c>
      <c r="R62" s="177">
        <f t="shared" si="5"/>
        <v>0.50318876639346</v>
      </c>
      <c r="S62" s="799">
        <f t="shared" si="6"/>
        <v>0</v>
      </c>
      <c r="T62" s="176">
        <f t="shared" si="7"/>
        <v>6</v>
      </c>
      <c r="U62" s="250">
        <f t="shared" si="20"/>
        <v>0.50318876639346</v>
      </c>
      <c r="V62" s="382">
        <f t="shared" si="8"/>
        <v>40.89286310119482</v>
      </c>
      <c r="W62" s="400">
        <f t="shared" si="9"/>
        <v>11.337076006953069</v>
      </c>
      <c r="X62" s="157">
        <f t="shared" si="10"/>
        <v>44974</v>
      </c>
      <c r="Y62" s="383">
        <f t="shared" si="11"/>
        <v>10.382674250303864</v>
      </c>
      <c r="Z62" s="383">
        <f t="shared" si="21"/>
        <v>10.680976732489157</v>
      </c>
      <c r="AA62" s="384">
        <f t="shared" si="12"/>
        <v>12.026514350330638</v>
      </c>
      <c r="AB62" s="197">
        <f t="shared" si="13"/>
        <v>44974</v>
      </c>
      <c r="AC62" s="119">
        <f>IF(OR(t&lt;Tnet,NoTnet),'2022'!Resal_s+('2022'!Salim-'2022'!Resal_s)*(1-EXP(('2022'!Tnet_s-t)/'2022'!Tau_j)),Resal_s+(Salim-Resal_s)*(1-EXP((Tnet_s-t)/Tau_j)))*Salcycl</f>
        <v>0.11188093063760318</v>
      </c>
      <c r="AD62" s="230">
        <f>(INDEX(Models!$BJ62:$BT62,,AH62)*(1-AF62)+INDEX(Models!$BJ62:$BT62,,AH62+1)*AF62-ERP_i)*AE62*Ramure*Pc/MaxiM</f>
        <v>3.2193105082379249E-5</v>
      </c>
      <c r="AE62" s="304">
        <f t="shared" si="14"/>
        <v>0.6</v>
      </c>
      <c r="AF62" s="177">
        <f t="shared" si="22"/>
        <v>0.50318876639346</v>
      </c>
      <c r="AG62" s="799">
        <f t="shared" si="23"/>
        <v>0</v>
      </c>
      <c r="AH62" s="176">
        <f t="shared" si="15"/>
        <v>6</v>
      </c>
      <c r="AI62" s="224">
        <f t="shared" si="24"/>
        <v>0.50318876639346</v>
      </c>
      <c r="AJ62" s="264" t="b">
        <f t="shared" si="16"/>
        <v>1</v>
      </c>
      <c r="AK62" s="264" t="b">
        <f t="shared" si="17"/>
        <v>0</v>
      </c>
      <c r="AL62" s="264"/>
      <c r="AM62" s="264"/>
      <c r="AN62" s="75"/>
    </row>
    <row r="63" spans="1:40" s="6" customFormat="1" ht="11.25" x14ac:dyDescent="0.2">
      <c r="A63" s="56">
        <f t="shared" si="18"/>
        <v>44975</v>
      </c>
      <c r="B63" s="409">
        <f>IF(t&gt;Tmaj,'2022'!Wh/'2022'!Env_an*'2023'!Env_an,0.001*'[4]mon-tableau'!$B$238)</f>
        <v>32.163023133898982</v>
      </c>
      <c r="C63" s="829"/>
      <c r="D63" s="391">
        <f t="shared" si="0"/>
        <v>33.087726466794699</v>
      </c>
      <c r="E63" s="383">
        <f t="shared" si="1"/>
        <v>34.121855649227903</v>
      </c>
      <c r="F63" s="383">
        <f t="shared" si="2"/>
        <v>34.122589988214955</v>
      </c>
      <c r="G63" s="110">
        <f t="shared" si="19"/>
        <v>0.77982956679645676</v>
      </c>
      <c r="H63" s="412" t="b">
        <f>Wh_hp&gt;='2022'!Maxi_hp</f>
        <v>0</v>
      </c>
      <c r="I63" s="379">
        <f>IF(H63,Wh_hp,'2022'!Maxi_hp)</f>
        <v>34.122699512103274</v>
      </c>
      <c r="J63" s="85">
        <f>IF(H63,An,'2022'!An_max)</f>
        <v>2022</v>
      </c>
      <c r="K63" s="197">
        <f t="shared" si="3"/>
        <v>44975</v>
      </c>
      <c r="L63" s="147">
        <f>IF(t&lt;Tvie,1-EXP((T0-t)*PertePVj)+'2022'!Pspv,1-EXP((T0-t)*PertePVj)+Pspv)</f>
        <v>2.7947019382661531E-2</v>
      </c>
      <c r="M63" s="832"/>
      <c r="N63" s="832"/>
      <c r="O63" s="48">
        <f>IF(t&lt;Tnet,'2022'!Resal+('2022'!Salim-'2022'!Resal)*(1-EXP(('2022'!Tnet-t)/('2022'!Tau_j))),Resal+(Salim-Resal)*(1-EXP((Tnet-t)/(Tau_j))))*Salcycl</f>
        <v>3.030694441310685E-2</v>
      </c>
      <c r="P63" s="338">
        <f>(INDEX(Models!$BJ63:$BT63,,T63)*(1-R63)+INDEX(Models!$BJ63:$BT63,,T63+1)*R63-ERP_i)*Q63*Ramure*Pc/MaxiM</f>
        <v>3.1394868135960042E-5</v>
      </c>
      <c r="Q63" s="304">
        <f t="shared" si="4"/>
        <v>0.6</v>
      </c>
      <c r="R63" s="177">
        <f t="shared" si="5"/>
        <v>0.50338700509620837</v>
      </c>
      <c r="S63" s="799">
        <f t="shared" si="6"/>
        <v>0</v>
      </c>
      <c r="T63" s="176">
        <f t="shared" si="7"/>
        <v>6</v>
      </c>
      <c r="U63" s="250">
        <f t="shared" si="20"/>
        <v>0.50338700509620837</v>
      </c>
      <c r="V63" s="382">
        <f t="shared" si="8"/>
        <v>41.243249692659823</v>
      </c>
      <c r="W63" s="400">
        <f t="shared" si="9"/>
        <v>32.163023133898982</v>
      </c>
      <c r="X63" s="157">
        <f t="shared" si="10"/>
        <v>44975</v>
      </c>
      <c r="Y63" s="383">
        <f t="shared" si="11"/>
        <v>29.457657289966974</v>
      </c>
      <c r="Z63" s="383">
        <f t="shared" si="21"/>
        <v>30.304579973880426</v>
      </c>
      <c r="AA63" s="384">
        <f t="shared" si="12"/>
        <v>34.121855649227903</v>
      </c>
      <c r="AB63" s="197">
        <f t="shared" si="13"/>
        <v>44975</v>
      </c>
      <c r="AC63" s="119">
        <f>IF(OR(t&lt;Tnet,NoTnet),'2022'!Resal_s+('2022'!Salim-'2022'!Resal_s)*(1-EXP(('2022'!Tnet_s-t)/'2022'!Tau_j)),Resal_s+(Salim-Resal_s)*(1-EXP((Tnet_s-t)/Tau_j)))*Salcycl</f>
        <v>0.11187186636591544</v>
      </c>
      <c r="AD63" s="230">
        <f>(INDEX(Models!$BJ63:$BT63,,AH63)*(1-AF63)+INDEX(Models!$BJ63:$BT63,,AH63+1)*AF63-ERP_i)*AE63*Ramure*Pc/MaxiM</f>
        <v>3.1394868135960042E-5</v>
      </c>
      <c r="AE63" s="304">
        <f t="shared" si="14"/>
        <v>0.6</v>
      </c>
      <c r="AF63" s="177">
        <f t="shared" si="22"/>
        <v>0.50338700509620837</v>
      </c>
      <c r="AG63" s="799">
        <f t="shared" si="23"/>
        <v>0</v>
      </c>
      <c r="AH63" s="176">
        <f t="shared" si="15"/>
        <v>6</v>
      </c>
      <c r="AI63" s="224">
        <f t="shared" si="24"/>
        <v>0.50338700509620837</v>
      </c>
      <c r="AJ63" s="264" t="b">
        <f t="shared" si="16"/>
        <v>1</v>
      </c>
      <c r="AK63" s="264" t="b">
        <f t="shared" si="17"/>
        <v>0</v>
      </c>
      <c r="AL63" s="264"/>
      <c r="AM63" s="264"/>
      <c r="AN63" s="75"/>
    </row>
    <row r="64" spans="1:40" s="6" customFormat="1" ht="11.25" x14ac:dyDescent="0.2">
      <c r="A64" s="56">
        <f t="shared" si="18"/>
        <v>44976</v>
      </c>
      <c r="B64" s="409">
        <f>IF(t&gt;Tmaj,'2022'!Wh/'2022'!Env_an*'2023'!Env_an,0.001*'[4]mon-tableau'!$B$239)</f>
        <v>19.356109244547152</v>
      </c>
      <c r="C64" s="829"/>
      <c r="D64" s="391">
        <f t="shared" si="0"/>
        <v>19.912988893652013</v>
      </c>
      <c r="E64" s="383">
        <f t="shared" si="1"/>
        <v>20.536710471163385</v>
      </c>
      <c r="F64" s="383">
        <f t="shared" si="2"/>
        <v>20.536858800505566</v>
      </c>
      <c r="G64" s="110">
        <f t="shared" si="19"/>
        <v>0.46539292060483339</v>
      </c>
      <c r="H64" s="412" t="b">
        <f>Wh_hp&gt;='2022'!Maxi_hp</f>
        <v>0</v>
      </c>
      <c r="I64" s="379">
        <f>IF(H64,Wh_hp,'2022'!Maxi_hp)</f>
        <v>41.255245253729655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2.7965648556274147E-2</v>
      </c>
      <c r="M64" s="832"/>
      <c r="N64" s="832"/>
      <c r="O64" s="48">
        <f>IF(t&lt;Tnet,'2022'!Resal+('2022'!Salim-'2022'!Resal)*(1-EXP(('2022'!Tnet-t)/('2022'!Tau_j))),Resal+(Salim-Resal)*(1-EXP((Tnet-t)/(Tau_j))))*Salcycl</f>
        <v>3.0371055694979505E-2</v>
      </c>
      <c r="P64" s="338">
        <f>(INDEX(Models!$BJ64:$BT64,,T64)*(1-R64)+INDEX(Models!$BJ64:$BT64,,T64+1)*R64-ERP_i)*Q64*Ramure*Pc/MaxiM</f>
        <v>3.0566495572609938E-5</v>
      </c>
      <c r="Q64" s="304">
        <f t="shared" si="4"/>
        <v>0.6</v>
      </c>
      <c r="R64" s="177">
        <f t="shared" si="5"/>
        <v>0.5035933918390173</v>
      </c>
      <c r="S64" s="799">
        <f t="shared" si="6"/>
        <v>0</v>
      </c>
      <c r="T64" s="176">
        <f t="shared" si="7"/>
        <v>6</v>
      </c>
      <c r="U64" s="250">
        <f t="shared" si="20"/>
        <v>0.5035933918390173</v>
      </c>
      <c r="V64" s="382">
        <f t="shared" si="8"/>
        <v>41.589926569943458</v>
      </c>
      <c r="W64" s="400">
        <f t="shared" si="9"/>
        <v>19.356109244547152</v>
      </c>
      <c r="X64" s="157">
        <f t="shared" si="10"/>
        <v>44976</v>
      </c>
      <c r="Y64" s="383">
        <f t="shared" si="11"/>
        <v>17.729339503443853</v>
      </c>
      <c r="Z64" s="383">
        <f t="shared" si="21"/>
        <v>18.239416618467377</v>
      </c>
      <c r="AA64" s="384">
        <f t="shared" si="12"/>
        <v>20.536710471163385</v>
      </c>
      <c r="AB64" s="197">
        <f t="shared" si="13"/>
        <v>44976</v>
      </c>
      <c r="AC64" s="119">
        <f>IF(OR(t&lt;Tnet,NoTnet),'2022'!Resal_s+('2022'!Salim-'2022'!Resal_s)*(1-EXP(('2022'!Tnet_s-t)/'2022'!Tau_j)),Resal_s+(Salim-Resal_s)*(1-EXP((Tnet_s-t)/Tau_j)))*Salcycl</f>
        <v>0.11186279593909425</v>
      </c>
      <c r="AD64" s="230">
        <f>(INDEX(Models!$BJ64:$BT64,,AH64)*(1-AF64)+INDEX(Models!$BJ64:$BT64,,AH64+1)*AF64-ERP_i)*AE64*Ramure*Pc/MaxiM</f>
        <v>3.0566495572609938E-5</v>
      </c>
      <c r="AE64" s="304">
        <f t="shared" si="14"/>
        <v>0.6</v>
      </c>
      <c r="AF64" s="177">
        <f t="shared" si="22"/>
        <v>0.5035933918390173</v>
      </c>
      <c r="AG64" s="799">
        <f t="shared" si="23"/>
        <v>0</v>
      </c>
      <c r="AH64" s="176">
        <f t="shared" si="15"/>
        <v>6</v>
      </c>
      <c r="AI64" s="224">
        <f t="shared" si="24"/>
        <v>0.5035933918390173</v>
      </c>
      <c r="AJ64" s="264" t="b">
        <f t="shared" si="16"/>
        <v>1</v>
      </c>
      <c r="AK64" s="264" t="b">
        <f t="shared" si="17"/>
        <v>0</v>
      </c>
      <c r="AL64" s="264"/>
      <c r="AM64" s="264"/>
      <c r="AN64" s="75"/>
    </row>
    <row r="65" spans="1:40" s="6" customFormat="1" ht="11.25" x14ac:dyDescent="0.2">
      <c r="A65" s="56">
        <f t="shared" si="18"/>
        <v>44977</v>
      </c>
      <c r="B65" s="409">
        <f>IF(t&gt;Tmaj,'2022'!Wh/'2022'!Env_an*'2023'!Env_an,0.001*'[4]mon-tableau'!$B$240)</f>
        <v>21.044470909681397</v>
      </c>
      <c r="C65" s="829"/>
      <c r="D65" s="391">
        <f t="shared" si="0"/>
        <v>21.650340030306285</v>
      </c>
      <c r="E65" s="383">
        <f t="shared" si="1"/>
        <v>22.329954530087171</v>
      </c>
      <c r="F65" s="383">
        <f t="shared" si="2"/>
        <v>22.3301458236858</v>
      </c>
      <c r="G65" s="110">
        <f t="shared" si="19"/>
        <v>0.50184176523970725</v>
      </c>
      <c r="H65" s="412" t="b">
        <f>Wh_hp&gt;='2022'!Maxi_hp</f>
        <v>0</v>
      </c>
      <c r="I65" s="379">
        <f>IF(H65,Wh_hp,'2022'!Maxi_hp)</f>
        <v>44.665553120035945</v>
      </c>
      <c r="J65" s="85">
        <f>IF(H65,An,'2022'!An_max)</f>
        <v>2020</v>
      </c>
      <c r="K65" s="197">
        <f t="shared" si="3"/>
        <v>44977</v>
      </c>
      <c r="L65" s="147">
        <f>IF(t&lt;Tvie,1-EXP((T0-t)*PertePVj)+'2022'!Pspv,1-EXP((T0-t)*PertePVj)+Pspv)</f>
        <v>2.7984277372862909E-2</v>
      </c>
      <c r="M65" s="832"/>
      <c r="N65" s="832"/>
      <c r="O65" s="48">
        <f>IF(t&lt;Tnet,'2022'!Resal+('2022'!Salim-'2022'!Resal)*(1-EXP(('2022'!Tnet-t)/('2022'!Tau_j))),Resal+(Salim-Resal)*(1-EXP((Tnet-t)/(Tau_j))))*Salcycl</f>
        <v>3.0435104507946009E-2</v>
      </c>
      <c r="P65" s="338">
        <f>(INDEX(Models!$BJ65:$BT65,,T65)*(1-R65)+INDEX(Models!$BJ65:$BT65,,T65+1)*R65-ERP_i)*Q65*Ramure*Pc/MaxiM</f>
        <v>2.9707975287828632E-5</v>
      </c>
      <c r="Q65" s="304">
        <f t="shared" si="4"/>
        <v>0.6</v>
      </c>
      <c r="R65" s="177">
        <f t="shared" si="5"/>
        <v>0.50380825424492759</v>
      </c>
      <c r="S65" s="799">
        <f t="shared" si="6"/>
        <v>0</v>
      </c>
      <c r="T65" s="176">
        <f t="shared" si="7"/>
        <v>6</v>
      </c>
      <c r="U65" s="250">
        <f t="shared" si="20"/>
        <v>0.50380825424492759</v>
      </c>
      <c r="V65" s="382">
        <f t="shared" si="8"/>
        <v>41.933588343175323</v>
      </c>
      <c r="W65" s="400">
        <f t="shared" si="9"/>
        <v>21.044470909681397</v>
      </c>
      <c r="X65" s="157">
        <f t="shared" si="10"/>
        <v>44977</v>
      </c>
      <c r="Y65" s="383">
        <f t="shared" si="11"/>
        <v>19.277274595569693</v>
      </c>
      <c r="Z65" s="383">
        <f t="shared" si="21"/>
        <v>19.832266234817283</v>
      </c>
      <c r="AA65" s="384">
        <f t="shared" si="12"/>
        <v>22.329954530087171</v>
      </c>
      <c r="AB65" s="197">
        <f t="shared" si="13"/>
        <v>44977</v>
      </c>
      <c r="AC65" s="119">
        <f>IF(OR(t&lt;Tnet,NoTnet),'2022'!Resal_s+('2022'!Salim-'2022'!Resal_s)*(1-EXP(('2022'!Tnet_s-t)/'2022'!Tau_j)),Resal_s+(Salim-Resal_s)*(1-EXP((Tnet_s-t)/Tau_j)))*Salcycl</f>
        <v>0.11185371165465322</v>
      </c>
      <c r="AD65" s="230">
        <f>(INDEX(Models!$BJ65:$BT65,,AH65)*(1-AF65)+INDEX(Models!$BJ65:$BT65,,AH65+1)*AF65-ERP_i)*AE65*Ramure*Pc/MaxiM</f>
        <v>2.9707975287828632E-5</v>
      </c>
      <c r="AE65" s="304">
        <f t="shared" si="14"/>
        <v>0.6</v>
      </c>
      <c r="AF65" s="177">
        <f t="shared" si="22"/>
        <v>0.50380825424492759</v>
      </c>
      <c r="AG65" s="799">
        <f t="shared" si="23"/>
        <v>0</v>
      </c>
      <c r="AH65" s="176">
        <f t="shared" si="15"/>
        <v>6</v>
      </c>
      <c r="AI65" s="224">
        <f t="shared" si="24"/>
        <v>0.50380825424492759</v>
      </c>
      <c r="AJ65" s="264" t="b">
        <f t="shared" si="16"/>
        <v>1</v>
      </c>
      <c r="AK65" s="264" t="b">
        <f t="shared" si="17"/>
        <v>0</v>
      </c>
      <c r="AL65" s="264"/>
      <c r="AM65" s="264"/>
      <c r="AN65" s="75"/>
    </row>
    <row r="66" spans="1:40" s="6" customFormat="1" ht="11.25" x14ac:dyDescent="0.2">
      <c r="A66" s="56">
        <f t="shared" si="18"/>
        <v>44978</v>
      </c>
      <c r="B66" s="409">
        <f>IF(t&gt;Tmaj,'2022'!Wh/'2022'!Env_an*'2023'!Env_an,0.001*'[4]mon-tableau'!$B$241)</f>
        <v>22.152396283081838</v>
      </c>
      <c r="C66" s="829"/>
      <c r="D66" s="391">
        <f t="shared" si="0"/>
        <v>22.790599288831743</v>
      </c>
      <c r="E66" s="383">
        <f t="shared" si="1"/>
        <v>23.507558408001024</v>
      </c>
      <c r="F66" s="383">
        <f t="shared" si="2"/>
        <v>23.507775545654376</v>
      </c>
      <c r="G66" s="110">
        <f t="shared" si="19"/>
        <v>0.52399175265317954</v>
      </c>
      <c r="H66" s="412" t="b">
        <f>Wh_hp&gt;='2022'!Maxi_hp</f>
        <v>0</v>
      </c>
      <c r="I66" s="379">
        <f>IF(H66,Wh_hp,'2022'!Maxi_hp)</f>
        <v>23.507922443525114</v>
      </c>
      <c r="J66" s="85">
        <f>IF(H66,An,'2022'!An_max)</f>
        <v>2022</v>
      </c>
      <c r="K66" s="197">
        <f t="shared" si="3"/>
        <v>44978</v>
      </c>
      <c r="L66" s="147">
        <f>IF(t&lt;Tvie,1-EXP((T0-t)*PertePVj)+'2022'!Pspv,1-EXP((T0-t)*PertePVj)+Pspv)</f>
        <v>2.8002905832434588E-2</v>
      </c>
      <c r="M66" s="832"/>
      <c r="N66" s="832"/>
      <c r="O66" s="48">
        <f>IF(t&lt;Tnet,'2022'!Resal+('2022'!Salim-'2022'!Resal)*(1-EXP(('2022'!Tnet-t)/('2022'!Tau_j))),Resal+(Salim-Resal)*(1-EXP((Tnet-t)/(Tau_j))))*Salcycl</f>
        <v>3.0499089132338824E-2</v>
      </c>
      <c r="P66" s="338">
        <f>(INDEX(Models!$BJ66:$BT66,,T66)*(1-R66)+INDEX(Models!$BJ66:$BT66,,T66+1)*R66-ERP_i)*Q66*Ramure*Pc/MaxiM</f>
        <v>2.8864874611170173E-5</v>
      </c>
      <c r="Q66" s="304">
        <f t="shared" si="4"/>
        <v>0.6</v>
      </c>
      <c r="R66" s="177">
        <f t="shared" si="5"/>
        <v>0.50403193249421419</v>
      </c>
      <c r="S66" s="799">
        <f t="shared" si="6"/>
        <v>0</v>
      </c>
      <c r="T66" s="176">
        <f t="shared" si="7"/>
        <v>6</v>
      </c>
      <c r="U66" s="250">
        <f t="shared" si="20"/>
        <v>0.50403193249421419</v>
      </c>
      <c r="V66" s="382">
        <f t="shared" si="8"/>
        <v>42.275401013445226</v>
      </c>
      <c r="W66" s="400">
        <f t="shared" si="9"/>
        <v>22.152396283081838</v>
      </c>
      <c r="X66" s="157">
        <f t="shared" si="10"/>
        <v>44978</v>
      </c>
      <c r="Y66" s="383">
        <f t="shared" si="11"/>
        <v>20.293709889763612</v>
      </c>
      <c r="Z66" s="383">
        <f t="shared" si="21"/>
        <v>20.878364772420934</v>
      </c>
      <c r="AA66" s="384">
        <f t="shared" si="12"/>
        <v>23.507558408001024</v>
      </c>
      <c r="AB66" s="197">
        <f t="shared" si="13"/>
        <v>44978</v>
      </c>
      <c r="AC66" s="119">
        <f>IF(OR(t&lt;Tnet,NoTnet),'2022'!Resal_s+('2022'!Salim-'2022'!Resal_s)*(1-EXP(('2022'!Tnet_s-t)/'2022'!Tau_j)),Resal_s+(Salim-Resal_s)*(1-EXP((Tnet_s-t)/Tau_j)))*Salcycl</f>
        <v>0.11184460716623035</v>
      </c>
      <c r="AD66" s="230">
        <f>(INDEX(Models!$BJ66:$BT66,,AH66)*(1-AF66)+INDEX(Models!$BJ66:$BT66,,AH66+1)*AF66-ERP_i)*AE66*Ramure*Pc/MaxiM</f>
        <v>2.8864874611170173E-5</v>
      </c>
      <c r="AE66" s="304">
        <f t="shared" si="14"/>
        <v>0.6</v>
      </c>
      <c r="AF66" s="177">
        <f t="shared" si="22"/>
        <v>0.50403193249421419</v>
      </c>
      <c r="AG66" s="799">
        <f t="shared" si="23"/>
        <v>0</v>
      </c>
      <c r="AH66" s="176">
        <f t="shared" si="15"/>
        <v>6</v>
      </c>
      <c r="AI66" s="224">
        <f t="shared" si="24"/>
        <v>0.50403193249421419</v>
      </c>
      <c r="AJ66" s="264" t="b">
        <f t="shared" si="16"/>
        <v>1</v>
      </c>
      <c r="AK66" s="264" t="b">
        <f t="shared" si="17"/>
        <v>0</v>
      </c>
      <c r="AL66" s="264"/>
      <c r="AM66" s="264"/>
      <c r="AN66" s="75"/>
    </row>
    <row r="67" spans="1:40" s="6" customFormat="1" ht="11.25" x14ac:dyDescent="0.2">
      <c r="A67" s="56">
        <f t="shared" si="18"/>
        <v>44979</v>
      </c>
      <c r="B67" s="409">
        <f>IF(t&gt;Tmaj,'2022'!Wh/'2022'!Env_an*'2023'!Env_an,0.001*'[4]mon-tableau'!$B$242)</f>
        <v>35.010619641231784</v>
      </c>
      <c r="C67" s="829"/>
      <c r="D67" s="391">
        <f t="shared" si="0"/>
        <v>36.019954004711821</v>
      </c>
      <c r="E67" s="383">
        <f t="shared" si="1"/>
        <v>37.15553905100802</v>
      </c>
      <c r="F67" s="383">
        <f t="shared" si="2"/>
        <v>37.156315494015473</v>
      </c>
      <c r="G67" s="110">
        <f t="shared" si="19"/>
        <v>0.82154138908003649</v>
      </c>
      <c r="H67" s="412" t="b">
        <f>Wh_hp&gt;='2022'!Maxi_hp</f>
        <v>0</v>
      </c>
      <c r="I67" s="379">
        <f>IF(H67,Wh_hp,'2022'!Maxi_hp)</f>
        <v>42.383788099046349</v>
      </c>
      <c r="J67" s="85">
        <f>IF(H67,An,'2022'!An_max)</f>
        <v>2020</v>
      </c>
      <c r="K67" s="197">
        <f t="shared" si="3"/>
        <v>44979</v>
      </c>
      <c r="L67" s="147">
        <f>IF(t&lt;Tvie,1-EXP((T0-t)*PertePVj)+'2022'!Pspv,1-EXP((T0-t)*PertePVj)+Pspv)</f>
        <v>2.8021533934996179E-2</v>
      </c>
      <c r="M67" s="832"/>
      <c r="N67" s="832"/>
      <c r="O67" s="48">
        <f>IF(t&lt;Tnet,'2022'!Resal+('2022'!Salim-'2022'!Resal)*(1-EXP(('2022'!Tnet-t)/('2022'!Tau_j))),Resal+(Salim-Resal)*(1-EXP((Tnet-t)/(Tau_j))))*Salcycl</f>
        <v>3.0563008243191973E-2</v>
      </c>
      <c r="P67" s="338">
        <f>(INDEX(Models!$BJ67:$BT67,,T67)*(1-R67)+INDEX(Models!$BJ67:$BT67,,T67+1)*R67-ERP_i)*Q67*Ramure*Pc/MaxiM</f>
        <v>2.8046670379113555E-5</v>
      </c>
      <c r="Q67" s="304">
        <f t="shared" si="4"/>
        <v>0.6</v>
      </c>
      <c r="R67" s="177">
        <f t="shared" si="5"/>
        <v>0.50426477975328343</v>
      </c>
      <c r="S67" s="799">
        <f t="shared" si="6"/>
        <v>0</v>
      </c>
      <c r="T67" s="176">
        <f t="shared" si="7"/>
        <v>6</v>
      </c>
      <c r="U67" s="250">
        <f t="shared" si="20"/>
        <v>0.50426477975328343</v>
      </c>
      <c r="V67" s="382">
        <f t="shared" si="8"/>
        <v>42.615466214088848</v>
      </c>
      <c r="W67" s="400">
        <f t="shared" si="9"/>
        <v>35.010619641231784</v>
      </c>
      <c r="X67" s="157">
        <f t="shared" si="10"/>
        <v>44979</v>
      </c>
      <c r="Y67" s="383">
        <f t="shared" si="11"/>
        <v>32.075514485262687</v>
      </c>
      <c r="Z67" s="383">
        <f t="shared" si="21"/>
        <v>33.000231594757928</v>
      </c>
      <c r="AA67" s="384">
        <f t="shared" si="12"/>
        <v>37.15553905100802</v>
      </c>
      <c r="AB67" s="197">
        <f t="shared" si="13"/>
        <v>44979</v>
      </c>
      <c r="AC67" s="119">
        <f>IF(OR(t&lt;Tnet,NoTnet),'2022'!Resal_s+('2022'!Salim-'2022'!Resal_s)*(1-EXP(('2022'!Tnet_s-t)/'2022'!Tau_j)),Resal_s+(Salim-Resal_s)*(1-EXP((Tnet_s-t)/Tau_j)))*Salcycl</f>
        <v>0.11183547762678367</v>
      </c>
      <c r="AD67" s="230">
        <f>(INDEX(Models!$BJ67:$BT67,,AH67)*(1-AF67)+INDEX(Models!$BJ67:$BT67,,AH67+1)*AF67-ERP_i)*AE67*Ramure*Pc/MaxiM</f>
        <v>2.8046670379113555E-5</v>
      </c>
      <c r="AE67" s="304">
        <f t="shared" si="14"/>
        <v>0.6</v>
      </c>
      <c r="AF67" s="177">
        <f t="shared" si="22"/>
        <v>0.50426477975328343</v>
      </c>
      <c r="AG67" s="799">
        <f t="shared" si="23"/>
        <v>0</v>
      </c>
      <c r="AH67" s="176">
        <f t="shared" si="15"/>
        <v>6</v>
      </c>
      <c r="AI67" s="224">
        <f t="shared" si="24"/>
        <v>0.50426477975328343</v>
      </c>
      <c r="AJ67" s="264" t="b">
        <f t="shared" si="16"/>
        <v>1</v>
      </c>
      <c r="AK67" s="264" t="b">
        <f t="shared" si="17"/>
        <v>0</v>
      </c>
      <c r="AL67" s="264"/>
      <c r="AM67" s="264"/>
      <c r="AN67" s="75"/>
    </row>
    <row r="68" spans="1:40" s="6" customFormat="1" ht="11.25" x14ac:dyDescent="0.2">
      <c r="A68" s="56">
        <f t="shared" si="18"/>
        <v>44980</v>
      </c>
      <c r="B68" s="409">
        <f>IF(t&gt;Tmaj,'2022'!Wh/'2022'!Env_an*'2023'!Env_an,0.001*'[4]mon-tableau'!$B$243)</f>
        <v>37.202561815594194</v>
      </c>
      <c r="C68" s="829"/>
      <c r="D68" s="391">
        <f t="shared" si="0"/>
        <v>38.275822054457308</v>
      </c>
      <c r="E68" s="383">
        <f t="shared" si="1"/>
        <v>39.48512756605696</v>
      </c>
      <c r="F68" s="383">
        <f t="shared" si="2"/>
        <v>39.485997822208908</v>
      </c>
      <c r="G68" s="110">
        <f t="shared" si="19"/>
        <v>0.86610016879247176</v>
      </c>
      <c r="H68" s="412" t="b">
        <f>Wh_hp&gt;='2022'!Maxi_hp</f>
        <v>0</v>
      </c>
      <c r="I68" s="379">
        <f>IF(H68,Wh_hp,'2022'!Maxi_hp)</f>
        <v>44.04907717434498</v>
      </c>
      <c r="J68" s="85">
        <f>IF(H68,An,'2022'!An_max)</f>
        <v>2020</v>
      </c>
      <c r="K68" s="197">
        <f t="shared" si="3"/>
        <v>44980</v>
      </c>
      <c r="L68" s="147">
        <f>IF(t&lt;Tvie,1-EXP((T0-t)*PertePVj)+'2022'!Pspv,1-EXP((T0-t)*PertePVj)+Pspv)</f>
        <v>2.8040161680554343E-2</v>
      </c>
      <c r="M68" s="832"/>
      <c r="N68" s="832"/>
      <c r="O68" s="48">
        <f>IF(t&lt;Tnet,'2022'!Resal+('2022'!Salim-'2022'!Resal)*(1-EXP(('2022'!Tnet-t)/('2022'!Tau_j))),Resal+(Salim-Resal)*(1-EXP((Tnet-t)/(Tau_j))))*Salcycl</f>
        <v>3.0626860951038698E-2</v>
      </c>
      <c r="P68" s="338">
        <f>(INDEX(Models!$BJ68:$BT68,,T68)*(1-R68)+INDEX(Models!$BJ68:$BT68,,T68+1)*R68-ERP_i)*Q68*Ramure*Pc/MaxiM</f>
        <v>2.725243275765082E-5</v>
      </c>
      <c r="Q68" s="304">
        <f t="shared" si="4"/>
        <v>0.6</v>
      </c>
      <c r="R68" s="177">
        <f t="shared" si="5"/>
        <v>0.50450716261366135</v>
      </c>
      <c r="S68" s="799">
        <f t="shared" si="6"/>
        <v>0</v>
      </c>
      <c r="T68" s="176">
        <f t="shared" si="7"/>
        <v>6</v>
      </c>
      <c r="U68" s="250">
        <f t="shared" si="20"/>
        <v>0.50450716261366135</v>
      </c>
      <c r="V68" s="382">
        <f t="shared" si="8"/>
        <v>42.953885960993837</v>
      </c>
      <c r="W68" s="400">
        <f t="shared" si="9"/>
        <v>37.202561815594194</v>
      </c>
      <c r="X68" s="157">
        <f t="shared" si="10"/>
        <v>44980</v>
      </c>
      <c r="Y68" s="383">
        <f t="shared" si="11"/>
        <v>34.086292376795669</v>
      </c>
      <c r="Z68" s="383">
        <f t="shared" si="21"/>
        <v>35.069651062673664</v>
      </c>
      <c r="AA68" s="384">
        <f t="shared" si="12"/>
        <v>39.48512756605696</v>
      </c>
      <c r="AB68" s="197">
        <f t="shared" si="13"/>
        <v>44980</v>
      </c>
      <c r="AC68" s="119">
        <f>IF(OR(t&lt;Tnet,NoTnet),'2022'!Resal_s+('2022'!Salim-'2022'!Resal_s)*(1-EXP(('2022'!Tnet_s-t)/'2022'!Tau_j)),Resal_s+(Salim-Resal_s)*(1-EXP((Tnet_s-t)/Tau_j)))*Salcycl</f>
        <v>0.11182631982121349</v>
      </c>
      <c r="AD68" s="230">
        <f>(INDEX(Models!$BJ68:$BT68,,AH68)*(1-AF68)+INDEX(Models!$BJ68:$BT68,,AH68+1)*AF68-ERP_i)*AE68*Ramure*Pc/MaxiM</f>
        <v>2.725243275765082E-5</v>
      </c>
      <c r="AE68" s="304">
        <f t="shared" si="14"/>
        <v>0.6</v>
      </c>
      <c r="AF68" s="177">
        <f t="shared" si="22"/>
        <v>0.50450716261366135</v>
      </c>
      <c r="AG68" s="799">
        <f t="shared" si="23"/>
        <v>0</v>
      </c>
      <c r="AH68" s="176">
        <f t="shared" si="15"/>
        <v>6</v>
      </c>
      <c r="AI68" s="224">
        <f t="shared" si="24"/>
        <v>0.50450716261366135</v>
      </c>
      <c r="AJ68" s="264" t="b">
        <f t="shared" si="16"/>
        <v>1</v>
      </c>
      <c r="AK68" s="264" t="b">
        <f t="shared" si="17"/>
        <v>0</v>
      </c>
      <c r="AL68" s="264"/>
      <c r="AM68" s="264"/>
      <c r="AN68" s="75"/>
    </row>
    <row r="69" spans="1:40" s="6" customFormat="1" ht="11.25" x14ac:dyDescent="0.2">
      <c r="A69" s="56">
        <f t="shared" si="18"/>
        <v>44981</v>
      </c>
      <c r="B69" s="409">
        <f>IF(t&gt;Tmaj,'2022'!Wh/'2022'!Env_an*'2023'!Env_an,0.001*'[4]mon-tableau'!$B$244)</f>
        <v>25.644271877743666</v>
      </c>
      <c r="C69" s="829"/>
      <c r="D69" s="391">
        <f t="shared" si="0"/>
        <v>26.38459156720258</v>
      </c>
      <c r="E69" s="383">
        <f t="shared" si="1"/>
        <v>27.2199906884073</v>
      </c>
      <c r="F69" s="383">
        <f t="shared" si="2"/>
        <v>27.220291762323111</v>
      </c>
      <c r="G69" s="110">
        <f t="shared" si="19"/>
        <v>0.59236370789548687</v>
      </c>
      <c r="H69" s="412" t="b">
        <f>Wh_hp&gt;='2022'!Maxi_hp</f>
        <v>0</v>
      </c>
      <c r="I69" s="379">
        <f>IF(H69,Wh_hp,'2022'!Maxi_hp)</f>
        <v>42.202501894458955</v>
      </c>
      <c r="J69" s="85">
        <f>IF(H69,An,'2022'!An_max)</f>
        <v>2021</v>
      </c>
      <c r="K69" s="197">
        <f t="shared" si="3"/>
        <v>44981</v>
      </c>
      <c r="L69" s="147">
        <f>IF(t&lt;Tvie,1-EXP((T0-t)*PertePVj)+'2022'!Pspv,1-EXP((T0-t)*PertePVj)+Pspv)</f>
        <v>2.8058789069116075E-2</v>
      </c>
      <c r="M69" s="832"/>
      <c r="N69" s="832"/>
      <c r="O69" s="48">
        <f>IF(t&lt;Tnet,'2022'!Resal+('2022'!Salim-'2022'!Resal)*(1-EXP(('2022'!Tnet-t)/('2022'!Tau_j))),Resal+(Salim-Resal)*(1-EXP((Tnet-t)/(Tau_j))))*Salcycl</f>
        <v>3.069064683995305E-2</v>
      </c>
      <c r="P69" s="338">
        <f>(INDEX(Models!$BJ69:$BT69,,T69)*(1-R69)+INDEX(Models!$BJ69:$BT69,,T69+1)*R69-ERP_i)*Q69*Ramure*Pc/MaxiM</f>
        <v>2.6481425810672413E-5</v>
      </c>
      <c r="Q69" s="304">
        <f t="shared" si="4"/>
        <v>0.6</v>
      </c>
      <c r="R69" s="177">
        <f t="shared" si="5"/>
        <v>0.50475946154087958</v>
      </c>
      <c r="S69" s="799">
        <f t="shared" si="6"/>
        <v>0</v>
      </c>
      <c r="T69" s="176">
        <f t="shared" si="7"/>
        <v>6</v>
      </c>
      <c r="U69" s="250">
        <f t="shared" si="20"/>
        <v>0.50475946154087958</v>
      </c>
      <c r="V69" s="382">
        <f t="shared" si="8"/>
        <v>43.290762207083411</v>
      </c>
      <c r="W69" s="400">
        <f t="shared" si="9"/>
        <v>25.644271877743666</v>
      </c>
      <c r="X69" s="157">
        <f t="shared" si="10"/>
        <v>44981</v>
      </c>
      <c r="Y69" s="383">
        <f t="shared" si="11"/>
        <v>23.497970861959484</v>
      </c>
      <c r="Z69" s="383">
        <f t="shared" si="21"/>
        <v>24.176329388743717</v>
      </c>
      <c r="AA69" s="384">
        <f t="shared" si="12"/>
        <v>27.2199906884073</v>
      </c>
      <c r="AB69" s="197">
        <f t="shared" si="13"/>
        <v>44981</v>
      </c>
      <c r="AC69" s="119">
        <f>IF(OR(t&lt;Tnet,NoTnet),'2022'!Resal_s+('2022'!Salim-'2022'!Resal_s)*(1-EXP(('2022'!Tnet_s-t)/'2022'!Tau_j)),Resal_s+(Salim-Resal_s)*(1-EXP((Tnet_s-t)/Tau_j)))*Salcycl</f>
        <v>0.1118171322872584</v>
      </c>
      <c r="AD69" s="230">
        <f>(INDEX(Models!$BJ69:$BT69,,AH69)*(1-AF69)+INDEX(Models!$BJ69:$BT69,,AH69+1)*AF69-ERP_i)*AE69*Ramure*Pc/MaxiM</f>
        <v>2.6481425810672413E-5</v>
      </c>
      <c r="AE69" s="304">
        <f t="shared" si="14"/>
        <v>0.6</v>
      </c>
      <c r="AF69" s="177">
        <f t="shared" si="22"/>
        <v>0.50475946154087958</v>
      </c>
      <c r="AG69" s="799">
        <f t="shared" si="23"/>
        <v>0</v>
      </c>
      <c r="AH69" s="176">
        <f t="shared" si="15"/>
        <v>6</v>
      </c>
      <c r="AI69" s="224">
        <f t="shared" si="24"/>
        <v>0.50475946154087958</v>
      </c>
      <c r="AJ69" s="264" t="b">
        <f t="shared" si="16"/>
        <v>1</v>
      </c>
      <c r="AK69" s="264" t="b">
        <f t="shared" si="17"/>
        <v>0</v>
      </c>
      <c r="AL69" s="264"/>
      <c r="AM69" s="264"/>
      <c r="AN69" s="75"/>
    </row>
    <row r="70" spans="1:40" s="6" customFormat="1" ht="11.25" x14ac:dyDescent="0.2">
      <c r="A70" s="56">
        <f t="shared" si="18"/>
        <v>44982</v>
      </c>
      <c r="B70" s="409">
        <f>IF(t&gt;Tmaj,'2022'!Wh/'2022'!Env_an*'2023'!Env_an,0.001*'[4]mon-tableau'!$B$245)</f>
        <v>30.383555797118582</v>
      </c>
      <c r="C70" s="829"/>
      <c r="D70" s="391">
        <f t="shared" si="0"/>
        <v>31.261292103349483</v>
      </c>
      <c r="E70" s="383">
        <f t="shared" si="1"/>
        <v>32.253219418092726</v>
      </c>
      <c r="F70" s="383">
        <f t="shared" si="2"/>
        <v>32.253689487257645</v>
      </c>
      <c r="G70" s="110">
        <f t="shared" si="19"/>
        <v>0.69644431423806363</v>
      </c>
      <c r="H70" s="412" t="b">
        <f>Wh_hp&gt;='2022'!Maxi_hp</f>
        <v>0</v>
      </c>
      <c r="I70" s="379">
        <f>IF(H70,Wh_hp,'2022'!Maxi_hp)</f>
        <v>38.963373237809762</v>
      </c>
      <c r="J70" s="85">
        <f>IF(H70,An,'2022'!An_max)</f>
        <v>2021</v>
      </c>
      <c r="K70" s="197">
        <f t="shared" si="3"/>
        <v>44982</v>
      </c>
      <c r="L70" s="147">
        <f>IF(t&lt;Tvie,1-EXP((T0-t)*PertePVj)+'2022'!Pspv,1-EXP((T0-t)*PertePVj)+Pspv)</f>
        <v>2.8077416100688146E-2</v>
      </c>
      <c r="M70" s="832"/>
      <c r="N70" s="832"/>
      <c r="O70" s="48">
        <f>IF(t&lt;Tnet,'2022'!Resal+('2022'!Salim-'2022'!Resal)*(1-EXP(('2022'!Tnet-t)/('2022'!Tau_j))),Resal+(Salim-Resal)*(1-EXP((Tnet-t)/(Tau_j))))*Salcycl</f>
        <v>3.0754366002508735E-2</v>
      </c>
      <c r="P70" s="338">
        <f>(INDEX(Models!$BJ70:$BT70,,T70)*(1-R70)+INDEX(Models!$BJ70:$BT70,,T70+1)*R70-ERP_i)*Q70*Ramure*Pc/MaxiM</f>
        <v>2.5732957096290477E-5</v>
      </c>
      <c r="Q70" s="304">
        <f t="shared" si="4"/>
        <v>0.6</v>
      </c>
      <c r="R70" s="177">
        <f t="shared" si="5"/>
        <v>0.50502207133301569</v>
      </c>
      <c r="S70" s="799">
        <f t="shared" si="6"/>
        <v>0</v>
      </c>
      <c r="T70" s="176">
        <f t="shared" si="7"/>
        <v>6</v>
      </c>
      <c r="U70" s="250">
        <f t="shared" si="20"/>
        <v>0.50502207133301569</v>
      </c>
      <c r="V70" s="382">
        <f t="shared" si="8"/>
        <v>43.626196848617496</v>
      </c>
      <c r="W70" s="400">
        <f t="shared" si="9"/>
        <v>30.383555797118582</v>
      </c>
      <c r="X70" s="157">
        <f t="shared" si="10"/>
        <v>44982</v>
      </c>
      <c r="Y70" s="383">
        <f t="shared" si="11"/>
        <v>27.84271892872323</v>
      </c>
      <c r="Z70" s="383">
        <f t="shared" si="21"/>
        <v>28.647054189253872</v>
      </c>
      <c r="AA70" s="384">
        <f t="shared" si="12"/>
        <v>32.253219418092726</v>
      </c>
      <c r="AB70" s="197">
        <f t="shared" si="13"/>
        <v>44982</v>
      </c>
      <c r="AC70" s="119">
        <f>IF(OR(t&lt;Tnet,NoTnet),'2022'!Resal_s+('2022'!Salim-'2022'!Resal_s)*(1-EXP(('2022'!Tnet_s-t)/'2022'!Tau_j)),Resal_s+(Salim-Resal_s)*(1-EXP((Tnet_s-t)/Tau_j)))*Salcycl</f>
        <v>0.11180791542365985</v>
      </c>
      <c r="AD70" s="230">
        <f>(INDEX(Models!$BJ70:$BT70,,AH70)*(1-AF70)+INDEX(Models!$BJ70:$BT70,,AH70+1)*AF70-ERP_i)*AE70*Ramure*Pc/MaxiM</f>
        <v>2.5732957096290477E-5</v>
      </c>
      <c r="AE70" s="304">
        <f t="shared" si="14"/>
        <v>0.6</v>
      </c>
      <c r="AF70" s="177">
        <f t="shared" si="22"/>
        <v>0.50502207133301569</v>
      </c>
      <c r="AG70" s="799">
        <f t="shared" si="23"/>
        <v>0</v>
      </c>
      <c r="AH70" s="176">
        <f t="shared" si="15"/>
        <v>6</v>
      </c>
      <c r="AI70" s="224">
        <f t="shared" si="24"/>
        <v>0.50502207133301569</v>
      </c>
      <c r="AJ70" s="264" t="b">
        <f t="shared" si="16"/>
        <v>1</v>
      </c>
      <c r="AK70" s="264" t="b">
        <f t="shared" si="17"/>
        <v>0</v>
      </c>
      <c r="AL70" s="264"/>
      <c r="AM70" s="264"/>
      <c r="AN70" s="75"/>
    </row>
    <row r="71" spans="1:40" s="6" customFormat="1" ht="11.25" x14ac:dyDescent="0.2">
      <c r="A71" s="56">
        <f t="shared" si="18"/>
        <v>44983</v>
      </c>
      <c r="B71" s="409">
        <f>IF(t&gt;Tmaj,'2022'!Wh/'2022'!Env_an*'2023'!Env_an,0.001*'[4]mon-tableau'!$B$246)</f>
        <v>45.694446846073035</v>
      </c>
      <c r="C71" s="829"/>
      <c r="D71" s="391">
        <f t="shared" si="0"/>
        <v>47.015393348694445</v>
      </c>
      <c r="E71" s="383">
        <f t="shared" si="1"/>
        <v>48.510387392516407</v>
      </c>
      <c r="F71" s="383">
        <f t="shared" si="2"/>
        <v>48.51160049177232</v>
      </c>
      <c r="G71" s="110">
        <f t="shared" si="19"/>
        <v>1.0394482169514445</v>
      </c>
      <c r="H71" s="412" t="b">
        <f>Wh_hp&gt;='2022'!Maxi_hp</f>
        <v>1</v>
      </c>
      <c r="I71" s="379">
        <f>IF(H71,Wh_hp,'2022'!Maxi_hp)</f>
        <v>48.51160049177232</v>
      </c>
      <c r="J71" s="85">
        <f>IF(H71,An,'2022'!An_max)</f>
        <v>2023</v>
      </c>
      <c r="K71" s="197">
        <f t="shared" si="3"/>
        <v>44983</v>
      </c>
      <c r="L71" s="147">
        <f>IF(t&lt;Tvie,1-EXP((T0-t)*PertePVj)+'2022'!Pspv,1-EXP((T0-t)*PertePVj)+Pspv)</f>
        <v>2.8096042775277441E-2</v>
      </c>
      <c r="M71" s="832"/>
      <c r="N71" s="832"/>
      <c r="O71" s="48">
        <f>IF(t&lt;Tnet,'2022'!Resal+('2022'!Salim-'2022'!Resal)*(1-EXP(('2022'!Tnet-t)/('2022'!Tau_j))),Resal+(Salim-Resal)*(1-EXP((Tnet-t)/(Tau_j))))*Salcycl</f>
        <v>3.0818019071366731E-2</v>
      </c>
      <c r="P71" s="338">
        <f>(INDEX(Models!$BJ71:$BT71,,T71)*(1-R71)+INDEX(Models!$BJ71:$BT71,,T71+1)*R71-ERP_i)*Q71*Ramure*Pc/MaxiM</f>
        <v>2.500637463237012E-5</v>
      </c>
      <c r="Q71" s="304">
        <f t="shared" si="4"/>
        <v>0.6</v>
      </c>
      <c r="R71" s="177">
        <f t="shared" si="5"/>
        <v>0.50529540158858099</v>
      </c>
      <c r="S71" s="799">
        <f t="shared" si="6"/>
        <v>0</v>
      </c>
      <c r="T71" s="176">
        <f t="shared" si="7"/>
        <v>6</v>
      </c>
      <c r="U71" s="250">
        <f t="shared" si="20"/>
        <v>0.50529540158858099</v>
      </c>
      <c r="V71" s="382">
        <f t="shared" si="8"/>
        <v>43.960291721013697</v>
      </c>
      <c r="W71" s="400">
        <f t="shared" si="9"/>
        <v>45.694446846073035</v>
      </c>
      <c r="X71" s="157">
        <f t="shared" si="10"/>
        <v>44983</v>
      </c>
      <c r="Y71" s="383">
        <f t="shared" si="11"/>
        <v>41.876416595152278</v>
      </c>
      <c r="Z71" s="383">
        <f t="shared" si="21"/>
        <v>43.086990523971764</v>
      </c>
      <c r="AA71" s="384">
        <f t="shared" si="12"/>
        <v>48.510387392516407</v>
      </c>
      <c r="AB71" s="197">
        <f t="shared" si="13"/>
        <v>44983</v>
      </c>
      <c r="AC71" s="119">
        <f>IF(OR(t&lt;Tnet,NoTnet),'2022'!Resal_s+('2022'!Salim-'2022'!Resal_s)*(1-EXP(('2022'!Tnet_s-t)/'2022'!Tau_j)),Resal_s+(Salim-Resal_s)*(1-EXP((Tnet_s-t)/Tau_j)))*Salcycl</f>
        <v>0.11179867158474387</v>
      </c>
      <c r="AD71" s="230">
        <f>(INDEX(Models!$BJ71:$BT71,,AH71)*(1-AF71)+INDEX(Models!$BJ71:$BT71,,AH71+1)*AF71-ERP_i)*AE71*Ramure*Pc/MaxiM</f>
        <v>2.500637463237012E-5</v>
      </c>
      <c r="AE71" s="304">
        <f t="shared" si="14"/>
        <v>0.6</v>
      </c>
      <c r="AF71" s="177">
        <f t="shared" si="22"/>
        <v>0.50529540158858099</v>
      </c>
      <c r="AG71" s="799">
        <f t="shared" si="23"/>
        <v>0</v>
      </c>
      <c r="AH71" s="176">
        <f t="shared" si="15"/>
        <v>6</v>
      </c>
      <c r="AI71" s="224">
        <f t="shared" si="24"/>
        <v>0.50529540158858099</v>
      </c>
      <c r="AJ71" s="264" t="b">
        <f t="shared" si="16"/>
        <v>1</v>
      </c>
      <c r="AK71" s="264" t="b">
        <f t="shared" si="17"/>
        <v>0</v>
      </c>
      <c r="AL71" s="264"/>
      <c r="AM71" s="264"/>
      <c r="AN71" s="75"/>
    </row>
    <row r="72" spans="1:40" s="6" customFormat="1" ht="11.25" x14ac:dyDescent="0.2">
      <c r="A72" s="56">
        <f t="shared" si="18"/>
        <v>44984</v>
      </c>
      <c r="B72" s="409">
        <f>IF(t&gt;Tmaj,'2022'!Wh/'2022'!Env_an*'2023'!Env_an,0.001*'[4]mon-tableau'!$B$247)</f>
        <v>26.916838558833295</v>
      </c>
      <c r="C72" s="829"/>
      <c r="D72" s="391">
        <f t="shared" si="0"/>
        <v>27.695488040456851</v>
      </c>
      <c r="E72" s="383">
        <f t="shared" si="1"/>
        <v>28.578023332926858</v>
      </c>
      <c r="F72" s="383">
        <f t="shared" si="2"/>
        <v>28.578328473929329</v>
      </c>
      <c r="G72" s="110">
        <f t="shared" si="19"/>
        <v>0.60768928602499717</v>
      </c>
      <c r="H72" s="412" t="b">
        <f>Wh_hp&gt;='2022'!Maxi_hp</f>
        <v>0</v>
      </c>
      <c r="I72" s="379">
        <f>IF(H72,Wh_hp,'2022'!Maxi_hp)</f>
        <v>44.999579692306305</v>
      </c>
      <c r="J72" s="85">
        <f>IF(H72,An,'2022'!An_max)</f>
        <v>2021</v>
      </c>
      <c r="K72" s="197">
        <f t="shared" si="3"/>
        <v>44984</v>
      </c>
      <c r="L72" s="147">
        <f>IF(t&lt;Tvie,1-EXP((T0-t)*PertePVj)+'2022'!Pspv,1-EXP((T0-t)*PertePVj)+Pspv)</f>
        <v>2.8114669092890732E-2</v>
      </c>
      <c r="M72" s="832"/>
      <c r="N72" s="832"/>
      <c r="O72" s="48">
        <f>IF(t&lt;Tnet,'2022'!Resal+('2022'!Salim-'2022'!Resal)*(1-EXP(('2022'!Tnet-t)/('2022'!Tau_j))),Resal+(Salim-Resal)*(1-EXP((Tnet-t)/(Tau_j))))*Salcycl</f>
        <v>3.0881607247243387E-2</v>
      </c>
      <c r="P72" s="338">
        <f>(INDEX(Models!$BJ72:$BT72,,T72)*(1-R72)+INDEX(Models!$BJ72:$BT72,,T72+1)*R72-ERP_i)*Q72*Ramure*Pc/MaxiM</f>
        <v>2.4290571583581321E-5</v>
      </c>
      <c r="Q72" s="304">
        <f t="shared" si="4"/>
        <v>0.6</v>
      </c>
      <c r="R72" s="177">
        <f t="shared" si="5"/>
        <v>0.50557987718339115</v>
      </c>
      <c r="S72" s="799">
        <f t="shared" si="6"/>
        <v>0</v>
      </c>
      <c r="T72" s="176">
        <f t="shared" si="7"/>
        <v>6</v>
      </c>
      <c r="U72" s="250">
        <f t="shared" si="20"/>
        <v>0.50557987718339115</v>
      </c>
      <c r="V72" s="382">
        <f t="shared" si="8"/>
        <v>44.293149063520005</v>
      </c>
      <c r="W72" s="400">
        <f t="shared" si="9"/>
        <v>26.916838558833295</v>
      </c>
      <c r="X72" s="157">
        <f t="shared" si="10"/>
        <v>44984</v>
      </c>
      <c r="Y72" s="383">
        <f t="shared" si="11"/>
        <v>24.669659936619741</v>
      </c>
      <c r="Z72" s="383">
        <f t="shared" si="21"/>
        <v>25.383303103869579</v>
      </c>
      <c r="AA72" s="384">
        <f t="shared" si="12"/>
        <v>28.578023332926861</v>
      </c>
      <c r="AB72" s="197">
        <f t="shared" si="13"/>
        <v>44984</v>
      </c>
      <c r="AC72" s="119">
        <f>IF(OR(t&lt;Tnet,NoTnet),'2022'!Resal_s+('2022'!Salim-'2022'!Resal_s)*(1-EXP(('2022'!Tnet_s-t)/'2022'!Tau_j)),Resal_s+(Salim-Resal_s)*(1-EXP((Tnet_s-t)/Tau_j)))*Salcycl</f>
        <v>0.11178940516072747</v>
      </c>
      <c r="AD72" s="230">
        <f>(INDEX(Models!$BJ72:$BT72,,AH72)*(1-AF72)+INDEX(Models!$BJ72:$BT72,,AH72+1)*AF72-ERP_i)*AE72*Ramure*Pc/MaxiM</f>
        <v>2.4290571583581321E-5</v>
      </c>
      <c r="AE72" s="304">
        <f t="shared" si="14"/>
        <v>0.6</v>
      </c>
      <c r="AF72" s="177">
        <f t="shared" si="22"/>
        <v>0.50557987718339115</v>
      </c>
      <c r="AG72" s="799">
        <f t="shared" si="23"/>
        <v>0</v>
      </c>
      <c r="AH72" s="176">
        <f t="shared" si="15"/>
        <v>6</v>
      </c>
      <c r="AI72" s="224">
        <f t="shared" si="24"/>
        <v>0.50557987718339115</v>
      </c>
      <c r="AJ72" s="264" t="b">
        <f t="shared" si="16"/>
        <v>1</v>
      </c>
      <c r="AK72" s="264" t="b">
        <f t="shared" si="17"/>
        <v>0</v>
      </c>
      <c r="AL72" s="264"/>
      <c r="AM72" s="264"/>
      <c r="AN72" s="75"/>
    </row>
    <row r="73" spans="1:40" s="6" customFormat="1" ht="11.25" x14ac:dyDescent="0.2">
      <c r="A73" s="56">
        <f t="shared" si="18"/>
        <v>44985</v>
      </c>
      <c r="B73" s="409">
        <f>IF(t&gt;Tmaj,'2022'!Wh/'2022'!Env_an*'2023'!Env_an,0.001*'[4]mon-tableau'!$B$248)</f>
        <v>38.483780579653939</v>
      </c>
      <c r="C73" s="829"/>
      <c r="D73" s="391">
        <f t="shared" si="0"/>
        <v>39.59779708861803</v>
      </c>
      <c r="E73" s="383">
        <f t="shared" si="1"/>
        <v>40.862285933863824</v>
      </c>
      <c r="F73" s="383">
        <f t="shared" si="2"/>
        <v>40.863061329213913</v>
      </c>
      <c r="G73" s="110">
        <f t="shared" si="19"/>
        <v>0.86238016316974364</v>
      </c>
      <c r="H73" s="412" t="b">
        <f>Wh_hp&gt;='2022'!Maxi_hp</f>
        <v>0</v>
      </c>
      <c r="I73" s="379">
        <f>IF(H73,Wh_hp,'2022'!Maxi_hp)</f>
        <v>40.863117136509821</v>
      </c>
      <c r="J73" s="85">
        <f>IF(H73,An,'2022'!An_max)</f>
        <v>2022</v>
      </c>
      <c r="K73" s="197">
        <f t="shared" si="3"/>
        <v>44985</v>
      </c>
      <c r="L73" s="147">
        <f>IF(t&lt;Tvie,1-EXP((T0-t)*PertePVj)+'2022'!Pspv,1-EXP((T0-t)*PertePVj)+Pspv)</f>
        <v>2.813329505353479E-2</v>
      </c>
      <c r="M73" s="832"/>
      <c r="N73" s="832"/>
      <c r="O73" s="48">
        <f>IF(t&lt;Tnet,'2022'!Resal+('2022'!Salim-'2022'!Resal)*(1-EXP(('2022'!Tnet-t)/('2022'!Tau_j))),Resal+(Salim-Resal)*(1-EXP((Tnet-t)/(Tau_j))))*Salcycl</f>
        <v>3.0945132323051894E-2</v>
      </c>
      <c r="P73" s="338">
        <f>(INDEX(Models!$BJ73:$BT73,,T73)*(1-R73)+INDEX(Models!$BJ73:$BT73,,T73+1)*R73-ERP_i)*Q73*Ramure*Pc/MaxiM</f>
        <v>2.3618768371594615E-5</v>
      </c>
      <c r="Q73" s="304">
        <f t="shared" si="4"/>
        <v>0.6</v>
      </c>
      <c r="R73" s="177">
        <f t="shared" si="5"/>
        <v>0.5058759387559788</v>
      </c>
      <c r="S73" s="799">
        <f t="shared" si="6"/>
        <v>0</v>
      </c>
      <c r="T73" s="176">
        <f t="shared" si="7"/>
        <v>6</v>
      </c>
      <c r="U73" s="250">
        <f t="shared" si="20"/>
        <v>0.5058759387559788</v>
      </c>
      <c r="V73" s="382">
        <f t="shared" si="8"/>
        <v>44.624869086412673</v>
      </c>
      <c r="W73" s="400">
        <f t="shared" si="9"/>
        <v>38.483780579653939</v>
      </c>
      <c r="X73" s="157">
        <f t="shared" si="10"/>
        <v>44985</v>
      </c>
      <c r="Y73" s="383">
        <f t="shared" si="11"/>
        <v>35.273605248614963</v>
      </c>
      <c r="Z73" s="383">
        <f t="shared" si="21"/>
        <v>36.294694600694228</v>
      </c>
      <c r="AA73" s="384">
        <f t="shared" si="12"/>
        <v>40.862285933863824</v>
      </c>
      <c r="AB73" s="197">
        <f t="shared" si="13"/>
        <v>44985</v>
      </c>
      <c r="AC73" s="119">
        <f>IF(OR(t&lt;Tnet,NoTnet),'2022'!Resal_s+('2022'!Salim-'2022'!Resal_s)*(1-EXP(('2022'!Tnet_s-t)/'2022'!Tau_j)),Resal_s+(Salim-Resal_s)*(1-EXP((Tnet_s-t)/Tau_j)))*Salcycl</f>
        <v>0.11178012264321932</v>
      </c>
      <c r="AD73" s="230">
        <f>(INDEX(Models!$BJ73:$BT73,,AH73)*(1-AF73)+INDEX(Models!$BJ73:$BT73,,AH73+1)*AF73-ERP_i)*AE73*Ramure*Pc/MaxiM</f>
        <v>2.3618768371594615E-5</v>
      </c>
      <c r="AE73" s="304">
        <f t="shared" si="14"/>
        <v>0.6</v>
      </c>
      <c r="AF73" s="177">
        <f t="shared" si="22"/>
        <v>0.5058759387559788</v>
      </c>
      <c r="AG73" s="799">
        <f t="shared" si="23"/>
        <v>0</v>
      </c>
      <c r="AH73" s="176">
        <f t="shared" si="15"/>
        <v>6</v>
      </c>
      <c r="AI73" s="224">
        <f t="shared" si="24"/>
        <v>0.5058759387559788</v>
      </c>
      <c r="AJ73" s="264" t="b">
        <f t="shared" si="16"/>
        <v>1</v>
      </c>
      <c r="AK73" s="264" t="b">
        <f t="shared" si="17"/>
        <v>0</v>
      </c>
      <c r="AL73" s="264"/>
      <c r="AM73" s="264"/>
      <c r="AN73" s="75"/>
    </row>
    <row r="74" spans="1:40" s="6" customFormat="1" ht="11.25" x14ac:dyDescent="0.2">
      <c r="A74" s="56">
        <f t="shared" si="18"/>
        <v>44986</v>
      </c>
      <c r="B74" s="409">
        <f>IF(t&gt;Tmaj,'2022'!Wh/'2022'!Env_an*'2023'!Env_an,0.001*'[5]mon-tableau'!$B$242)</f>
        <v>43.60062897112541</v>
      </c>
      <c r="C74" s="829"/>
      <c r="D74" s="391">
        <f t="shared" si="0"/>
        <v>44.863626216775089</v>
      </c>
      <c r="E74" s="383">
        <f t="shared" si="1"/>
        <v>46.299302619378317</v>
      </c>
      <c r="F74" s="383">
        <f t="shared" si="2"/>
        <v>46.300321231168056</v>
      </c>
      <c r="G74" s="110">
        <f t="shared" si="19"/>
        <v>0.96985983896401518</v>
      </c>
      <c r="H74" s="412" t="b">
        <f>Wh_hp&gt;='2022'!Maxi_hp</f>
        <v>0</v>
      </c>
      <c r="I74" s="379">
        <f>IF(H74,Wh_hp,'2022'!Maxi_hp)</f>
        <v>46.300334532075077</v>
      </c>
      <c r="J74" s="85">
        <f>IF(H74,An,'2022'!An_max)</f>
        <v>2022</v>
      </c>
      <c r="K74" s="197">
        <f t="shared" si="3"/>
        <v>44986</v>
      </c>
      <c r="L74" s="147">
        <f>IF(t&lt;Tvie,1-EXP((T0-t)*PertePVj)+'2022'!Pspv,1-EXP((T0-t)*PertePVj)+Pspv)</f>
        <v>2.8151920657216722E-2</v>
      </c>
      <c r="M74" s="832"/>
      <c r="N74" s="832"/>
      <c r="O74" s="48">
        <f>IF(t&lt;Tnet,'2022'!Resal+('2022'!Salim-'2022'!Resal)*(1-EXP(('2022'!Tnet-t)/('2022'!Tau_j))),Resal+(Salim-Resal)*(1-EXP((Tnet-t)/(Tau_j))))*Salcycl</f>
        <v>3.100859670405344E-2</v>
      </c>
      <c r="P74" s="338">
        <f>(INDEX(Models!$BJ74:$BT74,,T74)*(1-R74)+INDEX(Models!$BJ74:$BT74,,T74+1)*R74-ERP_i)*Q74*Ramure*Pc/MaxiM</f>
        <v>2.2989957649577456E-5</v>
      </c>
      <c r="Q74" s="304">
        <f t="shared" si="4"/>
        <v>0.6</v>
      </c>
      <c r="R74" s="177">
        <f t="shared" si="5"/>
        <v>0.5061840432010376</v>
      </c>
      <c r="S74" s="799">
        <f t="shared" si="6"/>
        <v>0</v>
      </c>
      <c r="T74" s="176">
        <f t="shared" si="7"/>
        <v>6</v>
      </c>
      <c r="U74" s="250">
        <f t="shared" si="20"/>
        <v>0.5061840432010376</v>
      </c>
      <c r="V74" s="382">
        <f t="shared" si="8"/>
        <v>44.955553431741521</v>
      </c>
      <c r="W74" s="400">
        <f t="shared" si="9"/>
        <v>43.60062897112541</v>
      </c>
      <c r="X74" s="157">
        <f t="shared" si="10"/>
        <v>44986</v>
      </c>
      <c r="Y74" s="383">
        <f t="shared" si="11"/>
        <v>39.966660420430117</v>
      </c>
      <c r="Z74" s="383">
        <f t="shared" si="21"/>
        <v>41.124391013313272</v>
      </c>
      <c r="AA74" s="384">
        <f t="shared" si="12"/>
        <v>46.299302619378317</v>
      </c>
      <c r="AB74" s="197">
        <f t="shared" si="13"/>
        <v>44986</v>
      </c>
      <c r="AC74" s="119">
        <f>IF(OR(t&lt;Tnet,NoTnet),'2022'!Resal_s+('2022'!Salim-'2022'!Resal_s)*(1-EXP(('2022'!Tnet_s-t)/'2022'!Tau_j)),Resal_s+(Salim-Resal_s)*(1-EXP((Tnet_s-t)/Tau_j)))*Salcycl</f>
        <v>0.11177083267554684</v>
      </c>
      <c r="AD74" s="230">
        <f>(INDEX(Models!$BJ74:$BT74,,AH74)*(1-AF74)+INDEX(Models!$BJ74:$BT74,,AH74+1)*AF74-ERP_i)*AE74*Ramure*Pc/MaxiM</f>
        <v>2.2989957649577456E-5</v>
      </c>
      <c r="AE74" s="304">
        <f t="shared" si="14"/>
        <v>0.6</v>
      </c>
      <c r="AF74" s="177">
        <f t="shared" si="22"/>
        <v>0.5061840432010376</v>
      </c>
      <c r="AG74" s="799">
        <f t="shared" si="23"/>
        <v>0</v>
      </c>
      <c r="AH74" s="176">
        <f t="shared" si="15"/>
        <v>6</v>
      </c>
      <c r="AI74" s="224">
        <f t="shared" si="24"/>
        <v>0.5061840432010376</v>
      </c>
      <c r="AJ74" s="264" t="b">
        <f t="shared" si="16"/>
        <v>1</v>
      </c>
      <c r="AK74" s="264" t="b">
        <f t="shared" si="17"/>
        <v>0</v>
      </c>
      <c r="AL74" s="264"/>
      <c r="AM74" s="264"/>
      <c r="AN74" s="75"/>
    </row>
    <row r="75" spans="1:40" s="6" customFormat="1" ht="11.25" x14ac:dyDescent="0.2">
      <c r="A75" s="56">
        <f t="shared" si="18"/>
        <v>44987</v>
      </c>
      <c r="B75" s="409">
        <f>IF(t&gt;Tmaj,'2022'!Wh/'2022'!Env_an*'2023'!Env_an,0.001*'[5]mon-tableau'!$B$243)</f>
        <v>12.787817141472225</v>
      </c>
      <c r="C75" s="829"/>
      <c r="D75" s="391">
        <f t="shared" si="0"/>
        <v>13.158499248581389</v>
      </c>
      <c r="E75" s="383">
        <f t="shared" si="1"/>
        <v>13.580471712118483</v>
      </c>
      <c r="F75" s="383">
        <f t="shared" si="2"/>
        <v>13.580471712118483</v>
      </c>
      <c r="G75" s="110">
        <f t="shared" si="19"/>
        <v>0.28237705429151888</v>
      </c>
      <c r="H75" s="412" t="b">
        <f>Wh_hp&gt;='2022'!Maxi_hp</f>
        <v>0</v>
      </c>
      <c r="I75" s="379">
        <f>IF(H75,Wh_hp,'2022'!Maxi_hp)</f>
        <v>33.645098322767872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2.8170545903943189E-2</v>
      </c>
      <c r="M75" s="832"/>
      <c r="N75" s="832"/>
      <c r="O75" s="48">
        <f>IF(t&lt;Tnet,'2022'!Resal+('2022'!Salim-'2022'!Resal)*(1-EXP(('2022'!Tnet-t)/('2022'!Tau_j))),Resal+(Salim-Resal)*(1-EXP((Tnet-t)/(Tau_j))))*Salcycl</f>
        <v>3.107200342389782E-2</v>
      </c>
      <c r="P75" s="338">
        <f>(INDEX(Models!$BJ75:$BT75,,T75)*(1-R75)+INDEX(Models!$BJ75:$BT75,,T75+1)*R75-ERP_i)*Q75*Ramure*Pc/MaxiM</f>
        <v>2.2403181318318292E-5</v>
      </c>
      <c r="Q75" s="304">
        <f t="shared" si="4"/>
        <v>0.6</v>
      </c>
      <c r="R75" s="177">
        <f t="shared" si="5"/>
        <v>0.50650466417029916</v>
      </c>
      <c r="S75" s="799">
        <f t="shared" si="6"/>
        <v>0</v>
      </c>
      <c r="T75" s="176">
        <f t="shared" si="7"/>
        <v>6</v>
      </c>
      <c r="U75" s="250">
        <f t="shared" si="20"/>
        <v>0.50650466417029916</v>
      </c>
      <c r="V75" s="382">
        <f t="shared" si="8"/>
        <v>45.285303672318278</v>
      </c>
      <c r="W75" s="400">
        <f t="shared" si="9"/>
        <v>12.787817141472225</v>
      </c>
      <c r="X75" s="157">
        <f t="shared" si="10"/>
        <v>44987</v>
      </c>
      <c r="Y75" s="383">
        <f t="shared" si="11"/>
        <v>11.722884431859118</v>
      </c>
      <c r="Z75" s="383">
        <f t="shared" si="21"/>
        <v>12.062697196971778</v>
      </c>
      <c r="AA75" s="384">
        <f t="shared" si="12"/>
        <v>13.580471712118483</v>
      </c>
      <c r="AB75" s="197">
        <f t="shared" si="13"/>
        <v>44987</v>
      </c>
      <c r="AC75" s="119">
        <f>IF(OR(t&lt;Tnet,NoTnet),'2022'!Resal_s+('2022'!Salim-'2022'!Resal_s)*(1-EXP(('2022'!Tnet_s-t)/'2022'!Tau_j)),Resal_s+(Salim-Resal_s)*(1-EXP((Tnet_s-t)/Tau_j)))*Salcycl</f>
        <v>0.11176154608770501</v>
      </c>
      <c r="AD75" s="230">
        <f>(INDEX(Models!$BJ75:$BT75,,AH75)*(1-AF75)+INDEX(Models!$BJ75:$BT75,,AH75+1)*AF75-ERP_i)*AE75*Ramure*Pc/MaxiM</f>
        <v>2.2403181318318292E-5</v>
      </c>
      <c r="AE75" s="304">
        <f t="shared" si="14"/>
        <v>0.6</v>
      </c>
      <c r="AF75" s="177">
        <f t="shared" si="22"/>
        <v>0.50650466417029916</v>
      </c>
      <c r="AG75" s="799">
        <f t="shared" si="23"/>
        <v>0</v>
      </c>
      <c r="AH75" s="176">
        <f t="shared" si="15"/>
        <v>6</v>
      </c>
      <c r="AI75" s="224">
        <f t="shared" si="24"/>
        <v>0.50650466417029916</v>
      </c>
      <c r="AJ75" s="264" t="b">
        <f t="shared" si="16"/>
        <v>1</v>
      </c>
      <c r="AK75" s="264" t="b">
        <f t="shared" si="17"/>
        <v>0</v>
      </c>
      <c r="AL75" s="264"/>
      <c r="AM75" s="264"/>
      <c r="AN75" s="75"/>
    </row>
    <row r="76" spans="1:40" s="6" customFormat="1" ht="11.25" x14ac:dyDescent="0.2">
      <c r="A76" s="56">
        <f t="shared" si="18"/>
        <v>44988</v>
      </c>
      <c r="B76" s="409">
        <f>IF(t&gt;Tmaj,'2022'!Wh/'2022'!Env_an*'2023'!Env_an,0.001*'[5]mon-tableau'!$B$244)</f>
        <v>35.27491526278029</v>
      </c>
      <c r="C76" s="829"/>
      <c r="D76" s="391">
        <f t="shared" si="0"/>
        <v>36.298129432855646</v>
      </c>
      <c r="E76" s="383">
        <f t="shared" si="1"/>
        <v>37.464603196644227</v>
      </c>
      <c r="F76" s="383">
        <f t="shared" si="2"/>
        <v>37.465156923996808</v>
      </c>
      <c r="G76" s="110">
        <f t="shared" si="19"/>
        <v>0.77332605003342936</v>
      </c>
      <c r="H76" s="412" t="b">
        <f>Wh_hp&gt;='2022'!Maxi_hp</f>
        <v>0</v>
      </c>
      <c r="I76" s="379">
        <f>IF(H76,Wh_hp,'2022'!Maxi_hp)</f>
        <v>37.465231980084269</v>
      </c>
      <c r="J76" s="85">
        <f>IF(H76,An,'2022'!An_max)</f>
        <v>2022</v>
      </c>
      <c r="K76" s="197">
        <f t="shared" si="3"/>
        <v>44988</v>
      </c>
      <c r="L76" s="147">
        <f>IF(t&lt;Tvie,1-EXP((T0-t)*PertePVj)+'2022'!Pspv,1-EXP((T0-t)*PertePVj)+Pspv)</f>
        <v>2.8189170793720963E-2</v>
      </c>
      <c r="M76" s="832"/>
      <c r="N76" s="832"/>
      <c r="O76" s="48">
        <f>IF(t&lt;Tnet,'2022'!Resal+('2022'!Salim-'2022'!Resal)*(1-EXP(('2022'!Tnet-t)/('2022'!Tau_j))),Resal+(Salim-Resal)*(1-EXP((Tnet-t)/(Tau_j))))*Salcycl</f>
        <v>3.113535615647647E-2</v>
      </c>
      <c r="P76" s="338">
        <f>(INDEX(Models!$BJ76:$BT76,,T76)*(1-R76)+INDEX(Models!$BJ76:$BT76,,T76+1)*R76-ERP_i)*Q76*Ramure*Pc/MaxiM</f>
        <v>2.185752741898484E-5</v>
      </c>
      <c r="Q76" s="304">
        <f t="shared" si="4"/>
        <v>0.6</v>
      </c>
      <c r="R76" s="177">
        <f t="shared" si="5"/>
        <v>0.506838292580157</v>
      </c>
      <c r="S76" s="799">
        <f t="shared" si="6"/>
        <v>0</v>
      </c>
      <c r="T76" s="176">
        <f t="shared" si="7"/>
        <v>6</v>
      </c>
      <c r="U76" s="250">
        <f t="shared" si="20"/>
        <v>0.506838292580157</v>
      </c>
      <c r="V76" s="382">
        <f t="shared" si="8"/>
        <v>45.614221312170763</v>
      </c>
      <c r="W76" s="400">
        <f t="shared" si="9"/>
        <v>35.27491526278029</v>
      </c>
      <c r="X76" s="157">
        <f t="shared" si="10"/>
        <v>44988</v>
      </c>
      <c r="Y76" s="383">
        <f t="shared" si="11"/>
        <v>32.339773567467645</v>
      </c>
      <c r="Z76" s="383">
        <f t="shared" si="21"/>
        <v>33.277848523133841</v>
      </c>
      <c r="AA76" s="384">
        <f t="shared" si="12"/>
        <v>37.464603196644227</v>
      </c>
      <c r="AB76" s="197">
        <f t="shared" si="13"/>
        <v>44988</v>
      </c>
      <c r="AC76" s="119">
        <f>IF(OR(t&lt;Tnet,NoTnet),'2022'!Resal_s+('2022'!Salim-'2022'!Resal_s)*(1-EXP(('2022'!Tnet_s-t)/'2022'!Tau_j)),Resal_s+(Salim-Resal_s)*(1-EXP((Tnet_s-t)/Tau_j)))*Salcycl</f>
        <v>0.11175227591588101</v>
      </c>
      <c r="AD76" s="230">
        <f>(INDEX(Models!$BJ76:$BT76,,AH76)*(1-AF76)+INDEX(Models!$BJ76:$BT76,,AH76+1)*AF76-ERP_i)*AE76*Ramure*Pc/MaxiM</f>
        <v>2.185752741898484E-5</v>
      </c>
      <c r="AE76" s="304">
        <f t="shared" si="14"/>
        <v>0.6</v>
      </c>
      <c r="AF76" s="177">
        <f t="shared" si="22"/>
        <v>0.506838292580157</v>
      </c>
      <c r="AG76" s="799">
        <f t="shared" si="23"/>
        <v>0</v>
      </c>
      <c r="AH76" s="176">
        <f t="shared" si="15"/>
        <v>6</v>
      </c>
      <c r="AI76" s="224">
        <f t="shared" si="24"/>
        <v>0.506838292580157</v>
      </c>
      <c r="AJ76" s="264" t="b">
        <f t="shared" si="16"/>
        <v>1</v>
      </c>
      <c r="AK76" s="264" t="b">
        <f t="shared" si="17"/>
        <v>0</v>
      </c>
      <c r="AL76" s="264"/>
      <c r="AM76" s="264"/>
      <c r="AN76" s="75"/>
    </row>
    <row r="77" spans="1:40" s="6" customFormat="1" ht="11.25" x14ac:dyDescent="0.2">
      <c r="A77" s="56">
        <f t="shared" si="18"/>
        <v>44989</v>
      </c>
      <c r="B77" s="409">
        <f>IF(t&gt;Tmaj,'2022'!Wh/'2022'!Env_an*'2023'!Env_an,0.001*'[5]mon-tableau'!$B$245)</f>
        <v>3.7769336738499719</v>
      </c>
      <c r="C77" s="829"/>
      <c r="D77" s="391">
        <f t="shared" si="0"/>
        <v>3.886565106908999</v>
      </c>
      <c r="E77" s="383">
        <f t="shared" si="1"/>
        <v>4.0117255657327178</v>
      </c>
      <c r="F77" s="383">
        <f t="shared" si="2"/>
        <v>4.0117255657327178</v>
      </c>
      <c r="G77" s="110">
        <f t="shared" si="19"/>
        <v>8.2208425949360606E-2</v>
      </c>
      <c r="H77" s="412" t="b">
        <f>Wh_hp&gt;='2022'!Maxi_hp</f>
        <v>0</v>
      </c>
      <c r="I77" s="379">
        <f>IF(H77,Wh_hp,'2022'!Maxi_hp)</f>
        <v>31.305227886602569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2.8207795326557039E-2</v>
      </c>
      <c r="M77" s="832"/>
      <c r="N77" s="832"/>
      <c r="O77" s="48">
        <f>IF(t&lt;Tnet,'2022'!Resal+('2022'!Salim-'2022'!Resal)*(1-EXP(('2022'!Tnet-t)/('2022'!Tau_j))),Resal+(Salim-Resal)*(1-EXP((Tnet-t)/(Tau_j))))*Salcycl</f>
        <v>3.1198659223555178E-2</v>
      </c>
      <c r="P77" s="338">
        <f>(INDEX(Models!$BJ77:$BT77,,T77)*(1-R77)+INDEX(Models!$BJ77:$BT77,,T77+1)*R77-ERP_i)*Q77*Ramure*Pc/MaxiM</f>
        <v>2.1352127347081544E-5</v>
      </c>
      <c r="Q77" s="304">
        <f t="shared" si="4"/>
        <v>0.6</v>
      </c>
      <c r="R77" s="177">
        <f t="shared" si="5"/>
        <v>0.50718543712525532</v>
      </c>
      <c r="S77" s="799">
        <f t="shared" si="6"/>
        <v>0</v>
      </c>
      <c r="T77" s="176">
        <f t="shared" si="7"/>
        <v>6</v>
      </c>
      <c r="U77" s="250">
        <f t="shared" si="20"/>
        <v>0.50718543712525532</v>
      </c>
      <c r="V77" s="382">
        <f t="shared" si="8"/>
        <v>45.942407784424454</v>
      </c>
      <c r="W77" s="400">
        <f t="shared" si="9"/>
        <v>3.7769336738499719</v>
      </c>
      <c r="X77" s="157">
        <f t="shared" si="10"/>
        <v>44989</v>
      </c>
      <c r="Y77" s="383">
        <f t="shared" si="11"/>
        <v>3.4629262902977525</v>
      </c>
      <c r="Z77" s="383">
        <f t="shared" si="21"/>
        <v>3.5634431657757739</v>
      </c>
      <c r="AA77" s="384">
        <f t="shared" si="12"/>
        <v>4.0117255657327178</v>
      </c>
      <c r="AB77" s="197">
        <f t="shared" si="13"/>
        <v>44989</v>
      </c>
      <c r="AC77" s="119">
        <f>IF(OR(t&lt;Tnet,NoTnet),'2022'!Resal_s+('2022'!Salim-'2022'!Resal_s)*(1-EXP(('2022'!Tnet_s-t)/'2022'!Tau_j)),Resal_s+(Salim-Resal_s)*(1-EXP((Tnet_s-t)/Tau_j)))*Salcycl</f>
        <v>0.11174303740666455</v>
      </c>
      <c r="AD77" s="230">
        <f>(INDEX(Models!$BJ77:$BT77,,AH77)*(1-AF77)+INDEX(Models!$BJ77:$BT77,,AH77+1)*AF77-ERP_i)*AE77*Ramure*Pc/MaxiM</f>
        <v>2.1352127347081544E-5</v>
      </c>
      <c r="AE77" s="304">
        <f t="shared" si="14"/>
        <v>0.6</v>
      </c>
      <c r="AF77" s="177">
        <f t="shared" si="22"/>
        <v>0.50718543712525532</v>
      </c>
      <c r="AG77" s="799">
        <f t="shared" si="23"/>
        <v>0</v>
      </c>
      <c r="AH77" s="176">
        <f t="shared" si="15"/>
        <v>6</v>
      </c>
      <c r="AI77" s="224">
        <f t="shared" si="24"/>
        <v>0.50718543712525532</v>
      </c>
      <c r="AJ77" s="264" t="b">
        <f t="shared" si="16"/>
        <v>1</v>
      </c>
      <c r="AK77" s="264" t="b">
        <f t="shared" si="17"/>
        <v>0</v>
      </c>
      <c r="AL77" s="264"/>
      <c r="AM77" s="264"/>
      <c r="AN77" s="75"/>
    </row>
    <row r="78" spans="1:40" s="6" customFormat="1" ht="11.25" x14ac:dyDescent="0.2">
      <c r="A78" s="56">
        <f t="shared" si="18"/>
        <v>44990</v>
      </c>
      <c r="B78" s="409">
        <f>IF(t&gt;Tmaj,'2022'!Wh/'2022'!Env_an*'2023'!Env_an,0.001*'[5]mon-tableau'!$B$246)</f>
        <v>12.937461617902914</v>
      </c>
      <c r="C78" s="829"/>
      <c r="D78" s="391">
        <f t="shared" si="0"/>
        <v>13.313246910127992</v>
      </c>
      <c r="E78" s="383">
        <f t="shared" si="1"/>
        <v>13.742875553235489</v>
      </c>
      <c r="F78" s="383">
        <f t="shared" si="2"/>
        <v>13.742875553235489</v>
      </c>
      <c r="G78" s="110">
        <f t="shared" si="19"/>
        <v>0.2796023631683856</v>
      </c>
      <c r="H78" s="412" t="b">
        <f>Wh_hp&gt;='2022'!Maxi_hp</f>
        <v>0</v>
      </c>
      <c r="I78" s="379">
        <f>IF(H78,Wh_hp,'2022'!Maxi_hp)</f>
        <v>38.458441078302194</v>
      </c>
      <c r="J78" s="85">
        <f>IF(H78,An,'2022'!An_max)</f>
        <v>2021</v>
      </c>
      <c r="K78" s="197">
        <f t="shared" si="3"/>
        <v>44990</v>
      </c>
      <c r="L78" s="147">
        <f>IF(t&lt;Tvie,1-EXP((T0-t)*PertePVj)+'2022'!Pspv,1-EXP((T0-t)*PertePVj)+Pspv)</f>
        <v>2.8226419502458189E-2</v>
      </c>
      <c r="M78" s="832"/>
      <c r="N78" s="832"/>
      <c r="O78" s="48">
        <f>IF(t&lt;Tnet,'2022'!Resal+('2022'!Salim-'2022'!Resal)*(1-EXP(('2022'!Tnet-t)/('2022'!Tau_j))),Resal+(Salim-Resal)*(1-EXP((Tnet-t)/(Tau_j))))*Salcycl</f>
        <v>3.126191759819507E-2</v>
      </c>
      <c r="P78" s="338">
        <f>(INDEX(Models!$BJ78:$BT78,,T78)*(1-R78)+INDEX(Models!$BJ78:$BT78,,T78+1)*R78-ERP_i)*Q78*Ramure*Pc/MaxiM</f>
        <v>2.0886153375206205E-5</v>
      </c>
      <c r="Q78" s="304">
        <f t="shared" si="4"/>
        <v>0.6</v>
      </c>
      <c r="R78" s="177">
        <f t="shared" si="5"/>
        <v>0.50754662479715096</v>
      </c>
      <c r="S78" s="799">
        <f t="shared" si="6"/>
        <v>0</v>
      </c>
      <c r="T78" s="176">
        <f t="shared" si="7"/>
        <v>6</v>
      </c>
      <c r="U78" s="250">
        <f t="shared" si="20"/>
        <v>0.50754662479715096</v>
      </c>
      <c r="V78" s="382">
        <f t="shared" si="8"/>
        <v>46.269964450565396</v>
      </c>
      <c r="W78" s="400">
        <f t="shared" si="9"/>
        <v>12.937461617902914</v>
      </c>
      <c r="X78" s="157">
        <f t="shared" si="10"/>
        <v>44990</v>
      </c>
      <c r="Y78" s="383">
        <f t="shared" si="11"/>
        <v>11.862761933968804</v>
      </c>
      <c r="Z78" s="383">
        <f t="shared" si="21"/>
        <v>12.207331185002113</v>
      </c>
      <c r="AA78" s="384">
        <f t="shared" si="12"/>
        <v>13.742875553235489</v>
      </c>
      <c r="AB78" s="197">
        <f t="shared" si="13"/>
        <v>44990</v>
      </c>
      <c r="AC78" s="119">
        <f>IF(OR(t&lt;Tnet,NoTnet),'2022'!Resal_s+('2022'!Salim-'2022'!Resal_s)*(1-EXP(('2022'!Tnet_s-t)/'2022'!Tau_j)),Resal_s+(Salim-Resal_s)*(1-EXP((Tnet_s-t)/Tau_j)))*Salcycl</f>
        <v>0.1117338480062029</v>
      </c>
      <c r="AD78" s="230">
        <f>(INDEX(Models!$BJ78:$BT78,,AH78)*(1-AF78)+INDEX(Models!$BJ78:$BT78,,AH78+1)*AF78-ERP_i)*AE78*Ramure*Pc/MaxiM</f>
        <v>2.0886153375206205E-5</v>
      </c>
      <c r="AE78" s="304">
        <f t="shared" si="14"/>
        <v>0.6</v>
      </c>
      <c r="AF78" s="177">
        <f t="shared" si="22"/>
        <v>0.50754662479715096</v>
      </c>
      <c r="AG78" s="799">
        <f t="shared" si="23"/>
        <v>0</v>
      </c>
      <c r="AH78" s="176">
        <f t="shared" si="15"/>
        <v>6</v>
      </c>
      <c r="AI78" s="224">
        <f t="shared" si="24"/>
        <v>0.50754662479715096</v>
      </c>
      <c r="AJ78" s="264" t="b">
        <f t="shared" si="16"/>
        <v>1</v>
      </c>
      <c r="AK78" s="264" t="b">
        <f t="shared" si="17"/>
        <v>0</v>
      </c>
      <c r="AL78" s="264"/>
      <c r="AM78" s="264"/>
      <c r="AN78" s="75"/>
    </row>
    <row r="79" spans="1:40" s="6" customFormat="1" ht="11.25" x14ac:dyDescent="0.2">
      <c r="A79" s="56">
        <f t="shared" si="18"/>
        <v>44991</v>
      </c>
      <c r="B79" s="409">
        <f>IF(t&gt;Tmaj,'2022'!Wh/'2022'!Env_an*'2023'!Env_an,0.001*'[5]mon-tableau'!$B$247)</f>
        <v>15.896339488590373</v>
      </c>
      <c r="C79" s="829"/>
      <c r="D79" s="391">
        <f t="shared" ref="D79:D142" si="25">Wh/(1-Ppv)</f>
        <v>16.358382717103513</v>
      </c>
      <c r="E79" s="383">
        <f t="shared" si="1"/>
        <v>16.887382278941761</v>
      </c>
      <c r="F79" s="383">
        <f t="shared" ref="F79:F142" si="26">Wh_sa/(1-Pvg*MEDIAN((-Sdif+Wh/Env_an)/Csdif,0,1))</f>
        <v>16.887402583387928</v>
      </c>
      <c r="G79" s="110">
        <f t="shared" si="19"/>
        <v>0.34113242785465775</v>
      </c>
      <c r="H79" s="412" t="b">
        <f>Wh_hp&gt;='2022'!Maxi_hp</f>
        <v>0</v>
      </c>
      <c r="I79" s="379">
        <f>IF(H79,Wh_hp,'2022'!Maxi_hp)</f>
        <v>16.88749179346107</v>
      </c>
      <c r="J79" s="85">
        <f>IF(H79,An,'2022'!An_max)</f>
        <v>2022</v>
      </c>
      <c r="K79" s="197">
        <f t="shared" ref="K79:K142" si="27">t</f>
        <v>44991</v>
      </c>
      <c r="L79" s="147">
        <f>IF(t&lt;Tvie,1-EXP((T0-t)*PertePVj)+'2022'!Pspv,1-EXP((T0-t)*PertePVj)+Pspv)</f>
        <v>2.8245043321431185E-2</v>
      </c>
      <c r="M79" s="832"/>
      <c r="N79" s="832"/>
      <c r="O79" s="48">
        <f>IF(t&lt;Tnet,'2022'!Resal+('2022'!Salim-'2022'!Resal)*(1-EXP(('2022'!Tnet-t)/('2022'!Tau_j))),Resal+(Salim-Resal)*(1-EXP((Tnet-t)/(Tau_j))))*Salcycl</f>
        <v>3.1325136904012695E-2</v>
      </c>
      <c r="P79" s="338">
        <f>(INDEX(Models!$BJ79:$BT79,,T79)*(1-R79)+INDEX(Models!$BJ79:$BT79,,T79+1)*R79-ERP_i)*Q79*Ramure*Pc/MaxiM</f>
        <v>2.0458445594915522E-5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0.50792240140704903</v>
      </c>
      <c r="S79" s="799">
        <f t="shared" ref="S79:S142" si="30">INDEX(Echel_vg,T79)</f>
        <v>0</v>
      </c>
      <c r="T79" s="176">
        <f t="shared" ref="T79:T142" si="31">MIN(MATCH(Hp_vg,Echel_vg),10)</f>
        <v>6</v>
      </c>
      <c r="U79" s="250">
        <f t="shared" ref="U79:U142" si="32">IF(OR(t&lt;Ttai,Notai),Hdd+PousH*Croivg,Hdtf+PousH*(Croivg-Croi_tai))</f>
        <v>0.50792240140704903</v>
      </c>
      <c r="V79" s="382">
        <f t="shared" ref="V79:V142" si="33">MaxiM*(1-Ppv)*(1-Pvg)*(1-Psa)</f>
        <v>46.597837346166969</v>
      </c>
      <c r="W79" s="400">
        <f t="shared" ref="W79:W142" si="34">Wh*(A79&gt;Tmaj)</f>
        <v>15.896339488590373</v>
      </c>
      <c r="X79" s="157">
        <f t="shared" ref="X79:X142" si="35">t</f>
        <v>44991</v>
      </c>
      <c r="Y79" s="383">
        <f t="shared" ref="Y79:Y142" si="36">Wh_pvt_s*(1-Ppv)</f>
        <v>14.576950256020591</v>
      </c>
      <c r="Z79" s="383">
        <f t="shared" ref="Z79:Z142" si="37">Wh_sa_s*(1-Psa_s)</f>
        <v>15.000644098430122</v>
      </c>
      <c r="AA79" s="384">
        <f t="shared" ref="AA79:AA142" si="38">Wh_hp*(1-Pvg_s*MEDIAN((-Sdif+Wh/Env_an)/Csdif,0,1))</f>
        <v>16.887382278941761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0.11172472733470148</v>
      </c>
      <c r="AD79" s="230">
        <f>(INDEX(Models!$BJ79:$BT79,,AH79)*(1-AF79)+INDEX(Models!$BJ79:$BT79,,AH79+1)*AF79-ERP_i)*AE79*Ramure*Pc/MaxiM</f>
        <v>2.0458445594915522E-5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0.50792240140704903</v>
      </c>
      <c r="AG79" s="799">
        <f t="shared" si="23"/>
        <v>0</v>
      </c>
      <c r="AH79" s="176">
        <f t="shared" ref="AH79:AH142" si="42">MIN(MATCH(Hp_vg_s,Echel_vg),10)</f>
        <v>6</v>
      </c>
      <c r="AI79" s="224">
        <f t="shared" ref="AI79:AI142" si="43">IF(OR(t&lt;Ttai,Notai),Hdd_s+PousH*Croivg,Hdtai_s+PousH*(Croivg-Croi_tai))</f>
        <v>0.50792240140704903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44992</v>
      </c>
      <c r="B80" s="409">
        <f>IF(t&gt;Tmaj,'2022'!Wh/'2022'!Env_an*'2023'!Env_an,0.001*'[5]mon-tableau'!$B$248)</f>
        <v>38.789351186741541</v>
      </c>
      <c r="C80" s="829"/>
      <c r="D80" s="391">
        <f t="shared" si="25"/>
        <v>39.917568028300437</v>
      </c>
      <c r="E80" s="383">
        <f t="shared" ref="E80:E143" si="47">Wh_pvt/(1-Psa)</f>
        <v>41.211115861049208</v>
      </c>
      <c r="F80" s="383">
        <f t="shared" si="26"/>
        <v>41.211736847379697</v>
      </c>
      <c r="G80" s="110">
        <f t="shared" ref="G80:G143" si="48">+Wh_hp/MaxiM</f>
        <v>0.82659269503127364</v>
      </c>
      <c r="H80" s="412" t="b">
        <f>Wh_hp&gt;='2022'!Maxi_hp</f>
        <v>0</v>
      </c>
      <c r="I80" s="379">
        <f>IF(H80,Wh_hp,'2022'!Maxi_hp)</f>
        <v>41.211792495970926</v>
      </c>
      <c r="J80" s="85">
        <f>IF(H80,An,'2022'!An_max)</f>
        <v>2022</v>
      </c>
      <c r="K80" s="197">
        <f t="shared" si="27"/>
        <v>44992</v>
      </c>
      <c r="L80" s="147">
        <f>IF(t&lt;Tvie,1-EXP((T0-t)*PertePVj)+'2022'!Pspv,1-EXP((T0-t)*PertePVj)+Pspv)</f>
        <v>2.8263666783483021E-2</v>
      </c>
      <c r="M80" s="832"/>
      <c r="N80" s="832"/>
      <c r="O80" s="48">
        <f>IF(t&lt;Tnet,'2022'!Resal+('2022'!Salim-'2022'!Resal)*(1-EXP(('2022'!Tnet-t)/('2022'!Tau_j))),Resal+(Salim-Resal)*(1-EXP((Tnet-t)/(Tau_j))))*Salcycl</f>
        <v>3.1388323410368242E-2</v>
      </c>
      <c r="P80" s="338">
        <f>(INDEX(Models!$BJ80:$BT80,,T80)*(1-R80)+INDEX(Models!$BJ80:$BT80,,T80+1)*R80-ERP_i)*Q80*Ramure*Pc/MaxiM</f>
        <v>2.0030000011031926E-5</v>
      </c>
      <c r="Q80" s="304">
        <f t="shared" si="28"/>
        <v>0.6</v>
      </c>
      <c r="R80" s="177">
        <f t="shared" si="29"/>
        <v>0.50831333211148466</v>
      </c>
      <c r="S80" s="799">
        <f t="shared" si="30"/>
        <v>0</v>
      </c>
      <c r="T80" s="176">
        <f t="shared" si="31"/>
        <v>6</v>
      </c>
      <c r="U80" s="250">
        <f t="shared" si="32"/>
        <v>0.50831333211148466</v>
      </c>
      <c r="V80" s="382">
        <f t="shared" si="33"/>
        <v>46.926568492151169</v>
      </c>
      <c r="W80" s="400">
        <f t="shared" si="34"/>
        <v>38.789351186741541</v>
      </c>
      <c r="X80" s="157">
        <f t="shared" si="35"/>
        <v>44992</v>
      </c>
      <c r="Y80" s="383">
        <f t="shared" si="36"/>
        <v>35.572533978072606</v>
      </c>
      <c r="Z80" s="383">
        <f t="shared" si="37"/>
        <v>36.607187322434434</v>
      </c>
      <c r="AA80" s="384">
        <f t="shared" si="38"/>
        <v>41.211115861049208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0.11171569714680284</v>
      </c>
      <c r="AD80" s="230">
        <f>(INDEX(Models!$BJ80:$BT80,,AH80)*(1-AF80)+INDEX(Models!$BJ80:$BT80,,AH80+1)*AF80-ERP_i)*AE80*Ramure*Pc/MaxiM</f>
        <v>2.0030000011031926E-5</v>
      </c>
      <c r="AE80" s="304">
        <f t="shared" si="40"/>
        <v>0.6</v>
      </c>
      <c r="AF80" s="177">
        <f t="shared" si="41"/>
        <v>0.50831333211148466</v>
      </c>
      <c r="AG80" s="799">
        <f t="shared" ref="AG80:AG143" si="49">INDEX(Echel_vg,AH80)</f>
        <v>0</v>
      </c>
      <c r="AH80" s="176">
        <f t="shared" si="42"/>
        <v>6</v>
      </c>
      <c r="AI80" s="224">
        <f t="shared" si="43"/>
        <v>0.50831333211148466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44993</v>
      </c>
      <c r="B81" s="409">
        <f>IF(t&gt;Tmaj,'2022'!Wh/'2022'!Env_an*'2023'!Env_an,0.001*'[5]mon-tableau'!$B$249)</f>
        <v>36.394712030523017</v>
      </c>
      <c r="C81" s="829"/>
      <c r="D81" s="391">
        <f t="shared" si="25"/>
        <v>37.453996826250503</v>
      </c>
      <c r="E81" s="383">
        <f t="shared" si="47"/>
        <v>38.670233042991377</v>
      </c>
      <c r="F81" s="383">
        <f t="shared" si="26"/>
        <v>38.670741088601012</v>
      </c>
      <c r="G81" s="110">
        <f t="shared" si="48"/>
        <v>0.77016137412809416</v>
      </c>
      <c r="H81" s="412" t="b">
        <f>Wh_hp&gt;='2022'!Maxi_hp</f>
        <v>0</v>
      </c>
      <c r="I81" s="379">
        <f>IF(H81,Wh_hp,'2022'!Maxi_hp)</f>
        <v>38.670808244768345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2.8282289888620471E-2</v>
      </c>
      <c r="M81" s="832"/>
      <c r="N81" s="832"/>
      <c r="O81" s="48">
        <f>IF(t&lt;Tnet,'2022'!Resal+('2022'!Salim-'2022'!Resal)*(1-EXP(('2022'!Tnet-t)/('2022'!Tau_j))),Resal+(Salim-Resal)*(1-EXP((Tnet-t)/(Tau_j))))*Salcycl</f>
        <v>3.1451484023608894E-2</v>
      </c>
      <c r="P81" s="338">
        <f>(INDEX(Models!$BJ81:$BT81,,T81)*(1-R81)+INDEX(Models!$BJ81:$BT81,,T81+1)*R81-ERP_i)*Q81*Ramure*Pc/MaxiM</f>
        <v>1.9559904580654983E-5</v>
      </c>
      <c r="Q81" s="304">
        <f t="shared" si="28"/>
        <v>0.6</v>
      </c>
      <c r="R81" s="177">
        <f t="shared" si="29"/>
        <v>0.50872000193969469</v>
      </c>
      <c r="S81" s="799">
        <f t="shared" si="30"/>
        <v>0</v>
      </c>
      <c r="T81" s="176">
        <f t="shared" si="31"/>
        <v>6</v>
      </c>
      <c r="U81" s="250">
        <f t="shared" si="32"/>
        <v>0.50872000193969469</v>
      </c>
      <c r="V81" s="382">
        <f t="shared" si="33"/>
        <v>47.255652538175056</v>
      </c>
      <c r="W81" s="400">
        <f t="shared" si="34"/>
        <v>36.394712030523017</v>
      </c>
      <c r="X81" s="157">
        <f t="shared" si="35"/>
        <v>44993</v>
      </c>
      <c r="Y81" s="383">
        <f t="shared" si="36"/>
        <v>33.37899481622194</v>
      </c>
      <c r="Z81" s="383">
        <f t="shared" si="37"/>
        <v>34.350505778469341</v>
      </c>
      <c r="AA81" s="384">
        <f t="shared" si="38"/>
        <v>38.670233042991377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0.11170678127849937</v>
      </c>
      <c r="AD81" s="230">
        <f>(INDEX(Models!$BJ81:$BT81,,AH81)*(1-AF81)+INDEX(Models!$BJ81:$BT81,,AH81+1)*AF81-ERP_i)*AE81*Ramure*Pc/MaxiM</f>
        <v>1.9559904580654983E-5</v>
      </c>
      <c r="AE81" s="304">
        <f t="shared" si="40"/>
        <v>0.6</v>
      </c>
      <c r="AF81" s="177">
        <f t="shared" si="41"/>
        <v>0.50872000193969469</v>
      </c>
      <c r="AG81" s="799">
        <f t="shared" si="49"/>
        <v>0</v>
      </c>
      <c r="AH81" s="176">
        <f t="shared" si="42"/>
        <v>6</v>
      </c>
      <c r="AI81" s="224">
        <f t="shared" si="43"/>
        <v>0.50872000193969469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44994</v>
      </c>
      <c r="B82" s="409">
        <f>IF(t&gt;Tmaj,'2022'!Wh/'2022'!Env_an*'2023'!Env_an,0.001*'[5]mon-tableau'!$B$250)</f>
        <v>31.809246033753507</v>
      </c>
      <c r="C82" s="829"/>
      <c r="D82" s="391">
        <f t="shared" si="25"/>
        <v>32.735696109453635</v>
      </c>
      <c r="E82" s="383">
        <f t="shared" si="47"/>
        <v>33.800919453774782</v>
      </c>
      <c r="F82" s="383">
        <f t="shared" si="26"/>
        <v>33.801258395008126</v>
      </c>
      <c r="G82" s="110">
        <f t="shared" si="48"/>
        <v>0.66847196094583328</v>
      </c>
      <c r="H82" s="412" t="b">
        <f>Wh_hp&gt;='2022'!Maxi_hp</f>
        <v>0</v>
      </c>
      <c r="I82" s="379">
        <f>IF(H82,Wh_hp,'2022'!Maxi_hp)</f>
        <v>46.982445789324288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2.8300912636850306E-2</v>
      </c>
      <c r="M82" s="832"/>
      <c r="N82" s="832"/>
      <c r="O82" s="48">
        <f>IF(t&lt;Tnet,'2022'!Resal+('2022'!Salim-'2022'!Resal)*(1-EXP(('2022'!Tnet-t)/('2022'!Tau_j))),Resal+(Salim-Resal)*(1-EXP((Tnet-t)/(Tau_j))))*Salcycl</f>
        <v>3.1514626274528244E-2</v>
      </c>
      <c r="P82" s="338">
        <f>(INDEX(Models!$BJ82:$BT82,,T82)*(1-R82)+INDEX(Models!$BJ82:$BT82,,T82+1)*R82-ERP_i)*Q82*Ramure*Pc/MaxiM</f>
        <v>1.9049256191068546E-5</v>
      </c>
      <c r="Q82" s="304">
        <f t="shared" si="28"/>
        <v>0.6</v>
      </c>
      <c r="R82" s="177">
        <f t="shared" si="29"/>
        <v>0.50914301632128167</v>
      </c>
      <c r="S82" s="799">
        <f t="shared" si="30"/>
        <v>0</v>
      </c>
      <c r="T82" s="176">
        <f t="shared" si="31"/>
        <v>6</v>
      </c>
      <c r="U82" s="250">
        <f t="shared" si="32"/>
        <v>0.50914301632128167</v>
      </c>
      <c r="V82" s="382">
        <f t="shared" si="33"/>
        <v>47.584582320810242</v>
      </c>
      <c r="W82" s="400">
        <f t="shared" si="34"/>
        <v>31.809246033753507</v>
      </c>
      <c r="X82" s="157">
        <f t="shared" si="35"/>
        <v>44994</v>
      </c>
      <c r="Y82" s="383">
        <f t="shared" si="36"/>
        <v>29.175677257823477</v>
      </c>
      <c r="Z82" s="383">
        <f t="shared" si="37"/>
        <v>30.025424163972435</v>
      </c>
      <c r="AA82" s="384">
        <f t="shared" si="38"/>
        <v>33.800919453774782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0.11169800558134553</v>
      </c>
      <c r="AD82" s="230">
        <f>(INDEX(Models!$BJ82:$BT82,,AH82)*(1-AF82)+INDEX(Models!$BJ82:$BT82,,AH82+1)*AF82-ERP_i)*AE82*Ramure*Pc/MaxiM</f>
        <v>1.9049256191068546E-5</v>
      </c>
      <c r="AE82" s="304">
        <f t="shared" si="40"/>
        <v>0.6</v>
      </c>
      <c r="AF82" s="177">
        <f t="shared" si="41"/>
        <v>0.50914301632128167</v>
      </c>
      <c r="AG82" s="799">
        <f t="shared" si="49"/>
        <v>0</v>
      </c>
      <c r="AH82" s="176">
        <f t="shared" si="42"/>
        <v>6</v>
      </c>
      <c r="AI82" s="224">
        <f t="shared" si="43"/>
        <v>0.50914301632128167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44995</v>
      </c>
      <c r="B83" s="409">
        <f>IF(t&gt;Tmaj,'2022'!Wh/'2022'!Env_an*'2023'!Env_an,0.001*'[5]mon-tableau'!$B$251)</f>
        <v>26.899964642386525</v>
      </c>
      <c r="C83" s="829"/>
      <c r="D83" s="391">
        <f t="shared" si="25"/>
        <v>27.683961561547545</v>
      </c>
      <c r="E83" s="383">
        <f t="shared" si="47"/>
        <v>28.586664338702175</v>
      </c>
      <c r="F83" s="383">
        <f t="shared" si="26"/>
        <v>28.586861845968926</v>
      </c>
      <c r="G83" s="110">
        <f t="shared" si="48"/>
        <v>0.56142876942519981</v>
      </c>
      <c r="H83" s="412" t="b">
        <f>Wh_hp&gt;='2022'!Maxi_hp</f>
        <v>0</v>
      </c>
      <c r="I83" s="379">
        <f>IF(H83,Wh_hp,'2022'!Maxi_hp)</f>
        <v>45.805582995042379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2.831953502817941E-2</v>
      </c>
      <c r="M83" s="832"/>
      <c r="N83" s="832"/>
      <c r="O83" s="48">
        <f>IF(t&lt;Tnet,'2022'!Resal+('2022'!Salim-'2022'!Resal)*(1-EXP(('2022'!Tnet-t)/('2022'!Tau_j))),Resal+(Salim-Resal)*(1-EXP((Tnet-t)/(Tau_j))))*Salcycl</f>
        <v>3.1577758302233964E-2</v>
      </c>
      <c r="P83" s="338">
        <f>(INDEX(Models!$BJ83:$BT83,,T83)*(1-R83)+INDEX(Models!$BJ83:$BT83,,T83+1)*R83-ERP_i)*Q83*Ramure*Pc/MaxiM</f>
        <v>1.8499093514642167E-5</v>
      </c>
      <c r="Q83" s="304">
        <f t="shared" si="28"/>
        <v>0.6</v>
      </c>
      <c r="R83" s="177">
        <f t="shared" si="29"/>
        <v>0.50958300161261838</v>
      </c>
      <c r="S83" s="799">
        <f t="shared" si="30"/>
        <v>0</v>
      </c>
      <c r="T83" s="176">
        <f t="shared" si="31"/>
        <v>6</v>
      </c>
      <c r="U83" s="250">
        <f t="shared" si="32"/>
        <v>0.50958300161261838</v>
      </c>
      <c r="V83" s="382">
        <f t="shared" si="33"/>
        <v>47.912850806109631</v>
      </c>
      <c r="W83" s="400">
        <f t="shared" si="34"/>
        <v>26.899964642386525</v>
      </c>
      <c r="X83" s="157">
        <f t="shared" si="35"/>
        <v>44995</v>
      </c>
      <c r="Y83" s="383">
        <f t="shared" si="36"/>
        <v>24.674695355549893</v>
      </c>
      <c r="Z83" s="383">
        <f t="shared" si="37"/>
        <v>25.393837012320173</v>
      </c>
      <c r="AA83" s="384">
        <f t="shared" si="38"/>
        <v>28.586664338702175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0.11168939784483273</v>
      </c>
      <c r="AD83" s="230">
        <f>(INDEX(Models!$BJ83:$BT83,,AH83)*(1-AF83)+INDEX(Models!$BJ83:$BT83,,AH83+1)*AF83-ERP_i)*AE83*Ramure*Pc/MaxiM</f>
        <v>1.8499093514642167E-5</v>
      </c>
      <c r="AE83" s="304">
        <f t="shared" si="40"/>
        <v>0.6</v>
      </c>
      <c r="AF83" s="177">
        <f t="shared" si="41"/>
        <v>0.50958300161261838</v>
      </c>
      <c r="AG83" s="799">
        <f t="shared" si="49"/>
        <v>0</v>
      </c>
      <c r="AH83" s="176">
        <f t="shared" si="42"/>
        <v>6</v>
      </c>
      <c r="AI83" s="224">
        <f t="shared" si="43"/>
        <v>0.50958300161261838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44996</v>
      </c>
      <c r="B84" s="409">
        <f>IF(t&gt;Tmaj,'2022'!Wh/'2022'!Env_an*'2023'!Env_an,0.001*'[5]mon-tableau'!$B$252)</f>
        <v>17.134832598602145</v>
      </c>
      <c r="C84" s="829"/>
      <c r="D84" s="391">
        <f t="shared" si="25"/>
        <v>17.63456363255208</v>
      </c>
      <c r="E84" s="383">
        <f t="shared" si="47"/>
        <v>18.210768535373269</v>
      </c>
      <c r="F84" s="383">
        <f t="shared" si="26"/>
        <v>18.210794255631967</v>
      </c>
      <c r="G84" s="110">
        <f t="shared" si="48"/>
        <v>0.35519418074501941</v>
      </c>
      <c r="H84" s="412" t="b">
        <f>Wh_hp&gt;='2022'!Maxi_hp</f>
        <v>0</v>
      </c>
      <c r="I84" s="379">
        <f>IF(H84,Wh_hp,'2022'!Maxi_hp)</f>
        <v>35.092284275887017</v>
      </c>
      <c r="J84" s="85">
        <f>IF(H84,An,'2022'!An_max)</f>
        <v>2021</v>
      </c>
      <c r="K84" s="197">
        <f t="shared" si="27"/>
        <v>44996</v>
      </c>
      <c r="L84" s="147">
        <f>IF(t&lt;Tvie,1-EXP((T0-t)*PertePVj)+'2022'!Pspv,1-EXP((T0-t)*PertePVj)+Pspv)</f>
        <v>2.8338157062614666E-2</v>
      </c>
      <c r="M84" s="832"/>
      <c r="N84" s="832"/>
      <c r="O84" s="48">
        <f>IF(t&lt;Tnet,'2022'!Resal+('2022'!Salim-'2022'!Resal)*(1-EXP(('2022'!Tnet-t)/('2022'!Tau_j))),Resal+(Salim-Resal)*(1-EXP((Tnet-t)/(Tau_j))))*Salcycl</f>
        <v>3.1640888834644644E-2</v>
      </c>
      <c r="P84" s="338">
        <f>(INDEX(Models!$BJ84:$BT84,,T84)*(1-R84)+INDEX(Models!$BJ84:$BT84,,T84+1)*R84-ERP_i)*Q84*Ramure*Pc/MaxiM</f>
        <v>1.7910391766321837E-5</v>
      </c>
      <c r="Q84" s="304">
        <f t="shared" si="28"/>
        <v>0.6</v>
      </c>
      <c r="R84" s="177">
        <f t="shared" si="29"/>
        <v>0.51004060562028319</v>
      </c>
      <c r="S84" s="799">
        <f t="shared" si="30"/>
        <v>0</v>
      </c>
      <c r="T84" s="176">
        <f t="shared" si="31"/>
        <v>6</v>
      </c>
      <c r="U84" s="250">
        <f t="shared" si="32"/>
        <v>0.51004060562028319</v>
      </c>
      <c r="V84" s="382">
        <f t="shared" si="33"/>
        <v>48.239951091846045</v>
      </c>
      <c r="W84" s="400">
        <f t="shared" si="34"/>
        <v>17.134832598602145</v>
      </c>
      <c r="X84" s="157">
        <f t="shared" si="35"/>
        <v>44996</v>
      </c>
      <c r="Y84" s="383">
        <f t="shared" si="36"/>
        <v>15.718546347401505</v>
      </c>
      <c r="Z84" s="383">
        <f t="shared" si="37"/>
        <v>16.176971918423291</v>
      </c>
      <c r="AA84" s="384">
        <f t="shared" si="38"/>
        <v>18.210768535373269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0.11168098770787495</v>
      </c>
      <c r="AD84" s="230">
        <f>(INDEX(Models!$BJ84:$BT84,,AH84)*(1-AF84)+INDEX(Models!$BJ84:$BT84,,AH84+1)*AF84-ERP_i)*AE84*Ramure*Pc/MaxiM</f>
        <v>1.7910391766321837E-5</v>
      </c>
      <c r="AE84" s="304">
        <f t="shared" si="40"/>
        <v>0.6</v>
      </c>
      <c r="AF84" s="177">
        <f t="shared" si="41"/>
        <v>0.51004060562028319</v>
      </c>
      <c r="AG84" s="799">
        <f t="shared" si="49"/>
        <v>0</v>
      </c>
      <c r="AH84" s="176">
        <f t="shared" si="42"/>
        <v>6</v>
      </c>
      <c r="AI84" s="224">
        <f t="shared" si="43"/>
        <v>0.51004060562028319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44997</v>
      </c>
      <c r="B85" s="409">
        <f>IF(t&gt;Tmaj,'2022'!Wh/'2022'!Env_an*'2023'!Env_an,0.001*'[5]mon-tableau'!$B$253)</f>
        <v>14.086620087489498</v>
      </c>
      <c r="C85" s="829"/>
      <c r="D85" s="391">
        <f t="shared" si="25"/>
        <v>14.497728980422176</v>
      </c>
      <c r="E85" s="383">
        <f t="shared" si="47"/>
        <v>14.972414826830542</v>
      </c>
      <c r="F85" s="383">
        <f t="shared" si="26"/>
        <v>14.972414826830542</v>
      </c>
      <c r="G85" s="110">
        <f t="shared" si="48"/>
        <v>0.29004977734633208</v>
      </c>
      <c r="H85" s="412" t="b">
        <f>Wh_hp&gt;='2022'!Maxi_hp</f>
        <v>0</v>
      </c>
      <c r="I85" s="379">
        <f>IF(H85,Wh_hp,'2022'!Maxi_hp)</f>
        <v>45.555962265985798</v>
      </c>
      <c r="J85" s="85">
        <f>IF(H85,An,'2022'!An_max)</f>
        <v>2018</v>
      </c>
      <c r="K85" s="197">
        <f t="shared" si="27"/>
        <v>44997</v>
      </c>
      <c r="L85" s="147">
        <f>IF(t&lt;Tvie,1-EXP((T0-t)*PertePVj)+'2022'!Pspv,1-EXP((T0-t)*PertePVj)+Pspv)</f>
        <v>2.8356778740162847E-2</v>
      </c>
      <c r="M85" s="832"/>
      <c r="N85" s="832"/>
      <c r="O85" s="48">
        <f>IF(t&lt;Tnet,'2022'!Resal+('2022'!Salim-'2022'!Resal)*(1-EXP(('2022'!Tnet-t)/('2022'!Tau_j))),Resal+(Salim-Resal)*(1-EXP((Tnet-t)/(Tau_j))))*Salcycl</f>
        <v>3.1704027165860391E-2</v>
      </c>
      <c r="P85" s="338">
        <f>(INDEX(Models!$BJ85:$BT85,,T85)*(1-R85)+INDEX(Models!$BJ85:$BT85,,T85+1)*R85-ERP_i)*Q85*Ramure*Pc/MaxiM</f>
        <v>1.7284057648497662E-5</v>
      </c>
      <c r="Q85" s="304">
        <f t="shared" si="28"/>
        <v>0.6</v>
      </c>
      <c r="R85" s="177">
        <f t="shared" si="29"/>
        <v>0.51051649811963851</v>
      </c>
      <c r="S85" s="799">
        <f t="shared" si="30"/>
        <v>0</v>
      </c>
      <c r="T85" s="176">
        <f t="shared" si="31"/>
        <v>6</v>
      </c>
      <c r="U85" s="250">
        <f t="shared" si="32"/>
        <v>0.51051649811963851</v>
      </c>
      <c r="V85" s="382">
        <f t="shared" si="33"/>
        <v>48.565376406809257</v>
      </c>
      <c r="W85" s="400">
        <f t="shared" si="34"/>
        <v>14.086620087489498</v>
      </c>
      <c r="X85" s="157">
        <f t="shared" si="35"/>
        <v>44997</v>
      </c>
      <c r="Y85" s="383">
        <f t="shared" si="36"/>
        <v>12.923246650239424</v>
      </c>
      <c r="Z85" s="383">
        <f t="shared" si="37"/>
        <v>13.300403242131491</v>
      </c>
      <c r="AA85" s="384">
        <f t="shared" si="38"/>
        <v>14.972414826830542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0.11167280656042261</v>
      </c>
      <c r="AD85" s="230">
        <f>(INDEX(Models!$BJ85:$BT85,,AH85)*(1-AF85)+INDEX(Models!$BJ85:$BT85,,AH85+1)*AF85-ERP_i)*AE85*Ramure*Pc/MaxiM</f>
        <v>1.7284057648497662E-5</v>
      </c>
      <c r="AE85" s="304">
        <f t="shared" si="40"/>
        <v>0.6</v>
      </c>
      <c r="AF85" s="177">
        <f t="shared" si="41"/>
        <v>0.51051649811963851</v>
      </c>
      <c r="AG85" s="799">
        <f t="shared" si="49"/>
        <v>0</v>
      </c>
      <c r="AH85" s="176">
        <f t="shared" si="42"/>
        <v>6</v>
      </c>
      <c r="AI85" s="224">
        <f t="shared" si="43"/>
        <v>0.51051649811963851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44998</v>
      </c>
      <c r="B86" s="409">
        <f>IF(t&gt;Tmaj,'2022'!Wh/'2022'!Env_an*'2023'!Env_an,0.001*'[5]mon-tableau'!$B$254)</f>
        <v>8.1168811584624851</v>
      </c>
      <c r="C86" s="829"/>
      <c r="D86" s="391">
        <f t="shared" si="25"/>
        <v>8.3539271843988523</v>
      </c>
      <c r="E86" s="383">
        <f t="shared" si="47"/>
        <v>8.6280149142334857</v>
      </c>
      <c r="F86" s="383">
        <f t="shared" si="26"/>
        <v>8.6280149142334857</v>
      </c>
      <c r="G86" s="110">
        <f t="shared" si="48"/>
        <v>0.16602526784056229</v>
      </c>
      <c r="H86" s="412" t="b">
        <f>Wh_hp&gt;='2022'!Maxi_hp</f>
        <v>0</v>
      </c>
      <c r="I86" s="379">
        <f>IF(H86,Wh_hp,'2022'!Maxi_hp)</f>
        <v>42.650905420994242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2.8375400060830835E-2</v>
      </c>
      <c r="M86" s="832"/>
      <c r="N86" s="832"/>
      <c r="O86" s="48">
        <f>IF(t&lt;Tnet,'2022'!Resal+('2022'!Salim-'2022'!Resal)*(1-EXP(('2022'!Tnet-t)/('2022'!Tau_j))),Resal+(Salim-Resal)*(1-EXP((Tnet-t)/(Tau_j))))*Salcycl</f>
        <v>3.1767183130673081E-2</v>
      </c>
      <c r="P86" s="338">
        <f>(INDEX(Models!$BJ86:$BT86,,T86)*(1-R86)+INDEX(Models!$BJ86:$BT86,,T86+1)*R86-ERP_i)*Q86*Ramure*Pc/MaxiM</f>
        <v>1.6642397558419258E-5</v>
      </c>
      <c r="Q86" s="304">
        <f t="shared" si="28"/>
        <v>0.6</v>
      </c>
      <c r="R86" s="177">
        <f t="shared" si="29"/>
        <v>0.51101137136648422</v>
      </c>
      <c r="S86" s="799">
        <f t="shared" si="30"/>
        <v>0</v>
      </c>
      <c r="T86" s="176">
        <f t="shared" si="31"/>
        <v>6</v>
      </c>
      <c r="U86" s="250">
        <f t="shared" si="32"/>
        <v>0.51101137136648422</v>
      </c>
      <c r="V86" s="382">
        <f t="shared" si="33"/>
        <v>48.888619061852687</v>
      </c>
      <c r="W86" s="400">
        <f t="shared" si="34"/>
        <v>8.1168811584624851</v>
      </c>
      <c r="X86" s="157">
        <f t="shared" si="35"/>
        <v>44998</v>
      </c>
      <c r="Y86" s="383">
        <f t="shared" si="36"/>
        <v>7.4470833997173393</v>
      </c>
      <c r="Z86" s="383">
        <f t="shared" si="37"/>
        <v>7.6645686000370734</v>
      </c>
      <c r="AA86" s="384">
        <f t="shared" si="38"/>
        <v>8.6280149142334857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0.11166488743627824</v>
      </c>
      <c r="AD86" s="230">
        <f>(INDEX(Models!$BJ86:$BT86,,AH86)*(1-AF86)+INDEX(Models!$BJ86:$BT86,,AH86+1)*AF86-ERP_i)*AE86*Ramure*Pc/MaxiM</f>
        <v>1.6642397558419258E-5</v>
      </c>
      <c r="AE86" s="304">
        <f t="shared" si="40"/>
        <v>0.6</v>
      </c>
      <c r="AF86" s="177">
        <f t="shared" si="41"/>
        <v>0.51101137136648422</v>
      </c>
      <c r="AG86" s="799">
        <f t="shared" si="49"/>
        <v>0</v>
      </c>
      <c r="AH86" s="176">
        <f t="shared" si="42"/>
        <v>6</v>
      </c>
      <c r="AI86" s="224">
        <f t="shared" si="43"/>
        <v>0.51101137136648422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44999</v>
      </c>
      <c r="B87" s="409">
        <f>IF(t&gt;Tmaj,'2022'!Wh/'2022'!Env_an*'2023'!Env_an,0.001*'[5]mon-tableau'!$B$255)</f>
        <v>14.568088643546321</v>
      </c>
      <c r="C87" s="829"/>
      <c r="D87" s="391">
        <f t="shared" si="25"/>
        <v>14.993823585677577</v>
      </c>
      <c r="E87" s="383">
        <f t="shared" si="47"/>
        <v>15.486773263484803</v>
      </c>
      <c r="F87" s="383">
        <f t="shared" si="26"/>
        <v>15.486773263484803</v>
      </c>
      <c r="G87" s="110">
        <f t="shared" si="48"/>
        <v>0.29603943750398548</v>
      </c>
      <c r="H87" s="412" t="b">
        <f>Wh_hp&gt;='2022'!Maxi_hp</f>
        <v>0</v>
      </c>
      <c r="I87" s="379">
        <f>IF(H87,Wh_hp,'2022'!Maxi_hp)</f>
        <v>42.248499261755185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2.8394021024625515E-2</v>
      </c>
      <c r="M87" s="832"/>
      <c r="N87" s="832"/>
      <c r="O87" s="48">
        <f>IF(t&lt;Tnet,'2022'!Resal+('2022'!Salim-'2022'!Resal)*(1-EXP(('2022'!Tnet-t)/('2022'!Tau_j))),Resal+(Salim-Resal)*(1-EXP((Tnet-t)/(Tau_j))))*Salcycl</f>
        <v>3.1830367076498667E-2</v>
      </c>
      <c r="P87" s="338">
        <f>(INDEX(Models!$BJ87:$BT87,,T87)*(1-R87)+INDEX(Models!$BJ87:$BT87,,T87+1)*R87-ERP_i)*Q87*Ramure*Pc/MaxiM</f>
        <v>1.5995188281162479E-5</v>
      </c>
      <c r="Q87" s="304">
        <f t="shared" si="28"/>
        <v>0.6</v>
      </c>
      <c r="R87" s="177">
        <f t="shared" si="29"/>
        <v>0.51152594059952183</v>
      </c>
      <c r="S87" s="799">
        <f t="shared" si="30"/>
        <v>0</v>
      </c>
      <c r="T87" s="176">
        <f t="shared" si="31"/>
        <v>6</v>
      </c>
      <c r="U87" s="250">
        <f t="shared" si="32"/>
        <v>0.51152594059952183</v>
      </c>
      <c r="V87" s="382">
        <f t="shared" si="33"/>
        <v>49.20917208549097</v>
      </c>
      <c r="W87" s="400">
        <f t="shared" si="34"/>
        <v>14.568088643546321</v>
      </c>
      <c r="X87" s="157">
        <f t="shared" si="35"/>
        <v>44999</v>
      </c>
      <c r="Y87" s="383">
        <f t="shared" si="36"/>
        <v>13.366929999379108</v>
      </c>
      <c r="Z87" s="383">
        <f t="shared" si="37"/>
        <v>13.757562518785091</v>
      </c>
      <c r="AA87" s="384">
        <f t="shared" si="38"/>
        <v>15.486773263484803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0.1116572648982276</v>
      </c>
      <c r="AD87" s="230">
        <f>(INDEX(Models!$BJ87:$BT87,,AH87)*(1-AF87)+INDEX(Models!$BJ87:$BT87,,AH87+1)*AF87-ERP_i)*AE87*Ramure*Pc/MaxiM</f>
        <v>1.5995188281162479E-5</v>
      </c>
      <c r="AE87" s="304">
        <f t="shared" si="40"/>
        <v>0.6</v>
      </c>
      <c r="AF87" s="177">
        <f t="shared" si="41"/>
        <v>0.51152594059952183</v>
      </c>
      <c r="AG87" s="799">
        <f t="shared" si="49"/>
        <v>0</v>
      </c>
      <c r="AH87" s="176">
        <f t="shared" si="42"/>
        <v>6</v>
      </c>
      <c r="AI87" s="224">
        <f t="shared" si="43"/>
        <v>0.51152594059952183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45000</v>
      </c>
      <c r="B88" s="409">
        <f>IF(t&gt;Tmaj,'2022'!Wh/'2022'!Env_an*'2023'!Env_an,0.001*'[5]mon-tableau'!$B$256)</f>
        <v>13.814453977385723</v>
      </c>
      <c r="C88" s="829"/>
      <c r="D88" s="391">
        <f t="shared" si="25"/>
        <v>14.218437342148899</v>
      </c>
      <c r="E88" s="383">
        <f t="shared" si="47"/>
        <v>14.686853834276935</v>
      </c>
      <c r="F88" s="383">
        <f t="shared" si="26"/>
        <v>14.686853834276935</v>
      </c>
      <c r="G88" s="110">
        <f t="shared" si="48"/>
        <v>0.27892610845813853</v>
      </c>
      <c r="H88" s="412" t="b">
        <f>Wh_hp&gt;='2022'!Maxi_hp</f>
        <v>0</v>
      </c>
      <c r="I88" s="379">
        <f>IF(H88,Wh_hp,'2022'!Maxi_hp)</f>
        <v>34.209482776257786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2.8412641631553659E-2</v>
      </c>
      <c r="M88" s="832"/>
      <c r="N88" s="832"/>
      <c r="O88" s="48">
        <f>IF(t&lt;Tnet,'2022'!Resal+('2022'!Salim-'2022'!Resal)*(1-EXP(('2022'!Tnet-t)/('2022'!Tau_j))),Resal+(Salim-Resal)*(1-EXP((Tnet-t)/(Tau_j))))*Salcycl</f>
        <v>3.1893589833026141E-2</v>
      </c>
      <c r="P88" s="338">
        <f>(INDEX(Models!$BJ88:$BT88,,T88)*(1-R88)+INDEX(Models!$BJ88:$BT88,,T88+1)*R88-ERP_i)*Q88*Ramure*Pc/MaxiM</f>
        <v>1.5342559460126934E-5</v>
      </c>
      <c r="Q88" s="304">
        <f t="shared" si="28"/>
        <v>0.6</v>
      </c>
      <c r="R88" s="177">
        <f t="shared" si="29"/>
        <v>0.51206094453115347</v>
      </c>
      <c r="S88" s="799">
        <f t="shared" si="30"/>
        <v>0</v>
      </c>
      <c r="T88" s="176">
        <f t="shared" si="31"/>
        <v>6</v>
      </c>
      <c r="U88" s="250">
        <f t="shared" si="32"/>
        <v>0.51206094453115347</v>
      </c>
      <c r="V88" s="382">
        <f t="shared" si="33"/>
        <v>49.526529103593823</v>
      </c>
      <c r="W88" s="400">
        <f t="shared" si="34"/>
        <v>13.814453977385723</v>
      </c>
      <c r="X88" s="157">
        <f t="shared" si="35"/>
        <v>45000</v>
      </c>
      <c r="Y88" s="383">
        <f t="shared" si="36"/>
        <v>12.676365333855305</v>
      </c>
      <c r="Z88" s="383">
        <f t="shared" si="37"/>
        <v>13.047066972075774</v>
      </c>
      <c r="AA88" s="384">
        <f t="shared" si="38"/>
        <v>14.686853834276935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0.11164997491662521</v>
      </c>
      <c r="AD88" s="230">
        <f>(INDEX(Models!$BJ88:$BT88,,AH88)*(1-AF88)+INDEX(Models!$BJ88:$BT88,,AH88+1)*AF88-ERP_i)*AE88*Ramure*Pc/MaxiM</f>
        <v>1.5342559460126934E-5</v>
      </c>
      <c r="AE88" s="304">
        <f t="shared" si="40"/>
        <v>0.6</v>
      </c>
      <c r="AF88" s="177">
        <f t="shared" si="41"/>
        <v>0.51206094453115347</v>
      </c>
      <c r="AG88" s="799">
        <f t="shared" si="49"/>
        <v>0</v>
      </c>
      <c r="AH88" s="176">
        <f t="shared" si="42"/>
        <v>6</v>
      </c>
      <c r="AI88" s="224">
        <f t="shared" si="43"/>
        <v>0.51206094453115347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45001</v>
      </c>
      <c r="B89" s="409">
        <f>IF(t&gt;Tmaj,'2022'!Wh/'2022'!Env_an*'2023'!Env_an,0.001*'[5]mon-tableau'!$B$257)</f>
        <v>13.889641264077641</v>
      </c>
      <c r="C89" s="829"/>
      <c r="D89" s="391">
        <f t="shared" si="25"/>
        <v>14.296097351771005</v>
      </c>
      <c r="E89" s="383">
        <f t="shared" si="47"/>
        <v>14.76803749815083</v>
      </c>
      <c r="F89" s="383">
        <f t="shared" si="26"/>
        <v>14.76803749815083</v>
      </c>
      <c r="G89" s="110">
        <f t="shared" si="48"/>
        <v>0.27867949554358745</v>
      </c>
      <c r="H89" s="412" t="b">
        <f>Wh_hp&gt;='2022'!Maxi_hp</f>
        <v>0</v>
      </c>
      <c r="I89" s="379">
        <f>IF(H89,Wh_hp,'2022'!Maxi_hp)</f>
        <v>54.475764848808986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2.8431261881622039E-2</v>
      </c>
      <c r="M89" s="832"/>
      <c r="N89" s="832"/>
      <c r="O89" s="48">
        <f>IF(t&lt;Tnet,'2022'!Resal+('2022'!Salim-'2022'!Resal)*(1-EXP(('2022'!Tnet-t)/('2022'!Tau_j))),Resal+(Salim-Resal)*(1-EXP((Tnet-t)/(Tau_j))))*Salcycl</f>
        <v>3.1956862679886837E-2</v>
      </c>
      <c r="P89" s="338">
        <f>(INDEX(Models!$BJ89:$BT89,,T89)*(1-R89)+INDEX(Models!$BJ89:$BT89,,T89+1)*R89-ERP_i)*Q89*Ramure*Pc/MaxiM</f>
        <v>1.4684592407147826E-5</v>
      </c>
      <c r="Q89" s="304">
        <f t="shared" si="28"/>
        <v>0.6</v>
      </c>
      <c r="R89" s="177">
        <f t="shared" si="29"/>
        <v>0.51261714582392537</v>
      </c>
      <c r="S89" s="799">
        <f t="shared" si="30"/>
        <v>0</v>
      </c>
      <c r="T89" s="176">
        <f t="shared" si="31"/>
        <v>6</v>
      </c>
      <c r="U89" s="250">
        <f t="shared" si="32"/>
        <v>0.51261714582392537</v>
      </c>
      <c r="V89" s="382">
        <f t="shared" si="33"/>
        <v>49.840183875977296</v>
      </c>
      <c r="W89" s="400">
        <f t="shared" si="34"/>
        <v>13.889641264077641</v>
      </c>
      <c r="X89" s="157">
        <f t="shared" si="35"/>
        <v>45001</v>
      </c>
      <c r="Y89" s="383">
        <f t="shared" si="36"/>
        <v>12.746290747162341</v>
      </c>
      <c r="Z89" s="383">
        <f t="shared" si="37"/>
        <v>13.119288679304239</v>
      </c>
      <c r="AA89" s="384">
        <f t="shared" si="38"/>
        <v>14.76803749815083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0.11164305474258435</v>
      </c>
      <c r="AD89" s="230">
        <f>(INDEX(Models!$BJ89:$BT89,,AH89)*(1-AF89)+INDEX(Models!$BJ89:$BT89,,AH89+1)*AF89-ERP_i)*AE89*Ramure*Pc/MaxiM</f>
        <v>1.4684592407147826E-5</v>
      </c>
      <c r="AE89" s="304">
        <f t="shared" si="40"/>
        <v>0.6</v>
      </c>
      <c r="AF89" s="177">
        <f t="shared" si="41"/>
        <v>0.51261714582392537</v>
      </c>
      <c r="AG89" s="799">
        <f t="shared" si="49"/>
        <v>0</v>
      </c>
      <c r="AH89" s="176">
        <f t="shared" si="42"/>
        <v>6</v>
      </c>
      <c r="AI89" s="224">
        <f t="shared" si="43"/>
        <v>0.51261714582392537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45002</v>
      </c>
      <c r="B90" s="409">
        <f>IF(t&gt;Tmaj,'2022'!Wh/'2022'!Env_an*'2023'!Env_an,0.001*'[5]mon-tableau'!$B$258)</f>
        <v>11.452139992221307</v>
      </c>
      <c r="C90" s="829"/>
      <c r="D90" s="391">
        <f t="shared" si="25"/>
        <v>11.787492767889518</v>
      </c>
      <c r="E90" s="383">
        <f t="shared" si="47"/>
        <v>12.177416031992149</v>
      </c>
      <c r="F90" s="383">
        <f t="shared" si="26"/>
        <v>12.177416031992149</v>
      </c>
      <c r="G90" s="110">
        <f t="shared" si="48"/>
        <v>0.22835620819732011</v>
      </c>
      <c r="H90" s="412" t="b">
        <f>Wh_hp&gt;='2022'!Maxi_hp</f>
        <v>0</v>
      </c>
      <c r="I90" s="379">
        <f>IF(H90,Wh_hp,'2022'!Maxi_hp)</f>
        <v>28.016167697203379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2.8449881774837649E-2</v>
      </c>
      <c r="M90" s="832"/>
      <c r="N90" s="832"/>
      <c r="O90" s="48">
        <f>IF(t&lt;Tnet,'2022'!Resal+('2022'!Salim-'2022'!Resal)*(1-EXP(('2022'!Tnet-t)/('2022'!Tau_j))),Resal+(Salim-Resal)*(1-EXP((Tnet-t)/(Tau_j))))*Salcycl</f>
        <v>3.2020197312651204E-2</v>
      </c>
      <c r="P90" s="338">
        <f>(INDEX(Models!$BJ90:$BT90,,T90)*(1-R90)+INDEX(Models!$BJ90:$BT90,,T90+1)*R90-ERP_i)*Q90*Ramure*Pc/MaxiM</f>
        <v>1.4021319145967081E-5</v>
      </c>
      <c r="Q90" s="304">
        <f t="shared" si="28"/>
        <v>0.6</v>
      </c>
      <c r="R90" s="177">
        <f t="shared" si="29"/>
        <v>0.51319533154968966</v>
      </c>
      <c r="S90" s="799">
        <f t="shared" si="30"/>
        <v>0</v>
      </c>
      <c r="T90" s="176">
        <f t="shared" si="31"/>
        <v>6</v>
      </c>
      <c r="U90" s="250">
        <f t="shared" si="32"/>
        <v>0.51319533154968966</v>
      </c>
      <c r="V90" s="382">
        <f t="shared" si="33"/>
        <v>50.149630301340622</v>
      </c>
      <c r="W90" s="400">
        <f t="shared" si="34"/>
        <v>11.452139992221307</v>
      </c>
      <c r="X90" s="157">
        <f t="shared" si="35"/>
        <v>45002</v>
      </c>
      <c r="Y90" s="383">
        <f t="shared" si="36"/>
        <v>10.510201398673701</v>
      </c>
      <c r="Z90" s="383">
        <f t="shared" si="37"/>
        <v>10.817971406224357</v>
      </c>
      <c r="AA90" s="384">
        <f t="shared" si="38"/>
        <v>12.177416031992149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0.11163654277691573</v>
      </c>
      <c r="AD90" s="230">
        <f>(INDEX(Models!$BJ90:$BT90,,AH90)*(1-AF90)+INDEX(Models!$BJ90:$BT90,,AH90+1)*AF90-ERP_i)*AE90*Ramure*Pc/MaxiM</f>
        <v>1.4021319145967081E-5</v>
      </c>
      <c r="AE90" s="304">
        <f t="shared" si="40"/>
        <v>0.6</v>
      </c>
      <c r="AF90" s="177">
        <f t="shared" si="41"/>
        <v>0.51319533154968966</v>
      </c>
      <c r="AG90" s="799">
        <f t="shared" si="49"/>
        <v>0</v>
      </c>
      <c r="AH90" s="176">
        <f t="shared" si="42"/>
        <v>6</v>
      </c>
      <c r="AI90" s="224">
        <f t="shared" si="43"/>
        <v>0.51319533154968966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45003</v>
      </c>
      <c r="B91" s="409">
        <f>IF(t&gt;Tmaj,'2022'!Wh/'2022'!Env_an*'2023'!Env_an,0.001*'[5]mon-tableau'!$B$259)</f>
        <v>14.353869308476602</v>
      </c>
      <c r="C91" s="829"/>
      <c r="D91" s="391">
        <f t="shared" si="25"/>
        <v>14.774476512443501</v>
      </c>
      <c r="E91" s="383">
        <f t="shared" si="47"/>
        <v>15.264207323163225</v>
      </c>
      <c r="F91" s="383">
        <f t="shared" si="26"/>
        <v>15.264207323163225</v>
      </c>
      <c r="G91" s="110">
        <f t="shared" si="48"/>
        <v>0.28448833675142021</v>
      </c>
      <c r="H91" s="412" t="b">
        <f>Wh_hp&gt;='2022'!Maxi_hp</f>
        <v>0</v>
      </c>
      <c r="I91" s="379">
        <f>IF(H91,Wh_hp,'2022'!Maxi_hp)</f>
        <v>36.161356704838056</v>
      </c>
      <c r="J91" s="85">
        <f>IF(H91,An,'2022'!An_max)</f>
        <v>2018</v>
      </c>
      <c r="K91" s="197">
        <f t="shared" si="27"/>
        <v>45003</v>
      </c>
      <c r="L91" s="147">
        <f>IF(t&lt;Tvie,1-EXP((T0-t)*PertePVj)+'2022'!Pspv,1-EXP((T0-t)*PertePVj)+Pspv)</f>
        <v>2.8468501311207262E-2</v>
      </c>
      <c r="M91" s="832"/>
      <c r="N91" s="832"/>
      <c r="O91" s="48">
        <f>IF(t&lt;Tnet,'2022'!Resal+('2022'!Salim-'2022'!Resal)*(1-EXP(('2022'!Tnet-t)/('2022'!Tau_j))),Resal+(Salim-Resal)*(1-EXP((Tnet-t)/(Tau_j))))*Salcycl</f>
        <v>3.2083605807460752E-2</v>
      </c>
      <c r="P91" s="338">
        <f>(INDEX(Models!$BJ91:$BT91,,T91)*(1-R91)+INDEX(Models!$BJ91:$BT91,,T91+1)*R91-ERP_i)*Q91*Ramure*Pc/MaxiM</f>
        <v>1.3352721466986253E-5</v>
      </c>
      <c r="Q91" s="304">
        <f t="shared" si="28"/>
        <v>0.6</v>
      </c>
      <c r="R91" s="177">
        <f t="shared" si="29"/>
        <v>0.51379631362831513</v>
      </c>
      <c r="S91" s="799">
        <f t="shared" si="30"/>
        <v>0</v>
      </c>
      <c r="T91" s="176">
        <f t="shared" si="31"/>
        <v>6</v>
      </c>
      <c r="U91" s="250">
        <f t="shared" si="32"/>
        <v>0.51379631362831513</v>
      </c>
      <c r="V91" s="382">
        <f t="shared" si="33"/>
        <v>50.454362414863027</v>
      </c>
      <c r="W91" s="400">
        <f t="shared" si="34"/>
        <v>14.353869308476602</v>
      </c>
      <c r="X91" s="157">
        <f t="shared" si="35"/>
        <v>45003</v>
      </c>
      <c r="Y91" s="383">
        <f t="shared" si="36"/>
        <v>13.174216375167438</v>
      </c>
      <c r="Z91" s="383">
        <f t="shared" si="37"/>
        <v>13.560256556733101</v>
      </c>
      <c r="AA91" s="384">
        <f t="shared" si="38"/>
        <v>15.264207323163225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0.1116304784359422</v>
      </c>
      <c r="AD91" s="230">
        <f>(INDEX(Models!$BJ91:$BT91,,AH91)*(1-AF91)+INDEX(Models!$BJ91:$BT91,,AH91+1)*AF91-ERP_i)*AE91*Ramure*Pc/MaxiM</f>
        <v>1.3352721466986253E-5</v>
      </c>
      <c r="AE91" s="304">
        <f t="shared" si="40"/>
        <v>0.6</v>
      </c>
      <c r="AF91" s="177">
        <f t="shared" si="41"/>
        <v>0.51379631362831513</v>
      </c>
      <c r="AG91" s="799">
        <f t="shared" si="49"/>
        <v>0</v>
      </c>
      <c r="AH91" s="176">
        <f t="shared" si="42"/>
        <v>6</v>
      </c>
      <c r="AI91" s="224">
        <f t="shared" si="43"/>
        <v>0.51379631362831513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45004</v>
      </c>
      <c r="B92" s="409">
        <f>IF(t&gt;Tmaj,'2022'!Wh/'2022'!Env_an*'2023'!Env_an,0.001*'[5]mon-tableau'!$B$260)</f>
        <v>28.846284971828585</v>
      </c>
      <c r="C92" s="829"/>
      <c r="D92" s="391">
        <f t="shared" si="25"/>
        <v>29.692128205649347</v>
      </c>
      <c r="E92" s="383">
        <f t="shared" si="47"/>
        <v>30.678348149376692</v>
      </c>
      <c r="F92" s="383">
        <f t="shared" si="26"/>
        <v>30.678497265159706</v>
      </c>
      <c r="G92" s="110">
        <f t="shared" si="48"/>
        <v>0.56835187048989744</v>
      </c>
      <c r="H92" s="412" t="b">
        <f>Wh_hp&gt;='2022'!Maxi_hp</f>
        <v>0</v>
      </c>
      <c r="I92" s="379">
        <f>IF(H92,Wh_hp,'2022'!Maxi_hp)</f>
        <v>48.151919129153704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2.848712049073765E-2</v>
      </c>
      <c r="M92" s="832"/>
      <c r="N92" s="832"/>
      <c r="O92" s="48">
        <f>IF(t&lt;Tnet,'2022'!Resal+('2022'!Salim-'2022'!Resal)*(1-EXP(('2022'!Tnet-t)/('2022'!Tau_j))),Resal+(Salim-Resal)*(1-EXP((Tnet-t)/(Tau_j))))*Salcycl</f>
        <v>3.2147100584598541E-2</v>
      </c>
      <c r="P92" s="338">
        <f>(INDEX(Models!$BJ92:$BT92,,T92)*(1-R92)+INDEX(Models!$BJ92:$BT92,,T92+1)*R92-ERP_i)*Q92*Ramure*Pc/MaxiM</f>
        <v>1.2678729980910078E-5</v>
      </c>
      <c r="Q92" s="304">
        <f t="shared" si="28"/>
        <v>0.6</v>
      </c>
      <c r="R92" s="177">
        <f t="shared" si="29"/>
        <v>0.5144209292425217</v>
      </c>
      <c r="S92" s="799">
        <f t="shared" si="30"/>
        <v>0</v>
      </c>
      <c r="T92" s="176">
        <f t="shared" si="31"/>
        <v>6</v>
      </c>
      <c r="U92" s="250">
        <f t="shared" si="32"/>
        <v>0.5144209292425217</v>
      </c>
      <c r="V92" s="382">
        <f t="shared" si="33"/>
        <v>50.753874394306557</v>
      </c>
      <c r="W92" s="400">
        <f t="shared" si="34"/>
        <v>28.846284971828585</v>
      </c>
      <c r="X92" s="157">
        <f t="shared" si="35"/>
        <v>45004</v>
      </c>
      <c r="Y92" s="383">
        <f t="shared" si="36"/>
        <v>26.477495964337155</v>
      </c>
      <c r="Z92" s="383">
        <f t="shared" si="37"/>
        <v>27.2538805432118</v>
      </c>
      <c r="AA92" s="384">
        <f t="shared" si="38"/>
        <v>30.678348149376692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0.1116249020152824</v>
      </c>
      <c r="AD92" s="230">
        <f>(INDEX(Models!$BJ92:$BT92,,AH92)*(1-AF92)+INDEX(Models!$BJ92:$BT92,,AH92+1)*AF92-ERP_i)*AE92*Ramure*Pc/MaxiM</f>
        <v>1.2678729980910078E-5</v>
      </c>
      <c r="AE92" s="304">
        <f t="shared" si="40"/>
        <v>0.6</v>
      </c>
      <c r="AF92" s="177">
        <f t="shared" si="41"/>
        <v>0.5144209292425217</v>
      </c>
      <c r="AG92" s="799">
        <f t="shared" si="49"/>
        <v>0</v>
      </c>
      <c r="AH92" s="176">
        <f t="shared" si="42"/>
        <v>6</v>
      </c>
      <c r="AI92" s="224">
        <f t="shared" si="43"/>
        <v>0.5144209292425217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45005</v>
      </c>
      <c r="B93" s="409">
        <f>IF(t&gt;Tmaj,'2022'!Wh/'2022'!Env_an*'2023'!Env_an,0.001*'[5]mon-tableau'!$B$261)</f>
        <v>31.920997396141892</v>
      </c>
      <c r="C93" s="829"/>
      <c r="D93" s="391">
        <f t="shared" si="25"/>
        <v>32.857628385352498</v>
      </c>
      <c r="E93" s="383">
        <f t="shared" si="47"/>
        <v>33.95122078147697</v>
      </c>
      <c r="F93" s="383">
        <f t="shared" si="26"/>
        <v>33.951410081539478</v>
      </c>
      <c r="G93" s="110">
        <f t="shared" si="48"/>
        <v>0.62527920882558174</v>
      </c>
      <c r="H93" s="412" t="b">
        <f>Wh_hp&gt;='2022'!Maxi_hp</f>
        <v>0</v>
      </c>
      <c r="I93" s="379">
        <f>IF(H93,Wh_hp,'2022'!Maxi_hp)</f>
        <v>53.213779784597463</v>
      </c>
      <c r="J93" s="85">
        <f>IF(H93,An,'2022'!An_max)</f>
        <v>2018</v>
      </c>
      <c r="K93" s="197">
        <f t="shared" si="27"/>
        <v>45005</v>
      </c>
      <c r="L93" s="147">
        <f>IF(t&lt;Tvie,1-EXP((T0-t)*PertePVj)+'2022'!Pspv,1-EXP((T0-t)*PertePVj)+Pspv)</f>
        <v>2.8505739313435807E-2</v>
      </c>
      <c r="M93" s="832"/>
      <c r="N93" s="832"/>
      <c r="O93" s="48">
        <f>IF(t&lt;Tnet,'2022'!Resal+('2022'!Salim-'2022'!Resal)*(1-EXP(('2022'!Tnet-t)/('2022'!Tau_j))),Resal+(Salim-Resal)*(1-EXP((Tnet-t)/(Tau_j))))*Salcycl</f>
        <v>3.2210694371293667E-2</v>
      </c>
      <c r="P93" s="338">
        <f>(INDEX(Models!$BJ93:$BT93,,T93)*(1-R93)+INDEX(Models!$BJ93:$BT93,,T93+1)*R93-ERP_i)*Q93*Ramure*Pc/MaxiM</f>
        <v>1.1998565150562456E-5</v>
      </c>
      <c r="Q93" s="304">
        <f t="shared" si="28"/>
        <v>0.6</v>
      </c>
      <c r="R93" s="177">
        <f t="shared" si="29"/>
        <v>0.5150700412251431</v>
      </c>
      <c r="S93" s="799">
        <f t="shared" si="30"/>
        <v>0</v>
      </c>
      <c r="T93" s="176">
        <f t="shared" si="31"/>
        <v>6</v>
      </c>
      <c r="U93" s="250">
        <f t="shared" si="32"/>
        <v>0.5150700412251431</v>
      </c>
      <c r="V93" s="382">
        <f t="shared" si="33"/>
        <v>51.0504618057671</v>
      </c>
      <c r="W93" s="400">
        <f t="shared" si="34"/>
        <v>31.920997396141892</v>
      </c>
      <c r="X93" s="157">
        <f t="shared" si="35"/>
        <v>45005</v>
      </c>
      <c r="Y93" s="383">
        <f t="shared" si="36"/>
        <v>29.301812021147207</v>
      </c>
      <c r="Z93" s="383">
        <f t="shared" si="37"/>
        <v>30.161590455963516</v>
      </c>
      <c r="AA93" s="384">
        <f t="shared" si="38"/>
        <v>33.95122078147697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0.11161985455265253</v>
      </c>
      <c r="AD93" s="230">
        <f>(INDEX(Models!$BJ93:$BT93,,AH93)*(1-AF93)+INDEX(Models!$BJ93:$BT93,,AH93+1)*AF93-ERP_i)*AE93*Ramure*Pc/MaxiM</f>
        <v>1.1998565150562456E-5</v>
      </c>
      <c r="AE93" s="304">
        <f t="shared" si="40"/>
        <v>0.6</v>
      </c>
      <c r="AF93" s="177">
        <f t="shared" si="41"/>
        <v>0.5150700412251431</v>
      </c>
      <c r="AG93" s="799">
        <f t="shared" si="49"/>
        <v>0</v>
      </c>
      <c r="AH93" s="176">
        <f t="shared" si="42"/>
        <v>6</v>
      </c>
      <c r="AI93" s="224">
        <f t="shared" si="43"/>
        <v>0.5150700412251431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45006</v>
      </c>
      <c r="B94" s="409">
        <f>IF(t&gt;Tmaj,'2022'!Wh/'2022'!Env_an*'2023'!Env_an,0.001*'[5]mon-tableau'!$B$262)</f>
        <v>46.760489268726772</v>
      </c>
      <c r="C94" s="829"/>
      <c r="D94" s="391">
        <f t="shared" si="25"/>
        <v>48.133465458626617</v>
      </c>
      <c r="E94" s="383">
        <f t="shared" si="47"/>
        <v>49.738753905844739</v>
      </c>
      <c r="F94" s="383">
        <f t="shared" si="26"/>
        <v>49.73924531031016</v>
      </c>
      <c r="G94" s="110">
        <f t="shared" si="48"/>
        <v>0.91068755672455848</v>
      </c>
      <c r="H94" s="412" t="b">
        <f>Wh_hp&gt;='2022'!Maxi_hp</f>
        <v>0</v>
      </c>
      <c r="I94" s="379">
        <f>IF(H94,Wh_hp,'2022'!Maxi_hp)</f>
        <v>53.458089214511951</v>
      </c>
      <c r="J94" s="85">
        <f>IF(H94,An,'2022'!An_max)</f>
        <v>2020</v>
      </c>
      <c r="K94" s="197">
        <f t="shared" si="27"/>
        <v>45006</v>
      </c>
      <c r="L94" s="147">
        <f>IF(t&lt;Tvie,1-EXP((T0-t)*PertePVj)+'2022'!Pspv,1-EXP((T0-t)*PertePVj)+Pspv)</f>
        <v>2.8524357779308396E-2</v>
      </c>
      <c r="M94" s="832"/>
      <c r="N94" s="832"/>
      <c r="O94" s="48">
        <f>IF(t&lt;Tnet,'2022'!Resal+('2022'!Salim-'2022'!Resal)*(1-EXP(('2022'!Tnet-t)/('2022'!Tau_j))),Resal+(Salim-Resal)*(1-EXP((Tnet-t)/(Tau_j))))*Salcycl</f>
        <v>3.2274400164043558E-2</v>
      </c>
      <c r="P94" s="338">
        <f>(INDEX(Models!$BJ94:$BT94,,T94)*(1-R94)+INDEX(Models!$BJ94:$BT94,,T94+1)*R94-ERP_i)*Q94*Ramure*Pc/MaxiM</f>
        <v>1.1324471429667998E-5</v>
      </c>
      <c r="Q94" s="304">
        <f t="shared" si="28"/>
        <v>0.6</v>
      </c>
      <c r="R94" s="177">
        <f t="shared" si="29"/>
        <v>0.51574453841484336</v>
      </c>
      <c r="S94" s="799">
        <f t="shared" si="30"/>
        <v>0</v>
      </c>
      <c r="T94" s="176">
        <f t="shared" si="31"/>
        <v>6</v>
      </c>
      <c r="U94" s="250">
        <f t="shared" si="32"/>
        <v>0.51574453841484336</v>
      </c>
      <c r="V94" s="382">
        <f t="shared" si="33"/>
        <v>51.346283761608113</v>
      </c>
      <c r="W94" s="400">
        <f t="shared" si="34"/>
        <v>46.760489268726772</v>
      </c>
      <c r="X94" s="157">
        <f t="shared" si="35"/>
        <v>45006</v>
      </c>
      <c r="Y94" s="383">
        <f t="shared" si="36"/>
        <v>42.926734195146686</v>
      </c>
      <c r="Z94" s="383">
        <f t="shared" si="37"/>
        <v>44.187144102780245</v>
      </c>
      <c r="AA94" s="384">
        <f t="shared" si="38"/>
        <v>49.738753905844739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0.11161537769067692</v>
      </c>
      <c r="AD94" s="230">
        <f>(INDEX(Models!$BJ94:$BT94,,AH94)*(1-AF94)+INDEX(Models!$BJ94:$BT94,,AH94+1)*AF94-ERP_i)*AE94*Ramure*Pc/MaxiM</f>
        <v>1.1324471429667998E-5</v>
      </c>
      <c r="AE94" s="304">
        <f t="shared" si="40"/>
        <v>0.6</v>
      </c>
      <c r="AF94" s="177">
        <f t="shared" si="41"/>
        <v>0.51574453841484336</v>
      </c>
      <c r="AG94" s="799">
        <f t="shared" si="49"/>
        <v>0</v>
      </c>
      <c r="AH94" s="176">
        <f t="shared" si="42"/>
        <v>6</v>
      </c>
      <c r="AI94" s="224">
        <f t="shared" si="43"/>
        <v>0.51574453841484336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45007</v>
      </c>
      <c r="B95" s="409">
        <f>IF(t&gt;Tmaj,'2022'!Wh/'2022'!Env_an*'2023'!Env_an,0.001*'[5]mon-tableau'!$B$263)</f>
        <v>44.019694114459178</v>
      </c>
      <c r="C95" s="829"/>
      <c r="D95" s="391">
        <f t="shared" si="25"/>
        <v>45.31306380198712</v>
      </c>
      <c r="E95" s="383">
        <f t="shared" si="47"/>
        <v>46.827378390432372</v>
      </c>
      <c r="F95" s="383">
        <f t="shared" si="26"/>
        <v>46.827773494921537</v>
      </c>
      <c r="G95" s="110">
        <f t="shared" si="48"/>
        <v>0.85242173793973219</v>
      </c>
      <c r="H95" s="412" t="b">
        <f>Wh_hp&gt;='2022'!Maxi_hp</f>
        <v>0</v>
      </c>
      <c r="I95" s="379">
        <f>IF(H95,Wh_hp,'2022'!Maxi_hp)</f>
        <v>53.132913238257949</v>
      </c>
      <c r="J95" s="85">
        <f>IF(H95,An,'2022'!An_max)</f>
        <v>2020</v>
      </c>
      <c r="K95" s="197">
        <f t="shared" si="27"/>
        <v>45007</v>
      </c>
      <c r="L95" s="147">
        <f>IF(t&lt;Tvie,1-EXP((T0-t)*PertePVj)+'2022'!Pspv,1-EXP((T0-t)*PertePVj)+Pspv)</f>
        <v>2.8542975888362299E-2</v>
      </c>
      <c r="M95" s="832"/>
      <c r="N95" s="832"/>
      <c r="O95" s="48">
        <f>IF(t&lt;Tnet,'2022'!Resal+('2022'!Salim-'2022'!Resal)*(1-EXP(('2022'!Tnet-t)/('2022'!Tau_j))),Resal+(Salim-Resal)*(1-EXP((Tnet-t)/(Tau_j))))*Salcycl</f>
        <v>3.2338231190722662E-2</v>
      </c>
      <c r="P95" s="338">
        <f>(INDEX(Models!$BJ95:$BT95,,T95)*(1-R95)+INDEX(Models!$BJ95:$BT95,,T95+1)*R95-ERP_i)*Q95*Ramure*Pc/MaxiM</f>
        <v>1.0691391299386159E-5</v>
      </c>
      <c r="Q95" s="304">
        <f t="shared" si="28"/>
        <v>0.6</v>
      </c>
      <c r="R95" s="177">
        <f t="shared" si="29"/>
        <v>0.51644533597601805</v>
      </c>
      <c r="S95" s="799">
        <f t="shared" si="30"/>
        <v>0</v>
      </c>
      <c r="T95" s="176">
        <f t="shared" si="31"/>
        <v>6</v>
      </c>
      <c r="U95" s="250">
        <f t="shared" si="32"/>
        <v>0.51644533597601805</v>
      </c>
      <c r="V95" s="382">
        <f t="shared" si="33"/>
        <v>51.640629202923769</v>
      </c>
      <c r="W95" s="400">
        <f t="shared" si="34"/>
        <v>44.019694114459178</v>
      </c>
      <c r="X95" s="157">
        <f t="shared" si="35"/>
        <v>45007</v>
      </c>
      <c r="Y95" s="383">
        <f t="shared" si="36"/>
        <v>40.413490218663995</v>
      </c>
      <c r="Z95" s="383">
        <f t="shared" si="37"/>
        <v>41.600903813136426</v>
      </c>
      <c r="AA95" s="384">
        <f t="shared" si="38"/>
        <v>46.827378390432372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0.11161151354062994</v>
      </c>
      <c r="AD95" s="230">
        <f>(INDEX(Models!$BJ95:$BT95,,AH95)*(1-AF95)+INDEX(Models!$BJ95:$BT95,,AH95+1)*AF95-ERP_i)*AE95*Ramure*Pc/MaxiM</f>
        <v>1.0691391299386159E-5</v>
      </c>
      <c r="AE95" s="304">
        <f t="shared" si="40"/>
        <v>0.6</v>
      </c>
      <c r="AF95" s="177">
        <f t="shared" si="41"/>
        <v>0.51644533597601805</v>
      </c>
      <c r="AG95" s="799">
        <f t="shared" si="49"/>
        <v>0</v>
      </c>
      <c r="AH95" s="176">
        <f t="shared" si="42"/>
        <v>6</v>
      </c>
      <c r="AI95" s="224">
        <f t="shared" si="43"/>
        <v>0.51644533597601805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45008</v>
      </c>
      <c r="B96" s="409">
        <f>IF(t&gt;Tmaj,'2022'!Wh/'2022'!Env_an*'2023'!Env_an,0.001*'[5]mon-tableau'!$B$264)</f>
        <v>50.058958804248029</v>
      </c>
      <c r="C96" s="829"/>
      <c r="D96" s="391">
        <f t="shared" si="25"/>
        <v>51.530759414640748</v>
      </c>
      <c r="E96" s="383">
        <f t="shared" si="47"/>
        <v>53.256383448907243</v>
      </c>
      <c r="F96" s="383">
        <f t="shared" si="26"/>
        <v>53.256893552462969</v>
      </c>
      <c r="G96" s="110">
        <f t="shared" si="48"/>
        <v>0.96391766403443147</v>
      </c>
      <c r="H96" s="412" t="b">
        <f>Wh_hp&gt;='2022'!Maxi_hp</f>
        <v>0</v>
      </c>
      <c r="I96" s="379">
        <f>IF(H96,Wh_hp,'2022'!Maxi_hp)</f>
        <v>53.726378247452473</v>
      </c>
      <c r="J96" s="85">
        <f>IF(H96,An,'2022'!An_max)</f>
        <v>2021</v>
      </c>
      <c r="K96" s="197">
        <f t="shared" si="27"/>
        <v>45008</v>
      </c>
      <c r="L96" s="147">
        <f>IF(t&lt;Tvie,1-EXP((T0-t)*PertePVj)+'2022'!Pspv,1-EXP((T0-t)*PertePVj)+Pspv)</f>
        <v>2.8561593640604399E-2</v>
      </c>
      <c r="M96" s="832"/>
      <c r="N96" s="832"/>
      <c r="O96" s="48">
        <f>IF(t&lt;Tnet,'2022'!Resal+('2022'!Salim-'2022'!Resal)*(1-EXP(('2022'!Tnet-t)/('2022'!Tau_j))),Resal+(Salim-Resal)*(1-EXP((Tnet-t)/(Tau_j))))*Salcycl</f>
        <v>3.2402200872727487E-2</v>
      </c>
      <c r="P96" s="338">
        <f>(INDEX(Models!$BJ96:$BT96,,T96)*(1-R96)+INDEX(Models!$BJ96:$BT96,,T96+1)*R96-ERP_i)*Q96*Ramure*Pc/MaxiM</f>
        <v>1.0098712499086673E-5</v>
      </c>
      <c r="Q96" s="304">
        <f t="shared" si="28"/>
        <v>0.6</v>
      </c>
      <c r="R96" s="177">
        <f t="shared" si="29"/>
        <v>0.51717337567831267</v>
      </c>
      <c r="S96" s="799">
        <f t="shared" si="30"/>
        <v>0</v>
      </c>
      <c r="T96" s="176">
        <f t="shared" si="31"/>
        <v>6</v>
      </c>
      <c r="U96" s="250">
        <f t="shared" si="32"/>
        <v>0.51717337567831267</v>
      </c>
      <c r="V96" s="382">
        <f t="shared" si="33"/>
        <v>51.932789089724452</v>
      </c>
      <c r="W96" s="400">
        <f t="shared" si="34"/>
        <v>50.058958804248029</v>
      </c>
      <c r="X96" s="157">
        <f t="shared" si="35"/>
        <v>45008</v>
      </c>
      <c r="Y96" s="383">
        <f t="shared" si="36"/>
        <v>45.961207564529047</v>
      </c>
      <c r="Z96" s="383">
        <f t="shared" si="37"/>
        <v>47.312528785819005</v>
      </c>
      <c r="AA96" s="384">
        <f t="shared" si="38"/>
        <v>53.256383448907243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0.11160830454795373</v>
      </c>
      <c r="AD96" s="230">
        <f>(INDEX(Models!$BJ96:$BT96,,AH96)*(1-AF96)+INDEX(Models!$BJ96:$BT96,,AH96+1)*AF96-ERP_i)*AE96*Ramure*Pc/MaxiM</f>
        <v>1.0098712499086673E-5</v>
      </c>
      <c r="AE96" s="304">
        <f t="shared" si="40"/>
        <v>0.6</v>
      </c>
      <c r="AF96" s="177">
        <f t="shared" si="41"/>
        <v>0.51717337567831267</v>
      </c>
      <c r="AG96" s="799">
        <f t="shared" si="49"/>
        <v>0</v>
      </c>
      <c r="AH96" s="176">
        <f t="shared" si="42"/>
        <v>6</v>
      </c>
      <c r="AI96" s="224">
        <f t="shared" si="43"/>
        <v>0.51717337567831267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45009</v>
      </c>
      <c r="B97" s="409">
        <f>IF(t&gt;Tmaj,'2022'!Wh/'2022'!Env_an*'2023'!Env_an,0.001*'[5]mon-tableau'!$B$265)</f>
        <v>49.398530376617508</v>
      </c>
      <c r="C97" s="829"/>
      <c r="D97" s="391">
        <f t="shared" si="25"/>
        <v>50.851888069216891</v>
      </c>
      <c r="E97" s="383">
        <f t="shared" si="47"/>
        <v>52.558261553972066</v>
      </c>
      <c r="F97" s="383">
        <f t="shared" si="26"/>
        <v>52.55872451784424</v>
      </c>
      <c r="G97" s="110">
        <f t="shared" si="48"/>
        <v>0.94593164385702211</v>
      </c>
      <c r="H97" s="412" t="b">
        <f>Wh_hp&gt;='2022'!Maxi_hp</f>
        <v>0</v>
      </c>
      <c r="I97" s="379">
        <f>IF(H97,Wh_hp,'2022'!Maxi_hp)</f>
        <v>52.931336323355495</v>
      </c>
      <c r="J97" s="85">
        <f>IF(H97,An,'2022'!An_max)</f>
        <v>2018</v>
      </c>
      <c r="K97" s="197">
        <f t="shared" si="27"/>
        <v>45009</v>
      </c>
      <c r="L97" s="147">
        <f>IF(t&lt;Tvie,1-EXP((T0-t)*PertePVj)+'2022'!Pspv,1-EXP((T0-t)*PertePVj)+Pspv)</f>
        <v>2.8580211036041581E-2</v>
      </c>
      <c r="M97" s="832"/>
      <c r="N97" s="832"/>
      <c r="O97" s="48">
        <f>IF(t&lt;Tnet,'2022'!Resal+('2022'!Salim-'2022'!Resal)*(1-EXP(('2022'!Tnet-t)/('2022'!Tau_j))),Resal+(Salim-Resal)*(1-EXP((Tnet-t)/(Tau_j))))*Salcycl</f>
        <v>3.2466322787387161E-2</v>
      </c>
      <c r="P97" s="338">
        <f>(INDEX(Models!$BJ97:$BT97,,T97)*(1-R97)+INDEX(Models!$BJ97:$BT97,,T97+1)*R97-ERP_i)*Q97*Ramure*Pc/MaxiM</f>
        <v>9.5458211805260755E-6</v>
      </c>
      <c r="Q97" s="304">
        <f t="shared" si="28"/>
        <v>0.6</v>
      </c>
      <c r="R97" s="177">
        <f t="shared" si="29"/>
        <v>0.51792962613087257</v>
      </c>
      <c r="S97" s="799">
        <f t="shared" si="30"/>
        <v>0</v>
      </c>
      <c r="T97" s="176">
        <f t="shared" si="31"/>
        <v>6</v>
      </c>
      <c r="U97" s="250">
        <f t="shared" si="32"/>
        <v>0.51792962613087257</v>
      </c>
      <c r="V97" s="382">
        <f t="shared" si="33"/>
        <v>52.222054600709527</v>
      </c>
      <c r="W97" s="400">
        <f t="shared" si="34"/>
        <v>49.398530376617508</v>
      </c>
      <c r="X97" s="157">
        <f t="shared" si="35"/>
        <v>45009</v>
      </c>
      <c r="Y97" s="383">
        <f t="shared" si="36"/>
        <v>45.357974855750761</v>
      </c>
      <c r="Z97" s="383">
        <f t="shared" si="37"/>
        <v>46.692455075602368</v>
      </c>
      <c r="AA97" s="384">
        <f t="shared" si="38"/>
        <v>52.558261553972066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0.11160579336030937</v>
      </c>
      <c r="AD97" s="230">
        <f>(INDEX(Models!$BJ97:$BT97,,AH97)*(1-AF97)+INDEX(Models!$BJ97:$BT97,,AH97+1)*AF97-ERP_i)*AE97*Ramure*Pc/MaxiM</f>
        <v>9.5458211805260755E-6</v>
      </c>
      <c r="AE97" s="304">
        <f t="shared" si="40"/>
        <v>0.6</v>
      </c>
      <c r="AF97" s="177">
        <f t="shared" si="41"/>
        <v>0.51792962613087257</v>
      </c>
      <c r="AG97" s="799">
        <f t="shared" si="49"/>
        <v>0</v>
      </c>
      <c r="AH97" s="176">
        <f t="shared" si="42"/>
        <v>6</v>
      </c>
      <c r="AI97" s="224">
        <f t="shared" si="43"/>
        <v>0.51792962613087257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45010</v>
      </c>
      <c r="B98" s="409">
        <f>IF(t&gt;Tmaj,'2022'!Wh/'2022'!Env_an*'2023'!Env_an,0.001*'[5]mon-tableau'!$B$266)</f>
        <v>41.471470596692832</v>
      </c>
      <c r="C98" s="829"/>
      <c r="D98" s="391">
        <f t="shared" si="25"/>
        <v>42.692423887544095</v>
      </c>
      <c r="E98" s="383">
        <f t="shared" si="47"/>
        <v>44.127932476894124</v>
      </c>
      <c r="F98" s="383">
        <f t="shared" si="26"/>
        <v>44.128211372089154</v>
      </c>
      <c r="G98" s="110">
        <f t="shared" si="48"/>
        <v>0.78981453370351506</v>
      </c>
      <c r="H98" s="412" t="b">
        <f>Wh_hp&gt;='2022'!Maxi_hp</f>
        <v>0</v>
      </c>
      <c r="I98" s="379">
        <f>IF(H98,Wh_hp,'2022'!Maxi_hp)</f>
        <v>46.534768311108202</v>
      </c>
      <c r="J98" s="85">
        <f>IF(H98,An,'2022'!An_max)</f>
        <v>2020</v>
      </c>
      <c r="K98" s="197">
        <f t="shared" si="27"/>
        <v>45010</v>
      </c>
      <c r="L98" s="147">
        <f>IF(t&lt;Tvie,1-EXP((T0-t)*PertePVj)+'2022'!Pspv,1-EXP((T0-t)*PertePVj)+Pspv)</f>
        <v>2.8598828074680616E-2</v>
      </c>
      <c r="M98" s="832"/>
      <c r="N98" s="832"/>
      <c r="O98" s="48">
        <f>IF(t&lt;Tnet,'2022'!Resal+('2022'!Salim-'2022'!Resal)*(1-EXP(('2022'!Tnet-t)/('2022'!Tau_j))),Resal+(Salim-Resal)*(1-EXP((Tnet-t)/(Tau_j))))*Salcycl</f>
        <v>3.2530610630844184E-2</v>
      </c>
      <c r="P98" s="338">
        <f>(INDEX(Models!$BJ98:$BT98,,T98)*(1-R98)+INDEX(Models!$BJ98:$BT98,,T98+1)*R98-ERP_i)*Q98*Ramure*Pc/MaxiM</f>
        <v>9.0321092240139488E-6</v>
      </c>
      <c r="Q98" s="304">
        <f t="shared" si="28"/>
        <v>0.6</v>
      </c>
      <c r="R98" s="177">
        <f t="shared" si="29"/>
        <v>0.51871508296611979</v>
      </c>
      <c r="S98" s="799">
        <f t="shared" si="30"/>
        <v>0</v>
      </c>
      <c r="T98" s="176">
        <f t="shared" si="31"/>
        <v>6</v>
      </c>
      <c r="U98" s="250">
        <f t="shared" si="32"/>
        <v>0.51871508296611979</v>
      </c>
      <c r="V98" s="382">
        <f t="shared" si="33"/>
        <v>52.507717135775096</v>
      </c>
      <c r="W98" s="400">
        <f t="shared" si="34"/>
        <v>41.471470596692832</v>
      </c>
      <c r="X98" s="157">
        <f t="shared" si="35"/>
        <v>45010</v>
      </c>
      <c r="Y98" s="383">
        <f t="shared" si="36"/>
        <v>38.081915619975959</v>
      </c>
      <c r="Z98" s="383">
        <f t="shared" si="37"/>
        <v>39.203077699090599</v>
      </c>
      <c r="AA98" s="384">
        <f t="shared" si="38"/>
        <v>44.127932476894124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0.11160402269882524</v>
      </c>
      <c r="AD98" s="230">
        <f>(INDEX(Models!$BJ98:$BT98,,AH98)*(1-AF98)+INDEX(Models!$BJ98:$BT98,,AH98+1)*AF98-ERP_i)*AE98*Ramure*Pc/MaxiM</f>
        <v>9.0321092240139488E-6</v>
      </c>
      <c r="AE98" s="304">
        <f t="shared" si="40"/>
        <v>0.6</v>
      </c>
      <c r="AF98" s="177">
        <f t="shared" si="41"/>
        <v>0.51871508296611979</v>
      </c>
      <c r="AG98" s="799">
        <f t="shared" si="49"/>
        <v>0</v>
      </c>
      <c r="AH98" s="176">
        <f t="shared" si="42"/>
        <v>6</v>
      </c>
      <c r="AI98" s="224">
        <f t="shared" si="43"/>
        <v>0.51871508296611979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45011</v>
      </c>
      <c r="B99" s="409">
        <f>IF(t&gt;Tmaj,'2022'!Wh/'2022'!Env_an*'2023'!Env_an,0.001*'[5]mon-tableau'!$B$267)</f>
        <v>47.967164417101017</v>
      </c>
      <c r="C99" s="829"/>
      <c r="D99" s="391">
        <f t="shared" si="25"/>
        <v>49.380302495836276</v>
      </c>
      <c r="E99" s="383">
        <f t="shared" si="47"/>
        <v>51.044088552926645</v>
      </c>
      <c r="F99" s="383">
        <f t="shared" si="26"/>
        <v>51.04446834330102</v>
      </c>
      <c r="G99" s="110">
        <f t="shared" si="48"/>
        <v>0.90865613628897279</v>
      </c>
      <c r="H99" s="412" t="b">
        <f>Wh_hp&gt;='2022'!Maxi_hp</f>
        <v>0</v>
      </c>
      <c r="I99" s="379">
        <f>IF(H99,Wh_hp,'2022'!Maxi_hp)</f>
        <v>56.562989488883829</v>
      </c>
      <c r="J99" s="85">
        <f>IF(H99,An,'2022'!An_max)</f>
        <v>2020</v>
      </c>
      <c r="K99" s="197">
        <f t="shared" si="27"/>
        <v>45011</v>
      </c>
      <c r="L99" s="147">
        <f>IF(t&lt;Tvie,1-EXP((T0-t)*PertePVj)+'2022'!Pspv,1-EXP((T0-t)*PertePVj)+Pspv)</f>
        <v>2.8617444756528387E-2</v>
      </c>
      <c r="M99" s="832"/>
      <c r="N99" s="832"/>
      <c r="O99" s="48">
        <f>IF(t&lt;Tnet,'2022'!Resal+('2022'!Salim-'2022'!Resal)*(1-EXP(('2022'!Tnet-t)/('2022'!Tau_j))),Resal+(Salim-Resal)*(1-EXP((Tnet-t)/(Tau_j))))*Salcycl</f>
        <v>3.2595078181584532E-2</v>
      </c>
      <c r="P99" s="338">
        <f>(INDEX(Models!$BJ99:$BT99,,T99)*(1-R99)+INDEX(Models!$BJ99:$BT99,,T99+1)*R99-ERP_i)*Q99*Ramure*Pc/MaxiM</f>
        <v>8.5569812433477233E-6</v>
      </c>
      <c r="Q99" s="304">
        <f t="shared" si="28"/>
        <v>0.6</v>
      </c>
      <c r="R99" s="177">
        <f t="shared" si="29"/>
        <v>0.51953076896752337</v>
      </c>
      <c r="S99" s="799">
        <f t="shared" si="30"/>
        <v>0</v>
      </c>
      <c r="T99" s="176">
        <f t="shared" si="31"/>
        <v>6</v>
      </c>
      <c r="U99" s="250">
        <f t="shared" si="32"/>
        <v>0.51953076896752337</v>
      </c>
      <c r="V99" s="382">
        <f t="shared" si="33"/>
        <v>52.789068318554179</v>
      </c>
      <c r="W99" s="400">
        <f t="shared" si="34"/>
        <v>47.967164417101017</v>
      </c>
      <c r="X99" s="157">
        <f t="shared" si="35"/>
        <v>45011</v>
      </c>
      <c r="Y99" s="383">
        <f t="shared" si="36"/>
        <v>44.049686243611852</v>
      </c>
      <c r="Z99" s="383">
        <f t="shared" si="37"/>
        <v>45.347413339712531</v>
      </c>
      <c r="AA99" s="384">
        <f t="shared" si="38"/>
        <v>51.044088552926645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0.11160303523310706</v>
      </c>
      <c r="AD99" s="230">
        <f>(INDEX(Models!$BJ99:$BT99,,AH99)*(1-AF99)+INDEX(Models!$BJ99:$BT99,,AH99+1)*AF99-ERP_i)*AE99*Ramure*Pc/MaxiM</f>
        <v>8.5569812433477233E-6</v>
      </c>
      <c r="AE99" s="304">
        <f t="shared" si="40"/>
        <v>0.6</v>
      </c>
      <c r="AF99" s="177">
        <f t="shared" si="41"/>
        <v>0.51953076896752337</v>
      </c>
      <c r="AG99" s="799">
        <f t="shared" si="49"/>
        <v>0</v>
      </c>
      <c r="AH99" s="176">
        <f t="shared" si="42"/>
        <v>6</v>
      </c>
      <c r="AI99" s="224">
        <f t="shared" si="43"/>
        <v>0.51953076896752337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45012</v>
      </c>
      <c r="B100" s="409">
        <f>IF(t&gt;Tmaj,'2022'!Wh/'2022'!Env_an*'2023'!Env_an,0.001*'[5]mon-tableau'!$B$268)</f>
        <v>47.126935815151619</v>
      </c>
      <c r="C100" s="829"/>
      <c r="D100" s="391">
        <f t="shared" si="25"/>
        <v>48.516250116950388</v>
      </c>
      <c r="E100" s="383">
        <f t="shared" si="47"/>
        <v>50.154275683796492</v>
      </c>
      <c r="F100" s="383">
        <f t="shared" si="26"/>
        <v>50.154617537060325</v>
      </c>
      <c r="G100" s="110">
        <f t="shared" si="48"/>
        <v>0.88809043870544591</v>
      </c>
      <c r="H100" s="412" t="b">
        <f>Wh_hp&gt;='2022'!Maxi_hp</f>
        <v>0</v>
      </c>
      <c r="I100" s="379">
        <f>IF(H100,Wh_hp,'2022'!Maxi_hp)</f>
        <v>55.827090198915265</v>
      </c>
      <c r="J100" s="85">
        <f>IF(H100,An,'2022'!An_max)</f>
        <v>2018</v>
      </c>
      <c r="K100" s="197">
        <f t="shared" si="27"/>
        <v>45012</v>
      </c>
      <c r="L100" s="147">
        <f>IF(t&lt;Tvie,1-EXP((T0-t)*PertePVj)+'2022'!Pspv,1-EXP((T0-t)*PertePVj)+Pspv)</f>
        <v>2.8636061081591668E-2</v>
      </c>
      <c r="M100" s="832"/>
      <c r="N100" s="832"/>
      <c r="O100" s="48">
        <f>IF(t&lt;Tnet,'2022'!Resal+('2022'!Salim-'2022'!Resal)*(1-EXP(('2022'!Tnet-t)/('2022'!Tau_j))),Resal+(Salim-Resal)*(1-EXP((Tnet-t)/(Tau_j))))*Salcycl</f>
        <v>3.2659739264768325E-2</v>
      </c>
      <c r="P100" s="338">
        <f>(INDEX(Models!$BJ100:$BT100,,T100)*(1-R100)+INDEX(Models!$BJ100:$BT100,,T100+1)*R100-ERP_i)*Q100*Ramure*Pc/MaxiM</f>
        <v>8.1130075186792167E-6</v>
      </c>
      <c r="Q100" s="304">
        <f t="shared" si="28"/>
        <v>0.6</v>
      </c>
      <c r="R100" s="177">
        <f t="shared" si="29"/>
        <v>0.52037773413548793</v>
      </c>
      <c r="S100" s="799">
        <f t="shared" si="30"/>
        <v>0</v>
      </c>
      <c r="T100" s="176">
        <f t="shared" si="31"/>
        <v>6</v>
      </c>
      <c r="U100" s="250">
        <f t="shared" si="32"/>
        <v>0.52037773413548793</v>
      </c>
      <c r="V100" s="382">
        <f t="shared" si="33"/>
        <v>53.065400364931776</v>
      </c>
      <c r="W100" s="400">
        <f t="shared" si="34"/>
        <v>47.126935815151619</v>
      </c>
      <c r="X100" s="157">
        <f t="shared" si="35"/>
        <v>45012</v>
      </c>
      <c r="Y100" s="383">
        <f t="shared" si="36"/>
        <v>43.280979878757435</v>
      </c>
      <c r="Z100" s="383">
        <f t="shared" si="37"/>
        <v>44.556914401156199</v>
      </c>
      <c r="AA100" s="384">
        <f t="shared" si="38"/>
        <v>50.154275683796492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0.11160287346047051</v>
      </c>
      <c r="AD100" s="230">
        <f>(INDEX(Models!$BJ100:$BT100,,AH100)*(1-AF100)+INDEX(Models!$BJ100:$BT100,,AH100+1)*AF100-ERP_i)*AE100*Ramure*Pc/MaxiM</f>
        <v>8.1130075186792167E-6</v>
      </c>
      <c r="AE100" s="304">
        <f t="shared" si="40"/>
        <v>0.6</v>
      </c>
      <c r="AF100" s="177">
        <f t="shared" si="41"/>
        <v>0.52037773413548793</v>
      </c>
      <c r="AG100" s="799">
        <f t="shared" si="49"/>
        <v>0</v>
      </c>
      <c r="AH100" s="176">
        <f t="shared" si="42"/>
        <v>6</v>
      </c>
      <c r="AI100" s="224">
        <f t="shared" si="43"/>
        <v>0.52037773413548793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45013</v>
      </c>
      <c r="B101" s="409">
        <f>IF(t&gt;Tmaj,'2022'!Wh/'2022'!Env_an*'2023'!Env_an,0.001*'[5]mon-tableau'!$B$269)</f>
        <v>37.594449051057872</v>
      </c>
      <c r="C101" s="829"/>
      <c r="D101" s="391">
        <f t="shared" si="25"/>
        <v>38.703484911913549</v>
      </c>
      <c r="E101" s="383">
        <f t="shared" si="47"/>
        <v>40.012891076018647</v>
      </c>
      <c r="F101" s="383">
        <f t="shared" si="26"/>
        <v>40.013068801764256</v>
      </c>
      <c r="G101" s="110">
        <f t="shared" si="48"/>
        <v>0.70485830937760463</v>
      </c>
      <c r="H101" s="412" t="b">
        <f>Wh_hp&gt;='2022'!Maxi_hp</f>
        <v>0</v>
      </c>
      <c r="I101" s="379">
        <f>IF(H101,Wh_hp,'2022'!Maxi_hp)</f>
        <v>54.360653644959861</v>
      </c>
      <c r="J101" s="85">
        <f>IF(H101,An,'2022'!An_max)</f>
        <v>2018</v>
      </c>
      <c r="K101" s="197">
        <f t="shared" si="27"/>
        <v>45013</v>
      </c>
      <c r="L101" s="147">
        <f>IF(t&lt;Tvie,1-EXP((T0-t)*PertePVj)+'2022'!Pspv,1-EXP((T0-t)*PertePVj)+Pspv)</f>
        <v>2.8654677049877231E-2</v>
      </c>
      <c r="M101" s="832"/>
      <c r="N101" s="832"/>
      <c r="O101" s="48">
        <f>IF(t&lt;Tnet,'2022'!Resal+('2022'!Salim-'2022'!Resal)*(1-EXP(('2022'!Tnet-t)/('2022'!Tau_j))),Resal+(Salim-Resal)*(1-EXP((Tnet-t)/(Tau_j))))*Salcycl</f>
        <v>3.2724607717483319E-2</v>
      </c>
      <c r="P101" s="338">
        <f>(INDEX(Models!$BJ101:$BT101,,T101)*(1-R101)+INDEX(Models!$BJ101:$BT101,,T101+1)*R101-ERP_i)*Q101*Ramure*Pc/MaxiM</f>
        <v>7.679642768210787E-6</v>
      </c>
      <c r="Q101" s="304">
        <f t="shared" si="28"/>
        <v>0.6</v>
      </c>
      <c r="R101" s="177">
        <f t="shared" si="29"/>
        <v>0.52125705568515224</v>
      </c>
      <c r="S101" s="799">
        <f t="shared" si="30"/>
        <v>0</v>
      </c>
      <c r="T101" s="176">
        <f t="shared" si="31"/>
        <v>6</v>
      </c>
      <c r="U101" s="250">
        <f t="shared" si="32"/>
        <v>0.52125705568515224</v>
      </c>
      <c r="V101" s="382">
        <f t="shared" si="33"/>
        <v>53.336006430505179</v>
      </c>
      <c r="W101" s="400">
        <f t="shared" si="34"/>
        <v>37.594449051057872</v>
      </c>
      <c r="X101" s="157">
        <f t="shared" si="35"/>
        <v>45013</v>
      </c>
      <c r="Y101" s="383">
        <f t="shared" si="36"/>
        <v>34.52871253701899</v>
      </c>
      <c r="Z101" s="383">
        <f t="shared" si="37"/>
        <v>35.547309202200168</v>
      </c>
      <c r="AA101" s="384">
        <f t="shared" si="38"/>
        <v>40.012891076018647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0.1116035795897509</v>
      </c>
      <c r="AD101" s="230">
        <f>(INDEX(Models!$BJ101:$BT101,,AH101)*(1-AF101)+INDEX(Models!$BJ101:$BT101,,AH101+1)*AF101-ERP_i)*AE101*Ramure*Pc/MaxiM</f>
        <v>7.679642768210787E-6</v>
      </c>
      <c r="AE101" s="304">
        <f t="shared" si="40"/>
        <v>0.6</v>
      </c>
      <c r="AF101" s="177">
        <f t="shared" si="41"/>
        <v>0.52125705568515224</v>
      </c>
      <c r="AG101" s="799">
        <f t="shared" si="49"/>
        <v>0</v>
      </c>
      <c r="AH101" s="176">
        <f t="shared" si="42"/>
        <v>6</v>
      </c>
      <c r="AI101" s="224">
        <f t="shared" si="43"/>
        <v>0.52125705568515224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45014</v>
      </c>
      <c r="B102" s="409">
        <f>IF(t&gt;Tmaj,'2022'!Wh/'2022'!Env_an*'2023'!Env_an,0.001*'[5]mon-tableau'!$B$270)</f>
        <v>28.175934012671739</v>
      </c>
      <c r="C102" s="829"/>
      <c r="D102" s="391">
        <f t="shared" si="25"/>
        <v>29.007679702200871</v>
      </c>
      <c r="E102" s="383">
        <f t="shared" si="47"/>
        <v>29.991078075652087</v>
      </c>
      <c r="F102" s="383">
        <f t="shared" si="26"/>
        <v>29.991148237001781</v>
      </c>
      <c r="G102" s="110">
        <f t="shared" si="48"/>
        <v>0.52566607190345804</v>
      </c>
      <c r="H102" s="412" t="b">
        <f>Wh_hp&gt;='2022'!Maxi_hp</f>
        <v>0</v>
      </c>
      <c r="I102" s="379">
        <f>IF(H102,Wh_hp,'2022'!Maxi_hp)</f>
        <v>56.601597113397979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2.867329266139218E-2</v>
      </c>
      <c r="M102" s="832"/>
      <c r="N102" s="832"/>
      <c r="O102" s="48">
        <f>IF(t&lt;Tnet,'2022'!Resal+('2022'!Salim-'2022'!Resal)*(1-EXP(('2022'!Tnet-t)/('2022'!Tau_j))),Resal+(Salim-Resal)*(1-EXP((Tnet-t)/(Tau_j))))*Salcycl</f>
        <v>3.2789697355013574E-2</v>
      </c>
      <c r="P102" s="338">
        <f>(INDEX(Models!$BJ102:$BT102,,T102)*(1-R102)+INDEX(Models!$BJ102:$BT102,,T102+1)*R102-ERP_i)*Q102*Ramure*Pc/MaxiM</f>
        <v>7.2565741565691697E-6</v>
      </c>
      <c r="Q102" s="304">
        <f t="shared" si="28"/>
        <v>0.6</v>
      </c>
      <c r="R102" s="177">
        <f t="shared" si="29"/>
        <v>0.52216983796953864</v>
      </c>
      <c r="S102" s="799">
        <f t="shared" si="30"/>
        <v>0</v>
      </c>
      <c r="T102" s="176">
        <f t="shared" si="31"/>
        <v>6</v>
      </c>
      <c r="U102" s="250">
        <f t="shared" si="32"/>
        <v>0.52216983796953864</v>
      </c>
      <c r="V102" s="382">
        <f t="shared" si="33"/>
        <v>53.600178844340086</v>
      </c>
      <c r="W102" s="400">
        <f t="shared" si="34"/>
        <v>28.175934012671739</v>
      </c>
      <c r="X102" s="157">
        <f t="shared" si="35"/>
        <v>45014</v>
      </c>
      <c r="Y102" s="383">
        <f t="shared" si="36"/>
        <v>25.879949088956529</v>
      </c>
      <c r="Z102" s="383">
        <f t="shared" si="37"/>
        <v>26.64391794586442</v>
      </c>
      <c r="AA102" s="384">
        <f t="shared" si="38"/>
        <v>29.991078075652087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0.11160519542993748</v>
      </c>
      <c r="AD102" s="230">
        <f>(INDEX(Models!$BJ102:$BT102,,AH102)*(1-AF102)+INDEX(Models!$BJ102:$BT102,,AH102+1)*AF102-ERP_i)*AE102*Ramure*Pc/MaxiM</f>
        <v>7.2565741565691697E-6</v>
      </c>
      <c r="AE102" s="304">
        <f t="shared" si="40"/>
        <v>0.6</v>
      </c>
      <c r="AF102" s="177">
        <f t="shared" si="41"/>
        <v>0.52216983796953864</v>
      </c>
      <c r="AG102" s="799">
        <f t="shared" si="49"/>
        <v>0</v>
      </c>
      <c r="AH102" s="176">
        <f t="shared" si="42"/>
        <v>6</v>
      </c>
      <c r="AI102" s="224">
        <f t="shared" si="43"/>
        <v>0.52216983796953864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45015</v>
      </c>
      <c r="B103" s="409">
        <f>IF(t&gt;Tmaj,'2022'!Wh/'2022'!Env_an*'2023'!Env_an,0.001*'[5]mon-tableau'!$B$271)</f>
        <v>7.6600732918970529</v>
      </c>
      <c r="C103" s="829"/>
      <c r="D103" s="391">
        <f t="shared" si="25"/>
        <v>7.8863476525383751</v>
      </c>
      <c r="E103" s="383">
        <f t="shared" si="47"/>
        <v>8.1542559093289562</v>
      </c>
      <c r="F103" s="383">
        <f t="shared" si="26"/>
        <v>8.1542559093289562</v>
      </c>
      <c r="G103" s="110">
        <f t="shared" si="48"/>
        <v>0.1422283264438447</v>
      </c>
      <c r="H103" s="412" t="b">
        <f>Wh_hp&gt;='2022'!Maxi_hp</f>
        <v>0</v>
      </c>
      <c r="I103" s="379">
        <f>IF(H103,Wh_hp,'2022'!Maxi_hp)</f>
        <v>56.745534114329011</v>
      </c>
      <c r="J103" s="85">
        <f>IF(H103,An,'2022'!An_max)</f>
        <v>2018</v>
      </c>
      <c r="K103" s="197">
        <f t="shared" si="27"/>
        <v>45015</v>
      </c>
      <c r="L103" s="147">
        <f>IF(t&lt;Tvie,1-EXP((T0-t)*PertePVj)+'2022'!Pspv,1-EXP((T0-t)*PertePVj)+Pspv)</f>
        <v>2.8691907916143067E-2</v>
      </c>
      <c r="M103" s="832"/>
      <c r="N103" s="832"/>
      <c r="O103" s="48">
        <f>IF(t&lt;Tnet,'2022'!Resal+('2022'!Salim-'2022'!Resal)*(1-EXP(('2022'!Tnet-t)/('2022'!Tau_j))),Resal+(Salim-Resal)*(1-EXP((Tnet-t)/(Tau_j))))*Salcycl</f>
        <v>3.2855021938185291E-2</v>
      </c>
      <c r="P103" s="338">
        <f>(INDEX(Models!$BJ103:$BT103,,T103)*(1-R103)+INDEX(Models!$BJ103:$BT103,,T103+1)*R103-ERP_i)*Q103*Ramure*Pc/MaxiM</f>
        <v>6.8434727851589335E-6</v>
      </c>
      <c r="Q103" s="304">
        <f t="shared" si="28"/>
        <v>0.6</v>
      </c>
      <c r="R103" s="177">
        <f t="shared" si="29"/>
        <v>0.52311721232115693</v>
      </c>
      <c r="S103" s="799">
        <f t="shared" si="30"/>
        <v>0</v>
      </c>
      <c r="T103" s="176">
        <f t="shared" si="31"/>
        <v>6</v>
      </c>
      <c r="U103" s="250">
        <f t="shared" si="32"/>
        <v>0.52311721232115693</v>
      </c>
      <c r="V103" s="382">
        <f t="shared" si="33"/>
        <v>53.857210176893396</v>
      </c>
      <c r="W103" s="400">
        <f t="shared" si="34"/>
        <v>7.6600732918970529</v>
      </c>
      <c r="X103" s="157">
        <f t="shared" si="35"/>
        <v>45015</v>
      </c>
      <c r="Y103" s="383">
        <f t="shared" si="36"/>
        <v>7.0363283760170372</v>
      </c>
      <c r="Z103" s="383">
        <f t="shared" si="37"/>
        <v>7.2441776541995111</v>
      </c>
      <c r="AA103" s="384">
        <f t="shared" si="38"/>
        <v>8.1542559093289562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0.11160776228377389</v>
      </c>
      <c r="AD103" s="230">
        <f>(INDEX(Models!$BJ103:$BT103,,AH103)*(1-AF103)+INDEX(Models!$BJ103:$BT103,,AH103+1)*AF103-ERP_i)*AE103*Ramure*Pc/MaxiM</f>
        <v>6.8434727851589335E-6</v>
      </c>
      <c r="AE103" s="304">
        <f t="shared" si="40"/>
        <v>0.6</v>
      </c>
      <c r="AF103" s="177">
        <f t="shared" si="41"/>
        <v>0.52311721232115693</v>
      </c>
      <c r="AG103" s="799">
        <f t="shared" si="49"/>
        <v>0</v>
      </c>
      <c r="AH103" s="176">
        <f t="shared" si="42"/>
        <v>6</v>
      </c>
      <c r="AI103" s="224">
        <f t="shared" si="43"/>
        <v>0.52311721232115693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45016</v>
      </c>
      <c r="B104" s="409">
        <f>IF(t&gt;Tmaj,'2022'!Wh/'2022'!Env_an*'2023'!Env_an,0.001*'[5]mon-tableau'!$B$272)</f>
        <v>26.005338558769648</v>
      </c>
      <c r="C104" s="829"/>
      <c r="D104" s="391">
        <f t="shared" si="25"/>
        <v>26.774035104462829</v>
      </c>
      <c r="E104" s="383">
        <f t="shared" si="47"/>
        <v>27.685456819741944</v>
      </c>
      <c r="F104" s="383">
        <f t="shared" si="26"/>
        <v>27.685502828227531</v>
      </c>
      <c r="G104" s="110">
        <f t="shared" si="48"/>
        <v>0.48063108150268757</v>
      </c>
      <c r="H104" s="412" t="b">
        <f>Wh_hp&gt;='2022'!Maxi_hp</f>
        <v>0</v>
      </c>
      <c r="I104" s="379">
        <f>IF(H104,Wh_hp,'2022'!Maxi_hp)</f>
        <v>51.692988498313227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2.8710522814136885E-2</v>
      </c>
      <c r="M104" s="832"/>
      <c r="N104" s="832"/>
      <c r="O104" s="48">
        <f>IF(t&lt;Tnet,'2022'!Resal+('2022'!Salim-'2022'!Resal)*(1-EXP(('2022'!Tnet-t)/('2022'!Tau_j))),Resal+(Salim-Resal)*(1-EXP((Tnet-t)/(Tau_j))))*Salcycl</f>
        <v>3.2920595141821843E-2</v>
      </c>
      <c r="P104" s="338">
        <f>(INDEX(Models!$BJ104:$BT104,,T104)*(1-R104)+INDEX(Models!$BJ104:$BT104,,T104+1)*R104-ERP_i)*Q104*Ramure*Pc/MaxiM</f>
        <v>6.4399954250610872E-6</v>
      </c>
      <c r="Q104" s="304">
        <f t="shared" si="28"/>
        <v>0.6</v>
      </c>
      <c r="R104" s="177">
        <f t="shared" si="29"/>
        <v>0.52410033680482115</v>
      </c>
      <c r="S104" s="799">
        <f t="shared" si="30"/>
        <v>0</v>
      </c>
      <c r="T104" s="176">
        <f t="shared" si="31"/>
        <v>6</v>
      </c>
      <c r="U104" s="250">
        <f t="shared" si="32"/>
        <v>0.52410033680482115</v>
      </c>
      <c r="V104" s="382">
        <f t="shared" si="33"/>
        <v>54.106393243112564</v>
      </c>
      <c r="W104" s="400">
        <f t="shared" si="34"/>
        <v>26.005338558769648</v>
      </c>
      <c r="X104" s="157">
        <f t="shared" si="35"/>
        <v>45016</v>
      </c>
      <c r="Y104" s="383">
        <f t="shared" si="36"/>
        <v>23.889298290409357</v>
      </c>
      <c r="Z104" s="383">
        <f t="shared" si="37"/>
        <v>24.595446415855662</v>
      </c>
      <c r="AA104" s="384">
        <f t="shared" si="38"/>
        <v>27.685456819741944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0.11161132084636056</v>
      </c>
      <c r="AD104" s="230">
        <f>(INDEX(Models!$BJ104:$BT104,,AH104)*(1-AF104)+INDEX(Models!$BJ104:$BT104,,AH104+1)*AF104-ERP_i)*AE104*Ramure*Pc/MaxiM</f>
        <v>6.4399954250610872E-6</v>
      </c>
      <c r="AE104" s="304">
        <f t="shared" si="40"/>
        <v>0.6</v>
      </c>
      <c r="AF104" s="177">
        <f t="shared" si="41"/>
        <v>0.52410033680482115</v>
      </c>
      <c r="AG104" s="799">
        <f t="shared" si="49"/>
        <v>0</v>
      </c>
      <c r="AH104" s="176">
        <f t="shared" si="42"/>
        <v>6</v>
      </c>
      <c r="AI104" s="224">
        <f t="shared" si="43"/>
        <v>0.52410033680482115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45017</v>
      </c>
      <c r="B105" s="409">
        <f>IF(t&gt;Tmaj,'2022'!Wh/'2022'!Env_an*'2023'!Env_an,0.001*'[6]mon-tableau'!$B$235)</f>
        <v>30.902893132314507</v>
      </c>
      <c r="C105" s="829"/>
      <c r="D105" s="391">
        <f t="shared" si="25"/>
        <v>31.816967151851681</v>
      </c>
      <c r="E105" s="383">
        <f t="shared" si="47"/>
        <v>32.902296468396699</v>
      </c>
      <c r="F105" s="383">
        <f t="shared" si="26"/>
        <v>32.902372803268399</v>
      </c>
      <c r="G105" s="110">
        <f t="shared" si="48"/>
        <v>0.56861953725767078</v>
      </c>
      <c r="H105" s="412" t="b">
        <f>Wh_hp&gt;='2022'!Maxi_hp</f>
        <v>0</v>
      </c>
      <c r="I105" s="379">
        <f>IF(H105,Wh_hp,'2022'!Maxi_hp)</f>
        <v>52.356654743992351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2.8729137355380407E-2</v>
      </c>
      <c r="M105" s="832"/>
      <c r="N105" s="832"/>
      <c r="O105" s="48">
        <f>IF(t&lt;Tnet,'2022'!Resal+('2022'!Salim-'2022'!Resal)*(1-EXP(('2022'!Tnet-t)/('2022'!Tau_j))),Resal+(Salim-Resal)*(1-EXP((Tnet-t)/(Tau_j))))*Salcycl</f>
        <v>3.2986430524310065E-2</v>
      </c>
      <c r="P105" s="338">
        <f>(INDEX(Models!$BJ105:$BT105,,T105)*(1-R105)+INDEX(Models!$BJ105:$BT105,,T105+1)*R105-ERP_i)*Q105*Ramure*Pc/MaxiM</f>
        <v>6.0457861217666518E-6</v>
      </c>
      <c r="Q105" s="304">
        <f t="shared" si="28"/>
        <v>0.6</v>
      </c>
      <c r="R105" s="177">
        <f t="shared" si="29"/>
        <v>0.52512039587410642</v>
      </c>
      <c r="S105" s="799">
        <f t="shared" si="30"/>
        <v>0</v>
      </c>
      <c r="T105" s="176">
        <f t="shared" si="31"/>
        <v>6</v>
      </c>
      <c r="U105" s="250">
        <f t="shared" si="32"/>
        <v>0.52512039587410642</v>
      </c>
      <c r="V105" s="382">
        <f t="shared" si="33"/>
        <v>54.347021111511914</v>
      </c>
      <c r="W105" s="400">
        <f t="shared" si="34"/>
        <v>30.902893132314507</v>
      </c>
      <c r="X105" s="157">
        <f t="shared" si="35"/>
        <v>45017</v>
      </c>
      <c r="Y105" s="383">
        <f t="shared" si="36"/>
        <v>28.390127528760328</v>
      </c>
      <c r="Z105" s="383">
        <f t="shared" si="37"/>
        <v>29.229876670508187</v>
      </c>
      <c r="AA105" s="384">
        <f t="shared" si="38"/>
        <v>32.902296468396699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0.11161591110869551</v>
      </c>
      <c r="AD105" s="230">
        <f>(INDEX(Models!$BJ105:$BT105,,AH105)*(1-AF105)+INDEX(Models!$BJ105:$BT105,,AH105+1)*AF105-ERP_i)*AE105*Ramure*Pc/MaxiM</f>
        <v>6.0457861217666518E-6</v>
      </c>
      <c r="AE105" s="304">
        <f t="shared" si="40"/>
        <v>0.6</v>
      </c>
      <c r="AF105" s="177">
        <f t="shared" si="41"/>
        <v>0.52512039587410642</v>
      </c>
      <c r="AG105" s="799">
        <f t="shared" si="49"/>
        <v>0</v>
      </c>
      <c r="AH105" s="176">
        <f t="shared" si="42"/>
        <v>6</v>
      </c>
      <c r="AI105" s="224">
        <f t="shared" si="43"/>
        <v>0.52512039587410642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45018</v>
      </c>
      <c r="B106" s="409">
        <f>IF(t&gt;Tmaj,'2022'!Wh/'2022'!Env_an*'2023'!Env_an,0.001*'[6]mon-tableau'!$B$236)</f>
        <v>19.851737921276243</v>
      </c>
      <c r="C106" s="829"/>
      <c r="D106" s="391">
        <f t="shared" si="25"/>
        <v>20.43932248573978</v>
      </c>
      <c r="E106" s="383">
        <f t="shared" si="47"/>
        <v>21.137986667248494</v>
      </c>
      <c r="F106" s="383">
        <f t="shared" si="26"/>
        <v>21.137997560448042</v>
      </c>
      <c r="G106" s="110">
        <f t="shared" si="48"/>
        <v>0.3637270508514367</v>
      </c>
      <c r="H106" s="412" t="b">
        <f>Wh_hp&gt;='2022'!Maxi_hp</f>
        <v>0</v>
      </c>
      <c r="I106" s="379">
        <f>IF(H106,Wh_hp,'2022'!Maxi_hp)</f>
        <v>47.319485851291006</v>
      </c>
      <c r="J106" s="85">
        <f>IF(H106,An,'2022'!An_max)</f>
        <v>2021</v>
      </c>
      <c r="K106" s="197">
        <f t="shared" si="27"/>
        <v>45018</v>
      </c>
      <c r="L106" s="147">
        <f>IF(t&lt;Tvie,1-EXP((T0-t)*PertePVj)+'2022'!Pspv,1-EXP((T0-t)*PertePVj)+Pspv)</f>
        <v>2.8747751539880406E-2</v>
      </c>
      <c r="M106" s="832"/>
      <c r="N106" s="832"/>
      <c r="O106" s="48">
        <f>IF(t&lt;Tnet,'2022'!Resal+('2022'!Salim-'2022'!Resal)*(1-EXP(('2022'!Tnet-t)/('2022'!Tau_j))),Resal+(Salim-Resal)*(1-EXP((Tnet-t)/(Tau_j))))*Salcycl</f>
        <v>3.3052541498251355E-2</v>
      </c>
      <c r="P106" s="338">
        <f>(INDEX(Models!$BJ106:$BT106,,T106)*(1-R106)+INDEX(Models!$BJ106:$BT106,,T106+1)*R106-ERP_i)*Q106*Ramure*Pc/MaxiM</f>
        <v>5.6604776722890938E-6</v>
      </c>
      <c r="Q106" s="304">
        <f t="shared" si="28"/>
        <v>0.6</v>
      </c>
      <c r="R106" s="177">
        <f t="shared" si="29"/>
        <v>0.52617859992354576</v>
      </c>
      <c r="S106" s="799">
        <f t="shared" si="30"/>
        <v>0</v>
      </c>
      <c r="T106" s="176">
        <f t="shared" si="31"/>
        <v>6</v>
      </c>
      <c r="U106" s="250">
        <f t="shared" si="32"/>
        <v>0.52617859992354576</v>
      </c>
      <c r="V106" s="382">
        <f t="shared" si="33"/>
        <v>54.578387103120939</v>
      </c>
      <c r="W106" s="400">
        <f t="shared" si="34"/>
        <v>19.851737921276243</v>
      </c>
      <c r="X106" s="157">
        <f t="shared" si="35"/>
        <v>45018</v>
      </c>
      <c r="Y106" s="383">
        <f t="shared" si="36"/>
        <v>18.238690807065243</v>
      </c>
      <c r="Z106" s="383">
        <f t="shared" si="37"/>
        <v>18.778531360912613</v>
      </c>
      <c r="AA106" s="384">
        <f t="shared" si="38"/>
        <v>21.137986667248494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0.11162157226599334</v>
      </c>
      <c r="AD106" s="230">
        <f>(INDEX(Models!$BJ106:$BT106,,AH106)*(1-AF106)+INDEX(Models!$BJ106:$BT106,,AH106+1)*AF106-ERP_i)*AE106*Ramure*Pc/MaxiM</f>
        <v>5.6604776722890938E-6</v>
      </c>
      <c r="AE106" s="304">
        <f t="shared" si="40"/>
        <v>0.6</v>
      </c>
      <c r="AF106" s="177">
        <f t="shared" si="41"/>
        <v>0.52617859992354576</v>
      </c>
      <c r="AG106" s="799">
        <f t="shared" si="49"/>
        <v>0</v>
      </c>
      <c r="AH106" s="176">
        <f t="shared" si="42"/>
        <v>6</v>
      </c>
      <c r="AI106" s="224">
        <f t="shared" si="43"/>
        <v>0.52617859992354576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45019</v>
      </c>
      <c r="B107" s="409">
        <f>IF(t&gt;Tmaj,'2022'!Wh/'2022'!Env_an*'2023'!Env_an,0.001*'[6]mon-tableau'!$B$237)</f>
        <v>24.598975316062369</v>
      </c>
      <c r="C107" s="829"/>
      <c r="D107" s="391">
        <f t="shared" si="25"/>
        <v>25.327557076803558</v>
      </c>
      <c r="E107" s="383">
        <f t="shared" si="47"/>
        <v>26.195111434816354</v>
      </c>
      <c r="F107" s="383">
        <f t="shared" si="26"/>
        <v>26.19514087029723</v>
      </c>
      <c r="G107" s="110">
        <f t="shared" si="48"/>
        <v>0.44887360496551071</v>
      </c>
      <c r="H107" s="412" t="b">
        <f>Wh_hp&gt;='2022'!Maxi_hp</f>
        <v>0</v>
      </c>
      <c r="I107" s="379">
        <f>IF(H107,Wh_hp,'2022'!Maxi_hp)</f>
        <v>54.874354285186392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2.8766365367643987E-2</v>
      </c>
      <c r="M107" s="832"/>
      <c r="N107" s="832"/>
      <c r="O107" s="48">
        <f>IF(t&lt;Tnet,'2022'!Resal+('2022'!Salim-'2022'!Resal)*(1-EXP(('2022'!Tnet-t)/('2022'!Tau_j))),Resal+(Salim-Resal)*(1-EXP((Tnet-t)/(Tau_j))))*Salcycl</f>
        <v>3.3118941302143795E-2</v>
      </c>
      <c r="P107" s="338">
        <f>(INDEX(Models!$BJ107:$BT107,,T107)*(1-R107)+INDEX(Models!$BJ107:$BT107,,T107+1)*R107-ERP_i)*Q107*Ramure*Pc/MaxiM</f>
        <v>5.2835434683677445E-6</v>
      </c>
      <c r="Q107" s="304">
        <f t="shared" si="28"/>
        <v>0.6</v>
      </c>
      <c r="R107" s="177">
        <f t="shared" si="29"/>
        <v>0.52727618472835935</v>
      </c>
      <c r="S107" s="799">
        <f t="shared" si="30"/>
        <v>0</v>
      </c>
      <c r="T107" s="176">
        <f t="shared" si="31"/>
        <v>6</v>
      </c>
      <c r="U107" s="250">
        <f t="shared" si="32"/>
        <v>0.52727618472835935</v>
      </c>
      <c r="V107" s="382">
        <f t="shared" si="33"/>
        <v>54.801335422588856</v>
      </c>
      <c r="W107" s="400">
        <f t="shared" si="34"/>
        <v>24.598975316062369</v>
      </c>
      <c r="X107" s="157">
        <f t="shared" si="35"/>
        <v>45019</v>
      </c>
      <c r="Y107" s="383">
        <f t="shared" si="36"/>
        <v>22.601572628334882</v>
      </c>
      <c r="Z107" s="383">
        <f t="shared" si="37"/>
        <v>23.270994560325665</v>
      </c>
      <c r="AA107" s="384">
        <f t="shared" si="38"/>
        <v>26.195111434816354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0.11162834263053356</v>
      </c>
      <c r="AD107" s="230">
        <f>(INDEX(Models!$BJ107:$BT107,,AH107)*(1-AF107)+INDEX(Models!$BJ107:$BT107,,AH107+1)*AF107-ERP_i)*AE107*Ramure*Pc/MaxiM</f>
        <v>5.2835434683677445E-6</v>
      </c>
      <c r="AE107" s="304">
        <f t="shared" si="40"/>
        <v>0.6</v>
      </c>
      <c r="AF107" s="177">
        <f t="shared" si="41"/>
        <v>0.52727618472835935</v>
      </c>
      <c r="AG107" s="799">
        <f t="shared" si="49"/>
        <v>0</v>
      </c>
      <c r="AH107" s="176">
        <f t="shared" si="42"/>
        <v>6</v>
      </c>
      <c r="AI107" s="224">
        <f t="shared" si="43"/>
        <v>0.52727618472835935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45020</v>
      </c>
      <c r="B108" s="409">
        <f>IF(t&gt;Tmaj,'2022'!Wh/'2022'!Env_an*'2023'!Env_an,0.001*'[6]mon-tableau'!$B$238)</f>
        <v>46.488584866704898</v>
      </c>
      <c r="C108" s="829"/>
      <c r="D108" s="391">
        <f t="shared" si="25"/>
        <v>47.866418716543897</v>
      </c>
      <c r="E108" s="383">
        <f t="shared" si="47"/>
        <v>49.509420674860685</v>
      </c>
      <c r="F108" s="383">
        <f t="shared" si="26"/>
        <v>49.509610382676243</v>
      </c>
      <c r="G108" s="110">
        <f t="shared" si="48"/>
        <v>0.8449810764424166</v>
      </c>
      <c r="H108" s="412" t="b">
        <f>Wh_hp&gt;='2022'!Maxi_hp</f>
        <v>0</v>
      </c>
      <c r="I108" s="379">
        <f>IF(H108,Wh_hp,'2022'!Maxi_hp)</f>
        <v>58.531654511187028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2.8784978838677699E-2</v>
      </c>
      <c r="M108" s="832"/>
      <c r="N108" s="832"/>
      <c r="O108" s="48">
        <f>IF(t&lt;Tnet,'2022'!Resal+('2022'!Salim-'2022'!Resal)*(1-EXP(('2022'!Tnet-t)/('2022'!Tau_j))),Resal+(Salim-Resal)*(1-EXP((Tnet-t)/(Tau_j))))*Salcycl</f>
        <v>3.3185642973016079E-2</v>
      </c>
      <c r="P108" s="338">
        <f>(INDEX(Models!$BJ108:$BT108,,T108)*(1-R108)+INDEX(Models!$BJ108:$BT108,,T108+1)*R108-ERP_i)*Q108*Ramure*Pc/MaxiM</f>
        <v>4.921659886778786E-6</v>
      </c>
      <c r="Q108" s="304">
        <f t="shared" si="28"/>
        <v>0.6</v>
      </c>
      <c r="R108" s="177">
        <f t="shared" si="29"/>
        <v>0.52841441076321205</v>
      </c>
      <c r="S108" s="799">
        <f t="shared" si="30"/>
        <v>0</v>
      </c>
      <c r="T108" s="176">
        <f t="shared" si="31"/>
        <v>6</v>
      </c>
      <c r="U108" s="250">
        <f t="shared" si="32"/>
        <v>0.52841441076321205</v>
      </c>
      <c r="V108" s="382">
        <f t="shared" si="33"/>
        <v>55.017248898964212</v>
      </c>
      <c r="W108" s="400">
        <f t="shared" si="34"/>
        <v>46.488584866704898</v>
      </c>
      <c r="X108" s="157">
        <f t="shared" si="35"/>
        <v>45020</v>
      </c>
      <c r="Y108" s="383">
        <f t="shared" si="36"/>
        <v>42.716342429450165</v>
      </c>
      <c r="Z108" s="383">
        <f t="shared" si="37"/>
        <v>43.982374138295818</v>
      </c>
      <c r="AA108" s="384">
        <f t="shared" si="38"/>
        <v>49.509420674860685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0.111636259548707</v>
      </c>
      <c r="AD108" s="230">
        <f>(INDEX(Models!$BJ108:$BT108,,AH108)*(1-AF108)+INDEX(Models!$BJ108:$BT108,,AH108+1)*AF108-ERP_i)*AE108*Ramure*Pc/MaxiM</f>
        <v>4.921659886778786E-6</v>
      </c>
      <c r="AE108" s="304">
        <f t="shared" si="40"/>
        <v>0.6</v>
      </c>
      <c r="AF108" s="177">
        <f t="shared" si="41"/>
        <v>0.52841441076321205</v>
      </c>
      <c r="AG108" s="799">
        <f t="shared" si="49"/>
        <v>0</v>
      </c>
      <c r="AH108" s="176">
        <f t="shared" si="42"/>
        <v>6</v>
      </c>
      <c r="AI108" s="224">
        <f t="shared" si="43"/>
        <v>0.52841441076321205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45021</v>
      </c>
      <c r="B109" s="409">
        <f>IF(t&gt;Tmaj,'2022'!Wh/'2022'!Env_an*'2023'!Env_an,0.001*'[6]mon-tableau'!$B$239)</f>
        <v>53.371089050198208</v>
      </c>
      <c r="C109" s="829"/>
      <c r="D109" s="391">
        <f t="shared" si="25"/>
        <v>54.953960504778493</v>
      </c>
      <c r="E109" s="383">
        <f t="shared" si="47"/>
        <v>56.844180679224195</v>
      </c>
      <c r="F109" s="383">
        <f t="shared" si="26"/>
        <v>56.84442756171908</v>
      </c>
      <c r="G109" s="110">
        <f t="shared" si="48"/>
        <v>0.96640812047966107</v>
      </c>
      <c r="H109" s="412" t="b">
        <f>Wh_hp&gt;='2022'!Maxi_hp</f>
        <v>0</v>
      </c>
      <c r="I109" s="379">
        <f>IF(H109,Wh_hp,'2022'!Maxi_hp)</f>
        <v>60.630362862646294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2.8803591952988539E-2</v>
      </c>
      <c r="M109" s="832"/>
      <c r="N109" s="832"/>
      <c r="O109" s="48">
        <f>IF(t&lt;Tnet,'2022'!Resal+('2022'!Salim-'2022'!Resal)*(1-EXP(('2022'!Tnet-t)/('2022'!Tau_j))),Resal+(Salim-Resal)*(1-EXP((Tnet-t)/(Tau_j))))*Salcycl</f>
        <v>3.3252659319910831E-2</v>
      </c>
      <c r="P109" s="338">
        <f>(INDEX(Models!$BJ109:$BT109,,T109)*(1-R109)+INDEX(Models!$BJ109:$BT109,,T109+1)*R109-ERP_i)*Q109*Ramure*Pc/MaxiM</f>
        <v>4.5620497998960207E-6</v>
      </c>
      <c r="Q109" s="304">
        <f t="shared" si="28"/>
        <v>0.6</v>
      </c>
      <c r="R109" s="177">
        <f t="shared" si="29"/>
        <v>0.52959456239123071</v>
      </c>
      <c r="S109" s="799">
        <f t="shared" si="30"/>
        <v>0</v>
      </c>
      <c r="T109" s="176">
        <f t="shared" si="31"/>
        <v>6</v>
      </c>
      <c r="U109" s="250">
        <f t="shared" si="32"/>
        <v>0.52959456239123071</v>
      </c>
      <c r="V109" s="382">
        <f t="shared" si="33"/>
        <v>55.226230238463387</v>
      </c>
      <c r="W109" s="400">
        <f t="shared" si="34"/>
        <v>53.371089050198208</v>
      </c>
      <c r="X109" s="157">
        <f t="shared" si="35"/>
        <v>45021</v>
      </c>
      <c r="Y109" s="383">
        <f t="shared" si="36"/>
        <v>49.043273915226038</v>
      </c>
      <c r="Z109" s="383">
        <f t="shared" si="37"/>
        <v>50.497791701935604</v>
      </c>
      <c r="AA109" s="384">
        <f t="shared" si="38"/>
        <v>56.844180679224195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0.11164535932185785</v>
      </c>
      <c r="AD109" s="230">
        <f>(INDEX(Models!$BJ109:$BT109,,AH109)*(1-AF109)+INDEX(Models!$BJ109:$BT109,,AH109+1)*AF109-ERP_i)*AE109*Ramure*Pc/MaxiM</f>
        <v>4.5620497998960207E-6</v>
      </c>
      <c r="AE109" s="304">
        <f t="shared" si="40"/>
        <v>0.6</v>
      </c>
      <c r="AF109" s="177">
        <f t="shared" si="41"/>
        <v>0.52959456239123071</v>
      </c>
      <c r="AG109" s="799">
        <f t="shared" si="49"/>
        <v>0</v>
      </c>
      <c r="AH109" s="176">
        <f t="shared" si="42"/>
        <v>6</v>
      </c>
      <c r="AI109" s="224">
        <f t="shared" si="43"/>
        <v>0.52959456239123071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45022</v>
      </c>
      <c r="B110" s="409">
        <f>IF(t&gt;Tmaj,'2022'!Wh/'2022'!Env_an*'2023'!Env_an,0.001*'[6]mon-tableau'!$B$240)</f>
        <v>11.281030868487042</v>
      </c>
      <c r="C110" s="829"/>
      <c r="D110" s="391">
        <f t="shared" si="25"/>
        <v>11.615824541298565</v>
      </c>
      <c r="E110" s="383">
        <f t="shared" si="47"/>
        <v>12.016204510409503</v>
      </c>
      <c r="F110" s="383">
        <f t="shared" si="26"/>
        <v>12.016204510409503</v>
      </c>
      <c r="G110" s="110">
        <f t="shared" si="48"/>
        <v>0.20352359465322956</v>
      </c>
      <c r="H110" s="412" t="b">
        <f>Wh_hp&gt;='2022'!Maxi_hp</f>
        <v>0</v>
      </c>
      <c r="I110" s="379">
        <f>IF(H110,Wh_hp,'2022'!Maxi_hp)</f>
        <v>61.789879611435509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2.8822204710583166E-2</v>
      </c>
      <c r="M110" s="832"/>
      <c r="N110" s="832"/>
      <c r="O110" s="48">
        <f>IF(t&lt;Tnet,'2022'!Resal+('2022'!Salim-'2022'!Resal)*(1-EXP(('2022'!Tnet-t)/('2022'!Tau_j))),Resal+(Salim-Resal)*(1-EXP((Tnet-t)/(Tau_j))))*Salcycl</f>
        <v>3.3320002898094205E-2</v>
      </c>
      <c r="P110" s="338">
        <f>(INDEX(Models!$BJ110:$BT110,,T110)*(1-R110)+INDEX(Models!$BJ110:$BT110,,T110+1)*R110-ERP_i)*Q110*Ramure*Pc/MaxiM</f>
        <v>4.2043420811960418E-6</v>
      </c>
      <c r="Q110" s="304">
        <f t="shared" si="28"/>
        <v>0.6</v>
      </c>
      <c r="R110" s="177">
        <f t="shared" si="29"/>
        <v>0.53081794691427098</v>
      </c>
      <c r="S110" s="799">
        <f t="shared" si="30"/>
        <v>0</v>
      </c>
      <c r="T110" s="176">
        <f t="shared" si="31"/>
        <v>6</v>
      </c>
      <c r="U110" s="250">
        <f t="shared" si="32"/>
        <v>0.53081794691427098</v>
      </c>
      <c r="V110" s="382">
        <f t="shared" si="33"/>
        <v>55.42838145324216</v>
      </c>
      <c r="W110" s="400">
        <f t="shared" si="34"/>
        <v>11.281030868487042</v>
      </c>
      <c r="X110" s="157">
        <f t="shared" si="35"/>
        <v>45022</v>
      </c>
      <c r="Y110" s="383">
        <f t="shared" si="36"/>
        <v>10.366863655171009</v>
      </c>
      <c r="Z110" s="383">
        <f t="shared" si="37"/>
        <v>10.67452705926171</v>
      </c>
      <c r="AA110" s="384">
        <f t="shared" si="38"/>
        <v>12.016204510409503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0.11165567713045448</v>
      </c>
      <c r="AD110" s="230">
        <f>(INDEX(Models!$BJ110:$BT110,,AH110)*(1-AF110)+INDEX(Models!$BJ110:$BT110,,AH110+1)*AF110-ERP_i)*AE110*Ramure*Pc/MaxiM</f>
        <v>4.2043420811960418E-6</v>
      </c>
      <c r="AE110" s="304">
        <f t="shared" si="40"/>
        <v>0.6</v>
      </c>
      <c r="AF110" s="177">
        <f t="shared" si="41"/>
        <v>0.53081794691427098</v>
      </c>
      <c r="AG110" s="799">
        <f t="shared" si="49"/>
        <v>0</v>
      </c>
      <c r="AH110" s="176">
        <f t="shared" si="42"/>
        <v>6</v>
      </c>
      <c r="AI110" s="224">
        <f t="shared" si="43"/>
        <v>0.53081794691427098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45023</v>
      </c>
      <c r="B111" s="409">
        <f>IF(t&gt;Tmaj,'2022'!Wh/'2022'!Env_an*'2023'!Env_an,0.001*'[6]mon-tableau'!$B$241)</f>
        <v>40.922853875447686</v>
      </c>
      <c r="C111" s="829"/>
      <c r="D111" s="391">
        <f t="shared" si="25"/>
        <v>42.138152628830952</v>
      </c>
      <c r="E111" s="383">
        <f t="shared" si="47"/>
        <v>43.593643509208349</v>
      </c>
      <c r="F111" s="383">
        <f t="shared" si="26"/>
        <v>43.593747927121406</v>
      </c>
      <c r="G111" s="110">
        <f t="shared" si="48"/>
        <v>0.73570649757127682</v>
      </c>
      <c r="H111" s="412" t="b">
        <f>Wh_hp&gt;='2022'!Maxi_hp</f>
        <v>0</v>
      </c>
      <c r="I111" s="379">
        <f>IF(H111,Wh_hp,'2022'!Maxi_hp)</f>
        <v>57.641590326418545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2.8840817111468686E-2</v>
      </c>
      <c r="M111" s="832"/>
      <c r="N111" s="832"/>
      <c r="O111" s="48">
        <f>IF(t&lt;Tnet,'2022'!Resal+('2022'!Salim-'2022'!Resal)*(1-EXP(('2022'!Tnet-t)/('2022'!Tau_j))),Resal+(Salim-Resal)*(1-EXP((Tnet-t)/(Tau_j))))*Salcycl</f>
        <v>3.3387685983851154E-2</v>
      </c>
      <c r="P111" s="338">
        <f>(INDEX(Models!$BJ111:$BT111,,T111)*(1-R111)+INDEX(Models!$BJ111:$BT111,,T111+1)*R111-ERP_i)*Q111*Ramure*Pc/MaxiM</f>
        <v>3.84816547064507E-6</v>
      </c>
      <c r="Q111" s="304">
        <f t="shared" si="28"/>
        <v>0.6</v>
      </c>
      <c r="R111" s="177">
        <f t="shared" si="29"/>
        <v>0.53208589347521995</v>
      </c>
      <c r="S111" s="799">
        <f t="shared" si="30"/>
        <v>0</v>
      </c>
      <c r="T111" s="176">
        <f t="shared" si="31"/>
        <v>6</v>
      </c>
      <c r="U111" s="250">
        <f t="shared" si="32"/>
        <v>0.53208589347521995</v>
      </c>
      <c r="V111" s="382">
        <f t="shared" si="33"/>
        <v>55.62380453746384</v>
      </c>
      <c r="W111" s="400">
        <f t="shared" si="34"/>
        <v>40.922853875447686</v>
      </c>
      <c r="X111" s="157">
        <f t="shared" si="35"/>
        <v>45023</v>
      </c>
      <c r="Y111" s="383">
        <f t="shared" si="36"/>
        <v>37.608781636914742</v>
      </c>
      <c r="Z111" s="383">
        <f t="shared" si="37"/>
        <v>38.725661353532651</v>
      </c>
      <c r="AA111" s="384">
        <f t="shared" si="38"/>
        <v>43.593643509208349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0.1116672469610719</v>
      </c>
      <c r="AD111" s="230">
        <f>(INDEX(Models!$BJ111:$BT111,,AH111)*(1-AF111)+INDEX(Models!$BJ111:$BT111,,AH111+1)*AF111-ERP_i)*AE111*Ramure*Pc/MaxiM</f>
        <v>3.84816547064507E-6</v>
      </c>
      <c r="AE111" s="304">
        <f t="shared" si="40"/>
        <v>0.6</v>
      </c>
      <c r="AF111" s="177">
        <f t="shared" si="41"/>
        <v>0.53208589347521995</v>
      </c>
      <c r="AG111" s="799">
        <f t="shared" si="49"/>
        <v>0</v>
      </c>
      <c r="AH111" s="176">
        <f t="shared" si="42"/>
        <v>6</v>
      </c>
      <c r="AI111" s="224">
        <f t="shared" si="43"/>
        <v>0.53208589347521995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45024</v>
      </c>
      <c r="B112" s="409">
        <f>IF(t&gt;Tmaj,'2022'!Wh/'2022'!Env_an*'2023'!Env_an,0.001*'[6]mon-tableau'!$B$242)</f>
        <v>35.095380448459181</v>
      </c>
      <c r="C112" s="829"/>
      <c r="D112" s="391">
        <f t="shared" si="25"/>
        <v>36.13831148867137</v>
      </c>
      <c r="E112" s="383">
        <f t="shared" si="47"/>
        <v>37.389193911762241</v>
      </c>
      <c r="F112" s="383">
        <f t="shared" si="26"/>
        <v>37.38925526076055</v>
      </c>
      <c r="G112" s="110">
        <f t="shared" si="48"/>
        <v>0.62880630025234796</v>
      </c>
      <c r="H112" s="412" t="b">
        <f>Wh_hp&gt;='2022'!Maxi_hp</f>
        <v>0</v>
      </c>
      <c r="I112" s="379">
        <f>IF(H112,Wh_hp,'2022'!Maxi_hp)</f>
        <v>59.015866902452174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2.8859429155651761E-2</v>
      </c>
      <c r="M112" s="832"/>
      <c r="N112" s="832"/>
      <c r="O112" s="48">
        <f>IF(t&lt;Tnet,'2022'!Resal+('2022'!Salim-'2022'!Resal)*(1-EXP(('2022'!Tnet-t)/('2022'!Tau_j))),Resal+(Salim-Resal)*(1-EXP((Tnet-t)/(Tau_j))))*Salcycl</f>
        <v>3.3455720549710903E-2</v>
      </c>
      <c r="P112" s="338">
        <f>(INDEX(Models!$BJ112:$BT112,,T112)*(1-R112)+INDEX(Models!$BJ112:$BT112,,T112+1)*R112-ERP_i)*Q112*Ramure*Pc/MaxiM</f>
        <v>3.4931483694984315E-6</v>
      </c>
      <c r="Q112" s="304">
        <f t="shared" si="28"/>
        <v>0.6</v>
      </c>
      <c r="R112" s="177">
        <f t="shared" si="29"/>
        <v>0.53339975180296351</v>
      </c>
      <c r="S112" s="799">
        <f t="shared" si="30"/>
        <v>0</v>
      </c>
      <c r="T112" s="176">
        <f t="shared" si="31"/>
        <v>6</v>
      </c>
      <c r="U112" s="250">
        <f t="shared" si="32"/>
        <v>0.53339975180296351</v>
      </c>
      <c r="V112" s="382">
        <f t="shared" si="33"/>
        <v>55.812601473716782</v>
      </c>
      <c r="W112" s="400">
        <f t="shared" si="34"/>
        <v>35.095380448459181</v>
      </c>
      <c r="X112" s="157">
        <f t="shared" si="35"/>
        <v>45024</v>
      </c>
      <c r="Y112" s="383">
        <f t="shared" si="36"/>
        <v>32.255040414987249</v>
      </c>
      <c r="Z112" s="383">
        <f t="shared" si="37"/>
        <v>33.21356493936139</v>
      </c>
      <c r="AA112" s="384">
        <f t="shared" si="38"/>
        <v>37.389193911762241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0.11168010153562695</v>
      </c>
      <c r="AD112" s="230">
        <f>(INDEX(Models!$BJ112:$BT112,,AH112)*(1-AF112)+INDEX(Models!$BJ112:$BT112,,AH112+1)*AF112-ERP_i)*AE112*Ramure*Pc/MaxiM</f>
        <v>3.4931483694984315E-6</v>
      </c>
      <c r="AE112" s="304">
        <f t="shared" si="40"/>
        <v>0.6</v>
      </c>
      <c r="AF112" s="177">
        <f t="shared" si="41"/>
        <v>0.53339975180296351</v>
      </c>
      <c r="AG112" s="799">
        <f t="shared" si="49"/>
        <v>0</v>
      </c>
      <c r="AH112" s="176">
        <f t="shared" si="42"/>
        <v>6</v>
      </c>
      <c r="AI112" s="224">
        <f t="shared" si="43"/>
        <v>0.53339975180296351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45025</v>
      </c>
      <c r="B113" s="409">
        <f>IF(t&gt;Tmaj,'2022'!Wh/'2022'!Env_an*'2023'!Env_an,0.001*'[6]mon-tableau'!$B$243)</f>
        <v>34.594586574838225</v>
      </c>
      <c r="C113" s="829"/>
      <c r="D113" s="391">
        <f t="shared" si="25"/>
        <v>35.623318213166179</v>
      </c>
      <c r="E113" s="383">
        <f t="shared" si="47"/>
        <v>36.85898312153639</v>
      </c>
      <c r="F113" s="383">
        <f t="shared" si="26"/>
        <v>36.859035651022225</v>
      </c>
      <c r="G113" s="110">
        <f t="shared" si="48"/>
        <v>0.61781596553497464</v>
      </c>
      <c r="H113" s="412" t="b">
        <f>Wh_hp&gt;='2022'!Maxi_hp</f>
        <v>0</v>
      </c>
      <c r="I113" s="379">
        <f>IF(H113,Wh_hp,'2022'!Maxi_hp)</f>
        <v>41.335283844945479</v>
      </c>
      <c r="J113" s="85">
        <f>IF(H113,An,'2022'!An_max)</f>
        <v>2020</v>
      </c>
      <c r="K113" s="197">
        <f t="shared" si="27"/>
        <v>45025</v>
      </c>
      <c r="L113" s="147">
        <f>IF(t&lt;Tvie,1-EXP((T0-t)*PertePVj)+'2022'!Pspv,1-EXP((T0-t)*PertePVj)+Pspv)</f>
        <v>2.8878040843139163E-2</v>
      </c>
      <c r="M113" s="832"/>
      <c r="N113" s="832"/>
      <c r="O113" s="48">
        <f>IF(t&lt;Tnet,'2022'!Resal+('2022'!Salim-'2022'!Resal)*(1-EXP(('2022'!Tnet-t)/('2022'!Tau_j))),Resal+(Salim-Resal)*(1-EXP((Tnet-t)/(Tau_j))))*Salcycl</f>
        <v>3.3524118239936583E-2</v>
      </c>
      <c r="P113" s="338">
        <f>(INDEX(Models!$BJ113:$BT113,,T113)*(1-R113)+INDEX(Models!$BJ113:$BT113,,T113+1)*R113-ERP_i)*Q113*Ramure*Pc/MaxiM</f>
        <v>3.1389186779197059E-6</v>
      </c>
      <c r="Q113" s="304">
        <f t="shared" si="28"/>
        <v>0.6</v>
      </c>
      <c r="R113" s="177">
        <f t="shared" si="29"/>
        <v>0.53476089079052957</v>
      </c>
      <c r="S113" s="799">
        <f t="shared" si="30"/>
        <v>0</v>
      </c>
      <c r="T113" s="176">
        <f t="shared" si="31"/>
        <v>6</v>
      </c>
      <c r="U113" s="250">
        <f t="shared" si="32"/>
        <v>0.53476089079052957</v>
      </c>
      <c r="V113" s="382">
        <f t="shared" si="33"/>
        <v>55.994874230096244</v>
      </c>
      <c r="W113" s="400">
        <f t="shared" si="34"/>
        <v>34.594586574838225</v>
      </c>
      <c r="X113" s="157">
        <f t="shared" si="35"/>
        <v>45025</v>
      </c>
      <c r="Y113" s="383">
        <f t="shared" si="36"/>
        <v>31.796519689529344</v>
      </c>
      <c r="Z113" s="383">
        <f t="shared" si="37"/>
        <v>32.742045826185873</v>
      </c>
      <c r="AA113" s="384">
        <f t="shared" si="38"/>
        <v>36.85898312153639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0.11169427224228069</v>
      </c>
      <c r="AD113" s="230">
        <f>(INDEX(Models!$BJ113:$BT113,,AH113)*(1-AF113)+INDEX(Models!$BJ113:$BT113,,AH113+1)*AF113-ERP_i)*AE113*Ramure*Pc/MaxiM</f>
        <v>3.1389186779197059E-6</v>
      </c>
      <c r="AE113" s="304">
        <f t="shared" si="40"/>
        <v>0.6</v>
      </c>
      <c r="AF113" s="177">
        <f t="shared" si="41"/>
        <v>0.53476089079052957</v>
      </c>
      <c r="AG113" s="799">
        <f t="shared" si="49"/>
        <v>0</v>
      </c>
      <c r="AH113" s="176">
        <f t="shared" si="42"/>
        <v>6</v>
      </c>
      <c r="AI113" s="224">
        <f t="shared" si="43"/>
        <v>0.53476089079052957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45026</v>
      </c>
      <c r="B114" s="409">
        <f>IF(t&gt;Tmaj,'2022'!Wh/'2022'!Env_an*'2023'!Env_an,0.001*'[6]mon-tableau'!$B$244)</f>
        <v>56.154579625878384</v>
      </c>
      <c r="C114" s="829"/>
      <c r="D114" s="391">
        <f t="shared" si="25"/>
        <v>57.825544265280854</v>
      </c>
      <c r="E114" s="383">
        <f t="shared" si="47"/>
        <v>59.835594841588318</v>
      </c>
      <c r="F114" s="383">
        <f t="shared" si="26"/>
        <v>59.835762237835702</v>
      </c>
      <c r="G114" s="110">
        <f t="shared" si="48"/>
        <v>0.99971258270619523</v>
      </c>
      <c r="H114" s="412" t="b">
        <f>Wh_hp&gt;='2022'!Maxi_hp</f>
        <v>0</v>
      </c>
      <c r="I114" s="379">
        <f>IF(H114,Wh_hp,'2022'!Maxi_hp)</f>
        <v>59.835762256445776</v>
      </c>
      <c r="J114" s="85">
        <f>IF(H114,An,'2022'!An_max)</f>
        <v>2022</v>
      </c>
      <c r="K114" s="197">
        <f t="shared" si="27"/>
        <v>45026</v>
      </c>
      <c r="L114" s="147">
        <f>IF(t&lt;Tvie,1-EXP((T0-t)*PertePVj)+'2022'!Pspv,1-EXP((T0-t)*PertePVj)+Pspv)</f>
        <v>2.8896652173937887E-2</v>
      </c>
      <c r="M114" s="832"/>
      <c r="N114" s="832"/>
      <c r="O114" s="48">
        <f>IF(t&lt;Tnet,'2022'!Resal+('2022'!Salim-'2022'!Resal)*(1-EXP(('2022'!Tnet-t)/('2022'!Tau_j))),Resal+(Salim-Resal)*(1-EXP((Tnet-t)/(Tau_j))))*Salcycl</f>
        <v>3.3592890346105311E-2</v>
      </c>
      <c r="P114" s="338">
        <f>(INDEX(Models!$BJ114:$BT114,,T114)*(1-R114)+INDEX(Models!$BJ114:$BT114,,T114+1)*R114-ERP_i)*Q114*Ramure*Pc/MaxiM</f>
        <v>2.7987444520228435E-6</v>
      </c>
      <c r="Q114" s="304">
        <f t="shared" si="28"/>
        <v>0.6</v>
      </c>
      <c r="R114" s="177">
        <f t="shared" si="29"/>
        <v>0.53617069689687213</v>
      </c>
      <c r="S114" s="799">
        <f t="shared" si="30"/>
        <v>0</v>
      </c>
      <c r="T114" s="176">
        <f t="shared" si="31"/>
        <v>6</v>
      </c>
      <c r="U114" s="250">
        <f t="shared" si="32"/>
        <v>0.53617069689687213</v>
      </c>
      <c r="V114" s="382">
        <f t="shared" si="33"/>
        <v>56.170723998831022</v>
      </c>
      <c r="W114" s="400">
        <f t="shared" si="34"/>
        <v>56.154579625878384</v>
      </c>
      <c r="X114" s="157">
        <f t="shared" si="35"/>
        <v>45026</v>
      </c>
      <c r="Y114" s="383">
        <f t="shared" si="36"/>
        <v>51.615476420250118</v>
      </c>
      <c r="Z114" s="383">
        <f t="shared" si="37"/>
        <v>53.151373163111735</v>
      </c>
      <c r="AA114" s="384">
        <f t="shared" si="38"/>
        <v>59.835594841588318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0.11170978906740585</v>
      </c>
      <c r="AD114" s="230">
        <f>(INDEX(Models!$BJ114:$BT114,,AH114)*(1-AF114)+INDEX(Models!$BJ114:$BT114,,AH114+1)*AF114-ERP_i)*AE114*Ramure*Pc/MaxiM</f>
        <v>2.7987444520228435E-6</v>
      </c>
      <c r="AE114" s="304">
        <f t="shared" si="40"/>
        <v>0.6</v>
      </c>
      <c r="AF114" s="177">
        <f t="shared" si="41"/>
        <v>0.53617069689687213</v>
      </c>
      <c r="AG114" s="799">
        <f t="shared" si="49"/>
        <v>0</v>
      </c>
      <c r="AH114" s="176">
        <f t="shared" si="42"/>
        <v>6</v>
      </c>
      <c r="AI114" s="224">
        <f t="shared" si="43"/>
        <v>0.53617069689687213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45027</v>
      </c>
      <c r="B115" s="409">
        <f>IF(t&gt;Tmaj,'2022'!Wh/'2022'!Env_an*'2023'!Env_an,0.001*'[6]mon-tableau'!$B$245)</f>
        <v>46.967721405006337</v>
      </c>
      <c r="C115" s="829"/>
      <c r="D115" s="391">
        <f t="shared" si="25"/>
        <v>48.36624408006444</v>
      </c>
      <c r="E115" s="383">
        <f t="shared" si="47"/>
        <v>50.051065436353063</v>
      </c>
      <c r="F115" s="383">
        <f t="shared" si="26"/>
        <v>50.051160031953259</v>
      </c>
      <c r="G115" s="110">
        <f t="shared" si="48"/>
        <v>0.83364365239599869</v>
      </c>
      <c r="H115" s="412" t="b">
        <f>Wh_hp&gt;='2022'!Maxi_hp</f>
        <v>0</v>
      </c>
      <c r="I115" s="379">
        <f>IF(H115,Wh_hp,'2022'!Maxi_hp)</f>
        <v>61.040326499043537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2.8915263148054704E-2</v>
      </c>
      <c r="M115" s="832"/>
      <c r="N115" s="832"/>
      <c r="O115" s="48">
        <f>IF(t&lt;Tnet,'2022'!Resal+('2022'!Salim-'2022'!Resal)*(1-EXP(('2022'!Tnet-t)/('2022'!Tau_j))),Resal+(Salim-Resal)*(1-EXP((Tnet-t)/(Tau_j))))*Salcycl</f>
        <v>3.3662047782601338E-2</v>
      </c>
      <c r="P115" s="338">
        <f>(INDEX(Models!$BJ115:$BT115,,T115)*(1-R115)+INDEX(Models!$BJ115:$BT115,,T115+1)*R115-ERP_i)*Q115*Ramure*Pc/MaxiM</f>
        <v>2.479151584324046E-6</v>
      </c>
      <c r="Q115" s="304">
        <f t="shared" si="28"/>
        <v>0.6</v>
      </c>
      <c r="R115" s="177">
        <f t="shared" si="29"/>
        <v>0.53763057236276923</v>
      </c>
      <c r="S115" s="799">
        <f t="shared" si="30"/>
        <v>0</v>
      </c>
      <c r="T115" s="176">
        <f t="shared" si="31"/>
        <v>6</v>
      </c>
      <c r="U115" s="250">
        <f t="shared" si="32"/>
        <v>0.53763057236276923</v>
      </c>
      <c r="V115" s="382">
        <f t="shared" si="33"/>
        <v>56.340252334232275</v>
      </c>
      <c r="W115" s="400">
        <f t="shared" si="34"/>
        <v>46.967721405006337</v>
      </c>
      <c r="X115" s="157">
        <f t="shared" si="35"/>
        <v>45027</v>
      </c>
      <c r="Y115" s="383">
        <f t="shared" si="36"/>
        <v>43.173481601056402</v>
      </c>
      <c r="Z115" s="383">
        <f t="shared" si="37"/>
        <v>44.459026038258877</v>
      </c>
      <c r="AA115" s="384">
        <f t="shared" si="38"/>
        <v>50.051065436353063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0.11172668052801481</v>
      </c>
      <c r="AD115" s="230">
        <f>(INDEX(Models!$BJ115:$BT115,,AH115)*(1-AF115)+INDEX(Models!$BJ115:$BT115,,AH115+1)*AF115-ERP_i)*AE115*Ramure*Pc/MaxiM</f>
        <v>2.479151584324046E-6</v>
      </c>
      <c r="AE115" s="304">
        <f t="shared" si="40"/>
        <v>0.6</v>
      </c>
      <c r="AF115" s="177">
        <f t="shared" si="41"/>
        <v>0.53763057236276923</v>
      </c>
      <c r="AG115" s="799">
        <f t="shared" si="49"/>
        <v>0</v>
      </c>
      <c r="AH115" s="176">
        <f t="shared" si="42"/>
        <v>6</v>
      </c>
      <c r="AI115" s="224">
        <f t="shared" si="43"/>
        <v>0.53763057236276923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45028</v>
      </c>
      <c r="B116" s="409">
        <f>IF(t&gt;Tmaj,'2022'!Wh/'2022'!Env_an*'2023'!Env_an,0.001*'[6]mon-tableau'!$B$246)</f>
        <v>39.052895285577655</v>
      </c>
      <c r="C116" s="829"/>
      <c r="D116" s="391">
        <f t="shared" si="25"/>
        <v>40.216514849521936</v>
      </c>
      <c r="E116" s="383">
        <f t="shared" si="47"/>
        <v>41.620438890184566</v>
      </c>
      <c r="F116" s="383">
        <f t="shared" si="26"/>
        <v>41.620489589761242</v>
      </c>
      <c r="G116" s="110">
        <f t="shared" si="48"/>
        <v>0.69115745840155896</v>
      </c>
      <c r="H116" s="412" t="b">
        <f>Wh_hp&gt;='2022'!Maxi_hp</f>
        <v>0</v>
      </c>
      <c r="I116" s="379">
        <f>IF(H116,Wh_hp,'2022'!Maxi_hp)</f>
        <v>60.002961591028409</v>
      </c>
      <c r="J116" s="85">
        <f>IF(H116,An,'2022'!An_max)</f>
        <v>2020</v>
      </c>
      <c r="K116" s="197">
        <f t="shared" si="27"/>
        <v>45028</v>
      </c>
      <c r="L116" s="147">
        <f>IF(t&lt;Tvie,1-EXP((T0-t)*PertePVj)+'2022'!Pspv,1-EXP((T0-t)*PertePVj)+Pspv)</f>
        <v>2.8933873765496387E-2</v>
      </c>
      <c r="M116" s="832"/>
      <c r="N116" s="832"/>
      <c r="O116" s="48">
        <f>IF(t&lt;Tnet,'2022'!Resal+('2022'!Salim-'2022'!Resal)*(1-EXP(('2022'!Tnet-t)/('2022'!Tau_j))),Resal+(Salim-Resal)*(1-EXP((Tnet-t)/(Tau_j))))*Salcycl</f>
        <v>3.373160106184573E-2</v>
      </c>
      <c r="P116" s="338">
        <f>(INDEX(Models!$BJ116:$BT116,,T116)*(1-R116)+INDEX(Models!$BJ116:$BT116,,T116+1)*R116-ERP_i)*Q116*Ramure*Pc/MaxiM</f>
        <v>2.1799314396002854E-6</v>
      </c>
      <c r="Q116" s="304">
        <f t="shared" si="28"/>
        <v>0.6</v>
      </c>
      <c r="R116" s="177">
        <f t="shared" si="29"/>
        <v>0.53914193323139759</v>
      </c>
      <c r="S116" s="799">
        <f t="shared" si="30"/>
        <v>0</v>
      </c>
      <c r="T116" s="176">
        <f t="shared" si="31"/>
        <v>6</v>
      </c>
      <c r="U116" s="250">
        <f t="shared" si="32"/>
        <v>0.53914193323139759</v>
      </c>
      <c r="V116" s="382">
        <f t="shared" si="33"/>
        <v>56.503561164055178</v>
      </c>
      <c r="W116" s="400">
        <f t="shared" si="34"/>
        <v>39.052895285577655</v>
      </c>
      <c r="X116" s="157">
        <f t="shared" si="35"/>
        <v>45028</v>
      </c>
      <c r="Y116" s="383">
        <f t="shared" si="36"/>
        <v>35.899891345767919</v>
      </c>
      <c r="Z116" s="383">
        <f t="shared" si="37"/>
        <v>36.969564045011722</v>
      </c>
      <c r="AA116" s="384">
        <f t="shared" si="38"/>
        <v>41.620438890184566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0.11174497360405468</v>
      </c>
      <c r="AD116" s="230">
        <f>(INDEX(Models!$BJ116:$BT116,,AH116)*(1-AF116)+INDEX(Models!$BJ116:$BT116,,AH116+1)*AF116-ERP_i)*AE116*Ramure*Pc/MaxiM</f>
        <v>2.1799314396002854E-6</v>
      </c>
      <c r="AE116" s="304">
        <f t="shared" si="40"/>
        <v>0.6</v>
      </c>
      <c r="AF116" s="177">
        <f t="shared" si="41"/>
        <v>0.53914193323139759</v>
      </c>
      <c r="AG116" s="799">
        <f t="shared" si="49"/>
        <v>0</v>
      </c>
      <c r="AH116" s="176">
        <f t="shared" si="42"/>
        <v>6</v>
      </c>
      <c r="AI116" s="224">
        <f t="shared" si="43"/>
        <v>0.53914193323139759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45029</v>
      </c>
      <c r="B117" s="409">
        <f>IF(t&gt;Tmaj,'2022'!Wh/'2022'!Env_an*'2023'!Env_an,0.001*'[6]mon-tableau'!$B$247)</f>
        <v>7.9243443304405057</v>
      </c>
      <c r="C117" s="829"/>
      <c r="D117" s="391">
        <f t="shared" si="25"/>
        <v>8.1606143881582049</v>
      </c>
      <c r="E117" s="383">
        <f t="shared" si="47"/>
        <v>8.446105947377605</v>
      </c>
      <c r="F117" s="383">
        <f t="shared" si="26"/>
        <v>8.446105947377605</v>
      </c>
      <c r="G117" s="110">
        <f t="shared" si="48"/>
        <v>0.13985570135158223</v>
      </c>
      <c r="H117" s="412" t="b">
        <f>Wh_hp&gt;='2022'!Maxi_hp</f>
        <v>0</v>
      </c>
      <c r="I117" s="379">
        <f>IF(H117,Wh_hp,'2022'!Maxi_hp)</f>
        <v>59.530054657867453</v>
      </c>
      <c r="J117" s="85">
        <f>IF(H117,An,'2022'!An_max)</f>
        <v>2018</v>
      </c>
      <c r="K117" s="197">
        <f t="shared" si="27"/>
        <v>45029</v>
      </c>
      <c r="L117" s="147">
        <f>IF(t&lt;Tvie,1-EXP((T0-t)*PertePVj)+'2022'!Pspv,1-EXP((T0-t)*PertePVj)+Pspv)</f>
        <v>2.8952484026269931E-2</v>
      </c>
      <c r="M117" s="832"/>
      <c r="N117" s="832"/>
      <c r="O117" s="48">
        <f>IF(t&lt;Tnet,'2022'!Resal+('2022'!Salim-'2022'!Resal)*(1-EXP(('2022'!Tnet-t)/('2022'!Tau_j))),Resal+(Salim-Resal)*(1-EXP((Tnet-t)/(Tau_j))))*Salcycl</f>
        <v>3.3801560269089689E-2</v>
      </c>
      <c r="P117" s="338">
        <f>(INDEX(Models!$BJ117:$BT117,,T117)*(1-R117)+INDEX(Models!$BJ117:$BT117,,T117+1)*R117-ERP_i)*Q117*Ramure*Pc/MaxiM</f>
        <v>1.9009184615818232E-6</v>
      </c>
      <c r="Q117" s="304">
        <f t="shared" si="28"/>
        <v>0.6</v>
      </c>
      <c r="R117" s="177">
        <f t="shared" si="29"/>
        <v>0.54070620716431905</v>
      </c>
      <c r="S117" s="799">
        <f t="shared" si="30"/>
        <v>0</v>
      </c>
      <c r="T117" s="176">
        <f t="shared" si="31"/>
        <v>6</v>
      </c>
      <c r="U117" s="250">
        <f t="shared" si="32"/>
        <v>0.54070620716431905</v>
      </c>
      <c r="V117" s="382">
        <f t="shared" si="33"/>
        <v>56.660752406418943</v>
      </c>
      <c r="W117" s="400">
        <f t="shared" si="34"/>
        <v>7.9243443304405057</v>
      </c>
      <c r="X117" s="157">
        <f t="shared" si="35"/>
        <v>45029</v>
      </c>
      <c r="Y117" s="383">
        <f t="shared" si="36"/>
        <v>7.2849242188525292</v>
      </c>
      <c r="Z117" s="383">
        <f t="shared" si="37"/>
        <v>7.5021295034645963</v>
      </c>
      <c r="AA117" s="384">
        <f t="shared" si="38"/>
        <v>8.446105947377605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0.11176469366999828</v>
      </c>
      <c r="AD117" s="230">
        <f>(INDEX(Models!$BJ117:$BT117,,AH117)*(1-AF117)+INDEX(Models!$BJ117:$BT117,,AH117+1)*AF117-ERP_i)*AE117*Ramure*Pc/MaxiM</f>
        <v>1.9009184615818232E-6</v>
      </c>
      <c r="AE117" s="304">
        <f t="shared" si="40"/>
        <v>0.6</v>
      </c>
      <c r="AF117" s="177">
        <f t="shared" si="41"/>
        <v>0.54070620716431905</v>
      </c>
      <c r="AG117" s="799">
        <f t="shared" si="49"/>
        <v>0</v>
      </c>
      <c r="AH117" s="176">
        <f t="shared" si="42"/>
        <v>6</v>
      </c>
      <c r="AI117" s="224">
        <f t="shared" si="43"/>
        <v>0.54070620716431905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45030</v>
      </c>
      <c r="B118" s="409">
        <f>IF(t&gt;Tmaj,'2022'!Wh/'2022'!Env_an*'2023'!Env_an,0.001*'[6]mon-tableau'!$B$248)</f>
        <v>41.033626332610936</v>
      </c>
      <c r="C118" s="829"/>
      <c r="D118" s="391">
        <f t="shared" si="25"/>
        <v>42.257883443141317</v>
      </c>
      <c r="E118" s="383">
        <f t="shared" si="47"/>
        <v>43.739422314310374</v>
      </c>
      <c r="F118" s="383">
        <f t="shared" si="26"/>
        <v>43.739465639218302</v>
      </c>
      <c r="G118" s="110">
        <f t="shared" si="48"/>
        <v>0.72227085154053128</v>
      </c>
      <c r="H118" s="412" t="b">
        <f>Wh_hp&gt;='2022'!Maxi_hp</f>
        <v>0</v>
      </c>
      <c r="I118" s="379">
        <f>IF(H118,Wh_hp,'2022'!Maxi_hp)</f>
        <v>58.540655243985405</v>
      </c>
      <c r="J118" s="85">
        <f>IF(H118,An,'2022'!An_max)</f>
        <v>2021</v>
      </c>
      <c r="K118" s="197">
        <f t="shared" si="27"/>
        <v>45030</v>
      </c>
      <c r="L118" s="147">
        <f>IF(t&lt;Tvie,1-EXP((T0-t)*PertePVj)+'2022'!Pspv,1-EXP((T0-t)*PertePVj)+Pspv)</f>
        <v>2.8971093930381997E-2</v>
      </c>
      <c r="M118" s="832"/>
      <c r="N118" s="832"/>
      <c r="O118" s="48">
        <f>IF(t&lt;Tnet,'2022'!Resal+('2022'!Salim-'2022'!Resal)*(1-EXP(('2022'!Tnet-t)/('2022'!Tau_j))),Resal+(Salim-Resal)*(1-EXP((Tnet-t)/(Tau_j))))*Salcycl</f>
        <v>3.387193503660732E-2</v>
      </c>
      <c r="P118" s="338">
        <f>(INDEX(Models!$BJ118:$BT118,,T118)*(1-R118)+INDEX(Models!$BJ118:$BT118,,T118+1)*R118-ERP_i)*Q118*Ramure*Pc/MaxiM</f>
        <v>1.641990452281471E-6</v>
      </c>
      <c r="Q118" s="304">
        <f t="shared" si="28"/>
        <v>0.6</v>
      </c>
      <c r="R118" s="177">
        <f t="shared" si="29"/>
        <v>0.54232483104388263</v>
      </c>
      <c r="S118" s="799">
        <f t="shared" si="30"/>
        <v>0</v>
      </c>
      <c r="T118" s="176">
        <f t="shared" si="31"/>
        <v>6</v>
      </c>
      <c r="U118" s="250">
        <f t="shared" si="32"/>
        <v>0.54232483104388263</v>
      </c>
      <c r="V118" s="382">
        <f t="shared" si="33"/>
        <v>56.811927980972101</v>
      </c>
      <c r="W118" s="400">
        <f t="shared" si="34"/>
        <v>41.033626332610936</v>
      </c>
      <c r="X118" s="157">
        <f t="shared" si="35"/>
        <v>45030</v>
      </c>
      <c r="Y118" s="383">
        <f t="shared" si="36"/>
        <v>37.724446959213971</v>
      </c>
      <c r="Z118" s="383">
        <f t="shared" si="37"/>
        <v>38.849973181446479</v>
      </c>
      <c r="AA118" s="384">
        <f t="shared" si="38"/>
        <v>43.739422314310374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0.11178586442519607</v>
      </c>
      <c r="AD118" s="230">
        <f>(INDEX(Models!$BJ118:$BT118,,AH118)*(1-AF118)+INDEX(Models!$BJ118:$BT118,,AH118+1)*AF118-ERP_i)*AE118*Ramure*Pc/MaxiM</f>
        <v>1.641990452281471E-6</v>
      </c>
      <c r="AE118" s="304">
        <f t="shared" si="40"/>
        <v>0.6</v>
      </c>
      <c r="AF118" s="177">
        <f t="shared" si="41"/>
        <v>0.54232483104388263</v>
      </c>
      <c r="AG118" s="799">
        <f t="shared" si="49"/>
        <v>0</v>
      </c>
      <c r="AH118" s="176">
        <f t="shared" si="42"/>
        <v>6</v>
      </c>
      <c r="AI118" s="224">
        <f t="shared" si="43"/>
        <v>0.54232483104388263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45031</v>
      </c>
      <c r="B119" s="409">
        <f>IF(t&gt;Tmaj,'2022'!Wh/'2022'!Env_an*'2023'!Env_an,0.001*'[6]mon-tableau'!$B$249)</f>
        <v>44.220632087213737</v>
      </c>
      <c r="C119" s="829"/>
      <c r="D119" s="391">
        <f t="shared" si="25"/>
        <v>45.540847759902753</v>
      </c>
      <c r="E119" s="383">
        <f t="shared" si="47"/>
        <v>47.140940177226533</v>
      </c>
      <c r="F119" s="383">
        <f t="shared" si="26"/>
        <v>47.140985190072328</v>
      </c>
      <c r="G119" s="110">
        <f t="shared" si="48"/>
        <v>0.77638332265755494</v>
      </c>
      <c r="H119" s="412" t="b">
        <f>Wh_hp&gt;='2022'!Maxi_hp</f>
        <v>0</v>
      </c>
      <c r="I119" s="379">
        <f>IF(H119,Wh_hp,'2022'!Maxi_hp)</f>
        <v>59.383919600806216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2.8989703477839579E-2</v>
      </c>
      <c r="M119" s="832"/>
      <c r="N119" s="832"/>
      <c r="O119" s="48">
        <f>IF(t&lt;Tnet,'2022'!Resal+('2022'!Salim-'2022'!Resal)*(1-EXP(('2022'!Tnet-t)/('2022'!Tau_j))),Resal+(Salim-Resal)*(1-EXP((Tnet-t)/(Tau_j))))*Salcycl</f>
        <v>3.3942734517135698E-2</v>
      </c>
      <c r="P119" s="338">
        <f>(INDEX(Models!$BJ119:$BT119,,T119)*(1-R119)+INDEX(Models!$BJ119:$BT119,,T119+1)*R119-ERP_i)*Q119*Ramure*Pc/MaxiM</f>
        <v>1.4030688725332639E-6</v>
      </c>
      <c r="Q119" s="304">
        <f t="shared" si="28"/>
        <v>0.6</v>
      </c>
      <c r="R119" s="177">
        <f t="shared" si="29"/>
        <v>0.54399924835341418</v>
      </c>
      <c r="S119" s="799">
        <f t="shared" si="30"/>
        <v>0</v>
      </c>
      <c r="T119" s="176">
        <f t="shared" si="31"/>
        <v>6</v>
      </c>
      <c r="U119" s="250">
        <f t="shared" si="32"/>
        <v>0.54399924835341418</v>
      </c>
      <c r="V119" s="382">
        <f t="shared" si="33"/>
        <v>56.957189800992992</v>
      </c>
      <c r="W119" s="400">
        <f t="shared" si="34"/>
        <v>44.220632087213737</v>
      </c>
      <c r="X119" s="157">
        <f t="shared" si="35"/>
        <v>45031</v>
      </c>
      <c r="Y119" s="383">
        <f t="shared" si="36"/>
        <v>40.656377837956633</v>
      </c>
      <c r="Z119" s="383">
        <f t="shared" si="37"/>
        <v>41.870181998660989</v>
      </c>
      <c r="AA119" s="384">
        <f t="shared" si="38"/>
        <v>47.140940177226533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0.11180850782250233</v>
      </c>
      <c r="AD119" s="230">
        <f>(INDEX(Models!$BJ119:$BT119,,AH119)*(1-AF119)+INDEX(Models!$BJ119:$BT119,,AH119+1)*AF119-ERP_i)*AE119*Ramure*Pc/MaxiM</f>
        <v>1.4030688725332639E-6</v>
      </c>
      <c r="AE119" s="304">
        <f t="shared" si="40"/>
        <v>0.6</v>
      </c>
      <c r="AF119" s="177">
        <f t="shared" si="41"/>
        <v>0.54399924835341418</v>
      </c>
      <c r="AG119" s="799">
        <f t="shared" si="49"/>
        <v>0</v>
      </c>
      <c r="AH119" s="176">
        <f t="shared" si="42"/>
        <v>6</v>
      </c>
      <c r="AI119" s="224">
        <f t="shared" si="43"/>
        <v>0.54399924835341418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45032</v>
      </c>
      <c r="B120" s="409">
        <f>IF(t&gt;Tmaj,'2022'!Wh/'2022'!Env_an*'2023'!Env_an,0.001*'[6]mon-tableau'!$B$250)</f>
        <v>42.643306838329238</v>
      </c>
      <c r="C120" s="829"/>
      <c r="D120" s="391">
        <f t="shared" si="25"/>
        <v>43.917272819841578</v>
      </c>
      <c r="E120" s="383">
        <f t="shared" si="47"/>
        <v>45.463672698926075</v>
      </c>
      <c r="F120" s="383">
        <f t="shared" si="26"/>
        <v>45.463707065447302</v>
      </c>
      <c r="G120" s="110">
        <f t="shared" si="48"/>
        <v>0.74686161460240408</v>
      </c>
      <c r="H120" s="412" t="b">
        <f>Wh_hp&gt;='2022'!Maxi_hp</f>
        <v>0</v>
      </c>
      <c r="I120" s="379">
        <f>IF(H120,Wh_hp,'2022'!Maxi_hp)</f>
        <v>56.502985475141656</v>
      </c>
      <c r="J120" s="85">
        <f>IF(H120,An,'2022'!An_max)</f>
        <v>2020</v>
      </c>
      <c r="K120" s="197">
        <f t="shared" si="27"/>
        <v>45032</v>
      </c>
      <c r="L120" s="147">
        <f>IF(t&lt;Tvie,1-EXP((T0-t)*PertePVj)+'2022'!Pspv,1-EXP((T0-t)*PertePVj)+Pspv)</f>
        <v>2.9008312668649339E-2</v>
      </c>
      <c r="M120" s="832"/>
      <c r="N120" s="832"/>
      <c r="O120" s="48">
        <f>IF(t&lt;Tnet,'2022'!Resal+('2022'!Salim-'2022'!Resal)*(1-EXP(('2022'!Tnet-t)/('2022'!Tau_j))),Resal+(Salim-Resal)*(1-EXP((Tnet-t)/(Tau_j))))*Salcycl</f>
        <v>3.4013967356425749E-2</v>
      </c>
      <c r="P120" s="338">
        <f>(INDEX(Models!$BJ120:$BT120,,T120)*(1-R120)+INDEX(Models!$BJ120:$BT120,,T120+1)*R120-ERP_i)*Q120*Ramure*Pc/MaxiM</f>
        <v>1.1841191552838312E-6</v>
      </c>
      <c r="Q120" s="304">
        <f t="shared" si="28"/>
        <v>0.6</v>
      </c>
      <c r="R120" s="177">
        <f t="shared" si="29"/>
        <v>0.54573090632705656</v>
      </c>
      <c r="S120" s="799">
        <f t="shared" si="30"/>
        <v>0</v>
      </c>
      <c r="T120" s="176">
        <f t="shared" si="31"/>
        <v>6</v>
      </c>
      <c r="U120" s="250">
        <f t="shared" si="32"/>
        <v>0.54573090632705656</v>
      </c>
      <c r="V120" s="382">
        <f t="shared" si="33"/>
        <v>57.096639784881333</v>
      </c>
      <c r="W120" s="400">
        <f t="shared" si="34"/>
        <v>42.643306838329238</v>
      </c>
      <c r="X120" s="157">
        <f t="shared" si="35"/>
        <v>45032</v>
      </c>
      <c r="Y120" s="383">
        <f t="shared" si="36"/>
        <v>39.20801316585321</v>
      </c>
      <c r="Z120" s="383">
        <f t="shared" si="37"/>
        <v>40.379349975293337</v>
      </c>
      <c r="AA120" s="384">
        <f t="shared" si="38"/>
        <v>45.463672698926075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0.11183264399474792</v>
      </c>
      <c r="AD120" s="230">
        <f>(INDEX(Models!$BJ120:$BT120,,AH120)*(1-AF120)+INDEX(Models!$BJ120:$BT120,,AH120+1)*AF120-ERP_i)*AE120*Ramure*Pc/MaxiM</f>
        <v>1.1841191552838312E-6</v>
      </c>
      <c r="AE120" s="304">
        <f t="shared" si="40"/>
        <v>0.6</v>
      </c>
      <c r="AF120" s="177">
        <f t="shared" si="41"/>
        <v>0.54573090632705656</v>
      </c>
      <c r="AG120" s="799">
        <f t="shared" si="49"/>
        <v>0</v>
      </c>
      <c r="AH120" s="176">
        <f t="shared" si="42"/>
        <v>6</v>
      </c>
      <c r="AI120" s="224">
        <f t="shared" si="43"/>
        <v>0.54573090632705656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45033</v>
      </c>
      <c r="B121" s="409">
        <f>IF(t&gt;Tmaj,'2022'!Wh/'2022'!Env_an*'2023'!Env_an,0.001*'[6]mon-tableau'!$B$251)</f>
        <v>55.057531149046227</v>
      </c>
      <c r="C121" s="829"/>
      <c r="D121" s="391">
        <f t="shared" si="25"/>
        <v>56.703457972553906</v>
      </c>
      <c r="E121" s="383">
        <f t="shared" si="47"/>
        <v>58.704436354258483</v>
      </c>
      <c r="F121" s="383">
        <f t="shared" si="26"/>
        <v>58.704491053462291</v>
      </c>
      <c r="G121" s="110">
        <f t="shared" si="48"/>
        <v>0.96205588560560107</v>
      </c>
      <c r="H121" s="412" t="b">
        <f>Wh_hp&gt;='2022'!Maxi_hp</f>
        <v>0</v>
      </c>
      <c r="I121" s="379">
        <f>IF(H121,Wh_hp,'2022'!Maxi_hp)</f>
        <v>58.704491889636252</v>
      </c>
      <c r="J121" s="85">
        <f>IF(H121,An,'2022'!An_max)</f>
        <v>2022</v>
      </c>
      <c r="K121" s="197">
        <f t="shared" si="27"/>
        <v>45033</v>
      </c>
      <c r="L121" s="147">
        <f>IF(t&lt;Tvie,1-EXP((T0-t)*PertePVj)+'2022'!Pspv,1-EXP((T0-t)*PertePVj)+Pspv)</f>
        <v>2.902692150281827E-2</v>
      </c>
      <c r="M121" s="832"/>
      <c r="N121" s="832"/>
      <c r="O121" s="48">
        <f>IF(t&lt;Tnet,'2022'!Resal+('2022'!Salim-'2022'!Resal)*(1-EXP(('2022'!Tnet-t)/('2022'!Tau_j))),Resal+(Salim-Resal)*(1-EXP((Tnet-t)/(Tau_j))))*Salcycl</f>
        <v>3.4085641664787406E-2</v>
      </c>
      <c r="P121" s="338">
        <f>(INDEX(Models!$BJ121:$BT121,,T121)*(1-R121)+INDEX(Models!$BJ121:$BT121,,T121+1)*R121-ERP_i)*Q121*Ramure*Pc/MaxiM</f>
        <v>9.8517420753947257E-7</v>
      </c>
      <c r="Q121" s="304">
        <f t="shared" si="28"/>
        <v>0.6</v>
      </c>
      <c r="R121" s="177">
        <f t="shared" si="29"/>
        <v>0.54752125286173337</v>
      </c>
      <c r="S121" s="799">
        <f t="shared" si="30"/>
        <v>0</v>
      </c>
      <c r="T121" s="176">
        <f t="shared" si="31"/>
        <v>6</v>
      </c>
      <c r="U121" s="250">
        <f t="shared" si="32"/>
        <v>0.54752125286173337</v>
      </c>
      <c r="V121" s="382">
        <f t="shared" si="33"/>
        <v>57.229033190929876</v>
      </c>
      <c r="W121" s="400">
        <f t="shared" si="34"/>
        <v>55.057531149046227</v>
      </c>
      <c r="X121" s="157">
        <f t="shared" si="35"/>
        <v>45033</v>
      </c>
      <c r="Y121" s="383">
        <f t="shared" si="36"/>
        <v>50.62445689540705</v>
      </c>
      <c r="Z121" s="383">
        <f t="shared" si="37"/>
        <v>52.137858419062219</v>
      </c>
      <c r="AA121" s="384">
        <f t="shared" si="38"/>
        <v>58.704436354258483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0.1118582911787027</v>
      </c>
      <c r="AD121" s="230">
        <f>(INDEX(Models!$BJ121:$BT121,,AH121)*(1-AF121)+INDEX(Models!$BJ121:$BT121,,AH121+1)*AF121-ERP_i)*AE121*Ramure*Pc/MaxiM</f>
        <v>9.8517420753947257E-7</v>
      </c>
      <c r="AE121" s="304">
        <f t="shared" si="40"/>
        <v>0.6</v>
      </c>
      <c r="AF121" s="177">
        <f t="shared" si="41"/>
        <v>0.54752125286173337</v>
      </c>
      <c r="AG121" s="799">
        <f t="shared" si="49"/>
        <v>0</v>
      </c>
      <c r="AH121" s="176">
        <f t="shared" si="42"/>
        <v>6</v>
      </c>
      <c r="AI121" s="224">
        <f t="shared" si="43"/>
        <v>0.54752125286173337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45034</v>
      </c>
      <c r="B122" s="409">
        <f>IF(t&gt;Tmaj,'2022'!Wh/'2022'!Env_an*'2023'!Env_an,0.001*'[6]mon-tableau'!$B$252)</f>
        <v>36.565304876245953</v>
      </c>
      <c r="C122" s="829"/>
      <c r="D122" s="391">
        <f t="shared" si="25"/>
        <v>37.659134393300718</v>
      </c>
      <c r="E122" s="383">
        <f t="shared" si="47"/>
        <v>38.990979093821352</v>
      </c>
      <c r="F122" s="383">
        <f t="shared" si="26"/>
        <v>38.990994377968512</v>
      </c>
      <c r="G122" s="110">
        <f t="shared" si="48"/>
        <v>0.63754359558040463</v>
      </c>
      <c r="H122" s="412" t="b">
        <f>Wh_hp&gt;='2022'!Maxi_hp</f>
        <v>0</v>
      </c>
      <c r="I122" s="379">
        <f>IF(H122,Wh_hp,'2022'!Maxi_hp)</f>
        <v>44.767493272933869</v>
      </c>
      <c r="J122" s="85">
        <f>IF(H122,An,'2022'!An_max)</f>
        <v>2021</v>
      </c>
      <c r="K122" s="197">
        <f t="shared" si="27"/>
        <v>45034</v>
      </c>
      <c r="L122" s="147">
        <f>IF(t&lt;Tvie,1-EXP((T0-t)*PertePVj)+'2022'!Pspv,1-EXP((T0-t)*PertePVj)+Pspv)</f>
        <v>2.9045529980353146E-2</v>
      </c>
      <c r="M122" s="832"/>
      <c r="N122" s="832"/>
      <c r="O122" s="48">
        <f>IF(t&lt;Tnet,'2022'!Resal+('2022'!Salim-'2022'!Resal)*(1-EXP(('2022'!Tnet-t)/('2022'!Tau_j))),Resal+(Salim-Resal)*(1-EXP((Tnet-t)/(Tau_j))))*Salcycl</f>
        <v>3.4157764987534818E-2</v>
      </c>
      <c r="P122" s="338">
        <f>(INDEX(Models!$BJ122:$BT122,,T122)*(1-R122)+INDEX(Models!$BJ122:$BT122,,T122+1)*R122-ERP_i)*Q122*Ramure*Pc/MaxiM</f>
        <v>8.1291422252076762E-7</v>
      </c>
      <c r="Q122" s="304">
        <f t="shared" si="28"/>
        <v>0.6</v>
      </c>
      <c r="R122" s="177">
        <f t="shared" si="29"/>
        <v>0.54937173318445631</v>
      </c>
      <c r="S122" s="799">
        <f t="shared" si="30"/>
        <v>0</v>
      </c>
      <c r="T122" s="176">
        <f t="shared" si="31"/>
        <v>6</v>
      </c>
      <c r="U122" s="250">
        <f t="shared" si="32"/>
        <v>0.54937173318445631</v>
      </c>
      <c r="V122" s="382">
        <f t="shared" si="33"/>
        <v>57.353394714587807</v>
      </c>
      <c r="W122" s="400">
        <f t="shared" si="34"/>
        <v>36.565304876245953</v>
      </c>
      <c r="X122" s="157">
        <f t="shared" si="35"/>
        <v>45034</v>
      </c>
      <c r="Y122" s="383">
        <f t="shared" si="36"/>
        <v>33.622653407382408</v>
      </c>
      <c r="Z122" s="383">
        <f t="shared" si="37"/>
        <v>34.628455242295828</v>
      </c>
      <c r="AA122" s="384">
        <f t="shared" si="38"/>
        <v>38.990979093821352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0.11188546563625079</v>
      </c>
      <c r="AD122" s="230">
        <f>(INDEX(Models!$BJ122:$BT122,,AH122)*(1-AF122)+INDEX(Models!$BJ122:$BT122,,AH122+1)*AF122-ERP_i)*AE122*Ramure*Pc/MaxiM</f>
        <v>8.1291422252076762E-7</v>
      </c>
      <c r="AE122" s="304">
        <f t="shared" si="40"/>
        <v>0.6</v>
      </c>
      <c r="AF122" s="177">
        <f t="shared" si="41"/>
        <v>0.54937173318445631</v>
      </c>
      <c r="AG122" s="799">
        <f t="shared" si="49"/>
        <v>0</v>
      </c>
      <c r="AH122" s="176">
        <f t="shared" si="42"/>
        <v>6</v>
      </c>
      <c r="AI122" s="224">
        <f t="shared" si="43"/>
        <v>0.54937173318445631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45035</v>
      </c>
      <c r="B123" s="409">
        <f>IF(t&gt;Tmaj,'2022'!Wh/'2022'!Env_an*'2023'!Env_an,0.001*'[6]mon-tableau'!$B$253)</f>
        <v>9.2277934342733445</v>
      </c>
      <c r="C123" s="829"/>
      <c r="D123" s="391">
        <f t="shared" si="25"/>
        <v>9.5040195716199936</v>
      </c>
      <c r="E123" s="383">
        <f t="shared" si="47"/>
        <v>9.8408761502017938</v>
      </c>
      <c r="F123" s="383">
        <f t="shared" si="26"/>
        <v>9.8408761502017938</v>
      </c>
      <c r="G123" s="110">
        <f t="shared" si="48"/>
        <v>0.16056638596909512</v>
      </c>
      <c r="H123" s="412" t="b">
        <f>Wh_hp&gt;='2022'!Maxi_hp</f>
        <v>0</v>
      </c>
      <c r="I123" s="379">
        <f>IF(H123,Wh_hp,'2022'!Maxi_hp)</f>
        <v>58.622323149510997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2.9064138101260739E-2</v>
      </c>
      <c r="M123" s="832"/>
      <c r="N123" s="832"/>
      <c r="O123" s="48">
        <f>IF(t&lt;Tnet,'2022'!Resal+('2022'!Salim-'2022'!Resal)*(1-EXP(('2022'!Tnet-t)/('2022'!Tau_j))),Resal+(Salim-Resal)*(1-EXP((Tnet-t)/(Tau_j))))*Salcycl</f>
        <v>3.4230344274264024E-2</v>
      </c>
      <c r="P123" s="338">
        <f>(INDEX(Models!$BJ123:$BT123,,T123)*(1-R123)+INDEX(Models!$BJ123:$BT123,,T123+1)*R123-ERP_i)*Q123*Ramure*Pc/MaxiM</f>
        <v>6.6001778422671606E-7</v>
      </c>
      <c r="Q123" s="304">
        <f t="shared" si="28"/>
        <v>0.6</v>
      </c>
      <c r="R123" s="177">
        <f t="shared" si="29"/>
        <v>0.55128378626909313</v>
      </c>
      <c r="S123" s="799">
        <f t="shared" si="30"/>
        <v>0</v>
      </c>
      <c r="T123" s="176">
        <f t="shared" si="31"/>
        <v>6</v>
      </c>
      <c r="U123" s="250">
        <f t="shared" si="32"/>
        <v>0.55128378626909313</v>
      </c>
      <c r="V123" s="382">
        <f t="shared" si="33"/>
        <v>57.470231319410026</v>
      </c>
      <c r="W123" s="400">
        <f t="shared" si="34"/>
        <v>9.2277934342733445</v>
      </c>
      <c r="X123" s="157">
        <f t="shared" si="35"/>
        <v>45035</v>
      </c>
      <c r="Y123" s="383">
        <f t="shared" si="36"/>
        <v>8.4855352782827467</v>
      </c>
      <c r="Z123" s="383">
        <f t="shared" si="37"/>
        <v>8.7395425498947308</v>
      </c>
      <c r="AA123" s="384">
        <f t="shared" si="38"/>
        <v>9.8408761502017938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0.11191418157259091</v>
      </c>
      <c r="AD123" s="230">
        <f>(INDEX(Models!$BJ123:$BT123,,AH123)*(1-AF123)+INDEX(Models!$BJ123:$BT123,,AH123+1)*AF123-ERP_i)*AE123*Ramure*Pc/MaxiM</f>
        <v>6.6001778422671606E-7</v>
      </c>
      <c r="AE123" s="304">
        <f t="shared" si="40"/>
        <v>0.6</v>
      </c>
      <c r="AF123" s="177">
        <f t="shared" si="41"/>
        <v>0.55128378626909313</v>
      </c>
      <c r="AG123" s="799">
        <f t="shared" si="49"/>
        <v>0</v>
      </c>
      <c r="AH123" s="176">
        <f t="shared" si="42"/>
        <v>6</v>
      </c>
      <c r="AI123" s="224">
        <f t="shared" si="43"/>
        <v>0.55128378626909313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45036</v>
      </c>
      <c r="B124" s="409">
        <f>IF(t&gt;Tmaj,'2022'!Wh/'2022'!Env_an*'2023'!Env_an,0.001*'[6]mon-tableau'!$B$254)</f>
        <v>9.5589744951831754</v>
      </c>
      <c r="C124" s="829"/>
      <c r="D124" s="391">
        <f t="shared" si="25"/>
        <v>9.8453029385132904</v>
      </c>
      <c r="E124" s="383">
        <f t="shared" si="47"/>
        <v>10.195026879272744</v>
      </c>
      <c r="F124" s="383">
        <f t="shared" si="26"/>
        <v>10.195026879272744</v>
      </c>
      <c r="G124" s="110">
        <f t="shared" si="48"/>
        <v>0.16601183151630597</v>
      </c>
      <c r="H124" s="412" t="b">
        <f>Wh_hp&gt;='2022'!Maxi_hp</f>
        <v>0</v>
      </c>
      <c r="I124" s="379">
        <f>IF(H124,Wh_hp,'2022'!Maxi_hp)</f>
        <v>57.174498343837172</v>
      </c>
      <c r="J124" s="85">
        <f>IF(H124,An,'2022'!An_max)</f>
        <v>2018</v>
      </c>
      <c r="K124" s="197">
        <f t="shared" si="27"/>
        <v>45036</v>
      </c>
      <c r="L124" s="147">
        <f>IF(t&lt;Tvie,1-EXP((T0-t)*PertePVj)+'2022'!Pspv,1-EXP((T0-t)*PertePVj)+Pspv)</f>
        <v>2.9082745865547932E-2</v>
      </c>
      <c r="M124" s="832"/>
      <c r="N124" s="832"/>
      <c r="O124" s="48">
        <f>IF(t&lt;Tnet,'2022'!Resal+('2022'!Salim-'2022'!Resal)*(1-EXP(('2022'!Tnet-t)/('2022'!Tau_j))),Resal+(Salim-Resal)*(1-EXP((Tnet-t)/(Tau_j))))*Salcycl</f>
        <v>3.4303385846923842E-2</v>
      </c>
      <c r="P124" s="338">
        <f>(INDEX(Models!$BJ124:$BT124,,T124)*(1-R124)+INDEX(Models!$BJ124:$BT124,,T124+1)*R124-ERP_i)*Q124*Ramure*Pc/MaxiM</f>
        <v>5.2660735888072556E-7</v>
      </c>
      <c r="Q124" s="304">
        <f t="shared" si="28"/>
        <v>0.6</v>
      </c>
      <c r="R124" s="177">
        <f t="shared" si="29"/>
        <v>0.55325884099776235</v>
      </c>
      <c r="S124" s="799">
        <f t="shared" si="30"/>
        <v>0</v>
      </c>
      <c r="T124" s="176">
        <f t="shared" si="31"/>
        <v>6</v>
      </c>
      <c r="U124" s="250">
        <f t="shared" si="32"/>
        <v>0.55325884099776235</v>
      </c>
      <c r="V124" s="382">
        <f t="shared" si="33"/>
        <v>57.580049410020315</v>
      </c>
      <c r="W124" s="400">
        <f t="shared" si="34"/>
        <v>9.5589744951831754</v>
      </c>
      <c r="X124" s="157">
        <f t="shared" si="35"/>
        <v>45036</v>
      </c>
      <c r="Y124" s="383">
        <f t="shared" si="36"/>
        <v>8.7904422758597711</v>
      </c>
      <c r="Z124" s="383">
        <f t="shared" si="37"/>
        <v>9.0537501918185868</v>
      </c>
      <c r="AA124" s="384">
        <f t="shared" si="38"/>
        <v>10.195026879272744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0.11194445105137074</v>
      </c>
      <c r="AD124" s="230">
        <f>(INDEX(Models!$BJ124:$BT124,,AH124)*(1-AF124)+INDEX(Models!$BJ124:$BT124,,AH124+1)*AF124-ERP_i)*AE124*Ramure*Pc/MaxiM</f>
        <v>5.2660735888072556E-7</v>
      </c>
      <c r="AE124" s="304">
        <f t="shared" si="40"/>
        <v>0.6</v>
      </c>
      <c r="AF124" s="177">
        <f t="shared" si="41"/>
        <v>0.55325884099776235</v>
      </c>
      <c r="AG124" s="799">
        <f t="shared" si="49"/>
        <v>0</v>
      </c>
      <c r="AH124" s="176">
        <f t="shared" si="42"/>
        <v>6</v>
      </c>
      <c r="AI124" s="224">
        <f t="shared" si="43"/>
        <v>0.55325884099776235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45037</v>
      </c>
      <c r="B125" s="409">
        <f>IF(t&gt;Tmaj,'2022'!Wh/'2022'!Env_an*'2023'!Env_an,0.001*'[6]mon-tableau'!$B$255)</f>
        <v>9.0967382417319431</v>
      </c>
      <c r="C125" s="829"/>
      <c r="D125" s="391">
        <f t="shared" si="25"/>
        <v>9.3694004749106075</v>
      </c>
      <c r="E125" s="383">
        <f t="shared" si="47"/>
        <v>9.7029580484907836</v>
      </c>
      <c r="F125" s="383">
        <f t="shared" si="26"/>
        <v>9.7029580484907836</v>
      </c>
      <c r="G125" s="110">
        <f t="shared" si="48"/>
        <v>0.1577012024748993</v>
      </c>
      <c r="H125" s="412" t="b">
        <f>Wh_hp&gt;='2022'!Maxi_hp</f>
        <v>0</v>
      </c>
      <c r="I125" s="379">
        <f>IF(H125,Wh_hp,'2022'!Maxi_hp)</f>
        <v>52.981756605548966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2.9101353273221608E-2</v>
      </c>
      <c r="M125" s="832"/>
      <c r="N125" s="832"/>
      <c r="O125" s="48">
        <f>IF(t&lt;Tnet,'2022'!Resal+('2022'!Salim-'2022'!Resal)*(1-EXP(('2022'!Tnet-t)/('2022'!Tau_j))),Resal+(Salim-Resal)*(1-EXP((Tnet-t)/(Tau_j))))*Salcycl</f>
        <v>3.437689536667201E-2</v>
      </c>
      <c r="P125" s="338">
        <f>(INDEX(Models!$BJ125:$BT125,,T125)*(1-R125)+INDEX(Models!$BJ125:$BT125,,T125+1)*R125-ERP_i)*Q125*Ramure*Pc/MaxiM</f>
        <v>4.1285761174771529E-7</v>
      </c>
      <c r="Q125" s="304">
        <f t="shared" si="28"/>
        <v>0.6</v>
      </c>
      <c r="R125" s="177">
        <f t="shared" si="29"/>
        <v>0.55529831206323543</v>
      </c>
      <c r="S125" s="799">
        <f t="shared" si="30"/>
        <v>0</v>
      </c>
      <c r="T125" s="176">
        <f t="shared" si="31"/>
        <v>6</v>
      </c>
      <c r="U125" s="250">
        <f t="shared" si="32"/>
        <v>0.55529831206323543</v>
      </c>
      <c r="V125" s="382">
        <f t="shared" si="33"/>
        <v>57.683355252298803</v>
      </c>
      <c r="W125" s="400">
        <f t="shared" si="34"/>
        <v>9.0967382417319431</v>
      </c>
      <c r="X125" s="157">
        <f t="shared" si="35"/>
        <v>45037</v>
      </c>
      <c r="Y125" s="383">
        <f t="shared" si="36"/>
        <v>8.3657063081746479</v>
      </c>
      <c r="Z125" s="383">
        <f t="shared" si="37"/>
        <v>8.6164568633175254</v>
      </c>
      <c r="AA125" s="384">
        <f t="shared" si="38"/>
        <v>9.7029580484907836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0.11197628390676738</v>
      </c>
      <c r="AD125" s="230">
        <f>(INDEX(Models!$BJ125:$BT125,,AH125)*(1-AF125)+INDEX(Models!$BJ125:$BT125,,AH125+1)*AF125-ERP_i)*AE125*Ramure*Pc/MaxiM</f>
        <v>4.1285761174771529E-7</v>
      </c>
      <c r="AE125" s="304">
        <f t="shared" si="40"/>
        <v>0.6</v>
      </c>
      <c r="AF125" s="177">
        <f t="shared" si="41"/>
        <v>0.55529831206323543</v>
      </c>
      <c r="AG125" s="799">
        <f t="shared" si="49"/>
        <v>0</v>
      </c>
      <c r="AH125" s="176">
        <f t="shared" si="42"/>
        <v>6</v>
      </c>
      <c r="AI125" s="224">
        <f t="shared" si="43"/>
        <v>0.55529831206323543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45038</v>
      </c>
      <c r="B126" s="409">
        <f>IF(t&gt;Tmaj,'2022'!Wh/'2022'!Env_an*'2023'!Env_an,0.001*'[6]mon-tableau'!$B$256)</f>
        <v>26.30445485984712</v>
      </c>
      <c r="C126" s="829"/>
      <c r="D126" s="391">
        <f t="shared" si="25"/>
        <v>27.093414000593938</v>
      </c>
      <c r="E126" s="383">
        <f t="shared" si="47"/>
        <v>28.060109400595653</v>
      </c>
      <c r="F126" s="383">
        <f t="shared" si="26"/>
        <v>28.060111385747188</v>
      </c>
      <c r="G126" s="110">
        <f t="shared" si="48"/>
        <v>0.45524662777859631</v>
      </c>
      <c r="H126" s="412" t="b">
        <f>Wh_hp&gt;='2022'!Maxi_hp</f>
        <v>0</v>
      </c>
      <c r="I126" s="379">
        <f>IF(H126,Wh_hp,'2022'!Maxi_hp)</f>
        <v>60.779702375651659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2.9119960324288541E-2</v>
      </c>
      <c r="M126" s="832"/>
      <c r="N126" s="832"/>
      <c r="O126" s="48">
        <f>IF(t&lt;Tnet,'2022'!Resal+('2022'!Salim-'2022'!Resal)*(1-EXP(('2022'!Tnet-t)/('2022'!Tau_j))),Resal+(Salim-Resal)*(1-EXP((Tnet-t)/(Tau_j))))*Salcycl</f>
        <v>3.4450877799542479E-2</v>
      </c>
      <c r="P126" s="338">
        <f>(INDEX(Models!$BJ126:$BT126,,T126)*(1-R126)+INDEX(Models!$BJ126:$BT126,,T126+1)*R126-ERP_i)*Q126*Ramure*Pc/MaxiM</f>
        <v>3.1899202220523725E-7</v>
      </c>
      <c r="Q126" s="304">
        <f t="shared" si="28"/>
        <v>0.6</v>
      </c>
      <c r="R126" s="177">
        <f t="shared" si="29"/>
        <v>0.55740359561011787</v>
      </c>
      <c r="S126" s="799">
        <f t="shared" si="30"/>
        <v>0</v>
      </c>
      <c r="T126" s="176">
        <f t="shared" si="31"/>
        <v>6</v>
      </c>
      <c r="U126" s="250">
        <f t="shared" si="32"/>
        <v>0.55740359561011787</v>
      </c>
      <c r="V126" s="382">
        <f t="shared" si="33"/>
        <v>57.7806549786755</v>
      </c>
      <c r="W126" s="400">
        <f t="shared" si="34"/>
        <v>26.30445485984712</v>
      </c>
      <c r="X126" s="157">
        <f t="shared" si="35"/>
        <v>45038</v>
      </c>
      <c r="Y126" s="383">
        <f t="shared" si="36"/>
        <v>24.191520193079796</v>
      </c>
      <c r="Z126" s="383">
        <f t="shared" si="37"/>
        <v>24.917105311136201</v>
      </c>
      <c r="AA126" s="384">
        <f t="shared" si="38"/>
        <v>28.060109400595653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0.11200968765263379</v>
      </c>
      <c r="AD126" s="230">
        <f>(INDEX(Models!$BJ126:$BT126,,AH126)*(1-AF126)+INDEX(Models!$BJ126:$BT126,,AH126+1)*AF126-ERP_i)*AE126*Ramure*Pc/MaxiM</f>
        <v>3.1899202220523725E-7</v>
      </c>
      <c r="AE126" s="304">
        <f t="shared" si="40"/>
        <v>0.6</v>
      </c>
      <c r="AF126" s="177">
        <f t="shared" si="41"/>
        <v>0.55740359561011787</v>
      </c>
      <c r="AG126" s="799">
        <f t="shared" si="49"/>
        <v>0</v>
      </c>
      <c r="AH126" s="176">
        <f t="shared" si="42"/>
        <v>6</v>
      </c>
      <c r="AI126" s="224">
        <f t="shared" si="43"/>
        <v>0.55740359561011787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45039</v>
      </c>
      <c r="B127" s="409">
        <f>IF(t&gt;Tmaj,'2022'!Wh/'2022'!Env_an*'2023'!Env_an,0.001*'[6]mon-tableau'!$B$257)</f>
        <v>8.9624400263613424</v>
      </c>
      <c r="C127" s="829"/>
      <c r="D127" s="391">
        <f t="shared" si="25"/>
        <v>9.2314306881469079</v>
      </c>
      <c r="E127" s="383">
        <f t="shared" si="47"/>
        <v>9.5615463000396748</v>
      </c>
      <c r="F127" s="383">
        <f t="shared" si="26"/>
        <v>9.5615463000396748</v>
      </c>
      <c r="G127" s="110">
        <f t="shared" si="48"/>
        <v>0.15486534815600417</v>
      </c>
      <c r="H127" s="412" t="b">
        <f>Wh_hp&gt;='2022'!Maxi_hp</f>
        <v>0</v>
      </c>
      <c r="I127" s="379">
        <f>IF(H127,Wh_hp,'2022'!Maxi_hp)</f>
        <v>61.484717168911814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2.9138567018755612E-2</v>
      </c>
      <c r="M127" s="832"/>
      <c r="N127" s="832"/>
      <c r="O127" s="48">
        <f>IF(t&lt;Tnet,'2022'!Resal+('2022'!Salim-'2022'!Resal)*(1-EXP(('2022'!Tnet-t)/('2022'!Tau_j))),Resal+(Salim-Resal)*(1-EXP((Tnet-t)/(Tau_j))))*Salcycl</f>
        <v>3.4525337380983796E-2</v>
      </c>
      <c r="P127" s="338">
        <f>(INDEX(Models!$BJ127:$BT127,,T127)*(1-R127)+INDEX(Models!$BJ127:$BT127,,T127+1)*R127-ERP_i)*Q127*Ramure*Pc/MaxiM</f>
        <v>2.452815349205618E-7</v>
      </c>
      <c r="Q127" s="304">
        <f t="shared" si="28"/>
        <v>0.6</v>
      </c>
      <c r="R127" s="177">
        <f t="shared" si="29"/>
        <v>0.55957606461415121</v>
      </c>
      <c r="S127" s="799">
        <f t="shared" si="30"/>
        <v>0</v>
      </c>
      <c r="T127" s="176">
        <f t="shared" si="31"/>
        <v>6</v>
      </c>
      <c r="U127" s="250">
        <f t="shared" si="32"/>
        <v>0.55957606461415121</v>
      </c>
      <c r="V127" s="382">
        <f t="shared" si="33"/>
        <v>57.872454585592322</v>
      </c>
      <c r="W127" s="400">
        <f t="shared" si="34"/>
        <v>8.9624400263613424</v>
      </c>
      <c r="X127" s="157">
        <f t="shared" si="35"/>
        <v>45039</v>
      </c>
      <c r="Y127" s="383">
        <f t="shared" si="36"/>
        <v>8.2428330050901799</v>
      </c>
      <c r="Z127" s="383">
        <f t="shared" si="37"/>
        <v>8.4902260251277486</v>
      </c>
      <c r="AA127" s="384">
        <f t="shared" si="38"/>
        <v>9.5615463000396748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0.11204466738894311</v>
      </c>
      <c r="AD127" s="230">
        <f>(INDEX(Models!$BJ127:$BT127,,AH127)*(1-AF127)+INDEX(Models!$BJ127:$BT127,,AH127+1)*AF127-ERP_i)*AE127*Ramure*Pc/MaxiM</f>
        <v>2.452815349205618E-7</v>
      </c>
      <c r="AE127" s="304">
        <f t="shared" si="40"/>
        <v>0.6</v>
      </c>
      <c r="AF127" s="177">
        <f t="shared" si="41"/>
        <v>0.55957606461415121</v>
      </c>
      <c r="AG127" s="799">
        <f t="shared" si="49"/>
        <v>0</v>
      </c>
      <c r="AH127" s="176">
        <f t="shared" si="42"/>
        <v>6</v>
      </c>
      <c r="AI127" s="224">
        <f t="shared" si="43"/>
        <v>0.55957606461415121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45040</v>
      </c>
      <c r="B128" s="409">
        <f>IF(t&gt;Tmaj,'2022'!Wh/'2022'!Env_an*'2023'!Env_an,0.001*'[6]mon-tableau'!$B$258)</f>
        <v>29.427272800681592</v>
      </c>
      <c r="C128" s="829"/>
      <c r="D128" s="391">
        <f t="shared" si="25"/>
        <v>30.311057560598748</v>
      </c>
      <c r="E128" s="383">
        <f t="shared" si="47"/>
        <v>31.397416900635807</v>
      </c>
      <c r="F128" s="383">
        <f t="shared" si="26"/>
        <v>31.397418689942661</v>
      </c>
      <c r="G128" s="110">
        <f t="shared" si="48"/>
        <v>0.5077233363730016</v>
      </c>
      <c r="H128" s="412" t="b">
        <f>Wh_hp&gt;='2022'!Maxi_hp</f>
        <v>0</v>
      </c>
      <c r="I128" s="379">
        <f>IF(H128,Wh_hp,'2022'!Maxi_hp)</f>
        <v>60.938970338666145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2.9157173356629595E-2</v>
      </c>
      <c r="M128" s="832"/>
      <c r="N128" s="832"/>
      <c r="O128" s="48">
        <f>IF(t&lt;Tnet,'2022'!Resal+('2022'!Salim-'2022'!Resal)*(1-EXP(('2022'!Tnet-t)/('2022'!Tau_j))),Resal+(Salim-Resal)*(1-EXP((Tnet-t)/(Tau_j))))*Salcycl</f>
        <v>3.4600277579365415E-2</v>
      </c>
      <c r="P128" s="338">
        <f>(INDEX(Models!$BJ128:$BT128,,T128)*(1-R128)+INDEX(Models!$BJ128:$BT128,,T128+1)*R128-ERP_i)*Q128*Ramure*Pc/MaxiM</f>
        <v>1.9204521385096136E-7</v>
      </c>
      <c r="Q128" s="304">
        <f t="shared" si="28"/>
        <v>0.6</v>
      </c>
      <c r="R128" s="177">
        <f t="shared" si="29"/>
        <v>0.56181706400073272</v>
      </c>
      <c r="S128" s="799">
        <f t="shared" si="30"/>
        <v>0</v>
      </c>
      <c r="T128" s="176">
        <f t="shared" si="31"/>
        <v>6</v>
      </c>
      <c r="U128" s="250">
        <f t="shared" si="32"/>
        <v>0.56181706400073272</v>
      </c>
      <c r="V128" s="382">
        <f t="shared" si="33"/>
        <v>57.959259931920521</v>
      </c>
      <c r="W128" s="400">
        <f t="shared" si="34"/>
        <v>29.427272800681592</v>
      </c>
      <c r="X128" s="157">
        <f t="shared" si="35"/>
        <v>45040</v>
      </c>
      <c r="Y128" s="383">
        <f t="shared" si="36"/>
        <v>27.065501873653268</v>
      </c>
      <c r="Z128" s="383">
        <f t="shared" si="37"/>
        <v>27.878355930414177</v>
      </c>
      <c r="AA128" s="384">
        <f t="shared" si="38"/>
        <v>31.397416900635807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0.11208122570587545</v>
      </c>
      <c r="AD128" s="230">
        <f>(INDEX(Models!$BJ128:$BT128,,AH128)*(1-AF128)+INDEX(Models!$BJ128:$BT128,,AH128+1)*AF128-ERP_i)*AE128*Ramure*Pc/MaxiM</f>
        <v>1.9204521385096136E-7</v>
      </c>
      <c r="AE128" s="304">
        <f t="shared" si="40"/>
        <v>0.6</v>
      </c>
      <c r="AF128" s="177">
        <f t="shared" si="41"/>
        <v>0.56181706400073272</v>
      </c>
      <c r="AG128" s="799">
        <f t="shared" si="49"/>
        <v>0</v>
      </c>
      <c r="AH128" s="176">
        <f t="shared" si="42"/>
        <v>6</v>
      </c>
      <c r="AI128" s="224">
        <f t="shared" si="43"/>
        <v>0.56181706400073272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45041</v>
      </c>
      <c r="B129" s="409">
        <f>IF(t&gt;Tmaj,'2022'!Wh/'2022'!Env_an*'2023'!Env_an,0.001*'[6]mon-tableau'!$B$259)</f>
        <v>44.751189464482941</v>
      </c>
      <c r="C129" s="829"/>
      <c r="D129" s="391">
        <f t="shared" si="25"/>
        <v>46.09607847851543</v>
      </c>
      <c r="E129" s="383">
        <f t="shared" si="47"/>
        <v>47.751909414343849</v>
      </c>
      <c r="F129" s="383">
        <f t="shared" si="26"/>
        <v>47.751914074595717</v>
      </c>
      <c r="G129" s="110">
        <f t="shared" si="48"/>
        <v>0.77101948636780837</v>
      </c>
      <c r="H129" s="412" t="b">
        <f>Wh_hp&gt;='2022'!Maxi_hp</f>
        <v>0</v>
      </c>
      <c r="I129" s="379">
        <f>IF(H129,Wh_hp,'2022'!Maxi_hp)</f>
        <v>53.779346350507211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2.9175779337917374E-2</v>
      </c>
      <c r="M129" s="832"/>
      <c r="N129" s="832"/>
      <c r="O129" s="48">
        <f>IF(t&lt;Tnet,'2022'!Resal+('2022'!Salim-'2022'!Resal)*(1-EXP(('2022'!Tnet-t)/('2022'!Tau_j))),Resal+(Salim-Resal)*(1-EXP((Tnet-t)/(Tau_j))))*Salcycl</f>
        <v>3.4675701058585064E-2</v>
      </c>
      <c r="P129" s="338">
        <f>(INDEX(Models!$BJ129:$BT129,,T129)*(1-R129)+INDEX(Models!$BJ129:$BT129,,T129+1)*R129-ERP_i)*Q129*Ramure*Pc/MaxiM</f>
        <v>1.4503664208244847E-7</v>
      </c>
      <c r="Q129" s="304">
        <f t="shared" si="28"/>
        <v>0.6</v>
      </c>
      <c r="R129" s="177">
        <f t="shared" si="29"/>
        <v>0.56412790550569858</v>
      </c>
      <c r="S129" s="799">
        <f t="shared" si="30"/>
        <v>0</v>
      </c>
      <c r="T129" s="176">
        <f t="shared" si="31"/>
        <v>6</v>
      </c>
      <c r="U129" s="250">
        <f t="shared" si="32"/>
        <v>0.56412790550569858</v>
      </c>
      <c r="V129" s="382">
        <f t="shared" si="33"/>
        <v>58.041577589874947</v>
      </c>
      <c r="W129" s="400">
        <f t="shared" si="34"/>
        <v>44.751189464482941</v>
      </c>
      <c r="X129" s="157">
        <f t="shared" si="35"/>
        <v>45041</v>
      </c>
      <c r="Y129" s="383">
        <f t="shared" si="36"/>
        <v>41.161001199629965</v>
      </c>
      <c r="Z129" s="383">
        <f t="shared" si="37"/>
        <v>42.397995768542927</v>
      </c>
      <c r="AA129" s="384">
        <f t="shared" si="38"/>
        <v>47.751909414343849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0.11211936258600579</v>
      </c>
      <c r="AD129" s="230">
        <f>(INDEX(Models!$BJ129:$BT129,,AH129)*(1-AF129)+INDEX(Models!$BJ129:$BT129,,AH129+1)*AF129-ERP_i)*AE129*Ramure*Pc/MaxiM</f>
        <v>1.4503664208244847E-7</v>
      </c>
      <c r="AE129" s="304">
        <f t="shared" si="40"/>
        <v>0.6</v>
      </c>
      <c r="AF129" s="177">
        <f t="shared" si="41"/>
        <v>0.56412790550569858</v>
      </c>
      <c r="AG129" s="799">
        <f t="shared" si="49"/>
        <v>0</v>
      </c>
      <c r="AH129" s="176">
        <f t="shared" si="42"/>
        <v>6</v>
      </c>
      <c r="AI129" s="224">
        <f t="shared" si="43"/>
        <v>0.56412790550569858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45042</v>
      </c>
      <c r="B130" s="409">
        <f>IF(t&gt;Tmaj,'2022'!Wh/'2022'!Env_an*'2023'!Env_an,0.001*'[6]mon-tableau'!$B$260)</f>
        <v>55.022083979808883</v>
      </c>
      <c r="C130" s="829"/>
      <c r="D130" s="391">
        <f t="shared" si="25"/>
        <v>56.676726141196283</v>
      </c>
      <c r="E130" s="383">
        <f t="shared" si="47"/>
        <v>58.717244915637721</v>
      </c>
      <c r="F130" s="383">
        <f t="shared" si="26"/>
        <v>58.717250576162911</v>
      </c>
      <c r="G130" s="110">
        <f t="shared" si="48"/>
        <v>0.94669934174588199</v>
      </c>
      <c r="H130" s="412" t="b">
        <f>Wh_hp&gt;='2022'!Maxi_hp</f>
        <v>0</v>
      </c>
      <c r="I130" s="379">
        <f>IF(H130,Wh_hp,'2022'!Maxi_hp)</f>
        <v>58.717250698812563</v>
      </c>
      <c r="J130" s="85">
        <f>IF(H130,An,'2022'!An_max)</f>
        <v>2022</v>
      </c>
      <c r="K130" s="197">
        <f t="shared" si="27"/>
        <v>45042</v>
      </c>
      <c r="L130" s="147">
        <f>IF(t&lt;Tvie,1-EXP((T0-t)*PertePVj)+'2022'!Pspv,1-EXP((T0-t)*PertePVj)+Pspv)</f>
        <v>2.919438496262583E-2</v>
      </c>
      <c r="M130" s="832"/>
      <c r="N130" s="832"/>
      <c r="O130" s="48">
        <f>IF(t&lt;Tnet,'2022'!Resal+('2022'!Salim-'2022'!Resal)*(1-EXP(('2022'!Tnet-t)/('2022'!Tau_j))),Resal+(Salim-Resal)*(1-EXP((Tnet-t)/(Tau_j))))*Salcycl</f>
        <v>3.4751609639947625E-2</v>
      </c>
      <c r="P130" s="338">
        <f>(INDEX(Models!$BJ130:$BT130,,T130)*(1-R130)+INDEX(Models!$BJ130:$BT130,,T130+1)*R130-ERP_i)*Q130*Ramure*Pc/MaxiM</f>
        <v>1.0434860120139778E-7</v>
      </c>
      <c r="Q130" s="304">
        <f t="shared" si="28"/>
        <v>0.6</v>
      </c>
      <c r="R130" s="177">
        <f t="shared" si="29"/>
        <v>0.5665098622835576</v>
      </c>
      <c r="S130" s="799">
        <f t="shared" si="30"/>
        <v>0</v>
      </c>
      <c r="T130" s="176">
        <f t="shared" si="31"/>
        <v>6</v>
      </c>
      <c r="U130" s="250">
        <f t="shared" si="32"/>
        <v>0.5665098622835576</v>
      </c>
      <c r="V130" s="382">
        <f t="shared" si="33"/>
        <v>58.119913172391662</v>
      </c>
      <c r="W130" s="400">
        <f t="shared" si="34"/>
        <v>55.022083979808883</v>
      </c>
      <c r="X130" s="157">
        <f t="shared" si="35"/>
        <v>45042</v>
      </c>
      <c r="Y130" s="383">
        <f t="shared" si="36"/>
        <v>50.609623809937958</v>
      </c>
      <c r="Z130" s="383">
        <f t="shared" si="37"/>
        <v>52.131573021432907</v>
      </c>
      <c r="AA130" s="384">
        <f t="shared" si="38"/>
        <v>58.717244915637721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0.11215907530516482</v>
      </c>
      <c r="AD130" s="230">
        <f>(INDEX(Models!$BJ130:$BT130,,AH130)*(1-AF130)+INDEX(Models!$BJ130:$BT130,,AH130+1)*AF130-ERP_i)*AE130*Ramure*Pc/MaxiM</f>
        <v>1.0434860120139778E-7</v>
      </c>
      <c r="AE130" s="304">
        <f t="shared" si="40"/>
        <v>0.6</v>
      </c>
      <c r="AF130" s="177">
        <f t="shared" si="41"/>
        <v>0.5665098622835576</v>
      </c>
      <c r="AG130" s="799">
        <f t="shared" si="49"/>
        <v>0</v>
      </c>
      <c r="AH130" s="176">
        <f t="shared" si="42"/>
        <v>6</v>
      </c>
      <c r="AI130" s="224">
        <f t="shared" si="43"/>
        <v>0.5665098622835576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45043</v>
      </c>
      <c r="B131" s="409">
        <f>IF(t&gt;Tmaj,'2022'!Wh/'2022'!Env_an*'2023'!Env_an,0.001*'[6]mon-tableau'!$B$261)</f>
        <v>42.020517209277145</v>
      </c>
      <c r="C131" s="829"/>
      <c r="D131" s="391">
        <f t="shared" si="25"/>
        <v>43.285001536295447</v>
      </c>
      <c r="E131" s="383">
        <f t="shared" si="47"/>
        <v>44.84693062739214</v>
      </c>
      <c r="F131" s="383">
        <f t="shared" si="26"/>
        <v>44.846932522640408</v>
      </c>
      <c r="G131" s="110">
        <f t="shared" si="48"/>
        <v>0.72206685381923108</v>
      </c>
      <c r="H131" s="412" t="b">
        <f>Wh_hp&gt;='2022'!Maxi_hp</f>
        <v>0</v>
      </c>
      <c r="I131" s="379">
        <f>IF(H131,Wh_hp,'2022'!Maxi_hp)</f>
        <v>44.846932850316357</v>
      </c>
      <c r="J131" s="85">
        <f>IF(H131,An,'2022'!An_max)</f>
        <v>2022</v>
      </c>
      <c r="K131" s="197">
        <f t="shared" si="27"/>
        <v>45043</v>
      </c>
      <c r="L131" s="147">
        <f>IF(t&lt;Tvie,1-EXP((T0-t)*PertePVj)+'2022'!Pspv,1-EXP((T0-t)*PertePVj)+Pspv)</f>
        <v>2.9212990230761626E-2</v>
      </c>
      <c r="M131" s="832"/>
      <c r="N131" s="832"/>
      <c r="O131" s="48">
        <f>IF(t&lt;Tnet,'2022'!Resal+('2022'!Salim-'2022'!Resal)*(1-EXP(('2022'!Tnet-t)/('2022'!Tau_j))),Resal+(Salim-Resal)*(1-EXP((Tnet-t)/(Tau_j))))*Salcycl</f>
        <v>3.4828004263522158E-2</v>
      </c>
      <c r="P131" s="338">
        <f>(INDEX(Models!$BJ131:$BT131,,T131)*(1-R131)+INDEX(Models!$BJ131:$BT131,,T131+1)*R131-ERP_i)*Q131*Ramure*Pc/MaxiM</f>
        <v>7.0089044172716279E-8</v>
      </c>
      <c r="Q131" s="304">
        <f t="shared" si="28"/>
        <v>0.6</v>
      </c>
      <c r="R131" s="177">
        <f t="shared" si="29"/>
        <v>0.56896416327069255</v>
      </c>
      <c r="S131" s="799">
        <f t="shared" si="30"/>
        <v>0</v>
      </c>
      <c r="T131" s="176">
        <f t="shared" si="31"/>
        <v>6</v>
      </c>
      <c r="U131" s="250">
        <f t="shared" si="32"/>
        <v>0.56896416327069255</v>
      </c>
      <c r="V131" s="382">
        <f t="shared" si="33"/>
        <v>58.194772156681637</v>
      </c>
      <c r="W131" s="400">
        <f t="shared" si="34"/>
        <v>42.020517209277145</v>
      </c>
      <c r="X131" s="157">
        <f t="shared" si="35"/>
        <v>45043</v>
      </c>
      <c r="Y131" s="383">
        <f t="shared" si="36"/>
        <v>38.65197113661231</v>
      </c>
      <c r="Z131" s="383">
        <f t="shared" si="37"/>
        <v>39.815088940879114</v>
      </c>
      <c r="AA131" s="384">
        <f t="shared" si="38"/>
        <v>44.84693062739214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0.11220035833265295</v>
      </c>
      <c r="AD131" s="230">
        <f>(INDEX(Models!$BJ131:$BT131,,AH131)*(1-AF131)+INDEX(Models!$BJ131:$BT131,,AH131+1)*AF131-ERP_i)*AE131*Ramure*Pc/MaxiM</f>
        <v>7.0089044172716279E-8</v>
      </c>
      <c r="AE131" s="304">
        <f t="shared" si="40"/>
        <v>0.6</v>
      </c>
      <c r="AF131" s="177">
        <f t="shared" si="41"/>
        <v>0.56896416327069255</v>
      </c>
      <c r="AG131" s="799">
        <f t="shared" si="49"/>
        <v>0</v>
      </c>
      <c r="AH131" s="176">
        <f t="shared" si="42"/>
        <v>6</v>
      </c>
      <c r="AI131" s="224">
        <f t="shared" si="43"/>
        <v>0.56896416327069255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45044</v>
      </c>
      <c r="B132" s="409">
        <f>IF(t&gt;Tmaj,'2022'!Wh/'2022'!Env_an*'2023'!Env_an,0.001*'[6]mon-tableau'!$B$262)</f>
        <v>23.675899808866937</v>
      </c>
      <c r="C132" s="829"/>
      <c r="D132" s="391">
        <f t="shared" si="25"/>
        <v>24.388824039177749</v>
      </c>
      <c r="E132" s="383">
        <f t="shared" si="47"/>
        <v>25.270901964822912</v>
      </c>
      <c r="F132" s="383">
        <f t="shared" si="26"/>
        <v>25.270902127518138</v>
      </c>
      <c r="G132" s="110">
        <f t="shared" si="48"/>
        <v>0.40633698590857048</v>
      </c>
      <c r="H132" s="412" t="b">
        <f>Wh_hp&gt;='2022'!Maxi_hp</f>
        <v>0</v>
      </c>
      <c r="I132" s="379">
        <f>IF(H132,Wh_hp,'2022'!Maxi_hp)</f>
        <v>48.436349706395312</v>
      </c>
      <c r="J132" s="85">
        <f>IF(H132,An,'2022'!An_max)</f>
        <v>2018</v>
      </c>
      <c r="K132" s="197">
        <f t="shared" si="27"/>
        <v>45044</v>
      </c>
      <c r="L132" s="147">
        <f>IF(t&lt;Tvie,1-EXP((T0-t)*PertePVj)+'2022'!Pspv,1-EXP((T0-t)*PertePVj)+Pspv)</f>
        <v>2.9231595142331757E-2</v>
      </c>
      <c r="M132" s="832"/>
      <c r="N132" s="832"/>
      <c r="O132" s="48">
        <f>IF(t&lt;Tnet,'2022'!Resal+('2022'!Salim-'2022'!Resal)*(1-EXP(('2022'!Tnet-t)/('2022'!Tau_j))),Resal+(Salim-Resal)*(1-EXP((Tnet-t)/(Tau_j))))*Salcycl</f>
        <v>3.4904884949220075E-2</v>
      </c>
      <c r="P132" s="338">
        <f>(INDEX(Models!$BJ132:$BT132,,T132)*(1-R132)+INDEX(Models!$BJ132:$BT132,,T132+1)*R132-ERP_i)*Q132*Ramure*Pc/MaxiM</f>
        <v>4.2380658222163472E-8</v>
      </c>
      <c r="Q132" s="304">
        <f t="shared" si="28"/>
        <v>0.6</v>
      </c>
      <c r="R132" s="177">
        <f t="shared" si="29"/>
        <v>0.57149198731356976</v>
      </c>
      <c r="S132" s="799">
        <f t="shared" si="30"/>
        <v>0</v>
      </c>
      <c r="T132" s="176">
        <f t="shared" si="31"/>
        <v>6</v>
      </c>
      <c r="U132" s="250">
        <f t="shared" si="32"/>
        <v>0.57149198731356976</v>
      </c>
      <c r="V132" s="382">
        <f t="shared" si="33"/>
        <v>58.266659888107093</v>
      </c>
      <c r="W132" s="400">
        <f t="shared" si="34"/>
        <v>23.675899808866937</v>
      </c>
      <c r="X132" s="157">
        <f t="shared" si="35"/>
        <v>45044</v>
      </c>
      <c r="Y132" s="383">
        <f t="shared" si="36"/>
        <v>21.778621243796799</v>
      </c>
      <c r="Z132" s="383">
        <f t="shared" si="37"/>
        <v>22.434414979739611</v>
      </c>
      <c r="AA132" s="384">
        <f t="shared" si="38"/>
        <v>25.270901964822912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0.11224320323159372</v>
      </c>
      <c r="AD132" s="230">
        <f>(INDEX(Models!$BJ132:$BT132,,AH132)*(1-AF132)+INDEX(Models!$BJ132:$BT132,,AH132+1)*AF132-ERP_i)*AE132*Ramure*Pc/MaxiM</f>
        <v>4.2380658222163472E-8</v>
      </c>
      <c r="AE132" s="304">
        <f t="shared" si="40"/>
        <v>0.6</v>
      </c>
      <c r="AF132" s="177">
        <f t="shared" si="41"/>
        <v>0.57149198731356976</v>
      </c>
      <c r="AG132" s="799">
        <f t="shared" si="49"/>
        <v>0</v>
      </c>
      <c r="AH132" s="176">
        <f t="shared" si="42"/>
        <v>6</v>
      </c>
      <c r="AI132" s="224">
        <f t="shared" si="43"/>
        <v>0.57149198731356976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45045</v>
      </c>
      <c r="B133" s="409">
        <f>IF(t&gt;Tmaj,'2022'!Wh/'2022'!Env_an*'2023'!Env_an,0.001*'[6]mon-tableau'!$B$263)</f>
        <v>42.962755663386055</v>
      </c>
      <c r="C133" s="829"/>
      <c r="D133" s="391">
        <f t="shared" si="25"/>
        <v>44.257290240998529</v>
      </c>
      <c r="E133" s="383">
        <f t="shared" si="47"/>
        <v>45.861633400790545</v>
      </c>
      <c r="F133" s="383">
        <f t="shared" si="26"/>
        <v>45.861634011612537</v>
      </c>
      <c r="G133" s="110">
        <f t="shared" si="48"/>
        <v>0.73646967974416588</v>
      </c>
      <c r="H133" s="412" t="b">
        <f>Wh_hp&gt;='2022'!Maxi_hp</f>
        <v>0</v>
      </c>
      <c r="I133" s="379">
        <f>IF(H133,Wh_hp,'2022'!Maxi_hp)</f>
        <v>49.060314253198726</v>
      </c>
      <c r="J133" s="85">
        <f>IF(H133,An,'2022'!An_max)</f>
        <v>2018</v>
      </c>
      <c r="K133" s="197">
        <f t="shared" si="27"/>
        <v>45045</v>
      </c>
      <c r="L133" s="147">
        <f>IF(t&lt;Tvie,1-EXP((T0-t)*PertePVj)+'2022'!Pspv,1-EXP((T0-t)*PertePVj)+Pspv)</f>
        <v>2.9250199697342993E-2</v>
      </c>
      <c r="M133" s="832"/>
      <c r="N133" s="832"/>
      <c r="O133" s="48">
        <f>IF(t&lt;Tnet,'2022'!Resal+('2022'!Salim-'2022'!Resal)*(1-EXP(('2022'!Tnet-t)/('2022'!Tau_j))),Resal+(Salim-Resal)*(1-EXP((Tnet-t)/(Tau_j))))*Salcycl</f>
        <v>3.4982250757871251E-2</v>
      </c>
      <c r="P133" s="338">
        <f>(INDEX(Models!$BJ133:$BT133,,T133)*(1-R133)+INDEX(Models!$BJ133:$BT133,,T133+1)*R133-ERP_i)*Q133*Ramure*Pc/MaxiM</f>
        <v>2.136038581665842E-8</v>
      </c>
      <c r="Q133" s="304">
        <f t="shared" si="28"/>
        <v>0.6</v>
      </c>
      <c r="R133" s="177">
        <f t="shared" si="29"/>
        <v>0.57409445707470186</v>
      </c>
      <c r="S133" s="799">
        <f t="shared" si="30"/>
        <v>0</v>
      </c>
      <c r="T133" s="176">
        <f t="shared" si="31"/>
        <v>6</v>
      </c>
      <c r="U133" s="250">
        <f t="shared" si="32"/>
        <v>0.57409445707470186</v>
      </c>
      <c r="V133" s="382">
        <f t="shared" si="33"/>
        <v>58.33608157883944</v>
      </c>
      <c r="W133" s="400">
        <f t="shared" si="34"/>
        <v>42.962755663386055</v>
      </c>
      <c r="X133" s="157">
        <f t="shared" si="35"/>
        <v>45045</v>
      </c>
      <c r="Y133" s="383">
        <f t="shared" si="36"/>
        <v>39.52110832403126</v>
      </c>
      <c r="Z133" s="383">
        <f t="shared" si="37"/>
        <v>40.711940720162403</v>
      </c>
      <c r="AA133" s="384">
        <f t="shared" si="38"/>
        <v>45.861633400790545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0.11228759856031154</v>
      </c>
      <c r="AD133" s="230">
        <f>(INDEX(Models!$BJ133:$BT133,,AH133)*(1-AF133)+INDEX(Models!$BJ133:$BT133,,AH133+1)*AF133-ERP_i)*AE133*Ramure*Pc/MaxiM</f>
        <v>2.136038581665842E-8</v>
      </c>
      <c r="AE133" s="304">
        <f t="shared" si="40"/>
        <v>0.6</v>
      </c>
      <c r="AF133" s="177">
        <f t="shared" si="41"/>
        <v>0.57409445707470186</v>
      </c>
      <c r="AG133" s="799">
        <f t="shared" si="49"/>
        <v>0</v>
      </c>
      <c r="AH133" s="176">
        <f t="shared" si="42"/>
        <v>6</v>
      </c>
      <c r="AI133" s="224">
        <f t="shared" si="43"/>
        <v>0.57409445707470186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45046</v>
      </c>
      <c r="B134" s="409">
        <f>IF(t&gt;Tmaj,'2022'!Wh/'2022'!Env_an*'2023'!Env_an,0.001*'[6]mon-tableau'!$B$264)</f>
        <v>45.213546754472397</v>
      </c>
      <c r="C134" s="829"/>
      <c r="D134" s="391">
        <f t="shared" si="25"/>
        <v>46.576793798248545</v>
      </c>
      <c r="E134" s="383">
        <f t="shared" si="47"/>
        <v>47.004514860029452</v>
      </c>
      <c r="F134" s="383">
        <f t="shared" si="26"/>
        <v>47.004515078823729</v>
      </c>
      <c r="G134" s="110">
        <f t="shared" si="48"/>
        <v>0.75387551147239951</v>
      </c>
      <c r="H134" s="412" t="b">
        <f>Wh_hp&gt;='2022'!Maxi_hp</f>
        <v>0</v>
      </c>
      <c r="I134" s="379">
        <f>IF(H134,Wh_hp,'2022'!Maxi_hp)</f>
        <v>62.303261019981171</v>
      </c>
      <c r="J134" s="85">
        <f>IF(H134,An,'2022'!An_max)</f>
        <v>2018</v>
      </c>
      <c r="K134" s="197">
        <f t="shared" si="27"/>
        <v>45046</v>
      </c>
      <c r="L134" s="147">
        <f>IF(t&lt;Tvie,1-EXP((T0-t)*PertePVj)+'2022'!Pspv,1-EXP((T0-t)*PertePVj)+Pspv)</f>
        <v>2.9268803895802109E-2</v>
      </c>
      <c r="M134" s="832"/>
      <c r="N134" s="832"/>
      <c r="O134" s="48">
        <f>IF(t&lt;Tnet,'2022'!Resal+('2022'!Salim-'2022'!Resal)*(1-EXP(('2022'!Tnet-t)/('2022'!Tau_j))),Resal+(Salim-Resal)*(1-EXP((Tnet-t)/(Tau_j))))*Salcycl</f>
        <v>9.099574010168537E-3</v>
      </c>
      <c r="P134" s="338">
        <f>(INDEX(Models!$BJ134:$BT134,,T134)*(1-R134)+INDEX(Models!$BJ134:$BT134,,T134+1)*R134-ERP_i)*Q134*Ramure*Pc/MaxiM</f>
        <v>7.1788961859300698E-9</v>
      </c>
      <c r="Q134" s="304">
        <f t="shared" si="28"/>
        <v>0.6</v>
      </c>
      <c r="R134" s="177">
        <f t="shared" si="29"/>
        <v>0.57677263273198098</v>
      </c>
      <c r="S134" s="799">
        <f t="shared" si="30"/>
        <v>0</v>
      </c>
      <c r="T134" s="176">
        <f t="shared" si="31"/>
        <v>6</v>
      </c>
      <c r="U134" s="250">
        <f t="shared" si="32"/>
        <v>0.57677263273198098</v>
      </c>
      <c r="V134" s="382">
        <f t="shared" si="33"/>
        <v>59.974818059867623</v>
      </c>
      <c r="W134" s="400">
        <f t="shared" si="34"/>
        <v>45.213546754472397</v>
      </c>
      <c r="X134" s="157">
        <f t="shared" si="35"/>
        <v>45046</v>
      </c>
      <c r="Y134" s="383">
        <f t="shared" si="36"/>
        <v>44.029000443218187</v>
      </c>
      <c r="Z134" s="383">
        <f t="shared" si="37"/>
        <v>45.356531880213865</v>
      </c>
      <c r="AA134" s="384">
        <f t="shared" si="38"/>
        <v>47.004514860029452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3.506009975260814E-2</v>
      </c>
      <c r="AD134" s="230">
        <f>(INDEX(Models!$BJ134:$BT134,,AH134)*(1-AF134)+INDEX(Models!$BJ134:$BT134,,AH134+1)*AF134-ERP_i)*AE134*Ramure*Pc/MaxiM</f>
        <v>7.1788961859300698E-9</v>
      </c>
      <c r="AE134" s="304">
        <f t="shared" si="40"/>
        <v>0.6</v>
      </c>
      <c r="AF134" s="177">
        <f t="shared" si="41"/>
        <v>0.57677263273198098</v>
      </c>
      <c r="AG134" s="799">
        <f t="shared" si="49"/>
        <v>0</v>
      </c>
      <c r="AH134" s="176">
        <f t="shared" si="42"/>
        <v>6</v>
      </c>
      <c r="AI134" s="224">
        <f t="shared" si="43"/>
        <v>0.57677263273198098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45047</v>
      </c>
      <c r="B135" s="409">
        <f>IF(t&gt;Tmaj,'2022'!Wh/'2022'!Env_an*'2023'!Env_an,0.001*[7]mois!$B$242)</f>
        <v>49.005375792540292</v>
      </c>
      <c r="C135" s="829"/>
      <c r="D135" s="391">
        <f t="shared" si="25"/>
        <v>50.483918909850892</v>
      </c>
      <c r="E135" s="383">
        <f t="shared" si="47"/>
        <v>50.954149693561234</v>
      </c>
      <c r="F135" s="383">
        <f t="shared" si="26"/>
        <v>50.954149693561234</v>
      </c>
      <c r="G135" s="110">
        <f t="shared" si="48"/>
        <v>0.81624045075881102</v>
      </c>
      <c r="H135" s="412" t="b">
        <f>Wh_hp&gt;='2022'!Maxi_hp</f>
        <v>0</v>
      </c>
      <c r="I135" s="379">
        <f>IF(H135,Wh_hp,'2022'!Maxi_hp)</f>
        <v>58.712576893324226</v>
      </c>
      <c r="J135" s="85">
        <f>IF(H135,An,'2022'!An_max)</f>
        <v>2018</v>
      </c>
      <c r="K135" s="197">
        <f t="shared" si="27"/>
        <v>45047</v>
      </c>
      <c r="L135" s="147">
        <f>IF(t&lt;Tvie,1-EXP((T0-t)*PertePVj)+'2022'!Pspv,1-EXP((T0-t)*PertePVj)+Pspv)</f>
        <v>2.9287407737716098E-2</v>
      </c>
      <c r="M135" s="832"/>
      <c r="N135" s="832"/>
      <c r="O135" s="48">
        <f>IF(t&lt;Tnet,'2022'!Resal+('2022'!Salim-'2022'!Resal)*(1-EXP(('2022'!Tnet-t)/('2022'!Tau_j))),Resal+(Salim-Resal)*(1-EXP((Tnet-t)/(Tau_j))))*Salcycl</f>
        <v>9.2285081104938309E-3</v>
      </c>
      <c r="P135" s="338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0.57952750549004106</v>
      </c>
      <c r="S135" s="799">
        <f t="shared" si="30"/>
        <v>0</v>
      </c>
      <c r="T135" s="176">
        <f t="shared" si="31"/>
        <v>6</v>
      </c>
      <c r="U135" s="250">
        <f t="shared" si="32"/>
        <v>0.57952750549004106</v>
      </c>
      <c r="V135" s="382">
        <f t="shared" si="33"/>
        <v>60.037916213271295</v>
      </c>
      <c r="W135" s="400">
        <f t="shared" si="34"/>
        <v>49.005375792540292</v>
      </c>
      <c r="X135" s="157">
        <f t="shared" si="35"/>
        <v>45047</v>
      </c>
      <c r="Y135" s="383">
        <f t="shared" si="36"/>
        <v>47.722126702741861</v>
      </c>
      <c r="Z135" s="383">
        <f t="shared" si="37"/>
        <v>49.16195286137534</v>
      </c>
      <c r="AA135" s="384">
        <f t="shared" si="38"/>
        <v>50.954149693561234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3.5172735546843276E-2</v>
      </c>
      <c r="AD135" s="230">
        <f>(INDEX(Models!$BJ135:$BT135,,AH135)*(1-AF135)+INDEX(Models!$BJ135:$BT135,,AH135+1)*AF135-ERP_i)*AE135*Ramure*Pc/MaxiM</f>
        <v>0</v>
      </c>
      <c r="AE135" s="304">
        <f t="shared" si="40"/>
        <v>0.6</v>
      </c>
      <c r="AF135" s="177">
        <f t="shared" si="41"/>
        <v>0.57952750549004106</v>
      </c>
      <c r="AG135" s="799">
        <f t="shared" si="49"/>
        <v>0</v>
      </c>
      <c r="AH135" s="176">
        <f t="shared" si="42"/>
        <v>6</v>
      </c>
      <c r="AI135" s="224">
        <f t="shared" si="43"/>
        <v>0.57952750549004106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45048</v>
      </c>
      <c r="B136" s="409">
        <f>IF(t&gt;Tmaj,'2022'!Wh/'2022'!Env_an*'2023'!Env_an,0.001*[7]mois!$B$243)</f>
        <v>30.364181062338456</v>
      </c>
      <c r="C136" s="829"/>
      <c r="D136" s="391">
        <f t="shared" si="25"/>
        <v>31.280899452769731</v>
      </c>
      <c r="E136" s="383">
        <f t="shared" si="47"/>
        <v>31.576377064141163</v>
      </c>
      <c r="F136" s="383">
        <f t="shared" si="26"/>
        <v>31.576377064141163</v>
      </c>
      <c r="G136" s="110">
        <f t="shared" si="48"/>
        <v>0.5052582348550011</v>
      </c>
      <c r="H136" s="412" t="b">
        <f>Wh_hp&gt;='2022'!Maxi_hp</f>
        <v>0</v>
      </c>
      <c r="I136" s="379">
        <f>IF(H136,Wh_hp,'2022'!Maxi_hp)</f>
        <v>48.58732792238655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2.9306011223091732E-2</v>
      </c>
      <c r="M136" s="832"/>
      <c r="N136" s="832"/>
      <c r="O136" s="48">
        <f>IF(t&lt;Tnet,'2022'!Resal+('2022'!Salim-'2022'!Resal)*(1-EXP(('2022'!Tnet-t)/('2022'!Tau_j))),Resal+(Salim-Resal)*(1-EXP((Tnet-t)/(Tau_j))))*Salcycl</f>
        <v>9.3575526657547672E-3</v>
      </c>
      <c r="P136" s="338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0.58235999092547608</v>
      </c>
      <c r="S136" s="799">
        <f t="shared" si="30"/>
        <v>0</v>
      </c>
      <c r="T136" s="176">
        <f t="shared" si="31"/>
        <v>6</v>
      </c>
      <c r="U136" s="250">
        <f t="shared" si="32"/>
        <v>0.58235999092547608</v>
      </c>
      <c r="V136" s="382">
        <f t="shared" si="33"/>
        <v>60.09636056907091</v>
      </c>
      <c r="W136" s="400">
        <f t="shared" si="34"/>
        <v>30.364181062338456</v>
      </c>
      <c r="X136" s="157">
        <f t="shared" si="35"/>
        <v>45048</v>
      </c>
      <c r="Y136" s="383">
        <f t="shared" si="36"/>
        <v>29.569453426997431</v>
      </c>
      <c r="Z136" s="383">
        <f t="shared" si="37"/>
        <v>30.462178368133781</v>
      </c>
      <c r="AA136" s="384">
        <f t="shared" si="38"/>
        <v>31.576377064141163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3.5285830725421956E-2</v>
      </c>
      <c r="AD136" s="230">
        <f>(INDEX(Models!$BJ136:$BT136,,AH136)*(1-AF136)+INDEX(Models!$BJ136:$BT136,,AH136+1)*AF136-ERP_i)*AE136*Ramure*Pc/MaxiM</f>
        <v>0</v>
      </c>
      <c r="AE136" s="304">
        <f t="shared" si="40"/>
        <v>0.6</v>
      </c>
      <c r="AF136" s="177">
        <f t="shared" si="41"/>
        <v>0.58235999092547608</v>
      </c>
      <c r="AG136" s="799">
        <f t="shared" si="49"/>
        <v>0</v>
      </c>
      <c r="AH136" s="176">
        <f t="shared" si="42"/>
        <v>6</v>
      </c>
      <c r="AI136" s="224">
        <f t="shared" si="43"/>
        <v>0.58235999092547608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45049</v>
      </c>
      <c r="B137" s="409">
        <f>IF(t&gt;Tmaj,'2022'!Wh/'2022'!Env_an*'2023'!Env_an,0.001*[7]mois!$B$244)</f>
        <v>39.730444306550069</v>
      </c>
      <c r="C137" s="829"/>
      <c r="D137" s="391">
        <f t="shared" si="25"/>
        <v>40.930721942665031</v>
      </c>
      <c r="E137" s="383">
        <f t="shared" si="47"/>
        <v>41.322738805069307</v>
      </c>
      <c r="F137" s="383">
        <f t="shared" si="26"/>
        <v>41.322738805069307</v>
      </c>
      <c r="G137" s="110">
        <f t="shared" si="48"/>
        <v>0.6605188059649213</v>
      </c>
      <c r="H137" s="412" t="b">
        <f>Wh_hp&gt;='2022'!Maxi_hp</f>
        <v>0</v>
      </c>
      <c r="I137" s="379">
        <f>IF(H137,Wh_hp,'2022'!Maxi_hp)</f>
        <v>60.66641025918041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2.9324614351935674E-2</v>
      </c>
      <c r="M137" s="832"/>
      <c r="N137" s="832"/>
      <c r="O137" s="48">
        <f>IF(t&lt;Tnet,'2022'!Resal+('2022'!Salim-'2022'!Resal)*(1-EXP(('2022'!Tnet-t)/('2022'!Tau_j))),Resal+(Salim-Resal)*(1-EXP((Tnet-t)/(Tau_j))))*Salcycl</f>
        <v>9.4867105555013296E-3</v>
      </c>
      <c r="P137" s="338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0.58527092219103982</v>
      </c>
      <c r="S137" s="799">
        <f t="shared" si="30"/>
        <v>0</v>
      </c>
      <c r="T137" s="176">
        <f t="shared" si="31"/>
        <v>6</v>
      </c>
      <c r="U137" s="250">
        <f t="shared" si="32"/>
        <v>0.58527092219103982</v>
      </c>
      <c r="V137" s="382">
        <f t="shared" si="33"/>
        <v>60.150360516245563</v>
      </c>
      <c r="W137" s="400">
        <f t="shared" si="34"/>
        <v>39.730444306550069</v>
      </c>
      <c r="X137" s="157">
        <f t="shared" si="35"/>
        <v>45049</v>
      </c>
      <c r="Y137" s="383">
        <f t="shared" si="36"/>
        <v>38.691062059306496</v>
      </c>
      <c r="Z137" s="383">
        <f t="shared" si="37"/>
        <v>39.859939410614281</v>
      </c>
      <c r="AA137" s="384">
        <f t="shared" si="38"/>
        <v>41.322738805069307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3.539938147264262E-2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0.58527092219103982</v>
      </c>
      <c r="AG137" s="799">
        <f t="shared" si="49"/>
        <v>0</v>
      </c>
      <c r="AH137" s="176">
        <f t="shared" si="42"/>
        <v>6</v>
      </c>
      <c r="AI137" s="224">
        <f t="shared" si="43"/>
        <v>0.58527092219103982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45050</v>
      </c>
      <c r="B138" s="409">
        <f>IF(t&gt;Tmaj,'2022'!Wh/'2022'!Env_an*'2023'!Env_an,0.001*[7]mois!$B$245)</f>
        <v>21.25469312586586</v>
      </c>
      <c r="C138" s="829"/>
      <c r="D138" s="391">
        <f t="shared" si="25"/>
        <v>21.89722824878946</v>
      </c>
      <c r="E138" s="383">
        <f t="shared" si="47"/>
        <v>22.109836084282311</v>
      </c>
      <c r="F138" s="383">
        <f t="shared" si="26"/>
        <v>22.109836084282311</v>
      </c>
      <c r="G138" s="110">
        <f t="shared" si="48"/>
        <v>0.35306725952179024</v>
      </c>
      <c r="H138" s="412" t="b">
        <f>Wh_hp&gt;='2022'!Maxi_hp</f>
        <v>0</v>
      </c>
      <c r="I138" s="379">
        <f>IF(H138,Wh_hp,'2022'!Maxi_hp)</f>
        <v>53.762353847555971</v>
      </c>
      <c r="J138" s="85">
        <f>IF(H138,An,'2022'!An_max)</f>
        <v>2021</v>
      </c>
      <c r="K138" s="197">
        <f t="shared" si="27"/>
        <v>45050</v>
      </c>
      <c r="L138" s="147">
        <f>IF(t&lt;Tvie,1-EXP((T0-t)*PertePVj)+'2022'!Pspv,1-EXP((T0-t)*PertePVj)+Pspv)</f>
        <v>2.9343217124255028E-2</v>
      </c>
      <c r="M138" s="832"/>
      <c r="N138" s="832"/>
      <c r="O138" s="48">
        <f>IF(t&lt;Tnet,'2022'!Resal+('2022'!Salim-'2022'!Resal)*(1-EXP(('2022'!Tnet-t)/('2022'!Tau_j))),Resal+(Salim-Resal)*(1-EXP((Tnet-t)/(Tau_j))))*Salcycl</f>
        <v>9.6159842471193503E-3</v>
      </c>
      <c r="P138" s="338">
        <f>(INDEX(Models!$BJ138:$BT138,,T138)*(1-R138)+INDEX(Models!$BJ138:$BT138,,T138+1)*R138-ERP_i)*Q138*Ramure*Pc/MaxiM</f>
        <v>1.1821402979228665E-20</v>
      </c>
      <c r="Q138" s="304">
        <f t="shared" si="28"/>
        <v>0.6</v>
      </c>
      <c r="R138" s="177">
        <f t="shared" si="29"/>
        <v>0.58826104310733029</v>
      </c>
      <c r="S138" s="799">
        <f t="shared" si="30"/>
        <v>0</v>
      </c>
      <c r="T138" s="176">
        <f t="shared" si="31"/>
        <v>6</v>
      </c>
      <c r="U138" s="250">
        <f t="shared" si="32"/>
        <v>0.58826104310733029</v>
      </c>
      <c r="V138" s="382">
        <f t="shared" si="33"/>
        <v>60.200124912896619</v>
      </c>
      <c r="W138" s="400">
        <f t="shared" si="34"/>
        <v>21.25469312586586</v>
      </c>
      <c r="X138" s="157">
        <f t="shared" si="35"/>
        <v>45050</v>
      </c>
      <c r="Y138" s="383">
        <f t="shared" si="36"/>
        <v>20.698907440612881</v>
      </c>
      <c r="Z138" s="383">
        <f t="shared" si="37"/>
        <v>21.324641011922516</v>
      </c>
      <c r="AA138" s="384">
        <f t="shared" si="38"/>
        <v>22.109836084282311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3.5513382793370428E-2</v>
      </c>
      <c r="AD138" s="230">
        <f>(INDEX(Models!$BJ138:$BT138,,AH138)*(1-AF138)+INDEX(Models!$BJ138:$BT138,,AH138+1)*AF138-ERP_i)*AE138*Ramure*Pc/MaxiM</f>
        <v>1.1821402979228665E-20</v>
      </c>
      <c r="AE138" s="304">
        <f t="shared" si="40"/>
        <v>0.6</v>
      </c>
      <c r="AF138" s="177">
        <f t="shared" si="41"/>
        <v>0.58826104310733029</v>
      </c>
      <c r="AG138" s="799">
        <f t="shared" si="49"/>
        <v>0</v>
      </c>
      <c r="AH138" s="176">
        <f t="shared" si="42"/>
        <v>6</v>
      </c>
      <c r="AI138" s="224">
        <f t="shared" si="43"/>
        <v>0.58826104310733029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45051</v>
      </c>
      <c r="B139" s="409">
        <f>IF(t&gt;Tmaj,'2022'!Wh/'2022'!Env_an*'2023'!Env_an,0.001*[7]mois!$B$246)</f>
        <v>44.511843541578067</v>
      </c>
      <c r="C139" s="829"/>
      <c r="D139" s="391">
        <f t="shared" si="25"/>
        <v>45.858327477377642</v>
      </c>
      <c r="E139" s="383">
        <f t="shared" si="47"/>
        <v>46.309632245425455</v>
      </c>
      <c r="F139" s="383">
        <f t="shared" si="26"/>
        <v>46.309632245425455</v>
      </c>
      <c r="G139" s="110">
        <f t="shared" si="48"/>
        <v>0.73883652213561535</v>
      </c>
      <c r="H139" s="412" t="b">
        <f>Wh_hp&gt;='2022'!Maxi_hp</f>
        <v>0</v>
      </c>
      <c r="I139" s="379">
        <f>IF(H139,Wh_hp,'2022'!Maxi_hp)</f>
        <v>62.195002367063097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2.9361819540056455E-2</v>
      </c>
      <c r="M139" s="832"/>
      <c r="N139" s="832"/>
      <c r="O139" s="48">
        <f>IF(t&lt;Tnet,'2022'!Resal+('2022'!Salim-'2022'!Resal)*(1-EXP(('2022'!Tnet-t)/('2022'!Tau_j))),Resal+(Salim-Resal)*(1-EXP((Tnet-t)/(Tau_j))))*Salcycl</f>
        <v>9.7453757709854132E-3</v>
      </c>
      <c r="P139" s="338">
        <f>(INDEX(Models!$BJ139:$BT139,,T139)*(1-R139)+INDEX(Models!$BJ139:$BT139,,T139+1)*R139-ERP_i)*Q139*Ramure*Pc/MaxiM</f>
        <v>1.1917496236971569E-20</v>
      </c>
      <c r="Q139" s="304">
        <f t="shared" si="28"/>
        <v>0.6</v>
      </c>
      <c r="R139" s="177">
        <f t="shared" si="29"/>
        <v>0.59133100117390669</v>
      </c>
      <c r="S139" s="799">
        <f t="shared" si="30"/>
        <v>0</v>
      </c>
      <c r="T139" s="176">
        <f t="shared" si="31"/>
        <v>6</v>
      </c>
      <c r="U139" s="250">
        <f t="shared" si="32"/>
        <v>0.59133100117390669</v>
      </c>
      <c r="V139" s="382">
        <f t="shared" si="33"/>
        <v>60.245862525739902</v>
      </c>
      <c r="W139" s="400">
        <f t="shared" si="34"/>
        <v>44.511843541578067</v>
      </c>
      <c r="X139" s="157">
        <f t="shared" si="35"/>
        <v>45051</v>
      </c>
      <c r="Y139" s="383">
        <f t="shared" si="36"/>
        <v>43.348429953694769</v>
      </c>
      <c r="Z139" s="383">
        <f t="shared" si="37"/>
        <v>44.659720610983818</v>
      </c>
      <c r="AA139" s="384">
        <f t="shared" si="38"/>
        <v>46.309632245425455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3.5627828476323342E-2</v>
      </c>
      <c r="AD139" s="230">
        <f>(INDEX(Models!$BJ139:$BT139,,AH139)*(1-AF139)+INDEX(Models!$BJ139:$BT139,,AH139+1)*AF139-ERP_i)*AE139*Ramure*Pc/MaxiM</f>
        <v>1.1917496236971569E-20</v>
      </c>
      <c r="AE139" s="304">
        <f t="shared" si="40"/>
        <v>0.6</v>
      </c>
      <c r="AF139" s="177">
        <f t="shared" si="41"/>
        <v>0.59133100117390669</v>
      </c>
      <c r="AG139" s="799">
        <f t="shared" si="49"/>
        <v>0</v>
      </c>
      <c r="AH139" s="176">
        <f t="shared" si="42"/>
        <v>6</v>
      </c>
      <c r="AI139" s="224">
        <f t="shared" si="43"/>
        <v>0.59133100117390669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45052</v>
      </c>
      <c r="B140" s="409">
        <f>IF(t&gt;Tmaj,'2022'!Wh/'2022'!Env_an*'2023'!Env_an,0.001*[7]mois!$B$247)</f>
        <v>42.323300242685313</v>
      </c>
      <c r="C140" s="829"/>
      <c r="D140" s="391">
        <f t="shared" si="25"/>
        <v>43.604416379508748</v>
      </c>
      <c r="E140" s="383">
        <f t="shared" si="47"/>
        <v>44.039299471966501</v>
      </c>
      <c r="F140" s="383">
        <f t="shared" si="26"/>
        <v>44.039299471966501</v>
      </c>
      <c r="G140" s="110">
        <f t="shared" si="48"/>
        <v>0.70202118603639396</v>
      </c>
      <c r="H140" s="412" t="b">
        <f>Wh_hp&gt;='2022'!Maxi_hp</f>
        <v>0</v>
      </c>
      <c r="I140" s="379">
        <f>IF(H140,Wh_hp,'2022'!Maxi_hp)</f>
        <v>64.219243698545085</v>
      </c>
      <c r="J140" s="85">
        <f>IF(H140,An,'2022'!An_max)</f>
        <v>2018</v>
      </c>
      <c r="K140" s="197">
        <f t="shared" si="27"/>
        <v>45052</v>
      </c>
      <c r="L140" s="147">
        <f>IF(t&lt;Tvie,1-EXP((T0-t)*PertePVj)+'2022'!Pspv,1-EXP((T0-t)*PertePVj)+Pspv)</f>
        <v>2.938042159934684E-2</v>
      </c>
      <c r="M140" s="832"/>
      <c r="N140" s="832"/>
      <c r="O140" s="48">
        <f>IF(t&lt;Tnet,'2022'!Resal+('2022'!Salim-'2022'!Resal)*(1-EXP(('2022'!Tnet-t)/('2022'!Tau_j))),Resal+(Salim-Resal)*(1-EXP((Tnet-t)/(Tau_j))))*Salcycl</f>
        <v>9.8748866960197343E-3</v>
      </c>
      <c r="P140" s="338">
        <f>(INDEX(Models!$BJ140:$BT140,,T140)*(1-R140)+INDEX(Models!$BJ140:$BT140,,T140+1)*R140-ERP_i)*Q140*Ramure*Pc/MaxiM</f>
        <v>1.2016492217106695E-20</v>
      </c>
      <c r="Q140" s="304">
        <f t="shared" si="28"/>
        <v>0.6</v>
      </c>
      <c r="R140" s="177">
        <f t="shared" si="29"/>
        <v>0.59448134053524804</v>
      </c>
      <c r="S140" s="799">
        <f t="shared" si="30"/>
        <v>0</v>
      </c>
      <c r="T140" s="176">
        <f t="shared" si="31"/>
        <v>6</v>
      </c>
      <c r="U140" s="250">
        <f t="shared" si="32"/>
        <v>0.59448134053524804</v>
      </c>
      <c r="V140" s="382">
        <f t="shared" si="33"/>
        <v>60.287782027836414</v>
      </c>
      <c r="W140" s="400">
        <f t="shared" si="34"/>
        <v>42.323300242685313</v>
      </c>
      <c r="X140" s="157">
        <f t="shared" si="35"/>
        <v>45052</v>
      </c>
      <c r="Y140" s="383">
        <f t="shared" si="36"/>
        <v>41.21756958050009</v>
      </c>
      <c r="Z140" s="383">
        <f t="shared" si="37"/>
        <v>42.465215515657221</v>
      </c>
      <c r="AA140" s="384">
        <f t="shared" si="38"/>
        <v>44.039299471966501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3.5742711059953899E-2</v>
      </c>
      <c r="AD140" s="230">
        <f>(INDEX(Models!$BJ140:$BT140,,AH140)*(1-AF140)+INDEX(Models!$BJ140:$BT140,,AH140+1)*AF140-ERP_i)*AE140*Ramure*Pc/MaxiM</f>
        <v>1.2016492217106695E-20</v>
      </c>
      <c r="AE140" s="304">
        <f t="shared" si="40"/>
        <v>0.6</v>
      </c>
      <c r="AF140" s="177">
        <f t="shared" si="41"/>
        <v>0.59448134053524804</v>
      </c>
      <c r="AG140" s="799">
        <f t="shared" si="49"/>
        <v>0</v>
      </c>
      <c r="AH140" s="176">
        <f t="shared" si="42"/>
        <v>6</v>
      </c>
      <c r="AI140" s="224">
        <f t="shared" si="43"/>
        <v>0.59448134053524804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45053</v>
      </c>
      <c r="B141" s="409">
        <f>IF(t&gt;Tmaj,'2022'!Wh/'2022'!Env_an*'2023'!Env_an,0.001*[7]mois!$B$248)</f>
        <v>52.609668003015315</v>
      </c>
      <c r="C141" s="829"/>
      <c r="D141" s="391">
        <f t="shared" si="25"/>
        <v>54.203188814008257</v>
      </c>
      <c r="E141" s="383">
        <f t="shared" si="47"/>
        <v>54.750945640984497</v>
      </c>
      <c r="F141" s="383">
        <f t="shared" si="26"/>
        <v>54.750945640984497</v>
      </c>
      <c r="G141" s="110">
        <f t="shared" si="48"/>
        <v>0.87208811746012593</v>
      </c>
      <c r="H141" s="412" t="b">
        <f>Wh_hp&gt;='2022'!Maxi_hp</f>
        <v>0</v>
      </c>
      <c r="I141" s="379">
        <f>IF(H141,Wh_hp,'2022'!Maxi_hp)</f>
        <v>60.265273662889911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2.9399023302132954E-2</v>
      </c>
      <c r="M141" s="832"/>
      <c r="N141" s="832"/>
      <c r="O141" s="48">
        <f>IF(t&lt;Tnet,'2022'!Resal+('2022'!Salim-'2022'!Resal)*(1-EXP(('2022'!Tnet-t)/('2022'!Tau_j))),Resal+(Salim-Resal)*(1-EXP((Tnet-t)/(Tau_j))))*Salcycl</f>
        <v>1.0004518105824445E-2</v>
      </c>
      <c r="P141" s="338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0.59771249494040035</v>
      </c>
      <c r="S141" s="799">
        <f t="shared" si="30"/>
        <v>0</v>
      </c>
      <c r="T141" s="176">
        <f t="shared" si="31"/>
        <v>6</v>
      </c>
      <c r="U141" s="250">
        <f t="shared" si="32"/>
        <v>0.59771249494040035</v>
      </c>
      <c r="V141" s="382">
        <f t="shared" si="33"/>
        <v>60.326091996570241</v>
      </c>
      <c r="W141" s="400">
        <f t="shared" si="34"/>
        <v>52.609668003015315</v>
      </c>
      <c r="X141" s="157">
        <f t="shared" si="35"/>
        <v>45053</v>
      </c>
      <c r="Y141" s="383">
        <f t="shared" si="36"/>
        <v>51.235778656029247</v>
      </c>
      <c r="Z141" s="383">
        <f t="shared" si="37"/>
        <v>52.787685038543032</v>
      </c>
      <c r="AA141" s="384">
        <f t="shared" si="38"/>
        <v>54.750945640984497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3.5858021801395974E-2</v>
      </c>
      <c r="AD141" s="230">
        <f>(INDEX(Models!$BJ141:$BT141,,AH141)*(1-AF141)+INDEX(Models!$BJ141:$BT141,,AH141+1)*AF141-ERP_i)*AE141*Ramure*Pc/MaxiM</f>
        <v>0</v>
      </c>
      <c r="AE141" s="304">
        <f t="shared" si="40"/>
        <v>0.6</v>
      </c>
      <c r="AF141" s="177">
        <f t="shared" si="41"/>
        <v>0.59771249494040035</v>
      </c>
      <c r="AG141" s="799">
        <f t="shared" si="49"/>
        <v>0</v>
      </c>
      <c r="AH141" s="176">
        <f t="shared" si="42"/>
        <v>6</v>
      </c>
      <c r="AI141" s="224">
        <f t="shared" si="43"/>
        <v>0.59771249494040035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45054</v>
      </c>
      <c r="B142" s="409">
        <f>IF(t&gt;Tmaj,'2022'!Wh/'2022'!Env_an*'2023'!Env_an,0.001*[7]mois!$B$249)</f>
        <v>51.770827074057848</v>
      </c>
      <c r="C142" s="829"/>
      <c r="D142" s="391">
        <f t="shared" si="25"/>
        <v>53.339962056599958</v>
      </c>
      <c r="E142" s="383">
        <f t="shared" si="47"/>
        <v>53.886057948098731</v>
      </c>
      <c r="F142" s="383">
        <f t="shared" si="26"/>
        <v>53.886057948098731</v>
      </c>
      <c r="G142" s="110">
        <f t="shared" si="48"/>
        <v>0.85768668978985596</v>
      </c>
      <c r="H142" s="412" t="b">
        <f>Wh_hp&gt;='2022'!Maxi_hp</f>
        <v>0</v>
      </c>
      <c r="I142" s="379">
        <f>IF(H142,Wh_hp,'2022'!Maxi_hp)</f>
        <v>60.80360190588106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2.9417624648421681E-2</v>
      </c>
      <c r="M142" s="832"/>
      <c r="N142" s="832"/>
      <c r="O142" s="48">
        <f>IF(t&lt;Tnet,'2022'!Resal+('2022'!Salim-'2022'!Resal)*(1-EXP(('2022'!Tnet-t)/('2022'!Tau_j))),Resal+(Salim-Resal)*(1-EXP((Tnet-t)/(Tau_j))))*Salcycl</f>
        <v>1.0134270575605283E-2</v>
      </c>
      <c r="P142" s="338">
        <f>(INDEX(Models!$BJ142:$BT142,,T142)*(1-R142)+INDEX(Models!$BJ142:$BT142,,T142+1)*R142-ERP_i)*Q142*Ramure*Pc/MaxiM</f>
        <v>-1.2222808551248918E-20</v>
      </c>
      <c r="Q142" s="304">
        <f t="shared" si="28"/>
        <v>0.6</v>
      </c>
      <c r="R142" s="177">
        <f t="shared" si="29"/>
        <v>0.60102478073853327</v>
      </c>
      <c r="S142" s="799">
        <f t="shared" si="30"/>
        <v>0</v>
      </c>
      <c r="T142" s="176">
        <f t="shared" si="31"/>
        <v>6</v>
      </c>
      <c r="U142" s="250">
        <f t="shared" si="32"/>
        <v>0.60102478073853327</v>
      </c>
      <c r="V142" s="382">
        <f t="shared" si="33"/>
        <v>60.361000923008781</v>
      </c>
      <c r="W142" s="400">
        <f t="shared" si="34"/>
        <v>51.770827074057848</v>
      </c>
      <c r="X142" s="157">
        <f t="shared" si="35"/>
        <v>45054</v>
      </c>
      <c r="Y142" s="383">
        <f t="shared" si="36"/>
        <v>50.419400092805958</v>
      </c>
      <c r="Z142" s="383">
        <f t="shared" si="37"/>
        <v>51.947574336018945</v>
      </c>
      <c r="AA142" s="384">
        <f t="shared" si="38"/>
        <v>53.886057948098731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3.5973750648950295E-2</v>
      </c>
      <c r="AD142" s="230">
        <f>(INDEX(Models!$BJ142:$BT142,,AH142)*(1-AF142)+INDEX(Models!$BJ142:$BT142,,AH142+1)*AF142-ERP_i)*AE142*Ramure*Pc/MaxiM</f>
        <v>-1.2222808551248918E-20</v>
      </c>
      <c r="AE142" s="304">
        <f t="shared" si="40"/>
        <v>0.6</v>
      </c>
      <c r="AF142" s="177">
        <f t="shared" si="41"/>
        <v>0.60102478073853327</v>
      </c>
      <c r="AG142" s="799">
        <f t="shared" si="49"/>
        <v>0</v>
      </c>
      <c r="AH142" s="176">
        <f t="shared" si="42"/>
        <v>6</v>
      </c>
      <c r="AI142" s="224">
        <f t="shared" si="43"/>
        <v>0.60102478073853327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45055</v>
      </c>
      <c r="B143" s="409">
        <f>IF(t&gt;Tmaj,'2022'!Wh/'2022'!Env_an*'2023'!Env_an,0.001*[7]mois!$B$250)</f>
        <v>57.074628364138903</v>
      </c>
      <c r="C143" s="829"/>
      <c r="D143" s="391">
        <f t="shared" ref="D143:D206" si="50">Wh/(1-Ppv)</f>
        <v>58.805644587002881</v>
      </c>
      <c r="E143" s="383">
        <f t="shared" si="47"/>
        <v>59.415493779908203</v>
      </c>
      <c r="F143" s="383">
        <f t="shared" ref="F143:F206" si="51">Wh_sa/(1-Pvg*MEDIAN((-Sdif+Wh/Env_an)/Csdif,0,1))</f>
        <v>59.415493779908203</v>
      </c>
      <c r="G143" s="110">
        <f t="shared" si="48"/>
        <v>0.94505812960057023</v>
      </c>
      <c r="H143" s="412" t="b">
        <f>Wh_hp&gt;='2022'!Maxi_hp</f>
        <v>1</v>
      </c>
      <c r="I143" s="379">
        <f>IF(H143,Wh_hp,'2022'!Maxi_hp)</f>
        <v>59.415493779908203</v>
      </c>
      <c r="J143" s="85">
        <f>IF(H143,An,'2022'!An_max)</f>
        <v>2023</v>
      </c>
      <c r="K143" s="197">
        <f t="shared" ref="K143:K206" si="52">t</f>
        <v>45055</v>
      </c>
      <c r="L143" s="147">
        <f>IF(t&lt;Tvie,1-EXP((T0-t)*PertePVj)+'2022'!Pspv,1-EXP((T0-t)*PertePVj)+Pspv)</f>
        <v>2.9436225638219904E-2</v>
      </c>
      <c r="M143" s="832"/>
      <c r="N143" s="832"/>
      <c r="O143" s="48">
        <f>IF(t&lt;Tnet,'2022'!Resal+('2022'!Salim-'2022'!Resal)*(1-EXP(('2022'!Tnet-t)/('2022'!Tau_j))),Resal+(Salim-Resal)*(1-EXP((Tnet-t)/(Tau_j))))*Salcycl</f>
        <v>1.0264144150082671E-2</v>
      </c>
      <c r="P143" s="338">
        <f>(INDEX(Models!$BJ143:$BT143,,T143)*(1-R143)+INDEX(Models!$BJ143:$BT143,,T143+1)*R143-ERP_i)*Q143*Ramure*Pc/MaxiM</f>
        <v>1.2329921231475895E-20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0.60441838995587871</v>
      </c>
      <c r="S143" s="799">
        <f t="shared" ref="S143:S206" si="55">INDEX(Echel_vg,T143)</f>
        <v>0</v>
      </c>
      <c r="T143" s="176">
        <f t="shared" ref="T143:T206" si="56">MIN(MATCH(Hp_vg,Echel_vg),10)</f>
        <v>6</v>
      </c>
      <c r="U143" s="250">
        <f t="shared" ref="U143:U206" si="57">IF(OR(t&lt;Ttai,Notai),Hdd+PousH*Croivg,Hdtf+PousH*(Croivg-Croi_tai))</f>
        <v>0.60441838995587871</v>
      </c>
      <c r="V143" s="382">
        <f t="shared" ref="V143:V206" si="58">MaxiM*(1-Ppv)*(1-Pvg)*(1-Psa)</f>
        <v>60.392717205936904</v>
      </c>
      <c r="W143" s="400">
        <f t="shared" ref="W143:W206" si="59">Wh*(A143&gt;Tmaj)</f>
        <v>57.074628364138903</v>
      </c>
      <c r="X143" s="157">
        <f t="shared" ref="X143:X206" si="60">t</f>
        <v>45055</v>
      </c>
      <c r="Y143" s="383">
        <f t="shared" ref="Y143:Y206" si="61">Wh_pvt_s*(1-Ppv)</f>
        <v>55.585347540295302</v>
      </c>
      <c r="Z143" s="383">
        <f t="shared" ref="Z143:Z206" si="62">Wh_sa_s*(1-Psa_s)</f>
        <v>57.271195369770439</v>
      </c>
      <c r="AA143" s="384">
        <f t="shared" ref="AA143:AA206" si="63">Wh_hp*(1-Pvg_s*MEDIAN((-Sdif+Wh/Env_an)/Csdif,0,1))</f>
        <v>59.415493779908203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3.6089886218582175E-2</v>
      </c>
      <c r="AD143" s="230">
        <f>(INDEX(Models!$BJ143:$BT143,,AH143)*(1-AF143)+INDEX(Models!$BJ143:$BT143,,AH143+1)*AF143-ERP_i)*AE143*Ramure*Pc/MaxiM</f>
        <v>1.2329921231475895E-20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0.60441838995587871</v>
      </c>
      <c r="AG143" s="799">
        <f t="shared" si="49"/>
        <v>0</v>
      </c>
      <c r="AH143" s="176">
        <f t="shared" ref="AH143:AH206" si="67">MIN(MATCH(Hp_vg_s,Echel_vg),10)</f>
        <v>6</v>
      </c>
      <c r="AI143" s="224">
        <f t="shared" ref="AI143:AI206" si="68">IF(OR(t&lt;Ttai,Notai),Hdd_s+PousH*Croivg,Hdtai_s+PousH*(Croivg-Croi_tai))</f>
        <v>0.60441838995587871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45056</v>
      </c>
      <c r="B144" s="409">
        <f>IF(t&gt;Tmaj,'2022'!Wh/'2022'!Env_an*'2023'!Env_an,0.001*[7]mois!$B$251)</f>
        <v>55.013958171087111</v>
      </c>
      <c r="C144" s="829"/>
      <c r="D144" s="391">
        <f t="shared" si="50"/>
        <v>56.683562661740297</v>
      </c>
      <c r="E144" s="383">
        <f t="shared" ref="E144:E169" si="72">Wh_pvt/(1-Psa)</f>
        <v>57.278927759846646</v>
      </c>
      <c r="F144" s="383">
        <f t="shared" si="51"/>
        <v>57.278927759846646</v>
      </c>
      <c r="G144" s="110">
        <f t="shared" ref="G144:G169" si="73">+Wh_hp/MaxiM</f>
        <v>0.91050378534553278</v>
      </c>
      <c r="H144" s="412" t="b">
        <f>Wh_hp&gt;='2022'!Maxi_hp</f>
        <v>1</v>
      </c>
      <c r="I144" s="379">
        <f>IF(H144,Wh_hp,'2022'!Maxi_hp)</f>
        <v>57.278927759846646</v>
      </c>
      <c r="J144" s="85">
        <f>IF(H144,An,'2022'!An_max)</f>
        <v>2023</v>
      </c>
      <c r="K144" s="197">
        <f t="shared" si="52"/>
        <v>45056</v>
      </c>
      <c r="L144" s="147">
        <f>IF(t&lt;Tvie,1-EXP((T0-t)*PertePVj)+'2022'!Pspv,1-EXP((T0-t)*PertePVj)+Pspv)</f>
        <v>2.9454826271534285E-2</v>
      </c>
      <c r="M144" s="832"/>
      <c r="N144" s="832"/>
      <c r="O144" s="48">
        <f>IF(t&lt;Tnet,'2022'!Resal+('2022'!Salim-'2022'!Resal)*(1-EXP(('2022'!Tnet-t)/('2022'!Tau_j))),Resal+(Salim-Resal)*(1-EXP((Tnet-t)/(Tau_j))))*Salcycl</f>
        <v>1.0394138322605087E-2</v>
      </c>
      <c r="P144" s="338">
        <f>(INDEX(Models!$BJ144:$BT144,,T144)*(1-R144)+INDEX(Models!$BJ144:$BT144,,T144+1)*R144-ERP_i)*Q144*Ramure*Pc/MaxiM</f>
        <v>1.2439520968745455E-20</v>
      </c>
      <c r="Q144" s="304">
        <f t="shared" si="53"/>
        <v>0.6</v>
      </c>
      <c r="R144" s="177">
        <f t="shared" si="54"/>
        <v>0.60789338350259692</v>
      </c>
      <c r="S144" s="799">
        <f t="shared" si="55"/>
        <v>0</v>
      </c>
      <c r="T144" s="176">
        <f t="shared" si="56"/>
        <v>6</v>
      </c>
      <c r="U144" s="250">
        <f t="shared" si="57"/>
        <v>0.60789338350259692</v>
      </c>
      <c r="V144" s="382">
        <f t="shared" si="58"/>
        <v>60.421449154337694</v>
      </c>
      <c r="W144" s="400">
        <f t="shared" si="59"/>
        <v>55.013958171087111</v>
      </c>
      <c r="X144" s="157">
        <f t="shared" si="60"/>
        <v>45056</v>
      </c>
      <c r="Y144" s="383">
        <f t="shared" si="61"/>
        <v>53.579007543719122</v>
      </c>
      <c r="Z144" s="383">
        <f t="shared" si="62"/>
        <v>55.20506308623321</v>
      </c>
      <c r="AA144" s="384">
        <f t="shared" si="63"/>
        <v>57.278927759846646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3.6206415774899359E-2</v>
      </c>
      <c r="AD144" s="230">
        <f>(INDEX(Models!$BJ144:$BT144,,AH144)*(1-AF144)+INDEX(Models!$BJ144:$BT144,,AH144+1)*AF144-ERP_i)*AE144*Ramure*Pc/MaxiM</f>
        <v>1.2439520968745455E-20</v>
      </c>
      <c r="AE144" s="304">
        <f t="shared" si="65"/>
        <v>0.6</v>
      </c>
      <c r="AF144" s="177">
        <f t="shared" si="66"/>
        <v>0.60789338350259692</v>
      </c>
      <c r="AG144" s="799">
        <f t="shared" ref="AG144:AG207" si="74">INDEX(Echel_vg,AH144)</f>
        <v>0</v>
      </c>
      <c r="AH144" s="176">
        <f t="shared" si="67"/>
        <v>6</v>
      </c>
      <c r="AI144" s="224">
        <f t="shared" si="68"/>
        <v>0.60789338350259692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45057</v>
      </c>
      <c r="B145" s="409">
        <f>IF(t&gt;Tmaj,'2022'!Wh/'2022'!Env_an*'2023'!Env_an,0.001*[7]mois!$B$252)</f>
        <v>58.95957024053309</v>
      </c>
      <c r="C145" s="829"/>
      <c r="D145" s="391">
        <f t="shared" si="50"/>
        <v>60.750083360259161</v>
      </c>
      <c r="E145" s="383">
        <f t="shared" si="72"/>
        <v>61.396232786922219</v>
      </c>
      <c r="F145" s="383">
        <f t="shared" si="51"/>
        <v>61.396232786922219</v>
      </c>
      <c r="G145" s="110">
        <f t="shared" si="73"/>
        <v>0.97538629238634744</v>
      </c>
      <c r="H145" s="412" t="b">
        <f>Wh_hp&gt;='2022'!Maxi_hp</f>
        <v>1</v>
      </c>
      <c r="I145" s="379">
        <f>IF(H145,Wh_hp,'2022'!Maxi_hp)</f>
        <v>61.396232786922219</v>
      </c>
      <c r="J145" s="85">
        <f>IF(H145,An,'2022'!An_max)</f>
        <v>2023</v>
      </c>
      <c r="K145" s="197">
        <f t="shared" si="52"/>
        <v>45057</v>
      </c>
      <c r="L145" s="147">
        <f>IF(t&lt;Tvie,1-EXP((T0-t)*PertePVj)+'2022'!Pspv,1-EXP((T0-t)*PertePVj)+Pspv)</f>
        <v>2.9473426548371928E-2</v>
      </c>
      <c r="M145" s="832"/>
      <c r="N145" s="832"/>
      <c r="O145" s="48">
        <f>IF(t&lt;Tnet,'2022'!Resal+('2022'!Salim-'2022'!Resal)*(1-EXP(('2022'!Tnet-t)/('2022'!Tau_j))),Resal+(Salim-Resal)*(1-EXP((Tnet-t)/(Tau_j))))*Salcycl</f>
        <v>1.0524252015682165E-2</v>
      </c>
      <c r="P145" s="338">
        <f>(INDEX(Models!$BJ145:$BT145,,T145)*(1-R145)+INDEX(Models!$BJ145:$BT145,,T145+1)*R145-ERP_i)*Q145*Ramure*Pc/MaxiM</f>
        <v>1.2551487480609722E-20</v>
      </c>
      <c r="Q145" s="304">
        <f t="shared" si="53"/>
        <v>0.6</v>
      </c>
      <c r="R145" s="177">
        <f t="shared" si="54"/>
        <v>0.61144968456096116</v>
      </c>
      <c r="S145" s="799">
        <f t="shared" si="55"/>
        <v>0</v>
      </c>
      <c r="T145" s="176">
        <f t="shared" si="56"/>
        <v>6</v>
      </c>
      <c r="U145" s="250">
        <f t="shared" si="57"/>
        <v>0.61144968456096116</v>
      </c>
      <c r="V145" s="382">
        <f t="shared" si="58"/>
        <v>60.447404993035711</v>
      </c>
      <c r="W145" s="400">
        <f t="shared" si="59"/>
        <v>58.95957024053309</v>
      </c>
      <c r="X145" s="157">
        <f t="shared" si="60"/>
        <v>45057</v>
      </c>
      <c r="Y145" s="383">
        <f t="shared" si="61"/>
        <v>57.422289239299545</v>
      </c>
      <c r="Z145" s="383">
        <f t="shared" si="62"/>
        <v>59.166117456300157</v>
      </c>
      <c r="AA145" s="384">
        <f t="shared" si="63"/>
        <v>61.396232786922219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3.6323325217065917E-2</v>
      </c>
      <c r="AD145" s="230">
        <f>(INDEX(Models!$BJ145:$BT145,,AH145)*(1-AF145)+INDEX(Models!$BJ145:$BT145,,AH145+1)*AF145-ERP_i)*AE145*Ramure*Pc/MaxiM</f>
        <v>1.2551487480609722E-20</v>
      </c>
      <c r="AE145" s="304">
        <f t="shared" si="65"/>
        <v>0.6</v>
      </c>
      <c r="AF145" s="177">
        <f t="shared" si="66"/>
        <v>0.61144968456096116</v>
      </c>
      <c r="AG145" s="799">
        <f t="shared" si="74"/>
        <v>0</v>
      </c>
      <c r="AH145" s="176">
        <f t="shared" si="67"/>
        <v>6</v>
      </c>
      <c r="AI145" s="224">
        <f t="shared" si="68"/>
        <v>0.61144968456096116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45058</v>
      </c>
      <c r="B146" s="409">
        <f>IF(t&gt;Tmaj,'2022'!Wh/'2022'!Env_an*'2023'!Env_an,0.001*[7]mois!$B$253)</f>
        <v>42.148282394949518</v>
      </c>
      <c r="C146" s="829"/>
      <c r="D146" s="391">
        <f t="shared" si="50"/>
        <v>43.429094396401574</v>
      </c>
      <c r="E146" s="383">
        <f t="shared" si="72"/>
        <v>43.896792045728127</v>
      </c>
      <c r="F146" s="383">
        <f t="shared" si="51"/>
        <v>43.896792045728127</v>
      </c>
      <c r="G146" s="110">
        <f t="shared" si="73"/>
        <v>0.69700231141390234</v>
      </c>
      <c r="H146" s="412" t="b">
        <f>Wh_hp&gt;='2022'!Maxi_hp</f>
        <v>0</v>
      </c>
      <c r="I146" s="379">
        <f>IF(H146,Wh_hp,'2022'!Maxi_hp)</f>
        <v>54.191031708919418</v>
      </c>
      <c r="J146" s="85">
        <f>IF(H146,An,'2022'!An_max)</f>
        <v>2018</v>
      </c>
      <c r="K146" s="197">
        <f t="shared" si="52"/>
        <v>45058</v>
      </c>
      <c r="L146" s="147">
        <f>IF(t&lt;Tvie,1-EXP((T0-t)*PertePVj)+'2022'!Pspv,1-EXP((T0-t)*PertePVj)+Pspv)</f>
        <v>2.9492026468739385E-2</v>
      </c>
      <c r="M146" s="832"/>
      <c r="N146" s="832"/>
      <c r="O146" s="48">
        <f>IF(t&lt;Tnet,'2022'!Resal+('2022'!Salim-'2022'!Resal)*(1-EXP(('2022'!Tnet-t)/('2022'!Tau_j))),Resal+(Salim-Resal)*(1-EXP((Tnet-t)/(Tau_j))))*Salcycl</f>
        <v>1.0654483563157466E-2</v>
      </c>
      <c r="P146" s="338">
        <f>(INDEX(Models!$BJ146:$BT146,,T146)*(1-R146)+INDEX(Models!$BJ146:$BT146,,T146+1)*R146-ERP_i)*Q146*Ramure*Pc/MaxiM</f>
        <v>1.2665693720788202E-20</v>
      </c>
      <c r="Q146" s="304">
        <f t="shared" si="53"/>
        <v>0.6</v>
      </c>
      <c r="R146" s="177">
        <f t="shared" si="54"/>
        <v>0.61508707220879</v>
      </c>
      <c r="S146" s="799">
        <f t="shared" si="55"/>
        <v>0</v>
      </c>
      <c r="T146" s="176">
        <f t="shared" si="56"/>
        <v>6</v>
      </c>
      <c r="U146" s="250">
        <f t="shared" si="57"/>
        <v>0.61508707220879</v>
      </c>
      <c r="V146" s="382">
        <f t="shared" si="58"/>
        <v>60.470792857845368</v>
      </c>
      <c r="W146" s="400">
        <f t="shared" si="59"/>
        <v>42.148282394949518</v>
      </c>
      <c r="X146" s="157">
        <f t="shared" si="60"/>
        <v>45058</v>
      </c>
      <c r="Y146" s="383">
        <f t="shared" si="61"/>
        <v>41.049737488040421</v>
      </c>
      <c r="Z146" s="383">
        <f t="shared" si="62"/>
        <v>42.297166646326566</v>
      </c>
      <c r="AA146" s="384">
        <f t="shared" si="63"/>
        <v>43.896792045728127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3.6440599070091464E-2</v>
      </c>
      <c r="AD146" s="230">
        <f>(INDEX(Models!$BJ146:$BT146,,AH146)*(1-AF146)+INDEX(Models!$BJ146:$BT146,,AH146+1)*AF146-ERP_i)*AE146*Ramure*Pc/MaxiM</f>
        <v>1.2665693720788202E-20</v>
      </c>
      <c r="AE146" s="304">
        <f t="shared" si="65"/>
        <v>0.6</v>
      </c>
      <c r="AF146" s="177">
        <f t="shared" si="66"/>
        <v>0.61508707220879</v>
      </c>
      <c r="AG146" s="799">
        <f t="shared" si="74"/>
        <v>0</v>
      </c>
      <c r="AH146" s="176">
        <f t="shared" si="67"/>
        <v>6</v>
      </c>
      <c r="AI146" s="224">
        <f t="shared" si="68"/>
        <v>0.61508707220879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45059</v>
      </c>
      <c r="B147" s="409">
        <f>IF(t&gt;Tmaj,'2022'!Wh/'2022'!Env_an*'2023'!Env_an,0.001*[7]mois!$B$254)</f>
        <v>43.262955583815113</v>
      </c>
      <c r="C147" s="829"/>
      <c r="D147" s="391">
        <f t="shared" si="50"/>
        <v>44.578494875174513</v>
      </c>
      <c r="E147" s="383">
        <f t="shared" si="72"/>
        <v>45.064507963884282</v>
      </c>
      <c r="F147" s="383">
        <f t="shared" si="51"/>
        <v>45.064507963884282</v>
      </c>
      <c r="G147" s="110">
        <f t="shared" si="73"/>
        <v>0.71518686347729132</v>
      </c>
      <c r="H147" s="412" t="b">
        <f>Wh_hp&gt;='2022'!Maxi_hp</f>
        <v>0</v>
      </c>
      <c r="I147" s="379">
        <f>IF(H147,Wh_hp,'2022'!Maxi_hp)</f>
        <v>65.060121509053133</v>
      </c>
      <c r="J147" s="85">
        <f>IF(H147,An,'2022'!An_max)</f>
        <v>2018</v>
      </c>
      <c r="K147" s="197">
        <f t="shared" si="52"/>
        <v>45059</v>
      </c>
      <c r="L147" s="147">
        <f>IF(t&lt;Tvie,1-EXP((T0-t)*PertePVj)+'2022'!Pspv,1-EXP((T0-t)*PertePVj)+Pspv)</f>
        <v>2.951062603264365E-2</v>
      </c>
      <c r="M147" s="832"/>
      <c r="N147" s="832"/>
      <c r="O147" s="48">
        <f>IF(t&lt;Tnet,'2022'!Resal+('2022'!Salim-'2022'!Resal)*(1-EXP(('2022'!Tnet-t)/('2022'!Tau_j))),Resal+(Salim-Resal)*(1-EXP((Tnet-t)/(Tau_j))))*Salcycl</f>
        <v>1.0784830694241025E-2</v>
      </c>
      <c r="P147" s="338">
        <f>(INDEX(Models!$BJ147:$BT147,,T147)*(1-R147)+INDEX(Models!$BJ147:$BT147,,T147+1)*R147-ERP_i)*Q147*Ramure*Pc/MaxiM</f>
        <v>0</v>
      </c>
      <c r="Q147" s="304">
        <f t="shared" si="53"/>
        <v>0.6</v>
      </c>
      <c r="R147" s="177">
        <f t="shared" si="54"/>
        <v>0.61880517533424206</v>
      </c>
      <c r="S147" s="799">
        <f t="shared" si="55"/>
        <v>0</v>
      </c>
      <c r="T147" s="176">
        <f t="shared" si="56"/>
        <v>6</v>
      </c>
      <c r="U147" s="250">
        <f t="shared" si="57"/>
        <v>0.61880517533424206</v>
      </c>
      <c r="V147" s="382">
        <f t="shared" si="58"/>
        <v>60.491820799766131</v>
      </c>
      <c r="W147" s="400">
        <f t="shared" si="59"/>
        <v>43.262955583815113</v>
      </c>
      <c r="X147" s="157">
        <f t="shared" si="60"/>
        <v>45059</v>
      </c>
      <c r="Y147" s="383">
        <f t="shared" si="61"/>
        <v>42.135766017554332</v>
      </c>
      <c r="Z147" s="383">
        <f t="shared" si="62"/>
        <v>43.417029745831741</v>
      </c>
      <c r="AA147" s="384">
        <f t="shared" si="63"/>
        <v>45.064507963884282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3.6558220481911576E-2</v>
      </c>
      <c r="AD147" s="230">
        <f>(INDEX(Models!$BJ147:$BT147,,AH147)*(1-AF147)+INDEX(Models!$BJ147:$BT147,,AH147+1)*AF147-ERP_i)*AE147*Ramure*Pc/MaxiM</f>
        <v>0</v>
      </c>
      <c r="AE147" s="304">
        <f t="shared" si="65"/>
        <v>0.6</v>
      </c>
      <c r="AF147" s="177">
        <f t="shared" si="66"/>
        <v>0.61880517533424206</v>
      </c>
      <c r="AG147" s="799">
        <f t="shared" si="74"/>
        <v>0</v>
      </c>
      <c r="AH147" s="176">
        <f t="shared" si="67"/>
        <v>6</v>
      </c>
      <c r="AI147" s="224">
        <f t="shared" si="68"/>
        <v>0.61880517533424206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45060</v>
      </c>
      <c r="B148" s="409">
        <f>IF(t&gt;Tmaj,'2022'!Wh/'2022'!Env_an*'2023'!Env_an,0.001*[7]mois!$B$255)</f>
        <v>53.659491124436599</v>
      </c>
      <c r="C148" s="829"/>
      <c r="D148" s="391">
        <f t="shared" si="50"/>
        <v>55.292227772352852</v>
      </c>
      <c r="E148" s="383">
        <f t="shared" si="72"/>
        <v>55.902418915565733</v>
      </c>
      <c r="F148" s="383">
        <f t="shared" si="51"/>
        <v>55.902418915565733</v>
      </c>
      <c r="G148" s="110">
        <f t="shared" si="73"/>
        <v>0.88677694978913102</v>
      </c>
      <c r="H148" s="412" t="b">
        <f>Wh_hp&gt;='2022'!Maxi_hp</f>
        <v>0</v>
      </c>
      <c r="I148" s="379">
        <f>IF(H148,Wh_hp,'2022'!Maxi_hp)</f>
        <v>63.419199758926844</v>
      </c>
      <c r="J148" s="85">
        <f>IF(H148,An,'2022'!An_max)</f>
        <v>2018</v>
      </c>
      <c r="K148" s="197">
        <f t="shared" si="52"/>
        <v>45060</v>
      </c>
      <c r="L148" s="147">
        <f>IF(t&lt;Tvie,1-EXP((T0-t)*PertePVj)+'2022'!Pspv,1-EXP((T0-t)*PertePVj)+Pspv)</f>
        <v>2.9529225240091606E-2</v>
      </c>
      <c r="M148" s="832"/>
      <c r="N148" s="832"/>
      <c r="O148" s="48">
        <f>IF(t&lt;Tnet,'2022'!Resal+('2022'!Salim-'2022'!Resal)*(1-EXP(('2022'!Tnet-t)/('2022'!Tau_j))),Resal+(Salim-Resal)*(1-EXP((Tnet-t)/(Tau_j))))*Salcycl</f>
        <v>1.091529051961955E-2</v>
      </c>
      <c r="P148" s="338">
        <f>(INDEX(Models!$BJ148:$BT148,,T148)*(1-R148)+INDEX(Models!$BJ148:$BT148,,T148+1)*R148-ERP_i)*Q148*Ramure*Pc/MaxiM</f>
        <v>0</v>
      </c>
      <c r="Q148" s="304">
        <f t="shared" si="53"/>
        <v>0.6</v>
      </c>
      <c r="R148" s="177">
        <f t="shared" si="54"/>
        <v>0.62260346689984436</v>
      </c>
      <c r="S148" s="799">
        <f t="shared" si="55"/>
        <v>0</v>
      </c>
      <c r="T148" s="176">
        <f t="shared" si="56"/>
        <v>6</v>
      </c>
      <c r="U148" s="250">
        <f t="shared" si="57"/>
        <v>0.62260346689984436</v>
      </c>
      <c r="V148" s="382">
        <f t="shared" si="58"/>
        <v>60.510696784796252</v>
      </c>
      <c r="W148" s="400">
        <f t="shared" si="59"/>
        <v>53.659491124436599</v>
      </c>
      <c r="X148" s="157">
        <f t="shared" si="60"/>
        <v>45060</v>
      </c>
      <c r="Y148" s="383">
        <f t="shared" si="61"/>
        <v>52.261920485231542</v>
      </c>
      <c r="Z148" s="383">
        <f t="shared" si="62"/>
        <v>53.852132227434659</v>
      </c>
      <c r="AA148" s="384">
        <f t="shared" si="63"/>
        <v>55.902418915565733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3.667617122664759E-2</v>
      </c>
      <c r="AD148" s="230">
        <f>(INDEX(Models!$BJ148:$BT148,,AH148)*(1-AF148)+INDEX(Models!$BJ148:$BT148,,AH148+1)*AF148-ERP_i)*AE148*Ramure*Pc/MaxiM</f>
        <v>0</v>
      </c>
      <c r="AE148" s="304">
        <f t="shared" si="65"/>
        <v>0.6</v>
      </c>
      <c r="AF148" s="177">
        <f t="shared" si="66"/>
        <v>0.62260346689984436</v>
      </c>
      <c r="AG148" s="799">
        <f t="shared" si="74"/>
        <v>0</v>
      </c>
      <c r="AH148" s="176">
        <f t="shared" si="67"/>
        <v>6</v>
      </c>
      <c r="AI148" s="224">
        <f t="shared" si="68"/>
        <v>0.62260346689984436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45061</v>
      </c>
      <c r="B149" s="409">
        <f>IF(t&gt;Tmaj,'2022'!Wh/'2022'!Env_an*'2023'!Env_an,0.001*[7]mois!$B$256)</f>
        <v>55.965308705026914</v>
      </c>
      <c r="C149" s="829"/>
      <c r="D149" s="391">
        <f t="shared" si="50"/>
        <v>57.669311372928497</v>
      </c>
      <c r="E149" s="383">
        <f t="shared" si="72"/>
        <v>58.313433366010024</v>
      </c>
      <c r="F149" s="383">
        <f t="shared" si="51"/>
        <v>58.313433366010024</v>
      </c>
      <c r="G149" s="110">
        <f t="shared" si="73"/>
        <v>0.92463548941580376</v>
      </c>
      <c r="H149" s="412" t="b">
        <f>Wh_hp&gt;='2022'!Maxi_hp</f>
        <v>0</v>
      </c>
      <c r="I149" s="379">
        <f>IF(H149,Wh_hp,'2022'!Maxi_hp)</f>
        <v>63.720230232595142</v>
      </c>
      <c r="J149" s="85">
        <f>IF(H149,An,'2022'!An_max)</f>
        <v>2018</v>
      </c>
      <c r="K149" s="197">
        <f t="shared" si="52"/>
        <v>45061</v>
      </c>
      <c r="L149" s="147">
        <f>IF(t&lt;Tvie,1-EXP((T0-t)*PertePVj)+'2022'!Pspv,1-EXP((T0-t)*PertePVj)+Pspv)</f>
        <v>2.9547824091089914E-2</v>
      </c>
      <c r="M149" s="832"/>
      <c r="N149" s="832"/>
      <c r="O149" s="48">
        <f>IF(t&lt;Tnet,'2022'!Resal+('2022'!Salim-'2022'!Resal)*(1-EXP(('2022'!Tnet-t)/('2022'!Tau_j))),Resal+(Salim-Resal)*(1-EXP((Tnet-t)/(Tau_j))))*Salcycl</f>
        <v>1.1045859519857619E-2</v>
      </c>
      <c r="P149" s="338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0.62648125861488402</v>
      </c>
      <c r="S149" s="799">
        <f t="shared" si="55"/>
        <v>0</v>
      </c>
      <c r="T149" s="176">
        <f t="shared" si="56"/>
        <v>6</v>
      </c>
      <c r="U149" s="250">
        <f t="shared" si="57"/>
        <v>0.62648125861488402</v>
      </c>
      <c r="V149" s="382">
        <f t="shared" si="58"/>
        <v>60.526887996032357</v>
      </c>
      <c r="W149" s="400">
        <f t="shared" si="59"/>
        <v>55.965308705026914</v>
      </c>
      <c r="X149" s="157">
        <f t="shared" si="60"/>
        <v>45061</v>
      </c>
      <c r="Y149" s="383">
        <f t="shared" si="61"/>
        <v>54.508186749016325</v>
      </c>
      <c r="Z149" s="383">
        <f t="shared" si="62"/>
        <v>56.167823723992193</v>
      </c>
      <c r="AA149" s="384">
        <f t="shared" si="63"/>
        <v>58.313433366010024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3.6794431714399341E-2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0.62648125861488402</v>
      </c>
      <c r="AG149" s="799">
        <f t="shared" si="74"/>
        <v>0</v>
      </c>
      <c r="AH149" s="176">
        <f t="shared" si="67"/>
        <v>6</v>
      </c>
      <c r="AI149" s="224">
        <f t="shared" si="68"/>
        <v>0.62648125861488402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45062</v>
      </c>
      <c r="B150" s="409">
        <f>IF(t&gt;Tmaj,'2022'!Wh/'2022'!Env_an*'2023'!Env_an,0.001*[7]mois!$B$257)</f>
        <v>53.517226004326361</v>
      </c>
      <c r="C150" s="829"/>
      <c r="D150" s="391">
        <f t="shared" si="50"/>
        <v>55.147747614956693</v>
      </c>
      <c r="E150" s="383">
        <f t="shared" si="72"/>
        <v>55.771074903976242</v>
      </c>
      <c r="F150" s="383">
        <f t="shared" si="51"/>
        <v>55.771074903976242</v>
      </c>
      <c r="G150" s="110">
        <f t="shared" si="73"/>
        <v>0.88400080795457259</v>
      </c>
      <c r="H150" s="412" t="b">
        <f>Wh_hp&gt;='2022'!Maxi_hp</f>
        <v>0</v>
      </c>
      <c r="I150" s="379">
        <f>IF(H150,Wh_hp,'2022'!Maxi_hp)</f>
        <v>57.127425816284799</v>
      </c>
      <c r="J150" s="85">
        <f>IF(H150,An,'2022'!An_max)</f>
        <v>2018</v>
      </c>
      <c r="K150" s="197">
        <f t="shared" si="52"/>
        <v>45062</v>
      </c>
      <c r="L150" s="147">
        <f>IF(t&lt;Tvie,1-EXP((T0-t)*PertePVj)+'2022'!Pspv,1-EXP((T0-t)*PertePVj)+Pspv)</f>
        <v>2.9566422585645458E-2</v>
      </c>
      <c r="M150" s="832"/>
      <c r="N150" s="832"/>
      <c r="O150" s="48">
        <f>IF(t&lt;Tnet,'2022'!Resal+('2022'!Salim-'2022'!Resal)*(1-EXP(('2022'!Tnet-t)/('2022'!Tau_j))),Resal+(Salim-Resal)*(1-EXP((Tnet-t)/(Tau_j))))*Salcycl</f>
        <v>1.1176533536295614E-2</v>
      </c>
      <c r="P150" s="338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0.63043769607601019</v>
      </c>
      <c r="S150" s="799">
        <f t="shared" si="55"/>
        <v>0</v>
      </c>
      <c r="T150" s="176">
        <f t="shared" si="56"/>
        <v>6</v>
      </c>
      <c r="U150" s="250">
        <f t="shared" si="57"/>
        <v>0.63043769607601019</v>
      </c>
      <c r="V150" s="382">
        <f t="shared" si="58"/>
        <v>60.539793089280224</v>
      </c>
      <c r="W150" s="400">
        <f t="shared" si="59"/>
        <v>53.517226004326361</v>
      </c>
      <c r="X150" s="157">
        <f t="shared" si="60"/>
        <v>45062</v>
      </c>
      <c r="Y150" s="383">
        <f t="shared" si="61"/>
        <v>52.124314809761657</v>
      </c>
      <c r="Z150" s="383">
        <f t="shared" si="62"/>
        <v>53.712398275256383</v>
      </c>
      <c r="AA150" s="384">
        <f t="shared" si="63"/>
        <v>55.771074903976242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3.6912981007885814E-2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0.63043769607601019</v>
      </c>
      <c r="AG150" s="799">
        <f t="shared" si="74"/>
        <v>0</v>
      </c>
      <c r="AH150" s="176">
        <f t="shared" si="67"/>
        <v>6</v>
      </c>
      <c r="AI150" s="224">
        <f t="shared" si="68"/>
        <v>0.63043769607601019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45063</v>
      </c>
      <c r="B151" s="409">
        <f>IF(t&gt;Tmaj,'2022'!Wh/'2022'!Env_an*'2023'!Env_an,0.001*[7]mois!$B$258)</f>
        <v>56.80610954163771</v>
      </c>
      <c r="C151" s="829"/>
      <c r="D151" s="391">
        <f t="shared" si="50"/>
        <v>58.537956188604426</v>
      </c>
      <c r="E151" s="383">
        <f t="shared" si="72"/>
        <v>59.207432853837069</v>
      </c>
      <c r="F151" s="383">
        <f t="shared" si="51"/>
        <v>59.207432853837069</v>
      </c>
      <c r="G151" s="110">
        <f t="shared" si="73"/>
        <v>0.93817609463648943</v>
      </c>
      <c r="H151" s="412" t="b">
        <f>Wh_hp&gt;='2022'!Maxi_hp</f>
        <v>1</v>
      </c>
      <c r="I151" s="379">
        <f>IF(H151,Wh_hp,'2022'!Maxi_hp)</f>
        <v>59.207432853837069</v>
      </c>
      <c r="J151" s="85">
        <f>IF(H151,An,'2022'!An_max)</f>
        <v>2023</v>
      </c>
      <c r="K151" s="197">
        <f t="shared" si="52"/>
        <v>45063</v>
      </c>
      <c r="L151" s="147">
        <f>IF(t&lt;Tvie,1-EXP((T0-t)*PertePVj)+'2022'!Pspv,1-EXP((T0-t)*PertePVj)+Pspv)</f>
        <v>2.9585020723765121E-2</v>
      </c>
      <c r="M151" s="832"/>
      <c r="N151" s="832"/>
      <c r="O151" s="48">
        <f>IF(t&lt;Tnet,'2022'!Resal+('2022'!Salim-'2022'!Resal)*(1-EXP(('2022'!Tnet-t)/('2022'!Tau_j))),Resal+(Salim-Resal)*(1-EXP((Tnet-t)/(Tau_j))))*Salcycl</f>
        <v>1.1307307764640855E-2</v>
      </c>
      <c r="P151" s="338">
        <f>(INDEX(Models!$BJ151:$BT151,,T151)*(1-R151)+INDEX(Models!$BJ151:$BT151,,T151+1)*R151-ERP_i)*Q151*Ramure*Pc/MaxiM</f>
        <v>0</v>
      </c>
      <c r="Q151" s="304">
        <f t="shared" si="53"/>
        <v>0.6</v>
      </c>
      <c r="R151" s="177">
        <f t="shared" si="54"/>
        <v>0.63447175443598391</v>
      </c>
      <c r="S151" s="799">
        <f t="shared" si="55"/>
        <v>0</v>
      </c>
      <c r="T151" s="176">
        <f t="shared" si="56"/>
        <v>6</v>
      </c>
      <c r="U151" s="250">
        <f t="shared" si="57"/>
        <v>0.63447175443598391</v>
      </c>
      <c r="V151" s="382">
        <f t="shared" si="58"/>
        <v>60.549517160366463</v>
      </c>
      <c r="W151" s="400">
        <f t="shared" si="59"/>
        <v>56.80610954163771</v>
      </c>
      <c r="X151" s="157">
        <f t="shared" si="60"/>
        <v>45063</v>
      </c>
      <c r="Y151" s="383">
        <f t="shared" si="61"/>
        <v>55.328088963407239</v>
      </c>
      <c r="Z151" s="383">
        <f t="shared" si="62"/>
        <v>57.014875228608503</v>
      </c>
      <c r="AA151" s="384">
        <f t="shared" si="63"/>
        <v>59.207432853837069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3.7031796846204175E-2</v>
      </c>
      <c r="AD151" s="230">
        <f>(INDEX(Models!$BJ151:$BT151,,AH151)*(1-AF151)+INDEX(Models!$BJ151:$BT151,,AH151+1)*AF151-ERP_i)*AE151*Ramure*Pc/MaxiM</f>
        <v>0</v>
      </c>
      <c r="AE151" s="304">
        <f t="shared" si="65"/>
        <v>0.6</v>
      </c>
      <c r="AF151" s="177">
        <f t="shared" si="66"/>
        <v>0.63447175443598391</v>
      </c>
      <c r="AG151" s="799">
        <f t="shared" si="74"/>
        <v>0</v>
      </c>
      <c r="AH151" s="176">
        <f t="shared" si="67"/>
        <v>6</v>
      </c>
      <c r="AI151" s="224">
        <f t="shared" si="68"/>
        <v>0.63447175443598391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45064</v>
      </c>
      <c r="B152" s="409">
        <f>IF(t&gt;Tmaj,'2022'!Wh/'2022'!Env_an*'2023'!Env_an,0.001*[7]mois!$B$259)</f>
        <v>53.82838941943308</v>
      </c>
      <c r="C152" s="829"/>
      <c r="D152" s="391">
        <f t="shared" si="50"/>
        <v>55.470517456515999</v>
      </c>
      <c r="E152" s="383">
        <f t="shared" si="72"/>
        <v>56.112340323067961</v>
      </c>
      <c r="F152" s="383">
        <f t="shared" si="51"/>
        <v>56.112340323067961</v>
      </c>
      <c r="G152" s="110">
        <f t="shared" si="73"/>
        <v>0.88890023282259123</v>
      </c>
      <c r="H152" s="412" t="b">
        <f>Wh_hp&gt;='2022'!Maxi_hp</f>
        <v>0</v>
      </c>
      <c r="I152" s="379">
        <f>IF(H152,Wh_hp,'2022'!Maxi_hp)</f>
        <v>64.598562640471044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2.9603618505455676E-2</v>
      </c>
      <c r="M152" s="832"/>
      <c r="N152" s="832"/>
      <c r="O152" s="48">
        <f>IF(t&lt;Tnet,'2022'!Resal+('2022'!Salim-'2022'!Resal)*(1-EXP(('2022'!Tnet-t)/('2022'!Tau_j))),Resal+(Salim-Resal)*(1-EXP((Tnet-t)/(Tau_j))))*Salcycl</f>
        <v>1.1438176751435686E-2</v>
      </c>
      <c r="P152" s="338">
        <f>(INDEX(Models!$BJ152:$BT152,,T152)*(1-R152)+INDEX(Models!$BJ152:$BT152,,T152+1)*R152-ERP_i)*Q152*Ramure*Pc/MaxiM</f>
        <v>0</v>
      </c>
      <c r="Q152" s="304">
        <f t="shared" si="53"/>
        <v>0.6</v>
      </c>
      <c r="R152" s="177">
        <f t="shared" si="54"/>
        <v>0.63858223465994102</v>
      </c>
      <c r="S152" s="799">
        <f t="shared" si="55"/>
        <v>0</v>
      </c>
      <c r="T152" s="176">
        <f t="shared" si="56"/>
        <v>6</v>
      </c>
      <c r="U152" s="250">
        <f t="shared" si="57"/>
        <v>0.63858223465994102</v>
      </c>
      <c r="V152" s="382">
        <f t="shared" si="58"/>
        <v>60.556165283597437</v>
      </c>
      <c r="W152" s="400">
        <f t="shared" si="59"/>
        <v>53.82838941943308</v>
      </c>
      <c r="X152" s="157">
        <f t="shared" si="60"/>
        <v>45064</v>
      </c>
      <c r="Y152" s="383">
        <f t="shared" si="61"/>
        <v>52.428302888055399</v>
      </c>
      <c r="Z152" s="383">
        <f t="shared" si="62"/>
        <v>54.027718866087049</v>
      </c>
      <c r="AA152" s="384">
        <f t="shared" si="63"/>
        <v>56.112340323067961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3.7150855675929052E-2</v>
      </c>
      <c r="AD152" s="230">
        <f>(INDEX(Models!$BJ152:$BT152,,AH152)*(1-AF152)+INDEX(Models!$BJ152:$BT152,,AH152+1)*AF152-ERP_i)*AE152*Ramure*Pc/MaxiM</f>
        <v>0</v>
      </c>
      <c r="AE152" s="304">
        <f t="shared" si="65"/>
        <v>0.6</v>
      </c>
      <c r="AF152" s="177">
        <f t="shared" si="66"/>
        <v>0.63858223465994102</v>
      </c>
      <c r="AG152" s="799">
        <f t="shared" si="74"/>
        <v>0</v>
      </c>
      <c r="AH152" s="176">
        <f t="shared" si="67"/>
        <v>6</v>
      </c>
      <c r="AI152" s="224">
        <f t="shared" si="68"/>
        <v>0.63858223465994102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45065</v>
      </c>
      <c r="B153" s="409">
        <f>IF(t&gt;Tmaj,'2022'!Wh/'2022'!Env_an*'2023'!Env_an,0.001*[7]mois!$B$260)</f>
        <v>57.368985851625702</v>
      </c>
      <c r="C153" s="829"/>
      <c r="D153" s="391">
        <f t="shared" si="50"/>
        <v>59.120258927455097</v>
      </c>
      <c r="E153" s="383">
        <f t="shared" si="72"/>
        <v>59.812234709185503</v>
      </c>
      <c r="F153" s="383">
        <f t="shared" si="51"/>
        <v>59.812234709185503</v>
      </c>
      <c r="G153" s="110">
        <f t="shared" si="73"/>
        <v>0.94731068427701781</v>
      </c>
      <c r="H153" s="412" t="b">
        <f>Wh_hp&gt;='2022'!Maxi_hp</f>
        <v>0</v>
      </c>
      <c r="I153" s="379">
        <f>IF(H153,Wh_hp,'2022'!Maxi_hp)</f>
        <v>63.301181056084516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2.9622215930724116E-2</v>
      </c>
      <c r="M153" s="832"/>
      <c r="N153" s="832"/>
      <c r="O153" s="48">
        <f>IF(t&lt;Tnet,'2022'!Resal+('2022'!Salim-'2022'!Resal)*(1-EXP(('2022'!Tnet-t)/('2022'!Tau_j))),Resal+(Salim-Resal)*(1-EXP((Tnet-t)/(Tau_j))))*Salcycl</f>
        <v>1.1569134393571481E-2</v>
      </c>
      <c r="P153" s="338">
        <f>(INDEX(Models!$BJ153:$BT153,,T153)*(1-R153)+INDEX(Models!$BJ153:$BT153,,T153+1)*R153-ERP_i)*Q153*Ramure*Pc/MaxiM</f>
        <v>-1.3520264305328438E-20</v>
      </c>
      <c r="Q153" s="304">
        <f t="shared" si="53"/>
        <v>0.6</v>
      </c>
      <c r="R153" s="177">
        <f t="shared" si="54"/>
        <v>0.64276776042723749</v>
      </c>
      <c r="S153" s="799">
        <f t="shared" si="55"/>
        <v>0</v>
      </c>
      <c r="T153" s="176">
        <f t="shared" si="56"/>
        <v>6</v>
      </c>
      <c r="U153" s="250">
        <f t="shared" si="57"/>
        <v>0.64276776042723749</v>
      </c>
      <c r="V153" s="382">
        <f t="shared" si="58"/>
        <v>60.559842513978808</v>
      </c>
      <c r="W153" s="400">
        <f t="shared" si="59"/>
        <v>57.368985851625702</v>
      </c>
      <c r="X153" s="157">
        <f t="shared" si="60"/>
        <v>45065</v>
      </c>
      <c r="Y153" s="383">
        <f t="shared" si="61"/>
        <v>55.877287990976804</v>
      </c>
      <c r="Z153" s="383">
        <f t="shared" si="62"/>
        <v>57.583024785105437</v>
      </c>
      <c r="AA153" s="384">
        <f t="shared" si="63"/>
        <v>59.812234709185503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3.7270132689720785E-2</v>
      </c>
      <c r="AD153" s="230">
        <f>(INDEX(Models!$BJ153:$BT153,,AH153)*(1-AF153)+INDEX(Models!$BJ153:$BT153,,AH153+1)*AF153-ERP_i)*AE153*Ramure*Pc/MaxiM</f>
        <v>-1.3520264305328438E-20</v>
      </c>
      <c r="AE153" s="304">
        <f t="shared" si="65"/>
        <v>0.6</v>
      </c>
      <c r="AF153" s="177">
        <f t="shared" si="66"/>
        <v>0.64276776042723749</v>
      </c>
      <c r="AG153" s="799">
        <f t="shared" si="74"/>
        <v>0</v>
      </c>
      <c r="AH153" s="176">
        <f t="shared" si="67"/>
        <v>6</v>
      </c>
      <c r="AI153" s="224">
        <f t="shared" si="68"/>
        <v>0.64276776042723749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45066</v>
      </c>
      <c r="B154" s="409">
        <f>IF(t&gt;Tmaj,'2022'!Wh/'2022'!Env_an*'2023'!Env_an,0.001*[7]mois!$B$261)</f>
        <v>52.19110223641443</v>
      </c>
      <c r="C154" s="829"/>
      <c r="D154" s="391">
        <f t="shared" si="50"/>
        <v>53.785343546597119</v>
      </c>
      <c r="E154" s="383">
        <f t="shared" si="72"/>
        <v>54.422091483183401</v>
      </c>
      <c r="F154" s="383">
        <f t="shared" si="51"/>
        <v>54.422091483183401</v>
      </c>
      <c r="G154" s="110">
        <f t="shared" si="73"/>
        <v>0.86179885603103057</v>
      </c>
      <c r="H154" s="412" t="b">
        <f>Wh_hp&gt;='2022'!Maxi_hp</f>
        <v>0</v>
      </c>
      <c r="I154" s="379">
        <f>IF(H154,Wh_hp,'2022'!Maxi_hp)</f>
        <v>62.450618114879568</v>
      </c>
      <c r="J154" s="85">
        <f>IF(H154,An,'2022'!An_max)</f>
        <v>2020</v>
      </c>
      <c r="K154" s="197">
        <f t="shared" si="52"/>
        <v>45066</v>
      </c>
      <c r="L154" s="147">
        <f>IF(t&lt;Tvie,1-EXP((T0-t)*PertePVj)+'2022'!Pspv,1-EXP((T0-t)*PertePVj)+Pspv)</f>
        <v>2.9640812999576993E-2</v>
      </c>
      <c r="M154" s="832"/>
      <c r="N154" s="832"/>
      <c r="O154" s="48">
        <f>IF(t&lt;Tnet,'2022'!Resal+('2022'!Salim-'2022'!Resal)*(1-EXP(('2022'!Tnet-t)/('2022'!Tau_j))),Resal+(Salim-Resal)*(1-EXP((Tnet-t)/(Tau_j))))*Salcycl</f>
        <v>1.1700173941000471E-2</v>
      </c>
      <c r="P154" s="338">
        <f>(INDEX(Models!$BJ154:$BT154,,T154)*(1-R154)+INDEX(Models!$BJ154:$BT154,,T154+1)*R154-ERP_i)*Q154*Ramure*Pc/MaxiM</f>
        <v>0</v>
      </c>
      <c r="Q154" s="304">
        <f t="shared" si="53"/>
        <v>0.6</v>
      </c>
      <c r="R154" s="177">
        <f t="shared" si="54"/>
        <v>0.6470267757348982</v>
      </c>
      <c r="S154" s="799">
        <f t="shared" si="55"/>
        <v>0</v>
      </c>
      <c r="T154" s="176">
        <f t="shared" si="56"/>
        <v>6</v>
      </c>
      <c r="U154" s="250">
        <f t="shared" si="57"/>
        <v>0.6470267757348982</v>
      </c>
      <c r="V154" s="382">
        <f t="shared" si="58"/>
        <v>60.560653882482285</v>
      </c>
      <c r="W154" s="400">
        <f t="shared" si="59"/>
        <v>52.19110223641443</v>
      </c>
      <c r="X154" s="157">
        <f t="shared" si="60"/>
        <v>45066</v>
      </c>
      <c r="Y154" s="383">
        <f t="shared" si="61"/>
        <v>50.834469841853341</v>
      </c>
      <c r="Z154" s="383">
        <f t="shared" si="62"/>
        <v>52.387271149555446</v>
      </c>
      <c r="AA154" s="384">
        <f t="shared" si="63"/>
        <v>54.422091483183401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3.7389601872554357E-2</v>
      </c>
      <c r="AD154" s="230">
        <f>(INDEX(Models!$BJ154:$BT154,,AH154)*(1-AF154)+INDEX(Models!$BJ154:$BT154,,AH154+1)*AF154-ERP_i)*AE154*Ramure*Pc/MaxiM</f>
        <v>0</v>
      </c>
      <c r="AE154" s="304">
        <f t="shared" si="65"/>
        <v>0.6</v>
      </c>
      <c r="AF154" s="177">
        <f t="shared" si="66"/>
        <v>0.6470267757348982</v>
      </c>
      <c r="AG154" s="799">
        <f t="shared" si="74"/>
        <v>0</v>
      </c>
      <c r="AH154" s="176">
        <f t="shared" si="67"/>
        <v>6</v>
      </c>
      <c r="AI154" s="224">
        <f t="shared" si="68"/>
        <v>0.6470267757348982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45067</v>
      </c>
      <c r="B155" s="409">
        <f>IF(t&gt;Tmaj,'2022'!Wh/'2022'!Env_an*'2023'!Env_an,0.001*[7]mois!$B$262)</f>
        <v>53.231596371183954</v>
      </c>
      <c r="C155" s="829"/>
      <c r="D155" s="391">
        <f t="shared" si="50"/>
        <v>54.858672206411391</v>
      </c>
      <c r="E155" s="383">
        <f t="shared" si="72"/>
        <v>55.515491980650332</v>
      </c>
      <c r="F155" s="383">
        <f t="shared" si="51"/>
        <v>55.515491980650332</v>
      </c>
      <c r="G155" s="110">
        <f t="shared" si="73"/>
        <v>0.87900817723197355</v>
      </c>
      <c r="H155" s="412" t="b">
        <f>Wh_hp&gt;='2022'!Maxi_hp</f>
        <v>0</v>
      </c>
      <c r="I155" s="379">
        <f>IF(H155,Wh_hp,'2022'!Maxi_hp)</f>
        <v>60.873954388671315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2.9659409712021412E-2</v>
      </c>
      <c r="M155" s="832"/>
      <c r="N155" s="832"/>
      <c r="O155" s="48">
        <f>IF(t&lt;Tnet,'2022'!Resal+('2022'!Salim-'2022'!Resal)*(1-EXP(('2022'!Tnet-t)/('2022'!Tau_j))),Resal+(Salim-Resal)*(1-EXP((Tnet-t)/(Tau_j))))*Salcycl</f>
        <v>1.1831288002777272E-2</v>
      </c>
      <c r="P155" s="338">
        <f>(INDEX(Models!$BJ155:$BT155,,T155)*(1-R155)+INDEX(Models!$BJ155:$BT155,,T155+1)*R155-ERP_i)*Q155*Ramure*Pc/MaxiM</f>
        <v>0</v>
      </c>
      <c r="Q155" s="304">
        <f t="shared" si="53"/>
        <v>0.6</v>
      </c>
      <c r="R155" s="177">
        <f t="shared" si="54"/>
        <v>0.65135754325584105</v>
      </c>
      <c r="S155" s="799">
        <f t="shared" si="55"/>
        <v>0</v>
      </c>
      <c r="T155" s="176">
        <f t="shared" si="56"/>
        <v>6</v>
      </c>
      <c r="U155" s="250">
        <f t="shared" si="57"/>
        <v>0.65135754325584105</v>
      </c>
      <c r="V155" s="382">
        <f t="shared" si="58"/>
        <v>60.558704401149086</v>
      </c>
      <c r="W155" s="400">
        <f t="shared" si="59"/>
        <v>53.231596371183954</v>
      </c>
      <c r="X155" s="157">
        <f t="shared" si="60"/>
        <v>45067</v>
      </c>
      <c r="Y155" s="383">
        <f t="shared" si="61"/>
        <v>51.848352649950819</v>
      </c>
      <c r="Z155" s="383">
        <f t="shared" si="62"/>
        <v>53.433148287204205</v>
      </c>
      <c r="AA155" s="384">
        <f t="shared" si="63"/>
        <v>55.515491980650332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3.7509236055620641E-2</v>
      </c>
      <c r="AD155" s="230">
        <f>(INDEX(Models!$BJ155:$BT155,,AH155)*(1-AF155)+INDEX(Models!$BJ155:$BT155,,AH155+1)*AF155-ERP_i)*AE155*Ramure*Pc/MaxiM</f>
        <v>0</v>
      </c>
      <c r="AE155" s="304">
        <f t="shared" si="65"/>
        <v>0.6</v>
      </c>
      <c r="AF155" s="177">
        <f t="shared" si="66"/>
        <v>0.65135754325584105</v>
      </c>
      <c r="AG155" s="799">
        <f t="shared" si="74"/>
        <v>0</v>
      </c>
      <c r="AH155" s="176">
        <f t="shared" si="67"/>
        <v>6</v>
      </c>
      <c r="AI155" s="224">
        <f t="shared" si="68"/>
        <v>0.65135754325584105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45068</v>
      </c>
      <c r="B156" s="409">
        <f>IF(t&gt;Tmaj,'2022'!Wh/'2022'!Env_an*'2023'!Env_an,0.001*[7]mois!$B$263)</f>
        <v>42.333573233359282</v>
      </c>
      <c r="C156" s="829"/>
      <c r="D156" s="391">
        <f t="shared" si="50"/>
        <v>43.628376454516193</v>
      </c>
      <c r="E156" s="383">
        <f t="shared" si="72"/>
        <v>44.156598374130517</v>
      </c>
      <c r="F156" s="383">
        <f t="shared" si="51"/>
        <v>44.156598374130517</v>
      </c>
      <c r="G156" s="110">
        <f t="shared" si="73"/>
        <v>0.69910334547496089</v>
      </c>
      <c r="H156" s="412" t="b">
        <f>Wh_hp&gt;='2022'!Maxi_hp</f>
        <v>0</v>
      </c>
      <c r="I156" s="379">
        <f>IF(H156,Wh_hp,'2022'!Maxi_hp)</f>
        <v>60.177941095555454</v>
      </c>
      <c r="J156" s="85">
        <f>IF(H156,An,'2022'!An_max)</f>
        <v>2018</v>
      </c>
      <c r="K156" s="197">
        <f t="shared" si="52"/>
        <v>45068</v>
      </c>
      <c r="L156" s="147">
        <f>IF(t&lt;Tvie,1-EXP((T0-t)*PertePVj)+'2022'!Pspv,1-EXP((T0-t)*PertePVj)+Pspv)</f>
        <v>2.9678006068063922E-2</v>
      </c>
      <c r="M156" s="832"/>
      <c r="N156" s="832"/>
      <c r="O156" s="48">
        <f>IF(t&lt;Tnet,'2022'!Resal+('2022'!Salim-'2022'!Resal)*(1-EXP(('2022'!Tnet-t)/('2022'!Tau_j))),Resal+(Salim-Resal)*(1-EXP((Tnet-t)/(Tau_j))))*Salcycl</f>
        <v>1.1962468556540496E-2</v>
      </c>
      <c r="P156" s="338">
        <f>(INDEX(Models!$BJ156:$BT156,,T156)*(1-R156)+INDEX(Models!$BJ156:$BT156,,T156+1)*R156-ERP_i)*Q156*Ramure*Pc/MaxiM</f>
        <v>1.3910798768833795E-20</v>
      </c>
      <c r="Q156" s="304">
        <f t="shared" si="53"/>
        <v>0.6</v>
      </c>
      <c r="R156" s="177">
        <f t="shared" si="54"/>
        <v>0.65575814350139661</v>
      </c>
      <c r="S156" s="799">
        <f t="shared" si="55"/>
        <v>0</v>
      </c>
      <c r="T156" s="176">
        <f t="shared" si="56"/>
        <v>6</v>
      </c>
      <c r="U156" s="250">
        <f t="shared" si="57"/>
        <v>0.65575814350139661</v>
      </c>
      <c r="V156" s="382">
        <f t="shared" si="58"/>
        <v>60.55409905755559</v>
      </c>
      <c r="W156" s="400">
        <f t="shared" si="59"/>
        <v>42.333573233359282</v>
      </c>
      <c r="X156" s="157">
        <f t="shared" si="60"/>
        <v>45068</v>
      </c>
      <c r="Y156" s="383">
        <f t="shared" si="61"/>
        <v>41.233861684629375</v>
      </c>
      <c r="Z156" s="383">
        <f t="shared" si="62"/>
        <v>42.495029425790541</v>
      </c>
      <c r="AA156" s="384">
        <f t="shared" si="63"/>
        <v>44.156598374130517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3.7629006977888353E-2</v>
      </c>
      <c r="AD156" s="230">
        <f>(INDEX(Models!$BJ156:$BT156,,AH156)*(1-AF156)+INDEX(Models!$BJ156:$BT156,,AH156+1)*AF156-ERP_i)*AE156*Ramure*Pc/MaxiM</f>
        <v>1.3910798768833795E-20</v>
      </c>
      <c r="AE156" s="304">
        <f t="shared" si="65"/>
        <v>0.6</v>
      </c>
      <c r="AF156" s="177">
        <f t="shared" si="66"/>
        <v>0.65575814350139661</v>
      </c>
      <c r="AG156" s="799">
        <f t="shared" si="74"/>
        <v>0</v>
      </c>
      <c r="AH156" s="176">
        <f t="shared" si="67"/>
        <v>6</v>
      </c>
      <c r="AI156" s="224">
        <f t="shared" si="68"/>
        <v>0.65575814350139661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45069</v>
      </c>
      <c r="B157" s="409">
        <f>IF(t&gt;Tmaj,'2022'!Wh/'2022'!Env_an*'2023'!Env_an,0.001*[7]mois!$B$264)</f>
        <v>19.841694270928226</v>
      </c>
      <c r="C157" s="829"/>
      <c r="D157" s="391">
        <f t="shared" si="50"/>
        <v>20.448958865042393</v>
      </c>
      <c r="E157" s="383">
        <f t="shared" si="72"/>
        <v>20.699290012768348</v>
      </c>
      <c r="F157" s="383">
        <f t="shared" si="51"/>
        <v>20.699290012768348</v>
      </c>
      <c r="G157" s="110">
        <f t="shared" si="73"/>
        <v>0.32770761573836865</v>
      </c>
      <c r="H157" s="412" t="b">
        <f>Wh_hp&gt;='2022'!Maxi_hp</f>
        <v>0</v>
      </c>
      <c r="I157" s="379">
        <f>IF(H157,Wh_hp,'2022'!Maxi_hp)</f>
        <v>58.544637750972903</v>
      </c>
      <c r="J157" s="85">
        <f>IF(H157,An,'2022'!An_max)</f>
        <v>2020</v>
      </c>
      <c r="K157" s="197">
        <f t="shared" si="52"/>
        <v>45069</v>
      </c>
      <c r="L157" s="147">
        <f>IF(t&lt;Tvie,1-EXP((T0-t)*PertePVj)+'2022'!Pspv,1-EXP((T0-t)*PertePVj)+Pspv)</f>
        <v>2.969660206771163E-2</v>
      </c>
      <c r="M157" s="832"/>
      <c r="N157" s="832"/>
      <c r="O157" s="48">
        <f>IF(t&lt;Tnet,'2022'!Resal+('2022'!Salim-'2022'!Resal)*(1-EXP(('2022'!Tnet-t)/('2022'!Tau_j))),Resal+(Salim-Resal)*(1-EXP((Tnet-t)/(Tau_j))))*Salcycl</f>
        <v>1.2093706961520841E-2</v>
      </c>
      <c r="P157" s="338">
        <f>(INDEX(Models!$BJ157:$BT157,,T157)*(1-R157)+INDEX(Models!$BJ157:$BT157,,T157+1)*R157-ERP_i)*Q157*Ramure*Pc/MaxiM</f>
        <v>0</v>
      </c>
      <c r="Q157" s="304">
        <f t="shared" si="53"/>
        <v>0.6</v>
      </c>
      <c r="R157" s="177">
        <f t="shared" si="54"/>
        <v>0.66022647483316899</v>
      </c>
      <c r="S157" s="799">
        <f t="shared" si="55"/>
        <v>0</v>
      </c>
      <c r="T157" s="176">
        <f t="shared" si="56"/>
        <v>6</v>
      </c>
      <c r="U157" s="250">
        <f t="shared" si="57"/>
        <v>0.66022647483316899</v>
      </c>
      <c r="V157" s="382">
        <f t="shared" si="58"/>
        <v>60.546942817371701</v>
      </c>
      <c r="W157" s="400">
        <f t="shared" si="59"/>
        <v>19.841694270928226</v>
      </c>
      <c r="X157" s="157">
        <f t="shared" si="60"/>
        <v>45069</v>
      </c>
      <c r="Y157" s="383">
        <f t="shared" si="61"/>
        <v>19.326420494719294</v>
      </c>
      <c r="Z157" s="383">
        <f t="shared" si="62"/>
        <v>19.917914887141279</v>
      </c>
      <c r="AA157" s="384">
        <f t="shared" si="63"/>
        <v>20.699290012768348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3.7748885355250179E-2</v>
      </c>
      <c r="AD157" s="230">
        <f>(INDEX(Models!$BJ157:$BT157,,AH157)*(1-AF157)+INDEX(Models!$BJ157:$BT157,,AH157+1)*AF157-ERP_i)*AE157*Ramure*Pc/MaxiM</f>
        <v>0</v>
      </c>
      <c r="AE157" s="304">
        <f t="shared" si="65"/>
        <v>0.6</v>
      </c>
      <c r="AF157" s="177">
        <f t="shared" si="66"/>
        <v>0.66022647483316899</v>
      </c>
      <c r="AG157" s="799">
        <f t="shared" si="74"/>
        <v>0</v>
      </c>
      <c r="AH157" s="176">
        <f t="shared" si="67"/>
        <v>6</v>
      </c>
      <c r="AI157" s="224">
        <f t="shared" si="68"/>
        <v>0.66022647483316899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45070</v>
      </c>
      <c r="B158" s="409">
        <f>IF(t&gt;Tmaj,'2022'!Wh/'2022'!Env_an*'2023'!Env_an,0.001*[7]mois!$B$265)</f>
        <v>17.331393888779065</v>
      </c>
      <c r="C158" s="829"/>
      <c r="D158" s="391">
        <f t="shared" si="50"/>
        <v>17.862171857058915</v>
      </c>
      <c r="E158" s="383">
        <f t="shared" si="72"/>
        <v>18.083239349153256</v>
      </c>
      <c r="F158" s="383">
        <f t="shared" si="51"/>
        <v>18.083239349153256</v>
      </c>
      <c r="G158" s="110">
        <f t="shared" si="73"/>
        <v>0.28629262057704186</v>
      </c>
      <c r="H158" s="412" t="b">
        <f>Wh_hp&gt;='2022'!Maxi_hp</f>
        <v>0</v>
      </c>
      <c r="I158" s="379">
        <f>IF(H158,Wh_hp,'2022'!Maxi_hp)</f>
        <v>26.742649720256367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2.9715197710971197E-2</v>
      </c>
      <c r="M158" s="832"/>
      <c r="N158" s="832"/>
      <c r="O158" s="48">
        <f>IF(t&lt;Tnet,'2022'!Resal+('2022'!Salim-'2022'!Resal)*(1-EXP(('2022'!Tnet-t)/('2022'!Tau_j))),Resal+(Salim-Resal)*(1-EXP((Tnet-t)/(Tau_j))))*Salcycl</f>
        <v>1.2224993975135965E-2</v>
      </c>
      <c r="P158" s="338">
        <f>(INDEX(Models!$BJ158:$BT158,,T158)*(1-R158)+INDEX(Models!$BJ158:$BT158,,T158+1)*R158-ERP_i)*Q158*Ramure*Pc/MaxiM</f>
        <v>1.4176377305478259E-20</v>
      </c>
      <c r="Q158" s="304">
        <f t="shared" si="53"/>
        <v>0.6</v>
      </c>
      <c r="R158" s="177">
        <f t="shared" si="54"/>
        <v>0.66476025436399855</v>
      </c>
      <c r="S158" s="799">
        <f t="shared" si="55"/>
        <v>0</v>
      </c>
      <c r="T158" s="176">
        <f t="shared" si="56"/>
        <v>6</v>
      </c>
      <c r="U158" s="250">
        <f t="shared" si="57"/>
        <v>0.66476025436399855</v>
      </c>
      <c r="V158" s="382">
        <f t="shared" si="58"/>
        <v>60.537340619700515</v>
      </c>
      <c r="W158" s="400">
        <f t="shared" si="59"/>
        <v>17.331393888779065</v>
      </c>
      <c r="X158" s="157">
        <f t="shared" si="60"/>
        <v>45070</v>
      </c>
      <c r="Y158" s="383">
        <f t="shared" si="61"/>
        <v>16.881449711049008</v>
      </c>
      <c r="Z158" s="383">
        <f t="shared" si="62"/>
        <v>17.39844803425083</v>
      </c>
      <c r="AA158" s="384">
        <f t="shared" si="63"/>
        <v>18.083239349153256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3.7868840957109247E-2</v>
      </c>
      <c r="AD158" s="230">
        <f>(INDEX(Models!$BJ158:$BT158,,AH158)*(1-AF158)+INDEX(Models!$BJ158:$BT158,,AH158+1)*AF158-ERP_i)*AE158*Ramure*Pc/MaxiM</f>
        <v>1.4176377305478259E-20</v>
      </c>
      <c r="AE158" s="304">
        <f t="shared" si="65"/>
        <v>0.6</v>
      </c>
      <c r="AF158" s="177">
        <f t="shared" si="66"/>
        <v>0.66476025436399855</v>
      </c>
      <c r="AG158" s="799">
        <f t="shared" si="74"/>
        <v>0</v>
      </c>
      <c r="AH158" s="176">
        <f t="shared" si="67"/>
        <v>6</v>
      </c>
      <c r="AI158" s="224">
        <f t="shared" si="68"/>
        <v>0.66476025436399855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45071</v>
      </c>
      <c r="B159" s="409">
        <f>IF(t&gt;Tmaj,'2022'!Wh/'2022'!Env_an*'2023'!Env_an,0.001*[7]mois!$B$266)</f>
        <v>44.080042782438049</v>
      </c>
      <c r="C159" s="829"/>
      <c r="D159" s="391">
        <f t="shared" si="50"/>
        <v>45.430875015871138</v>
      </c>
      <c r="E159" s="383">
        <f t="shared" si="72"/>
        <v>45.999256538996697</v>
      </c>
      <c r="F159" s="383">
        <f t="shared" si="51"/>
        <v>45.999256538996697</v>
      </c>
      <c r="G159" s="110">
        <f t="shared" si="73"/>
        <v>0.72829001861801534</v>
      </c>
      <c r="H159" s="412" t="b">
        <f>Wh_hp&gt;='2022'!Maxi_hp</f>
        <v>0</v>
      </c>
      <c r="I159" s="379">
        <f>IF(H159,Wh_hp,'2022'!Maxi_hp)</f>
        <v>59.02247557748224</v>
      </c>
      <c r="J159" s="85">
        <f>IF(H159,An,'2022'!An_max)</f>
        <v>2020</v>
      </c>
      <c r="K159" s="197">
        <f t="shared" si="52"/>
        <v>45071</v>
      </c>
      <c r="L159" s="147">
        <f>IF(t&lt;Tvie,1-EXP((T0-t)*PertePVj)+'2022'!Pspv,1-EXP((T0-t)*PertePVj)+Pspv)</f>
        <v>2.9733792997849617E-2</v>
      </c>
      <c r="M159" s="832"/>
      <c r="N159" s="832"/>
      <c r="O159" s="48">
        <f>IF(t&lt;Tnet,'2022'!Resal+('2022'!Salim-'2022'!Resal)*(1-EXP(('2022'!Tnet-t)/('2022'!Tau_j))),Resal+(Salim-Resal)*(1-EXP((Tnet-t)/(Tau_j))))*Salcycl</f>
        <v>1.2356319773205482E-2</v>
      </c>
      <c r="P159" s="338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0.66935701978171558</v>
      </c>
      <c r="S159" s="799">
        <f t="shared" si="55"/>
        <v>0</v>
      </c>
      <c r="T159" s="176">
        <f t="shared" si="56"/>
        <v>6</v>
      </c>
      <c r="U159" s="250">
        <f t="shared" si="57"/>
        <v>0.66935701978171558</v>
      </c>
      <c r="V159" s="382">
        <f t="shared" si="58"/>
        <v>60.525397376835151</v>
      </c>
      <c r="W159" s="400">
        <f t="shared" si="59"/>
        <v>44.080042782438049</v>
      </c>
      <c r="X159" s="157">
        <f t="shared" si="60"/>
        <v>45071</v>
      </c>
      <c r="Y159" s="383">
        <f t="shared" si="61"/>
        <v>42.936024216406963</v>
      </c>
      <c r="Z159" s="383">
        <f t="shared" si="62"/>
        <v>44.251798018470829</v>
      </c>
      <c r="AA159" s="384">
        <f t="shared" si="63"/>
        <v>45.999256538996697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3.7988842690194945E-2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0.66935701978171558</v>
      </c>
      <c r="AG159" s="799">
        <f t="shared" si="74"/>
        <v>0</v>
      </c>
      <c r="AH159" s="176">
        <f t="shared" si="67"/>
        <v>6</v>
      </c>
      <c r="AI159" s="224">
        <f t="shared" si="68"/>
        <v>0.66935701978171558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45072</v>
      </c>
      <c r="B160" s="409">
        <f>IF(t&gt;Tmaj,'2022'!Wh/'2022'!Env_an*'2023'!Env_an,0.001*[7]mois!$B$267)</f>
        <v>28.757684992573285</v>
      </c>
      <c r="C160" s="829"/>
      <c r="D160" s="391">
        <f t="shared" si="50"/>
        <v>29.639531841949758</v>
      </c>
      <c r="E160" s="383">
        <f t="shared" si="72"/>
        <v>30.014341148753513</v>
      </c>
      <c r="F160" s="383">
        <f t="shared" si="51"/>
        <v>30.014341148753513</v>
      </c>
      <c r="G160" s="110">
        <f t="shared" si="73"/>
        <v>0.47524551570704998</v>
      </c>
      <c r="H160" s="412" t="b">
        <f>Wh_hp&gt;='2022'!Maxi_hp</f>
        <v>0</v>
      </c>
      <c r="I160" s="379">
        <f>IF(H160,Wh_hp,'2022'!Maxi_hp)</f>
        <v>61.793070992258549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2.9752387928353441E-2</v>
      </c>
      <c r="M160" s="832"/>
      <c r="N160" s="832"/>
      <c r="O160" s="48">
        <f>IF(t&lt;Tnet,'2022'!Resal+('2022'!Salim-'2022'!Resal)*(1-EXP(('2022'!Tnet-t)/('2022'!Tau_j))),Resal+(Salim-Resal)*(1-EXP((Tnet-t)/(Tau_j))))*Salcycl</f>
        <v>1.2487673973790372E-2</v>
      </c>
      <c r="P160" s="338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0.6740141321225479</v>
      </c>
      <c r="S160" s="799">
        <f t="shared" si="55"/>
        <v>0</v>
      </c>
      <c r="T160" s="176">
        <f t="shared" si="56"/>
        <v>6</v>
      </c>
      <c r="U160" s="250">
        <f t="shared" si="57"/>
        <v>0.6740141321225479</v>
      </c>
      <c r="V160" s="382">
        <f t="shared" si="58"/>
        <v>60.511217974963593</v>
      </c>
      <c r="W160" s="400">
        <f t="shared" si="59"/>
        <v>28.757684992573285</v>
      </c>
      <c r="X160" s="157">
        <f t="shared" si="60"/>
        <v>45072</v>
      </c>
      <c r="Y160" s="383">
        <f t="shared" si="61"/>
        <v>28.01156168882585</v>
      </c>
      <c r="Z160" s="383">
        <f t="shared" si="62"/>
        <v>28.870528863262358</v>
      </c>
      <c r="AA160" s="384">
        <f t="shared" si="63"/>
        <v>30.014341148753513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3.8108858689328791E-2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0.6740141321225479</v>
      </c>
      <c r="AG160" s="799">
        <f t="shared" si="74"/>
        <v>0</v>
      </c>
      <c r="AH160" s="176">
        <f t="shared" si="67"/>
        <v>6</v>
      </c>
      <c r="AI160" s="224">
        <f t="shared" si="68"/>
        <v>0.6740141321225479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45073</v>
      </c>
      <c r="B161" s="409">
        <f>IF(t&gt;Tmaj,'2022'!Wh/'2022'!Env_an*'2023'!Env_an,0.001*[7]mois!$B$268)</f>
        <v>45.617688135423435</v>
      </c>
      <c r="C161" s="829"/>
      <c r="D161" s="391">
        <f t="shared" si="50"/>
        <v>47.017443626953259</v>
      </c>
      <c r="E161" s="383">
        <f t="shared" si="72"/>
        <v>47.618341654768791</v>
      </c>
      <c r="F161" s="383">
        <f t="shared" si="51"/>
        <v>47.618341654768791</v>
      </c>
      <c r="G161" s="110">
        <f t="shared" si="73"/>
        <v>0.75407485018699716</v>
      </c>
      <c r="H161" s="412" t="b">
        <f>Wh_hp&gt;='2022'!Maxi_hp</f>
        <v>0</v>
      </c>
      <c r="I161" s="379">
        <f>IF(H161,Wh_hp,'2022'!Maxi_hp)</f>
        <v>61.558653979625923</v>
      </c>
      <c r="J161" s="85">
        <f>IF(H161,An,'2022'!An_max)</f>
        <v>2020</v>
      </c>
      <c r="K161" s="197">
        <f t="shared" si="52"/>
        <v>45073</v>
      </c>
      <c r="L161" s="147">
        <f>IF(t&lt;Tvie,1-EXP((T0-t)*PertePVj)+'2022'!Pspv,1-EXP((T0-t)*PertePVj)+Pspv)</f>
        <v>2.9770982502489773E-2</v>
      </c>
      <c r="M161" s="832"/>
      <c r="N161" s="832"/>
      <c r="O161" s="48">
        <f>IF(t&lt;Tnet,'2022'!Resal+('2022'!Salim-'2022'!Resal)*(1-EXP(('2022'!Tnet-t)/('2022'!Tau_j))),Resal+(Salim-Resal)*(1-EXP((Tnet-t)/(Tau_j))))*Salcycl</f>
        <v>1.2619045664631099E-2</v>
      </c>
      <c r="P161" s="338">
        <f>(INDEX(Models!$BJ161:$BT161,,T161)*(1-R161)+INDEX(Models!$BJ161:$BT161,,T161+1)*R161-ERP_i)*Q161*Ramure*Pc/MaxiM</f>
        <v>0</v>
      </c>
      <c r="Q161" s="304">
        <f t="shared" si="53"/>
        <v>0.6</v>
      </c>
      <c r="R161" s="177">
        <f t="shared" si="54"/>
        <v>0.67872877951352373</v>
      </c>
      <c r="S161" s="799">
        <f t="shared" si="55"/>
        <v>0</v>
      </c>
      <c r="T161" s="176">
        <f t="shared" si="56"/>
        <v>6</v>
      </c>
      <c r="U161" s="250">
        <f t="shared" si="57"/>
        <v>0.67872877951352373</v>
      </c>
      <c r="V161" s="382">
        <f t="shared" si="58"/>
        <v>60.49490726830507</v>
      </c>
      <c r="W161" s="400">
        <f t="shared" si="59"/>
        <v>45.617688135423435</v>
      </c>
      <c r="X161" s="157">
        <f t="shared" si="60"/>
        <v>45073</v>
      </c>
      <c r="Y161" s="383">
        <f t="shared" si="61"/>
        <v>44.434497032862097</v>
      </c>
      <c r="Z161" s="383">
        <f t="shared" si="62"/>
        <v>45.797946908938044</v>
      </c>
      <c r="AA161" s="384">
        <f t="shared" si="63"/>
        <v>47.618341654768791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3.8228856414793698E-2</v>
      </c>
      <c r="AD161" s="230">
        <f>(INDEX(Models!$BJ161:$BT161,,AH161)*(1-AF161)+INDEX(Models!$BJ161:$BT161,,AH161+1)*AF161-ERP_i)*AE161*Ramure*Pc/MaxiM</f>
        <v>0</v>
      </c>
      <c r="AE161" s="304">
        <f t="shared" si="65"/>
        <v>0.6</v>
      </c>
      <c r="AF161" s="177">
        <f t="shared" si="66"/>
        <v>0.67872877951352373</v>
      </c>
      <c r="AG161" s="799">
        <f t="shared" si="74"/>
        <v>0</v>
      </c>
      <c r="AH161" s="176">
        <f t="shared" si="67"/>
        <v>6</v>
      </c>
      <c r="AI161" s="224">
        <f t="shared" si="68"/>
        <v>0.67872877951352373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45074</v>
      </c>
      <c r="B162" s="409">
        <f>IF(t&gt;Tmaj,'2022'!Wh/'2022'!Env_an*'2023'!Env_an,0.001*[7]mois!$B$269)</f>
        <v>56.764923306861057</v>
      </c>
      <c r="C162" s="829"/>
      <c r="D162" s="391">
        <f t="shared" si="50"/>
        <v>58.507847313133205</v>
      </c>
      <c r="E162" s="383">
        <f t="shared" si="72"/>
        <v>59.263481800267343</v>
      </c>
      <c r="F162" s="383">
        <f t="shared" si="51"/>
        <v>59.263481800267343</v>
      </c>
      <c r="G162" s="110">
        <f t="shared" si="73"/>
        <v>0.93862669846152225</v>
      </c>
      <c r="H162" s="412" t="b">
        <f>Wh_hp&gt;='2022'!Maxi_hp</f>
        <v>0</v>
      </c>
      <c r="I162" s="379">
        <f>IF(H162,Wh_hp,'2022'!Maxi_hp)</f>
        <v>60.976736931549574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2.9789576720265276E-2</v>
      </c>
      <c r="M162" s="832"/>
      <c r="N162" s="832"/>
      <c r="O162" s="48">
        <f>IF(t&lt;Tnet,'2022'!Resal+('2022'!Salim-'2022'!Resal)*(1-EXP(('2022'!Tnet-t)/('2022'!Tau_j))),Resal+(Salim-Resal)*(1-EXP((Tnet-t)/(Tau_j))))*Salcycl</f>
        <v>1.2750423434127835E-2</v>
      </c>
      <c r="P162" s="338">
        <f>(INDEX(Models!$BJ162:$BT162,,T162)*(1-R162)+INDEX(Models!$BJ162:$BT162,,T162+1)*R162-ERP_i)*Q162*Ramure*Pc/MaxiM</f>
        <v>0</v>
      </c>
      <c r="Q162" s="304">
        <f t="shared" si="53"/>
        <v>0.6</v>
      </c>
      <c r="R162" s="177">
        <f t="shared" si="54"/>
        <v>0.68349798189506616</v>
      </c>
      <c r="S162" s="799">
        <f t="shared" si="55"/>
        <v>0</v>
      </c>
      <c r="T162" s="176">
        <f t="shared" si="56"/>
        <v>6</v>
      </c>
      <c r="U162" s="250">
        <f t="shared" si="57"/>
        <v>0.68349798189506616</v>
      </c>
      <c r="V162" s="382">
        <f t="shared" si="58"/>
        <v>60.476570078288759</v>
      </c>
      <c r="W162" s="400">
        <f t="shared" si="59"/>
        <v>56.764923306861057</v>
      </c>
      <c r="X162" s="157">
        <f t="shared" si="60"/>
        <v>45074</v>
      </c>
      <c r="Y162" s="383">
        <f t="shared" si="61"/>
        <v>55.293066469976402</v>
      </c>
      <c r="Z162" s="383">
        <f t="shared" si="62"/>
        <v>56.990798226081409</v>
      </c>
      <c r="AA162" s="384">
        <f t="shared" si="63"/>
        <v>59.263481800267343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3.8348802755893481E-2</v>
      </c>
      <c r="AD162" s="230">
        <f>(INDEX(Models!$BJ162:$BT162,,AH162)*(1-AF162)+INDEX(Models!$BJ162:$BT162,,AH162+1)*AF162-ERP_i)*AE162*Ramure*Pc/MaxiM</f>
        <v>0</v>
      </c>
      <c r="AE162" s="304">
        <f t="shared" si="65"/>
        <v>0.6</v>
      </c>
      <c r="AF162" s="177">
        <f t="shared" si="66"/>
        <v>0.68349798189506616</v>
      </c>
      <c r="AG162" s="799">
        <f t="shared" si="74"/>
        <v>0</v>
      </c>
      <c r="AH162" s="176">
        <f t="shared" si="67"/>
        <v>6</v>
      </c>
      <c r="AI162" s="224">
        <f t="shared" si="68"/>
        <v>0.68349798189506616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45075</v>
      </c>
      <c r="B163" s="409">
        <f>IF(t&gt;Tmaj,'2022'!Wh/'2022'!Env_an*'2023'!Env_an,0.001*[7]mois!$B$270)</f>
        <v>61.408712789031142</v>
      </c>
      <c r="C163" s="829"/>
      <c r="D163" s="391">
        <f t="shared" si="50"/>
        <v>63.295433879142507</v>
      </c>
      <c r="E163" s="383">
        <f t="shared" si="72"/>
        <v>64.121433060958893</v>
      </c>
      <c r="F163" s="383">
        <f t="shared" si="51"/>
        <v>64.121433060958893</v>
      </c>
      <c r="G163" s="110">
        <f t="shared" si="73"/>
        <v>1.0157616376594198</v>
      </c>
      <c r="H163" s="412" t="b">
        <f>Wh_hp&gt;='2022'!Maxi_hp</f>
        <v>1</v>
      </c>
      <c r="I163" s="379">
        <f>IF(H163,Wh_hp,'2022'!Maxi_hp)</f>
        <v>64.121433060958893</v>
      </c>
      <c r="J163" s="85">
        <f>IF(H163,An,'2022'!An_max)</f>
        <v>2023</v>
      </c>
      <c r="K163" s="197">
        <f t="shared" si="52"/>
        <v>45075</v>
      </c>
      <c r="L163" s="147">
        <f>IF(t&lt;Tvie,1-EXP((T0-t)*PertePVj)+'2022'!Pspv,1-EXP((T0-t)*PertePVj)+Pspv)</f>
        <v>2.9808170581686944E-2</v>
      </c>
      <c r="M163" s="832"/>
      <c r="N163" s="832"/>
      <c r="O163" s="48">
        <f>IF(t&lt;Tnet,'2022'!Resal+('2022'!Salim-'2022'!Resal)*(1-EXP(('2022'!Tnet-t)/('2022'!Tau_j))),Resal+(Salim-Resal)*(1-EXP((Tnet-t)/(Tau_j))))*Salcycl</f>
        <v>1.2881795405775201E-2</v>
      </c>
      <c r="P163" s="338">
        <f>(INDEX(Models!$BJ163:$BT163,,T163)*(1-R163)+INDEX(Models!$BJ163:$BT163,,T163+1)*R163-ERP_i)*Q163*Ramure*Pc/MaxiM</f>
        <v>1.4849088892227716E-20</v>
      </c>
      <c r="Q163" s="304">
        <f t="shared" si="53"/>
        <v>0.6</v>
      </c>
      <c r="R163" s="177">
        <f t="shared" si="54"/>
        <v>0.68831859672628815</v>
      </c>
      <c r="S163" s="799">
        <f t="shared" si="55"/>
        <v>0</v>
      </c>
      <c r="T163" s="176">
        <f t="shared" si="56"/>
        <v>6</v>
      </c>
      <c r="U163" s="250">
        <f t="shared" si="57"/>
        <v>0.68831859672628815</v>
      </c>
      <c r="V163" s="382">
        <f t="shared" si="58"/>
        <v>60.455829903689668</v>
      </c>
      <c r="W163" s="400">
        <f t="shared" si="59"/>
        <v>61.408712789031142</v>
      </c>
      <c r="X163" s="157">
        <f t="shared" si="60"/>
        <v>45075</v>
      </c>
      <c r="Y163" s="383">
        <f t="shared" si="61"/>
        <v>59.81695137082248</v>
      </c>
      <c r="Z163" s="383">
        <f t="shared" si="62"/>
        <v>61.654767188346916</v>
      </c>
      <c r="AA163" s="384">
        <f t="shared" si="63"/>
        <v>64.121433060958893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3.8468664140225463E-2</v>
      </c>
      <c r="AD163" s="230">
        <f>(INDEX(Models!$BJ163:$BT163,,AH163)*(1-AF163)+INDEX(Models!$BJ163:$BT163,,AH163+1)*AF163-ERP_i)*AE163*Ramure*Pc/MaxiM</f>
        <v>1.4849088892227716E-20</v>
      </c>
      <c r="AE163" s="304">
        <f t="shared" si="65"/>
        <v>0.6</v>
      </c>
      <c r="AF163" s="177">
        <f t="shared" si="66"/>
        <v>0.68831859672628815</v>
      </c>
      <c r="AG163" s="799">
        <f t="shared" si="74"/>
        <v>0</v>
      </c>
      <c r="AH163" s="176">
        <f t="shared" si="67"/>
        <v>6</v>
      </c>
      <c r="AI163" s="224">
        <f t="shared" si="68"/>
        <v>0.68831859672628815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45076</v>
      </c>
      <c r="B164" s="409">
        <f>IF(t&gt;Tmaj,'2022'!Wh/'2022'!Env_an*'2023'!Env_an,0.001*[7]mois!$B$271)</f>
        <v>49.557936077561536</v>
      </c>
      <c r="C164" s="829"/>
      <c r="D164" s="391">
        <f t="shared" si="50"/>
        <v>51.081532908823135</v>
      </c>
      <c r="E164" s="383">
        <f t="shared" si="72"/>
        <v>51.755028824699089</v>
      </c>
      <c r="F164" s="383">
        <f t="shared" si="51"/>
        <v>51.755028824699089</v>
      </c>
      <c r="G164" s="110">
        <f t="shared" si="73"/>
        <v>0.8200569475233237</v>
      </c>
      <c r="H164" s="412" t="b">
        <f>Wh_hp&gt;='2022'!Maxi_hp</f>
        <v>0</v>
      </c>
      <c r="I164" s="379">
        <f>IF(H164,Wh_hp,'2022'!Maxi_hp)</f>
        <v>59.216456207612119</v>
      </c>
      <c r="J164" s="85">
        <f>IF(H164,An,'2022'!An_max)</f>
        <v>2020</v>
      </c>
      <c r="K164" s="197">
        <f t="shared" si="52"/>
        <v>45076</v>
      </c>
      <c r="L164" s="147">
        <f>IF(t&lt;Tvie,1-EXP((T0-t)*PertePVj)+'2022'!Pspv,1-EXP((T0-t)*PertePVj)+Pspv)</f>
        <v>2.9826764086761326E-2</v>
      </c>
      <c r="M164" s="832"/>
      <c r="N164" s="832"/>
      <c r="O164" s="48">
        <f>IF(t&lt;Tnet,'2022'!Resal+('2022'!Salim-'2022'!Resal)*(1-EXP(('2022'!Tnet-t)/('2022'!Tau_j))),Resal+(Salim-Resal)*(1-EXP((Tnet-t)/(Tau_j))))*Salcycl</f>
        <v>1.3013149275931618E-2</v>
      </c>
      <c r="P164" s="338">
        <f>(INDEX(Models!$BJ164:$BT164,,T164)*(1-R164)+INDEX(Models!$BJ164:$BT164,,T164+1)*R164-ERP_i)*Q164*Ramure*Pc/MaxiM</f>
        <v>-1.4984068661935007E-20</v>
      </c>
      <c r="Q164" s="304">
        <f t="shared" si="53"/>
        <v>0.6</v>
      </c>
      <c r="R164" s="177">
        <f t="shared" si="54"/>
        <v>0.69318732566637564</v>
      </c>
      <c r="S164" s="799">
        <f t="shared" si="55"/>
        <v>0</v>
      </c>
      <c r="T164" s="176">
        <f t="shared" si="56"/>
        <v>6</v>
      </c>
      <c r="U164" s="250">
        <f t="shared" si="57"/>
        <v>0.69318732566637564</v>
      </c>
      <c r="V164" s="382">
        <f t="shared" si="58"/>
        <v>60.432310496524423</v>
      </c>
      <c r="W164" s="400">
        <f t="shared" si="59"/>
        <v>49.557936077561536</v>
      </c>
      <c r="X164" s="157">
        <f t="shared" si="60"/>
        <v>45076</v>
      </c>
      <c r="Y164" s="383">
        <f t="shared" si="61"/>
        <v>48.273768037137707</v>
      </c>
      <c r="Z164" s="383">
        <f t="shared" si="62"/>
        <v>49.757884726326097</v>
      </c>
      <c r="AA164" s="384">
        <f t="shared" si="63"/>
        <v>51.755028824699089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3.8588406648126482E-2</v>
      </c>
      <c r="AD164" s="230">
        <f>(INDEX(Models!$BJ164:$BT164,,AH164)*(1-AF164)+INDEX(Models!$BJ164:$BT164,,AH164+1)*AF164-ERP_i)*AE164*Ramure*Pc/MaxiM</f>
        <v>-1.4984068661935007E-20</v>
      </c>
      <c r="AE164" s="304">
        <f t="shared" si="65"/>
        <v>0.6</v>
      </c>
      <c r="AF164" s="177">
        <f t="shared" si="66"/>
        <v>0.69318732566637564</v>
      </c>
      <c r="AG164" s="799">
        <f t="shared" si="74"/>
        <v>0</v>
      </c>
      <c r="AH164" s="176">
        <f t="shared" si="67"/>
        <v>6</v>
      </c>
      <c r="AI164" s="224">
        <f t="shared" si="68"/>
        <v>0.69318732566637564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45077</v>
      </c>
      <c r="B165" s="409">
        <f>IF(t&gt;Tmaj,'2022'!Wh/'2022'!Env_an*'2023'!Env_an,0.001*[7]mois!$B$272)</f>
        <v>55.517514084645534</v>
      </c>
      <c r="C165" s="829"/>
      <c r="D165" s="391">
        <f t="shared" si="50"/>
        <v>57.225427408609399</v>
      </c>
      <c r="E165" s="383">
        <f t="shared" si="72"/>
        <v>57.987644397308202</v>
      </c>
      <c r="F165" s="383">
        <f t="shared" si="51"/>
        <v>57.987644397308202</v>
      </c>
      <c r="G165" s="110">
        <f t="shared" si="73"/>
        <v>0.91907106159188368</v>
      </c>
      <c r="H165" s="412" t="b">
        <f>Wh_hp&gt;='2022'!Maxi_hp</f>
        <v>0</v>
      </c>
      <c r="I165" s="379">
        <f>IF(H165,Wh_hp,'2022'!Maxi_hp)</f>
        <v>62.494074168087401</v>
      </c>
      <c r="J165" s="85">
        <f>IF(H165,An,'2022'!An_max)</f>
        <v>2020</v>
      </c>
      <c r="K165" s="197">
        <f t="shared" si="52"/>
        <v>45077</v>
      </c>
      <c r="L165" s="147">
        <f>IF(t&lt;Tvie,1-EXP((T0-t)*PertePVj)+'2022'!Pspv,1-EXP((T0-t)*PertePVj)+Pspv)</f>
        <v>2.9845357235495529E-2</v>
      </c>
      <c r="M165" s="832"/>
      <c r="N165" s="832"/>
      <c r="O165" s="48">
        <f>IF(t&lt;Tnet,'2022'!Resal+('2022'!Salim-'2022'!Resal)*(1-EXP(('2022'!Tnet-t)/('2022'!Tau_j))),Resal+(Salim-Resal)*(1-EXP((Tnet-t)/(Tau_j))))*Salcycl</f>
        <v>1.3144472354772655E-2</v>
      </c>
      <c r="P165" s="338">
        <f>(INDEX(Models!$BJ165:$BT165,,T165)*(1-R165)+INDEX(Models!$BJ165:$BT165,,T165+1)*R165-ERP_i)*Q165*Ramure*Pc/MaxiM</f>
        <v>-1.5118919028189246E-20</v>
      </c>
      <c r="Q165" s="304">
        <f t="shared" si="53"/>
        <v>0.6</v>
      </c>
      <c r="R165" s="177">
        <f t="shared" si="54"/>
        <v>0.69810072221600239</v>
      </c>
      <c r="S165" s="799">
        <f t="shared" si="55"/>
        <v>0</v>
      </c>
      <c r="T165" s="176">
        <f t="shared" si="56"/>
        <v>6</v>
      </c>
      <c r="U165" s="250">
        <f t="shared" si="57"/>
        <v>0.69810072221600239</v>
      </c>
      <c r="V165" s="382">
        <f t="shared" si="58"/>
        <v>60.406117007411837</v>
      </c>
      <c r="W165" s="400">
        <f t="shared" si="59"/>
        <v>55.517514084645534</v>
      </c>
      <c r="X165" s="157">
        <f t="shared" si="60"/>
        <v>45077</v>
      </c>
      <c r="Y165" s="383">
        <f t="shared" si="61"/>
        <v>54.079387376549867</v>
      </c>
      <c r="Z165" s="383">
        <f t="shared" si="62"/>
        <v>55.743058882291109</v>
      </c>
      <c r="AA165" s="384">
        <f t="shared" si="63"/>
        <v>57.987644397308202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3.8707996131694768E-2</v>
      </c>
      <c r="AD165" s="230">
        <f>(INDEX(Models!$BJ165:$BT165,,AH165)*(1-AF165)+INDEX(Models!$BJ165:$BT165,,AH165+1)*AF165-ERP_i)*AE165*Ramure*Pc/MaxiM</f>
        <v>-1.5118919028189246E-20</v>
      </c>
      <c r="AE165" s="304">
        <f t="shared" si="65"/>
        <v>0.6</v>
      </c>
      <c r="AF165" s="177">
        <f t="shared" si="66"/>
        <v>0.69810072221600239</v>
      </c>
      <c r="AG165" s="799">
        <f t="shared" si="74"/>
        <v>0</v>
      </c>
      <c r="AH165" s="176">
        <f t="shared" si="67"/>
        <v>6</v>
      </c>
      <c r="AI165" s="224">
        <f t="shared" si="68"/>
        <v>0.69810072221600239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45078</v>
      </c>
      <c r="B166" s="409">
        <f>IF(t&gt;Tmaj,'2022'!Wh/'2022'!Env_an*'2023'!Env_an,0.001*'[8]mon-tableau'!$B$235)</f>
        <v>57.570798897020971</v>
      </c>
      <c r="C166" s="829"/>
      <c r="D166" s="391">
        <f t="shared" si="50"/>
        <v>59.34301575400319</v>
      </c>
      <c r="E166" s="383">
        <f t="shared" si="72"/>
        <v>60.141438553725308</v>
      </c>
      <c r="F166" s="383">
        <f t="shared" si="51"/>
        <v>60.141438553725308</v>
      </c>
      <c r="G166" s="110">
        <f t="shared" si="73"/>
        <v>0.95351641909032669</v>
      </c>
      <c r="H166" s="412" t="b">
        <f>Wh_hp&gt;='2022'!Maxi_hp</f>
        <v>0</v>
      </c>
      <c r="I166" s="379">
        <f>IF(H166,Wh_hp,'2022'!Maxi_hp)</f>
        <v>63.527407036379969</v>
      </c>
      <c r="J166" s="85">
        <f>IF(H166,An,'2022'!An_max)</f>
        <v>2018</v>
      </c>
      <c r="K166" s="197">
        <f t="shared" si="52"/>
        <v>45078</v>
      </c>
      <c r="L166" s="147">
        <f>IF(t&lt;Tvie,1-EXP((T0-t)*PertePVj)+'2022'!Pspv,1-EXP((T0-t)*PertePVj)+Pspv)</f>
        <v>2.9863950027896324E-2</v>
      </c>
      <c r="M166" s="832"/>
      <c r="N166" s="832"/>
      <c r="O166" s="48">
        <f>IF(t&lt;Tnet,'2022'!Resal+('2022'!Salim-'2022'!Resal)*(1-EXP(('2022'!Tnet-t)/('2022'!Tau_j))),Resal+(Salim-Resal)*(1-EXP((Tnet-t)/(Tau_j))))*Salcycl</f>
        <v>1.3275751610245854E-2</v>
      </c>
      <c r="P166" s="338">
        <f>(INDEX(Models!$BJ166:$BT166,,T166)*(1-R166)+INDEX(Models!$BJ166:$BT166,,T166+1)*R166-ERP_i)*Q166*Ramure*Pc/MaxiM</f>
        <v>0</v>
      </c>
      <c r="Q166" s="304">
        <f t="shared" si="53"/>
        <v>0.6</v>
      </c>
      <c r="R166" s="177">
        <f t="shared" si="54"/>
        <v>0.70305520029308477</v>
      </c>
      <c r="S166" s="799">
        <f t="shared" si="55"/>
        <v>0</v>
      </c>
      <c r="T166" s="176">
        <f t="shared" si="56"/>
        <v>6</v>
      </c>
      <c r="U166" s="250">
        <f t="shared" si="57"/>
        <v>0.70305520029308477</v>
      </c>
      <c r="V166" s="382">
        <f t="shared" si="58"/>
        <v>60.377354541985383</v>
      </c>
      <c r="W166" s="400">
        <f t="shared" si="59"/>
        <v>57.570798897020971</v>
      </c>
      <c r="X166" s="157">
        <f t="shared" si="60"/>
        <v>45078</v>
      </c>
      <c r="Y166" s="383">
        <f t="shared" si="61"/>
        <v>56.079978419429011</v>
      </c>
      <c r="Z166" s="383">
        <f t="shared" si="62"/>
        <v>57.806302962395421</v>
      </c>
      <c r="AA166" s="384">
        <f t="shared" si="63"/>
        <v>60.141438553725308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3.8827398337734742E-2</v>
      </c>
      <c r="AD166" s="230">
        <f>(INDEX(Models!$BJ166:$BT166,,AH166)*(1-AF166)+INDEX(Models!$BJ166:$BT166,,AH166+1)*AF166-ERP_i)*AE166*Ramure*Pc/MaxiM</f>
        <v>0</v>
      </c>
      <c r="AE166" s="304">
        <f t="shared" si="65"/>
        <v>0.6</v>
      </c>
      <c r="AF166" s="177">
        <f t="shared" si="66"/>
        <v>0.70305520029308477</v>
      </c>
      <c r="AG166" s="799">
        <f t="shared" si="74"/>
        <v>0</v>
      </c>
      <c r="AH166" s="176">
        <f t="shared" si="67"/>
        <v>6</v>
      </c>
      <c r="AI166" s="224">
        <f t="shared" si="68"/>
        <v>0.70305520029308477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45079</v>
      </c>
      <c r="B167" s="409">
        <f>IF(t&gt;Tmaj,'2022'!Wh/'2022'!Env_an*'2023'!Env_an,0.001*'[8]mon-tableau'!$B$236)</f>
        <v>43.54024388862576</v>
      </c>
      <c r="C167" s="829"/>
      <c r="D167" s="391">
        <f t="shared" si="50"/>
        <v>44.881414668294127</v>
      </c>
      <c r="E167" s="383">
        <f t="shared" si="72"/>
        <v>45.491315539991128</v>
      </c>
      <c r="F167" s="383">
        <f t="shared" si="51"/>
        <v>45.491315539991128</v>
      </c>
      <c r="G167" s="110">
        <f t="shared" si="73"/>
        <v>0.72150849137454043</v>
      </c>
      <c r="H167" s="412" t="b">
        <f>Wh_hp&gt;='2022'!Maxi_hp</f>
        <v>0</v>
      </c>
      <c r="I167" s="379">
        <f>IF(H167,Wh_hp,'2022'!Maxi_hp)</f>
        <v>63.013679668505368</v>
      </c>
      <c r="J167" s="85">
        <f>IF(H167,An,'2022'!An_max)</f>
        <v>2018</v>
      </c>
      <c r="K167" s="197">
        <f t="shared" si="52"/>
        <v>45079</v>
      </c>
      <c r="L167" s="147">
        <f>IF(t&lt;Tvie,1-EXP((T0-t)*PertePVj)+'2022'!Pspv,1-EXP((T0-t)*PertePVj)+Pspv)</f>
        <v>2.9882542463970485E-2</v>
      </c>
      <c r="M167" s="832"/>
      <c r="N167" s="832"/>
      <c r="O167" s="48">
        <f>IF(t&lt;Tnet,'2022'!Resal+('2022'!Salim-'2022'!Resal)*(1-EXP(('2022'!Tnet-t)/('2022'!Tau_j))),Resal+(Salim-Resal)*(1-EXP((Tnet-t)/(Tau_j))))*Salcycl</f>
        <v>1.3406973714814708E-2</v>
      </c>
      <c r="P167" s="338">
        <f>(INDEX(Models!$BJ167:$BT167,,T167)*(1-R167)+INDEX(Models!$BJ167:$BT167,,T167+1)*R167-ERP_i)*Q167*Ramure*Pc/MaxiM</f>
        <v>1.5387549871256607E-20</v>
      </c>
      <c r="Q167" s="304">
        <f t="shared" si="53"/>
        <v>0.6</v>
      </c>
      <c r="R167" s="177">
        <f t="shared" si="54"/>
        <v>0.70804704370749727</v>
      </c>
      <c r="S167" s="799">
        <f t="shared" si="55"/>
        <v>0</v>
      </c>
      <c r="T167" s="176">
        <f t="shared" si="56"/>
        <v>6</v>
      </c>
      <c r="U167" s="250">
        <f t="shared" si="57"/>
        <v>0.70804704370749727</v>
      </c>
      <c r="V167" s="382">
        <f t="shared" si="58"/>
        <v>60.346128159458765</v>
      </c>
      <c r="W167" s="400">
        <f t="shared" si="59"/>
        <v>43.54024388862576</v>
      </c>
      <c r="X167" s="157">
        <f t="shared" si="60"/>
        <v>45079</v>
      </c>
      <c r="Y167" s="383">
        <f t="shared" si="61"/>
        <v>42.413132085899768</v>
      </c>
      <c r="Z167" s="383">
        <f t="shared" si="62"/>
        <v>43.719584423955766</v>
      </c>
      <c r="AA167" s="384">
        <f t="shared" si="63"/>
        <v>45.491315539991128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3.8946579033922346E-2</v>
      </c>
      <c r="AD167" s="230">
        <f>(INDEX(Models!$BJ167:$BT167,,AH167)*(1-AF167)+INDEX(Models!$BJ167:$BT167,,AH167+1)*AF167-ERP_i)*AE167*Ramure*Pc/MaxiM</f>
        <v>1.5387549871256607E-20</v>
      </c>
      <c r="AE167" s="304">
        <f t="shared" si="65"/>
        <v>0.6</v>
      </c>
      <c r="AF167" s="177">
        <f t="shared" si="66"/>
        <v>0.70804704370749727</v>
      </c>
      <c r="AG167" s="799">
        <f t="shared" si="74"/>
        <v>0</v>
      </c>
      <c r="AH167" s="176">
        <f t="shared" si="67"/>
        <v>6</v>
      </c>
      <c r="AI167" s="224">
        <f t="shared" si="68"/>
        <v>0.70804704370749727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45080</v>
      </c>
      <c r="B168" s="409">
        <f>IF(t&gt;Tmaj,'2022'!Wh/'2022'!Env_an*'2023'!Env_an,0.001*'[8]mon-tableau'!$B$237)</f>
        <v>57.152684691822031</v>
      </c>
      <c r="C168" s="829"/>
      <c r="D168" s="391">
        <f t="shared" si="50"/>
        <v>58.914288766785539</v>
      </c>
      <c r="E168" s="383">
        <f t="shared" si="72"/>
        <v>59.722823826763985</v>
      </c>
      <c r="F168" s="383">
        <f t="shared" si="51"/>
        <v>59.722823826763985</v>
      </c>
      <c r="G168" s="110">
        <f t="shared" si="73"/>
        <v>0.94760860629198485</v>
      </c>
      <c r="H168" s="412" t="b">
        <f>Wh_hp&gt;='2022'!Maxi_hp</f>
        <v>1</v>
      </c>
      <c r="I168" s="379">
        <f>IF(H168,Wh_hp,'2022'!Maxi_hp)</f>
        <v>59.722823826763985</v>
      </c>
      <c r="J168" s="85">
        <f>IF(H168,An,'2022'!An_max)</f>
        <v>2023</v>
      </c>
      <c r="K168" s="197">
        <f t="shared" si="52"/>
        <v>45080</v>
      </c>
      <c r="L168" s="147">
        <f>IF(t&lt;Tvie,1-EXP((T0-t)*PertePVj)+'2022'!Pspv,1-EXP((T0-t)*PertePVj)+Pspv)</f>
        <v>2.9901134543724783E-2</v>
      </c>
      <c r="M168" s="832"/>
      <c r="N168" s="832"/>
      <c r="O168" s="48">
        <f>IF(t&lt;Tnet,'2022'!Resal+('2022'!Salim-'2022'!Resal)*(1-EXP(('2022'!Tnet-t)/('2022'!Tau_j))),Resal+(Salim-Resal)*(1-EXP((Tnet-t)/(Tau_j))))*Salcycl</f>
        <v>1.3538125094749982E-2</v>
      </c>
      <c r="P168" s="338">
        <f>(INDEX(Models!$BJ168:$BT168,,T168)*(1-R168)+INDEX(Models!$BJ168:$BT168,,T168+1)*R168-ERP_i)*Q168*Ramure*Pc/MaxiM</f>
        <v>0</v>
      </c>
      <c r="Q168" s="304">
        <f t="shared" si="53"/>
        <v>0.6</v>
      </c>
      <c r="R168" s="177">
        <f t="shared" si="54"/>
        <v>0.71307241648976916</v>
      </c>
      <c r="S168" s="799">
        <f t="shared" si="55"/>
        <v>0</v>
      </c>
      <c r="T168" s="176">
        <f t="shared" si="56"/>
        <v>6</v>
      </c>
      <c r="U168" s="250">
        <f t="shared" si="57"/>
        <v>0.71307241648976916</v>
      </c>
      <c r="V168" s="382">
        <f t="shared" si="58"/>
        <v>60.312542870903059</v>
      </c>
      <c r="W168" s="400">
        <f t="shared" si="59"/>
        <v>57.152684691822031</v>
      </c>
      <c r="X168" s="157">
        <f t="shared" si="60"/>
        <v>45080</v>
      </c>
      <c r="Y168" s="383">
        <f t="shared" si="61"/>
        <v>55.673703818307999</v>
      </c>
      <c r="Z168" s="383">
        <f t="shared" si="62"/>
        <v>57.389721605459762</v>
      </c>
      <c r="AA168" s="384">
        <f t="shared" si="63"/>
        <v>59.722823826763985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3.9065504137442968E-2</v>
      </c>
      <c r="AD168" s="230">
        <f>(INDEX(Models!$BJ168:$BT168,,AH168)*(1-AF168)+INDEX(Models!$BJ168:$BT168,,AH168+1)*AF168-ERP_i)*AE168*Ramure*Pc/MaxiM</f>
        <v>0</v>
      </c>
      <c r="AE168" s="304">
        <f t="shared" si="65"/>
        <v>0.6</v>
      </c>
      <c r="AF168" s="177">
        <f t="shared" si="66"/>
        <v>0.71307241648976916</v>
      </c>
      <c r="AG168" s="799">
        <f t="shared" si="74"/>
        <v>0</v>
      </c>
      <c r="AH168" s="176">
        <f t="shared" si="67"/>
        <v>6</v>
      </c>
      <c r="AI168" s="224">
        <f t="shared" si="68"/>
        <v>0.71307241648976916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45081</v>
      </c>
      <c r="B169" s="409">
        <f>IF(t&gt;Tmaj,'2022'!Wh/'2022'!Env_an*'2023'!Env_an,0.001*'[8]mon-tableau'!$B$238)</f>
        <v>25.86008983922283</v>
      </c>
      <c r="C169" s="829"/>
      <c r="D169" s="391">
        <f t="shared" si="50"/>
        <v>26.657680337848884</v>
      </c>
      <c r="E169" s="383">
        <f t="shared" si="72"/>
        <v>27.02711921916795</v>
      </c>
      <c r="F169" s="383">
        <f t="shared" si="51"/>
        <v>27.02711921916795</v>
      </c>
      <c r="G169" s="110">
        <f t="shared" si="73"/>
        <v>0.42902296046229349</v>
      </c>
      <c r="H169" s="412" t="b">
        <f>Wh_hp&gt;='2022'!Maxi_hp</f>
        <v>0</v>
      </c>
      <c r="I169" s="379">
        <f>IF(H169,Wh_hp,'2022'!Maxi_hp)</f>
        <v>59.234814387524935</v>
      </c>
      <c r="J169" s="85">
        <f>IF(H169,An,'2022'!An_max)</f>
        <v>2018</v>
      </c>
      <c r="K169" s="197">
        <f t="shared" si="52"/>
        <v>45081</v>
      </c>
      <c r="L169" s="147">
        <f>IF(t&lt;Tvie,1-EXP((T0-t)*PertePVj)+'2022'!Pspv,1-EXP((T0-t)*PertePVj)+Pspv)</f>
        <v>2.9919726267166102E-2</v>
      </c>
      <c r="M169" s="832"/>
      <c r="N169" s="832"/>
      <c r="O169" s="48">
        <f>IF(t&lt;Tnet,'2022'!Resal+('2022'!Salim-'2022'!Resal)*(1-EXP(('2022'!Tnet-t)/('2022'!Tau_j))),Resal+(Salim-Resal)*(1-EXP((Tnet-t)/(Tau_j))))*Salcycl</f>
        <v>1.366919198169872E-2</v>
      </c>
      <c r="P169" s="338">
        <f>(INDEX(Models!$BJ169:$BT169,,T169)*(1-R169)+INDEX(Models!$BJ169:$BT169,,T169+1)*R169-ERP_i)*Q169*Ramure*Pc/MaxiM</f>
        <v>0</v>
      </c>
      <c r="Q169" s="304">
        <f t="shared" si="53"/>
        <v>0.6</v>
      </c>
      <c r="R169" s="177">
        <f t="shared" si="54"/>
        <v>0.71812737401942894</v>
      </c>
      <c r="S169" s="799">
        <f t="shared" si="55"/>
        <v>0</v>
      </c>
      <c r="T169" s="176">
        <f t="shared" si="56"/>
        <v>6</v>
      </c>
      <c r="U169" s="250">
        <f t="shared" si="57"/>
        <v>0.71812737401942894</v>
      </c>
      <c r="V169" s="382">
        <f t="shared" si="58"/>
        <v>60.276703632265523</v>
      </c>
      <c r="W169" s="400">
        <f t="shared" si="59"/>
        <v>25.86008983922283</v>
      </c>
      <c r="X169" s="157">
        <f t="shared" si="60"/>
        <v>45081</v>
      </c>
      <c r="Y169" s="383">
        <f t="shared" si="61"/>
        <v>25.191126811167468</v>
      </c>
      <c r="Z169" s="383">
        <f t="shared" si="62"/>
        <v>25.968084800068063</v>
      </c>
      <c r="AA169" s="384">
        <f t="shared" si="63"/>
        <v>27.02711921916795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3.9184139845315345E-2</v>
      </c>
      <c r="AD169" s="230">
        <f>(INDEX(Models!$BJ169:$BT169,,AH169)*(1-AF169)+INDEX(Models!$BJ169:$BT169,,AH169+1)*AF169-ERP_i)*AE169*Ramure*Pc/MaxiM</f>
        <v>0</v>
      </c>
      <c r="AE169" s="304">
        <f t="shared" si="65"/>
        <v>0.6</v>
      </c>
      <c r="AF169" s="177">
        <f t="shared" si="66"/>
        <v>0.71812737401942894</v>
      </c>
      <c r="AG169" s="799">
        <f t="shared" si="74"/>
        <v>0</v>
      </c>
      <c r="AH169" s="176">
        <f t="shared" si="67"/>
        <v>6</v>
      </c>
      <c r="AI169" s="224">
        <f t="shared" si="68"/>
        <v>0.71812737401942894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45082</v>
      </c>
      <c r="B170" s="409">
        <f>IF(t&gt;Tmaj,'2022'!Wh/'2022'!Env_an*'2023'!Env_an,0.001*'[8]mon-tableau'!$B$239)</f>
        <v>35.790035163509877</v>
      </c>
      <c r="C170" s="829"/>
      <c r="D170" s="391">
        <f t="shared" si="50"/>
        <v>36.894597337592366</v>
      </c>
      <c r="E170" s="383">
        <f t="shared" ref="E170:E232" si="75">Wh_pvt/(1-Psa)</f>
        <v>37.410873393606138</v>
      </c>
      <c r="F170" s="383">
        <f t="shared" si="51"/>
        <v>37.410873393606138</v>
      </c>
      <c r="G170" s="110">
        <f t="shared" ref="G170:G232" si="76">+Wh_hp/MaxiM</f>
        <v>0.5941367600411972</v>
      </c>
      <c r="H170" s="412" t="b">
        <f>Wh_hp&gt;='2022'!Maxi_hp</f>
        <v>0</v>
      </c>
      <c r="I170" s="379">
        <f>IF(H170,Wh_hp,'2022'!Maxi_hp)</f>
        <v>42.628678562631272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2.9938317634301326E-2</v>
      </c>
      <c r="M170" s="832"/>
      <c r="N170" s="832"/>
      <c r="O170" s="48">
        <f>IF(t&lt;Tnet,'2022'!Resal+('2022'!Salim-'2022'!Resal)*(1-EXP(('2022'!Tnet-t)/('2022'!Tau_j))),Resal+(Salim-Resal)*(1-EXP((Tnet-t)/(Tau_j))))*Salcycl</f>
        <v>1.3800160466235228E-2</v>
      </c>
      <c r="P170" s="338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0.72320787488970095</v>
      </c>
      <c r="S170" s="799">
        <f t="shared" si="55"/>
        <v>0</v>
      </c>
      <c r="T170" s="176">
        <f t="shared" si="56"/>
        <v>6</v>
      </c>
      <c r="U170" s="250">
        <f t="shared" si="57"/>
        <v>0.72320787488970095</v>
      </c>
      <c r="V170" s="382">
        <f t="shared" si="58"/>
        <v>60.238715343969304</v>
      </c>
      <c r="W170" s="400">
        <f t="shared" si="59"/>
        <v>35.790035163509877</v>
      </c>
      <c r="X170" s="157">
        <f t="shared" si="60"/>
        <v>45082</v>
      </c>
      <c r="Y170" s="383">
        <f t="shared" si="61"/>
        <v>34.864535177041411</v>
      </c>
      <c r="Z170" s="383">
        <f t="shared" si="62"/>
        <v>35.94053430913479</v>
      </c>
      <c r="AA170" s="384">
        <f t="shared" si="63"/>
        <v>37.410873393606138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3.930245276558126E-2</v>
      </c>
      <c r="AD170" s="230">
        <f>(INDEX(Models!$BJ170:$BT170,,AH170)*(1-AF170)+INDEX(Models!$BJ170:$BT170,,AH170+1)*AF170-ERP_i)*AE170*Ramure*Pc/MaxiM</f>
        <v>0</v>
      </c>
      <c r="AE170" s="304">
        <f t="shared" si="65"/>
        <v>0.6</v>
      </c>
      <c r="AF170" s="177">
        <f t="shared" si="66"/>
        <v>0.72320787488970095</v>
      </c>
      <c r="AG170" s="799">
        <f t="shared" si="74"/>
        <v>0</v>
      </c>
      <c r="AH170" s="176">
        <f t="shared" si="67"/>
        <v>6</v>
      </c>
      <c r="AI170" s="224">
        <f t="shared" si="68"/>
        <v>0.72320787488970095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45083</v>
      </c>
      <c r="B171" s="409">
        <f>IF(t&gt;Tmaj,'2022'!Wh/'2022'!Env_an*'2023'!Env_an,0.001*'[8]mon-tableau'!$B$240)</f>
        <v>51.28871527291043</v>
      </c>
      <c r="C171" s="829"/>
      <c r="D171" s="391">
        <f t="shared" si="50"/>
        <v>52.872615381730405</v>
      </c>
      <c r="E171" s="383">
        <f t="shared" si="75"/>
        <v>53.619590788575117</v>
      </c>
      <c r="F171" s="383">
        <f t="shared" si="51"/>
        <v>53.619590788575117</v>
      </c>
      <c r="G171" s="110">
        <f t="shared" si="76"/>
        <v>0.85199065576218935</v>
      </c>
      <c r="H171" s="412" t="b">
        <f>Wh_hp&gt;='2022'!Maxi_hp</f>
        <v>0</v>
      </c>
      <c r="I171" s="379">
        <f>IF(H171,Wh_hp,'2022'!Maxi_hp)</f>
        <v>54.411394736000254</v>
      </c>
      <c r="J171" s="85">
        <f>IF(H171,An,'2022'!An_max)</f>
        <v>2018</v>
      </c>
      <c r="K171" s="197">
        <f t="shared" si="52"/>
        <v>45083</v>
      </c>
      <c r="L171" s="147">
        <f>IF(t&lt;Tvie,1-EXP((T0-t)*PertePVj)+'2022'!Pspv,1-EXP((T0-t)*PertePVj)+Pspv)</f>
        <v>2.9956908645137226E-2</v>
      </c>
      <c r="M171" s="832"/>
      <c r="N171" s="832"/>
      <c r="O171" s="48">
        <f>IF(t&lt;Tnet,'2022'!Resal+('2022'!Salim-'2022'!Resal)*(1-EXP(('2022'!Tnet-t)/('2022'!Tau_j))),Resal+(Salim-Resal)*(1-EXP((Tnet-t)/(Tau_j))))*Salcycl</f>
        <v>1.3931016553074431E-2</v>
      </c>
      <c r="P171" s="338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0.72830979343684088</v>
      </c>
      <c r="S171" s="799">
        <f t="shared" si="55"/>
        <v>0</v>
      </c>
      <c r="T171" s="176">
        <f t="shared" si="56"/>
        <v>6</v>
      </c>
      <c r="U171" s="250">
        <f t="shared" si="57"/>
        <v>0.72830979343684088</v>
      </c>
      <c r="V171" s="382">
        <f t="shared" si="58"/>
        <v>60.198682844740389</v>
      </c>
      <c r="W171" s="400">
        <f t="shared" si="59"/>
        <v>51.28871527291043</v>
      </c>
      <c r="X171" s="157">
        <f t="shared" si="60"/>
        <v>45083</v>
      </c>
      <c r="Y171" s="383">
        <f t="shared" si="61"/>
        <v>49.962927455412164</v>
      </c>
      <c r="Z171" s="383">
        <f t="shared" si="62"/>
        <v>51.505884533055905</v>
      </c>
      <c r="AA171" s="384">
        <f t="shared" si="63"/>
        <v>53.619590788575117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3.942041004851507E-2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0.72830979343684088</v>
      </c>
      <c r="AG171" s="799">
        <f t="shared" si="74"/>
        <v>0</v>
      </c>
      <c r="AH171" s="176">
        <f t="shared" si="67"/>
        <v>6</v>
      </c>
      <c r="AI171" s="224">
        <f t="shared" si="68"/>
        <v>0.72830979343684088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45084</v>
      </c>
      <c r="B172" s="409">
        <f>IF(t&gt;Tmaj,'2022'!Wh/'2022'!Env_an*'2023'!Env_an,0.001*'[8]mon-tableau'!$B$241)</f>
        <v>26.3833521075981</v>
      </c>
      <c r="C172" s="829"/>
      <c r="D172" s="391">
        <f t="shared" si="50"/>
        <v>27.198645073965</v>
      </c>
      <c r="E172" s="383">
        <f t="shared" si="75"/>
        <v>27.586560283690954</v>
      </c>
      <c r="F172" s="383">
        <f t="shared" si="51"/>
        <v>27.586560283690954</v>
      </c>
      <c r="G172" s="110">
        <f t="shared" si="76"/>
        <v>0.43857703834635142</v>
      </c>
      <c r="H172" s="412" t="b">
        <f>Wh_hp&gt;='2022'!Maxi_hp</f>
        <v>0</v>
      </c>
      <c r="I172" s="379">
        <f>IF(H172,Wh_hp,'2022'!Maxi_hp)</f>
        <v>54.292344061536546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2.9975499299680686E-2</v>
      </c>
      <c r="M172" s="832"/>
      <c r="N172" s="832"/>
      <c r="O172" s="48">
        <f>IF(t&lt;Tnet,'2022'!Resal+('2022'!Salim-'2022'!Resal)*(1-EXP(('2022'!Tnet-t)/('2022'!Tau_j))),Resal+(Salim-Resal)*(1-EXP((Tnet-t)/(Tau_j))))*Salcycl</f>
        <v>1.4061746217606011E-2</v>
      </c>
      <c r="P172" s="338">
        <f>(INDEX(Models!$BJ172:$BT172,,T172)*(1-R172)+INDEX(Models!$BJ172:$BT172,,T172+1)*R172-ERP_i)*Q172*Ramure*Pc/MaxiM</f>
        <v>0</v>
      </c>
      <c r="Q172" s="304">
        <f t="shared" si="53"/>
        <v>0.6</v>
      </c>
      <c r="R172" s="177">
        <f t="shared" si="54"/>
        <v>0.73342893285466682</v>
      </c>
      <c r="S172" s="799">
        <f t="shared" si="55"/>
        <v>0</v>
      </c>
      <c r="T172" s="176">
        <f t="shared" si="56"/>
        <v>6</v>
      </c>
      <c r="U172" s="250">
        <f t="shared" si="57"/>
        <v>0.73342893285466682</v>
      </c>
      <c r="V172" s="382">
        <f t="shared" si="58"/>
        <v>60.156710910074452</v>
      </c>
      <c r="W172" s="400">
        <f t="shared" si="59"/>
        <v>26.3833521075981</v>
      </c>
      <c r="X172" s="157">
        <f t="shared" si="60"/>
        <v>45084</v>
      </c>
      <c r="Y172" s="383">
        <f t="shared" si="61"/>
        <v>25.701617292122279</v>
      </c>
      <c r="Z172" s="383">
        <f t="shared" si="62"/>
        <v>26.495843428250243</v>
      </c>
      <c r="AA172" s="384">
        <f t="shared" si="63"/>
        <v>27.586560283690954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3.9537979516987315E-2</v>
      </c>
      <c r="AD172" s="230">
        <f>(INDEX(Models!$BJ172:$BT172,,AH172)*(1-AF172)+INDEX(Models!$BJ172:$BT172,,AH172+1)*AF172-ERP_i)*AE172*Ramure*Pc/MaxiM</f>
        <v>0</v>
      </c>
      <c r="AE172" s="304">
        <f t="shared" si="65"/>
        <v>0.6</v>
      </c>
      <c r="AF172" s="177">
        <f t="shared" si="66"/>
        <v>0.73342893285466682</v>
      </c>
      <c r="AG172" s="799">
        <f t="shared" si="74"/>
        <v>0</v>
      </c>
      <c r="AH172" s="176">
        <f t="shared" si="67"/>
        <v>6</v>
      </c>
      <c r="AI172" s="224">
        <f t="shared" si="68"/>
        <v>0.73342893285466682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45085</v>
      </c>
      <c r="B173" s="409">
        <f>IF(t&gt;Tmaj,'2022'!Wh/'2022'!Env_an*'2023'!Env_an,0.001*'[8]mon-tableau'!$B$242)</f>
        <v>21.784667320960953</v>
      </c>
      <c r="C173" s="829"/>
      <c r="D173" s="391">
        <f t="shared" si="50"/>
        <v>22.458283075750888</v>
      </c>
      <c r="E173" s="383">
        <f t="shared" si="75"/>
        <v>22.781607288788571</v>
      </c>
      <c r="F173" s="383">
        <f t="shared" si="51"/>
        <v>22.781607288788571</v>
      </c>
      <c r="G173" s="110">
        <f t="shared" si="76"/>
        <v>0.36239585482329345</v>
      </c>
      <c r="H173" s="412" t="b">
        <f>Wh_hp&gt;='2022'!Maxi_hp</f>
        <v>0</v>
      </c>
      <c r="I173" s="379">
        <f>IF(H173,Wh_hp,'2022'!Maxi_hp)</f>
        <v>63.783632046651569</v>
      </c>
      <c r="J173" s="85">
        <f>IF(H173,An,'2022'!An_max)</f>
        <v>2018</v>
      </c>
      <c r="K173" s="197">
        <f t="shared" si="52"/>
        <v>45085</v>
      </c>
      <c r="L173" s="147">
        <f>IF(t&lt;Tvie,1-EXP((T0-t)*PertePVj)+'2022'!Pspv,1-EXP((T0-t)*PertePVj)+Pspv)</f>
        <v>2.9994089597938367E-2</v>
      </c>
      <c r="M173" s="832"/>
      <c r="N173" s="832"/>
      <c r="O173" s="48">
        <f>IF(t&lt;Tnet,'2022'!Resal+('2022'!Salim-'2022'!Resal)*(1-EXP(('2022'!Tnet-t)/('2022'!Tau_j))),Resal+(Salim-Resal)*(1-EXP((Tnet-t)/(Tau_j))))*Salcycl</f>
        <v>1.4192335463389216E-2</v>
      </c>
      <c r="P173" s="338">
        <f>(INDEX(Models!$BJ173:$BT173,,T173)*(1-R173)+INDEX(Models!$BJ173:$BT173,,T173+1)*R173-ERP_i)*Q173*Ramure*Pc/MaxiM</f>
        <v>0</v>
      </c>
      <c r="Q173" s="304">
        <f t="shared" si="53"/>
        <v>0.6</v>
      </c>
      <c r="R173" s="177">
        <f t="shared" si="54"/>
        <v>0.73856103880793333</v>
      </c>
      <c r="S173" s="799">
        <f t="shared" si="55"/>
        <v>0</v>
      </c>
      <c r="T173" s="176">
        <f t="shared" si="56"/>
        <v>6</v>
      </c>
      <c r="U173" s="250">
        <f t="shared" si="57"/>
        <v>0.73856103880793333</v>
      </c>
      <c r="V173" s="382">
        <f t="shared" si="58"/>
        <v>60.112904248265473</v>
      </c>
      <c r="W173" s="400">
        <f t="shared" si="59"/>
        <v>21.784667320960953</v>
      </c>
      <c r="X173" s="157">
        <f t="shared" si="60"/>
        <v>45085</v>
      </c>
      <c r="Y173" s="383">
        <f t="shared" si="61"/>
        <v>21.221983012922813</v>
      </c>
      <c r="Z173" s="383">
        <f t="shared" si="62"/>
        <v>21.878199694810547</v>
      </c>
      <c r="AA173" s="384">
        <f t="shared" si="63"/>
        <v>22.781607288788571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3.9655129795105118E-2</v>
      </c>
      <c r="AD173" s="230">
        <f>(INDEX(Models!$BJ173:$BT173,,AH173)*(1-AF173)+INDEX(Models!$BJ173:$BT173,,AH173+1)*AF173-ERP_i)*AE173*Ramure*Pc/MaxiM</f>
        <v>0</v>
      </c>
      <c r="AE173" s="304">
        <f t="shared" si="65"/>
        <v>0.6</v>
      </c>
      <c r="AF173" s="177">
        <f t="shared" si="66"/>
        <v>0.73856103880793333</v>
      </c>
      <c r="AG173" s="799">
        <f t="shared" si="74"/>
        <v>0</v>
      </c>
      <c r="AH173" s="176">
        <f t="shared" si="67"/>
        <v>6</v>
      </c>
      <c r="AI173" s="224">
        <f t="shared" si="68"/>
        <v>0.73856103880793333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45086</v>
      </c>
      <c r="B174" s="409">
        <f>IF(t&gt;Tmaj,'2022'!Wh/'2022'!Env_an*'2023'!Env_an,0.001*'[8]mon-tableau'!$B$243)</f>
        <v>51.387576084772881</v>
      </c>
      <c r="C174" s="829"/>
      <c r="D174" s="391">
        <f t="shared" si="50"/>
        <v>52.977575068093486</v>
      </c>
      <c r="E174" s="383">
        <f t="shared" si="75"/>
        <v>53.747386544102206</v>
      </c>
      <c r="F174" s="383">
        <f t="shared" si="51"/>
        <v>53.747386544102206</v>
      </c>
      <c r="G174" s="110">
        <f t="shared" si="76"/>
        <v>0.85549905425975237</v>
      </c>
      <c r="H174" s="412" t="b">
        <f>Wh_hp&gt;='2022'!Maxi_hp</f>
        <v>0</v>
      </c>
      <c r="I174" s="379">
        <f>IF(H174,Wh_hp,'2022'!Maxi_hp)</f>
        <v>60.032633975701692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3.0012679539917375E-2</v>
      </c>
      <c r="M174" s="832"/>
      <c r="N174" s="832"/>
      <c r="O174" s="48">
        <f>IF(t&lt;Tnet,'2022'!Resal+('2022'!Salim-'2022'!Resal)*(1-EXP(('2022'!Tnet-t)/('2022'!Tau_j))),Resal+(Salim-Resal)*(1-EXP((Tnet-t)/(Tau_j))))*Salcycl</f>
        <v>1.4322770380231492E-2</v>
      </c>
      <c r="P174" s="338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0.74370181345223929</v>
      </c>
      <c r="S174" s="799">
        <f t="shared" si="55"/>
        <v>0</v>
      </c>
      <c r="T174" s="176">
        <f t="shared" si="56"/>
        <v>6</v>
      </c>
      <c r="U174" s="250">
        <f t="shared" si="57"/>
        <v>0.74370181345223929</v>
      </c>
      <c r="V174" s="382">
        <f t="shared" si="58"/>
        <v>60.067367496084039</v>
      </c>
      <c r="W174" s="400">
        <f t="shared" si="59"/>
        <v>51.387576084772881</v>
      </c>
      <c r="X174" s="157">
        <f t="shared" si="60"/>
        <v>45086</v>
      </c>
      <c r="Y174" s="383">
        <f t="shared" si="61"/>
        <v>50.060807574237053</v>
      </c>
      <c r="Z174" s="383">
        <f t="shared" si="62"/>
        <v>51.609754600186221</v>
      </c>
      <c r="AA174" s="384">
        <f t="shared" si="63"/>
        <v>53.747386544102206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3.9771830434247493E-2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0.74370181345223929</v>
      </c>
      <c r="AG174" s="799">
        <f t="shared" si="74"/>
        <v>0</v>
      </c>
      <c r="AH174" s="176">
        <f t="shared" si="67"/>
        <v>6</v>
      </c>
      <c r="AI174" s="224">
        <f t="shared" si="68"/>
        <v>0.74370181345223929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45087</v>
      </c>
      <c r="B175" s="409">
        <f>IF(t&gt;Tmaj,'2022'!Wh/'2022'!Env_an*'2023'!Env_an,0.001*'[8]mon-tableau'!$B$244)</f>
        <v>59.346931895733846</v>
      </c>
      <c r="C175" s="829"/>
      <c r="D175" s="391">
        <f t="shared" si="50"/>
        <v>61.184376368747181</v>
      </c>
      <c r="E175" s="383">
        <f t="shared" si="75"/>
        <v>62.081644689027705</v>
      </c>
      <c r="F175" s="383">
        <f t="shared" si="51"/>
        <v>62.081644689027705</v>
      </c>
      <c r="G175" s="110">
        <f t="shared" si="76"/>
        <v>0.98878255555832684</v>
      </c>
      <c r="H175" s="412" t="b">
        <f>Wh_hp&gt;='2022'!Maxi_hp</f>
        <v>1</v>
      </c>
      <c r="I175" s="379">
        <f>IF(H175,Wh_hp,'2022'!Maxi_hp)</f>
        <v>62.081644689027705</v>
      </c>
      <c r="J175" s="85">
        <f>IF(H175,An,'2022'!An_max)</f>
        <v>2023</v>
      </c>
      <c r="K175" s="197">
        <f t="shared" si="52"/>
        <v>45087</v>
      </c>
      <c r="L175" s="147">
        <f>IF(t&lt;Tvie,1-EXP((T0-t)*PertePVj)+'2022'!Pspv,1-EXP((T0-t)*PertePVj)+Pspv)</f>
        <v>3.003126912562426E-2</v>
      </c>
      <c r="M175" s="832"/>
      <c r="N175" s="832"/>
      <c r="O175" s="48">
        <f>IF(t&lt;Tnet,'2022'!Resal+('2022'!Salim-'2022'!Resal)*(1-EXP(('2022'!Tnet-t)/('2022'!Tau_j))),Resal+(Salim-Resal)*(1-EXP((Tnet-t)/(Tau_j))))*Salcycl</f>
        <v>1.4453037202461766E-2</v>
      </c>
      <c r="P175" s="338">
        <f>(INDEX(Models!$BJ175:$BT175,,T175)*(1-R175)+INDEX(Models!$BJ175:$BT175,,T175+1)*R175-ERP_i)*Q175*Ramure*Pc/MaxiM</f>
        <v>0</v>
      </c>
      <c r="Q175" s="304">
        <f t="shared" si="53"/>
        <v>0.6</v>
      </c>
      <c r="R175" s="177">
        <f t="shared" si="54"/>
        <v>0.74884692976325073</v>
      </c>
      <c r="S175" s="799">
        <f t="shared" si="55"/>
        <v>0</v>
      </c>
      <c r="T175" s="176">
        <f t="shared" si="56"/>
        <v>6</v>
      </c>
      <c r="U175" s="250">
        <f t="shared" si="57"/>
        <v>0.74884692976325073</v>
      </c>
      <c r="V175" s="382">
        <f t="shared" si="58"/>
        <v>60.020205213089497</v>
      </c>
      <c r="W175" s="400">
        <f t="shared" si="59"/>
        <v>59.346931895733846</v>
      </c>
      <c r="X175" s="157">
        <f t="shared" si="60"/>
        <v>45087</v>
      </c>
      <c r="Y175" s="383">
        <f t="shared" si="61"/>
        <v>57.815305144243993</v>
      </c>
      <c r="Z175" s="383">
        <f t="shared" si="62"/>
        <v>59.605328815215046</v>
      </c>
      <c r="AA175" s="384">
        <f t="shared" si="63"/>
        <v>62.081644689027705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3.9888052035617579E-2</v>
      </c>
      <c r="AD175" s="230">
        <f>(INDEX(Models!$BJ175:$BT175,,AH175)*(1-AF175)+INDEX(Models!$BJ175:$BT175,,AH175+1)*AF175-ERP_i)*AE175*Ramure*Pc/MaxiM</f>
        <v>0</v>
      </c>
      <c r="AE175" s="304">
        <f t="shared" si="65"/>
        <v>0.6</v>
      </c>
      <c r="AF175" s="177">
        <f t="shared" si="66"/>
        <v>0.74884692976325073</v>
      </c>
      <c r="AG175" s="799">
        <f t="shared" si="74"/>
        <v>0</v>
      </c>
      <c r="AH175" s="176">
        <f t="shared" si="67"/>
        <v>6</v>
      </c>
      <c r="AI175" s="224">
        <f t="shared" si="68"/>
        <v>0.74884692976325073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45088</v>
      </c>
      <c r="B176" s="409">
        <f>IF(t&gt;Tmaj,'2022'!Wh/'2022'!Env_an*'2023'!Env_an,0.001*'[8]mon-tableau'!$B$245)</f>
        <v>57.649634147282775</v>
      </c>
      <c r="C176" s="829"/>
      <c r="D176" s="391">
        <f t="shared" si="50"/>
        <v>59.435667538039667</v>
      </c>
      <c r="E176" s="383">
        <f t="shared" si="75"/>
        <v>60.315252242082352</v>
      </c>
      <c r="F176" s="383">
        <f t="shared" si="51"/>
        <v>60.315252242082352</v>
      </c>
      <c r="G176" s="110">
        <f t="shared" si="76"/>
        <v>0.96128349484104114</v>
      </c>
      <c r="H176" s="412" t="b">
        <f>Wh_hp&gt;='2022'!Maxi_hp</f>
        <v>1</v>
      </c>
      <c r="I176" s="379">
        <f>IF(H176,Wh_hp,'2022'!Maxi_hp)</f>
        <v>60.315252242082352</v>
      </c>
      <c r="J176" s="85">
        <f>IF(H176,An,'2022'!An_max)</f>
        <v>2023</v>
      </c>
      <c r="K176" s="197">
        <f t="shared" si="52"/>
        <v>45088</v>
      </c>
      <c r="L176" s="147">
        <f>IF(t&lt;Tvie,1-EXP((T0-t)*PertePVj)+'2022'!Pspv,1-EXP((T0-t)*PertePVj)+Pspv)</f>
        <v>3.0049858355066128E-2</v>
      </c>
      <c r="M176" s="832"/>
      <c r="N176" s="832"/>
      <c r="O176" s="48">
        <f>IF(t&lt;Tnet,'2022'!Resal+('2022'!Salim-'2022'!Resal)*(1-EXP(('2022'!Tnet-t)/('2022'!Tau_j))),Resal+(Salim-Resal)*(1-EXP((Tnet-t)/(Tau_j))))*Salcycl</f>
        <v>1.4583122366998809E-2</v>
      </c>
      <c r="P176" s="338">
        <f>(INDEX(Models!$BJ176:$BT176,,T176)*(1-R176)+INDEX(Models!$BJ176:$BT176,,T176+1)*R176-ERP_i)*Q176*Ramure*Pc/MaxiM</f>
        <v>0</v>
      </c>
      <c r="Q176" s="304">
        <f t="shared" si="53"/>
        <v>0.6</v>
      </c>
      <c r="R176" s="177">
        <f t="shared" si="54"/>
        <v>0.75399204607426229</v>
      </c>
      <c r="S176" s="799">
        <f t="shared" si="55"/>
        <v>0</v>
      </c>
      <c r="T176" s="176">
        <f t="shared" si="56"/>
        <v>6</v>
      </c>
      <c r="U176" s="250">
        <f t="shared" si="57"/>
        <v>0.75399204607426229</v>
      </c>
      <c r="V176" s="382">
        <f t="shared" si="58"/>
        <v>59.971521883683003</v>
      </c>
      <c r="W176" s="400">
        <f t="shared" si="59"/>
        <v>57.649634147282775</v>
      </c>
      <c r="X176" s="157">
        <f t="shared" si="60"/>
        <v>45088</v>
      </c>
      <c r="Y176" s="383">
        <f t="shared" si="61"/>
        <v>56.162455614282784</v>
      </c>
      <c r="Z176" s="383">
        <f t="shared" si="62"/>
        <v>57.902414982936278</v>
      </c>
      <c r="AA176" s="384">
        <f t="shared" si="63"/>
        <v>60.315252242082352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4.0003766368444757E-2</v>
      </c>
      <c r="AD176" s="230">
        <f>(INDEX(Models!$BJ176:$BT176,,AH176)*(1-AF176)+INDEX(Models!$BJ176:$BT176,,AH176+1)*AF176-ERP_i)*AE176*Ramure*Pc/MaxiM</f>
        <v>0</v>
      </c>
      <c r="AE176" s="304">
        <f t="shared" si="65"/>
        <v>0.6</v>
      </c>
      <c r="AF176" s="177">
        <f t="shared" si="66"/>
        <v>0.75399204607426229</v>
      </c>
      <c r="AG176" s="799">
        <f t="shared" si="74"/>
        <v>0</v>
      </c>
      <c r="AH176" s="176">
        <f t="shared" si="67"/>
        <v>6</v>
      </c>
      <c r="AI176" s="224">
        <f t="shared" si="68"/>
        <v>0.75399204607426229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45089</v>
      </c>
      <c r="B177" s="409">
        <f>IF(t&gt;Tmaj,'2022'!Wh/'2022'!Env_an*'2023'!Env_an,0.001*'[8]mon-tableau'!$B$246)</f>
        <v>45.406811672585917</v>
      </c>
      <c r="C177" s="829"/>
      <c r="D177" s="391">
        <f t="shared" si="50"/>
        <v>46.814449476179988</v>
      </c>
      <c r="E177" s="383">
        <f t="shared" si="75"/>
        <v>47.513516440857693</v>
      </c>
      <c r="F177" s="383">
        <f t="shared" si="51"/>
        <v>47.513516440857693</v>
      </c>
      <c r="G177" s="110">
        <f t="shared" si="76"/>
        <v>0.7577758536505671</v>
      </c>
      <c r="H177" s="412" t="b">
        <f>Wh_hp&gt;='2022'!Maxi_hp</f>
        <v>0</v>
      </c>
      <c r="I177" s="379">
        <f>IF(H177,Wh_hp,'2022'!Maxi_hp)</f>
        <v>58.629383345992608</v>
      </c>
      <c r="J177" s="85">
        <f>IF(H177,An,'2022'!An_max)</f>
        <v>2018</v>
      </c>
      <c r="K177" s="197">
        <f t="shared" si="52"/>
        <v>45089</v>
      </c>
      <c r="L177" s="147">
        <f>IF(t&lt;Tvie,1-EXP((T0-t)*PertePVj)+'2022'!Pspv,1-EXP((T0-t)*PertePVj)+Pspv)</f>
        <v>3.0068447228249529E-2</v>
      </c>
      <c r="M177" s="832"/>
      <c r="N177" s="832"/>
      <c r="O177" s="48">
        <f>IF(t&lt;Tnet,'2022'!Resal+('2022'!Salim-'2022'!Resal)*(1-EXP(('2022'!Tnet-t)/('2022'!Tau_j))),Resal+(Salim-Resal)*(1-EXP((Tnet-t)/(Tau_j))))*Salcycl</f>
        <v>1.4713012570809581E-2</v>
      </c>
      <c r="P177" s="338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0.75913282071856814</v>
      </c>
      <c r="S177" s="799">
        <f t="shared" si="55"/>
        <v>0</v>
      </c>
      <c r="T177" s="176">
        <f t="shared" si="56"/>
        <v>6</v>
      </c>
      <c r="U177" s="250">
        <f t="shared" si="57"/>
        <v>0.75913282071856814</v>
      </c>
      <c r="V177" s="382">
        <f t="shared" si="58"/>
        <v>59.921164621226296</v>
      </c>
      <c r="W177" s="400">
        <f t="shared" si="59"/>
        <v>45.406811672585917</v>
      </c>
      <c r="X177" s="157">
        <f t="shared" si="60"/>
        <v>45089</v>
      </c>
      <c r="Y177" s="383">
        <f t="shared" si="61"/>
        <v>44.235982796091278</v>
      </c>
      <c r="Z177" s="383">
        <f t="shared" si="62"/>
        <v>45.607324217548296</v>
      </c>
      <c r="AA177" s="384">
        <f t="shared" si="63"/>
        <v>47.513516440857693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4.0118946482989241E-2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0.75913282071856814</v>
      </c>
      <c r="AG177" s="799">
        <f t="shared" si="74"/>
        <v>0</v>
      </c>
      <c r="AH177" s="176">
        <f t="shared" si="67"/>
        <v>6</v>
      </c>
      <c r="AI177" s="224">
        <f t="shared" si="68"/>
        <v>0.75913282071856814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45090</v>
      </c>
      <c r="B178" s="409">
        <f>IF(t&gt;Tmaj,'2022'!Wh/'2022'!Env_an*'2023'!Env_an,0.001*'[8]mon-tableau'!$B$247)</f>
        <v>54.633061336860877</v>
      </c>
      <c r="C178" s="829"/>
      <c r="D178" s="391">
        <f t="shared" si="50"/>
        <v>56.327797802801108</v>
      </c>
      <c r="E178" s="383">
        <f t="shared" si="75"/>
        <v>57.176450407510863</v>
      </c>
      <c r="F178" s="383">
        <f t="shared" si="51"/>
        <v>57.176450407510863</v>
      </c>
      <c r="G178" s="110">
        <f t="shared" si="76"/>
        <v>0.9125447498857554</v>
      </c>
      <c r="H178" s="412" t="b">
        <f>Wh_hp&gt;='2022'!Maxi_hp</f>
        <v>0</v>
      </c>
      <c r="I178" s="379">
        <f>IF(H178,Wh_hp,'2022'!Maxi_hp)</f>
        <v>65.55404847482302</v>
      </c>
      <c r="J178" s="85">
        <f>IF(H178,An,'2022'!An_max)</f>
        <v>2018</v>
      </c>
      <c r="K178" s="197">
        <f t="shared" si="52"/>
        <v>45090</v>
      </c>
      <c r="L178" s="147">
        <f>IF(t&lt;Tvie,1-EXP((T0-t)*PertePVj)+'2022'!Pspv,1-EXP((T0-t)*PertePVj)+Pspv)</f>
        <v>3.0087035745181456E-2</v>
      </c>
      <c r="M178" s="832"/>
      <c r="N178" s="832"/>
      <c r="O178" s="48">
        <f>IF(t&lt;Tnet,'2022'!Resal+('2022'!Salim-'2022'!Resal)*(1-EXP(('2022'!Tnet-t)/('2022'!Tau_j))),Resal+(Salim-Resal)*(1-EXP((Tnet-t)/(Tau_j))))*Salcycl</f>
        <v>1.4842694827349318E-2</v>
      </c>
      <c r="P178" s="338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0.76426492667183465</v>
      </c>
      <c r="S178" s="799">
        <f t="shared" si="55"/>
        <v>0</v>
      </c>
      <c r="T178" s="176">
        <f t="shared" si="56"/>
        <v>6</v>
      </c>
      <c r="U178" s="250">
        <f t="shared" si="57"/>
        <v>0.76426492667183465</v>
      </c>
      <c r="V178" s="382">
        <f t="shared" si="58"/>
        <v>59.868912010836269</v>
      </c>
      <c r="W178" s="400">
        <f t="shared" si="59"/>
        <v>54.633061336860877</v>
      </c>
      <c r="X178" s="157">
        <f t="shared" si="60"/>
        <v>45090</v>
      </c>
      <c r="Y178" s="383">
        <f t="shared" si="61"/>
        <v>53.224980556713021</v>
      </c>
      <c r="Z178" s="383">
        <f t="shared" si="62"/>
        <v>54.876037869651149</v>
      </c>
      <c r="AA178" s="384">
        <f t="shared" si="63"/>
        <v>57.176450407510863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4.0233566817528876E-2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0.76426492667183465</v>
      </c>
      <c r="AG178" s="799">
        <f t="shared" si="74"/>
        <v>0</v>
      </c>
      <c r="AH178" s="176">
        <f t="shared" si="67"/>
        <v>6</v>
      </c>
      <c r="AI178" s="224">
        <f t="shared" si="68"/>
        <v>0.76426492667183465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45091</v>
      </c>
      <c r="B179" s="409">
        <f>IF(t&gt;Tmaj,'2022'!Wh/'2022'!Env_an*'2023'!Env_an,0.001*'[8]mon-tableau'!$B$248)</f>
        <v>52.537760464453783</v>
      </c>
      <c r="C179" s="829"/>
      <c r="D179" s="391">
        <f t="shared" si="50"/>
        <v>54.168538100023817</v>
      </c>
      <c r="E179" s="383">
        <f t="shared" si="75"/>
        <v>54.991885212847137</v>
      </c>
      <c r="F179" s="383">
        <f t="shared" si="51"/>
        <v>54.991885212847137</v>
      </c>
      <c r="G179" s="110">
        <f t="shared" si="76"/>
        <v>0.87834098966709873</v>
      </c>
      <c r="H179" s="412" t="b">
        <f>Wh_hp&gt;='2022'!Maxi_hp</f>
        <v>0</v>
      </c>
      <c r="I179" s="379">
        <f>IF(H179,Wh_hp,'2022'!Maxi_hp)</f>
        <v>57.93177367847553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3.0105623905868684E-2</v>
      </c>
      <c r="M179" s="832"/>
      <c r="N179" s="832"/>
      <c r="O179" s="48">
        <f>IF(t&lt;Tnet,'2022'!Resal+('2022'!Salim-'2022'!Resal)*(1-EXP(('2022'!Tnet-t)/('2022'!Tau_j))),Resal+(Salim-Resal)*(1-EXP((Tnet-t)/(Tau_j))))*Salcycl</f>
        <v>1.4972156521576553E-2</v>
      </c>
      <c r="P179" s="338">
        <f>(INDEX(Models!$BJ179:$BT179,,T179)*(1-R179)+INDEX(Models!$BJ179:$BT179,,T179+1)*R179-ERP_i)*Q179*Ramure*Pc/MaxiM</f>
        <v>0</v>
      </c>
      <c r="Q179" s="304">
        <f t="shared" si="53"/>
        <v>0.6</v>
      </c>
      <c r="R179" s="177">
        <f t="shared" si="54"/>
        <v>0.7693840660896607</v>
      </c>
      <c r="S179" s="799">
        <f t="shared" si="55"/>
        <v>0</v>
      </c>
      <c r="T179" s="176">
        <f t="shared" si="56"/>
        <v>6</v>
      </c>
      <c r="U179" s="250">
        <f t="shared" si="57"/>
        <v>0.7693840660896607</v>
      </c>
      <c r="V179" s="382">
        <f t="shared" si="58"/>
        <v>59.814765657658981</v>
      </c>
      <c r="W179" s="400">
        <f t="shared" si="59"/>
        <v>52.537760464453783</v>
      </c>
      <c r="X179" s="157">
        <f t="shared" si="60"/>
        <v>45091</v>
      </c>
      <c r="Y179" s="383">
        <f t="shared" si="61"/>
        <v>51.184327509971084</v>
      </c>
      <c r="Z179" s="383">
        <f t="shared" si="62"/>
        <v>52.773094443640204</v>
      </c>
      <c r="AA179" s="384">
        <f t="shared" si="63"/>
        <v>54.991885212847137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4.0347603298542388E-2</v>
      </c>
      <c r="AD179" s="230">
        <f>(INDEX(Models!$BJ179:$BT179,,AH179)*(1-AF179)+INDEX(Models!$BJ179:$BT179,,AH179+1)*AF179-ERP_i)*AE179*Ramure*Pc/MaxiM</f>
        <v>0</v>
      </c>
      <c r="AE179" s="304">
        <f t="shared" si="65"/>
        <v>0.6</v>
      </c>
      <c r="AF179" s="177">
        <f t="shared" si="66"/>
        <v>0.7693840660896607</v>
      </c>
      <c r="AG179" s="799">
        <f t="shared" si="74"/>
        <v>0</v>
      </c>
      <c r="AH179" s="176">
        <f t="shared" si="67"/>
        <v>6</v>
      </c>
      <c r="AI179" s="224">
        <f t="shared" si="68"/>
        <v>0.7693840660896607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45092</v>
      </c>
      <c r="B180" s="409">
        <f>IF(t&gt;Tmaj,'2022'!Wh/'2022'!Env_an*'2023'!Env_an,0.001*'[8]mon-tableau'!$B$249)</f>
        <v>55.853568354875065</v>
      </c>
      <c r="C180" s="829"/>
      <c r="D180" s="391">
        <f t="shared" si="50"/>
        <v>57.588372685712159</v>
      </c>
      <c r="E180" s="383">
        <f t="shared" si="75"/>
        <v>58.471371403840038</v>
      </c>
      <c r="F180" s="383">
        <f t="shared" si="51"/>
        <v>58.471371403840038</v>
      </c>
      <c r="G180" s="110">
        <f t="shared" si="76"/>
        <v>0.93465123890441115</v>
      </c>
      <c r="H180" s="412" t="b">
        <f>Wh_hp&gt;='2022'!Maxi_hp</f>
        <v>1</v>
      </c>
      <c r="I180" s="379">
        <f>IF(H180,Wh_hp,'2022'!Maxi_hp)</f>
        <v>58.471371403840038</v>
      </c>
      <c r="J180" s="85">
        <f>IF(H180,An,'2022'!An_max)</f>
        <v>2023</v>
      </c>
      <c r="K180" s="197">
        <f t="shared" si="52"/>
        <v>45092</v>
      </c>
      <c r="L180" s="147">
        <f>IF(t&lt;Tvie,1-EXP((T0-t)*PertePVj)+'2022'!Pspv,1-EXP((T0-t)*PertePVj)+Pspv)</f>
        <v>3.0124211710318094E-2</v>
      </c>
      <c r="M180" s="832"/>
      <c r="N180" s="832"/>
      <c r="O180" s="48">
        <f>IF(t&lt;Tnet,'2022'!Resal+('2022'!Salim-'2022'!Resal)*(1-EXP(('2022'!Tnet-t)/('2022'!Tau_j))),Resal+(Salim-Resal)*(1-EXP((Tnet-t)/(Tau_j))))*Salcycl</f>
        <v>1.5101385463141168E-2</v>
      </c>
      <c r="P180" s="338">
        <f>(INDEX(Models!$BJ180:$BT180,,T180)*(1-R180)+INDEX(Models!$BJ180:$BT180,,T180+1)*R180-ERP_i)*Q180*Ramure*Pc/MaxiM</f>
        <v>-1.7016021344672509E-20</v>
      </c>
      <c r="Q180" s="304">
        <f t="shared" si="53"/>
        <v>0.6</v>
      </c>
      <c r="R180" s="177">
        <f t="shared" si="54"/>
        <v>0.77448598463680063</v>
      </c>
      <c r="S180" s="799">
        <f t="shared" si="55"/>
        <v>0</v>
      </c>
      <c r="T180" s="176">
        <f t="shared" si="56"/>
        <v>6</v>
      </c>
      <c r="U180" s="250">
        <f t="shared" si="57"/>
        <v>0.77448598463680063</v>
      </c>
      <c r="V180" s="382">
        <f t="shared" si="58"/>
        <v>59.758727137992203</v>
      </c>
      <c r="W180" s="400">
        <f t="shared" si="59"/>
        <v>55.853568354875065</v>
      </c>
      <c r="X180" s="157">
        <f t="shared" si="60"/>
        <v>45092</v>
      </c>
      <c r="Y180" s="383">
        <f t="shared" si="61"/>
        <v>54.415423544380552</v>
      </c>
      <c r="Z180" s="383">
        <f t="shared" si="62"/>
        <v>56.105559290575655</v>
      </c>
      <c r="AA180" s="384">
        <f t="shared" si="63"/>
        <v>58.471371403840038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4.046103343334629E-2</v>
      </c>
      <c r="AD180" s="230">
        <f>(INDEX(Models!$BJ180:$BT180,,AH180)*(1-AF180)+INDEX(Models!$BJ180:$BT180,,AH180+1)*AF180-ERP_i)*AE180*Ramure*Pc/MaxiM</f>
        <v>-1.7016021344672509E-20</v>
      </c>
      <c r="AE180" s="304">
        <f t="shared" si="65"/>
        <v>0.6</v>
      </c>
      <c r="AF180" s="177">
        <f t="shared" si="66"/>
        <v>0.77448598463680063</v>
      </c>
      <c r="AG180" s="799">
        <f t="shared" si="74"/>
        <v>0</v>
      </c>
      <c r="AH180" s="176">
        <f t="shared" si="67"/>
        <v>6</v>
      </c>
      <c r="AI180" s="224">
        <f t="shared" si="68"/>
        <v>0.77448598463680063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45093</v>
      </c>
      <c r="B181" s="409">
        <f>IF(t&gt;Tmaj,'2022'!Wh/'2022'!Env_an*'2023'!Env_an,0.001*'[8]mon-tableau'!$B$250)</f>
        <v>53.863434670758167</v>
      </c>
      <c r="C181" s="829"/>
      <c r="D181" s="391">
        <f t="shared" si="50"/>
        <v>55.537490080009093</v>
      </c>
      <c r="E181" s="383">
        <f t="shared" si="75"/>
        <v>56.39642854997058</v>
      </c>
      <c r="F181" s="383">
        <f t="shared" si="51"/>
        <v>56.39642854997058</v>
      </c>
      <c r="G181" s="110">
        <f t="shared" si="76"/>
        <v>0.90222302685284883</v>
      </c>
      <c r="H181" s="412" t="b">
        <f>Wh_hp&gt;='2022'!Maxi_hp</f>
        <v>0</v>
      </c>
      <c r="I181" s="379">
        <f>IF(H181,Wh_hp,'2022'!Maxi_hp)</f>
        <v>62.896396798110899</v>
      </c>
      <c r="J181" s="85">
        <f>IF(H181,An,'2022'!An_max)</f>
        <v>2018</v>
      </c>
      <c r="K181" s="197">
        <f t="shared" si="52"/>
        <v>45093</v>
      </c>
      <c r="L181" s="147">
        <f>IF(t&lt;Tvie,1-EXP((T0-t)*PertePVj)+'2022'!Pspv,1-EXP((T0-t)*PertePVj)+Pspv)</f>
        <v>3.014279915853646E-2</v>
      </c>
      <c r="M181" s="832"/>
      <c r="N181" s="832"/>
      <c r="O181" s="48">
        <f>IF(t&lt;Tnet,'2022'!Resal+('2022'!Salim-'2022'!Resal)*(1-EXP(('2022'!Tnet-t)/('2022'!Tau_j))),Resal+(Salim-Resal)*(1-EXP((Tnet-t)/(Tau_j))))*Salcycl</f>
        <v>1.5230369937351895E-2</v>
      </c>
      <c r="P181" s="338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0.77956648550707253</v>
      </c>
      <c r="S181" s="799">
        <f t="shared" si="55"/>
        <v>0</v>
      </c>
      <c r="T181" s="176">
        <f t="shared" si="56"/>
        <v>6</v>
      </c>
      <c r="U181" s="250">
        <f t="shared" si="57"/>
        <v>0.77956648550707253</v>
      </c>
      <c r="V181" s="382">
        <f t="shared" si="58"/>
        <v>59.700797992981414</v>
      </c>
      <c r="W181" s="400">
        <f t="shared" si="59"/>
        <v>53.863434670758167</v>
      </c>
      <c r="X181" s="157">
        <f t="shared" si="60"/>
        <v>45093</v>
      </c>
      <c r="Y181" s="383">
        <f t="shared" si="61"/>
        <v>52.477236205480729</v>
      </c>
      <c r="Z181" s="383">
        <f t="shared" si="62"/>
        <v>54.108209084750463</v>
      </c>
      <c r="AA181" s="384">
        <f t="shared" si="63"/>
        <v>56.39642854997058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4.0573836394491199E-2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0.77956648550707253</v>
      </c>
      <c r="AG181" s="799">
        <f t="shared" si="74"/>
        <v>0</v>
      </c>
      <c r="AH181" s="176">
        <f t="shared" si="67"/>
        <v>6</v>
      </c>
      <c r="AI181" s="224">
        <f t="shared" si="68"/>
        <v>0.77956648550707253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45094</v>
      </c>
      <c r="B182" s="409">
        <f>IF(t&gt;Tmaj,'2022'!Wh/'2022'!Env_an*'2023'!Env_an,0.001*'[8]mon-tableau'!$B$251)</f>
        <v>53.775067141128062</v>
      </c>
      <c r="C182" s="829"/>
      <c r="D182" s="391">
        <f t="shared" si="50"/>
        <v>55.447438758114181</v>
      </c>
      <c r="E182" s="383">
        <f t="shared" si="75"/>
        <v>56.312345635777717</v>
      </c>
      <c r="F182" s="383">
        <f t="shared" si="51"/>
        <v>56.312345635777717</v>
      </c>
      <c r="G182" s="110">
        <f t="shared" si="76"/>
        <v>0.90164627386345519</v>
      </c>
      <c r="H182" s="412" t="b">
        <f>Wh_hp&gt;='2022'!Maxi_hp</f>
        <v>0</v>
      </c>
      <c r="I182" s="379">
        <f>IF(H182,Wh_hp,'2022'!Maxi_hp)</f>
        <v>61.724084548861946</v>
      </c>
      <c r="J182" s="85">
        <f>IF(H182,An,'2022'!An_max)</f>
        <v>2018</v>
      </c>
      <c r="K182" s="197">
        <f t="shared" si="52"/>
        <v>45094</v>
      </c>
      <c r="L182" s="147">
        <f>IF(t&lt;Tvie,1-EXP((T0-t)*PertePVj)+'2022'!Pspv,1-EXP((T0-t)*PertePVj)+Pspv)</f>
        <v>3.0161386250530553E-2</v>
      </c>
      <c r="M182" s="832"/>
      <c r="N182" s="832"/>
      <c r="O182" s="48">
        <f>IF(t&lt;Tnet,'2022'!Resal+('2022'!Salim-'2022'!Resal)*(1-EXP(('2022'!Tnet-t)/('2022'!Tau_j))),Resal+(Salim-Resal)*(1-EXP((Tnet-t)/(Tau_j))))*Salcycl</f>
        <v>1.5359098753542735E-2</v>
      </c>
      <c r="P182" s="338">
        <f>(INDEX(Models!$BJ182:$BT182,,T182)*(1-R182)+INDEX(Models!$BJ182:$BT182,,T182+1)*R182-ERP_i)*Q182*Ramure*Pc/MaxiM</f>
        <v>1.723793816185671E-20</v>
      </c>
      <c r="Q182" s="304">
        <f t="shared" si="53"/>
        <v>0.6</v>
      </c>
      <c r="R182" s="177">
        <f t="shared" si="54"/>
        <v>0.78462144303673242</v>
      </c>
      <c r="S182" s="799">
        <f t="shared" si="55"/>
        <v>0</v>
      </c>
      <c r="T182" s="176">
        <f t="shared" si="56"/>
        <v>6</v>
      </c>
      <c r="U182" s="250">
        <f t="shared" si="57"/>
        <v>0.78462144303673242</v>
      </c>
      <c r="V182" s="382">
        <f t="shared" si="58"/>
        <v>59.640979727790381</v>
      </c>
      <c r="W182" s="400">
        <f t="shared" si="59"/>
        <v>53.775067141128062</v>
      </c>
      <c r="X182" s="157">
        <f t="shared" si="60"/>
        <v>45094</v>
      </c>
      <c r="Y182" s="383">
        <f t="shared" si="61"/>
        <v>52.391866989703189</v>
      </c>
      <c r="Z182" s="383">
        <f t="shared" si="62"/>
        <v>54.021221930061401</v>
      </c>
      <c r="AA182" s="384">
        <f t="shared" si="63"/>
        <v>56.312345635777717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4.0685993095280738E-2</v>
      </c>
      <c r="AD182" s="230">
        <f>(INDEX(Models!$BJ182:$BT182,,AH182)*(1-AF182)+INDEX(Models!$BJ182:$BT182,,AH182+1)*AF182-ERP_i)*AE182*Ramure*Pc/MaxiM</f>
        <v>1.723793816185671E-20</v>
      </c>
      <c r="AE182" s="304">
        <f t="shared" si="65"/>
        <v>0.6</v>
      </c>
      <c r="AF182" s="177">
        <f t="shared" si="66"/>
        <v>0.78462144303673242</v>
      </c>
      <c r="AG182" s="799">
        <f t="shared" si="74"/>
        <v>0</v>
      </c>
      <c r="AH182" s="176">
        <f t="shared" si="67"/>
        <v>6</v>
      </c>
      <c r="AI182" s="224">
        <f t="shared" si="68"/>
        <v>0.78462144303673242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45095</v>
      </c>
      <c r="B183" s="409">
        <f>IF(t&gt;Tmaj,'2022'!Wh/'2022'!Env_an*'2023'!Env_an,0.001*'[8]mon-tableau'!$B$252)</f>
        <v>57.34212226520301</v>
      </c>
      <c r="C183" s="829"/>
      <c r="D183" s="391">
        <f t="shared" si="50"/>
        <v>59.126560256517998</v>
      </c>
      <c r="E183" s="383">
        <f t="shared" si="75"/>
        <v>60.056691954059566</v>
      </c>
      <c r="F183" s="383">
        <f t="shared" si="51"/>
        <v>60.056691954059566</v>
      </c>
      <c r="G183" s="110">
        <f t="shared" si="76"/>
        <v>0.96245084241538426</v>
      </c>
      <c r="H183" s="412" t="b">
        <f>Wh_hp&gt;='2022'!Maxi_hp</f>
        <v>1</v>
      </c>
      <c r="I183" s="379">
        <f>IF(H183,Wh_hp,'2022'!Maxi_hp)</f>
        <v>60.056691954059566</v>
      </c>
      <c r="J183" s="85">
        <f>IF(H183,An,'2022'!An_max)</f>
        <v>2023</v>
      </c>
      <c r="K183" s="197">
        <f t="shared" si="52"/>
        <v>45095</v>
      </c>
      <c r="L183" s="147">
        <f>IF(t&lt;Tvie,1-EXP((T0-t)*PertePVj)+'2022'!Pspv,1-EXP((T0-t)*PertePVj)+Pspv)</f>
        <v>3.0179972986307368E-2</v>
      </c>
      <c r="M183" s="832"/>
      <c r="N183" s="832"/>
      <c r="O183" s="48">
        <f>IF(t&lt;Tnet,'2022'!Resal+('2022'!Salim-'2022'!Resal)*(1-EXP(('2022'!Tnet-t)/('2022'!Tau_j))),Resal+(Salim-Resal)*(1-EXP((Tnet-t)/(Tau_j))))*Salcycl</f>
        <v>1.5487561290473191E-2</v>
      </c>
      <c r="P183" s="338">
        <f>(INDEX(Models!$BJ183:$BT183,,T183)*(1-R183)+INDEX(Models!$BJ183:$BT183,,T183+1)*R183-ERP_i)*Q183*Ramure*Pc/MaxiM</f>
        <v>0</v>
      </c>
      <c r="Q183" s="304">
        <f t="shared" si="53"/>
        <v>0.6</v>
      </c>
      <c r="R183" s="177">
        <f t="shared" si="54"/>
        <v>0.78964681581900431</v>
      </c>
      <c r="S183" s="799">
        <f t="shared" si="55"/>
        <v>0</v>
      </c>
      <c r="T183" s="176">
        <f t="shared" si="56"/>
        <v>6</v>
      </c>
      <c r="U183" s="250">
        <f t="shared" si="57"/>
        <v>0.78964681581900431</v>
      </c>
      <c r="V183" s="382">
        <f t="shared" si="58"/>
        <v>59.57927380612621</v>
      </c>
      <c r="W183" s="400">
        <f t="shared" si="59"/>
        <v>57.34212226520301</v>
      </c>
      <c r="X183" s="157">
        <f t="shared" si="60"/>
        <v>45095</v>
      </c>
      <c r="Y183" s="383">
        <f t="shared" si="61"/>
        <v>55.867966373592949</v>
      </c>
      <c r="Z183" s="383">
        <f t="shared" si="62"/>
        <v>57.606529889492748</v>
      </c>
      <c r="AA183" s="384">
        <f t="shared" si="63"/>
        <v>60.056691954059566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4.0797486255837512E-2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0.78964681581900431</v>
      </c>
      <c r="AG183" s="799">
        <f t="shared" si="74"/>
        <v>0</v>
      </c>
      <c r="AH183" s="176">
        <f t="shared" si="67"/>
        <v>6</v>
      </c>
      <c r="AI183" s="224">
        <f t="shared" si="68"/>
        <v>0.78964681581900431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45096</v>
      </c>
      <c r="B184" s="409">
        <f>IF(t&gt;Tmaj,'2022'!Wh/'2022'!Env_an*'2023'!Env_an,0.001*'[8]mon-tableau'!$B$253)</f>
        <v>58.458509045838895</v>
      </c>
      <c r="C184" s="829"/>
      <c r="D184" s="391">
        <f t="shared" si="50"/>
        <v>60.27884327292243</v>
      </c>
      <c r="E184" s="383">
        <f t="shared" si="75"/>
        <v>61.235074740567256</v>
      </c>
      <c r="F184" s="383">
        <f t="shared" si="51"/>
        <v>61.235074740567256</v>
      </c>
      <c r="G184" s="110">
        <f t="shared" si="76"/>
        <v>0.98223707474016986</v>
      </c>
      <c r="H184" s="412" t="b">
        <f>Wh_hp&gt;='2022'!Maxi_hp</f>
        <v>1</v>
      </c>
      <c r="I184" s="379">
        <f>IF(H184,Wh_hp,'2022'!Maxi_hp)</f>
        <v>61.235074740567256</v>
      </c>
      <c r="J184" s="85">
        <f>IF(H184,An,'2022'!An_max)</f>
        <v>2023</v>
      </c>
      <c r="K184" s="197">
        <f t="shared" si="52"/>
        <v>45096</v>
      </c>
      <c r="L184" s="147">
        <f>IF(t&lt;Tvie,1-EXP((T0-t)*PertePVj)+'2022'!Pspv,1-EXP((T0-t)*PertePVj)+Pspv)</f>
        <v>3.0198559365873567E-2</v>
      </c>
      <c r="M184" s="832"/>
      <c r="N184" s="832"/>
      <c r="O184" s="48">
        <f>IF(t&lt;Tnet,'2022'!Resal+('2022'!Salim-'2022'!Resal)*(1-EXP(('2022'!Tnet-t)/('2022'!Tau_j))),Resal+(Salim-Resal)*(1-EXP((Tnet-t)/(Tau_j))))*Salcycl</f>
        <v>1.5615747538417555E-2</v>
      </c>
      <c r="P184" s="338">
        <f>(INDEX(Models!$BJ184:$BT184,,T184)*(1-R184)+INDEX(Models!$BJ184:$BT184,,T184+1)*R184-ERP_i)*Q184*Ramure*Pc/MaxiM</f>
        <v>0</v>
      </c>
      <c r="Q184" s="304">
        <f t="shared" si="53"/>
        <v>0.6</v>
      </c>
      <c r="R184" s="177">
        <f t="shared" si="54"/>
        <v>0.79463865923341681</v>
      </c>
      <c r="S184" s="799">
        <f t="shared" si="55"/>
        <v>0</v>
      </c>
      <c r="T184" s="176">
        <f t="shared" si="56"/>
        <v>6</v>
      </c>
      <c r="U184" s="250">
        <f t="shared" si="57"/>
        <v>0.79463865923341681</v>
      </c>
      <c r="V184" s="382">
        <f t="shared" si="58"/>
        <v>59.515681650789716</v>
      </c>
      <c r="W184" s="400">
        <f t="shared" si="59"/>
        <v>58.458509045838895</v>
      </c>
      <c r="X184" s="157">
        <f t="shared" si="60"/>
        <v>45096</v>
      </c>
      <c r="Y184" s="383">
        <f t="shared" si="61"/>
        <v>56.956488945440931</v>
      </c>
      <c r="Z184" s="383">
        <f t="shared" si="62"/>
        <v>58.730051904437936</v>
      </c>
      <c r="AA184" s="384">
        <f t="shared" si="63"/>
        <v>61.235074740567256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4.0908300459210276E-2</v>
      </c>
      <c r="AD184" s="230">
        <f>(INDEX(Models!$BJ184:$BT184,,AH184)*(1-AF184)+INDEX(Models!$BJ184:$BT184,,AH184+1)*AF184-ERP_i)*AE184*Ramure*Pc/MaxiM</f>
        <v>0</v>
      </c>
      <c r="AE184" s="304">
        <f t="shared" si="65"/>
        <v>0.6</v>
      </c>
      <c r="AF184" s="177">
        <f t="shared" si="66"/>
        <v>0.79463865923341681</v>
      </c>
      <c r="AG184" s="799">
        <f t="shared" si="74"/>
        <v>0</v>
      </c>
      <c r="AH184" s="176">
        <f t="shared" si="67"/>
        <v>6</v>
      </c>
      <c r="AI184" s="224">
        <f t="shared" si="68"/>
        <v>0.79463865923341681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45097</v>
      </c>
      <c r="B185" s="409">
        <f>IF(t&gt;Tmaj,'2022'!Wh/'2022'!Env_an*'2023'!Env_an,0.001*'[8]mon-tableau'!$B$254)</f>
        <v>30.899596242191475</v>
      </c>
      <c r="C185" s="829"/>
      <c r="D185" s="391">
        <f t="shared" si="50"/>
        <v>31.862386610859875</v>
      </c>
      <c r="E185" s="383">
        <f t="shared" si="75"/>
        <v>32.372040628003944</v>
      </c>
      <c r="F185" s="383">
        <f t="shared" si="51"/>
        <v>32.372040628003944</v>
      </c>
      <c r="G185" s="110">
        <f t="shared" si="76"/>
        <v>0.51975592732939879</v>
      </c>
      <c r="H185" s="412" t="b">
        <f>Wh_hp&gt;='2022'!Maxi_hp</f>
        <v>0</v>
      </c>
      <c r="I185" s="379">
        <f>IF(H185,Wh_hp,'2022'!Maxi_hp)</f>
        <v>58.11759070939933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3.0217145389236033E-2</v>
      </c>
      <c r="M185" s="832"/>
      <c r="N185" s="832"/>
      <c r="O185" s="48">
        <f>IF(t&lt;Tnet,'2022'!Resal+('2022'!Salim-'2022'!Resal)*(1-EXP(('2022'!Tnet-t)/('2022'!Tau_j))),Resal+(Salim-Resal)*(1-EXP((Tnet-t)/(Tau_j))))*Salcycl</f>
        <v>1.5743648137621132E-2</v>
      </c>
      <c r="P185" s="338">
        <f>(INDEX(Models!$BJ185:$BT185,,T185)*(1-R185)+INDEX(Models!$BJ185:$BT185,,T185+1)*R185-ERP_i)*Q185*Ramure*Pc/MaxiM</f>
        <v>0</v>
      </c>
      <c r="Q185" s="304">
        <f t="shared" si="53"/>
        <v>0.6</v>
      </c>
      <c r="R185" s="177">
        <f t="shared" si="54"/>
        <v>0.79959313731049919</v>
      </c>
      <c r="S185" s="799">
        <f t="shared" si="55"/>
        <v>0</v>
      </c>
      <c r="T185" s="176">
        <f t="shared" si="56"/>
        <v>6</v>
      </c>
      <c r="U185" s="250">
        <f t="shared" si="57"/>
        <v>0.79959313731049919</v>
      </c>
      <c r="V185" s="382">
        <f t="shared" si="58"/>
        <v>59.450204639241477</v>
      </c>
      <c r="W185" s="400">
        <f t="shared" si="59"/>
        <v>30.899596242191475</v>
      </c>
      <c r="X185" s="157">
        <f t="shared" si="60"/>
        <v>45097</v>
      </c>
      <c r="Y185" s="383">
        <f t="shared" si="61"/>
        <v>30.106123777347921</v>
      </c>
      <c r="Z185" s="383">
        <f t="shared" si="62"/>
        <v>31.044190598143167</v>
      </c>
      <c r="AA185" s="384">
        <f t="shared" si="63"/>
        <v>32.372040628003944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4.1018422197088775E-2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0.79959313731049919</v>
      </c>
      <c r="AG185" s="799">
        <f t="shared" si="74"/>
        <v>0</v>
      </c>
      <c r="AH185" s="176">
        <f t="shared" si="67"/>
        <v>6</v>
      </c>
      <c r="AI185" s="224">
        <f t="shared" si="68"/>
        <v>0.79959313731049919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45098</v>
      </c>
      <c r="B186" s="409">
        <f>IF(t&gt;Tmaj,'2022'!Wh/'2022'!Env_an*'2023'!Env_an,0.001*'[8]mon-tableau'!$B$255)</f>
        <v>23.03556123326771</v>
      </c>
      <c r="C186" s="829"/>
      <c r="D186" s="391">
        <f t="shared" si="50"/>
        <v>23.753773954119012</v>
      </c>
      <c r="E186" s="383">
        <f t="shared" si="75"/>
        <v>24.136856138620903</v>
      </c>
      <c r="F186" s="383">
        <f t="shared" si="51"/>
        <v>24.136856138620903</v>
      </c>
      <c r="G186" s="110">
        <f t="shared" si="76"/>
        <v>0.38791609902370316</v>
      </c>
      <c r="H186" s="412" t="b">
        <f>Wh_hp&gt;='2022'!Maxi_hp</f>
        <v>0</v>
      </c>
      <c r="I186" s="379">
        <f>IF(H186,Wh_hp,'2022'!Maxi_hp)</f>
        <v>54.852267304881771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3.0235731056401649E-2</v>
      </c>
      <c r="M186" s="832"/>
      <c r="N186" s="832"/>
      <c r="O186" s="48">
        <f>IF(t&lt;Tnet,'2022'!Resal+('2022'!Salim-'2022'!Resal)*(1-EXP(('2022'!Tnet-t)/('2022'!Tau_j))),Resal+(Salim-Resal)*(1-EXP((Tnet-t)/(Tau_j))))*Salcycl</f>
        <v>1.5871254412828332E-2</v>
      </c>
      <c r="P186" s="338">
        <f>(INDEX(Models!$BJ186:$BT186,,T186)*(1-R186)+INDEX(Models!$BJ186:$BT186,,T186+1)*R186-ERP_i)*Q186*Ramure*Pc/MaxiM</f>
        <v>0</v>
      </c>
      <c r="Q186" s="304">
        <f t="shared" si="53"/>
        <v>0.6</v>
      </c>
      <c r="R186" s="177">
        <f t="shared" si="54"/>
        <v>0.80450653386012583</v>
      </c>
      <c r="S186" s="799">
        <f t="shared" si="55"/>
        <v>0</v>
      </c>
      <c r="T186" s="176">
        <f t="shared" si="56"/>
        <v>6</v>
      </c>
      <c r="U186" s="250">
        <f t="shared" si="57"/>
        <v>0.80450653386012583</v>
      </c>
      <c r="V186" s="382">
        <f t="shared" si="58"/>
        <v>59.382844102740243</v>
      </c>
      <c r="W186" s="400">
        <f t="shared" si="59"/>
        <v>23.03556123326771</v>
      </c>
      <c r="X186" s="157">
        <f t="shared" si="60"/>
        <v>45098</v>
      </c>
      <c r="Y186" s="383">
        <f t="shared" si="61"/>
        <v>22.44437880489976</v>
      </c>
      <c r="Z186" s="383">
        <f t="shared" si="62"/>
        <v>23.144159383547187</v>
      </c>
      <c r="AA186" s="384">
        <f t="shared" si="63"/>
        <v>24.136856138620903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4.1127839904772111E-2</v>
      </c>
      <c r="AD186" s="230">
        <f>(INDEX(Models!$BJ186:$BT186,,AH186)*(1-AF186)+INDEX(Models!$BJ186:$BT186,,AH186+1)*AF186-ERP_i)*AE186*Ramure*Pc/MaxiM</f>
        <v>0</v>
      </c>
      <c r="AE186" s="304">
        <f t="shared" si="65"/>
        <v>0.6</v>
      </c>
      <c r="AF186" s="177">
        <f t="shared" si="66"/>
        <v>0.80450653386012583</v>
      </c>
      <c r="AG186" s="799">
        <f t="shared" si="74"/>
        <v>0</v>
      </c>
      <c r="AH186" s="176">
        <f t="shared" si="67"/>
        <v>6</v>
      </c>
      <c r="AI186" s="224">
        <f t="shared" si="68"/>
        <v>0.80450653386012583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45099</v>
      </c>
      <c r="B187" s="409">
        <f>IF(t&gt;Tmaj,'2022'!Wh/'2022'!Env_an*'2023'!Env_an,0.001*'[8]mon-tableau'!$B$256)</f>
        <v>43.55281808502567</v>
      </c>
      <c r="C187" s="829"/>
      <c r="D187" s="391">
        <f t="shared" si="50"/>
        <v>44.91158746062041</v>
      </c>
      <c r="E187" s="383">
        <f t="shared" si="75"/>
        <v>45.641790308516825</v>
      </c>
      <c r="F187" s="383">
        <f t="shared" si="51"/>
        <v>45.641790308516825</v>
      </c>
      <c r="G187" s="110">
        <f t="shared" si="76"/>
        <v>0.73428045362943595</v>
      </c>
      <c r="H187" s="412" t="b">
        <f>Wh_hp&gt;='2022'!Maxi_hp</f>
        <v>0</v>
      </c>
      <c r="I187" s="379">
        <f>IF(H187,Wh_hp,'2022'!Maxi_hp)</f>
        <v>62.350039866865146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3.0254316367377188E-2</v>
      </c>
      <c r="M187" s="832"/>
      <c r="N187" s="832"/>
      <c r="O187" s="48">
        <f>IF(t&lt;Tnet,'2022'!Resal+('2022'!Salim-'2022'!Resal)*(1-EXP(('2022'!Tnet-t)/('2022'!Tau_j))),Resal+(Salim-Resal)*(1-EXP((Tnet-t)/(Tau_j))))*Salcycl</f>
        <v>1.5998558403616307E-2</v>
      </c>
      <c r="P187" s="338">
        <f>(INDEX(Models!$BJ187:$BT187,,T187)*(1-R187)+INDEX(Models!$BJ187:$BT187,,T187+1)*R187-ERP_i)*Q187*Ramure*Pc/MaxiM</f>
        <v>0</v>
      </c>
      <c r="Q187" s="304">
        <f t="shared" si="53"/>
        <v>0.6</v>
      </c>
      <c r="R187" s="177">
        <f t="shared" si="54"/>
        <v>0.80937526280021344</v>
      </c>
      <c r="S187" s="799">
        <f t="shared" si="55"/>
        <v>0</v>
      </c>
      <c r="T187" s="176">
        <f t="shared" si="56"/>
        <v>6</v>
      </c>
      <c r="U187" s="250">
        <f t="shared" si="57"/>
        <v>0.80937526280021344</v>
      </c>
      <c r="V187" s="382">
        <f t="shared" si="58"/>
        <v>59.313601321880149</v>
      </c>
      <c r="W187" s="400">
        <f t="shared" si="59"/>
        <v>43.55281808502567</v>
      </c>
      <c r="X187" s="157">
        <f t="shared" si="60"/>
        <v>45099</v>
      </c>
      <c r="Y187" s="383">
        <f t="shared" si="61"/>
        <v>42.435761393441595</v>
      </c>
      <c r="Z187" s="383">
        <f t="shared" si="62"/>
        <v>43.759680614900169</v>
      </c>
      <c r="AA187" s="384">
        <f t="shared" si="63"/>
        <v>45.641790308516825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4.1236543985117308E-2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0.80937526280021344</v>
      </c>
      <c r="AG187" s="799">
        <f t="shared" si="74"/>
        <v>0</v>
      </c>
      <c r="AH187" s="176">
        <f t="shared" si="67"/>
        <v>6</v>
      </c>
      <c r="AI187" s="224">
        <f t="shared" si="68"/>
        <v>0.80937526280021344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45100</v>
      </c>
      <c r="B188" s="409">
        <f>IF(t&gt;Tmaj,'2022'!Wh/'2022'!Env_an*'2023'!Env_an,0.001*'[8]mon-tableau'!$B$257)</f>
        <v>44.232689977846114</v>
      </c>
      <c r="C188" s="829"/>
      <c r="D188" s="391">
        <f t="shared" si="50"/>
        <v>45.613544303500383</v>
      </c>
      <c r="E188" s="383">
        <f t="shared" si="75"/>
        <v>46.361143373016787</v>
      </c>
      <c r="F188" s="383">
        <f t="shared" si="51"/>
        <v>46.361143373016787</v>
      </c>
      <c r="G188" s="110">
        <f t="shared" si="76"/>
        <v>0.74663808507722496</v>
      </c>
      <c r="H188" s="412" t="b">
        <f>Wh_hp&gt;='2022'!Maxi_hp</f>
        <v>0</v>
      </c>
      <c r="I188" s="379">
        <f>IF(H188,Wh_hp,'2022'!Maxi_hp)</f>
        <v>54.242625495320887</v>
      </c>
      <c r="J188" s="85">
        <f>IF(H188,An,'2022'!An_max)</f>
        <v>2018</v>
      </c>
      <c r="K188" s="197">
        <f t="shared" si="52"/>
        <v>45100</v>
      </c>
      <c r="L188" s="147">
        <f>IF(t&lt;Tvie,1-EXP((T0-t)*PertePVj)+'2022'!Pspv,1-EXP((T0-t)*PertePVj)+Pspv)</f>
        <v>3.0272901322169421E-2</v>
      </c>
      <c r="M188" s="832"/>
      <c r="N188" s="832"/>
      <c r="O188" s="48">
        <f>IF(t&lt;Tnet,'2022'!Resal+('2022'!Salim-'2022'!Resal)*(1-EXP(('2022'!Tnet-t)/('2022'!Tau_j))),Resal+(Salim-Resal)*(1-EXP((Tnet-t)/(Tau_j))))*Salcycl</f>
        <v>1.6125552890300775E-2</v>
      </c>
      <c r="P188" s="338">
        <f>(INDEX(Models!$BJ188:$BT188,,T188)*(1-R188)+INDEX(Models!$BJ188:$BT188,,T188+1)*R188-ERP_i)*Q188*Ramure*Pc/MaxiM</f>
        <v>1.7845805228770732E-20</v>
      </c>
      <c r="Q188" s="304">
        <f t="shared" si="53"/>
        <v>0.6</v>
      </c>
      <c r="R188" s="177">
        <f t="shared" si="54"/>
        <v>0.81419587763143531</v>
      </c>
      <c r="S188" s="799">
        <f t="shared" si="55"/>
        <v>0</v>
      </c>
      <c r="T188" s="176">
        <f t="shared" si="56"/>
        <v>6</v>
      </c>
      <c r="U188" s="250">
        <f t="shared" si="57"/>
        <v>0.81419587763143531</v>
      </c>
      <c r="V188" s="382">
        <f t="shared" si="58"/>
        <v>59.242477529486216</v>
      </c>
      <c r="W188" s="400">
        <f t="shared" si="59"/>
        <v>44.232689977846114</v>
      </c>
      <c r="X188" s="157">
        <f t="shared" si="60"/>
        <v>45100</v>
      </c>
      <c r="Y188" s="383">
        <f t="shared" si="61"/>
        <v>43.098903996590678</v>
      </c>
      <c r="Z188" s="383">
        <f t="shared" si="62"/>
        <v>44.444363837365849</v>
      </c>
      <c r="AA188" s="384">
        <f t="shared" si="63"/>
        <v>46.361143373016787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4.1344526821280765E-2</v>
      </c>
      <c r="AD188" s="230">
        <f>(INDEX(Models!$BJ188:$BT188,,AH188)*(1-AF188)+INDEX(Models!$BJ188:$BT188,,AH188+1)*AF188-ERP_i)*AE188*Ramure*Pc/MaxiM</f>
        <v>1.7845805228770732E-20</v>
      </c>
      <c r="AE188" s="304">
        <f t="shared" si="65"/>
        <v>0.6</v>
      </c>
      <c r="AF188" s="177">
        <f t="shared" si="66"/>
        <v>0.81419587763143531</v>
      </c>
      <c r="AG188" s="799">
        <f t="shared" si="74"/>
        <v>0</v>
      </c>
      <c r="AH188" s="176">
        <f t="shared" si="67"/>
        <v>6</v>
      </c>
      <c r="AI188" s="224">
        <f t="shared" si="68"/>
        <v>0.81419587763143531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45101</v>
      </c>
      <c r="B189" s="409">
        <f>IF(t&gt;Tmaj,'2022'!Wh/'2022'!Env_an*'2023'!Env_an,0.001*'[8]mon-tableau'!$B$258)</f>
        <v>40.646733653480197</v>
      </c>
      <c r="C189" s="829"/>
      <c r="D189" s="391">
        <f t="shared" si="50"/>
        <v>41.916445058829083</v>
      </c>
      <c r="E189" s="383">
        <f t="shared" si="75"/>
        <v>42.608935336270086</v>
      </c>
      <c r="F189" s="383">
        <f t="shared" si="51"/>
        <v>42.608935336270086</v>
      </c>
      <c r="G189" s="110">
        <f t="shared" si="76"/>
        <v>0.68695445422333945</v>
      </c>
      <c r="H189" s="412" t="b">
        <f>Wh_hp&gt;='2022'!Maxi_hp</f>
        <v>0</v>
      </c>
      <c r="I189" s="379">
        <f>IF(H189,Wh_hp,'2022'!Maxi_hp)</f>
        <v>61.322953896057307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3.0291485920785233E-2</v>
      </c>
      <c r="M189" s="832"/>
      <c r="N189" s="832"/>
      <c r="O189" s="48">
        <f>IF(t&lt;Tnet,'2022'!Resal+('2022'!Salim-'2022'!Resal)*(1-EXP(('2022'!Tnet-t)/('2022'!Tau_j))),Resal+(Salim-Resal)*(1-EXP((Tnet-t)/(Tau_j))))*Salcycl</f>
        <v>1.6252231415215115E-2</v>
      </c>
      <c r="P189" s="338">
        <f>(INDEX(Models!$BJ189:$BT189,,T189)*(1-R189)+INDEX(Models!$BJ189:$BT189,,T189+1)*R189-ERP_i)*Q189*Ramure*Pc/MaxiM</f>
        <v>0</v>
      </c>
      <c r="Q189" s="304">
        <f t="shared" si="53"/>
        <v>0.6</v>
      </c>
      <c r="R189" s="177">
        <f t="shared" si="54"/>
        <v>0.81896508001297774</v>
      </c>
      <c r="S189" s="799">
        <f t="shared" si="55"/>
        <v>0</v>
      </c>
      <c r="T189" s="176">
        <f t="shared" si="56"/>
        <v>6</v>
      </c>
      <c r="U189" s="250">
        <f t="shared" si="57"/>
        <v>0.81896508001297774</v>
      </c>
      <c r="V189" s="382">
        <f t="shared" si="58"/>
        <v>59.169473905565972</v>
      </c>
      <c r="W189" s="400">
        <f t="shared" si="59"/>
        <v>40.646733653480197</v>
      </c>
      <c r="X189" s="157">
        <f t="shared" si="60"/>
        <v>45101</v>
      </c>
      <c r="Y189" s="383">
        <f t="shared" si="61"/>
        <v>39.60553235661726</v>
      </c>
      <c r="Z189" s="383">
        <f t="shared" si="62"/>
        <v>40.84271900430268</v>
      </c>
      <c r="AA189" s="384">
        <f t="shared" si="63"/>
        <v>42.608935336270086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4.1451782778152306E-2</v>
      </c>
      <c r="AD189" s="230">
        <f>(INDEX(Models!$BJ189:$BT189,,AH189)*(1-AF189)+INDEX(Models!$BJ189:$BT189,,AH189+1)*AF189-ERP_i)*AE189*Ramure*Pc/MaxiM</f>
        <v>0</v>
      </c>
      <c r="AE189" s="304">
        <f t="shared" si="65"/>
        <v>0.6</v>
      </c>
      <c r="AF189" s="177">
        <f t="shared" si="66"/>
        <v>0.81896508001297774</v>
      </c>
      <c r="AG189" s="799">
        <f t="shared" si="74"/>
        <v>0</v>
      </c>
      <c r="AH189" s="176">
        <f t="shared" si="67"/>
        <v>6</v>
      </c>
      <c r="AI189" s="224">
        <f t="shared" si="68"/>
        <v>0.81896508001297774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45102</v>
      </c>
      <c r="B190" s="409">
        <f>IF(t&gt;Tmaj,'2022'!Wh/'2022'!Env_an*'2023'!Env_an,0.001*'[8]mon-tableau'!$B$259)</f>
        <v>38.460809527067973</v>
      </c>
      <c r="C190" s="829"/>
      <c r="D190" s="391">
        <f t="shared" si="50"/>
        <v>39.662997772434558</v>
      </c>
      <c r="E190" s="383">
        <f t="shared" si="75"/>
        <v>40.32343877493728</v>
      </c>
      <c r="F190" s="383">
        <f t="shared" si="51"/>
        <v>40.32343877493728</v>
      </c>
      <c r="G190" s="110">
        <f t="shared" si="76"/>
        <v>0.65083467876413281</v>
      </c>
      <c r="H190" s="412" t="b">
        <f>Wh_hp&gt;='2022'!Maxi_hp</f>
        <v>0</v>
      </c>
      <c r="I190" s="379">
        <f>IF(H190,Wh_hp,'2022'!Maxi_hp)</f>
        <v>60.963352971258608</v>
      </c>
      <c r="J190" s="85">
        <f>IF(H190,An,'2022'!An_max)</f>
        <v>2020</v>
      </c>
      <c r="K190" s="197">
        <f t="shared" si="52"/>
        <v>45102</v>
      </c>
      <c r="L190" s="147">
        <f>IF(t&lt;Tvie,1-EXP((T0-t)*PertePVj)+'2022'!Pspv,1-EXP((T0-t)*PertePVj)+Pspv)</f>
        <v>3.0310070163231506E-2</v>
      </c>
      <c r="M190" s="832"/>
      <c r="N190" s="832"/>
      <c r="O190" s="48">
        <f>IF(t&lt;Tnet,'2022'!Resal+('2022'!Salim-'2022'!Resal)*(1-EXP(('2022'!Tnet-t)/('2022'!Tau_j))),Resal+(Salim-Resal)*(1-EXP((Tnet-t)/(Tau_j))))*Salcycl</f>
        <v>1.6378588299200629E-2</v>
      </c>
      <c r="P190" s="338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0.82367972740395357</v>
      </c>
      <c r="S190" s="799">
        <f t="shared" si="55"/>
        <v>0</v>
      </c>
      <c r="T190" s="176">
        <f t="shared" si="56"/>
        <v>6</v>
      </c>
      <c r="U190" s="250">
        <f t="shared" si="57"/>
        <v>0.82367972740395357</v>
      </c>
      <c r="V190" s="382">
        <f t="shared" si="58"/>
        <v>59.094591579079719</v>
      </c>
      <c r="W190" s="400">
        <f t="shared" si="59"/>
        <v>38.460809527067973</v>
      </c>
      <c r="X190" s="157">
        <f t="shared" si="60"/>
        <v>45102</v>
      </c>
      <c r="Y190" s="383">
        <f t="shared" si="61"/>
        <v>37.476251444822253</v>
      </c>
      <c r="Z190" s="383">
        <f t="shared" si="62"/>
        <v>38.647664878948234</v>
      </c>
      <c r="AA190" s="384">
        <f t="shared" si="63"/>
        <v>40.32343877493728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4.1558308192470167E-2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0.82367972740395357</v>
      </c>
      <c r="AG190" s="799">
        <f t="shared" si="74"/>
        <v>0</v>
      </c>
      <c r="AH190" s="176">
        <f t="shared" si="67"/>
        <v>6</v>
      </c>
      <c r="AI190" s="224">
        <f t="shared" si="68"/>
        <v>0.82367972740395357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45103</v>
      </c>
      <c r="B191" s="409">
        <f>IF(t&gt;Tmaj,'2022'!Wh/'2022'!Env_an*'2023'!Env_an,0.001*'[8]mon-tableau'!$B$260)</f>
        <v>12.462494249470979</v>
      </c>
      <c r="C191" s="829"/>
      <c r="D191" s="391">
        <f t="shared" si="50"/>
        <v>12.852286809872755</v>
      </c>
      <c r="E191" s="383">
        <f t="shared" si="75"/>
        <v>13.067968648996215</v>
      </c>
      <c r="F191" s="383">
        <f t="shared" si="51"/>
        <v>13.067968648996215</v>
      </c>
      <c r="G191" s="110">
        <f t="shared" si="76"/>
        <v>0.21116648786525161</v>
      </c>
      <c r="H191" s="412" t="b">
        <f>Wh_hp&gt;='2022'!Maxi_hp</f>
        <v>0</v>
      </c>
      <c r="I191" s="379">
        <f>IF(H191,Wh_hp,'2022'!Maxi_hp)</f>
        <v>60.568355603676984</v>
      </c>
      <c r="J191" s="85">
        <f>IF(H191,An,'2022'!An_max)</f>
        <v>2018</v>
      </c>
      <c r="K191" s="197">
        <f t="shared" si="52"/>
        <v>45103</v>
      </c>
      <c r="L191" s="147">
        <f>IF(t&lt;Tvie,1-EXP((T0-t)*PertePVj)+'2022'!Pspv,1-EXP((T0-t)*PertePVj)+Pspv)</f>
        <v>3.0328654049515014E-2</v>
      </c>
      <c r="M191" s="832"/>
      <c r="N191" s="832"/>
      <c r="O191" s="48">
        <f>IF(t&lt;Tnet,'2022'!Resal+('2022'!Salim-'2022'!Resal)*(1-EXP(('2022'!Tnet-t)/('2022'!Tau_j))),Resal+(Salim-Resal)*(1-EXP((Tnet-t)/(Tau_j))))*Salcycl</f>
        <v>1.6504618653185081E-2</v>
      </c>
      <c r="P191" s="338">
        <f>(INDEX(Models!$BJ191:$BT191,,T191)*(1-R191)+INDEX(Models!$BJ191:$BT191,,T191+1)*R191-ERP_i)*Q191*Ramure*Pc/MaxiM</f>
        <v>0</v>
      </c>
      <c r="Q191" s="304">
        <f t="shared" si="53"/>
        <v>0.6</v>
      </c>
      <c r="R191" s="177">
        <f t="shared" si="54"/>
        <v>0.82833683974478589</v>
      </c>
      <c r="S191" s="799">
        <f t="shared" si="55"/>
        <v>0</v>
      </c>
      <c r="T191" s="176">
        <f t="shared" si="56"/>
        <v>6</v>
      </c>
      <c r="U191" s="250">
        <f t="shared" si="57"/>
        <v>0.82833683974478589</v>
      </c>
      <c r="V191" s="382">
        <f t="shared" si="58"/>
        <v>59.017386591301729</v>
      </c>
      <c r="W191" s="400">
        <f t="shared" si="59"/>
        <v>12.462494249470979</v>
      </c>
      <c r="X191" s="157">
        <f t="shared" si="60"/>
        <v>45103</v>
      </c>
      <c r="Y191" s="383">
        <f t="shared" si="61"/>
        <v>12.143682474248942</v>
      </c>
      <c r="Z191" s="383">
        <f t="shared" si="62"/>
        <v>12.523503478743656</v>
      </c>
      <c r="AA191" s="384">
        <f t="shared" si="63"/>
        <v>13.067968648996215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4.1664101351695619E-2</v>
      </c>
      <c r="AD191" s="230">
        <f>(INDEX(Models!$BJ191:$BT191,,AH191)*(1-AF191)+INDEX(Models!$BJ191:$BT191,,AH191+1)*AF191-ERP_i)*AE191*Ramure*Pc/MaxiM</f>
        <v>0</v>
      </c>
      <c r="AE191" s="304">
        <f t="shared" si="65"/>
        <v>0.6</v>
      </c>
      <c r="AF191" s="177">
        <f t="shared" si="66"/>
        <v>0.82833683974478589</v>
      </c>
      <c r="AG191" s="799">
        <f t="shared" si="74"/>
        <v>0</v>
      </c>
      <c r="AH191" s="176">
        <f t="shared" si="67"/>
        <v>6</v>
      </c>
      <c r="AI191" s="224">
        <f t="shared" si="68"/>
        <v>0.82833683974478589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45104</v>
      </c>
      <c r="B192" s="409">
        <f>IF(t&gt;Tmaj,'2022'!Wh/'2022'!Env_an*'2023'!Env_an,0.001*'[8]mon-tableau'!$B$261)</f>
        <v>15.346460009953331</v>
      </c>
      <c r="C192" s="829"/>
      <c r="D192" s="391">
        <f t="shared" si="50"/>
        <v>15.82675840746013</v>
      </c>
      <c r="E192" s="383">
        <f t="shared" si="75"/>
        <v>16.094413630348956</v>
      </c>
      <c r="F192" s="383">
        <f t="shared" si="51"/>
        <v>16.094413630348956</v>
      </c>
      <c r="G192" s="110">
        <f t="shared" si="76"/>
        <v>0.2603850933963755</v>
      </c>
      <c r="H192" s="412" t="b">
        <f>Wh_hp&gt;='2022'!Maxi_hp</f>
        <v>0</v>
      </c>
      <c r="I192" s="379">
        <f>IF(H192,Wh_hp,'2022'!Maxi_hp)</f>
        <v>60.063496146867578</v>
      </c>
      <c r="J192" s="85">
        <f>IF(H192,An,'2022'!An_max)</f>
        <v>2018</v>
      </c>
      <c r="K192" s="197">
        <f t="shared" si="52"/>
        <v>45104</v>
      </c>
      <c r="L192" s="147">
        <f>IF(t&lt;Tvie,1-EXP((T0-t)*PertePVj)+'2022'!Pspv,1-EXP((T0-t)*PertePVj)+Pspv)</f>
        <v>3.0347237579642639E-2</v>
      </c>
      <c r="M192" s="832"/>
      <c r="N192" s="832"/>
      <c r="O192" s="48">
        <f>IF(t&lt;Tnet,'2022'!Resal+('2022'!Salim-'2022'!Resal)*(1-EXP(('2022'!Tnet-t)/('2022'!Tau_j))),Resal+(Salim-Resal)*(1-EXP((Tnet-t)/(Tau_j))))*Salcycl</f>
        <v>1.6630318384766505E-2</v>
      </c>
      <c r="P192" s="338">
        <f>(INDEX(Models!$BJ192:$BT192,,T192)*(1-R192)+INDEX(Models!$BJ192:$BT192,,T192+1)*R192-ERP_i)*Q192*Ramure*Pc/MaxiM</f>
        <v>0</v>
      </c>
      <c r="Q192" s="304">
        <f t="shared" si="53"/>
        <v>0.6</v>
      </c>
      <c r="R192" s="177">
        <f t="shared" si="54"/>
        <v>0.83293360516250303</v>
      </c>
      <c r="S192" s="799">
        <f t="shared" si="55"/>
        <v>0</v>
      </c>
      <c r="T192" s="176">
        <f t="shared" si="56"/>
        <v>6</v>
      </c>
      <c r="U192" s="250">
        <f t="shared" si="57"/>
        <v>0.83293360516250303</v>
      </c>
      <c r="V192" s="382">
        <f t="shared" si="58"/>
        <v>58.937552107070609</v>
      </c>
      <c r="W192" s="400">
        <f t="shared" si="59"/>
        <v>15.346460009953331</v>
      </c>
      <c r="X192" s="157">
        <f t="shared" si="60"/>
        <v>45104</v>
      </c>
      <c r="Y192" s="383">
        <f t="shared" si="61"/>
        <v>14.954143394404246</v>
      </c>
      <c r="Z192" s="383">
        <f t="shared" si="62"/>
        <v>15.422163452695271</v>
      </c>
      <c r="AA192" s="384">
        <f t="shared" si="63"/>
        <v>16.094413630348956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4.1769162461814391E-2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0.83293360516250303</v>
      </c>
      <c r="AG192" s="799">
        <f t="shared" si="74"/>
        <v>0</v>
      </c>
      <c r="AH192" s="176">
        <f t="shared" si="67"/>
        <v>6</v>
      </c>
      <c r="AI192" s="224">
        <f t="shared" si="68"/>
        <v>0.83293360516250303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45105</v>
      </c>
      <c r="B193" s="409">
        <f>IF(t&gt;Tmaj,'2022'!Wh/'2022'!Env_an*'2023'!Env_an,0.001*'[8]mon-tableau'!$B$262)</f>
        <v>58.894292088167944</v>
      </c>
      <c r="C193" s="829"/>
      <c r="D193" s="391">
        <f t="shared" si="50"/>
        <v>60.73867170600554</v>
      </c>
      <c r="E193" s="383">
        <f t="shared" si="75"/>
        <v>61.773732865744329</v>
      </c>
      <c r="F193" s="383">
        <f t="shared" si="51"/>
        <v>61.773732865744329</v>
      </c>
      <c r="G193" s="110">
        <f t="shared" si="76"/>
        <v>1.0006625966645872</v>
      </c>
      <c r="H193" s="412" t="b">
        <f>Wh_hp&gt;='2022'!Maxi_hp</f>
        <v>1</v>
      </c>
      <c r="I193" s="379">
        <f>IF(H193,Wh_hp,'2022'!Maxi_hp)</f>
        <v>61.773732865744329</v>
      </c>
      <c r="J193" s="85">
        <f>IF(H193,An,'2022'!An_max)</f>
        <v>2023</v>
      </c>
      <c r="K193" s="197">
        <f t="shared" si="52"/>
        <v>45105</v>
      </c>
      <c r="L193" s="147">
        <f>IF(t&lt;Tvie,1-EXP((T0-t)*PertePVj)+'2022'!Pspv,1-EXP((T0-t)*PertePVj)+Pspv)</f>
        <v>3.0365820753621042E-2</v>
      </c>
      <c r="M193" s="832"/>
      <c r="N193" s="832"/>
      <c r="O193" s="48">
        <f>IF(t&lt;Tnet,'2022'!Resal+('2022'!Salim-'2022'!Resal)*(1-EXP(('2022'!Tnet-t)/('2022'!Tau_j))),Resal+(Salim-Resal)*(1-EXP((Tnet-t)/(Tau_j))))*Salcycl</f>
        <v>1.6755684199760701E-2</v>
      </c>
      <c r="P193" s="338">
        <f>(INDEX(Models!$BJ193:$BT193,,T193)*(1-R193)+INDEX(Models!$BJ193:$BT193,,T193+1)*R193-ERP_i)*Q193*Ramure*Pc/MaxiM</f>
        <v>0</v>
      </c>
      <c r="Q193" s="304">
        <f t="shared" si="53"/>
        <v>0.6</v>
      </c>
      <c r="R193" s="177">
        <f t="shared" si="54"/>
        <v>0.83746738469333248</v>
      </c>
      <c r="S193" s="799">
        <f t="shared" si="55"/>
        <v>0</v>
      </c>
      <c r="T193" s="176">
        <f t="shared" si="56"/>
        <v>6</v>
      </c>
      <c r="U193" s="250">
        <f t="shared" si="57"/>
        <v>0.83746738469333248</v>
      </c>
      <c r="V193" s="382">
        <f t="shared" si="58"/>
        <v>58.855294766162572</v>
      </c>
      <c r="W193" s="400">
        <f t="shared" si="59"/>
        <v>58.894292088167944</v>
      </c>
      <c r="X193" s="157">
        <f t="shared" si="60"/>
        <v>45105</v>
      </c>
      <c r="Y193" s="383">
        <f t="shared" si="61"/>
        <v>57.389787480395924</v>
      </c>
      <c r="Z193" s="383">
        <f t="shared" si="62"/>
        <v>59.187050857675551</v>
      </c>
      <c r="AA193" s="384">
        <f t="shared" si="63"/>
        <v>61.773732865744329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4.1873493604321035E-2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0.83746738469333248</v>
      </c>
      <c r="AG193" s="799">
        <f t="shared" si="74"/>
        <v>0</v>
      </c>
      <c r="AH193" s="176">
        <f t="shared" si="67"/>
        <v>6</v>
      </c>
      <c r="AI193" s="224">
        <f t="shared" si="68"/>
        <v>0.83746738469333248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45106</v>
      </c>
      <c r="B194" s="409">
        <f>IF(t&gt;Tmaj,'2022'!Wh/'2022'!Env_an*'2023'!Env_an,0.001*'[8]mon-tableau'!$B$263)</f>
        <v>58.42051873160576</v>
      </c>
      <c r="C194" s="829"/>
      <c r="D194" s="391">
        <f t="shared" si="50"/>
        <v>60.251215994039704</v>
      </c>
      <c r="E194" s="383">
        <f t="shared" si="75"/>
        <v>61.285763413908377</v>
      </c>
      <c r="F194" s="383">
        <f t="shared" si="51"/>
        <v>61.285763413908377</v>
      </c>
      <c r="G194" s="110">
        <f t="shared" si="76"/>
        <v>0.99403951999911422</v>
      </c>
      <c r="H194" s="412" t="b">
        <f>Wh_hp&gt;='2022'!Maxi_hp</f>
        <v>1</v>
      </c>
      <c r="I194" s="379">
        <f>IF(H194,Wh_hp,'2022'!Maxi_hp)</f>
        <v>61.285763413908377</v>
      </c>
      <c r="J194" s="85">
        <f>IF(H194,An,'2022'!An_max)</f>
        <v>2023</v>
      </c>
      <c r="K194" s="197">
        <f t="shared" si="52"/>
        <v>45106</v>
      </c>
      <c r="L194" s="147">
        <f>IF(t&lt;Tvie,1-EXP((T0-t)*PertePVj)+'2022'!Pspv,1-EXP((T0-t)*PertePVj)+Pspv)</f>
        <v>3.0384403571457219E-2</v>
      </c>
      <c r="M194" s="832"/>
      <c r="N194" s="832"/>
      <c r="O194" s="48">
        <f>IF(t&lt;Tnet,'2022'!Resal+('2022'!Salim-'2022'!Resal)*(1-EXP(('2022'!Tnet-t)/('2022'!Tau_j))),Resal+(Salim-Resal)*(1-EXP((Tnet-t)/(Tau_j))))*Salcycl</f>
        <v>1.6880713598713029E-2</v>
      </c>
      <c r="P194" s="338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0.84193571602510486</v>
      </c>
      <c r="S194" s="799">
        <f t="shared" si="55"/>
        <v>0</v>
      </c>
      <c r="T194" s="176">
        <f t="shared" si="56"/>
        <v>6</v>
      </c>
      <c r="U194" s="250">
        <f t="shared" si="57"/>
        <v>0.84193571602510486</v>
      </c>
      <c r="V194" s="382">
        <f t="shared" si="58"/>
        <v>58.770821035020646</v>
      </c>
      <c r="W194" s="400">
        <f t="shared" si="59"/>
        <v>58.42051873160576</v>
      </c>
      <c r="X194" s="157">
        <f t="shared" si="60"/>
        <v>45106</v>
      </c>
      <c r="Y194" s="383">
        <f t="shared" si="61"/>
        <v>56.929200378709702</v>
      </c>
      <c r="Z194" s="383">
        <f t="shared" si="62"/>
        <v>58.713164875236394</v>
      </c>
      <c r="AA194" s="384">
        <f t="shared" si="63"/>
        <v>61.285763413908377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4.1977098682728461E-2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0.84193571602510486</v>
      </c>
      <c r="AG194" s="799">
        <f t="shared" si="74"/>
        <v>0</v>
      </c>
      <c r="AH194" s="176">
        <f t="shared" si="67"/>
        <v>6</v>
      </c>
      <c r="AI194" s="224">
        <f t="shared" si="68"/>
        <v>0.84193571602510486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45107</v>
      </c>
      <c r="B195" s="409">
        <f>IF(t&gt;Tmaj,'2022'!Wh/'2022'!Env_an*'2023'!Env_an,0.001*'[8]mon-tableau'!$B$264)</f>
        <v>14.37304545521385</v>
      </c>
      <c r="C195" s="829"/>
      <c r="D195" s="391">
        <f t="shared" si="50"/>
        <v>14.823731146211403</v>
      </c>
      <c r="E195" s="383">
        <f t="shared" si="75"/>
        <v>15.080175638429735</v>
      </c>
      <c r="F195" s="383">
        <f t="shared" si="51"/>
        <v>15.080175638429735</v>
      </c>
      <c r="G195" s="110">
        <f t="shared" si="76"/>
        <v>0.24492132210197967</v>
      </c>
      <c r="H195" s="412" t="b">
        <f>Wh_hp&gt;='2022'!Maxi_hp</f>
        <v>0</v>
      </c>
      <c r="I195" s="379">
        <f>IF(H195,Wh_hp,'2022'!Maxi_hp)</f>
        <v>48.567329624942467</v>
      </c>
      <c r="J195" s="85">
        <f>IF(H195,An,'2022'!An_max)</f>
        <v>2018</v>
      </c>
      <c r="K195" s="197">
        <f t="shared" si="52"/>
        <v>45107</v>
      </c>
      <c r="L195" s="147">
        <f>IF(t&lt;Tvie,1-EXP((T0-t)*PertePVj)+'2022'!Pspv,1-EXP((T0-t)*PertePVj)+Pspv)</f>
        <v>3.0402986033157831E-2</v>
      </c>
      <c r="M195" s="832"/>
      <c r="N195" s="832"/>
      <c r="O195" s="48">
        <f>IF(t&lt;Tnet,'2022'!Resal+('2022'!Salim-'2022'!Resal)*(1-EXP(('2022'!Tnet-t)/('2022'!Tau_j))),Resal+(Salim-Resal)*(1-EXP((Tnet-t)/(Tau_j))))*Salcycl</f>
        <v>1.7005404868416785E-2</v>
      </c>
      <c r="P195" s="338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0.84633631627066053</v>
      </c>
      <c r="S195" s="799">
        <f t="shared" si="55"/>
        <v>0</v>
      </c>
      <c r="T195" s="176">
        <f t="shared" si="56"/>
        <v>6</v>
      </c>
      <c r="U195" s="250">
        <f t="shared" si="57"/>
        <v>0.84633631627066053</v>
      </c>
      <c r="V195" s="382">
        <f t="shared" si="58"/>
        <v>58.684337206171215</v>
      </c>
      <c r="W195" s="400">
        <f t="shared" si="59"/>
        <v>14.37304545521385</v>
      </c>
      <c r="X195" s="157">
        <f t="shared" si="60"/>
        <v>45107</v>
      </c>
      <c r="Y195" s="383">
        <f t="shared" si="61"/>
        <v>14.00641265967173</v>
      </c>
      <c r="Z195" s="383">
        <f t="shared" si="62"/>
        <v>14.445602098513387</v>
      </c>
      <c r="AA195" s="384">
        <f t="shared" si="63"/>
        <v>15.080175638429735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4.2079983359028315E-2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0.84633631627066053</v>
      </c>
      <c r="AG195" s="799">
        <f t="shared" si="74"/>
        <v>0</v>
      </c>
      <c r="AH195" s="176">
        <f t="shared" si="67"/>
        <v>6</v>
      </c>
      <c r="AI195" s="224">
        <f t="shared" si="68"/>
        <v>0.84633631627066053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45108</v>
      </c>
      <c r="B196" s="409">
        <f>IF(t&gt;Tmaj,'2022'!Wh/'2022'!Env_an*'2023'!Env_an,0.001*[9]mois!$B$242)</f>
        <v>48.825044822547348</v>
      </c>
      <c r="C196" s="829"/>
      <c r="D196" s="391">
        <f t="shared" si="50"/>
        <v>50.356983218798916</v>
      </c>
      <c r="E196" s="383">
        <f t="shared" si="75"/>
        <v>51.234619809636136</v>
      </c>
      <c r="F196" s="383">
        <f t="shared" si="51"/>
        <v>51.234619809636136</v>
      </c>
      <c r="G196" s="110">
        <f t="shared" si="76"/>
        <v>0.83324806571576493</v>
      </c>
      <c r="H196" s="412" t="b">
        <f>Wh_hp&gt;='2022'!Maxi_hp</f>
        <v>0</v>
      </c>
      <c r="I196" s="379">
        <f>IF(H196,Wh_hp,'2022'!Maxi_hp)</f>
        <v>60.829668831248355</v>
      </c>
      <c r="J196" s="85">
        <f>IF(H196,An,'2022'!An_max)</f>
        <v>2020</v>
      </c>
      <c r="K196" s="197">
        <f t="shared" si="52"/>
        <v>45108</v>
      </c>
      <c r="L196" s="147">
        <f>IF(t&lt;Tvie,1-EXP((T0-t)*PertePVj)+'2022'!Pspv,1-EXP((T0-t)*PertePVj)+Pspv)</f>
        <v>3.0421568138729871E-2</v>
      </c>
      <c r="M196" s="832"/>
      <c r="N196" s="832"/>
      <c r="O196" s="48">
        <f>IF(t&lt;Tnet,'2022'!Resal+('2022'!Salim-'2022'!Resal)*(1-EXP(('2022'!Tnet-t)/('2022'!Tau_j))),Resal+(Salim-Resal)*(1-EXP((Tnet-t)/(Tau_j))))*Salcycl</f>
        <v>1.7129757068523419E-2</v>
      </c>
      <c r="P196" s="338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0.85066708379160327</v>
      </c>
      <c r="S196" s="799">
        <f t="shared" si="55"/>
        <v>0</v>
      </c>
      <c r="T196" s="176">
        <f t="shared" si="56"/>
        <v>6</v>
      </c>
      <c r="U196" s="250">
        <f t="shared" si="57"/>
        <v>0.85066708379160327</v>
      </c>
      <c r="V196" s="382">
        <f t="shared" si="58"/>
        <v>58.596049401694501</v>
      </c>
      <c r="W196" s="400">
        <f t="shared" si="59"/>
        <v>48.825044822547348</v>
      </c>
      <c r="X196" s="157">
        <f t="shared" si="60"/>
        <v>45108</v>
      </c>
      <c r="Y196" s="383">
        <f t="shared" si="61"/>
        <v>47.580542346491477</v>
      </c>
      <c r="Z196" s="383">
        <f t="shared" si="62"/>
        <v>49.073433136453502</v>
      </c>
      <c r="AA196" s="384">
        <f t="shared" si="63"/>
        <v>51.234619809636136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4.218215498060858E-2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0.85066708379160327</v>
      </c>
      <c r="AG196" s="799">
        <f t="shared" si="74"/>
        <v>0</v>
      </c>
      <c r="AH196" s="176">
        <f t="shared" si="67"/>
        <v>6</v>
      </c>
      <c r="AI196" s="224">
        <f t="shared" si="68"/>
        <v>0.85066708379160327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45109</v>
      </c>
      <c r="B197" s="409">
        <f>IF(t&gt;Tmaj,'2022'!Wh/'2022'!Env_an*'2023'!Env_an,0.001*[9]mois!$B$243)</f>
        <v>35.70796747249203</v>
      </c>
      <c r="C197" s="829"/>
      <c r="D197" s="391">
        <f t="shared" si="50"/>
        <v>36.829049251960889</v>
      </c>
      <c r="E197" s="383">
        <f t="shared" si="75"/>
        <v>37.47564541912508</v>
      </c>
      <c r="F197" s="383">
        <f t="shared" si="51"/>
        <v>37.47564541912508</v>
      </c>
      <c r="G197" s="110">
        <f t="shared" si="76"/>
        <v>0.61032830202047483</v>
      </c>
      <c r="H197" s="412" t="b">
        <f>Wh_hp&gt;='2022'!Maxi_hp</f>
        <v>0</v>
      </c>
      <c r="I197" s="379">
        <f>IF(H197,Wh_hp,'2022'!Maxi_hp)</f>
        <v>55.982473400012779</v>
      </c>
      <c r="J197" s="85">
        <f>IF(H197,An,'2022'!An_max)</f>
        <v>2021</v>
      </c>
      <c r="K197" s="197">
        <f t="shared" si="52"/>
        <v>45109</v>
      </c>
      <c r="L197" s="147">
        <f>IF(t&lt;Tvie,1-EXP((T0-t)*PertePVj)+'2022'!Pspv,1-EXP((T0-t)*PertePVj)+Pspv)</f>
        <v>3.0440149888180112E-2</v>
      </c>
      <c r="M197" s="832"/>
      <c r="N197" s="832"/>
      <c r="O197" s="48">
        <f>IF(t&lt;Tnet,'2022'!Resal+('2022'!Salim-'2022'!Resal)*(1-EXP(('2022'!Tnet-t)/('2022'!Tau_j))),Resal+(Salim-Resal)*(1-EXP((Tnet-t)/(Tau_j))))*Salcycl</f>
        <v>1.7253770013370136E-2</v>
      </c>
      <c r="P197" s="338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0.85492609909926398</v>
      </c>
      <c r="S197" s="799">
        <f t="shared" si="55"/>
        <v>0</v>
      </c>
      <c r="T197" s="176">
        <f t="shared" si="56"/>
        <v>6</v>
      </c>
      <c r="U197" s="250">
        <f t="shared" si="57"/>
        <v>0.85492609909926398</v>
      </c>
      <c r="V197" s="382">
        <f t="shared" si="58"/>
        <v>58.506163575049364</v>
      </c>
      <c r="W197" s="400">
        <f t="shared" si="59"/>
        <v>35.70796747249203</v>
      </c>
      <c r="X197" s="157">
        <f t="shared" si="60"/>
        <v>45109</v>
      </c>
      <c r="Y197" s="383">
        <f t="shared" si="61"/>
        <v>34.798510757117931</v>
      </c>
      <c r="Z197" s="383">
        <f t="shared" si="62"/>
        <v>35.89103937534604</v>
      </c>
      <c r="AA197" s="384">
        <f t="shared" si="63"/>
        <v>37.47564541912508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4.2283622498209564E-2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0.85492609909926398</v>
      </c>
      <c r="AG197" s="799">
        <f t="shared" si="74"/>
        <v>0</v>
      </c>
      <c r="AH197" s="176">
        <f t="shared" si="67"/>
        <v>6</v>
      </c>
      <c r="AI197" s="224">
        <f t="shared" si="68"/>
        <v>0.85492609909926398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45110</v>
      </c>
      <c r="B198" s="409">
        <f>IF(t&gt;Tmaj,'2022'!Wh/'2022'!Env_an*'2023'!Env_an,0.001*[9]mois!$B$244)</f>
        <v>50.7404549835179</v>
      </c>
      <c r="C198" s="829"/>
      <c r="D198" s="391">
        <f t="shared" si="50"/>
        <v>52.334497375841842</v>
      </c>
      <c r="E198" s="383">
        <f t="shared" si="75"/>
        <v>53.260020411249151</v>
      </c>
      <c r="F198" s="383">
        <f t="shared" si="51"/>
        <v>53.260020411249151</v>
      </c>
      <c r="G198" s="110">
        <f t="shared" si="76"/>
        <v>0.86862200511697973</v>
      </c>
      <c r="H198" s="412" t="b">
        <f>Wh_hp&gt;='2022'!Maxi_hp</f>
        <v>1</v>
      </c>
      <c r="I198" s="379">
        <f>IF(H198,Wh_hp,'2022'!Maxi_hp)</f>
        <v>53.260020411249151</v>
      </c>
      <c r="J198" s="85">
        <f>IF(H198,An,'2022'!An_max)</f>
        <v>2023</v>
      </c>
      <c r="K198" s="197">
        <f t="shared" si="52"/>
        <v>45110</v>
      </c>
      <c r="L198" s="147">
        <f>IF(t&lt;Tvie,1-EXP((T0-t)*PertePVj)+'2022'!Pspv,1-EXP((T0-t)*PertePVj)+Pspv)</f>
        <v>3.0458731281515439E-2</v>
      </c>
      <c r="M198" s="832"/>
      <c r="N198" s="832"/>
      <c r="O198" s="48">
        <f>IF(t&lt;Tnet,'2022'!Resal+('2022'!Salim-'2022'!Resal)*(1-EXP(('2022'!Tnet-t)/('2022'!Tau_j))),Resal+(Salim-Resal)*(1-EXP((Tnet-t)/(Tau_j))))*Salcycl</f>
        <v>1.7377444249191958E-2</v>
      </c>
      <c r="P198" s="338">
        <f>(INDEX(Models!$BJ198:$BT198,,T198)*(1-R198)+INDEX(Models!$BJ198:$BT198,,T198+1)*R198-ERP_i)*Q198*Ramure*Pc/MaxiM</f>
        <v>0</v>
      </c>
      <c r="Q198" s="304">
        <f t="shared" si="53"/>
        <v>0.6</v>
      </c>
      <c r="R198" s="177">
        <f t="shared" si="54"/>
        <v>0.85911162486656045</v>
      </c>
      <c r="S198" s="799">
        <f t="shared" si="55"/>
        <v>0</v>
      </c>
      <c r="T198" s="176">
        <f t="shared" si="56"/>
        <v>6</v>
      </c>
      <c r="U198" s="250">
        <f t="shared" si="57"/>
        <v>0.85911162486656045</v>
      </c>
      <c r="V198" s="382">
        <f t="shared" si="58"/>
        <v>58.414885513618252</v>
      </c>
      <c r="W198" s="400">
        <f t="shared" si="59"/>
        <v>50.7404549835179</v>
      </c>
      <c r="X198" s="157">
        <f t="shared" si="60"/>
        <v>45110</v>
      </c>
      <c r="Y198" s="383">
        <f t="shared" si="61"/>
        <v>49.449151297054094</v>
      </c>
      <c r="Z198" s="383">
        <f t="shared" si="62"/>
        <v>51.002626595167783</v>
      </c>
      <c r="AA198" s="384">
        <f t="shared" si="63"/>
        <v>53.260020411249151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4.2384396375570677E-2</v>
      </c>
      <c r="AD198" s="230">
        <f>(INDEX(Models!$BJ198:$BT198,,AH198)*(1-AF198)+INDEX(Models!$BJ198:$BT198,,AH198+1)*AF198-ERP_i)*AE198*Ramure*Pc/MaxiM</f>
        <v>0</v>
      </c>
      <c r="AE198" s="304">
        <f t="shared" si="65"/>
        <v>0.6</v>
      </c>
      <c r="AF198" s="177">
        <f t="shared" si="66"/>
        <v>0.85911162486656045</v>
      </c>
      <c r="AG198" s="799">
        <f t="shared" si="74"/>
        <v>0</v>
      </c>
      <c r="AH198" s="176">
        <f t="shared" si="67"/>
        <v>6</v>
      </c>
      <c r="AI198" s="224">
        <f t="shared" si="68"/>
        <v>0.85911162486656045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45111</v>
      </c>
      <c r="B199" s="409">
        <f>IF(t&gt;Tmaj,'2022'!Wh/'2022'!Env_an*'2023'!Env_an,0.001*[9]mois!$B$245)</f>
        <v>45.947554028480759</v>
      </c>
      <c r="C199" s="829"/>
      <c r="D199" s="391">
        <f t="shared" si="50"/>
        <v>47.391932764740602</v>
      </c>
      <c r="E199" s="383">
        <f t="shared" si="75"/>
        <v>48.236102227414882</v>
      </c>
      <c r="F199" s="383">
        <f t="shared" si="51"/>
        <v>48.236102227414882</v>
      </c>
      <c r="G199" s="110">
        <f t="shared" si="76"/>
        <v>0.78781973324448795</v>
      </c>
      <c r="H199" s="412" t="b">
        <f>Wh_hp&gt;='2022'!Maxi_hp</f>
        <v>0</v>
      </c>
      <c r="I199" s="379">
        <f>IF(H199,Wh_hp,'2022'!Maxi_hp)</f>
        <v>58.038793817867159</v>
      </c>
      <c r="J199" s="85">
        <f>IF(H199,An,'2022'!An_max)</f>
        <v>2018</v>
      </c>
      <c r="K199" s="197">
        <f t="shared" si="52"/>
        <v>45111</v>
      </c>
      <c r="L199" s="147">
        <f>IF(t&lt;Tvie,1-EXP((T0-t)*PertePVj)+'2022'!Pspv,1-EXP((T0-t)*PertePVj)+Pspv)</f>
        <v>3.0477312318742511E-2</v>
      </c>
      <c r="M199" s="832"/>
      <c r="N199" s="832"/>
      <c r="O199" s="48">
        <f>IF(t&lt;Tnet,'2022'!Resal+('2022'!Salim-'2022'!Resal)*(1-EXP(('2022'!Tnet-t)/('2022'!Tau_j))),Resal+(Salim-Resal)*(1-EXP((Tnet-t)/(Tau_j))))*Salcycl</f>
        <v>1.7500781026923439E-2</v>
      </c>
      <c r="P199" s="338">
        <f>(INDEX(Models!$BJ199:$BT199,,T199)*(1-R199)+INDEX(Models!$BJ199:$BT199,,T199+1)*R199-ERP_i)*Q199*Ramure*Pc/MaxiM</f>
        <v>0</v>
      </c>
      <c r="Q199" s="304">
        <f t="shared" si="53"/>
        <v>0.6</v>
      </c>
      <c r="R199" s="177">
        <f t="shared" si="54"/>
        <v>0.86322210509051756</v>
      </c>
      <c r="S199" s="799">
        <f t="shared" si="55"/>
        <v>0</v>
      </c>
      <c r="T199" s="176">
        <f t="shared" si="56"/>
        <v>6</v>
      </c>
      <c r="U199" s="250">
        <f t="shared" si="57"/>
        <v>0.86322210509051756</v>
      </c>
      <c r="V199" s="382">
        <f t="shared" si="58"/>
        <v>58.322420840176683</v>
      </c>
      <c r="W199" s="400">
        <f t="shared" si="59"/>
        <v>45.947554028480759</v>
      </c>
      <c r="X199" s="157">
        <f t="shared" si="60"/>
        <v>45111</v>
      </c>
      <c r="Y199" s="383">
        <f t="shared" si="61"/>
        <v>44.779166078249574</v>
      </c>
      <c r="Z199" s="383">
        <f t="shared" si="62"/>
        <v>46.186816097460195</v>
      </c>
      <c r="AA199" s="384">
        <f t="shared" si="63"/>
        <v>48.236102227414882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4.248448849148468E-2</v>
      </c>
      <c r="AD199" s="230">
        <f>(INDEX(Models!$BJ199:$BT199,,AH199)*(1-AF199)+INDEX(Models!$BJ199:$BT199,,AH199+1)*AF199-ERP_i)*AE199*Ramure*Pc/MaxiM</f>
        <v>0</v>
      </c>
      <c r="AE199" s="304">
        <f t="shared" si="65"/>
        <v>0.6</v>
      </c>
      <c r="AF199" s="177">
        <f t="shared" si="66"/>
        <v>0.86322210509051756</v>
      </c>
      <c r="AG199" s="799">
        <f t="shared" si="74"/>
        <v>0</v>
      </c>
      <c r="AH199" s="176">
        <f t="shared" si="67"/>
        <v>6</v>
      </c>
      <c r="AI199" s="224">
        <f t="shared" si="68"/>
        <v>0.86322210509051756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45112</v>
      </c>
      <c r="B200" s="409">
        <f>IF(t&gt;Tmaj,'2022'!Wh/'2022'!Env_an*'2023'!Env_an,0.001*[9]mois!$B$246)</f>
        <v>57.276994928716626</v>
      </c>
      <c r="C200" s="829"/>
      <c r="D200" s="391">
        <f t="shared" si="50"/>
        <v>59.078651152850497</v>
      </c>
      <c r="E200" s="383">
        <f t="shared" si="75"/>
        <v>60.138519323498095</v>
      </c>
      <c r="F200" s="383">
        <f t="shared" si="51"/>
        <v>60.138519323498095</v>
      </c>
      <c r="G200" s="110">
        <f t="shared" si="76"/>
        <v>0.98365109316285049</v>
      </c>
      <c r="H200" s="412" t="b">
        <f>Wh_hp&gt;='2022'!Maxi_hp</f>
        <v>1</v>
      </c>
      <c r="I200" s="379">
        <f>IF(H200,Wh_hp,'2022'!Maxi_hp)</f>
        <v>60.138519323498095</v>
      </c>
      <c r="J200" s="85">
        <f>IF(H200,An,'2022'!An_max)</f>
        <v>2023</v>
      </c>
      <c r="K200" s="197">
        <f t="shared" si="52"/>
        <v>45112</v>
      </c>
      <c r="L200" s="147">
        <f>IF(t&lt;Tvie,1-EXP((T0-t)*PertePVj)+'2022'!Pspv,1-EXP((T0-t)*PertePVj)+Pspv)</f>
        <v>3.0495892999868213E-2</v>
      </c>
      <c r="M200" s="832"/>
      <c r="N200" s="832"/>
      <c r="O200" s="48">
        <f>IF(t&lt;Tnet,'2022'!Resal+('2022'!Salim-'2022'!Resal)*(1-EXP(('2022'!Tnet-t)/('2022'!Tau_j))),Resal+(Salim-Resal)*(1-EXP((Tnet-t)/(Tau_j))))*Salcycl</f>
        <v>1.7623782270832701E-2</v>
      </c>
      <c r="P200" s="338">
        <f>(INDEX(Models!$BJ200:$BT200,,T200)*(1-R200)+INDEX(Models!$BJ200:$BT200,,T200+1)*R200-ERP_i)*Q200*Ramure*Pc/MaxiM</f>
        <v>0</v>
      </c>
      <c r="Q200" s="304">
        <f t="shared" si="53"/>
        <v>0.6</v>
      </c>
      <c r="R200" s="177">
        <f t="shared" si="54"/>
        <v>0.86725616345049139</v>
      </c>
      <c r="S200" s="799">
        <f t="shared" si="55"/>
        <v>0</v>
      </c>
      <c r="T200" s="176">
        <f t="shared" si="56"/>
        <v>6</v>
      </c>
      <c r="U200" s="250">
        <f t="shared" si="57"/>
        <v>0.86725616345049139</v>
      </c>
      <c r="V200" s="382">
        <f t="shared" si="58"/>
        <v>58.22897501648383</v>
      </c>
      <c r="W200" s="400">
        <f t="shared" si="59"/>
        <v>57.276994928716626</v>
      </c>
      <c r="X200" s="157">
        <f t="shared" si="60"/>
        <v>45112</v>
      </c>
      <c r="Y200" s="383">
        <f t="shared" si="61"/>
        <v>55.821706007707299</v>
      </c>
      <c r="Z200" s="383">
        <f t="shared" si="62"/>
        <v>57.577585906709018</v>
      </c>
      <c r="AA200" s="384">
        <f t="shared" si="63"/>
        <v>60.138519323498095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4.2583912035034609E-2</v>
      </c>
      <c r="AD200" s="230">
        <f>(INDEX(Models!$BJ200:$BT200,,AH200)*(1-AF200)+INDEX(Models!$BJ200:$BT200,,AH200+1)*AF200-ERP_i)*AE200*Ramure*Pc/MaxiM</f>
        <v>0</v>
      </c>
      <c r="AE200" s="304">
        <f t="shared" si="65"/>
        <v>0.6</v>
      </c>
      <c r="AF200" s="177">
        <f t="shared" si="66"/>
        <v>0.86725616345049139</v>
      </c>
      <c r="AG200" s="799">
        <f t="shared" si="74"/>
        <v>0</v>
      </c>
      <c r="AH200" s="176">
        <f t="shared" si="67"/>
        <v>6</v>
      </c>
      <c r="AI200" s="224">
        <f t="shared" si="68"/>
        <v>0.86725616345049139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45113</v>
      </c>
      <c r="B201" s="409">
        <f>IF(t&gt;Tmaj,'2022'!Wh/'2022'!Env_an*'2023'!Env_an,0.001*[9]mois!$B$247)</f>
        <v>46.706440790466395</v>
      </c>
      <c r="C201" s="829"/>
      <c r="D201" s="391">
        <f t="shared" si="50"/>
        <v>48.176521985478715</v>
      </c>
      <c r="E201" s="383">
        <f t="shared" si="75"/>
        <v>49.046930919337697</v>
      </c>
      <c r="F201" s="383">
        <f t="shared" si="51"/>
        <v>49.046930919337697</v>
      </c>
      <c r="G201" s="110">
        <f t="shared" si="76"/>
        <v>0.80341685655393902</v>
      </c>
      <c r="H201" s="412" t="b">
        <f>Wh_hp&gt;='2022'!Maxi_hp</f>
        <v>0</v>
      </c>
      <c r="I201" s="379">
        <f>IF(H201,Wh_hp,'2022'!Maxi_hp)</f>
        <v>59.81714469792518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3.0514473324899427E-2</v>
      </c>
      <c r="M201" s="832"/>
      <c r="N201" s="832"/>
      <c r="O201" s="48">
        <f>IF(t&lt;Tnet,'2022'!Resal+('2022'!Salim-'2022'!Resal)*(1-EXP(('2022'!Tnet-t)/('2022'!Tau_j))),Resal+(Salim-Resal)*(1-EXP((Tnet-t)/(Tau_j))))*Salcycl</f>
        <v>1.7746450543265412E-2</v>
      </c>
      <c r="P201" s="338">
        <f>(INDEX(Models!$BJ201:$BT201,,T201)*(1-R201)+INDEX(Models!$BJ201:$BT201,,T201+1)*R201-ERP_i)*Q201*Ramure*Pc/MaxiM</f>
        <v>1.8867016050882214E-20</v>
      </c>
      <c r="Q201" s="304">
        <f t="shared" si="53"/>
        <v>0.6</v>
      </c>
      <c r="R201" s="177">
        <f t="shared" si="54"/>
        <v>0.87121260091161745</v>
      </c>
      <c r="S201" s="799">
        <f t="shared" si="55"/>
        <v>0</v>
      </c>
      <c r="T201" s="176">
        <f t="shared" si="56"/>
        <v>6</v>
      </c>
      <c r="U201" s="250">
        <f t="shared" si="57"/>
        <v>0.87121260091161745</v>
      </c>
      <c r="V201" s="382">
        <f t="shared" si="58"/>
        <v>58.134753346851966</v>
      </c>
      <c r="W201" s="400">
        <f t="shared" si="59"/>
        <v>46.706440790466395</v>
      </c>
      <c r="X201" s="157">
        <f t="shared" si="60"/>
        <v>45113</v>
      </c>
      <c r="Y201" s="383">
        <f t="shared" si="61"/>
        <v>45.520715790591765</v>
      </c>
      <c r="Z201" s="383">
        <f t="shared" si="62"/>
        <v>46.953476393512908</v>
      </c>
      <c r="AA201" s="384">
        <f t="shared" si="63"/>
        <v>49.046930919337697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4.2682681394839418E-2</v>
      </c>
      <c r="AD201" s="230">
        <f>(INDEX(Models!$BJ201:$BT201,,AH201)*(1-AF201)+INDEX(Models!$BJ201:$BT201,,AH201+1)*AF201-ERP_i)*AE201*Ramure*Pc/MaxiM</f>
        <v>1.8867016050882214E-20</v>
      </c>
      <c r="AE201" s="304">
        <f t="shared" si="65"/>
        <v>0.6</v>
      </c>
      <c r="AF201" s="177">
        <f t="shared" si="66"/>
        <v>0.87121260091161745</v>
      </c>
      <c r="AG201" s="799">
        <f t="shared" si="74"/>
        <v>0</v>
      </c>
      <c r="AH201" s="176">
        <f t="shared" si="67"/>
        <v>6</v>
      </c>
      <c r="AI201" s="224">
        <f t="shared" si="68"/>
        <v>0.87121260091161745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45114</v>
      </c>
      <c r="B202" s="409">
        <f>IF(t&gt;Tmaj,'2022'!Wh/'2022'!Env_an*'2023'!Env_an,0.001*[9]mois!$B$248)</f>
        <v>56.955713671573385</v>
      </c>
      <c r="C202" s="829"/>
      <c r="D202" s="391">
        <f t="shared" si="50"/>
        <v>58.749515767489612</v>
      </c>
      <c r="E202" s="383">
        <f t="shared" si="75"/>
        <v>59.818398101836763</v>
      </c>
      <c r="F202" s="383">
        <f t="shared" si="51"/>
        <v>59.818398101836763</v>
      </c>
      <c r="G202" s="110">
        <f t="shared" si="76"/>
        <v>0.98131895178301876</v>
      </c>
      <c r="H202" s="412" t="b">
        <f>Wh_hp&gt;='2022'!Maxi_hp</f>
        <v>1</v>
      </c>
      <c r="I202" s="379">
        <f>IF(H202,Wh_hp,'2022'!Maxi_hp)</f>
        <v>59.818398101836763</v>
      </c>
      <c r="J202" s="85">
        <f>IF(H202,An,'2022'!An_max)</f>
        <v>2023</v>
      </c>
      <c r="K202" s="197">
        <f t="shared" si="52"/>
        <v>45114</v>
      </c>
      <c r="L202" s="147">
        <f>IF(t&lt;Tvie,1-EXP((T0-t)*PertePVj)+'2022'!Pspv,1-EXP((T0-t)*PertePVj)+Pspv)</f>
        <v>3.0533053293842927E-2</v>
      </c>
      <c r="M202" s="832"/>
      <c r="N202" s="832"/>
      <c r="O202" s="48">
        <f>IF(t&lt;Tnet,'2022'!Resal+('2022'!Salim-'2022'!Resal)*(1-EXP(('2022'!Tnet-t)/('2022'!Tau_j))),Resal+(Salim-Resal)*(1-EXP((Tnet-t)/(Tau_j))))*Salcycl</f>
        <v>1.78687890058081E-2</v>
      </c>
      <c r="P202" s="338">
        <f>(INDEX(Models!$BJ202:$BT202,,T202)*(1-R202)+INDEX(Models!$BJ202:$BT202,,T202+1)*R202-ERP_i)*Q202*Ramure*Pc/MaxiM</f>
        <v>0</v>
      </c>
      <c r="Q202" s="304">
        <f t="shared" si="53"/>
        <v>0.6</v>
      </c>
      <c r="R202" s="177">
        <f t="shared" si="54"/>
        <v>0.87509039262665711</v>
      </c>
      <c r="S202" s="799">
        <f t="shared" si="55"/>
        <v>0</v>
      </c>
      <c r="T202" s="176">
        <f t="shared" si="56"/>
        <v>6</v>
      </c>
      <c r="U202" s="250">
        <f t="shared" si="57"/>
        <v>0.87509039262665711</v>
      </c>
      <c r="V202" s="382">
        <f t="shared" si="58"/>
        <v>58.03996098117441</v>
      </c>
      <c r="W202" s="400">
        <f t="shared" si="59"/>
        <v>56.955713671573385</v>
      </c>
      <c r="X202" s="157">
        <f t="shared" si="60"/>
        <v>45114</v>
      </c>
      <c r="Y202" s="383">
        <f t="shared" si="61"/>
        <v>55.511016633934403</v>
      </c>
      <c r="Z202" s="383">
        <f t="shared" si="62"/>
        <v>57.259318455918077</v>
      </c>
      <c r="AA202" s="384">
        <f t="shared" si="63"/>
        <v>59.818398101836763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4.2780812043178199E-2</v>
      </c>
      <c r="AD202" s="230">
        <f>(INDEX(Models!$BJ202:$BT202,,AH202)*(1-AF202)+INDEX(Models!$BJ202:$BT202,,AH202+1)*AF202-ERP_i)*AE202*Ramure*Pc/MaxiM</f>
        <v>0</v>
      </c>
      <c r="AE202" s="304">
        <f t="shared" si="65"/>
        <v>0.6</v>
      </c>
      <c r="AF202" s="177">
        <f t="shared" si="66"/>
        <v>0.87509039262665711</v>
      </c>
      <c r="AG202" s="799">
        <f t="shared" si="74"/>
        <v>0</v>
      </c>
      <c r="AH202" s="176">
        <f t="shared" si="67"/>
        <v>6</v>
      </c>
      <c r="AI202" s="224">
        <f t="shared" si="68"/>
        <v>0.87509039262665711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45115</v>
      </c>
      <c r="B203" s="409">
        <f>IF(t&gt;Tmaj,'2022'!Wh/'2022'!Env_an*'2023'!Env_an,0.001*[9]mois!$B$249)</f>
        <v>58.825828561123274</v>
      </c>
      <c r="C203" s="829"/>
      <c r="D203" s="391">
        <f t="shared" si="50"/>
        <v>60.679692243436627</v>
      </c>
      <c r="E203" s="383">
        <f t="shared" si="75"/>
        <v>61.791368480597043</v>
      </c>
      <c r="F203" s="383">
        <f t="shared" si="51"/>
        <v>61.791368480597043</v>
      </c>
      <c r="G203" s="110">
        <f t="shared" si="76"/>
        <v>1.0152045670878949</v>
      </c>
      <c r="H203" s="412" t="b">
        <f>Wh_hp&gt;='2022'!Maxi_hp</f>
        <v>0</v>
      </c>
      <c r="I203" s="379">
        <f>IF(H203,Wh_hp,'2022'!Maxi_hp)</f>
        <v>63.269155638139843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3.0551632906705706E-2</v>
      </c>
      <c r="M203" s="832"/>
      <c r="N203" s="832"/>
      <c r="O203" s="48">
        <f>IF(t&lt;Tnet,'2022'!Resal+('2022'!Salim-'2022'!Resal)*(1-EXP(('2022'!Tnet-t)/('2022'!Tau_j))),Resal+(Salim-Resal)*(1-EXP((Tnet-t)/(Tau_j))))*Salcycl</f>
        <v>1.7990801377209993E-2</v>
      </c>
      <c r="P203" s="338">
        <f>(INDEX(Models!$BJ203:$BT203,,T203)*(1-R203)+INDEX(Models!$BJ203:$BT203,,T203+1)*R203-ERP_i)*Q203*Ramure*Pc/MaxiM</f>
        <v>0</v>
      </c>
      <c r="Q203" s="304">
        <f t="shared" si="53"/>
        <v>0.6</v>
      </c>
      <c r="R203" s="177">
        <f t="shared" si="54"/>
        <v>0.87888868419225952</v>
      </c>
      <c r="S203" s="799">
        <f t="shared" si="55"/>
        <v>0</v>
      </c>
      <c r="T203" s="176">
        <f t="shared" si="56"/>
        <v>6</v>
      </c>
      <c r="U203" s="250">
        <f t="shared" si="57"/>
        <v>0.87888868419225952</v>
      </c>
      <c r="V203" s="382">
        <f t="shared" si="58"/>
        <v>57.944802917765266</v>
      </c>
      <c r="W203" s="400">
        <f t="shared" si="59"/>
        <v>58.825828561123274</v>
      </c>
      <c r="X203" s="157">
        <f t="shared" si="60"/>
        <v>45115</v>
      </c>
      <c r="Y203" s="383">
        <f t="shared" si="61"/>
        <v>57.334978037182388</v>
      </c>
      <c r="Z203" s="383">
        <f t="shared" si="62"/>
        <v>59.141858383949177</v>
      </c>
      <c r="AA203" s="384">
        <f t="shared" si="63"/>
        <v>61.791368480597043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4.2878320415898168E-2</v>
      </c>
      <c r="AD203" s="230">
        <f>(INDEX(Models!$BJ203:$BT203,,AH203)*(1-AF203)+INDEX(Models!$BJ203:$BT203,,AH203+1)*AF203-ERP_i)*AE203*Ramure*Pc/MaxiM</f>
        <v>0</v>
      </c>
      <c r="AE203" s="304">
        <f t="shared" si="65"/>
        <v>0.6</v>
      </c>
      <c r="AF203" s="177">
        <f t="shared" si="66"/>
        <v>0.87888868419225952</v>
      </c>
      <c r="AG203" s="799">
        <f t="shared" si="74"/>
        <v>0</v>
      </c>
      <c r="AH203" s="176">
        <f t="shared" si="67"/>
        <v>6</v>
      </c>
      <c r="AI203" s="224">
        <f t="shared" si="68"/>
        <v>0.87888868419225952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45116</v>
      </c>
      <c r="B204" s="409">
        <f>IF(t&gt;Tmaj,'2022'!Wh/'2022'!Env_an*'2023'!Env_an,0.001*[9]mois!$B$250)</f>
        <v>58.128529069161353</v>
      </c>
      <c r="C204" s="829"/>
      <c r="D204" s="391">
        <f t="shared" si="50"/>
        <v>59.961566890664521</v>
      </c>
      <c r="E204" s="383">
        <f t="shared" si="75"/>
        <v>61.067654283520106</v>
      </c>
      <c r="F204" s="383">
        <f t="shared" si="51"/>
        <v>61.067654283520106</v>
      </c>
      <c r="G204" s="110">
        <f t="shared" si="76"/>
        <v>1.0048236395791403</v>
      </c>
      <c r="H204" s="412" t="b">
        <f>Wh_hp&gt;='2022'!Maxi_hp</f>
        <v>1</v>
      </c>
      <c r="I204" s="379">
        <f>IF(H204,Wh_hp,'2022'!Maxi_hp)</f>
        <v>61.067654283520106</v>
      </c>
      <c r="J204" s="85">
        <f>IF(H204,An,'2022'!An_max)</f>
        <v>2023</v>
      </c>
      <c r="K204" s="197">
        <f t="shared" si="52"/>
        <v>45116</v>
      </c>
      <c r="L204" s="147">
        <f>IF(t&lt;Tvie,1-EXP((T0-t)*PertePVj)+'2022'!Pspv,1-EXP((T0-t)*PertePVj)+Pspv)</f>
        <v>3.0570212163494315E-2</v>
      </c>
      <c r="M204" s="832"/>
      <c r="N204" s="832"/>
      <c r="O204" s="48">
        <f>IF(t&lt;Tnet,'2022'!Resal+('2022'!Salim-'2022'!Resal)*(1-EXP(('2022'!Tnet-t)/('2022'!Tau_j))),Resal+(Salim-Resal)*(1-EXP((Tnet-t)/(Tau_j))))*Salcycl</f>
        <v>1.8112491888427982E-2</v>
      </c>
      <c r="P204" s="338">
        <f>(INDEX(Models!$BJ204:$BT204,,T204)*(1-R204)+INDEX(Models!$BJ204:$BT204,,T204+1)*R204-ERP_i)*Q204*Ramure*Pc/MaxiM</f>
        <v>0</v>
      </c>
      <c r="Q204" s="304">
        <f t="shared" si="53"/>
        <v>0.6</v>
      </c>
      <c r="R204" s="177">
        <f t="shared" si="54"/>
        <v>0.88260678731771158</v>
      </c>
      <c r="S204" s="799">
        <f t="shared" si="55"/>
        <v>0</v>
      </c>
      <c r="T204" s="176">
        <f t="shared" si="56"/>
        <v>6</v>
      </c>
      <c r="U204" s="250">
        <f t="shared" si="57"/>
        <v>0.88260678731771158</v>
      </c>
      <c r="V204" s="382">
        <f t="shared" si="58"/>
        <v>57.849484008465275</v>
      </c>
      <c r="W204" s="400">
        <f t="shared" si="59"/>
        <v>58.128529069161353</v>
      </c>
      <c r="X204" s="157">
        <f t="shared" si="60"/>
        <v>45116</v>
      </c>
      <c r="Y204" s="383">
        <f t="shared" si="61"/>
        <v>56.65663537249646</v>
      </c>
      <c r="Z204" s="383">
        <f t="shared" si="62"/>
        <v>58.443258174414176</v>
      </c>
      <c r="AA204" s="384">
        <f t="shared" si="63"/>
        <v>61.067654283520106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4.2975223789038841E-2</v>
      </c>
      <c r="AD204" s="230">
        <f>(INDEX(Models!$BJ204:$BT204,,AH204)*(1-AF204)+INDEX(Models!$BJ204:$BT204,,AH204+1)*AF204-ERP_i)*AE204*Ramure*Pc/MaxiM</f>
        <v>0</v>
      </c>
      <c r="AE204" s="304">
        <f t="shared" si="65"/>
        <v>0.6</v>
      </c>
      <c r="AF204" s="177">
        <f t="shared" si="66"/>
        <v>0.88260678731771158</v>
      </c>
      <c r="AG204" s="799">
        <f t="shared" si="74"/>
        <v>0</v>
      </c>
      <c r="AH204" s="176">
        <f t="shared" si="67"/>
        <v>6</v>
      </c>
      <c r="AI204" s="224">
        <f t="shared" si="68"/>
        <v>0.88260678731771158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45117</v>
      </c>
      <c r="B205" s="409">
        <f>IF(t&gt;Tmaj,'2022'!Wh/'2022'!Env_an*'2023'!Env_an,0.001*[9]mois!$B$251)</f>
        <v>57.406536710527874</v>
      </c>
      <c r="C205" s="829"/>
      <c r="D205" s="391">
        <f t="shared" si="50"/>
        <v>59.21794196453385</v>
      </c>
      <c r="E205" s="383">
        <f t="shared" si="75"/>
        <v>60.317768017858469</v>
      </c>
      <c r="F205" s="383">
        <f t="shared" si="51"/>
        <v>60.317768017858469</v>
      </c>
      <c r="G205" s="110">
        <f t="shared" si="76"/>
        <v>0.99398895981519908</v>
      </c>
      <c r="H205" s="412" t="b">
        <f>Wh_hp&gt;='2022'!Maxi_hp</f>
        <v>1</v>
      </c>
      <c r="I205" s="379">
        <f>IF(H205,Wh_hp,'2022'!Maxi_hp)</f>
        <v>60.317768017858469</v>
      </c>
      <c r="J205" s="85">
        <f>IF(H205,An,'2022'!An_max)</f>
        <v>2023</v>
      </c>
      <c r="K205" s="197">
        <f t="shared" si="52"/>
        <v>45117</v>
      </c>
      <c r="L205" s="147">
        <f>IF(t&lt;Tvie,1-EXP((T0-t)*PertePVj)+'2022'!Pspv,1-EXP((T0-t)*PertePVj)+Pspv)</f>
        <v>3.0588791064215637E-2</v>
      </c>
      <c r="M205" s="832"/>
      <c r="N205" s="832"/>
      <c r="O205" s="48">
        <f>IF(t&lt;Tnet,'2022'!Resal+('2022'!Salim-'2022'!Resal)*(1-EXP(('2022'!Tnet-t)/('2022'!Tau_j))),Resal+(Salim-Resal)*(1-EXP((Tnet-t)/(Tau_j))))*Salcycl</f>
        <v>1.8233865235182334E-2</v>
      </c>
      <c r="P205" s="338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0.88624417496554031</v>
      </c>
      <c r="S205" s="799">
        <f t="shared" si="55"/>
        <v>0</v>
      </c>
      <c r="T205" s="176">
        <f t="shared" si="56"/>
        <v>6</v>
      </c>
      <c r="U205" s="250">
        <f t="shared" si="57"/>
        <v>0.88624417496554031</v>
      </c>
      <c r="V205" s="382">
        <f t="shared" si="58"/>
        <v>57.753696501016286</v>
      </c>
      <c r="W205" s="400">
        <f t="shared" si="59"/>
        <v>57.406536710527874</v>
      </c>
      <c r="X205" s="157">
        <f t="shared" si="60"/>
        <v>45117</v>
      </c>
      <c r="Y205" s="383">
        <f t="shared" si="61"/>
        <v>55.954210289304868</v>
      </c>
      <c r="Z205" s="383">
        <f t="shared" si="62"/>
        <v>57.719788850730509</v>
      </c>
      <c r="AA205" s="384">
        <f t="shared" si="63"/>
        <v>60.317768017858469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4.3071540153123221E-2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0.88624417496554031</v>
      </c>
      <c r="AG205" s="799">
        <f t="shared" si="74"/>
        <v>0</v>
      </c>
      <c r="AH205" s="176">
        <f t="shared" si="67"/>
        <v>6</v>
      </c>
      <c r="AI205" s="224">
        <f t="shared" si="68"/>
        <v>0.88624417496554031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45118</v>
      </c>
      <c r="B206" s="409">
        <f>IF(t&gt;Tmaj,'2022'!Wh/'2022'!Env_an*'2023'!Env_an,0.001*[9]mois!$B$252)</f>
        <v>56.415323397636158</v>
      </c>
      <c r="C206" s="829"/>
      <c r="D206" s="391">
        <f t="shared" si="50"/>
        <v>58.196567241154</v>
      </c>
      <c r="E206" s="383">
        <f t="shared" si="75"/>
        <v>59.284734181309368</v>
      </c>
      <c r="F206" s="383">
        <f t="shared" si="51"/>
        <v>59.284734181309368</v>
      </c>
      <c r="G206" s="110">
        <f t="shared" si="76"/>
        <v>0.97846449096408616</v>
      </c>
      <c r="H206" s="412" t="b">
        <f>Wh_hp&gt;='2022'!Maxi_hp</f>
        <v>0</v>
      </c>
      <c r="I206" s="379">
        <f>IF(H206,Wh_hp,'2022'!Maxi_hp)</f>
        <v>60.058702365360794</v>
      </c>
      <c r="J206" s="85">
        <f>IF(H206,An,'2022'!An_max)</f>
        <v>2018</v>
      </c>
      <c r="K206" s="197">
        <f t="shared" si="52"/>
        <v>45118</v>
      </c>
      <c r="L206" s="147">
        <f>IF(t&lt;Tvie,1-EXP((T0-t)*PertePVj)+'2022'!Pspv,1-EXP((T0-t)*PertePVj)+Pspv)</f>
        <v>3.0607369608876667E-2</v>
      </c>
      <c r="M206" s="832"/>
      <c r="N206" s="832"/>
      <c r="O206" s="48">
        <f>IF(t&lt;Tnet,'2022'!Resal+('2022'!Salim-'2022'!Resal)*(1-EXP(('2022'!Tnet-t)/('2022'!Tau_j))),Resal+(Salim-Resal)*(1-EXP((Tnet-t)/(Tau_j))))*Salcycl</f>
        <v>1.8354926528428822E-2</v>
      </c>
      <c r="P206" s="338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0.88980047602390466</v>
      </c>
      <c r="S206" s="799">
        <f t="shared" si="55"/>
        <v>0</v>
      </c>
      <c r="T206" s="176">
        <f t="shared" si="56"/>
        <v>6</v>
      </c>
      <c r="U206" s="250">
        <f t="shared" si="57"/>
        <v>0.88980047602390466</v>
      </c>
      <c r="V206" s="382">
        <f t="shared" si="58"/>
        <v>57.656996159410795</v>
      </c>
      <c r="W206" s="400">
        <f t="shared" si="59"/>
        <v>56.415323397636158</v>
      </c>
      <c r="X206" s="157">
        <f t="shared" si="60"/>
        <v>45118</v>
      </c>
      <c r="Y206" s="383">
        <f t="shared" si="61"/>
        <v>54.989352403269123</v>
      </c>
      <c r="Z206" s="383">
        <f t="shared" si="62"/>
        <v>56.725572981798329</v>
      </c>
      <c r="AA206" s="384">
        <f t="shared" si="63"/>
        <v>59.284734181309368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4.3167288086076352E-2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0.88980047602390466</v>
      </c>
      <c r="AG206" s="799">
        <f t="shared" si="74"/>
        <v>0</v>
      </c>
      <c r="AH206" s="176">
        <f t="shared" si="67"/>
        <v>6</v>
      </c>
      <c r="AI206" s="224">
        <f t="shared" si="68"/>
        <v>0.88980047602390466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45119</v>
      </c>
      <c r="B207" s="409">
        <f>IF(t&gt;Tmaj,'2022'!Wh/'2022'!Env_an*'2023'!Env_an,0.001*[9]mois!$B$253)</f>
        <v>56.003319992709727</v>
      </c>
      <c r="C207" s="829"/>
      <c r="D207" s="391">
        <f t="shared" ref="D207:D270" si="77">Wh/(1-Ppv)</f>
        <v>57.772662539774529</v>
      </c>
      <c r="E207" s="383">
        <f t="shared" si="75"/>
        <v>58.860143794447758</v>
      </c>
      <c r="F207" s="383">
        <f t="shared" ref="F207:F270" si="78">Wh_sa/(1-Pvg*MEDIAN((-Sdif+Wh/Env_an)/Csdif,0,1))</f>
        <v>58.860143794447758</v>
      </c>
      <c r="G207" s="110">
        <f t="shared" si="76"/>
        <v>0.97296595427046184</v>
      </c>
      <c r="H207" s="412" t="b">
        <f>Wh_hp&gt;='2022'!Maxi_hp</f>
        <v>0</v>
      </c>
      <c r="I207" s="379">
        <f>IF(H207,Wh_hp,'2022'!Maxi_hp)</f>
        <v>60.040514635762435</v>
      </c>
      <c r="J207" s="85">
        <f>IF(H207,An,'2022'!An_max)</f>
        <v>2018</v>
      </c>
      <c r="K207" s="197">
        <f t="shared" ref="K207:K270" si="79">t</f>
        <v>45119</v>
      </c>
      <c r="L207" s="147">
        <f>IF(t&lt;Tvie,1-EXP((T0-t)*PertePVj)+'2022'!Pspv,1-EXP((T0-t)*PertePVj)+Pspv)</f>
        <v>3.0625947797484177E-2</v>
      </c>
      <c r="M207" s="832"/>
      <c r="N207" s="832"/>
      <c r="O207" s="48">
        <f>IF(t&lt;Tnet,'2022'!Resal+('2022'!Salim-'2022'!Resal)*(1-EXP(('2022'!Tnet-t)/('2022'!Tau_j))),Resal+(Salim-Resal)*(1-EXP((Tnet-t)/(Tau_j))))*Salcycl</f>
        <v>1.8475681243167643E-2</v>
      </c>
      <c r="P207" s="338">
        <f>(INDEX(Models!$BJ207:$BT207,,T207)*(1-R207)+INDEX(Models!$BJ207:$BT207,,T207+1)*R207-ERP_i)*Q207*Ramure*Pc/MaxiM</f>
        <v>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0.89327546957062287</v>
      </c>
      <c r="S207" s="799">
        <f t="shared" ref="S207:S270" si="82">INDEX(Echel_vg,T207)</f>
        <v>0</v>
      </c>
      <c r="T207" s="176">
        <f t="shared" ref="T207:T270" si="83">MIN(MATCH(Hp_vg,Echel_vg),10)</f>
        <v>6</v>
      </c>
      <c r="U207" s="250">
        <f t="shared" ref="U207:U270" si="84">IF(OR(t&lt;Ttai,Notai),Hdd+PousH*Croivg,Hdtf+PousH*(Croivg-Croi_tai))</f>
        <v>0.89327546957062287</v>
      </c>
      <c r="V207" s="382">
        <f t="shared" ref="V207:V270" si="85">MaxiM*(1-Ppv)*(1-Pvg)*(1-Psa)</f>
        <v>57.559382984476045</v>
      </c>
      <c r="W207" s="400">
        <f t="shared" ref="W207:W270" si="86">Wh*(A207&gt;Tmaj)</f>
        <v>56.003319992709727</v>
      </c>
      <c r="X207" s="157">
        <f t="shared" ref="X207:X270" si="87">t</f>
        <v>45119</v>
      </c>
      <c r="Y207" s="383">
        <f t="shared" ref="Y207:Y270" si="88">Wh_pvt_s*(1-Ppv)</f>
        <v>54.589046941182126</v>
      </c>
      <c r="Z207" s="383">
        <f t="shared" ref="Z207:Z270" si="89">Wh_sa_s*(1-Psa_s)</f>
        <v>56.313707610751798</v>
      </c>
      <c r="AA207" s="384">
        <f t="shared" ref="AA207:AA270" si="90">Wh_hp*(1-Pvg_s*MEDIAN((-Sdif+Wh/Env_an)/Csdif,0,1))</f>
        <v>58.860143794447758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4.3262486625732094E-2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0.89327546957062287</v>
      </c>
      <c r="AG207" s="799">
        <f t="shared" si="74"/>
        <v>0</v>
      </c>
      <c r="AH207" s="176">
        <f t="shared" ref="AH207:AH270" si="94">MIN(MATCH(Hp_vg_s,Echel_vg),10)</f>
        <v>6</v>
      </c>
      <c r="AI207" s="224">
        <f t="shared" ref="AI207:AI270" si="95">IF(OR(t&lt;Ttai,Notai),Hdd_s+PousH*Croivg,Hdtai_s+PousH*(Croivg-Croi_tai))</f>
        <v>0.89327546957062287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45120</v>
      </c>
      <c r="B208" s="409">
        <f>IF(t&gt;Tmaj,'2022'!Wh/'2022'!Env_an*'2023'!Env_an,0.001*[9]mois!$B$254)</f>
        <v>55.480480527099971</v>
      </c>
      <c r="C208" s="829"/>
      <c r="D208" s="391">
        <f t="shared" si="77"/>
        <v>57.234401614289339</v>
      </c>
      <c r="E208" s="383">
        <f t="shared" si="75"/>
        <v>58.31890790849031</v>
      </c>
      <c r="F208" s="383">
        <f t="shared" si="78"/>
        <v>58.31890790849031</v>
      </c>
      <c r="G208" s="110">
        <f t="shared" si="76"/>
        <v>0.96553520888761091</v>
      </c>
      <c r="H208" s="412" t="b">
        <f>Wh_hp&gt;='2022'!Maxi_hp</f>
        <v>1</v>
      </c>
      <c r="I208" s="379">
        <f>IF(H208,Wh_hp,'2022'!Maxi_hp)</f>
        <v>58.31890790849031</v>
      </c>
      <c r="J208" s="85">
        <f>IF(H208,An,'2022'!An_max)</f>
        <v>2023</v>
      </c>
      <c r="K208" s="197">
        <f t="shared" si="79"/>
        <v>45120</v>
      </c>
      <c r="L208" s="147">
        <f>IF(t&lt;Tvie,1-EXP((T0-t)*PertePVj)+'2022'!Pspv,1-EXP((T0-t)*PertePVj)+Pspv)</f>
        <v>3.0644525630044828E-2</v>
      </c>
      <c r="M208" s="832"/>
      <c r="N208" s="832"/>
      <c r="O208" s="48">
        <f>IF(t&lt;Tnet,'2022'!Resal+('2022'!Salim-'2022'!Resal)*(1-EXP(('2022'!Tnet-t)/('2022'!Tau_j))),Resal+(Salim-Resal)*(1-EXP((Tnet-t)/(Tau_j))))*Salcycl</f>
        <v>1.8596135166020232E-2</v>
      </c>
      <c r="P208" s="338">
        <f>(INDEX(Models!$BJ208:$BT208,,T208)*(1-R208)+INDEX(Models!$BJ208:$BT208,,T208+1)*R208-ERP_i)*Q208*Ramure*Pc/MaxiM</f>
        <v>0</v>
      </c>
      <c r="Q208" s="304">
        <f t="shared" si="80"/>
        <v>0.6</v>
      </c>
      <c r="R208" s="177">
        <f t="shared" si="81"/>
        <v>0.89666907878796831</v>
      </c>
      <c r="S208" s="799">
        <f t="shared" si="82"/>
        <v>0</v>
      </c>
      <c r="T208" s="176">
        <f t="shared" si="83"/>
        <v>6</v>
      </c>
      <c r="U208" s="250">
        <f t="shared" si="84"/>
        <v>0.89666907878796831</v>
      </c>
      <c r="V208" s="382">
        <f t="shared" si="85"/>
        <v>57.460856959342586</v>
      </c>
      <c r="W208" s="400">
        <f t="shared" si="86"/>
        <v>55.480480527099971</v>
      </c>
      <c r="X208" s="157">
        <f t="shared" si="87"/>
        <v>45120</v>
      </c>
      <c r="Y208" s="383">
        <f t="shared" si="88"/>
        <v>54.080696670644762</v>
      </c>
      <c r="Z208" s="383">
        <f t="shared" si="89"/>
        <v>55.79036597053851</v>
      </c>
      <c r="AA208" s="384">
        <f t="shared" si="90"/>
        <v>58.31890790849031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4.3357155142880952E-2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0.89666907878796831</v>
      </c>
      <c r="AG208" s="799">
        <f t="shared" ref="AG208:AG271" si="99">INDEX(Echel_vg,AH208)</f>
        <v>0</v>
      </c>
      <c r="AH208" s="176">
        <f t="shared" si="94"/>
        <v>6</v>
      </c>
      <c r="AI208" s="224">
        <f t="shared" si="95"/>
        <v>0.89666907878796831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45121</v>
      </c>
      <c r="B209" s="409">
        <f>IF(t&gt;Tmaj,'2022'!Wh/'2022'!Env_an*'2023'!Env_an,0.001*[9]mois!$B$255)</f>
        <v>55.157642904217397</v>
      </c>
      <c r="C209" s="829"/>
      <c r="D209" s="391">
        <f t="shared" si="77"/>
        <v>56.90244855115759</v>
      </c>
      <c r="E209" s="383">
        <f t="shared" si="75"/>
        <v>57.987764622059281</v>
      </c>
      <c r="F209" s="383">
        <f t="shared" si="78"/>
        <v>57.987764622059281</v>
      </c>
      <c r="G209" s="110">
        <f t="shared" si="76"/>
        <v>0.96158088096967798</v>
      </c>
      <c r="H209" s="412" t="b">
        <f>Wh_hp&gt;='2022'!Maxi_hp</f>
        <v>0</v>
      </c>
      <c r="I209" s="379">
        <f>IF(H209,Wh_hp,'2022'!Maxi_hp)</f>
        <v>60.412493272450547</v>
      </c>
      <c r="J209" s="85">
        <f>IF(H209,An,'2022'!An_max)</f>
        <v>2018</v>
      </c>
      <c r="K209" s="197">
        <f t="shared" si="79"/>
        <v>45121</v>
      </c>
      <c r="L209" s="147">
        <f>IF(t&lt;Tvie,1-EXP((T0-t)*PertePVj)+'2022'!Pspv,1-EXP((T0-t)*PertePVj)+Pspv)</f>
        <v>3.0663103106565615E-2</v>
      </c>
      <c r="M209" s="832"/>
      <c r="N209" s="832"/>
      <c r="O209" s="48">
        <f>IF(t&lt;Tnet,'2022'!Resal+('2022'!Salim-'2022'!Resal)*(1-EXP(('2022'!Tnet-t)/('2022'!Tau_j))),Resal+(Salim-Resal)*(1-EXP((Tnet-t)/(Tau_j))))*Salcycl</f>
        <v>1.871629434201063E-2</v>
      </c>
      <c r="P209" s="338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0.89998136458610123</v>
      </c>
      <c r="S209" s="799">
        <f t="shared" si="82"/>
        <v>0</v>
      </c>
      <c r="T209" s="176">
        <f t="shared" si="83"/>
        <v>6</v>
      </c>
      <c r="U209" s="250">
        <f t="shared" si="84"/>
        <v>0.89998136458610123</v>
      </c>
      <c r="V209" s="382">
        <f t="shared" si="85"/>
        <v>57.36141805210945</v>
      </c>
      <c r="W209" s="400">
        <f t="shared" si="86"/>
        <v>55.157642904217397</v>
      </c>
      <c r="X209" s="157">
        <f t="shared" si="87"/>
        <v>45121</v>
      </c>
      <c r="Y209" s="383">
        <f t="shared" si="88"/>
        <v>53.767295413066115</v>
      </c>
      <c r="Z209" s="383">
        <f t="shared" si="89"/>
        <v>55.46812009878245</v>
      </c>
      <c r="AA209" s="384">
        <f t="shared" si="90"/>
        <v>57.987764622059281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4.3451313215793853E-2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0.89998136458610123</v>
      </c>
      <c r="AG209" s="799">
        <f t="shared" si="99"/>
        <v>0</v>
      </c>
      <c r="AH209" s="176">
        <f t="shared" si="94"/>
        <v>6</v>
      </c>
      <c r="AI209" s="224">
        <f t="shared" si="95"/>
        <v>0.89998136458610123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45122</v>
      </c>
      <c r="B210" s="409">
        <f>IF(t&gt;Tmaj,'2022'!Wh/'2022'!Env_an*'2023'!Env_an,0.001*[9]mois!$B$256)</f>
        <v>52.907592107427362</v>
      </c>
      <c r="C210" s="829"/>
      <c r="D210" s="391">
        <f t="shared" si="77"/>
        <v>54.582267793948688</v>
      </c>
      <c r="E210" s="383">
        <f t="shared" si="75"/>
        <v>55.630126027949629</v>
      </c>
      <c r="F210" s="383">
        <f t="shared" si="78"/>
        <v>55.630126027949629</v>
      </c>
      <c r="G210" s="110">
        <f t="shared" si="76"/>
        <v>0.92397148011035013</v>
      </c>
      <c r="H210" s="412" t="b">
        <f>Wh_hp&gt;='2022'!Maxi_hp</f>
        <v>0</v>
      </c>
      <c r="I210" s="379">
        <f>IF(H210,Wh_hp,'2022'!Maxi_hp)</f>
        <v>62.029169256698459</v>
      </c>
      <c r="J210" s="85">
        <f>IF(H210,An,'2022'!An_max)</f>
        <v>2018</v>
      </c>
      <c r="K210" s="197">
        <f t="shared" si="79"/>
        <v>45122</v>
      </c>
      <c r="L210" s="147">
        <f>IF(t&lt;Tvie,1-EXP((T0-t)*PertePVj)+'2022'!Pspv,1-EXP((T0-t)*PertePVj)+Pspv)</f>
        <v>3.068168022705331E-2</v>
      </c>
      <c r="M210" s="832"/>
      <c r="N210" s="832"/>
      <c r="O210" s="48">
        <f>IF(t&lt;Tnet,'2022'!Resal+('2022'!Salim-'2022'!Resal)*(1-EXP(('2022'!Tnet-t)/('2022'!Tau_j))),Resal+(Salim-Resal)*(1-EXP((Tnet-t)/(Tau_j))))*Salcycl</f>
        <v>1.8836165020990135E-2</v>
      </c>
      <c r="P210" s="338">
        <f>(INDEX(Models!$BJ210:$BT210,,T210)*(1-R210)+INDEX(Models!$BJ210:$BT210,,T210+1)*R210-ERP_i)*Q210*Ramure*Pc/MaxiM</f>
        <v>0</v>
      </c>
      <c r="Q210" s="304">
        <f t="shared" si="80"/>
        <v>0.6</v>
      </c>
      <c r="R210" s="177">
        <f t="shared" si="81"/>
        <v>0.90321251899125354</v>
      </c>
      <c r="S210" s="799">
        <f t="shared" si="82"/>
        <v>0</v>
      </c>
      <c r="T210" s="176">
        <f t="shared" si="83"/>
        <v>6</v>
      </c>
      <c r="U210" s="250">
        <f t="shared" si="84"/>
        <v>0.90321251899125354</v>
      </c>
      <c r="V210" s="382">
        <f t="shared" si="85"/>
        <v>57.261066219390884</v>
      </c>
      <c r="W210" s="400">
        <f t="shared" si="86"/>
        <v>52.907592107427362</v>
      </c>
      <c r="X210" s="157">
        <f t="shared" si="87"/>
        <v>45122</v>
      </c>
      <c r="Y210" s="383">
        <f t="shared" si="88"/>
        <v>51.575211230153784</v>
      </c>
      <c r="Z210" s="383">
        <f t="shared" si="89"/>
        <v>53.207713274453297</v>
      </c>
      <c r="AA210" s="384">
        <f t="shared" si="90"/>
        <v>55.630126027949629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4.3544980507131362E-2</v>
      </c>
      <c r="AD210" s="230">
        <f>(INDEX(Models!$BJ210:$BT210,,AH210)*(1-AF210)+INDEX(Models!$BJ210:$BT210,,AH210+1)*AF210-ERP_i)*AE210*Ramure*Pc/MaxiM</f>
        <v>0</v>
      </c>
      <c r="AE210" s="304">
        <f t="shared" si="92"/>
        <v>0.6</v>
      </c>
      <c r="AF210" s="177">
        <f t="shared" si="93"/>
        <v>0.90321251899125354</v>
      </c>
      <c r="AG210" s="799">
        <f t="shared" si="99"/>
        <v>0</v>
      </c>
      <c r="AH210" s="176">
        <f t="shared" si="94"/>
        <v>6</v>
      </c>
      <c r="AI210" s="224">
        <f t="shared" si="95"/>
        <v>0.90321251899125354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45123</v>
      </c>
      <c r="B211" s="409">
        <f>IF(t&gt;Tmaj,'2022'!Wh/'2022'!Env_an*'2023'!Env_an,0.001*[9]mois!$B$257)</f>
        <v>54.35863260622618</v>
      </c>
      <c r="C211" s="829"/>
      <c r="D211" s="391">
        <f t="shared" si="77"/>
        <v>56.080312615692421</v>
      </c>
      <c r="E211" s="383">
        <f t="shared" si="75"/>
        <v>57.163897369276832</v>
      </c>
      <c r="F211" s="383">
        <f t="shared" si="78"/>
        <v>57.163897369276832</v>
      </c>
      <c r="G211" s="110">
        <f t="shared" si="76"/>
        <v>0.9509940773932033</v>
      </c>
      <c r="H211" s="412" t="b">
        <f>Wh_hp&gt;='2022'!Maxi_hp</f>
        <v>0</v>
      </c>
      <c r="I211" s="379">
        <f>IF(H211,Wh_hp,'2022'!Maxi_hp)</f>
        <v>60.446549664611396</v>
      </c>
      <c r="J211" s="85">
        <f>IF(H211,An,'2022'!An_max)</f>
        <v>2018</v>
      </c>
      <c r="K211" s="197">
        <f t="shared" si="79"/>
        <v>45123</v>
      </c>
      <c r="L211" s="147">
        <f>IF(t&lt;Tvie,1-EXP((T0-t)*PertePVj)+'2022'!Pspv,1-EXP((T0-t)*PertePVj)+Pspv)</f>
        <v>3.0700256991514685E-2</v>
      </c>
      <c r="M211" s="832"/>
      <c r="N211" s="832"/>
      <c r="O211" s="48">
        <f>IF(t&lt;Tnet,'2022'!Resal+('2022'!Salim-'2022'!Resal)*(1-EXP(('2022'!Tnet-t)/('2022'!Tau_j))),Resal+(Salim-Resal)*(1-EXP((Tnet-t)/(Tau_j))))*Salcycl</f>
        <v>1.8955753604140965E-2</v>
      </c>
      <c r="P211" s="338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0.90636285835259489</v>
      </c>
      <c r="S211" s="799">
        <f t="shared" si="82"/>
        <v>0</v>
      </c>
      <c r="T211" s="176">
        <f t="shared" si="83"/>
        <v>6</v>
      </c>
      <c r="U211" s="250">
        <f t="shared" si="84"/>
        <v>0.90636285835259489</v>
      </c>
      <c r="V211" s="382">
        <f t="shared" si="85"/>
        <v>57.159801410362256</v>
      </c>
      <c r="W211" s="400">
        <f t="shared" si="86"/>
        <v>54.35863260622618</v>
      </c>
      <c r="X211" s="157">
        <f t="shared" si="87"/>
        <v>45123</v>
      </c>
      <c r="Y211" s="383">
        <f t="shared" si="88"/>
        <v>52.991005436717352</v>
      </c>
      <c r="Z211" s="383">
        <f t="shared" si="89"/>
        <v>54.66936911821039</v>
      </c>
      <c r="AA211" s="384">
        <f t="shared" si="90"/>
        <v>57.163897369276832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4.3638176644112882E-2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0.90636285835259489</v>
      </c>
      <c r="AG211" s="799">
        <f t="shared" si="99"/>
        <v>0</v>
      </c>
      <c r="AH211" s="176">
        <f t="shared" si="94"/>
        <v>6</v>
      </c>
      <c r="AI211" s="224">
        <f t="shared" si="95"/>
        <v>0.90636285835259489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45124</v>
      </c>
      <c r="B212" s="409">
        <f>IF(t&gt;Tmaj,'2022'!Wh/'2022'!Env_an*'2023'!Env_an,0.001*[9]mois!$B$258)</f>
        <v>54.504051294183547</v>
      </c>
      <c r="C212" s="829"/>
      <c r="D212" s="391">
        <f t="shared" si="77"/>
        <v>56.231414755914344</v>
      </c>
      <c r="E212" s="383">
        <f t="shared" si="75"/>
        <v>57.324890866514217</v>
      </c>
      <c r="F212" s="383">
        <f t="shared" si="78"/>
        <v>57.324890866514217</v>
      </c>
      <c r="G212" s="110">
        <f t="shared" si="76"/>
        <v>0.95524573029177495</v>
      </c>
      <c r="H212" s="412" t="b">
        <f>Wh_hp&gt;='2022'!Maxi_hp</f>
        <v>0</v>
      </c>
      <c r="I212" s="379">
        <f>IF(H212,Wh_hp,'2022'!Maxi_hp)</f>
        <v>60.566791048252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3.0718833399956624E-2</v>
      </c>
      <c r="M212" s="832"/>
      <c r="N212" s="832"/>
      <c r="O212" s="48">
        <f>IF(t&lt;Tnet,'2022'!Resal+('2022'!Salim-'2022'!Resal)*(1-EXP(('2022'!Tnet-t)/('2022'!Tau_j))),Resal+(Salim-Resal)*(1-EXP((Tnet-t)/(Tau_j))))*Salcycl</f>
        <v>1.9075066590987937E-2</v>
      </c>
      <c r="P212" s="338">
        <f>(INDEX(Models!$BJ212:$BT212,,T212)*(1-R212)+INDEX(Models!$BJ212:$BT212,,T212+1)*R212-ERP_i)*Q212*Ramure*Pc/MaxiM</f>
        <v>0</v>
      </c>
      <c r="Q212" s="304">
        <f t="shared" si="80"/>
        <v>0.6</v>
      </c>
      <c r="R212" s="177">
        <f t="shared" si="81"/>
        <v>0.90943281641917129</v>
      </c>
      <c r="S212" s="799">
        <f t="shared" si="82"/>
        <v>0</v>
      </c>
      <c r="T212" s="176">
        <f t="shared" si="83"/>
        <v>6</v>
      </c>
      <c r="U212" s="250">
        <f t="shared" si="84"/>
        <v>0.90943281641917129</v>
      </c>
      <c r="V212" s="382">
        <f t="shared" si="85"/>
        <v>57.057623568268198</v>
      </c>
      <c r="W212" s="400">
        <f t="shared" si="86"/>
        <v>54.504051294183547</v>
      </c>
      <c r="X212" s="157">
        <f t="shared" si="87"/>
        <v>45124</v>
      </c>
      <c r="Y212" s="383">
        <f t="shared" si="88"/>
        <v>53.134074945083853</v>
      </c>
      <c r="Z212" s="383">
        <f t="shared" si="89"/>
        <v>54.818020586805318</v>
      </c>
      <c r="AA212" s="384">
        <f t="shared" si="90"/>
        <v>57.324890866514217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4.3730921102778056E-2</v>
      </c>
      <c r="AD212" s="230">
        <f>(INDEX(Models!$BJ212:$BT212,,AH212)*(1-AF212)+INDEX(Models!$BJ212:$BT212,,AH212+1)*AF212-ERP_i)*AE212*Ramure*Pc/MaxiM</f>
        <v>0</v>
      </c>
      <c r="AE212" s="304">
        <f t="shared" si="92"/>
        <v>0.6</v>
      </c>
      <c r="AF212" s="177">
        <f t="shared" si="93"/>
        <v>0.90943281641917129</v>
      </c>
      <c r="AG212" s="799">
        <f t="shared" si="99"/>
        <v>0</v>
      </c>
      <c r="AH212" s="176">
        <f t="shared" si="94"/>
        <v>6</v>
      </c>
      <c r="AI212" s="224">
        <f t="shared" si="95"/>
        <v>0.90943281641917129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45125</v>
      </c>
      <c r="B213" s="409">
        <f>IF(t&gt;Tmaj,'2022'!Wh/'2022'!Env_an*'2023'!Env_an,0.001*[9]mois!$B$259)</f>
        <v>56.763546854406329</v>
      </c>
      <c r="C213" s="829"/>
      <c r="D213" s="391">
        <f t="shared" si="77"/>
        <v>58.563641481650563</v>
      </c>
      <c r="E213" s="383">
        <f t="shared" si="75"/>
        <v>59.709716377353324</v>
      </c>
      <c r="F213" s="383">
        <f t="shared" si="78"/>
        <v>59.709716377353324</v>
      </c>
      <c r="G213" s="110">
        <f t="shared" si="76"/>
        <v>0.99664669742893397</v>
      </c>
      <c r="H213" s="412" t="b">
        <f>Wh_hp&gt;='2022'!Maxi_hp</f>
        <v>1</v>
      </c>
      <c r="I213" s="379">
        <f>IF(H213,Wh_hp,'2022'!Maxi_hp)</f>
        <v>59.709716377353324</v>
      </c>
      <c r="J213" s="85">
        <f>IF(H213,An,'2022'!An_max)</f>
        <v>2023</v>
      </c>
      <c r="K213" s="197">
        <f t="shared" si="79"/>
        <v>45125</v>
      </c>
      <c r="L213" s="147">
        <f>IF(t&lt;Tvie,1-EXP((T0-t)*PertePVj)+'2022'!Pspv,1-EXP((T0-t)*PertePVj)+Pspv)</f>
        <v>3.0737409452386011E-2</v>
      </c>
      <c r="M213" s="832"/>
      <c r="N213" s="832"/>
      <c r="O213" s="48">
        <f>IF(t&lt;Tnet,'2022'!Resal+('2022'!Salim-'2022'!Resal)*(1-EXP(('2022'!Tnet-t)/('2022'!Tau_j))),Resal+(Salim-Resal)*(1-EXP((Tnet-t)/(Tau_j))))*Salcycl</f>
        <v>1.9194110527335256E-2</v>
      </c>
      <c r="P213" s="338">
        <f>(INDEX(Models!$BJ213:$BT213,,T213)*(1-R213)+INDEX(Models!$BJ213:$BT213,,T213+1)*R213-ERP_i)*Q213*Ramure*Pc/MaxiM</f>
        <v>0</v>
      </c>
      <c r="Q213" s="304">
        <f t="shared" si="80"/>
        <v>0.6</v>
      </c>
      <c r="R213" s="177">
        <f t="shared" si="81"/>
        <v>0.91242293733546176</v>
      </c>
      <c r="S213" s="799">
        <f t="shared" si="82"/>
        <v>0</v>
      </c>
      <c r="T213" s="176">
        <f t="shared" si="83"/>
        <v>6</v>
      </c>
      <c r="U213" s="250">
        <f t="shared" si="84"/>
        <v>0.91242293733546176</v>
      </c>
      <c r="V213" s="382">
        <f t="shared" si="85"/>
        <v>56.954532635125567</v>
      </c>
      <c r="W213" s="400">
        <f t="shared" si="86"/>
        <v>56.763546854406329</v>
      </c>
      <c r="X213" s="157">
        <f t="shared" si="87"/>
        <v>45125</v>
      </c>
      <c r="Y213" s="383">
        <f t="shared" si="88"/>
        <v>55.338151301648516</v>
      </c>
      <c r="Z213" s="383">
        <f t="shared" si="89"/>
        <v>57.093043558385524</v>
      </c>
      <c r="AA213" s="384">
        <f t="shared" si="90"/>
        <v>59.709716377353324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4.3823233097122036E-2</v>
      </c>
      <c r="AD213" s="230">
        <f>(INDEX(Models!$BJ213:$BT213,,AH213)*(1-AF213)+INDEX(Models!$BJ213:$BT213,,AH213+1)*AF213-ERP_i)*AE213*Ramure*Pc/MaxiM</f>
        <v>0</v>
      </c>
      <c r="AE213" s="304">
        <f t="shared" si="92"/>
        <v>0.6</v>
      </c>
      <c r="AF213" s="177">
        <f t="shared" si="93"/>
        <v>0.91242293733546176</v>
      </c>
      <c r="AG213" s="799">
        <f t="shared" si="99"/>
        <v>0</v>
      </c>
      <c r="AH213" s="176">
        <f t="shared" si="94"/>
        <v>6</v>
      </c>
      <c r="AI213" s="224">
        <f t="shared" si="95"/>
        <v>0.91242293733546176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45126</v>
      </c>
      <c r="B214" s="409">
        <f>IF(t&gt;Tmaj,'2022'!Wh/'2022'!Env_an*'2023'!Env_an,0.001*[9]mois!$B$260)</f>
        <v>44.498005057523123</v>
      </c>
      <c r="C214" s="829"/>
      <c r="D214" s="391">
        <f t="shared" si="77"/>
        <v>45.910012727140717</v>
      </c>
      <c r="E214" s="383">
        <f t="shared" si="75"/>
        <v>46.814128941330075</v>
      </c>
      <c r="F214" s="383">
        <f t="shared" si="78"/>
        <v>46.814128941330075</v>
      </c>
      <c r="G214" s="110">
        <f t="shared" si="76"/>
        <v>0.78271928492841281</v>
      </c>
      <c r="H214" s="412" t="b">
        <f>Wh_hp&gt;='2022'!Maxi_hp</f>
        <v>0</v>
      </c>
      <c r="I214" s="379">
        <f>IF(H214,Wh_hp,'2022'!Maxi_hp)</f>
        <v>60.093272883435894</v>
      </c>
      <c r="J214" s="85">
        <f>IF(H214,An,'2022'!An_max)</f>
        <v>2020</v>
      </c>
      <c r="K214" s="197">
        <f t="shared" si="79"/>
        <v>45126</v>
      </c>
      <c r="L214" s="147">
        <f>IF(t&lt;Tvie,1-EXP((T0-t)*PertePVj)+'2022'!Pspv,1-EXP((T0-t)*PertePVj)+Pspv)</f>
        <v>3.0755985148809506E-2</v>
      </c>
      <c r="M214" s="832"/>
      <c r="N214" s="832"/>
      <c r="O214" s="48">
        <f>IF(t&lt;Tnet,'2022'!Resal+('2022'!Salim-'2022'!Resal)*(1-EXP(('2022'!Tnet-t)/('2022'!Tau_j))),Resal+(Salim-Resal)*(1-EXP((Tnet-t)/(Tau_j))))*Salcycl</f>
        <v>1.9312891954530214E-2</v>
      </c>
      <c r="P214" s="338">
        <f>(INDEX(Models!$BJ214:$BT214,,T214)*(1-R214)+INDEX(Models!$BJ214:$BT214,,T214+1)*R214-ERP_i)*Q214*Ramure*Pc/MaxiM</f>
        <v>-1.953612006557277E-20</v>
      </c>
      <c r="Q214" s="304">
        <f t="shared" si="80"/>
        <v>0.6</v>
      </c>
      <c r="R214" s="177">
        <f t="shared" si="81"/>
        <v>0.9153338686010255</v>
      </c>
      <c r="S214" s="799">
        <f t="shared" si="82"/>
        <v>0</v>
      </c>
      <c r="T214" s="176">
        <f t="shared" si="83"/>
        <v>6</v>
      </c>
      <c r="U214" s="250">
        <f t="shared" si="84"/>
        <v>0.9153338686010255</v>
      </c>
      <c r="V214" s="382">
        <f t="shared" si="85"/>
        <v>56.850528553915595</v>
      </c>
      <c r="W214" s="400">
        <f t="shared" si="86"/>
        <v>44.498005057523123</v>
      </c>
      <c r="X214" s="157">
        <f t="shared" si="87"/>
        <v>45126</v>
      </c>
      <c r="Y214" s="383">
        <f t="shared" si="88"/>
        <v>43.381695309413949</v>
      </c>
      <c r="Z214" s="383">
        <f t="shared" si="89"/>
        <v>44.758280314038778</v>
      </c>
      <c r="AA214" s="384">
        <f t="shared" si="90"/>
        <v>46.814128941330075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4.3915131473829118E-2</v>
      </c>
      <c r="AD214" s="230">
        <f>(INDEX(Models!$BJ214:$BT214,,AH214)*(1-AF214)+INDEX(Models!$BJ214:$BT214,,AH214+1)*AF214-ERP_i)*AE214*Ramure*Pc/MaxiM</f>
        <v>-1.953612006557277E-20</v>
      </c>
      <c r="AE214" s="304">
        <f t="shared" si="92"/>
        <v>0.6</v>
      </c>
      <c r="AF214" s="177">
        <f t="shared" si="93"/>
        <v>0.9153338686010255</v>
      </c>
      <c r="AG214" s="799">
        <f t="shared" si="99"/>
        <v>0</v>
      </c>
      <c r="AH214" s="176">
        <f t="shared" si="94"/>
        <v>6</v>
      </c>
      <c r="AI214" s="224">
        <f t="shared" si="95"/>
        <v>0.9153338686010255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45127</v>
      </c>
      <c r="B215" s="409">
        <f>IF(t&gt;Tmaj,'2022'!Wh/'2022'!Env_an*'2023'!Env_an,0.001*[9]mois!$B$261)</f>
        <v>44.598265782422018</v>
      </c>
      <c r="C215" s="829"/>
      <c r="D215" s="391">
        <f t="shared" si="77"/>
        <v>46.014336772808804</v>
      </c>
      <c r="E215" s="383">
        <f t="shared" si="75"/>
        <v>46.926178940940723</v>
      </c>
      <c r="F215" s="383">
        <f t="shared" si="78"/>
        <v>46.926178940940723</v>
      </c>
      <c r="G215" s="110">
        <f t="shared" si="76"/>
        <v>0.7859333044940946</v>
      </c>
      <c r="H215" s="412" t="b">
        <f>Wh_hp&gt;='2022'!Maxi_hp</f>
        <v>0</v>
      </c>
      <c r="I215" s="379">
        <f>IF(H215,Wh_hp,'2022'!Maxi_hp)</f>
        <v>59.221861562396249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3.0774560489233993E-2</v>
      </c>
      <c r="M215" s="832"/>
      <c r="N215" s="832"/>
      <c r="O215" s="48">
        <f>IF(t&lt;Tnet,'2022'!Resal+('2022'!Salim-'2022'!Resal)*(1-EXP(('2022'!Tnet-t)/('2022'!Tau_j))),Resal+(Salim-Resal)*(1-EXP((Tnet-t)/(Tau_j))))*Salcycl</f>
        <v>1.9431417360435976E-2</v>
      </c>
      <c r="P215" s="338">
        <f>(INDEX(Models!$BJ215:$BT215,,T215)*(1-R215)+INDEX(Models!$BJ215:$BT215,,T215+1)*R215-ERP_i)*Q215*Ramure*Pc/MaxiM</f>
        <v>0</v>
      </c>
      <c r="Q215" s="304">
        <f t="shared" si="80"/>
        <v>0.6</v>
      </c>
      <c r="R215" s="177">
        <f t="shared" si="81"/>
        <v>0.91816635403646063</v>
      </c>
      <c r="S215" s="799">
        <f t="shared" si="82"/>
        <v>0</v>
      </c>
      <c r="T215" s="176">
        <f t="shared" si="83"/>
        <v>6</v>
      </c>
      <c r="U215" s="250">
        <f t="shared" si="84"/>
        <v>0.91816635403646063</v>
      </c>
      <c r="V215" s="382">
        <f t="shared" si="85"/>
        <v>56.745611271849491</v>
      </c>
      <c r="W215" s="400">
        <f t="shared" si="86"/>
        <v>44.598265782422018</v>
      </c>
      <c r="X215" s="157">
        <f t="shared" si="87"/>
        <v>45127</v>
      </c>
      <c r="Y215" s="383">
        <f t="shared" si="88"/>
        <v>43.480534610827554</v>
      </c>
      <c r="Z215" s="383">
        <f t="shared" si="89"/>
        <v>44.861115730490049</v>
      </c>
      <c r="AA215" s="384">
        <f t="shared" si="90"/>
        <v>46.926178940940723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4.4006634613265184E-2</v>
      </c>
      <c r="AD215" s="230">
        <f>(INDEX(Models!$BJ215:$BT215,,AH215)*(1-AF215)+INDEX(Models!$BJ215:$BT215,,AH215+1)*AF215-ERP_i)*AE215*Ramure*Pc/MaxiM</f>
        <v>0</v>
      </c>
      <c r="AE215" s="304">
        <f t="shared" si="92"/>
        <v>0.6</v>
      </c>
      <c r="AF215" s="177">
        <f t="shared" si="93"/>
        <v>0.91816635403646063</v>
      </c>
      <c r="AG215" s="799">
        <f t="shared" si="99"/>
        <v>0</v>
      </c>
      <c r="AH215" s="176">
        <f t="shared" si="94"/>
        <v>6</v>
      </c>
      <c r="AI215" s="224">
        <f t="shared" si="95"/>
        <v>0.91816635403646063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45128</v>
      </c>
      <c r="B216" s="409">
        <f>IF(t&gt;Tmaj,'2022'!Wh/'2022'!Env_an*'2023'!Env_an,0.001*[9]mois!$B$262)</f>
        <v>53.949563528993501</v>
      </c>
      <c r="C216" s="829"/>
      <c r="D216" s="391">
        <f t="shared" si="77"/>
        <v>55.663620949857268</v>
      </c>
      <c r="E216" s="383">
        <f t="shared" si="75"/>
        <v>56.773525960432131</v>
      </c>
      <c r="F216" s="383">
        <f t="shared" si="78"/>
        <v>56.773525960432131</v>
      </c>
      <c r="G216" s="110">
        <f t="shared" si="76"/>
        <v>0.95250304329432012</v>
      </c>
      <c r="H216" s="412" t="b">
        <f>Wh_hp&gt;='2022'!Maxi_hp</f>
        <v>1</v>
      </c>
      <c r="I216" s="379">
        <f>IF(H216,Wh_hp,'2022'!Maxi_hp)</f>
        <v>56.773525960432131</v>
      </c>
      <c r="J216" s="85">
        <f>IF(H216,An,'2022'!An_max)</f>
        <v>2023</v>
      </c>
      <c r="K216" s="197">
        <f t="shared" si="79"/>
        <v>45128</v>
      </c>
      <c r="L216" s="147">
        <f>IF(t&lt;Tvie,1-EXP((T0-t)*PertePVj)+'2022'!Pspv,1-EXP((T0-t)*PertePVj)+Pspv)</f>
        <v>3.0793135473666355E-2</v>
      </c>
      <c r="M216" s="832"/>
      <c r="N216" s="832"/>
      <c r="O216" s="48">
        <f>IF(t&lt;Tnet,'2022'!Resal+('2022'!Salim-'2022'!Resal)*(1-EXP(('2022'!Tnet-t)/('2022'!Tau_j))),Resal+(Salim-Resal)*(1-EXP((Tnet-t)/(Tau_j))))*Salcycl</f>
        <v>1.9549693132471697E-2</v>
      </c>
      <c r="P216" s="338">
        <f>(INDEX(Models!$BJ216:$BT216,,T216)*(1-R216)+INDEX(Models!$BJ216:$BT216,,T216+1)*R216-ERP_i)*Q216*Ramure*Pc/MaxiM</f>
        <v>0</v>
      </c>
      <c r="Q216" s="304">
        <f t="shared" si="80"/>
        <v>0.6</v>
      </c>
      <c r="R216" s="177">
        <f t="shared" si="81"/>
        <v>0.9209212267945206</v>
      </c>
      <c r="S216" s="799">
        <f t="shared" si="82"/>
        <v>0</v>
      </c>
      <c r="T216" s="176">
        <f t="shared" si="83"/>
        <v>6</v>
      </c>
      <c r="U216" s="250">
        <f t="shared" si="84"/>
        <v>0.9209212267945206</v>
      </c>
      <c r="V216" s="382">
        <f t="shared" si="85"/>
        <v>56.639780742751149</v>
      </c>
      <c r="W216" s="400">
        <f t="shared" si="86"/>
        <v>53.949563528993501</v>
      </c>
      <c r="X216" s="157">
        <f t="shared" si="87"/>
        <v>45128</v>
      </c>
      <c r="Y216" s="383">
        <f t="shared" si="88"/>
        <v>52.598798985491896</v>
      </c>
      <c r="Z216" s="383">
        <f t="shared" si="89"/>
        <v>54.269940619124426</v>
      </c>
      <c r="AA216" s="384">
        <f t="shared" si="90"/>
        <v>56.773525960432131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4.4097760337319179E-2</v>
      </c>
      <c r="AD216" s="230">
        <f>(INDEX(Models!$BJ216:$BT216,,AH216)*(1-AF216)+INDEX(Models!$BJ216:$BT216,,AH216+1)*AF216-ERP_i)*AE216*Ramure*Pc/MaxiM</f>
        <v>0</v>
      </c>
      <c r="AE216" s="304">
        <f t="shared" si="92"/>
        <v>0.6</v>
      </c>
      <c r="AF216" s="177">
        <f t="shared" si="93"/>
        <v>0.9209212267945206</v>
      </c>
      <c r="AG216" s="799">
        <f t="shared" si="99"/>
        <v>0</v>
      </c>
      <c r="AH216" s="176">
        <f t="shared" si="94"/>
        <v>6</v>
      </c>
      <c r="AI216" s="224">
        <f t="shared" si="95"/>
        <v>0.9209212267945206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45129</v>
      </c>
      <c r="B217" s="409">
        <f>IF(t&gt;Tmaj,'2022'!Wh/'2022'!Env_an*'2023'!Env_an,0.001*[9]mois!$B$263)</f>
        <v>45.345028301526817</v>
      </c>
      <c r="C217" s="829"/>
      <c r="D217" s="391">
        <f t="shared" si="77"/>
        <v>46.786603567305129</v>
      </c>
      <c r="E217" s="383">
        <f t="shared" si="75"/>
        <v>47.725250698076479</v>
      </c>
      <c r="F217" s="383">
        <f t="shared" si="78"/>
        <v>47.725250698076479</v>
      </c>
      <c r="G217" s="110">
        <f t="shared" si="76"/>
        <v>0.80209786637045488</v>
      </c>
      <c r="H217" s="412" t="b">
        <f>Wh_hp&gt;='2022'!Maxi_hp</f>
        <v>0</v>
      </c>
      <c r="I217" s="379">
        <f>IF(H217,Wh_hp,'2022'!Maxi_hp)</f>
        <v>55.683659624670192</v>
      </c>
      <c r="J217" s="85">
        <f>IF(H217,An,'2022'!An_max)</f>
        <v>2021</v>
      </c>
      <c r="K217" s="197">
        <f t="shared" si="79"/>
        <v>45129</v>
      </c>
      <c r="L217" s="147">
        <f>IF(t&lt;Tvie,1-EXP((T0-t)*PertePVj)+'2022'!Pspv,1-EXP((T0-t)*PertePVj)+Pspv)</f>
        <v>3.0811710102113476E-2</v>
      </c>
      <c r="M217" s="832"/>
      <c r="N217" s="832"/>
      <c r="O217" s="48">
        <f>IF(t&lt;Tnet,'2022'!Resal+('2022'!Salim-'2022'!Resal)*(1-EXP(('2022'!Tnet-t)/('2022'!Tau_j))),Resal+(Salim-Resal)*(1-EXP((Tnet-t)/(Tau_j))))*Salcycl</f>
        <v>1.9667725513051706E-2</v>
      </c>
      <c r="P217" s="338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0.92359940245179972</v>
      </c>
      <c r="S217" s="799">
        <f t="shared" si="82"/>
        <v>0</v>
      </c>
      <c r="T217" s="176">
        <f t="shared" si="83"/>
        <v>6</v>
      </c>
      <c r="U217" s="250">
        <f t="shared" si="84"/>
        <v>0.92359940245179972</v>
      </c>
      <c r="V217" s="382">
        <f t="shared" si="85"/>
        <v>56.533036930662867</v>
      </c>
      <c r="W217" s="400">
        <f t="shared" si="86"/>
        <v>45.345028301526817</v>
      </c>
      <c r="X217" s="157">
        <f t="shared" si="87"/>
        <v>45129</v>
      </c>
      <c r="Y217" s="383">
        <f t="shared" si="88"/>
        <v>44.210824712559415</v>
      </c>
      <c r="Z217" s="383">
        <f t="shared" si="89"/>
        <v>45.616342225118565</v>
      </c>
      <c r="AA217" s="384">
        <f t="shared" si="90"/>
        <v>47.725250698076479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4.4188525824609547E-2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0.92359940245179972</v>
      </c>
      <c r="AG217" s="799">
        <f t="shared" si="99"/>
        <v>0</v>
      </c>
      <c r="AH217" s="176">
        <f t="shared" si="94"/>
        <v>6</v>
      </c>
      <c r="AI217" s="224">
        <f t="shared" si="95"/>
        <v>0.92359940245179972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45130</v>
      </c>
      <c r="B218" s="409">
        <f>IF(t&gt;Tmaj,'2022'!Wh/'2022'!Env_an*'2023'!Env_an,0.001*[9]mois!$B$264)</f>
        <v>45.296822459857971</v>
      </c>
      <c r="C218" s="829"/>
      <c r="D218" s="391">
        <f t="shared" si="77"/>
        <v>46.73776092005447</v>
      </c>
      <c r="E218" s="383">
        <f t="shared" si="75"/>
        <v>47.681157440815838</v>
      </c>
      <c r="F218" s="383">
        <f t="shared" si="78"/>
        <v>47.681157440815838</v>
      </c>
      <c r="G218" s="110">
        <f t="shared" si="76"/>
        <v>0.80277390443400354</v>
      </c>
      <c r="H218" s="412" t="b">
        <f>Wh_hp&gt;='2022'!Maxi_hp</f>
        <v>0</v>
      </c>
      <c r="I218" s="379">
        <f>IF(H218,Wh_hp,'2022'!Maxi_hp)</f>
        <v>57.020157721480658</v>
      </c>
      <c r="J218" s="85">
        <f>IF(H218,An,'2022'!An_max)</f>
        <v>2018</v>
      </c>
      <c r="K218" s="197">
        <f t="shared" si="79"/>
        <v>45130</v>
      </c>
      <c r="L218" s="147">
        <f>IF(t&lt;Tvie,1-EXP((T0-t)*PertePVj)+'2022'!Pspv,1-EXP((T0-t)*PertePVj)+Pspv)</f>
        <v>3.0830284374581907E-2</v>
      </c>
      <c r="M218" s="832"/>
      <c r="N218" s="832"/>
      <c r="O218" s="48">
        <f>IF(t&lt;Tnet,'2022'!Resal+('2022'!Salim-'2022'!Resal)*(1-EXP(('2022'!Tnet-t)/('2022'!Tau_j))),Resal+(Salim-Resal)*(1-EXP((Tnet-t)/(Tau_j))))*Salcycl</f>
        <v>1.9785520557724662E-2</v>
      </c>
      <c r="P218" s="338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0.92620187221293171</v>
      </c>
      <c r="S218" s="799">
        <f t="shared" si="82"/>
        <v>0</v>
      </c>
      <c r="T218" s="176">
        <f t="shared" si="83"/>
        <v>6</v>
      </c>
      <c r="U218" s="250">
        <f t="shared" si="84"/>
        <v>0.92620187221293171</v>
      </c>
      <c r="V218" s="382">
        <f t="shared" si="85"/>
        <v>56.425379810763204</v>
      </c>
      <c r="W218" s="400">
        <f t="shared" si="86"/>
        <v>45.296822459857971</v>
      </c>
      <c r="X218" s="157">
        <f t="shared" si="87"/>
        <v>45130</v>
      </c>
      <c r="Y218" s="383">
        <f t="shared" si="88"/>
        <v>44.164953428718924</v>
      </c>
      <c r="Z218" s="383">
        <f t="shared" si="89"/>
        <v>45.56988597215782</v>
      </c>
      <c r="AA218" s="384">
        <f t="shared" si="90"/>
        <v>47.681157440815838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4.4278947533491292E-2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0.92620187221293171</v>
      </c>
      <c r="AG218" s="799">
        <f t="shared" si="99"/>
        <v>0</v>
      </c>
      <c r="AH218" s="176">
        <f t="shared" si="94"/>
        <v>6</v>
      </c>
      <c r="AI218" s="224">
        <f t="shared" si="95"/>
        <v>0.92620187221293171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45131</v>
      </c>
      <c r="B219" s="409">
        <f>IF(t&gt;Tmaj,'2022'!Wh/'2022'!Env_an*'2023'!Env_an,0.001*[9]mois!$B$265)</f>
        <v>54.203750230301686</v>
      </c>
      <c r="C219" s="829"/>
      <c r="D219" s="391">
        <f t="shared" si="77"/>
        <v>55.929099082237329</v>
      </c>
      <c r="E219" s="383">
        <f t="shared" si="75"/>
        <v>57.064865907333974</v>
      </c>
      <c r="F219" s="383">
        <f t="shared" si="78"/>
        <v>57.064865907333974</v>
      </c>
      <c r="G219" s="110">
        <f t="shared" si="76"/>
        <v>0.96247528086777845</v>
      </c>
      <c r="H219" s="412" t="b">
        <f>Wh_hp&gt;='2022'!Maxi_hp</f>
        <v>0</v>
      </c>
      <c r="I219" s="379">
        <f>IF(H219,Wh_hp,'2022'!Maxi_hp)</f>
        <v>57.130225133334037</v>
      </c>
      <c r="J219" s="85">
        <f>IF(H219,An,'2022'!An_max)</f>
        <v>2018</v>
      </c>
      <c r="K219" s="197">
        <f t="shared" si="79"/>
        <v>45131</v>
      </c>
      <c r="L219" s="147">
        <f>IF(t&lt;Tvie,1-EXP((T0-t)*PertePVj)+'2022'!Pspv,1-EXP((T0-t)*PertePVj)+Pspv)</f>
        <v>3.0848858291078751E-2</v>
      </c>
      <c r="M219" s="832"/>
      <c r="N219" s="832"/>
      <c r="O219" s="48">
        <f>IF(t&lt;Tnet,'2022'!Resal+('2022'!Salim-'2022'!Resal)*(1-EXP(('2022'!Tnet-t)/('2022'!Tau_j))),Resal+(Salim-Resal)*(1-EXP((Tnet-t)/(Tau_j))))*Salcycl</f>
        <v>1.99030840962806E-2</v>
      </c>
      <c r="P219" s="338">
        <f>(INDEX(Models!$BJ219:$BT219,,T219)*(1-R219)+INDEX(Models!$BJ219:$BT219,,T219+1)*R219-ERP_i)*Q219*Ramure*Pc/MaxiM</f>
        <v>0</v>
      </c>
      <c r="Q219" s="304">
        <f t="shared" si="80"/>
        <v>0.6</v>
      </c>
      <c r="R219" s="177">
        <f t="shared" si="81"/>
        <v>0.92872969625580903</v>
      </c>
      <c r="S219" s="799">
        <f t="shared" si="82"/>
        <v>0</v>
      </c>
      <c r="T219" s="176">
        <f t="shared" si="83"/>
        <v>6</v>
      </c>
      <c r="U219" s="250">
        <f t="shared" si="84"/>
        <v>0.92872969625580903</v>
      </c>
      <c r="V219" s="382">
        <f t="shared" si="85"/>
        <v>56.317031000973842</v>
      </c>
      <c r="W219" s="400">
        <f t="shared" si="86"/>
        <v>54.203750230301686</v>
      </c>
      <c r="X219" s="157">
        <f t="shared" si="87"/>
        <v>45131</v>
      </c>
      <c r="Y219" s="383">
        <f t="shared" si="88"/>
        <v>52.85067320000352</v>
      </c>
      <c r="Z219" s="383">
        <f t="shared" si="89"/>
        <v>54.532952524629955</v>
      </c>
      <c r="AA219" s="384">
        <f t="shared" si="90"/>
        <v>57.064865907333974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4.4369041133217109E-2</v>
      </c>
      <c r="AD219" s="230">
        <f>(INDEX(Models!$BJ219:$BT219,,AH219)*(1-AF219)+INDEX(Models!$BJ219:$BT219,,AH219+1)*AF219-ERP_i)*AE219*Ramure*Pc/MaxiM</f>
        <v>0</v>
      </c>
      <c r="AE219" s="304">
        <f t="shared" si="92"/>
        <v>0.6</v>
      </c>
      <c r="AF219" s="177">
        <f t="shared" si="93"/>
        <v>0.92872969625580903</v>
      </c>
      <c r="AG219" s="799">
        <f t="shared" si="99"/>
        <v>0</v>
      </c>
      <c r="AH219" s="176">
        <f t="shared" si="94"/>
        <v>6</v>
      </c>
      <c r="AI219" s="224">
        <f t="shared" si="95"/>
        <v>0.92872969625580903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45132</v>
      </c>
      <c r="B220" s="409">
        <f>IF(t&gt;Tmaj,'2022'!Wh/'2022'!Env_an*'2023'!Env_an,0.001*[9]mois!$B$266)</f>
        <v>26.619977544052457</v>
      </c>
      <c r="C220" s="829"/>
      <c r="D220" s="391">
        <f t="shared" si="77"/>
        <v>27.467839198627079</v>
      </c>
      <c r="E220" s="383">
        <f t="shared" si="75"/>
        <v>28.028991426733494</v>
      </c>
      <c r="F220" s="383">
        <f t="shared" si="78"/>
        <v>28.028991426733494</v>
      </c>
      <c r="G220" s="110">
        <f t="shared" si="76"/>
        <v>0.47359645295049035</v>
      </c>
      <c r="H220" s="412" t="b">
        <f>Wh_hp&gt;='2022'!Maxi_hp</f>
        <v>0</v>
      </c>
      <c r="I220" s="379">
        <f>IF(H220,Wh_hp,'2022'!Maxi_hp)</f>
        <v>58.039813998105629</v>
      </c>
      <c r="J220" s="85">
        <f>IF(H220,An,'2022'!An_max)</f>
        <v>2018</v>
      </c>
      <c r="K220" s="197">
        <f t="shared" si="79"/>
        <v>45132</v>
      </c>
      <c r="L220" s="147">
        <f>IF(t&lt;Tvie,1-EXP((T0-t)*PertePVj)+'2022'!Pspv,1-EXP((T0-t)*PertePVj)+Pspv)</f>
        <v>3.0867431851610672E-2</v>
      </c>
      <c r="M220" s="832"/>
      <c r="N220" s="832"/>
      <c r="O220" s="48">
        <f>IF(t&lt;Tnet,'2022'!Resal+('2022'!Salim-'2022'!Resal)*(1-EXP(('2022'!Tnet-t)/('2022'!Tau_j))),Resal+(Salim-Resal)*(1-EXP((Tnet-t)/(Tau_j))))*Salcycl</f>
        <v>2.002042169705754E-2</v>
      </c>
      <c r="P220" s="338">
        <f>(INDEX(Models!$BJ220:$BT220,,T220)*(1-R220)+INDEX(Models!$BJ220:$BT220,,T220+1)*R220-ERP_i)*Q220*Ramure*Pc/MaxiM</f>
        <v>0</v>
      </c>
      <c r="Q220" s="304">
        <f t="shared" si="80"/>
        <v>0.6</v>
      </c>
      <c r="R220" s="177">
        <f t="shared" si="81"/>
        <v>0.93118399724294409</v>
      </c>
      <c r="S220" s="799">
        <f t="shared" si="82"/>
        <v>0</v>
      </c>
      <c r="T220" s="176">
        <f t="shared" si="83"/>
        <v>6</v>
      </c>
      <c r="U220" s="250">
        <f t="shared" si="84"/>
        <v>0.93118399724294409</v>
      </c>
      <c r="V220" s="382">
        <f t="shared" si="85"/>
        <v>56.208143828381466</v>
      </c>
      <c r="W220" s="400">
        <f t="shared" si="86"/>
        <v>26.619977544052457</v>
      </c>
      <c r="X220" s="157">
        <f t="shared" si="87"/>
        <v>45132</v>
      </c>
      <c r="Y220" s="383">
        <f t="shared" si="88"/>
        <v>25.956137534661668</v>
      </c>
      <c r="Z220" s="383">
        <f t="shared" si="89"/>
        <v>26.782855501650399</v>
      </c>
      <c r="AA220" s="384">
        <f t="shared" si="90"/>
        <v>28.028991426733494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4.4458821443519904E-2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0.93118399724294409</v>
      </c>
      <c r="AG220" s="799">
        <f t="shared" si="99"/>
        <v>0</v>
      </c>
      <c r="AH220" s="176">
        <f t="shared" si="94"/>
        <v>6</v>
      </c>
      <c r="AI220" s="224">
        <f t="shared" si="95"/>
        <v>0.93118399724294409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45133</v>
      </c>
      <c r="B221" s="409">
        <f>IF(t&gt;Tmaj,'2022'!Wh/'2022'!Env_an*'2023'!Env_an,0.001*[9]mois!$B$267)</f>
        <v>56.521935575278071</v>
      </c>
      <c r="C221" s="829"/>
      <c r="D221" s="391">
        <f t="shared" si="77"/>
        <v>58.323309610810995</v>
      </c>
      <c r="E221" s="383">
        <f t="shared" si="75"/>
        <v>59.521934873943664</v>
      </c>
      <c r="F221" s="383">
        <f t="shared" si="78"/>
        <v>59.521934873943664</v>
      </c>
      <c r="G221" s="110">
        <f t="shared" si="76"/>
        <v>1.0075459914600897</v>
      </c>
      <c r="H221" s="412" t="b">
        <f>Wh_hp&gt;='2022'!Maxi_hp</f>
        <v>1</v>
      </c>
      <c r="I221" s="379">
        <f>IF(H221,Wh_hp,'2022'!Maxi_hp)</f>
        <v>59.521934873943664</v>
      </c>
      <c r="J221" s="85">
        <f>IF(H221,An,'2022'!An_max)</f>
        <v>2023</v>
      </c>
      <c r="K221" s="197">
        <f t="shared" si="79"/>
        <v>45133</v>
      </c>
      <c r="L221" s="147">
        <f>IF(t&lt;Tvie,1-EXP((T0-t)*PertePVj)+'2022'!Pspv,1-EXP((T0-t)*PertePVj)+Pspv)</f>
        <v>3.0886005056184551E-2</v>
      </c>
      <c r="M221" s="832"/>
      <c r="N221" s="832"/>
      <c r="O221" s="48">
        <f>IF(t&lt;Tnet,'2022'!Resal+('2022'!Salim-'2022'!Resal)*(1-EXP(('2022'!Tnet-t)/('2022'!Tau_j))),Resal+(Salim-Resal)*(1-EXP((Tnet-t)/(Tau_j))))*Salcycl</f>
        <v>2.0137538634641784E-2</v>
      </c>
      <c r="P221" s="338">
        <f>(INDEX(Models!$BJ221:$BT221,,T221)*(1-R221)+INDEX(Models!$BJ221:$BT221,,T221+1)*R221-ERP_i)*Q221*Ramure*Pc/MaxiM</f>
        <v>0</v>
      </c>
      <c r="Q221" s="304">
        <f t="shared" si="80"/>
        <v>0.6</v>
      </c>
      <c r="R221" s="177">
        <f t="shared" si="81"/>
        <v>0.933565954020803</v>
      </c>
      <c r="S221" s="799">
        <f t="shared" si="82"/>
        <v>0</v>
      </c>
      <c r="T221" s="176">
        <f t="shared" si="83"/>
        <v>6</v>
      </c>
      <c r="U221" s="250">
        <f t="shared" si="84"/>
        <v>0.933565954020803</v>
      </c>
      <c r="V221" s="382">
        <f t="shared" si="85"/>
        <v>56.098615898783002</v>
      </c>
      <c r="W221" s="400">
        <f t="shared" si="86"/>
        <v>56.521935575278071</v>
      </c>
      <c r="X221" s="157">
        <f t="shared" si="87"/>
        <v>45133</v>
      </c>
      <c r="Y221" s="383">
        <f t="shared" si="88"/>
        <v>55.113836305923463</v>
      </c>
      <c r="Z221" s="383">
        <f t="shared" si="89"/>
        <v>56.87033372077007</v>
      </c>
      <c r="AA221" s="384">
        <f t="shared" si="90"/>
        <v>59.521934873943664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4.454830238279707E-2</v>
      </c>
      <c r="AD221" s="230">
        <f>(INDEX(Models!$BJ221:$BT221,,AH221)*(1-AF221)+INDEX(Models!$BJ221:$BT221,,AH221+1)*AF221-ERP_i)*AE221*Ramure*Pc/MaxiM</f>
        <v>0</v>
      </c>
      <c r="AE221" s="304">
        <f t="shared" si="92"/>
        <v>0.6</v>
      </c>
      <c r="AF221" s="177">
        <f t="shared" si="93"/>
        <v>0.933565954020803</v>
      </c>
      <c r="AG221" s="799">
        <f t="shared" si="99"/>
        <v>0</v>
      </c>
      <c r="AH221" s="176">
        <f t="shared" si="94"/>
        <v>6</v>
      </c>
      <c r="AI221" s="224">
        <f t="shared" si="95"/>
        <v>0.933565954020803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45134</v>
      </c>
      <c r="B222" s="409">
        <f>IF(t&gt;Tmaj,'2022'!Wh/'2022'!Env_an*'2023'!Env_an,0.001*[9]mois!$B$268)</f>
        <v>57.956454230000027</v>
      </c>
      <c r="C222" s="829"/>
      <c r="D222" s="391">
        <f t="shared" si="77"/>
        <v>59.804693024653517</v>
      </c>
      <c r="E222" s="383">
        <f t="shared" si="75"/>
        <v>61.041045203793381</v>
      </c>
      <c r="F222" s="383">
        <f t="shared" si="78"/>
        <v>61.041045203793381</v>
      </c>
      <c r="G222" s="110">
        <f t="shared" si="76"/>
        <v>1.0351521256731888</v>
      </c>
      <c r="H222" s="412" t="b">
        <f>Wh_hp&gt;='2022'!Maxi_hp</f>
        <v>1</v>
      </c>
      <c r="I222" s="379">
        <f>IF(H222,Wh_hp,'2022'!Maxi_hp)</f>
        <v>61.041045203793381</v>
      </c>
      <c r="J222" s="85">
        <f>IF(H222,An,'2022'!An_max)</f>
        <v>2023</v>
      </c>
      <c r="K222" s="197">
        <f t="shared" si="79"/>
        <v>45134</v>
      </c>
      <c r="L222" s="147">
        <f>IF(t&lt;Tvie,1-EXP((T0-t)*PertePVj)+'2022'!Pspv,1-EXP((T0-t)*PertePVj)+Pspv)</f>
        <v>3.0904577904807273E-2</v>
      </c>
      <c r="M222" s="832"/>
      <c r="N222" s="832"/>
      <c r="O222" s="48">
        <f>IF(t&lt;Tnet,'2022'!Resal+('2022'!Salim-'2022'!Resal)*(1-EXP(('2022'!Tnet-t)/('2022'!Tau_j))),Resal+(Salim-Resal)*(1-EXP((Tnet-t)/(Tau_j))))*Salcycl</f>
        <v>2.0254439861115466E-2</v>
      </c>
      <c r="P222" s="338">
        <f>(INDEX(Models!$BJ222:$BT222,,T222)*(1-R222)+INDEX(Models!$BJ222:$BT222,,T222+1)*R222-ERP_i)*Q222*Ramure*Pc/MaxiM</f>
        <v>0</v>
      </c>
      <c r="Q222" s="304">
        <f t="shared" si="80"/>
        <v>0.6</v>
      </c>
      <c r="R222" s="177">
        <f t="shared" si="81"/>
        <v>0.93587679552576875</v>
      </c>
      <c r="S222" s="799">
        <f t="shared" si="82"/>
        <v>0</v>
      </c>
      <c r="T222" s="176">
        <f t="shared" si="83"/>
        <v>6</v>
      </c>
      <c r="U222" s="250">
        <f t="shared" si="84"/>
        <v>0.93587679552576875</v>
      </c>
      <c r="V222" s="382">
        <f t="shared" si="85"/>
        <v>55.98834489405052</v>
      </c>
      <c r="W222" s="400">
        <f t="shared" si="86"/>
        <v>57.956454230000027</v>
      </c>
      <c r="X222" s="157">
        <f t="shared" si="87"/>
        <v>45134</v>
      </c>
      <c r="Y222" s="383">
        <f t="shared" si="88"/>
        <v>56.51408430437413</v>
      </c>
      <c r="Z222" s="383">
        <f t="shared" si="89"/>
        <v>58.316325736210977</v>
      </c>
      <c r="AA222" s="384">
        <f t="shared" si="90"/>
        <v>61.041045203793381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4.4637496924988397E-2</v>
      </c>
      <c r="AD222" s="230">
        <f>(INDEX(Models!$BJ222:$BT222,,AH222)*(1-AF222)+INDEX(Models!$BJ222:$BT222,,AH222+1)*AF222-ERP_i)*AE222*Ramure*Pc/MaxiM</f>
        <v>0</v>
      </c>
      <c r="AE222" s="304">
        <f t="shared" si="92"/>
        <v>0.6</v>
      </c>
      <c r="AF222" s="177">
        <f t="shared" si="93"/>
        <v>0.93587679552576875</v>
      </c>
      <c r="AG222" s="799">
        <f t="shared" si="99"/>
        <v>0</v>
      </c>
      <c r="AH222" s="176">
        <f t="shared" si="94"/>
        <v>6</v>
      </c>
      <c r="AI222" s="224">
        <f t="shared" si="95"/>
        <v>0.93587679552576875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45135</v>
      </c>
      <c r="B223" s="409">
        <f>IF(t&gt;Tmaj,'2022'!Wh/'2022'!Env_an*'2023'!Env_an,0.001*[9]mois!$B$269)</f>
        <v>43.888437343031704</v>
      </c>
      <c r="C223" s="829"/>
      <c r="D223" s="391">
        <f t="shared" si="77"/>
        <v>45.288913217804541</v>
      </c>
      <c r="E223" s="383">
        <f t="shared" si="75"/>
        <v>46.230684500880947</v>
      </c>
      <c r="F223" s="383">
        <f t="shared" si="78"/>
        <v>46.230684500880947</v>
      </c>
      <c r="G223" s="110">
        <f t="shared" si="76"/>
        <v>0.78544406126196076</v>
      </c>
      <c r="H223" s="412" t="b">
        <f>Wh_hp&gt;='2022'!Maxi_hp</f>
        <v>0</v>
      </c>
      <c r="I223" s="379">
        <f>IF(H223,Wh_hp,'2022'!Maxi_hp)</f>
        <v>56.607198272356136</v>
      </c>
      <c r="J223" s="85">
        <f>IF(H223,An,'2022'!An_max)</f>
        <v>2020</v>
      </c>
      <c r="K223" s="197">
        <f t="shared" si="79"/>
        <v>45135</v>
      </c>
      <c r="L223" s="147">
        <f>IF(t&lt;Tvie,1-EXP((T0-t)*PertePVj)+'2022'!Pspv,1-EXP((T0-t)*PertePVj)+Pspv)</f>
        <v>3.0923150397485499E-2</v>
      </c>
      <c r="M223" s="832"/>
      <c r="N223" s="832"/>
      <c r="O223" s="48">
        <f>IF(t&lt;Tnet,'2022'!Resal+('2022'!Salim-'2022'!Resal)*(1-EXP(('2022'!Tnet-t)/('2022'!Tau_j))),Resal+(Salim-Resal)*(1-EXP((Tnet-t)/(Tau_j))))*Salcycl</f>
        <v>2.0371129980964443E-2</v>
      </c>
      <c r="P223" s="338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0.93811779491235026</v>
      </c>
      <c r="S223" s="799">
        <f t="shared" si="82"/>
        <v>0</v>
      </c>
      <c r="T223" s="176">
        <f t="shared" si="83"/>
        <v>6</v>
      </c>
      <c r="U223" s="250">
        <f t="shared" si="84"/>
        <v>0.93811779491235026</v>
      </c>
      <c r="V223" s="382">
        <f t="shared" si="85"/>
        <v>55.877228573753342</v>
      </c>
      <c r="W223" s="400">
        <f t="shared" si="86"/>
        <v>43.888437343031704</v>
      </c>
      <c r="X223" s="157">
        <f t="shared" si="87"/>
        <v>45135</v>
      </c>
      <c r="Y223" s="383">
        <f t="shared" si="88"/>
        <v>42.797294029600032</v>
      </c>
      <c r="Z223" s="383">
        <f t="shared" si="89"/>
        <v>44.162951624687111</v>
      </c>
      <c r="AA223" s="384">
        <f t="shared" si="90"/>
        <v>46.230684500880947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4.4726417065151444E-2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0.93811779491235026</v>
      </c>
      <c r="AG223" s="799">
        <f t="shared" si="99"/>
        <v>0</v>
      </c>
      <c r="AH223" s="176">
        <f t="shared" si="94"/>
        <v>6</v>
      </c>
      <c r="AI223" s="224">
        <f t="shared" si="95"/>
        <v>0.93811779491235026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45136</v>
      </c>
      <c r="B224" s="409">
        <f>IF(t&gt;Tmaj,'2022'!Wh/'2022'!Env_an*'2023'!Env_an,0.001*[9]mois!$B$270)</f>
        <v>30.381427990056256</v>
      </c>
      <c r="C224" s="829"/>
      <c r="D224" s="391">
        <f t="shared" si="77"/>
        <v>31.351497321201407</v>
      </c>
      <c r="E224" s="383">
        <f t="shared" si="75"/>
        <v>32.007249468866618</v>
      </c>
      <c r="F224" s="383">
        <f t="shared" si="78"/>
        <v>32.007249468866618</v>
      </c>
      <c r="G224" s="110">
        <f t="shared" si="76"/>
        <v>0.54481015365298768</v>
      </c>
      <c r="H224" s="412" t="b">
        <f>Wh_hp&gt;='2022'!Maxi_hp</f>
        <v>0</v>
      </c>
      <c r="I224" s="379">
        <f>IF(H224,Wh_hp,'2022'!Maxi_hp)</f>
        <v>59.144534762584179</v>
      </c>
      <c r="J224" s="85">
        <f>IF(H224,An,'2022'!An_max)</f>
        <v>2018</v>
      </c>
      <c r="K224" s="197">
        <f t="shared" si="79"/>
        <v>45136</v>
      </c>
      <c r="L224" s="147">
        <f>IF(t&lt;Tvie,1-EXP((T0-t)*PertePVj)+'2022'!Pspv,1-EXP((T0-t)*PertePVj)+Pspv)</f>
        <v>3.0941722534226224E-2</v>
      </c>
      <c r="M224" s="832"/>
      <c r="N224" s="832"/>
      <c r="O224" s="48">
        <f>IF(t&lt;Tnet,'2022'!Resal+('2022'!Salim-'2022'!Resal)*(1-EXP(('2022'!Tnet-t)/('2022'!Tau_j))),Resal+(Salim-Resal)*(1-EXP((Tnet-t)/(Tau_j))))*Salcycl</f>
        <v>2.0487613229717198E-2</v>
      </c>
      <c r="P224" s="338">
        <f>(INDEX(Models!$BJ224:$BT224,,T224)*(1-R224)+INDEX(Models!$BJ224:$BT224,,T224+1)*R224-ERP_i)*Q224*Ramure*Pc/MaxiM</f>
        <v>0</v>
      </c>
      <c r="Q224" s="304">
        <f t="shared" si="80"/>
        <v>0.6</v>
      </c>
      <c r="R224" s="177">
        <f t="shared" si="81"/>
        <v>0.94029026391638371</v>
      </c>
      <c r="S224" s="799">
        <f t="shared" si="82"/>
        <v>0</v>
      </c>
      <c r="T224" s="176">
        <f t="shared" si="83"/>
        <v>6</v>
      </c>
      <c r="U224" s="250">
        <f t="shared" si="84"/>
        <v>0.94029026391638371</v>
      </c>
      <c r="V224" s="382">
        <f t="shared" si="85"/>
        <v>55.765164775925697</v>
      </c>
      <c r="W224" s="400">
        <f t="shared" si="86"/>
        <v>30.381427990056256</v>
      </c>
      <c r="X224" s="157">
        <f t="shared" si="87"/>
        <v>45136</v>
      </c>
      <c r="Y224" s="383">
        <f t="shared" si="88"/>
        <v>29.626865820872137</v>
      </c>
      <c r="Z224" s="383">
        <f t="shared" si="89"/>
        <v>30.572842221987553</v>
      </c>
      <c r="AA224" s="384">
        <f t="shared" si="90"/>
        <v>32.007249468866618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4.4815073793651357E-2</v>
      </c>
      <c r="AD224" s="230">
        <f>(INDEX(Models!$BJ224:$BT224,,AH224)*(1-AF224)+INDEX(Models!$BJ224:$BT224,,AH224+1)*AF224-ERP_i)*AE224*Ramure*Pc/MaxiM</f>
        <v>0</v>
      </c>
      <c r="AE224" s="304">
        <f t="shared" si="92"/>
        <v>0.6</v>
      </c>
      <c r="AF224" s="177">
        <f t="shared" si="93"/>
        <v>0.94029026391638371</v>
      </c>
      <c r="AG224" s="799">
        <f t="shared" si="99"/>
        <v>0</v>
      </c>
      <c r="AH224" s="176">
        <f t="shared" si="94"/>
        <v>6</v>
      </c>
      <c r="AI224" s="224">
        <f t="shared" si="95"/>
        <v>0.94029026391638371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45137</v>
      </c>
      <c r="B225" s="409">
        <f>IF(t&gt;Tmaj,'2022'!Wh/'2022'!Env_an*'2023'!Env_an,0.001*[9]mois!$B$271)</f>
        <v>48.86333188186385</v>
      </c>
      <c r="C225" s="829"/>
      <c r="D225" s="391">
        <f t="shared" si="77"/>
        <v>50.42448889885776</v>
      </c>
      <c r="E225" s="383">
        <f t="shared" si="75"/>
        <v>51.485286251349898</v>
      </c>
      <c r="F225" s="383">
        <f t="shared" si="78"/>
        <v>51.485286251349898</v>
      </c>
      <c r="G225" s="110">
        <f t="shared" si="76"/>
        <v>0.87801492734352826</v>
      </c>
      <c r="H225" s="412" t="b">
        <f>Wh_hp&gt;='2022'!Maxi_hp</f>
        <v>1</v>
      </c>
      <c r="I225" s="379">
        <f>IF(H225,Wh_hp,'2022'!Maxi_hp)</f>
        <v>51.485286251349898</v>
      </c>
      <c r="J225" s="85">
        <f>IF(H225,An,'2022'!An_max)</f>
        <v>2023</v>
      </c>
      <c r="K225" s="197">
        <f t="shared" si="79"/>
        <v>45137</v>
      </c>
      <c r="L225" s="147">
        <f>IF(t&lt;Tvie,1-EXP((T0-t)*PertePVj)+'2022'!Pspv,1-EXP((T0-t)*PertePVj)+Pspv)</f>
        <v>3.0960294315036108E-2</v>
      </c>
      <c r="M225" s="832"/>
      <c r="N225" s="832"/>
      <c r="O225" s="48">
        <f>IF(t&lt;Tnet,'2022'!Resal+('2022'!Salim-'2022'!Resal)*(1-EXP(('2022'!Tnet-t)/('2022'!Tau_j))),Resal+(Salim-Resal)*(1-EXP((Tnet-t)/(Tau_j))))*Salcycl</f>
        <v>2.0603893456343052E-2</v>
      </c>
      <c r="P225" s="338">
        <f>(INDEX(Models!$BJ225:$BT225,,T225)*(1-R225)+INDEX(Models!$BJ225:$BT225,,T225+1)*R225-ERP_i)*Q225*Ramure*Pc/MaxiM</f>
        <v>0</v>
      </c>
      <c r="Q225" s="304">
        <f t="shared" si="80"/>
        <v>0.6</v>
      </c>
      <c r="R225" s="177">
        <f t="shared" si="81"/>
        <v>0.94239554746326615</v>
      </c>
      <c r="S225" s="799">
        <f t="shared" si="82"/>
        <v>0</v>
      </c>
      <c r="T225" s="176">
        <f t="shared" si="83"/>
        <v>6</v>
      </c>
      <c r="U225" s="250">
        <f t="shared" si="84"/>
        <v>0.94239554746326615</v>
      </c>
      <c r="V225" s="382">
        <f t="shared" si="85"/>
        <v>55.652051417510577</v>
      </c>
      <c r="W225" s="400">
        <f t="shared" si="86"/>
        <v>48.86333188186385</v>
      </c>
      <c r="X225" s="157">
        <f t="shared" si="87"/>
        <v>45137</v>
      </c>
      <c r="Y225" s="383">
        <f t="shared" si="88"/>
        <v>47.650994390217789</v>
      </c>
      <c r="Z225" s="383">
        <f t="shared" si="89"/>
        <v>49.173417880267117</v>
      </c>
      <c r="AA225" s="384">
        <f t="shared" si="90"/>
        <v>51.485286251349898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4.4903477078796716E-2</v>
      </c>
      <c r="AD225" s="230">
        <f>(INDEX(Models!$BJ225:$BT225,,AH225)*(1-AF225)+INDEX(Models!$BJ225:$BT225,,AH225+1)*AF225-ERP_i)*AE225*Ramure*Pc/MaxiM</f>
        <v>0</v>
      </c>
      <c r="AE225" s="304">
        <f t="shared" si="92"/>
        <v>0.6</v>
      </c>
      <c r="AF225" s="177">
        <f t="shared" si="93"/>
        <v>0.94239554746326615</v>
      </c>
      <c r="AG225" s="799">
        <f t="shared" si="99"/>
        <v>0</v>
      </c>
      <c r="AH225" s="176">
        <f t="shared" si="94"/>
        <v>6</v>
      </c>
      <c r="AI225" s="224">
        <f t="shared" si="95"/>
        <v>0.94239554746326615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45138</v>
      </c>
      <c r="B226" s="409">
        <f>IF(t&gt;Tmaj,'2022'!Wh/'2022'!Env_an*'2023'!Env_an,0.001*[9]mois!$B$272)</f>
        <v>55.558820310366528</v>
      </c>
      <c r="C226" s="829"/>
      <c r="D226" s="391">
        <f t="shared" si="77"/>
        <v>57.334993372244611</v>
      </c>
      <c r="E226" s="383">
        <f t="shared" si="75"/>
        <v>58.548108667999664</v>
      </c>
      <c r="F226" s="383">
        <f t="shared" si="78"/>
        <v>58.548108667999664</v>
      </c>
      <c r="G226" s="110">
        <f t="shared" si="76"/>
        <v>1.00037872980777</v>
      </c>
      <c r="H226" s="412" t="b">
        <f>Wh_hp&gt;='2022'!Maxi_hp</f>
        <v>1</v>
      </c>
      <c r="I226" s="379">
        <f>IF(H226,Wh_hp,'2022'!Maxi_hp)</f>
        <v>58.548108667999664</v>
      </c>
      <c r="J226" s="85">
        <f>IF(H226,An,'2022'!An_max)</f>
        <v>2023</v>
      </c>
      <c r="K226" s="197">
        <f t="shared" si="79"/>
        <v>45138</v>
      </c>
      <c r="L226" s="147">
        <f>IF(t&lt;Tvie,1-EXP((T0-t)*PertePVj)+'2022'!Pspv,1-EXP((T0-t)*PertePVj)+Pspv)</f>
        <v>3.0978865739922035E-2</v>
      </c>
      <c r="M226" s="832"/>
      <c r="N226" s="832"/>
      <c r="O226" s="48">
        <f>IF(t&lt;Tnet,'2022'!Resal+('2022'!Salim-'2022'!Resal)*(1-EXP(('2022'!Tnet-t)/('2022'!Tau_j))),Resal+(Salim-Resal)*(1-EXP((Tnet-t)/(Tau_j))))*Salcycl</f>
        <v>2.0719974109396001E-2</v>
      </c>
      <c r="P226" s="338">
        <f>(INDEX(Models!$BJ226:$BT226,,T226)*(1-R226)+INDEX(Models!$BJ226:$BT226,,T226+1)*R226-ERP_i)*Q226*Ramure*Pc/MaxiM</f>
        <v>0</v>
      </c>
      <c r="Q226" s="304">
        <f t="shared" si="80"/>
        <v>0.6</v>
      </c>
      <c r="R226" s="177">
        <f t="shared" si="81"/>
        <v>0.94443501852873923</v>
      </c>
      <c r="S226" s="799">
        <f t="shared" si="82"/>
        <v>0</v>
      </c>
      <c r="T226" s="176">
        <f t="shared" si="83"/>
        <v>6</v>
      </c>
      <c r="U226" s="250">
        <f t="shared" si="84"/>
        <v>0.94443501852873923</v>
      </c>
      <c r="V226" s="382">
        <f t="shared" si="85"/>
        <v>55.537786495163246</v>
      </c>
      <c r="W226" s="400">
        <f t="shared" si="86"/>
        <v>55.558820310366528</v>
      </c>
      <c r="X226" s="157">
        <f t="shared" si="87"/>
        <v>45138</v>
      </c>
      <c r="Y226" s="383">
        <f t="shared" si="88"/>
        <v>54.181783244303617</v>
      </c>
      <c r="Z226" s="383">
        <f t="shared" si="89"/>
        <v>55.913933482653675</v>
      </c>
      <c r="AA226" s="384">
        <f t="shared" si="90"/>
        <v>58.548108667999664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4.4991635857670922E-2</v>
      </c>
      <c r="AD226" s="230">
        <f>(INDEX(Models!$BJ226:$BT226,,AH226)*(1-AF226)+INDEX(Models!$BJ226:$BT226,,AH226+1)*AF226-ERP_i)*AE226*Ramure*Pc/MaxiM</f>
        <v>0</v>
      </c>
      <c r="AE226" s="304">
        <f t="shared" si="92"/>
        <v>0.6</v>
      </c>
      <c r="AF226" s="177">
        <f t="shared" si="93"/>
        <v>0.94443501852873923</v>
      </c>
      <c r="AG226" s="799">
        <f t="shared" si="99"/>
        <v>0</v>
      </c>
      <c r="AH226" s="176">
        <f t="shared" si="94"/>
        <v>6</v>
      </c>
      <c r="AI226" s="224">
        <f t="shared" si="95"/>
        <v>0.94443501852873923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45139</v>
      </c>
      <c r="B227" s="409">
        <f>IF(t&gt;Tmaj,'2022'!Wh/'2022'!Env_an*'2023'!Env_an,0.001*'[10]mon-tableau (1)'!$B$242)</f>
        <v>55.199665556344449</v>
      </c>
      <c r="C227" s="829"/>
      <c r="D227" s="391">
        <f t="shared" si="77"/>
        <v>56.965448444802341</v>
      </c>
      <c r="E227" s="383">
        <f t="shared" si="75"/>
        <v>58.177629280464245</v>
      </c>
      <c r="F227" s="383">
        <f t="shared" si="78"/>
        <v>58.177629280464245</v>
      </c>
      <c r="G227" s="110">
        <f t="shared" si="76"/>
        <v>0.99598351824544606</v>
      </c>
      <c r="H227" s="412" t="b">
        <f>Wh_hp&gt;='2022'!Maxi_hp</f>
        <v>1</v>
      </c>
      <c r="I227" s="379">
        <f>IF(H227,Wh_hp,'2022'!Maxi_hp)</f>
        <v>58.177629280464245</v>
      </c>
      <c r="J227" s="85">
        <f>IF(H227,An,'2022'!An_max)</f>
        <v>2023</v>
      </c>
      <c r="K227" s="197">
        <f t="shared" si="79"/>
        <v>45139</v>
      </c>
      <c r="L227" s="147">
        <f>IF(t&lt;Tvie,1-EXP((T0-t)*PertePVj)+'2022'!Pspv,1-EXP((T0-t)*PertePVj)+Pspv)</f>
        <v>3.0997436808890888E-2</v>
      </c>
      <c r="M227" s="832"/>
      <c r="N227" s="832"/>
      <c r="O227" s="48">
        <f>IF(t&lt;Tnet,'2022'!Resal+('2022'!Salim-'2022'!Resal)*(1-EXP(('2022'!Tnet-t)/('2022'!Tau_j))),Resal+(Salim-Resal)*(1-EXP((Tnet-t)/(Tau_j))))*Salcycl</f>
        <v>2.0835858226848476E-2</v>
      </c>
      <c r="P227" s="338">
        <f>(INDEX(Models!$BJ227:$BT227,,T227)*(1-R227)+INDEX(Models!$BJ227:$BT227,,T227+1)*R227-ERP_i)*Q227*Ramure*Pc/MaxiM</f>
        <v>0</v>
      </c>
      <c r="Q227" s="304">
        <f t="shared" si="80"/>
        <v>0.6</v>
      </c>
      <c r="R227" s="177">
        <f t="shared" si="81"/>
        <v>0.94641007325740845</v>
      </c>
      <c r="S227" s="799">
        <f t="shared" si="82"/>
        <v>0</v>
      </c>
      <c r="T227" s="176">
        <f t="shared" si="83"/>
        <v>6</v>
      </c>
      <c r="U227" s="250">
        <f t="shared" si="84"/>
        <v>0.94641007325740845</v>
      </c>
      <c r="V227" s="382">
        <f t="shared" si="85"/>
        <v>55.422268084903457</v>
      </c>
      <c r="W227" s="400">
        <f t="shared" si="86"/>
        <v>55.199665556344449</v>
      </c>
      <c r="X227" s="157">
        <f t="shared" si="87"/>
        <v>45139</v>
      </c>
      <c r="Y227" s="383">
        <f t="shared" si="88"/>
        <v>53.832944631673335</v>
      </c>
      <c r="Z227" s="383">
        <f t="shared" si="89"/>
        <v>55.555007464986723</v>
      </c>
      <c r="AA227" s="384">
        <f t="shared" si="90"/>
        <v>58.177629280464245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4.5079558034830207E-2</v>
      </c>
      <c r="AD227" s="230">
        <f>(INDEX(Models!$BJ227:$BT227,,AH227)*(1-AF227)+INDEX(Models!$BJ227:$BT227,,AH227+1)*AF227-ERP_i)*AE227*Ramure*Pc/MaxiM</f>
        <v>0</v>
      </c>
      <c r="AE227" s="304">
        <f t="shared" si="92"/>
        <v>0.6</v>
      </c>
      <c r="AF227" s="177">
        <f t="shared" si="93"/>
        <v>0.94641007325740845</v>
      </c>
      <c r="AG227" s="799">
        <f t="shared" si="99"/>
        <v>0</v>
      </c>
      <c r="AH227" s="176">
        <f t="shared" si="94"/>
        <v>6</v>
      </c>
      <c r="AI227" s="224">
        <f t="shared" si="95"/>
        <v>0.94641007325740845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45140</v>
      </c>
      <c r="B228" s="409">
        <f>IF(t&gt;Tmaj,'2022'!Wh/'2022'!Env_an*'2023'!Env_an,0.001*'[10]mon-tableau (1)'!$B$243)</f>
        <v>55.270837196662583</v>
      </c>
      <c r="C228" s="829"/>
      <c r="D228" s="391">
        <f t="shared" si="77"/>
        <v>57.039989954131855</v>
      </c>
      <c r="E228" s="383">
        <f t="shared" si="75"/>
        <v>58.260640586923572</v>
      </c>
      <c r="F228" s="383">
        <f t="shared" si="78"/>
        <v>58.260640586923572</v>
      </c>
      <c r="G228" s="110">
        <f t="shared" si="76"/>
        <v>0.99937515778508601</v>
      </c>
      <c r="H228" s="412" t="b">
        <f>Wh_hp&gt;='2022'!Maxi_hp</f>
        <v>1</v>
      </c>
      <c r="I228" s="379">
        <f>IF(H228,Wh_hp,'2022'!Maxi_hp)</f>
        <v>58.260640586923572</v>
      </c>
      <c r="J228" s="85">
        <f>IF(H228,An,'2022'!An_max)</f>
        <v>2023</v>
      </c>
      <c r="K228" s="197">
        <f t="shared" si="79"/>
        <v>45140</v>
      </c>
      <c r="L228" s="147">
        <f>IF(t&lt;Tvie,1-EXP((T0-t)*PertePVj)+'2022'!Pspv,1-EXP((T0-t)*PertePVj)+Pspv)</f>
        <v>3.101600752194944E-2</v>
      </c>
      <c r="M228" s="832"/>
      <c r="N228" s="832"/>
      <c r="O228" s="48">
        <f>IF(t&lt;Tnet,'2022'!Resal+('2022'!Salim-'2022'!Resal)*(1-EXP(('2022'!Tnet-t)/('2022'!Tau_j))),Resal+(Salim-Resal)*(1-EXP((Tnet-t)/(Tau_j))))*Salcycl</f>
        <v>2.0951548429518792E-2</v>
      </c>
      <c r="P228" s="338">
        <f>(INDEX(Models!$BJ228:$BT228,,T228)*(1-R228)+INDEX(Models!$BJ228:$BT228,,T228+1)*R228-ERP_i)*Q228*Ramure*Pc/MaxiM</f>
        <v>0</v>
      </c>
      <c r="Q228" s="304">
        <f t="shared" si="80"/>
        <v>0.6</v>
      </c>
      <c r="R228" s="177">
        <f t="shared" si="81"/>
        <v>0.94832212634204527</v>
      </c>
      <c r="S228" s="799">
        <f t="shared" si="82"/>
        <v>0</v>
      </c>
      <c r="T228" s="176">
        <f t="shared" si="83"/>
        <v>6</v>
      </c>
      <c r="U228" s="250">
        <f t="shared" si="84"/>
        <v>0.94832212634204527</v>
      </c>
      <c r="V228" s="382">
        <f t="shared" si="85"/>
        <v>55.305394341759779</v>
      </c>
      <c r="W228" s="400">
        <f t="shared" si="86"/>
        <v>55.270837196662583</v>
      </c>
      <c r="X228" s="157">
        <f t="shared" si="87"/>
        <v>45140</v>
      </c>
      <c r="Y228" s="383">
        <f t="shared" si="88"/>
        <v>53.90377295795615</v>
      </c>
      <c r="Z228" s="383">
        <f t="shared" si="89"/>
        <v>55.629167639915558</v>
      </c>
      <c r="AA228" s="384">
        <f t="shared" si="90"/>
        <v>58.260640586923572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4.5167250488465122E-2</v>
      </c>
      <c r="AD228" s="230">
        <f>(INDEX(Models!$BJ228:$BT228,,AH228)*(1-AF228)+INDEX(Models!$BJ228:$BT228,,AH228+1)*AF228-ERP_i)*AE228*Ramure*Pc/MaxiM</f>
        <v>0</v>
      </c>
      <c r="AE228" s="304">
        <f t="shared" si="92"/>
        <v>0.6</v>
      </c>
      <c r="AF228" s="177">
        <f t="shared" si="93"/>
        <v>0.94832212634204527</v>
      </c>
      <c r="AG228" s="799">
        <f t="shared" si="99"/>
        <v>0</v>
      </c>
      <c r="AH228" s="176">
        <f t="shared" si="94"/>
        <v>6</v>
      </c>
      <c r="AI228" s="224">
        <f t="shared" si="95"/>
        <v>0.94832212634204527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45141</v>
      </c>
      <c r="B229" s="409">
        <f>IF(t&gt;Tmaj,'2022'!Wh/'2022'!Env_an*'2023'!Env_an,0.001*'[10]mon-tableau (1)'!$B$244)</f>
        <v>54.619926925072207</v>
      </c>
      <c r="C229" s="829"/>
      <c r="D229" s="391">
        <f t="shared" si="77"/>
        <v>56.369325135997897</v>
      </c>
      <c r="E229" s="383">
        <f t="shared" si="75"/>
        <v>57.582416608335059</v>
      </c>
      <c r="F229" s="383">
        <f t="shared" si="78"/>
        <v>57.582416608335059</v>
      </c>
      <c r="G229" s="110">
        <f t="shared" si="76"/>
        <v>0.98972337826311496</v>
      </c>
      <c r="H229" s="412" t="b">
        <f>Wh_hp&gt;='2022'!Maxi_hp</f>
        <v>1</v>
      </c>
      <c r="I229" s="379">
        <f>IF(H229,Wh_hp,'2022'!Maxi_hp)</f>
        <v>57.582416608335059</v>
      </c>
      <c r="J229" s="85">
        <f>IF(H229,An,'2022'!An_max)</f>
        <v>2023</v>
      </c>
      <c r="K229" s="197">
        <f t="shared" si="79"/>
        <v>45141</v>
      </c>
      <c r="L229" s="147">
        <f>IF(t&lt;Tvie,1-EXP((T0-t)*PertePVj)+'2022'!Pspv,1-EXP((T0-t)*PertePVj)+Pspv)</f>
        <v>3.1034577879104575E-2</v>
      </c>
      <c r="M229" s="832"/>
      <c r="N229" s="832"/>
      <c r="O229" s="48">
        <f>IF(t&lt;Tnet,'2022'!Resal+('2022'!Salim-'2022'!Resal)*(1-EXP(('2022'!Tnet-t)/('2022'!Tau_j))),Resal+(Salim-Resal)*(1-EXP((Tnet-t)/(Tau_j))))*Salcycl</f>
        <v>2.1067046917957341E-2</v>
      </c>
      <c r="P229" s="338">
        <f>(INDEX(Models!$BJ229:$BT229,,T229)*(1-R229)+INDEX(Models!$BJ229:$BT229,,T229+1)*R229-ERP_i)*Q229*Ramure*Pc/MaxiM</f>
        <v>0</v>
      </c>
      <c r="Q229" s="304">
        <f t="shared" si="80"/>
        <v>0.6</v>
      </c>
      <c r="R229" s="177">
        <f t="shared" si="81"/>
        <v>0.95017260666476822</v>
      </c>
      <c r="S229" s="799">
        <f t="shared" si="82"/>
        <v>0</v>
      </c>
      <c r="T229" s="176">
        <f t="shared" si="83"/>
        <v>6</v>
      </c>
      <c r="U229" s="250">
        <f t="shared" si="84"/>
        <v>0.95017260666476822</v>
      </c>
      <c r="V229" s="382">
        <f t="shared" si="85"/>
        <v>55.187063501446019</v>
      </c>
      <c r="W229" s="400">
        <f t="shared" si="86"/>
        <v>54.619926925072207</v>
      </c>
      <c r="X229" s="157">
        <f t="shared" si="87"/>
        <v>45141</v>
      </c>
      <c r="Y229" s="383">
        <f t="shared" si="88"/>
        <v>53.270366792263189</v>
      </c>
      <c r="Z229" s="383">
        <f t="shared" si="89"/>
        <v>54.976540520572648</v>
      </c>
      <c r="AA229" s="384">
        <f t="shared" si="90"/>
        <v>57.582416608335059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4.5254719083554551E-2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0.95017260666476822</v>
      </c>
      <c r="AG229" s="799">
        <f t="shared" si="99"/>
        <v>0</v>
      </c>
      <c r="AH229" s="176">
        <f t="shared" si="94"/>
        <v>6</v>
      </c>
      <c r="AI229" s="224">
        <f t="shared" si="95"/>
        <v>0.95017260666476822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45142</v>
      </c>
      <c r="B230" s="409">
        <f>IF(t&gt;Tmaj,'2022'!Wh/'2022'!Env_an*'2023'!Env_an,0.001*'[10]mon-tableau (1)'!$B$245)</f>
        <v>53.082821008520114</v>
      </c>
      <c r="C230" s="829"/>
      <c r="D230" s="391">
        <f t="shared" si="77"/>
        <v>54.784037836954461</v>
      </c>
      <c r="E230" s="383">
        <f t="shared" si="75"/>
        <v>55.96960592532713</v>
      </c>
      <c r="F230" s="383">
        <f t="shared" si="78"/>
        <v>55.96960592532713</v>
      </c>
      <c r="G230" s="110">
        <f t="shared" si="76"/>
        <v>0.9639648681948243</v>
      </c>
      <c r="H230" s="412" t="b">
        <f>Wh_hp&gt;='2022'!Maxi_hp</f>
        <v>1</v>
      </c>
      <c r="I230" s="379">
        <f>IF(H230,Wh_hp,'2022'!Maxi_hp)</f>
        <v>55.96960592532713</v>
      </c>
      <c r="J230" s="85">
        <f>IF(H230,An,'2022'!An_max)</f>
        <v>2023</v>
      </c>
      <c r="K230" s="197">
        <f t="shared" si="79"/>
        <v>45142</v>
      </c>
      <c r="L230" s="147">
        <f>IF(t&lt;Tvie,1-EXP((T0-t)*PertePVj)+'2022'!Pspv,1-EXP((T0-t)*PertePVj)+Pspv)</f>
        <v>3.1053147880362952E-2</v>
      </c>
      <c r="M230" s="832"/>
      <c r="N230" s="832"/>
      <c r="O230" s="48">
        <f>IF(t&lt;Tnet,'2022'!Resal+('2022'!Salim-'2022'!Resal)*(1-EXP(('2022'!Tnet-t)/('2022'!Tau_j))),Resal+(Salim-Resal)*(1-EXP((Tnet-t)/(Tau_j))))*Salcycl</f>
        <v>2.1182355472618805E-2</v>
      </c>
      <c r="P230" s="338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0.95196295319944502</v>
      </c>
      <c r="S230" s="799">
        <f t="shared" si="82"/>
        <v>0</v>
      </c>
      <c r="T230" s="176">
        <f t="shared" si="83"/>
        <v>6</v>
      </c>
      <c r="U230" s="250">
        <f t="shared" si="84"/>
        <v>0.95196295319944502</v>
      </c>
      <c r="V230" s="382">
        <f t="shared" si="85"/>
        <v>55.067173877328159</v>
      </c>
      <c r="W230" s="400">
        <f t="shared" si="86"/>
        <v>53.082821008520114</v>
      </c>
      <c r="X230" s="157">
        <f t="shared" si="87"/>
        <v>45142</v>
      </c>
      <c r="Y230" s="383">
        <f t="shared" si="88"/>
        <v>51.772607169096531</v>
      </c>
      <c r="Z230" s="383">
        <f t="shared" si="89"/>
        <v>53.431833805786596</v>
      </c>
      <c r="AA230" s="384">
        <f t="shared" si="90"/>
        <v>55.96960592532713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4.5341968691477816E-2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0.95196295319944502</v>
      </c>
      <c r="AG230" s="799">
        <f t="shared" si="99"/>
        <v>0</v>
      </c>
      <c r="AH230" s="176">
        <f t="shared" si="94"/>
        <v>6</v>
      </c>
      <c r="AI230" s="224">
        <f t="shared" si="95"/>
        <v>0.95196295319944502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45143</v>
      </c>
      <c r="B231" s="409">
        <f>IF(t&gt;Tmaj,'2022'!Wh/'2022'!Env_an*'2023'!Env_an,0.001*'[10]mon-tableau (1)'!$B$246)</f>
        <v>43.734088171331834</v>
      </c>
      <c r="C231" s="829"/>
      <c r="D231" s="391">
        <f t="shared" si="77"/>
        <v>45.136558569280147</v>
      </c>
      <c r="E231" s="383">
        <f t="shared" si="75"/>
        <v>46.118771983715561</v>
      </c>
      <c r="F231" s="383">
        <f t="shared" si="78"/>
        <v>46.118771983715561</v>
      </c>
      <c r="G231" s="110">
        <f t="shared" si="76"/>
        <v>0.79595216320881068</v>
      </c>
      <c r="H231" s="412" t="b">
        <f>Wh_hp&gt;='2022'!Maxi_hp</f>
        <v>0</v>
      </c>
      <c r="I231" s="379">
        <f>IF(H231,Wh_hp,'2022'!Maxi_hp)</f>
        <v>54.752335956396053</v>
      </c>
      <c r="J231" s="85">
        <f>IF(H231,An,'2022'!An_max)</f>
        <v>2020</v>
      </c>
      <c r="K231" s="197">
        <f t="shared" si="79"/>
        <v>45143</v>
      </c>
      <c r="L231" s="147">
        <f>IF(t&lt;Tvie,1-EXP((T0-t)*PertePVj)+'2022'!Pspv,1-EXP((T0-t)*PertePVj)+Pspv)</f>
        <v>3.1071717525731568E-2</v>
      </c>
      <c r="M231" s="832"/>
      <c r="N231" s="832"/>
      <c r="O231" s="48">
        <f>IF(t&lt;Tnet,'2022'!Resal+('2022'!Salim-'2022'!Resal)*(1-EXP(('2022'!Tnet-t)/('2022'!Tau_j))),Resal+(Salim-Resal)*(1-EXP((Tnet-t)/(Tau_j))))*Salcycl</f>
        <v>2.1297475457113867E-2</v>
      </c>
      <c r="P231" s="338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0.95369461117308729</v>
      </c>
      <c r="S231" s="799">
        <f t="shared" si="82"/>
        <v>0</v>
      </c>
      <c r="T231" s="176">
        <f t="shared" si="83"/>
        <v>6</v>
      </c>
      <c r="U231" s="250">
        <f t="shared" si="84"/>
        <v>0.95369461117308729</v>
      </c>
      <c r="V231" s="382">
        <f t="shared" si="85"/>
        <v>54.945623861391034</v>
      </c>
      <c r="W231" s="400">
        <f t="shared" si="86"/>
        <v>43.734088171331834</v>
      </c>
      <c r="X231" s="157">
        <f t="shared" si="87"/>
        <v>45143</v>
      </c>
      <c r="Y231" s="383">
        <f t="shared" si="88"/>
        <v>42.65575196985229</v>
      </c>
      <c r="Z231" s="383">
        <f t="shared" si="89"/>
        <v>44.023642142972626</v>
      </c>
      <c r="AA231" s="384">
        <f t="shared" si="90"/>
        <v>46.118771983715561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4.5429003215495894E-2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0.95369461117308729</v>
      </c>
      <c r="AG231" s="799">
        <f t="shared" si="99"/>
        <v>0</v>
      </c>
      <c r="AH231" s="176">
        <f t="shared" si="94"/>
        <v>6</v>
      </c>
      <c r="AI231" s="224">
        <f t="shared" si="95"/>
        <v>0.95369461117308729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45144</v>
      </c>
      <c r="B232" s="409">
        <f>IF(t&gt;Tmaj,'2022'!Wh/'2022'!Env_an*'2023'!Env_an,0.001*'[10]mon-tableau (1)'!$B$247)</f>
        <v>51.488563891618391</v>
      </c>
      <c r="C232" s="829"/>
      <c r="D232" s="391">
        <f t="shared" si="77"/>
        <v>53.140724250123078</v>
      </c>
      <c r="E232" s="383">
        <f t="shared" si="75"/>
        <v>54.303492783895869</v>
      </c>
      <c r="F232" s="383">
        <f t="shared" si="78"/>
        <v>54.303492783895869</v>
      </c>
      <c r="G232" s="110">
        <f t="shared" si="76"/>
        <v>0.93918994082779927</v>
      </c>
      <c r="H232" s="412" t="b">
        <f>Wh_hp&gt;='2022'!Maxi_hp</f>
        <v>0</v>
      </c>
      <c r="I232" s="379">
        <f>IF(H232,Wh_hp,'2022'!Maxi_hp)</f>
        <v>57.804553829679008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3.1090286815217083E-2</v>
      </c>
      <c r="M232" s="832"/>
      <c r="N232" s="832"/>
      <c r="O232" s="48">
        <f>IF(t&lt;Tnet,'2022'!Resal+('2022'!Salim-'2022'!Resal)*(1-EXP(('2022'!Tnet-t)/('2022'!Tau_j))),Resal+(Salim-Resal)*(1-EXP((Tnet-t)/(Tau_j))))*Salcycl</f>
        <v>2.1412407824301507E-2</v>
      </c>
      <c r="P232" s="338">
        <f>(INDEX(Models!$BJ232:$BT232,,T232)*(1-R232)+INDEX(Models!$BJ232:$BT232,,T232+1)*R232-ERP_i)*Q232*Ramure*Pc/MaxiM</f>
        <v>0</v>
      </c>
      <c r="Q232" s="304">
        <f t="shared" si="80"/>
        <v>0.6</v>
      </c>
      <c r="R232" s="177">
        <f t="shared" si="81"/>
        <v>0.95536902848261884</v>
      </c>
      <c r="S232" s="799">
        <f t="shared" si="82"/>
        <v>0</v>
      </c>
      <c r="T232" s="176">
        <f t="shared" si="83"/>
        <v>6</v>
      </c>
      <c r="U232" s="250">
        <f t="shared" si="84"/>
        <v>0.95536902848261884</v>
      </c>
      <c r="V232" s="382">
        <f t="shared" si="85"/>
        <v>54.822311923652542</v>
      </c>
      <c r="W232" s="400">
        <f t="shared" si="86"/>
        <v>51.488563891618391</v>
      </c>
      <c r="X232" s="157">
        <f t="shared" si="87"/>
        <v>45144</v>
      </c>
      <c r="Y232" s="383">
        <f t="shared" si="88"/>
        <v>50.220358186601899</v>
      </c>
      <c r="Z232" s="383">
        <f t="shared" si="89"/>
        <v>51.831824475707641</v>
      </c>
      <c r="AA232" s="384">
        <f t="shared" si="90"/>
        <v>54.303492783895869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4.5515825621463953E-2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0.95536902848261884</v>
      </c>
      <c r="AG232" s="799">
        <f t="shared" si="99"/>
        <v>0</v>
      </c>
      <c r="AH232" s="176">
        <f t="shared" si="94"/>
        <v>6</v>
      </c>
      <c r="AI232" s="224">
        <f t="shared" si="95"/>
        <v>0.95536902848261884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45145</v>
      </c>
      <c r="B233" s="409">
        <f>IF(t&gt;Tmaj,'2022'!Wh/'2022'!Env_an*'2023'!Env_an,0.001*'[10]mon-tableau (1)'!$B$248)</f>
        <v>53.972061965845143</v>
      </c>
      <c r="C233" s="829"/>
      <c r="D233" s="391">
        <f t="shared" si="77"/>
        <v>55.704980158073901</v>
      </c>
      <c r="E233" s="383">
        <f t="shared" ref="E233:E296" si="100">Wh_pvt/(1-Psa)</f>
        <v>56.930532447557674</v>
      </c>
      <c r="F233" s="383">
        <f t="shared" si="78"/>
        <v>56.930532447557674</v>
      </c>
      <c r="G233" s="110">
        <f t="shared" ref="G233:G296" si="101">+Wh_hp/MaxiM</f>
        <v>0.98674321419123134</v>
      </c>
      <c r="H233" s="412" t="b">
        <f>Wh_hp&gt;='2022'!Maxi_hp</f>
        <v>1</v>
      </c>
      <c r="I233" s="379">
        <f>IF(H233,Wh_hp,'2022'!Maxi_hp)</f>
        <v>56.930532447557674</v>
      </c>
      <c r="J233" s="85">
        <f>IF(H233,An,'2022'!An_max)</f>
        <v>2023</v>
      </c>
      <c r="K233" s="197">
        <f t="shared" si="79"/>
        <v>45145</v>
      </c>
      <c r="L233" s="147">
        <f>IF(t&lt;Tvie,1-EXP((T0-t)*PertePVj)+'2022'!Pspv,1-EXP((T0-t)*PertePVj)+Pspv)</f>
        <v>3.1108855748826381E-2</v>
      </c>
      <c r="M233" s="832"/>
      <c r="N233" s="832"/>
      <c r="O233" s="48">
        <f>IF(t&lt;Tnet,'2022'!Resal+('2022'!Salim-'2022'!Resal)*(1-EXP(('2022'!Tnet-t)/('2022'!Tau_j))),Resal+(Salim-Resal)*(1-EXP((Tnet-t)/(Tau_j))))*Salcycl</f>
        <v>2.1527153124954665E-2</v>
      </c>
      <c r="P233" s="338">
        <f>(INDEX(Models!$BJ233:$BT233,,T233)*(1-R233)+INDEX(Models!$BJ233:$BT233,,T233+1)*R233-ERP_i)*Q233*Ramure*Pc/MaxiM</f>
        <v>2.0260065904759956E-20</v>
      </c>
      <c r="Q233" s="304">
        <f t="shared" si="80"/>
        <v>0.6</v>
      </c>
      <c r="R233" s="177">
        <f t="shared" si="81"/>
        <v>0.95698765236218253</v>
      </c>
      <c r="S233" s="799">
        <f t="shared" si="82"/>
        <v>0</v>
      </c>
      <c r="T233" s="176">
        <f t="shared" si="83"/>
        <v>6</v>
      </c>
      <c r="U233" s="250">
        <f t="shared" si="84"/>
        <v>0.95698765236218253</v>
      </c>
      <c r="V233" s="382">
        <f t="shared" si="85"/>
        <v>54.697170641383636</v>
      </c>
      <c r="W233" s="400">
        <f t="shared" si="86"/>
        <v>53.972061965845143</v>
      </c>
      <c r="X233" s="157">
        <f t="shared" si="87"/>
        <v>45145</v>
      </c>
      <c r="Y233" s="383">
        <f t="shared" si="88"/>
        <v>52.644081562690175</v>
      </c>
      <c r="Z233" s="383">
        <f t="shared" si="89"/>
        <v>54.334361372842537</v>
      </c>
      <c r="AA233" s="384">
        <f t="shared" si="90"/>
        <v>56.930532447557674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4.5602437973096994E-2</v>
      </c>
      <c r="AD233" s="230">
        <f>(INDEX(Models!$BJ233:$BT233,,AH233)*(1-AF233)+INDEX(Models!$BJ233:$BT233,,AH233+1)*AF233-ERP_i)*AE233*Ramure*Pc/MaxiM</f>
        <v>2.0260065904759956E-20</v>
      </c>
      <c r="AE233" s="304">
        <f t="shared" si="92"/>
        <v>0.6</v>
      </c>
      <c r="AF233" s="177">
        <f t="shared" si="93"/>
        <v>0.95698765236218253</v>
      </c>
      <c r="AG233" s="799">
        <f t="shared" si="99"/>
        <v>0</v>
      </c>
      <c r="AH233" s="176">
        <f t="shared" si="94"/>
        <v>6</v>
      </c>
      <c r="AI233" s="224">
        <f t="shared" si="95"/>
        <v>0.95698765236218253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45146</v>
      </c>
      <c r="B234" s="409">
        <f>IF(t&gt;Tmaj,'2022'!Wh/'2022'!Env_an*'2023'!Env_an,0.001*'[10]mon-tableau (1)'!$B$249)</f>
        <v>54.735562959521225</v>
      </c>
      <c r="C234" s="829"/>
      <c r="D234" s="391">
        <f t="shared" si="77"/>
        <v>56.494078100493468</v>
      </c>
      <c r="E234" s="383">
        <f t="shared" si="100"/>
        <v>57.743751717164187</v>
      </c>
      <c r="F234" s="383">
        <f t="shared" si="78"/>
        <v>57.743751717164187</v>
      </c>
      <c r="G234" s="110">
        <f t="shared" si="101"/>
        <v>1.0030290157698138</v>
      </c>
      <c r="H234" s="412" t="b">
        <f>Wh_hp&gt;='2022'!Maxi_hp</f>
        <v>1</v>
      </c>
      <c r="I234" s="379">
        <f>IF(H234,Wh_hp,'2022'!Maxi_hp)</f>
        <v>57.743751717164187</v>
      </c>
      <c r="J234" s="85">
        <f>IF(H234,An,'2022'!An_max)</f>
        <v>2023</v>
      </c>
      <c r="K234" s="197">
        <f t="shared" si="79"/>
        <v>45146</v>
      </c>
      <c r="L234" s="147">
        <f>IF(t&lt;Tvie,1-EXP((T0-t)*PertePVj)+'2022'!Pspv,1-EXP((T0-t)*PertePVj)+Pspv)</f>
        <v>3.1127424326566455E-2</v>
      </c>
      <c r="M234" s="832"/>
      <c r="N234" s="832"/>
      <c r="O234" s="48">
        <f>IF(t&lt;Tnet,'2022'!Resal+('2022'!Salim-'2022'!Resal)*(1-EXP(('2022'!Tnet-t)/('2022'!Tau_j))),Resal+(Salim-Resal)*(1-EXP((Tnet-t)/(Tau_j))))*Salcycl</f>
        <v>2.1641711518707182E-2</v>
      </c>
      <c r="P234" s="338">
        <f>(INDEX(Models!$BJ234:$BT234,,T234)*(1-R234)+INDEX(Models!$BJ234:$BT234,,T234+1)*R234-ERP_i)*Q234*Ramure*Pc/MaxiM</f>
        <v>0</v>
      </c>
      <c r="Q234" s="304">
        <f t="shared" si="80"/>
        <v>0.6</v>
      </c>
      <c r="R234" s="177">
        <f t="shared" si="81"/>
        <v>0.958551926295104</v>
      </c>
      <c r="S234" s="799">
        <f t="shared" si="82"/>
        <v>0</v>
      </c>
      <c r="T234" s="176">
        <f t="shared" si="83"/>
        <v>6</v>
      </c>
      <c r="U234" s="250">
        <f t="shared" si="84"/>
        <v>0.958551926295104</v>
      </c>
      <c r="V234" s="382">
        <f t="shared" si="85"/>
        <v>54.570268754899651</v>
      </c>
      <c r="W234" s="400">
        <f t="shared" si="86"/>
        <v>54.735562959521225</v>
      </c>
      <c r="X234" s="157">
        <f t="shared" si="87"/>
        <v>45146</v>
      </c>
      <c r="Y234" s="383">
        <f t="shared" si="88"/>
        <v>53.390214112375439</v>
      </c>
      <c r="Z234" s="383">
        <f t="shared" si="89"/>
        <v>55.105506599013331</v>
      </c>
      <c r="AA234" s="384">
        <f t="shared" si="90"/>
        <v>57.743751717164187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4.5688841471078885E-2</v>
      </c>
      <c r="AD234" s="230">
        <f>(INDEX(Models!$BJ234:$BT234,,AH234)*(1-AF234)+INDEX(Models!$BJ234:$BT234,,AH234+1)*AF234-ERP_i)*AE234*Ramure*Pc/MaxiM</f>
        <v>0</v>
      </c>
      <c r="AE234" s="304">
        <f t="shared" si="92"/>
        <v>0.6</v>
      </c>
      <c r="AF234" s="177">
        <f t="shared" si="93"/>
        <v>0.958551926295104</v>
      </c>
      <c r="AG234" s="799">
        <f t="shared" si="99"/>
        <v>0</v>
      </c>
      <c r="AH234" s="176">
        <f t="shared" si="94"/>
        <v>6</v>
      </c>
      <c r="AI234" s="224">
        <f t="shared" si="95"/>
        <v>0.958551926295104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45147</v>
      </c>
      <c r="B235" s="409">
        <f>IF(t&gt;Tmaj,'2022'!Wh/'2022'!Env_an*'2023'!Env_an,0.001*'[10]mon-tableau (1)'!$B$250)</f>
        <v>52.56286500637394</v>
      </c>
      <c r="C235" s="829"/>
      <c r="D235" s="391">
        <f t="shared" si="77"/>
        <v>54.252616598690331</v>
      </c>
      <c r="E235" s="383">
        <f t="shared" si="100"/>
        <v>55.459191357154921</v>
      </c>
      <c r="F235" s="383">
        <f t="shared" si="78"/>
        <v>55.459191357154921</v>
      </c>
      <c r="G235" s="110">
        <f t="shared" si="101"/>
        <v>0.96548888644004527</v>
      </c>
      <c r="H235" s="412" t="b">
        <f>Wh_hp&gt;='2022'!Maxi_hp</f>
        <v>0</v>
      </c>
      <c r="I235" s="379">
        <f>IF(H235,Wh_hp,'2022'!Maxi_hp)</f>
        <v>56.250511188466319</v>
      </c>
      <c r="J235" s="85">
        <f>IF(H235,An,'2022'!An_max)</f>
        <v>2021</v>
      </c>
      <c r="K235" s="197">
        <f t="shared" si="79"/>
        <v>45147</v>
      </c>
      <c r="L235" s="147">
        <f>IF(t&lt;Tvie,1-EXP((T0-t)*PertePVj)+'2022'!Pspv,1-EXP((T0-t)*PertePVj)+Pspv)</f>
        <v>3.1145992548443857E-2</v>
      </c>
      <c r="M235" s="832"/>
      <c r="N235" s="832"/>
      <c r="O235" s="48">
        <f>IF(t&lt;Tnet,'2022'!Resal+('2022'!Salim-'2022'!Resal)*(1-EXP(('2022'!Tnet-t)/('2022'!Tau_j))),Resal+(Salim-Resal)*(1-EXP((Tnet-t)/(Tau_j))))*Salcycl</f>
        <v>2.1756082786968525E-2</v>
      </c>
      <c r="P235" s="338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0.96006328716373224</v>
      </c>
      <c r="S235" s="799">
        <f t="shared" si="82"/>
        <v>0</v>
      </c>
      <c r="T235" s="176">
        <f t="shared" si="83"/>
        <v>6</v>
      </c>
      <c r="U235" s="250">
        <f t="shared" si="84"/>
        <v>0.96006328716373224</v>
      </c>
      <c r="V235" s="382">
        <f t="shared" si="85"/>
        <v>54.441709008359446</v>
      </c>
      <c r="W235" s="400">
        <f t="shared" si="86"/>
        <v>52.56286500637394</v>
      </c>
      <c r="X235" s="157">
        <f t="shared" si="87"/>
        <v>45147</v>
      </c>
      <c r="Y235" s="383">
        <f t="shared" si="88"/>
        <v>51.272281953262613</v>
      </c>
      <c r="Z235" s="383">
        <f t="shared" si="89"/>
        <v>52.920544848782377</v>
      </c>
      <c r="AA235" s="384">
        <f t="shared" si="90"/>
        <v>55.459191357154921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4.5775036495281071E-2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0.96006328716373224</v>
      </c>
      <c r="AG235" s="799">
        <f t="shared" si="99"/>
        <v>0</v>
      </c>
      <c r="AH235" s="176">
        <f t="shared" si="94"/>
        <v>6</v>
      </c>
      <c r="AI235" s="224">
        <f t="shared" si="95"/>
        <v>0.96006328716373224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45148</v>
      </c>
      <c r="B236" s="409">
        <f>IF(t&gt;Tmaj,'2022'!Wh/'2022'!Env_an*'2023'!Env_an,0.001*'[10]mon-tableau (1)'!$B$251)</f>
        <v>50.625685861477407</v>
      </c>
      <c r="C236" s="829"/>
      <c r="D236" s="391">
        <f t="shared" si="77"/>
        <v>52.25416390954377</v>
      </c>
      <c r="E236" s="383">
        <f t="shared" si="100"/>
        <v>53.422528844324894</v>
      </c>
      <c r="F236" s="383">
        <f t="shared" si="78"/>
        <v>53.422528844324894</v>
      </c>
      <c r="G236" s="110">
        <f t="shared" si="101"/>
        <v>0.93213404417001</v>
      </c>
      <c r="H236" s="412" t="b">
        <f>Wh_hp&gt;='2022'!Maxi_hp</f>
        <v>0</v>
      </c>
      <c r="I236" s="379">
        <f>IF(H236,Wh_hp,'2022'!Maxi_hp)</f>
        <v>54.321267794225101</v>
      </c>
      <c r="J236" s="85">
        <f>IF(H236,An,'2022'!An_max)</f>
        <v>2021</v>
      </c>
      <c r="K236" s="197">
        <f t="shared" si="79"/>
        <v>45148</v>
      </c>
      <c r="L236" s="147">
        <f>IF(t&lt;Tvie,1-EXP((T0-t)*PertePVj)+'2022'!Pspv,1-EXP((T0-t)*PertePVj)+Pspv)</f>
        <v>3.1164560414465581E-2</v>
      </c>
      <c r="M236" s="832"/>
      <c r="N236" s="832"/>
      <c r="O236" s="48">
        <f>IF(t&lt;Tnet,'2022'!Resal+('2022'!Salim-'2022'!Resal)*(1-EXP(('2022'!Tnet-t)/('2022'!Tau_j))),Resal+(Salim-Resal)*(1-EXP((Tnet-t)/(Tau_j))))*Salcycl</f>
        <v>2.1870266347476328E-2</v>
      </c>
      <c r="P236" s="338">
        <f>(INDEX(Models!$BJ236:$BT236,,T236)*(1-R236)+INDEX(Models!$BJ236:$BT236,,T236+1)*R236-ERP_i)*Q236*Ramure*Pc/MaxiM</f>
        <v>0</v>
      </c>
      <c r="Q236" s="304">
        <f t="shared" si="80"/>
        <v>0.6</v>
      </c>
      <c r="R236" s="177">
        <f t="shared" si="81"/>
        <v>0.96152316262962945</v>
      </c>
      <c r="S236" s="799">
        <f t="shared" si="82"/>
        <v>0</v>
      </c>
      <c r="T236" s="176">
        <f t="shared" si="83"/>
        <v>6</v>
      </c>
      <c r="U236" s="250">
        <f t="shared" si="84"/>
        <v>0.96152316262962945</v>
      </c>
      <c r="V236" s="382">
        <f t="shared" si="85"/>
        <v>54.311594108286741</v>
      </c>
      <c r="W236" s="400">
        <f t="shared" si="86"/>
        <v>50.625685861477407</v>
      </c>
      <c r="X236" s="157">
        <f t="shared" si="87"/>
        <v>45148</v>
      </c>
      <c r="Y236" s="383">
        <f t="shared" si="88"/>
        <v>49.383980952270484</v>
      </c>
      <c r="Z236" s="383">
        <f t="shared" si="89"/>
        <v>50.972517039010093</v>
      </c>
      <c r="AA236" s="384">
        <f t="shared" si="90"/>
        <v>53.422528844324894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4.5861022649343698E-2</v>
      </c>
      <c r="AD236" s="230">
        <f>(INDEX(Models!$BJ236:$BT236,,AH236)*(1-AF236)+INDEX(Models!$BJ236:$BT236,,AH236+1)*AF236-ERP_i)*AE236*Ramure*Pc/MaxiM</f>
        <v>0</v>
      </c>
      <c r="AE236" s="304">
        <f t="shared" si="92"/>
        <v>0.6</v>
      </c>
      <c r="AF236" s="177">
        <f t="shared" si="93"/>
        <v>0.96152316262962945</v>
      </c>
      <c r="AG236" s="799">
        <f t="shared" si="99"/>
        <v>0</v>
      </c>
      <c r="AH236" s="176">
        <f t="shared" si="94"/>
        <v>6</v>
      </c>
      <c r="AI236" s="224">
        <f t="shared" si="95"/>
        <v>0.96152316262962945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45149</v>
      </c>
      <c r="B237" s="409">
        <f>IF(t&gt;Tmaj,'2022'!Wh/'2022'!Env_an*'2023'!Env_an,0.001*'[10]mon-tableau (1)'!$B$252)</f>
        <v>49.076284483995614</v>
      </c>
      <c r="C237" s="829"/>
      <c r="D237" s="391">
        <f t="shared" si="77"/>
        <v>50.655893697295248</v>
      </c>
      <c r="E237" s="383">
        <f t="shared" si="100"/>
        <v>51.794558810558385</v>
      </c>
      <c r="F237" s="383">
        <f t="shared" si="78"/>
        <v>51.794558810558385</v>
      </c>
      <c r="G237" s="110">
        <f t="shared" si="101"/>
        <v>0.9058003004570947</v>
      </c>
      <c r="H237" s="412" t="b">
        <f>Wh_hp&gt;='2022'!Maxi_hp</f>
        <v>0</v>
      </c>
      <c r="I237" s="379">
        <f>IF(H237,Wh_hp,'2022'!Maxi_hp)</f>
        <v>52.572729783905686</v>
      </c>
      <c r="J237" s="85">
        <f>IF(H237,An,'2022'!An_max)</f>
        <v>2021</v>
      </c>
      <c r="K237" s="197">
        <f t="shared" si="79"/>
        <v>45149</v>
      </c>
      <c r="L237" s="147">
        <f>IF(t&lt;Tvie,1-EXP((T0-t)*PertePVj)+'2022'!Pspv,1-EXP((T0-t)*PertePVj)+Pspv)</f>
        <v>3.1183127924638288E-2</v>
      </c>
      <c r="M237" s="832"/>
      <c r="N237" s="832"/>
      <c r="O237" s="48">
        <f>IF(t&lt;Tnet,'2022'!Resal+('2022'!Salim-'2022'!Resal)*(1-EXP(('2022'!Tnet-t)/('2022'!Tau_j))),Resal+(Salim-Resal)*(1-EXP((Tnet-t)/(Tau_j))))*Salcycl</f>
        <v>2.198426127014361E-2</v>
      </c>
      <c r="P237" s="338">
        <f>(INDEX(Models!$BJ237:$BT237,,T237)*(1-R237)+INDEX(Models!$BJ237:$BT237,,T237+1)*R237-ERP_i)*Q237*Ramure*Pc/MaxiM</f>
        <v>0</v>
      </c>
      <c r="Q237" s="304">
        <f t="shared" si="80"/>
        <v>0.6</v>
      </c>
      <c r="R237" s="177">
        <f t="shared" si="81"/>
        <v>0.96293296873597201</v>
      </c>
      <c r="S237" s="799">
        <f t="shared" si="82"/>
        <v>0</v>
      </c>
      <c r="T237" s="176">
        <f t="shared" si="83"/>
        <v>6</v>
      </c>
      <c r="U237" s="250">
        <f t="shared" si="84"/>
        <v>0.96293296873597201</v>
      </c>
      <c r="V237" s="382">
        <f t="shared" si="85"/>
        <v>54.180026722479788</v>
      </c>
      <c r="W237" s="400">
        <f t="shared" si="86"/>
        <v>49.076284483995614</v>
      </c>
      <c r="X237" s="157">
        <f t="shared" si="87"/>
        <v>45149</v>
      </c>
      <c r="Y237" s="383">
        <f t="shared" si="88"/>
        <v>47.873857710539141</v>
      </c>
      <c r="Z237" s="383">
        <f t="shared" si="89"/>
        <v>49.414764637599291</v>
      </c>
      <c r="AA237" s="384">
        <f t="shared" si="90"/>
        <v>51.794558810558385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4.5946798806865551E-2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0.96293296873597201</v>
      </c>
      <c r="AG237" s="799">
        <f t="shared" si="99"/>
        <v>0</v>
      </c>
      <c r="AH237" s="176">
        <f t="shared" si="94"/>
        <v>6</v>
      </c>
      <c r="AI237" s="224">
        <f t="shared" si="95"/>
        <v>0.96293296873597201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45150</v>
      </c>
      <c r="B238" s="409">
        <f>IF(t&gt;Tmaj,'2022'!Wh/'2022'!Env_an*'2023'!Env_an,0.001*'[10]mon-tableau (1)'!$B$253)</f>
        <v>49.341496406740418</v>
      </c>
      <c r="C238" s="829"/>
      <c r="D238" s="391">
        <f t="shared" si="77"/>
        <v>50.930618020396267</v>
      </c>
      <c r="E238" s="383">
        <f t="shared" si="100"/>
        <v>52.081518877229691</v>
      </c>
      <c r="F238" s="383">
        <f t="shared" si="78"/>
        <v>52.081518877229691</v>
      </c>
      <c r="G238" s="110">
        <f t="shared" si="101"/>
        <v>0.91293497250078726</v>
      </c>
      <c r="H238" s="412" t="b">
        <f>Wh_hp&gt;='2022'!Maxi_hp</f>
        <v>1</v>
      </c>
      <c r="I238" s="379">
        <f>IF(H238,Wh_hp,'2022'!Maxi_hp)</f>
        <v>52.081518877229691</v>
      </c>
      <c r="J238" s="85">
        <f>IF(H238,An,'2022'!An_max)</f>
        <v>2023</v>
      </c>
      <c r="K238" s="197">
        <f t="shared" si="79"/>
        <v>45150</v>
      </c>
      <c r="L238" s="147">
        <f>IF(t&lt;Tvie,1-EXP((T0-t)*PertePVj)+'2022'!Pspv,1-EXP((T0-t)*PertePVj)+Pspv)</f>
        <v>3.1201695078968972E-2</v>
      </c>
      <c r="M238" s="832"/>
      <c r="N238" s="832"/>
      <c r="O238" s="48">
        <f>IF(t&lt;Tnet,'2022'!Resal+('2022'!Salim-'2022'!Resal)*(1-EXP(('2022'!Tnet-t)/('2022'!Tau_j))),Resal+(Salim-Resal)*(1-EXP((Tnet-t)/(Tau_j))))*Salcycl</f>
        <v>2.2098066293850038E-2</v>
      </c>
      <c r="P238" s="338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0.96429410772353807</v>
      </c>
      <c r="S238" s="799">
        <f t="shared" si="82"/>
        <v>0</v>
      </c>
      <c r="T238" s="176">
        <f t="shared" si="83"/>
        <v>6</v>
      </c>
      <c r="U238" s="250">
        <f t="shared" si="84"/>
        <v>0.96429410772353807</v>
      </c>
      <c r="V238" s="382">
        <f t="shared" si="85"/>
        <v>54.047109479857149</v>
      </c>
      <c r="W238" s="400">
        <f t="shared" si="86"/>
        <v>49.341496406740418</v>
      </c>
      <c r="X238" s="157">
        <f t="shared" si="87"/>
        <v>45150</v>
      </c>
      <c r="Y238" s="383">
        <f t="shared" si="88"/>
        <v>48.133855863207572</v>
      </c>
      <c r="Z238" s="383">
        <f t="shared" si="89"/>
        <v>49.684083486429174</v>
      </c>
      <c r="AA238" s="384">
        <f t="shared" si="90"/>
        <v>52.081518877229691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4.6032363158454076E-2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0.96429410772353807</v>
      </c>
      <c r="AG238" s="799">
        <f t="shared" si="99"/>
        <v>0</v>
      </c>
      <c r="AH238" s="176">
        <f t="shared" si="94"/>
        <v>6</v>
      </c>
      <c r="AI238" s="224">
        <f t="shared" si="95"/>
        <v>0.96429410772353807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45151</v>
      </c>
      <c r="B239" s="409">
        <f>IF(t&gt;Tmaj,'2022'!Wh/'2022'!Env_an*'2023'!Env_an,0.001*'[10]mon-tableau (1)'!$B$254)</f>
        <v>38.541124111271927</v>
      </c>
      <c r="C239" s="829"/>
      <c r="D239" s="391">
        <f t="shared" si="77"/>
        <v>39.78316493898128</v>
      </c>
      <c r="E239" s="383">
        <f t="shared" si="100"/>
        <v>40.686889093364215</v>
      </c>
      <c r="F239" s="383">
        <f t="shared" si="78"/>
        <v>40.686889093364215</v>
      </c>
      <c r="G239" s="110">
        <f t="shared" si="101"/>
        <v>0.71487699537572391</v>
      </c>
      <c r="H239" s="412" t="b">
        <f>Wh_hp&gt;='2022'!Maxi_hp</f>
        <v>0</v>
      </c>
      <c r="I239" s="379">
        <f>IF(H239,Wh_hp,'2022'!Maxi_hp)</f>
        <v>50.157042918193603</v>
      </c>
      <c r="J239" s="85">
        <f>IF(H239,An,'2022'!An_max)</f>
        <v>2018</v>
      </c>
      <c r="K239" s="197">
        <f t="shared" si="79"/>
        <v>45151</v>
      </c>
      <c r="L239" s="147">
        <f>IF(t&lt;Tvie,1-EXP((T0-t)*PertePVj)+'2022'!Pspv,1-EXP((T0-t)*PertePVj)+Pspv)</f>
        <v>3.1220261877464406E-2</v>
      </c>
      <c r="M239" s="832"/>
      <c r="N239" s="832"/>
      <c r="O239" s="48">
        <f>IF(t&lt;Tnet,'2022'!Resal+('2022'!Salim-'2022'!Resal)*(1-EXP(('2022'!Tnet-t)/('2022'!Tau_j))),Resal+(Salim-Resal)*(1-EXP((Tnet-t)/(Tau_j))))*Salcycl</f>
        <v>2.2211679843822881E-2</v>
      </c>
      <c r="P239" s="338">
        <f>(INDEX(Models!$BJ239:$BT239,,T239)*(1-R239)+INDEX(Models!$BJ239:$BT239,,T239+1)*R239-ERP_i)*Q239*Ramure*Pc/MaxiM</f>
        <v>0</v>
      </c>
      <c r="Q239" s="304">
        <f t="shared" si="80"/>
        <v>0.6</v>
      </c>
      <c r="R239" s="177">
        <f t="shared" si="81"/>
        <v>0.96560796605128163</v>
      </c>
      <c r="S239" s="799">
        <f t="shared" si="82"/>
        <v>0</v>
      </c>
      <c r="T239" s="176">
        <f t="shared" si="83"/>
        <v>6</v>
      </c>
      <c r="U239" s="250">
        <f t="shared" si="84"/>
        <v>0.96560796605128163</v>
      </c>
      <c r="V239" s="382">
        <f t="shared" si="85"/>
        <v>53.912944968967061</v>
      </c>
      <c r="W239" s="400">
        <f t="shared" si="86"/>
        <v>38.541124111271927</v>
      </c>
      <c r="X239" s="157">
        <f t="shared" si="87"/>
        <v>45151</v>
      </c>
      <c r="Y239" s="383">
        <f t="shared" si="88"/>
        <v>37.598828747474279</v>
      </c>
      <c r="Z239" s="383">
        <f t="shared" si="89"/>
        <v>38.810502808759828</v>
      </c>
      <c r="AA239" s="384">
        <f t="shared" si="90"/>
        <v>40.686889093364215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4.6117713258898754E-2</v>
      </c>
      <c r="AD239" s="230">
        <f>(INDEX(Models!$BJ239:$BT239,,AH239)*(1-AF239)+INDEX(Models!$BJ239:$BT239,,AH239+1)*AF239-ERP_i)*AE239*Ramure*Pc/MaxiM</f>
        <v>0</v>
      </c>
      <c r="AE239" s="304">
        <f t="shared" si="92"/>
        <v>0.6</v>
      </c>
      <c r="AF239" s="177">
        <f t="shared" si="93"/>
        <v>0.96560796605128163</v>
      </c>
      <c r="AG239" s="799">
        <f t="shared" si="99"/>
        <v>0</v>
      </c>
      <c r="AH239" s="176">
        <f t="shared" si="94"/>
        <v>6</v>
      </c>
      <c r="AI239" s="224">
        <f t="shared" si="95"/>
        <v>0.96560796605128163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45152</v>
      </c>
      <c r="B240" s="409">
        <f>IF(t&gt;Tmaj,'2022'!Wh/'2022'!Env_an*'2023'!Env_an,0.001*'[10]mon-tableau (1)'!$B$255)</f>
        <v>34.737970420172303</v>
      </c>
      <c r="C240" s="829"/>
      <c r="D240" s="391">
        <f t="shared" si="77"/>
        <v>35.858136593083458</v>
      </c>
      <c r="E240" s="383">
        <f t="shared" si="100"/>
        <v>36.676953243752052</v>
      </c>
      <c r="F240" s="383">
        <f t="shared" si="78"/>
        <v>36.676953512996363</v>
      </c>
      <c r="G240" s="110">
        <f t="shared" si="101"/>
        <v>0.64595570629821619</v>
      </c>
      <c r="H240" s="412" t="b">
        <f>Wh_hp&gt;='2022'!Maxi_hp</f>
        <v>0</v>
      </c>
      <c r="I240" s="379">
        <f>IF(H240,Wh_hp,'2022'!Maxi_hp)</f>
        <v>57.247327740538942</v>
      </c>
      <c r="J240" s="85">
        <f>IF(H240,An,'2022'!An_max)</f>
        <v>2018</v>
      </c>
      <c r="K240" s="197">
        <f t="shared" si="79"/>
        <v>45152</v>
      </c>
      <c r="L240" s="147">
        <f>IF(t&lt;Tvie,1-EXP((T0-t)*PertePVj)+'2022'!Pspv,1-EXP((T0-t)*PertePVj)+Pspv)</f>
        <v>3.1238828320131362E-2</v>
      </c>
      <c r="M240" s="832"/>
      <c r="N240" s="832"/>
      <c r="O240" s="48">
        <f>IF(t&lt;Tnet,'2022'!Resal+('2022'!Salim-'2022'!Resal)*(1-EXP(('2022'!Tnet-t)/('2022'!Tau_j))),Resal+(Salim-Resal)*(1-EXP((Tnet-t)/(Tau_j))))*Salcycl</f>
        <v>2.2325100049254535E-2</v>
      </c>
      <c r="P240" s="338">
        <f>(INDEX(Models!$BJ240:$BT240,,T240)*(1-R240)+INDEX(Models!$BJ240:$BT240,,T240+1)*R240-ERP_i)*Q240*Ramure*Pc/MaxiM</f>
        <v>1.4853568804920927E-8</v>
      </c>
      <c r="Q240" s="304">
        <f t="shared" si="80"/>
        <v>0.6</v>
      </c>
      <c r="R240" s="177">
        <f t="shared" si="81"/>
        <v>0.9668759126122306</v>
      </c>
      <c r="S240" s="799">
        <f t="shared" si="82"/>
        <v>0</v>
      </c>
      <c r="T240" s="176">
        <f t="shared" si="83"/>
        <v>6</v>
      </c>
      <c r="U240" s="250">
        <f t="shared" si="84"/>
        <v>0.9668759126122306</v>
      </c>
      <c r="V240" s="382">
        <f t="shared" si="85"/>
        <v>53.777634937653765</v>
      </c>
      <c r="W240" s="400">
        <f t="shared" si="86"/>
        <v>34.737970420172303</v>
      </c>
      <c r="X240" s="157">
        <f t="shared" si="87"/>
        <v>45152</v>
      </c>
      <c r="Y240" s="383">
        <f t="shared" si="88"/>
        <v>33.889565254875315</v>
      </c>
      <c r="Z240" s="383">
        <f t="shared" si="89"/>
        <v>34.982373618576723</v>
      </c>
      <c r="AA240" s="384">
        <f t="shared" si="90"/>
        <v>36.676953243752052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4.6202846073753474E-2</v>
      </c>
      <c r="AD240" s="230">
        <f>(INDEX(Models!$BJ240:$BT240,,AH240)*(1-AF240)+INDEX(Models!$BJ240:$BT240,,AH240+1)*AF240-ERP_i)*AE240*Ramure*Pc/MaxiM</f>
        <v>1.4853568804920927E-8</v>
      </c>
      <c r="AE240" s="304">
        <f t="shared" si="92"/>
        <v>0.6</v>
      </c>
      <c r="AF240" s="177">
        <f t="shared" si="93"/>
        <v>0.9668759126122306</v>
      </c>
      <c r="AG240" s="799">
        <f t="shared" si="99"/>
        <v>0</v>
      </c>
      <c r="AH240" s="176">
        <f t="shared" si="94"/>
        <v>6</v>
      </c>
      <c r="AI240" s="224">
        <f t="shared" si="95"/>
        <v>0.9668759126122306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45153</v>
      </c>
      <c r="B241" s="409">
        <f>IF(t&gt;Tmaj,'2022'!Wh/'2022'!Env_an*'2023'!Env_an,0.001*'[10]mon-tableau (1)'!$B$256)</f>
        <v>37.139314404248893</v>
      </c>
      <c r="C241" s="829"/>
      <c r="D241" s="391">
        <f t="shared" si="77"/>
        <v>38.337649433219433</v>
      </c>
      <c r="E241" s="383">
        <f t="shared" si="100"/>
        <v>39.217627290716941</v>
      </c>
      <c r="F241" s="383">
        <f t="shared" si="78"/>
        <v>39.217628272674979</v>
      </c>
      <c r="G241" s="110">
        <f t="shared" si="101"/>
        <v>0.69236439484663714</v>
      </c>
      <c r="H241" s="412" t="b">
        <f>Wh_hp&gt;='2022'!Maxi_hp</f>
        <v>0</v>
      </c>
      <c r="I241" s="379">
        <f>IF(H241,Wh_hp,'2022'!Maxi_hp)</f>
        <v>50.015473109752712</v>
      </c>
      <c r="J241" s="85">
        <f>IF(H241,An,'2022'!An_max)</f>
        <v>2020</v>
      </c>
      <c r="K241" s="197">
        <f t="shared" si="79"/>
        <v>45153</v>
      </c>
      <c r="L241" s="147">
        <f>IF(t&lt;Tvie,1-EXP((T0-t)*PertePVj)+'2022'!Pspv,1-EXP((T0-t)*PertePVj)+Pspv)</f>
        <v>3.1257394406976613E-2</v>
      </c>
      <c r="M241" s="832"/>
      <c r="N241" s="832"/>
      <c r="O241" s="48">
        <f>IF(t&lt;Tnet,'2022'!Resal+('2022'!Salim-'2022'!Resal)*(1-EXP(('2022'!Tnet-t)/('2022'!Tau_j))),Resal+(Salim-Resal)*(1-EXP((Tnet-t)/(Tau_j))))*Salcycl</f>
        <v>2.2438324760809945E-2</v>
      </c>
      <c r="P241" s="338">
        <f>(INDEX(Models!$BJ241:$BT241,,T241)*(1-R241)+INDEX(Models!$BJ241:$BT241,,T241+1)*R241-ERP_i)*Q241*Ramure*Pc/MaxiM</f>
        <v>4.4670420300958817E-8</v>
      </c>
      <c r="Q241" s="304">
        <f t="shared" si="80"/>
        <v>0.6</v>
      </c>
      <c r="R241" s="177">
        <f t="shared" si="81"/>
        <v>0.96809929713527076</v>
      </c>
      <c r="S241" s="799">
        <f t="shared" si="82"/>
        <v>0</v>
      </c>
      <c r="T241" s="176">
        <f t="shared" si="83"/>
        <v>6</v>
      </c>
      <c r="U241" s="250">
        <f t="shared" si="84"/>
        <v>0.96809929713527076</v>
      </c>
      <c r="V241" s="382">
        <f t="shared" si="85"/>
        <v>53.641281890826363</v>
      </c>
      <c r="W241" s="400">
        <f t="shared" si="86"/>
        <v>37.139314404248893</v>
      </c>
      <c r="X241" s="157">
        <f t="shared" si="87"/>
        <v>45153</v>
      </c>
      <c r="Y241" s="383">
        <f t="shared" si="88"/>
        <v>36.23323182881245</v>
      </c>
      <c r="Z241" s="383">
        <f t="shared" si="89"/>
        <v>37.402331248383561</v>
      </c>
      <c r="AA241" s="384">
        <f t="shared" si="90"/>
        <v>39.217627290716941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4.6287758024643952E-2</v>
      </c>
      <c r="AD241" s="230">
        <f>(INDEX(Models!$BJ241:$BT241,,AH241)*(1-AF241)+INDEX(Models!$BJ241:$BT241,,AH241+1)*AF241-ERP_i)*AE241*Ramure*Pc/MaxiM</f>
        <v>4.4670420300958817E-8</v>
      </c>
      <c r="AE241" s="304">
        <f t="shared" si="92"/>
        <v>0.6</v>
      </c>
      <c r="AF241" s="177">
        <f t="shared" si="93"/>
        <v>0.96809929713527076</v>
      </c>
      <c r="AG241" s="799">
        <f t="shared" si="99"/>
        <v>0</v>
      </c>
      <c r="AH241" s="176">
        <f t="shared" si="94"/>
        <v>6</v>
      </c>
      <c r="AI241" s="224">
        <f t="shared" si="95"/>
        <v>0.96809929713527076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45154</v>
      </c>
      <c r="B242" s="409">
        <f>IF(t&gt;Tmaj,'2022'!Wh/'2022'!Env_an*'2023'!Env_an,0.001*'[10]mon-tableau (1)'!$B$257)</f>
        <v>38.447991255406492</v>
      </c>
      <c r="C242" s="829"/>
      <c r="D242" s="391">
        <f t="shared" si="77"/>
        <v>39.6893126146471</v>
      </c>
      <c r="E242" s="383">
        <f t="shared" si="100"/>
        <v>40.605010481423307</v>
      </c>
      <c r="F242" s="383">
        <f t="shared" si="78"/>
        <v>40.605012656091901</v>
      </c>
      <c r="G242" s="110">
        <f t="shared" si="101"/>
        <v>0.71860044642866983</v>
      </c>
      <c r="H242" s="412" t="b">
        <f>Wh_hp&gt;='2022'!Maxi_hp</f>
        <v>0</v>
      </c>
      <c r="I242" s="379">
        <f>IF(H242,Wh_hp,'2022'!Maxi_hp)</f>
        <v>56.868065915870055</v>
      </c>
      <c r="J242" s="85">
        <f>IF(H242,An,'2022'!An_max)</f>
        <v>2018</v>
      </c>
      <c r="K242" s="197">
        <f t="shared" si="79"/>
        <v>45154</v>
      </c>
      <c r="L242" s="147">
        <f>IF(t&lt;Tvie,1-EXP((T0-t)*PertePVj)+'2022'!Pspv,1-EXP((T0-t)*PertePVj)+Pspv)</f>
        <v>3.1275960138007153E-2</v>
      </c>
      <c r="M242" s="832"/>
      <c r="N242" s="832"/>
      <c r="O242" s="48">
        <f>IF(t&lt;Tnet,'2022'!Resal+('2022'!Salim-'2022'!Resal)*(1-EXP(('2022'!Tnet-t)/('2022'!Tau_j))),Resal+(Salim-Resal)*(1-EXP((Tnet-t)/(Tau_j))))*Salcycl</f>
        <v>2.2551351567687283E-2</v>
      </c>
      <c r="P242" s="338">
        <f>(INDEX(Models!$BJ242:$BT242,,T242)*(1-R242)+INDEX(Models!$BJ242:$BT242,,T242+1)*R242-ERP_i)*Q242*Ramure*Pc/MaxiM</f>
        <v>8.9559520373093524E-8</v>
      </c>
      <c r="Q242" s="304">
        <f t="shared" si="80"/>
        <v>0.6</v>
      </c>
      <c r="R242" s="177">
        <f t="shared" si="81"/>
        <v>0.96927944876328953</v>
      </c>
      <c r="S242" s="799">
        <f t="shared" si="82"/>
        <v>0</v>
      </c>
      <c r="T242" s="176">
        <f t="shared" si="83"/>
        <v>6</v>
      </c>
      <c r="U242" s="250">
        <f t="shared" si="84"/>
        <v>0.96927944876328953</v>
      </c>
      <c r="V242" s="382">
        <f t="shared" si="85"/>
        <v>53.503988290362081</v>
      </c>
      <c r="W242" s="400">
        <f t="shared" si="86"/>
        <v>38.447991255406492</v>
      </c>
      <c r="X242" s="157">
        <f t="shared" si="87"/>
        <v>45154</v>
      </c>
      <c r="Y242" s="383">
        <f t="shared" si="88"/>
        <v>37.510987357857275</v>
      </c>
      <c r="Z242" s="383">
        <f t="shared" si="89"/>
        <v>38.722056864823131</v>
      </c>
      <c r="AA242" s="384">
        <f t="shared" si="90"/>
        <v>40.605010481423307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4.6372445032654787E-2</v>
      </c>
      <c r="AD242" s="230">
        <f>(INDEX(Models!$BJ242:$BT242,,AH242)*(1-AF242)+INDEX(Models!$BJ242:$BT242,,AH242+1)*AF242-ERP_i)*AE242*Ramure*Pc/MaxiM</f>
        <v>8.9559520373093524E-8</v>
      </c>
      <c r="AE242" s="304">
        <f t="shared" si="92"/>
        <v>0.6</v>
      </c>
      <c r="AF242" s="177">
        <f t="shared" si="93"/>
        <v>0.96927944876328953</v>
      </c>
      <c r="AG242" s="799">
        <f t="shared" si="99"/>
        <v>0</v>
      </c>
      <c r="AH242" s="176">
        <f t="shared" si="94"/>
        <v>6</v>
      </c>
      <c r="AI242" s="224">
        <f t="shared" si="95"/>
        <v>0.96927944876328953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45155</v>
      </c>
      <c r="B243" s="409">
        <f>IF(t&gt;Tmaj,'2022'!Wh/'2022'!Env_an*'2023'!Env_an,0.001*'[10]mon-tableau (1)'!$B$258)</f>
        <v>29.732655887879158</v>
      </c>
      <c r="C243" s="829"/>
      <c r="D243" s="391">
        <f t="shared" si="77"/>
        <v>30.693184534372339</v>
      </c>
      <c r="E243" s="383">
        <f t="shared" si="100"/>
        <v>31.404951949595304</v>
      </c>
      <c r="F243" s="383">
        <f t="shared" si="78"/>
        <v>31.404953675820437</v>
      </c>
      <c r="G243" s="110">
        <f t="shared" si="101"/>
        <v>0.55714749079725179</v>
      </c>
      <c r="H243" s="412" t="b">
        <f>Wh_hp&gt;='2022'!Maxi_hp</f>
        <v>0</v>
      </c>
      <c r="I243" s="379">
        <f>IF(H243,Wh_hp,'2022'!Maxi_hp)</f>
        <v>54.878692753943</v>
      </c>
      <c r="J243" s="85">
        <f>IF(H243,An,'2022'!An_max)</f>
        <v>2018</v>
      </c>
      <c r="K243" s="197">
        <f t="shared" si="79"/>
        <v>45155</v>
      </c>
      <c r="L243" s="147">
        <f>IF(t&lt;Tvie,1-EXP((T0-t)*PertePVj)+'2022'!Pspv,1-EXP((T0-t)*PertePVj)+Pspv)</f>
        <v>3.1294525513229643E-2</v>
      </c>
      <c r="M243" s="832"/>
      <c r="N243" s="832"/>
      <c r="O243" s="48">
        <f>IF(t&lt;Tnet,'2022'!Resal+('2022'!Salim-'2022'!Resal)*(1-EXP(('2022'!Tnet-t)/('2022'!Tau_j))),Resal+(Salim-Resal)*(1-EXP((Tnet-t)/(Tau_j))))*Salcycl</f>
        <v>2.2664177813911154E-2</v>
      </c>
      <c r="P243" s="338">
        <f>(INDEX(Models!$BJ243:$BT243,,T243)*(1-R243)+INDEX(Models!$BJ243:$BT243,,T243+1)*R243-ERP_i)*Q243*Ramure*Pc/MaxiM</f>
        <v>1.4962871232958749E-7</v>
      </c>
      <c r="Q243" s="304">
        <f t="shared" si="80"/>
        <v>0.6</v>
      </c>
      <c r="R243" s="177">
        <f t="shared" si="81"/>
        <v>0.97041767479814212</v>
      </c>
      <c r="S243" s="799">
        <f t="shared" si="82"/>
        <v>0</v>
      </c>
      <c r="T243" s="176">
        <f t="shared" si="83"/>
        <v>6</v>
      </c>
      <c r="U243" s="250">
        <f t="shared" si="84"/>
        <v>0.97041767479814212</v>
      </c>
      <c r="V243" s="382">
        <f t="shared" si="85"/>
        <v>53.365856554031126</v>
      </c>
      <c r="W243" s="400">
        <f t="shared" si="86"/>
        <v>29.732655887879158</v>
      </c>
      <c r="X243" s="157">
        <f t="shared" si="87"/>
        <v>45155</v>
      </c>
      <c r="Y243" s="383">
        <f t="shared" si="88"/>
        <v>29.008830073427493</v>
      </c>
      <c r="Z243" s="383">
        <f t="shared" si="89"/>
        <v>29.945975156996667</v>
      </c>
      <c r="AA243" s="384">
        <f t="shared" si="90"/>
        <v>31.404951949595304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4.6456902559197787E-2</v>
      </c>
      <c r="AD243" s="230">
        <f>(INDEX(Models!$BJ243:$BT243,,AH243)*(1-AF243)+INDEX(Models!$BJ243:$BT243,,AH243+1)*AF243-ERP_i)*AE243*Ramure*Pc/MaxiM</f>
        <v>1.4962871232958749E-7</v>
      </c>
      <c r="AE243" s="304">
        <f t="shared" si="92"/>
        <v>0.6</v>
      </c>
      <c r="AF243" s="177">
        <f t="shared" si="93"/>
        <v>0.97041767479814212</v>
      </c>
      <c r="AG243" s="799">
        <f t="shared" si="99"/>
        <v>0</v>
      </c>
      <c r="AH243" s="176">
        <f t="shared" si="94"/>
        <v>6</v>
      </c>
      <c r="AI243" s="224">
        <f t="shared" si="95"/>
        <v>0.97041767479814212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45156</v>
      </c>
      <c r="B244" s="409">
        <f>IF(t&gt;Tmaj,'2022'!Wh/'2022'!Env_an*'2023'!Env_an,0.001*'[10]mon-tableau (1)'!$B$259)</f>
        <v>37.742337857532128</v>
      </c>
      <c r="C244" s="829"/>
      <c r="D244" s="391">
        <f t="shared" si="77"/>
        <v>38.962370079188403</v>
      </c>
      <c r="E244" s="383">
        <f t="shared" si="100"/>
        <v>39.870492333431315</v>
      </c>
      <c r="F244" s="383">
        <f t="shared" si="78"/>
        <v>39.870497575672232</v>
      </c>
      <c r="G244" s="110">
        <f t="shared" si="101"/>
        <v>0.70908264770307805</v>
      </c>
      <c r="H244" s="412" t="b">
        <f>Wh_hp&gt;='2022'!Maxi_hp</f>
        <v>0</v>
      </c>
      <c r="I244" s="379">
        <f>IF(H244,Wh_hp,'2022'!Maxi_hp)</f>
        <v>51.155268788996608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3.1313090532650856E-2</v>
      </c>
      <c r="M244" s="832"/>
      <c r="N244" s="832"/>
      <c r="O244" s="48">
        <f>IF(t&lt;Tnet,'2022'!Resal+('2022'!Salim-'2022'!Resal)*(1-EXP(('2022'!Tnet-t)/('2022'!Tau_j))),Resal+(Salim-Resal)*(1-EXP((Tnet-t)/(Tau_j))))*Salcycl</f>
        <v>2.2776800613556785E-2</v>
      </c>
      <c r="P244" s="338">
        <f>(INDEX(Models!$BJ244:$BT244,,T244)*(1-R244)+INDEX(Models!$BJ244:$BT244,,T244+1)*R244-ERP_i)*Q244*Ramure*Pc/MaxiM</f>
        <v>2.2498430963383211E-7</v>
      </c>
      <c r="Q244" s="304">
        <f t="shared" si="80"/>
        <v>0.6</v>
      </c>
      <c r="R244" s="177">
        <f t="shared" si="81"/>
        <v>0.97151525960295571</v>
      </c>
      <c r="S244" s="799">
        <f t="shared" si="82"/>
        <v>0</v>
      </c>
      <c r="T244" s="176">
        <f t="shared" si="83"/>
        <v>6</v>
      </c>
      <c r="U244" s="250">
        <f t="shared" si="84"/>
        <v>0.97151525960295571</v>
      </c>
      <c r="V244" s="382">
        <f t="shared" si="85"/>
        <v>53.22698905520101</v>
      </c>
      <c r="W244" s="400">
        <f t="shared" si="86"/>
        <v>37.742337857532128</v>
      </c>
      <c r="X244" s="157">
        <f t="shared" si="87"/>
        <v>45156</v>
      </c>
      <c r="Y244" s="383">
        <f t="shared" si="88"/>
        <v>36.824511525931086</v>
      </c>
      <c r="Z244" s="383">
        <f t="shared" si="89"/>
        <v>38.01487474026024</v>
      </c>
      <c r="AA244" s="384">
        <f t="shared" si="90"/>
        <v>39.870492333431315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4.6541125643817148E-2</v>
      </c>
      <c r="AD244" s="230">
        <f>(INDEX(Models!$BJ244:$BT244,,AH244)*(1-AF244)+INDEX(Models!$BJ244:$BT244,,AH244+1)*AF244-ERP_i)*AE244*Ramure*Pc/MaxiM</f>
        <v>2.2498430963383211E-7</v>
      </c>
      <c r="AE244" s="304">
        <f t="shared" si="92"/>
        <v>0.6</v>
      </c>
      <c r="AF244" s="177">
        <f t="shared" si="93"/>
        <v>0.97151525960295571</v>
      </c>
      <c r="AG244" s="799">
        <f t="shared" si="99"/>
        <v>0</v>
      </c>
      <c r="AH244" s="176">
        <f t="shared" si="94"/>
        <v>6</v>
      </c>
      <c r="AI244" s="224">
        <f t="shared" si="95"/>
        <v>0.97151525960295571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45157</v>
      </c>
      <c r="B245" s="409">
        <f>IF(t&gt;Tmaj,'2022'!Wh/'2022'!Env_an*'2023'!Env_an,0.001*'[10]mon-tableau (1)'!$B$260)</f>
        <v>39.40477153442805</v>
      </c>
      <c r="C245" s="829"/>
      <c r="D245" s="391">
        <f t="shared" si="77"/>
        <v>40.679322025757436</v>
      </c>
      <c r="E245" s="383">
        <f t="shared" si="100"/>
        <v>41.632251662626039</v>
      </c>
      <c r="F245" s="383">
        <f t="shared" si="78"/>
        <v>41.632259967390816</v>
      </c>
      <c r="G245" s="110">
        <f t="shared" si="101"/>
        <v>0.74226090456488891</v>
      </c>
      <c r="H245" s="412" t="b">
        <f>Wh_hp&gt;='2022'!Maxi_hp</f>
        <v>0</v>
      </c>
      <c r="I245" s="379">
        <f>IF(H245,Wh_hp,'2022'!Maxi_hp)</f>
        <v>45.575246648150426</v>
      </c>
      <c r="J245" s="85">
        <f>IF(H245,An,'2022'!An_max)</f>
        <v>2021</v>
      </c>
      <c r="K245" s="197">
        <f t="shared" si="79"/>
        <v>45157</v>
      </c>
      <c r="L245" s="147">
        <f>IF(t&lt;Tvie,1-EXP((T0-t)*PertePVj)+'2022'!Pspv,1-EXP((T0-t)*PertePVj)+Pspv)</f>
        <v>3.1331655196277897E-2</v>
      </c>
      <c r="M245" s="832"/>
      <c r="N245" s="832"/>
      <c r="O245" s="48">
        <f>IF(t&lt;Tnet,'2022'!Resal+('2022'!Salim-'2022'!Resal)*(1-EXP(('2022'!Tnet-t)/('2022'!Tau_j))),Resal+(Salim-Resal)*(1-EXP((Tnet-t)/(Tau_j))))*Salcycl</f>
        <v>2.2889216864627762E-2</v>
      </c>
      <c r="P245" s="338">
        <f>(INDEX(Models!$BJ245:$BT245,,T245)*(1-R245)+INDEX(Models!$BJ245:$BT245,,T245+1)*R245-ERP_i)*Q245*Ramure*Pc/MaxiM</f>
        <v>3.1573065788989428E-7</v>
      </c>
      <c r="Q245" s="304">
        <f t="shared" si="80"/>
        <v>0.6</v>
      </c>
      <c r="R245" s="177">
        <f t="shared" si="81"/>
        <v>0.97257346365239505</v>
      </c>
      <c r="S245" s="799">
        <f t="shared" si="82"/>
        <v>0</v>
      </c>
      <c r="T245" s="176">
        <f t="shared" si="83"/>
        <v>6</v>
      </c>
      <c r="U245" s="250">
        <f t="shared" si="84"/>
        <v>0.97257346365239505</v>
      </c>
      <c r="V245" s="382">
        <f t="shared" si="85"/>
        <v>53.087488120715577</v>
      </c>
      <c r="W245" s="400">
        <f t="shared" si="86"/>
        <v>39.40477153442805</v>
      </c>
      <c r="X245" s="157">
        <f t="shared" si="87"/>
        <v>45157</v>
      </c>
      <c r="Y245" s="383">
        <f t="shared" si="88"/>
        <v>38.447554174351957</v>
      </c>
      <c r="Z245" s="383">
        <f t="shared" si="89"/>
        <v>39.691143393503225</v>
      </c>
      <c r="AA245" s="384">
        <f t="shared" si="90"/>
        <v>41.632251662626039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4.662510893844786E-2</v>
      </c>
      <c r="AD245" s="230">
        <f>(INDEX(Models!$BJ245:$BT245,,AH245)*(1-AF245)+INDEX(Models!$BJ245:$BT245,,AH245+1)*AF245-ERP_i)*AE245*Ramure*Pc/MaxiM</f>
        <v>3.1573065788989428E-7</v>
      </c>
      <c r="AE245" s="304">
        <f t="shared" si="92"/>
        <v>0.6</v>
      </c>
      <c r="AF245" s="177">
        <f t="shared" si="93"/>
        <v>0.97257346365239505</v>
      </c>
      <c r="AG245" s="799">
        <f t="shared" si="99"/>
        <v>0</v>
      </c>
      <c r="AH245" s="176">
        <f t="shared" si="94"/>
        <v>6</v>
      </c>
      <c r="AI245" s="224">
        <f t="shared" si="95"/>
        <v>0.97257346365239505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45158</v>
      </c>
      <c r="B246" s="409">
        <f>IF(t&gt;Tmaj,'2022'!Wh/'2022'!Env_an*'2023'!Env_an,0.001*'[10]mon-tableau (1)'!$B$261)</f>
        <v>51.531817695323369</v>
      </c>
      <c r="C246" s="829"/>
      <c r="D246" s="391">
        <f t="shared" si="77"/>
        <v>53.199638024944974</v>
      </c>
      <c r="E246" s="383">
        <f t="shared" si="100"/>
        <v>54.452114149983409</v>
      </c>
      <c r="F246" s="383">
        <f t="shared" si="78"/>
        <v>54.452136249515632</v>
      </c>
      <c r="G246" s="110">
        <f t="shared" si="101"/>
        <v>0.97326332039522645</v>
      </c>
      <c r="H246" s="412" t="b">
        <f>Wh_hp&gt;='2022'!Maxi_hp</f>
        <v>0</v>
      </c>
      <c r="I246" s="379">
        <f>IF(H246,Wh_hp,'2022'!Maxi_hp)</f>
        <v>54.452136439558863</v>
      </c>
      <c r="J246" s="85">
        <f>IF(H246,An,'2022'!An_max)</f>
        <v>2022</v>
      </c>
      <c r="K246" s="197">
        <f t="shared" si="79"/>
        <v>45158</v>
      </c>
      <c r="L246" s="147">
        <f>IF(t&lt;Tvie,1-EXP((T0-t)*PertePVj)+'2022'!Pspv,1-EXP((T0-t)*PertePVj)+Pspv)</f>
        <v>3.1350219504117205E-2</v>
      </c>
      <c r="M246" s="832"/>
      <c r="N246" s="832"/>
      <c r="O246" s="48">
        <f>IF(t&lt;Tnet,'2022'!Resal+('2022'!Salim-'2022'!Resal)*(1-EXP(('2022'!Tnet-t)/('2022'!Tau_j))),Resal+(Salim-Resal)*(1-EXP((Tnet-t)/(Tau_j))))*Salcycl</f>
        <v>2.3001423261337531E-2</v>
      </c>
      <c r="P246" s="338">
        <f>(INDEX(Models!$BJ246:$BT246,,T246)*(1-R246)+INDEX(Models!$BJ246:$BT246,,T246+1)*R246-ERP_i)*Q246*Ramure*Pc/MaxiM</f>
        <v>4.2196966768791058E-7</v>
      </c>
      <c r="Q246" s="304">
        <f t="shared" si="80"/>
        <v>0.6</v>
      </c>
      <c r="R246" s="177">
        <f t="shared" si="81"/>
        <v>0.97359352272168032</v>
      </c>
      <c r="S246" s="799">
        <f t="shared" si="82"/>
        <v>0</v>
      </c>
      <c r="T246" s="176">
        <f t="shared" si="83"/>
        <v>6</v>
      </c>
      <c r="U246" s="250">
        <f t="shared" si="84"/>
        <v>0.97359352272168032</v>
      </c>
      <c r="V246" s="382">
        <f t="shared" si="85"/>
        <v>52.947456032604443</v>
      </c>
      <c r="W246" s="400">
        <f t="shared" si="86"/>
        <v>51.531817695323369</v>
      </c>
      <c r="X246" s="157">
        <f t="shared" si="87"/>
        <v>45158</v>
      </c>
      <c r="Y246" s="383">
        <f t="shared" si="88"/>
        <v>50.28136897032276</v>
      </c>
      <c r="Z246" s="383">
        <f t="shared" si="89"/>
        <v>51.908718695607526</v>
      </c>
      <c r="AA246" s="384">
        <f t="shared" si="90"/>
        <v>54.452114149983409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4.6708846737710363E-2</v>
      </c>
      <c r="AD246" s="230">
        <f>(INDEX(Models!$BJ246:$BT246,,AH246)*(1-AF246)+INDEX(Models!$BJ246:$BT246,,AH246+1)*AF246-ERP_i)*AE246*Ramure*Pc/MaxiM</f>
        <v>4.2196966768791058E-7</v>
      </c>
      <c r="AE246" s="304">
        <f t="shared" si="92"/>
        <v>0.6</v>
      </c>
      <c r="AF246" s="177">
        <f t="shared" si="93"/>
        <v>0.97359352272168032</v>
      </c>
      <c r="AG246" s="799">
        <f t="shared" si="99"/>
        <v>0</v>
      </c>
      <c r="AH246" s="176">
        <f t="shared" si="94"/>
        <v>6</v>
      </c>
      <c r="AI246" s="224">
        <f t="shared" si="95"/>
        <v>0.97359352272168032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45159</v>
      </c>
      <c r="B247" s="409">
        <f>IF(t&gt;Tmaj,'2022'!Wh/'2022'!Env_an*'2023'!Env_an,0.001*'[10]mon-tableau (1)'!$B$262)</f>
        <v>38.488587995896459</v>
      </c>
      <c r="C247" s="829"/>
      <c r="D247" s="391">
        <f t="shared" si="77"/>
        <v>39.735027468170706</v>
      </c>
      <c r="E247" s="383">
        <f t="shared" si="100"/>
        <v>40.675169596309459</v>
      </c>
      <c r="F247" s="383">
        <f t="shared" si="78"/>
        <v>40.675183147155778</v>
      </c>
      <c r="G247" s="110">
        <f t="shared" si="101"/>
        <v>0.72884514397370459</v>
      </c>
      <c r="H247" s="412" t="b">
        <f>Wh_hp&gt;='2022'!Maxi_hp</f>
        <v>0</v>
      </c>
      <c r="I247" s="379">
        <f>IF(H247,Wh_hp,'2022'!Maxi_hp)</f>
        <v>55.472998221971906</v>
      </c>
      <c r="J247" s="85">
        <f>IF(H247,An,'2022'!An_max)</f>
        <v>2020</v>
      </c>
      <c r="K247" s="197">
        <f t="shared" si="79"/>
        <v>45159</v>
      </c>
      <c r="L247" s="147">
        <f>IF(t&lt;Tvie,1-EXP((T0-t)*PertePVj)+'2022'!Pspv,1-EXP((T0-t)*PertePVj)+Pspv)</f>
        <v>3.1368783456175886E-2</v>
      </c>
      <c r="M247" s="832"/>
      <c r="N247" s="832"/>
      <c r="O247" s="48">
        <f>IF(t&lt;Tnet,'2022'!Resal+('2022'!Salim-'2022'!Resal)*(1-EXP(('2022'!Tnet-t)/('2022'!Tau_j))),Resal+(Salim-Resal)*(1-EXP((Tnet-t)/(Tau_j))))*Salcycl</f>
        <v>2.3113416304576511E-2</v>
      </c>
      <c r="P247" s="338">
        <f>(INDEX(Models!$BJ247:$BT247,,T247)*(1-R247)+INDEX(Models!$BJ247:$BT247,,T247+1)*R247-ERP_i)*Q247*Ramure*Pc/MaxiM</f>
        <v>5.4379384863763868E-7</v>
      </c>
      <c r="Q247" s="304">
        <f t="shared" si="80"/>
        <v>0.6</v>
      </c>
      <c r="R247" s="177">
        <f t="shared" si="81"/>
        <v>0.97457664720534454</v>
      </c>
      <c r="S247" s="799">
        <f t="shared" si="82"/>
        <v>0</v>
      </c>
      <c r="T247" s="176">
        <f t="shared" si="83"/>
        <v>6</v>
      </c>
      <c r="U247" s="250">
        <f t="shared" si="84"/>
        <v>0.97457664720534454</v>
      </c>
      <c r="V247" s="382">
        <f t="shared" si="85"/>
        <v>52.807623411718843</v>
      </c>
      <c r="W247" s="400">
        <f t="shared" si="86"/>
        <v>38.488587995896459</v>
      </c>
      <c r="X247" s="157">
        <f t="shared" si="87"/>
        <v>45159</v>
      </c>
      <c r="Y247" s="383">
        <f t="shared" si="88"/>
        <v>37.555656697341597</v>
      </c>
      <c r="Z247" s="383">
        <f t="shared" si="89"/>
        <v>38.77188351552828</v>
      </c>
      <c r="AA247" s="384">
        <f t="shared" si="90"/>
        <v>40.675169596309459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4.6792333004897158E-2</v>
      </c>
      <c r="AD247" s="230">
        <f>(INDEX(Models!$BJ247:$BT247,,AH247)*(1-AF247)+INDEX(Models!$BJ247:$BT247,,AH247+1)*AF247-ERP_i)*AE247*Ramure*Pc/MaxiM</f>
        <v>5.4379384863763868E-7</v>
      </c>
      <c r="AE247" s="304">
        <f t="shared" si="92"/>
        <v>0.6</v>
      </c>
      <c r="AF247" s="177">
        <f t="shared" si="93"/>
        <v>0.97457664720534454</v>
      </c>
      <c r="AG247" s="799">
        <f t="shared" si="99"/>
        <v>0</v>
      </c>
      <c r="AH247" s="176">
        <f t="shared" si="94"/>
        <v>6</v>
      </c>
      <c r="AI247" s="224">
        <f t="shared" si="95"/>
        <v>0.97457664720534454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45160</v>
      </c>
      <c r="B248" s="409">
        <f>IF(t&gt;Tmaj,'2022'!Wh/'2022'!Env_an*'2023'!Env_an,0.001*'[10]mon-tableau (1)'!$B$263)</f>
        <v>27.799842725485053</v>
      </c>
      <c r="C248" s="829"/>
      <c r="D248" s="391">
        <f t="shared" si="77"/>
        <v>28.700680959399683</v>
      </c>
      <c r="E248" s="383">
        <f t="shared" si="100"/>
        <v>29.383109324129542</v>
      </c>
      <c r="F248" s="383">
        <f t="shared" si="78"/>
        <v>29.383116146633505</v>
      </c>
      <c r="G248" s="110">
        <f t="shared" si="101"/>
        <v>0.52782769813057573</v>
      </c>
      <c r="H248" s="412" t="b">
        <f>Wh_hp&gt;='2022'!Maxi_hp</f>
        <v>0</v>
      </c>
      <c r="I248" s="379">
        <f>IF(H248,Wh_hp,'2022'!Maxi_hp)</f>
        <v>56.932210607769058</v>
      </c>
      <c r="J248" s="85">
        <f>IF(H248,An,'2022'!An_max)</f>
        <v>2018</v>
      </c>
      <c r="K248" s="197">
        <f t="shared" si="79"/>
        <v>45160</v>
      </c>
      <c r="L248" s="147">
        <f>IF(t&lt;Tvie,1-EXP((T0-t)*PertePVj)+'2022'!Pspv,1-EXP((T0-t)*PertePVj)+Pspv)</f>
        <v>3.1387347052460712E-2</v>
      </c>
      <c r="M248" s="832"/>
      <c r="N248" s="832"/>
      <c r="O248" s="48">
        <f>IF(t&lt;Tnet,'2022'!Resal+('2022'!Salim-'2022'!Resal)*(1-EXP(('2022'!Tnet-t)/('2022'!Tau_j))),Resal+(Salim-Resal)*(1-EXP((Tnet-t)/(Tau_j))))*Salcycl</f>
        <v>2.3225192310381025E-2</v>
      </c>
      <c r="P248" s="338">
        <f>(INDEX(Models!$BJ248:$BT248,,T248)*(1-R248)+INDEX(Models!$BJ248:$BT248,,T248+1)*R248-ERP_i)*Q248*Ramure*Pc/MaxiM</f>
        <v>7.134063624597497E-7</v>
      </c>
      <c r="Q248" s="304">
        <f t="shared" si="80"/>
        <v>0.6</v>
      </c>
      <c r="R248" s="177">
        <f t="shared" si="81"/>
        <v>0.97552402155696294</v>
      </c>
      <c r="S248" s="799">
        <f t="shared" si="82"/>
        <v>0</v>
      </c>
      <c r="T248" s="176">
        <f t="shared" si="83"/>
        <v>6</v>
      </c>
      <c r="U248" s="250">
        <f t="shared" si="84"/>
        <v>0.97552402155696294</v>
      </c>
      <c r="V248" s="382">
        <f t="shared" si="85"/>
        <v>52.668379181764188</v>
      </c>
      <c r="W248" s="400">
        <f t="shared" si="86"/>
        <v>27.799842725485053</v>
      </c>
      <c r="X248" s="157">
        <f t="shared" si="87"/>
        <v>45160</v>
      </c>
      <c r="Y248" s="383">
        <f t="shared" si="88"/>
        <v>27.126733083701541</v>
      </c>
      <c r="Z248" s="383">
        <f t="shared" si="89"/>
        <v>28.005759579077832</v>
      </c>
      <c r="AA248" s="384">
        <f t="shared" si="90"/>
        <v>29.383109324129542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4.6875561393382677E-2</v>
      </c>
      <c r="AD248" s="230">
        <f>(INDEX(Models!$BJ248:$BT248,,AH248)*(1-AF248)+INDEX(Models!$BJ248:$BT248,,AH248+1)*AF248-ERP_i)*AE248*Ramure*Pc/MaxiM</f>
        <v>7.134063624597497E-7</v>
      </c>
      <c r="AE248" s="304">
        <f t="shared" si="92"/>
        <v>0.6</v>
      </c>
      <c r="AF248" s="177">
        <f t="shared" si="93"/>
        <v>0.97552402155696294</v>
      </c>
      <c r="AG248" s="799">
        <f t="shared" si="99"/>
        <v>0</v>
      </c>
      <c r="AH248" s="176">
        <f t="shared" si="94"/>
        <v>6</v>
      </c>
      <c r="AI248" s="224">
        <f t="shared" si="95"/>
        <v>0.97552402155696294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45161</v>
      </c>
      <c r="B249" s="409">
        <f>IF(t&gt;Tmaj,'2022'!Wh/'2022'!Env_an*'2023'!Env_an,0.001*'[10]mon-tableau (1)'!$B$264)</f>
        <v>49.806453705955349</v>
      </c>
      <c r="C249" s="829"/>
      <c r="D249" s="391">
        <f t="shared" si="77"/>
        <v>51.421389243682775</v>
      </c>
      <c r="E249" s="383">
        <f t="shared" si="100"/>
        <v>52.650070643743973</v>
      </c>
      <c r="F249" s="383">
        <f t="shared" si="78"/>
        <v>52.650116036822887</v>
      </c>
      <c r="G249" s="110">
        <f t="shared" si="101"/>
        <v>0.94816484009500812</v>
      </c>
      <c r="H249" s="412" t="b">
        <f>Wh_hp&gt;='2022'!Maxi_hp</f>
        <v>0</v>
      </c>
      <c r="I249" s="379">
        <f>IF(H249,Wh_hp,'2022'!Maxi_hp)</f>
        <v>54.337170768740876</v>
      </c>
      <c r="J249" s="85">
        <f>IF(H249,An,'2022'!An_max)</f>
        <v>2018</v>
      </c>
      <c r="K249" s="197">
        <f t="shared" si="79"/>
        <v>45161</v>
      </c>
      <c r="L249" s="147">
        <f>IF(t&lt;Tvie,1-EXP((T0-t)*PertePVj)+'2022'!Pspv,1-EXP((T0-t)*PertePVj)+Pspv)</f>
        <v>3.1405910292978345E-2</v>
      </c>
      <c r="M249" s="832"/>
      <c r="N249" s="832"/>
      <c r="O249" s="48">
        <f>IF(t&lt;Tnet,'2022'!Resal+('2022'!Salim-'2022'!Resal)*(1-EXP(('2022'!Tnet-t)/('2022'!Tau_j))),Resal+(Salim-Resal)*(1-EXP((Tnet-t)/(Tau_j))))*Salcycl</f>
        <v>2.3336747416258168E-2</v>
      </c>
      <c r="P249" s="338">
        <f>(INDEX(Models!$BJ249:$BT249,,T249)*(1-R249)+INDEX(Models!$BJ249:$BT249,,T249+1)*R249-ERP_i)*Q249*Ramure*Pc/MaxiM</f>
        <v>9.3111395497907202E-7</v>
      </c>
      <c r="Q249" s="304">
        <f t="shared" si="80"/>
        <v>0.6</v>
      </c>
      <c r="R249" s="177">
        <f t="shared" si="81"/>
        <v>0.97643680384134934</v>
      </c>
      <c r="S249" s="799">
        <f t="shared" si="82"/>
        <v>0</v>
      </c>
      <c r="T249" s="176">
        <f t="shared" si="83"/>
        <v>6</v>
      </c>
      <c r="U249" s="250">
        <f t="shared" si="84"/>
        <v>0.97643680384134934</v>
      </c>
      <c r="V249" s="382">
        <f t="shared" si="85"/>
        <v>52.52931575363079</v>
      </c>
      <c r="W249" s="400">
        <f t="shared" si="86"/>
        <v>49.806453705955349</v>
      </c>
      <c r="X249" s="157">
        <f t="shared" si="87"/>
        <v>45161</v>
      </c>
      <c r="Y249" s="383">
        <f t="shared" si="88"/>
        <v>48.60182459589408</v>
      </c>
      <c r="Z249" s="383">
        <f t="shared" si="89"/>
        <v>50.177700971306834</v>
      </c>
      <c r="AA249" s="384">
        <f t="shared" si="90"/>
        <v>52.650070643743973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4.6958525263268831E-2</v>
      </c>
      <c r="AD249" s="230">
        <f>(INDEX(Models!$BJ249:$BT249,,AH249)*(1-AF249)+INDEX(Models!$BJ249:$BT249,,AH249+1)*AF249-ERP_i)*AE249*Ramure*Pc/MaxiM</f>
        <v>9.3111395497907202E-7</v>
      </c>
      <c r="AE249" s="304">
        <f t="shared" si="92"/>
        <v>0.6</v>
      </c>
      <c r="AF249" s="177">
        <f t="shared" si="93"/>
        <v>0.97643680384134934</v>
      </c>
      <c r="AG249" s="799">
        <f t="shared" si="99"/>
        <v>0</v>
      </c>
      <c r="AH249" s="176">
        <f t="shared" si="94"/>
        <v>6</v>
      </c>
      <c r="AI249" s="224">
        <f t="shared" si="95"/>
        <v>0.97643680384134934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45162</v>
      </c>
      <c r="B250" s="409">
        <f>IF(t&gt;Tmaj,'2022'!Wh/'2022'!Env_an*'2023'!Env_an,0.001*'[10]mon-tableau (1)'!$B$265)</f>
        <v>50.362154223384302</v>
      </c>
      <c r="C250" s="829"/>
      <c r="D250" s="391">
        <f t="shared" si="77"/>
        <v>51.996104411820298</v>
      </c>
      <c r="E250" s="383">
        <f t="shared" si="100"/>
        <v>53.24458763364931</v>
      </c>
      <c r="F250" s="383">
        <f t="shared" si="78"/>
        <v>53.244647854272287</v>
      </c>
      <c r="G250" s="110">
        <f t="shared" si="101"/>
        <v>0.96129272998170534</v>
      </c>
      <c r="H250" s="412" t="b">
        <f>Wh_hp&gt;='2022'!Maxi_hp</f>
        <v>0</v>
      </c>
      <c r="I250" s="379">
        <f>IF(H250,Wh_hp,'2022'!Maxi_hp)</f>
        <v>54.747664261265655</v>
      </c>
      <c r="J250" s="85">
        <f>IF(H250,An,'2022'!An_max)</f>
        <v>2018</v>
      </c>
      <c r="K250" s="197">
        <f t="shared" si="79"/>
        <v>45162</v>
      </c>
      <c r="L250" s="147">
        <f>IF(t&lt;Tvie,1-EXP((T0-t)*PertePVj)+'2022'!Pspv,1-EXP((T0-t)*PertePVj)+Pspv)</f>
        <v>3.1424473177735779E-2</v>
      </c>
      <c r="M250" s="832"/>
      <c r="N250" s="832"/>
      <c r="O250" s="48">
        <f>IF(t&lt;Tnet,'2022'!Resal+('2022'!Salim-'2022'!Resal)*(1-EXP(('2022'!Tnet-t)/('2022'!Tau_j))),Resal+(Salim-Resal)*(1-EXP((Tnet-t)/(Tau_j))))*Salcycl</f>
        <v>2.3448077585260411E-2</v>
      </c>
      <c r="P250" s="338">
        <f>(INDEX(Models!$BJ250:$BT250,,T250)*(1-R250)+INDEX(Models!$BJ250:$BT250,,T250+1)*R250-ERP_i)*Q250*Ramure*Pc/MaxiM</f>
        <v>1.197218818896743E-6</v>
      </c>
      <c r="Q250" s="304">
        <f t="shared" si="80"/>
        <v>0.6</v>
      </c>
      <c r="R250" s="177">
        <f t="shared" si="81"/>
        <v>0.97731612539101353</v>
      </c>
      <c r="S250" s="799">
        <f t="shared" si="82"/>
        <v>0</v>
      </c>
      <c r="T250" s="176">
        <f t="shared" si="83"/>
        <v>6</v>
      </c>
      <c r="U250" s="250">
        <f t="shared" si="84"/>
        <v>0.97731612539101353</v>
      </c>
      <c r="V250" s="382">
        <f t="shared" si="85"/>
        <v>52.390025762800406</v>
      </c>
      <c r="W250" s="400">
        <f t="shared" si="86"/>
        <v>50.362154223384302</v>
      </c>
      <c r="X250" s="157">
        <f t="shared" si="87"/>
        <v>45162</v>
      </c>
      <c r="Y250" s="383">
        <f t="shared" si="88"/>
        <v>49.145422851037118</v>
      </c>
      <c r="Z250" s="383">
        <f t="shared" si="89"/>
        <v>50.739897395792255</v>
      </c>
      <c r="AA250" s="384">
        <f t="shared" si="90"/>
        <v>53.24458763364931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4.7041217693160511E-2</v>
      </c>
      <c r="AD250" s="230">
        <f>(INDEX(Models!$BJ250:$BT250,,AH250)*(1-AF250)+INDEX(Models!$BJ250:$BT250,,AH250+1)*AF250-ERP_i)*AE250*Ramure*Pc/MaxiM</f>
        <v>1.197218818896743E-6</v>
      </c>
      <c r="AE250" s="304">
        <f t="shared" si="92"/>
        <v>0.6</v>
      </c>
      <c r="AF250" s="177">
        <f t="shared" si="93"/>
        <v>0.97731612539101353</v>
      </c>
      <c r="AG250" s="799">
        <f t="shared" si="99"/>
        <v>0</v>
      </c>
      <c r="AH250" s="176">
        <f t="shared" si="94"/>
        <v>6</v>
      </c>
      <c r="AI250" s="224">
        <f t="shared" si="95"/>
        <v>0.97731612539101353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45163</v>
      </c>
      <c r="B251" s="409">
        <f>IF(t&gt;Tmaj,'2022'!Wh/'2022'!Env_an*'2023'!Env_an,0.001*'[10]mon-tableau (1)'!$B$266)</f>
        <v>30.292529151513506</v>
      </c>
      <c r="C251" s="829"/>
      <c r="D251" s="391">
        <f t="shared" si="77"/>
        <v>31.275939638323138</v>
      </c>
      <c r="E251" s="383">
        <f t="shared" si="100"/>
        <v>32.030553161151609</v>
      </c>
      <c r="F251" s="383">
        <f t="shared" si="78"/>
        <v>32.030572516934249</v>
      </c>
      <c r="G251" s="110">
        <f t="shared" si="101"/>
        <v>0.57975966465369333</v>
      </c>
      <c r="H251" s="412" t="b">
        <f>Wh_hp&gt;='2022'!Maxi_hp</f>
        <v>0</v>
      </c>
      <c r="I251" s="379">
        <f>IF(H251,Wh_hp,'2022'!Maxi_hp)</f>
        <v>52.804588122486173</v>
      </c>
      <c r="J251" s="85">
        <f>IF(H251,An,'2022'!An_max)</f>
        <v>2021</v>
      </c>
      <c r="K251" s="197">
        <f t="shared" si="79"/>
        <v>45163</v>
      </c>
      <c r="L251" s="147">
        <f>IF(t&lt;Tvie,1-EXP((T0-t)*PertePVj)+'2022'!Pspv,1-EXP((T0-t)*PertePVj)+Pspv)</f>
        <v>3.1443035706739786E-2</v>
      </c>
      <c r="M251" s="832"/>
      <c r="N251" s="832"/>
      <c r="O251" s="48">
        <f>IF(t&lt;Tnet,'2022'!Resal+('2022'!Salim-'2022'!Resal)*(1-EXP(('2022'!Tnet-t)/('2022'!Tau_j))),Resal+(Salim-Resal)*(1-EXP((Tnet-t)/(Tau_j))))*Salcycl</f>
        <v>2.3559178607745895E-2</v>
      </c>
      <c r="P251" s="338">
        <f>(INDEX(Models!$BJ251:$BT251,,T251)*(1-R251)+INDEX(Models!$BJ251:$BT251,,T251+1)*R251-ERP_i)*Q251*Ramure*Pc/MaxiM</f>
        <v>1.512022171665771E-6</v>
      </c>
      <c r="Q251" s="304">
        <f t="shared" si="80"/>
        <v>0.6</v>
      </c>
      <c r="R251" s="177">
        <f t="shared" si="81"/>
        <v>0.97816309055897821</v>
      </c>
      <c r="S251" s="799">
        <f t="shared" si="82"/>
        <v>0</v>
      </c>
      <c r="T251" s="176">
        <f t="shared" si="83"/>
        <v>6</v>
      </c>
      <c r="U251" s="250">
        <f t="shared" si="84"/>
        <v>0.97816309055897821</v>
      </c>
      <c r="V251" s="382">
        <f t="shared" si="85"/>
        <v>52.250102069647475</v>
      </c>
      <c r="W251" s="400">
        <f t="shared" si="86"/>
        <v>30.292529151513506</v>
      </c>
      <c r="X251" s="157">
        <f t="shared" si="87"/>
        <v>45163</v>
      </c>
      <c r="Y251" s="383">
        <f t="shared" si="88"/>
        <v>29.561479342710975</v>
      </c>
      <c r="Z251" s="383">
        <f t="shared" si="89"/>
        <v>30.521157177659127</v>
      </c>
      <c r="AA251" s="384">
        <f t="shared" si="90"/>
        <v>32.030553161151609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4.7123631487050205E-2</v>
      </c>
      <c r="AD251" s="230">
        <f>(INDEX(Models!$BJ251:$BT251,,AH251)*(1-AF251)+INDEX(Models!$BJ251:$BT251,,AH251+1)*AF251-ERP_i)*AE251*Ramure*Pc/MaxiM</f>
        <v>1.512022171665771E-6</v>
      </c>
      <c r="AE251" s="304">
        <f t="shared" si="92"/>
        <v>0.6</v>
      </c>
      <c r="AF251" s="177">
        <f t="shared" si="93"/>
        <v>0.97816309055897821</v>
      </c>
      <c r="AG251" s="799">
        <f t="shared" si="99"/>
        <v>0</v>
      </c>
      <c r="AH251" s="176">
        <f t="shared" si="94"/>
        <v>6</v>
      </c>
      <c r="AI251" s="224">
        <f t="shared" si="95"/>
        <v>0.97816309055897821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45164</v>
      </c>
      <c r="B252" s="409">
        <f>IF(t&gt;Tmaj,'2022'!Wh/'2022'!Env_an*'2023'!Env_an,0.001*'[10]mon-tableau (1)'!$B$267)</f>
        <v>40.478226285671887</v>
      </c>
      <c r="C252" s="829"/>
      <c r="D252" s="391">
        <f t="shared" si="77"/>
        <v>41.793104121705845</v>
      </c>
      <c r="E252" s="383">
        <f t="shared" si="100"/>
        <v>42.806331972910947</v>
      </c>
      <c r="F252" s="383">
        <f t="shared" si="78"/>
        <v>42.80638666654616</v>
      </c>
      <c r="G252" s="110">
        <f t="shared" si="101"/>
        <v>0.77679661984759107</v>
      </c>
      <c r="H252" s="412" t="b">
        <f>Wh_hp&gt;='2022'!Maxi_hp</f>
        <v>0</v>
      </c>
      <c r="I252" s="379">
        <f>IF(H252,Wh_hp,'2022'!Maxi_hp)</f>
        <v>54.205725811203237</v>
      </c>
      <c r="J252" s="85">
        <f>IF(H252,An,'2022'!An_max)</f>
        <v>2020</v>
      </c>
      <c r="K252" s="197">
        <f t="shared" si="79"/>
        <v>45164</v>
      </c>
      <c r="L252" s="147">
        <f>IF(t&lt;Tvie,1-EXP((T0-t)*PertePVj)+'2022'!Pspv,1-EXP((T0-t)*PertePVj)+Pspv)</f>
        <v>3.1461597879997028E-2</v>
      </c>
      <c r="M252" s="832"/>
      <c r="N252" s="832"/>
      <c r="O252" s="48">
        <f>IF(t&lt;Tnet,'2022'!Resal+('2022'!Salim-'2022'!Resal)*(1-EXP(('2022'!Tnet-t)/('2022'!Tau_j))),Resal+(Salim-Resal)*(1-EXP((Tnet-t)/(Tau_j))))*Salcycl</f>
        <v>2.3670046100803626E-2</v>
      </c>
      <c r="P252" s="338">
        <f>(INDEX(Models!$BJ252:$BT252,,T252)*(1-R252)+INDEX(Models!$BJ252:$BT252,,T252+1)*R252-ERP_i)*Q252*Ramure*Pc/MaxiM</f>
        <v>1.8758265070130721E-6</v>
      </c>
      <c r="Q252" s="304">
        <f t="shared" si="80"/>
        <v>0.6</v>
      </c>
      <c r="R252" s="177">
        <f t="shared" si="81"/>
        <v>0.97897877656038179</v>
      </c>
      <c r="S252" s="799">
        <f t="shared" si="82"/>
        <v>0</v>
      </c>
      <c r="T252" s="176">
        <f t="shared" si="83"/>
        <v>6</v>
      </c>
      <c r="U252" s="250">
        <f t="shared" si="84"/>
        <v>0.97897877656038179</v>
      </c>
      <c r="V252" s="382">
        <f t="shared" si="85"/>
        <v>52.109137759124579</v>
      </c>
      <c r="W252" s="400">
        <f t="shared" si="86"/>
        <v>40.478226285671887</v>
      </c>
      <c r="X252" s="157">
        <f t="shared" si="87"/>
        <v>45164</v>
      </c>
      <c r="Y252" s="383">
        <f t="shared" si="88"/>
        <v>39.502445592000775</v>
      </c>
      <c r="Z252" s="383">
        <f t="shared" si="89"/>
        <v>40.785626574573733</v>
      </c>
      <c r="AA252" s="384">
        <f t="shared" si="90"/>
        <v>42.806331972910947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4.7205759176375532E-2</v>
      </c>
      <c r="AD252" s="230">
        <f>(INDEX(Models!$BJ252:$BT252,,AH252)*(1-AF252)+INDEX(Models!$BJ252:$BT252,,AH252+1)*AF252-ERP_i)*AE252*Ramure*Pc/MaxiM</f>
        <v>1.8758265070130721E-6</v>
      </c>
      <c r="AE252" s="304">
        <f t="shared" si="92"/>
        <v>0.6</v>
      </c>
      <c r="AF252" s="177">
        <f t="shared" si="93"/>
        <v>0.97897877656038179</v>
      </c>
      <c r="AG252" s="799">
        <f t="shared" si="99"/>
        <v>0</v>
      </c>
      <c r="AH252" s="176">
        <f t="shared" si="94"/>
        <v>6</v>
      </c>
      <c r="AI252" s="224">
        <f t="shared" si="95"/>
        <v>0.97897877656038179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45165</v>
      </c>
      <c r="B253" s="409">
        <f>IF(t&gt;Tmaj,'2022'!Wh/'2022'!Env_an*'2023'!Env_an,0.001*'[10]mon-tableau (1)'!$B$268)</f>
        <v>49.009784247512236</v>
      </c>
      <c r="C253" s="829"/>
      <c r="D253" s="391">
        <f t="shared" si="77"/>
        <v>50.60276744790859</v>
      </c>
      <c r="E253" s="383">
        <f t="shared" si="100"/>
        <v>51.835449450977144</v>
      </c>
      <c r="F253" s="383">
        <f t="shared" si="78"/>
        <v>51.835558454891761</v>
      </c>
      <c r="G253" s="110">
        <f t="shared" si="101"/>
        <v>0.94309914769918191</v>
      </c>
      <c r="H253" s="412" t="b">
        <f>Wh_hp&gt;='2022'!Maxi_hp</f>
        <v>0</v>
      </c>
      <c r="I253" s="379">
        <f>IF(H253,Wh_hp,'2022'!Maxi_hp)</f>
        <v>51.835560545336492</v>
      </c>
      <c r="J253" s="85">
        <f>IF(H253,An,'2022'!An_max)</f>
        <v>2022</v>
      </c>
      <c r="K253" s="197">
        <f t="shared" si="79"/>
        <v>45165</v>
      </c>
      <c r="L253" s="147">
        <f>IF(t&lt;Tvie,1-EXP((T0-t)*PertePVj)+'2022'!Pspv,1-EXP((T0-t)*PertePVj)+Pspv)</f>
        <v>3.1480159697514609E-2</v>
      </c>
      <c r="M253" s="832"/>
      <c r="N253" s="832"/>
      <c r="O253" s="48">
        <f>IF(t&lt;Tnet,'2022'!Resal+('2022'!Salim-'2022'!Resal)*(1-EXP(('2022'!Tnet-t)/('2022'!Tau_j))),Resal+(Salim-Resal)*(1-EXP((Tnet-t)/(Tau_j))))*Salcycl</f>
        <v>2.3780675505367242E-2</v>
      </c>
      <c r="P253" s="338">
        <f>(INDEX(Models!$BJ253:$BT253,,T253)*(1-R253)+INDEX(Models!$BJ253:$BT253,,T253+1)*R253-ERP_i)*Q253*Ramure*Pc/MaxiM</f>
        <v>2.2889394303663776E-6</v>
      </c>
      <c r="Q253" s="304">
        <f t="shared" si="80"/>
        <v>0.6</v>
      </c>
      <c r="R253" s="177">
        <f t="shared" si="81"/>
        <v>0.97976423339562901</v>
      </c>
      <c r="S253" s="799">
        <f t="shared" si="82"/>
        <v>0</v>
      </c>
      <c r="T253" s="176">
        <f t="shared" si="83"/>
        <v>6</v>
      </c>
      <c r="U253" s="250">
        <f t="shared" si="84"/>
        <v>0.97976423339562901</v>
      </c>
      <c r="V253" s="382">
        <f t="shared" si="85"/>
        <v>51.966726137208788</v>
      </c>
      <c r="W253" s="400">
        <f t="shared" si="86"/>
        <v>49.009784247512236</v>
      </c>
      <c r="X253" s="157">
        <f t="shared" si="87"/>
        <v>45165</v>
      </c>
      <c r="Y253" s="383">
        <f t="shared" si="88"/>
        <v>47.829650924311409</v>
      </c>
      <c r="Z253" s="383">
        <f t="shared" si="89"/>
        <v>49.384275813465408</v>
      </c>
      <c r="AA253" s="384">
        <f t="shared" si="90"/>
        <v>51.835449450977144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4.7287593017398495E-2</v>
      </c>
      <c r="AD253" s="230">
        <f>(INDEX(Models!$BJ253:$BT253,,AH253)*(1-AF253)+INDEX(Models!$BJ253:$BT253,,AH253+1)*AF253-ERP_i)*AE253*Ramure*Pc/MaxiM</f>
        <v>2.2889394303663776E-6</v>
      </c>
      <c r="AE253" s="304">
        <f t="shared" si="92"/>
        <v>0.6</v>
      </c>
      <c r="AF253" s="177">
        <f t="shared" si="93"/>
        <v>0.97976423339562901</v>
      </c>
      <c r="AG253" s="799">
        <f t="shared" si="99"/>
        <v>0</v>
      </c>
      <c r="AH253" s="176">
        <f t="shared" si="94"/>
        <v>6</v>
      </c>
      <c r="AI253" s="224">
        <f t="shared" si="95"/>
        <v>0.97976423339562901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45166</v>
      </c>
      <c r="B254" s="409">
        <f>IF(t&gt;Tmaj,'2022'!Wh/'2022'!Env_an*'2023'!Env_an,0.001*'[10]mon-tableau (1)'!$B$269)</f>
        <v>50.108004625561698</v>
      </c>
      <c r="C254" s="829"/>
      <c r="D254" s="391">
        <f t="shared" si="77"/>
        <v>51.737675231096375</v>
      </c>
      <c r="E254" s="383">
        <f t="shared" si="100"/>
        <v>53.003997014310947</v>
      </c>
      <c r="F254" s="383">
        <f t="shared" si="78"/>
        <v>53.004136857857368</v>
      </c>
      <c r="G254" s="110">
        <f t="shared" si="101"/>
        <v>0.96691662722792648</v>
      </c>
      <c r="H254" s="412" t="b">
        <f>Wh_hp&gt;='2022'!Maxi_hp</f>
        <v>0</v>
      </c>
      <c r="I254" s="379">
        <f>IF(H254,Wh_hp,'2022'!Maxi_hp)</f>
        <v>55.753732502644198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3.1498721159299081E-2</v>
      </c>
      <c r="M254" s="832"/>
      <c r="N254" s="832"/>
      <c r="O254" s="48">
        <f>IF(t&lt;Tnet,'2022'!Resal+('2022'!Salim-'2022'!Resal)*(1-EXP(('2022'!Tnet-t)/('2022'!Tau_j))),Resal+(Salim-Resal)*(1-EXP((Tnet-t)/(Tau_j))))*Salcycl</f>
        <v>2.3891062081085483E-2</v>
      </c>
      <c r="P254" s="338">
        <f>(INDEX(Models!$BJ254:$BT254,,T254)*(1-R254)+INDEX(Models!$BJ254:$BT254,,T254+1)*R254-ERP_i)*Q254*Ramure*Pc/MaxiM</f>
        <v>2.769230300046189E-6</v>
      </c>
      <c r="Q254" s="304">
        <f t="shared" si="80"/>
        <v>0.6</v>
      </c>
      <c r="R254" s="177">
        <f t="shared" si="81"/>
        <v>0.98052048384818891</v>
      </c>
      <c r="S254" s="799">
        <f t="shared" si="82"/>
        <v>0</v>
      </c>
      <c r="T254" s="176">
        <f t="shared" si="83"/>
        <v>6</v>
      </c>
      <c r="U254" s="250">
        <f t="shared" si="84"/>
        <v>0.98052048384818891</v>
      </c>
      <c r="V254" s="382">
        <f t="shared" si="85"/>
        <v>51.822459823787334</v>
      </c>
      <c r="W254" s="400">
        <f t="shared" si="86"/>
        <v>50.108004625561698</v>
      </c>
      <c r="X254" s="157">
        <f t="shared" si="87"/>
        <v>45166</v>
      </c>
      <c r="Y254" s="383">
        <f t="shared" si="88"/>
        <v>48.902771440161729</v>
      </c>
      <c r="Z254" s="383">
        <f t="shared" si="89"/>
        <v>50.493244055081163</v>
      </c>
      <c r="AA254" s="384">
        <f t="shared" si="90"/>
        <v>53.003997014310947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4.7369124984138131E-2</v>
      </c>
      <c r="AD254" s="230">
        <f>(INDEX(Models!$BJ254:$BT254,,AH254)*(1-AF254)+INDEX(Models!$BJ254:$BT254,,AH254+1)*AF254-ERP_i)*AE254*Ramure*Pc/MaxiM</f>
        <v>2.769230300046189E-6</v>
      </c>
      <c r="AE254" s="304">
        <f t="shared" si="92"/>
        <v>0.6</v>
      </c>
      <c r="AF254" s="177">
        <f t="shared" si="93"/>
        <v>0.98052048384818891</v>
      </c>
      <c r="AG254" s="799">
        <f t="shared" si="99"/>
        <v>0</v>
      </c>
      <c r="AH254" s="176">
        <f t="shared" si="94"/>
        <v>6</v>
      </c>
      <c r="AI254" s="224">
        <f t="shared" si="95"/>
        <v>0.98052048384818891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45167</v>
      </c>
      <c r="B255" s="409">
        <f>IF(t&gt;Tmaj,'2022'!Wh/'2022'!Env_an*'2023'!Env_an,0.001*'[10]mon-tableau (1)'!$B$270)</f>
        <v>34.453667994762718</v>
      </c>
      <c r="C255" s="829"/>
      <c r="D255" s="391">
        <f t="shared" si="77"/>
        <v>35.574891904475656</v>
      </c>
      <c r="E255" s="383">
        <f t="shared" si="100"/>
        <v>36.44972917717341</v>
      </c>
      <c r="F255" s="383">
        <f t="shared" si="78"/>
        <v>36.449792227168288</v>
      </c>
      <c r="G255" s="110">
        <f t="shared" si="101"/>
        <v>0.66672455806152542</v>
      </c>
      <c r="H255" s="412" t="b">
        <f>Wh_hp&gt;='2022'!Maxi_hp</f>
        <v>0</v>
      </c>
      <c r="I255" s="379">
        <f>IF(H255,Wh_hp,'2022'!Maxi_hp)</f>
        <v>55.057615254458725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3.1517282265357438E-2</v>
      </c>
      <c r="M255" s="832"/>
      <c r="N255" s="832"/>
      <c r="O255" s="48">
        <f>IF(t&lt;Tnet,'2022'!Resal+('2022'!Salim-'2022'!Resal)*(1-EXP(('2022'!Tnet-t)/('2022'!Tau_j))),Resal+(Salim-Resal)*(1-EXP((Tnet-t)/(Tau_j))))*Salcycl</f>
        <v>2.4001200899062426E-2</v>
      </c>
      <c r="P255" s="338">
        <f>(INDEX(Models!$BJ255:$BT255,,T255)*(1-R255)+INDEX(Models!$BJ255:$BT255,,T255+1)*R255-ERP_i)*Q255*Ramure*Pc/MaxiM</f>
        <v>3.3017698955921261E-6</v>
      </c>
      <c r="Q255" s="304">
        <f t="shared" si="80"/>
        <v>0.6</v>
      </c>
      <c r="R255" s="177">
        <f t="shared" si="81"/>
        <v>0.98124852355048353</v>
      </c>
      <c r="S255" s="799">
        <f t="shared" si="82"/>
        <v>0</v>
      </c>
      <c r="T255" s="176">
        <f t="shared" si="83"/>
        <v>6</v>
      </c>
      <c r="U255" s="250">
        <f t="shared" si="84"/>
        <v>0.98124852355048353</v>
      </c>
      <c r="V255" s="382">
        <f t="shared" si="85"/>
        <v>51.675933362802446</v>
      </c>
      <c r="W255" s="400">
        <f t="shared" si="86"/>
        <v>34.453667994762718</v>
      </c>
      <c r="X255" s="157">
        <f t="shared" si="87"/>
        <v>45167</v>
      </c>
      <c r="Y255" s="383">
        <f t="shared" si="88"/>
        <v>33.625891273213256</v>
      </c>
      <c r="Z255" s="383">
        <f t="shared" si="89"/>
        <v>34.720176888511617</v>
      </c>
      <c r="AA255" s="384">
        <f t="shared" si="90"/>
        <v>36.44972917717341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4.7450346757169429E-2</v>
      </c>
      <c r="AD255" s="230">
        <f>(INDEX(Models!$BJ255:$BT255,,AH255)*(1-AF255)+INDEX(Models!$BJ255:$BT255,,AH255+1)*AF255-ERP_i)*AE255*Ramure*Pc/MaxiM</f>
        <v>3.3017698955921261E-6</v>
      </c>
      <c r="AE255" s="304">
        <f t="shared" si="92"/>
        <v>0.6</v>
      </c>
      <c r="AF255" s="177">
        <f t="shared" si="93"/>
        <v>0.98124852355048353</v>
      </c>
      <c r="AG255" s="799">
        <f t="shared" si="99"/>
        <v>0</v>
      </c>
      <c r="AH255" s="176">
        <f t="shared" si="94"/>
        <v>6</v>
      </c>
      <c r="AI255" s="224">
        <f t="shared" si="95"/>
        <v>0.98124852355048353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45168</v>
      </c>
      <c r="B256" s="409">
        <f>IF(t&gt;Tmaj,'2022'!Wh/'2022'!Env_an*'2023'!Env_an,0.001*'[10]mon-tableau (1)'!$B$271)</f>
        <v>49.441420980265391</v>
      </c>
      <c r="C256" s="829"/>
      <c r="D256" s="391">
        <f t="shared" si="77"/>
        <v>51.051368936792478</v>
      </c>
      <c r="E256" s="383">
        <f t="shared" si="100"/>
        <v>52.312684618066349</v>
      </c>
      <c r="F256" s="383">
        <f t="shared" si="78"/>
        <v>52.31287619802535</v>
      </c>
      <c r="G256" s="110">
        <f t="shared" si="101"/>
        <v>0.95952915269521188</v>
      </c>
      <c r="H256" s="412" t="b">
        <f>Wh_hp&gt;='2022'!Maxi_hp</f>
        <v>0</v>
      </c>
      <c r="I256" s="379">
        <f>IF(H256,Wh_hp,'2022'!Maxi_hp)</f>
        <v>53.730779388968067</v>
      </c>
      <c r="J256" s="85">
        <f>IF(H256,An,'2022'!An_max)</f>
        <v>2021</v>
      </c>
      <c r="K256" s="197">
        <f t="shared" si="79"/>
        <v>45168</v>
      </c>
      <c r="L256" s="147">
        <f>IF(t&lt;Tvie,1-EXP((T0-t)*PertePVj)+'2022'!Pspv,1-EXP((T0-t)*PertePVj)+Pspv)</f>
        <v>3.1535843015696452E-2</v>
      </c>
      <c r="M256" s="832"/>
      <c r="N256" s="832"/>
      <c r="O256" s="48">
        <f>IF(t&lt;Tnet,'2022'!Resal+('2022'!Salim-'2022'!Resal)*(1-EXP(('2022'!Tnet-t)/('2022'!Tau_j))),Resal+(Salim-Resal)*(1-EXP((Tnet-t)/(Tau_j))))*Salcycl</f>
        <v>2.4111086832623974E-2</v>
      </c>
      <c r="P256" s="338">
        <f>(INDEX(Models!$BJ256:$BT256,,T256)*(1-R256)+INDEX(Models!$BJ256:$BT256,,T256+1)*R256-ERP_i)*Q256*Ramure*Pc/MaxiM</f>
        <v>3.8869179975095775E-6</v>
      </c>
      <c r="Q256" s="304">
        <f t="shared" si="80"/>
        <v>0.6</v>
      </c>
      <c r="R256" s="177">
        <f t="shared" si="81"/>
        <v>0.98194932111165811</v>
      </c>
      <c r="S256" s="799">
        <f t="shared" si="82"/>
        <v>0</v>
      </c>
      <c r="T256" s="176">
        <f t="shared" si="83"/>
        <v>6</v>
      </c>
      <c r="U256" s="250">
        <f t="shared" si="84"/>
        <v>0.98194932111165811</v>
      </c>
      <c r="V256" s="382">
        <f t="shared" si="85"/>
        <v>51.526740725625636</v>
      </c>
      <c r="W256" s="400">
        <f t="shared" si="86"/>
        <v>49.441420980265391</v>
      </c>
      <c r="X256" s="157">
        <f t="shared" si="87"/>
        <v>45168</v>
      </c>
      <c r="Y256" s="383">
        <f t="shared" si="88"/>
        <v>48.25488620508979</v>
      </c>
      <c r="Z256" s="383">
        <f t="shared" si="89"/>
        <v>49.826197342553677</v>
      </c>
      <c r="AA256" s="384">
        <f t="shared" si="90"/>
        <v>52.312684618066349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4.7531249708678863E-2</v>
      </c>
      <c r="AD256" s="230">
        <f>(INDEX(Models!$BJ256:$BT256,,AH256)*(1-AF256)+INDEX(Models!$BJ256:$BT256,,AH256+1)*AF256-ERP_i)*AE256*Ramure*Pc/MaxiM</f>
        <v>3.8869179975095775E-6</v>
      </c>
      <c r="AE256" s="304">
        <f t="shared" si="92"/>
        <v>0.6</v>
      </c>
      <c r="AF256" s="177">
        <f t="shared" si="93"/>
        <v>0.98194932111165811</v>
      </c>
      <c r="AG256" s="799">
        <f t="shared" si="99"/>
        <v>0</v>
      </c>
      <c r="AH256" s="176">
        <f t="shared" si="94"/>
        <v>6</v>
      </c>
      <c r="AI256" s="224">
        <f t="shared" si="95"/>
        <v>0.98194932111165811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45169</v>
      </c>
      <c r="B257" s="409">
        <f>IF(t&gt;Tmaj,'2022'!Wh/'2022'!Env_an*'2023'!Env_an,0.001*'[10]mon-tableau (1)'!$B$272)</f>
        <v>25.61907563578611</v>
      </c>
      <c r="C257" s="829"/>
      <c r="D257" s="391">
        <f t="shared" si="77"/>
        <v>26.453809822670618</v>
      </c>
      <c r="E257" s="383">
        <f t="shared" si="100"/>
        <v>27.110444151692437</v>
      </c>
      <c r="F257" s="383">
        <f t="shared" si="78"/>
        <v>27.11047896956871</v>
      </c>
      <c r="G257" s="110">
        <f t="shared" si="101"/>
        <v>0.49867160806645411</v>
      </c>
      <c r="H257" s="412" t="b">
        <f>Wh_hp&gt;='2022'!Maxi_hp</f>
        <v>0</v>
      </c>
      <c r="I257" s="379">
        <f>IF(H257,Wh_hp,'2022'!Maxi_hp)</f>
        <v>53.216072891494655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3.1554403410322784E-2</v>
      </c>
      <c r="M257" s="832"/>
      <c r="N257" s="832"/>
      <c r="O257" s="48">
        <f>IF(t&lt;Tnet,'2022'!Resal+('2022'!Salim-'2022'!Resal)*(1-EXP(('2022'!Tnet-t)/('2022'!Tau_j))),Resal+(Salim-Resal)*(1-EXP((Tnet-t)/(Tau_j))))*Salcycl</f>
        <v>2.4220714546309936E-2</v>
      </c>
      <c r="P257" s="338">
        <f>(INDEX(Models!$BJ257:$BT257,,T257)*(1-R257)+INDEX(Models!$BJ257:$BT257,,T257+1)*R257-ERP_i)*Q257*Ramure*Pc/MaxiM</f>
        <v>4.5250542209334647E-6</v>
      </c>
      <c r="Q257" s="304">
        <f t="shared" si="80"/>
        <v>0.6</v>
      </c>
      <c r="R257" s="177">
        <f t="shared" si="81"/>
        <v>0.98262381830135836</v>
      </c>
      <c r="S257" s="799">
        <f t="shared" si="82"/>
        <v>0</v>
      </c>
      <c r="T257" s="176">
        <f t="shared" si="83"/>
        <v>6</v>
      </c>
      <c r="U257" s="250">
        <f t="shared" si="84"/>
        <v>0.98262381830135836</v>
      </c>
      <c r="V257" s="382">
        <f t="shared" si="85"/>
        <v>51.374476100175769</v>
      </c>
      <c r="W257" s="400">
        <f t="shared" si="86"/>
        <v>25.61907563578611</v>
      </c>
      <c r="X257" s="157">
        <f t="shared" si="87"/>
        <v>45169</v>
      </c>
      <c r="Y257" s="383">
        <f t="shared" si="88"/>
        <v>25.004942261686224</v>
      </c>
      <c r="Z257" s="383">
        <f t="shared" si="89"/>
        <v>25.819666432208088</v>
      </c>
      <c r="AA257" s="384">
        <f t="shared" si="90"/>
        <v>27.110444151692437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4.7611824884239984E-2</v>
      </c>
      <c r="AD257" s="230">
        <f>(INDEX(Models!$BJ257:$BT257,,AH257)*(1-AF257)+INDEX(Models!$BJ257:$BT257,,AH257+1)*AF257-ERP_i)*AE257*Ramure*Pc/MaxiM</f>
        <v>4.5250542209334647E-6</v>
      </c>
      <c r="AE257" s="304">
        <f t="shared" si="92"/>
        <v>0.6</v>
      </c>
      <c r="AF257" s="177">
        <f t="shared" si="93"/>
        <v>0.98262381830135836</v>
      </c>
      <c r="AG257" s="799">
        <f t="shared" si="99"/>
        <v>0</v>
      </c>
      <c r="AH257" s="176">
        <f t="shared" si="94"/>
        <v>6</v>
      </c>
      <c r="AI257" s="224">
        <f t="shared" si="95"/>
        <v>0.98262381830135836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45170</v>
      </c>
      <c r="B258" s="409">
        <f>IF(t&gt;Tmaj,'2022'!Wh/'2022'!Env_an*'2023'!Env_an,0.001*'[11]mon-tableau (3)'!$B$235)</f>
        <v>40.183178358154024</v>
      </c>
      <c r="C258" s="829"/>
      <c r="D258" s="391">
        <f t="shared" si="77"/>
        <v>41.493243002874358</v>
      </c>
      <c r="E258" s="383">
        <f t="shared" si="100"/>
        <v>42.527951398126078</v>
      </c>
      <c r="F258" s="383">
        <f t="shared" si="78"/>
        <v>42.528104963826856</v>
      </c>
      <c r="G258" s="110">
        <f t="shared" si="101"/>
        <v>0.78453938199818918</v>
      </c>
      <c r="H258" s="412" t="b">
        <f>Wh_hp&gt;='2022'!Maxi_hp</f>
        <v>0</v>
      </c>
      <c r="I258" s="379">
        <f>IF(H258,Wh_hp,'2022'!Maxi_hp)</f>
        <v>44.616826041056136</v>
      </c>
      <c r="J258" s="85">
        <f>IF(H258,An,'2022'!An_max)</f>
        <v>2020</v>
      </c>
      <c r="K258" s="197">
        <f t="shared" si="79"/>
        <v>45170</v>
      </c>
      <c r="L258" s="147">
        <f>IF(t&lt;Tvie,1-EXP((T0-t)*PertePVj)+'2022'!Pspv,1-EXP((T0-t)*PertePVj)+Pspv)</f>
        <v>3.1572963449243541E-2</v>
      </c>
      <c r="M258" s="832"/>
      <c r="N258" s="832"/>
      <c r="O258" s="48">
        <f>IF(t&lt;Tnet,'2022'!Resal+('2022'!Salim-'2022'!Resal)*(1-EXP(('2022'!Tnet-t)/('2022'!Tau_j))),Resal+(Salim-Resal)*(1-EXP((Tnet-t)/(Tau_j))))*Salcycl</f>
        <v>2.4330078483331592E-2</v>
      </c>
      <c r="P258" s="338">
        <f>(INDEX(Models!$BJ258:$BT258,,T258)*(1-R258)+INDEX(Models!$BJ258:$BT258,,T258+1)*R258-ERP_i)*Q258*Ramure*Pc/MaxiM</f>
        <v>5.2165818340227616E-6</v>
      </c>
      <c r="Q258" s="304">
        <f t="shared" si="80"/>
        <v>0.6</v>
      </c>
      <c r="R258" s="177">
        <f t="shared" si="81"/>
        <v>0.98327293028397977</v>
      </c>
      <c r="S258" s="799">
        <f t="shared" si="82"/>
        <v>0</v>
      </c>
      <c r="T258" s="176">
        <f t="shared" si="83"/>
        <v>6</v>
      </c>
      <c r="U258" s="250">
        <f t="shared" si="84"/>
        <v>0.98327293028397977</v>
      </c>
      <c r="V258" s="382">
        <f t="shared" si="85"/>
        <v>51.218733895920018</v>
      </c>
      <c r="W258" s="400">
        <f t="shared" si="86"/>
        <v>40.183178358154024</v>
      </c>
      <c r="X258" s="157">
        <f t="shared" si="87"/>
        <v>45170</v>
      </c>
      <c r="Y258" s="383">
        <f t="shared" si="88"/>
        <v>39.221009935000488</v>
      </c>
      <c r="Z258" s="383">
        <f t="shared" si="89"/>
        <v>40.499705661557982</v>
      </c>
      <c r="AA258" s="384">
        <f t="shared" si="90"/>
        <v>42.527951398126078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4.7692062981840783E-2</v>
      </c>
      <c r="AD258" s="230">
        <f>(INDEX(Models!$BJ258:$BT258,,AH258)*(1-AF258)+INDEX(Models!$BJ258:$BT258,,AH258+1)*AF258-ERP_i)*AE258*Ramure*Pc/MaxiM</f>
        <v>5.2165818340227616E-6</v>
      </c>
      <c r="AE258" s="304">
        <f t="shared" si="92"/>
        <v>0.6</v>
      </c>
      <c r="AF258" s="177">
        <f t="shared" si="93"/>
        <v>0.98327293028397977</v>
      </c>
      <c r="AG258" s="799">
        <f t="shared" si="99"/>
        <v>0</v>
      </c>
      <c r="AH258" s="176">
        <f t="shared" si="94"/>
        <v>6</v>
      </c>
      <c r="AI258" s="224">
        <f t="shared" si="95"/>
        <v>0.98327293028397977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45171</v>
      </c>
      <c r="B259" s="409">
        <f>IF(t&gt;Tmaj,'2022'!Wh/'2022'!Env_an*'2023'!Env_an,0.001*'[11]mon-tableau (3)'!$B$236)</f>
        <v>38.280692561056341</v>
      </c>
      <c r="C259" s="829"/>
      <c r="D259" s="391">
        <f t="shared" si="77"/>
        <v>39.529489337888798</v>
      </c>
      <c r="E259" s="383">
        <f t="shared" si="100"/>
        <v>40.519758725288249</v>
      </c>
      <c r="F259" s="383">
        <f t="shared" si="78"/>
        <v>40.519913932574376</v>
      </c>
      <c r="G259" s="110">
        <f t="shared" si="101"/>
        <v>0.74973128029153602</v>
      </c>
      <c r="H259" s="412" t="b">
        <f>Wh_hp&gt;='2022'!Maxi_hp</f>
        <v>0</v>
      </c>
      <c r="I259" s="379">
        <f>IF(H259,Wh_hp,'2022'!Maxi_hp)</f>
        <v>52.82794412076764</v>
      </c>
      <c r="J259" s="85">
        <f>IF(H259,An,'2022'!An_max)</f>
        <v>2018</v>
      </c>
      <c r="K259" s="197">
        <f t="shared" si="79"/>
        <v>45171</v>
      </c>
      <c r="L259" s="147">
        <f>IF(t&lt;Tvie,1-EXP((T0-t)*PertePVj)+'2022'!Pspv,1-EXP((T0-t)*PertePVj)+Pspv)</f>
        <v>3.1591523132465271E-2</v>
      </c>
      <c r="M259" s="832"/>
      <c r="N259" s="832"/>
      <c r="O259" s="48">
        <f>IF(t&lt;Tnet,'2022'!Resal+('2022'!Salim-'2022'!Resal)*(1-EXP(('2022'!Tnet-t)/('2022'!Tau_j))),Resal+(Salim-Resal)*(1-EXP((Tnet-t)/(Tau_j))))*Salcycl</f>
        <v>2.4439172851772932E-2</v>
      </c>
      <c r="P259" s="338">
        <f>(INDEX(Models!$BJ259:$BT259,,T259)*(1-R259)+INDEX(Models!$BJ259:$BT259,,T259+1)*R259-ERP_i)*Q259*Ramure*Pc/MaxiM</f>
        <v>5.9619316455218214E-6</v>
      </c>
      <c r="Q259" s="304">
        <f t="shared" si="80"/>
        <v>0.6</v>
      </c>
      <c r="R259" s="177">
        <f t="shared" si="81"/>
        <v>0.98389754589818645</v>
      </c>
      <c r="S259" s="799">
        <f t="shared" si="82"/>
        <v>0</v>
      </c>
      <c r="T259" s="176">
        <f t="shared" si="83"/>
        <v>6</v>
      </c>
      <c r="U259" s="250">
        <f t="shared" si="84"/>
        <v>0.98389754589818645</v>
      </c>
      <c r="V259" s="382">
        <f t="shared" si="85"/>
        <v>51.059108737158525</v>
      </c>
      <c r="W259" s="400">
        <f t="shared" si="86"/>
        <v>38.280692561056341</v>
      </c>
      <c r="X259" s="157">
        <f t="shared" si="87"/>
        <v>45171</v>
      </c>
      <c r="Y259" s="383">
        <f t="shared" si="88"/>
        <v>37.365121733017148</v>
      </c>
      <c r="Z259" s="383">
        <f t="shared" si="89"/>
        <v>38.58405066205156</v>
      </c>
      <c r="AA259" s="384">
        <f t="shared" si="90"/>
        <v>40.519758725288249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4.7771954328756104E-2</v>
      </c>
      <c r="AD259" s="230">
        <f>(INDEX(Models!$BJ259:$BT259,,AH259)*(1-AF259)+INDEX(Models!$BJ259:$BT259,,AH259+1)*AF259-ERP_i)*AE259*Ramure*Pc/MaxiM</f>
        <v>5.9619316455218214E-6</v>
      </c>
      <c r="AE259" s="304">
        <f t="shared" si="92"/>
        <v>0.6</v>
      </c>
      <c r="AF259" s="177">
        <f t="shared" si="93"/>
        <v>0.98389754589818645</v>
      </c>
      <c r="AG259" s="799">
        <f t="shared" si="99"/>
        <v>0</v>
      </c>
      <c r="AH259" s="176">
        <f t="shared" si="94"/>
        <v>6</v>
      </c>
      <c r="AI259" s="224">
        <f t="shared" si="95"/>
        <v>0.98389754589818645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45172</v>
      </c>
      <c r="B260" s="409">
        <f>IF(t&gt;Tmaj,'2022'!Wh/'2022'!Env_an*'2023'!Env_an,0.001*'[11]mon-tableau (3)'!$B$237)</f>
        <v>39.819749588149755</v>
      </c>
      <c r="C260" s="829"/>
      <c r="D260" s="391">
        <f t="shared" si="77"/>
        <v>41.119541691742953</v>
      </c>
      <c r="E260" s="383">
        <f t="shared" si="100"/>
        <v>42.154346229298461</v>
      </c>
      <c r="F260" s="383">
        <f t="shared" si="78"/>
        <v>42.154542650972772</v>
      </c>
      <c r="G260" s="110">
        <f t="shared" si="101"/>
        <v>0.78238555759688577</v>
      </c>
      <c r="H260" s="412" t="b">
        <f>Wh_hp&gt;='2022'!Maxi_hp</f>
        <v>0</v>
      </c>
      <c r="I260" s="379">
        <f>IF(H260,Wh_hp,'2022'!Maxi_hp)</f>
        <v>55.63834028982383</v>
      </c>
      <c r="J260" s="85">
        <f>IF(H260,An,'2022'!An_max)</f>
        <v>2020</v>
      </c>
      <c r="K260" s="197">
        <f t="shared" si="79"/>
        <v>45172</v>
      </c>
      <c r="L260" s="147">
        <f>IF(t&lt;Tvie,1-EXP((T0-t)*PertePVj)+'2022'!Pspv,1-EXP((T0-t)*PertePVj)+Pspv)</f>
        <v>3.161008245999497E-2</v>
      </c>
      <c r="M260" s="832"/>
      <c r="N260" s="832"/>
      <c r="O260" s="48">
        <f>IF(t&lt;Tnet,'2022'!Resal+('2022'!Salim-'2022'!Resal)*(1-EXP(('2022'!Tnet-t)/('2022'!Tau_j))),Resal+(Salim-Resal)*(1-EXP((Tnet-t)/(Tau_j))))*Salcycl</f>
        <v>2.4547991609849409E-2</v>
      </c>
      <c r="P260" s="338">
        <f>(INDEX(Models!$BJ260:$BT260,,T260)*(1-R260)+INDEX(Models!$BJ260:$BT260,,T260+1)*R260-ERP_i)*Q260*Ramure*Pc/MaxiM</f>
        <v>6.7615659670988086E-6</v>
      </c>
      <c r="Q260" s="304">
        <f t="shared" si="80"/>
        <v>0.6</v>
      </c>
      <c r="R260" s="177">
        <f t="shared" si="81"/>
        <v>0.98449852797681192</v>
      </c>
      <c r="S260" s="799">
        <f t="shared" si="82"/>
        <v>0</v>
      </c>
      <c r="T260" s="176">
        <f t="shared" si="83"/>
        <v>6</v>
      </c>
      <c r="U260" s="250">
        <f t="shared" si="84"/>
        <v>0.98449852797681192</v>
      </c>
      <c r="V260" s="382">
        <f t="shared" si="85"/>
        <v>50.895195469566254</v>
      </c>
      <c r="W260" s="400">
        <f t="shared" si="86"/>
        <v>39.819749588149755</v>
      </c>
      <c r="X260" s="157">
        <f t="shared" si="87"/>
        <v>45172</v>
      </c>
      <c r="Y260" s="383">
        <f t="shared" si="88"/>
        <v>38.868457861929762</v>
      </c>
      <c r="Z260" s="383">
        <f t="shared" si="89"/>
        <v>40.137198000436712</v>
      </c>
      <c r="AA260" s="384">
        <f t="shared" si="90"/>
        <v>42.154346229298461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4.7851488856913628E-2</v>
      </c>
      <c r="AD260" s="230">
        <f>(INDEX(Models!$BJ260:$BT260,,AH260)*(1-AF260)+INDEX(Models!$BJ260:$BT260,,AH260+1)*AF260-ERP_i)*AE260*Ramure*Pc/MaxiM</f>
        <v>6.7615659670988086E-6</v>
      </c>
      <c r="AE260" s="304">
        <f t="shared" si="92"/>
        <v>0.6</v>
      </c>
      <c r="AF260" s="177">
        <f t="shared" si="93"/>
        <v>0.98449852797681192</v>
      </c>
      <c r="AG260" s="799">
        <f t="shared" si="99"/>
        <v>0</v>
      </c>
      <c r="AH260" s="176">
        <f t="shared" si="94"/>
        <v>6</v>
      </c>
      <c r="AI260" s="224">
        <f t="shared" si="95"/>
        <v>0.98449852797681192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45173</v>
      </c>
      <c r="B261" s="409">
        <f>IF(t&gt;Tmaj,'2022'!Wh/'2022'!Env_an*'2023'!Env_an,0.001*'[11]mon-tableau (3)'!$B$238)</f>
        <v>49.513856723908468</v>
      </c>
      <c r="C261" s="829"/>
      <c r="D261" s="391">
        <f t="shared" si="77"/>
        <v>51.131062774429779</v>
      </c>
      <c r="E261" s="383">
        <f t="shared" si="100"/>
        <v>52.423647941379052</v>
      </c>
      <c r="F261" s="383">
        <f t="shared" si="78"/>
        <v>52.424033534712855</v>
      </c>
      <c r="G261" s="110">
        <f t="shared" si="101"/>
        <v>0.97606021976262525</v>
      </c>
      <c r="H261" s="412" t="b">
        <f>Wh_hp&gt;='2022'!Maxi_hp</f>
        <v>0</v>
      </c>
      <c r="I261" s="379">
        <f>IF(H261,Wh_hp,'2022'!Maxi_hp)</f>
        <v>54.520522140500951</v>
      </c>
      <c r="J261" s="85">
        <f>IF(H261,An,'2022'!An_max)</f>
        <v>2018</v>
      </c>
      <c r="K261" s="197">
        <f t="shared" si="79"/>
        <v>45173</v>
      </c>
      <c r="L261" s="147">
        <f>IF(t&lt;Tvie,1-EXP((T0-t)*PertePVj)+'2022'!Pspv,1-EXP((T0-t)*PertePVj)+Pspv)</f>
        <v>3.162864143183941E-2</v>
      </c>
      <c r="M261" s="832"/>
      <c r="N261" s="832"/>
      <c r="O261" s="48">
        <f>IF(t&lt;Tnet,'2022'!Resal+('2022'!Salim-'2022'!Resal)*(1-EXP(('2022'!Tnet-t)/('2022'!Tau_j))),Resal+(Salim-Resal)*(1-EXP((Tnet-t)/(Tau_j))))*Salcycl</f>
        <v>2.4656528450569891E-2</v>
      </c>
      <c r="P261" s="338">
        <f>(INDEX(Models!$BJ261:$BT261,,T261)*(1-R261)+INDEX(Models!$BJ261:$BT261,,T261+1)*R261-ERP_i)*Q261*Ramure*Pc/MaxiM</f>
        <v>7.6157307050089884E-6</v>
      </c>
      <c r="Q261" s="304">
        <f t="shared" si="80"/>
        <v>0.6</v>
      </c>
      <c r="R261" s="177">
        <f t="shared" si="81"/>
        <v>0.98507671370257621</v>
      </c>
      <c r="S261" s="799">
        <f t="shared" si="82"/>
        <v>0</v>
      </c>
      <c r="T261" s="176">
        <f t="shared" si="83"/>
        <v>6</v>
      </c>
      <c r="U261" s="250">
        <f t="shared" si="84"/>
        <v>0.98507671370257621</v>
      </c>
      <c r="V261" s="382">
        <f t="shared" si="85"/>
        <v>50.728267401196774</v>
      </c>
      <c r="W261" s="400">
        <f t="shared" si="86"/>
        <v>49.513856723908468</v>
      </c>
      <c r="X261" s="157">
        <f t="shared" si="87"/>
        <v>45173</v>
      </c>
      <c r="Y261" s="383">
        <f t="shared" si="88"/>
        <v>48.332332620547646</v>
      </c>
      <c r="Z261" s="383">
        <f t="shared" si="89"/>
        <v>49.910948101575528</v>
      </c>
      <c r="AA261" s="384">
        <f t="shared" si="90"/>
        <v>52.423647941379052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4.7930656077449278E-2</v>
      </c>
      <c r="AD261" s="230">
        <f>(INDEX(Models!$BJ261:$BT261,,AH261)*(1-AF261)+INDEX(Models!$BJ261:$BT261,,AH261+1)*AF261-ERP_i)*AE261*Ramure*Pc/MaxiM</f>
        <v>7.6157307050089884E-6</v>
      </c>
      <c r="AE261" s="304">
        <f t="shared" si="92"/>
        <v>0.6</v>
      </c>
      <c r="AF261" s="177">
        <f t="shared" si="93"/>
        <v>0.98507671370257621</v>
      </c>
      <c r="AG261" s="799">
        <f t="shared" si="99"/>
        <v>0</v>
      </c>
      <c r="AH261" s="176">
        <f t="shared" si="94"/>
        <v>6</v>
      </c>
      <c r="AI261" s="224">
        <f t="shared" si="95"/>
        <v>0.98507671370257621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45174</v>
      </c>
      <c r="B262" s="409">
        <f>IF(t&gt;Tmaj,'2022'!Wh/'2022'!Env_an*'2023'!Env_an,0.001*'[11]mon-tableau (3)'!$B$239)</f>
        <v>43.745249097930937</v>
      </c>
      <c r="C262" s="829"/>
      <c r="D262" s="391">
        <f t="shared" si="77"/>
        <v>45.174908463216688</v>
      </c>
      <c r="E262" s="383">
        <f t="shared" si="100"/>
        <v>46.322064039428071</v>
      </c>
      <c r="F262" s="383">
        <f t="shared" si="78"/>
        <v>46.32238228164757</v>
      </c>
      <c r="G262" s="110">
        <f t="shared" si="101"/>
        <v>0.86521888023230886</v>
      </c>
      <c r="H262" s="412" t="b">
        <f>Wh_hp&gt;='2022'!Maxi_hp</f>
        <v>0</v>
      </c>
      <c r="I262" s="379">
        <f>IF(H262,Wh_hp,'2022'!Maxi_hp)</f>
        <v>54.53002186266891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3.1647200048005364E-2</v>
      </c>
      <c r="M262" s="832"/>
      <c r="N262" s="832"/>
      <c r="O262" s="48">
        <f>IF(t&lt;Tnet,'2022'!Resal+('2022'!Salim-'2022'!Resal)*(1-EXP(('2022'!Tnet-t)/('2022'!Tau_j))),Resal+(Salim-Resal)*(1-EXP((Tnet-t)/(Tau_j))))*Salcycl</f>
        <v>2.4764776786175946E-2</v>
      </c>
      <c r="P262" s="338">
        <f>(INDEX(Models!$BJ262:$BT262,,T262)*(1-R262)+INDEX(Models!$BJ262:$BT262,,T262+1)*R262-ERP_i)*Q262*Ramure*Pc/MaxiM</f>
        <v>8.5083862859935525E-6</v>
      </c>
      <c r="Q262" s="304">
        <f t="shared" si="80"/>
        <v>0.6</v>
      </c>
      <c r="R262" s="177">
        <f t="shared" si="81"/>
        <v>0.985632914995348</v>
      </c>
      <c r="S262" s="799">
        <f t="shared" si="82"/>
        <v>0</v>
      </c>
      <c r="T262" s="176">
        <f t="shared" si="83"/>
        <v>6</v>
      </c>
      <c r="U262" s="250">
        <f t="shared" si="84"/>
        <v>0.985632914995348</v>
      </c>
      <c r="V262" s="382">
        <f t="shared" si="85"/>
        <v>50.559665805160769</v>
      </c>
      <c r="W262" s="400">
        <f t="shared" si="86"/>
        <v>43.745249097930937</v>
      </c>
      <c r="X262" s="157">
        <f t="shared" si="87"/>
        <v>45174</v>
      </c>
      <c r="Y262" s="383">
        <f t="shared" si="88"/>
        <v>42.702583924009396</v>
      </c>
      <c r="Z262" s="383">
        <f t="shared" si="89"/>
        <v>44.098167451084301</v>
      </c>
      <c r="AA262" s="384">
        <f t="shared" si="90"/>
        <v>46.322064039428071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4.8009445055186922E-2</v>
      </c>
      <c r="AD262" s="230">
        <f>(INDEX(Models!$BJ262:$BT262,,AH262)*(1-AF262)+INDEX(Models!$BJ262:$BT262,,AH262+1)*AF262-ERP_i)*AE262*Ramure*Pc/MaxiM</f>
        <v>8.5083862859935525E-6</v>
      </c>
      <c r="AE262" s="304">
        <f t="shared" si="92"/>
        <v>0.6</v>
      </c>
      <c r="AF262" s="177">
        <f t="shared" si="93"/>
        <v>0.985632914995348</v>
      </c>
      <c r="AG262" s="799">
        <f t="shared" si="99"/>
        <v>0</v>
      </c>
      <c r="AH262" s="176">
        <f t="shared" si="94"/>
        <v>6</v>
      </c>
      <c r="AI262" s="224">
        <f t="shared" si="95"/>
        <v>0.985632914995348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45175</v>
      </c>
      <c r="B263" s="409">
        <f>IF(t&gt;Tmaj,'2022'!Wh/'2022'!Env_an*'2023'!Env_an,0.001*'[11]mon-tableau (3)'!$B$240)</f>
        <v>45.014255917727844</v>
      </c>
      <c r="C263" s="829"/>
      <c r="D263" s="391">
        <f t="shared" si="77"/>
        <v>46.486279199521327</v>
      </c>
      <c r="E263" s="383">
        <f t="shared" si="100"/>
        <v>47.672012276696229</v>
      </c>
      <c r="F263" s="383">
        <f t="shared" si="78"/>
        <v>47.672392378408837</v>
      </c>
      <c r="G263" s="110">
        <f t="shared" si="101"/>
        <v>0.89333212820694397</v>
      </c>
      <c r="H263" s="412" t="b">
        <f>Wh_hp&gt;='2022'!Maxi_hp</f>
        <v>0</v>
      </c>
      <c r="I263" s="379">
        <f>IF(H263,Wh_hp,'2022'!Maxi_hp)</f>
        <v>55.510997901314788</v>
      </c>
      <c r="J263" s="85">
        <f>IF(H263,An,'2022'!An_max)</f>
        <v>2018</v>
      </c>
      <c r="K263" s="197">
        <f t="shared" si="79"/>
        <v>45175</v>
      </c>
      <c r="L263" s="147">
        <f>IF(t&lt;Tvie,1-EXP((T0-t)*PertePVj)+'2022'!Pspv,1-EXP((T0-t)*PertePVj)+Pspv)</f>
        <v>3.1665758308499714E-2</v>
      </c>
      <c r="M263" s="832"/>
      <c r="N263" s="832"/>
      <c r="O263" s="48">
        <f>IF(t&lt;Tnet,'2022'!Resal+('2022'!Salim-'2022'!Resal)*(1-EXP(('2022'!Tnet-t)/('2022'!Tau_j))),Resal+(Salim-Resal)*(1-EXP((Tnet-t)/(Tau_j))))*Salcycl</f>
        <v>2.4872729732756206E-2</v>
      </c>
      <c r="P263" s="338">
        <f>(INDEX(Models!$BJ263:$BT263,,T263)*(1-R263)+INDEX(Models!$BJ263:$BT263,,T263+1)*R263-ERP_i)*Q263*Ramure*Pc/MaxiM</f>
        <v>9.4065878682138499E-6</v>
      </c>
      <c r="Q263" s="304">
        <f t="shared" si="80"/>
        <v>0.6</v>
      </c>
      <c r="R263" s="177">
        <f t="shared" si="81"/>
        <v>0.98616791892697964</v>
      </c>
      <c r="S263" s="799">
        <f t="shared" si="82"/>
        <v>0</v>
      </c>
      <c r="T263" s="176">
        <f t="shared" si="83"/>
        <v>6</v>
      </c>
      <c r="U263" s="250">
        <f t="shared" si="84"/>
        <v>0.98616791892697964</v>
      </c>
      <c r="V263" s="382">
        <f t="shared" si="85"/>
        <v>50.389088193725229</v>
      </c>
      <c r="W263" s="400">
        <f t="shared" si="86"/>
        <v>45.014255917727844</v>
      </c>
      <c r="X263" s="157">
        <f t="shared" si="87"/>
        <v>45175</v>
      </c>
      <c r="Y263" s="383">
        <f t="shared" si="88"/>
        <v>43.942589537425093</v>
      </c>
      <c r="Z263" s="383">
        <f t="shared" si="89"/>
        <v>45.379567968871513</v>
      </c>
      <c r="AA263" s="384">
        <f t="shared" si="90"/>
        <v>47.672012276696229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4.8087844383807241E-2</v>
      </c>
      <c r="AD263" s="230">
        <f>(INDEX(Models!$BJ263:$BT263,,AH263)*(1-AF263)+INDEX(Models!$BJ263:$BT263,,AH263+1)*AF263-ERP_i)*AE263*Ramure*Pc/MaxiM</f>
        <v>9.4065878682138499E-6</v>
      </c>
      <c r="AE263" s="304">
        <f t="shared" si="92"/>
        <v>0.6</v>
      </c>
      <c r="AF263" s="177">
        <f t="shared" si="93"/>
        <v>0.98616791892697964</v>
      </c>
      <c r="AG263" s="799">
        <f t="shared" si="99"/>
        <v>0</v>
      </c>
      <c r="AH263" s="176">
        <f t="shared" si="94"/>
        <v>6</v>
      </c>
      <c r="AI263" s="224">
        <f t="shared" si="95"/>
        <v>0.98616791892697964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45176</v>
      </c>
      <c r="B264" s="409">
        <f>IF(t&gt;Tmaj,'2022'!Wh/'2022'!Env_an*'2023'!Env_an,0.001*'[11]mon-tableau (3)'!$B$241)</f>
        <v>37.657628489500688</v>
      </c>
      <c r="C264" s="829"/>
      <c r="D264" s="391">
        <f t="shared" si="77"/>
        <v>38.889826035077441</v>
      </c>
      <c r="E264" s="383">
        <f t="shared" si="100"/>
        <v>39.88619843248356</v>
      </c>
      <c r="F264" s="383">
        <f t="shared" si="78"/>
        <v>39.886462750668954</v>
      </c>
      <c r="G264" s="110">
        <f t="shared" si="101"/>
        <v>0.74990674021240578</v>
      </c>
      <c r="H264" s="412" t="b">
        <f>Wh_hp&gt;='2022'!Maxi_hp</f>
        <v>0</v>
      </c>
      <c r="I264" s="379">
        <f>IF(H264,Wh_hp,'2022'!Maxi_hp)</f>
        <v>52.173352901498127</v>
      </c>
      <c r="J264" s="85">
        <f>IF(H264,An,'2022'!An_max)</f>
        <v>2018</v>
      </c>
      <c r="K264" s="197">
        <f t="shared" si="79"/>
        <v>45176</v>
      </c>
      <c r="L264" s="147">
        <f>IF(t&lt;Tvie,1-EXP((T0-t)*PertePVj)+'2022'!Pspv,1-EXP((T0-t)*PertePVj)+Pspv)</f>
        <v>3.1684316213329122E-2</v>
      </c>
      <c r="M264" s="832"/>
      <c r="N264" s="832"/>
      <c r="O264" s="48">
        <f>IF(t&lt;Tnet,'2022'!Resal+('2022'!Salim-'2022'!Resal)*(1-EXP(('2022'!Tnet-t)/('2022'!Tau_j))),Resal+(Salim-Resal)*(1-EXP((Tnet-t)/(Tau_j))))*Salcycl</f>
        <v>2.4980380095453454E-2</v>
      </c>
      <c r="P264" s="338">
        <f>(INDEX(Models!$BJ264:$BT264,,T264)*(1-R264)+INDEX(Models!$BJ264:$BT264,,T264+1)*R264-ERP_i)*Q264*Ramure*Pc/MaxiM</f>
        <v>1.0310373414772471E-5</v>
      </c>
      <c r="Q264" s="304">
        <f t="shared" si="80"/>
        <v>0.6</v>
      </c>
      <c r="R264" s="177">
        <f t="shared" si="81"/>
        <v>0.98668248816001736</v>
      </c>
      <c r="S264" s="799">
        <f t="shared" si="82"/>
        <v>0</v>
      </c>
      <c r="T264" s="176">
        <f t="shared" si="83"/>
        <v>6</v>
      </c>
      <c r="U264" s="250">
        <f t="shared" si="84"/>
        <v>0.98668248816001736</v>
      </c>
      <c r="V264" s="382">
        <f t="shared" si="85"/>
        <v>50.216230570123663</v>
      </c>
      <c r="W264" s="400">
        <f t="shared" si="86"/>
        <v>37.657628489500688</v>
      </c>
      <c r="X264" s="157">
        <f t="shared" si="87"/>
        <v>45176</v>
      </c>
      <c r="Y264" s="383">
        <f t="shared" si="88"/>
        <v>36.762149568816582</v>
      </c>
      <c r="Z264" s="383">
        <f t="shared" si="89"/>
        <v>37.965046094322716</v>
      </c>
      <c r="AA264" s="384">
        <f t="shared" si="90"/>
        <v>39.88619843248356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4.8165842162492048E-2</v>
      </c>
      <c r="AD264" s="230">
        <f>(INDEX(Models!$BJ264:$BT264,,AH264)*(1-AF264)+INDEX(Models!$BJ264:$BT264,,AH264+1)*AF264-ERP_i)*AE264*Ramure*Pc/MaxiM</f>
        <v>1.0310373414772471E-5</v>
      </c>
      <c r="AE264" s="304">
        <f t="shared" si="92"/>
        <v>0.6</v>
      </c>
      <c r="AF264" s="177">
        <f t="shared" si="93"/>
        <v>0.98668248816001736</v>
      </c>
      <c r="AG264" s="799">
        <f t="shared" si="99"/>
        <v>0</v>
      </c>
      <c r="AH264" s="176">
        <f t="shared" si="94"/>
        <v>6</v>
      </c>
      <c r="AI264" s="224">
        <f t="shared" si="95"/>
        <v>0.98668248816001736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45177</v>
      </c>
      <c r="B265" s="409">
        <f>IF(t&gt;Tmaj,'2022'!Wh/'2022'!Env_an*'2023'!Env_an,0.001*'[11]mon-tableau (3)'!$B$242)</f>
        <v>37.455798306537183</v>
      </c>
      <c r="C265" s="829"/>
      <c r="D265" s="391">
        <f t="shared" si="77"/>
        <v>38.682133088712895</v>
      </c>
      <c r="E265" s="383">
        <f t="shared" si="100"/>
        <v>39.677552428395252</v>
      </c>
      <c r="F265" s="383">
        <f t="shared" si="78"/>
        <v>39.67783766321773</v>
      </c>
      <c r="G265" s="110">
        <f t="shared" si="101"/>
        <v>0.74850233163590274</v>
      </c>
      <c r="H265" s="412" t="b">
        <f>Wh_hp&gt;='2022'!Maxi_hp</f>
        <v>0</v>
      </c>
      <c r="I265" s="379">
        <f>IF(H265,Wh_hp,'2022'!Maxi_hp)</f>
        <v>51.203240442877672</v>
      </c>
      <c r="J265" s="85">
        <f>IF(H265,An,'2022'!An_max)</f>
        <v>2020</v>
      </c>
      <c r="K265" s="197">
        <f t="shared" si="79"/>
        <v>45177</v>
      </c>
      <c r="L265" s="147">
        <f>IF(t&lt;Tvie,1-EXP((T0-t)*PertePVj)+'2022'!Pspv,1-EXP((T0-t)*PertePVj)+Pspv)</f>
        <v>3.1702873762500583E-2</v>
      </c>
      <c r="M265" s="832"/>
      <c r="N265" s="832"/>
      <c r="O265" s="48">
        <f>IF(t&lt;Tnet,'2022'!Resal+('2022'!Salim-'2022'!Resal)*(1-EXP(('2022'!Tnet-t)/('2022'!Tau_j))),Resal+(Salim-Resal)*(1-EXP((Tnet-t)/(Tau_j))))*Salcycl</f>
        <v>2.5087720354695777E-2</v>
      </c>
      <c r="P265" s="338">
        <f>(INDEX(Models!$BJ265:$BT265,,T265)*(1-R265)+INDEX(Models!$BJ265:$BT265,,T265+1)*R265-ERP_i)*Q265*Ramure*Pc/MaxiM</f>
        <v>1.1219796025416597E-5</v>
      </c>
      <c r="Q265" s="304">
        <f t="shared" si="80"/>
        <v>0.6</v>
      </c>
      <c r="R265" s="177">
        <f t="shared" si="81"/>
        <v>0.98717736140686307</v>
      </c>
      <c r="S265" s="799">
        <f t="shared" si="82"/>
        <v>0</v>
      </c>
      <c r="T265" s="176">
        <f t="shared" si="83"/>
        <v>6</v>
      </c>
      <c r="U265" s="250">
        <f t="shared" si="84"/>
        <v>0.98717736140686307</v>
      </c>
      <c r="V265" s="382">
        <f t="shared" si="85"/>
        <v>50.040789102509606</v>
      </c>
      <c r="W265" s="400">
        <f t="shared" si="86"/>
        <v>37.455798306537183</v>
      </c>
      <c r="X265" s="157">
        <f t="shared" si="87"/>
        <v>45177</v>
      </c>
      <c r="Y265" s="383">
        <f t="shared" si="88"/>
        <v>36.566163969723561</v>
      </c>
      <c r="Z265" s="383">
        <f t="shared" si="89"/>
        <v>37.763371364953102</v>
      </c>
      <c r="AA265" s="384">
        <f t="shared" si="90"/>
        <v>39.677552428395252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4.8243425974840735E-2</v>
      </c>
      <c r="AD265" s="230">
        <f>(INDEX(Models!$BJ265:$BT265,,AH265)*(1-AF265)+INDEX(Models!$BJ265:$BT265,,AH265+1)*AF265-ERP_i)*AE265*Ramure*Pc/MaxiM</f>
        <v>1.1219796025416597E-5</v>
      </c>
      <c r="AE265" s="304">
        <f t="shared" si="92"/>
        <v>0.6</v>
      </c>
      <c r="AF265" s="177">
        <f t="shared" si="93"/>
        <v>0.98717736140686307</v>
      </c>
      <c r="AG265" s="799">
        <f t="shared" si="99"/>
        <v>0</v>
      </c>
      <c r="AH265" s="176">
        <f t="shared" si="94"/>
        <v>6</v>
      </c>
      <c r="AI265" s="224">
        <f t="shared" si="95"/>
        <v>0.98717736140686307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45178</v>
      </c>
      <c r="B266" s="409">
        <f>IF(t&gt;Tmaj,'2022'!Wh/'2022'!Env_an*'2023'!Env_an,0.001*'[11]mon-tableau (3)'!$B$243)</f>
        <v>20.682718811686147</v>
      </c>
      <c r="C266" s="829"/>
      <c r="D266" s="391">
        <f t="shared" si="77"/>
        <v>21.360298030872496</v>
      </c>
      <c r="E266" s="383">
        <f t="shared" si="100"/>
        <v>21.912374671660665</v>
      </c>
      <c r="F266" s="383">
        <f t="shared" si="78"/>
        <v>21.912418278418045</v>
      </c>
      <c r="G266" s="110">
        <f t="shared" si="101"/>
        <v>0.41479118630929446</v>
      </c>
      <c r="H266" s="412" t="b">
        <f>Wh_hp&gt;='2022'!Maxi_hp</f>
        <v>0</v>
      </c>
      <c r="I266" s="379">
        <f>IF(H266,Wh_hp,'2022'!Maxi_hp)</f>
        <v>51.228956112547721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3.1721430956020868E-2</v>
      </c>
      <c r="M266" s="832"/>
      <c r="N266" s="832"/>
      <c r="O266" s="48">
        <f>IF(t&lt;Tnet,'2022'!Resal+('2022'!Salim-'2022'!Resal)*(1-EXP(('2022'!Tnet-t)/('2022'!Tau_j))),Resal+(Salim-Resal)*(1-EXP((Tnet-t)/(Tau_j))))*Salcycl</f>
        <v>2.51947426538928E-2</v>
      </c>
      <c r="P266" s="338">
        <f>(INDEX(Models!$BJ266:$BT266,,T266)*(1-R266)+INDEX(Models!$BJ266:$BT266,,T266+1)*R266-ERP_i)*Q266*Ramure*Pc/MaxiM</f>
        <v>1.2134923973013402E-5</v>
      </c>
      <c r="Q266" s="304">
        <f t="shared" si="80"/>
        <v>0.6</v>
      </c>
      <c r="R266" s="177">
        <f t="shared" si="81"/>
        <v>0.98765325390621839</v>
      </c>
      <c r="S266" s="799">
        <f t="shared" si="82"/>
        <v>0</v>
      </c>
      <c r="T266" s="176">
        <f t="shared" si="83"/>
        <v>6</v>
      </c>
      <c r="U266" s="250">
        <f t="shared" si="84"/>
        <v>0.98765325390621839</v>
      </c>
      <c r="V266" s="382">
        <f t="shared" si="85"/>
        <v>49.862460125232424</v>
      </c>
      <c r="W266" s="400">
        <f t="shared" si="86"/>
        <v>20.682718811686147</v>
      </c>
      <c r="X266" s="157">
        <f t="shared" si="87"/>
        <v>45178</v>
      </c>
      <c r="Y266" s="383">
        <f t="shared" si="88"/>
        <v>20.192051320013356</v>
      </c>
      <c r="Z266" s="383">
        <f t="shared" si="89"/>
        <v>20.853555955441408</v>
      </c>
      <c r="AA266" s="384">
        <f t="shared" si="90"/>
        <v>21.912374671660665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4.8320582870857359E-2</v>
      </c>
      <c r="AD266" s="230">
        <f>(INDEX(Models!$BJ266:$BT266,,AH266)*(1-AF266)+INDEX(Models!$BJ266:$BT266,,AH266+1)*AF266-ERP_i)*AE266*Ramure*Pc/MaxiM</f>
        <v>1.2134923973013402E-5</v>
      </c>
      <c r="AE266" s="304">
        <f t="shared" si="92"/>
        <v>0.6</v>
      </c>
      <c r="AF266" s="177">
        <f t="shared" si="93"/>
        <v>0.98765325390621839</v>
      </c>
      <c r="AG266" s="799">
        <f t="shared" si="99"/>
        <v>0</v>
      </c>
      <c r="AH266" s="176">
        <f t="shared" si="94"/>
        <v>6</v>
      </c>
      <c r="AI266" s="224">
        <f t="shared" si="95"/>
        <v>0.98765325390621839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45179</v>
      </c>
      <c r="B267" s="409">
        <f>IF(t&gt;Tmaj,'2022'!Wh/'2022'!Env_an*'2023'!Env_an,0.001*'[11]mon-tableau (3)'!$B$244)</f>
        <v>48.039726202402321</v>
      </c>
      <c r="C267" s="829"/>
      <c r="D267" s="391">
        <f t="shared" si="77"/>
        <v>49.61448949332074</v>
      </c>
      <c r="E267" s="383">
        <f t="shared" si="100"/>
        <v>50.902393281139183</v>
      </c>
      <c r="F267" s="383">
        <f t="shared" si="78"/>
        <v>50.90302649935466</v>
      </c>
      <c r="G267" s="110">
        <f t="shared" si="101"/>
        <v>0.96696432215195527</v>
      </c>
      <c r="H267" s="412" t="b">
        <f>Wh_hp&gt;='2022'!Maxi_hp</f>
        <v>0</v>
      </c>
      <c r="I267" s="379">
        <f>IF(H267,Wh_hp,'2022'!Maxi_hp)</f>
        <v>50.90303337020184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3.1739987793896751E-2</v>
      </c>
      <c r="M267" s="832"/>
      <c r="N267" s="832"/>
      <c r="O267" s="48">
        <f>IF(t&lt;Tnet,'2022'!Resal+('2022'!Salim-'2022'!Resal)*(1-EXP(('2022'!Tnet-t)/('2022'!Tau_j))),Resal+(Salim-Resal)*(1-EXP((Tnet-t)/(Tau_j))))*Salcycl</f>
        <v>2.5301438789041241E-2</v>
      </c>
      <c r="P267" s="338">
        <f>(INDEX(Models!$BJ267:$BT267,,T267)*(1-R267)+INDEX(Models!$BJ267:$BT267,,T267+1)*R267-ERP_i)*Q267*Ramure*Pc/MaxiM</f>
        <v>1.3055840750292116E-5</v>
      </c>
      <c r="Q267" s="304">
        <f t="shared" si="80"/>
        <v>0.6</v>
      </c>
      <c r="R267" s="177">
        <f t="shared" si="81"/>
        <v>0.9881108579138832</v>
      </c>
      <c r="S267" s="799">
        <f t="shared" si="82"/>
        <v>0</v>
      </c>
      <c r="T267" s="176">
        <f t="shared" si="83"/>
        <v>6</v>
      </c>
      <c r="U267" s="250">
        <f t="shared" si="84"/>
        <v>0.9881108579138832</v>
      </c>
      <c r="V267" s="382">
        <f t="shared" si="85"/>
        <v>49.68094013617371</v>
      </c>
      <c r="W267" s="400">
        <f t="shared" si="86"/>
        <v>48.039726202402321</v>
      </c>
      <c r="X267" s="157">
        <f t="shared" si="87"/>
        <v>45179</v>
      </c>
      <c r="Y267" s="383">
        <f t="shared" si="88"/>
        <v>46.901406251962214</v>
      </c>
      <c r="Z267" s="383">
        <f t="shared" si="89"/>
        <v>48.438854915738077</v>
      </c>
      <c r="AA267" s="384">
        <f t="shared" si="90"/>
        <v>50.902393281139183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4.8397299352797234E-2</v>
      </c>
      <c r="AD267" s="230">
        <f>(INDEX(Models!$BJ267:$BT267,,AH267)*(1-AF267)+INDEX(Models!$BJ267:$BT267,,AH267+1)*AF267-ERP_i)*AE267*Ramure*Pc/MaxiM</f>
        <v>1.3055840750292116E-5</v>
      </c>
      <c r="AE267" s="304">
        <f t="shared" si="92"/>
        <v>0.6</v>
      </c>
      <c r="AF267" s="177">
        <f t="shared" si="93"/>
        <v>0.9881108579138832</v>
      </c>
      <c r="AG267" s="799">
        <f t="shared" si="99"/>
        <v>0</v>
      </c>
      <c r="AH267" s="176">
        <f t="shared" si="94"/>
        <v>6</v>
      </c>
      <c r="AI267" s="224">
        <f t="shared" si="95"/>
        <v>0.9881108579138832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45180</v>
      </c>
      <c r="B268" s="409">
        <f>IF(t&gt;Tmaj,'2022'!Wh/'2022'!Env_an*'2023'!Env_an,0.001*'[11]mon-tableau (3)'!$B$245)</f>
        <v>48.453954203338519</v>
      </c>
      <c r="C268" s="829"/>
      <c r="D268" s="391">
        <f t="shared" si="77"/>
        <v>50.043255137339649</v>
      </c>
      <c r="E268" s="383">
        <f t="shared" si="100"/>
        <v>51.347892121078182</v>
      </c>
      <c r="F268" s="383">
        <f t="shared" si="78"/>
        <v>51.348590031368481</v>
      </c>
      <c r="G268" s="110">
        <f t="shared" si="101"/>
        <v>0.97894795331373685</v>
      </c>
      <c r="H268" s="412" t="b">
        <f>Wh_hp&gt;='2022'!Maxi_hp</f>
        <v>0</v>
      </c>
      <c r="I268" s="379">
        <f>IF(H268,Wh_hp,'2022'!Maxi_hp)</f>
        <v>51.348594776222477</v>
      </c>
      <c r="J268" s="85">
        <f>IF(H268,An,'2022'!An_max)</f>
        <v>2022</v>
      </c>
      <c r="K268" s="197">
        <f t="shared" si="79"/>
        <v>45180</v>
      </c>
      <c r="L268" s="147">
        <f>IF(t&lt;Tvie,1-EXP((T0-t)*PertePVj)+'2022'!Pspv,1-EXP((T0-t)*PertePVj)+Pspv)</f>
        <v>3.1758544276135114E-2</v>
      </c>
      <c r="M268" s="832"/>
      <c r="N268" s="832"/>
      <c r="O268" s="48">
        <f>IF(t&lt;Tnet,'2022'!Resal+('2022'!Salim-'2022'!Resal)*(1-EXP(('2022'!Tnet-t)/('2022'!Tau_j))),Resal+(Salim-Resal)*(1-EXP((Tnet-t)/(Tau_j))))*Salcycl</f>
        <v>2.5407800200682146E-2</v>
      </c>
      <c r="P268" s="338">
        <f>(INDEX(Models!$BJ268:$BT268,,T268)*(1-R268)+INDEX(Models!$BJ268:$BT268,,T268+1)*R268-ERP_i)*Q268*Ramure*Pc/MaxiM</f>
        <v>1.4013040317404852E-5</v>
      </c>
      <c r="Q268" s="304">
        <f t="shared" si="80"/>
        <v>0.6</v>
      </c>
      <c r="R268" s="177">
        <f t="shared" si="81"/>
        <v>0.98855084320521991</v>
      </c>
      <c r="S268" s="799">
        <f t="shared" si="82"/>
        <v>0</v>
      </c>
      <c r="T268" s="176">
        <f t="shared" si="83"/>
        <v>6</v>
      </c>
      <c r="U268" s="250">
        <f t="shared" si="84"/>
        <v>0.98855084320521991</v>
      </c>
      <c r="V268" s="382">
        <f t="shared" si="85"/>
        <v>49.495924292342544</v>
      </c>
      <c r="W268" s="400">
        <f t="shared" si="86"/>
        <v>48.453954203338519</v>
      </c>
      <c r="X268" s="157">
        <f t="shared" si="87"/>
        <v>45180</v>
      </c>
      <c r="Y268" s="383">
        <f t="shared" si="88"/>
        <v>47.307190115361728</v>
      </c>
      <c r="Z268" s="383">
        <f t="shared" si="89"/>
        <v>48.858876921350678</v>
      </c>
      <c r="AA268" s="384">
        <f t="shared" si="90"/>
        <v>51.347892121078182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4.8473561365643097E-2</v>
      </c>
      <c r="AD268" s="230">
        <f>(INDEX(Models!$BJ268:$BT268,,AH268)*(1-AF268)+INDEX(Models!$BJ268:$BT268,,AH268+1)*AF268-ERP_i)*AE268*Ramure*Pc/MaxiM</f>
        <v>1.4013040317404852E-5</v>
      </c>
      <c r="AE268" s="304">
        <f t="shared" si="92"/>
        <v>0.6</v>
      </c>
      <c r="AF268" s="177">
        <f t="shared" si="93"/>
        <v>0.98855084320521991</v>
      </c>
      <c r="AG268" s="799">
        <f t="shared" si="99"/>
        <v>0</v>
      </c>
      <c r="AH268" s="176">
        <f t="shared" si="94"/>
        <v>6</v>
      </c>
      <c r="AI268" s="224">
        <f t="shared" si="95"/>
        <v>0.98855084320521991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45181</v>
      </c>
      <c r="B269" s="409">
        <f>IF(t&gt;Tmaj,'2022'!Wh/'2022'!Env_an*'2023'!Env_an,0.001*'[11]mon-tableau (3)'!$B$246)</f>
        <v>37.987056844876534</v>
      </c>
      <c r="C269" s="829"/>
      <c r="D269" s="391">
        <f t="shared" si="77"/>
        <v>39.233793025012787</v>
      </c>
      <c r="E269" s="383">
        <f t="shared" si="100"/>
        <v>40.261004977236695</v>
      </c>
      <c r="F269" s="383">
        <f t="shared" si="78"/>
        <v>40.261410521313366</v>
      </c>
      <c r="G269" s="110">
        <f t="shared" si="101"/>
        <v>0.77041363518165296</v>
      </c>
      <c r="H269" s="412" t="b">
        <f>Wh_hp&gt;='2022'!Maxi_hp</f>
        <v>0</v>
      </c>
      <c r="I269" s="379">
        <f>IF(H269,Wh_hp,'2022'!Maxi_hp)</f>
        <v>51.806611892360216</v>
      </c>
      <c r="J269" s="85">
        <f>IF(H269,An,'2022'!An_max)</f>
        <v>2018</v>
      </c>
      <c r="K269" s="197">
        <f t="shared" si="79"/>
        <v>45181</v>
      </c>
      <c r="L269" s="147">
        <f>IF(t&lt;Tvie,1-EXP((T0-t)*PertePVj)+'2022'!Pspv,1-EXP((T0-t)*PertePVj)+Pspv)</f>
        <v>3.177710040274262E-2</v>
      </c>
      <c r="M269" s="832"/>
      <c r="N269" s="832"/>
      <c r="O269" s="48">
        <f>IF(t&lt;Tnet,'2022'!Resal+('2022'!Salim-'2022'!Resal)*(1-EXP(('2022'!Tnet-t)/('2022'!Tau_j))),Resal+(Salim-Resal)*(1-EXP((Tnet-t)/(Tau_j))))*Salcycl</f>
        <v>2.5513817968644537E-2</v>
      </c>
      <c r="P269" s="338">
        <f>(INDEX(Models!$BJ269:$BT269,,T269)*(1-R269)+INDEX(Models!$BJ269:$BT269,,T269+1)*R269-ERP_i)*Q269*Ramure*Pc/MaxiM</f>
        <v>1.4988691417848188E-5</v>
      </c>
      <c r="Q269" s="304">
        <f t="shared" si="80"/>
        <v>0.6</v>
      </c>
      <c r="R269" s="177">
        <f t="shared" si="81"/>
        <v>0.98897385758680689</v>
      </c>
      <c r="S269" s="799">
        <f t="shared" si="82"/>
        <v>0</v>
      </c>
      <c r="T269" s="176">
        <f t="shared" si="83"/>
        <v>6</v>
      </c>
      <c r="U269" s="250">
        <f t="shared" si="84"/>
        <v>0.98897385758680689</v>
      </c>
      <c r="V269" s="382">
        <f t="shared" si="85"/>
        <v>49.307110319760376</v>
      </c>
      <c r="W269" s="400">
        <f t="shared" si="86"/>
        <v>37.987056844876534</v>
      </c>
      <c r="X269" s="157">
        <f t="shared" si="87"/>
        <v>45181</v>
      </c>
      <c r="Y269" s="383">
        <f t="shared" si="88"/>
        <v>37.089094160603707</v>
      </c>
      <c r="Z269" s="383">
        <f t="shared" si="89"/>
        <v>38.30635918240656</v>
      </c>
      <c r="AA269" s="384">
        <f t="shared" si="90"/>
        <v>40.261004977236695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4.8549354292951291E-2</v>
      </c>
      <c r="AD269" s="230">
        <f>(INDEX(Models!$BJ269:$BT269,,AH269)*(1-AF269)+INDEX(Models!$BJ269:$BT269,,AH269+1)*AF269-ERP_i)*AE269*Ramure*Pc/MaxiM</f>
        <v>1.4988691417848188E-5</v>
      </c>
      <c r="AE269" s="304">
        <f t="shared" si="92"/>
        <v>0.6</v>
      </c>
      <c r="AF269" s="177">
        <f t="shared" si="93"/>
        <v>0.98897385758680689</v>
      </c>
      <c r="AG269" s="799">
        <f t="shared" si="99"/>
        <v>0</v>
      </c>
      <c r="AH269" s="176">
        <f t="shared" si="94"/>
        <v>6</v>
      </c>
      <c r="AI269" s="224">
        <f t="shared" si="95"/>
        <v>0.98897385758680689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45182</v>
      </c>
      <c r="B270" s="409">
        <f>IF(t&gt;Tmaj,'2022'!Wh/'2022'!Env_an*'2023'!Env_an,0.001*'[11]mon-tableau (3)'!$B$247)</f>
        <v>15.101266634004181</v>
      </c>
      <c r="C270" s="829"/>
      <c r="D270" s="391">
        <f t="shared" si="77"/>
        <v>15.597189508905801</v>
      </c>
      <c r="E270" s="383">
        <f t="shared" si="100"/>
        <v>16.00728794730648</v>
      </c>
      <c r="F270" s="383">
        <f t="shared" si="78"/>
        <v>16.007290678465019</v>
      </c>
      <c r="G270" s="110">
        <f t="shared" si="101"/>
        <v>0.30746768391917595</v>
      </c>
      <c r="H270" s="412" t="b">
        <f>Wh_hp&gt;='2022'!Maxi_hp</f>
        <v>0</v>
      </c>
      <c r="I270" s="379">
        <f>IF(H270,Wh_hp,'2022'!Maxi_hp)</f>
        <v>49.476808548086147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3.1795656173726261E-2</v>
      </c>
      <c r="M270" s="832"/>
      <c r="N270" s="832"/>
      <c r="O270" s="48">
        <f>IF(t&lt;Tnet,'2022'!Resal+('2022'!Salim-'2022'!Resal)*(1-EXP(('2022'!Tnet-t)/('2022'!Tau_j))),Resal+(Salim-Resal)*(1-EXP((Tnet-t)/(Tau_j))))*Salcycl</f>
        <v>2.5619482809996361E-2</v>
      </c>
      <c r="P270" s="338">
        <f>(INDEX(Models!$BJ270:$BT270,,T270)*(1-R270)+INDEX(Models!$BJ270:$BT270,,T270+1)*R270-ERP_i)*Q270*Ramure*Pc/MaxiM</f>
        <v>1.5983008638469744E-5</v>
      </c>
      <c r="Q270" s="304">
        <f t="shared" si="80"/>
        <v>0.6</v>
      </c>
      <c r="R270" s="177">
        <f t="shared" si="81"/>
        <v>0.98938052741501692</v>
      </c>
      <c r="S270" s="799">
        <f t="shared" si="82"/>
        <v>0</v>
      </c>
      <c r="T270" s="176">
        <f t="shared" si="83"/>
        <v>6</v>
      </c>
      <c r="U270" s="250">
        <f t="shared" si="84"/>
        <v>0.98938052741501692</v>
      </c>
      <c r="V270" s="382">
        <f t="shared" si="85"/>
        <v>49.114195203782799</v>
      </c>
      <c r="W270" s="400">
        <f t="shared" si="86"/>
        <v>15.101266634004181</v>
      </c>
      <c r="X270" s="157">
        <f t="shared" si="87"/>
        <v>45182</v>
      </c>
      <c r="Y270" s="383">
        <f t="shared" si="88"/>
        <v>14.744724858731626</v>
      </c>
      <c r="Z270" s="383">
        <f t="shared" si="89"/>
        <v>15.228938965984739</v>
      </c>
      <c r="AA270" s="384">
        <f t="shared" si="90"/>
        <v>16.00728794730648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4.8624662958768904E-2</v>
      </c>
      <c r="AD270" s="230">
        <f>(INDEX(Models!$BJ270:$BT270,,AH270)*(1-AF270)+INDEX(Models!$BJ270:$BT270,,AH270+1)*AF270-ERP_i)*AE270*Ramure*Pc/MaxiM</f>
        <v>1.5983008638469744E-5</v>
      </c>
      <c r="AE270" s="304">
        <f t="shared" si="92"/>
        <v>0.6</v>
      </c>
      <c r="AF270" s="177">
        <f t="shared" si="93"/>
        <v>0.98938052741501692</v>
      </c>
      <c r="AG270" s="799">
        <f t="shared" si="99"/>
        <v>0</v>
      </c>
      <c r="AH270" s="176">
        <f t="shared" si="94"/>
        <v>6</v>
      </c>
      <c r="AI270" s="224">
        <f t="shared" si="95"/>
        <v>0.98938052741501692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45183</v>
      </c>
      <c r="B271" s="409">
        <f>IF(t&gt;Tmaj,'2022'!Wh/'2022'!Env_an*'2023'!Env_an,0.001*'[11]mon-tableau (3)'!$B$248)</f>
        <v>38.031905842198093</v>
      </c>
      <c r="C271" s="829"/>
      <c r="D271" s="391">
        <f t="shared" ref="D271:D334" si="102">Wh/(1-Ppv)</f>
        <v>39.281619599705373</v>
      </c>
      <c r="E271" s="383">
        <f t="shared" si="100"/>
        <v>40.3188123829623</v>
      </c>
      <c r="F271" s="383">
        <f t="shared" ref="F271:F334" si="103">Wh_sa/(1-Pvg*MEDIAN((-Sdif+Wh/Env_an)/Csdif,0,1))</f>
        <v>40.319279819463667</v>
      </c>
      <c r="G271" s="110">
        <f t="shared" si="101"/>
        <v>0.77747606548539538</v>
      </c>
      <c r="H271" s="412" t="b">
        <f>Wh_hp&gt;='2022'!Maxi_hp</f>
        <v>0</v>
      </c>
      <c r="I271" s="379">
        <f>IF(H271,Wh_hp,'2022'!Maxi_hp)</f>
        <v>49.421570563132221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3.1814211589092811E-2</v>
      </c>
      <c r="M271" s="832"/>
      <c r="N271" s="832"/>
      <c r="O271" s="48">
        <f>IF(t&lt;Tnet,'2022'!Resal+('2022'!Salim-'2022'!Resal)*(1-EXP(('2022'!Tnet-t)/('2022'!Tau_j))),Resal+(Salim-Resal)*(1-EXP((Tnet-t)/(Tau_j))))*Salcycl</f>
        <v>2.5724785080604658E-2</v>
      </c>
      <c r="P271" s="338">
        <f>(INDEX(Models!$BJ271:$BT271,,T271)*(1-R271)+INDEX(Models!$BJ271:$BT271,,T271+1)*R271-ERP_i)*Q271*Ramure*Pc/MaxiM</f>
        <v>1.6996224905052503E-5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0.98977145811945255</v>
      </c>
      <c r="S271" s="799">
        <f t="shared" ref="S271:S334" si="107">INDEX(Echel_vg,T271)</f>
        <v>0</v>
      </c>
      <c r="T271" s="176">
        <f t="shared" ref="T271:T334" si="108">MIN(MATCH(Hp_vg,Echel_vg),10)</f>
        <v>6</v>
      </c>
      <c r="U271" s="250">
        <f t="shared" ref="U271:U334" si="109">IF(OR(t&lt;Ttai,Notai),Hdd+PousH*Croivg,Hdtf+PousH*(Croivg-Croi_tai))</f>
        <v>0.98977145811945255</v>
      </c>
      <c r="V271" s="382">
        <f t="shared" ref="V271:V334" si="110">MaxiM*(1-Ppv)*(1-Pvg)*(1-Psa)</f>
        <v>48.916876091054085</v>
      </c>
      <c r="W271" s="400">
        <f t="shared" ref="W271:W334" si="111">Wh*(A271&gt;Tmaj)</f>
        <v>38.031905842198093</v>
      </c>
      <c r="X271" s="157">
        <f t="shared" ref="X271:X334" si="112">t</f>
        <v>45183</v>
      </c>
      <c r="Y271" s="383">
        <f t="shared" ref="Y271:Y334" si="113">Wh_pvt_s*(1-Ppv)</f>
        <v>37.135063653811393</v>
      </c>
      <c r="Z271" s="383">
        <f t="shared" ref="Z271:Z334" si="114">Wh_sa_s*(1-Psa_s)</f>
        <v>38.355307522909975</v>
      </c>
      <c r="AA271" s="384">
        <f t="shared" ref="AA271:AA334" si="115">Wh_hp*(1-Pvg_s*MEDIAN((-Sdif+Wh/Env_an)/Csdif,0,1))</f>
        <v>40.3188123829623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4.8699471636273993E-2</v>
      </c>
      <c r="AD271" s="230">
        <f>(INDEX(Models!$BJ271:$BT271,,AH271)*(1-AF271)+INDEX(Models!$BJ271:$BT271,,AH271+1)*AF271-ERP_i)*AE271*Ramure*Pc/MaxiM</f>
        <v>1.6996224905052503E-5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0.98977145811945255</v>
      </c>
      <c r="AG271" s="799">
        <f t="shared" si="99"/>
        <v>0</v>
      </c>
      <c r="AH271" s="176">
        <f t="shared" ref="AH271:AH334" si="119">MIN(MATCH(Hp_vg_s,Echel_vg),10)</f>
        <v>6</v>
      </c>
      <c r="AI271" s="224">
        <f t="shared" ref="AI271:AI334" si="120">IF(OR(t&lt;Ttai,Notai),Hdd_s+PousH*Croivg,Hdtai_s+PousH*(Croivg-Croi_tai))</f>
        <v>0.98977145811945255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45184</v>
      </c>
      <c r="B272" s="409">
        <f>IF(t&gt;Tmaj,'2022'!Wh/'2022'!Env_an*'2023'!Env_an,0.001*'[11]mon-tableau (3)'!$B$249)</f>
        <v>41.814335176018524</v>
      </c>
      <c r="C272" s="829"/>
      <c r="D272" s="391">
        <f t="shared" si="102"/>
        <v>43.189165813105561</v>
      </c>
      <c r="E272" s="383">
        <f t="shared" si="100"/>
        <v>44.334308352858685</v>
      </c>
      <c r="F272" s="383">
        <f t="shared" si="103"/>
        <v>44.334945904808073</v>
      </c>
      <c r="G272" s="110">
        <f t="shared" si="101"/>
        <v>0.85834570735889271</v>
      </c>
      <c r="H272" s="412" t="b">
        <f>Wh_hp&gt;='2022'!Maxi_hp</f>
        <v>0</v>
      </c>
      <c r="I272" s="379">
        <f>IF(H272,Wh_hp,'2022'!Maxi_hp)</f>
        <v>51.00676090295368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3.1832766648849042E-2</v>
      </c>
      <c r="M272" s="832"/>
      <c r="N272" s="832"/>
      <c r="O272" s="48">
        <f>IF(t&lt;Tnet,'2022'!Resal+('2022'!Salim-'2022'!Resal)*(1-EXP(('2022'!Tnet-t)/('2022'!Tau_j))),Resal+(Salim-Resal)*(1-EXP((Tnet-t)/(Tau_j))))*Salcycl</f>
        <v>2.5829714780681468E-2</v>
      </c>
      <c r="P272" s="338">
        <f>(INDEX(Models!$BJ272:$BT272,,T272)*(1-R272)+INDEX(Models!$BJ272:$BT272,,T272+1)*R272-ERP_i)*Q272*Ramure*Pc/MaxiM</f>
        <v>1.8028592304451102E-5</v>
      </c>
      <c r="Q272" s="304">
        <f t="shared" si="105"/>
        <v>0.6</v>
      </c>
      <c r="R272" s="177">
        <f t="shared" si="106"/>
        <v>0.99014723472935062</v>
      </c>
      <c r="S272" s="799">
        <f t="shared" si="107"/>
        <v>0</v>
      </c>
      <c r="T272" s="176">
        <f t="shared" si="108"/>
        <v>6</v>
      </c>
      <c r="U272" s="250">
        <f t="shared" si="109"/>
        <v>0.99014723472935062</v>
      </c>
      <c r="V272" s="382">
        <f t="shared" si="110"/>
        <v>48.714850282847657</v>
      </c>
      <c r="W272" s="400">
        <f t="shared" si="111"/>
        <v>41.814335176018524</v>
      </c>
      <c r="X272" s="157">
        <f t="shared" si="112"/>
        <v>45184</v>
      </c>
      <c r="Y272" s="383">
        <f t="shared" si="113"/>
        <v>40.829507182829857</v>
      </c>
      <c r="Z272" s="383">
        <f t="shared" si="114"/>
        <v>42.171957257327605</v>
      </c>
      <c r="AA272" s="384">
        <f t="shared" si="115"/>
        <v>44.334308352858685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4.8773764063732156E-2</v>
      </c>
      <c r="AD272" s="230">
        <f>(INDEX(Models!$BJ272:$BT272,,AH272)*(1-AF272)+INDEX(Models!$BJ272:$BT272,,AH272+1)*AF272-ERP_i)*AE272*Ramure*Pc/MaxiM</f>
        <v>1.8028592304451102E-5</v>
      </c>
      <c r="AE272" s="304">
        <f t="shared" si="117"/>
        <v>0.6</v>
      </c>
      <c r="AF272" s="177">
        <f t="shared" si="118"/>
        <v>0.99014723472935062</v>
      </c>
      <c r="AG272" s="799">
        <f t="shared" ref="AG272:AG335" si="124">INDEX(Echel_vg,AH272)</f>
        <v>0</v>
      </c>
      <c r="AH272" s="176">
        <f t="shared" si="119"/>
        <v>6</v>
      </c>
      <c r="AI272" s="224">
        <f t="shared" si="120"/>
        <v>0.99014723472935062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45185</v>
      </c>
      <c r="B273" s="409">
        <f>IF(t&gt;Tmaj,'2022'!Wh/'2022'!Env_an*'2023'!Env_an,0.001*'[11]mon-tableau (3)'!$B$250)</f>
        <v>30.244924907577158</v>
      </c>
      <c r="C273" s="829"/>
      <c r="D273" s="391">
        <f t="shared" si="102"/>
        <v>31.239958876817223</v>
      </c>
      <c r="E273" s="383">
        <f t="shared" si="100"/>
        <v>32.071715125714839</v>
      </c>
      <c r="F273" s="383">
        <f t="shared" si="103"/>
        <v>32.071997937634414</v>
      </c>
      <c r="G273" s="110">
        <f t="shared" si="101"/>
        <v>0.62349982933399661</v>
      </c>
      <c r="H273" s="412" t="b">
        <f>Wh_hp&gt;='2022'!Maxi_hp</f>
        <v>0</v>
      </c>
      <c r="I273" s="379">
        <f>IF(H273,Wh_hp,'2022'!Maxi_hp)</f>
        <v>45.030086079266795</v>
      </c>
      <c r="J273" s="85">
        <f>IF(H273,An,'2022'!An_max)</f>
        <v>2018</v>
      </c>
      <c r="K273" s="197">
        <f t="shared" si="104"/>
        <v>45185</v>
      </c>
      <c r="L273" s="147">
        <f>IF(t&lt;Tvie,1-EXP((T0-t)*PertePVj)+'2022'!Pspv,1-EXP((T0-t)*PertePVj)+Pspv)</f>
        <v>3.1851321353001727E-2</v>
      </c>
      <c r="M273" s="832"/>
      <c r="N273" s="832"/>
      <c r="O273" s="48">
        <f>IF(t&lt;Tnet,'2022'!Resal+('2022'!Salim-'2022'!Resal)*(1-EXP(('2022'!Tnet-t)/('2022'!Tau_j))),Resal+(Salim-Resal)*(1-EXP((Tnet-t)/(Tau_j))))*Salcycl</f>
        <v>2.5934261564662092E-2</v>
      </c>
      <c r="P273" s="338">
        <f>(INDEX(Models!$BJ273:$BT273,,T273)*(1-R273)+INDEX(Models!$BJ273:$BT273,,T273+1)*R273-ERP_i)*Q273*Ramure*Pc/MaxiM</f>
        <v>1.9080383011501303E-5</v>
      </c>
      <c r="Q273" s="304">
        <f t="shared" si="105"/>
        <v>0.6</v>
      </c>
      <c r="R273" s="177">
        <f t="shared" si="106"/>
        <v>0.99050842240124626</v>
      </c>
      <c r="S273" s="799">
        <f t="shared" si="107"/>
        <v>0</v>
      </c>
      <c r="T273" s="176">
        <f t="shared" si="108"/>
        <v>6</v>
      </c>
      <c r="U273" s="250">
        <f t="shared" si="109"/>
        <v>0.99050842240124626</v>
      </c>
      <c r="V273" s="382">
        <f t="shared" si="110"/>
        <v>48.507815235692014</v>
      </c>
      <c r="W273" s="400">
        <f t="shared" si="111"/>
        <v>30.244924907577158</v>
      </c>
      <c r="X273" s="157">
        <f t="shared" si="112"/>
        <v>45185</v>
      </c>
      <c r="Y273" s="383">
        <f t="shared" si="113"/>
        <v>29.533463803549161</v>
      </c>
      <c r="Z273" s="383">
        <f t="shared" si="114"/>
        <v>30.505091268442985</v>
      </c>
      <c r="AA273" s="384">
        <f t="shared" si="115"/>
        <v>32.071715125714839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4.8847523468295836E-2</v>
      </c>
      <c r="AD273" s="230">
        <f>(INDEX(Models!$BJ273:$BT273,,AH273)*(1-AF273)+INDEX(Models!$BJ273:$BT273,,AH273+1)*AF273-ERP_i)*AE273*Ramure*Pc/MaxiM</f>
        <v>1.9080383011501303E-5</v>
      </c>
      <c r="AE273" s="304">
        <f t="shared" si="117"/>
        <v>0.6</v>
      </c>
      <c r="AF273" s="177">
        <f t="shared" si="118"/>
        <v>0.99050842240124626</v>
      </c>
      <c r="AG273" s="799">
        <f t="shared" si="124"/>
        <v>0</v>
      </c>
      <c r="AH273" s="176">
        <f t="shared" si="119"/>
        <v>6</v>
      </c>
      <c r="AI273" s="224">
        <f t="shared" si="120"/>
        <v>0.99050842240124626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45186</v>
      </c>
      <c r="B274" s="409">
        <f>IF(t&gt;Tmaj,'2022'!Wh/'2022'!Env_an*'2023'!Env_an,0.001*'[11]mon-tableau (3)'!$B$251)</f>
        <v>48.800708997443905</v>
      </c>
      <c r="C274" s="829"/>
      <c r="D274" s="391">
        <f t="shared" si="102"/>
        <v>50.407179543976547</v>
      </c>
      <c r="E274" s="383">
        <f t="shared" si="100"/>
        <v>51.754792291252627</v>
      </c>
      <c r="F274" s="383">
        <f t="shared" si="103"/>
        <v>51.7558352691699</v>
      </c>
      <c r="G274" s="110">
        <f t="shared" si="101"/>
        <v>1.010461446092713</v>
      </c>
      <c r="H274" s="412" t="b">
        <f>Wh_hp&gt;='2022'!Maxi_hp</f>
        <v>1</v>
      </c>
      <c r="I274" s="379">
        <f>IF(H274,Wh_hp,'2022'!Maxi_hp)</f>
        <v>51.7558352691699</v>
      </c>
      <c r="J274" s="85">
        <f>IF(H274,An,'2022'!An_max)</f>
        <v>2023</v>
      </c>
      <c r="K274" s="197">
        <f t="shared" si="104"/>
        <v>45186</v>
      </c>
      <c r="L274" s="147">
        <f>IF(t&lt;Tvie,1-EXP((T0-t)*PertePVj)+'2022'!Pspv,1-EXP((T0-t)*PertePVj)+Pspv)</f>
        <v>3.1869875701557859E-2</v>
      </c>
      <c r="M274" s="832"/>
      <c r="N274" s="832"/>
      <c r="O274" s="48">
        <f>IF(t&lt;Tnet,'2022'!Resal+('2022'!Salim-'2022'!Resal)*(1-EXP(('2022'!Tnet-t)/('2022'!Tau_j))),Resal+(Salim-Resal)*(1-EXP((Tnet-t)/(Tau_j))))*Salcycl</f>
        <v>2.6038414755725867E-2</v>
      </c>
      <c r="P274" s="338">
        <f>(INDEX(Models!$BJ274:$BT274,,T274)*(1-R274)+INDEX(Models!$BJ274:$BT274,,T274+1)*R274-ERP_i)*Q274*Ramure*Pc/MaxiM</f>
        <v>2.0151890349167301E-5</v>
      </c>
      <c r="Q274" s="304">
        <f t="shared" si="105"/>
        <v>0.6</v>
      </c>
      <c r="R274" s="177">
        <f t="shared" si="106"/>
        <v>0.99085556694634458</v>
      </c>
      <c r="S274" s="799">
        <f t="shared" si="107"/>
        <v>0</v>
      </c>
      <c r="T274" s="176">
        <f t="shared" si="108"/>
        <v>6</v>
      </c>
      <c r="U274" s="250">
        <f t="shared" si="109"/>
        <v>0.99085556694634458</v>
      </c>
      <c r="V274" s="382">
        <f t="shared" si="110"/>
        <v>48.295468556616541</v>
      </c>
      <c r="W274" s="400">
        <f t="shared" si="111"/>
        <v>48.800708997443905</v>
      </c>
      <c r="X274" s="157">
        <f t="shared" si="112"/>
        <v>45186</v>
      </c>
      <c r="Y274" s="383">
        <f t="shared" si="113"/>
        <v>47.654181915544157</v>
      </c>
      <c r="Z274" s="383">
        <f t="shared" si="114"/>
        <v>49.222909936902205</v>
      </c>
      <c r="AA274" s="384">
        <f t="shared" si="115"/>
        <v>51.754792291252627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4.8920732598097066E-2</v>
      </c>
      <c r="AD274" s="230">
        <f>(INDEX(Models!$BJ274:$BT274,,AH274)*(1-AF274)+INDEX(Models!$BJ274:$BT274,,AH274+1)*AF274-ERP_i)*AE274*Ramure*Pc/MaxiM</f>
        <v>2.0151890349167301E-5</v>
      </c>
      <c r="AE274" s="304">
        <f t="shared" si="117"/>
        <v>0.6</v>
      </c>
      <c r="AF274" s="177">
        <f t="shared" si="118"/>
        <v>0.99085556694634458</v>
      </c>
      <c r="AG274" s="799">
        <f t="shared" si="124"/>
        <v>0</v>
      </c>
      <c r="AH274" s="176">
        <f t="shared" si="119"/>
        <v>6</v>
      </c>
      <c r="AI274" s="224">
        <f t="shared" si="120"/>
        <v>0.99085556694634458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45187</v>
      </c>
      <c r="B275" s="409">
        <f>IF(t&gt;Tmaj,'2022'!Wh/'2022'!Env_an*'2023'!Env_an,0.001*'[11]mon-tableau (3)'!$B$252)</f>
        <v>47.169620824957299</v>
      </c>
      <c r="C275" s="829"/>
      <c r="D275" s="391">
        <f t="shared" si="102"/>
        <v>48.723331351234123</v>
      </c>
      <c r="E275" s="383">
        <f t="shared" si="100"/>
        <v>50.031256635568887</v>
      </c>
      <c r="F275" s="383">
        <f t="shared" si="103"/>
        <v>50.03229079202103</v>
      </c>
      <c r="G275" s="110">
        <f t="shared" si="101"/>
        <v>0.98110456378131028</v>
      </c>
      <c r="H275" s="412" t="b">
        <f>Wh_hp&gt;='2022'!Maxi_hp</f>
        <v>0</v>
      </c>
      <c r="I275" s="379">
        <f>IF(H275,Wh_hp,'2022'!Maxi_hp)</f>
        <v>50.032297106703666</v>
      </c>
      <c r="J275" s="85">
        <f>IF(H275,An,'2022'!An_max)</f>
        <v>2022</v>
      </c>
      <c r="K275" s="197">
        <f t="shared" si="104"/>
        <v>45187</v>
      </c>
      <c r="L275" s="147">
        <f>IF(t&lt;Tvie,1-EXP((T0-t)*PertePVj)+'2022'!Pspv,1-EXP((T0-t)*PertePVj)+Pspv)</f>
        <v>3.188842969452399E-2</v>
      </c>
      <c r="M275" s="832"/>
      <c r="N275" s="832"/>
      <c r="O275" s="48">
        <f>IF(t&lt;Tnet,'2022'!Resal+('2022'!Salim-'2022'!Resal)*(1-EXP(('2022'!Tnet-t)/('2022'!Tau_j))),Resal+(Salim-Resal)*(1-EXP((Tnet-t)/(Tau_j))))*Salcycl</f>
        <v>2.6142163365229416E-2</v>
      </c>
      <c r="P275" s="338">
        <f>(INDEX(Models!$BJ275:$BT275,,T275)*(1-R275)+INDEX(Models!$BJ275:$BT275,,T275+1)*R275-ERP_i)*Q275*Ramure*Pc/MaxiM</f>
        <v>2.1243190749635694E-5</v>
      </c>
      <c r="Q275" s="304">
        <f t="shared" si="105"/>
        <v>0.6</v>
      </c>
      <c r="R275" s="177">
        <f t="shared" si="106"/>
        <v>0.99118919535620242</v>
      </c>
      <c r="S275" s="799">
        <f t="shared" si="107"/>
        <v>0</v>
      </c>
      <c r="T275" s="176">
        <f t="shared" si="108"/>
        <v>6</v>
      </c>
      <c r="U275" s="250">
        <f t="shared" si="109"/>
        <v>0.99118919535620242</v>
      </c>
      <c r="V275" s="382">
        <f t="shared" si="110"/>
        <v>48.078049494582565</v>
      </c>
      <c r="W275" s="400">
        <f t="shared" si="111"/>
        <v>47.169620824957299</v>
      </c>
      <c r="X275" s="157">
        <f t="shared" si="112"/>
        <v>45187</v>
      </c>
      <c r="Y275" s="383">
        <f t="shared" si="113"/>
        <v>46.062803290296479</v>
      </c>
      <c r="Z275" s="383">
        <f t="shared" si="114"/>
        <v>47.580056579389826</v>
      </c>
      <c r="AA275" s="384">
        <f t="shared" si="115"/>
        <v>50.031256635568887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4.8993373763001259E-2</v>
      </c>
      <c r="AD275" s="230">
        <f>(INDEX(Models!$BJ275:$BT275,,AH275)*(1-AF275)+INDEX(Models!$BJ275:$BT275,,AH275+1)*AF275-ERP_i)*AE275*Ramure*Pc/MaxiM</f>
        <v>2.1243190749635694E-5</v>
      </c>
      <c r="AE275" s="304">
        <f t="shared" si="117"/>
        <v>0.6</v>
      </c>
      <c r="AF275" s="177">
        <f t="shared" si="118"/>
        <v>0.99118919535620242</v>
      </c>
      <c r="AG275" s="799">
        <f t="shared" si="124"/>
        <v>0</v>
      </c>
      <c r="AH275" s="176">
        <f t="shared" si="119"/>
        <v>6</v>
      </c>
      <c r="AI275" s="224">
        <f t="shared" si="120"/>
        <v>0.99118919535620242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45188</v>
      </c>
      <c r="B276" s="409">
        <f>IF(t&gt;Tmaj,'2022'!Wh/'2022'!Env_an*'2023'!Env_an,0.001*'[11]mon-tableau (3)'!$B$253)</f>
        <v>47.736872534225121</v>
      </c>
      <c r="C276" s="829"/>
      <c r="D276" s="391">
        <f t="shared" si="102"/>
        <v>49.310212667913021</v>
      </c>
      <c r="E276" s="383">
        <f t="shared" si="100"/>
        <v>50.6392653089611</v>
      </c>
      <c r="F276" s="383">
        <f t="shared" si="103"/>
        <v>50.640395640469492</v>
      </c>
      <c r="G276" s="110">
        <f t="shared" si="101"/>
        <v>0.99750926157211572</v>
      </c>
      <c r="H276" s="412" t="b">
        <f>Wh_hp&gt;='2022'!Maxi_hp</f>
        <v>0</v>
      </c>
      <c r="I276" s="379">
        <f>IF(H276,Wh_hp,'2022'!Maxi_hp)</f>
        <v>50.64039652855579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3.1906983331907224E-2</v>
      </c>
      <c r="M276" s="832"/>
      <c r="N276" s="832"/>
      <c r="O276" s="48">
        <f>IF(t&lt;Tnet,'2022'!Resal+('2022'!Salim-'2022'!Resal)*(1-EXP(('2022'!Tnet-t)/('2022'!Tau_j))),Resal+(Salim-Resal)*(1-EXP((Tnet-t)/(Tau_j))))*Salcycl</f>
        <v>2.6245496117276657E-2</v>
      </c>
      <c r="P276" s="338">
        <f>(INDEX(Models!$BJ276:$BT276,,T276)*(1-R276)+INDEX(Models!$BJ276:$BT276,,T276+1)*R276-ERP_i)*Q276*Ramure*Pc/MaxiM</f>
        <v>2.240045066289287E-5</v>
      </c>
      <c r="Q276" s="304">
        <f t="shared" si="105"/>
        <v>0.6</v>
      </c>
      <c r="R276" s="177">
        <f t="shared" si="106"/>
        <v>0.99150981632546409</v>
      </c>
      <c r="S276" s="799">
        <f t="shared" si="107"/>
        <v>0</v>
      </c>
      <c r="T276" s="176">
        <f t="shared" si="108"/>
        <v>6</v>
      </c>
      <c r="U276" s="250">
        <f t="shared" si="109"/>
        <v>0.99150981632546409</v>
      </c>
      <c r="V276" s="382">
        <f t="shared" si="110"/>
        <v>47.856065671157594</v>
      </c>
      <c r="W276" s="400">
        <f t="shared" si="111"/>
        <v>47.736872534225121</v>
      </c>
      <c r="X276" s="157">
        <f t="shared" si="112"/>
        <v>45188</v>
      </c>
      <c r="Y276" s="383">
        <f t="shared" si="113"/>
        <v>46.618159124022299</v>
      </c>
      <c r="Z276" s="383">
        <f t="shared" si="114"/>
        <v>48.154628038191049</v>
      </c>
      <c r="AA276" s="384">
        <f t="shared" si="115"/>
        <v>50.6392653089611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4.9065428884300467E-2</v>
      </c>
      <c r="AD276" s="230">
        <f>(INDEX(Models!$BJ276:$BT276,,AH276)*(1-AF276)+INDEX(Models!$BJ276:$BT276,,AH276+1)*AF276-ERP_i)*AE276*Ramure*Pc/MaxiM</f>
        <v>2.240045066289287E-5</v>
      </c>
      <c r="AE276" s="304">
        <f t="shared" si="117"/>
        <v>0.6</v>
      </c>
      <c r="AF276" s="177">
        <f t="shared" si="118"/>
        <v>0.99150981632546409</v>
      </c>
      <c r="AG276" s="799">
        <f t="shared" si="124"/>
        <v>0</v>
      </c>
      <c r="AH276" s="176">
        <f t="shared" si="119"/>
        <v>6</v>
      </c>
      <c r="AI276" s="224">
        <f t="shared" si="120"/>
        <v>0.99150981632546409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45189</v>
      </c>
      <c r="B277" s="409">
        <f>IF(t&gt;Tmaj,'2022'!Wh/'2022'!Env_an*'2023'!Env_an,0.001*'[11]mon-tableau (3)'!$B$254)</f>
        <v>49.24517036261409</v>
      </c>
      <c r="C277" s="829"/>
      <c r="D277" s="391">
        <f t="shared" si="102"/>
        <v>50.86919676649299</v>
      </c>
      <c r="E277" s="383">
        <f t="shared" si="100"/>
        <v>52.245789812026828</v>
      </c>
      <c r="F277" s="383">
        <f t="shared" si="103"/>
        <v>52.24702497422664</v>
      </c>
      <c r="G277" s="110">
        <f t="shared" si="101"/>
        <v>1.0339190299948389</v>
      </c>
      <c r="H277" s="412" t="b">
        <f>Wh_hp&gt;='2022'!Maxi_hp</f>
        <v>1</v>
      </c>
      <c r="I277" s="379">
        <f>IF(H277,Wh_hp,'2022'!Maxi_hp)</f>
        <v>52.24702497422664</v>
      </c>
      <c r="J277" s="85">
        <f>IF(H277,An,'2022'!An_max)</f>
        <v>2023</v>
      </c>
      <c r="K277" s="197">
        <f t="shared" si="104"/>
        <v>45189</v>
      </c>
      <c r="L277" s="147">
        <f>IF(t&lt;Tvie,1-EXP((T0-t)*PertePVj)+'2022'!Pspv,1-EXP((T0-t)*PertePVj)+Pspv)</f>
        <v>3.1925536613714112E-2</v>
      </c>
      <c r="M277" s="832"/>
      <c r="N277" s="832"/>
      <c r="O277" s="48">
        <f>IF(t&lt;Tnet,'2022'!Resal+('2022'!Salim-'2022'!Resal)*(1-EXP(('2022'!Tnet-t)/('2022'!Tau_j))),Resal+(Salim-Resal)*(1-EXP((Tnet-t)/(Tau_j))))*Salcycl</f>
        <v>2.6348401478600063E-2</v>
      </c>
      <c r="P277" s="338">
        <f>(INDEX(Models!$BJ277:$BT277,,T277)*(1-R277)+INDEX(Models!$BJ277:$BT277,,T277+1)*R277-ERP_i)*Q277*Ramure*Pc/MaxiM</f>
        <v>2.3640814006528446E-5</v>
      </c>
      <c r="Q277" s="304">
        <f t="shared" si="105"/>
        <v>0.6</v>
      </c>
      <c r="R277" s="177">
        <f t="shared" si="106"/>
        <v>0.99181792077052278</v>
      </c>
      <c r="S277" s="799">
        <f t="shared" si="107"/>
        <v>0</v>
      </c>
      <c r="T277" s="176">
        <f t="shared" si="108"/>
        <v>6</v>
      </c>
      <c r="U277" s="250">
        <f t="shared" si="109"/>
        <v>0.99181792077052278</v>
      </c>
      <c r="V277" s="382">
        <f t="shared" si="110"/>
        <v>47.629619858007565</v>
      </c>
      <c r="W277" s="400">
        <f t="shared" si="111"/>
        <v>49.24517036261409</v>
      </c>
      <c r="X277" s="157">
        <f t="shared" si="112"/>
        <v>45189</v>
      </c>
      <c r="Y277" s="383">
        <f t="shared" si="113"/>
        <v>48.092578935856558</v>
      </c>
      <c r="Z277" s="383">
        <f t="shared" si="114"/>
        <v>49.678594730854314</v>
      </c>
      <c r="AA277" s="384">
        <f t="shared" si="115"/>
        <v>52.245789812026828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4.9136879553528141E-2</v>
      </c>
      <c r="AD277" s="230">
        <f>(INDEX(Models!$BJ277:$BT277,,AH277)*(1-AF277)+INDEX(Models!$BJ277:$BT277,,AH277+1)*AF277-ERP_i)*AE277*Ramure*Pc/MaxiM</f>
        <v>2.3640814006528446E-5</v>
      </c>
      <c r="AE277" s="304">
        <f t="shared" si="117"/>
        <v>0.6</v>
      </c>
      <c r="AF277" s="177">
        <f t="shared" si="118"/>
        <v>0.99181792077052278</v>
      </c>
      <c r="AG277" s="799">
        <f t="shared" si="124"/>
        <v>0</v>
      </c>
      <c r="AH277" s="176">
        <f t="shared" si="119"/>
        <v>6</v>
      </c>
      <c r="AI277" s="224">
        <f t="shared" si="120"/>
        <v>0.99181792077052278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45190</v>
      </c>
      <c r="B278" s="409">
        <f>IF(t&gt;Tmaj,'2022'!Wh/'2022'!Env_an*'2023'!Env_an,0.001*'[11]mon-tableau (3)'!$B$255)</f>
        <v>47.989478779674656</v>
      </c>
      <c r="C278" s="829"/>
      <c r="D278" s="391">
        <f t="shared" si="102"/>
        <v>49.573044553664943</v>
      </c>
      <c r="E278" s="383">
        <f t="shared" si="100"/>
        <v>50.919920637428142</v>
      </c>
      <c r="F278" s="383">
        <f t="shared" si="103"/>
        <v>50.921191873462114</v>
      </c>
      <c r="G278" s="110">
        <f t="shared" si="101"/>
        <v>1.0124615605457439</v>
      </c>
      <c r="H278" s="412" t="b">
        <f>Wh_hp&gt;='2022'!Maxi_hp</f>
        <v>1</v>
      </c>
      <c r="I278" s="379">
        <f>IF(H278,Wh_hp,'2022'!Maxi_hp)</f>
        <v>50.921191873462114</v>
      </c>
      <c r="J278" s="85">
        <f>IF(H278,An,'2022'!An_max)</f>
        <v>2023</v>
      </c>
      <c r="K278" s="197">
        <f t="shared" si="104"/>
        <v>45190</v>
      </c>
      <c r="L278" s="147">
        <f>IF(t&lt;Tvie,1-EXP((T0-t)*PertePVj)+'2022'!Pspv,1-EXP((T0-t)*PertePVj)+Pspv)</f>
        <v>3.1944089539951648E-2</v>
      </c>
      <c r="M278" s="832"/>
      <c r="N278" s="832"/>
      <c r="O278" s="48">
        <f>IF(t&lt;Tnet,'2022'!Resal+('2022'!Salim-'2022'!Resal)*(1-EXP(('2022'!Tnet-t)/('2022'!Tau_j))),Resal+(Salim-Resal)*(1-EXP((Tnet-t)/(Tau_j))))*Salcycl</f>
        <v>2.6450867693874412E-2</v>
      </c>
      <c r="P278" s="338">
        <f>(INDEX(Models!$BJ278:$BT278,,T278)*(1-R278)+INDEX(Models!$BJ278:$BT278,,T278+1)*R278-ERP_i)*Q278*Ramure*Pc/MaxiM</f>
        <v>2.4964773745503663E-5</v>
      </c>
      <c r="Q278" s="304">
        <f t="shared" si="105"/>
        <v>0.6</v>
      </c>
      <c r="R278" s="177">
        <f t="shared" si="106"/>
        <v>0.99211398234311043</v>
      </c>
      <c r="S278" s="799">
        <f t="shared" si="107"/>
        <v>0</v>
      </c>
      <c r="T278" s="176">
        <f t="shared" si="108"/>
        <v>6</v>
      </c>
      <c r="U278" s="250">
        <f t="shared" si="109"/>
        <v>0.99211398234311043</v>
      </c>
      <c r="V278" s="382">
        <f t="shared" si="110"/>
        <v>47.39881556965684</v>
      </c>
      <c r="W278" s="400">
        <f t="shared" si="111"/>
        <v>47.989478779674656</v>
      </c>
      <c r="X278" s="157">
        <f t="shared" si="112"/>
        <v>45190</v>
      </c>
      <c r="Y278" s="383">
        <f t="shared" si="113"/>
        <v>46.867718382016321</v>
      </c>
      <c r="Z278" s="383">
        <f t="shared" si="114"/>
        <v>48.414268097122012</v>
      </c>
      <c r="AA278" s="384">
        <f t="shared" si="115"/>
        <v>50.919920637428142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4.9207707100477643E-2</v>
      </c>
      <c r="AD278" s="230">
        <f>(INDEX(Models!$BJ278:$BT278,,AH278)*(1-AF278)+INDEX(Models!$BJ278:$BT278,,AH278+1)*AF278-ERP_i)*AE278*Ramure*Pc/MaxiM</f>
        <v>2.4964773745503663E-5</v>
      </c>
      <c r="AE278" s="304">
        <f t="shared" si="117"/>
        <v>0.6</v>
      </c>
      <c r="AF278" s="177">
        <f t="shared" si="118"/>
        <v>0.99211398234311043</v>
      </c>
      <c r="AG278" s="799">
        <f t="shared" si="124"/>
        <v>0</v>
      </c>
      <c r="AH278" s="176">
        <f t="shared" si="119"/>
        <v>6</v>
      </c>
      <c r="AI278" s="224">
        <f t="shared" si="120"/>
        <v>0.99211398234311043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45191</v>
      </c>
      <c r="B279" s="409">
        <f>IF(t&gt;Tmaj,'2022'!Wh/'2022'!Env_an*'2023'!Env_an,0.001*'[11]mon-tableau (3)'!$B$256)</f>
        <v>46.677591728561559</v>
      </c>
      <c r="C279" s="829"/>
      <c r="D279" s="391">
        <f t="shared" si="102"/>
        <v>48.218791711027997</v>
      </c>
      <c r="E279" s="383">
        <f t="shared" si="100"/>
        <v>49.534063905841528</v>
      </c>
      <c r="F279" s="383">
        <f t="shared" si="103"/>
        <v>49.535351054375248</v>
      </c>
      <c r="G279" s="110">
        <f t="shared" si="101"/>
        <v>0.98969160434693948</v>
      </c>
      <c r="H279" s="412" t="b">
        <f>Wh_hp&gt;='2022'!Maxi_hp</f>
        <v>0</v>
      </c>
      <c r="I279" s="379">
        <f>IF(H279,Wh_hp,'2022'!Maxi_hp)</f>
        <v>49.535355267430838</v>
      </c>
      <c r="J279" s="85">
        <f>IF(H279,An,'2022'!An_max)</f>
        <v>2022</v>
      </c>
      <c r="K279" s="197">
        <f t="shared" si="104"/>
        <v>45191</v>
      </c>
      <c r="L279" s="147">
        <f>IF(t&lt;Tvie,1-EXP((T0-t)*PertePVj)+'2022'!Pspv,1-EXP((T0-t)*PertePVj)+Pspv)</f>
        <v>3.1962642110626605E-2</v>
      </c>
      <c r="M279" s="832"/>
      <c r="N279" s="832"/>
      <c r="O279" s="48">
        <f>IF(t&lt;Tnet,'2022'!Resal+('2022'!Salim-'2022'!Resal)*(1-EXP(('2022'!Tnet-t)/('2022'!Tau_j))),Resal+(Salim-Resal)*(1-EXP((Tnet-t)/(Tau_j))))*Salcycl</f>
        <v>2.6552882826527471E-2</v>
      </c>
      <c r="P279" s="338">
        <f>(INDEX(Models!$BJ279:$BT279,,T279)*(1-R279)+INDEX(Models!$BJ279:$BT279,,T279+1)*R279-ERP_i)*Q279*Ramure*Pc/MaxiM</f>
        <v>2.6372802337860865E-5</v>
      </c>
      <c r="Q279" s="304">
        <f t="shared" si="105"/>
        <v>0.6</v>
      </c>
      <c r="R279" s="177">
        <f t="shared" si="106"/>
        <v>0.99239845793792059</v>
      </c>
      <c r="S279" s="799">
        <f t="shared" si="107"/>
        <v>0</v>
      </c>
      <c r="T279" s="176">
        <f t="shared" si="108"/>
        <v>6</v>
      </c>
      <c r="U279" s="250">
        <f t="shared" si="109"/>
        <v>0.99239845793792059</v>
      </c>
      <c r="V279" s="382">
        <f t="shared" si="110"/>
        <v>47.163756260455337</v>
      </c>
      <c r="W279" s="400">
        <f t="shared" si="111"/>
        <v>46.677591728561559</v>
      </c>
      <c r="X279" s="157">
        <f t="shared" si="112"/>
        <v>45191</v>
      </c>
      <c r="Y279" s="383">
        <f t="shared" si="113"/>
        <v>45.587908773210117</v>
      </c>
      <c r="Z279" s="383">
        <f t="shared" si="114"/>
        <v>47.093129621160621</v>
      </c>
      <c r="AA279" s="384">
        <f t="shared" si="115"/>
        <v>49.534063905841528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4.92778926704023E-2</v>
      </c>
      <c r="AD279" s="230">
        <f>(INDEX(Models!$BJ279:$BT279,,AH279)*(1-AF279)+INDEX(Models!$BJ279:$BT279,,AH279+1)*AF279-ERP_i)*AE279*Ramure*Pc/MaxiM</f>
        <v>2.6372802337860865E-5</v>
      </c>
      <c r="AE279" s="304">
        <f t="shared" si="117"/>
        <v>0.6</v>
      </c>
      <c r="AF279" s="177">
        <f t="shared" si="118"/>
        <v>0.99239845793792059</v>
      </c>
      <c r="AG279" s="799">
        <f t="shared" si="124"/>
        <v>0</v>
      </c>
      <c r="AH279" s="176">
        <f t="shared" si="119"/>
        <v>6</v>
      </c>
      <c r="AI279" s="224">
        <f t="shared" si="120"/>
        <v>0.99239845793792059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45192</v>
      </c>
      <c r="B280" s="409">
        <f>IF(t&gt;Tmaj,'2022'!Wh/'2022'!Env_an*'2023'!Env_an,0.001*'[11]mon-tableau (3)'!$B$257)</f>
        <v>33.038187602749105</v>
      </c>
      <c r="C280" s="829"/>
      <c r="D280" s="391">
        <f t="shared" si="102"/>
        <v>34.129696044217873</v>
      </c>
      <c r="E280" s="383">
        <f t="shared" si="100"/>
        <v>35.064315557221619</v>
      </c>
      <c r="F280" s="383">
        <f t="shared" si="103"/>
        <v>35.0648795820453</v>
      </c>
      <c r="G280" s="110">
        <f t="shared" si="101"/>
        <v>0.70406219550834104</v>
      </c>
      <c r="H280" s="412" t="b">
        <f>Wh_hp&gt;='2022'!Maxi_hp</f>
        <v>0</v>
      </c>
      <c r="I280" s="379">
        <f>IF(H280,Wh_hp,'2022'!Maxi_hp)</f>
        <v>43.314137814675796</v>
      </c>
      <c r="J280" s="85">
        <f>IF(H280,An,'2022'!An_max)</f>
        <v>2021</v>
      </c>
      <c r="K280" s="197">
        <f t="shared" si="104"/>
        <v>45192</v>
      </c>
      <c r="L280" s="147">
        <f>IF(t&lt;Tvie,1-EXP((T0-t)*PertePVj)+'2022'!Pspv,1-EXP((T0-t)*PertePVj)+Pspv)</f>
        <v>3.1981194325745754E-2</v>
      </c>
      <c r="M280" s="832"/>
      <c r="N280" s="832"/>
      <c r="O280" s="48">
        <f>IF(t&lt;Tnet,'2022'!Resal+('2022'!Salim-'2022'!Resal)*(1-EXP(('2022'!Tnet-t)/('2022'!Tau_j))),Resal+(Salim-Resal)*(1-EXP((Tnet-t)/(Tau_j))))*Salcycl</f>
        <v>2.6654434805052314E-2</v>
      </c>
      <c r="P280" s="338">
        <f>(INDEX(Models!$BJ280:$BT280,,T280)*(1-R280)+INDEX(Models!$BJ280:$BT280,,T280+1)*R280-ERP_i)*Q280*Ramure*Pc/MaxiM</f>
        <v>2.7865495662485884E-5</v>
      </c>
      <c r="Q280" s="304">
        <f t="shared" si="105"/>
        <v>0.6</v>
      </c>
      <c r="R280" s="177">
        <f t="shared" si="106"/>
        <v>0.99267178819348589</v>
      </c>
      <c r="S280" s="799">
        <f t="shared" si="107"/>
        <v>0</v>
      </c>
      <c r="T280" s="176">
        <f t="shared" si="108"/>
        <v>6</v>
      </c>
      <c r="U280" s="250">
        <f t="shared" si="109"/>
        <v>0.99267178819348589</v>
      </c>
      <c r="V280" s="382">
        <f t="shared" si="110"/>
        <v>46.924545312768032</v>
      </c>
      <c r="W280" s="400">
        <f t="shared" si="111"/>
        <v>33.038187602749105</v>
      </c>
      <c r="X280" s="157">
        <f t="shared" si="112"/>
        <v>45192</v>
      </c>
      <c r="Y280" s="383">
        <f t="shared" si="113"/>
        <v>32.267921584099263</v>
      </c>
      <c r="Z280" s="383">
        <f t="shared" si="114"/>
        <v>33.333982144720508</v>
      </c>
      <c r="AA280" s="384">
        <f t="shared" si="115"/>
        <v>35.064315557221619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4.9347417310267296E-2</v>
      </c>
      <c r="AD280" s="230">
        <f>(INDEX(Models!$BJ280:$BT280,,AH280)*(1-AF280)+INDEX(Models!$BJ280:$BT280,,AH280+1)*AF280-ERP_i)*AE280*Ramure*Pc/MaxiM</f>
        <v>2.7865495662485884E-5</v>
      </c>
      <c r="AE280" s="304">
        <f t="shared" si="117"/>
        <v>0.6</v>
      </c>
      <c r="AF280" s="177">
        <f t="shared" si="118"/>
        <v>0.99267178819348589</v>
      </c>
      <c r="AG280" s="799">
        <f t="shared" si="124"/>
        <v>0</v>
      </c>
      <c r="AH280" s="176">
        <f t="shared" si="119"/>
        <v>6</v>
      </c>
      <c r="AI280" s="224">
        <f t="shared" si="120"/>
        <v>0.99267178819348589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45193</v>
      </c>
      <c r="B281" s="409">
        <f>IF(t&gt;Tmaj,'2022'!Wh/'2022'!Env_an*'2023'!Env_an,0.001*'[11]mon-tableau (3)'!$B$258)</f>
        <v>18.780601143636193</v>
      </c>
      <c r="C281" s="829"/>
      <c r="D281" s="391">
        <f t="shared" si="102"/>
        <v>19.401442375273994</v>
      </c>
      <c r="E281" s="383">
        <f t="shared" si="100"/>
        <v>19.934808369347305</v>
      </c>
      <c r="F281" s="383">
        <f t="shared" si="103"/>
        <v>19.934894160910456</v>
      </c>
      <c r="G281" s="110">
        <f t="shared" si="101"/>
        <v>0.40230530460011205</v>
      </c>
      <c r="H281" s="412" t="b">
        <f>Wh_hp&gt;='2022'!Maxi_hp</f>
        <v>0</v>
      </c>
      <c r="I281" s="379">
        <f>IF(H281,Wh_hp,'2022'!Maxi_hp)</f>
        <v>43.384541721518524</v>
      </c>
      <c r="J281" s="85">
        <f>IF(H281,An,'2022'!An_max)</f>
        <v>2021</v>
      </c>
      <c r="K281" s="197">
        <f t="shared" si="104"/>
        <v>45193</v>
      </c>
      <c r="L281" s="147">
        <f>IF(t&lt;Tvie,1-EXP((T0-t)*PertePVj)+'2022'!Pspv,1-EXP((T0-t)*PertePVj)+Pspv)</f>
        <v>3.1999746185315869E-2</v>
      </c>
      <c r="M281" s="832"/>
      <c r="N281" s="832"/>
      <c r="O281" s="48">
        <f>IF(t&lt;Tnet,'2022'!Resal+('2022'!Salim-'2022'!Resal)*(1-EXP(('2022'!Tnet-t)/('2022'!Tau_j))),Resal+(Salim-Resal)*(1-EXP((Tnet-t)/(Tau_j))))*Salcycl</f>
        <v>2.6755511474764931E-2</v>
      </c>
      <c r="P281" s="338">
        <f>(INDEX(Models!$BJ281:$BT281,,T281)*(1-R281)+INDEX(Models!$BJ281:$BT281,,T281+1)*R281-ERP_i)*Q281*Ramure*Pc/MaxiM</f>
        <v>2.9443375694593232E-5</v>
      </c>
      <c r="Q281" s="304">
        <f t="shared" si="105"/>
        <v>0.6</v>
      </c>
      <c r="R281" s="177">
        <f t="shared" si="106"/>
        <v>0.99293439798562189</v>
      </c>
      <c r="S281" s="799">
        <f t="shared" si="107"/>
        <v>0</v>
      </c>
      <c r="T281" s="176">
        <f t="shared" si="108"/>
        <v>6</v>
      </c>
      <c r="U281" s="250">
        <f t="shared" si="109"/>
        <v>0.99293439798562189</v>
      </c>
      <c r="V281" s="382">
        <f t="shared" si="110"/>
        <v>46.681286044533699</v>
      </c>
      <c r="W281" s="400">
        <f t="shared" si="111"/>
        <v>18.780601143636193</v>
      </c>
      <c r="X281" s="157">
        <f t="shared" si="112"/>
        <v>45193</v>
      </c>
      <c r="Y281" s="383">
        <f t="shared" si="113"/>
        <v>18.343318915536177</v>
      </c>
      <c r="Z281" s="383">
        <f t="shared" si="114"/>
        <v>18.949704654775697</v>
      </c>
      <c r="AA281" s="384">
        <f t="shared" si="115"/>
        <v>19.934808369347305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4.9416262063815393E-2</v>
      </c>
      <c r="AD281" s="230">
        <f>(INDEX(Models!$BJ281:$BT281,,AH281)*(1-AF281)+INDEX(Models!$BJ281:$BT281,,AH281+1)*AF281-ERP_i)*AE281*Ramure*Pc/MaxiM</f>
        <v>2.9443375694593232E-5</v>
      </c>
      <c r="AE281" s="304">
        <f t="shared" si="117"/>
        <v>0.6</v>
      </c>
      <c r="AF281" s="177">
        <f t="shared" si="118"/>
        <v>0.99293439798562189</v>
      </c>
      <c r="AG281" s="799">
        <f t="shared" si="124"/>
        <v>0</v>
      </c>
      <c r="AH281" s="176">
        <f t="shared" si="119"/>
        <v>6</v>
      </c>
      <c r="AI281" s="224">
        <f t="shared" si="120"/>
        <v>0.99293439798562189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45194</v>
      </c>
      <c r="B282" s="409">
        <f>IF(t&gt;Tmaj,'2022'!Wh/'2022'!Env_an*'2023'!Env_an,0.001*'[11]mon-tableau (3)'!$B$259)</f>
        <v>36.709894405527642</v>
      </c>
      <c r="C282" s="829"/>
      <c r="D282" s="391">
        <f t="shared" si="102"/>
        <v>37.924161497989012</v>
      </c>
      <c r="E282" s="383">
        <f t="shared" si="100"/>
        <v>38.970764265706698</v>
      </c>
      <c r="F282" s="383">
        <f t="shared" si="103"/>
        <v>38.971611554574366</v>
      </c>
      <c r="G282" s="110">
        <f t="shared" si="101"/>
        <v>0.79057341575892481</v>
      </c>
      <c r="H282" s="412" t="b">
        <f>Wh_hp&gt;='2022'!Maxi_hp</f>
        <v>0</v>
      </c>
      <c r="I282" s="379">
        <f>IF(H282,Wh_hp,'2022'!Maxi_hp)</f>
        <v>38.971690131300377</v>
      </c>
      <c r="J282" s="85">
        <f>IF(H282,An,'2022'!An_max)</f>
        <v>2022</v>
      </c>
      <c r="K282" s="197">
        <f t="shared" si="104"/>
        <v>45194</v>
      </c>
      <c r="L282" s="147">
        <f>IF(t&lt;Tvie,1-EXP((T0-t)*PertePVj)+'2022'!Pspv,1-EXP((T0-t)*PertePVj)+Pspv)</f>
        <v>3.2018297689343944E-2</v>
      </c>
      <c r="M282" s="832"/>
      <c r="N282" s="832"/>
      <c r="O282" s="48">
        <f>IF(t&lt;Tnet,'2022'!Resal+('2022'!Salim-'2022'!Resal)*(1-EXP(('2022'!Tnet-t)/('2022'!Tau_j))),Resal+(Salim-Resal)*(1-EXP((Tnet-t)/(Tau_j))))*Salcycl</f>
        <v>2.6856100654886833E-2</v>
      </c>
      <c r="P282" s="338">
        <f>(INDEX(Models!$BJ282:$BT282,,T282)*(1-R282)+INDEX(Models!$BJ282:$BT282,,T282+1)*R282-ERP_i)*Q282*Ramure*Pc/MaxiM</f>
        <v>3.1022062578395064E-5</v>
      </c>
      <c r="Q282" s="304">
        <f t="shared" si="105"/>
        <v>0.6</v>
      </c>
      <c r="R282" s="177">
        <f t="shared" si="106"/>
        <v>0.99318669691284023</v>
      </c>
      <c r="S282" s="799">
        <f t="shared" si="107"/>
        <v>0</v>
      </c>
      <c r="T282" s="176">
        <f t="shared" si="108"/>
        <v>6</v>
      </c>
      <c r="U282" s="250">
        <f t="shared" si="109"/>
        <v>0.99318669691284023</v>
      </c>
      <c r="V282" s="382">
        <f t="shared" si="110"/>
        <v>46.434085647446331</v>
      </c>
      <c r="W282" s="400">
        <f t="shared" si="111"/>
        <v>36.709894405527642</v>
      </c>
      <c r="X282" s="157">
        <f t="shared" si="112"/>
        <v>45194</v>
      </c>
      <c r="Y282" s="383">
        <f t="shared" si="113"/>
        <v>35.856287064896108</v>
      </c>
      <c r="Z282" s="383">
        <f t="shared" si="114"/>
        <v>37.042319063784007</v>
      </c>
      <c r="AA282" s="384">
        <f t="shared" si="115"/>
        <v>38.970764265706698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4.9484408075098435E-2</v>
      </c>
      <c r="AD282" s="230">
        <f>(INDEX(Models!$BJ282:$BT282,,AH282)*(1-AF282)+INDEX(Models!$BJ282:$BT282,,AH282+1)*AF282-ERP_i)*AE282*Ramure*Pc/MaxiM</f>
        <v>3.1022062578395064E-5</v>
      </c>
      <c r="AE282" s="304">
        <f t="shared" si="117"/>
        <v>0.6</v>
      </c>
      <c r="AF282" s="177">
        <f t="shared" si="118"/>
        <v>0.99318669691284023</v>
      </c>
      <c r="AG282" s="799">
        <f t="shared" si="124"/>
        <v>0</v>
      </c>
      <c r="AH282" s="176">
        <f t="shared" si="119"/>
        <v>6</v>
      </c>
      <c r="AI282" s="224">
        <f t="shared" si="120"/>
        <v>0.99318669691284023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45195</v>
      </c>
      <c r="B283" s="409">
        <f>IF(t&gt;Tmaj,'2022'!Wh/'2022'!Env_an*'2023'!Env_an,0.001*'[11]mon-tableau (3)'!$B$260)</f>
        <v>36.569501183314841</v>
      </c>
      <c r="C283" s="829"/>
      <c r="D283" s="391">
        <f t="shared" si="102"/>
        <v>37.779848478124897</v>
      </c>
      <c r="E283" s="383">
        <f t="shared" si="100"/>
        <v>38.826461971861328</v>
      </c>
      <c r="F283" s="383">
        <f t="shared" si="103"/>
        <v>38.827350511633277</v>
      </c>
      <c r="G283" s="110">
        <f t="shared" si="101"/>
        <v>0.79183050921112463</v>
      </c>
      <c r="H283" s="412" t="b">
        <f>Wh_hp&gt;='2022'!Maxi_hp</f>
        <v>0</v>
      </c>
      <c r="I283" s="379">
        <f>IF(H283,Wh_hp,'2022'!Maxi_hp)</f>
        <v>41.572893006475333</v>
      </c>
      <c r="J283" s="85">
        <f>IF(H283,An,'2022'!An_max)</f>
        <v>2021</v>
      </c>
      <c r="K283" s="197">
        <f t="shared" si="104"/>
        <v>45195</v>
      </c>
      <c r="L283" s="147">
        <f>IF(t&lt;Tvie,1-EXP((T0-t)*PertePVj)+'2022'!Pspv,1-EXP((T0-t)*PertePVj)+Pspv)</f>
        <v>3.2036848837836529E-2</v>
      </c>
      <c r="M283" s="832"/>
      <c r="N283" s="832"/>
      <c r="O283" s="48">
        <f>IF(t&lt;Tnet,'2022'!Resal+('2022'!Salim-'2022'!Resal)*(1-EXP(('2022'!Tnet-t)/('2022'!Tau_j))),Resal+(Salim-Resal)*(1-EXP((Tnet-t)/(Tau_j))))*Salcycl</f>
        <v>2.6956190200769233E-2</v>
      </c>
      <c r="P283" s="338">
        <f>(INDEX(Models!$BJ283:$BT283,,T283)*(1-R283)+INDEX(Models!$BJ283:$BT283,,T283+1)*R283-ERP_i)*Q283*Ramure*Pc/MaxiM</f>
        <v>3.2569786984642262E-5</v>
      </c>
      <c r="Q283" s="304">
        <f t="shared" si="105"/>
        <v>0.6</v>
      </c>
      <c r="R283" s="177">
        <f t="shared" si="106"/>
        <v>0.99342907977321815</v>
      </c>
      <c r="S283" s="799">
        <f t="shared" si="107"/>
        <v>0</v>
      </c>
      <c r="T283" s="176">
        <f t="shared" si="108"/>
        <v>6</v>
      </c>
      <c r="U283" s="250">
        <f t="shared" si="109"/>
        <v>0.99342907977321815</v>
      </c>
      <c r="V283" s="382">
        <f t="shared" si="110"/>
        <v>46.183048719696743</v>
      </c>
      <c r="W283" s="400">
        <f t="shared" si="111"/>
        <v>36.569501183314841</v>
      </c>
      <c r="X283" s="157">
        <f t="shared" si="112"/>
        <v>45195</v>
      </c>
      <c r="Y283" s="383">
        <f t="shared" si="113"/>
        <v>35.720298389904592</v>
      </c>
      <c r="Z283" s="383">
        <f t="shared" si="114"/>
        <v>36.902539468592174</v>
      </c>
      <c r="AA283" s="384">
        <f t="shared" si="115"/>
        <v>38.826461971861328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4.9551836700018503E-2</v>
      </c>
      <c r="AD283" s="230">
        <f>(INDEX(Models!$BJ283:$BT283,,AH283)*(1-AF283)+INDEX(Models!$BJ283:$BT283,,AH283+1)*AF283-ERP_i)*AE283*Ramure*Pc/MaxiM</f>
        <v>3.2569786984642262E-5</v>
      </c>
      <c r="AE283" s="304">
        <f t="shared" si="117"/>
        <v>0.6</v>
      </c>
      <c r="AF283" s="177">
        <f t="shared" si="118"/>
        <v>0.99342907977321815</v>
      </c>
      <c r="AG283" s="799">
        <f t="shared" si="124"/>
        <v>0</v>
      </c>
      <c r="AH283" s="176">
        <f t="shared" si="119"/>
        <v>6</v>
      </c>
      <c r="AI283" s="224">
        <f t="shared" si="120"/>
        <v>0.99342907977321815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45196</v>
      </c>
      <c r="B284" s="409">
        <f>IF(t&gt;Tmaj,'2022'!Wh/'2022'!Env_an*'2023'!Env_an,0.001*'[11]mon-tableau (3)'!$B$261)</f>
        <v>17.450911100588296</v>
      </c>
      <c r="C284" s="829"/>
      <c r="D284" s="391">
        <f t="shared" si="102"/>
        <v>18.028832532287556</v>
      </c>
      <c r="E284" s="383">
        <f t="shared" si="100"/>
        <v>18.530180806502177</v>
      </c>
      <c r="F284" s="383">
        <f t="shared" si="103"/>
        <v>18.530252955873063</v>
      </c>
      <c r="G284" s="110">
        <f t="shared" si="101"/>
        <v>0.3799485818384768</v>
      </c>
      <c r="H284" s="412" t="b">
        <f>Wh_hp&gt;='2022'!Maxi_hp</f>
        <v>0</v>
      </c>
      <c r="I284" s="379">
        <f>IF(H284,Wh_hp,'2022'!Maxi_hp)</f>
        <v>41.366659117573256</v>
      </c>
      <c r="J284" s="85">
        <f>IF(H284,An,'2022'!An_max)</f>
        <v>2018</v>
      </c>
      <c r="K284" s="197">
        <f t="shared" si="104"/>
        <v>45196</v>
      </c>
      <c r="L284" s="147">
        <f>IF(t&lt;Tvie,1-EXP((T0-t)*PertePVj)+'2022'!Pspv,1-EXP((T0-t)*PertePVj)+Pspv)</f>
        <v>3.2055399630800729E-2</v>
      </c>
      <c r="M284" s="832"/>
      <c r="N284" s="832"/>
      <c r="O284" s="48">
        <f>IF(t&lt;Tnet,'2022'!Resal+('2022'!Salim-'2022'!Resal)*(1-EXP(('2022'!Tnet-t)/('2022'!Tau_j))),Resal+(Salim-Resal)*(1-EXP((Tnet-t)/(Tau_j))))*Salcycl</f>
        <v>2.7055768071010854E-2</v>
      </c>
      <c r="P284" s="338">
        <f>(INDEX(Models!$BJ284:$BT284,,T284)*(1-R284)+INDEX(Models!$BJ284:$BT284,,T284+1)*R284-ERP_i)*Q284*Ramure*Pc/MaxiM</f>
        <v>3.4086009686317116E-5</v>
      </c>
      <c r="Q284" s="304">
        <f t="shared" si="105"/>
        <v>0.6</v>
      </c>
      <c r="R284" s="177">
        <f t="shared" si="106"/>
        <v>0.99366192703228728</v>
      </c>
      <c r="S284" s="799">
        <f t="shared" si="107"/>
        <v>0</v>
      </c>
      <c r="T284" s="176">
        <f t="shared" si="108"/>
        <v>6</v>
      </c>
      <c r="U284" s="250">
        <f t="shared" si="109"/>
        <v>0.99366192703228728</v>
      </c>
      <c r="V284" s="382">
        <f t="shared" si="110"/>
        <v>45.92827831866262</v>
      </c>
      <c r="W284" s="400">
        <f t="shared" si="111"/>
        <v>17.450911100588296</v>
      </c>
      <c r="X284" s="157">
        <f t="shared" si="112"/>
        <v>45196</v>
      </c>
      <c r="Y284" s="383">
        <f t="shared" si="113"/>
        <v>17.046221157273358</v>
      </c>
      <c r="Z284" s="383">
        <f t="shared" si="114"/>
        <v>17.610740481192298</v>
      </c>
      <c r="AA284" s="384">
        <f t="shared" si="115"/>
        <v>18.530180806502177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4.961852962531535E-2</v>
      </c>
      <c r="AD284" s="230">
        <f>(INDEX(Models!$BJ284:$BT284,,AH284)*(1-AF284)+INDEX(Models!$BJ284:$BT284,,AH284+1)*AF284-ERP_i)*AE284*Ramure*Pc/MaxiM</f>
        <v>3.4086009686317116E-5</v>
      </c>
      <c r="AE284" s="304">
        <f t="shared" si="117"/>
        <v>0.6</v>
      </c>
      <c r="AF284" s="177">
        <f t="shared" si="118"/>
        <v>0.99366192703228728</v>
      </c>
      <c r="AG284" s="799">
        <f t="shared" si="124"/>
        <v>0</v>
      </c>
      <c r="AH284" s="176">
        <f t="shared" si="119"/>
        <v>6</v>
      </c>
      <c r="AI284" s="224">
        <f t="shared" si="120"/>
        <v>0.99366192703228728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45197</v>
      </c>
      <c r="B285" s="409">
        <f>IF(t&gt;Tmaj,'2022'!Wh/'2022'!Env_an*'2023'!Env_an,0.001*'[11]mon-tableau (3)'!$B$262)</f>
        <v>19.908566839762528</v>
      </c>
      <c r="C285" s="829"/>
      <c r="D285" s="391">
        <f t="shared" si="102"/>
        <v>20.568272587731439</v>
      </c>
      <c r="E285" s="383">
        <f t="shared" si="100"/>
        <v>21.142390445369081</v>
      </c>
      <c r="F285" s="383">
        <f t="shared" si="103"/>
        <v>21.142536474310734</v>
      </c>
      <c r="G285" s="110">
        <f t="shared" si="101"/>
        <v>0.43591087424384978</v>
      </c>
      <c r="H285" s="412" t="b">
        <f>Wh_hp&gt;='2022'!Maxi_hp</f>
        <v>0</v>
      </c>
      <c r="I285" s="379">
        <f>IF(H285,Wh_hp,'2022'!Maxi_hp)</f>
        <v>36.836006686533622</v>
      </c>
      <c r="J285" s="85">
        <f>IF(H285,An,'2022'!An_max)</f>
        <v>2018</v>
      </c>
      <c r="K285" s="197">
        <f t="shared" si="104"/>
        <v>45197</v>
      </c>
      <c r="L285" s="147">
        <f>IF(t&lt;Tvie,1-EXP((T0-t)*PertePVj)+'2022'!Pspv,1-EXP((T0-t)*PertePVj)+Pspv)</f>
        <v>3.2073950068243096E-2</v>
      </c>
      <c r="M285" s="832"/>
      <c r="N285" s="832"/>
      <c r="O285" s="48">
        <f>IF(t&lt;Tnet,'2022'!Resal+('2022'!Salim-'2022'!Resal)*(1-EXP(('2022'!Tnet-t)/('2022'!Tau_j))),Resal+(Salim-Resal)*(1-EXP((Tnet-t)/(Tau_j))))*Salcycl</f>
        <v>2.7154822399157546E-2</v>
      </c>
      <c r="P285" s="338">
        <f>(INDEX(Models!$BJ285:$BT285,,T285)*(1-R285)+INDEX(Models!$BJ285:$BT285,,T285+1)*R285-ERP_i)*Q285*Ramure*Pc/MaxiM</f>
        <v>3.5570155005568446E-5</v>
      </c>
      <c r="Q285" s="304">
        <f t="shared" si="105"/>
        <v>0.6</v>
      </c>
      <c r="R285" s="177">
        <f t="shared" si="106"/>
        <v>0.99388560528157399</v>
      </c>
      <c r="S285" s="799">
        <f t="shared" si="107"/>
        <v>0</v>
      </c>
      <c r="T285" s="176">
        <f t="shared" si="108"/>
        <v>6</v>
      </c>
      <c r="U285" s="250">
        <f t="shared" si="109"/>
        <v>0.99388560528157399</v>
      </c>
      <c r="V285" s="382">
        <f t="shared" si="110"/>
        <v>45.66987741613157</v>
      </c>
      <c r="W285" s="400">
        <f t="shared" si="111"/>
        <v>19.908566839762528</v>
      </c>
      <c r="X285" s="157">
        <f t="shared" si="112"/>
        <v>45197</v>
      </c>
      <c r="Y285" s="383">
        <f t="shared" si="113"/>
        <v>19.447514058247585</v>
      </c>
      <c r="Z285" s="383">
        <f t="shared" si="114"/>
        <v>20.091942002820073</v>
      </c>
      <c r="AA285" s="384">
        <f t="shared" si="115"/>
        <v>21.142390445369081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4.9684468994332313E-2</v>
      </c>
      <c r="AD285" s="230">
        <f>(INDEX(Models!$BJ285:$BT285,,AH285)*(1-AF285)+INDEX(Models!$BJ285:$BT285,,AH285+1)*AF285-ERP_i)*AE285*Ramure*Pc/MaxiM</f>
        <v>3.5570155005568446E-5</v>
      </c>
      <c r="AE285" s="304">
        <f t="shared" si="117"/>
        <v>0.6</v>
      </c>
      <c r="AF285" s="177">
        <f t="shared" si="118"/>
        <v>0.99388560528157399</v>
      </c>
      <c r="AG285" s="799">
        <f t="shared" si="124"/>
        <v>0</v>
      </c>
      <c r="AH285" s="176">
        <f t="shared" si="119"/>
        <v>6</v>
      </c>
      <c r="AI285" s="224">
        <f t="shared" si="120"/>
        <v>0.99388560528157399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45198</v>
      </c>
      <c r="B286" s="409">
        <f>IF(t&gt;Tmaj,'2022'!Wh/'2022'!Env_an*'2023'!Env_an,0.001*'[11]mon-tableau (3)'!$B$263)</f>
        <v>23.942632030293534</v>
      </c>
      <c r="C286" s="829"/>
      <c r="D286" s="391">
        <f t="shared" si="102"/>
        <v>24.736487767692914</v>
      </c>
      <c r="E286" s="383">
        <f t="shared" si="100"/>
        <v>25.429527362866871</v>
      </c>
      <c r="F286" s="383">
        <f t="shared" si="103"/>
        <v>25.429833037244443</v>
      </c>
      <c r="G286" s="110">
        <f t="shared" si="101"/>
        <v>0.52726524775607242</v>
      </c>
      <c r="H286" s="412" t="b">
        <f>Wh_hp&gt;='2022'!Maxi_hp</f>
        <v>0</v>
      </c>
      <c r="I286" s="379">
        <f>IF(H286,Wh_hp,'2022'!Maxi_hp)</f>
        <v>46.051965901147405</v>
      </c>
      <c r="J286" s="85">
        <f>IF(H286,An,'2022'!An_max)</f>
        <v>2018</v>
      </c>
      <c r="K286" s="197">
        <f t="shared" si="104"/>
        <v>45198</v>
      </c>
      <c r="L286" s="147">
        <f>IF(t&lt;Tvie,1-EXP((T0-t)*PertePVj)+'2022'!Pspv,1-EXP((T0-t)*PertePVj)+Pspv)</f>
        <v>3.2092500150170622E-2</v>
      </c>
      <c r="M286" s="832"/>
      <c r="N286" s="832"/>
      <c r="O286" s="48">
        <f>IF(t&lt;Tnet,'2022'!Resal+('2022'!Salim-'2022'!Resal)*(1-EXP(('2022'!Tnet-t)/('2022'!Tau_j))),Resal+(Salim-Resal)*(1-EXP((Tnet-t)/(Tau_j))))*Salcycl</f>
        <v>2.725334156961012E-2</v>
      </c>
      <c r="P286" s="338">
        <f>(INDEX(Models!$BJ286:$BT286,,T286)*(1-R286)+INDEX(Models!$BJ286:$BT286,,T286+1)*R286-ERP_i)*Q286*Ramure*Pc/MaxiM</f>
        <v>3.7021613797402834E-5</v>
      </c>
      <c r="Q286" s="304">
        <f t="shared" si="105"/>
        <v>0.6</v>
      </c>
      <c r="R286" s="177">
        <f t="shared" si="106"/>
        <v>0.99410046768748428</v>
      </c>
      <c r="S286" s="799">
        <f t="shared" si="107"/>
        <v>0</v>
      </c>
      <c r="T286" s="176">
        <f t="shared" si="108"/>
        <v>6</v>
      </c>
      <c r="U286" s="250">
        <f t="shared" si="109"/>
        <v>0.99410046768748428</v>
      </c>
      <c r="V286" s="382">
        <f t="shared" si="110"/>
        <v>45.40794889835842</v>
      </c>
      <c r="W286" s="400">
        <f t="shared" si="111"/>
        <v>23.942632030293534</v>
      </c>
      <c r="X286" s="157">
        <f t="shared" si="112"/>
        <v>45198</v>
      </c>
      <c r="Y286" s="383">
        <f t="shared" si="113"/>
        <v>23.388921018524186</v>
      </c>
      <c r="Z286" s="383">
        <f t="shared" si="114"/>
        <v>24.164417593781401</v>
      </c>
      <c r="AA286" s="384">
        <f t="shared" si="115"/>
        <v>25.429527362866871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4.9749637538794057E-2</v>
      </c>
      <c r="AD286" s="230">
        <f>(INDEX(Models!$BJ286:$BT286,,AH286)*(1-AF286)+INDEX(Models!$BJ286:$BT286,,AH286+1)*AF286-ERP_i)*AE286*Ramure*Pc/MaxiM</f>
        <v>3.7021613797402834E-5</v>
      </c>
      <c r="AE286" s="304">
        <f t="shared" si="117"/>
        <v>0.6</v>
      </c>
      <c r="AF286" s="177">
        <f t="shared" si="118"/>
        <v>0.99410046768748428</v>
      </c>
      <c r="AG286" s="799">
        <f t="shared" si="124"/>
        <v>0</v>
      </c>
      <c r="AH286" s="176">
        <f t="shared" si="119"/>
        <v>6</v>
      </c>
      <c r="AI286" s="224">
        <f t="shared" si="120"/>
        <v>0.99410046768748428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45199</v>
      </c>
      <c r="B287" s="409">
        <f>IF(t&gt;Tmaj,'2022'!Wh/'2022'!Env_an*'2023'!Env_an,0.001*'[11]mon-tableau (3)'!$B$264)</f>
        <v>26.457187909497723</v>
      </c>
      <c r="C287" s="829"/>
      <c r="D287" s="391">
        <f t="shared" si="102"/>
        <v>27.334941582011364</v>
      </c>
      <c r="E287" s="383">
        <f t="shared" si="100"/>
        <v>28.103612315337806</v>
      </c>
      <c r="F287" s="383">
        <f t="shared" si="103"/>
        <v>28.104053824239887</v>
      </c>
      <c r="G287" s="110">
        <f t="shared" si="101"/>
        <v>0.58606702161505342</v>
      </c>
      <c r="H287" s="412" t="b">
        <f>Wh_hp&gt;='2022'!Maxi_hp</f>
        <v>0</v>
      </c>
      <c r="I287" s="379">
        <f>IF(H287,Wh_hp,'2022'!Maxi_hp)</f>
        <v>37.058781916389229</v>
      </c>
      <c r="J287" s="85">
        <f>IF(H287,An,'2022'!An_max)</f>
        <v>2020</v>
      </c>
      <c r="K287" s="197">
        <f t="shared" si="104"/>
        <v>45199</v>
      </c>
      <c r="L287" s="147">
        <f>IF(t&lt;Tvie,1-EXP((T0-t)*PertePVj)+'2022'!Pspv,1-EXP((T0-t)*PertePVj)+Pspv)</f>
        <v>3.2111049876590081E-2</v>
      </c>
      <c r="M287" s="832"/>
      <c r="N287" s="832"/>
      <c r="O287" s="48">
        <f>IF(t&lt;Tnet,'2022'!Resal+('2022'!Salim-'2022'!Resal)*(1-EXP(('2022'!Tnet-t)/('2022'!Tau_j))),Resal+(Salim-Resal)*(1-EXP((Tnet-t)/(Tau_j))))*Salcycl</f>
        <v>2.7351314297305973E-2</v>
      </c>
      <c r="P287" s="338">
        <f>(INDEX(Models!$BJ287:$BT287,,T287)*(1-R287)+INDEX(Models!$BJ287:$BT287,,T287+1)*R287-ERP_i)*Q287*Ramure*Pc/MaxiM</f>
        <v>3.8439746740618277E-5</v>
      </c>
      <c r="Q287" s="304">
        <f t="shared" si="105"/>
        <v>0.6</v>
      </c>
      <c r="R287" s="177">
        <f t="shared" si="106"/>
        <v>0.99430685443029321</v>
      </c>
      <c r="S287" s="799">
        <f t="shared" si="107"/>
        <v>0</v>
      </c>
      <c r="T287" s="176">
        <f t="shared" si="108"/>
        <v>6</v>
      </c>
      <c r="U287" s="250">
        <f t="shared" si="109"/>
        <v>0.99430685443029321</v>
      </c>
      <c r="V287" s="382">
        <f t="shared" si="110"/>
        <v>45.142595562734812</v>
      </c>
      <c r="W287" s="400">
        <f t="shared" si="111"/>
        <v>26.457187909497723</v>
      </c>
      <c r="X287" s="157">
        <f t="shared" si="112"/>
        <v>45199</v>
      </c>
      <c r="Y287" s="383">
        <f t="shared" si="113"/>
        <v>25.846175937251537</v>
      </c>
      <c r="Z287" s="383">
        <f t="shared" si="114"/>
        <v>26.703658445481832</v>
      </c>
      <c r="AA287" s="384">
        <f t="shared" si="115"/>
        <v>28.103612315337806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4.9814018715734106E-2</v>
      </c>
      <c r="AD287" s="230">
        <f>(INDEX(Models!$BJ287:$BT287,,AH287)*(1-AF287)+INDEX(Models!$BJ287:$BT287,,AH287+1)*AF287-ERP_i)*AE287*Ramure*Pc/MaxiM</f>
        <v>3.8439746740618277E-5</v>
      </c>
      <c r="AE287" s="304">
        <f t="shared" si="117"/>
        <v>0.6</v>
      </c>
      <c r="AF287" s="177">
        <f t="shared" si="118"/>
        <v>0.99430685443029321</v>
      </c>
      <c r="AG287" s="799">
        <f t="shared" si="124"/>
        <v>0</v>
      </c>
      <c r="AH287" s="176">
        <f t="shared" si="119"/>
        <v>6</v>
      </c>
      <c r="AI287" s="224">
        <f t="shared" si="120"/>
        <v>0.99430685443029321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45200</v>
      </c>
      <c r="B288" s="409">
        <f>IF(t&gt;Tmaj,'2022'!Wh/'2022'!Env_an*'2023'!Env_an,0.001*'[12]mon-tableau (1)'!$B$242)</f>
        <v>38.220109604392114</v>
      </c>
      <c r="C288" s="829"/>
      <c r="D288" s="391">
        <f t="shared" si="102"/>
        <v>39.488871211142587</v>
      </c>
      <c r="E288" s="383">
        <f t="shared" si="100"/>
        <v>40.603382482236952</v>
      </c>
      <c r="F288" s="383">
        <f t="shared" si="103"/>
        <v>40.604656988124347</v>
      </c>
      <c r="G288" s="110">
        <f t="shared" si="101"/>
        <v>0.85171491773181751</v>
      </c>
      <c r="H288" s="412" t="b">
        <f>Wh_hp&gt;='2022'!Maxi_hp</f>
        <v>0</v>
      </c>
      <c r="I288" s="379">
        <f>IF(H288,Wh_hp,'2022'!Maxi_hp)</f>
        <v>45.618686630492995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3.2129599247508245E-2</v>
      </c>
      <c r="M288" s="832"/>
      <c r="N288" s="832"/>
      <c r="O288" s="48">
        <f>IF(t&lt;Tnet,'2022'!Resal+('2022'!Salim-'2022'!Resal)*(1-EXP(('2022'!Tnet-t)/('2022'!Tau_j))),Resal+(Salim-Resal)*(1-EXP((Tnet-t)/(Tau_j))))*Salcycl</f>
        <v>2.7448729710681973E-2</v>
      </c>
      <c r="P288" s="338">
        <f>(INDEX(Models!$BJ288:$BT288,,T288)*(1-R288)+INDEX(Models!$BJ288:$BT288,,T288+1)*R288-ERP_i)*Q288*Ramure*Pc/MaxiM</f>
        <v>3.9823887927222438E-5</v>
      </c>
      <c r="Q288" s="304">
        <f t="shared" si="105"/>
        <v>0.6</v>
      </c>
      <c r="R288" s="177">
        <f t="shared" si="106"/>
        <v>0.99450509313304147</v>
      </c>
      <c r="S288" s="799">
        <f t="shared" si="107"/>
        <v>0</v>
      </c>
      <c r="T288" s="176">
        <f t="shared" si="108"/>
        <v>6</v>
      </c>
      <c r="U288" s="250">
        <f t="shared" si="109"/>
        <v>0.99450509313304147</v>
      </c>
      <c r="V288" s="382">
        <f t="shared" si="110"/>
        <v>44.873920116370265</v>
      </c>
      <c r="W288" s="400">
        <f t="shared" si="111"/>
        <v>38.220109604392114</v>
      </c>
      <c r="X288" s="157">
        <f t="shared" si="112"/>
        <v>45200</v>
      </c>
      <c r="Y288" s="383">
        <f t="shared" si="113"/>
        <v>37.338681769683298</v>
      </c>
      <c r="Z288" s="383">
        <f t="shared" si="114"/>
        <v>38.578183340097532</v>
      </c>
      <c r="AA288" s="384">
        <f t="shared" si="115"/>
        <v>40.603382482236952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4.987759684862219E-2</v>
      </c>
      <c r="AD288" s="230">
        <f>(INDEX(Models!$BJ288:$BT288,,AH288)*(1-AF288)+INDEX(Models!$BJ288:$BT288,,AH288+1)*AF288-ERP_i)*AE288*Ramure*Pc/MaxiM</f>
        <v>3.9823887927222438E-5</v>
      </c>
      <c r="AE288" s="304">
        <f t="shared" si="117"/>
        <v>0.6</v>
      </c>
      <c r="AF288" s="177">
        <f t="shared" si="118"/>
        <v>0.99450509313304147</v>
      </c>
      <c r="AG288" s="799">
        <f t="shared" si="124"/>
        <v>0</v>
      </c>
      <c r="AH288" s="176">
        <f t="shared" si="119"/>
        <v>6</v>
      </c>
      <c r="AI288" s="224">
        <f t="shared" si="120"/>
        <v>0.99450509313304147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45201</v>
      </c>
      <c r="B289" s="409">
        <f>IF(t&gt;Tmaj,'2022'!Wh/'2022'!Env_an*'2023'!Env_an,0.001*'[12]mon-tableau (1)'!$B$243)</f>
        <v>41.38062520224296</v>
      </c>
      <c r="C289" s="829"/>
      <c r="D289" s="391">
        <f t="shared" si="102"/>
        <v>42.755123243267455</v>
      </c>
      <c r="E289" s="383">
        <f t="shared" si="100"/>
        <v>43.966197542295568</v>
      </c>
      <c r="F289" s="383">
        <f t="shared" si="103"/>
        <v>43.967821121695145</v>
      </c>
      <c r="G289" s="110">
        <f t="shared" si="101"/>
        <v>0.92778504706489395</v>
      </c>
      <c r="H289" s="412" t="b">
        <f>Wh_hp&gt;='2022'!Maxi_hp</f>
        <v>0</v>
      </c>
      <c r="I289" s="379">
        <f>IF(H289,Wh_hp,'2022'!Maxi_hp)</f>
        <v>43.967860921635577</v>
      </c>
      <c r="J289" s="85">
        <f>IF(H289,An,'2022'!An_max)</f>
        <v>2022</v>
      </c>
      <c r="K289" s="197">
        <f t="shared" si="104"/>
        <v>45201</v>
      </c>
      <c r="L289" s="147">
        <f>IF(t&lt;Tvie,1-EXP((T0-t)*PertePVj)+'2022'!Pspv,1-EXP((T0-t)*PertePVj)+Pspv)</f>
        <v>3.2148148262931997E-2</v>
      </c>
      <c r="M289" s="832"/>
      <c r="N289" s="832"/>
      <c r="O289" s="48">
        <f>IF(t&lt;Tnet,'2022'!Resal+('2022'!Salim-'2022'!Resal)*(1-EXP(('2022'!Tnet-t)/('2022'!Tau_j))),Resal+(Salim-Resal)*(1-EXP((Tnet-t)/(Tau_j))))*Salcycl</f>
        <v>2.7545577437372244E-2</v>
      </c>
      <c r="P289" s="338">
        <f>(INDEX(Models!$BJ289:$BT289,,T289)*(1-R289)+INDEX(Models!$BJ289:$BT289,,T289+1)*R289-ERP_i)*Q289*Ramure*Pc/MaxiM</f>
        <v>4.1173988094821025E-5</v>
      </c>
      <c r="Q289" s="304">
        <f t="shared" si="105"/>
        <v>0.6</v>
      </c>
      <c r="R289" s="177">
        <f t="shared" si="106"/>
        <v>0.99469549928019785</v>
      </c>
      <c r="S289" s="799">
        <f t="shared" si="107"/>
        <v>0</v>
      </c>
      <c r="T289" s="176">
        <f t="shared" si="108"/>
        <v>6</v>
      </c>
      <c r="U289" s="250">
        <f t="shared" si="109"/>
        <v>0.99469549928019785</v>
      </c>
      <c r="V289" s="382">
        <f t="shared" si="110"/>
        <v>44.601332565667924</v>
      </c>
      <c r="W289" s="400">
        <f t="shared" si="111"/>
        <v>41.38062520224296</v>
      </c>
      <c r="X289" s="157">
        <f t="shared" si="112"/>
        <v>45201</v>
      </c>
      <c r="Y289" s="383">
        <f t="shared" si="113"/>
        <v>40.427665382936091</v>
      </c>
      <c r="Z289" s="383">
        <f t="shared" si="114"/>
        <v>41.770509929156901</v>
      </c>
      <c r="AA289" s="384">
        <f t="shared" si="115"/>
        <v>43.966197542295568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4.9940357271661018E-2</v>
      </c>
      <c r="AD289" s="230">
        <f>(INDEX(Models!$BJ289:$BT289,,AH289)*(1-AF289)+INDEX(Models!$BJ289:$BT289,,AH289+1)*AF289-ERP_i)*AE289*Ramure*Pc/MaxiM</f>
        <v>4.1173988094821025E-5</v>
      </c>
      <c r="AE289" s="304">
        <f t="shared" si="117"/>
        <v>0.6</v>
      </c>
      <c r="AF289" s="177">
        <f t="shared" si="118"/>
        <v>0.99469549928019785</v>
      </c>
      <c r="AG289" s="799">
        <f t="shared" si="124"/>
        <v>0</v>
      </c>
      <c r="AH289" s="176">
        <f t="shared" si="119"/>
        <v>6</v>
      </c>
      <c r="AI289" s="224">
        <f t="shared" si="120"/>
        <v>0.99469549928019785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45202</v>
      </c>
      <c r="B290" s="409">
        <f>IF(t&gt;Tmaj,'2022'!Wh/'2022'!Env_an*'2023'!Env_an,0.001*'[12]mon-tableau (1)'!$B$244)</f>
        <v>37.502089898971306</v>
      </c>
      <c r="C290" s="829"/>
      <c r="D290" s="391">
        <f t="shared" si="102"/>
        <v>38.748501193063987</v>
      </c>
      <c r="E290" s="383">
        <f t="shared" si="100"/>
        <v>39.850029642978605</v>
      </c>
      <c r="F290" s="383">
        <f t="shared" si="103"/>
        <v>39.851350419501664</v>
      </c>
      <c r="G290" s="110">
        <f t="shared" si="101"/>
        <v>0.84607608646303833</v>
      </c>
      <c r="H290" s="412" t="b">
        <f>Wh_hp&gt;='2022'!Maxi_hp</f>
        <v>0</v>
      </c>
      <c r="I290" s="379">
        <f>IF(H290,Wh_hp,'2022'!Maxi_hp)</f>
        <v>39.851429653028248</v>
      </c>
      <c r="J290" s="85">
        <f>IF(H290,An,'2022'!An_max)</f>
        <v>2022</v>
      </c>
      <c r="K290" s="197">
        <f t="shared" si="104"/>
        <v>45202</v>
      </c>
      <c r="L290" s="147">
        <f>IF(t&lt;Tvie,1-EXP((T0-t)*PertePVj)+'2022'!Pspv,1-EXP((T0-t)*PertePVj)+Pspv)</f>
        <v>3.2166696922867999E-2</v>
      </c>
      <c r="M290" s="832"/>
      <c r="N290" s="832"/>
      <c r="O290" s="48">
        <f>IF(t&lt;Tnet,'2022'!Resal+('2022'!Salim-'2022'!Resal)*(1-EXP(('2022'!Tnet-t)/('2022'!Tau_j))),Resal+(Salim-Resal)*(1-EXP((Tnet-t)/(Tau_j))))*Salcycl</f>
        <v>2.7641847692043156E-2</v>
      </c>
      <c r="P290" s="338">
        <f>(INDEX(Models!$BJ290:$BT290,,T290)*(1-R290)+INDEX(Models!$BJ290:$BT290,,T290+1)*R290-ERP_i)*Q290*Ramure*Pc/MaxiM</f>
        <v>4.2483950450837296E-5</v>
      </c>
      <c r="Q290" s="304">
        <f t="shared" si="105"/>
        <v>0.6</v>
      </c>
      <c r="R290" s="177">
        <f t="shared" si="106"/>
        <v>0.99487837662598588</v>
      </c>
      <c r="S290" s="799">
        <f t="shared" si="107"/>
        <v>0</v>
      </c>
      <c r="T290" s="176">
        <f t="shared" si="108"/>
        <v>6</v>
      </c>
      <c r="U290" s="250">
        <f t="shared" si="109"/>
        <v>0.99487837662598588</v>
      </c>
      <c r="V290" s="382">
        <f t="shared" si="110"/>
        <v>44.32431097677722</v>
      </c>
      <c r="W290" s="400">
        <f t="shared" si="111"/>
        <v>37.502089898971306</v>
      </c>
      <c r="X290" s="157">
        <f t="shared" si="112"/>
        <v>45202</v>
      </c>
      <c r="Y290" s="383">
        <f t="shared" si="113"/>
        <v>36.63968834099434</v>
      </c>
      <c r="Z290" s="383">
        <f t="shared" si="114"/>
        <v>37.857437044687352</v>
      </c>
      <c r="AA290" s="384">
        <f t="shared" si="115"/>
        <v>39.850029642978605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5.0002286476149252E-2</v>
      </c>
      <c r="AD290" s="230">
        <f>(INDEX(Models!$BJ290:$BT290,,AH290)*(1-AF290)+INDEX(Models!$BJ290:$BT290,,AH290+1)*AF290-ERP_i)*AE290*Ramure*Pc/MaxiM</f>
        <v>4.2483950450837296E-5</v>
      </c>
      <c r="AE290" s="304">
        <f t="shared" si="117"/>
        <v>0.6</v>
      </c>
      <c r="AF290" s="177">
        <f t="shared" si="118"/>
        <v>0.99487837662598588</v>
      </c>
      <c r="AG290" s="799">
        <f t="shared" si="124"/>
        <v>0</v>
      </c>
      <c r="AH290" s="176">
        <f t="shared" si="119"/>
        <v>6</v>
      </c>
      <c r="AI290" s="224">
        <f t="shared" si="120"/>
        <v>0.99487837662598588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45203</v>
      </c>
      <c r="B291" s="409">
        <f>IF(t&gt;Tmaj,'2022'!Wh/'2022'!Env_an*'2023'!Env_an,0.001*'[12]mon-tableau (1)'!$B$245)</f>
        <v>44.046045235241081</v>
      </c>
      <c r="C291" s="829"/>
      <c r="D291" s="391">
        <f t="shared" si="102"/>
        <v>45.510822208519386</v>
      </c>
      <c r="E291" s="383">
        <f t="shared" si="100"/>
        <v>46.809193686605767</v>
      </c>
      <c r="F291" s="383">
        <f t="shared" si="103"/>
        <v>46.811239580800567</v>
      </c>
      <c r="G291" s="110">
        <f t="shared" si="101"/>
        <v>1.0000677422919386</v>
      </c>
      <c r="H291" s="412" t="b">
        <f>Wh_hp&gt;='2022'!Maxi_hp</f>
        <v>1</v>
      </c>
      <c r="I291" s="379">
        <f>IF(H291,Wh_hp,'2022'!Maxi_hp)</f>
        <v>46.811239580800567</v>
      </c>
      <c r="J291" s="85">
        <f>IF(H291,An,'2022'!An_max)</f>
        <v>2023</v>
      </c>
      <c r="K291" s="197">
        <f t="shared" si="104"/>
        <v>45203</v>
      </c>
      <c r="L291" s="147">
        <f>IF(t&lt;Tvie,1-EXP((T0-t)*PertePVj)+'2022'!Pspv,1-EXP((T0-t)*PertePVj)+Pspv)</f>
        <v>3.2185245227323245E-2</v>
      </c>
      <c r="M291" s="832"/>
      <c r="N291" s="832"/>
      <c r="O291" s="48">
        <f>IF(t&lt;Tnet,'2022'!Resal+('2022'!Salim-'2022'!Resal)*(1-EXP(('2022'!Tnet-t)/('2022'!Tau_j))),Resal+(Salim-Resal)*(1-EXP((Tnet-t)/(Tau_j))))*Salcycl</f>
        <v>2.773753136572198E-2</v>
      </c>
      <c r="P291" s="338">
        <f>(INDEX(Models!$BJ291:$BT291,,T291)*(1-R291)+INDEX(Models!$BJ291:$BT291,,T291+1)*R291-ERP_i)*Q291*Ramure*Pc/MaxiM</f>
        <v>4.3705191597732216E-5</v>
      </c>
      <c r="Q291" s="304">
        <f t="shared" si="105"/>
        <v>0.6</v>
      </c>
      <c r="R291" s="177">
        <f t="shared" si="106"/>
        <v>0.99505401759231638</v>
      </c>
      <c r="S291" s="799">
        <f t="shared" si="107"/>
        <v>0</v>
      </c>
      <c r="T291" s="176">
        <f t="shared" si="108"/>
        <v>6</v>
      </c>
      <c r="U291" s="250">
        <f t="shared" si="109"/>
        <v>0.99505401759231638</v>
      </c>
      <c r="V291" s="382">
        <f t="shared" si="110"/>
        <v>44.04306165730042</v>
      </c>
      <c r="W291" s="400">
        <f t="shared" si="111"/>
        <v>44.046045235241081</v>
      </c>
      <c r="X291" s="157">
        <f t="shared" si="112"/>
        <v>45203</v>
      </c>
      <c r="Y291" s="383">
        <f t="shared" si="113"/>
        <v>43.034625963625942</v>
      </c>
      <c r="Z291" s="383">
        <f t="shared" si="114"/>
        <v>44.465767597988361</v>
      </c>
      <c r="AA291" s="384">
        <f t="shared" si="115"/>
        <v>46.809193686605767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5.0063372257744522E-2</v>
      </c>
      <c r="AD291" s="230">
        <f>(INDEX(Models!$BJ291:$BT291,,AH291)*(1-AF291)+INDEX(Models!$BJ291:$BT291,,AH291+1)*AF291-ERP_i)*AE291*Ramure*Pc/MaxiM</f>
        <v>4.3705191597732216E-5</v>
      </c>
      <c r="AE291" s="304">
        <f t="shared" si="117"/>
        <v>0.6</v>
      </c>
      <c r="AF291" s="177">
        <f t="shared" si="118"/>
        <v>0.99505401759231638</v>
      </c>
      <c r="AG291" s="799">
        <f t="shared" si="124"/>
        <v>0</v>
      </c>
      <c r="AH291" s="176">
        <f t="shared" si="119"/>
        <v>6</v>
      </c>
      <c r="AI291" s="224">
        <f t="shared" si="120"/>
        <v>0.99505401759231638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45204</v>
      </c>
      <c r="B292" s="409">
        <f>IF(t&gt;Tmaj,'2022'!Wh/'2022'!Env_an*'2023'!Env_an,0.001*'[12]mon-tableau (1)'!$B$246)</f>
        <v>45.852904413461509</v>
      </c>
      <c r="C292" s="829"/>
      <c r="D292" s="391">
        <f t="shared" si="102"/>
        <v>47.378677546123697</v>
      </c>
      <c r="E292" s="383">
        <f t="shared" si="100"/>
        <v>48.735103158649288</v>
      </c>
      <c r="F292" s="383">
        <f t="shared" si="103"/>
        <v>48.737288376896331</v>
      </c>
      <c r="G292" s="110">
        <f t="shared" si="101"/>
        <v>1.0478798370423081</v>
      </c>
      <c r="H292" s="412" t="b">
        <f>Wh_hp&gt;='2022'!Maxi_hp</f>
        <v>1</v>
      </c>
      <c r="I292" s="379">
        <f>IF(H292,Wh_hp,'2022'!Maxi_hp)</f>
        <v>48.737288376896331</v>
      </c>
      <c r="J292" s="85">
        <f>IF(H292,An,'2022'!An_max)</f>
        <v>2023</v>
      </c>
      <c r="K292" s="197">
        <f t="shared" si="104"/>
        <v>45204</v>
      </c>
      <c r="L292" s="147">
        <f>IF(t&lt;Tvie,1-EXP((T0-t)*PertePVj)+'2022'!Pspv,1-EXP((T0-t)*PertePVj)+Pspv)</f>
        <v>3.2203793176304396E-2</v>
      </c>
      <c r="M292" s="832"/>
      <c r="N292" s="832"/>
      <c r="O292" s="48">
        <f>IF(t&lt;Tnet,'2022'!Resal+('2022'!Salim-'2022'!Resal)*(1-EXP(('2022'!Tnet-t)/('2022'!Tau_j))),Resal+(Salim-Resal)*(1-EXP((Tnet-t)/(Tau_j))))*Salcycl</f>
        <v>2.7832620115934965E-2</v>
      </c>
      <c r="P292" s="338">
        <f>(INDEX(Models!$BJ292:$BT292,,T292)*(1-R292)+INDEX(Models!$BJ292:$BT292,,T292+1)*R292-ERP_i)*Q292*Ramure*Pc/MaxiM</f>
        <v>4.4836680903317415E-5</v>
      </c>
      <c r="Q292" s="304">
        <f t="shared" si="105"/>
        <v>0.6</v>
      </c>
      <c r="R292" s="177">
        <f t="shared" si="106"/>
        <v>0.99522270365629806</v>
      </c>
      <c r="S292" s="799">
        <f t="shared" si="107"/>
        <v>0</v>
      </c>
      <c r="T292" s="176">
        <f t="shared" si="108"/>
        <v>6</v>
      </c>
      <c r="U292" s="250">
        <f t="shared" si="109"/>
        <v>0.99522270365629806</v>
      </c>
      <c r="V292" s="382">
        <f t="shared" si="110"/>
        <v>43.757788624775493</v>
      </c>
      <c r="W292" s="400">
        <f t="shared" si="111"/>
        <v>45.852904413461509</v>
      </c>
      <c r="X292" s="157">
        <f t="shared" si="112"/>
        <v>45204</v>
      </c>
      <c r="Y292" s="383">
        <f t="shared" si="113"/>
        <v>44.801535720987196</v>
      </c>
      <c r="Z292" s="383">
        <f t="shared" si="114"/>
        <v>46.292324153682841</v>
      </c>
      <c r="AA292" s="384">
        <f t="shared" si="115"/>
        <v>48.735103158649288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5.0123603863407744E-2</v>
      </c>
      <c r="AD292" s="230">
        <f>(INDEX(Models!$BJ292:$BT292,,AH292)*(1-AF292)+INDEX(Models!$BJ292:$BT292,,AH292+1)*AF292-ERP_i)*AE292*Ramure*Pc/MaxiM</f>
        <v>4.4836680903317415E-5</v>
      </c>
      <c r="AE292" s="304">
        <f t="shared" si="117"/>
        <v>0.6</v>
      </c>
      <c r="AF292" s="177">
        <f t="shared" si="118"/>
        <v>0.99522270365629806</v>
      </c>
      <c r="AG292" s="799">
        <f t="shared" si="124"/>
        <v>0</v>
      </c>
      <c r="AH292" s="176">
        <f t="shared" si="119"/>
        <v>6</v>
      </c>
      <c r="AI292" s="224">
        <f t="shared" si="120"/>
        <v>0.99522270365629806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45205</v>
      </c>
      <c r="B293" s="409">
        <f>IF(t&gt;Tmaj,'2022'!Wh/'2022'!Env_an*'2023'!Env_an,0.001*'[12]mon-tableau (1)'!$B$247)</f>
        <v>12.282074473124323</v>
      </c>
      <c r="C293" s="829"/>
      <c r="D293" s="391">
        <f t="shared" si="102"/>
        <v>12.691008472849122</v>
      </c>
      <c r="E293" s="383">
        <f t="shared" si="100"/>
        <v>13.055613994740902</v>
      </c>
      <c r="F293" s="383">
        <f t="shared" si="103"/>
        <v>13.055613994740902</v>
      </c>
      <c r="G293" s="110">
        <f t="shared" si="101"/>
        <v>0.28253691070804626</v>
      </c>
      <c r="H293" s="412" t="b">
        <f>Wh_hp&gt;='2022'!Maxi_hp</f>
        <v>0</v>
      </c>
      <c r="I293" s="379">
        <f>IF(H293,Wh_hp,'2022'!Maxi_hp)</f>
        <v>32.037742700397558</v>
      </c>
      <c r="J293" s="85">
        <f>IF(H293,An,'2022'!An_max)</f>
        <v>2020</v>
      </c>
      <c r="K293" s="197">
        <f t="shared" si="104"/>
        <v>45205</v>
      </c>
      <c r="L293" s="147">
        <f>IF(t&lt;Tvie,1-EXP((T0-t)*PertePVj)+'2022'!Pspv,1-EXP((T0-t)*PertePVj)+Pspv)</f>
        <v>3.2222340769818447E-2</v>
      </c>
      <c r="M293" s="832"/>
      <c r="N293" s="832"/>
      <c r="O293" s="48">
        <f>IF(t&lt;Tnet,'2022'!Resal+('2022'!Salim-'2022'!Resal)*(1-EXP(('2022'!Tnet-t)/('2022'!Tau_j))),Resal+(Salim-Resal)*(1-EXP((Tnet-t)/(Tau_j))))*Salcycl</f>
        <v>2.7927106456935049E-2</v>
      </c>
      <c r="P293" s="338">
        <f>(INDEX(Models!$BJ293:$BT293,,T293)*(1-R293)+INDEX(Models!$BJ293:$BT293,,T293+1)*R293-ERP_i)*Q293*Ramure*Pc/MaxiM</f>
        <v>4.5877381203576763E-5</v>
      </c>
      <c r="Q293" s="304">
        <f t="shared" si="105"/>
        <v>0.6</v>
      </c>
      <c r="R293" s="177">
        <f t="shared" si="106"/>
        <v>0.99538470572733728</v>
      </c>
      <c r="S293" s="799">
        <f t="shared" si="107"/>
        <v>0</v>
      </c>
      <c r="T293" s="176">
        <f t="shared" si="108"/>
        <v>6</v>
      </c>
      <c r="U293" s="250">
        <f t="shared" si="109"/>
        <v>0.99538470572733728</v>
      </c>
      <c r="V293" s="382">
        <f t="shared" si="110"/>
        <v>43.468695728759485</v>
      </c>
      <c r="W293" s="400">
        <f t="shared" si="111"/>
        <v>12.282074473124323</v>
      </c>
      <c r="X293" s="157">
        <f t="shared" si="112"/>
        <v>45205</v>
      </c>
      <c r="Y293" s="383">
        <f t="shared" si="113"/>
        <v>12.00087313363708</v>
      </c>
      <c r="Z293" s="383">
        <f t="shared" si="114"/>
        <v>12.40044448141443</v>
      </c>
      <c r="AA293" s="384">
        <f t="shared" si="115"/>
        <v>13.055613994740902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5.0182972136767312E-2</v>
      </c>
      <c r="AD293" s="230">
        <f>(INDEX(Models!$BJ293:$BT293,,AH293)*(1-AF293)+INDEX(Models!$BJ293:$BT293,,AH293+1)*AF293-ERP_i)*AE293*Ramure*Pc/MaxiM</f>
        <v>4.5877381203576763E-5</v>
      </c>
      <c r="AE293" s="304">
        <f t="shared" si="117"/>
        <v>0.6</v>
      </c>
      <c r="AF293" s="177">
        <f t="shared" si="118"/>
        <v>0.99538470572733728</v>
      </c>
      <c r="AG293" s="799">
        <f t="shared" si="124"/>
        <v>0</v>
      </c>
      <c r="AH293" s="176">
        <f t="shared" si="119"/>
        <v>6</v>
      </c>
      <c r="AI293" s="224">
        <f t="shared" si="120"/>
        <v>0.99538470572733728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45206</v>
      </c>
      <c r="B294" s="409">
        <f>IF(t&gt;Tmaj,'2022'!Wh/'2022'!Env_an*'2023'!Env_an,0.001*'[12]mon-tableau (1)'!$B$248)</f>
        <v>33.527935855591771</v>
      </c>
      <c r="C294" s="829"/>
      <c r="D294" s="391">
        <f t="shared" si="102"/>
        <v>34.644918802753153</v>
      </c>
      <c r="E294" s="383">
        <f t="shared" si="100"/>
        <v>35.643690066433074</v>
      </c>
      <c r="F294" s="383">
        <f t="shared" si="103"/>
        <v>35.644826354491641</v>
      </c>
      <c r="G294" s="110">
        <f t="shared" si="101"/>
        <v>0.7765296696887628</v>
      </c>
      <c r="H294" s="412" t="b">
        <f>Wh_hp&gt;='2022'!Maxi_hp</f>
        <v>0</v>
      </c>
      <c r="I294" s="379">
        <f>IF(H294,Wh_hp,'2022'!Maxi_hp)</f>
        <v>45.95674728395548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3.2240888007871948E-2</v>
      </c>
      <c r="M294" s="832"/>
      <c r="N294" s="832"/>
      <c r="O294" s="48">
        <f>IF(t&lt;Tnet,'2022'!Resal+('2022'!Salim-'2022'!Resal)*(1-EXP(('2022'!Tnet-t)/('2022'!Tau_j))),Resal+(Salim-Resal)*(1-EXP((Tnet-t)/(Tau_j))))*Salcycl</f>
        <v>2.8020983849270344E-2</v>
      </c>
      <c r="P294" s="338">
        <f>(INDEX(Models!$BJ294:$BT294,,T294)*(1-R294)+INDEX(Models!$BJ294:$BT294,,T294+1)*R294-ERP_i)*Q294*Ramure*Pc/MaxiM</f>
        <v>4.6826258053649821E-5</v>
      </c>
      <c r="Q294" s="304">
        <f t="shared" si="105"/>
        <v>0.6</v>
      </c>
      <c r="R294" s="177">
        <f t="shared" si="106"/>
        <v>0.99554028451386012</v>
      </c>
      <c r="S294" s="799">
        <f t="shared" si="107"/>
        <v>0</v>
      </c>
      <c r="T294" s="176">
        <f t="shared" si="108"/>
        <v>6</v>
      </c>
      <c r="U294" s="250">
        <f t="shared" si="109"/>
        <v>0.99554028451386012</v>
      </c>
      <c r="V294" s="382">
        <f t="shared" si="110"/>
        <v>43.175986657359459</v>
      </c>
      <c r="W294" s="400">
        <f t="shared" si="111"/>
        <v>33.527935855591771</v>
      </c>
      <c r="X294" s="157">
        <f t="shared" si="112"/>
        <v>45206</v>
      </c>
      <c r="Y294" s="383">
        <f t="shared" si="113"/>
        <v>32.761451177853417</v>
      </c>
      <c r="Z294" s="383">
        <f t="shared" si="114"/>
        <v>33.852898693368132</v>
      </c>
      <c r="AA294" s="384">
        <f t="shared" si="115"/>
        <v>35.643690066433074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5.0241469660611764E-2</v>
      </c>
      <c r="AD294" s="230">
        <f>(INDEX(Models!$BJ294:$BT294,,AH294)*(1-AF294)+INDEX(Models!$BJ294:$BT294,,AH294+1)*AF294-ERP_i)*AE294*Ramure*Pc/MaxiM</f>
        <v>4.6826258053649821E-5</v>
      </c>
      <c r="AE294" s="304">
        <f t="shared" si="117"/>
        <v>0.6</v>
      </c>
      <c r="AF294" s="177">
        <f t="shared" si="118"/>
        <v>0.99554028451386012</v>
      </c>
      <c r="AG294" s="799">
        <f t="shared" si="124"/>
        <v>0</v>
      </c>
      <c r="AH294" s="176">
        <f t="shared" si="119"/>
        <v>6</v>
      </c>
      <c r="AI294" s="224">
        <f t="shared" si="120"/>
        <v>0.99554028451386012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45207</v>
      </c>
      <c r="B295" s="409">
        <f>IF(t&gt;Tmaj,'2022'!Wh/'2022'!Env_an*'2023'!Env_an,0.001*'[12]mon-tableau (1)'!$B$249)</f>
        <v>15.710901482550049</v>
      </c>
      <c r="C295" s="829"/>
      <c r="D295" s="391">
        <f t="shared" si="102"/>
        <v>16.234621187727004</v>
      </c>
      <c r="E295" s="383">
        <f t="shared" si="100"/>
        <v>16.704248553980406</v>
      </c>
      <c r="F295" s="383">
        <f t="shared" si="103"/>
        <v>16.704324100276171</v>
      </c>
      <c r="G295" s="110">
        <f t="shared" si="101"/>
        <v>0.36637763262803497</v>
      </c>
      <c r="H295" s="412" t="b">
        <f>Wh_hp&gt;='2022'!Maxi_hp</f>
        <v>0</v>
      </c>
      <c r="I295" s="379">
        <f>IF(H295,Wh_hp,'2022'!Maxi_hp)</f>
        <v>44.08585911576052</v>
      </c>
      <c r="J295" s="85">
        <f>IF(H295,An,'2022'!An_max)</f>
        <v>2021</v>
      </c>
      <c r="K295" s="197">
        <f t="shared" si="104"/>
        <v>45207</v>
      </c>
      <c r="L295" s="147">
        <f>IF(t&lt;Tvie,1-EXP((T0-t)*PertePVj)+'2022'!Pspv,1-EXP((T0-t)*PertePVj)+Pspv)</f>
        <v>3.2259434890472005E-2</v>
      </c>
      <c r="M295" s="832"/>
      <c r="N295" s="832"/>
      <c r="O295" s="48">
        <f>IF(t&lt;Tnet,'2022'!Resal+('2022'!Salim-'2022'!Resal)*(1-EXP(('2022'!Tnet-t)/('2022'!Tau_j))),Resal+(Salim-Resal)*(1-EXP((Tnet-t)/(Tau_j))))*Salcycl</f>
        <v>2.811424678792239E-2</v>
      </c>
      <c r="P295" s="338">
        <f>(INDEX(Models!$BJ295:$BT295,,T295)*(1-R295)+INDEX(Models!$BJ295:$BT295,,T295+1)*R295-ERP_i)*Q295*Ramure*Pc/MaxiM</f>
        <v>4.7682289008136794E-5</v>
      </c>
      <c r="Q295" s="304">
        <f t="shared" si="105"/>
        <v>0.6</v>
      </c>
      <c r="R295" s="177">
        <f t="shared" si="106"/>
        <v>0.99568969087972126</v>
      </c>
      <c r="S295" s="799">
        <f t="shared" si="107"/>
        <v>0</v>
      </c>
      <c r="T295" s="176">
        <f t="shared" si="108"/>
        <v>6</v>
      </c>
      <c r="U295" s="250">
        <f t="shared" si="109"/>
        <v>0.99568969087972126</v>
      </c>
      <c r="V295" s="382">
        <f t="shared" si="110"/>
        <v>42.879864932069218</v>
      </c>
      <c r="W295" s="400">
        <f t="shared" si="111"/>
        <v>15.710901482550049</v>
      </c>
      <c r="X295" s="157">
        <f t="shared" si="112"/>
        <v>45207</v>
      </c>
      <c r="Y295" s="383">
        <f t="shared" si="113"/>
        <v>15.352275070934033</v>
      </c>
      <c r="Z295" s="383">
        <f t="shared" si="114"/>
        <v>15.864040037627726</v>
      </c>
      <c r="AA295" s="384">
        <f t="shared" si="115"/>
        <v>16.704248553980406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5.0299090895200321E-2</v>
      </c>
      <c r="AD295" s="230">
        <f>(INDEX(Models!$BJ295:$BT295,,AH295)*(1-AF295)+INDEX(Models!$BJ295:$BT295,,AH295+1)*AF295-ERP_i)*AE295*Ramure*Pc/MaxiM</f>
        <v>4.7682289008136794E-5</v>
      </c>
      <c r="AE295" s="304">
        <f t="shared" si="117"/>
        <v>0.6</v>
      </c>
      <c r="AF295" s="177">
        <f t="shared" si="118"/>
        <v>0.99568969087972126</v>
      </c>
      <c r="AG295" s="799">
        <f t="shared" si="124"/>
        <v>0</v>
      </c>
      <c r="AH295" s="176">
        <f t="shared" si="119"/>
        <v>6</v>
      </c>
      <c r="AI295" s="224">
        <f t="shared" si="120"/>
        <v>0.99568969087972126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45208</v>
      </c>
      <c r="B296" s="409">
        <f>IF(t&gt;Tmaj,'2022'!Wh/'2022'!Env_an*'2023'!Env_an,0.001*'[12]mon-tableau (1)'!$B$250)</f>
        <v>41.855327078038172</v>
      </c>
      <c r="C296" s="829"/>
      <c r="D296" s="391">
        <f t="shared" si="102"/>
        <v>43.251394795534814</v>
      </c>
      <c r="E296" s="383">
        <f t="shared" si="100"/>
        <v>44.506793050906651</v>
      </c>
      <c r="F296" s="383">
        <f t="shared" si="103"/>
        <v>44.508900940138453</v>
      </c>
      <c r="G296" s="110">
        <f t="shared" si="101"/>
        <v>0.98296751574325703</v>
      </c>
      <c r="H296" s="412" t="b">
        <f>Wh_hp&gt;='2022'!Maxi_hp</f>
        <v>0</v>
      </c>
      <c r="I296" s="379">
        <f>IF(H296,Wh_hp,'2022'!Maxi_hp)</f>
        <v>44.50891239902672</v>
      </c>
      <c r="J296" s="85">
        <f>IF(H296,An,'2022'!An_max)</f>
        <v>2022</v>
      </c>
      <c r="K296" s="197">
        <f t="shared" si="104"/>
        <v>45208</v>
      </c>
      <c r="L296" s="147">
        <f>IF(t&lt;Tvie,1-EXP((T0-t)*PertePVj)+'2022'!Pspv,1-EXP((T0-t)*PertePVj)+Pspv)</f>
        <v>3.2277981417625168E-2</v>
      </c>
      <c r="M296" s="832"/>
      <c r="N296" s="832"/>
      <c r="O296" s="48">
        <f>IF(t&lt;Tnet,'2022'!Resal+('2022'!Salim-'2022'!Resal)*(1-EXP(('2022'!Tnet-t)/('2022'!Tau_j))),Resal+(Salim-Resal)*(1-EXP((Tnet-t)/(Tau_j))))*Salcycl</f>
        <v>2.820689088822724E-2</v>
      </c>
      <c r="P296" s="338">
        <f>(INDEX(Models!$BJ296:$BT296,,T296)*(1-R296)+INDEX(Models!$BJ296:$BT296,,T296+1)*R296-ERP_i)*Q296*Ramure*Pc/MaxiM</f>
        <v>4.8539820839207522E-5</v>
      </c>
      <c r="Q296" s="304">
        <f t="shared" si="105"/>
        <v>0.6</v>
      </c>
      <c r="R296" s="177">
        <f t="shared" si="106"/>
        <v>0.99583316619038387</v>
      </c>
      <c r="S296" s="799">
        <f t="shared" si="107"/>
        <v>0</v>
      </c>
      <c r="T296" s="176">
        <f t="shared" si="108"/>
        <v>6</v>
      </c>
      <c r="U296" s="250">
        <f t="shared" si="109"/>
        <v>0.99583316619038387</v>
      </c>
      <c r="V296" s="382">
        <f t="shared" si="110"/>
        <v>42.580529849009316</v>
      </c>
      <c r="W296" s="400">
        <f t="shared" si="111"/>
        <v>41.855327078038172</v>
      </c>
      <c r="X296" s="157">
        <f t="shared" si="112"/>
        <v>45208</v>
      </c>
      <c r="Y296" s="383">
        <f t="shared" si="113"/>
        <v>40.901367661169154</v>
      </c>
      <c r="Z296" s="383">
        <f t="shared" si="114"/>
        <v>42.265616443331481</v>
      </c>
      <c r="AA296" s="384">
        <f t="shared" si="115"/>
        <v>44.506793050906651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5.0355832311075002E-2</v>
      </c>
      <c r="AD296" s="230">
        <f>(INDEX(Models!$BJ296:$BT296,,AH296)*(1-AF296)+INDEX(Models!$BJ296:$BT296,,AH296+1)*AF296-ERP_i)*AE296*Ramure*Pc/MaxiM</f>
        <v>4.8539820839207522E-5</v>
      </c>
      <c r="AE296" s="304">
        <f t="shared" si="117"/>
        <v>0.6</v>
      </c>
      <c r="AF296" s="177">
        <f t="shared" si="118"/>
        <v>0.99583316619038387</v>
      </c>
      <c r="AG296" s="799">
        <f t="shared" si="124"/>
        <v>0</v>
      </c>
      <c r="AH296" s="176">
        <f t="shared" si="119"/>
        <v>6</v>
      </c>
      <c r="AI296" s="224">
        <f t="shared" si="120"/>
        <v>0.99583316619038387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45209</v>
      </c>
      <c r="B297" s="409">
        <f>IF(t&gt;Tmaj,'2022'!Wh/'2022'!Env_an*'2023'!Env_an,0.001*'[12]mon-tableau (1)'!$B$251)</f>
        <v>35.49666539946351</v>
      </c>
      <c r="C297" s="829"/>
      <c r="D297" s="391">
        <f t="shared" si="102"/>
        <v>36.681345485965032</v>
      </c>
      <c r="E297" s="383">
        <f t="shared" ref="E297:E360" si="125">Wh_pvt/(1-Psa)</f>
        <v>37.749618659000909</v>
      </c>
      <c r="F297" s="383">
        <f t="shared" si="103"/>
        <v>37.751058726019927</v>
      </c>
      <c r="G297" s="110">
        <f t="shared" ref="G297:G360" si="126">+Wh_hp/MaxiM</f>
        <v>0.83958822412501577</v>
      </c>
      <c r="H297" s="412" t="b">
        <f>Wh_hp&gt;='2022'!Maxi_hp</f>
        <v>0</v>
      </c>
      <c r="I297" s="379">
        <f>IF(H297,Wh_hp,'2022'!Maxi_hp)</f>
        <v>37.751152794670539</v>
      </c>
      <c r="J297" s="85">
        <f>IF(H297,An,'2022'!An_max)</f>
        <v>2022</v>
      </c>
      <c r="K297" s="197">
        <f t="shared" si="104"/>
        <v>45209</v>
      </c>
      <c r="L297" s="147">
        <f>IF(t&lt;Tvie,1-EXP((T0-t)*PertePVj)+'2022'!Pspv,1-EXP((T0-t)*PertePVj)+Pspv)</f>
        <v>3.2296527589338431E-2</v>
      </c>
      <c r="M297" s="832"/>
      <c r="N297" s="832"/>
      <c r="O297" s="48">
        <f>IF(t&lt;Tnet,'2022'!Resal+('2022'!Salim-'2022'!Resal)*(1-EXP(('2022'!Tnet-t)/('2022'!Tau_j))),Resal+(Salim-Resal)*(1-EXP((Tnet-t)/(Tau_j))))*Salcycl</f>
        <v>2.8298912968784614E-2</v>
      </c>
      <c r="P297" s="338">
        <f>(INDEX(Models!$BJ297:$BT297,,T297)*(1-R297)+INDEX(Models!$BJ297:$BT297,,T297+1)*R297-ERP_i)*Q297*Ramure*Pc/MaxiM</f>
        <v>4.9485901013347799E-5</v>
      </c>
      <c r="Q297" s="304">
        <f t="shared" si="105"/>
        <v>0.6</v>
      </c>
      <c r="R297" s="177">
        <f t="shared" si="106"/>
        <v>0.9959709426489749</v>
      </c>
      <c r="S297" s="799">
        <f t="shared" si="107"/>
        <v>0</v>
      </c>
      <c r="T297" s="176">
        <f t="shared" si="108"/>
        <v>6</v>
      </c>
      <c r="U297" s="250">
        <f t="shared" si="109"/>
        <v>0.9959709426489749</v>
      </c>
      <c r="V297" s="382">
        <f t="shared" si="110"/>
        <v>42.278180957883748</v>
      </c>
      <c r="W297" s="400">
        <f t="shared" si="111"/>
        <v>35.49666539946351</v>
      </c>
      <c r="X297" s="157">
        <f t="shared" si="112"/>
        <v>45209</v>
      </c>
      <c r="Y297" s="383">
        <f t="shared" si="113"/>
        <v>34.688875898059806</v>
      </c>
      <c r="Z297" s="383">
        <f t="shared" si="114"/>
        <v>35.84659649060243</v>
      </c>
      <c r="AA297" s="384">
        <f t="shared" si="115"/>
        <v>37.749618659000909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5.0411692515064097E-2</v>
      </c>
      <c r="AD297" s="230">
        <f>(INDEX(Models!$BJ297:$BT297,,AH297)*(1-AF297)+INDEX(Models!$BJ297:$BT297,,AH297+1)*AF297-ERP_i)*AE297*Ramure*Pc/MaxiM</f>
        <v>4.9485901013347799E-5</v>
      </c>
      <c r="AE297" s="304">
        <f t="shared" si="117"/>
        <v>0.6</v>
      </c>
      <c r="AF297" s="177">
        <f t="shared" si="118"/>
        <v>0.9959709426489749</v>
      </c>
      <c r="AG297" s="799">
        <f t="shared" si="124"/>
        <v>0</v>
      </c>
      <c r="AH297" s="176">
        <f t="shared" si="119"/>
        <v>6</v>
      </c>
      <c r="AI297" s="224">
        <f t="shared" si="120"/>
        <v>0.9959709426489749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45210</v>
      </c>
      <c r="B298" s="409">
        <f>IF(t&gt;Tmaj,'2022'!Wh/'2022'!Env_an*'2023'!Env_an,0.001*'[12]mon-tableau (1)'!$B$252)</f>
        <v>24.251563690772699</v>
      </c>
      <c r="C298" s="829"/>
      <c r="D298" s="391">
        <f t="shared" si="102"/>
        <v>25.061425495302849</v>
      </c>
      <c r="E298" s="383">
        <f t="shared" si="125"/>
        <v>25.793717150416825</v>
      </c>
      <c r="F298" s="383">
        <f t="shared" si="103"/>
        <v>25.794234289928404</v>
      </c>
      <c r="G298" s="110">
        <f t="shared" si="126"/>
        <v>0.57777171795027671</v>
      </c>
      <c r="H298" s="412" t="b">
        <f>Wh_hp&gt;='2022'!Maxi_hp</f>
        <v>0</v>
      </c>
      <c r="I298" s="379">
        <f>IF(H298,Wh_hp,'2022'!Maxi_hp)</f>
        <v>44.857995782913029</v>
      </c>
      <c r="J298" s="85">
        <f>IF(H298,An,'2022'!An_max)</f>
        <v>2021</v>
      </c>
      <c r="K298" s="197">
        <f t="shared" si="104"/>
        <v>45210</v>
      </c>
      <c r="L298" s="147">
        <f>IF(t&lt;Tvie,1-EXP((T0-t)*PertePVj)+'2022'!Pspv,1-EXP((T0-t)*PertePVj)+Pspv)</f>
        <v>3.2315073405618566E-2</v>
      </c>
      <c r="M298" s="832"/>
      <c r="N298" s="832"/>
      <c r="O298" s="48">
        <f>IF(t&lt;Tnet,'2022'!Resal+('2022'!Salim-'2022'!Resal)*(1-EXP(('2022'!Tnet-t)/('2022'!Tau_j))),Resal+(Salim-Resal)*(1-EXP((Tnet-t)/(Tau_j))))*Salcycl</f>
        <v>2.8390311130559256E-2</v>
      </c>
      <c r="P298" s="338">
        <f>(INDEX(Models!$BJ298:$BT298,,T298)*(1-R298)+INDEX(Models!$BJ298:$BT298,,T298+1)*R298-ERP_i)*Q298*Ramure*Pc/MaxiM</f>
        <v>5.0520491709230106E-5</v>
      </c>
      <c r="Q298" s="304">
        <f t="shared" si="105"/>
        <v>0.6</v>
      </c>
      <c r="R298" s="177">
        <f t="shared" si="106"/>
        <v>0.99610324362234115</v>
      </c>
      <c r="S298" s="799">
        <f t="shared" si="107"/>
        <v>0</v>
      </c>
      <c r="T298" s="176">
        <f t="shared" si="108"/>
        <v>6</v>
      </c>
      <c r="U298" s="250">
        <f t="shared" si="109"/>
        <v>0.99610324362234115</v>
      </c>
      <c r="V298" s="382">
        <f t="shared" si="110"/>
        <v>41.973021407347247</v>
      </c>
      <c r="W298" s="400">
        <f t="shared" si="111"/>
        <v>24.251563690772699</v>
      </c>
      <c r="X298" s="157">
        <f t="shared" si="112"/>
        <v>45210</v>
      </c>
      <c r="Y298" s="383">
        <f t="shared" si="113"/>
        <v>23.700533491354051</v>
      </c>
      <c r="Z298" s="383">
        <f t="shared" si="114"/>
        <v>24.491994077829073</v>
      </c>
      <c r="AA298" s="384">
        <f t="shared" si="115"/>
        <v>25.793717150416825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5.0466672368186256E-2</v>
      </c>
      <c r="AD298" s="230">
        <f>(INDEX(Models!$BJ298:$BT298,,AH298)*(1-AF298)+INDEX(Models!$BJ298:$BT298,,AH298+1)*AF298-ERP_i)*AE298*Ramure*Pc/MaxiM</f>
        <v>5.0520491709230106E-5</v>
      </c>
      <c r="AE298" s="304">
        <f t="shared" si="117"/>
        <v>0.6</v>
      </c>
      <c r="AF298" s="177">
        <f t="shared" si="118"/>
        <v>0.99610324362234115</v>
      </c>
      <c r="AG298" s="799">
        <f t="shared" si="124"/>
        <v>0</v>
      </c>
      <c r="AH298" s="176">
        <f t="shared" si="119"/>
        <v>6</v>
      </c>
      <c r="AI298" s="224">
        <f t="shared" si="120"/>
        <v>0.99610324362234115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45211</v>
      </c>
      <c r="B299" s="409">
        <f>IF(t&gt;Tmaj,'2022'!Wh/'2022'!Env_an*'2023'!Env_an,0.001*'[12]mon-tableau (1)'!$B$253)</f>
        <v>28.595764779012111</v>
      </c>
      <c r="C299" s="829"/>
      <c r="D299" s="391">
        <f t="shared" si="102"/>
        <v>29.551264089091259</v>
      </c>
      <c r="E299" s="383">
        <f t="shared" si="125"/>
        <v>30.417590051720641</v>
      </c>
      <c r="F299" s="383">
        <f t="shared" si="103"/>
        <v>30.418457021302608</v>
      </c>
      <c r="G299" s="110">
        <f t="shared" si="126"/>
        <v>0.68630573732482614</v>
      </c>
      <c r="H299" s="412" t="b">
        <f>Wh_hp&gt;='2022'!Maxi_hp</f>
        <v>0</v>
      </c>
      <c r="I299" s="379">
        <f>IF(H299,Wh_hp,'2022'!Maxi_hp)</f>
        <v>43.06156480177809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3.2333618866472347E-2</v>
      </c>
      <c r="M299" s="832"/>
      <c r="N299" s="832"/>
      <c r="O299" s="48">
        <f>IF(t&lt;Tnet,'2022'!Resal+('2022'!Salim-'2022'!Resal)*(1-EXP(('2022'!Tnet-t)/('2022'!Tau_j))),Resal+(Salim-Resal)*(1-EXP((Tnet-t)/(Tau_j))))*Salcycl</f>
        <v>2.8481084831386169E-2</v>
      </c>
      <c r="P299" s="338">
        <f>(INDEX(Models!$BJ299:$BT299,,T299)*(1-R299)+INDEX(Models!$BJ299:$BT299,,T299+1)*R299-ERP_i)*Q299*Ramure*Pc/MaxiM</f>
        <v>5.1643504472160829E-5</v>
      </c>
      <c r="Q299" s="304">
        <f t="shared" si="105"/>
        <v>0.6</v>
      </c>
      <c r="R299" s="177">
        <f t="shared" si="106"/>
        <v>0.99623028395724267</v>
      </c>
      <c r="S299" s="799">
        <f t="shared" si="107"/>
        <v>0</v>
      </c>
      <c r="T299" s="176">
        <f t="shared" si="108"/>
        <v>6</v>
      </c>
      <c r="U299" s="250">
        <f t="shared" si="109"/>
        <v>0.99623028395724267</v>
      </c>
      <c r="V299" s="382">
        <f t="shared" si="110"/>
        <v>41.665254185909873</v>
      </c>
      <c r="W299" s="400">
        <f t="shared" si="111"/>
        <v>28.595764779012111</v>
      </c>
      <c r="X299" s="157">
        <f t="shared" si="112"/>
        <v>45211</v>
      </c>
      <c r="Y299" s="383">
        <f t="shared" si="113"/>
        <v>27.947046788330244</v>
      </c>
      <c r="Z299" s="383">
        <f t="shared" si="114"/>
        <v>28.880869825810191</v>
      </c>
      <c r="AA299" s="384">
        <f t="shared" si="115"/>
        <v>30.417590051720641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5.0520775094196647E-2</v>
      </c>
      <c r="AD299" s="230">
        <f>(INDEX(Models!$BJ299:$BT299,,AH299)*(1-AF299)+INDEX(Models!$BJ299:$BT299,,AH299+1)*AF299-ERP_i)*AE299*Ramure*Pc/MaxiM</f>
        <v>5.1643504472160829E-5</v>
      </c>
      <c r="AE299" s="304">
        <f t="shared" si="117"/>
        <v>0.6</v>
      </c>
      <c r="AF299" s="177">
        <f t="shared" si="118"/>
        <v>0.99623028395724267</v>
      </c>
      <c r="AG299" s="799">
        <f t="shared" si="124"/>
        <v>0</v>
      </c>
      <c r="AH299" s="176">
        <f t="shared" si="119"/>
        <v>6</v>
      </c>
      <c r="AI299" s="224">
        <f t="shared" si="120"/>
        <v>0.99623028395724267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45212</v>
      </c>
      <c r="B300" s="409">
        <f>IF(t&gt;Tmaj,'2022'!Wh/'2022'!Env_an*'2023'!Env_an,0.001*'[12]mon-tableau (1)'!$B$254)</f>
        <v>25.156976209662904</v>
      </c>
      <c r="C300" s="829"/>
      <c r="D300" s="391">
        <f t="shared" si="102"/>
        <v>25.998070034367885</v>
      </c>
      <c r="E300" s="383">
        <f t="shared" si="125"/>
        <v>26.762713818924627</v>
      </c>
      <c r="F300" s="383">
        <f t="shared" si="103"/>
        <v>26.763336869524238</v>
      </c>
      <c r="G300" s="110">
        <f t="shared" si="126"/>
        <v>0.60829844580910331</v>
      </c>
      <c r="H300" s="412" t="b">
        <f>Wh_hp&gt;='2022'!Maxi_hp</f>
        <v>0</v>
      </c>
      <c r="I300" s="379">
        <f>IF(H300,Wh_hp,'2022'!Maxi_hp)</f>
        <v>42.186291422825811</v>
      </c>
      <c r="J300" s="85">
        <f>IF(H300,An,'2022'!An_max)</f>
        <v>2021</v>
      </c>
      <c r="K300" s="197">
        <f t="shared" si="104"/>
        <v>45212</v>
      </c>
      <c r="L300" s="147">
        <f>IF(t&lt;Tvie,1-EXP((T0-t)*PertePVj)+'2022'!Pspv,1-EXP((T0-t)*PertePVj)+Pspv)</f>
        <v>3.2352163971906545E-2</v>
      </c>
      <c r="M300" s="832"/>
      <c r="N300" s="832"/>
      <c r="O300" s="48">
        <f>IF(t&lt;Tnet,'2022'!Resal+('2022'!Salim-'2022'!Resal)*(1-EXP(('2022'!Tnet-t)/('2022'!Tau_j))),Resal+(Salim-Resal)*(1-EXP((Tnet-t)/(Tau_j))))*Salcycl</f>
        <v>2.8571234955105544E-2</v>
      </c>
      <c r="P300" s="338">
        <f>(INDEX(Models!$BJ300:$BT300,,T300)*(1-R300)+INDEX(Models!$BJ300:$BT300,,T300+1)*R300-ERP_i)*Q300*Ramure*Pc/MaxiM</f>
        <v>5.2854798216659734E-5</v>
      </c>
      <c r="Q300" s="304">
        <f t="shared" si="105"/>
        <v>0.6</v>
      </c>
      <c r="R300" s="177">
        <f t="shared" si="106"/>
        <v>0.99635227028683682</v>
      </c>
      <c r="S300" s="799">
        <f t="shared" si="107"/>
        <v>0</v>
      </c>
      <c r="T300" s="176">
        <f t="shared" si="108"/>
        <v>6</v>
      </c>
      <c r="U300" s="250">
        <f t="shared" si="109"/>
        <v>0.99635227028683682</v>
      </c>
      <c r="V300" s="382">
        <f t="shared" si="110"/>
        <v>41.355082120087388</v>
      </c>
      <c r="W300" s="400">
        <f t="shared" si="111"/>
        <v>25.156976209662904</v>
      </c>
      <c r="X300" s="157">
        <f t="shared" si="112"/>
        <v>45212</v>
      </c>
      <c r="Y300" s="383">
        <f t="shared" si="113"/>
        <v>24.587173031973606</v>
      </c>
      <c r="Z300" s="383">
        <f t="shared" si="114"/>
        <v>25.409216159565485</v>
      </c>
      <c r="AA300" s="384">
        <f t="shared" si="115"/>
        <v>26.762713818924627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5.0574006377561341E-2</v>
      </c>
      <c r="AD300" s="230">
        <f>(INDEX(Models!$BJ300:$BT300,,AH300)*(1-AF300)+INDEX(Models!$BJ300:$BT300,,AH300+1)*AF300-ERP_i)*AE300*Ramure*Pc/MaxiM</f>
        <v>5.2854798216659734E-5</v>
      </c>
      <c r="AE300" s="304">
        <f t="shared" si="117"/>
        <v>0.6</v>
      </c>
      <c r="AF300" s="177">
        <f t="shared" si="118"/>
        <v>0.99635227028683682</v>
      </c>
      <c r="AG300" s="799">
        <f t="shared" si="124"/>
        <v>0</v>
      </c>
      <c r="AH300" s="176">
        <f t="shared" si="119"/>
        <v>6</v>
      </c>
      <c r="AI300" s="224">
        <f t="shared" si="120"/>
        <v>0.99635227028683682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45213</v>
      </c>
      <c r="B301" s="409">
        <f>IF(t&gt;Tmaj,'2022'!Wh/'2022'!Env_an*'2023'!Env_an,0.001*'[12]mon-tableau (1)'!$B$255)</f>
        <v>18.03485190818148</v>
      </c>
      <c r="C301" s="829"/>
      <c r="D301" s="391">
        <f t="shared" si="102"/>
        <v>18.638183104565325</v>
      </c>
      <c r="E301" s="383">
        <f t="shared" si="125"/>
        <v>19.188129554934068</v>
      </c>
      <c r="F301" s="383">
        <f t="shared" si="103"/>
        <v>19.188336514784517</v>
      </c>
      <c r="G301" s="110">
        <f t="shared" si="126"/>
        <v>0.43939765889883631</v>
      </c>
      <c r="H301" s="412" t="b">
        <f>Wh_hp&gt;='2022'!Maxi_hp</f>
        <v>0</v>
      </c>
      <c r="I301" s="379">
        <f>IF(H301,Wh_hp,'2022'!Maxi_hp)</f>
        <v>45.549482417186574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3.2370708721928154E-2</v>
      </c>
      <c r="M301" s="832"/>
      <c r="N301" s="832"/>
      <c r="O301" s="48">
        <f>IF(t&lt;Tnet,'2022'!Resal+('2022'!Salim-'2022'!Resal)*(1-EXP(('2022'!Tnet-t)/('2022'!Tau_j))),Resal+(Salim-Resal)*(1-EXP((Tnet-t)/(Tau_j))))*Salcycl</f>
        <v>2.8660763874576261E-2</v>
      </c>
      <c r="P301" s="338">
        <f>(INDEX(Models!$BJ301:$BT301,,T301)*(1-R301)+INDEX(Models!$BJ301:$BT301,,T301+1)*R301-ERP_i)*Q301*Ramure*Pc/MaxiM</f>
        <v>5.4154177888768586E-5</v>
      </c>
      <c r="Q301" s="304">
        <f t="shared" si="105"/>
        <v>0.6</v>
      </c>
      <c r="R301" s="177">
        <f t="shared" si="106"/>
        <v>0.99646940132761763</v>
      </c>
      <c r="S301" s="799">
        <f t="shared" si="107"/>
        <v>0</v>
      </c>
      <c r="T301" s="176">
        <f t="shared" si="108"/>
        <v>6</v>
      </c>
      <c r="U301" s="250">
        <f t="shared" si="109"/>
        <v>0.99646940132761763</v>
      </c>
      <c r="V301" s="382">
        <f t="shared" si="110"/>
        <v>41.042707876643355</v>
      </c>
      <c r="W301" s="400">
        <f t="shared" si="111"/>
        <v>18.03485190818148</v>
      </c>
      <c r="X301" s="157">
        <f t="shared" si="112"/>
        <v>45213</v>
      </c>
      <c r="Y301" s="383">
        <f t="shared" si="113"/>
        <v>17.627016500054243</v>
      </c>
      <c r="Z301" s="383">
        <f t="shared" si="114"/>
        <v>18.216704123096548</v>
      </c>
      <c r="AA301" s="384">
        <f t="shared" si="115"/>
        <v>19.188129554934068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5.0626374449703769E-2</v>
      </c>
      <c r="AD301" s="230">
        <f>(INDEX(Models!$BJ301:$BT301,,AH301)*(1-AF301)+INDEX(Models!$BJ301:$BT301,,AH301+1)*AF301-ERP_i)*AE301*Ramure*Pc/MaxiM</f>
        <v>5.4154177888768586E-5</v>
      </c>
      <c r="AE301" s="304">
        <f t="shared" si="117"/>
        <v>0.6</v>
      </c>
      <c r="AF301" s="177">
        <f t="shared" si="118"/>
        <v>0.99646940132761763</v>
      </c>
      <c r="AG301" s="799">
        <f t="shared" si="124"/>
        <v>0</v>
      </c>
      <c r="AH301" s="176">
        <f t="shared" si="119"/>
        <v>6</v>
      </c>
      <c r="AI301" s="224">
        <f t="shared" si="120"/>
        <v>0.99646940132761763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45214</v>
      </c>
      <c r="B302" s="409">
        <f>IF(t&gt;Tmaj,'2022'!Wh/'2022'!Env_an*'2023'!Env_an,0.001*'[12]mon-tableau (1)'!$B$256)</f>
        <v>41.157173619873682</v>
      </c>
      <c r="C302" s="829"/>
      <c r="D302" s="391">
        <f t="shared" si="102"/>
        <v>42.534845496947391</v>
      </c>
      <c r="E302" s="383">
        <f t="shared" si="125"/>
        <v>43.793906086145178</v>
      </c>
      <c r="F302" s="383">
        <f t="shared" si="103"/>
        <v>43.796338595835714</v>
      </c>
      <c r="G302" s="110">
        <f t="shared" si="126"/>
        <v>1.0105292707627351</v>
      </c>
      <c r="H302" s="412" t="b">
        <f>Wh_hp&gt;='2022'!Maxi_hp</f>
        <v>1</v>
      </c>
      <c r="I302" s="379">
        <f>IF(H302,Wh_hp,'2022'!Maxi_hp)</f>
        <v>43.796338595835714</v>
      </c>
      <c r="J302" s="85">
        <f>IF(H302,An,'2022'!An_max)</f>
        <v>2023</v>
      </c>
      <c r="K302" s="197">
        <f t="shared" si="104"/>
        <v>45214</v>
      </c>
      <c r="L302" s="147">
        <f>IF(t&lt;Tvie,1-EXP((T0-t)*PertePVj)+'2022'!Pspv,1-EXP((T0-t)*PertePVj)+Pspv)</f>
        <v>3.2389253116543726E-2</v>
      </c>
      <c r="M302" s="832"/>
      <c r="N302" s="832"/>
      <c r="O302" s="48">
        <f>IF(t&lt;Tnet,'2022'!Resal+('2022'!Salim-'2022'!Resal)*(1-EXP(('2022'!Tnet-t)/('2022'!Tau_j))),Resal+(Salim-Resal)*(1-EXP((Tnet-t)/(Tau_j))))*Salcycl</f>
        <v>2.8749675507846708E-2</v>
      </c>
      <c r="P302" s="338">
        <f>(INDEX(Models!$BJ302:$BT302,,T302)*(1-R302)+INDEX(Models!$BJ302:$BT302,,T302+1)*R302-ERP_i)*Q302*Ramure*Pc/MaxiM</f>
        <v>5.5541393836240938E-5</v>
      </c>
      <c r="Q302" s="304">
        <f t="shared" si="105"/>
        <v>0.6</v>
      </c>
      <c r="R302" s="177">
        <f t="shared" si="106"/>
        <v>0.99658186816698358</v>
      </c>
      <c r="S302" s="799">
        <f t="shared" si="107"/>
        <v>0</v>
      </c>
      <c r="T302" s="176">
        <f t="shared" si="108"/>
        <v>6</v>
      </c>
      <c r="U302" s="250">
        <f t="shared" si="109"/>
        <v>0.99658186816698358</v>
      </c>
      <c r="V302" s="382">
        <f t="shared" si="110"/>
        <v>40.728333963853167</v>
      </c>
      <c r="W302" s="400">
        <f t="shared" si="111"/>
        <v>41.157173619873682</v>
      </c>
      <c r="X302" s="157">
        <f t="shared" si="112"/>
        <v>45214</v>
      </c>
      <c r="Y302" s="383">
        <f t="shared" si="113"/>
        <v>40.227955564595597</v>
      </c>
      <c r="Z302" s="383">
        <f t="shared" si="114"/>
        <v>41.574523323727455</v>
      </c>
      <c r="AA302" s="384">
        <f t="shared" si="115"/>
        <v>43.793906086145178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5.0677890162436519E-2</v>
      </c>
      <c r="AD302" s="230">
        <f>(INDEX(Models!$BJ302:$BT302,,AH302)*(1-AF302)+INDEX(Models!$BJ302:$BT302,,AH302+1)*AF302-ERP_i)*AE302*Ramure*Pc/MaxiM</f>
        <v>5.5541393836240938E-5</v>
      </c>
      <c r="AE302" s="304">
        <f t="shared" si="117"/>
        <v>0.6</v>
      </c>
      <c r="AF302" s="177">
        <f t="shared" si="118"/>
        <v>0.99658186816698358</v>
      </c>
      <c r="AG302" s="799">
        <f t="shared" si="124"/>
        <v>0</v>
      </c>
      <c r="AH302" s="176">
        <f t="shared" si="119"/>
        <v>6</v>
      </c>
      <c r="AI302" s="224">
        <f t="shared" si="120"/>
        <v>0.99658186816698358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45215</v>
      </c>
      <c r="B303" s="409">
        <f>IF(t&gt;Tmaj,'2022'!Wh/'2022'!Env_an*'2023'!Env_an,0.001*'[12]mon-tableau (1)'!$B$257)</f>
        <v>35.414403621168766</v>
      </c>
      <c r="C303" s="829"/>
      <c r="D303" s="391">
        <f t="shared" si="102"/>
        <v>36.60054671489501</v>
      </c>
      <c r="E303" s="383">
        <f t="shared" si="125"/>
        <v>37.687374286199798</v>
      </c>
      <c r="F303" s="383">
        <f t="shared" si="103"/>
        <v>37.689143851379015</v>
      </c>
      <c r="G303" s="110">
        <f t="shared" si="126"/>
        <v>0.87638477455547636</v>
      </c>
      <c r="H303" s="412" t="b">
        <f>Wh_hp&gt;='2022'!Maxi_hp</f>
        <v>0</v>
      </c>
      <c r="I303" s="379">
        <f>IF(H303,Wh_hp,'2022'!Maxi_hp)</f>
        <v>41.812215939762069</v>
      </c>
      <c r="J303" s="85">
        <f>IF(H303,An,'2022'!An_max)</f>
        <v>2021</v>
      </c>
      <c r="K303" s="197">
        <f t="shared" si="104"/>
        <v>45215</v>
      </c>
      <c r="L303" s="147">
        <f>IF(t&lt;Tvie,1-EXP((T0-t)*PertePVj)+'2022'!Pspv,1-EXP((T0-t)*PertePVj)+Pspv)</f>
        <v>3.2407797155760254E-2</v>
      </c>
      <c r="M303" s="832"/>
      <c r="N303" s="832"/>
      <c r="O303" s="48">
        <f>IF(t&lt;Tnet,'2022'!Resal+('2022'!Salim-'2022'!Resal)*(1-EXP(('2022'!Tnet-t)/('2022'!Tau_j))),Resal+(Salim-Resal)*(1-EXP((Tnet-t)/(Tau_j))))*Salcycl</f>
        <v>2.8837975366799676E-2</v>
      </c>
      <c r="P303" s="338">
        <f>(INDEX(Models!$BJ303:$BT303,,T303)*(1-R303)+INDEX(Models!$BJ303:$BT303,,T303+1)*R303-ERP_i)*Q303*Ramure*Pc/MaxiM</f>
        <v>5.7020258582018082E-5</v>
      </c>
      <c r="Q303" s="304">
        <f t="shared" si="105"/>
        <v>0.6</v>
      </c>
      <c r="R303" s="177">
        <f t="shared" si="106"/>
        <v>0.99668985454161663</v>
      </c>
      <c r="S303" s="799">
        <f t="shared" si="107"/>
        <v>0</v>
      </c>
      <c r="T303" s="176">
        <f t="shared" si="108"/>
        <v>6</v>
      </c>
      <c r="U303" s="250">
        <f t="shared" si="109"/>
        <v>0.99668985454161663</v>
      </c>
      <c r="V303" s="382">
        <f t="shared" si="110"/>
        <v>40.409244953449395</v>
      </c>
      <c r="W303" s="400">
        <f t="shared" si="111"/>
        <v>35.414403621168766</v>
      </c>
      <c r="X303" s="157">
        <f t="shared" si="112"/>
        <v>45215</v>
      </c>
      <c r="Y303" s="383">
        <f t="shared" si="113"/>
        <v>34.616141096867622</v>
      </c>
      <c r="Z303" s="383">
        <f t="shared" si="114"/>
        <v>35.775547792875329</v>
      </c>
      <c r="AA303" s="384">
        <f t="shared" si="115"/>
        <v>37.687374286199798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5.072856704757308E-2</v>
      </c>
      <c r="AD303" s="230">
        <f>(INDEX(Models!$BJ303:$BT303,,AH303)*(1-AF303)+INDEX(Models!$BJ303:$BT303,,AH303+1)*AF303-ERP_i)*AE303*Ramure*Pc/MaxiM</f>
        <v>5.7020258582018082E-5</v>
      </c>
      <c r="AE303" s="304">
        <f t="shared" si="117"/>
        <v>0.6</v>
      </c>
      <c r="AF303" s="177">
        <f t="shared" si="118"/>
        <v>0.99668985454161663</v>
      </c>
      <c r="AG303" s="799">
        <f t="shared" si="124"/>
        <v>0</v>
      </c>
      <c r="AH303" s="176">
        <f t="shared" si="119"/>
        <v>6</v>
      </c>
      <c r="AI303" s="224">
        <f t="shared" si="120"/>
        <v>0.99668985454161663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45216</v>
      </c>
      <c r="B304" s="409">
        <f>IF(t&gt;Tmaj,'2022'!Wh/'2022'!Env_an*'2023'!Env_an,0.001*'[12]mon-tableau (1)'!$B$258)</f>
        <v>19.796444532511565</v>
      </c>
      <c r="C304" s="829"/>
      <c r="D304" s="391">
        <f t="shared" si="102"/>
        <v>20.459883694735311</v>
      </c>
      <c r="E304" s="383">
        <f t="shared" si="125"/>
        <v>21.069328140233136</v>
      </c>
      <c r="F304" s="383">
        <f t="shared" si="103"/>
        <v>21.069669567561451</v>
      </c>
      <c r="G304" s="110">
        <f t="shared" si="126"/>
        <v>0.49386125249331853</v>
      </c>
      <c r="H304" s="412" t="b">
        <f>Wh_hp&gt;='2022'!Maxi_hp</f>
        <v>0</v>
      </c>
      <c r="I304" s="379">
        <f>IF(H304,Wh_hp,'2022'!Maxi_hp)</f>
        <v>39.356868501239063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3.2426340839584511E-2</v>
      </c>
      <c r="M304" s="832"/>
      <c r="N304" s="832"/>
      <c r="O304" s="48">
        <f>IF(t&lt;Tnet,'2022'!Resal+('2022'!Salim-'2022'!Resal)*(1-EXP(('2022'!Tnet-t)/('2022'!Tau_j))),Resal+(Salim-Resal)*(1-EXP((Tnet-t)/(Tau_j))))*Salcycl</f>
        <v>2.8925670597633058E-2</v>
      </c>
      <c r="P304" s="338">
        <f>(INDEX(Models!$BJ304:$BT304,,T304)*(1-R304)+INDEX(Models!$BJ304:$BT304,,T304+1)*R304-ERP_i)*Q304*Ramure*Pc/MaxiM</f>
        <v>5.8506050244540508E-5</v>
      </c>
      <c r="Q304" s="304">
        <f t="shared" si="105"/>
        <v>0.6</v>
      </c>
      <c r="R304" s="177">
        <f t="shared" si="106"/>
        <v>0.99679353710686147</v>
      </c>
      <c r="S304" s="799">
        <f t="shared" si="107"/>
        <v>0</v>
      </c>
      <c r="T304" s="176">
        <f t="shared" si="108"/>
        <v>6</v>
      </c>
      <c r="U304" s="250">
        <f t="shared" si="109"/>
        <v>0.99679353710686147</v>
      </c>
      <c r="V304" s="382">
        <f t="shared" si="110"/>
        <v>40.08333717687259</v>
      </c>
      <c r="W304" s="400">
        <f t="shared" si="111"/>
        <v>19.796444532511565</v>
      </c>
      <c r="X304" s="157">
        <f t="shared" si="112"/>
        <v>45216</v>
      </c>
      <c r="Y304" s="383">
        <f t="shared" si="113"/>
        <v>19.350951581779359</v>
      </c>
      <c r="Z304" s="383">
        <f t="shared" si="114"/>
        <v>19.99946091811821</v>
      </c>
      <c r="AA304" s="384">
        <f t="shared" si="115"/>
        <v>21.069328140233136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5.0778421361806492E-2</v>
      </c>
      <c r="AD304" s="230">
        <f>(INDEX(Models!$BJ304:$BT304,,AH304)*(1-AF304)+INDEX(Models!$BJ304:$BT304,,AH304+1)*AF304-ERP_i)*AE304*Ramure*Pc/MaxiM</f>
        <v>5.8506050244540508E-5</v>
      </c>
      <c r="AE304" s="304">
        <f t="shared" si="117"/>
        <v>0.6</v>
      </c>
      <c r="AF304" s="177">
        <f t="shared" si="118"/>
        <v>0.99679353710686147</v>
      </c>
      <c r="AG304" s="799">
        <f t="shared" si="124"/>
        <v>0</v>
      </c>
      <c r="AH304" s="176">
        <f t="shared" si="119"/>
        <v>6</v>
      </c>
      <c r="AI304" s="224">
        <f t="shared" si="120"/>
        <v>0.99679353710686147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45217</v>
      </c>
      <c r="B305" s="409">
        <f>IF(t&gt;Tmaj,'2022'!Wh/'2022'!Env_an*'2023'!Env_an,0.001*'[12]mon-tableau (1)'!$B$259)</f>
        <v>38.166058140192284</v>
      </c>
      <c r="C305" s="829"/>
      <c r="D305" s="391">
        <f t="shared" si="102"/>
        <v>39.445874984986496</v>
      </c>
      <c r="E305" s="383">
        <f t="shared" si="125"/>
        <v>40.624504387661176</v>
      </c>
      <c r="F305" s="383">
        <f t="shared" si="103"/>
        <v>40.62680323004804</v>
      </c>
      <c r="G305" s="110">
        <f t="shared" si="126"/>
        <v>0.96010746717035067</v>
      </c>
      <c r="H305" s="412" t="b">
        <f>Wh_hp&gt;='2022'!Maxi_hp</f>
        <v>0</v>
      </c>
      <c r="I305" s="379">
        <f>IF(H305,Wh_hp,'2022'!Maxi_hp)</f>
        <v>40.626836245820606</v>
      </c>
      <c r="J305" s="85">
        <f>IF(H305,An,'2022'!An_max)</f>
        <v>2022</v>
      </c>
      <c r="K305" s="197">
        <f t="shared" si="104"/>
        <v>45217</v>
      </c>
      <c r="L305" s="147">
        <f>IF(t&lt;Tvie,1-EXP((T0-t)*PertePVj)+'2022'!Pspv,1-EXP((T0-t)*PertePVj)+Pspv)</f>
        <v>3.2444884168023269E-2</v>
      </c>
      <c r="M305" s="832"/>
      <c r="N305" s="832"/>
      <c r="O305" s="48">
        <f>IF(t&lt;Tnet,'2022'!Resal+('2022'!Salim-'2022'!Resal)*(1-EXP(('2022'!Tnet-t)/('2022'!Tau_j))),Resal+(Salim-Resal)*(1-EXP((Tnet-t)/(Tau_j))))*Salcycl</f>
        <v>2.9012770012590412E-2</v>
      </c>
      <c r="P305" s="338">
        <f>(INDEX(Models!$BJ305:$BT305,,T305)*(1-R305)+INDEX(Models!$BJ305:$BT305,,T305+1)*R305-ERP_i)*Q305*Ramure*Pc/MaxiM</f>
        <v>6.0003665317301483E-5</v>
      </c>
      <c r="Q305" s="304">
        <f t="shared" si="105"/>
        <v>0.6</v>
      </c>
      <c r="R305" s="177">
        <f t="shared" si="106"/>
        <v>0.99689308569730195</v>
      </c>
      <c r="S305" s="799">
        <f t="shared" si="107"/>
        <v>0</v>
      </c>
      <c r="T305" s="176">
        <f t="shared" si="108"/>
        <v>6</v>
      </c>
      <c r="U305" s="250">
        <f t="shared" si="109"/>
        <v>0.99689308569730195</v>
      </c>
      <c r="V305" s="382">
        <f t="shared" si="110"/>
        <v>39.751724611171554</v>
      </c>
      <c r="W305" s="400">
        <f t="shared" si="111"/>
        <v>38.166058140192284</v>
      </c>
      <c r="X305" s="157">
        <f t="shared" si="112"/>
        <v>45217</v>
      </c>
      <c r="Y305" s="383">
        <f t="shared" si="113"/>
        <v>37.308599707085804</v>
      </c>
      <c r="Z305" s="383">
        <f t="shared" si="114"/>
        <v>38.559663523669201</v>
      </c>
      <c r="AA305" s="384">
        <f t="shared" si="115"/>
        <v>40.624504387661176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5.0827472116044554E-2</v>
      </c>
      <c r="AD305" s="230">
        <f>(INDEX(Models!$BJ305:$BT305,,AH305)*(1-AF305)+INDEX(Models!$BJ305:$BT305,,AH305+1)*AF305-ERP_i)*AE305*Ramure*Pc/MaxiM</f>
        <v>6.0003665317301483E-5</v>
      </c>
      <c r="AE305" s="304">
        <f t="shared" si="117"/>
        <v>0.6</v>
      </c>
      <c r="AF305" s="177">
        <f t="shared" si="118"/>
        <v>0.99689308569730195</v>
      </c>
      <c r="AG305" s="799">
        <f t="shared" si="124"/>
        <v>0</v>
      </c>
      <c r="AH305" s="176">
        <f t="shared" si="119"/>
        <v>6</v>
      </c>
      <c r="AI305" s="224">
        <f t="shared" si="120"/>
        <v>0.99689308569730195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45218</v>
      </c>
      <c r="B306" s="409">
        <f>IF(t&gt;Tmaj,'2022'!Wh/'2022'!Env_an*'2023'!Env_an,0.001*'[12]mon-tableau (1)'!$B$260)</f>
        <v>17.926670860284919</v>
      </c>
      <c r="C306" s="829"/>
      <c r="D306" s="391">
        <f t="shared" si="102"/>
        <v>18.528158379909566</v>
      </c>
      <c r="E306" s="383">
        <f t="shared" si="125"/>
        <v>19.083473806043433</v>
      </c>
      <c r="F306" s="383">
        <f t="shared" si="103"/>
        <v>19.083733420648372</v>
      </c>
      <c r="G306" s="110">
        <f t="shared" si="126"/>
        <v>0.45479069169616293</v>
      </c>
      <c r="H306" s="412" t="b">
        <f>Wh_hp&gt;='2022'!Maxi_hp</f>
        <v>0</v>
      </c>
      <c r="I306" s="379">
        <f>IF(H306,Wh_hp,'2022'!Maxi_hp)</f>
        <v>40.405295591154072</v>
      </c>
      <c r="J306" s="85">
        <f>IF(H306,An,'2022'!An_max)</f>
        <v>2020</v>
      </c>
      <c r="K306" s="197">
        <f t="shared" si="104"/>
        <v>45218</v>
      </c>
      <c r="L306" s="147">
        <f>IF(t&lt;Tvie,1-EXP((T0-t)*PertePVj)+'2022'!Pspv,1-EXP((T0-t)*PertePVj)+Pspv)</f>
        <v>3.2463427141083412E-2</v>
      </c>
      <c r="M306" s="832"/>
      <c r="N306" s="832"/>
      <c r="O306" s="48">
        <f>IF(t&lt;Tnet,'2022'!Resal+('2022'!Salim-'2022'!Resal)*(1-EXP(('2022'!Tnet-t)/('2022'!Tau_j))),Resal+(Salim-Resal)*(1-EXP((Tnet-t)/(Tau_j))))*Salcycl</f>
        <v>2.9099284112413915E-2</v>
      </c>
      <c r="P306" s="338">
        <f>(INDEX(Models!$BJ306:$BT306,,T306)*(1-R306)+INDEX(Models!$BJ306:$BT306,,T306+1)*R306-ERP_i)*Q306*Ramure*Pc/MaxiM</f>
        <v>6.1511716824731261E-5</v>
      </c>
      <c r="Q306" s="304">
        <f t="shared" si="105"/>
        <v>0.6</v>
      </c>
      <c r="R306" s="177">
        <f t="shared" si="106"/>
        <v>0.99698866357873206</v>
      </c>
      <c r="S306" s="799">
        <f t="shared" si="107"/>
        <v>0</v>
      </c>
      <c r="T306" s="176">
        <f t="shared" si="108"/>
        <v>6</v>
      </c>
      <c r="U306" s="250">
        <f t="shared" si="109"/>
        <v>0.99698866357873206</v>
      </c>
      <c r="V306" s="382">
        <f t="shared" si="110"/>
        <v>39.415520918867202</v>
      </c>
      <c r="W306" s="400">
        <f t="shared" si="111"/>
        <v>17.926670860284919</v>
      </c>
      <c r="X306" s="157">
        <f t="shared" si="112"/>
        <v>45218</v>
      </c>
      <c r="Y306" s="383">
        <f t="shared" si="113"/>
        <v>17.524591254898457</v>
      </c>
      <c r="Z306" s="383">
        <f t="shared" si="114"/>
        <v>18.112587933617931</v>
      </c>
      <c r="AA306" s="384">
        <f t="shared" si="115"/>
        <v>19.083473806043433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5.0875741088503512E-2</v>
      </c>
      <c r="AD306" s="230">
        <f>(INDEX(Models!$BJ306:$BT306,,AH306)*(1-AF306)+INDEX(Models!$BJ306:$BT306,,AH306+1)*AF306-ERP_i)*AE306*Ramure*Pc/MaxiM</f>
        <v>6.1511716824731261E-5</v>
      </c>
      <c r="AE306" s="304">
        <f t="shared" si="117"/>
        <v>0.6</v>
      </c>
      <c r="AF306" s="177">
        <f t="shared" si="118"/>
        <v>0.99698866357873206</v>
      </c>
      <c r="AG306" s="799">
        <f t="shared" si="124"/>
        <v>0</v>
      </c>
      <c r="AH306" s="176">
        <f t="shared" si="119"/>
        <v>6</v>
      </c>
      <c r="AI306" s="224">
        <f t="shared" si="120"/>
        <v>0.99698866357873206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45219</v>
      </c>
      <c r="B307" s="409">
        <f>IF(t&gt;Tmaj,'2022'!Wh/'2022'!Env_an*'2023'!Env_an,0.001*'[12]mon-tableau (1)'!$B$261)</f>
        <v>7.1901957545669397</v>
      </c>
      <c r="C307" s="829"/>
      <c r="D307" s="391">
        <f t="shared" si="102"/>
        <v>7.4315883837061207</v>
      </c>
      <c r="E307" s="383">
        <f t="shared" si="125"/>
        <v>7.6550013203748435</v>
      </c>
      <c r="F307" s="383">
        <f t="shared" si="103"/>
        <v>7.6550013203748435</v>
      </c>
      <c r="G307" s="110">
        <f t="shared" si="126"/>
        <v>0.18399457855291346</v>
      </c>
      <c r="H307" s="412" t="b">
        <f>Wh_hp&gt;='2022'!Maxi_hp</f>
        <v>0</v>
      </c>
      <c r="I307" s="379">
        <f>IF(H307,Wh_hp,'2022'!Maxi_hp)</f>
        <v>35.276334723455363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3.2481969758771712E-2</v>
      </c>
      <c r="M307" s="832"/>
      <c r="N307" s="832"/>
      <c r="O307" s="48">
        <f>IF(t&lt;Tnet,'2022'!Resal+('2022'!Salim-'2022'!Resal)*(1-EXP(('2022'!Tnet-t)/('2022'!Tau_j))),Resal+(Salim-Resal)*(1-EXP((Tnet-t)/(Tau_j))))*Salcycl</f>
        <v>2.9185225099057546E-2</v>
      </c>
      <c r="P307" s="338">
        <f>(INDEX(Models!$BJ307:$BT307,,T307)*(1-R307)+INDEX(Models!$BJ307:$BT307,,T307+1)*R307-ERP_i)*Q307*Ramure*Pc/MaxiM</f>
        <v>6.3028672642544359E-5</v>
      </c>
      <c r="Q307" s="304">
        <f t="shared" si="105"/>
        <v>0.6</v>
      </c>
      <c r="R307" s="177">
        <f t="shared" si="106"/>
        <v>0.99708042769172545</v>
      </c>
      <c r="S307" s="799">
        <f t="shared" si="107"/>
        <v>0</v>
      </c>
      <c r="T307" s="176">
        <f t="shared" si="108"/>
        <v>6</v>
      </c>
      <c r="U307" s="250">
        <f t="shared" si="109"/>
        <v>0.99708042769172545</v>
      </c>
      <c r="V307" s="382">
        <f t="shared" si="110"/>
        <v>39.075839204712501</v>
      </c>
      <c r="W307" s="400">
        <f t="shared" si="111"/>
        <v>7.1901957545669397</v>
      </c>
      <c r="X307" s="157">
        <f t="shared" si="112"/>
        <v>45219</v>
      </c>
      <c r="Y307" s="383">
        <f t="shared" si="113"/>
        <v>7.0291962738423148</v>
      </c>
      <c r="Z307" s="383">
        <f t="shared" si="114"/>
        <v>7.2651837527924386</v>
      </c>
      <c r="AA307" s="384">
        <f t="shared" si="115"/>
        <v>7.6550013203748435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5.0923252820982791E-2</v>
      </c>
      <c r="AD307" s="230">
        <f>(INDEX(Models!$BJ307:$BT307,,AH307)*(1-AF307)+INDEX(Models!$BJ307:$BT307,,AH307+1)*AF307-ERP_i)*AE307*Ramure*Pc/MaxiM</f>
        <v>6.3028672642544359E-5</v>
      </c>
      <c r="AE307" s="304">
        <f t="shared" si="117"/>
        <v>0.6</v>
      </c>
      <c r="AF307" s="177">
        <f t="shared" si="118"/>
        <v>0.99708042769172545</v>
      </c>
      <c r="AG307" s="799">
        <f t="shared" si="124"/>
        <v>0</v>
      </c>
      <c r="AH307" s="176">
        <f t="shared" si="119"/>
        <v>6</v>
      </c>
      <c r="AI307" s="224">
        <f t="shared" si="120"/>
        <v>0.99708042769172545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45220</v>
      </c>
      <c r="B308" s="409">
        <f>IF(t&gt;Tmaj,'2022'!Wh/'2022'!Env_an*'2023'!Env_an,0.001*'[12]mon-tableau (1)'!$B$262)</f>
        <v>18.568884994334972</v>
      </c>
      <c r="C308" s="829"/>
      <c r="D308" s="391">
        <f t="shared" si="102"/>
        <v>19.192656146128979</v>
      </c>
      <c r="E308" s="383">
        <f t="shared" si="125"/>
        <v>19.771376330130533</v>
      </c>
      <c r="F308" s="383">
        <f t="shared" si="103"/>
        <v>19.771703428195678</v>
      </c>
      <c r="G308" s="110">
        <f t="shared" si="126"/>
        <v>0.47937453405584651</v>
      </c>
      <c r="H308" s="412" t="b">
        <f>Wh_hp&gt;='2022'!Maxi_hp</f>
        <v>0</v>
      </c>
      <c r="I308" s="379">
        <f>IF(H308,Wh_hp,'2022'!Maxi_hp)</f>
        <v>23.212774519208907</v>
      </c>
      <c r="J308" s="85">
        <f>IF(H308,An,'2022'!An_max)</f>
        <v>2018</v>
      </c>
      <c r="K308" s="197">
        <f t="shared" si="104"/>
        <v>45220</v>
      </c>
      <c r="L308" s="147">
        <f>IF(t&lt;Tvie,1-EXP((T0-t)*PertePVj)+'2022'!Pspv,1-EXP((T0-t)*PertePVj)+Pspv)</f>
        <v>3.2500512021094941E-2</v>
      </c>
      <c r="M308" s="832"/>
      <c r="N308" s="832"/>
      <c r="O308" s="48">
        <f>IF(t&lt;Tnet,'2022'!Resal+('2022'!Salim-'2022'!Resal)*(1-EXP(('2022'!Tnet-t)/('2022'!Tau_j))),Resal+(Salim-Resal)*(1-EXP((Tnet-t)/(Tau_j))))*Salcycl</f>
        <v>2.9270606878268563E-2</v>
      </c>
      <c r="P308" s="338">
        <f>(INDEX(Models!$BJ308:$BT308,,T308)*(1-R308)+INDEX(Models!$BJ308:$BT308,,T308+1)*R308-ERP_i)*Q308*Ramure*Pc/MaxiM</f>
        <v>6.4552849887823883E-5</v>
      </c>
      <c r="Q308" s="304">
        <f t="shared" si="105"/>
        <v>0.6</v>
      </c>
      <c r="R308" s="177">
        <f t="shared" si="106"/>
        <v>0.99716852888701069</v>
      </c>
      <c r="S308" s="799">
        <f t="shared" si="107"/>
        <v>0</v>
      </c>
      <c r="T308" s="176">
        <f t="shared" si="108"/>
        <v>6</v>
      </c>
      <c r="U308" s="250">
        <f t="shared" si="109"/>
        <v>0.99716852888701069</v>
      </c>
      <c r="V308" s="382">
        <f t="shared" si="110"/>
        <v>38.733792024752283</v>
      </c>
      <c r="W308" s="400">
        <f t="shared" si="111"/>
        <v>18.568884994334972</v>
      </c>
      <c r="X308" s="157">
        <f t="shared" si="112"/>
        <v>45220</v>
      </c>
      <c r="Y308" s="383">
        <f t="shared" si="113"/>
        <v>18.153801057840152</v>
      </c>
      <c r="Z308" s="383">
        <f t="shared" si="114"/>
        <v>18.763628594536236</v>
      </c>
      <c r="AA308" s="384">
        <f t="shared" si="115"/>
        <v>19.771376330130533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5.0970034597871708E-2</v>
      </c>
      <c r="AD308" s="230">
        <f>(INDEX(Models!$BJ308:$BT308,,AH308)*(1-AF308)+INDEX(Models!$BJ308:$BT308,,AH308+1)*AF308-ERP_i)*AE308*Ramure*Pc/MaxiM</f>
        <v>6.4552849887823883E-5</v>
      </c>
      <c r="AE308" s="304">
        <f t="shared" si="117"/>
        <v>0.6</v>
      </c>
      <c r="AF308" s="177">
        <f t="shared" si="118"/>
        <v>0.99716852888701069</v>
      </c>
      <c r="AG308" s="799">
        <f t="shared" si="124"/>
        <v>0</v>
      </c>
      <c r="AH308" s="176">
        <f t="shared" si="119"/>
        <v>6</v>
      </c>
      <c r="AI308" s="224">
        <f t="shared" si="120"/>
        <v>0.99716852888701069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45221</v>
      </c>
      <c r="B309" s="409">
        <f>IF(t&gt;Tmaj,'2022'!Wh/'2022'!Env_an*'2023'!Env_an,0.001*'[12]mon-tableau (1)'!$B$263)</f>
        <v>36.189661594118576</v>
      </c>
      <c r="C309" s="829"/>
      <c r="D309" s="391">
        <f t="shared" si="102"/>
        <v>37.406071655521352</v>
      </c>
      <c r="E309" s="383">
        <f t="shared" si="125"/>
        <v>38.537352798022511</v>
      </c>
      <c r="F309" s="383">
        <f t="shared" si="103"/>
        <v>38.539691020300609</v>
      </c>
      <c r="G309" s="110">
        <f t="shared" si="126"/>
        <v>0.94266742642435819</v>
      </c>
      <c r="H309" s="412" t="b">
        <f>Wh_hp&gt;='2022'!Maxi_hp</f>
        <v>0</v>
      </c>
      <c r="I309" s="379">
        <f>IF(H309,Wh_hp,'2022'!Maxi_hp)</f>
        <v>38.539741779187835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3.2519053928059982E-2</v>
      </c>
      <c r="M309" s="832"/>
      <c r="N309" s="832"/>
      <c r="O309" s="48">
        <f>IF(t&lt;Tnet,'2022'!Resal+('2022'!Salim-'2022'!Resal)*(1-EXP(('2022'!Tnet-t)/('2022'!Tau_j))),Resal+(Salim-Resal)*(1-EXP((Tnet-t)/(Tau_j))))*Salcycl</f>
        <v>2.9355445051721517E-2</v>
      </c>
      <c r="P309" s="338">
        <f>(INDEX(Models!$BJ309:$BT309,,T309)*(1-R309)+INDEX(Models!$BJ309:$BT309,,T309+1)*R309-ERP_i)*Q309*Ramure*Pc/MaxiM</f>
        <v>6.6082409452955897E-5</v>
      </c>
      <c r="Q309" s="304">
        <f t="shared" si="105"/>
        <v>0.6</v>
      </c>
      <c r="R309" s="177">
        <f t="shared" si="106"/>
        <v>0.99725311215285672</v>
      </c>
      <c r="S309" s="799">
        <f t="shared" si="107"/>
        <v>0</v>
      </c>
      <c r="T309" s="176">
        <f t="shared" si="108"/>
        <v>6</v>
      </c>
      <c r="U309" s="250">
        <f t="shared" si="109"/>
        <v>0.99725311215285672</v>
      </c>
      <c r="V309" s="382">
        <f t="shared" si="110"/>
        <v>38.390491399804752</v>
      </c>
      <c r="W309" s="400">
        <f t="shared" si="111"/>
        <v>36.189661594118576</v>
      </c>
      <c r="X309" s="157">
        <f t="shared" si="112"/>
        <v>45221</v>
      </c>
      <c r="Y309" s="383">
        <f t="shared" si="113"/>
        <v>35.382061775757165</v>
      </c>
      <c r="Z309" s="383">
        <f t="shared" si="114"/>
        <v>36.57132672163884</v>
      </c>
      <c r="AA309" s="384">
        <f t="shared" si="115"/>
        <v>38.537352798022511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5.1016116407574079E-2</v>
      </c>
      <c r="AD309" s="230">
        <f>(INDEX(Models!$BJ309:$BT309,,AH309)*(1-AF309)+INDEX(Models!$BJ309:$BT309,,AH309+1)*AF309-ERP_i)*AE309*Ramure*Pc/MaxiM</f>
        <v>6.6082409452955897E-5</v>
      </c>
      <c r="AE309" s="304">
        <f t="shared" si="117"/>
        <v>0.6</v>
      </c>
      <c r="AF309" s="177">
        <f t="shared" si="118"/>
        <v>0.99725311215285672</v>
      </c>
      <c r="AG309" s="799">
        <f t="shared" si="124"/>
        <v>0</v>
      </c>
      <c r="AH309" s="176">
        <f t="shared" si="119"/>
        <v>6</v>
      </c>
      <c r="AI309" s="224">
        <f t="shared" si="120"/>
        <v>0.99725311215285672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45222</v>
      </c>
      <c r="B310" s="409">
        <f>IF(t&gt;Tmaj,'2022'!Wh/'2022'!Env_an*'2023'!Env_an,0.001*'[12]mon-tableau (1)'!$B$264)</f>
        <v>17.593183728225476</v>
      </c>
      <c r="C310" s="829"/>
      <c r="D310" s="391">
        <f t="shared" si="102"/>
        <v>18.184875862900618</v>
      </c>
      <c r="E310" s="383">
        <f t="shared" si="125"/>
        <v>18.736473075374338</v>
      </c>
      <c r="F310" s="383">
        <f t="shared" si="103"/>
        <v>18.736767057428821</v>
      </c>
      <c r="G310" s="110">
        <f t="shared" si="126"/>
        <v>0.46238199092968635</v>
      </c>
      <c r="H310" s="412" t="b">
        <f>Wh_hp&gt;='2022'!Maxi_hp</f>
        <v>0</v>
      </c>
      <c r="I310" s="379">
        <f>IF(H310,Wh_hp,'2022'!Maxi_hp)</f>
        <v>37.731513799556055</v>
      </c>
      <c r="J310" s="85">
        <f>IF(H310,An,'2022'!An_max)</f>
        <v>2021</v>
      </c>
      <c r="K310" s="197">
        <f t="shared" si="104"/>
        <v>45222</v>
      </c>
      <c r="L310" s="147">
        <f>IF(t&lt;Tvie,1-EXP((T0-t)*PertePVj)+'2022'!Pspv,1-EXP((T0-t)*PertePVj)+Pspv)</f>
        <v>3.2537595479673609E-2</v>
      </c>
      <c r="M310" s="832"/>
      <c r="N310" s="832"/>
      <c r="O310" s="48">
        <f>IF(t&lt;Tnet,'2022'!Resal+('2022'!Salim-'2022'!Resal)*(1-EXP(('2022'!Tnet-t)/('2022'!Tau_j))),Resal+(Salim-Resal)*(1-EXP((Tnet-t)/(Tau_j))))*Salcycl</f>
        <v>2.9439756898468429E-2</v>
      </c>
      <c r="P310" s="338">
        <f>(INDEX(Models!$BJ310:$BT310,,T310)*(1-R310)+INDEX(Models!$BJ310:$BT310,,T310+1)*R310-ERP_i)*Q310*Ramure*Pc/MaxiM</f>
        <v>6.7627310081199617E-5</v>
      </c>
      <c r="Q310" s="304">
        <f t="shared" si="105"/>
        <v>0.6</v>
      </c>
      <c r="R310" s="177">
        <f t="shared" si="106"/>
        <v>0.99733431683467844</v>
      </c>
      <c r="S310" s="799">
        <f t="shared" si="107"/>
        <v>0</v>
      </c>
      <c r="T310" s="176">
        <f t="shared" si="108"/>
        <v>6</v>
      </c>
      <c r="U310" s="250">
        <f t="shared" si="109"/>
        <v>0.99733431683467844</v>
      </c>
      <c r="V310" s="382">
        <f t="shared" si="110"/>
        <v>38.047048367788854</v>
      </c>
      <c r="W310" s="400">
        <f t="shared" si="111"/>
        <v>17.593183728225476</v>
      </c>
      <c r="X310" s="157">
        <f t="shared" si="112"/>
        <v>45222</v>
      </c>
      <c r="Y310" s="383">
        <f t="shared" si="113"/>
        <v>17.201249435635553</v>
      </c>
      <c r="Z310" s="383">
        <f t="shared" si="114"/>
        <v>17.779760076738107</v>
      </c>
      <c r="AA310" s="384">
        <f t="shared" si="115"/>
        <v>18.736473075374338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5.1061530886175911E-2</v>
      </c>
      <c r="AD310" s="230">
        <f>(INDEX(Models!$BJ310:$BT310,,AH310)*(1-AF310)+INDEX(Models!$BJ310:$BT310,,AH310+1)*AF310-ERP_i)*AE310*Ramure*Pc/MaxiM</f>
        <v>6.7627310081199617E-5</v>
      </c>
      <c r="AE310" s="304">
        <f t="shared" si="117"/>
        <v>0.6</v>
      </c>
      <c r="AF310" s="177">
        <f t="shared" si="118"/>
        <v>0.99733431683467844</v>
      </c>
      <c r="AG310" s="799">
        <f t="shared" si="124"/>
        <v>0</v>
      </c>
      <c r="AH310" s="176">
        <f t="shared" si="119"/>
        <v>6</v>
      </c>
      <c r="AI310" s="224">
        <f t="shared" si="120"/>
        <v>0.99733431683467844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45223</v>
      </c>
      <c r="B311" s="409">
        <f>IF(t&gt;Tmaj,'2022'!Wh/'2022'!Env_an*'2023'!Env_an,0.001*'[12]mon-tableau (1)'!$B$265)</f>
        <v>29.878182534643038</v>
      </c>
      <c r="C311" s="829"/>
      <c r="D311" s="391">
        <f t="shared" si="102"/>
        <v>30.883634355779638</v>
      </c>
      <c r="E311" s="383">
        <f t="shared" si="125"/>
        <v>31.823167596525494</v>
      </c>
      <c r="F311" s="383">
        <f t="shared" si="103"/>
        <v>31.824714342673591</v>
      </c>
      <c r="G311" s="110">
        <f t="shared" si="126"/>
        <v>0.79241228339881853</v>
      </c>
      <c r="H311" s="412" t="b">
        <f>Wh_hp&gt;='2022'!Maxi_hp</f>
        <v>0</v>
      </c>
      <c r="I311" s="379">
        <f>IF(H311,Wh_hp,'2022'!Maxi_hp)</f>
        <v>41.981963629803325</v>
      </c>
      <c r="J311" s="85">
        <f>IF(H311,An,'2022'!An_max)</f>
        <v>2021</v>
      </c>
      <c r="K311" s="197">
        <f t="shared" si="104"/>
        <v>45223</v>
      </c>
      <c r="L311" s="147">
        <f>IF(t&lt;Tvie,1-EXP((T0-t)*PertePVj)+'2022'!Pspv,1-EXP((T0-t)*PertePVj)+Pspv)</f>
        <v>3.2556136675942593E-2</v>
      </c>
      <c r="M311" s="832"/>
      <c r="N311" s="832"/>
      <c r="O311" s="48">
        <f>IF(t&lt;Tnet,'2022'!Resal+('2022'!Salim-'2022'!Resal)*(1-EXP(('2022'!Tnet-t)/('2022'!Tau_j))),Resal+(Salim-Resal)*(1-EXP((Tnet-t)/(Tau_j))))*Salcycl</f>
        <v>2.9523561345553666E-2</v>
      </c>
      <c r="P311" s="338">
        <f>(INDEX(Models!$BJ311:$BT311,,T311)*(1-R311)+INDEX(Models!$BJ311:$BT311,,T311+1)*R311-ERP_i)*Q311*Ramure*Pc/MaxiM</f>
        <v>6.9089074043563939E-5</v>
      </c>
      <c r="Q311" s="304">
        <f t="shared" si="105"/>
        <v>0.6</v>
      </c>
      <c r="R311" s="177">
        <f t="shared" si="106"/>
        <v>0.99741227684707112</v>
      </c>
      <c r="S311" s="799">
        <f t="shared" si="107"/>
        <v>0</v>
      </c>
      <c r="T311" s="176">
        <f t="shared" si="108"/>
        <v>6</v>
      </c>
      <c r="U311" s="250">
        <f t="shared" si="109"/>
        <v>0.99741227684707112</v>
      </c>
      <c r="V311" s="382">
        <f t="shared" si="110"/>
        <v>37.704577548318362</v>
      </c>
      <c r="W311" s="400">
        <f t="shared" si="111"/>
        <v>29.878182534643038</v>
      </c>
      <c r="X311" s="157">
        <f t="shared" si="112"/>
        <v>45223</v>
      </c>
      <c r="Y311" s="383">
        <f t="shared" si="113"/>
        <v>29.213711584997263</v>
      </c>
      <c r="Z311" s="383">
        <f t="shared" si="114"/>
        <v>30.196802824942583</v>
      </c>
      <c r="AA311" s="384">
        <f t="shared" si="115"/>
        <v>31.823167596525494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5.1106313243326436E-2</v>
      </c>
      <c r="AD311" s="230">
        <f>(INDEX(Models!$BJ311:$BT311,,AH311)*(1-AF311)+INDEX(Models!$BJ311:$BT311,,AH311+1)*AF311-ERP_i)*AE311*Ramure*Pc/MaxiM</f>
        <v>6.9089074043563939E-5</v>
      </c>
      <c r="AE311" s="304">
        <f t="shared" si="117"/>
        <v>0.6</v>
      </c>
      <c r="AF311" s="177">
        <f t="shared" si="118"/>
        <v>0.99741227684707112</v>
      </c>
      <c r="AG311" s="799">
        <f t="shared" si="124"/>
        <v>0</v>
      </c>
      <c r="AH311" s="176">
        <f t="shared" si="119"/>
        <v>6</v>
      </c>
      <c r="AI311" s="224">
        <f t="shared" si="120"/>
        <v>0.99741227684707112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45224</v>
      </c>
      <c r="B312" s="409">
        <f>IF(t&gt;Tmaj,'2022'!Wh/'2022'!Env_an*'2023'!Env_an,0.001*'[12]mon-tableau (1)'!$B$266)</f>
        <v>24.317767718214096</v>
      </c>
      <c r="C312" s="829"/>
      <c r="D312" s="391">
        <f t="shared" si="102"/>
        <v>25.136583830364067</v>
      </c>
      <c r="E312" s="383">
        <f t="shared" si="125"/>
        <v>25.903505790095103</v>
      </c>
      <c r="F312" s="383">
        <f t="shared" si="103"/>
        <v>25.904420645397693</v>
      </c>
      <c r="G312" s="110">
        <f t="shared" si="126"/>
        <v>0.65080798985698385</v>
      </c>
      <c r="H312" s="412" t="b">
        <f>Wh_hp&gt;='2022'!Maxi_hp</f>
        <v>0</v>
      </c>
      <c r="I312" s="379">
        <f>IF(H312,Wh_hp,'2022'!Maxi_hp)</f>
        <v>38.701357747255933</v>
      </c>
      <c r="J312" s="85">
        <f>IF(H312,An,'2022'!An_max)</f>
        <v>2021</v>
      </c>
      <c r="K312" s="197">
        <f t="shared" si="104"/>
        <v>45224</v>
      </c>
      <c r="L312" s="147">
        <f>IF(t&lt;Tvie,1-EXP((T0-t)*PertePVj)+'2022'!Pspv,1-EXP((T0-t)*PertePVj)+Pspv)</f>
        <v>3.2574677516873707E-2</v>
      </c>
      <c r="M312" s="832"/>
      <c r="N312" s="832"/>
      <c r="O312" s="48">
        <f>IF(t&lt;Tnet,'2022'!Resal+('2022'!Salim-'2022'!Resal)*(1-EXP(('2022'!Tnet-t)/('2022'!Tau_j))),Resal+(Salim-Resal)*(1-EXP((Tnet-t)/(Tau_j))))*Salcycl</f>
        <v>2.9606878927727526E-2</v>
      </c>
      <c r="P312" s="338">
        <f>(INDEX(Models!$BJ312:$BT312,,T312)*(1-R312)+INDEX(Models!$BJ312:$BT312,,T312+1)*R312-ERP_i)*Q312*Ramure*Pc/MaxiM</f>
        <v>7.0465862061423274E-5</v>
      </c>
      <c r="Q312" s="304">
        <f t="shared" si="105"/>
        <v>0.6</v>
      </c>
      <c r="R312" s="177">
        <f t="shared" si="106"/>
        <v>0.99748712087847935</v>
      </c>
      <c r="S312" s="799">
        <f t="shared" si="107"/>
        <v>0</v>
      </c>
      <c r="T312" s="176">
        <f t="shared" si="108"/>
        <v>6</v>
      </c>
      <c r="U312" s="250">
        <f t="shared" si="109"/>
        <v>0.99748712087847935</v>
      </c>
      <c r="V312" s="382">
        <f t="shared" si="110"/>
        <v>37.364189307304713</v>
      </c>
      <c r="W312" s="400">
        <f t="shared" si="111"/>
        <v>24.317767718214096</v>
      </c>
      <c r="X312" s="157">
        <f t="shared" si="112"/>
        <v>45224</v>
      </c>
      <c r="Y312" s="383">
        <f t="shared" si="113"/>
        <v>23.777890847561377</v>
      </c>
      <c r="Z312" s="383">
        <f t="shared" si="114"/>
        <v>24.57852848686014</v>
      </c>
      <c r="AA312" s="384">
        <f t="shared" si="115"/>
        <v>25.903505790095103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5.1150501170447851E-2</v>
      </c>
      <c r="AD312" s="230">
        <f>(INDEX(Models!$BJ312:$BT312,,AH312)*(1-AF312)+INDEX(Models!$BJ312:$BT312,,AH312+1)*AF312-ERP_i)*AE312*Ramure*Pc/MaxiM</f>
        <v>7.0465862061423274E-5</v>
      </c>
      <c r="AE312" s="304">
        <f t="shared" si="117"/>
        <v>0.6</v>
      </c>
      <c r="AF312" s="177">
        <f t="shared" si="118"/>
        <v>0.99748712087847935</v>
      </c>
      <c r="AG312" s="799">
        <f t="shared" si="124"/>
        <v>0</v>
      </c>
      <c r="AH312" s="176">
        <f t="shared" si="119"/>
        <v>6</v>
      </c>
      <c r="AI312" s="224">
        <f t="shared" si="120"/>
        <v>0.99748712087847935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45225</v>
      </c>
      <c r="B313" s="409">
        <f>IF(t&gt;Tmaj,'2022'!Wh/'2022'!Env_an*'2023'!Env_an,0.001*'[12]mon-tableau (1)'!$B$267)</f>
        <v>13.426091712247104</v>
      </c>
      <c r="C313" s="829"/>
      <c r="D313" s="391">
        <f t="shared" si="102"/>
        <v>13.878434555239078</v>
      </c>
      <c r="E313" s="383">
        <f t="shared" si="125"/>
        <v>14.303089443826343</v>
      </c>
      <c r="F313" s="383">
        <f t="shared" si="103"/>
        <v>14.303181230951465</v>
      </c>
      <c r="G313" s="110">
        <f t="shared" si="126"/>
        <v>0.36257911305823987</v>
      </c>
      <c r="H313" s="412" t="b">
        <f>Wh_hp&gt;='2022'!Maxi_hp</f>
        <v>0</v>
      </c>
      <c r="I313" s="379">
        <f>IF(H313,Wh_hp,'2022'!Maxi_hp)</f>
        <v>38.488384875395617</v>
      </c>
      <c r="J313" s="85">
        <f>IF(H313,An,'2022'!An_max)</f>
        <v>2018</v>
      </c>
      <c r="K313" s="197">
        <f t="shared" si="104"/>
        <v>45225</v>
      </c>
      <c r="L313" s="147">
        <f>IF(t&lt;Tvie,1-EXP((T0-t)*PertePVj)+'2022'!Pspv,1-EXP((T0-t)*PertePVj)+Pspv)</f>
        <v>3.2593218002473945E-2</v>
      </c>
      <c r="M313" s="832"/>
      <c r="N313" s="832"/>
      <c r="O313" s="48">
        <f>IF(t&lt;Tnet,'2022'!Resal+('2022'!Salim-'2022'!Resal)*(1-EXP(('2022'!Tnet-t)/('2022'!Tau_j))),Resal+(Salim-Resal)*(1-EXP((Tnet-t)/(Tau_j))))*Salcycl</f>
        <v>2.9689731736283011E-2</v>
      </c>
      <c r="P313" s="338">
        <f>(INDEX(Models!$BJ313:$BT313,,T313)*(1-R313)+INDEX(Models!$BJ313:$BT313,,T313+1)*R313-ERP_i)*Q313*Ramure*Pc/MaxiM</f>
        <v>7.1755199079963703E-5</v>
      </c>
      <c r="Q313" s="304">
        <f t="shared" si="105"/>
        <v>0.6</v>
      </c>
      <c r="R313" s="177">
        <f t="shared" si="106"/>
        <v>0.99755897258870885</v>
      </c>
      <c r="S313" s="799">
        <f t="shared" si="107"/>
        <v>0</v>
      </c>
      <c r="T313" s="176">
        <f t="shared" si="108"/>
        <v>6</v>
      </c>
      <c r="U313" s="250">
        <f t="shared" si="109"/>
        <v>0.99755897258870885</v>
      </c>
      <c r="V313" s="382">
        <f t="shared" si="110"/>
        <v>37.02699353009271</v>
      </c>
      <c r="W313" s="400">
        <f t="shared" si="111"/>
        <v>13.426091712247104</v>
      </c>
      <c r="X313" s="157">
        <f t="shared" si="112"/>
        <v>45225</v>
      </c>
      <c r="Y313" s="383">
        <f t="shared" si="113"/>
        <v>13.12853731519011</v>
      </c>
      <c r="Z313" s="383">
        <f t="shared" si="114"/>
        <v>13.570855155761853</v>
      </c>
      <c r="AA313" s="384">
        <f t="shared" si="115"/>
        <v>14.303089443826343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5.1194134731538381E-2</v>
      </c>
      <c r="AD313" s="230">
        <f>(INDEX(Models!$BJ313:$BT313,,AH313)*(1-AF313)+INDEX(Models!$BJ313:$BT313,,AH313+1)*AF313-ERP_i)*AE313*Ramure*Pc/MaxiM</f>
        <v>7.1755199079963703E-5</v>
      </c>
      <c r="AE313" s="304">
        <f t="shared" si="117"/>
        <v>0.6</v>
      </c>
      <c r="AF313" s="177">
        <f t="shared" si="118"/>
        <v>0.99755897258870885</v>
      </c>
      <c r="AG313" s="799">
        <f t="shared" si="124"/>
        <v>0</v>
      </c>
      <c r="AH313" s="176">
        <f t="shared" si="119"/>
        <v>6</v>
      </c>
      <c r="AI313" s="224">
        <f t="shared" si="120"/>
        <v>0.99755897258870885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45226</v>
      </c>
      <c r="B314" s="409">
        <f>IF(t&gt;Tmaj,'2022'!Wh/'2022'!Env_an*'2023'!Env_an,0.001*'[12]mon-tableau (1)'!$B$268)</f>
        <v>17.319982252019816</v>
      </c>
      <c r="C314" s="829"/>
      <c r="D314" s="391">
        <f t="shared" si="102"/>
        <v>17.903858556921094</v>
      </c>
      <c r="E314" s="383">
        <f t="shared" si="125"/>
        <v>18.453251403099319</v>
      </c>
      <c r="F314" s="383">
        <f t="shared" si="103"/>
        <v>18.453582220753315</v>
      </c>
      <c r="G314" s="110">
        <f t="shared" si="126"/>
        <v>0.47198403392741156</v>
      </c>
      <c r="H314" s="412" t="b">
        <f>Wh_hp&gt;='2022'!Maxi_hp</f>
        <v>0</v>
      </c>
      <c r="I314" s="379">
        <f>IF(H314,Wh_hp,'2022'!Maxi_hp)</f>
        <v>29.983519029323368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3.2611758132749968E-2</v>
      </c>
      <c r="M314" s="832"/>
      <c r="N314" s="832"/>
      <c r="O314" s="48">
        <f>IF(t&lt;Tnet,'2022'!Resal+('2022'!Salim-'2022'!Resal)*(1-EXP(('2022'!Tnet-t)/('2022'!Tau_j))),Resal+(Salim-Resal)*(1-EXP((Tnet-t)/(Tau_j))))*Salcycl</f>
        <v>2.9772143357129573E-2</v>
      </c>
      <c r="P314" s="338">
        <f>(INDEX(Models!$BJ314:$BT314,,T314)*(1-R314)+INDEX(Models!$BJ314:$BT314,,T314+1)*R314-ERP_i)*Q314*Ramure*Pc/MaxiM</f>
        <v>7.295453899113698E-5</v>
      </c>
      <c r="Q314" s="304">
        <f t="shared" si="105"/>
        <v>0.6</v>
      </c>
      <c r="R314" s="177">
        <f t="shared" si="106"/>
        <v>0.99762795079948607</v>
      </c>
      <c r="S314" s="799">
        <f t="shared" si="107"/>
        <v>0</v>
      </c>
      <c r="T314" s="176">
        <f t="shared" si="108"/>
        <v>6</v>
      </c>
      <c r="U314" s="250">
        <f t="shared" si="109"/>
        <v>0.99762795079948607</v>
      </c>
      <c r="V314" s="382">
        <f t="shared" si="110"/>
        <v>36.694099618349718</v>
      </c>
      <c r="W314" s="400">
        <f t="shared" si="111"/>
        <v>17.319982252019816</v>
      </c>
      <c r="X314" s="157">
        <f t="shared" si="112"/>
        <v>45226</v>
      </c>
      <c r="Y314" s="383">
        <f t="shared" si="113"/>
        <v>16.93679868171602</v>
      </c>
      <c r="Z314" s="383">
        <f t="shared" si="114"/>
        <v>17.507757432553305</v>
      </c>
      <c r="AA314" s="384">
        <f t="shared" si="115"/>
        <v>18.453251403099319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5.1237256236980319E-2</v>
      </c>
      <c r="AD314" s="230">
        <f>(INDEX(Models!$BJ314:$BT314,,AH314)*(1-AF314)+INDEX(Models!$BJ314:$BT314,,AH314+1)*AF314-ERP_i)*AE314*Ramure*Pc/MaxiM</f>
        <v>7.295453899113698E-5</v>
      </c>
      <c r="AE314" s="304">
        <f t="shared" si="117"/>
        <v>0.6</v>
      </c>
      <c r="AF314" s="177">
        <f t="shared" si="118"/>
        <v>0.99762795079948607</v>
      </c>
      <c r="AG314" s="799">
        <f t="shared" si="124"/>
        <v>0</v>
      </c>
      <c r="AH314" s="176">
        <f t="shared" si="119"/>
        <v>6</v>
      </c>
      <c r="AI314" s="224">
        <f t="shared" si="120"/>
        <v>0.99762795079948607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45227</v>
      </c>
      <c r="B315" s="409">
        <f>IF(t&gt;Tmaj,'2022'!Wh/'2022'!Env_an*'2023'!Env_an,0.001*'[12]mon-tableau (1)'!$B$269)</f>
        <v>18.054348307273056</v>
      </c>
      <c r="C315" s="829"/>
      <c r="D315" s="391">
        <f t="shared" si="102"/>
        <v>18.663338605937227</v>
      </c>
      <c r="E315" s="383">
        <f t="shared" si="125"/>
        <v>19.23766245090146</v>
      </c>
      <c r="F315" s="383">
        <f t="shared" si="103"/>
        <v>19.238062317530538</v>
      </c>
      <c r="G315" s="110">
        <f t="shared" si="126"/>
        <v>0.49642744262075444</v>
      </c>
      <c r="H315" s="412" t="b">
        <f>Wh_hp&gt;='2022'!Maxi_hp</f>
        <v>0</v>
      </c>
      <c r="I315" s="379">
        <f>IF(H315,Wh_hp,'2022'!Maxi_hp)</f>
        <v>39.257780539476109</v>
      </c>
      <c r="J315" s="85">
        <f>IF(H315,An,'2022'!An_max)</f>
        <v>2021</v>
      </c>
      <c r="K315" s="197">
        <f t="shared" si="104"/>
        <v>45227</v>
      </c>
      <c r="L315" s="147">
        <f>IF(t&lt;Tvie,1-EXP((T0-t)*PertePVj)+'2022'!Pspv,1-EXP((T0-t)*PertePVj)+Pspv)</f>
        <v>3.2630297907708661E-2</v>
      </c>
      <c r="M315" s="832"/>
      <c r="N315" s="832"/>
      <c r="O315" s="48">
        <f>IF(t&lt;Tnet,'2022'!Resal+('2022'!Salim-'2022'!Resal)*(1-EXP(('2022'!Tnet-t)/('2022'!Tau_j))),Resal+(Salim-Resal)*(1-EXP((Tnet-t)/(Tau_j))))*Salcycl</f>
        <v>2.9854138798309199E-2</v>
      </c>
      <c r="P315" s="338">
        <f>(INDEX(Models!$BJ315:$BT315,,T315)*(1-R315)+INDEX(Models!$BJ315:$BT315,,T315+1)*R315-ERP_i)*Q315*Ramure*Pc/MaxiM</f>
        <v>7.4061283897004695E-5</v>
      </c>
      <c r="Q315" s="304">
        <f t="shared" si="105"/>
        <v>0.6</v>
      </c>
      <c r="R315" s="177">
        <f t="shared" si="106"/>
        <v>0.99769416967826818</v>
      </c>
      <c r="S315" s="799">
        <f t="shared" si="107"/>
        <v>0</v>
      </c>
      <c r="T315" s="176">
        <f t="shared" si="108"/>
        <v>6</v>
      </c>
      <c r="U315" s="250">
        <f t="shared" si="109"/>
        <v>0.99769416967826818</v>
      </c>
      <c r="V315" s="382">
        <f t="shared" si="110"/>
        <v>36.36661649217929</v>
      </c>
      <c r="W315" s="400">
        <f t="shared" si="111"/>
        <v>18.054348307273056</v>
      </c>
      <c r="X315" s="157">
        <f t="shared" si="112"/>
        <v>45227</v>
      </c>
      <c r="Y315" s="383">
        <f t="shared" si="113"/>
        <v>17.65561616469606</v>
      </c>
      <c r="Z315" s="383">
        <f t="shared" si="114"/>
        <v>18.251156849867556</v>
      </c>
      <c r="AA315" s="384">
        <f t="shared" si="115"/>
        <v>19.23766245090146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5.127991010091125E-2</v>
      </c>
      <c r="AD315" s="230">
        <f>(INDEX(Models!$BJ315:$BT315,,AH315)*(1-AF315)+INDEX(Models!$BJ315:$BT315,,AH315+1)*AF315-ERP_i)*AE315*Ramure*Pc/MaxiM</f>
        <v>7.4061283897004695E-5</v>
      </c>
      <c r="AE315" s="304">
        <f t="shared" si="117"/>
        <v>0.6</v>
      </c>
      <c r="AF315" s="177">
        <f t="shared" si="118"/>
        <v>0.99769416967826818</v>
      </c>
      <c r="AG315" s="799">
        <f t="shared" si="124"/>
        <v>0</v>
      </c>
      <c r="AH315" s="176">
        <f t="shared" si="119"/>
        <v>6</v>
      </c>
      <c r="AI315" s="224">
        <f t="shared" si="120"/>
        <v>0.99769416967826818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45228</v>
      </c>
      <c r="B316" s="409">
        <f>IF(t&gt;Tmaj,'2022'!Wh/'2022'!Env_an*'2023'!Env_an,0.001*'[12]mon-tableau (1)'!$B$270)</f>
        <v>29.590020441353062</v>
      </c>
      <c r="C316" s="829"/>
      <c r="D316" s="391">
        <f t="shared" si="102"/>
        <v>30.588706131908047</v>
      </c>
      <c r="E316" s="383">
        <f t="shared" si="125"/>
        <v>31.532659775425998</v>
      </c>
      <c r="F316" s="383">
        <f t="shared" si="103"/>
        <v>31.534421455990632</v>
      </c>
      <c r="G316" s="110">
        <f t="shared" si="126"/>
        <v>0.82088823262040744</v>
      </c>
      <c r="H316" s="412" t="b">
        <f>Wh_hp&gt;='2022'!Maxi_hp</f>
        <v>0</v>
      </c>
      <c r="I316" s="379">
        <f>IF(H316,Wh_hp,'2022'!Maxi_hp)</f>
        <v>31.534576892719645</v>
      </c>
      <c r="J316" s="85">
        <f>IF(H316,An,'2022'!An_max)</f>
        <v>2022</v>
      </c>
      <c r="K316" s="197">
        <f t="shared" si="104"/>
        <v>45228</v>
      </c>
      <c r="L316" s="147">
        <f>IF(t&lt;Tvie,1-EXP((T0-t)*PertePVj)+'2022'!Pspv,1-EXP((T0-t)*PertePVj)+Pspv)</f>
        <v>3.2648837327356794E-2</v>
      </c>
      <c r="M316" s="832"/>
      <c r="N316" s="832"/>
      <c r="O316" s="48">
        <f>IF(t&lt;Tnet,'2022'!Resal+('2022'!Salim-'2022'!Resal)*(1-EXP(('2022'!Tnet-t)/('2022'!Tau_j))),Resal+(Salim-Resal)*(1-EXP((Tnet-t)/(Tau_j))))*Salcycl</f>
        <v>2.9935744407250754E-2</v>
      </c>
      <c r="P316" s="338">
        <f>(INDEX(Models!$BJ316:$BT316,,T316)*(1-R316)+INDEX(Models!$BJ316:$BT316,,T316+1)*R316-ERP_i)*Q316*Ramure*Pc/MaxiM</f>
        <v>7.5072804866307814E-5</v>
      </c>
      <c r="Q316" s="304">
        <f t="shared" si="105"/>
        <v>0.6</v>
      </c>
      <c r="R316" s="177">
        <f t="shared" si="106"/>
        <v>0.99775773891550434</v>
      </c>
      <c r="S316" s="799">
        <f t="shared" si="107"/>
        <v>0</v>
      </c>
      <c r="T316" s="176">
        <f t="shared" si="108"/>
        <v>6</v>
      </c>
      <c r="U316" s="250">
        <f t="shared" si="109"/>
        <v>0.99775773891550434</v>
      </c>
      <c r="V316" s="382">
        <f t="shared" si="110"/>
        <v>36.045652604001802</v>
      </c>
      <c r="W316" s="400">
        <f t="shared" si="111"/>
        <v>29.590020441353062</v>
      </c>
      <c r="X316" s="157">
        <f t="shared" si="112"/>
        <v>45228</v>
      </c>
      <c r="Y316" s="383">
        <f t="shared" si="113"/>
        <v>28.937667817809047</v>
      </c>
      <c r="Z316" s="383">
        <f t="shared" si="114"/>
        <v>29.914336111261498</v>
      </c>
      <c r="AA316" s="384">
        <f t="shared" si="115"/>
        <v>31.532659775425998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5.1322142682860152E-2</v>
      </c>
      <c r="AD316" s="230">
        <f>(INDEX(Models!$BJ316:$BT316,,AH316)*(1-AF316)+INDEX(Models!$BJ316:$BT316,,AH316+1)*AF316-ERP_i)*AE316*Ramure*Pc/MaxiM</f>
        <v>7.5072804866307814E-5</v>
      </c>
      <c r="AE316" s="304">
        <f t="shared" si="117"/>
        <v>0.6</v>
      </c>
      <c r="AF316" s="177">
        <f t="shared" si="118"/>
        <v>0.99775773891550434</v>
      </c>
      <c r="AG316" s="799">
        <f t="shared" si="124"/>
        <v>0</v>
      </c>
      <c r="AH316" s="176">
        <f t="shared" si="119"/>
        <v>6</v>
      </c>
      <c r="AI316" s="224">
        <f t="shared" si="120"/>
        <v>0.99775773891550434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45229</v>
      </c>
      <c r="B317" s="409">
        <f>IF(t&gt;Tmaj,'2022'!Wh/'2022'!Env_an*'2023'!Env_an,0.001*'[12]mon-tableau (1)'!$B$271)</f>
        <v>27.157972495851531</v>
      </c>
      <c r="C317" s="829"/>
      <c r="D317" s="391">
        <f t="shared" si="102"/>
        <v>28.075112772014382</v>
      </c>
      <c r="E317" s="383">
        <f t="shared" si="125"/>
        <v>28.943922128806431</v>
      </c>
      <c r="F317" s="383">
        <f t="shared" si="103"/>
        <v>28.945367955050262</v>
      </c>
      <c r="G317" s="110">
        <f t="shared" si="126"/>
        <v>0.7600881541717297</v>
      </c>
      <c r="H317" s="412" t="b">
        <f>Wh_hp&gt;='2022'!Maxi_hp</f>
        <v>0</v>
      </c>
      <c r="I317" s="379">
        <f>IF(H317,Wh_hp,'2022'!Maxi_hp)</f>
        <v>30.400555520503801</v>
      </c>
      <c r="J317" s="85">
        <f>IF(H317,An,'2022'!An_max)</f>
        <v>2020</v>
      </c>
      <c r="K317" s="197">
        <f t="shared" si="104"/>
        <v>45229</v>
      </c>
      <c r="L317" s="147">
        <f>IF(t&lt;Tvie,1-EXP((T0-t)*PertePVj)+'2022'!Pspv,1-EXP((T0-t)*PertePVj)+Pspv)</f>
        <v>3.2667376391701142E-2</v>
      </c>
      <c r="M317" s="832"/>
      <c r="N317" s="832"/>
      <c r="O317" s="48">
        <f>IF(t&lt;Tnet,'2022'!Resal+('2022'!Salim-'2022'!Resal)*(1-EXP(('2022'!Tnet-t)/('2022'!Tau_j))),Resal+(Salim-Resal)*(1-EXP((Tnet-t)/(Tau_j))))*Salcycl</f>
        <v>3.0016987778148034E-2</v>
      </c>
      <c r="P317" s="338">
        <f>(INDEX(Models!$BJ317:$BT317,,T317)*(1-R317)+INDEX(Models!$BJ317:$BT317,,T317+1)*R317-ERP_i)*Q317*Ramure*Pc/MaxiM</f>
        <v>7.5993304677756713E-5</v>
      </c>
      <c r="Q317" s="304">
        <f t="shared" si="105"/>
        <v>0.6</v>
      </c>
      <c r="R317" s="177">
        <f t="shared" si="106"/>
        <v>0.99781876389554713</v>
      </c>
      <c r="S317" s="799">
        <f t="shared" si="107"/>
        <v>0</v>
      </c>
      <c r="T317" s="176">
        <f t="shared" si="108"/>
        <v>6</v>
      </c>
      <c r="U317" s="250">
        <f t="shared" si="109"/>
        <v>0.99781876389554713</v>
      </c>
      <c r="V317" s="382">
        <f t="shared" si="110"/>
        <v>35.729099358956518</v>
      </c>
      <c r="W317" s="400">
        <f t="shared" si="111"/>
        <v>27.157972495851531</v>
      </c>
      <c r="X317" s="157">
        <f t="shared" si="112"/>
        <v>45229</v>
      </c>
      <c r="Y317" s="383">
        <f t="shared" si="113"/>
        <v>26.560290246873837</v>
      </c>
      <c r="Z317" s="383">
        <f t="shared" si="114"/>
        <v>27.457246451380794</v>
      </c>
      <c r="AA317" s="384">
        <f t="shared" si="115"/>
        <v>28.943922128806431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5.1364002114489701E-2</v>
      </c>
      <c r="AD317" s="230">
        <f>(INDEX(Models!$BJ317:$BT317,,AH317)*(1-AF317)+INDEX(Models!$BJ317:$BT317,,AH317+1)*AF317-ERP_i)*AE317*Ramure*Pc/MaxiM</f>
        <v>7.5993304677756713E-5</v>
      </c>
      <c r="AE317" s="304">
        <f t="shared" si="117"/>
        <v>0.6</v>
      </c>
      <c r="AF317" s="177">
        <f t="shared" si="118"/>
        <v>0.99781876389554713</v>
      </c>
      <c r="AG317" s="799">
        <f t="shared" si="124"/>
        <v>0</v>
      </c>
      <c r="AH317" s="176">
        <f t="shared" si="119"/>
        <v>6</v>
      </c>
      <c r="AI317" s="224">
        <f t="shared" si="120"/>
        <v>0.99781876389554713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45230</v>
      </c>
      <c r="B318" s="409">
        <f>IF(t&gt;Tmaj,'2022'!Wh/'2022'!Env_an*'2023'!Env_an,0.001*'[12]mon-tableau (1)'!$B$272)</f>
        <v>25.56340726667144</v>
      </c>
      <c r="C318" s="829"/>
      <c r="D318" s="391">
        <f t="shared" si="102"/>
        <v>26.427204633677945</v>
      </c>
      <c r="E318" s="383">
        <f t="shared" si="125"/>
        <v>27.247290803520297</v>
      </c>
      <c r="F318" s="383">
        <f t="shared" si="103"/>
        <v>27.248559878998183</v>
      </c>
      <c r="G318" s="110">
        <f t="shared" si="126"/>
        <v>0.72181788386310752</v>
      </c>
      <c r="H318" s="412" t="b">
        <f>Wh_hp&gt;='2022'!Maxi_hp</f>
        <v>0</v>
      </c>
      <c r="I318" s="379">
        <f>IF(H318,Wh_hp,'2022'!Maxi_hp)</f>
        <v>35.917509171902125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3.2685915100748475E-2</v>
      </c>
      <c r="M318" s="832"/>
      <c r="N318" s="832"/>
      <c r="O318" s="48">
        <f>IF(t&lt;Tnet,'2022'!Resal+('2022'!Salim-'2022'!Resal)*(1-EXP(('2022'!Tnet-t)/('2022'!Tau_j))),Resal+(Salim-Resal)*(1-EXP((Tnet-t)/(Tau_j))))*Salcycl</f>
        <v>3.0097897649934351E-2</v>
      </c>
      <c r="P318" s="338">
        <f>(INDEX(Models!$BJ318:$BT318,,T318)*(1-R318)+INDEX(Models!$BJ318:$BT318,,T318+1)*R318-ERP_i)*Q318*Ramure*Pc/MaxiM</f>
        <v>7.7284806722100946E-5</v>
      </c>
      <c r="Q318" s="304">
        <f t="shared" si="105"/>
        <v>0.6</v>
      </c>
      <c r="R318" s="177">
        <f t="shared" si="106"/>
        <v>0.99787734586140797</v>
      </c>
      <c r="S318" s="799">
        <f t="shared" si="107"/>
        <v>0</v>
      </c>
      <c r="T318" s="176">
        <f t="shared" si="108"/>
        <v>6</v>
      </c>
      <c r="U318" s="250">
        <f t="shared" si="109"/>
        <v>0.99787734586140797</v>
      </c>
      <c r="V318" s="382">
        <f t="shared" si="110"/>
        <v>35.414226676432875</v>
      </c>
      <c r="W318" s="400">
        <f t="shared" si="111"/>
        <v>25.56340726667144</v>
      </c>
      <c r="X318" s="157">
        <f t="shared" si="112"/>
        <v>45230</v>
      </c>
      <c r="Y318" s="383">
        <f t="shared" si="113"/>
        <v>25.001808431371966</v>
      </c>
      <c r="Z318" s="383">
        <f t="shared" si="114"/>
        <v>25.846629157659763</v>
      </c>
      <c r="AA318" s="384">
        <f t="shared" si="115"/>
        <v>27.247290803520297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5.1405538112419366E-2</v>
      </c>
      <c r="AD318" s="230">
        <f>(INDEX(Models!$BJ318:$BT318,,AH318)*(1-AF318)+INDEX(Models!$BJ318:$BT318,,AH318+1)*AF318-ERP_i)*AE318*Ramure*Pc/MaxiM</f>
        <v>7.7284806722100946E-5</v>
      </c>
      <c r="AE318" s="304">
        <f t="shared" si="117"/>
        <v>0.6</v>
      </c>
      <c r="AF318" s="177">
        <f t="shared" si="118"/>
        <v>0.99787734586140797</v>
      </c>
      <c r="AG318" s="799">
        <f t="shared" si="124"/>
        <v>0</v>
      </c>
      <c r="AH318" s="176">
        <f t="shared" si="119"/>
        <v>6</v>
      </c>
      <c r="AI318" s="224">
        <f t="shared" si="120"/>
        <v>0.99787734586140797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45231</v>
      </c>
      <c r="B319" s="409">
        <f>IF(t&gt;Tmaj,'2022'!Wh/'2022'!Env_an*'2023'!Env_an,0.001*'[13]mon-tableau (3)'!$B$235)</f>
        <v>20.231024557884641</v>
      </c>
      <c r="C319" s="829"/>
      <c r="D319" s="391">
        <f t="shared" si="102"/>
        <v>20.915039493498927</v>
      </c>
      <c r="E319" s="383">
        <f t="shared" si="125"/>
        <v>21.565865033256387</v>
      </c>
      <c r="F319" s="383">
        <f t="shared" si="103"/>
        <v>21.566537985135181</v>
      </c>
      <c r="G319" s="110">
        <f t="shared" si="126"/>
        <v>0.57633466754342411</v>
      </c>
      <c r="H319" s="412" t="b">
        <f>Wh_hp&gt;='2022'!Maxi_hp</f>
        <v>0</v>
      </c>
      <c r="I319" s="379">
        <f>IF(H319,Wh_hp,'2022'!Maxi_hp)</f>
        <v>33.217100495865481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3.2704453454505789E-2</v>
      </c>
      <c r="M319" s="832"/>
      <c r="N319" s="832"/>
      <c r="O319" s="48">
        <f>IF(t&lt;Tnet,'2022'!Resal+('2022'!Salim-'2022'!Resal)*(1-EXP(('2022'!Tnet-t)/('2022'!Tau_j))),Resal+(Salim-Resal)*(1-EXP((Tnet-t)/(Tau_j))))*Salcycl</f>
        <v>3.0178503795411583E-2</v>
      </c>
      <c r="P319" s="338">
        <f>(INDEX(Models!$BJ319:$BT319,,T319)*(1-R319)+INDEX(Models!$BJ319:$BT319,,T319+1)*R319-ERP_i)*Q319*Ramure*Pc/MaxiM</f>
        <v>7.903562935306614E-5</v>
      </c>
      <c r="Q319" s="304">
        <f t="shared" si="105"/>
        <v>0.6</v>
      </c>
      <c r="R319" s="177">
        <f t="shared" si="106"/>
        <v>0.99793358207354965</v>
      </c>
      <c r="S319" s="799">
        <f t="shared" si="107"/>
        <v>0</v>
      </c>
      <c r="T319" s="176">
        <f t="shared" si="108"/>
        <v>6</v>
      </c>
      <c r="U319" s="250">
        <f t="shared" si="109"/>
        <v>0.99793358207354965</v>
      </c>
      <c r="V319" s="382">
        <f t="shared" si="110"/>
        <v>35.101231930605287</v>
      </c>
      <c r="W319" s="400">
        <f t="shared" si="111"/>
        <v>20.231024557884641</v>
      </c>
      <c r="X319" s="157">
        <f t="shared" si="112"/>
        <v>45231</v>
      </c>
      <c r="Y319" s="383">
        <f t="shared" si="113"/>
        <v>19.787355841034433</v>
      </c>
      <c r="Z319" s="383">
        <f t="shared" si="114"/>
        <v>20.456370249714354</v>
      </c>
      <c r="AA319" s="384">
        <f t="shared" si="115"/>
        <v>21.565865033256387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5.144680177823148E-2</v>
      </c>
      <c r="AD319" s="230">
        <f>(INDEX(Models!$BJ319:$BT319,,AH319)*(1-AF319)+INDEX(Models!$BJ319:$BT319,,AH319+1)*AF319-ERP_i)*AE319*Ramure*Pc/MaxiM</f>
        <v>7.903562935306614E-5</v>
      </c>
      <c r="AE319" s="304">
        <f t="shared" si="117"/>
        <v>0.6</v>
      </c>
      <c r="AF319" s="177">
        <f t="shared" si="118"/>
        <v>0.99793358207354965</v>
      </c>
      <c r="AG319" s="799">
        <f t="shared" si="124"/>
        <v>0</v>
      </c>
      <c r="AH319" s="176">
        <f t="shared" si="119"/>
        <v>6</v>
      </c>
      <c r="AI319" s="224">
        <f t="shared" si="120"/>
        <v>0.99793358207354965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45232</v>
      </c>
      <c r="B320" s="409">
        <f>IF(t&gt;Tmaj,'2022'!Wh/'2022'!Env_an*'2023'!Env_an,0.001*'[13]mon-tableau (3)'!$B$236)</f>
        <v>31.233807063254602</v>
      </c>
      <c r="C320" s="829"/>
      <c r="D320" s="391">
        <f t="shared" si="102"/>
        <v>32.290447087305388</v>
      </c>
      <c r="E320" s="383">
        <f t="shared" si="125"/>
        <v>33.298006020651833</v>
      </c>
      <c r="F320" s="383">
        <f t="shared" si="103"/>
        <v>33.300316398127777</v>
      </c>
      <c r="G320" s="110">
        <f t="shared" si="126"/>
        <v>0.89776237684916449</v>
      </c>
      <c r="H320" s="412" t="b">
        <f>Wh_hp&gt;='2022'!Maxi_hp</f>
        <v>0</v>
      </c>
      <c r="I320" s="379">
        <f>IF(H320,Wh_hp,'2022'!Maxi_hp)</f>
        <v>33.300423626379668</v>
      </c>
      <c r="J320" s="85">
        <f>IF(H320,An,'2022'!An_max)</f>
        <v>2022</v>
      </c>
      <c r="K320" s="197">
        <f t="shared" si="104"/>
        <v>45232</v>
      </c>
      <c r="L320" s="147">
        <f>IF(t&lt;Tvie,1-EXP((T0-t)*PertePVj)+'2022'!Pspv,1-EXP((T0-t)*PertePVj)+Pspv)</f>
        <v>3.2722991452979744E-2</v>
      </c>
      <c r="M320" s="832"/>
      <c r="N320" s="832"/>
      <c r="O320" s="48">
        <f>IF(t&lt;Tnet,'2022'!Resal+('2022'!Salim-'2022'!Resal)*(1-EXP(('2022'!Tnet-t)/('2022'!Tau_j))),Resal+(Salim-Resal)*(1-EXP((Tnet-t)/(Tau_j))))*Salcycl</f>
        <v>3.02588369021719E-2</v>
      </c>
      <c r="P320" s="338">
        <f>(INDEX(Models!$BJ320:$BT320,,T320)*(1-R320)+INDEX(Models!$BJ320:$BT320,,T320+1)*R320-ERP_i)*Q320*Ramure*Pc/MaxiM</f>
        <v>8.1244936854906949E-5</v>
      </c>
      <c r="Q320" s="304">
        <f t="shared" si="105"/>
        <v>0.6</v>
      </c>
      <c r="R320" s="177">
        <f t="shared" si="106"/>
        <v>0.99798756596290383</v>
      </c>
      <c r="S320" s="799">
        <f t="shared" si="107"/>
        <v>0</v>
      </c>
      <c r="T320" s="176">
        <f t="shared" si="108"/>
        <v>6</v>
      </c>
      <c r="U320" s="250">
        <f t="shared" si="109"/>
        <v>0.99798756596290383</v>
      </c>
      <c r="V320" s="382">
        <f t="shared" si="110"/>
        <v>34.790315630558311</v>
      </c>
      <c r="W320" s="400">
        <f t="shared" si="111"/>
        <v>31.233807063254602</v>
      </c>
      <c r="X320" s="157">
        <f t="shared" si="112"/>
        <v>45232</v>
      </c>
      <c r="Y320" s="383">
        <f t="shared" si="113"/>
        <v>30.550054758631955</v>
      </c>
      <c r="Z320" s="383">
        <f t="shared" si="114"/>
        <v>31.583563434969093</v>
      </c>
      <c r="AA320" s="384">
        <f t="shared" si="115"/>
        <v>33.298006020651833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5.1487845386880574E-2</v>
      </c>
      <c r="AD320" s="230">
        <f>(INDEX(Models!$BJ320:$BT320,,AH320)*(1-AF320)+INDEX(Models!$BJ320:$BT320,,AH320+1)*AF320-ERP_i)*AE320*Ramure*Pc/MaxiM</f>
        <v>8.1244936854906949E-5</v>
      </c>
      <c r="AE320" s="304">
        <f t="shared" si="117"/>
        <v>0.6</v>
      </c>
      <c r="AF320" s="177">
        <f t="shared" si="118"/>
        <v>0.99798756596290383</v>
      </c>
      <c r="AG320" s="799">
        <f t="shared" si="124"/>
        <v>0</v>
      </c>
      <c r="AH320" s="176">
        <f t="shared" si="119"/>
        <v>6</v>
      </c>
      <c r="AI320" s="224">
        <f t="shared" si="120"/>
        <v>0.99798756596290383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45233</v>
      </c>
      <c r="B321" s="409">
        <f>IF(t&gt;Tmaj,'2022'!Wh/'2022'!Env_an*'2023'!Env_an,0.001*'[13]mon-tableau (3)'!$B$237)</f>
        <v>9.8758064399212575</v>
      </c>
      <c r="C321" s="829"/>
      <c r="D321" s="391">
        <f t="shared" si="102"/>
        <v>10.210100750726056</v>
      </c>
      <c r="E321" s="383">
        <f t="shared" si="125"/>
        <v>10.529556202935336</v>
      </c>
      <c r="F321" s="383">
        <f t="shared" si="103"/>
        <v>10.529556202935336</v>
      </c>
      <c r="G321" s="110">
        <f t="shared" si="126"/>
        <v>0.28638332749130146</v>
      </c>
      <c r="H321" s="412" t="b">
        <f>Wh_hp&gt;='2022'!Maxi_hp</f>
        <v>0</v>
      </c>
      <c r="I321" s="379">
        <f>IF(H321,Wh_hp,'2022'!Maxi_hp)</f>
        <v>31.680473871325951</v>
      </c>
      <c r="J321" s="85">
        <f>IF(H321,An,'2022'!An_max)</f>
        <v>2020</v>
      </c>
      <c r="K321" s="197">
        <f t="shared" si="104"/>
        <v>45233</v>
      </c>
      <c r="L321" s="147">
        <f>IF(t&lt;Tvie,1-EXP((T0-t)*PertePVj)+'2022'!Pspv,1-EXP((T0-t)*PertePVj)+Pspv)</f>
        <v>3.2741529096177224E-2</v>
      </c>
      <c r="M321" s="832"/>
      <c r="N321" s="832"/>
      <c r="O321" s="48">
        <f>IF(t&lt;Tnet,'2022'!Resal+('2022'!Salim-'2022'!Resal)*(1-EXP(('2022'!Tnet-t)/('2022'!Tau_j))),Resal+(Salim-Resal)*(1-EXP((Tnet-t)/(Tau_j))))*Salcycl</f>
        <v>3.0338928446027511E-2</v>
      </c>
      <c r="P321" s="338">
        <f>(INDEX(Models!$BJ321:$BT321,,T321)*(1-R321)+INDEX(Models!$BJ321:$BT321,,T321+1)*R321-ERP_i)*Q321*Ramure*Pc/MaxiM</f>
        <v>8.3911733688244399E-5</v>
      </c>
      <c r="Q321" s="304">
        <f t="shared" si="105"/>
        <v>0.6</v>
      </c>
      <c r="R321" s="177">
        <f t="shared" si="106"/>
        <v>0.998039387278297</v>
      </c>
      <c r="S321" s="799">
        <f t="shared" si="107"/>
        <v>0</v>
      </c>
      <c r="T321" s="176">
        <f t="shared" si="108"/>
        <v>6</v>
      </c>
      <c r="U321" s="250">
        <f t="shared" si="109"/>
        <v>0.998039387278297</v>
      </c>
      <c r="V321" s="382">
        <f t="shared" si="110"/>
        <v>34.481678212155195</v>
      </c>
      <c r="W321" s="400">
        <f t="shared" si="111"/>
        <v>9.8758064399212575</v>
      </c>
      <c r="X321" s="157">
        <f t="shared" si="112"/>
        <v>45233</v>
      </c>
      <c r="Y321" s="383">
        <f t="shared" si="113"/>
        <v>9.6599925773172348</v>
      </c>
      <c r="Z321" s="383">
        <f t="shared" si="114"/>
        <v>9.9869816268352487</v>
      </c>
      <c r="AA321" s="384">
        <f t="shared" si="115"/>
        <v>10.529556202935336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5.152872216483665E-2</v>
      </c>
      <c r="AD321" s="230">
        <f>(INDEX(Models!$BJ321:$BT321,,AH321)*(1-AF321)+INDEX(Models!$BJ321:$BT321,,AH321+1)*AF321-ERP_i)*AE321*Ramure*Pc/MaxiM</f>
        <v>8.3911733688244399E-5</v>
      </c>
      <c r="AE321" s="304">
        <f t="shared" si="117"/>
        <v>0.6</v>
      </c>
      <c r="AF321" s="177">
        <f t="shared" si="118"/>
        <v>0.998039387278297</v>
      </c>
      <c r="AG321" s="799">
        <f t="shared" si="124"/>
        <v>0</v>
      </c>
      <c r="AH321" s="176">
        <f t="shared" si="119"/>
        <v>6</v>
      </c>
      <c r="AI321" s="224">
        <f t="shared" si="120"/>
        <v>0.998039387278297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45234</v>
      </c>
      <c r="B322" s="409">
        <f>IF(t&gt;Tmaj,'2022'!Wh/'2022'!Env_an*'2023'!Env_an,0.001*'[13]mon-tableau (3)'!$B$238)</f>
        <v>17.71166518816392</v>
      </c>
      <c r="C322" s="829"/>
      <c r="D322" s="391">
        <f t="shared" si="102"/>
        <v>18.311552875976975</v>
      </c>
      <c r="E322" s="383">
        <f t="shared" si="125"/>
        <v>18.886043866538266</v>
      </c>
      <c r="F322" s="383">
        <f t="shared" si="103"/>
        <v>18.886556390471537</v>
      </c>
      <c r="G322" s="110">
        <f t="shared" si="126"/>
        <v>0.51822486514477017</v>
      </c>
      <c r="H322" s="412" t="b">
        <f>Wh_hp&gt;='2022'!Maxi_hp</f>
        <v>0</v>
      </c>
      <c r="I322" s="379">
        <f>IF(H322,Wh_hp,'2022'!Maxi_hp)</f>
        <v>18.886875032481147</v>
      </c>
      <c r="J322" s="85">
        <f>IF(H322,An,'2022'!An_max)</f>
        <v>2022</v>
      </c>
      <c r="K322" s="197">
        <f t="shared" si="104"/>
        <v>45234</v>
      </c>
      <c r="L322" s="147">
        <f>IF(t&lt;Tvie,1-EXP((T0-t)*PertePVj)+'2022'!Pspv,1-EXP((T0-t)*PertePVj)+Pspv)</f>
        <v>3.2760066384105002E-2</v>
      </c>
      <c r="M322" s="832"/>
      <c r="N322" s="832"/>
      <c r="O322" s="48">
        <f>IF(t&lt;Tnet,'2022'!Resal+('2022'!Salim-'2022'!Resal)*(1-EXP(('2022'!Tnet-t)/('2022'!Tau_j))),Resal+(Salim-Resal)*(1-EXP((Tnet-t)/(Tau_j))))*Salcycl</f>
        <v>3.0418810557734575E-2</v>
      </c>
      <c r="P322" s="338">
        <f>(INDEX(Models!$BJ322:$BT322,,T322)*(1-R322)+INDEX(Models!$BJ322:$BT322,,T322+1)*R322-ERP_i)*Q322*Ramure*Pc/MaxiM</f>
        <v>8.7034893322072301E-5</v>
      </c>
      <c r="Q322" s="304">
        <f t="shared" si="105"/>
        <v>0.6</v>
      </c>
      <c r="R322" s="177">
        <f t="shared" si="106"/>
        <v>0.99808913222846929</v>
      </c>
      <c r="S322" s="799">
        <f t="shared" si="107"/>
        <v>0</v>
      </c>
      <c r="T322" s="176">
        <f t="shared" si="108"/>
        <v>6</v>
      </c>
      <c r="U322" s="250">
        <f t="shared" si="109"/>
        <v>0.99808913222846929</v>
      </c>
      <c r="V322" s="382">
        <f t="shared" si="110"/>
        <v>34.175520046651393</v>
      </c>
      <c r="W322" s="400">
        <f t="shared" si="111"/>
        <v>17.71166518816392</v>
      </c>
      <c r="X322" s="157">
        <f t="shared" si="112"/>
        <v>45234</v>
      </c>
      <c r="Y322" s="383">
        <f t="shared" si="113"/>
        <v>17.325298696045454</v>
      </c>
      <c r="Z322" s="383">
        <f t="shared" si="114"/>
        <v>17.912100290645757</v>
      </c>
      <c r="AA322" s="384">
        <f t="shared" si="115"/>
        <v>18.886043866538266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5.1569486059391788E-2</v>
      </c>
      <c r="AD322" s="230">
        <f>(INDEX(Models!$BJ322:$BT322,,AH322)*(1-AF322)+INDEX(Models!$BJ322:$BT322,,AH322+1)*AF322-ERP_i)*AE322*Ramure*Pc/MaxiM</f>
        <v>8.7034893322072301E-5</v>
      </c>
      <c r="AE322" s="304">
        <f t="shared" si="117"/>
        <v>0.6</v>
      </c>
      <c r="AF322" s="177">
        <f t="shared" si="118"/>
        <v>0.99808913222846929</v>
      </c>
      <c r="AG322" s="799">
        <f t="shared" si="124"/>
        <v>0</v>
      </c>
      <c r="AH322" s="176">
        <f t="shared" si="119"/>
        <v>6</v>
      </c>
      <c r="AI322" s="224">
        <f t="shared" si="120"/>
        <v>0.99808913222846929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45235</v>
      </c>
      <c r="B323" s="409">
        <f>IF(t&gt;Tmaj,'2022'!Wh/'2022'!Env_an*'2023'!Env_an,0.001*'[13]mon-tableau (3)'!$B$239)</f>
        <v>33.124634762587448</v>
      </c>
      <c r="C323" s="829"/>
      <c r="D323" s="391">
        <f t="shared" si="102"/>
        <v>34.247210489943214</v>
      </c>
      <c r="E323" s="383">
        <f t="shared" si="125"/>
        <v>35.324557054355907</v>
      </c>
      <c r="F323" s="383">
        <f t="shared" si="103"/>
        <v>35.327657298457417</v>
      </c>
      <c r="G323" s="110">
        <f t="shared" si="126"/>
        <v>0.97793161355827074</v>
      </c>
      <c r="H323" s="412" t="b">
        <f>Wh_hp&gt;='2022'!Maxi_hp</f>
        <v>0</v>
      </c>
      <c r="I323" s="379">
        <f>IF(H323,Wh_hp,'2022'!Maxi_hp)</f>
        <v>35.327686274356154</v>
      </c>
      <c r="J323" s="85">
        <f>IF(H323,An,'2022'!An_max)</f>
        <v>2022</v>
      </c>
      <c r="K323" s="197">
        <f t="shared" si="104"/>
        <v>45235</v>
      </c>
      <c r="L323" s="147">
        <f>IF(t&lt;Tvie,1-EXP((T0-t)*PertePVj)+'2022'!Pspv,1-EXP((T0-t)*PertePVj)+Pspv)</f>
        <v>3.277860331676985E-2</v>
      </c>
      <c r="M323" s="832"/>
      <c r="N323" s="832"/>
      <c r="O323" s="48">
        <f>IF(t&lt;Tnet,'2022'!Resal+('2022'!Salim-'2022'!Resal)*(1-EXP(('2022'!Tnet-t)/('2022'!Tau_j))),Resal+(Salim-Resal)*(1-EXP((Tnet-t)/(Tau_j))))*Salcycl</f>
        <v>3.0498515883862865E-2</v>
      </c>
      <c r="P323" s="338">
        <f>(INDEX(Models!$BJ323:$BT323,,T323)*(1-R323)+INDEX(Models!$BJ323:$BT323,,T323+1)*R323-ERP_i)*Q323*Ramure*Pc/MaxiM</f>
        <v>9.0613188982248302E-5</v>
      </c>
      <c r="Q323" s="304">
        <f t="shared" si="105"/>
        <v>0.6</v>
      </c>
      <c r="R323" s="177">
        <f t="shared" si="106"/>
        <v>0.99813688361885877</v>
      </c>
      <c r="S323" s="799">
        <f t="shared" si="107"/>
        <v>0</v>
      </c>
      <c r="T323" s="176">
        <f t="shared" si="108"/>
        <v>6</v>
      </c>
      <c r="U323" s="250">
        <f t="shared" si="109"/>
        <v>0.99813688361885877</v>
      </c>
      <c r="V323" s="382">
        <f t="shared" si="110"/>
        <v>33.872041439319169</v>
      </c>
      <c r="W323" s="400">
        <f t="shared" si="111"/>
        <v>33.124634762587448</v>
      </c>
      <c r="X323" s="157">
        <f t="shared" si="112"/>
        <v>45235</v>
      </c>
      <c r="Y323" s="383">
        <f t="shared" si="113"/>
        <v>32.403319163292871</v>
      </c>
      <c r="Z323" s="383">
        <f t="shared" si="114"/>
        <v>33.501449900105051</v>
      </c>
      <c r="AA323" s="384">
        <f t="shared" si="115"/>
        <v>35.324557054355907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5.1610191500647502E-2</v>
      </c>
      <c r="AD323" s="230">
        <f>(INDEX(Models!$BJ323:$BT323,,AH323)*(1-AF323)+INDEX(Models!$BJ323:$BT323,,AH323+1)*AF323-ERP_i)*AE323*Ramure*Pc/MaxiM</f>
        <v>9.0613188982248302E-5</v>
      </c>
      <c r="AE323" s="304">
        <f t="shared" si="117"/>
        <v>0.6</v>
      </c>
      <c r="AF323" s="177">
        <f t="shared" si="118"/>
        <v>0.99813688361885877</v>
      </c>
      <c r="AG323" s="799">
        <f t="shared" si="124"/>
        <v>0</v>
      </c>
      <c r="AH323" s="176">
        <f t="shared" si="119"/>
        <v>6</v>
      </c>
      <c r="AI323" s="224">
        <f t="shared" si="120"/>
        <v>0.99813688361885877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45236</v>
      </c>
      <c r="B324" s="409">
        <f>IF(t&gt;Tmaj,'2022'!Wh/'2022'!Env_an*'2023'!Env_an,0.001*'[13]mon-tableau (3)'!$B$240)</f>
        <v>34.501314992703662</v>
      </c>
      <c r="C324" s="829"/>
      <c r="D324" s="391">
        <f t="shared" si="102"/>
        <v>35.671229289922579</v>
      </c>
      <c r="E324" s="383">
        <f t="shared" si="125"/>
        <v>36.796392220864931</v>
      </c>
      <c r="F324" s="383">
        <f t="shared" si="103"/>
        <v>36.799919621138898</v>
      </c>
      <c r="G324" s="110">
        <f t="shared" si="126"/>
        <v>1.0276995556652961</v>
      </c>
      <c r="H324" s="412" t="b">
        <f>Wh_hp&gt;='2022'!Maxi_hp</f>
        <v>1</v>
      </c>
      <c r="I324" s="379">
        <f>IF(H324,Wh_hp,'2022'!Maxi_hp)</f>
        <v>36.799919621138898</v>
      </c>
      <c r="J324" s="85">
        <f>IF(H324,An,'2022'!An_max)</f>
        <v>2023</v>
      </c>
      <c r="K324" s="197">
        <f t="shared" si="104"/>
        <v>45236</v>
      </c>
      <c r="L324" s="147">
        <f>IF(t&lt;Tvie,1-EXP((T0-t)*PertePVj)+'2022'!Pspv,1-EXP((T0-t)*PertePVj)+Pspv)</f>
        <v>3.2797139894178651E-2</v>
      </c>
      <c r="M324" s="832"/>
      <c r="N324" s="832"/>
      <c r="O324" s="48">
        <f>IF(t&lt;Tnet,'2022'!Resal+('2022'!Salim-'2022'!Resal)*(1-EXP(('2022'!Tnet-t)/('2022'!Tau_j))),Resal+(Salim-Resal)*(1-EXP((Tnet-t)/(Tau_j))))*Salcycl</f>
        <v>3.0578077442721216E-2</v>
      </c>
      <c r="P324" s="338">
        <f>(INDEX(Models!$BJ324:$BT324,,T324)*(1-R324)+INDEX(Models!$BJ324:$BT324,,T324+1)*R324-ERP_i)*Q324*Ramure*Pc/MaxiM</f>
        <v>9.5853477678263161E-5</v>
      </c>
      <c r="Q324" s="304">
        <f t="shared" si="105"/>
        <v>0.6</v>
      </c>
      <c r="R324" s="177">
        <f t="shared" si="106"/>
        <v>0.99818272098332794</v>
      </c>
      <c r="S324" s="799">
        <f t="shared" si="107"/>
        <v>0</v>
      </c>
      <c r="T324" s="176">
        <f t="shared" si="108"/>
        <v>6</v>
      </c>
      <c r="U324" s="250">
        <f t="shared" si="109"/>
        <v>0.99818272098332794</v>
      </c>
      <c r="V324" s="382">
        <f t="shared" si="110"/>
        <v>33.571402072241568</v>
      </c>
      <c r="W324" s="400">
        <f t="shared" si="111"/>
        <v>34.501314992703662</v>
      </c>
      <c r="X324" s="157">
        <f t="shared" si="112"/>
        <v>45236</v>
      </c>
      <c r="Y324" s="383">
        <f t="shared" si="113"/>
        <v>33.751342420543942</v>
      </c>
      <c r="Z324" s="383">
        <f t="shared" si="114"/>
        <v>34.895825697673409</v>
      </c>
      <c r="AA324" s="384">
        <f t="shared" si="115"/>
        <v>36.796392220864931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5.1650893157776122E-2</v>
      </c>
      <c r="AD324" s="230">
        <f>(INDEX(Models!$BJ324:$BT324,,AH324)*(1-AF324)+INDEX(Models!$BJ324:$BT324,,AH324+1)*AF324-ERP_i)*AE324*Ramure*Pc/MaxiM</f>
        <v>9.5853477678263161E-5</v>
      </c>
      <c r="AE324" s="304">
        <f t="shared" si="117"/>
        <v>0.6</v>
      </c>
      <c r="AF324" s="177">
        <f t="shared" si="118"/>
        <v>0.99818272098332794</v>
      </c>
      <c r="AG324" s="799">
        <f t="shared" si="124"/>
        <v>0</v>
      </c>
      <c r="AH324" s="176">
        <f t="shared" si="119"/>
        <v>6</v>
      </c>
      <c r="AI324" s="224">
        <f t="shared" si="120"/>
        <v>0.99818272098332794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45237</v>
      </c>
      <c r="B325" s="409">
        <f>IF(t&gt;Tmaj,'2022'!Wh/'2022'!Env_an*'2023'!Env_an,0.001*'[13]mon-tableau (3)'!$B$241)</f>
        <v>33.01824236015463</v>
      </c>
      <c r="C325" s="829"/>
      <c r="D325" s="391">
        <f t="shared" si="102"/>
        <v>34.138521008665812</v>
      </c>
      <c r="E325" s="383">
        <f t="shared" si="125"/>
        <v>35.218224736406945</v>
      </c>
      <c r="F325" s="383">
        <f t="shared" si="103"/>
        <v>35.221803680808115</v>
      </c>
      <c r="G325" s="110">
        <f t="shared" si="126"/>
        <v>0.99231832360563166</v>
      </c>
      <c r="H325" s="412" t="b">
        <f>Wh_hp&gt;='2022'!Maxi_hp</f>
        <v>0</v>
      </c>
      <c r="I325" s="379">
        <f>IF(H325,Wh_hp,'2022'!Maxi_hp)</f>
        <v>35.221815454766798</v>
      </c>
      <c r="J325" s="85">
        <f>IF(H325,An,'2022'!An_max)</f>
        <v>2022</v>
      </c>
      <c r="K325" s="197">
        <f t="shared" si="104"/>
        <v>45237</v>
      </c>
      <c r="L325" s="147">
        <f>IF(t&lt;Tvie,1-EXP((T0-t)*PertePVj)+'2022'!Pspv,1-EXP((T0-t)*PertePVj)+Pspv)</f>
        <v>3.2815676116338066E-2</v>
      </c>
      <c r="M325" s="832"/>
      <c r="N325" s="832"/>
      <c r="O325" s="48">
        <f>IF(t&lt;Tnet,'2022'!Resal+('2022'!Salim-'2022'!Resal)*(1-EXP(('2022'!Tnet-t)/('2022'!Tau_j))),Resal+(Salim-Resal)*(1-EXP((Tnet-t)/(Tau_j))))*Salcycl</f>
        <v>3.0657528476300117E-2</v>
      </c>
      <c r="P325" s="338">
        <f>(INDEX(Models!$BJ325:$BT325,,T325)*(1-R325)+INDEX(Models!$BJ325:$BT325,,T325+1)*R325-ERP_i)*Q325*Ramure*Pc/MaxiM</f>
        <v>1.0273889055210419E-4</v>
      </c>
      <c r="Q325" s="304">
        <f t="shared" si="105"/>
        <v>0.6</v>
      </c>
      <c r="R325" s="177">
        <f t="shared" si="106"/>
        <v>0.99822672071099905</v>
      </c>
      <c r="S325" s="799">
        <f t="shared" si="107"/>
        <v>0</v>
      </c>
      <c r="T325" s="176">
        <f t="shared" si="108"/>
        <v>6</v>
      </c>
      <c r="U325" s="250">
        <f t="shared" si="109"/>
        <v>0.99822672071099905</v>
      </c>
      <c r="V325" s="382">
        <f t="shared" si="110"/>
        <v>33.273803728409256</v>
      </c>
      <c r="W325" s="400">
        <f t="shared" si="111"/>
        <v>33.01824236015463</v>
      </c>
      <c r="X325" s="157">
        <f t="shared" si="112"/>
        <v>45237</v>
      </c>
      <c r="Y325" s="383">
        <f t="shared" si="113"/>
        <v>32.301767429532688</v>
      </c>
      <c r="Z325" s="383">
        <f t="shared" si="114"/>
        <v>33.397736741459134</v>
      </c>
      <c r="AA325" s="384">
        <f t="shared" si="115"/>
        <v>35.218224736406945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5.1691645691211666E-2</v>
      </c>
      <c r="AD325" s="230">
        <f>(INDEX(Models!$BJ325:$BT325,,AH325)*(1-AF325)+INDEX(Models!$BJ325:$BT325,,AH325+1)*AF325-ERP_i)*AE325*Ramure*Pc/MaxiM</f>
        <v>1.0273889055210419E-4</v>
      </c>
      <c r="AE325" s="304">
        <f t="shared" si="117"/>
        <v>0.6</v>
      </c>
      <c r="AF325" s="177">
        <f t="shared" si="118"/>
        <v>0.99822672071099905</v>
      </c>
      <c r="AG325" s="799">
        <f t="shared" si="124"/>
        <v>0</v>
      </c>
      <c r="AH325" s="176">
        <f t="shared" si="119"/>
        <v>6</v>
      </c>
      <c r="AI325" s="224">
        <f t="shared" si="120"/>
        <v>0.99822672071099905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45238</v>
      </c>
      <c r="B326" s="409">
        <f>IF(t&gt;Tmaj,'2022'!Wh/'2022'!Env_an*'2023'!Env_an,0.001*'[13]mon-tableau (3)'!$B$242)</f>
        <v>24.464192176761117</v>
      </c>
      <c r="C326" s="829"/>
      <c r="D326" s="391">
        <f t="shared" si="102"/>
        <v>25.294724523834748</v>
      </c>
      <c r="E326" s="383">
        <f t="shared" si="125"/>
        <v>26.09686119675618</v>
      </c>
      <c r="F326" s="383">
        <f t="shared" si="103"/>
        <v>26.098693945906533</v>
      </c>
      <c r="G326" s="110">
        <f t="shared" si="126"/>
        <v>0.74177070217508811</v>
      </c>
      <c r="H326" s="412" t="b">
        <f>Wh_hp&gt;='2022'!Maxi_hp</f>
        <v>0</v>
      </c>
      <c r="I326" s="379">
        <f>IF(H326,Wh_hp,'2022'!Maxi_hp)</f>
        <v>28.580031803596686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3.283421198325509E-2</v>
      </c>
      <c r="M326" s="832"/>
      <c r="N326" s="832"/>
      <c r="O326" s="48">
        <f>IF(t&lt;Tnet,'2022'!Resal+('2022'!Salim-'2022'!Resal)*(1-EXP(('2022'!Tnet-t)/('2022'!Tau_j))),Resal+(Salim-Resal)*(1-EXP((Tnet-t)/(Tau_j))))*Salcycl</f>
        <v>3.0736902299236517E-2</v>
      </c>
      <c r="P326" s="338">
        <f>(INDEX(Models!$BJ326:$BT326,,T326)*(1-R326)+INDEX(Models!$BJ326:$BT326,,T326+1)*R326-ERP_i)*Q326*Ramure*Pc/MaxiM</f>
        <v>1.1126420064068036E-4</v>
      </c>
      <c r="Q326" s="304">
        <f t="shared" si="105"/>
        <v>0.6</v>
      </c>
      <c r="R326" s="177">
        <f t="shared" si="106"/>
        <v>0.99826895616836508</v>
      </c>
      <c r="S326" s="799">
        <f t="shared" si="107"/>
        <v>0</v>
      </c>
      <c r="T326" s="176">
        <f t="shared" si="108"/>
        <v>6</v>
      </c>
      <c r="U326" s="250">
        <f t="shared" si="109"/>
        <v>0.99826895616836508</v>
      </c>
      <c r="V326" s="382">
        <f t="shared" si="110"/>
        <v>32.979447710693648</v>
      </c>
      <c r="W326" s="400">
        <f t="shared" si="111"/>
        <v>24.464192176761117</v>
      </c>
      <c r="X326" s="157">
        <f t="shared" si="112"/>
        <v>45238</v>
      </c>
      <c r="Y326" s="383">
        <f t="shared" si="113"/>
        <v>23.934263384546608</v>
      </c>
      <c r="Z326" s="383">
        <f t="shared" si="114"/>
        <v>24.74680523349139</v>
      </c>
      <c r="AA326" s="384">
        <f t="shared" si="115"/>
        <v>26.09686119675618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5.173250350247497E-2</v>
      </c>
      <c r="AD326" s="230">
        <f>(INDEX(Models!$BJ326:$BT326,,AH326)*(1-AF326)+INDEX(Models!$BJ326:$BT326,,AH326+1)*AF326-ERP_i)*AE326*Ramure*Pc/MaxiM</f>
        <v>1.1126420064068036E-4</v>
      </c>
      <c r="AE326" s="304">
        <f t="shared" si="117"/>
        <v>0.6</v>
      </c>
      <c r="AF326" s="177">
        <f t="shared" si="118"/>
        <v>0.99826895616836508</v>
      </c>
      <c r="AG326" s="799">
        <f t="shared" si="124"/>
        <v>0</v>
      </c>
      <c r="AH326" s="176">
        <f t="shared" si="119"/>
        <v>6</v>
      </c>
      <c r="AI326" s="224">
        <f t="shared" si="120"/>
        <v>0.99826895616836508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45239</v>
      </c>
      <c r="B327" s="409">
        <f>IF(t&gt;Tmaj,'2022'!Wh/'2022'!Env_an*'2023'!Env_an,0.001*'[13]mon-tableau (3)'!$B$243)</f>
        <v>10.920315057041332</v>
      </c>
      <c r="C327" s="829"/>
      <c r="D327" s="391">
        <f t="shared" si="102"/>
        <v>11.291264105601291</v>
      </c>
      <c r="E327" s="383">
        <f t="shared" si="125"/>
        <v>11.650281897107027</v>
      </c>
      <c r="F327" s="383">
        <f t="shared" si="103"/>
        <v>11.650350752728468</v>
      </c>
      <c r="G327" s="110">
        <f t="shared" si="126"/>
        <v>0.33403312569970395</v>
      </c>
      <c r="H327" s="412" t="b">
        <f>Wh_hp&gt;='2022'!Maxi_hp</f>
        <v>0</v>
      </c>
      <c r="I327" s="379">
        <f>IF(H327,Wh_hp,'2022'!Maxi_hp)</f>
        <v>26.22479613054475</v>
      </c>
      <c r="J327" s="85">
        <f>IF(H327,An,'2022'!An_max)</f>
        <v>2020</v>
      </c>
      <c r="K327" s="197">
        <f t="shared" si="104"/>
        <v>45239</v>
      </c>
      <c r="L327" s="147">
        <f>IF(t&lt;Tvie,1-EXP((T0-t)*PertePVj)+'2022'!Pspv,1-EXP((T0-t)*PertePVj)+Pspv)</f>
        <v>3.2852747494936496E-2</v>
      </c>
      <c r="M327" s="832"/>
      <c r="N327" s="832"/>
      <c r="O327" s="48">
        <f>IF(t&lt;Tnet,'2022'!Resal+('2022'!Salim-'2022'!Resal)*(1-EXP(('2022'!Tnet-t)/('2022'!Tau_j))),Resal+(Salim-Resal)*(1-EXP((Tnet-t)/(Tau_j))))*Salcycl</f>
        <v>3.0816232145840713E-2</v>
      </c>
      <c r="P327" s="338">
        <f>(INDEX(Models!$BJ327:$BT327,,T327)*(1-R327)+INDEX(Models!$BJ327:$BT327,,T327+1)*R327-ERP_i)*Q327*Ramure*Pc/MaxiM</f>
        <v>1.2142397240856271E-4</v>
      </c>
      <c r="Q327" s="304">
        <f t="shared" si="105"/>
        <v>0.6</v>
      </c>
      <c r="R327" s="177">
        <f t="shared" si="106"/>
        <v>0.99830949781683453</v>
      </c>
      <c r="S327" s="799">
        <f t="shared" si="107"/>
        <v>0</v>
      </c>
      <c r="T327" s="176">
        <f t="shared" si="108"/>
        <v>6</v>
      </c>
      <c r="U327" s="250">
        <f t="shared" si="109"/>
        <v>0.99830949781683453</v>
      </c>
      <c r="V327" s="382">
        <f t="shared" si="110"/>
        <v>32.688535245304053</v>
      </c>
      <c r="W327" s="400">
        <f t="shared" si="111"/>
        <v>10.920315057041332</v>
      </c>
      <c r="X327" s="157">
        <f t="shared" si="112"/>
        <v>45239</v>
      </c>
      <c r="Y327" s="383">
        <f t="shared" si="113"/>
        <v>10.684178011645066</v>
      </c>
      <c r="Z327" s="383">
        <f t="shared" si="114"/>
        <v>11.047105788670097</v>
      </c>
      <c r="AA327" s="384">
        <f t="shared" si="115"/>
        <v>11.650281897107027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5.1773520483372103E-2</v>
      </c>
      <c r="AD327" s="230">
        <f>(INDEX(Models!$BJ327:$BT327,,AH327)*(1-AF327)+INDEX(Models!$BJ327:$BT327,,AH327+1)*AF327-ERP_i)*AE327*Ramure*Pc/MaxiM</f>
        <v>1.2142397240856271E-4</v>
      </c>
      <c r="AE327" s="304">
        <f t="shared" si="117"/>
        <v>0.6</v>
      </c>
      <c r="AF327" s="177">
        <f t="shared" si="118"/>
        <v>0.99830949781683453</v>
      </c>
      <c r="AG327" s="799">
        <f t="shared" si="124"/>
        <v>0</v>
      </c>
      <c r="AH327" s="176">
        <f t="shared" si="119"/>
        <v>6</v>
      </c>
      <c r="AI327" s="224">
        <f t="shared" si="120"/>
        <v>0.99830949781683453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45240</v>
      </c>
      <c r="B328" s="409">
        <f>IF(t&gt;Tmaj,'2022'!Wh/'2022'!Env_an*'2023'!Env_an,0.001*'[13]mon-tableau (3)'!$B$244)</f>
        <v>20.484228001763551</v>
      </c>
      <c r="C328" s="829"/>
      <c r="D328" s="391">
        <f t="shared" si="102"/>
        <v>21.180456783375416</v>
      </c>
      <c r="E328" s="383">
        <f t="shared" si="125"/>
        <v>21.855700699327425</v>
      </c>
      <c r="F328" s="383">
        <f t="shared" si="103"/>
        <v>21.857082499613689</v>
      </c>
      <c r="G328" s="110">
        <f t="shared" si="126"/>
        <v>0.63216027497902494</v>
      </c>
      <c r="H328" s="412" t="b">
        <f>Wh_hp&gt;='2022'!Maxi_hp</f>
        <v>0</v>
      </c>
      <c r="I328" s="379">
        <f>IF(H328,Wh_hp,'2022'!Maxi_hp)</f>
        <v>21.857548277600785</v>
      </c>
      <c r="J328" s="85">
        <f>IF(H328,An,'2022'!An_max)</f>
        <v>2022</v>
      </c>
      <c r="K328" s="197">
        <f t="shared" si="104"/>
        <v>45240</v>
      </c>
      <c r="L328" s="147">
        <f>IF(t&lt;Tvie,1-EXP((T0-t)*PertePVj)+'2022'!Pspv,1-EXP((T0-t)*PertePVj)+Pspv)</f>
        <v>3.2871282651389055E-2</v>
      </c>
      <c r="M328" s="832"/>
      <c r="N328" s="832"/>
      <c r="O328" s="48">
        <f>IF(t&lt;Tnet,'2022'!Resal+('2022'!Salim-'2022'!Resal)*(1-EXP(('2022'!Tnet-t)/('2022'!Tau_j))),Resal+(Salim-Resal)*(1-EXP((Tnet-t)/(Tau_j))))*Salcycl</f>
        <v>3.0895551016252219E-2</v>
      </c>
      <c r="P328" s="338">
        <f>(INDEX(Models!$BJ328:$BT328,,T328)*(1-R328)+INDEX(Models!$BJ328:$BT328,,T328+1)*R328-ERP_i)*Q328*Ramure*Pc/MaxiM</f>
        <v>1.3321268431590295E-4</v>
      </c>
      <c r="Q328" s="304">
        <f t="shared" si="105"/>
        <v>0.6</v>
      </c>
      <c r="R328" s="177">
        <f t="shared" si="106"/>
        <v>0.99834841332586977</v>
      </c>
      <c r="S328" s="799">
        <f t="shared" si="107"/>
        <v>0</v>
      </c>
      <c r="T328" s="176">
        <f t="shared" si="108"/>
        <v>6</v>
      </c>
      <c r="U328" s="250">
        <f t="shared" si="109"/>
        <v>0.99834841332586977</v>
      </c>
      <c r="V328" s="382">
        <f t="shared" si="110"/>
        <v>32.401267481578813</v>
      </c>
      <c r="W328" s="400">
        <f t="shared" si="111"/>
        <v>20.484228001763551</v>
      </c>
      <c r="X328" s="157">
        <f t="shared" si="112"/>
        <v>45240</v>
      </c>
      <c r="Y328" s="383">
        <f t="shared" si="113"/>
        <v>20.042053128600948</v>
      </c>
      <c r="Z328" s="383">
        <f t="shared" si="114"/>
        <v>20.723253036624076</v>
      </c>
      <c r="AA328" s="384">
        <f t="shared" si="115"/>
        <v>21.855700699327425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5.1814749766325156E-2</v>
      </c>
      <c r="AD328" s="230">
        <f>(INDEX(Models!$BJ328:$BT328,,AH328)*(1-AF328)+INDEX(Models!$BJ328:$BT328,,AH328+1)*AF328-ERP_i)*AE328*Ramure*Pc/MaxiM</f>
        <v>1.3321268431590295E-4</v>
      </c>
      <c r="AE328" s="304">
        <f t="shared" si="117"/>
        <v>0.6</v>
      </c>
      <c r="AF328" s="177">
        <f t="shared" si="118"/>
        <v>0.99834841332586977</v>
      </c>
      <c r="AG328" s="799">
        <f t="shared" si="124"/>
        <v>0</v>
      </c>
      <c r="AH328" s="176">
        <f t="shared" si="119"/>
        <v>6</v>
      </c>
      <c r="AI328" s="224">
        <f t="shared" si="120"/>
        <v>0.99834841332586977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45241</v>
      </c>
      <c r="B329" s="409">
        <f>IF(t&gt;Tmaj,'2022'!Wh/'2022'!Env_an*'2023'!Env_an,0.001*'[13]mon-tableau (3)'!$B$245)</f>
        <v>32.317273966329083</v>
      </c>
      <c r="C329" s="829"/>
      <c r="D329" s="391">
        <f t="shared" si="102"/>
        <v>33.416330992612416</v>
      </c>
      <c r="E329" s="383">
        <f t="shared" si="125"/>
        <v>34.48448414832685</v>
      </c>
      <c r="F329" s="383">
        <f t="shared" si="103"/>
        <v>34.489541172073217</v>
      </c>
      <c r="G329" s="110">
        <f t="shared" si="126"/>
        <v>1.0062092732884729</v>
      </c>
      <c r="H329" s="412" t="b">
        <f>Wh_hp&gt;='2022'!Maxi_hp</f>
        <v>1</v>
      </c>
      <c r="I329" s="379">
        <f>IF(H329,Wh_hp,'2022'!Maxi_hp)</f>
        <v>34.489541172073217</v>
      </c>
      <c r="J329" s="85">
        <f>IF(H329,An,'2022'!An_max)</f>
        <v>2023</v>
      </c>
      <c r="K329" s="197">
        <f t="shared" si="104"/>
        <v>45241</v>
      </c>
      <c r="L329" s="147">
        <f>IF(t&lt;Tvie,1-EXP((T0-t)*PertePVj)+'2022'!Pspv,1-EXP((T0-t)*PertePVj)+Pspv)</f>
        <v>3.2889817452619541E-2</v>
      </c>
      <c r="M329" s="832"/>
      <c r="N329" s="832"/>
      <c r="O329" s="48">
        <f>IF(t&lt;Tnet,'2022'!Resal+('2022'!Salim-'2022'!Resal)*(1-EXP(('2022'!Tnet-t)/('2022'!Tau_j))),Resal+(Salim-Resal)*(1-EXP((Tnet-t)/(Tau_j))))*Salcycl</f>
        <v>3.0974891522808468E-2</v>
      </c>
      <c r="P329" s="338">
        <f>(INDEX(Models!$BJ329:$BT329,,T329)*(1-R329)+INDEX(Models!$BJ329:$BT329,,T329+1)*R329-ERP_i)*Q329*Ramure*Pc/MaxiM</f>
        <v>1.4662484841823764E-4</v>
      </c>
      <c r="Q329" s="304">
        <f t="shared" si="105"/>
        <v>0.6</v>
      </c>
      <c r="R329" s="177">
        <f t="shared" si="106"/>
        <v>0.99838576768186682</v>
      </c>
      <c r="S329" s="799">
        <f t="shared" si="107"/>
        <v>0</v>
      </c>
      <c r="T329" s="176">
        <f t="shared" si="108"/>
        <v>6</v>
      </c>
      <c r="U329" s="250">
        <f t="shared" si="109"/>
        <v>0.99838576768186682</v>
      </c>
      <c r="V329" s="382">
        <f t="shared" si="110"/>
        <v>32.117845486267896</v>
      </c>
      <c r="W329" s="400">
        <f t="shared" si="111"/>
        <v>32.317273966329083</v>
      </c>
      <c r="X329" s="157">
        <f t="shared" si="112"/>
        <v>45241</v>
      </c>
      <c r="Y329" s="383">
        <f t="shared" si="113"/>
        <v>31.620874702773559</v>
      </c>
      <c r="Z329" s="383">
        <f t="shared" si="114"/>
        <v>32.696248342131788</v>
      </c>
      <c r="AA329" s="384">
        <f t="shared" si="115"/>
        <v>34.48448414832685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5.1856243477599512E-2</v>
      </c>
      <c r="AD329" s="230">
        <f>(INDEX(Models!$BJ329:$BT329,,AH329)*(1-AF329)+INDEX(Models!$BJ329:$BT329,,AH329+1)*AF329-ERP_i)*AE329*Ramure*Pc/MaxiM</f>
        <v>1.4662484841823764E-4</v>
      </c>
      <c r="AE329" s="304">
        <f t="shared" si="117"/>
        <v>0.6</v>
      </c>
      <c r="AF329" s="177">
        <f t="shared" si="118"/>
        <v>0.99838576768186682</v>
      </c>
      <c r="AG329" s="799">
        <f t="shared" si="124"/>
        <v>0</v>
      </c>
      <c r="AH329" s="176">
        <f t="shared" si="119"/>
        <v>6</v>
      </c>
      <c r="AI329" s="224">
        <f t="shared" si="120"/>
        <v>0.99838576768186682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45242</v>
      </c>
      <c r="B330" s="409">
        <f>IF(t&gt;Tmaj,'2022'!Wh/'2022'!Env_an*'2023'!Env_an,0.001*'[13]mon-tableau (3)'!$B$246)</f>
        <v>31.561055745248467</v>
      </c>
      <c r="C330" s="829"/>
      <c r="D330" s="391">
        <f t="shared" si="102"/>
        <v>32.635020483539954</v>
      </c>
      <c r="E330" s="383">
        <f t="shared" si="125"/>
        <v>33.680958595690811</v>
      </c>
      <c r="F330" s="383">
        <f t="shared" si="103"/>
        <v>33.686336381362494</v>
      </c>
      <c r="G330" s="110">
        <f t="shared" si="126"/>
        <v>0.9912848195817362</v>
      </c>
      <c r="H330" s="412" t="b">
        <f>Wh_hp&gt;='2022'!Maxi_hp</f>
        <v>0</v>
      </c>
      <c r="I330" s="379">
        <f>IF(H330,Wh_hp,'2022'!Maxi_hp)</f>
        <v>33.686357160072951</v>
      </c>
      <c r="J330" s="85">
        <f>IF(H330,An,'2022'!An_max)</f>
        <v>2022</v>
      </c>
      <c r="K330" s="197">
        <f t="shared" si="104"/>
        <v>45242</v>
      </c>
      <c r="L330" s="147">
        <f>IF(t&lt;Tvie,1-EXP((T0-t)*PertePVj)+'2022'!Pspv,1-EXP((T0-t)*PertePVj)+Pspv)</f>
        <v>3.2908351898634725E-2</v>
      </c>
      <c r="M330" s="832"/>
      <c r="N330" s="832"/>
      <c r="O330" s="48">
        <f>IF(t&lt;Tnet,'2022'!Resal+('2022'!Salim-'2022'!Resal)*(1-EXP(('2022'!Tnet-t)/('2022'!Tau_j))),Resal+(Salim-Resal)*(1-EXP((Tnet-t)/(Tau_j))))*Salcycl</f>
        <v>3.105428573771879E-2</v>
      </c>
      <c r="P330" s="338">
        <f>(INDEX(Models!$BJ330:$BT330,,T330)*(1-R330)+INDEX(Models!$BJ330:$BT330,,T330+1)*R330-ERP_i)*Q330*Ramure*Pc/MaxiM</f>
        <v>1.6165512410052147E-4</v>
      </c>
      <c r="Q330" s="304">
        <f t="shared" si="105"/>
        <v>0.6</v>
      </c>
      <c r="R330" s="177">
        <f t="shared" si="106"/>
        <v>0.99842162329293016</v>
      </c>
      <c r="S330" s="799">
        <f t="shared" si="107"/>
        <v>0</v>
      </c>
      <c r="T330" s="176">
        <f t="shared" si="108"/>
        <v>6</v>
      </c>
      <c r="U330" s="250">
        <f t="shared" si="109"/>
        <v>0.99842162329293016</v>
      </c>
      <c r="V330" s="382">
        <f t="shared" si="110"/>
        <v>31.838470240744119</v>
      </c>
      <c r="W330" s="400">
        <f t="shared" si="111"/>
        <v>31.561055745248467</v>
      </c>
      <c r="X330" s="157">
        <f t="shared" si="112"/>
        <v>45242</v>
      </c>
      <c r="Y330" s="383">
        <f t="shared" si="113"/>
        <v>30.882120615147713</v>
      </c>
      <c r="Z330" s="383">
        <f t="shared" si="114"/>
        <v>31.932982438403624</v>
      </c>
      <c r="AA330" s="384">
        <f t="shared" si="115"/>
        <v>33.680958595690811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5.1898052495181181E-2</v>
      </c>
      <c r="AD330" s="230">
        <f>(INDEX(Models!$BJ330:$BT330,,AH330)*(1-AF330)+INDEX(Models!$BJ330:$BT330,,AH330+1)*AF330-ERP_i)*AE330*Ramure*Pc/MaxiM</f>
        <v>1.6165512410052147E-4</v>
      </c>
      <c r="AE330" s="304">
        <f t="shared" si="117"/>
        <v>0.6</v>
      </c>
      <c r="AF330" s="177">
        <f t="shared" si="118"/>
        <v>0.99842162329293016</v>
      </c>
      <c r="AG330" s="799">
        <f t="shared" si="124"/>
        <v>0</v>
      </c>
      <c r="AH330" s="176">
        <f t="shared" si="119"/>
        <v>6</v>
      </c>
      <c r="AI330" s="224">
        <f t="shared" si="120"/>
        <v>0.99842162329293016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45243</v>
      </c>
      <c r="B331" s="409">
        <f>IF(t&gt;Tmaj,'2022'!Wh/'2022'!Env_an*'2023'!Env_an,0.001*'[13]mon-tableau (3)'!$B$247)</f>
        <v>30.561349275784981</v>
      </c>
      <c r="C331" s="829"/>
      <c r="D331" s="391">
        <f t="shared" si="102"/>
        <v>31.601901482964102</v>
      </c>
      <c r="E331" s="383">
        <f t="shared" si="125"/>
        <v>32.61740407784059</v>
      </c>
      <c r="F331" s="383">
        <f t="shared" si="103"/>
        <v>32.622957977138825</v>
      </c>
      <c r="G331" s="110">
        <f t="shared" si="126"/>
        <v>0.96832255084995456</v>
      </c>
      <c r="H331" s="412" t="b">
        <f>Wh_hp&gt;='2022'!Maxi_hp</f>
        <v>0</v>
      </c>
      <c r="I331" s="379">
        <f>IF(H331,Wh_hp,'2022'!Maxi_hp)</f>
        <v>32.623038757538794</v>
      </c>
      <c r="J331" s="85">
        <f>IF(H331,An,'2022'!An_max)</f>
        <v>2022</v>
      </c>
      <c r="K331" s="197">
        <f t="shared" si="104"/>
        <v>45243</v>
      </c>
      <c r="L331" s="147">
        <f>IF(t&lt;Tvie,1-EXP((T0-t)*PertePVj)+'2022'!Pspv,1-EXP((T0-t)*PertePVj)+Pspv)</f>
        <v>3.292688598944149E-2</v>
      </c>
      <c r="M331" s="832"/>
      <c r="N331" s="832"/>
      <c r="O331" s="48">
        <f>IF(t&lt;Tnet,'2022'!Resal+('2022'!Salim-'2022'!Resal)*(1-EXP(('2022'!Tnet-t)/('2022'!Tau_j))),Resal+(Salim-Resal)*(1-EXP((Tnet-t)/(Tau_j))))*Salcycl</f>
        <v>3.113376504313509E-2</v>
      </c>
      <c r="P331" s="338">
        <f>(INDEX(Models!$BJ331:$BT331,,T331)*(1-R331)+INDEX(Models!$BJ331:$BT331,,T331+1)*R331-ERP_i)*Q331*Ramure*Pc/MaxiM</f>
        <v>1.7831238611550122E-4</v>
      </c>
      <c r="Q331" s="304">
        <f t="shared" si="105"/>
        <v>0.6</v>
      </c>
      <c r="R331" s="177">
        <f t="shared" si="106"/>
        <v>0.99845604008968081</v>
      </c>
      <c r="S331" s="799">
        <f t="shared" si="107"/>
        <v>0</v>
      </c>
      <c r="T331" s="176">
        <f t="shared" si="108"/>
        <v>6</v>
      </c>
      <c r="U331" s="250">
        <f t="shared" si="109"/>
        <v>0.99845604008968081</v>
      </c>
      <c r="V331" s="382">
        <f t="shared" si="110"/>
        <v>31.560870559454099</v>
      </c>
      <c r="W331" s="400">
        <f t="shared" si="111"/>
        <v>30.561349275784981</v>
      </c>
      <c r="X331" s="157">
        <f t="shared" si="112"/>
        <v>45243</v>
      </c>
      <c r="Y331" s="383">
        <f t="shared" si="113"/>
        <v>29.905042446148556</v>
      </c>
      <c r="Z331" s="383">
        <f t="shared" si="114"/>
        <v>30.923248731555631</v>
      </c>
      <c r="AA331" s="384">
        <f t="shared" si="115"/>
        <v>32.61740407784059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5.194022621303343E-2</v>
      </c>
      <c r="AD331" s="230">
        <f>(INDEX(Models!$BJ331:$BT331,,AH331)*(1-AF331)+INDEX(Models!$BJ331:$BT331,,AH331+1)*AF331-ERP_i)*AE331*Ramure*Pc/MaxiM</f>
        <v>1.7831238611550122E-4</v>
      </c>
      <c r="AE331" s="304">
        <f t="shared" si="117"/>
        <v>0.6</v>
      </c>
      <c r="AF331" s="177">
        <f t="shared" si="118"/>
        <v>0.99845604008968081</v>
      </c>
      <c r="AG331" s="799">
        <f t="shared" si="124"/>
        <v>0</v>
      </c>
      <c r="AH331" s="176">
        <f t="shared" si="119"/>
        <v>6</v>
      </c>
      <c r="AI331" s="224">
        <f t="shared" si="120"/>
        <v>0.99845604008968081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45244</v>
      </c>
      <c r="B332" s="409">
        <f>IF(t&gt;Tmaj,'2022'!Wh/'2022'!Env_an*'2023'!Env_an,0.001*'[13]mon-tableau (3)'!$B$248)</f>
        <v>11.575243672870581</v>
      </c>
      <c r="C332" s="829"/>
      <c r="D332" s="391">
        <f t="shared" si="102"/>
        <v>11.969586731681167</v>
      </c>
      <c r="E332" s="383">
        <f t="shared" si="125"/>
        <v>12.355235133601887</v>
      </c>
      <c r="F332" s="383">
        <f t="shared" si="103"/>
        <v>12.355479606434503</v>
      </c>
      <c r="G332" s="110">
        <f t="shared" si="126"/>
        <v>0.36994871000794549</v>
      </c>
      <c r="H332" s="412" t="b">
        <f>Wh_hp&gt;='2022'!Maxi_hp</f>
        <v>0</v>
      </c>
      <c r="I332" s="379">
        <f>IF(H332,Wh_hp,'2022'!Maxi_hp)</f>
        <v>19.58493615154913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3.2945419725046721E-2</v>
      </c>
      <c r="M332" s="832"/>
      <c r="N332" s="832"/>
      <c r="O332" s="48">
        <f>IF(t&lt;Tnet,'2022'!Resal+('2022'!Salim-'2022'!Resal)*(1-EXP(('2022'!Tnet-t)/('2022'!Tau_j))),Resal+(Salim-Resal)*(1-EXP((Tnet-t)/(Tau_j))))*Salcycl</f>
        <v>3.1213359984699367E-2</v>
      </c>
      <c r="P332" s="338">
        <f>(INDEX(Models!$BJ332:$BT332,,T332)*(1-R332)+INDEX(Models!$BJ332:$BT332,,T332+1)*R332-ERP_i)*Q332*Ramure*Pc/MaxiM</f>
        <v>1.978246922496066E-4</v>
      </c>
      <c r="Q332" s="304">
        <f t="shared" si="105"/>
        <v>0.6</v>
      </c>
      <c r="R332" s="177">
        <f t="shared" si="106"/>
        <v>0.99848907562224243</v>
      </c>
      <c r="S332" s="799">
        <f t="shared" si="107"/>
        <v>0</v>
      </c>
      <c r="T332" s="176">
        <f t="shared" si="108"/>
        <v>6</v>
      </c>
      <c r="U332" s="250">
        <f t="shared" si="109"/>
        <v>0.99848907562224243</v>
      </c>
      <c r="V332" s="382">
        <f t="shared" si="110"/>
        <v>31.283208954694405</v>
      </c>
      <c r="W332" s="400">
        <f t="shared" si="111"/>
        <v>11.575243672870581</v>
      </c>
      <c r="X332" s="157">
        <f t="shared" si="112"/>
        <v>45244</v>
      </c>
      <c r="Y332" s="383">
        <f t="shared" si="113"/>
        <v>11.327086378243541</v>
      </c>
      <c r="Z332" s="383">
        <f t="shared" si="114"/>
        <v>11.712975264563681</v>
      </c>
      <c r="AA332" s="384">
        <f t="shared" si="115"/>
        <v>12.355235133601887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5.1982812313420487E-2</v>
      </c>
      <c r="AD332" s="230">
        <f>(INDEX(Models!$BJ332:$BT332,,AH332)*(1-AF332)+INDEX(Models!$BJ332:$BT332,,AH332+1)*AF332-ERP_i)*AE332*Ramure*Pc/MaxiM</f>
        <v>1.978246922496066E-4</v>
      </c>
      <c r="AE332" s="304">
        <f t="shared" si="117"/>
        <v>0.6</v>
      </c>
      <c r="AF332" s="177">
        <f t="shared" si="118"/>
        <v>0.99848907562224243</v>
      </c>
      <c r="AG332" s="799">
        <f t="shared" si="124"/>
        <v>0</v>
      </c>
      <c r="AH332" s="176">
        <f t="shared" si="119"/>
        <v>6</v>
      </c>
      <c r="AI332" s="224">
        <f t="shared" si="120"/>
        <v>0.99848907562224243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45245</v>
      </c>
      <c r="B333" s="409">
        <f>IF(t&gt;Tmaj,'2022'!Wh/'2022'!Env_an*'2023'!Env_an,0.001*'[13]mon-tableau (3)'!$B$249)</f>
        <v>13.280388862461679</v>
      </c>
      <c r="C333" s="829"/>
      <c r="D333" s="391">
        <f t="shared" si="102"/>
        <v>13.73308565395177</v>
      </c>
      <c r="E333" s="383">
        <f t="shared" si="125"/>
        <v>14.176719145687395</v>
      </c>
      <c r="F333" s="383">
        <f t="shared" si="103"/>
        <v>14.1772901881624</v>
      </c>
      <c r="G333" s="110">
        <f t="shared" si="126"/>
        <v>0.4282342265554735</v>
      </c>
      <c r="H333" s="412" t="b">
        <f>Wh_hp&gt;='2022'!Maxi_hp</f>
        <v>0</v>
      </c>
      <c r="I333" s="379">
        <f>IF(H333,Wh_hp,'2022'!Maxi_hp)</f>
        <v>27.924813714733766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3.2963953105457078E-2</v>
      </c>
      <c r="M333" s="832"/>
      <c r="N333" s="832"/>
      <c r="O333" s="48">
        <f>IF(t&lt;Tnet,'2022'!Resal+('2022'!Salim-'2022'!Resal)*(1-EXP(('2022'!Tnet-t)/('2022'!Tau_j))),Resal+(Salim-Resal)*(1-EXP((Tnet-t)/(Tau_j))))*Salcycl</f>
        <v>3.1293100129629006E-2</v>
      </c>
      <c r="P333" s="338">
        <f>(INDEX(Models!$BJ333:$BT333,,T333)*(1-R333)+INDEX(Models!$BJ333:$BT333,,T333+1)*R333-ERP_i)*Q333*Ramure*Pc/MaxiM</f>
        <v>2.1973994587748169E-4</v>
      </c>
      <c r="Q333" s="304">
        <f t="shared" si="105"/>
        <v>0.6</v>
      </c>
      <c r="R333" s="177">
        <f t="shared" si="106"/>
        <v>0.99852078515353759</v>
      </c>
      <c r="S333" s="799">
        <f t="shared" si="107"/>
        <v>0</v>
      </c>
      <c r="T333" s="176">
        <f t="shared" si="108"/>
        <v>6</v>
      </c>
      <c r="U333" s="250">
        <f t="shared" si="109"/>
        <v>0.99852078515353759</v>
      </c>
      <c r="V333" s="382">
        <f t="shared" si="110"/>
        <v>31.006408707241462</v>
      </c>
      <c r="W333" s="400">
        <f t="shared" si="111"/>
        <v>13.280388862461679</v>
      </c>
      <c r="X333" s="157">
        <f t="shared" si="112"/>
        <v>45245</v>
      </c>
      <c r="Y333" s="383">
        <f t="shared" si="113"/>
        <v>12.996155243937961</v>
      </c>
      <c r="Z333" s="383">
        <f t="shared" si="114"/>
        <v>13.439163189079359</v>
      </c>
      <c r="AA333" s="384">
        <f t="shared" si="115"/>
        <v>14.176719145687395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5.2025856548932388E-2</v>
      </c>
      <c r="AD333" s="230">
        <f>(INDEX(Models!$BJ333:$BT333,,AH333)*(1-AF333)+INDEX(Models!$BJ333:$BT333,,AH333+1)*AF333-ERP_i)*AE333*Ramure*Pc/MaxiM</f>
        <v>2.1973994587748169E-4</v>
      </c>
      <c r="AE333" s="304">
        <f t="shared" si="117"/>
        <v>0.6</v>
      </c>
      <c r="AF333" s="177">
        <f t="shared" si="118"/>
        <v>0.99852078515353759</v>
      </c>
      <c r="AG333" s="799">
        <f t="shared" si="124"/>
        <v>0</v>
      </c>
      <c r="AH333" s="176">
        <f t="shared" si="119"/>
        <v>6</v>
      </c>
      <c r="AI333" s="224">
        <f t="shared" si="120"/>
        <v>0.99852078515353759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45246</v>
      </c>
      <c r="B334" s="409">
        <f>IF(t&gt;Tmaj,'2022'!Wh/'2022'!Env_an*'2023'!Env_an,0.001*'[13]mon-tableau (3)'!$B$250)</f>
        <v>31.127189596097036</v>
      </c>
      <c r="C334" s="829"/>
      <c r="D334" s="391">
        <f t="shared" si="102"/>
        <v>32.188858164055404</v>
      </c>
      <c r="E334" s="383">
        <f t="shared" si="125"/>
        <v>33.231428224674225</v>
      </c>
      <c r="F334" s="383">
        <f t="shared" si="103"/>
        <v>33.23954058727778</v>
      </c>
      <c r="G334" s="110">
        <f t="shared" si="126"/>
        <v>1.0128797109208914</v>
      </c>
      <c r="H334" s="412" t="b">
        <f>Wh_hp&gt;='2022'!Maxi_hp</f>
        <v>1</v>
      </c>
      <c r="I334" s="379">
        <f>IF(H334,Wh_hp,'2022'!Maxi_hp)</f>
        <v>33.23954058727778</v>
      </c>
      <c r="J334" s="85">
        <f>IF(H334,An,'2022'!An_max)</f>
        <v>2023</v>
      </c>
      <c r="K334" s="197">
        <f t="shared" si="104"/>
        <v>45246</v>
      </c>
      <c r="L334" s="147">
        <f>IF(t&lt;Tvie,1-EXP((T0-t)*PertePVj)+'2022'!Pspv,1-EXP((T0-t)*PertePVj)+Pspv)</f>
        <v>3.2982486130679445E-2</v>
      </c>
      <c r="M334" s="832"/>
      <c r="N334" s="832"/>
      <c r="O334" s="48">
        <f>IF(t&lt;Tnet,'2022'!Resal+('2022'!Salim-'2022'!Resal)*(1-EXP(('2022'!Tnet-t)/('2022'!Tau_j))),Resal+(Salim-Resal)*(1-EXP((Tnet-t)/(Tau_j))))*Salcycl</f>
        <v>3.1373013930370772E-2</v>
      </c>
      <c r="P334" s="338">
        <f>(INDEX(Models!$BJ334:$BT334,,T334)*(1-R334)+INDEX(Models!$BJ334:$BT334,,T334+1)*R334-ERP_i)*Q334*Ramure*Pc/MaxiM</f>
        <v>2.4405760309042523E-4</v>
      </c>
      <c r="Q334" s="304">
        <f t="shared" si="105"/>
        <v>0.6</v>
      </c>
      <c r="R334" s="177">
        <f t="shared" si="106"/>
        <v>0.99855122174902711</v>
      </c>
      <c r="S334" s="799">
        <f t="shared" si="107"/>
        <v>0</v>
      </c>
      <c r="T334" s="176">
        <f t="shared" si="108"/>
        <v>6</v>
      </c>
      <c r="U334" s="250">
        <f t="shared" si="109"/>
        <v>0.99855122174902711</v>
      </c>
      <c r="V334" s="382">
        <f t="shared" si="110"/>
        <v>30.731378327044162</v>
      </c>
      <c r="W334" s="400">
        <f t="shared" si="111"/>
        <v>31.127189596097036</v>
      </c>
      <c r="X334" s="157">
        <f t="shared" si="112"/>
        <v>45246</v>
      </c>
      <c r="Y334" s="383">
        <f t="shared" si="113"/>
        <v>30.462103426353849</v>
      </c>
      <c r="Z334" s="383">
        <f t="shared" si="114"/>
        <v>31.501087611604927</v>
      </c>
      <c r="AA334" s="384">
        <f t="shared" si="115"/>
        <v>33.231428224674225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5.2069402535775626E-2</v>
      </c>
      <c r="AD334" s="230">
        <f>(INDEX(Models!$BJ334:$BT334,,AH334)*(1-AF334)+INDEX(Models!$BJ334:$BT334,,AH334+1)*AF334-ERP_i)*AE334*Ramure*Pc/MaxiM</f>
        <v>2.4405760309042523E-4</v>
      </c>
      <c r="AE334" s="304">
        <f t="shared" si="117"/>
        <v>0.6</v>
      </c>
      <c r="AF334" s="177">
        <f t="shared" si="118"/>
        <v>0.99855122174902711</v>
      </c>
      <c r="AG334" s="799">
        <f t="shared" si="124"/>
        <v>0</v>
      </c>
      <c r="AH334" s="176">
        <f t="shared" si="119"/>
        <v>6</v>
      </c>
      <c r="AI334" s="224">
        <f t="shared" si="120"/>
        <v>0.99855122174902711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45247</v>
      </c>
      <c r="B335" s="409">
        <f>IF(t&gt;Tmaj,'2022'!Wh/'2022'!Env_an*'2023'!Env_an,0.001*'[13]mon-tableau (3)'!$B$251)</f>
        <v>13.992220498923334</v>
      </c>
      <c r="C335" s="829"/>
      <c r="D335" s="391">
        <f t="shared" ref="D335:D379" si="127">Wh/(1-Ppv)</f>
        <v>14.469736546743905</v>
      </c>
      <c r="E335" s="383">
        <f t="shared" si="125"/>
        <v>14.939634801309071</v>
      </c>
      <c r="F335" s="383">
        <f t="shared" ref="F335:F379" si="128">Wh_sa/(1-Pvg*MEDIAN((-Sdif+Wh/Env_an)/Csdif,0,1))</f>
        <v>14.940555909124422</v>
      </c>
      <c r="G335" s="110">
        <f t="shared" si="126"/>
        <v>0.4592823888865315</v>
      </c>
      <c r="H335" s="412" t="b">
        <f>Wh_hp&gt;='2022'!Maxi_hp</f>
        <v>0</v>
      </c>
      <c r="I335" s="379">
        <f>IF(H335,Wh_hp,'2022'!Maxi_hp)</f>
        <v>24.838157791635798</v>
      </c>
      <c r="J335" s="85">
        <f>IF(H335,An,'2022'!An_max)</f>
        <v>2020</v>
      </c>
      <c r="K335" s="197">
        <f t="shared" ref="K335:K379" si="129">t</f>
        <v>45247</v>
      </c>
      <c r="L335" s="147">
        <f>IF(t&lt;Tvie,1-EXP((T0-t)*PertePVj)+'2022'!Pspv,1-EXP((T0-t)*PertePVj)+Pspv)</f>
        <v>3.3001018800720594E-2</v>
      </c>
      <c r="M335" s="832"/>
      <c r="N335" s="832"/>
      <c r="O335" s="48">
        <f>IF(t&lt;Tnet,'2022'!Resal+('2022'!Salim-'2022'!Resal)*(1-EXP(('2022'!Tnet-t)/('2022'!Tau_j))),Resal+(Salim-Resal)*(1-EXP((Tnet-t)/(Tau_j))))*Salcycl</f>
        <v>3.1453128594816158E-2</v>
      </c>
      <c r="P335" s="338">
        <f>(INDEX(Models!$BJ335:$BT335,,T335)*(1-R335)+INDEX(Models!$BJ335:$BT335,,T335+1)*R335-ERP_i)*Q335*Ramure*Pc/MaxiM</f>
        <v>2.70777214808604E-4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0.99858043636302141</v>
      </c>
      <c r="S335" s="799">
        <f t="shared" ref="S335:S379" si="132">INDEX(Echel_vg,T335)</f>
        <v>0</v>
      </c>
      <c r="T335" s="176">
        <f t="shared" ref="T335:T379" si="133">MIN(MATCH(Hp_vg,Echel_vg),10)</f>
        <v>6</v>
      </c>
      <c r="U335" s="250">
        <f t="shared" ref="U335:U379" si="134">IF(OR(t&lt;Ttai,Notai),Hdd+PousH*Croivg,Hdtf+PousH*(Croivg-Croi_tai))</f>
        <v>0.99858043636302141</v>
      </c>
      <c r="V335" s="382">
        <f t="shared" ref="V335:V379" si="135">MaxiM*(1-Ppv)*(1-Pvg)*(1-Psa)</f>
        <v>30.459025915270917</v>
      </c>
      <c r="W335" s="400">
        <f t="shared" ref="W335:W379" si="136">Wh*(A335&gt;Tmaj)</f>
        <v>13.992220498923334</v>
      </c>
      <c r="X335" s="157">
        <f t="shared" ref="X335:X379" si="137">t</f>
        <v>45247</v>
      </c>
      <c r="Y335" s="383">
        <f t="shared" ref="Y335:Y379" si="138">Wh_pvt_s*(1-Ppv)</f>
        <v>13.693748258984559</v>
      </c>
      <c r="Z335" s="383">
        <f t="shared" ref="Z335:Z379" si="139">Wh_sa_s*(1-Psa_s)</f>
        <v>14.16107826918439</v>
      </c>
      <c r="AA335" s="384">
        <f t="shared" ref="AA335:AA379" si="140">Wh_hp*(1-Pvg_s*MEDIAN((-Sdif+Wh/Env_an)/Csdif,0,1))</f>
        <v>14.939634801309071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5.2113491559811001E-2</v>
      </c>
      <c r="AD335" s="230">
        <f>(INDEX(Models!$BJ335:$BT335,,AH335)*(1-AF335)+INDEX(Models!$BJ335:$BT335,,AH335+1)*AF335-ERP_i)*AE335*Ramure*Pc/MaxiM</f>
        <v>2.70777214808604E-4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0.99858043636302141</v>
      </c>
      <c r="AG335" s="799">
        <f t="shared" si="124"/>
        <v>0</v>
      </c>
      <c r="AH335" s="176">
        <f t="shared" ref="AH335:AH379" si="144">MIN(MATCH(Hp_vg_s,Echel_vg),10)</f>
        <v>6</v>
      </c>
      <c r="AI335" s="224">
        <f t="shared" ref="AI335:AI379" si="145">IF(OR(t&lt;Ttai,Notai),Hdd_s+PousH*Croivg,Hdtai_s+PousH*(Croivg-Croi_tai))</f>
        <v>0.99858043636302141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45248</v>
      </c>
      <c r="B336" s="409">
        <f>IF(t&gt;Tmaj,'2022'!Wh/'2022'!Env_an*'2023'!Env_an,0.001*'[13]mon-tableau (3)'!$B$252)</f>
        <v>17.839119002208996</v>
      </c>
      <c r="C336" s="829"/>
      <c r="D336" s="391">
        <f t="shared" si="127"/>
        <v>18.448272685129936</v>
      </c>
      <c r="E336" s="383">
        <f t="shared" si="125"/>
        <v>19.048952248710776</v>
      </c>
      <c r="F336" s="383">
        <f t="shared" si="128"/>
        <v>19.051326513825554</v>
      </c>
      <c r="G336" s="110">
        <f t="shared" si="126"/>
        <v>0.59078631307916885</v>
      </c>
      <c r="H336" s="412" t="b">
        <f>Wh_hp&gt;='2022'!Maxi_hp</f>
        <v>0</v>
      </c>
      <c r="I336" s="379">
        <f>IF(H336,Wh_hp,'2022'!Maxi_hp)</f>
        <v>29.745287536442678</v>
      </c>
      <c r="J336" s="85">
        <f>IF(H336,An,'2022'!An_max)</f>
        <v>2020</v>
      </c>
      <c r="K336" s="197">
        <f t="shared" si="129"/>
        <v>45248</v>
      </c>
      <c r="L336" s="147">
        <f>IF(t&lt;Tvie,1-EXP((T0-t)*PertePVj)+'2022'!Pspv,1-EXP((T0-t)*PertePVj)+Pspv)</f>
        <v>3.3019551115587298E-2</v>
      </c>
      <c r="M336" s="832"/>
      <c r="N336" s="832"/>
      <c r="O336" s="48">
        <f>IF(t&lt;Tnet,'2022'!Resal+('2022'!Salim-'2022'!Resal)*(1-EXP(('2022'!Tnet-t)/('2022'!Tau_j))),Resal+(Salim-Resal)*(1-EXP((Tnet-t)/(Tau_j))))*Salcycl</f>
        <v>3.1533469964023661E-2</v>
      </c>
      <c r="P336" s="338">
        <f>(INDEX(Models!$BJ336:$BT336,,T336)*(1-R336)+INDEX(Models!$BJ336:$BT336,,T336+1)*R336-ERP_i)*Q336*Ramure*Pc/MaxiM</f>
        <v>2.9989788227578317E-4</v>
      </c>
      <c r="Q336" s="304">
        <f t="shared" si="130"/>
        <v>0.6</v>
      </c>
      <c r="R336" s="177">
        <f t="shared" si="131"/>
        <v>0.99860847792168483</v>
      </c>
      <c r="S336" s="799">
        <f t="shared" si="132"/>
        <v>0</v>
      </c>
      <c r="T336" s="176">
        <f t="shared" si="133"/>
        <v>6</v>
      </c>
      <c r="U336" s="250">
        <f t="shared" si="134"/>
        <v>0.99860847792168483</v>
      </c>
      <c r="V336" s="382">
        <f t="shared" si="135"/>
        <v>30.190259147485769</v>
      </c>
      <c r="W336" s="400">
        <f t="shared" si="136"/>
        <v>17.839119002208996</v>
      </c>
      <c r="X336" s="157">
        <f t="shared" si="137"/>
        <v>45248</v>
      </c>
      <c r="Y336" s="383">
        <f t="shared" si="138"/>
        <v>17.459212901915304</v>
      </c>
      <c r="Z336" s="383">
        <f t="shared" si="139"/>
        <v>18.05539390383505</v>
      </c>
      <c r="AA336" s="384">
        <f t="shared" si="140"/>
        <v>19.048952248710776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5.2158162396725466E-2</v>
      </c>
      <c r="AD336" s="230">
        <f>(INDEX(Models!$BJ336:$BT336,,AH336)*(1-AF336)+INDEX(Models!$BJ336:$BT336,,AH336+1)*AF336-ERP_i)*AE336*Ramure*Pc/MaxiM</f>
        <v>2.9989788227578317E-4</v>
      </c>
      <c r="AE336" s="304">
        <f t="shared" si="142"/>
        <v>0.6</v>
      </c>
      <c r="AF336" s="177">
        <f t="shared" si="143"/>
        <v>0.99860847792168483</v>
      </c>
      <c r="AG336" s="799">
        <f t="shared" ref="AG336:AG379" si="149">INDEX(Echel_vg,AH336)</f>
        <v>0</v>
      </c>
      <c r="AH336" s="176">
        <f t="shared" si="144"/>
        <v>6</v>
      </c>
      <c r="AI336" s="224">
        <f t="shared" si="145"/>
        <v>0.99860847792168483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45249</v>
      </c>
      <c r="B337" s="409">
        <f>IF(t&gt;Tmaj,'2022'!Wh/'2022'!Env_an*'2023'!Env_an,0.001*'[13]mon-tableau (3)'!$B$253)</f>
        <v>7.038992661380326</v>
      </c>
      <c r="C337" s="829"/>
      <c r="D337" s="391">
        <f t="shared" si="127"/>
        <v>7.2794931611855542</v>
      </c>
      <c r="E337" s="383">
        <f t="shared" si="125"/>
        <v>7.5171405103363993</v>
      </c>
      <c r="F337" s="383">
        <f t="shared" si="128"/>
        <v>7.5171405103363993</v>
      </c>
      <c r="G337" s="110">
        <f t="shared" si="126"/>
        <v>0.23513544329400116</v>
      </c>
      <c r="H337" s="412" t="b">
        <f>Wh_hp&gt;='2022'!Maxi_hp</f>
        <v>0</v>
      </c>
      <c r="I337" s="379">
        <f>IF(H337,Wh_hp,'2022'!Maxi_hp)</f>
        <v>31.924931644225545</v>
      </c>
      <c r="J337" s="85">
        <f>IF(H337,An,'2022'!An_max)</f>
        <v>2020</v>
      </c>
      <c r="K337" s="197">
        <f t="shared" si="129"/>
        <v>45249</v>
      </c>
      <c r="L337" s="147">
        <f>IF(t&lt;Tvie,1-EXP((T0-t)*PertePVj)+'2022'!Pspv,1-EXP((T0-t)*PertePVj)+Pspv)</f>
        <v>3.3038083075286551E-2</v>
      </c>
      <c r="M337" s="832"/>
      <c r="N337" s="832"/>
      <c r="O337" s="48">
        <f>IF(t&lt;Tnet,'2022'!Resal+('2022'!Salim-'2022'!Resal)*(1-EXP(('2022'!Tnet-t)/('2022'!Tau_j))),Resal+(Salim-Resal)*(1-EXP((Tnet-t)/(Tau_j))))*Salcycl</f>
        <v>3.1614062398337472E-2</v>
      </c>
      <c r="P337" s="338">
        <f>(INDEX(Models!$BJ337:$BT337,,T337)*(1-R337)+INDEX(Models!$BJ337:$BT337,,T337+1)*R337-ERP_i)*Q337*Ramure*Pc/MaxiM</f>
        <v>3.3141764705027526E-4</v>
      </c>
      <c r="Q337" s="304">
        <f t="shared" si="130"/>
        <v>0.6</v>
      </c>
      <c r="R337" s="177">
        <f t="shared" si="131"/>
        <v>0.99863539340285534</v>
      </c>
      <c r="S337" s="799">
        <f t="shared" si="132"/>
        <v>0</v>
      </c>
      <c r="T337" s="176">
        <f t="shared" si="133"/>
        <v>6</v>
      </c>
      <c r="U337" s="250">
        <f t="shared" si="134"/>
        <v>0.99863539340285534</v>
      </c>
      <c r="V337" s="382">
        <f t="shared" si="135"/>
        <v>29.92598528073291</v>
      </c>
      <c r="W337" s="400">
        <f t="shared" si="136"/>
        <v>7.038992661380326</v>
      </c>
      <c r="X337" s="157">
        <f t="shared" si="137"/>
        <v>45249</v>
      </c>
      <c r="Y337" s="383">
        <f t="shared" si="138"/>
        <v>6.8893327472066304</v>
      </c>
      <c r="Z337" s="383">
        <f t="shared" si="139"/>
        <v>7.1247198329352885</v>
      </c>
      <c r="AA337" s="384">
        <f t="shared" si="140"/>
        <v>7.5171405103363993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5.2203451147615966E-2</v>
      </c>
      <c r="AD337" s="230">
        <f>(INDEX(Models!$BJ337:$BT337,,AH337)*(1-AF337)+INDEX(Models!$BJ337:$BT337,,AH337+1)*AF337-ERP_i)*AE337*Ramure*Pc/MaxiM</f>
        <v>3.3141764705027526E-4</v>
      </c>
      <c r="AE337" s="304">
        <f t="shared" si="142"/>
        <v>0.6</v>
      </c>
      <c r="AF337" s="177">
        <f t="shared" si="143"/>
        <v>0.99863539340285534</v>
      </c>
      <c r="AG337" s="799">
        <f t="shared" si="149"/>
        <v>0</v>
      </c>
      <c r="AH337" s="176">
        <f t="shared" si="144"/>
        <v>6</v>
      </c>
      <c r="AI337" s="224">
        <f t="shared" si="145"/>
        <v>0.99863539340285534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45250</v>
      </c>
      <c r="B338" s="409">
        <f>IF(t&gt;Tmaj,'2022'!Wh/'2022'!Env_an*'2023'!Env_an,0.001*'[13]mon-tableau (3)'!$B$254)</f>
        <v>18.108909775394384</v>
      </c>
      <c r="C338" s="829"/>
      <c r="D338" s="391">
        <f t="shared" si="127"/>
        <v>18.727993851882182</v>
      </c>
      <c r="E338" s="383">
        <f t="shared" si="125"/>
        <v>19.34100564630052</v>
      </c>
      <c r="F338" s="383">
        <f t="shared" si="128"/>
        <v>19.344136209041672</v>
      </c>
      <c r="G338" s="110">
        <f t="shared" si="126"/>
        <v>0.61027930808068154</v>
      </c>
      <c r="H338" s="412" t="b">
        <f>Wh_hp&gt;='2022'!Maxi_hp</f>
        <v>0</v>
      </c>
      <c r="I338" s="379">
        <f>IF(H338,Wh_hp,'2022'!Maxi_hp)</f>
        <v>32.554516773217912</v>
      </c>
      <c r="J338" s="85">
        <f>IF(H338,An,'2022'!An_max)</f>
        <v>2018</v>
      </c>
      <c r="K338" s="197">
        <f t="shared" si="129"/>
        <v>45250</v>
      </c>
      <c r="L338" s="147">
        <f>IF(t&lt;Tvie,1-EXP((T0-t)*PertePVj)+'2022'!Pspv,1-EXP((T0-t)*PertePVj)+Pspv)</f>
        <v>3.3056614679824903E-2</v>
      </c>
      <c r="M338" s="832"/>
      <c r="N338" s="832"/>
      <c r="O338" s="48">
        <f>IF(t&lt;Tnet,'2022'!Resal+('2022'!Salim-'2022'!Resal)*(1-EXP(('2022'!Tnet-t)/('2022'!Tau_j))),Resal+(Salim-Resal)*(1-EXP((Tnet-t)/(Tau_j))))*Salcycl</f>
        <v>3.169492867272871E-2</v>
      </c>
      <c r="P338" s="338">
        <f>(INDEX(Models!$BJ338:$BT338,,T338)*(1-R338)+INDEX(Models!$BJ338:$BT338,,T338+1)*R338-ERP_i)*Q338*Ramure*Pc/MaxiM</f>
        <v>3.6495957195370227E-4</v>
      </c>
      <c r="Q338" s="304">
        <f t="shared" si="130"/>
        <v>0.6</v>
      </c>
      <c r="R338" s="177">
        <f t="shared" si="131"/>
        <v>0.99866122791279432</v>
      </c>
      <c r="S338" s="799">
        <f t="shared" si="132"/>
        <v>0</v>
      </c>
      <c r="T338" s="176">
        <f t="shared" si="133"/>
        <v>6</v>
      </c>
      <c r="U338" s="250">
        <f t="shared" si="134"/>
        <v>0.99866122791279432</v>
      </c>
      <c r="V338" s="382">
        <f t="shared" si="135"/>
        <v>29.667122217492217</v>
      </c>
      <c r="W338" s="400">
        <f t="shared" si="136"/>
        <v>18.108909775394384</v>
      </c>
      <c r="X338" s="157">
        <f t="shared" si="137"/>
        <v>45250</v>
      </c>
      <c r="Y338" s="383">
        <f t="shared" si="138"/>
        <v>17.724507259659724</v>
      </c>
      <c r="Z338" s="383">
        <f t="shared" si="139"/>
        <v>18.330449878190926</v>
      </c>
      <c r="AA338" s="384">
        <f t="shared" si="140"/>
        <v>19.34100564630052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5.2249391091144709E-2</v>
      </c>
      <c r="AD338" s="230">
        <f>(INDEX(Models!$BJ338:$BT338,,AH338)*(1-AF338)+INDEX(Models!$BJ338:$BT338,,AH338+1)*AF338-ERP_i)*AE338*Ramure*Pc/MaxiM</f>
        <v>3.6495957195370227E-4</v>
      </c>
      <c r="AE338" s="304">
        <f t="shared" si="142"/>
        <v>0.6</v>
      </c>
      <c r="AF338" s="177">
        <f t="shared" si="143"/>
        <v>0.99866122791279432</v>
      </c>
      <c r="AG338" s="799">
        <f t="shared" si="149"/>
        <v>0</v>
      </c>
      <c r="AH338" s="176">
        <f t="shared" si="144"/>
        <v>6</v>
      </c>
      <c r="AI338" s="224">
        <f t="shared" si="145"/>
        <v>0.99866122791279432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45251</v>
      </c>
      <c r="B339" s="409">
        <f>IF(t&gt;Tmaj,'2022'!Wh/'2022'!Env_an*'2023'!Env_an,0.001*'[13]mon-tableau (3)'!$B$255)</f>
        <v>3.2358694885557049</v>
      </c>
      <c r="C339" s="829"/>
      <c r="D339" s="391">
        <f t="shared" si="127"/>
        <v>3.3465573616528426</v>
      </c>
      <c r="E339" s="383">
        <f t="shared" si="125"/>
        <v>3.4563878527285934</v>
      </c>
      <c r="F339" s="383">
        <f t="shared" si="128"/>
        <v>3.4563878527285934</v>
      </c>
      <c r="G339" s="110">
        <f t="shared" si="126"/>
        <v>0.10996498669091995</v>
      </c>
      <c r="H339" s="412" t="b">
        <f>Wh_hp&gt;='2022'!Maxi_hp</f>
        <v>0</v>
      </c>
      <c r="I339" s="379">
        <f>IF(H339,Wh_hp,'2022'!Maxi_hp)</f>
        <v>29.917682231011785</v>
      </c>
      <c r="J339" s="85">
        <f>IF(H339,An,'2022'!An_max)</f>
        <v>2018</v>
      </c>
      <c r="K339" s="197">
        <f t="shared" si="129"/>
        <v>45251</v>
      </c>
      <c r="L339" s="147">
        <f>IF(t&lt;Tvie,1-EXP((T0-t)*PertePVj)+'2022'!Pspv,1-EXP((T0-t)*PertePVj)+Pspv)</f>
        <v>3.3075145929209349E-2</v>
      </c>
      <c r="M339" s="832"/>
      <c r="N339" s="832"/>
      <c r="O339" s="48">
        <f>IF(t&lt;Tnet,'2022'!Resal+('2022'!Salim-'2022'!Resal)*(1-EXP(('2022'!Tnet-t)/('2022'!Tau_j))),Resal+(Salim-Resal)*(1-EXP((Tnet-t)/(Tau_j))))*Salcycl</f>
        <v>3.1776089882114049E-2</v>
      </c>
      <c r="P339" s="338">
        <f>(INDEX(Models!$BJ339:$BT339,,T339)*(1-R339)+INDEX(Models!$BJ339:$BT339,,T339+1)*R339-ERP_i)*Q339*Ramure*Pc/MaxiM</f>
        <v>3.9932451798261812E-4</v>
      </c>
      <c r="Q339" s="304">
        <f t="shared" si="130"/>
        <v>0.6</v>
      </c>
      <c r="R339" s="177">
        <f t="shared" si="131"/>
        <v>0.99868602475997936</v>
      </c>
      <c r="S339" s="799">
        <f t="shared" si="132"/>
        <v>0</v>
      </c>
      <c r="T339" s="176">
        <f t="shared" si="133"/>
        <v>6</v>
      </c>
      <c r="U339" s="250">
        <f t="shared" si="134"/>
        <v>0.99868602475997936</v>
      </c>
      <c r="V339" s="382">
        <f t="shared" si="135"/>
        <v>29.414611176404744</v>
      </c>
      <c r="W339" s="400">
        <f t="shared" si="136"/>
        <v>3.2358694885557049</v>
      </c>
      <c r="X339" s="157">
        <f t="shared" si="137"/>
        <v>45251</v>
      </c>
      <c r="Y339" s="383">
        <f t="shared" si="138"/>
        <v>3.1672905255851287</v>
      </c>
      <c r="Z339" s="383">
        <f t="shared" si="139"/>
        <v>3.2756325501932384</v>
      </c>
      <c r="AA339" s="384">
        <f t="shared" si="140"/>
        <v>3.4563878527285934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5.2296012553296176E-2</v>
      </c>
      <c r="AD339" s="230">
        <f>(INDEX(Models!$BJ339:$BT339,,AH339)*(1-AF339)+INDEX(Models!$BJ339:$BT339,,AH339+1)*AF339-ERP_i)*AE339*Ramure*Pc/MaxiM</f>
        <v>3.9932451798261812E-4</v>
      </c>
      <c r="AE339" s="304">
        <f t="shared" si="142"/>
        <v>0.6</v>
      </c>
      <c r="AF339" s="177">
        <f t="shared" si="143"/>
        <v>0.99868602475997936</v>
      </c>
      <c r="AG339" s="799">
        <f t="shared" si="149"/>
        <v>0</v>
      </c>
      <c r="AH339" s="176">
        <f t="shared" si="144"/>
        <v>6</v>
      </c>
      <c r="AI339" s="224">
        <f t="shared" si="145"/>
        <v>0.99868602475997936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45252</v>
      </c>
      <c r="B340" s="409">
        <f>IF(t&gt;Tmaj,'2022'!Wh/'2022'!Env_an*'2023'!Env_an,0.001*'[13]mon-tableau (3)'!$B$256)</f>
        <v>8.2909344301621406</v>
      </c>
      <c r="C340" s="829"/>
      <c r="D340" s="391">
        <f t="shared" si="127"/>
        <v>8.5747028759974793</v>
      </c>
      <c r="E340" s="383">
        <f t="shared" si="125"/>
        <v>8.856860901012249</v>
      </c>
      <c r="F340" s="383">
        <f t="shared" si="128"/>
        <v>8.856860901012249</v>
      </c>
      <c r="G340" s="110">
        <f t="shared" si="126"/>
        <v>0.28411089085470809</v>
      </c>
      <c r="H340" s="412" t="b">
        <f>Wh_hp&gt;='2022'!Maxi_hp</f>
        <v>0</v>
      </c>
      <c r="I340" s="379">
        <f>IF(H340,Wh_hp,'2022'!Maxi_hp)</f>
        <v>32.069171926586371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3.3093676823446661E-2</v>
      </c>
      <c r="M340" s="832"/>
      <c r="N340" s="832"/>
      <c r="O340" s="48">
        <f>IF(t&lt;Tnet,'2022'!Resal+('2022'!Salim-'2022'!Resal)*(1-EXP(('2022'!Tnet-t)/('2022'!Tau_j))),Resal+(Salim-Resal)*(1-EXP((Tnet-t)/(Tau_j))))*Salcycl</f>
        <v>3.1857565357328976E-2</v>
      </c>
      <c r="P340" s="338">
        <f>(INDEX(Models!$BJ340:$BT340,,T340)*(1-R340)+INDEX(Models!$BJ340:$BT340,,T340+1)*R340-ERP_i)*Q340*Ramure*Pc/MaxiM</f>
        <v>4.3450463357002565E-4</v>
      </c>
      <c r="Q340" s="304">
        <f t="shared" si="130"/>
        <v>0.6</v>
      </c>
      <c r="R340" s="177">
        <f t="shared" si="131"/>
        <v>0.99870982552604803</v>
      </c>
      <c r="S340" s="799">
        <f t="shared" si="132"/>
        <v>0</v>
      </c>
      <c r="T340" s="176">
        <f t="shared" si="133"/>
        <v>6</v>
      </c>
      <c r="U340" s="250">
        <f t="shared" si="134"/>
        <v>0.99870982552604803</v>
      </c>
      <c r="V340" s="382">
        <f t="shared" si="135"/>
        <v>29.16935692188471</v>
      </c>
      <c r="W340" s="400">
        <f t="shared" si="136"/>
        <v>8.2909344301621406</v>
      </c>
      <c r="X340" s="157">
        <f t="shared" si="137"/>
        <v>45252</v>
      </c>
      <c r="Y340" s="383">
        <f t="shared" si="138"/>
        <v>8.1154992551152798</v>
      </c>
      <c r="Z340" s="383">
        <f t="shared" si="139"/>
        <v>8.3932631947773721</v>
      </c>
      <c r="AA340" s="384">
        <f t="shared" si="140"/>
        <v>8.856860901012249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5.2343342795627752E-2</v>
      </c>
      <c r="AD340" s="230">
        <f>(INDEX(Models!$BJ340:$BT340,,AH340)*(1-AF340)+INDEX(Models!$BJ340:$BT340,,AH340+1)*AF340-ERP_i)*AE340*Ramure*Pc/MaxiM</f>
        <v>4.3450463357002565E-4</v>
      </c>
      <c r="AE340" s="304">
        <f t="shared" si="142"/>
        <v>0.6</v>
      </c>
      <c r="AF340" s="177">
        <f t="shared" si="143"/>
        <v>0.99870982552604803</v>
      </c>
      <c r="AG340" s="799">
        <f t="shared" si="149"/>
        <v>0</v>
      </c>
      <c r="AH340" s="176">
        <f t="shared" si="144"/>
        <v>6</v>
      </c>
      <c r="AI340" s="224">
        <f t="shared" si="145"/>
        <v>0.99870982552604803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45253</v>
      </c>
      <c r="B341" s="409">
        <f>IF(t&gt;Tmaj,'2022'!Wh/'2022'!Env_an*'2023'!Env_an,0.001*'[13]mon-tableau (3)'!$B$257)</f>
        <v>13.665935624365867</v>
      </c>
      <c r="C341" s="829"/>
      <c r="D341" s="391">
        <f t="shared" si="127"/>
        <v>14.133941630484557</v>
      </c>
      <c r="E341" s="383">
        <f t="shared" si="125"/>
        <v>14.600264932097831</v>
      </c>
      <c r="F341" s="383">
        <f t="shared" si="128"/>
        <v>14.601956350760446</v>
      </c>
      <c r="G341" s="110">
        <f t="shared" si="126"/>
        <v>0.47217488636043453</v>
      </c>
      <c r="H341" s="412" t="b">
        <f>Wh_hp&gt;='2022'!Maxi_hp</f>
        <v>0</v>
      </c>
      <c r="I341" s="379">
        <f>IF(H341,Wh_hp,'2022'!Maxi_hp)</f>
        <v>32.348955390885784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3.31122073625435E-2</v>
      </c>
      <c r="M341" s="832"/>
      <c r="N341" s="832"/>
      <c r="O341" s="48">
        <f>IF(t&lt;Tnet,'2022'!Resal+('2022'!Salim-'2022'!Resal)*(1-EXP(('2022'!Tnet-t)/('2022'!Tau_j))),Resal+(Salim-Resal)*(1-EXP((Tnet-t)/(Tau_j))))*Salcycl</f>
        <v>3.1939372592348574E-2</v>
      </c>
      <c r="P341" s="338">
        <f>(INDEX(Models!$BJ341:$BT341,,T341)*(1-R341)+INDEX(Models!$BJ341:$BT341,,T341+1)*R341-ERP_i)*Q341*Ramure*Pc/MaxiM</f>
        <v>4.7048514992968339E-4</v>
      </c>
      <c r="Q341" s="304">
        <f t="shared" si="130"/>
        <v>0.6</v>
      </c>
      <c r="R341" s="177">
        <f t="shared" si="131"/>
        <v>0.9987326701339978</v>
      </c>
      <c r="S341" s="799">
        <f t="shared" si="132"/>
        <v>0</v>
      </c>
      <c r="T341" s="176">
        <f t="shared" si="133"/>
        <v>6</v>
      </c>
      <c r="U341" s="250">
        <f t="shared" si="134"/>
        <v>0.9987326701339978</v>
      </c>
      <c r="V341" s="382">
        <f t="shared" si="135"/>
        <v>28.932263939439718</v>
      </c>
      <c r="W341" s="400">
        <f t="shared" si="136"/>
        <v>13.665935624365867</v>
      </c>
      <c r="X341" s="157">
        <f t="shared" si="137"/>
        <v>45253</v>
      </c>
      <c r="Y341" s="383">
        <f t="shared" si="138"/>
        <v>13.377217993498839</v>
      </c>
      <c r="Z341" s="383">
        <f t="shared" si="139"/>
        <v>13.835336525460457</v>
      </c>
      <c r="AA341" s="384">
        <f t="shared" si="140"/>
        <v>14.600264932097831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5.239140592275994E-2</v>
      </c>
      <c r="AD341" s="230">
        <f>(INDEX(Models!$BJ341:$BT341,,AH341)*(1-AF341)+INDEX(Models!$BJ341:$BT341,,AH341+1)*AF341-ERP_i)*AE341*Ramure*Pc/MaxiM</f>
        <v>4.7048514992968339E-4</v>
      </c>
      <c r="AE341" s="304">
        <f t="shared" si="142"/>
        <v>0.6</v>
      </c>
      <c r="AF341" s="177">
        <f t="shared" si="143"/>
        <v>0.9987326701339978</v>
      </c>
      <c r="AG341" s="799">
        <f t="shared" si="149"/>
        <v>0</v>
      </c>
      <c r="AH341" s="176">
        <f t="shared" si="144"/>
        <v>6</v>
      </c>
      <c r="AI341" s="224">
        <f t="shared" si="145"/>
        <v>0.9987326701339978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45254</v>
      </c>
      <c r="B342" s="409">
        <f>IF(t&gt;Tmaj,'2022'!Wh/'2022'!Env_an*'2023'!Env_an,0.001*'[13]mon-tableau (3)'!$B$258)</f>
        <v>14.652932263899457</v>
      </c>
      <c r="C342" s="829"/>
      <c r="D342" s="391">
        <f t="shared" si="127"/>
        <v>15.15502957113012</v>
      </c>
      <c r="E342" s="383">
        <f t="shared" si="125"/>
        <v>15.656370463518876</v>
      </c>
      <c r="F342" s="383">
        <f t="shared" si="128"/>
        <v>15.658758769606607</v>
      </c>
      <c r="G342" s="110">
        <f t="shared" si="126"/>
        <v>0.51029867293875808</v>
      </c>
      <c r="H342" s="412" t="b">
        <f>Wh_hp&gt;='2022'!Maxi_hp</f>
        <v>0</v>
      </c>
      <c r="I342" s="379">
        <f>IF(H342,Wh_hp,'2022'!Maxi_hp)</f>
        <v>29.959800379951087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3.3130737546506861E-2</v>
      </c>
      <c r="M342" s="832"/>
      <c r="N342" s="832"/>
      <c r="O342" s="48">
        <f>IF(t&lt;Tnet,'2022'!Resal+('2022'!Salim-'2022'!Resal)*(1-EXP(('2022'!Tnet-t)/('2022'!Tau_j))),Resal+(Salim-Resal)*(1-EXP((Tnet-t)/(Tau_j))))*Salcycl</f>
        <v>3.2021527183259742E-2</v>
      </c>
      <c r="P342" s="338">
        <f>(INDEX(Models!$BJ342:$BT342,,T342)*(1-R342)+INDEX(Models!$BJ342:$BT342,,T342+1)*R342-ERP_i)*Q342*Ramure*Pc/MaxiM</f>
        <v>5.0724795973227169E-4</v>
      </c>
      <c r="Q342" s="304">
        <f t="shared" si="130"/>
        <v>0.6</v>
      </c>
      <c r="R342" s="177">
        <f t="shared" si="131"/>
        <v>0.99875459691374568</v>
      </c>
      <c r="S342" s="799">
        <f t="shared" si="132"/>
        <v>0</v>
      </c>
      <c r="T342" s="176">
        <f t="shared" si="133"/>
        <v>6</v>
      </c>
      <c r="U342" s="250">
        <f t="shared" si="134"/>
        <v>0.99875459691374568</v>
      </c>
      <c r="V342" s="382">
        <f t="shared" si="135"/>
        <v>28.704236309324916</v>
      </c>
      <c r="W342" s="400">
        <f t="shared" si="136"/>
        <v>14.652932263899457</v>
      </c>
      <c r="X342" s="157">
        <f t="shared" si="137"/>
        <v>45254</v>
      </c>
      <c r="Y342" s="383">
        <f t="shared" si="138"/>
        <v>14.343840923199725</v>
      </c>
      <c r="Z342" s="383">
        <f t="shared" si="139"/>
        <v>14.835346908020743</v>
      </c>
      <c r="AA342" s="384">
        <f t="shared" si="140"/>
        <v>15.656370463518876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5.2440222809699809E-2</v>
      </c>
      <c r="AD342" s="230">
        <f>(INDEX(Models!$BJ342:$BT342,,AH342)*(1-AF342)+INDEX(Models!$BJ342:$BT342,,AH342+1)*AF342-ERP_i)*AE342*Ramure*Pc/MaxiM</f>
        <v>5.0724795973227169E-4</v>
      </c>
      <c r="AE342" s="304">
        <f t="shared" si="142"/>
        <v>0.6</v>
      </c>
      <c r="AF342" s="177">
        <f t="shared" si="143"/>
        <v>0.99875459691374568</v>
      </c>
      <c r="AG342" s="799">
        <f t="shared" si="149"/>
        <v>0</v>
      </c>
      <c r="AH342" s="176">
        <f t="shared" si="144"/>
        <v>6</v>
      </c>
      <c r="AI342" s="224">
        <f t="shared" si="145"/>
        <v>0.99875459691374568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45255</v>
      </c>
      <c r="B343" s="409">
        <f>IF(t&gt;Tmaj,'2022'!Wh/'2022'!Env_an*'2023'!Env_an,0.001*'[13]mon-tableau (3)'!$B$259)</f>
        <v>4.6702741073940679</v>
      </c>
      <c r="C343" s="829"/>
      <c r="D343" s="391">
        <f t="shared" si="127"/>
        <v>4.8303982712160041</v>
      </c>
      <c r="E343" s="383">
        <f t="shared" si="125"/>
        <v>4.9906172612673148</v>
      </c>
      <c r="F343" s="383">
        <f t="shared" si="128"/>
        <v>4.9906172612673148</v>
      </c>
      <c r="G343" s="110">
        <f t="shared" si="126"/>
        <v>0.16385946631562856</v>
      </c>
      <c r="H343" s="412" t="b">
        <f>Wh_hp&gt;='2022'!Maxi_hp</f>
        <v>0</v>
      </c>
      <c r="I343" s="379">
        <f>IF(H343,Wh_hp,'2022'!Maxi_hp)</f>
        <v>29.033907399331543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3.3149267375343405E-2</v>
      </c>
      <c r="M343" s="832"/>
      <c r="N343" s="832"/>
      <c r="O343" s="48">
        <f>IF(t&lt;Tnet,'2022'!Resal+('2022'!Salim-'2022'!Resal)*(1-EXP(('2022'!Tnet-t)/('2022'!Tau_j))),Resal+(Salim-Resal)*(1-EXP((Tnet-t)/(Tau_j))))*Salcycl</f>
        <v>3.2104042779394625E-2</v>
      </c>
      <c r="P343" s="338">
        <f>(INDEX(Models!$BJ343:$BT343,,T343)*(1-R343)+INDEX(Models!$BJ343:$BT343,,T343+1)*R343-ERP_i)*Q343*Ramure*Pc/MaxiM</f>
        <v>5.4477233063131747E-4</v>
      </c>
      <c r="Q343" s="304">
        <f t="shared" si="130"/>
        <v>0.6</v>
      </c>
      <c r="R343" s="177">
        <f t="shared" si="131"/>
        <v>0.99877564266514307</v>
      </c>
      <c r="S343" s="799">
        <f t="shared" si="132"/>
        <v>0</v>
      </c>
      <c r="T343" s="176">
        <f t="shared" si="133"/>
        <v>6</v>
      </c>
      <c r="U343" s="250">
        <f t="shared" si="134"/>
        <v>0.99877564266514307</v>
      </c>
      <c r="V343" s="382">
        <f t="shared" si="135"/>
        <v>28.4861776755262</v>
      </c>
      <c r="W343" s="400">
        <f t="shared" si="136"/>
        <v>4.6702741073940679</v>
      </c>
      <c r="X343" s="157">
        <f t="shared" si="137"/>
        <v>45255</v>
      </c>
      <c r="Y343" s="383">
        <f t="shared" si="138"/>
        <v>4.5719090661924362</v>
      </c>
      <c r="Z343" s="383">
        <f t="shared" si="139"/>
        <v>4.728660704203353</v>
      </c>
      <c r="AA343" s="384">
        <f t="shared" si="140"/>
        <v>4.9906172612673148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5.2489811049433309E-2</v>
      </c>
      <c r="AD343" s="230">
        <f>(INDEX(Models!$BJ343:$BT343,,AH343)*(1-AF343)+INDEX(Models!$BJ343:$BT343,,AH343+1)*AF343-ERP_i)*AE343*Ramure*Pc/MaxiM</f>
        <v>5.4477233063131747E-4</v>
      </c>
      <c r="AE343" s="304">
        <f t="shared" si="142"/>
        <v>0.6</v>
      </c>
      <c r="AF343" s="177">
        <f t="shared" si="143"/>
        <v>0.99877564266514307</v>
      </c>
      <c r="AG343" s="799">
        <f t="shared" si="149"/>
        <v>0</v>
      </c>
      <c r="AH343" s="176">
        <f t="shared" si="144"/>
        <v>6</v>
      </c>
      <c r="AI343" s="224">
        <f t="shared" si="145"/>
        <v>0.99877564266514307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45256</v>
      </c>
      <c r="B344" s="409">
        <f>IF(t&gt;Tmaj,'2022'!Wh/'2022'!Env_an*'2023'!Env_an,0.001*'[13]mon-tableau (3)'!$B$260)</f>
        <v>10.872585029648246</v>
      </c>
      <c r="C344" s="829"/>
      <c r="D344" s="391">
        <f t="shared" si="127"/>
        <v>11.245576010205403</v>
      </c>
      <c r="E344" s="383">
        <f t="shared" si="125"/>
        <v>11.619574451882915</v>
      </c>
      <c r="F344" s="383">
        <f t="shared" si="128"/>
        <v>11.620392063751389</v>
      </c>
      <c r="G344" s="110">
        <f t="shared" si="126"/>
        <v>0.38427857814817445</v>
      </c>
      <c r="H344" s="412" t="b">
        <f>Wh_hp&gt;='2022'!Maxi_hp</f>
        <v>0</v>
      </c>
      <c r="I344" s="379">
        <f>IF(H344,Wh_hp,'2022'!Maxi_hp)</f>
        <v>28.857430187211506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3.3167796849060127E-2</v>
      </c>
      <c r="M344" s="832"/>
      <c r="N344" s="832"/>
      <c r="O344" s="48">
        <f>IF(t&lt;Tnet,'2022'!Resal+('2022'!Salim-'2022'!Resal)*(1-EXP(('2022'!Tnet-t)/('2022'!Tau_j))),Resal+(Salim-Resal)*(1-EXP((Tnet-t)/(Tau_j))))*Salcycl</f>
        <v>3.2186931046937491E-2</v>
      </c>
      <c r="P344" s="338">
        <f>(INDEX(Models!$BJ344:$BT344,,T344)*(1-R344)+INDEX(Models!$BJ344:$BT344,,T344+1)*R344-ERP_i)*Q344*Ramure*Pc/MaxiM</f>
        <v>5.830323281621172E-4</v>
      </c>
      <c r="Q344" s="304">
        <f t="shared" si="130"/>
        <v>0.6</v>
      </c>
      <c r="R344" s="177">
        <f t="shared" si="131"/>
        <v>0.99879584271854149</v>
      </c>
      <c r="S344" s="799">
        <f t="shared" si="132"/>
        <v>0</v>
      </c>
      <c r="T344" s="176">
        <f t="shared" si="133"/>
        <v>6</v>
      </c>
      <c r="U344" s="250">
        <f t="shared" si="134"/>
        <v>0.99879584271854149</v>
      </c>
      <c r="V344" s="382">
        <f t="shared" si="135"/>
        <v>28.27899129149754</v>
      </c>
      <c r="W344" s="400">
        <f t="shared" si="136"/>
        <v>10.872585029648246</v>
      </c>
      <c r="X344" s="157">
        <f t="shared" si="137"/>
        <v>45256</v>
      </c>
      <c r="Y344" s="383">
        <f t="shared" si="138"/>
        <v>10.643932937136396</v>
      </c>
      <c r="Z344" s="383">
        <f t="shared" si="139"/>
        <v>11.009079861476943</v>
      </c>
      <c r="AA344" s="384">
        <f t="shared" si="140"/>
        <v>11.619574451882915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5.2540184921061557E-2</v>
      </c>
      <c r="AD344" s="230">
        <f>(INDEX(Models!$BJ344:$BT344,,AH344)*(1-AF344)+INDEX(Models!$BJ344:$BT344,,AH344+1)*AF344-ERP_i)*AE344*Ramure*Pc/MaxiM</f>
        <v>5.830323281621172E-4</v>
      </c>
      <c r="AE344" s="304">
        <f t="shared" si="142"/>
        <v>0.6</v>
      </c>
      <c r="AF344" s="177">
        <f t="shared" si="143"/>
        <v>0.99879584271854149</v>
      </c>
      <c r="AG344" s="799">
        <f t="shared" si="149"/>
        <v>0</v>
      </c>
      <c r="AH344" s="176">
        <f t="shared" si="144"/>
        <v>6</v>
      </c>
      <c r="AI344" s="224">
        <f t="shared" si="145"/>
        <v>0.99879584271854149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45257</v>
      </c>
      <c r="B345" s="409">
        <f>IF(t&gt;Tmaj,'2022'!Wh/'2022'!Env_an*'2023'!Env_an,0.001*'[13]mon-tableau (3)'!$B$261)</f>
        <v>16.908868842925301</v>
      </c>
      <c r="C345" s="829"/>
      <c r="D345" s="391">
        <f t="shared" si="127"/>
        <v>17.489273576782036</v>
      </c>
      <c r="E345" s="383">
        <f t="shared" si="125"/>
        <v>18.072476022248338</v>
      </c>
      <c r="F345" s="383">
        <f t="shared" si="128"/>
        <v>18.077329990692096</v>
      </c>
      <c r="G345" s="110">
        <f t="shared" si="126"/>
        <v>0.60194063264518272</v>
      </c>
      <c r="H345" s="412" t="b">
        <f>Wh_hp&gt;='2022'!Maxi_hp</f>
        <v>0</v>
      </c>
      <c r="I345" s="379">
        <f>IF(H345,Wh_hp,'2022'!Maxi_hp)</f>
        <v>26.802315744867702</v>
      </c>
      <c r="J345" s="85">
        <f>IF(H345,An,'2022'!An_max)</f>
        <v>2020</v>
      </c>
      <c r="K345" s="197">
        <f t="shared" si="129"/>
        <v>45257</v>
      </c>
      <c r="L345" s="147">
        <f>IF(t&lt;Tvie,1-EXP((T0-t)*PertePVj)+'2022'!Pspv,1-EXP((T0-t)*PertePVj)+Pspv)</f>
        <v>3.3186325967663577E-2</v>
      </c>
      <c r="M345" s="832"/>
      <c r="N345" s="832"/>
      <c r="O345" s="48">
        <f>IF(t&lt;Tnet,'2022'!Resal+('2022'!Salim-'2022'!Resal)*(1-EXP(('2022'!Tnet-t)/('2022'!Tau_j))),Resal+(Salim-Resal)*(1-EXP((Tnet-t)/(Tau_j))))*Salcycl</f>
        <v>3.2270201645216837E-2</v>
      </c>
      <c r="P345" s="338">
        <f>(INDEX(Models!$BJ345:$BT345,,T345)*(1-R345)+INDEX(Models!$BJ345:$BT345,,T345+1)*R345-ERP_i)*Q345*Ramure*Pc/MaxiM</f>
        <v>6.2206097546991135E-4</v>
      </c>
      <c r="Q345" s="304">
        <f t="shared" si="130"/>
        <v>0.6</v>
      </c>
      <c r="R345" s="177">
        <f t="shared" si="131"/>
        <v>0.99881523099300207</v>
      </c>
      <c r="S345" s="799">
        <f t="shared" si="132"/>
        <v>0</v>
      </c>
      <c r="T345" s="176">
        <f t="shared" si="133"/>
        <v>6</v>
      </c>
      <c r="U345" s="250">
        <f t="shared" si="134"/>
        <v>0.99881523099300207</v>
      </c>
      <c r="V345" s="382">
        <f t="shared" si="135"/>
        <v>28.080658118937631</v>
      </c>
      <c r="W345" s="400">
        <f t="shared" si="136"/>
        <v>16.908868842925301</v>
      </c>
      <c r="X345" s="157">
        <f t="shared" si="137"/>
        <v>45257</v>
      </c>
      <c r="Y345" s="383">
        <f t="shared" si="138"/>
        <v>16.553803075808574</v>
      </c>
      <c r="Z345" s="383">
        <f t="shared" si="139"/>
        <v>17.122020013191197</v>
      </c>
      <c r="AA345" s="384">
        <f t="shared" si="140"/>
        <v>18.072476022248338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5.2591355378591664E-2</v>
      </c>
      <c r="AD345" s="230">
        <f>(INDEX(Models!$BJ345:$BT345,,AH345)*(1-AF345)+INDEX(Models!$BJ345:$BT345,,AH345+1)*AF345-ERP_i)*AE345*Ramure*Pc/MaxiM</f>
        <v>6.2206097546991135E-4</v>
      </c>
      <c r="AE345" s="304">
        <f t="shared" si="142"/>
        <v>0.6</v>
      </c>
      <c r="AF345" s="177">
        <f t="shared" si="143"/>
        <v>0.99881523099300207</v>
      </c>
      <c r="AG345" s="799">
        <f t="shared" si="149"/>
        <v>0</v>
      </c>
      <c r="AH345" s="176">
        <f t="shared" si="144"/>
        <v>6</v>
      </c>
      <c r="AI345" s="224">
        <f t="shared" si="145"/>
        <v>0.99881523099300207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45258</v>
      </c>
      <c r="B346" s="409">
        <f>IF(t&gt;Tmaj,'2022'!Wh/'2022'!Env_an*'2023'!Env_an,0.001*'[13]mon-tableau (3)'!$B$262)</f>
        <v>10.496323125818625</v>
      </c>
      <c r="C346" s="829"/>
      <c r="D346" s="391">
        <f t="shared" si="127"/>
        <v>10.856822334270085</v>
      </c>
      <c r="E346" s="383">
        <f t="shared" si="125"/>
        <v>11.219827073490821</v>
      </c>
      <c r="F346" s="383">
        <f t="shared" si="128"/>
        <v>11.220636171429295</v>
      </c>
      <c r="G346" s="110">
        <f t="shared" si="126"/>
        <v>0.37614196650813841</v>
      </c>
      <c r="H346" s="412" t="b">
        <f>Wh_hp&gt;='2022'!Maxi_hp</f>
        <v>0</v>
      </c>
      <c r="I346" s="379">
        <f>IF(H346,Wh_hp,'2022'!Maxi_hp)</f>
        <v>18.703888708428419</v>
      </c>
      <c r="J346" s="85">
        <f>IF(H346,An,'2022'!An_max)</f>
        <v>2020</v>
      </c>
      <c r="K346" s="197">
        <f t="shared" si="129"/>
        <v>45258</v>
      </c>
      <c r="L346" s="147">
        <f>IF(t&lt;Tvie,1-EXP((T0-t)*PertePVj)+'2022'!Pspv,1-EXP((T0-t)*PertePVj)+Pspv)</f>
        <v>3.3204854731160749E-2</v>
      </c>
      <c r="M346" s="832"/>
      <c r="N346" s="832"/>
      <c r="O346" s="48">
        <f>IF(t&lt;Tnet,'2022'!Resal+('2022'!Salim-'2022'!Resal)*(1-EXP(('2022'!Tnet-t)/('2022'!Tau_j))),Resal+(Salim-Resal)*(1-EXP((Tnet-t)/(Tau_j))))*Salcycl</f>
        <v>3.2353862215792152E-2</v>
      </c>
      <c r="P346" s="338">
        <f>(INDEX(Models!$BJ346:$BT346,,T346)*(1-R346)+INDEX(Models!$BJ346:$BT346,,T346+1)*R346-ERP_i)*Q346*Ramure*Pc/MaxiM</f>
        <v>6.6099042232814346E-4</v>
      </c>
      <c r="Q346" s="304">
        <f t="shared" si="130"/>
        <v>0.6</v>
      </c>
      <c r="R346" s="177">
        <f t="shared" si="131"/>
        <v>0.99883384005223674</v>
      </c>
      <c r="S346" s="799">
        <f t="shared" si="132"/>
        <v>0</v>
      </c>
      <c r="T346" s="176">
        <f t="shared" si="133"/>
        <v>6</v>
      </c>
      <c r="U346" s="250">
        <f t="shared" si="134"/>
        <v>0.99883384005223674</v>
      </c>
      <c r="V346" s="382">
        <f t="shared" si="135"/>
        <v>27.888782731587145</v>
      </c>
      <c r="W346" s="400">
        <f t="shared" si="136"/>
        <v>10.496323125818625</v>
      </c>
      <c r="X346" s="157">
        <f t="shared" si="137"/>
        <v>45258</v>
      </c>
      <c r="Y346" s="383">
        <f t="shared" si="138"/>
        <v>10.27623770178662</v>
      </c>
      <c r="Z346" s="383">
        <f t="shared" si="139"/>
        <v>10.629178013641225</v>
      </c>
      <c r="AA346" s="384">
        <f t="shared" si="140"/>
        <v>11.219827073490821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5.2643330060329285E-2</v>
      </c>
      <c r="AD346" s="230">
        <f>(INDEX(Models!$BJ346:$BT346,,AH346)*(1-AF346)+INDEX(Models!$BJ346:$BT346,,AH346+1)*AF346-ERP_i)*AE346*Ramure*Pc/MaxiM</f>
        <v>6.6099042232814346E-4</v>
      </c>
      <c r="AE346" s="304">
        <f t="shared" si="142"/>
        <v>0.6</v>
      </c>
      <c r="AF346" s="177">
        <f t="shared" si="143"/>
        <v>0.99883384005223674</v>
      </c>
      <c r="AG346" s="799">
        <f t="shared" si="149"/>
        <v>0</v>
      </c>
      <c r="AH346" s="176">
        <f t="shared" si="144"/>
        <v>6</v>
      </c>
      <c r="AI346" s="224">
        <f t="shared" si="145"/>
        <v>0.99883384005223674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45259</v>
      </c>
      <c r="B347" s="409">
        <f>IF(t&gt;Tmaj,'2022'!Wh/'2022'!Env_an*'2023'!Env_an,0.001*'[13]mon-tableau (3)'!$B$263)</f>
        <v>15.614812608063003</v>
      </c>
      <c r="C347" s="829"/>
      <c r="D347" s="391">
        <f t="shared" si="127"/>
        <v>16.151417334411047</v>
      </c>
      <c r="E347" s="383">
        <f t="shared" si="125"/>
        <v>16.692900270999683</v>
      </c>
      <c r="F347" s="383">
        <f t="shared" si="128"/>
        <v>16.69729358986897</v>
      </c>
      <c r="G347" s="110">
        <f t="shared" si="126"/>
        <v>0.56339087682689371</v>
      </c>
      <c r="H347" s="412" t="b">
        <f>Wh_hp&gt;='2022'!Maxi_hp</f>
        <v>0</v>
      </c>
      <c r="I347" s="379">
        <f>IF(H347,Wh_hp,'2022'!Maxi_hp)</f>
        <v>16.758916593732387</v>
      </c>
      <c r="J347" s="85">
        <f>IF(H347,An,'2022'!An_max)</f>
        <v>2018</v>
      </c>
      <c r="K347" s="197">
        <f t="shared" si="129"/>
        <v>45259</v>
      </c>
      <c r="L347" s="147">
        <f>IF(t&lt;Tvie,1-EXP((T0-t)*PertePVj)+'2022'!Pspv,1-EXP((T0-t)*PertePVj)+Pspv)</f>
        <v>3.3223383139558416E-2</v>
      </c>
      <c r="M347" s="832"/>
      <c r="N347" s="832"/>
      <c r="O347" s="48">
        <f>IF(t&lt;Tnet,'2022'!Resal+('2022'!Salim-'2022'!Resal)*(1-EXP(('2022'!Tnet-t)/('2022'!Tau_j))),Resal+(Salim-Resal)*(1-EXP((Tnet-t)/(Tau_j))))*Salcycl</f>
        <v>3.2437918384341298E-2</v>
      </c>
      <c r="P347" s="338">
        <f>(INDEX(Models!$BJ347:$BT347,,T347)*(1-R347)+INDEX(Models!$BJ347:$BT347,,T347+1)*R347-ERP_i)*Q347*Ramure*Pc/MaxiM</f>
        <v>6.9861724175468909E-4</v>
      </c>
      <c r="Q347" s="304">
        <f t="shared" si="130"/>
        <v>0.6</v>
      </c>
      <c r="R347" s="177">
        <f t="shared" si="131"/>
        <v>0.99885170115836597</v>
      </c>
      <c r="S347" s="799">
        <f t="shared" si="132"/>
        <v>0</v>
      </c>
      <c r="T347" s="176">
        <f t="shared" si="133"/>
        <v>6</v>
      </c>
      <c r="U347" s="250">
        <f t="shared" si="134"/>
        <v>0.99885170115836597</v>
      </c>
      <c r="V347" s="382">
        <f t="shared" si="135"/>
        <v>27.703697706523805</v>
      </c>
      <c r="W347" s="400">
        <f t="shared" si="136"/>
        <v>15.614812608063003</v>
      </c>
      <c r="X347" s="157">
        <f t="shared" si="137"/>
        <v>45259</v>
      </c>
      <c r="Y347" s="383">
        <f t="shared" si="138"/>
        <v>15.287879666304143</v>
      </c>
      <c r="Z347" s="383">
        <f t="shared" si="139"/>
        <v>15.813249306702062</v>
      </c>
      <c r="AA347" s="384">
        <f t="shared" si="140"/>
        <v>16.692900270999683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5.2696113318655854E-2</v>
      </c>
      <c r="AD347" s="230">
        <f>(INDEX(Models!$BJ347:$BT347,,AH347)*(1-AF347)+INDEX(Models!$BJ347:$BT347,,AH347+1)*AF347-ERP_i)*AE347*Ramure*Pc/MaxiM</f>
        <v>6.9861724175468909E-4</v>
      </c>
      <c r="AE347" s="304">
        <f t="shared" si="142"/>
        <v>0.6</v>
      </c>
      <c r="AF347" s="177">
        <f t="shared" si="143"/>
        <v>0.99885170115836597</v>
      </c>
      <c r="AG347" s="799">
        <f t="shared" si="149"/>
        <v>0</v>
      </c>
      <c r="AH347" s="176">
        <f t="shared" si="144"/>
        <v>6</v>
      </c>
      <c r="AI347" s="224">
        <f t="shared" si="145"/>
        <v>0.99885170115836597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45260</v>
      </c>
      <c r="B348" s="409">
        <f>IF(t&gt;Tmaj,'2022'!Wh/'2022'!Env_an*'2023'!Env_an,0.001*'[13]mon-tableau (3)'!$B$264)</f>
        <v>4.0003654505035868</v>
      </c>
      <c r="C348" s="829"/>
      <c r="D348" s="391">
        <f t="shared" si="127"/>
        <v>4.1379177446961499</v>
      </c>
      <c r="E348" s="383">
        <f t="shared" si="125"/>
        <v>4.2770164730764488</v>
      </c>
      <c r="F348" s="383">
        <f t="shared" si="128"/>
        <v>4.2770164730764488</v>
      </c>
      <c r="G348" s="110">
        <f t="shared" si="126"/>
        <v>0.14522519675788603</v>
      </c>
      <c r="H348" s="412" t="b">
        <f>Wh_hp&gt;='2022'!Maxi_hp</f>
        <v>0</v>
      </c>
      <c r="I348" s="379">
        <f>IF(H348,Wh_hp,'2022'!Maxi_hp)</f>
        <v>27.894604255922708</v>
      </c>
      <c r="J348" s="85">
        <f>IF(H348,An,'2022'!An_max)</f>
        <v>2020</v>
      </c>
      <c r="K348" s="197">
        <f t="shared" si="129"/>
        <v>45260</v>
      </c>
      <c r="L348" s="147">
        <f>IF(t&lt;Tvie,1-EXP((T0-t)*PertePVj)+'2022'!Pspv,1-EXP((T0-t)*PertePVj)+Pspv)</f>
        <v>3.3241911192863349E-2</v>
      </c>
      <c r="M348" s="832"/>
      <c r="N348" s="832"/>
      <c r="O348" s="48">
        <f>IF(t&lt;Tnet,'2022'!Resal+('2022'!Salim-'2022'!Resal)*(1-EXP(('2022'!Tnet-t)/('2022'!Tau_j))),Resal+(Salim-Resal)*(1-EXP((Tnet-t)/(Tau_j))))*Salcycl</f>
        <v>3.2522373775251287E-2</v>
      </c>
      <c r="P348" s="338">
        <f>(INDEX(Models!$BJ348:$BT348,,T348)*(1-R348)+INDEX(Models!$BJ348:$BT348,,T348+1)*R348-ERP_i)*Q348*Ramure*Pc/MaxiM</f>
        <v>7.3494372644999516E-4</v>
      </c>
      <c r="Q348" s="304">
        <f t="shared" si="130"/>
        <v>0.6</v>
      </c>
      <c r="R348" s="177">
        <f t="shared" si="131"/>
        <v>0.99886884432357492</v>
      </c>
      <c r="S348" s="799">
        <f t="shared" si="132"/>
        <v>0</v>
      </c>
      <c r="T348" s="176">
        <f t="shared" si="133"/>
        <v>6</v>
      </c>
      <c r="U348" s="250">
        <f t="shared" si="134"/>
        <v>0.99886884432357492</v>
      </c>
      <c r="V348" s="382">
        <f t="shared" si="135"/>
        <v>27.525701436484116</v>
      </c>
      <c r="W348" s="400">
        <f t="shared" si="136"/>
        <v>4.0003654505035868</v>
      </c>
      <c r="X348" s="157">
        <f t="shared" si="137"/>
        <v>45260</v>
      </c>
      <c r="Y348" s="383">
        <f t="shared" si="138"/>
        <v>3.9167286615239369</v>
      </c>
      <c r="Z348" s="383">
        <f t="shared" si="139"/>
        <v>4.0514051104105162</v>
      </c>
      <c r="AA348" s="384">
        <f t="shared" si="140"/>
        <v>4.2770164730764488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5.2749706269812582E-2</v>
      </c>
      <c r="AD348" s="230">
        <f>(INDEX(Models!$BJ348:$BT348,,AH348)*(1-AF348)+INDEX(Models!$BJ348:$BT348,,AH348+1)*AF348-ERP_i)*AE348*Ramure*Pc/MaxiM</f>
        <v>7.3494372644999516E-4</v>
      </c>
      <c r="AE348" s="304">
        <f t="shared" si="142"/>
        <v>0.6</v>
      </c>
      <c r="AF348" s="177">
        <f t="shared" si="143"/>
        <v>0.99886884432357492</v>
      </c>
      <c r="AG348" s="799">
        <f t="shared" si="149"/>
        <v>0</v>
      </c>
      <c r="AH348" s="176">
        <f t="shared" si="144"/>
        <v>6</v>
      </c>
      <c r="AI348" s="224">
        <f t="shared" si="145"/>
        <v>0.99886884432357492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45261</v>
      </c>
      <c r="B349" s="409">
        <f>IF(t&gt;Tmaj,'2022'!Wh/'2022'!Env_an*'2023'!Env_an,0.001*'[14]mon-tableau (2)'!$B$242)</f>
        <v>3.8061201014673753</v>
      </c>
      <c r="C349" s="829"/>
      <c r="D349" s="391">
        <f t="shared" si="127"/>
        <v>3.9370687355563381</v>
      </c>
      <c r="E349" s="383">
        <f t="shared" si="125"/>
        <v>4.0697727518822466</v>
      </c>
      <c r="F349" s="383">
        <f t="shared" si="128"/>
        <v>4.0697727518822466</v>
      </c>
      <c r="G349" s="110">
        <f t="shared" si="126"/>
        <v>0.13903040293777286</v>
      </c>
      <c r="H349" s="412" t="b">
        <f>Wh_hp&gt;='2022'!Maxi_hp</f>
        <v>0</v>
      </c>
      <c r="I349" s="379">
        <f>IF(H349,Wh_hp,'2022'!Maxi_hp)</f>
        <v>28.876381708820084</v>
      </c>
      <c r="J349" s="85">
        <f>IF(H349,An,'2022'!An_max)</f>
        <v>2020</v>
      </c>
      <c r="K349" s="197">
        <f t="shared" si="129"/>
        <v>45261</v>
      </c>
      <c r="L349" s="147">
        <f>IF(t&lt;Tvie,1-EXP((T0-t)*PertePVj)+'2022'!Pspv,1-EXP((T0-t)*PertePVj)+Pspv)</f>
        <v>3.3260438891082433E-2</v>
      </c>
      <c r="M349" s="832"/>
      <c r="N349" s="832"/>
      <c r="O349" s="48">
        <f>IF(t&lt;Tnet,'2022'!Resal+('2022'!Salim-'2022'!Resal)*(1-EXP(('2022'!Tnet-t)/('2022'!Tau_j))),Resal+(Salim-Resal)*(1-EXP((Tnet-t)/(Tau_j))))*Salcycl</f>
        <v>3.2607230038712451E-2</v>
      </c>
      <c r="P349" s="338">
        <f>(INDEX(Models!$BJ349:$BT349,,T349)*(1-R349)+INDEX(Models!$BJ349:$BT349,,T349+1)*R349-ERP_i)*Q349*Ramure*Pc/MaxiM</f>
        <v>7.6996953099960021E-4</v>
      </c>
      <c r="Q349" s="304">
        <f t="shared" si="130"/>
        <v>0.6</v>
      </c>
      <c r="R349" s="177">
        <f t="shared" si="131"/>
        <v>0.99888529835975048</v>
      </c>
      <c r="S349" s="799">
        <f t="shared" si="132"/>
        <v>0</v>
      </c>
      <c r="T349" s="176">
        <f t="shared" si="133"/>
        <v>6</v>
      </c>
      <c r="U349" s="250">
        <f t="shared" si="134"/>
        <v>0.99888529835975048</v>
      </c>
      <c r="V349" s="382">
        <f t="shared" si="135"/>
        <v>27.355092300639807</v>
      </c>
      <c r="W349" s="400">
        <f t="shared" si="136"/>
        <v>3.8061201014673753</v>
      </c>
      <c r="X349" s="157">
        <f t="shared" si="137"/>
        <v>45261</v>
      </c>
      <c r="Y349" s="383">
        <f t="shared" si="138"/>
        <v>3.726657300777386</v>
      </c>
      <c r="Z349" s="383">
        <f t="shared" si="139"/>
        <v>3.8548720365831008</v>
      </c>
      <c r="AA349" s="384">
        <f t="shared" si="140"/>
        <v>4.0697727518822466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5.2804106863154891E-2</v>
      </c>
      <c r="AD349" s="230">
        <f>(INDEX(Models!$BJ349:$BT349,,AH349)*(1-AF349)+INDEX(Models!$BJ349:$BT349,,AH349+1)*AF349-ERP_i)*AE349*Ramure*Pc/MaxiM</f>
        <v>7.6996953099960021E-4</v>
      </c>
      <c r="AE349" s="304">
        <f t="shared" si="142"/>
        <v>0.6</v>
      </c>
      <c r="AF349" s="177">
        <f t="shared" si="143"/>
        <v>0.99888529835975048</v>
      </c>
      <c r="AG349" s="799">
        <f t="shared" si="149"/>
        <v>0</v>
      </c>
      <c r="AH349" s="176">
        <f t="shared" si="144"/>
        <v>6</v>
      </c>
      <c r="AI349" s="224">
        <f t="shared" si="145"/>
        <v>0.99888529835975048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45262</v>
      </c>
      <c r="B350" s="409">
        <f>IF(t&gt;Tmaj,'2022'!Wh/'2022'!Env_an*'2023'!Env_an,0.001*'[14]mon-tableau (2)'!$B$243)</f>
        <v>5.7045411896779408</v>
      </c>
      <c r="C350" s="829"/>
      <c r="D350" s="391">
        <f t="shared" si="127"/>
        <v>5.9009176281769697</v>
      </c>
      <c r="E350" s="383">
        <f t="shared" si="125"/>
        <v>6.1003533500995628</v>
      </c>
      <c r="F350" s="383">
        <f t="shared" si="128"/>
        <v>6.1003533500995628</v>
      </c>
      <c r="G350" s="110">
        <f t="shared" si="126"/>
        <v>0.20961757643937651</v>
      </c>
      <c r="H350" s="412" t="b">
        <f>Wh_hp&gt;='2022'!Maxi_hp</f>
        <v>0</v>
      </c>
      <c r="I350" s="379">
        <f>IF(H350,Wh_hp,'2022'!Maxi_hp)</f>
        <v>10.012976509324043</v>
      </c>
      <c r="J350" s="85">
        <f>IF(H350,An,'2022'!An_max)</f>
        <v>2021</v>
      </c>
      <c r="K350" s="197">
        <f t="shared" si="129"/>
        <v>45262</v>
      </c>
      <c r="L350" s="147">
        <f>IF(t&lt;Tvie,1-EXP((T0-t)*PertePVj)+'2022'!Pspv,1-EXP((T0-t)*PertePVj)+Pspv)</f>
        <v>3.3278966234222329E-2</v>
      </c>
      <c r="M350" s="832"/>
      <c r="N350" s="832"/>
      <c r="O350" s="48">
        <f>IF(t&lt;Tnet,'2022'!Resal+('2022'!Salim-'2022'!Resal)*(1-EXP(('2022'!Tnet-t)/('2022'!Tau_j))),Resal+(Salim-Resal)*(1-EXP((Tnet-t)/(Tau_j))))*Salcycl</f>
        <v>3.2692486890015672E-2</v>
      </c>
      <c r="P350" s="338">
        <f>(INDEX(Models!$BJ350:$BT350,,T350)*(1-R350)+INDEX(Models!$BJ350:$BT350,,T350+1)*R350-ERP_i)*Q350*Ramure*Pc/MaxiM</f>
        <v>8.0369154656484692E-4</v>
      </c>
      <c r="Q350" s="304">
        <f t="shared" si="130"/>
        <v>0.6</v>
      </c>
      <c r="R350" s="177">
        <f t="shared" si="131"/>
        <v>0.99890109092617241</v>
      </c>
      <c r="S350" s="799">
        <f t="shared" si="132"/>
        <v>0</v>
      </c>
      <c r="T350" s="176">
        <f t="shared" si="133"/>
        <v>6</v>
      </c>
      <c r="U350" s="250">
        <f t="shared" si="134"/>
        <v>0.99890109092617241</v>
      </c>
      <c r="V350" s="382">
        <f t="shared" si="135"/>
        <v>27.192168686270684</v>
      </c>
      <c r="W350" s="400">
        <f t="shared" si="136"/>
        <v>5.7045411896779408</v>
      </c>
      <c r="X350" s="157">
        <f t="shared" si="137"/>
        <v>45262</v>
      </c>
      <c r="Y350" s="383">
        <f t="shared" si="138"/>
        <v>5.5856105793385051</v>
      </c>
      <c r="Z350" s="383">
        <f t="shared" si="139"/>
        <v>5.7778928814450694</v>
      </c>
      <c r="AA350" s="384">
        <f t="shared" si="140"/>
        <v>6.1003533500995628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5.2859309969189076E-2</v>
      </c>
      <c r="AD350" s="230">
        <f>(INDEX(Models!$BJ350:$BT350,,AH350)*(1-AF350)+INDEX(Models!$BJ350:$BT350,,AH350+1)*AF350-ERP_i)*AE350*Ramure*Pc/MaxiM</f>
        <v>8.0369154656484692E-4</v>
      </c>
      <c r="AE350" s="304">
        <f t="shared" si="142"/>
        <v>0.6</v>
      </c>
      <c r="AF350" s="177">
        <f t="shared" si="143"/>
        <v>0.99890109092617241</v>
      </c>
      <c r="AG350" s="799">
        <f t="shared" si="149"/>
        <v>0</v>
      </c>
      <c r="AH350" s="176">
        <f t="shared" si="144"/>
        <v>6</v>
      </c>
      <c r="AI350" s="224">
        <f t="shared" si="145"/>
        <v>0.99890109092617241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45263</v>
      </c>
      <c r="B351" s="409">
        <f>IF(t&gt;Tmaj,'2022'!Wh/'2022'!Env_an*'2023'!Env_an,0.001*'[14]mon-tableau (2)'!$B$244)</f>
        <v>11.050063277499298</v>
      </c>
      <c r="C351" s="829"/>
      <c r="D351" s="391">
        <f t="shared" si="127"/>
        <v>11.430676138755707</v>
      </c>
      <c r="E351" s="383">
        <f t="shared" si="125"/>
        <v>11.818049857031175</v>
      </c>
      <c r="F351" s="383">
        <f t="shared" si="128"/>
        <v>11.819584425267195</v>
      </c>
      <c r="G351" s="110">
        <f t="shared" si="126"/>
        <v>0.40840938002943428</v>
      </c>
      <c r="H351" s="412" t="b">
        <f>Wh_hp&gt;='2022'!Maxi_hp</f>
        <v>0</v>
      </c>
      <c r="I351" s="379">
        <f>IF(H351,Wh_hp,'2022'!Maxi_hp)</f>
        <v>19.179192393399582</v>
      </c>
      <c r="J351" s="85">
        <f>IF(H351,An,'2022'!An_max)</f>
        <v>2021</v>
      </c>
      <c r="K351" s="197">
        <f t="shared" si="129"/>
        <v>45263</v>
      </c>
      <c r="L351" s="147">
        <f>IF(t&lt;Tvie,1-EXP((T0-t)*PertePVj)+'2022'!Pspv,1-EXP((T0-t)*PertePVj)+Pspv)</f>
        <v>3.329749322228992E-2</v>
      </c>
      <c r="M351" s="832"/>
      <c r="N351" s="832"/>
      <c r="O351" s="48">
        <f>IF(t&lt;Tnet,'2022'!Resal+('2022'!Salim-'2022'!Resal)*(1-EXP(('2022'!Tnet-t)/('2022'!Tau_j))),Resal+(Salim-Resal)*(1-EXP((Tnet-t)/(Tau_j))))*Salcycl</f>
        <v>3.2778142160654229E-2</v>
      </c>
      <c r="P351" s="338">
        <f>(INDEX(Models!$BJ351:$BT351,,T351)*(1-R351)+INDEX(Models!$BJ351:$BT351,,T351+1)*R351-ERP_i)*Q351*Ramure*Pc/MaxiM</f>
        <v>8.361038202541073E-4</v>
      </c>
      <c r="Q351" s="304">
        <f t="shared" si="130"/>
        <v>0.6</v>
      </c>
      <c r="R351" s="177">
        <f t="shared" si="131"/>
        <v>0.99891624857533501</v>
      </c>
      <c r="S351" s="799">
        <f t="shared" si="132"/>
        <v>0</v>
      </c>
      <c r="T351" s="176">
        <f t="shared" si="133"/>
        <v>6</v>
      </c>
      <c r="U351" s="250">
        <f t="shared" si="134"/>
        <v>0.99891624857533501</v>
      </c>
      <c r="V351" s="382">
        <f t="shared" si="135"/>
        <v>27.03722897461811</v>
      </c>
      <c r="W351" s="400">
        <f t="shared" si="136"/>
        <v>11.050063277499298</v>
      </c>
      <c r="X351" s="157">
        <f t="shared" si="137"/>
        <v>45263</v>
      </c>
      <c r="Y351" s="383">
        <f t="shared" si="138"/>
        <v>10.820005458534469</v>
      </c>
      <c r="Z351" s="383">
        <f t="shared" si="139"/>
        <v>11.192694114966738</v>
      </c>
      <c r="AA351" s="384">
        <f t="shared" si="140"/>
        <v>11.818049857031175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5.2915307485556083E-2</v>
      </c>
      <c r="AD351" s="230">
        <f>(INDEX(Models!$BJ351:$BT351,,AH351)*(1-AF351)+INDEX(Models!$BJ351:$BT351,,AH351+1)*AF351-ERP_i)*AE351*Ramure*Pc/MaxiM</f>
        <v>8.361038202541073E-4</v>
      </c>
      <c r="AE351" s="304">
        <f t="shared" si="142"/>
        <v>0.6</v>
      </c>
      <c r="AF351" s="177">
        <f t="shared" si="143"/>
        <v>0.99891624857533501</v>
      </c>
      <c r="AG351" s="799">
        <f t="shared" si="149"/>
        <v>0</v>
      </c>
      <c r="AH351" s="176">
        <f t="shared" si="144"/>
        <v>6</v>
      </c>
      <c r="AI351" s="224">
        <f t="shared" si="145"/>
        <v>0.99891624857533501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45264</v>
      </c>
      <c r="B352" s="409">
        <f>IF(t&gt;Tmaj,'2022'!Wh/'2022'!Env_an*'2023'!Env_an,0.001*'[14]mon-tableau (2)'!$B$245)</f>
        <v>17.901545265393896</v>
      </c>
      <c r="C352" s="829"/>
      <c r="D352" s="391">
        <f t="shared" si="127"/>
        <v>18.518508254077119</v>
      </c>
      <c r="E352" s="383">
        <f t="shared" si="125"/>
        <v>19.147784724987204</v>
      </c>
      <c r="F352" s="383">
        <f t="shared" si="128"/>
        <v>19.156459974093778</v>
      </c>
      <c r="G352" s="110">
        <f t="shared" si="126"/>
        <v>0.66544233343939607</v>
      </c>
      <c r="H352" s="412" t="b">
        <f>Wh_hp&gt;='2022'!Maxi_hp</f>
        <v>0</v>
      </c>
      <c r="I352" s="379">
        <f>IF(H352,Wh_hp,'2022'!Maxi_hp)</f>
        <v>19.158831148998573</v>
      </c>
      <c r="J352" s="85">
        <f>IF(H352,An,'2022'!An_max)</f>
        <v>2022</v>
      </c>
      <c r="K352" s="197">
        <f t="shared" si="129"/>
        <v>45264</v>
      </c>
      <c r="L352" s="147">
        <f>IF(t&lt;Tvie,1-EXP((T0-t)*PertePVj)+'2022'!Pspv,1-EXP((T0-t)*PertePVj)+Pspv)</f>
        <v>3.3316019855292089E-2</v>
      </c>
      <c r="M352" s="832"/>
      <c r="N352" s="832"/>
      <c r="O352" s="48">
        <f>IF(t&lt;Tnet,'2022'!Resal+('2022'!Salim-'2022'!Resal)*(1-EXP(('2022'!Tnet-t)/('2022'!Tau_j))),Resal+(Salim-Resal)*(1-EXP((Tnet-t)/(Tau_j))))*Salcycl</f>
        <v>3.2864191860737829E-2</v>
      </c>
      <c r="P352" s="338">
        <f>(INDEX(Models!$BJ352:$BT352,,T352)*(1-R352)+INDEX(Models!$BJ352:$BT352,,T352+1)*R352-ERP_i)*Q352*Ramure*Pc/MaxiM</f>
        <v>8.66798945547836E-4</v>
      </c>
      <c r="Q352" s="304">
        <f t="shared" si="130"/>
        <v>0.6</v>
      </c>
      <c r="R352" s="177">
        <f t="shared" si="131"/>
        <v>0.99893079679697006</v>
      </c>
      <c r="S352" s="799">
        <f t="shared" si="132"/>
        <v>0</v>
      </c>
      <c r="T352" s="176">
        <f t="shared" si="133"/>
        <v>6</v>
      </c>
      <c r="U352" s="250">
        <f t="shared" si="134"/>
        <v>0.99893079679697006</v>
      </c>
      <c r="V352" s="382">
        <f t="shared" si="135"/>
        <v>26.89058226867137</v>
      </c>
      <c r="W352" s="400">
        <f t="shared" si="136"/>
        <v>17.901545265393896</v>
      </c>
      <c r="X352" s="157">
        <f t="shared" si="137"/>
        <v>45264</v>
      </c>
      <c r="Y352" s="383">
        <f t="shared" si="138"/>
        <v>17.52935097981997</v>
      </c>
      <c r="Z352" s="383">
        <f t="shared" si="139"/>
        <v>18.133486578722355</v>
      </c>
      <c r="AA352" s="384">
        <f t="shared" si="140"/>
        <v>19.147784724987204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5.2972088459989068E-2</v>
      </c>
      <c r="AD352" s="230">
        <f>(INDEX(Models!$BJ352:$BT352,,AH352)*(1-AF352)+INDEX(Models!$BJ352:$BT352,,AH352+1)*AF352-ERP_i)*AE352*Ramure*Pc/MaxiM</f>
        <v>8.66798945547836E-4</v>
      </c>
      <c r="AE352" s="304">
        <f t="shared" si="142"/>
        <v>0.6</v>
      </c>
      <c r="AF352" s="177">
        <f t="shared" si="143"/>
        <v>0.99893079679697006</v>
      </c>
      <c r="AG352" s="799">
        <f t="shared" si="149"/>
        <v>0</v>
      </c>
      <c r="AH352" s="176">
        <f t="shared" si="144"/>
        <v>6</v>
      </c>
      <c r="AI352" s="224">
        <f t="shared" si="145"/>
        <v>0.99893079679697006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45265</v>
      </c>
      <c r="B353" s="409">
        <f>IF(t&gt;Tmaj,'2022'!Wh/'2022'!Env_an*'2023'!Env_an,0.001*'[14]mon-tableau (2)'!$B$246)</f>
        <v>27.715861665404262</v>
      </c>
      <c r="C353" s="829"/>
      <c r="D353" s="391">
        <f t="shared" si="127"/>
        <v>28.671617005177822</v>
      </c>
      <c r="E353" s="383">
        <f t="shared" si="125"/>
        <v>29.648555598204155</v>
      </c>
      <c r="F353" s="383">
        <f t="shared" si="128"/>
        <v>29.675148577196847</v>
      </c>
      <c r="G353" s="110">
        <f t="shared" si="126"/>
        <v>1.0360095025616596</v>
      </c>
      <c r="H353" s="412" t="b">
        <f>Wh_hp&gt;='2022'!Maxi_hp</f>
        <v>1</v>
      </c>
      <c r="I353" s="379">
        <f>IF(H353,Wh_hp,'2022'!Maxi_hp)</f>
        <v>29.675148577196847</v>
      </c>
      <c r="J353" s="85">
        <f>IF(H353,An,'2022'!An_max)</f>
        <v>2023</v>
      </c>
      <c r="K353" s="197">
        <f t="shared" si="129"/>
        <v>45265</v>
      </c>
      <c r="L353" s="147">
        <f>IF(t&lt;Tvie,1-EXP((T0-t)*PertePVj)+'2022'!Pspv,1-EXP((T0-t)*PertePVj)+Pspv)</f>
        <v>3.3334546133235499E-2</v>
      </c>
      <c r="M353" s="832"/>
      <c r="N353" s="832"/>
      <c r="O353" s="48">
        <f>IF(t&lt;Tnet,'2022'!Resal+('2022'!Salim-'2022'!Resal)*(1-EXP(('2022'!Tnet-t)/('2022'!Tau_j))),Resal+(Salim-Resal)*(1-EXP((Tnet-t)/(Tau_j))))*Salcycl</f>
        <v>3.2950630252136411E-2</v>
      </c>
      <c r="P353" s="338">
        <f>(INDEX(Models!$BJ353:$BT353,,T353)*(1-R353)+INDEX(Models!$BJ353:$BT353,,T353+1)*R353-ERP_i)*Q353*Ramure*Pc/MaxiM</f>
        <v>8.9613633857675448E-4</v>
      </c>
      <c r="Q353" s="304">
        <f t="shared" si="130"/>
        <v>0.6</v>
      </c>
      <c r="R353" s="177">
        <f t="shared" si="131"/>
        <v>0.99894476006033894</v>
      </c>
      <c r="S353" s="799">
        <f t="shared" si="132"/>
        <v>0</v>
      </c>
      <c r="T353" s="176">
        <f t="shared" si="133"/>
        <v>6</v>
      </c>
      <c r="U353" s="250">
        <f t="shared" si="134"/>
        <v>0.99894476006033894</v>
      </c>
      <c r="V353" s="382">
        <f t="shared" si="135"/>
        <v>26.752516841663542</v>
      </c>
      <c r="W353" s="400">
        <f t="shared" si="136"/>
        <v>27.715861665404262</v>
      </c>
      <c r="X353" s="157">
        <f t="shared" si="137"/>
        <v>45265</v>
      </c>
      <c r="Y353" s="383">
        <f t="shared" si="138"/>
        <v>27.140392560522677</v>
      </c>
      <c r="Z353" s="383">
        <f t="shared" si="139"/>
        <v>28.076303391166224</v>
      </c>
      <c r="AA353" s="384">
        <f t="shared" si="140"/>
        <v>29.648555598204155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5.3029639229142167E-2</v>
      </c>
      <c r="AD353" s="230">
        <f>(INDEX(Models!$BJ353:$BT353,,AH353)*(1-AF353)+INDEX(Models!$BJ353:$BT353,,AH353+1)*AF353-ERP_i)*AE353*Ramure*Pc/MaxiM</f>
        <v>8.9613633857675448E-4</v>
      </c>
      <c r="AE353" s="304">
        <f t="shared" si="142"/>
        <v>0.6</v>
      </c>
      <c r="AF353" s="177">
        <f t="shared" si="143"/>
        <v>0.99894476006033894</v>
      </c>
      <c r="AG353" s="799">
        <f t="shared" si="149"/>
        <v>0</v>
      </c>
      <c r="AH353" s="176">
        <f t="shared" si="144"/>
        <v>6</v>
      </c>
      <c r="AI353" s="224">
        <f t="shared" si="145"/>
        <v>0.99894476006033894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45266</v>
      </c>
      <c r="B354" s="409">
        <f>IF(t&gt;Tmaj,'2022'!Wh/'2022'!Env_an*'2023'!Env_an,0.001*'[14]mon-tableau (2)'!$B$247)</f>
        <v>12.463544761615431</v>
      </c>
      <c r="C354" s="829"/>
      <c r="D354" s="391">
        <f t="shared" si="127"/>
        <v>12.89358544605969</v>
      </c>
      <c r="E354" s="383">
        <f t="shared" si="125"/>
        <v>13.334110452518358</v>
      </c>
      <c r="F354" s="383">
        <f t="shared" si="128"/>
        <v>13.337070936655495</v>
      </c>
      <c r="G354" s="110">
        <f t="shared" si="126"/>
        <v>0.46781493257487067</v>
      </c>
      <c r="H354" s="412" t="b">
        <f>Wh_hp&gt;='2022'!Maxi_hp</f>
        <v>0</v>
      </c>
      <c r="I354" s="379">
        <f>IF(H354,Wh_hp,'2022'!Maxi_hp)</f>
        <v>22.171647596043584</v>
      </c>
      <c r="J354" s="85">
        <f>IF(H354,An,'2022'!An_max)</f>
        <v>2020</v>
      </c>
      <c r="K354" s="197">
        <f t="shared" si="129"/>
        <v>45266</v>
      </c>
      <c r="L354" s="147">
        <f>IF(t&lt;Tvie,1-EXP((T0-t)*PertePVj)+'2022'!Pspv,1-EXP((T0-t)*PertePVj)+Pspv)</f>
        <v>3.3353072056127031E-2</v>
      </c>
      <c r="M354" s="832"/>
      <c r="N354" s="832"/>
      <c r="O354" s="48">
        <f>IF(t&lt;Tnet,'2022'!Resal+('2022'!Salim-'2022'!Resal)*(1-EXP(('2022'!Tnet-t)/('2022'!Tau_j))),Resal+(Salim-Resal)*(1-EXP((Tnet-t)/(Tau_j))))*Salcycl</f>
        <v>3.303744993168755E-2</v>
      </c>
      <c r="P354" s="338">
        <f>(INDEX(Models!$BJ354:$BT354,,T354)*(1-R354)+INDEX(Models!$BJ354:$BT354,,T354+1)*R354-ERP_i)*Q354*Ramure*Pc/MaxiM</f>
        <v>9.2410157836355982E-4</v>
      </c>
      <c r="Q354" s="304">
        <f t="shared" si="130"/>
        <v>0.6</v>
      </c>
      <c r="R354" s="177">
        <f t="shared" si="131"/>
        <v>0.99895816185486197</v>
      </c>
      <c r="S354" s="799">
        <f t="shared" si="132"/>
        <v>0</v>
      </c>
      <c r="T354" s="176">
        <f t="shared" si="133"/>
        <v>6</v>
      </c>
      <c r="U354" s="250">
        <f t="shared" si="134"/>
        <v>0.99895816185486197</v>
      </c>
      <c r="V354" s="382">
        <f t="shared" si="135"/>
        <v>26.623331052546966</v>
      </c>
      <c r="W354" s="400">
        <f t="shared" si="136"/>
        <v>12.463544761615431</v>
      </c>
      <c r="X354" s="157">
        <f t="shared" si="137"/>
        <v>45266</v>
      </c>
      <c r="Y354" s="383">
        <f t="shared" si="138"/>
        <v>12.205106391937402</v>
      </c>
      <c r="Z354" s="383">
        <f t="shared" si="139"/>
        <v>12.626229949231345</v>
      </c>
      <c r="AA354" s="384">
        <f t="shared" si="140"/>
        <v>13.334110452518358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5.3087943572067815E-2</v>
      </c>
      <c r="AD354" s="230">
        <f>(INDEX(Models!$BJ354:$BT354,,AH354)*(1-AF354)+INDEX(Models!$BJ354:$BT354,,AH354+1)*AF354-ERP_i)*AE354*Ramure*Pc/MaxiM</f>
        <v>9.2410157836355982E-4</v>
      </c>
      <c r="AE354" s="304">
        <f t="shared" si="142"/>
        <v>0.6</v>
      </c>
      <c r="AF354" s="177">
        <f t="shared" si="143"/>
        <v>0.99895816185486197</v>
      </c>
      <c r="AG354" s="799">
        <f t="shared" si="149"/>
        <v>0</v>
      </c>
      <c r="AH354" s="176">
        <f t="shared" si="144"/>
        <v>6</v>
      </c>
      <c r="AI354" s="224">
        <f t="shared" si="145"/>
        <v>0.99895816185486197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45267</v>
      </c>
      <c r="B355" s="409">
        <f>IF(t&gt;Tmaj,'2022'!Wh/'2022'!Env_an*'2023'!Env_an,0.001*'[14]mon-tableau (2)'!$B$248)</f>
        <v>22.893083738345229</v>
      </c>
      <c r="C355" s="829"/>
      <c r="D355" s="391">
        <f t="shared" si="127"/>
        <v>23.683437898237578</v>
      </c>
      <c r="E355" s="383">
        <f t="shared" si="125"/>
        <v>24.494820041084527</v>
      </c>
      <c r="F355" s="383">
        <f t="shared" si="128"/>
        <v>24.513589556196198</v>
      </c>
      <c r="G355" s="110">
        <f t="shared" si="126"/>
        <v>0.86362170740770927</v>
      </c>
      <c r="H355" s="412" t="b">
        <f>Wh_hp&gt;='2022'!Maxi_hp</f>
        <v>0</v>
      </c>
      <c r="I355" s="379">
        <f>IF(H355,Wh_hp,'2022'!Maxi_hp)</f>
        <v>24.51491938242404</v>
      </c>
      <c r="J355" s="85">
        <f>IF(H355,An,'2022'!An_max)</f>
        <v>2022</v>
      </c>
      <c r="K355" s="197">
        <f t="shared" si="129"/>
        <v>45267</v>
      </c>
      <c r="L355" s="147">
        <f>IF(t&lt;Tvie,1-EXP((T0-t)*PertePVj)+'2022'!Pspv,1-EXP((T0-t)*PertePVj)+Pspv)</f>
        <v>3.3371597623973459E-2</v>
      </c>
      <c r="M355" s="832"/>
      <c r="N355" s="832"/>
      <c r="O355" s="48">
        <f>IF(t&lt;Tnet,'2022'!Resal+('2022'!Salim-'2022'!Resal)*(1-EXP(('2022'!Tnet-t)/('2022'!Tau_j))),Resal+(Salim-Resal)*(1-EXP((Tnet-t)/(Tau_j))))*Salcycl</f>
        <v>3.3124641923722505E-2</v>
      </c>
      <c r="P355" s="338">
        <f>(INDEX(Models!$BJ355:$BT355,,T355)*(1-R355)+INDEX(Models!$BJ355:$BT355,,T355+1)*R355-ERP_i)*Q355*Ramure*Pc/MaxiM</f>
        <v>9.5067760372847957E-4</v>
      </c>
      <c r="Q355" s="304">
        <f t="shared" si="130"/>
        <v>0.6</v>
      </c>
      <c r="R355" s="177">
        <f t="shared" si="131"/>
        <v>0.99897102472914701</v>
      </c>
      <c r="S355" s="799">
        <f t="shared" si="132"/>
        <v>0</v>
      </c>
      <c r="T355" s="176">
        <f t="shared" si="133"/>
        <v>6</v>
      </c>
      <c r="U355" s="250">
        <f t="shared" si="134"/>
        <v>0.99897102472914701</v>
      </c>
      <c r="V355" s="382">
        <f t="shared" si="135"/>
        <v>26.503323253994136</v>
      </c>
      <c r="W355" s="400">
        <f t="shared" si="136"/>
        <v>22.893083738345229</v>
      </c>
      <c r="X355" s="157">
        <f t="shared" si="137"/>
        <v>45267</v>
      </c>
      <c r="Y355" s="383">
        <f t="shared" si="138"/>
        <v>22.419006987652814</v>
      </c>
      <c r="Z355" s="383">
        <f t="shared" si="139"/>
        <v>23.1929942597855</v>
      </c>
      <c r="AA355" s="384">
        <f t="shared" si="140"/>
        <v>24.494820041084527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5.3146982877012659E-2</v>
      </c>
      <c r="AD355" s="230">
        <f>(INDEX(Models!$BJ355:$BT355,,AH355)*(1-AF355)+INDEX(Models!$BJ355:$BT355,,AH355+1)*AF355-ERP_i)*AE355*Ramure*Pc/MaxiM</f>
        <v>9.5067760372847957E-4</v>
      </c>
      <c r="AE355" s="304">
        <f t="shared" si="142"/>
        <v>0.6</v>
      </c>
      <c r="AF355" s="177">
        <f t="shared" si="143"/>
        <v>0.99897102472914701</v>
      </c>
      <c r="AG355" s="799">
        <f t="shared" si="149"/>
        <v>0</v>
      </c>
      <c r="AH355" s="176">
        <f t="shared" si="144"/>
        <v>6</v>
      </c>
      <c r="AI355" s="224">
        <f t="shared" si="145"/>
        <v>0.99897102472914701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45268</v>
      </c>
      <c r="B356" s="409">
        <f>IF(t&gt;Tmaj,'2022'!Wh/'2022'!Env_an*'2023'!Env_an,0.001*'[14]mon-tableau (2)'!$B$249)</f>
        <v>4.2071094664235575</v>
      </c>
      <c r="C356" s="829"/>
      <c r="D356" s="391">
        <f t="shared" si="127"/>
        <v>4.3524379026319009</v>
      </c>
      <c r="E356" s="383">
        <f t="shared" si="125"/>
        <v>4.5019578067064661</v>
      </c>
      <c r="F356" s="383">
        <f t="shared" si="128"/>
        <v>4.5019578067064661</v>
      </c>
      <c r="G356" s="110">
        <f t="shared" si="126"/>
        <v>0.1592481771519394</v>
      </c>
      <c r="H356" s="412" t="b">
        <f>Wh_hp&gt;='2022'!Maxi_hp</f>
        <v>0</v>
      </c>
      <c r="I356" s="379">
        <f>IF(H356,Wh_hp,'2022'!Maxi_hp)</f>
        <v>18.001380759086484</v>
      </c>
      <c r="J356" s="85">
        <f>IF(H356,An,'2022'!An_max)</f>
        <v>2018</v>
      </c>
      <c r="K356" s="197">
        <f t="shared" si="129"/>
        <v>45268</v>
      </c>
      <c r="L356" s="147">
        <f>IF(t&lt;Tvie,1-EXP((T0-t)*PertePVj)+'2022'!Pspv,1-EXP((T0-t)*PertePVj)+Pspv)</f>
        <v>3.3390122836781555E-2</v>
      </c>
      <c r="M356" s="832"/>
      <c r="N356" s="832"/>
      <c r="O356" s="48">
        <f>IF(t&lt;Tnet,'2022'!Resal+('2022'!Salim-'2022'!Resal)*(1-EXP(('2022'!Tnet-t)/('2022'!Tau_j))),Resal+(Salim-Resal)*(1-EXP((Tnet-t)/(Tau_j))))*Salcycl</f>
        <v>3.3212195781095084E-2</v>
      </c>
      <c r="P356" s="338">
        <f>(INDEX(Models!$BJ356:$BT356,,T356)*(1-R356)+INDEX(Models!$BJ356:$BT356,,T356+1)*R356-ERP_i)*Q356*Ramure*Pc/MaxiM</f>
        <v>9.7584489360025295E-4</v>
      </c>
      <c r="Q356" s="304">
        <f t="shared" si="130"/>
        <v>0.6</v>
      </c>
      <c r="R356" s="177">
        <f t="shared" si="131"/>
        <v>0.99898337032848095</v>
      </c>
      <c r="S356" s="799">
        <f t="shared" si="132"/>
        <v>0</v>
      </c>
      <c r="T356" s="176">
        <f t="shared" si="133"/>
        <v>6</v>
      </c>
      <c r="U356" s="250">
        <f t="shared" si="134"/>
        <v>0.99898337032848095</v>
      </c>
      <c r="V356" s="382">
        <f t="shared" si="135"/>
        <v>26.392791775090942</v>
      </c>
      <c r="W356" s="400">
        <f t="shared" si="136"/>
        <v>4.2071094664235575</v>
      </c>
      <c r="X356" s="157">
        <f t="shared" si="137"/>
        <v>45268</v>
      </c>
      <c r="Y356" s="383">
        <f t="shared" si="138"/>
        <v>4.1201004863646684</v>
      </c>
      <c r="Z356" s="383">
        <f t="shared" si="139"/>
        <v>4.2624233247607943</v>
      </c>
      <c r="AA356" s="384">
        <f t="shared" si="140"/>
        <v>4.5019578067064661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5.3206736320105516E-2</v>
      </c>
      <c r="AD356" s="230">
        <f>(INDEX(Models!$BJ356:$BT356,,AH356)*(1-AF356)+INDEX(Models!$BJ356:$BT356,,AH356+1)*AF356-ERP_i)*AE356*Ramure*Pc/MaxiM</f>
        <v>9.7584489360025295E-4</v>
      </c>
      <c r="AE356" s="304">
        <f t="shared" si="142"/>
        <v>0.6</v>
      </c>
      <c r="AF356" s="177">
        <f t="shared" si="143"/>
        <v>0.99898337032848095</v>
      </c>
      <c r="AG356" s="799">
        <f t="shared" si="149"/>
        <v>0</v>
      </c>
      <c r="AH356" s="176">
        <f t="shared" si="144"/>
        <v>6</v>
      </c>
      <c r="AI356" s="224">
        <f t="shared" si="145"/>
        <v>0.99898337032848095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45269</v>
      </c>
      <c r="B357" s="409">
        <f>IF(t&gt;Tmaj,'2022'!Wh/'2022'!Env_an*'2023'!Env_an,0.001*'[14]mon-tableau (2)'!$B$250)</f>
        <v>5.0836361583501608</v>
      </c>
      <c r="C357" s="829"/>
      <c r="D357" s="391">
        <f t="shared" si="127"/>
        <v>5.2593437197891859</v>
      </c>
      <c r="E357" s="383">
        <f t="shared" si="125"/>
        <v>5.4405133569616408</v>
      </c>
      <c r="F357" s="383">
        <f t="shared" si="128"/>
        <v>5.4405133569616408</v>
      </c>
      <c r="G357" s="110">
        <f t="shared" si="126"/>
        <v>0.19315943639345112</v>
      </c>
      <c r="H357" s="412" t="b">
        <f>Wh_hp&gt;='2022'!Maxi_hp</f>
        <v>0</v>
      </c>
      <c r="I357" s="379">
        <f>IF(H357,Wh_hp,'2022'!Maxi_hp)</f>
        <v>12.508888202524682</v>
      </c>
      <c r="J357" s="85">
        <f>IF(H357,An,'2022'!An_max)</f>
        <v>2018</v>
      </c>
      <c r="K357" s="197">
        <f t="shared" si="129"/>
        <v>45269</v>
      </c>
      <c r="L357" s="147">
        <f>IF(t&lt;Tvie,1-EXP((T0-t)*PertePVj)+'2022'!Pspv,1-EXP((T0-t)*PertePVj)+Pspv)</f>
        <v>3.3408647694558313E-2</v>
      </c>
      <c r="M357" s="832"/>
      <c r="N357" s="832"/>
      <c r="O357" s="48">
        <f>IF(t&lt;Tnet,'2022'!Resal+('2022'!Salim-'2022'!Resal)*(1-EXP(('2022'!Tnet-t)/('2022'!Tau_j))),Resal+(Salim-Resal)*(1-EXP((Tnet-t)/(Tau_j))))*Salcycl</f>
        <v>3.33000996938334E-2</v>
      </c>
      <c r="P357" s="338">
        <f>(INDEX(Models!$BJ357:$BT357,,T357)*(1-R357)+INDEX(Models!$BJ357:$BT357,,T357+1)*R357-ERP_i)*Q357*Ramure*Pc/MaxiM</f>
        <v>9.9958169923692209E-4</v>
      </c>
      <c r="Q357" s="304">
        <f t="shared" si="130"/>
        <v>0.6</v>
      </c>
      <c r="R357" s="177">
        <f t="shared" si="131"/>
        <v>0.99899521943084113</v>
      </c>
      <c r="S357" s="799">
        <f t="shared" si="132"/>
        <v>0</v>
      </c>
      <c r="T357" s="176">
        <f t="shared" si="133"/>
        <v>6</v>
      </c>
      <c r="U357" s="250">
        <f t="shared" si="134"/>
        <v>0.99899521943084113</v>
      </c>
      <c r="V357" s="382">
        <f t="shared" si="135"/>
        <v>26.29203492981862</v>
      </c>
      <c r="W357" s="400">
        <f t="shared" si="136"/>
        <v>5.0836361583501608</v>
      </c>
      <c r="X357" s="157">
        <f t="shared" si="137"/>
        <v>45269</v>
      </c>
      <c r="Y357" s="383">
        <f t="shared" si="138"/>
        <v>4.9786342060904278</v>
      </c>
      <c r="Z357" s="383">
        <f t="shared" si="139"/>
        <v>5.1507125469473323</v>
      </c>
      <c r="AA357" s="384">
        <f t="shared" si="140"/>
        <v>5.4405133569616408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5.3267181054427702E-2</v>
      </c>
      <c r="AD357" s="230">
        <f>(INDEX(Models!$BJ357:$BT357,,AH357)*(1-AF357)+INDEX(Models!$BJ357:$BT357,,AH357+1)*AF357-ERP_i)*AE357*Ramure*Pc/MaxiM</f>
        <v>9.9958169923692209E-4</v>
      </c>
      <c r="AE357" s="304">
        <f t="shared" si="142"/>
        <v>0.6</v>
      </c>
      <c r="AF357" s="177">
        <f t="shared" si="143"/>
        <v>0.99899521943084113</v>
      </c>
      <c r="AG357" s="799">
        <f t="shared" si="149"/>
        <v>0</v>
      </c>
      <c r="AH357" s="176">
        <f t="shared" si="144"/>
        <v>6</v>
      </c>
      <c r="AI357" s="224">
        <f t="shared" si="145"/>
        <v>0.99899521943084113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45270</v>
      </c>
      <c r="B358" s="409">
        <f>IF(t&gt;Tmaj,'2022'!Wh/'2022'!Env_an*'2023'!Env_an,0.001*'[14]mon-tableau (2)'!$B$251)</f>
        <v>11.751792184615766</v>
      </c>
      <c r="C358" s="829"/>
      <c r="D358" s="391">
        <f t="shared" si="127"/>
        <v>12.158206651982054</v>
      </c>
      <c r="E358" s="383">
        <f t="shared" si="125"/>
        <v>12.578170906385813</v>
      </c>
      <c r="F358" s="383">
        <f t="shared" si="128"/>
        <v>12.58089854974485</v>
      </c>
      <c r="G358" s="110">
        <f t="shared" si="126"/>
        <v>0.44815739785724767</v>
      </c>
      <c r="H358" s="412" t="b">
        <f>Wh_hp&gt;='2022'!Maxi_hp</f>
        <v>0</v>
      </c>
      <c r="I358" s="379">
        <f>IF(H358,Wh_hp,'2022'!Maxi_hp)</f>
        <v>24.237624658257118</v>
      </c>
      <c r="J358" s="85">
        <f>IF(H358,An,'2022'!An_max)</f>
        <v>2018</v>
      </c>
      <c r="K358" s="197">
        <f t="shared" si="129"/>
        <v>45270</v>
      </c>
      <c r="L358" s="147">
        <f>IF(t&lt;Tvie,1-EXP((T0-t)*PertePVj)+'2022'!Pspv,1-EXP((T0-t)*PertePVj)+Pspv)</f>
        <v>3.3427172197310284E-2</v>
      </c>
      <c r="M358" s="832"/>
      <c r="N358" s="832"/>
      <c r="O358" s="48">
        <f>IF(t&lt;Tnet,'2022'!Resal+('2022'!Salim-'2022'!Resal)*(1-EXP(('2022'!Tnet-t)/('2022'!Tau_j))),Resal+(Salim-Resal)*(1-EXP((Tnet-t)/(Tau_j))))*Salcycl</f>
        <v>3.3388340604479004E-2</v>
      </c>
      <c r="P358" s="338">
        <f>(INDEX(Models!$BJ358:$BT358,,T358)*(1-R358)+INDEX(Models!$BJ358:$BT358,,T358+1)*R358-ERP_i)*Q358*Ramure*Pc/MaxiM</f>
        <v>1.0218643289233067E-3</v>
      </c>
      <c r="Q358" s="304">
        <f t="shared" si="130"/>
        <v>0.6</v>
      </c>
      <c r="R358" s="177">
        <f t="shared" si="131"/>
        <v>0.99900659198148567</v>
      </c>
      <c r="S358" s="799">
        <f t="shared" si="132"/>
        <v>0</v>
      </c>
      <c r="T358" s="176">
        <f t="shared" si="133"/>
        <v>6</v>
      </c>
      <c r="U358" s="250">
        <f t="shared" si="134"/>
        <v>0.99900659198148567</v>
      </c>
      <c r="V358" s="382">
        <f t="shared" si="135"/>
        <v>26.201350994309706</v>
      </c>
      <c r="W358" s="400">
        <f t="shared" si="136"/>
        <v>11.751792184615766</v>
      </c>
      <c r="X358" s="157">
        <f t="shared" si="137"/>
        <v>45270</v>
      </c>
      <c r="Y358" s="383">
        <f t="shared" si="138"/>
        <v>11.509367869238227</v>
      </c>
      <c r="Z358" s="383">
        <f t="shared" si="139"/>
        <v>11.90739853033369</v>
      </c>
      <c r="AA358" s="384">
        <f t="shared" si="140"/>
        <v>12.578170906385813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5.3328292407887119E-2</v>
      </c>
      <c r="AD358" s="230">
        <f>(INDEX(Models!$BJ358:$BT358,,AH358)*(1-AF358)+INDEX(Models!$BJ358:$BT358,,AH358+1)*AF358-ERP_i)*AE358*Ramure*Pc/MaxiM</f>
        <v>1.0218643289233067E-3</v>
      </c>
      <c r="AE358" s="304">
        <f t="shared" si="142"/>
        <v>0.6</v>
      </c>
      <c r="AF358" s="177">
        <f t="shared" si="143"/>
        <v>0.99900659198148567</v>
      </c>
      <c r="AG358" s="799">
        <f t="shared" si="149"/>
        <v>0</v>
      </c>
      <c r="AH358" s="176">
        <f t="shared" si="144"/>
        <v>6</v>
      </c>
      <c r="AI358" s="224">
        <f t="shared" si="145"/>
        <v>0.99900659198148567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45271</v>
      </c>
      <c r="B359" s="409">
        <f>IF(t&gt;Tmaj,'2022'!Wh/'2022'!Env_an*'2023'!Env_an,0.001*'[14]mon-tableau (2)'!$B$252)</f>
        <v>18.489482337881359</v>
      </c>
      <c r="C359" s="829"/>
      <c r="D359" s="391">
        <f t="shared" si="127"/>
        <v>19.129274235254773</v>
      </c>
      <c r="E359" s="383">
        <f t="shared" si="125"/>
        <v>19.791843899991882</v>
      </c>
      <c r="F359" s="383">
        <f t="shared" si="128"/>
        <v>19.80387620157266</v>
      </c>
      <c r="G359" s="110">
        <f t="shared" si="126"/>
        <v>0.70756761369555421</v>
      </c>
      <c r="H359" s="412" t="b">
        <f>Wh_hp&gt;='2022'!Maxi_hp</f>
        <v>0</v>
      </c>
      <c r="I359" s="379">
        <f>IF(H359,Wh_hp,'2022'!Maxi_hp)</f>
        <v>19.806310126672773</v>
      </c>
      <c r="J359" s="85">
        <f>IF(H359,An,'2022'!An_max)</f>
        <v>2022</v>
      </c>
      <c r="K359" s="197">
        <f t="shared" si="129"/>
        <v>45271</v>
      </c>
      <c r="L359" s="147">
        <f>IF(t&lt;Tvie,1-EXP((T0-t)*PertePVj)+'2022'!Pspv,1-EXP((T0-t)*PertePVj)+Pspv)</f>
        <v>3.3445696345044462E-2</v>
      </c>
      <c r="M359" s="832"/>
      <c r="N359" s="832"/>
      <c r="O359" s="48">
        <f>IF(t&lt;Tnet,'2022'!Resal+('2022'!Salim-'2022'!Resal)*(1-EXP(('2022'!Tnet-t)/('2022'!Tau_j))),Resal+(Salim-Resal)*(1-EXP((Tnet-t)/(Tau_j))))*Salcycl</f>
        <v>3.3476904329130294E-2</v>
      </c>
      <c r="P359" s="338">
        <f>(INDEX(Models!$BJ359:$BT359,,T359)*(1-R359)+INDEX(Models!$BJ359:$BT359,,T359+1)*R359-ERP_i)*Q359*Ramure*Pc/MaxiM</f>
        <v>1.0427220865796112E-3</v>
      </c>
      <c r="Q359" s="304">
        <f t="shared" si="130"/>
        <v>0.6</v>
      </c>
      <c r="R359" s="177">
        <f t="shared" si="131"/>
        <v>0.99901750712617687</v>
      </c>
      <c r="S359" s="799">
        <f t="shared" si="132"/>
        <v>0</v>
      </c>
      <c r="T359" s="176">
        <f t="shared" si="133"/>
        <v>6</v>
      </c>
      <c r="U359" s="250">
        <f t="shared" si="134"/>
        <v>0.99901750712617687</v>
      </c>
      <c r="V359" s="382">
        <f t="shared" si="135"/>
        <v>26.119668860655786</v>
      </c>
      <c r="W359" s="400">
        <f t="shared" si="136"/>
        <v>18.489482337881359</v>
      </c>
      <c r="X359" s="157">
        <f t="shared" si="137"/>
        <v>45271</v>
      </c>
      <c r="Y359" s="383">
        <f t="shared" si="138"/>
        <v>18.108546126923393</v>
      </c>
      <c r="Z359" s="383">
        <f t="shared" si="139"/>
        <v>18.735156481583321</v>
      </c>
      <c r="AA359" s="384">
        <f t="shared" si="140"/>
        <v>19.791843899991882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5.3390044088261729E-2</v>
      </c>
      <c r="AD359" s="230">
        <f>(INDEX(Models!$BJ359:$BT359,,AH359)*(1-AF359)+INDEX(Models!$BJ359:$BT359,,AH359+1)*AF359-ERP_i)*AE359*Ramure*Pc/MaxiM</f>
        <v>1.0427220865796112E-3</v>
      </c>
      <c r="AE359" s="304">
        <f t="shared" si="142"/>
        <v>0.6</v>
      </c>
      <c r="AF359" s="177">
        <f t="shared" si="143"/>
        <v>0.99901750712617687</v>
      </c>
      <c r="AG359" s="799">
        <f t="shared" si="149"/>
        <v>0</v>
      </c>
      <c r="AH359" s="176">
        <f t="shared" si="144"/>
        <v>6</v>
      </c>
      <c r="AI359" s="224">
        <f t="shared" si="145"/>
        <v>0.99901750712617687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45272</v>
      </c>
      <c r="B360" s="409">
        <f>IF(t&gt;Tmaj,'2022'!Wh/'2022'!Env_an*'2023'!Env_an,0.001*'[14]mon-tableau (2)'!$B$253)</f>
        <v>7.1278740725880736</v>
      </c>
      <c r="C360" s="829"/>
      <c r="D360" s="391">
        <f t="shared" si="127"/>
        <v>7.3746613639114971</v>
      </c>
      <c r="E360" s="383">
        <f t="shared" si="125"/>
        <v>7.6307949142887841</v>
      </c>
      <c r="F360" s="383">
        <f t="shared" si="128"/>
        <v>7.6307949142887841</v>
      </c>
      <c r="G360" s="110">
        <f t="shared" si="126"/>
        <v>0.27337513012538928</v>
      </c>
      <c r="H360" s="412" t="b">
        <f>Wh_hp&gt;='2022'!Maxi_hp</f>
        <v>0</v>
      </c>
      <c r="I360" s="379">
        <f>IF(H360,Wh_hp,'2022'!Maxi_hp)</f>
        <v>26.814406326002654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3.3464220137767509E-2</v>
      </c>
      <c r="M360" s="832"/>
      <c r="N360" s="832"/>
      <c r="O360" s="48">
        <f>IF(t&lt;Tnet,'2022'!Resal+('2022'!Salim-'2022'!Resal)*(1-EXP(('2022'!Tnet-t)/('2022'!Tau_j))),Resal+(Salim-Resal)*(1-EXP((Tnet-t)/(Tau_j))))*Salcycl</f>
        <v>3.356577568316943E-2</v>
      </c>
      <c r="P360" s="338">
        <f>(INDEX(Models!$BJ360:$BT360,,T360)*(1-R360)+INDEX(Models!$BJ360:$BT360,,T360+1)*R360-ERP_i)*Q360*Ramure*Pc/MaxiM</f>
        <v>1.0621881781156979E-3</v>
      </c>
      <c r="Q360" s="304">
        <f t="shared" si="130"/>
        <v>0.6</v>
      </c>
      <c r="R360" s="177">
        <f t="shared" si="131"/>
        <v>0.99902798324309172</v>
      </c>
      <c r="S360" s="799">
        <f t="shared" si="132"/>
        <v>0</v>
      </c>
      <c r="T360" s="176">
        <f t="shared" si="133"/>
        <v>6</v>
      </c>
      <c r="U360" s="250">
        <f t="shared" si="134"/>
        <v>0.99902798324309172</v>
      </c>
      <c r="V360" s="382">
        <f t="shared" si="135"/>
        <v>26.045905952553902</v>
      </c>
      <c r="W360" s="400">
        <f t="shared" si="136"/>
        <v>7.1278740725880736</v>
      </c>
      <c r="X360" s="157">
        <f t="shared" si="137"/>
        <v>45272</v>
      </c>
      <c r="Y360" s="383">
        <f t="shared" si="138"/>
        <v>6.9812014795422863</v>
      </c>
      <c r="Z360" s="383">
        <f t="shared" si="139"/>
        <v>7.2229105481613614</v>
      </c>
      <c r="AA360" s="384">
        <f t="shared" si="140"/>
        <v>7.6307949142887841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5.3452408393737987E-2</v>
      </c>
      <c r="AD360" s="230">
        <f>(INDEX(Models!$BJ360:$BT360,,AH360)*(1-AF360)+INDEX(Models!$BJ360:$BT360,,AH360+1)*AF360-ERP_i)*AE360*Ramure*Pc/MaxiM</f>
        <v>1.0621881781156979E-3</v>
      </c>
      <c r="AE360" s="304">
        <f t="shared" si="142"/>
        <v>0.6</v>
      </c>
      <c r="AF360" s="177">
        <f t="shared" si="143"/>
        <v>0.99902798324309172</v>
      </c>
      <c r="AG360" s="799">
        <f t="shared" si="149"/>
        <v>0</v>
      </c>
      <c r="AH360" s="176">
        <f t="shared" si="144"/>
        <v>6</v>
      </c>
      <c r="AI360" s="224">
        <f t="shared" si="145"/>
        <v>0.99902798324309172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45273</v>
      </c>
      <c r="B361" s="409">
        <f>IF(t&gt;Tmaj,'2022'!Wh/'2022'!Env_an*'2023'!Env_an,0.001*'[14]mon-tableau (2)'!$B$254)</f>
        <v>5.5321407076332392</v>
      </c>
      <c r="C361" s="829"/>
      <c r="D361" s="391">
        <f t="shared" si="127"/>
        <v>5.7237888623929676</v>
      </c>
      <c r="E361" s="383">
        <f t="shared" ref="E361:E379" si="150">Wh_pvt/(1-Psa)</f>
        <v>5.9231314890392266</v>
      </c>
      <c r="F361" s="383">
        <f t="shared" si="128"/>
        <v>5.9231314890392266</v>
      </c>
      <c r="G361" s="110">
        <f t="shared" ref="G361:G379" si="151">+Wh_hp/MaxiM</f>
        <v>0.21270560550947912</v>
      </c>
      <c r="H361" s="412" t="b">
        <f>Wh_hp&gt;='2022'!Maxi_hp</f>
        <v>0</v>
      </c>
      <c r="I361" s="379">
        <f>IF(H361,Wh_hp,'2022'!Maxi_hp)</f>
        <v>28.151976192045886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3.3482743575486307E-2</v>
      </c>
      <c r="M361" s="832"/>
      <c r="N361" s="832"/>
      <c r="O361" s="48">
        <f>IF(t&lt;Tnet,'2022'!Resal+('2022'!Salim-'2022'!Resal)*(1-EXP(('2022'!Tnet-t)/('2022'!Tau_j))),Resal+(Salim-Resal)*(1-EXP((Tnet-t)/(Tau_j))))*Salcycl</f>
        <v>3.3654938610622277E-2</v>
      </c>
      <c r="P361" s="338">
        <f>(INDEX(Models!$BJ361:$BT361,,T361)*(1-R361)+INDEX(Models!$BJ361:$BT361,,T361+1)*R361-ERP_i)*Q361*Ramure*Pc/MaxiM</f>
        <v>1.0799571264377725E-3</v>
      </c>
      <c r="Q361" s="304">
        <f t="shared" si="130"/>
        <v>0.6</v>
      </c>
      <c r="R361" s="177">
        <f t="shared" si="131"/>
        <v>0.99903803797346757</v>
      </c>
      <c r="S361" s="799">
        <f t="shared" si="132"/>
        <v>0</v>
      </c>
      <c r="T361" s="176">
        <f t="shared" si="133"/>
        <v>6</v>
      </c>
      <c r="U361" s="250">
        <f t="shared" si="134"/>
        <v>0.99903803797346757</v>
      </c>
      <c r="V361" s="382">
        <f t="shared" si="135"/>
        <v>25.980350727547251</v>
      </c>
      <c r="W361" s="400">
        <f t="shared" si="136"/>
        <v>5.5321407076332392</v>
      </c>
      <c r="X361" s="157">
        <f t="shared" si="137"/>
        <v>45273</v>
      </c>
      <c r="Y361" s="383">
        <f t="shared" si="138"/>
        <v>5.4184436130198836</v>
      </c>
      <c r="Z361" s="383">
        <f t="shared" si="139"/>
        <v>5.60615299623786</v>
      </c>
      <c r="AA361" s="384">
        <f t="shared" si="140"/>
        <v>5.9231314890392266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5.3515356427243949E-2</v>
      </c>
      <c r="AD361" s="230">
        <f>(INDEX(Models!$BJ361:$BT361,,AH361)*(1-AF361)+INDEX(Models!$BJ361:$BT361,,AH361+1)*AF361-ERP_i)*AE361*Ramure*Pc/MaxiM</f>
        <v>1.0799571264377725E-3</v>
      </c>
      <c r="AE361" s="304">
        <f t="shared" si="142"/>
        <v>0.6</v>
      </c>
      <c r="AF361" s="177">
        <f t="shared" si="143"/>
        <v>0.99903803797346757</v>
      </c>
      <c r="AG361" s="799">
        <f t="shared" si="149"/>
        <v>0</v>
      </c>
      <c r="AH361" s="176">
        <f t="shared" si="144"/>
        <v>6</v>
      </c>
      <c r="AI361" s="224">
        <f t="shared" si="145"/>
        <v>0.99903803797346757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45274</v>
      </c>
      <c r="B362" s="409">
        <f>IF(t&gt;Tmaj,'2022'!Wh/'2022'!Env_an*'2023'!Env_an,0.001*'[14]mon-tableau (2)'!$B$255)</f>
        <v>17.969828200318737</v>
      </c>
      <c r="C362" s="829"/>
      <c r="D362" s="391">
        <f t="shared" si="127"/>
        <v>18.592707450516535</v>
      </c>
      <c r="E362" s="383">
        <f t="shared" si="150"/>
        <v>19.242017324184385</v>
      </c>
      <c r="F362" s="383">
        <f t="shared" si="128"/>
        <v>19.253870617158341</v>
      </c>
      <c r="G362" s="110">
        <f t="shared" si="151"/>
        <v>0.6928593819094333</v>
      </c>
      <c r="H362" s="412" t="b">
        <f>Wh_hp&gt;='2022'!Maxi_hp</f>
        <v>0</v>
      </c>
      <c r="I362" s="379">
        <f>IF(H362,Wh_hp,'2022'!Maxi_hp)</f>
        <v>27.05277642016825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3.3501266658207629E-2</v>
      </c>
      <c r="M362" s="832"/>
      <c r="N362" s="832"/>
      <c r="O362" s="48">
        <f>IF(t&lt;Tnet,'2022'!Resal+('2022'!Salim-'2022'!Resal)*(1-EXP(('2022'!Tnet-t)/('2022'!Tau_j))),Resal+(Salim-Resal)*(1-EXP((Tnet-t)/(Tau_j))))*Salcycl</f>
        <v>3.3744376316082104E-2</v>
      </c>
      <c r="P362" s="338">
        <f>(INDEX(Models!$BJ362:$BT362,,T362)*(1-R362)+INDEX(Models!$BJ362:$BT362,,T362+1)*R362-ERP_i)*Q362*Ramure*Pc/MaxiM</f>
        <v>1.0960079285466224E-3</v>
      </c>
      <c r="Q362" s="304">
        <f t="shared" si="130"/>
        <v>0.6</v>
      </c>
      <c r="R362" s="177">
        <f t="shared" si="131"/>
        <v>0.99904768825103685</v>
      </c>
      <c r="S362" s="799">
        <f t="shared" si="132"/>
        <v>0</v>
      </c>
      <c r="T362" s="176">
        <f t="shared" si="133"/>
        <v>6</v>
      </c>
      <c r="U362" s="250">
        <f t="shared" si="134"/>
        <v>0.99904768825103685</v>
      </c>
      <c r="V362" s="382">
        <f t="shared" si="135"/>
        <v>25.923284108279407</v>
      </c>
      <c r="W362" s="400">
        <f t="shared" si="136"/>
        <v>17.969828200318737</v>
      </c>
      <c r="X362" s="157">
        <f t="shared" si="137"/>
        <v>45274</v>
      </c>
      <c r="Y362" s="383">
        <f t="shared" si="138"/>
        <v>17.60095869499504</v>
      </c>
      <c r="Z362" s="383">
        <f t="shared" si="139"/>
        <v>18.211052004318191</v>
      </c>
      <c r="AA362" s="384">
        <f t="shared" si="140"/>
        <v>19.242017324184385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5.3578858312866386E-2</v>
      </c>
      <c r="AD362" s="230">
        <f>(INDEX(Models!$BJ362:$BT362,,AH362)*(1-AF362)+INDEX(Models!$BJ362:$BT362,,AH362+1)*AF362-ERP_i)*AE362*Ramure*Pc/MaxiM</f>
        <v>1.0960079285466224E-3</v>
      </c>
      <c r="AE362" s="304">
        <f t="shared" si="142"/>
        <v>0.6</v>
      </c>
      <c r="AF362" s="177">
        <f t="shared" si="143"/>
        <v>0.99904768825103685</v>
      </c>
      <c r="AG362" s="799">
        <f t="shared" si="149"/>
        <v>0</v>
      </c>
      <c r="AH362" s="176">
        <f t="shared" si="144"/>
        <v>6</v>
      </c>
      <c r="AI362" s="224">
        <f t="shared" si="145"/>
        <v>0.99904768825103685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45275</v>
      </c>
      <c r="B363" s="409">
        <f>IF(t&gt;Tmaj,'2022'!Wh/'2022'!Env_an*'2023'!Env_an,0.001*'[14]mon-tableau (2)'!$B$256)</f>
        <v>6.0183316424572402</v>
      </c>
      <c r="C363" s="829"/>
      <c r="D363" s="391">
        <f t="shared" si="127"/>
        <v>6.2270614300870584</v>
      </c>
      <c r="E363" s="383">
        <f t="shared" si="150"/>
        <v>6.4451262932632112</v>
      </c>
      <c r="F363" s="383">
        <f t="shared" si="128"/>
        <v>6.4451262932632112</v>
      </c>
      <c r="G363" s="110">
        <f t="shared" si="151"/>
        <v>0.23233439239454415</v>
      </c>
      <c r="H363" s="412" t="b">
        <f>Wh_hp&gt;='2022'!Maxi_hp</f>
        <v>0</v>
      </c>
      <c r="I363" s="379">
        <f>IF(H363,Wh_hp,'2022'!Maxi_hp)</f>
        <v>28.710535852153466</v>
      </c>
      <c r="J363" s="85">
        <f>IF(H363,An,'2022'!An_max)</f>
        <v>2018</v>
      </c>
      <c r="K363" s="197">
        <f t="shared" si="129"/>
        <v>45275</v>
      </c>
      <c r="L363" s="147">
        <f>IF(t&lt;Tvie,1-EXP((T0-t)*PertePVj)+'2022'!Pspv,1-EXP((T0-t)*PertePVj)+Pspv)</f>
        <v>3.3519789385938359E-2</v>
      </c>
      <c r="M363" s="832"/>
      <c r="N363" s="832"/>
      <c r="O363" s="48">
        <f>IF(t&lt;Tnet,'2022'!Resal+('2022'!Salim-'2022'!Resal)*(1-EXP(('2022'!Tnet-t)/('2022'!Tau_j))),Resal+(Salim-Resal)*(1-EXP((Tnet-t)/(Tau_j))))*Salcycl</f>
        <v>3.3834071398117657E-2</v>
      </c>
      <c r="P363" s="338">
        <f>(INDEX(Models!$BJ363:$BT363,,T363)*(1-R363)+INDEX(Models!$BJ363:$BT363,,T363+1)*R363-ERP_i)*Q363*Ramure*Pc/MaxiM</f>
        <v>1.1103186742104068E-3</v>
      </c>
      <c r="Q363" s="304">
        <f t="shared" si="130"/>
        <v>0.6</v>
      </c>
      <c r="R363" s="177">
        <f t="shared" si="131"/>
        <v>0.9990569503302934</v>
      </c>
      <c r="S363" s="799">
        <f t="shared" si="132"/>
        <v>0</v>
      </c>
      <c r="T363" s="176">
        <f t="shared" si="133"/>
        <v>6</v>
      </c>
      <c r="U363" s="250">
        <f t="shared" si="134"/>
        <v>0.9990569503302934</v>
      </c>
      <c r="V363" s="382">
        <f t="shared" si="135"/>
        <v>25.874986972390225</v>
      </c>
      <c r="W363" s="400">
        <f t="shared" si="136"/>
        <v>6.0183316424572402</v>
      </c>
      <c r="X363" s="157">
        <f t="shared" si="137"/>
        <v>45275</v>
      </c>
      <c r="Y363" s="383">
        <f t="shared" si="138"/>
        <v>5.8949408287084664</v>
      </c>
      <c r="Z363" s="383">
        <f t="shared" si="139"/>
        <v>6.0993911349339109</v>
      </c>
      <c r="AA363" s="384">
        <f t="shared" si="140"/>
        <v>6.4451262932632112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5.3642883412646322E-2</v>
      </c>
      <c r="AD363" s="230">
        <f>(INDEX(Models!$BJ363:$BT363,,AH363)*(1-AF363)+INDEX(Models!$BJ363:$BT363,,AH363+1)*AF363-ERP_i)*AE363*Ramure*Pc/MaxiM</f>
        <v>1.1103186742104068E-3</v>
      </c>
      <c r="AE363" s="304">
        <f t="shared" si="142"/>
        <v>0.6</v>
      </c>
      <c r="AF363" s="177">
        <f t="shared" si="143"/>
        <v>0.9990569503302934</v>
      </c>
      <c r="AG363" s="799">
        <f t="shared" si="149"/>
        <v>0</v>
      </c>
      <c r="AH363" s="176">
        <f t="shared" si="144"/>
        <v>6</v>
      </c>
      <c r="AI363" s="224">
        <f t="shared" si="145"/>
        <v>0.9990569503302934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45276</v>
      </c>
      <c r="B364" s="409">
        <f>IF(t&gt;Tmaj,'2022'!Wh/'2022'!Env_an*'2023'!Env_an,0.001*'[14]mon-tableau (2)'!$B$257)</f>
        <v>5.3731119956419064</v>
      </c>
      <c r="C364" s="829"/>
      <c r="D364" s="391">
        <f t="shared" si="127"/>
        <v>5.5595706079352629</v>
      </c>
      <c r="E364" s="383">
        <f t="shared" si="150"/>
        <v>5.7547963538755811</v>
      </c>
      <c r="F364" s="383">
        <f t="shared" si="128"/>
        <v>5.7547963538755811</v>
      </c>
      <c r="G364" s="110">
        <f t="shared" si="151"/>
        <v>0.20773853093137543</v>
      </c>
      <c r="H364" s="412" t="b">
        <f>Wh_hp&gt;='2022'!Maxi_hp</f>
        <v>0</v>
      </c>
      <c r="I364" s="379">
        <f>IF(H364,Wh_hp,'2022'!Maxi_hp)</f>
        <v>28.36247847047073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3.3538311758685269E-2</v>
      </c>
      <c r="M364" s="832"/>
      <c r="N364" s="832"/>
      <c r="O364" s="48">
        <f>IF(t&lt;Tnet,'2022'!Resal+('2022'!Salim-'2022'!Resal)*(1-EXP(('2022'!Tnet-t)/('2022'!Tau_j))),Resal+(Salim-Resal)*(1-EXP((Tnet-t)/(Tau_j))))*Salcycl</f>
        <v>3.3924005983086189E-2</v>
      </c>
      <c r="P364" s="338">
        <f>(INDEX(Models!$BJ364:$BT364,,T364)*(1-R364)+INDEX(Models!$BJ364:$BT364,,T364+1)*R364-ERP_i)*Q364*Ramure*Pc/MaxiM</f>
        <v>1.1228670310582376E-3</v>
      </c>
      <c r="Q364" s="304">
        <f t="shared" si="130"/>
        <v>0.6</v>
      </c>
      <c r="R364" s="177">
        <f t="shared" si="131"/>
        <v>0.99906583981363861</v>
      </c>
      <c r="S364" s="799">
        <f t="shared" si="132"/>
        <v>0</v>
      </c>
      <c r="T364" s="176">
        <f t="shared" si="133"/>
        <v>6</v>
      </c>
      <c r="U364" s="250">
        <f t="shared" si="134"/>
        <v>0.99906583981363861</v>
      </c>
      <c r="V364" s="382">
        <f t="shared" si="135"/>
        <v>25.835740155016232</v>
      </c>
      <c r="W364" s="400">
        <f t="shared" si="136"/>
        <v>5.3731119956419064</v>
      </c>
      <c r="X364" s="157">
        <f t="shared" si="137"/>
        <v>45276</v>
      </c>
      <c r="Y364" s="383">
        <f t="shared" si="138"/>
        <v>5.2630809056679322</v>
      </c>
      <c r="Z364" s="383">
        <f t="shared" si="139"/>
        <v>5.4457212010599632</v>
      </c>
      <c r="AA364" s="384">
        <f t="shared" si="140"/>
        <v>5.7547963538755811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5.3707400542066158E-2</v>
      </c>
      <c r="AD364" s="230">
        <f>(INDEX(Models!$BJ364:$BT364,,AH364)*(1-AF364)+INDEX(Models!$BJ364:$BT364,,AH364+1)*AF364-ERP_i)*AE364*Ramure*Pc/MaxiM</f>
        <v>1.1228670310582376E-3</v>
      </c>
      <c r="AE364" s="304">
        <f t="shared" si="142"/>
        <v>0.6</v>
      </c>
      <c r="AF364" s="177">
        <f t="shared" si="143"/>
        <v>0.99906583981363861</v>
      </c>
      <c r="AG364" s="799">
        <f t="shared" si="149"/>
        <v>0</v>
      </c>
      <c r="AH364" s="176">
        <f t="shared" si="144"/>
        <v>6</v>
      </c>
      <c r="AI364" s="224">
        <f t="shared" si="145"/>
        <v>0.99906583981363861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45277</v>
      </c>
      <c r="B365" s="409">
        <f>IF(t&gt;Tmaj,'2022'!Wh/'2022'!Env_an*'2023'!Env_an,0.001*'[14]mon-tableau (2)'!$B$258)</f>
        <v>3.5452091100220482</v>
      </c>
      <c r="C365" s="829"/>
      <c r="D365" s="391">
        <f t="shared" si="127"/>
        <v>3.6683058393130765</v>
      </c>
      <c r="E365" s="383">
        <f t="shared" si="150"/>
        <v>3.7974737252565247</v>
      </c>
      <c r="F365" s="383">
        <f t="shared" si="128"/>
        <v>3.7974737252565247</v>
      </c>
      <c r="G365" s="110">
        <f t="shared" si="151"/>
        <v>0.13722445342771203</v>
      </c>
      <c r="H365" s="412" t="b">
        <f>Wh_hp&gt;='2022'!Maxi_hp</f>
        <v>0</v>
      </c>
      <c r="I365" s="379">
        <f>IF(H365,Wh_hp,'2022'!Maxi_hp)</f>
        <v>28.942207486281909</v>
      </c>
      <c r="J365" s="85">
        <f>IF(H365,An,'2022'!An_max)</f>
        <v>2021</v>
      </c>
      <c r="K365" s="197">
        <f t="shared" si="129"/>
        <v>45277</v>
      </c>
      <c r="L365" s="147">
        <f>IF(t&lt;Tvie,1-EXP((T0-t)*PertePVj)+'2022'!Pspv,1-EXP((T0-t)*PertePVj)+Pspv)</f>
        <v>3.355683377645502E-2</v>
      </c>
      <c r="M365" s="832"/>
      <c r="N365" s="832"/>
      <c r="O365" s="48">
        <f>IF(t&lt;Tnet,'2022'!Resal+('2022'!Salim-'2022'!Resal)*(1-EXP(('2022'!Tnet-t)/('2022'!Tau_j))),Resal+(Salim-Resal)*(1-EXP((Tnet-t)/(Tau_j))))*Salcycl</f>
        <v>3.4014161858281849E-2</v>
      </c>
      <c r="P365" s="338">
        <f>(INDEX(Models!$BJ365:$BT365,,T365)*(1-R365)+INDEX(Models!$BJ365:$BT365,,T365+1)*R365-ERP_i)*Q365*Ramure*Pc/MaxiM</f>
        <v>1.1336307522191319E-3</v>
      </c>
      <c r="Q365" s="304">
        <f t="shared" si="130"/>
        <v>0.6</v>
      </c>
      <c r="R365" s="177">
        <f t="shared" si="131"/>
        <v>0.99907437167745106</v>
      </c>
      <c r="S365" s="799">
        <f t="shared" si="132"/>
        <v>0</v>
      </c>
      <c r="T365" s="176">
        <f t="shared" si="133"/>
        <v>6</v>
      </c>
      <c r="U365" s="250">
        <f t="shared" si="134"/>
        <v>0.99907437167745106</v>
      </c>
      <c r="V365" s="382">
        <f t="shared" si="135"/>
        <v>25.805824424852457</v>
      </c>
      <c r="W365" s="400">
        <f t="shared" si="136"/>
        <v>3.5452091100220482</v>
      </c>
      <c r="X365" s="157">
        <f t="shared" si="137"/>
        <v>45277</v>
      </c>
      <c r="Y365" s="383">
        <f t="shared" si="138"/>
        <v>3.4726956157813578</v>
      </c>
      <c r="Z365" s="383">
        <f t="shared" si="139"/>
        <v>3.5932745319636306</v>
      </c>
      <c r="AA365" s="384">
        <f t="shared" si="140"/>
        <v>3.7974737252565247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5.377237818257722E-2</v>
      </c>
      <c r="AD365" s="230">
        <f>(INDEX(Models!$BJ365:$BT365,,AH365)*(1-AF365)+INDEX(Models!$BJ365:$BT365,,AH365+1)*AF365-ERP_i)*AE365*Ramure*Pc/MaxiM</f>
        <v>1.1336307522191319E-3</v>
      </c>
      <c r="AE365" s="304">
        <f t="shared" si="142"/>
        <v>0.6</v>
      </c>
      <c r="AF365" s="177">
        <f t="shared" si="143"/>
        <v>0.99907437167745106</v>
      </c>
      <c r="AG365" s="799">
        <f t="shared" si="149"/>
        <v>0</v>
      </c>
      <c r="AH365" s="176">
        <f t="shared" si="144"/>
        <v>6</v>
      </c>
      <c r="AI365" s="224">
        <f t="shared" si="145"/>
        <v>0.99907437167745106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45278</v>
      </c>
      <c r="B366" s="409">
        <f>IF(t&gt;Tmaj,'2022'!Wh/'2022'!Env_an*'2023'!Env_an,0.001*'[14]mon-tableau (2)'!$B$259)</f>
        <v>25.098401505487548</v>
      </c>
      <c r="C366" s="829"/>
      <c r="D366" s="391">
        <f t="shared" si="127"/>
        <v>25.970365767002093</v>
      </c>
      <c r="E366" s="383">
        <f t="shared" si="150"/>
        <v>26.887345806013176</v>
      </c>
      <c r="F366" s="383">
        <f t="shared" si="128"/>
        <v>26.916899052061883</v>
      </c>
      <c r="G366" s="110">
        <f t="shared" si="151"/>
        <v>0.97330902398574415</v>
      </c>
      <c r="H366" s="412" t="b">
        <f>Wh_hp&gt;='2022'!Maxi_hp</f>
        <v>0</v>
      </c>
      <c r="I366" s="379">
        <f>IF(H366,Wh_hp,'2022'!Maxi_hp)</f>
        <v>28.845869606100038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3.3575355439254606E-2</v>
      </c>
      <c r="M366" s="832"/>
      <c r="N366" s="832"/>
      <c r="O366" s="48">
        <f>IF(t&lt;Tnet,'2022'!Resal+('2022'!Salim-'2022'!Resal)*(1-EXP(('2022'!Tnet-t)/('2022'!Tau_j))),Resal+(Salim-Resal)*(1-EXP((Tnet-t)/(Tau_j))))*Salcycl</f>
        <v>3.4104520603368993E-2</v>
      </c>
      <c r="P366" s="338">
        <f>(INDEX(Models!$BJ366:$BT366,,T366)*(1-R366)+INDEX(Models!$BJ366:$BT366,,T366+1)*R366-ERP_i)*Q366*Ramure*Pc/MaxiM</f>
        <v>1.1413962964917387E-3</v>
      </c>
      <c r="Q366" s="304">
        <f t="shared" si="130"/>
        <v>0.6</v>
      </c>
      <c r="R366" s="177">
        <f t="shared" si="131"/>
        <v>0.99908256029712028</v>
      </c>
      <c r="S366" s="799">
        <f t="shared" si="132"/>
        <v>0</v>
      </c>
      <c r="T366" s="176">
        <f t="shared" si="133"/>
        <v>6</v>
      </c>
      <c r="U366" s="250">
        <f t="shared" si="134"/>
        <v>0.99908256029712028</v>
      </c>
      <c r="V366" s="382">
        <f t="shared" si="135"/>
        <v>25.785551251921206</v>
      </c>
      <c r="W366" s="400">
        <f t="shared" si="136"/>
        <v>25.098401505487548</v>
      </c>
      <c r="X366" s="157">
        <f t="shared" si="137"/>
        <v>45278</v>
      </c>
      <c r="Y366" s="383">
        <f t="shared" si="138"/>
        <v>24.5856406575348</v>
      </c>
      <c r="Z366" s="383">
        <f t="shared" si="139"/>
        <v>25.439790671635183</v>
      </c>
      <c r="AA366" s="384">
        <f t="shared" si="140"/>
        <v>26.887345806013176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5.3837784689564079E-2</v>
      </c>
      <c r="AD366" s="230">
        <f>(INDEX(Models!$BJ366:$BT366,,AH366)*(1-AF366)+INDEX(Models!$BJ366:$BT366,,AH366+1)*AF366-ERP_i)*AE366*Ramure*Pc/MaxiM</f>
        <v>1.1413962964917387E-3</v>
      </c>
      <c r="AE366" s="304">
        <f t="shared" si="142"/>
        <v>0.6</v>
      </c>
      <c r="AF366" s="177">
        <f t="shared" si="143"/>
        <v>0.99908256029712028</v>
      </c>
      <c r="AG366" s="799">
        <f t="shared" si="149"/>
        <v>0</v>
      </c>
      <c r="AH366" s="176">
        <f t="shared" si="144"/>
        <v>6</v>
      </c>
      <c r="AI366" s="224">
        <f t="shared" si="145"/>
        <v>0.99908256029712028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45279</v>
      </c>
      <c r="B367" s="409">
        <f>IF(t&gt;Tmaj,'2022'!Wh/'2022'!Env_an*'2023'!Env_an,0.001*'[14]mon-tableau (2)'!$B$260)</f>
        <v>20.214455649146966</v>
      </c>
      <c r="C367" s="829"/>
      <c r="D367" s="391">
        <f t="shared" si="127"/>
        <v>20.917143592908328</v>
      </c>
      <c r="E367" s="383">
        <f t="shared" si="150"/>
        <v>21.657731087454493</v>
      </c>
      <c r="F367" s="383">
        <f t="shared" si="128"/>
        <v>21.674923166240241</v>
      </c>
      <c r="G367" s="110">
        <f t="shared" si="151"/>
        <v>0.78398282201767211</v>
      </c>
      <c r="H367" s="412" t="b">
        <f>Wh_hp&gt;='2022'!Maxi_hp</f>
        <v>0</v>
      </c>
      <c r="I367" s="379">
        <f>IF(H367,Wh_hp,'2022'!Maxi_hp)</f>
        <v>28.572996708311734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3.359387674709069E-2</v>
      </c>
      <c r="M367" s="832"/>
      <c r="N367" s="832"/>
      <c r="O367" s="48">
        <f>IF(t&lt;Tnet,'2022'!Resal+('2022'!Salim-'2022'!Resal)*(1-EXP(('2022'!Tnet-t)/('2022'!Tau_j))),Resal+(Salim-Resal)*(1-EXP((Tnet-t)/(Tau_j))))*Salcycl</f>
        <v>3.4195063719078093E-2</v>
      </c>
      <c r="P367" s="338">
        <f>(INDEX(Models!$BJ367:$BT367,,T367)*(1-R367)+INDEX(Models!$BJ367:$BT367,,T367+1)*R367-ERP_i)*Q367*Ramure*Pc/MaxiM</f>
        <v>1.1465423862437507E-3</v>
      </c>
      <c r="Q367" s="304">
        <f t="shared" si="130"/>
        <v>0.6</v>
      </c>
      <c r="R367" s="177">
        <f t="shared" si="131"/>
        <v>0.99909041947108657</v>
      </c>
      <c r="S367" s="799">
        <f t="shared" si="132"/>
        <v>0</v>
      </c>
      <c r="T367" s="176">
        <f t="shared" si="133"/>
        <v>6</v>
      </c>
      <c r="U367" s="250">
        <f t="shared" si="134"/>
        <v>0.99909041947108657</v>
      </c>
      <c r="V367" s="382">
        <f t="shared" si="135"/>
        <v>25.775190921075215</v>
      </c>
      <c r="W367" s="400">
        <f t="shared" si="136"/>
        <v>20.214455649146966</v>
      </c>
      <c r="X367" s="157">
        <f t="shared" si="137"/>
        <v>45279</v>
      </c>
      <c r="Y367" s="383">
        <f t="shared" si="138"/>
        <v>19.801952994614005</v>
      </c>
      <c r="Z367" s="383">
        <f t="shared" si="139"/>
        <v>20.490301663198192</v>
      </c>
      <c r="AA367" s="384">
        <f t="shared" si="140"/>
        <v>21.657731087454493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5.390358849420513E-2</v>
      </c>
      <c r="AD367" s="230">
        <f>(INDEX(Models!$BJ367:$BT367,,AH367)*(1-AF367)+INDEX(Models!$BJ367:$BT367,,AH367+1)*AF367-ERP_i)*AE367*Ramure*Pc/MaxiM</f>
        <v>1.1465423862437507E-3</v>
      </c>
      <c r="AE367" s="304">
        <f t="shared" si="142"/>
        <v>0.6</v>
      </c>
      <c r="AF367" s="177">
        <f t="shared" si="143"/>
        <v>0.99909041947108657</v>
      </c>
      <c r="AG367" s="799">
        <f t="shared" si="149"/>
        <v>0</v>
      </c>
      <c r="AH367" s="176">
        <f t="shared" si="144"/>
        <v>6</v>
      </c>
      <c r="AI367" s="224">
        <f t="shared" si="145"/>
        <v>0.99909041947108657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45280</v>
      </c>
      <c r="B368" s="409">
        <f>IF(t&gt;Tmaj,'2022'!Wh/'2022'!Env_an*'2023'!Env_an,0.001*'[14]mon-tableau (2)'!$B$261)</f>
        <v>4.4567483684076183</v>
      </c>
      <c r="C368" s="829"/>
      <c r="D368" s="391">
        <f t="shared" si="127"/>
        <v>4.6117607032627808</v>
      </c>
      <c r="E368" s="383">
        <f t="shared" si="150"/>
        <v>4.7754921416098384</v>
      </c>
      <c r="F368" s="383">
        <f t="shared" si="128"/>
        <v>4.7754921416098384</v>
      </c>
      <c r="G368" s="110">
        <f t="shared" si="151"/>
        <v>0.17271089018807226</v>
      </c>
      <c r="H368" s="412" t="b">
        <f>Wh_hp&gt;='2022'!Maxi_hp</f>
        <v>0</v>
      </c>
      <c r="I368" s="379">
        <f>IF(H368,Wh_hp,'2022'!Maxi_hp)</f>
        <v>25.354958891522763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3.3612397699970153E-2</v>
      </c>
      <c r="M368" s="832"/>
      <c r="N368" s="832"/>
      <c r="O368" s="48">
        <f>IF(t&lt;Tnet,'2022'!Resal+('2022'!Salim-'2022'!Resal)*(1-EXP(('2022'!Tnet-t)/('2022'!Tau_j))),Resal+(Salim-Resal)*(1-EXP((Tnet-t)/(Tau_j))))*Salcycl</f>
        <v>3.4285772752180241E-2</v>
      </c>
      <c r="P368" s="338">
        <f>(INDEX(Models!$BJ368:$BT368,,T368)*(1-R368)+INDEX(Models!$BJ368:$BT368,,T368+1)*R368-ERP_i)*Q368*Ramure*Pc/MaxiM</f>
        <v>1.1490555793140142E-3</v>
      </c>
      <c r="Q368" s="304">
        <f t="shared" si="130"/>
        <v>0.6</v>
      </c>
      <c r="R368" s="177">
        <f t="shared" si="131"/>
        <v>0.9990979624439249</v>
      </c>
      <c r="S368" s="799">
        <f t="shared" si="132"/>
        <v>0</v>
      </c>
      <c r="T368" s="176">
        <f t="shared" si="133"/>
        <v>6</v>
      </c>
      <c r="U368" s="250">
        <f t="shared" si="134"/>
        <v>0.9990979624439249</v>
      </c>
      <c r="V368" s="382">
        <f t="shared" si="135"/>
        <v>25.775023867815939</v>
      </c>
      <c r="W368" s="400">
        <f t="shared" si="136"/>
        <v>4.4567483684076183</v>
      </c>
      <c r="X368" s="157">
        <f t="shared" si="137"/>
        <v>45280</v>
      </c>
      <c r="Y368" s="383">
        <f t="shared" si="138"/>
        <v>4.3659072396463161</v>
      </c>
      <c r="Z368" s="383">
        <f t="shared" si="139"/>
        <v>4.5177599849742833</v>
      </c>
      <c r="AA368" s="384">
        <f t="shared" si="140"/>
        <v>4.7754921416098384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5.3969758297764223E-2</v>
      </c>
      <c r="AD368" s="230">
        <f>(INDEX(Models!$BJ368:$BT368,,AH368)*(1-AF368)+INDEX(Models!$BJ368:$BT368,,AH368+1)*AF368-ERP_i)*AE368*Ramure*Pc/MaxiM</f>
        <v>1.1490555793140142E-3</v>
      </c>
      <c r="AE368" s="304">
        <f t="shared" si="142"/>
        <v>0.6</v>
      </c>
      <c r="AF368" s="177">
        <f t="shared" si="143"/>
        <v>0.9990979624439249</v>
      </c>
      <c r="AG368" s="799">
        <f t="shared" si="149"/>
        <v>0</v>
      </c>
      <c r="AH368" s="176">
        <f t="shared" si="144"/>
        <v>6</v>
      </c>
      <c r="AI368" s="224">
        <f t="shared" si="145"/>
        <v>0.9990979624439249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45281</v>
      </c>
      <c r="B369" s="409">
        <f>IF(t&gt;Tmaj,'2022'!Wh/'2022'!Env_an*'2023'!Env_an,0.001*'[14]mon-tableau (2)'!$B$262)</f>
        <v>22.97536327258889</v>
      </c>
      <c r="C369" s="829"/>
      <c r="D369" s="391">
        <f t="shared" si="127"/>
        <v>23.774936209798398</v>
      </c>
      <c r="E369" s="383">
        <f t="shared" si="150"/>
        <v>24.621334708805414</v>
      </c>
      <c r="F369" s="383">
        <f t="shared" si="128"/>
        <v>24.645242120408749</v>
      </c>
      <c r="G369" s="110">
        <f t="shared" si="151"/>
        <v>0.89086505451663356</v>
      </c>
      <c r="H369" s="412" t="b">
        <f>Wh_hp&gt;='2022'!Maxi_hp</f>
        <v>0</v>
      </c>
      <c r="I369" s="379">
        <f>IF(H369,Wh_hp,'2022'!Maxi_hp)</f>
        <v>24.6464004878308</v>
      </c>
      <c r="J369" s="85">
        <f>IF(H369,An,'2022'!An_max)</f>
        <v>2022</v>
      </c>
      <c r="K369" s="197">
        <f t="shared" si="129"/>
        <v>45281</v>
      </c>
      <c r="L369" s="147">
        <f>IF(t&lt;Tvie,1-EXP((T0-t)*PertePVj)+'2022'!Pspv,1-EXP((T0-t)*PertePVj)+Pspv)</f>
        <v>3.363091829789977E-2</v>
      </c>
      <c r="M369" s="832"/>
      <c r="N369" s="832"/>
      <c r="O369" s="48">
        <f>IF(t&lt;Tnet,'2022'!Resal+('2022'!Salim-'2022'!Resal)*(1-EXP(('2022'!Tnet-t)/('2022'!Tau_j))),Resal+(Salim-Resal)*(1-EXP((Tnet-t)/(Tau_j))))*Salcycl</f>
        <v>3.4376629415801579E-2</v>
      </c>
      <c r="P369" s="338">
        <f>(INDEX(Models!$BJ369:$BT369,,T369)*(1-R369)+INDEX(Models!$BJ369:$BT369,,T369+1)*R369-ERP_i)*Q369*Ramure*Pc/MaxiM</f>
        <v>1.1489257565947711E-3</v>
      </c>
      <c r="Q369" s="304">
        <f t="shared" si="130"/>
        <v>0.6</v>
      </c>
      <c r="R369" s="177">
        <f t="shared" si="131"/>
        <v>0.99910520192851182</v>
      </c>
      <c r="S369" s="799">
        <f t="shared" si="132"/>
        <v>0</v>
      </c>
      <c r="T369" s="176">
        <f t="shared" si="133"/>
        <v>6</v>
      </c>
      <c r="U369" s="250">
        <f t="shared" si="134"/>
        <v>0.99910520192851182</v>
      </c>
      <c r="V369" s="382">
        <f t="shared" si="135"/>
        <v>25.785330454782336</v>
      </c>
      <c r="W369" s="400">
        <f t="shared" si="136"/>
        <v>22.97536327258889</v>
      </c>
      <c r="X369" s="157">
        <f t="shared" si="137"/>
        <v>45281</v>
      </c>
      <c r="Y369" s="383">
        <f t="shared" si="138"/>
        <v>22.507595773307177</v>
      </c>
      <c r="Z369" s="383">
        <f t="shared" si="139"/>
        <v>23.290889784743268</v>
      </c>
      <c r="AA369" s="384">
        <f t="shared" si="140"/>
        <v>24.621334708805414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5.4036263256936057E-2</v>
      </c>
      <c r="AD369" s="230">
        <f>(INDEX(Models!$BJ369:$BT369,,AH369)*(1-AF369)+INDEX(Models!$BJ369:$BT369,,AH369+1)*AF369-ERP_i)*AE369*Ramure*Pc/MaxiM</f>
        <v>1.1489257565947711E-3</v>
      </c>
      <c r="AE369" s="304">
        <f t="shared" si="142"/>
        <v>0.6</v>
      </c>
      <c r="AF369" s="177">
        <f t="shared" si="143"/>
        <v>0.99910520192851182</v>
      </c>
      <c r="AG369" s="799">
        <f t="shared" si="149"/>
        <v>0</v>
      </c>
      <c r="AH369" s="176">
        <f t="shared" si="144"/>
        <v>6</v>
      </c>
      <c r="AI369" s="224">
        <f t="shared" si="145"/>
        <v>0.99910520192851182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45282</v>
      </c>
      <c r="B370" s="409">
        <f>IF(t&gt;Tmaj,'2022'!Wh/'2022'!Env_an*'2023'!Env_an,0.001*'[14]mon-tableau (2)'!$B$263)</f>
        <v>20.56531723248807</v>
      </c>
      <c r="C370" s="829"/>
      <c r="D370" s="391">
        <f t="shared" si="127"/>
        <v>21.281425243274089</v>
      </c>
      <c r="E370" s="383">
        <f t="shared" si="150"/>
        <v>22.041130457571665</v>
      </c>
      <c r="F370" s="383">
        <f t="shared" si="128"/>
        <v>22.05907801958951</v>
      </c>
      <c r="G370" s="110">
        <f t="shared" si="151"/>
        <v>0.79664270154711869</v>
      </c>
      <c r="H370" s="412" t="b">
        <f>Wh_hp&gt;='2022'!Maxi_hp</f>
        <v>0</v>
      </c>
      <c r="I370" s="379">
        <f>IF(H370,Wh_hp,'2022'!Maxi_hp)</f>
        <v>28.339103776749631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3.3649438540886423E-2</v>
      </c>
      <c r="M370" s="832"/>
      <c r="N370" s="832"/>
      <c r="O370" s="48">
        <f>IF(t&lt;Tnet,'2022'!Resal+('2022'!Salim-'2022'!Resal)*(1-EXP(('2022'!Tnet-t)/('2022'!Tau_j))),Resal+(Salim-Resal)*(1-EXP((Tnet-t)/(Tau_j))))*Salcycl</f>
        <v>3.4467615704193551E-2</v>
      </c>
      <c r="P370" s="338">
        <f>(INDEX(Models!$BJ370:$BT370,,T370)*(1-R370)+INDEX(Models!$BJ370:$BT370,,T370+1)*R370-ERP_i)*Q370*Ramure*Pc/MaxiM</f>
        <v>1.1461467594998387E-3</v>
      </c>
      <c r="Q370" s="304">
        <f t="shared" si="130"/>
        <v>0.6</v>
      </c>
      <c r="R370" s="177">
        <f t="shared" si="131"/>
        <v>0.99911215012730903</v>
      </c>
      <c r="S370" s="799">
        <f t="shared" si="132"/>
        <v>0</v>
      </c>
      <c r="T370" s="176">
        <f t="shared" si="133"/>
        <v>6</v>
      </c>
      <c r="U370" s="250">
        <f t="shared" si="134"/>
        <v>0.99911215012730903</v>
      </c>
      <c r="V370" s="382">
        <f t="shared" si="135"/>
        <v>25.806390958575676</v>
      </c>
      <c r="W370" s="400">
        <f t="shared" si="136"/>
        <v>20.56531723248807</v>
      </c>
      <c r="X370" s="157">
        <f t="shared" si="137"/>
        <v>45282</v>
      </c>
      <c r="Y370" s="383">
        <f t="shared" si="138"/>
        <v>20.147092615551013</v>
      </c>
      <c r="Z370" s="383">
        <f t="shared" si="139"/>
        <v>20.848637563919333</v>
      </c>
      <c r="AA370" s="384">
        <f t="shared" si="140"/>
        <v>22.041130457571665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5.4103073158966848E-2</v>
      </c>
      <c r="AD370" s="230">
        <f>(INDEX(Models!$BJ370:$BT370,,AH370)*(1-AF370)+INDEX(Models!$BJ370:$BT370,,AH370+1)*AF370-ERP_i)*AE370*Ramure*Pc/MaxiM</f>
        <v>1.1461467594998387E-3</v>
      </c>
      <c r="AE370" s="304">
        <f t="shared" si="142"/>
        <v>0.6</v>
      </c>
      <c r="AF370" s="177">
        <f t="shared" si="143"/>
        <v>0.99911215012730903</v>
      </c>
      <c r="AG370" s="799">
        <f t="shared" si="149"/>
        <v>0</v>
      </c>
      <c r="AH370" s="176">
        <f t="shared" si="144"/>
        <v>6</v>
      </c>
      <c r="AI370" s="224">
        <f t="shared" si="145"/>
        <v>0.99911215012730903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45283</v>
      </c>
      <c r="B371" s="409">
        <f>IF(t&gt;Tmaj,'2022'!Wh/'2022'!Env_an*'2023'!Env_an,0.001*'[14]mon-tableau (2)'!$B$264)</f>
        <v>20.922186317075379</v>
      </c>
      <c r="C371" s="829"/>
      <c r="D371" s="391">
        <f t="shared" si="127"/>
        <v>21.651135859119474</v>
      </c>
      <c r="E371" s="383">
        <f t="shared" si="150"/>
        <v>22.426154933615472</v>
      </c>
      <c r="F371" s="383">
        <f t="shared" si="128"/>
        <v>22.444798723782228</v>
      </c>
      <c r="G371" s="110">
        <f t="shared" si="151"/>
        <v>0.80947831137188397</v>
      </c>
      <c r="H371" s="412" t="b">
        <f>Wh_hp&gt;='2022'!Maxi_hp</f>
        <v>0</v>
      </c>
      <c r="I371" s="379">
        <f>IF(H371,Wh_hp,'2022'!Maxi_hp)</f>
        <v>22.446630123759167</v>
      </c>
      <c r="J371" s="85">
        <f>IF(H371,An,'2022'!An_max)</f>
        <v>2022</v>
      </c>
      <c r="K371" s="197">
        <f t="shared" si="129"/>
        <v>45283</v>
      </c>
      <c r="L371" s="147">
        <f>IF(t&lt;Tvie,1-EXP((T0-t)*PertePVj)+'2022'!Pspv,1-EXP((T0-t)*PertePVj)+Pspv)</f>
        <v>3.3667958428936773E-2</v>
      </c>
      <c r="M371" s="832"/>
      <c r="N371" s="832"/>
      <c r="O371" s="48">
        <f>IF(t&lt;Tnet,'2022'!Resal+('2022'!Salim-'2022'!Resal)*(1-EXP(('2022'!Tnet-t)/('2022'!Tau_j))),Resal+(Salim-Resal)*(1-EXP((Tnet-t)/(Tau_j))))*Salcycl</f>
        <v>3.4558714001136775E-2</v>
      </c>
      <c r="P371" s="338">
        <f>(INDEX(Models!$BJ371:$BT371,,T371)*(1-R371)+INDEX(Models!$BJ371:$BT371,,T371+1)*R371-ERP_i)*Q371*Ramure*Pc/MaxiM</f>
        <v>1.1407137808829961E-3</v>
      </c>
      <c r="Q371" s="304">
        <f t="shared" si="130"/>
        <v>0.6</v>
      </c>
      <c r="R371" s="177">
        <f t="shared" si="131"/>
        <v>0.99911215012730903</v>
      </c>
      <c r="S371" s="799">
        <f t="shared" si="132"/>
        <v>0</v>
      </c>
      <c r="T371" s="176">
        <f t="shared" si="133"/>
        <v>6</v>
      </c>
      <c r="U371" s="250">
        <f t="shared" si="134"/>
        <v>0.99911215012730903</v>
      </c>
      <c r="V371" s="382">
        <f t="shared" si="135"/>
        <v>25.838485645450945</v>
      </c>
      <c r="W371" s="400">
        <f t="shared" si="136"/>
        <v>20.922186317075379</v>
      </c>
      <c r="X371" s="157">
        <f t="shared" si="137"/>
        <v>45283</v>
      </c>
      <c r="Y371" s="383">
        <f t="shared" si="138"/>
        <v>20.49718450340832</v>
      </c>
      <c r="Z371" s="383">
        <f t="shared" si="139"/>
        <v>21.21132656440118</v>
      </c>
      <c r="AA371" s="384">
        <f t="shared" si="140"/>
        <v>22.426154933615472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5.4170158585381774E-2</v>
      </c>
      <c r="AD371" s="230">
        <f>(INDEX(Models!$BJ371:$BT371,,AH371)*(1-AF371)+INDEX(Models!$BJ371:$BT371,,AH371+1)*AF371-ERP_i)*AE371*Ramure*Pc/MaxiM</f>
        <v>1.1407137808829961E-3</v>
      </c>
      <c r="AE371" s="304">
        <f t="shared" si="142"/>
        <v>0.6</v>
      </c>
      <c r="AF371" s="177">
        <f t="shared" si="143"/>
        <v>0.99911215012730903</v>
      </c>
      <c r="AG371" s="799">
        <f t="shared" si="149"/>
        <v>0</v>
      </c>
      <c r="AH371" s="176">
        <f t="shared" si="144"/>
        <v>6</v>
      </c>
      <c r="AI371" s="224">
        <f t="shared" si="145"/>
        <v>0.99911215012730903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45284</v>
      </c>
      <c r="B372" s="409">
        <f>IF(t&gt;Tmaj,'2022'!Wh/'2022'!Env_an*'2023'!Env_an,0.001*'[14]mon-tableau (2)'!$B$265)</f>
        <v>23.005034159980301</v>
      </c>
      <c r="C372" s="829"/>
      <c r="D372" s="391">
        <f t="shared" si="127"/>
        <v>23.807008424618743</v>
      </c>
      <c r="E372" s="383">
        <f t="shared" si="150"/>
        <v>24.661528083664898</v>
      </c>
      <c r="F372" s="383">
        <f t="shared" si="128"/>
        <v>24.685047520816735</v>
      </c>
      <c r="G372" s="110">
        <f t="shared" si="151"/>
        <v>0.88868659398738248</v>
      </c>
      <c r="H372" s="412" t="b">
        <f>Wh_hp&gt;='2022'!Maxi_hp</f>
        <v>0</v>
      </c>
      <c r="I372" s="379">
        <f>IF(H372,Wh_hp,'2022'!Maxi_hp)</f>
        <v>24.686219605998851</v>
      </c>
      <c r="J372" s="85">
        <f>IF(H372,An,'2022'!An_max)</f>
        <v>2022</v>
      </c>
      <c r="K372" s="197">
        <f t="shared" si="129"/>
        <v>45284</v>
      </c>
      <c r="L372" s="147">
        <f>IF(t&lt;Tvie,1-EXP((T0-t)*PertePVj)+'2022'!Pspv,1-EXP((T0-t)*PertePVj)+Pspv)</f>
        <v>3.3686477962057704E-2</v>
      </c>
      <c r="M372" s="832"/>
      <c r="N372" s="832"/>
      <c r="O372" s="48">
        <f>IF(t&lt;Tnet,'2022'!Resal+('2022'!Salim-'2022'!Resal)*(1-EXP(('2022'!Tnet-t)/('2022'!Tau_j))),Resal+(Salim-Resal)*(1-EXP((Tnet-t)/(Tau_j))))*Salcycl</f>
        <v>3.4649907181224654E-2</v>
      </c>
      <c r="P372" s="338">
        <f>(INDEX(Models!$BJ372:$BT372,,T372)*(1-R372)+INDEX(Models!$BJ372:$BT372,,T372+1)*R372-ERP_i)*Q372*Ramure*Pc/MaxiM</f>
        <v>1.1326319806604149E-3</v>
      </c>
      <c r="Q372" s="304">
        <f t="shared" si="130"/>
        <v>0.6</v>
      </c>
      <c r="R372" s="177">
        <f t="shared" si="131"/>
        <v>0.99911215012730903</v>
      </c>
      <c r="S372" s="799">
        <f t="shared" si="132"/>
        <v>0</v>
      </c>
      <c r="T372" s="176">
        <f t="shared" si="133"/>
        <v>6</v>
      </c>
      <c r="U372" s="250">
        <f t="shared" si="134"/>
        <v>0.99911215012730903</v>
      </c>
      <c r="V372" s="382">
        <f t="shared" si="135"/>
        <v>25.881894567942378</v>
      </c>
      <c r="W372" s="400">
        <f t="shared" si="136"/>
        <v>23.005034159980301</v>
      </c>
      <c r="X372" s="157">
        <f t="shared" si="137"/>
        <v>45284</v>
      </c>
      <c r="Y372" s="383">
        <f t="shared" si="138"/>
        <v>22.538246991604794</v>
      </c>
      <c r="Z372" s="383">
        <f t="shared" si="139"/>
        <v>23.323948674620564</v>
      </c>
      <c r="AA372" s="384">
        <f t="shared" si="140"/>
        <v>24.661528083664898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5.4237491063269062E-2</v>
      </c>
      <c r="AD372" s="230">
        <f>(INDEX(Models!$BJ372:$BT372,,AH372)*(1-AF372)+INDEX(Models!$BJ372:$BT372,,AH372+1)*AF372-ERP_i)*AE372*Ramure*Pc/MaxiM</f>
        <v>1.1326319806604149E-3</v>
      </c>
      <c r="AE372" s="304">
        <f t="shared" si="142"/>
        <v>0.6</v>
      </c>
      <c r="AF372" s="177">
        <f t="shared" si="143"/>
        <v>0.99911215012730903</v>
      </c>
      <c r="AG372" s="799">
        <f t="shared" si="149"/>
        <v>0</v>
      </c>
      <c r="AH372" s="176">
        <f t="shared" si="144"/>
        <v>6</v>
      </c>
      <c r="AI372" s="224">
        <f t="shared" si="145"/>
        <v>0.99911215012730903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45285</v>
      </c>
      <c r="B373" s="409">
        <f>IF(t&gt;Tmaj,'2022'!Wh/'2022'!Env_an*'2023'!Env_an,0.001*'[14]mon-tableau (2)'!$B$266)</f>
        <v>13.578177611557335</v>
      </c>
      <c r="C373" s="829"/>
      <c r="D373" s="391">
        <f t="shared" si="127"/>
        <v>14.051793263312762</v>
      </c>
      <c r="E373" s="383">
        <f t="shared" si="150"/>
        <v>14.557539338968907</v>
      </c>
      <c r="F373" s="383">
        <f t="shared" si="128"/>
        <v>14.562756193881951</v>
      </c>
      <c r="G373" s="110">
        <f t="shared" si="151"/>
        <v>0.52311313480913157</v>
      </c>
      <c r="H373" s="412" t="b">
        <f>Wh_hp&gt;='2022'!Maxi_hp</f>
        <v>0</v>
      </c>
      <c r="I373" s="379">
        <f>IF(H373,Wh_hp,'2022'!Maxi_hp)</f>
        <v>14.565704855109912</v>
      </c>
      <c r="J373" s="85">
        <f>IF(H373,An,'2022'!An_max)</f>
        <v>2022</v>
      </c>
      <c r="K373" s="197">
        <f t="shared" si="129"/>
        <v>45285</v>
      </c>
      <c r="L373" s="147">
        <f>IF(t&lt;Tvie,1-EXP((T0-t)*PertePVj)+'2022'!Pspv,1-EXP((T0-t)*PertePVj)+Pspv)</f>
        <v>3.3704997140256099E-2</v>
      </c>
      <c r="M373" s="832"/>
      <c r="N373" s="832"/>
      <c r="O373" s="48">
        <f>IF(t&lt;Tnet,'2022'!Resal+('2022'!Salim-'2022'!Resal)*(1-EXP(('2022'!Tnet-t)/('2022'!Tau_j))),Resal+(Salim-Resal)*(1-EXP((Tnet-t)/(Tau_j))))*Salcycl</f>
        <v>3.4741178703348419E-2</v>
      </c>
      <c r="P373" s="338">
        <f>(INDEX(Models!$BJ373:$BT373,,T373)*(1-R373)+INDEX(Models!$BJ373:$BT373,,T373+1)*R373-ERP_i)*Q373*Ramure*Pc/MaxiM</f>
        <v>1.1219158513461195E-3</v>
      </c>
      <c r="Q373" s="304">
        <f t="shared" si="130"/>
        <v>0.6</v>
      </c>
      <c r="R373" s="177">
        <f t="shared" si="131"/>
        <v>0.99911215012730903</v>
      </c>
      <c r="S373" s="799">
        <f t="shared" si="132"/>
        <v>0</v>
      </c>
      <c r="T373" s="176">
        <f t="shared" si="133"/>
        <v>6</v>
      </c>
      <c r="U373" s="250">
        <f t="shared" si="134"/>
        <v>0.99911215012730903</v>
      </c>
      <c r="V373" s="382">
        <f t="shared" si="135"/>
        <v>25.93665417046277</v>
      </c>
      <c r="W373" s="400">
        <f t="shared" si="136"/>
        <v>13.578177611557335</v>
      </c>
      <c r="X373" s="157">
        <f t="shared" si="137"/>
        <v>45285</v>
      </c>
      <c r="Y373" s="383">
        <f t="shared" si="138"/>
        <v>13.302975125875253</v>
      </c>
      <c r="Z373" s="383">
        <f t="shared" si="139"/>
        <v>13.766991536233949</v>
      </c>
      <c r="AA373" s="384">
        <f t="shared" si="140"/>
        <v>14.557539338968907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5.4305043203197789E-2</v>
      </c>
      <c r="AD373" s="230">
        <f>(INDEX(Models!$BJ373:$BT373,,AH373)*(1-AF373)+INDEX(Models!$BJ373:$BT373,,AH373+1)*AF373-ERP_i)*AE373*Ramure*Pc/MaxiM</f>
        <v>1.1219158513461195E-3</v>
      </c>
      <c r="AE373" s="304">
        <f t="shared" si="142"/>
        <v>0.6</v>
      </c>
      <c r="AF373" s="177">
        <f t="shared" si="143"/>
        <v>0.99911215012730903</v>
      </c>
      <c r="AG373" s="799">
        <f t="shared" si="149"/>
        <v>0</v>
      </c>
      <c r="AH373" s="176">
        <f t="shared" si="144"/>
        <v>6</v>
      </c>
      <c r="AI373" s="224">
        <f t="shared" si="145"/>
        <v>0.99911215012730903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45286</v>
      </c>
      <c r="B374" s="409">
        <f>IF(t&gt;Tmaj,'2022'!Wh/'2022'!Env_an*'2023'!Env_an,0.001*'[14]mon-tableau (2)'!$B$267)</f>
        <v>22.735054873011677</v>
      </c>
      <c r="C374" s="829"/>
      <c r="D374" s="391">
        <f t="shared" si="127"/>
        <v>23.528519268149541</v>
      </c>
      <c r="E374" s="383">
        <f t="shared" si="150"/>
        <v>24.377654218198384</v>
      </c>
      <c r="F374" s="383">
        <f t="shared" si="128"/>
        <v>24.399848143049262</v>
      </c>
      <c r="G374" s="110">
        <f t="shared" si="151"/>
        <v>0.87416765409809916</v>
      </c>
      <c r="H374" s="412" t="b">
        <f>Wh_hp&gt;='2022'!Maxi_hp</f>
        <v>0</v>
      </c>
      <c r="I374" s="379">
        <f>IF(H374,Wh_hp,'2022'!Maxi_hp)</f>
        <v>24.401144284830412</v>
      </c>
      <c r="J374" s="85">
        <f>IF(H374,An,'2022'!An_max)</f>
        <v>2022</v>
      </c>
      <c r="K374" s="197">
        <f t="shared" si="129"/>
        <v>45286</v>
      </c>
      <c r="L374" s="147">
        <f>IF(t&lt;Tvie,1-EXP((T0-t)*PertePVj)+'2022'!Pspv,1-EXP((T0-t)*PertePVj)+Pspv)</f>
        <v>3.3723515963538508E-2</v>
      </c>
      <c r="M374" s="832"/>
      <c r="N374" s="832"/>
      <c r="O374" s="48">
        <f>IF(t&lt;Tnet,'2022'!Resal+('2022'!Salim-'2022'!Resal)*(1-EXP(('2022'!Tnet-t)/('2022'!Tau_j))),Resal+(Salim-Resal)*(1-EXP((Tnet-t)/(Tau_j))))*Salcycl</f>
        <v>3.4832512695784627E-2</v>
      </c>
      <c r="P374" s="338">
        <f>(INDEX(Models!$BJ374:$BT374,,T374)*(1-R374)+INDEX(Models!$BJ374:$BT374,,T374+1)*R374-ERP_i)*Q374*Ramure*Pc/MaxiM</f>
        <v>1.1085992834682752E-3</v>
      </c>
      <c r="Q374" s="304">
        <f t="shared" si="130"/>
        <v>0.6</v>
      </c>
      <c r="R374" s="177">
        <f t="shared" si="131"/>
        <v>0.99911215012730903</v>
      </c>
      <c r="S374" s="799">
        <f t="shared" si="132"/>
        <v>0</v>
      </c>
      <c r="T374" s="176">
        <f t="shared" si="133"/>
        <v>6</v>
      </c>
      <c r="U374" s="250">
        <f t="shared" si="134"/>
        <v>0.99911215012730903</v>
      </c>
      <c r="V374" s="382">
        <f t="shared" si="135"/>
        <v>26.002479298735292</v>
      </c>
      <c r="W374" s="400">
        <f t="shared" si="136"/>
        <v>22.735054873011677</v>
      </c>
      <c r="X374" s="157">
        <f t="shared" si="137"/>
        <v>45286</v>
      </c>
      <c r="Y374" s="383">
        <f t="shared" si="138"/>
        <v>22.274772843385509</v>
      </c>
      <c r="Z374" s="383">
        <f t="shared" si="139"/>
        <v>23.052173173392671</v>
      </c>
      <c r="AA374" s="384">
        <f t="shared" si="140"/>
        <v>24.377654218198384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5.4372788822979329E-2</v>
      </c>
      <c r="AD374" s="230">
        <f>(INDEX(Models!$BJ374:$BT374,,AH374)*(1-AF374)+INDEX(Models!$BJ374:$BT374,,AH374+1)*AF374-ERP_i)*AE374*Ramure*Pc/MaxiM</f>
        <v>1.1085992834682752E-3</v>
      </c>
      <c r="AE374" s="304">
        <f t="shared" si="142"/>
        <v>0.6</v>
      </c>
      <c r="AF374" s="177">
        <f t="shared" si="143"/>
        <v>0.99911215012730903</v>
      </c>
      <c r="AG374" s="799">
        <f t="shared" si="149"/>
        <v>0</v>
      </c>
      <c r="AH374" s="176">
        <f t="shared" si="144"/>
        <v>6</v>
      </c>
      <c r="AI374" s="224">
        <f t="shared" si="145"/>
        <v>0.99911215012730903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45287</v>
      </c>
      <c r="B375" s="409">
        <f>IF(t&gt;Tmaj,'2022'!Wh/'2022'!Env_an*'2023'!Env_an,0.001*'[14]mon-tableau (2)'!$B$268)</f>
        <v>7.429167949145782</v>
      </c>
      <c r="C375" s="829"/>
      <c r="D375" s="391">
        <f t="shared" si="127"/>
        <v>7.6885968487493734</v>
      </c>
      <c r="E375" s="383">
        <f t="shared" si="150"/>
        <v>7.9668295600795656</v>
      </c>
      <c r="F375" s="383">
        <f t="shared" si="128"/>
        <v>7.9668295600795656</v>
      </c>
      <c r="G375" s="110">
        <f t="shared" si="151"/>
        <v>0.28455854256775182</v>
      </c>
      <c r="H375" s="412" t="b">
        <f>Wh_hp&gt;='2022'!Maxi_hp</f>
        <v>0</v>
      </c>
      <c r="I375" s="379">
        <f>IF(H375,Wh_hp,'2022'!Maxi_hp)</f>
        <v>23.939485558369796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3.3742034431912038E-2</v>
      </c>
      <c r="M375" s="832"/>
      <c r="N375" s="832"/>
      <c r="O375" s="48">
        <f>IF(t&lt;Tnet,'2022'!Resal+('2022'!Salim-'2022'!Resal)*(1-EXP(('2022'!Tnet-t)/('2022'!Tau_j))),Resal+(Salim-Resal)*(1-EXP((Tnet-t)/(Tau_j))))*Salcycl</f>
        <v>3.492389403237256E-2</v>
      </c>
      <c r="P375" s="338">
        <f>(INDEX(Models!$BJ375:$BT375,,T375)*(1-R375)+INDEX(Models!$BJ375:$BT375,,T375+1)*R375-ERP_i)*Q375*Ramure*Pc/MaxiM</f>
        <v>1.0923335557677784E-3</v>
      </c>
      <c r="Q375" s="304">
        <f t="shared" si="130"/>
        <v>0.6</v>
      </c>
      <c r="R375" s="177">
        <f t="shared" si="131"/>
        <v>0.99911215012730903</v>
      </c>
      <c r="S375" s="799">
        <f t="shared" si="132"/>
        <v>0</v>
      </c>
      <c r="T375" s="176">
        <f t="shared" si="133"/>
        <v>6</v>
      </c>
      <c r="U375" s="250">
        <f t="shared" si="134"/>
        <v>0.99911215012730903</v>
      </c>
      <c r="V375" s="382">
        <f t="shared" si="135"/>
        <v>26.079177777404389</v>
      </c>
      <c r="W375" s="400">
        <f t="shared" si="136"/>
        <v>7.429167949145782</v>
      </c>
      <c r="X375" s="157">
        <f t="shared" si="137"/>
        <v>45287</v>
      </c>
      <c r="Y375" s="383">
        <f t="shared" si="138"/>
        <v>7.2789273088729809</v>
      </c>
      <c r="Z375" s="383">
        <f t="shared" si="139"/>
        <v>7.5331097576965504</v>
      </c>
      <c r="AA375" s="384">
        <f t="shared" si="140"/>
        <v>7.9668295600795656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5.4440703056622582E-2</v>
      </c>
      <c r="AD375" s="230">
        <f>(INDEX(Models!$BJ375:$BT375,,AH375)*(1-AF375)+INDEX(Models!$BJ375:$BT375,,AH375+1)*AF375-ERP_i)*AE375*Ramure*Pc/MaxiM</f>
        <v>1.0923335557677784E-3</v>
      </c>
      <c r="AE375" s="304">
        <f t="shared" si="142"/>
        <v>0.6</v>
      </c>
      <c r="AF375" s="177">
        <f t="shared" si="143"/>
        <v>0.99911215012730903</v>
      </c>
      <c r="AG375" s="799">
        <f t="shared" si="149"/>
        <v>0</v>
      </c>
      <c r="AH375" s="176">
        <f t="shared" si="144"/>
        <v>6</v>
      </c>
      <c r="AI375" s="224">
        <f t="shared" si="145"/>
        <v>0.99911215012730903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45288</v>
      </c>
      <c r="B376" s="409">
        <f>IF(t&gt;Tmaj,'2022'!Wh/'2022'!Env_an*'2023'!Env_an,0.001*'[14]mon-tableau (2)'!$B$269)</f>
        <v>25.106529707710493</v>
      </c>
      <c r="C376" s="829"/>
      <c r="D376" s="391">
        <f t="shared" si="127"/>
        <v>25.983755655856434</v>
      </c>
      <c r="E376" s="383">
        <f t="shared" si="150"/>
        <v>26.926598817600468</v>
      </c>
      <c r="F376" s="383">
        <f t="shared" si="128"/>
        <v>26.953880199359791</v>
      </c>
      <c r="G376" s="110">
        <f t="shared" si="151"/>
        <v>0.95943098224362477</v>
      </c>
      <c r="H376" s="412" t="b">
        <f>Wh_hp&gt;='2022'!Maxi_hp</f>
        <v>0</v>
      </c>
      <c r="I376" s="379">
        <f>IF(H376,Wh_hp,'2022'!Maxi_hp)</f>
        <v>26.954334776843393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3.3760552545383238E-2</v>
      </c>
      <c r="M376" s="832"/>
      <c r="N376" s="832"/>
      <c r="O376" s="48">
        <f>IF(t&lt;Tnet,'2022'!Resal+('2022'!Salim-'2022'!Resal)*(1-EXP(('2022'!Tnet-t)/('2022'!Tau_j))),Resal+(Salim-Resal)*(1-EXP((Tnet-t)/(Tau_j))))*Salcycl</f>
        <v>3.5015308399356612E-2</v>
      </c>
      <c r="P376" s="338">
        <f>(INDEX(Models!$BJ376:$BT376,,T376)*(1-R376)+INDEX(Models!$BJ376:$BT376,,T376+1)*R376-ERP_i)*Q376*Ramure*Pc/MaxiM</f>
        <v>1.0743219186237485E-3</v>
      </c>
      <c r="Q376" s="304">
        <f t="shared" si="130"/>
        <v>0.6</v>
      </c>
      <c r="R376" s="177">
        <f t="shared" si="131"/>
        <v>0.99911215012730903</v>
      </c>
      <c r="S376" s="799">
        <f t="shared" si="132"/>
        <v>0</v>
      </c>
      <c r="T376" s="176">
        <f t="shared" si="133"/>
        <v>6</v>
      </c>
      <c r="U376" s="250">
        <f t="shared" si="134"/>
        <v>0.99911215012730903</v>
      </c>
      <c r="V376" s="382">
        <f t="shared" si="135"/>
        <v>26.166517113615775</v>
      </c>
      <c r="W376" s="400">
        <f t="shared" si="136"/>
        <v>25.106529707710493</v>
      </c>
      <c r="X376" s="157">
        <f t="shared" si="137"/>
        <v>45288</v>
      </c>
      <c r="Y376" s="383">
        <f t="shared" si="138"/>
        <v>24.599357948989915</v>
      </c>
      <c r="Z376" s="383">
        <f t="shared" si="139"/>
        <v>25.45886323911995</v>
      </c>
      <c r="AA376" s="384">
        <f t="shared" si="140"/>
        <v>26.926598817600468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5.4508762447975277E-2</v>
      </c>
      <c r="AD376" s="230">
        <f>(INDEX(Models!$BJ376:$BT376,,AH376)*(1-AF376)+INDEX(Models!$BJ376:$BT376,,AH376+1)*AF376-ERP_i)*AE376*Ramure*Pc/MaxiM</f>
        <v>1.0743219186237485E-3</v>
      </c>
      <c r="AE376" s="304">
        <f t="shared" si="142"/>
        <v>0.6</v>
      </c>
      <c r="AF376" s="177">
        <f t="shared" si="143"/>
        <v>0.99911215012730903</v>
      </c>
      <c r="AG376" s="799">
        <f t="shared" si="149"/>
        <v>0</v>
      </c>
      <c r="AH376" s="176">
        <f t="shared" si="144"/>
        <v>6</v>
      </c>
      <c r="AI376" s="224">
        <f t="shared" si="145"/>
        <v>0.99911215012730903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45289</v>
      </c>
      <c r="B377" s="409">
        <f>IF(t&gt;Tmaj,'2022'!Wh/'2022'!Env_an*'2023'!Env_an,0.001*'[14]mon-tableau (2)'!$B$270)</f>
        <v>11.139257071442705</v>
      </c>
      <c r="C377" s="829"/>
      <c r="D377" s="391">
        <f t="shared" si="127"/>
        <v>11.528685344196543</v>
      </c>
      <c r="E377" s="383">
        <f t="shared" si="150"/>
        <v>11.948145821129776</v>
      </c>
      <c r="F377" s="383">
        <f t="shared" si="128"/>
        <v>11.950380519702161</v>
      </c>
      <c r="G377" s="110">
        <f t="shared" si="151"/>
        <v>0.42375364333525728</v>
      </c>
      <c r="H377" s="412" t="b">
        <f>Wh_hp&gt;='2022'!Maxi_hp</f>
        <v>0</v>
      </c>
      <c r="I377" s="379">
        <f>IF(H377,Wh_hp,'2022'!Maxi_hp)</f>
        <v>26.417584370860784</v>
      </c>
      <c r="J377" s="85">
        <f>IF(H377,An,'2022'!An_max)</f>
        <v>2018</v>
      </c>
      <c r="K377" s="197">
        <f t="shared" si="129"/>
        <v>45289</v>
      </c>
      <c r="L377" s="147">
        <f>IF(t&lt;Tvie,1-EXP((T0-t)*PertePVj)+'2022'!Pspv,1-EXP((T0-t)*PertePVj)+Pspv)</f>
        <v>3.3779070303959102E-2</v>
      </c>
      <c r="M377" s="832"/>
      <c r="N377" s="832"/>
      <c r="O377" s="48">
        <f>IF(t&lt;Tnet,'2022'!Resal+('2022'!Salim-'2022'!Resal)*(1-EXP(('2022'!Tnet-t)/('2022'!Tau_j))),Resal+(Salim-Resal)*(1-EXP((Tnet-t)/(Tau_j))))*Salcycl</f>
        <v>3.5106742352561157E-2</v>
      </c>
      <c r="P377" s="338">
        <f>(INDEX(Models!$BJ377:$BT377,,T377)*(1-R377)+INDEX(Models!$BJ377:$BT377,,T377+1)*R377-ERP_i)*Q377*Ramure*Pc/MaxiM</f>
        <v>1.0545996176822752E-3</v>
      </c>
      <c r="Q377" s="304">
        <f t="shared" si="130"/>
        <v>0.6</v>
      </c>
      <c r="R377" s="177">
        <f t="shared" si="131"/>
        <v>0.99911215012730903</v>
      </c>
      <c r="S377" s="799">
        <f t="shared" si="132"/>
        <v>0</v>
      </c>
      <c r="T377" s="176">
        <f t="shared" si="133"/>
        <v>6</v>
      </c>
      <c r="U377" s="250">
        <f t="shared" si="134"/>
        <v>0.99911215012730903</v>
      </c>
      <c r="V377" s="382">
        <f t="shared" si="135"/>
        <v>26.26429531094265</v>
      </c>
      <c r="W377" s="400">
        <f t="shared" si="136"/>
        <v>11.139257071442705</v>
      </c>
      <c r="X377" s="157">
        <f t="shared" si="137"/>
        <v>45289</v>
      </c>
      <c r="Y377" s="383">
        <f t="shared" si="138"/>
        <v>10.914482371108194</v>
      </c>
      <c r="Z377" s="383">
        <f t="shared" si="139"/>
        <v>11.296052523455202</v>
      </c>
      <c r="AA377" s="384">
        <f t="shared" si="140"/>
        <v>11.948145821129776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5.4576945028690101E-2</v>
      </c>
      <c r="AD377" s="230">
        <f>(INDEX(Models!$BJ377:$BT377,,AH377)*(1-AF377)+INDEX(Models!$BJ377:$BT377,,AH377+1)*AF377-ERP_i)*AE377*Ramure*Pc/MaxiM</f>
        <v>1.0545996176822752E-3</v>
      </c>
      <c r="AE377" s="304">
        <f t="shared" si="142"/>
        <v>0.6</v>
      </c>
      <c r="AF377" s="177">
        <f t="shared" si="143"/>
        <v>0.99911215012730903</v>
      </c>
      <c r="AG377" s="799">
        <f t="shared" si="149"/>
        <v>0</v>
      </c>
      <c r="AH377" s="176">
        <f t="shared" si="144"/>
        <v>6</v>
      </c>
      <c r="AI377" s="224">
        <f t="shared" si="145"/>
        <v>0.99911215012730903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45290</v>
      </c>
      <c r="B378" s="409">
        <f>IF(t&gt;Tmaj,'2022'!Wh/'2022'!Env_an*'2023'!Env_an,0.001*'[14]mon-tableau (2)'!$B$271)</f>
        <v>14.450654295333621</v>
      </c>
      <c r="C378" s="829"/>
      <c r="D378" s="391">
        <f t="shared" si="127"/>
        <v>14.956135600043543</v>
      </c>
      <c r="E378" s="383">
        <f t="shared" si="150"/>
        <v>15.501769733603654</v>
      </c>
      <c r="F378" s="383">
        <f t="shared" si="128"/>
        <v>15.507445041057935</v>
      </c>
      <c r="G378" s="110">
        <f t="shared" si="151"/>
        <v>0.54758224011919876</v>
      </c>
      <c r="H378" s="412" t="b">
        <f>Wh_hp&gt;='2022'!Maxi_hp</f>
        <v>0</v>
      </c>
      <c r="I378" s="379">
        <f>IF(H378,Wh_hp,'2022'!Maxi_hp)</f>
        <v>29.01951581106924</v>
      </c>
      <c r="J378" s="85">
        <f>IF(H378,An,'2022'!An_max)</f>
        <v>2018</v>
      </c>
      <c r="K378" s="197">
        <f t="shared" si="129"/>
        <v>45290</v>
      </c>
      <c r="L378" s="147">
        <f>IF(t&lt;Tvie,1-EXP((T0-t)*PertePVj)+'2022'!Pspv,1-EXP((T0-t)*PertePVj)+Pspv)</f>
        <v>3.3797587707646293E-2</v>
      </c>
      <c r="M378" s="832"/>
      <c r="N378" s="832"/>
      <c r="O378" s="48">
        <f>IF(t&lt;Tnet,'2022'!Resal+('2022'!Salim-'2022'!Resal)*(1-EXP(('2022'!Tnet-t)/('2022'!Tau_j))),Resal+(Salim-Resal)*(1-EXP((Tnet-t)/(Tau_j))))*Salcycl</f>
        <v>3.5198183364659512E-2</v>
      </c>
      <c r="P378" s="338">
        <f>(INDEX(Models!$BJ378:$BT378,,T378)*(1-R378)+INDEX(Models!$BJ378:$BT378,,T378+1)*R378-ERP_i)*Q378*Ramure*Pc/MaxiM</f>
        <v>1.0332052504122117E-3</v>
      </c>
      <c r="Q378" s="304">
        <f t="shared" si="130"/>
        <v>0.6</v>
      </c>
      <c r="R378" s="177">
        <f t="shared" si="131"/>
        <v>0.99911215012730903</v>
      </c>
      <c r="S378" s="799">
        <f t="shared" si="132"/>
        <v>0</v>
      </c>
      <c r="T378" s="176">
        <f t="shared" si="133"/>
        <v>6</v>
      </c>
      <c r="U378" s="250">
        <f t="shared" si="134"/>
        <v>0.99911215012730903</v>
      </c>
      <c r="V378" s="382">
        <f t="shared" si="135"/>
        <v>26.372310432868467</v>
      </c>
      <c r="W378" s="400">
        <f t="shared" si="136"/>
        <v>14.450654295333621</v>
      </c>
      <c r="X378" s="157">
        <f t="shared" si="137"/>
        <v>45290</v>
      </c>
      <c r="Y378" s="383">
        <f t="shared" si="138"/>
        <v>14.159379394475547</v>
      </c>
      <c r="Z378" s="383">
        <f t="shared" si="139"/>
        <v>14.654671955208491</v>
      </c>
      <c r="AA378" s="384">
        <f t="shared" si="140"/>
        <v>15.501769733603654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5.4645230380301855E-2</v>
      </c>
      <c r="AD378" s="230">
        <f>(INDEX(Models!$BJ378:$BT378,,AH378)*(1-AF378)+INDEX(Models!$BJ378:$BT378,,AH378+1)*AF378-ERP_i)*AE378*Ramure*Pc/MaxiM</f>
        <v>1.0332052504122117E-3</v>
      </c>
      <c r="AE378" s="304">
        <f t="shared" si="142"/>
        <v>0.6</v>
      </c>
      <c r="AF378" s="177">
        <f t="shared" si="143"/>
        <v>0.99911215012730903</v>
      </c>
      <c r="AG378" s="799">
        <f t="shared" si="149"/>
        <v>0</v>
      </c>
      <c r="AH378" s="176">
        <f t="shared" si="144"/>
        <v>6</v>
      </c>
      <c r="AI378" s="224">
        <f t="shared" si="145"/>
        <v>0.99911215012730903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45291</v>
      </c>
      <c r="B379" s="409">
        <f>IF(t&gt;Tmaj,'2022'!Wh/'2022'!Env_an*'2023'!Env_an,0.001*'[14]mon-tableau (2)'!$B$272)</f>
        <v>13.533810320608785</v>
      </c>
      <c r="C379" s="829"/>
      <c r="D379" s="391">
        <f t="shared" si="127"/>
        <v>14.007489037267884</v>
      </c>
      <c r="E379" s="383">
        <f t="shared" si="150"/>
        <v>14.519890451753863</v>
      </c>
      <c r="F379" s="383">
        <f t="shared" si="128"/>
        <v>14.524310877954623</v>
      </c>
      <c r="G379" s="110">
        <f t="shared" si="151"/>
        <v>0.51053494512017705</v>
      </c>
      <c r="H379" s="412" t="b">
        <f>Wh_hp&gt;='2022'!Maxi_hp</f>
        <v>0</v>
      </c>
      <c r="I379" s="379">
        <f>IF(H379,Wh_hp,'2022'!Maxi_hp)</f>
        <v>28.959989458050305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3.3816104756451693E-2</v>
      </c>
      <c r="M379" s="832"/>
      <c r="N379" s="832"/>
      <c r="O379" s="48">
        <f>IF(t&lt;Tnet,'2022'!Resal+('2022'!Salim-'2022'!Resal)*(1-EXP(('2022'!Tnet-t)/('2022'!Tau_j))),Resal+(Salim-Resal)*(1-EXP((Tnet-t)/(Tau_j))))*Salcycl</f>
        <v>3.5289619862392631E-2</v>
      </c>
      <c r="P379" s="338">
        <f>(INDEX(Models!$BJ379:$BT379,,T379)*(1-R379)+INDEX(Models!$BJ379:$BT379,,T379+1)*R379-ERP_i)*Q379*Ramure*Pc/MaxiM</f>
        <v>1.0101805470152942E-3</v>
      </c>
      <c r="Q379" s="305">
        <f t="shared" si="130"/>
        <v>0.6</v>
      </c>
      <c r="R379" s="177">
        <f t="shared" si="131"/>
        <v>0.99911215012730903</v>
      </c>
      <c r="S379" s="799">
        <f t="shared" si="132"/>
        <v>0</v>
      </c>
      <c r="T379" s="176">
        <f t="shared" si="133"/>
        <v>6</v>
      </c>
      <c r="U379" s="306">
        <f t="shared" si="134"/>
        <v>0.99911215012730903</v>
      </c>
      <c r="V379" s="382">
        <f t="shared" si="135"/>
        <v>26.49036059213411</v>
      </c>
      <c r="W379" s="400">
        <f t="shared" si="136"/>
        <v>13.533810320608785</v>
      </c>
      <c r="X379" s="157">
        <f t="shared" si="137"/>
        <v>45291</v>
      </c>
      <c r="Y379" s="383">
        <f t="shared" si="138"/>
        <v>13.261313554802191</v>
      </c>
      <c r="Z379" s="383">
        <f t="shared" si="139"/>
        <v>13.725454978174088</v>
      </c>
      <c r="AA379" s="384">
        <f t="shared" si="140"/>
        <v>14.519890451753863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5.4713599680348411E-2</v>
      </c>
      <c r="AD379" s="230">
        <f>(INDEX(Models!$BJ379:$BT379,,AH379)*(1-AF379)+INDEX(Models!$BJ379:$BT379,,AH379+1)*AF379-ERP_i)*AE379*Ramure*Pc/MaxiM</f>
        <v>1.0101805470152942E-3</v>
      </c>
      <c r="AE379" s="305">
        <f t="shared" si="142"/>
        <v>0.6</v>
      </c>
      <c r="AF379" s="177">
        <f t="shared" si="143"/>
        <v>0.99911215012730903</v>
      </c>
      <c r="AG379" s="799">
        <f t="shared" si="149"/>
        <v>0</v>
      </c>
      <c r="AH379" s="176">
        <f t="shared" si="144"/>
        <v>6</v>
      </c>
      <c r="AI379" s="221">
        <f t="shared" si="145"/>
        <v>0.99911215012730903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Wh_hp&gt;='2022'!Maxi_hp</f>
        <v>0</v>
      </c>
      <c r="I380" s="379">
        <f>IF(H380,Wh_hp,'2022'!Maxi_hp)</f>
        <v>16.432050764210434</v>
      </c>
      <c r="J380" s="85">
        <f>IF(H380,An,'2022'!An_max)</f>
        <v>2020</v>
      </c>
      <c r="K380" s="233"/>
      <c r="L380" s="214"/>
      <c r="M380" s="836"/>
      <c r="N380" s="836"/>
      <c r="O380" s="153"/>
      <c r="P380" s="339"/>
      <c r="Q380" s="228"/>
      <c r="R380" s="228"/>
      <c r="S380" s="228"/>
      <c r="T380" s="228"/>
      <c r="U380" s="322"/>
      <c r="V380" s="382">
        <f>(V379+V15)/2</f>
        <v>26.765257639668086</v>
      </c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1.591</v>
      </c>
      <c r="C381" s="374"/>
      <c r="D381" s="372">
        <f>MIN(D15:D380)</f>
        <v>1.6352684257519721</v>
      </c>
      <c r="E381" s="372">
        <f>MIN(E15:E380)</f>
        <v>1.6810920050572995</v>
      </c>
      <c r="F381" s="373">
        <f>MIN(F15:F380)</f>
        <v>1.6810920050572995</v>
      </c>
      <c r="G381" s="125">
        <f>+MIN(G15:G380)</f>
        <v>5.849451307223217E-2</v>
      </c>
      <c r="H381" s="94"/>
      <c r="I381" s="373">
        <f>MIN(I15:I380)</f>
        <v>10.012976509324043</v>
      </c>
      <c r="J381" s="57">
        <f>MIN(J15:J380)</f>
        <v>2018</v>
      </c>
      <c r="K381" s="200" t="s">
        <v>7</v>
      </c>
      <c r="L381" s="146">
        <f t="shared" ref="L381:T381" si="152">MIN(L15:L380)</f>
        <v>2.7052399055052745E-2</v>
      </c>
      <c r="M381" s="833"/>
      <c r="N381" s="833"/>
      <c r="O381" s="47">
        <f t="shared" si="152"/>
        <v>9.099574010168537E-3</v>
      </c>
      <c r="P381" s="340">
        <f t="shared" si="152"/>
        <v>-1.953612006557277E-20</v>
      </c>
      <c r="Q381" s="309">
        <f t="shared" si="152"/>
        <v>0.6</v>
      </c>
      <c r="R381" s="310">
        <f t="shared" si="152"/>
        <v>0.49911342316348012</v>
      </c>
      <c r="S381" s="799">
        <f t="shared" si="152"/>
        <v>0</v>
      </c>
      <c r="T381" s="176">
        <f t="shared" si="152"/>
        <v>6</v>
      </c>
      <c r="U381" s="251">
        <f>+MIN(U15:U380)</f>
        <v>0.49911342316348012</v>
      </c>
      <c r="V381" s="372">
        <f>MIN(V15:V380)</f>
        <v>25.775023867815939</v>
      </c>
      <c r="W381" s="390"/>
      <c r="X381" s="112" t="s">
        <v>7</v>
      </c>
      <c r="Y381" s="372">
        <f>MIN(Y15:Y380)</f>
        <v>1.4516984212656752</v>
      </c>
      <c r="Z381" s="372">
        <f>MIN(Z15:Z380)</f>
        <v>1.4920908812129123</v>
      </c>
      <c r="AA381" s="372">
        <f>MIN(AA15:AA380)</f>
        <v>1.6810920050572995</v>
      </c>
      <c r="AB381" s="200" t="s">
        <v>7</v>
      </c>
      <c r="AC381" s="47">
        <f t="shared" ref="AC381:AH381" si="153">MIN(AC15:AC380)</f>
        <v>3.506009975260814E-2</v>
      </c>
      <c r="AD381" s="168">
        <f t="shared" si="153"/>
        <v>-1.953612006557277E-20</v>
      </c>
      <c r="AE381" s="309">
        <f t="shared" si="153"/>
        <v>0.6</v>
      </c>
      <c r="AF381" s="310">
        <f t="shared" si="153"/>
        <v>0.49911342316348012</v>
      </c>
      <c r="AG381" s="799">
        <f t="shared" si="153"/>
        <v>0</v>
      </c>
      <c r="AH381" s="176">
        <f t="shared" si="153"/>
        <v>6</v>
      </c>
      <c r="AI381" s="225">
        <f>MIN(AI15:AI380)</f>
        <v>0.49911342316348012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31.895683482990183</v>
      </c>
      <c r="C382" s="374"/>
      <c r="D382" s="374">
        <f>AVERAGE(D15:D380)</f>
        <v>32.895641969283915</v>
      </c>
      <c r="E382" s="374">
        <f>AVERAGE(E15:E380)</f>
        <v>33.694649291452961</v>
      </c>
      <c r="F382" s="375">
        <f>AVERAGE(F15:F380)</f>
        <v>33.696004413470746</v>
      </c>
      <c r="G382" s="126">
        <f>AVERAGE(G15:G380)</f>
        <v>0.66667581989214564</v>
      </c>
      <c r="H382" s="94"/>
      <c r="I382" s="375">
        <f>AVERAGE(I15:I380)</f>
        <v>44.747905509977478</v>
      </c>
      <c r="J382" s="59">
        <f>AVERAGE(J15:J380)</f>
        <v>2020.5765027322404</v>
      </c>
      <c r="K382" s="200" t="s">
        <v>8</v>
      </c>
      <c r="L382" s="147">
        <f t="shared" ref="L382:V382" si="154">AVERAGE(L15:L380)</f>
        <v>3.0438173092666991E-2</v>
      </c>
      <c r="M382" s="832"/>
      <c r="N382" s="832"/>
      <c r="O382" s="48">
        <f t="shared" si="154"/>
        <v>2.5887559495957786E-2</v>
      </c>
      <c r="P382" s="169">
        <f t="shared" si="154"/>
        <v>1.5424758663878753E-4</v>
      </c>
      <c r="Q382" s="311">
        <f t="shared" si="154"/>
        <v>0.59999999999999631</v>
      </c>
      <c r="R382" s="177">
        <f t="shared" si="154"/>
        <v>0.77899702016262362</v>
      </c>
      <c r="S382" s="799">
        <f t="shared" si="154"/>
        <v>0</v>
      </c>
      <c r="T382" s="176">
        <f t="shared" si="154"/>
        <v>6</v>
      </c>
      <c r="U382" s="250">
        <f t="shared" si="154"/>
        <v>0.77899702016262362</v>
      </c>
      <c r="V382" s="374">
        <f t="shared" si="154"/>
        <v>46.101913985764632</v>
      </c>
      <c r="W382" s="390"/>
      <c r="X382" s="112" t="s">
        <v>8</v>
      </c>
      <c r="Y382" s="374">
        <f>AVERAGE(Y15:Y380)</f>
        <v>30.644909655426474</v>
      </c>
      <c r="Z382" s="374">
        <f>AVERAGE(Z15:Z380)</f>
        <v>31.606750160998097</v>
      </c>
      <c r="AA382" s="374">
        <f>AVERAGE(AA15:AA380)</f>
        <v>33.694649291452961</v>
      </c>
      <c r="AB382" s="200" t="s">
        <v>8</v>
      </c>
      <c r="AC382" s="48">
        <f t="shared" ref="AC382:AH382" si="155">AVERAGE(AC15:AC380)</f>
        <v>6.7848525313895999E-2</v>
      </c>
      <c r="AD382" s="169">
        <f t="shared" si="155"/>
        <v>1.5424758663878753E-4</v>
      </c>
      <c r="AE382" s="311">
        <f t="shared" si="155"/>
        <v>0.59999999999999631</v>
      </c>
      <c r="AF382" s="177">
        <f t="shared" si="155"/>
        <v>0.77899702016262362</v>
      </c>
      <c r="AG382" s="799">
        <f t="shared" si="155"/>
        <v>0</v>
      </c>
      <c r="AH382" s="176">
        <f t="shared" si="155"/>
        <v>6</v>
      </c>
      <c r="AI382" s="224">
        <f>AVERAGE(AI15:AI380)</f>
        <v>0.77899702016262362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61.408712789031142</v>
      </c>
      <c r="C383" s="376"/>
      <c r="D383" s="376">
        <f>MAX(D15:D380)</f>
        <v>63.295433879142507</v>
      </c>
      <c r="E383" s="376">
        <f>MAX(E15:E380)</f>
        <v>64.121433060958893</v>
      </c>
      <c r="F383" s="377">
        <f>MAX(F15:F380)</f>
        <v>64.121433060958893</v>
      </c>
      <c r="G383" s="127">
        <f>+MAX(G15:G380)</f>
        <v>1.0478798370423081</v>
      </c>
      <c r="H383" s="94"/>
      <c r="I383" s="377">
        <f>MAX(I15:I380)</f>
        <v>65.55404847482302</v>
      </c>
      <c r="J383" s="60">
        <f>MAX(J15:J380)</f>
        <v>2023</v>
      </c>
      <c r="K383" s="200" t="s">
        <v>9</v>
      </c>
      <c r="L383" s="148">
        <f t="shared" ref="L383:T383" si="156">MAX(L15:L380)</f>
        <v>3.3816104756451693E-2</v>
      </c>
      <c r="M383" s="834"/>
      <c r="N383" s="834"/>
      <c r="O383" s="49">
        <f t="shared" si="156"/>
        <v>3.5289619862392631E-2</v>
      </c>
      <c r="P383" s="170">
        <f t="shared" si="156"/>
        <v>1.1490555793140142E-3</v>
      </c>
      <c r="Q383" s="312">
        <f t="shared" si="156"/>
        <v>0.6</v>
      </c>
      <c r="R383" s="313">
        <f t="shared" si="156"/>
        <v>0.99911215012730903</v>
      </c>
      <c r="S383" s="800">
        <f t="shared" si="156"/>
        <v>0</v>
      </c>
      <c r="T383" s="232">
        <f t="shared" si="156"/>
        <v>6</v>
      </c>
      <c r="U383" s="252">
        <f>+MAX(U15:U380)</f>
        <v>0.99911215012730903</v>
      </c>
      <c r="V383" s="376">
        <f>MAX(V15:V380)</f>
        <v>60.560653882482285</v>
      </c>
      <c r="W383" s="390"/>
      <c r="X383" s="112" t="s">
        <v>9</v>
      </c>
      <c r="Y383" s="376">
        <f>MAX(Y15:Y380)</f>
        <v>59.81695137082248</v>
      </c>
      <c r="Z383" s="376">
        <f>MAX(Z15:Z380)</f>
        <v>61.654767188346916</v>
      </c>
      <c r="AA383" s="376">
        <f>MAX(AA15:AA380)</f>
        <v>64.121433060958893</v>
      </c>
      <c r="AB383" s="200" t="s">
        <v>9</v>
      </c>
      <c r="AC383" s="49">
        <f t="shared" ref="AC383:AH383" si="157">MAX(AC15:AC380)</f>
        <v>0.11244339245232532</v>
      </c>
      <c r="AD383" s="170">
        <f t="shared" si="157"/>
        <v>1.1490555793140142E-3</v>
      </c>
      <c r="AE383" s="312">
        <f t="shared" si="157"/>
        <v>0.6</v>
      </c>
      <c r="AF383" s="313">
        <f t="shared" si="157"/>
        <v>0.99911215012730903</v>
      </c>
      <c r="AG383" s="800">
        <f t="shared" si="157"/>
        <v>0</v>
      </c>
      <c r="AH383" s="232">
        <f t="shared" si="157"/>
        <v>6</v>
      </c>
      <c r="AI383" s="226">
        <f>MAX(AI15:AI380)</f>
        <v>0.99911215012730903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86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  <row r="385" spans="2:40" s="6" customFormat="1" ht="11.25" x14ac:dyDescent="0.2">
      <c r="B385" s="597" t="s">
        <v>363</v>
      </c>
      <c r="C385" s="8"/>
      <c r="D385" s="8"/>
      <c r="E385" s="25"/>
      <c r="F385" s="26"/>
      <c r="H385" s="75"/>
      <c r="J385" s="8"/>
      <c r="K385" s="8"/>
      <c r="L385" s="10"/>
      <c r="M385" s="10"/>
      <c r="N385" s="10"/>
      <c r="O385" s="27"/>
      <c r="P385" s="27"/>
      <c r="Q385" s="27"/>
      <c r="R385" s="27"/>
      <c r="S385" s="27"/>
      <c r="T385" s="27"/>
      <c r="U385" s="27"/>
      <c r="V385" s="27"/>
      <c r="Z385" s="25"/>
      <c r="AA385" s="26"/>
      <c r="AC385" s="27"/>
      <c r="AD385" s="27"/>
      <c r="AE385" s="27"/>
      <c r="AF385" s="27"/>
      <c r="AG385" s="27"/>
      <c r="AH385" s="27"/>
      <c r="AI385" s="27"/>
      <c r="AJ385" s="264"/>
      <c r="AK385" s="264"/>
      <c r="AL385" s="264"/>
      <c r="AM385" s="264"/>
      <c r="AN385" s="75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2028</vt:lpstr>
      <vt:lpstr>a.ld</vt:lpstr>
      <vt:lpstr>a.lg</vt:lpstr>
      <vt:lpstr>Models!a.m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'2028'!Acti_net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'2028'!Acti_tai</vt:lpstr>
      <vt:lpstr>Ajust_M</vt:lpstr>
      <vt:lpstr>Amaj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'2028'!An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'2028'!An_max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'2028'!An_Tnet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'2028'!Croi_tai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'2028'!Dd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'2028'!Dd_s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'2028'!Dens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Dens_2031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'2028'!Dens_s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'2028'!Dépas_env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'2028'!Df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'2028'!Df_s</vt:lpstr>
      <vt:lpstr>Echel_vg</vt:lpstr>
      <vt:lpstr>Echelev_ch</vt:lpstr>
      <vt:lpstr>Masques!Elev_F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'2028'!Env_an</vt:lpstr>
      <vt:lpstr>ERP_i</vt:lpstr>
      <vt:lpstr>GainD</vt:lpstr>
      <vt:lpstr>H_i</vt:lpstr>
      <vt:lpstr>H_pv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'2028'!Hdd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'2028'!Hdd_s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'2028'!Hdf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'2028'!Hdf_s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'2028'!Hdtai_s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'2028'!Hdtf</vt:lpstr>
      <vt:lpstr>Masques!Hobs1</vt:lpstr>
      <vt:lpstr>Masques!Hobs2</vt:lpstr>
      <vt:lpstr>Masques!Hobs3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'2028'!Hp_vg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'2028'!Hp_vg_s</vt:lpstr>
      <vt:lpstr>Masques!Hrm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Htf_2031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'2028'!Inflex</vt:lpstr>
      <vt:lpstr>Inter_net</vt:lpstr>
      <vt:lpstr>Inter_tai</vt:lpstr>
      <vt:lpstr>Models!Jour</vt:lpstr>
      <vt:lpstr>Ksac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'2028'!Maxi_hp</vt:lpstr>
      <vt:lpstr>MaxiM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'2028'!Notai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'2028'!NoTnet</vt:lpstr>
      <vt:lpstr>Pc</vt:lpstr>
      <vt:lpstr>Persistant</vt:lpstr>
      <vt:lpstr>PertePVan</vt:lpstr>
      <vt:lpstr>PertePVj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'2028'!PousD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'2028'!PousH</vt:lpstr>
      <vt:lpstr>PousHi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'2028'!Ppv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'2028'!Prod_an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'2028'!Prod_an_s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'2028'!Psa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'2028'!Psa_s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'2028'!Pspv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Pspv_2031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'2028'!Pvg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'2028'!Pvg_s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'2028'!R\Max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'2028'!Resal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Resal_2031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'2028'!Resal_s</vt:lpstr>
      <vt:lpstr>Salcycl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'2028'!Salim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Salim_2031</vt:lpstr>
      <vt:lpstr>Salim_i</vt:lpstr>
      <vt:lpstr>Sdif</vt:lpstr>
      <vt:lpstr>Station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'2028'!t</vt:lpstr>
      <vt:lpstr>T0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Tau_2031</vt:lpstr>
      <vt:lpstr>Tau_i</vt:lpstr>
      <vt:lpstr>Tau_ij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'2028'!Tau_j</vt:lpstr>
      <vt:lpstr>Tmaj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'2028'!Tnet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Tnet_2031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'2028'!Tnet_s</vt:lpstr>
      <vt:lpstr>Tservice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'2028'!Ttai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Ttai_2031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'2028'!Tvie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Tvie_2031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'2028'!Wh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'2028'!Wh_gain_sa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'2028'!Wh_gain_vg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'2028'!Wh_hp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'2028'!Wh_Ppv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'2028'!Wh_Psa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'2028'!Wh_Psa_s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'2028'!Wh_Pvg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'2028'!Wh_Pvg_s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'2028'!Wh_pvt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'2028'!Wh_pvt_s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'2028'!Wh_s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'2028'!Wh_sa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'2028'!Wh_sa_s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2023-01-25T09:54:45Z</dcterms:modified>
</cp:coreProperties>
</file>